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onal" sheetId="1" r:id="rId4"/>
    <sheet state="visible" name="Listas" sheetId="2" r:id="rId5"/>
    <sheet state="hidden" name="Clasificaciones" sheetId="3" r:id="rId6"/>
    <sheet state="visible" name="Impuestos" sheetId="4" r:id="rId7"/>
    <sheet state="visible" name="Intereses Oxean" sheetId="5" r:id="rId8"/>
    <sheet state="visible" name="Activo" sheetId="6" r:id="rId9"/>
    <sheet state="hidden" name="ACTIVO BACK UP 5-9 previo cambi" sheetId="7" r:id="rId10"/>
    <sheet state="hidden" name="PASIVO BACK UP 8-9 PREVIO CAMBI" sheetId="8" r:id="rId11"/>
    <sheet state="visible" name="CashFlow" sheetId="9" r:id="rId12"/>
    <sheet state="visible" name="Pasivo" sheetId="10" r:id="rId13"/>
    <sheet state="visible" name="Resumen Ejecutivo" sheetId="11" r:id="rId14"/>
    <sheet state="visible" name="Precio Venta Clientes" sheetId="12" r:id="rId15"/>
    <sheet state="hidden" name="Formulas total Pas y Act" sheetId="13" r:id="rId16"/>
    <sheet state="visible" name="Pasivos Aux" sheetId="14" r:id="rId17"/>
    <sheet state="hidden" name="Activo retro MICH" sheetId="15" r:id="rId18"/>
    <sheet state="hidden" name="Pasivo Retro MICH" sheetId="16" r:id="rId19"/>
    <sheet state="visible" name="Activos Aux" sheetId="17" r:id="rId20"/>
    <sheet state="visible" name="Proyección Total" sheetId="18" r:id="rId21"/>
    <sheet state="visible" name="Costos directos e indirectos" sheetId="19" r:id="rId22"/>
    <sheet state="visible" name="Proyectos confirmados y estimad" sheetId="20" r:id="rId23"/>
    <sheet state="visible" name="Ventas Tomi" sheetId="21" r:id="rId24"/>
    <sheet state="visible" name="TD Costos Directos para CIERRE" sheetId="22" r:id="rId25"/>
    <sheet state="visible" name="TD Costos para seguimiento MARK" sheetId="23" r:id="rId26"/>
    <sheet state="visible" name="TD Proyectos confirmados y esti" sheetId="24" r:id="rId27"/>
    <sheet state="visible" name="TD Costos Estimados para proyec" sheetId="25" r:id="rId28"/>
    <sheet state="visible" name="Rendimiento Cliente" sheetId="26" r:id="rId29"/>
    <sheet state="visible" name="Seguimiento Mark Up General" sheetId="27" r:id="rId30"/>
    <sheet state="visible" name="Seguimiento Mark Up KC" sheetId="28" r:id="rId31"/>
    <sheet state="visible" name="Seguimiento Mark Up WARNER" sheetId="29" r:id="rId32"/>
    <sheet state="visible" name="Seguimiento Mark Up COELSA" sheetId="30" r:id="rId33"/>
    <sheet state="visible" name="Seguimiento Mark Up MODO" sheetId="31" r:id="rId34"/>
    <sheet state="visible" name="Seguimiento Mark Up ANIMAL" sheetId="32" r:id="rId35"/>
    <sheet state="visible" name="Seguimiento Mark Up Molino Chac" sheetId="33" r:id="rId36"/>
    <sheet state="visible" name="Seguimiento Mark Up PEYA" sheetId="34" r:id="rId37"/>
    <sheet state="visible" name="Seguimiento Mark Up CAMI CRIADO" sheetId="35" r:id="rId38"/>
    <sheet state="visible" name="Seguimiento Mark Up UBER" sheetId="36" r:id="rId39"/>
    <sheet state="visible" name="Seguimiento Mark Up TOM" sheetId="37" r:id="rId40"/>
    <sheet state="visible" name="Seguimiento Mark Up ARCOS DORAD" sheetId="38" r:id="rId41"/>
    <sheet state="visible" name="Seguimiento Mark Up TCCC" sheetId="39" r:id="rId42"/>
    <sheet state="visible" name="Horas Asignadas" sheetId="40" r:id="rId43"/>
    <sheet state="visible" name="Valor Hora Real y Estimada" sheetId="41" r:id="rId44"/>
    <sheet state="visible" name="Costos estimados" sheetId="42" r:id="rId45"/>
    <sheet state="visible" name="Calculo ajustes " sheetId="43" r:id="rId46"/>
    <sheet state="visible" name="Info Tipo de Cambio y REM" sheetId="44" r:id="rId47"/>
  </sheets>
  <definedNames>
    <definedName hidden="1" localSheetId="5" name="_xlnm._FilterDatabase">Activo!$A$1:$Q$110</definedName>
    <definedName hidden="1" localSheetId="6" name="_xlnm._FilterDatabase">'ACTIVO BACK UP 5-9 previo cambi'!$A$1:$P$115</definedName>
    <definedName hidden="1" localSheetId="8" name="_xlnm._FilterDatabase">CashFlow!$A$1:$AE$1075</definedName>
    <definedName hidden="1" localSheetId="9" name="_xlnm._FilterDatabase">Pasivo!$A$1:$O$520</definedName>
    <definedName hidden="1" localSheetId="15" name="_xlnm._FilterDatabase">'Pasivo Retro MICH'!$A$1:$M$63</definedName>
    <definedName hidden="1" localSheetId="16" name="_xlnm._FilterDatabase">'Activos Aux'!$A$1:$E$61</definedName>
    <definedName hidden="1" localSheetId="18" name="_xlnm._FilterDatabase">'Costos directos e indirectos'!$J$1:$J$4852</definedName>
    <definedName hidden="1" localSheetId="19" name="_xlnm._FilterDatabase">'Proyectos confirmados y estimad'!$A$1:$V$1099</definedName>
    <definedName hidden="1" localSheetId="20" name="_xlnm._FilterDatabase">'Ventas Tomi'!$C$1:$C$1218</definedName>
    <definedName hidden="1" localSheetId="25" name="_xlnm._FilterDatabase">'Rendimiento Cliente'!$A$1:$H$151</definedName>
    <definedName hidden="1" localSheetId="40" name="_xlnm._FilterDatabase">'Valor Hora Real y Estimada'!$A$2:$AR$43</definedName>
    <definedName hidden="1" localSheetId="41" name="_xlnm._FilterDatabase">'Costos estimados'!$A$1:$M$287</definedName>
  </definedNames>
  <calcPr/>
  <pivotCaches>
    <pivotCache cacheId="0" r:id="rId48"/>
    <pivotCache cacheId="1" r:id="rId49"/>
    <pivotCache cacheId="2" r:id="rId50"/>
    <pivotCache cacheId="3" r:id="rId51"/>
    <pivotCache cacheId="4" r:id="rId5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@matiasgonzalez@epical.digital ya ajuste la formula con lo que comente de la actualización del tipo de cambio para los pesos. Por favor, no toques esta formula. Veremos si da bien cuando vaya entrando info nueva. ESTO APLICA DE H10 a H13
_Asignada a Matias Gonzalez_
	-Victoria Achabal
----
Estas columnas se calculan automaticamente en el dashboard, así que no se rompan la cabeza con eso
	-Matias Gonzalez</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1">
      <text>
        <t xml:space="preserve">11/7 pagaron una parte, esta en cash</t>
      </text>
    </comment>
    <comment authorId="0" ref="C90">
      <text>
        <t xml:space="preserve">Moreno ocampo al 31/7 no estaba considerado como deuda, pero se anulo la fc y se hizo nccr</t>
      </text>
    </comment>
    <comment authorId="0" ref="J90">
      <text>
        <t xml:space="preserve">Moreno ocampo al 31/7 no estaba considerado como deuda, pero se anulo la fc y se hizo nccr</t>
      </text>
    </comment>
    <comment authorId="0" ref="K90">
      <text>
        <t xml:space="preserve">Moreno ocampo al 31/7 no estaba considerado como deuda, pero se anulo la fc y se hizo nccr
</t>
      </text>
    </comment>
    <comment authorId="0" ref="I1">
      <text>
        <t xml:space="preserve">@matiasgonzalez@epical.digital  formulas en base a que haya dato en cliente.
_Asignada a Matias Gonzalez_
	-Victoria Achabal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88">
      <text>
        <t xml:space="preserve">11/7 pagaron una parte, esta en cash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90">
      <text>
        <t xml:space="preserve">Esto en negativo està ok, es a "favor"</t>
      </text>
    </comment>
    <comment authorId="0" ref="L269">
      <text>
        <t xml:space="preserve">Esto en negativo està ok, es a "favor"</t>
      </text>
    </comment>
    <comment authorId="0" ref="K273">
      <text>
        <t xml:space="preserve">Esta en negativo porque es a favor de Epical, es como si fuera una NCR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5">
      <text>
        <t xml:space="preserve">SALDO INICIAL JUNIO</t>
      </text>
    </comment>
    <comment authorId="0" ref="M75">
      <text>
        <t xml:space="preserve">SALDO INICIAL JUNIO</t>
      </text>
    </comment>
    <comment authorId="0" ref="L160">
      <text>
        <t xml:space="preserve">SALDO AL 30/6
</t>
      </text>
    </comment>
    <comment authorId="0" ref="M160">
      <text>
        <t xml:space="preserve">SALDO AL 30/6</t>
      </text>
    </comment>
    <comment authorId="0" ref="M219">
      <text>
        <t xml:space="preserve">SALDO 31/7</t>
      </text>
    </comment>
    <comment authorId="0" ref="B1">
      <text>
        <t xml:space="preserve">Automatizar
	-Matias Gonzalez</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90">
      <text>
        <t xml:space="preserve">Esto en negativo està ok, es a "favor"</t>
      </text>
    </comment>
    <comment authorId="0" ref="L269">
      <text>
        <t xml:space="preserve">Esto en negativo està ok, es a "favor"</t>
      </text>
    </comment>
    <comment authorId="0" ref="K273">
      <text>
        <t xml:space="preserve">Esta en negativo porque es a favor de Epical, es como si fuera una NCR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No se considerando proyecciones retroactivas dado que se realizo el dashboard en Septiembre
</t>
      </text>
    </comment>
    <comment authorId="0" ref="L3">
      <text>
        <t xml:space="preserve">No se considerando proyecciones retroactivas dado que se realizo el dashboard en Septiembre
</t>
      </text>
    </comment>
    <comment authorId="0" ref="L4">
      <text>
        <t xml:space="preserve">No se considerando proyecciones retroactivas dado que se realizo el dashboard en Septiembre
</t>
      </text>
    </comment>
    <comment authorId="0" ref="L5">
      <text>
        <t xml:space="preserve">No se considerando proyecciones retroactivas dado que se realizo el dashboard en Septiembre
</t>
      </text>
    </comment>
    <comment authorId="0" ref="L6">
      <text>
        <t xml:space="preserve">No se considerando proyecciones retroactivas dado que se realizo el dashboard en Septiembre
</t>
      </text>
    </comment>
    <comment authorId="0" ref="H7">
      <text>
        <t xml:space="preserve">No se considero el acumulado del impuesto porque Lorena en el informe no lo envió</t>
      </text>
    </comment>
    <comment authorId="0" ref="L7">
      <text>
        <t xml:space="preserve">No se considerando proyecciones retroactivas dado que se realizo el dashboard en Septiembre
</t>
      </text>
    </comment>
    <comment authorId="0" ref="I8">
      <text>
        <t xml:space="preserve">Diferencia en pesos e intereses Oxean</t>
      </text>
    </comment>
    <comment authorId="0" ref="L8">
      <text>
        <t xml:space="preserve">No se considerando proyecciones retroactivas dado que se realizo el dashboard en Septiembre
</t>
      </text>
    </comment>
    <comment authorId="0" ref="L9">
      <text>
        <t xml:space="preserve">Diferencia envío tonga, tipo de cambio REM. </t>
      </text>
    </comment>
    <comment authorId="0" ref="L12">
      <text>
        <t xml:space="preserve">No tenemos data cargada de Enero aun por ende no podemos hacerlo
</t>
      </text>
    </comment>
    <comment authorId="0" ref="L13">
      <text>
        <t xml:space="preserve">No tenemos data cargada de Enero febrero aun por ende no podemos hacerlo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Actualizar mensualmente
	-Matias Gonzalez</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8">
      <text>
        <t xml:space="preserve">11/7 pagaron una parte, esta en cash</t>
      </text>
    </comment>
    <comment authorId="0" ref="A17">
      <text>
        <t xml:space="preserve">@michelle.revora@oxeancross.com idem estos dos.
_Asignada a michelle.revora@oxeancross.com_
	-Victoria Achabal</t>
      </text>
    </comment>
    <comment authorId="0" ref="A14">
      <text>
        <t xml:space="preserve">@michelle.revora@oxeancross.com lo mismo con esta, ya estaba puesta.
_Asignada a michelle.revora@oxeancross.com_
	-Victoria Achabal</t>
      </text>
    </comment>
    <comment authorId="0" ref="A8">
      <text>
        <t xml:space="preserve">@michelle.revora@oxeancross.com no la sume porque estaba contabilizada ,esta ok?
_Asignada a michelle.revora@oxeancross.com_
	-Victoria Achabal</t>
      </text>
    </comment>
    <comment authorId="0" ref="A2">
      <text>
        <t xml:space="preserve">@michelle.revora@oxeancross.com  no la sume porque ya estaba contabilizada, esta ok?
_Asignada a michelle.revora@oxeancross.com_
	-Victoria Achabal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74">
      <text>
        <t xml:space="preserve">Esto en negativo està ok, es a "favor"</t>
      </text>
    </comment>
    <comment authorId="0" ref="K253">
      <text>
        <t xml:space="preserve">Esto en negativo està ok, es a "favor"</t>
      </text>
    </comment>
    <comment authorId="0" ref="J257">
      <text>
        <t xml:space="preserve">Esta en negativo porque es a favor de Epical, es como si fuera una NCR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Actualizar mes a mes
	-Matias Gonzalez</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Sale del reporte de Lorena enero</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43">
      <text>
        <t xml:space="preserve">Se sumaron horas de TOM
</t>
      </text>
    </comment>
    <comment authorId="0" ref="L319">
      <text>
        <t xml:space="preserve">Se suma hora de Mc que el proyecto ya estaba cerrado
</t>
      </text>
    </comment>
    <comment authorId="0" ref="P368">
      <text>
        <t xml:space="preserve">Esto en negativo està ok, es a "favor"</t>
      </text>
    </comment>
    <comment authorId="0" ref="P452">
      <text>
        <t xml:space="preserve">Esto en negativo està ok, es a "favor"</t>
      </text>
    </comment>
    <comment authorId="0" ref="M588">
      <text>
        <t xml:space="preserve">Se tomo 167 porque tuvo 7 horas extras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9">
      <text>
        <t xml:space="preserve">Baja de fee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Esto en negativo està ok, es a "favor"</t>
      </text>
    </comment>
    <comment authorId="0" ref="G18">
      <text>
        <t xml:space="preserve">Esto en negativo està ok, es a "favor"</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9">
      <text>
        <t xml:space="preserve">Segun calculador de Febrero a Julio</t>
      </text>
    </comment>
    <comment authorId="0" ref="V13">
      <text>
        <t xml:space="preserve">romi ajuste del 10% total pero dividio en dos. 
5% ahora en noviembre y 4.76% en enero.
</t>
      </text>
    </comment>
    <comment authorId="0" ref="N16">
      <text>
        <t xml:space="preserve">Segun calculadora de Abril a Julio</t>
      </text>
    </comment>
    <comment authorId="0" ref="V21">
      <text>
        <t xml:space="preserve">Ajuste por inflación más alineación malen para poder estandarizar las escalas de los PMs.</t>
      </text>
    </comment>
    <comment authorId="0" ref="C22">
      <text>
        <t xml:space="preserve">Ajuste hora vs archivo horas target porque estaba la anterior (pre cierre de horas fijas por mes).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3">
      <text>
        <t xml:space="preserve">En base a ajuste de junio se estipulo el futuro en pesos</t>
      </text>
    </comment>
    <comment authorId="0" ref="I241">
      <text>
        <t xml:space="preserve">Estimado en base a promedio de Abril, Mayo, Junio
</t>
      </text>
    </comment>
    <comment authorId="0" ref="I242">
      <text>
        <t xml:space="preserve">Estimado en base a promedio de Abril, Mayo, Junio
</t>
      </text>
    </comment>
    <comment authorId="0" ref="I265">
      <text>
        <t xml:space="preserve">Arranca a mitad de mes
</t>
      </text>
    </comment>
  </commentList>
</comments>
</file>

<file path=xl/sharedStrings.xml><?xml version="1.0" encoding="utf-8"?>
<sst xmlns="http://schemas.openxmlformats.org/spreadsheetml/2006/main" count="19196" uniqueCount="1492">
  <si>
    <t>Referencia colores solapas</t>
  </si>
  <si>
    <t>Solapas financieras</t>
  </si>
  <si>
    <t>Soalapas auxiliares para dashboard</t>
  </si>
  <si>
    <t>Solapas económicas</t>
  </si>
  <si>
    <t>Tablas Dinámicas</t>
  </si>
  <si>
    <t>Mark Up</t>
  </si>
  <si>
    <t>Información extra que alimenta fórmulas</t>
  </si>
  <si>
    <t>Fecha del mes aprox</t>
  </si>
  <si>
    <t>Proceso General</t>
  </si>
  <si>
    <t>Tarea</t>
  </si>
  <si>
    <t>Repsonsables</t>
  </si>
  <si>
    <t>Solapa a completar/Usar</t>
  </si>
  <si>
    <t>TD o Solapa que se actualiza automáticamente</t>
  </si>
  <si>
    <t>Entre el 25/26 de cada mes</t>
  </si>
  <si>
    <t>Cierre de mes equipo</t>
  </si>
  <si>
    <t>Se le pide al equipo que cargue horas en Asana tanto del mes que hayan quedado pendientes como las estimadas de los días laborables que quedan.</t>
  </si>
  <si>
    <t>Vicky Puri / Vicky Acha</t>
  </si>
  <si>
    <t>N/A</t>
  </si>
  <si>
    <t xml:space="preserve">Se crean los proyectos nuevos en Abejita. </t>
  </si>
  <si>
    <t>Entre el 27/28 de cada mes</t>
  </si>
  <si>
    <r>
      <rPr>
        <rFont val="Arial"/>
        <color theme="1"/>
      </rPr>
      <t xml:space="preserve">Completar el cierre de horas mensual en base a las horas cerradas en Asana. Se completa la solapa con la información: 
Detalle COL A (nombre de la persona. Si no aparace se debe deseocultar la solapa Listas y sumar el nombre de la persona)
Subtipo de Costo COL B (automatizada, si no aparece info se deba deseocultar la solapa Clasificaciones y sumar la variable que no tiene información)
Mes COL C y Año COL D
Tipo de costo COL E (Directo si está asociado a cliente dierto indirecto si es Epical general o Demo)
Nro Proyecto COL G (ver fila 16)
Tipo de proyecto COL H (Fee, One Shot, Epical para general y Demo si es cliente Epical pero refiere a una demo)
Proyecto COL I (si un proyecto está en varios meses siempre mantener el mismo nombre. Si es nuevo se pone un referenica general de lo que es)
Cliente COL J (en caso que sea Epical se selecciona Epical)
Cantidad de horas Objetivo COL K (se saca de la solapa Horas Asignadas)
Cantidad de horas reales Asana COL L (se carga específicamente lo que aparece en Asana indepedientemente si es más o menos de lo que debe trabajar la persona. Por ejemplo si una persona debería completar 160 horas pero completa 150 se cargan las 150)
Cantidad de horas para facutración COL M (se carga lo de Asana pero si es necesario se redondea con Epical para arriba o para abajo. </t>
    </r>
    <r>
      <rPr>
        <rFont val="Arial"/>
        <b/>
        <color theme="1"/>
      </rPr>
      <t>Sobre esta columna se calcula el monto a facurar</t>
    </r>
    <r>
      <rPr>
        <rFont val="Arial"/>
        <color theme="1"/>
      </rPr>
      <t>)</t>
    </r>
  </si>
  <si>
    <t>Costos directos e indirectos</t>
  </si>
  <si>
    <t>TD Costos Directos para CIERRE
TD Costos para seguimiento MARKUP</t>
  </si>
  <si>
    <t xml:space="preserve">Se completan los archivos de honorarios.
1- En caso de ser variables y que cobren una parte en USD se completa en la solapa Hoja 1 la diferencia de horas vs lo que se hizo en el cierre parcial.
2- En caso de ser variables y que cobren todo en ARS se completa en la solapa Hoja 1 el total de horas a facturar.
3- En todos los casos se completa la solapa Control Abejita con la apertura que deben usar para cargar la información en la misma. Para esto, se filtra por persona la TD CIERRE POR CUENTA Y PERSONA y se va copiando y pegando la distribución en cada archivo de honorarios. </t>
  </si>
  <si>
    <t>TD Costos Directos para CIERRE
Archivos de honorarios de cada persona</t>
  </si>
  <si>
    <t>A fin de mes, antes que termine</t>
  </si>
  <si>
    <t>Hacer la carga de información en Abejita para que el equipo pueda cargar las horas.</t>
  </si>
  <si>
    <t>Michelle</t>
  </si>
  <si>
    <t>Entre el 30/31 de cada mes</t>
  </si>
  <si>
    <t>Una vez que estan cargados los Nros de proyectos en Abejita, se pasan a la solapa Costos Directos e Indirectos en COL G</t>
  </si>
  <si>
    <t>Todos los lunes/martes de cada semana</t>
  </si>
  <si>
    <t>Semanal: Carga Activo</t>
  </si>
  <si>
    <r>
      <rPr>
        <rFont val="Arial"/>
        <b/>
        <color rgb="FF000000"/>
      </rPr>
      <t xml:space="preserve">CLIENTES A COBRAR
</t>
    </r>
    <r>
      <rPr>
        <rFont val="Arial"/>
        <color rgb="FF000000"/>
      </rPr>
      <t xml:space="preserve">Se mantiende actualizado lo facturado completando  </t>
    </r>
    <r>
      <rPr>
        <rFont val="Arial"/>
        <b/>
        <color rgb="FF000000"/>
      </rPr>
      <t>Fecha Facturación, Nro de Factura/Comprobante, Razón Social/Cliente, Detalle, Fecha de vencimiento, Moneda original ARS, Moneda original USD.</t>
    </r>
    <r>
      <rPr>
        <rFont val="Arial"/>
        <color rgb="FF000000"/>
      </rPr>
      <t xml:space="preserve">
Las columnas con letra en </t>
    </r>
    <r>
      <rPr>
        <rFont val="Arial"/>
        <b/>
        <color rgb="FFFF0000"/>
      </rPr>
      <t xml:space="preserve">ROJO </t>
    </r>
    <r>
      <rPr>
        <rFont val="Arial"/>
        <color rgb="FF000000"/>
      </rPr>
      <t xml:space="preserve">están automatizadas.
Las columnas </t>
    </r>
    <r>
      <rPr>
        <rFont val="Arial"/>
        <b/>
        <color rgb="FF000000"/>
      </rPr>
      <t xml:space="preserve">Cobrado/No Cobrado AL CIERRE y Fecha de pago/Nota de credito </t>
    </r>
    <r>
      <rPr>
        <rFont val="Arial"/>
        <color rgb="FF000000"/>
      </rPr>
      <t xml:space="preserve">se van actualizando en la medida que se pague dentro del mes la factura emitida. Es decir si estamos en agosto y se cobró en agosto, se pone SI en Cobrado/No Cobrado AL CIERRE y se completa la Fecha de Pago/Nota de crédito. </t>
    </r>
  </si>
  <si>
    <t>Activo</t>
  </si>
  <si>
    <t>Resumen ejecutivo</t>
  </si>
  <si>
    <t>Semanal: Carga Pasivo</t>
  </si>
  <si>
    <r>
      <rPr>
        <rFont val="Arial"/>
        <color theme="1"/>
      </rPr>
      <t xml:space="preserve">Se mantiene actualizado semanalmente los gastos que ingresan. Las columnas a completar son: </t>
    </r>
    <r>
      <rPr>
        <rFont val="Arial"/>
        <b/>
        <color theme="1"/>
      </rPr>
      <t xml:space="preserve">Detalle, Mes, Año, Fecha de Emisión, Concepto/Detalle, Descripción/Factura, Fecha de vencimiento, Moneda original ARS, Moneda original USD.
</t>
    </r>
    <r>
      <rPr>
        <rFont val="Arial"/>
        <color theme="1"/>
      </rPr>
      <t xml:space="preserve">Las columnas con letrra en </t>
    </r>
    <r>
      <rPr>
        <rFont val="Arial"/>
        <b/>
        <color rgb="FFFF0000"/>
      </rPr>
      <t xml:space="preserve">ROJO </t>
    </r>
    <r>
      <rPr>
        <rFont val="Arial"/>
        <color theme="1"/>
      </rPr>
      <t xml:space="preserve">están automatizadas. 
Las columnas </t>
    </r>
    <r>
      <rPr>
        <rFont val="Arial"/>
        <b/>
        <color theme="1"/>
      </rPr>
      <t>Pagado/No Pagado AL CIERRE y Fecha de pago</t>
    </r>
    <r>
      <rPr>
        <rFont val="Arial"/>
        <color theme="1"/>
      </rPr>
      <t xml:space="preserve"> se van actualizando en la medida que se pague dentro del mes la factura emitida. Es decir si estamos en agosto y se cobró en agosto, se pone SI en Pagado/No Pagado AL CIERRE y se completa la Fecha de Pago. </t>
    </r>
  </si>
  <si>
    <t>Pasivo</t>
  </si>
  <si>
    <t>Semanal: Carga Cashflow</t>
  </si>
  <si>
    <r>
      <rPr>
        <rFont val="Arial"/>
        <color theme="1"/>
      </rPr>
      <t xml:space="preserve">Se mantiene actualizado semanalmente los ingresos y egresos de las cuentas USA, ARG y Caja si hubiera.
Las columnas con letra en </t>
    </r>
    <r>
      <rPr>
        <rFont val="Arial"/>
        <b/>
        <color rgb="FFFF0000"/>
      </rPr>
      <t xml:space="preserve">ROJO </t>
    </r>
    <r>
      <rPr>
        <rFont val="Arial"/>
        <color theme="1"/>
      </rPr>
      <t xml:space="preserve">están automatizadas.
En caso que se cargue monton en </t>
    </r>
    <r>
      <rPr>
        <rFont val="Arial"/>
        <b/>
        <color theme="1"/>
      </rPr>
      <t>ARS (COL I)</t>
    </r>
    <r>
      <rPr>
        <rFont val="Arial"/>
        <color theme="1"/>
      </rPr>
      <t xml:space="preserve">, la cotización se trae automaticamente pero es posible que el cálculo en </t>
    </r>
    <r>
      <rPr>
        <rFont val="Arial"/>
        <b/>
        <color theme="1"/>
      </rPr>
      <t>USD (COL K)</t>
    </r>
    <r>
      <rPr>
        <rFont val="Arial"/>
        <color theme="1"/>
      </rPr>
      <t xml:space="preserve"> haya que calcularlos dividiendo </t>
    </r>
    <r>
      <rPr>
        <rFont val="Arial"/>
        <b/>
        <color theme="1"/>
      </rPr>
      <t>COL I / COL J.</t>
    </r>
  </si>
  <si>
    <t>Cashflow</t>
  </si>
  <si>
    <t>30/31 de cada mes</t>
  </si>
  <si>
    <t>Cierre de mes financiero: USD</t>
  </si>
  <si>
    <t>Se carga el tipo de cambio BLUE del día que cierra el mes. En la solapa Info Tipo de Cambio y REM, a partir de celda A23.</t>
  </si>
  <si>
    <t>Michelle / Vicky Puri / Vicky Acha</t>
  </si>
  <si>
    <t>Info Tipo de Cambio y REM = a partir de celda A23.</t>
  </si>
  <si>
    <t>Todas las solapas Verdes y Naranjas, en consecuencia todas las solapas Rosas, Azules y Amarillas</t>
  </si>
  <si>
    <t>Entre el 1 y el 10 de cada mes</t>
  </si>
  <si>
    <t>Cierre de mes financiero: Cashflow</t>
  </si>
  <si>
    <t>Verificar que todo esté ok para poder sacar los Saldos para el Activo.</t>
  </si>
  <si>
    <t>Resumen Ejecutivo</t>
  </si>
  <si>
    <t>Cierre de mes financiero: Activo</t>
  </si>
  <si>
    <r>
      <rPr>
        <rFont val="Arial"/>
        <color theme="1"/>
      </rPr>
      <t xml:space="preserve">a) 
</t>
    </r>
    <r>
      <rPr>
        <rFont val="Arial"/>
        <b/>
        <color theme="1"/>
      </rPr>
      <t xml:space="preserve">Revisión que todo esté bien cargado. </t>
    </r>
    <r>
      <rPr>
        <rFont val="Arial"/>
        <color theme="1"/>
      </rPr>
      <t xml:space="preserve">
La columna</t>
    </r>
    <r>
      <rPr>
        <rFont val="Arial"/>
        <b/>
        <color theme="1"/>
      </rPr>
      <t xml:space="preserve"> Cobrado/No Cobrado AL CIERRE (COL F)</t>
    </r>
    <r>
      <rPr>
        <rFont val="Arial"/>
        <color theme="1"/>
      </rPr>
      <t xml:space="preserve"> se actualiza para el cierre: 
1- Verificar que los valores si/no estén actualizados al momento de cierre en el mes en curso. ¿Qué se cobro y qué no?. Si es SI se actualiza la fecha de cobro.
2- Verificar si hay deudas en el pasado con </t>
    </r>
    <r>
      <rPr>
        <rFont val="Arial"/>
        <b/>
        <color theme="1"/>
      </rPr>
      <t>NO</t>
    </r>
    <r>
      <rPr>
        <rFont val="Arial"/>
        <color theme="1"/>
      </rPr>
      <t xml:space="preserve"> que fueron pagadas en el mes que se está cerrando. Si es </t>
    </r>
    <r>
      <rPr>
        <rFont val="Arial"/>
        <b/>
        <color theme="1"/>
      </rPr>
      <t>SI</t>
    </r>
    <r>
      <rPr>
        <rFont val="Arial"/>
        <color theme="1"/>
      </rPr>
      <t xml:space="preserve"> </t>
    </r>
    <r>
      <rPr>
        <rFont val="Arial"/>
        <b/>
        <color theme="1"/>
      </rPr>
      <t>NO SE MODIFICA LA COLUMNA COBRADO/NO COBRADO AL CIERRE (COL F)</t>
    </r>
    <r>
      <rPr>
        <rFont val="Arial"/>
        <color theme="1"/>
      </rPr>
      <t xml:space="preserve">, </t>
    </r>
    <r>
      <rPr>
        <rFont val="Arial"/>
        <b/>
        <color theme="1"/>
      </rPr>
      <t>queda</t>
    </r>
    <r>
      <rPr>
        <rFont val="Arial"/>
        <color theme="1"/>
      </rPr>
      <t xml:space="preserve"> en </t>
    </r>
    <r>
      <rPr>
        <rFont val="Arial"/>
        <b/>
        <color theme="1"/>
      </rPr>
      <t>NO</t>
    </r>
    <r>
      <rPr>
        <rFont val="Arial"/>
        <color theme="1"/>
      </rPr>
      <t xml:space="preserve"> </t>
    </r>
    <r>
      <rPr>
        <rFont val="Arial"/>
        <b/>
        <color theme="1"/>
      </rPr>
      <t>siempre</t>
    </r>
    <r>
      <rPr>
        <rFont val="Arial"/>
        <color theme="1"/>
      </rPr>
      <t xml:space="preserve"> y </t>
    </r>
    <r>
      <rPr>
        <rFont val="Arial"/>
        <b/>
        <color theme="1"/>
      </rPr>
      <t>se carga solo la fecha de cobro Fecha de pago/Nota de credito (COL G)</t>
    </r>
    <r>
      <rPr>
        <rFont val="Arial"/>
        <color theme="1"/>
      </rPr>
      <t xml:space="preserve">.  Esto es para no se rompan los resultados del pasado.
A modo informativo: todo lo que dice NO en el pasado y NO tiene fecha de cobro o tiene fecha posterior al cierre de cada mes, se contempla como parte de Clientes a Cobrar en el resumen ejecutivo.
b)
</t>
    </r>
    <r>
      <rPr>
        <rFont val="Arial"/>
        <b/>
        <color theme="1"/>
      </rPr>
      <t xml:space="preserve">ACTIVO LIQUIDO SALDOS
</t>
    </r>
    <r>
      <rPr>
        <rFont val="Arial"/>
        <color theme="1"/>
      </rPr>
      <t xml:space="preserve">Se sacan de la solapa </t>
    </r>
    <r>
      <rPr>
        <rFont val="Arial"/>
        <b/>
        <color theme="1"/>
      </rPr>
      <t>Cashflow</t>
    </r>
    <r>
      <rPr>
        <rFont val="Arial"/>
        <color theme="1"/>
      </rPr>
      <t>,  con el último dato disponible a la fecha de cierre en las columnas 
-</t>
    </r>
    <r>
      <rPr>
        <rFont val="Arial"/>
        <b/>
        <color theme="1"/>
      </rPr>
      <t>SALDO SANTANDER (COL L)</t>
    </r>
    <r>
      <rPr>
        <rFont val="Arial"/>
        <color theme="1"/>
      </rPr>
      <t xml:space="preserve"> se carga en </t>
    </r>
    <r>
      <rPr>
        <rFont val="Arial"/>
        <b/>
        <color theme="1"/>
      </rPr>
      <t>pesos</t>
    </r>
    <r>
      <rPr>
        <rFont val="Arial"/>
        <color theme="1"/>
      </rPr>
      <t xml:space="preserve"> en </t>
    </r>
    <r>
      <rPr>
        <rFont val="Arial"/>
        <b/>
        <color theme="1"/>
      </rPr>
      <t>Activo</t>
    </r>
    <r>
      <rPr>
        <rFont val="Arial"/>
        <color theme="1"/>
      </rPr>
      <t xml:space="preserve"> y el </t>
    </r>
    <r>
      <rPr>
        <rFont val="Arial"/>
        <b/>
        <color theme="1"/>
      </rPr>
      <t>Concepto/Banco es  Santander-Galicia-Nación</t>
    </r>
    <r>
      <rPr>
        <rFont val="Arial"/>
        <color theme="1"/>
      </rPr>
      <t xml:space="preserve">
</t>
    </r>
    <r>
      <rPr>
        <rFont val="Arial"/>
        <b/>
        <color theme="1"/>
      </rPr>
      <t>-SALDO BOA (COL M)</t>
    </r>
    <r>
      <rPr>
        <rFont val="Arial"/>
        <color theme="1"/>
      </rPr>
      <t xml:space="preserve"> se carga en </t>
    </r>
    <r>
      <rPr>
        <rFont val="Arial"/>
        <b/>
        <color theme="1"/>
      </rPr>
      <t>usd</t>
    </r>
    <r>
      <rPr>
        <rFont val="Arial"/>
        <color theme="1"/>
      </rPr>
      <t xml:space="preserve"> en </t>
    </r>
    <r>
      <rPr>
        <rFont val="Arial"/>
        <b/>
        <color theme="1"/>
      </rPr>
      <t>Activo</t>
    </r>
    <r>
      <rPr>
        <rFont val="Arial"/>
        <color theme="1"/>
      </rPr>
      <t xml:space="preserve"> y el </t>
    </r>
    <r>
      <rPr>
        <rFont val="Arial"/>
        <b/>
        <color theme="1"/>
      </rPr>
      <t>Concepto/Banco es Bank of America</t>
    </r>
    <r>
      <rPr>
        <rFont val="Arial"/>
        <color theme="1"/>
      </rPr>
      <t xml:space="preserve">.
</t>
    </r>
    <r>
      <rPr>
        <rFont val="Arial"/>
        <b/>
        <color theme="1"/>
      </rPr>
      <t xml:space="preserve">-SALDO CAJA (COL N), </t>
    </r>
    <r>
      <rPr>
        <rFont val="Arial"/>
        <color theme="1"/>
      </rPr>
      <t xml:space="preserve">si hubiera se carga en la monea correspondiente en Activo y el </t>
    </r>
    <r>
      <rPr>
        <rFont val="Arial"/>
        <b/>
        <color theme="1"/>
      </rPr>
      <t xml:space="preserve">Concepto/Banco es Caja.
</t>
    </r>
    <r>
      <rPr>
        <rFont val="Arial"/>
        <color theme="1"/>
      </rPr>
      <t xml:space="preserve">c)
</t>
    </r>
    <r>
      <rPr>
        <rFont val="Arial"/>
        <b/>
        <color theme="1"/>
      </rPr>
      <t xml:space="preserve">MEDIANO PLAZO CRYPTO
</t>
    </r>
    <r>
      <rPr>
        <rFont val="Arial"/>
        <color theme="1"/>
      </rPr>
      <t>Lo comparte Gastón y se carga como</t>
    </r>
    <r>
      <rPr>
        <rFont val="Arial"/>
        <b/>
        <color theme="1"/>
      </rPr>
      <t xml:space="preserve"> Otras Inversiones en COL A.
</t>
    </r>
    <r>
      <rPr>
        <rFont val="Arial"/>
        <color theme="1"/>
      </rPr>
      <t>d)</t>
    </r>
    <r>
      <rPr>
        <rFont val="Arial"/>
        <b/>
        <color theme="1"/>
      </rPr>
      <t xml:space="preserve">
ACTIVO LIQUIDO TRANSFERWISE
</t>
    </r>
    <r>
      <rPr>
        <rFont val="Arial"/>
        <color theme="1"/>
      </rPr>
      <t xml:space="preserve">Se carga como </t>
    </r>
    <r>
      <rPr>
        <rFont val="Arial"/>
        <b/>
        <color theme="1"/>
      </rPr>
      <t xml:space="preserve">Transferwise en COL A
</t>
    </r>
  </si>
  <si>
    <t>Michelle a) b) d)
Gastón pasa el dato de c) y lo carga Michelle</t>
  </si>
  <si>
    <t>Cierre de mes financiero: Pasivo</t>
  </si>
  <si>
    <r>
      <rPr>
        <rFont val="Arial"/>
        <color theme="1"/>
      </rPr>
      <t>Revisión que todo esté bien cargado. 
La columna</t>
    </r>
    <r>
      <rPr>
        <rFont val="Arial"/>
        <b/>
        <color theme="1"/>
      </rPr>
      <t xml:space="preserve"> Pagado/No Pagado AL CIERRE (COL E)</t>
    </r>
    <r>
      <rPr>
        <rFont val="Arial"/>
        <color theme="1"/>
      </rPr>
      <t xml:space="preserve"> se actualiza para el cierre: 
1- Verificar que los valores si/no estén actualizados al momento de cierre en el mes en curso. ¿Qué se pagó y qué no?. Si es SI se actualiza la fecha de cobro.
2- Verificar si hay deudas en el pasado con </t>
    </r>
    <r>
      <rPr>
        <rFont val="Arial"/>
        <b/>
        <color theme="1"/>
      </rPr>
      <t>NO</t>
    </r>
    <r>
      <rPr>
        <rFont val="Arial"/>
        <color theme="1"/>
      </rPr>
      <t xml:space="preserve"> que fueron pagadas en el mes que se está cerrando. Si es </t>
    </r>
    <r>
      <rPr>
        <rFont val="Arial"/>
        <b/>
        <color theme="1"/>
      </rPr>
      <t>SI</t>
    </r>
    <r>
      <rPr>
        <rFont val="Arial"/>
        <color theme="1"/>
      </rPr>
      <t xml:space="preserve"> </t>
    </r>
    <r>
      <rPr>
        <rFont val="Arial"/>
        <b/>
        <color theme="1"/>
      </rPr>
      <t>NO SE MODIFICA LA COLUMNA PAGADO/NO PAGADO AL CIERRE (COL E)</t>
    </r>
    <r>
      <rPr>
        <rFont val="Arial"/>
        <color theme="1"/>
      </rPr>
      <t xml:space="preserve">, </t>
    </r>
    <r>
      <rPr>
        <rFont val="Arial"/>
        <b/>
        <color theme="1"/>
      </rPr>
      <t>queda</t>
    </r>
    <r>
      <rPr>
        <rFont val="Arial"/>
        <color theme="1"/>
      </rPr>
      <t xml:space="preserve"> en </t>
    </r>
    <r>
      <rPr>
        <rFont val="Arial"/>
        <b/>
        <color theme="1"/>
      </rPr>
      <t>NO</t>
    </r>
    <r>
      <rPr>
        <rFont val="Arial"/>
        <color theme="1"/>
      </rPr>
      <t xml:space="preserve"> </t>
    </r>
    <r>
      <rPr>
        <rFont val="Arial"/>
        <b/>
        <color theme="1"/>
      </rPr>
      <t>siempre</t>
    </r>
    <r>
      <rPr>
        <rFont val="Arial"/>
        <color theme="1"/>
      </rPr>
      <t xml:space="preserve"> y </t>
    </r>
    <r>
      <rPr>
        <rFont val="Arial"/>
        <b/>
        <color theme="1"/>
      </rPr>
      <t>se carga solo la fecha de cobro nada más Fecha de pago (COL F)</t>
    </r>
    <r>
      <rPr>
        <rFont val="Arial"/>
        <color theme="1"/>
      </rPr>
      <t>.  Esto es para no se rompan los resultados del pasado.
A modo informativo: todo lo que dice NO en el pasado y NO tiene fecha de cobro o tiene fecha posterior al cierre de cada mes, se contempla como parte de Deugas a Pagar en el resumen ejecutivo.</t>
    </r>
  </si>
  <si>
    <t>Ultima semana del mes</t>
  </si>
  <si>
    <t>Cierre de mes económico: Costos Estimados</t>
  </si>
  <si>
    <r>
      <rPr/>
      <t>Se validan los costos estimados para actualizar en caso de ser necesario. Además se pasa lo que es el cierre de mes actual a Pasado en COL M, es decir si estamos cerrando Agosto, ese mes se pone como Pasado.
Además se cargan los impuestos en ARS estimados (IVA e IIBB), que se sacan de la solapa TD Proyectos Confirmados y Estimados. Se toman solo los meses futuros.</t>
    </r>
    <r>
      <rPr>
        <color rgb="FF1155CC"/>
        <u/>
      </rPr>
      <t xml:space="preserve"> LINK A LA TD</t>
    </r>
    <r>
      <rPr/>
      <t>.</t>
    </r>
  </si>
  <si>
    <t>Costos estimados</t>
  </si>
  <si>
    <r>
      <rPr>
        <rFont val="Arial"/>
        <color theme="1"/>
      </rPr>
      <t xml:space="preserve">TD Costos Estimados para proyección
Seguimiento Mark Up General </t>
    </r>
    <r>
      <rPr>
        <rFont val="Arial"/>
        <b/>
        <color theme="1"/>
      </rPr>
      <t>los meses proyectados</t>
    </r>
  </si>
  <si>
    <t>Cierre de mes económico: Proyectos confirmados y Estimados</t>
  </si>
  <si>
    <t xml:space="preserve">Se validan los proyectos confirmados y estimados para actualizar en caso de ser necesario. Los proyectos se plasman sin IVA. 
Sin embargo cualquier actualización en los estimados en PESOS va a tener repercusión en la TD de impiestos mencionada en el punto anterior y debe actualizarse los costos estimados. </t>
  </si>
  <si>
    <t>Proyectos confirmados y estimados</t>
  </si>
  <si>
    <t>TD Proyectos Confirmados y Estimados</t>
  </si>
  <si>
    <t>Primera semana del mes</t>
  </si>
  <si>
    <t>Cierre de mes económico: Costos Directos e Indirectos</t>
  </si>
  <si>
    <r>
      <rPr>
        <rFont val="Arial"/>
        <b/>
        <color theme="1"/>
      </rPr>
      <t xml:space="preserve">Traslado de costos pasivo: </t>
    </r>
    <r>
      <rPr>
        <rFont val="Arial"/>
        <color theme="1"/>
      </rPr>
      <t>Una vez que Michelle confirma que el pasivo está actualziado, se trasadan los costos directos e indirectos del mes que se cierra a la solapa Costos Directos e Indirectos.</t>
    </r>
  </si>
  <si>
    <t>TD Costos para seguimiento MARKUP</t>
  </si>
  <si>
    <t>Cierre de mes económico: Seguimiento Mark Up General</t>
  </si>
  <si>
    <r>
      <rPr/>
      <t xml:space="preserve">Esta solapa se divide en 3 partes señalizadas en Azul Marino:
</t>
    </r>
    <r>
      <rPr>
        <b/>
      </rPr>
      <t>RESULDATOS - INCLUYEN TODOS LOS COSTOS y VENTAS (SIN IVA)</t>
    </r>
    <r>
      <rPr/>
      <t xml:space="preserve">
1- Costos directos e indirectos: se utiliza la tabla dinámica TD Costos para Seguimiento MarkUp para poder actualizar el dato del mes que se está cerrando. En esa TD se filtra el mes que se cierra y se copian y pegan todos los costos. También se puede hacer un BUSCARV para que traiga la información. Es sumamente importante chequear que el total que suma en en Seguimiento MarkUp coincida con el total que se suma en la TD. Para esto debajo de la tabla de costos hay una zona en rojo que permite copiar y pegar totales de la TD para hacer un control. </t>
    </r>
    <r>
      <rPr>
        <color rgb="FF1155CC"/>
        <u/>
      </rPr>
      <t xml:space="preserve">LINK A LA TD UTILIZADA
</t>
    </r>
    <r>
      <rPr/>
      <t xml:space="preserve">2- Proyectos Confirmados y Estimados: se utiliza la TD Proyectos confirmados y estimados para poder actualizar el dato del mes que se está cerrando y las estimaciones. La carga de información en MarkUp General está automatizada, sin embargo se debe hacer el control totalizador en ROJO por si hay diferencias, se agregan nuevos clientes y hay que ajustar el BuscarV, o cualquier diferencia o ajuste que se haga. 
3- Completando esta información se actualizan los resultados pero siempre es importante validar que estén ok y no haya moviemiento de celdas con los ajustes.
</t>
    </r>
    <r>
      <rPr>
        <b/>
      </rPr>
      <t xml:space="preserve">ARR
VENTAS: SE CONSIDERAN LAS VENTAS CONFIRMADAS 100%: </t>
    </r>
    <r>
      <rPr/>
      <t>se sacan de la solapa TD Proyectos confirmados y estimados.</t>
    </r>
    <r>
      <rPr>
        <color rgb="FF1155CC"/>
        <u/>
      </rPr>
      <t xml:space="preserve"> LINK A LA TD UTILIZADA
</t>
    </r>
    <r>
      <rPr>
        <b/>
      </rPr>
      <t xml:space="preserve">COSTOS: SE CONSIDERAN COSTOS FIJOS, SIN LOS BONOS Y LOS PERFILES EXTRAS. SIN IMPUESTOS ARG USA. SIN INTERESES. </t>
    </r>
    <r>
      <rPr/>
      <t>Se sacan de la solapa TD Costos Estimados.</t>
    </r>
    <r>
      <rPr>
        <b/>
      </rPr>
      <t xml:space="preserve"> </t>
    </r>
    <r>
      <rPr>
        <color rgb="FF1155CC"/>
        <u/>
      </rPr>
      <t xml:space="preserve">LINK A LA TD UTILIZADA
</t>
    </r>
    <r>
      <rPr>
        <b/>
      </rPr>
      <t xml:space="preserve">TABLA PROYECCIONES VENTAS USD Y ARS EN USD CON IVA PARA ESTADO DE SITUACIÓN 60 DÍAS
</t>
    </r>
    <r>
      <rPr/>
      <t xml:space="preserve">Solo se ponen las ventas dado que los costos salen de la tabla de resultado. En este caso para el estado de situacion si se considera el IVA en las ventas en ARS por eso se arma una nueva tabla. Para esto se utiliza la solapa TD Proyectos confirmados y Estimados. </t>
    </r>
    <r>
      <rPr>
        <color rgb="FF1155CC"/>
        <u/>
      </rPr>
      <t>LINK A LA TD UTILIZADA</t>
    </r>
  </si>
  <si>
    <t>Seguimiento MarkUp General</t>
  </si>
  <si>
    <t>Cierre de mes económico: MarkUp Clientes</t>
  </si>
  <si>
    <r>
      <rPr/>
      <t xml:space="preserve">Una vez que están cerradas la solapa Costos Directos e Indirectos, desde la solapa TD Costos Directos para CIERRE usando esta </t>
    </r>
    <r>
      <rPr>
        <color rgb="FF1155CC"/>
        <u/>
      </rPr>
      <t>Tabla Dinámica</t>
    </r>
    <r>
      <rPr/>
      <t xml:space="preserve"> se sacan los datos de equipo para poder estimar el MarkUp del mes de cada cliente tanto proyecto Fee como One shot on going. 
</t>
    </r>
    <r>
      <rPr>
        <b/>
      </rPr>
      <t>¿Cómo usar?</t>
    </r>
    <r>
      <rPr/>
      <t xml:space="preserve">
Todos los meses, una vez que se actualiza la información para le cierre se presiona en el lapiz (editar) y en filtros &gt; Mes se elige el que se está cerrando y se elige cliente por cliente para ver las horas consumidas por cliente. Esa información se traslada luego a las solapas de MarkUp por cliente</t>
    </r>
  </si>
  <si>
    <t>Seguimiento MarkUp Cliente</t>
  </si>
  <si>
    <t>Mitad de mes</t>
  </si>
  <si>
    <t>Actualización Valor Hora Real y Estimada</t>
  </si>
  <si>
    <t xml:space="preserve">A mitad de mes, se valida con Vicky Puricelli los ajustes pautados para poder aplicar el % real. </t>
  </si>
  <si>
    <t>Valor Hora Real y Estimada</t>
  </si>
  <si>
    <t>Costos Directos e indirectos
Costos Estimados
TD Costos Directos para CIERRE
TD Costos para seguimiento MARKUP
TD Costos Estimados para proyección</t>
  </si>
  <si>
    <t>Principio de mes</t>
  </si>
  <si>
    <t>Actualización Info Tipo de Cambio y REM</t>
  </si>
  <si>
    <t>Una vez que el BCRA hace la publicación del informe REM se actualiza el tipo de cambio futuro, idealmente antes de enviar el cierre de mes financiero. Se realiza la carga a partir del mes siguiente al mes que se está cerrando. Es decir si se está cerrando agosto se carga las estimaciones para Septiembre, Octubre, Noviembre y Diciembre.</t>
  </si>
  <si>
    <t>Vicky Acha</t>
  </si>
  <si>
    <t>Info Tipo de Cambio y REM</t>
  </si>
  <si>
    <t>Actualización Pasivos [aux]</t>
  </si>
  <si>
    <r>
      <rPr>
        <rFont val="Arial"/>
        <color theme="1"/>
      </rPr>
      <t xml:space="preserve">A principio de mes, se debe agregar la formula actualizada a todos los subtipos de pasivos del mes cerrado anterior. Esto se hace copiando y pegando la formula del mes anterior, modificando todos los "FIN.MES" para que el mes sea el correcto (2025;9;1= septiembre), también hay que copiar y pegar dos lineas extra donde se tome el mes que sea esta cerrando
 (ej:+ SUMAR.SI.CONJUNTO(Pasivo!N:N;Pasivo!B:B;A163 ;Pasivo!E:E;"No Pagado";Pasivo!C:C; " </t>
    </r>
    <r>
      <rPr>
        <rFont val="Arial"/>
        <b/>
        <color theme="1"/>
      </rPr>
      <t>MES QUE DESEA CERRAR</t>
    </r>
    <r>
      <rPr>
        <rFont val="Arial"/>
        <color theme="1"/>
      </rPr>
      <t xml:space="preserve"> Pasivo!F:F;"")
+SUMAR.SI.CONJUNTO(Pasivo!N:N;Pasivo!B:B;A163 ;Pasivo!E:E;"No Pagado";Pasivo!C:C; " </t>
    </r>
    <r>
      <rPr>
        <rFont val="Arial"/>
        <b/>
        <color theme="1"/>
      </rPr>
      <t>MES QUE DESEA CERRAR</t>
    </r>
    <r>
      <rPr>
        <rFont val="Arial"/>
        <color theme="1"/>
      </rPr>
      <t xml:space="preserve"> ";Pasivo!F:F; "&gt;"&amp;FIN.MES(FECHA(2025;</t>
    </r>
    <r>
      <rPr>
        <rFont val="Arial"/>
        <b/>
        <color theme="1"/>
      </rPr>
      <t>MES QUE DESEA CERRAR</t>
    </r>
    <r>
      <rPr>
        <rFont val="Arial"/>
        <color theme="1"/>
      </rPr>
      <t xml:space="preserve">;1);0)) 
Una vez que queda la formula terminada en el primer subtipo, se puede arrastrar formula
</t>
    </r>
  </si>
  <si>
    <t>Mati Gonzalez</t>
  </si>
  <si>
    <t>Pasivos [aux]</t>
  </si>
  <si>
    <t>Actualización Activos [aux]</t>
  </si>
  <si>
    <t>Proceso similar al de Pasivos [aux], pero solo con "clientes a cobrar", el resto es un sumar si conjunto clasico</t>
  </si>
  <si>
    <t>Activos [aux]</t>
  </si>
  <si>
    <t>Rendimiento Cliente</t>
  </si>
  <si>
    <t xml:space="preserve">Hay quecopiar de todas las solapas de "Seguimiento markup" de clientes en especifico (no del general), la facturación y el costo de los clientes que tuvieron actividad el mes que se esta cerrando y pegarlo en rendimiento cliente </t>
  </si>
  <si>
    <t>Proyección [Total]</t>
  </si>
  <si>
    <t>Es para una cuestión estetica del dashboard. El último mes cerrado se repite dos veces (una como poryección y otra real) para unir una recta. Cuando se cierra un mes, se debe borrar la fila del mes anterior a ese queesta clasificado como proyeccion y copiar otra fila del mes que se esta cerrando como real. Las formulas de todas las columnas que se aplica ambas filas (tanto el de proyeccion como el real del mes repetido) tiene que ser arrastrada con la formula del real (de arriba para abajo)</t>
  </si>
  <si>
    <t>ENERO ajustar todo 2025 como valor y adaptar las nuevas tablas para 2026</t>
  </si>
  <si>
    <t>Responsables</t>
  </si>
  <si>
    <t>Periodicidad de carga</t>
  </si>
  <si>
    <t>Notas y comentarios</t>
  </si>
  <si>
    <t>Lorena y Michelle general
Tonga Otras Inversiones Mediano Plazo (cripto)</t>
  </si>
  <si>
    <t xml:space="preserve">Semanal con cierre completo al último día del mes. </t>
  </si>
  <si>
    <r>
      <rPr>
        <rFont val="Arial"/>
        <color rgb="FF000000"/>
      </rPr>
      <t xml:space="preserve">-Las columnas con fondo gris en el encabezado solo se completan si el Concepto/Banco es "Deuda clientes".
-Las columnas con letra en rojo están automatizadas
-Al cierre del mes </t>
    </r>
    <r>
      <rPr>
        <rFont val="Arial"/>
        <b/>
        <color rgb="FF000000"/>
      </rPr>
      <t>Tonga</t>
    </r>
    <r>
      <rPr>
        <rFont val="Arial"/>
        <color rgb="FF000000"/>
      </rPr>
      <t xml:space="preserve"> completa Otras Inversiones Mediano Plazo (cripto)
-Al cierre del mes </t>
    </r>
    <r>
      <rPr>
        <rFont val="Arial"/>
        <b/>
        <color rgb="FF000000"/>
      </rPr>
      <t>Michelle</t>
    </r>
    <r>
      <rPr>
        <rFont val="Arial"/>
        <color rgb="FF000000"/>
      </rPr>
      <t xml:space="preserve"> completa los saldos disponibles / activos líquidos en Santander-Galicia-Nación, Bank Of America, Transferwise que salen del cashflow. Además completa los activos pasados que no fueron cobrados aún.
</t>
    </r>
    <r>
      <rPr>
        <rFont val="Arial"/>
        <color rgb="FFFF0000"/>
      </rPr>
      <t>-</t>
    </r>
    <r>
      <rPr>
        <rFont val="Arial"/>
        <b/>
        <color rgb="FFFF0000"/>
      </rPr>
      <t xml:space="preserve">Mati </t>
    </r>
    <r>
      <rPr>
        <rFont val="Arial"/>
        <color rgb="FFFF0000"/>
      </rPr>
      <t xml:space="preserve">en proceso de automatización de columnas: año, mes, tipo de activo y cliente
</t>
    </r>
    <r>
      <rPr>
        <rFont val="Arial"/>
        <color rgb="FF000000"/>
      </rPr>
      <t>-DETROIT se cargó retroactivamente en activo. Lorena no lo tenia presente.</t>
    </r>
  </si>
  <si>
    <t>Impuestos</t>
  </si>
  <si>
    <t>Costos Directos e indirectos</t>
  </si>
  <si>
    <t>ACTIVO</t>
  </si>
  <si>
    <t>ACTIVO / Costos directos e indirectos / Costos Estimados / Protectos confirmados y estimados</t>
  </si>
  <si>
    <t>Pasivo / Costos directos e indirectos / Costos Estimados</t>
  </si>
  <si>
    <t>CASHFLOW</t>
  </si>
  <si>
    <t>Concepto/Banco</t>
  </si>
  <si>
    <t>Tipo de Activo</t>
  </si>
  <si>
    <t>Cliente</t>
  </si>
  <si>
    <t>Detalle</t>
  </si>
  <si>
    <t>Subtipo de costo</t>
  </si>
  <si>
    <t>Subtipo de ingreso/egreso</t>
  </si>
  <si>
    <t>Puesto</t>
  </si>
  <si>
    <t>Mes</t>
  </si>
  <si>
    <t>Caja</t>
  </si>
  <si>
    <t>Activo Liquido</t>
  </si>
  <si>
    <t>Coelsa</t>
  </si>
  <si>
    <t>Vicky Achabal</t>
  </si>
  <si>
    <t>Equipo</t>
  </si>
  <si>
    <t>PM</t>
  </si>
  <si>
    <t>01 ene</t>
  </si>
  <si>
    <t>Custodia Socios</t>
  </si>
  <si>
    <t>Mediano Plazo</t>
  </si>
  <si>
    <t>Arcos Dorados</t>
  </si>
  <si>
    <t>Vicky Puricelli</t>
  </si>
  <si>
    <t>Board</t>
  </si>
  <si>
    <t>02 feb</t>
  </si>
  <si>
    <t>Santander-Galicia-Nación</t>
  </si>
  <si>
    <t>Clientes a cobrar</t>
  </si>
  <si>
    <t>Animal Studio</t>
  </si>
  <si>
    <t>Tomi Criado</t>
  </si>
  <si>
    <t>Oxean</t>
  </si>
  <si>
    <t>Operation Lead</t>
  </si>
  <si>
    <t>03 mar</t>
  </si>
  <si>
    <t>Santander Inversiones</t>
  </si>
  <si>
    <t>BID</t>
  </si>
  <si>
    <t>People</t>
  </si>
  <si>
    <t>Gastos Varios</t>
  </si>
  <si>
    <t>Gasto Varios</t>
  </si>
  <si>
    <t>Analista</t>
  </si>
  <si>
    <t>04 abr</t>
  </si>
  <si>
    <t>Bank Of America</t>
  </si>
  <si>
    <t>Natura</t>
  </si>
  <si>
    <t>IIBB</t>
  </si>
  <si>
    <t>Suscripciones/Herramientas</t>
  </si>
  <si>
    <t>Data Tech</t>
  </si>
  <si>
    <t>05 may</t>
  </si>
  <si>
    <t>Transferwise</t>
  </si>
  <si>
    <t>Betterfly</t>
  </si>
  <si>
    <t>IVA</t>
  </si>
  <si>
    <t>Impuestos USA</t>
  </si>
  <si>
    <t>Diseño</t>
  </si>
  <si>
    <t>06 jun</t>
  </si>
  <si>
    <t>Cheques en cartera</t>
  </si>
  <si>
    <t>Giampaoletti</t>
  </si>
  <si>
    <t>Tarjeta ARG</t>
  </si>
  <si>
    <t>Impuestos ARG</t>
  </si>
  <si>
    <t>Freelance</t>
  </si>
  <si>
    <t>07 jul</t>
  </si>
  <si>
    <t>Deuda Clientes</t>
  </si>
  <si>
    <t>Google LLC</t>
  </si>
  <si>
    <t>Estudio Contable</t>
  </si>
  <si>
    <t>Marketing</t>
  </si>
  <si>
    <t>08 ago</t>
  </si>
  <si>
    <t>Otras Inversiones</t>
  </si>
  <si>
    <t>Mastercard</t>
  </si>
  <si>
    <t>Brandwatch</t>
  </si>
  <si>
    <t>Otros Proveedores</t>
  </si>
  <si>
    <t>09 sep</t>
  </si>
  <si>
    <t>Moreno Ocampo</t>
  </si>
  <si>
    <t>Youscan</t>
  </si>
  <si>
    <t>Administración Finanzas</t>
  </si>
  <si>
    <t>10 oct</t>
  </si>
  <si>
    <t>Sentidos</t>
  </si>
  <si>
    <t>Otras Suscripciones</t>
  </si>
  <si>
    <t>Tarjeta</t>
  </si>
  <si>
    <t>11 nov</t>
  </si>
  <si>
    <t>Play Digital S.A (Modo)</t>
  </si>
  <si>
    <t>Abogado</t>
  </si>
  <si>
    <t>12 dic</t>
  </si>
  <si>
    <t>Warner</t>
  </si>
  <si>
    <t>Regalos</t>
  </si>
  <si>
    <t>Comisiones Bancarias</t>
  </si>
  <si>
    <t>Netflix</t>
  </si>
  <si>
    <t>Luan Digital</t>
  </si>
  <si>
    <t>Equipo - Bono</t>
  </si>
  <si>
    <t>Movimiento entre cuentas</t>
  </si>
  <si>
    <t>Vertical Media</t>
  </si>
  <si>
    <t>Tarjeta USA</t>
  </si>
  <si>
    <t>Board - Bono</t>
  </si>
  <si>
    <t>Detroit</t>
  </si>
  <si>
    <t>Romi Figueroa</t>
  </si>
  <si>
    <t>Otros Gastos</t>
  </si>
  <si>
    <t>IRSA</t>
  </si>
  <si>
    <t>Vanu Lanza</t>
  </si>
  <si>
    <t>Administración Finanzas - Bono</t>
  </si>
  <si>
    <t>Uber</t>
  </si>
  <si>
    <t>Lola Camara</t>
  </si>
  <si>
    <t>Intereses Oxean</t>
  </si>
  <si>
    <t>Coca-Cola</t>
  </si>
  <si>
    <t>Trini Petreigne</t>
  </si>
  <si>
    <t>Kimberly Clark</t>
  </si>
  <si>
    <t>Aylu Tamer</t>
  </si>
  <si>
    <t>Tortugas Open Mall</t>
  </si>
  <si>
    <t>Maricel Perez</t>
  </si>
  <si>
    <t>Epical</t>
  </si>
  <si>
    <t>Cami Criado</t>
  </si>
  <si>
    <t>To Merello</t>
  </si>
  <si>
    <t>PeYa</t>
  </si>
  <si>
    <t>Cata Astiz</t>
  </si>
  <si>
    <t>Molino Chacabuco</t>
  </si>
  <si>
    <t>Ina Ceravolo</t>
  </si>
  <si>
    <t>PepsiCo</t>
  </si>
  <si>
    <t>Male Quiroga</t>
  </si>
  <si>
    <t>Sol Ayala</t>
  </si>
  <si>
    <t>Xavi Aranzana</t>
  </si>
  <si>
    <t>Pablo Ovejero</t>
  </si>
  <si>
    <t>Sandra Heyman</t>
  </si>
  <si>
    <t>Tomi Facio</t>
  </si>
  <si>
    <t>Honorarios Oxean</t>
  </si>
  <si>
    <t>Itecsa</t>
  </si>
  <si>
    <t>Netquest</t>
  </si>
  <si>
    <t>Ianece Leandro</t>
  </si>
  <si>
    <t>Gastón Julian</t>
  </si>
  <si>
    <t>Belen Lebrón</t>
  </si>
  <si>
    <t>Gast Guntren</t>
  </si>
  <si>
    <t>Sil Vera</t>
  </si>
  <si>
    <t>Santi Berisso</t>
  </si>
  <si>
    <t>Otros</t>
  </si>
  <si>
    <t>Perfil Extra</t>
  </si>
  <si>
    <t>Ana Dalila Pop</t>
  </si>
  <si>
    <t>Denise Sielfeld</t>
  </si>
  <si>
    <t>Nazarena Drachemberg</t>
  </si>
  <si>
    <t>Gloup by digital tie</t>
  </si>
  <si>
    <t>Sosa Gonzalez Walter Gaston</t>
  </si>
  <si>
    <t>Agustina Ceravolo</t>
  </si>
  <si>
    <t>DATO NO CARGADO</t>
  </si>
  <si>
    <t>Cami Burstein</t>
  </si>
  <si>
    <t>Costos indirectos e directos</t>
  </si>
  <si>
    <t>Clientes activos</t>
  </si>
  <si>
    <t>ARCOS DORADOS ARGENTINA S.A.</t>
  </si>
  <si>
    <t>PLAY DIGITAL S. A.</t>
  </si>
  <si>
    <t>COMPENSADORA ELECTRONICA SA</t>
  </si>
  <si>
    <t>MORENO OCAMPO</t>
  </si>
  <si>
    <t>WARNER BROS</t>
  </si>
  <si>
    <t>VERTICAL MEDIA</t>
  </si>
  <si>
    <t>VERTICAL MEDIA LLC</t>
  </si>
  <si>
    <t>UBER</t>
  </si>
  <si>
    <t>DETROIT</t>
  </si>
  <si>
    <t>SERVICIOS INTEGRADOS DE ADMINISTRACION Y ALTA GER</t>
  </si>
  <si>
    <t>KIMBERLY</t>
  </si>
  <si>
    <t>ANIMAL STUDIO S.R.L.</t>
  </si>
  <si>
    <t>DELIVERY HERO E-COMMERCE S. A.</t>
  </si>
  <si>
    <t>CAMILA CRIADO</t>
  </si>
  <si>
    <t>Turner International Latin America, Inc.</t>
  </si>
  <si>
    <t>Agustina Cervalo</t>
  </si>
  <si>
    <t>MAYO</t>
  </si>
  <si>
    <t>JUNIO</t>
  </si>
  <si>
    <t>JULIO</t>
  </si>
  <si>
    <t>AGOSTO</t>
  </si>
  <si>
    <t>SEPTIEMBRE</t>
  </si>
  <si>
    <t>ARG</t>
  </si>
  <si>
    <t>USA</t>
  </si>
  <si>
    <t>VTAS</t>
  </si>
  <si>
    <t>IVA VTAS</t>
  </si>
  <si>
    <t>COMPRAS (GTOS-COSTOS)</t>
  </si>
  <si>
    <t>IVA CPRAS</t>
  </si>
  <si>
    <t>IB</t>
  </si>
  <si>
    <t>ESTUDIO CONTABLE (con iva)</t>
  </si>
  <si>
    <t>GANANCIAS (ANUAL)</t>
  </si>
  <si>
    <t>Saldo</t>
  </si>
  <si>
    <t>Interés</t>
  </si>
  <si>
    <t>Año</t>
  </si>
  <si>
    <t>Cobrado/No Cobrado AL CIERRE</t>
  </si>
  <si>
    <t>Fecha de pago/Nota de credito</t>
  </si>
  <si>
    <t>Vencido</t>
  </si>
  <si>
    <t>Fecha Facturación</t>
  </si>
  <si>
    <t>Nro de Factura/Comprobante</t>
  </si>
  <si>
    <t>Razón Social/Cliente</t>
  </si>
  <si>
    <t>Fecha de vencimiento</t>
  </si>
  <si>
    <t>Moneda original ARS</t>
  </si>
  <si>
    <t>Moneda original USD</t>
  </si>
  <si>
    <t>Cotización</t>
  </si>
  <si>
    <t>Monto Total USD</t>
  </si>
  <si>
    <t>Factura de Crédito MiPyME (FCE) N° A-00008-00000898</t>
  </si>
  <si>
    <t>Factura de Venta N° A-00008-00001931</t>
  </si>
  <si>
    <t>Factura de Crédito MiPyME (FCE) N° A-00008-00000886</t>
  </si>
  <si>
    <t>Invoice 532</t>
  </si>
  <si>
    <t>Invoice 515</t>
  </si>
  <si>
    <t>Invoice 525</t>
  </si>
  <si>
    <t>Invoice 534</t>
  </si>
  <si>
    <t>INVOICE 539</t>
  </si>
  <si>
    <t>Invoice 520</t>
  </si>
  <si>
    <t>Factura de Venta N° A-00008-00001937</t>
  </si>
  <si>
    <t>Factura de Crédito MiPyME (FCE) N° A-00008-00000906</t>
  </si>
  <si>
    <t>Invoice 547</t>
  </si>
  <si>
    <t>Invoice 544</t>
  </si>
  <si>
    <t>Factura de Venta N° A-00008-00001939</t>
  </si>
  <si>
    <t>Factura de Crédito MiPyME (FCE) N° A-00008-00000922</t>
  </si>
  <si>
    <t>Factura de Crédito MiPyME (FCE) N° A-00008-00000925</t>
  </si>
  <si>
    <t>Invoice 553</t>
  </si>
  <si>
    <t>Invoice 560</t>
  </si>
  <si>
    <t>No</t>
  </si>
  <si>
    <t>Invoice 568</t>
  </si>
  <si>
    <t>Invoice 575</t>
  </si>
  <si>
    <t>Factura de Crédito MiPyME (FCE) N° A-00008-00000938</t>
  </si>
  <si>
    <t>Invoice 576</t>
  </si>
  <si>
    <t>A-00008-00001966</t>
  </si>
  <si>
    <t>Si</t>
  </si>
  <si>
    <t>A-00008-00000951</t>
  </si>
  <si>
    <t>INVOICE 582</t>
  </si>
  <si>
    <t>FEE MAYO</t>
  </si>
  <si>
    <t>A-00008-00001977</t>
  </si>
  <si>
    <t>A-00008-00000958</t>
  </si>
  <si>
    <t>FEE JUNIO</t>
  </si>
  <si>
    <t>INVOICE 590</t>
  </si>
  <si>
    <t>INVOICE 595</t>
  </si>
  <si>
    <t>NOTA DE CREDITO</t>
  </si>
  <si>
    <t>A-00008-00000966</t>
  </si>
  <si>
    <t>INVOICE 608</t>
  </si>
  <si>
    <t>Factura de Venta N° A-00008-00001995</t>
  </si>
  <si>
    <t>diseño por los tres mails</t>
  </si>
  <si>
    <t>FEE MES DE JULIO</t>
  </si>
  <si>
    <t>Factura de Venta N° A-00008-00002002</t>
  </si>
  <si>
    <t>SALDO</t>
  </si>
  <si>
    <t>ESTO NO VA</t>
  </si>
  <si>
    <t>Factura de Crédito MiPyME (FCE) N° A-00008-00000975</t>
  </si>
  <si>
    <t>Factura de Venta N° A-00008-00002010</t>
  </si>
  <si>
    <t>FEE MES DE AGOSTO</t>
  </si>
  <si>
    <t>AJUSTES PAGINA WEB</t>
  </si>
  <si>
    <t>INVOICE 606</t>
  </si>
  <si>
    <t>WARNER</t>
  </si>
  <si>
    <t>INVOICE 612</t>
  </si>
  <si>
    <t>INVOICE 617</t>
  </si>
  <si>
    <t>INVOICE 623</t>
  </si>
  <si>
    <t>INVOICE 615</t>
  </si>
  <si>
    <t>INVOICE 616</t>
  </si>
  <si>
    <t xml:space="preserve">Factura de Venta N° A-00008-00002018
</t>
  </si>
  <si>
    <t xml:space="preserve">BA MALL SAU
</t>
  </si>
  <si>
    <t>INVOICE 629</t>
  </si>
  <si>
    <t>A-00008-00002023</t>
  </si>
  <si>
    <t>A-00008-00000984</t>
  </si>
  <si>
    <t>A-00008-00000983</t>
  </si>
  <si>
    <t>A-00008-00002020</t>
  </si>
  <si>
    <t>FEE MES DE SEPTIEMBRE</t>
  </si>
  <si>
    <t>INVOICE 635</t>
  </si>
  <si>
    <t>SIN FACTURA</t>
  </si>
  <si>
    <t>INVOICE 636</t>
  </si>
  <si>
    <t>INVOICE 642</t>
  </si>
  <si>
    <t>INVOICE 646</t>
  </si>
  <si>
    <t>A-00008-00000993</t>
  </si>
  <si>
    <t>A-00008-00002035</t>
  </si>
  <si>
    <t>A-00008-00002036</t>
  </si>
  <si>
    <t>A-00008-00002034</t>
  </si>
  <si>
    <t>MOLINO CHACABUCO S A</t>
  </si>
  <si>
    <t>INVOICE 659</t>
  </si>
  <si>
    <t>Fecha de pago</t>
  </si>
  <si>
    <t>INVOICE 532</t>
  </si>
  <si>
    <t>INVOICE 553</t>
  </si>
  <si>
    <t>INVOICE 568</t>
  </si>
  <si>
    <t>INVOICE 575</t>
  </si>
  <si>
    <t>INVOICE 576</t>
  </si>
  <si>
    <t>INVOICE 00608</t>
  </si>
  <si>
    <t>Moreno ocampo al 31/7 no estaba considerado como deuda, pero se anulo la fc y se hizo nccr</t>
  </si>
  <si>
    <t>Pagado/No Pagado AL CIERRE</t>
  </si>
  <si>
    <t>Fecha emisión</t>
  </si>
  <si>
    <t>Concepto/Detalle</t>
  </si>
  <si>
    <t>Descripción/Factura</t>
  </si>
  <si>
    <t>No Pagado</t>
  </si>
  <si>
    <t>SOSA GONZALEZ WALTER GASTON</t>
  </si>
  <si>
    <t>Factura de Compra N° C-00001-00000125</t>
  </si>
  <si>
    <t>Pagado</t>
  </si>
  <si>
    <t>GLOUP BY DIGITAL TIE</t>
  </si>
  <si>
    <t>Factura de Compra N° A-00002-00000591</t>
  </si>
  <si>
    <t>CATALINA ASTIZ</t>
  </si>
  <si>
    <t>EFVO.</t>
  </si>
  <si>
    <t>AYLEN MAGALI TAMER</t>
  </si>
  <si>
    <t>C-00002-00000024</t>
  </si>
  <si>
    <t>CAMARA DOLORES</t>
  </si>
  <si>
    <t>C-00001-00000113</t>
  </si>
  <si>
    <t>GASTON LEONARDO JULIAN</t>
  </si>
  <si>
    <t>C-00001-00000240</t>
  </si>
  <si>
    <t>MARIA NAZARENA DRACHEMBERG</t>
  </si>
  <si>
    <t>C-00001-00000010</t>
  </si>
  <si>
    <t>MARIA VICTORIA ACHABAL</t>
  </si>
  <si>
    <t>C-00001-00000005</t>
  </si>
  <si>
    <t>MARICEL ELINA PEREZ</t>
  </si>
  <si>
    <t>C-00002-00000326</t>
  </si>
  <si>
    <t>MATIAS GONZALEZ VIRGILI</t>
  </si>
  <si>
    <t>C-00001-00000007</t>
  </si>
  <si>
    <t>MATIAS SMART (VICTORIA PURICELLI)</t>
  </si>
  <si>
    <t>C-00003-00000097</t>
  </si>
  <si>
    <t>VICTORIA PURICELLI (SALDO)</t>
  </si>
  <si>
    <t>Fac E  2</t>
  </si>
  <si>
    <t>MERELLO ABENTE MARIA DEL ROSARIO</t>
  </si>
  <si>
    <t>C-00003-00000073</t>
  </si>
  <si>
    <t>PABLO JAVIER RUIZ OVEJERO</t>
  </si>
  <si>
    <t>C-00002-00000166</t>
  </si>
  <si>
    <t>QUIROGA MALENA</t>
  </si>
  <si>
    <t>C-00001-00000058</t>
  </si>
  <si>
    <t>ROMINA MARIANELA FIGUEROA GUERRA</t>
  </si>
  <si>
    <t>C-00002-00000017</t>
  </si>
  <si>
    <t>SANDRA CARINA HEYMAN</t>
  </si>
  <si>
    <t>C-00004-00000006</t>
  </si>
  <si>
    <t>TOMAS HORACIO FACIO</t>
  </si>
  <si>
    <t>C-00002-00000070</t>
  </si>
  <si>
    <t>TRINIDAD PETREIGNE BACIGALUPE</t>
  </si>
  <si>
    <t>C-00001-00000071</t>
  </si>
  <si>
    <t>VANINA LANZA</t>
  </si>
  <si>
    <t>C-00003-00000048</t>
  </si>
  <si>
    <t>SABRINA SOLEDAD PECHI</t>
  </si>
  <si>
    <t>XAVIER RICARDO ARANZANA</t>
  </si>
  <si>
    <t>C-00001-00000008</t>
  </si>
  <si>
    <t>CAMILA FERRARIS  (PEOPLE 8 hs.)</t>
  </si>
  <si>
    <t>BRANDWATCH SOLO CONSIDERAR 3 MESES</t>
  </si>
  <si>
    <t>LUAN DIGITAL</t>
  </si>
  <si>
    <t>YOUSCAN</t>
  </si>
  <si>
    <t>LA ENVIAN CUANDO SE ABONA</t>
  </si>
  <si>
    <t>ESTUDIO CONTABLE Enero (VARIABLE)</t>
  </si>
  <si>
    <t>***TARJETAS VISA/ AMEX Enero</t>
  </si>
  <si>
    <t>INGRESOS BRUTOS Enero</t>
  </si>
  <si>
    <t>IVA Enero</t>
  </si>
  <si>
    <t>HONORARIOS TOMAS Enero</t>
  </si>
  <si>
    <t>HONORARIOS OXEAN ADMINISTRACION Enero</t>
  </si>
  <si>
    <t>DIGITALOCEAN.COM 01/31 PURCHASE 6468274366 NY DEBIT CARD *9122</t>
  </si>
  <si>
    <t>GOOGLE*GSUITE EPI 02/01 PURCHASE 6502530000 CA DEBIT CARD *9122</t>
  </si>
  <si>
    <t>Google ADS7881686 02/01 PURCHASE 6502530000 CA DEBIT CARD *9122</t>
  </si>
  <si>
    <t>LinkedIn SN P2358 02/02 PURCHASE LINKEDIN.COM 00 DEBIT CARD *9122</t>
  </si>
  <si>
    <t>APPLE.COM/BILL 02/02 PURCHASE 8667127753 CA DEBIT CARD *9122</t>
  </si>
  <si>
    <t>ADOBE *ADOBE 02/03 PURCHASE 4085366000 CA DEBIT CARD *9122</t>
  </si>
  <si>
    <t>REPLIT, INC. 02/04 PURCHASE 6282002281 CA DEBIT CARD *9122</t>
  </si>
  <si>
    <t>Impuestos a pagar USA</t>
  </si>
  <si>
    <t>Factura de Compra N° A-00002-00000607</t>
  </si>
  <si>
    <t>GASTON ANDRES GUNTREN</t>
  </si>
  <si>
    <t>C-00001-00000046</t>
  </si>
  <si>
    <t>C-00002-00000020</t>
  </si>
  <si>
    <t>C-00003-00000049</t>
  </si>
  <si>
    <t>C-00001-00000072</t>
  </si>
  <si>
    <t>C-00002-00000025</t>
  </si>
  <si>
    <t>C-00001-00000059</t>
  </si>
  <si>
    <t>C-00002-00000328</t>
  </si>
  <si>
    <t>C-00001-00000009</t>
  </si>
  <si>
    <t>C-00001-00000243</t>
  </si>
  <si>
    <t>MANUEL JORGE ADARO ( AGUSTINA CERAVOLO)</t>
  </si>
  <si>
    <t>C-00001-00000067</t>
  </si>
  <si>
    <t>C-00001-00000006</t>
  </si>
  <si>
    <t>C-00001-00000011</t>
  </si>
  <si>
    <t>DOLORES CAMARA</t>
  </si>
  <si>
    <t>C-00001-00000114</t>
  </si>
  <si>
    <t>ROSARIO MERELLO</t>
  </si>
  <si>
    <t>C-00003-00000075</t>
  </si>
  <si>
    <t>TOMAS FACIO</t>
  </si>
  <si>
    <t>SIN FC</t>
  </si>
  <si>
    <t>VICTORIA ACHABAL</t>
  </si>
  <si>
    <t>C-00003-00000098</t>
  </si>
  <si>
    <t>VICTORIA PURICELLI</t>
  </si>
  <si>
    <t>C-00002-00000227</t>
  </si>
  <si>
    <t>f/125</t>
  </si>
  <si>
    <t>ESTUDIO CONTABLE Febrero (VARIABLE)</t>
  </si>
  <si>
    <t>***TARJETAS VISA/ AMEX Febrero</t>
  </si>
  <si>
    <t>INGRESOS BRUTOS Febrero</t>
  </si>
  <si>
    <t>IVA Febrero</t>
  </si>
  <si>
    <t>HONORARIOS TOMAS Febrero</t>
  </si>
  <si>
    <t>HONORARIOS OXEAN ADMINISTRACION Febrero</t>
  </si>
  <si>
    <t>DIGITALOCEAN.COM 02/28 PURCHASE 6468274366 NY DEBIT CARD *9122</t>
  </si>
  <si>
    <t>GOOGLE*GSUITE EPI 03/01 PURCHASE 6502530000 CA DEBIT CARD *9122</t>
  </si>
  <si>
    <t>Google ADS7881686 03/01 PURCHASE 6502530000 CA DEBIT CARD *9122</t>
  </si>
  <si>
    <t>LinkedIn SN P2707 03/02 PURCHASE LINKEDIN.COM 00 DEBIT CARD *9122</t>
  </si>
  <si>
    <t>APPLE.COM/BILL 03/02 PURCHASE 8667127753 CA DEBIT CARD *9122</t>
  </si>
  <si>
    <t>ADOBE *ADOBE 03/03 PURCHASE 4085366000 CA DEBIT CARD *9122</t>
  </si>
  <si>
    <t>REPLIT, INC. 03/04 PURCHASE 6282002281 CA DEBIT CARD *9122</t>
  </si>
  <si>
    <t>OPENAI *CHATGPT S 03/06 PURCHASE 4158799686 CA DEBIT CARD *9122</t>
  </si>
  <si>
    <t>CANVA* I04448- 03/07 PURCHASE CAMDEN DE DEBIT CARD *9122</t>
  </si>
  <si>
    <t>BETTINA ALEJANDRA FRIAS - Ceravolo Agustina</t>
  </si>
  <si>
    <t>DENISE CAROLINA SIELFELD</t>
  </si>
  <si>
    <t>Catalina Astiz efvo</t>
  </si>
  <si>
    <t>QUIROGA NO ENVIO FC</t>
  </si>
  <si>
    <t>TOMAS FACIO NO ENVIO FC</t>
  </si>
  <si>
    <t>ESTUDIO CONTABLE Marzo (VARIABLE)</t>
  </si>
  <si>
    <t>***TARJETAS VISA/ AMEX Marzo</t>
  </si>
  <si>
    <t>INGRESOS BRUTOS Marzo</t>
  </si>
  <si>
    <t>IVA Marzo</t>
  </si>
  <si>
    <t>HONORARIOS TOMAS Marzo</t>
  </si>
  <si>
    <t>HONORARIOS OXEAN ADMINISTRACION Marzo</t>
  </si>
  <si>
    <t>DIGITALOCEAN.COM 03/31 PURCHASE 6468274366 NY DEBIT CARD *9122</t>
  </si>
  <si>
    <t>Google GSUITE_epi 04/01 PURCHASE 6502530000 CA DEBIT CARD *9122</t>
  </si>
  <si>
    <t>Google ADS7881686 04/01 PURCHASE 6502530000 CA DEBIT CARD *9122</t>
  </si>
  <si>
    <t>LinkedIn SN P3145 04/02 PURCHASE LINKEDIN.COM 00 DEBIT CARD *9122</t>
  </si>
  <si>
    <t>APPLE.COM/BILL 04/02 PURCHASE 8667127753 CA DEBIT CARD *9122</t>
  </si>
  <si>
    <t>C-00002-00000027</t>
  </si>
  <si>
    <t>C-00002-00000061</t>
  </si>
  <si>
    <t>C-00001-00000116</t>
  </si>
  <si>
    <t>C-00001-00000048</t>
  </si>
  <si>
    <t>C-00001-00000252</t>
  </si>
  <si>
    <t>ok</t>
  </si>
  <si>
    <t>C-00002-00000337</t>
  </si>
  <si>
    <t>C-00003-00000101</t>
  </si>
  <si>
    <t>C-00003-00000080</t>
  </si>
  <si>
    <t>C-00002-00000185</t>
  </si>
  <si>
    <t>C-00001-00000060</t>
  </si>
  <si>
    <t>C-00002-00000026</t>
  </si>
  <si>
    <t>SILVANA RAQUEL VERA</t>
  </si>
  <si>
    <t>C-00001-00000013</t>
  </si>
  <si>
    <t>C-00001-00000076</t>
  </si>
  <si>
    <t>C-00003-00000051</t>
  </si>
  <si>
    <t>C-00002-00000229</t>
  </si>
  <si>
    <t>EFECTIVO</t>
  </si>
  <si>
    <t>Factura de Compra N° C-00002-00000073</t>
  </si>
  <si>
    <t>ARANZANA XAVIER RICARDO</t>
  </si>
  <si>
    <t>AYALA SOL MACARENA</t>
  </si>
  <si>
    <t>C-00002-00000001</t>
  </si>
  <si>
    <t>f/128</t>
  </si>
  <si>
    <t>8728F05C-0007</t>
  </si>
  <si>
    <t xml:space="preserve">ESTUDIO CONTABLE Abril (VARIABLE) </t>
  </si>
  <si>
    <t>***TARJETAS VISA/ AMEX Abril</t>
  </si>
  <si>
    <t>INGRESOS BRUTOS Abril</t>
  </si>
  <si>
    <t>IVA Abril</t>
  </si>
  <si>
    <t>HONORARIOS TOMAS Abril</t>
  </si>
  <si>
    <t>HONORARIOS OXEAN ADMINISTRACION Abril</t>
  </si>
  <si>
    <t>Gastos tarjeta USA</t>
  </si>
  <si>
    <t>DIGITALOCEAN.COM PURCHASE 6468274366 NY DEBIT CARD *9122</t>
  </si>
  <si>
    <t>Google GSUITE_epi PURCHASE 6502530000 CA DEBIT CARD *9122</t>
  </si>
  <si>
    <t>Google ADS7881686  PURCHASE 6502530000 CA DEBIT CARD *9122</t>
  </si>
  <si>
    <t>LinkedIn SN P3145  PURCHASE LINKEDIN.COM 00 DEBIT CARD *9122</t>
  </si>
  <si>
    <t>APPLE.COM/BILL  PURCHASE 8667127753 CA DEBIT CARD *9122</t>
  </si>
  <si>
    <t>Impuesto USA</t>
  </si>
  <si>
    <t>IMPUESTOS USA % FACT Abril 2025</t>
  </si>
  <si>
    <t>IMPUESTOS USA % FACT Marzo 2025</t>
  </si>
  <si>
    <t>IMPUESTOS USA % FACT Febrero 2025</t>
  </si>
  <si>
    <t>IMPUESTOS USA % FACT Enero 2025</t>
  </si>
  <si>
    <t>Comisiones bancarias Tomas Criado</t>
  </si>
  <si>
    <t>ITECSA INTERNET TECHNOLOGIES S.A.</t>
  </si>
  <si>
    <t>C-00002-00001753</t>
  </si>
  <si>
    <t>REPLIT, INC. 04/30 PURCHASE 6282002281 CA DEBIT CARD *9122</t>
  </si>
  <si>
    <t>Google GSUITE_epi 05/01 PURCHASE 6502530000 CA DEBIT CARD *9122</t>
  </si>
  <si>
    <t>Adobe 05/03 PURCHASE 8008336687 CA DEBIT CARD *9122</t>
  </si>
  <si>
    <t>REPLIT, INC. 05/04 PURCHASE 6282002281 CA DEBIT CARD *9122</t>
  </si>
  <si>
    <t>REPLIT, INC. 05/05 PURCHASE 6282002281 CA DEBIT CARD *9122</t>
  </si>
  <si>
    <t>OPENAI *CHATGPT S 05/06 PURCHASE 4158799686 CA DEBIT CARD *9122</t>
  </si>
  <si>
    <t>CANVA* I04509-700 05/07 PURCHASE 7372853388 DE DEBIT CARD *9122</t>
  </si>
  <si>
    <t>TYPEFORM, S.L. 05/07 PURCHASE BARCELONA 00 DEBIT CARD *9122</t>
  </si>
  <si>
    <t>REPLIT, INC. 05/09 PURCHASE 6282002281 CA DEBIT CARD *9122</t>
  </si>
  <si>
    <t>OPENAI *CHATGPT S 05/11 PURCHASE 4158799686 CA DEBIT CARD *9122</t>
  </si>
  <si>
    <t>X CORP. PAID FEAT 05/17 PURCHASE 4156978699 TX DEBIT CARD *9122</t>
  </si>
  <si>
    <t>LinkedIn Pre P383 05/19 PURCHASE LINKEDIN.COM 00 DEBIT CARD *9122</t>
  </si>
  <si>
    <t>F/6</t>
  </si>
  <si>
    <t>Wire Transfer Fee</t>
  </si>
  <si>
    <t>F/130</t>
  </si>
  <si>
    <t>FC 1</t>
  </si>
  <si>
    <t>Comision transfer USA</t>
  </si>
  <si>
    <t>TAPCLICKS* MEGALY 05/22 PURCHASE 4087252942 CA DEBIT CARD *9122</t>
  </si>
  <si>
    <t>MEETALFRED.COM 05/23 PURCHASE 7028698800 DE DEBIT CARD *9122</t>
  </si>
  <si>
    <t>ASANA.COM 05/26 PURCHASE 4155253888 CA DEBIT CARD *9122</t>
  </si>
  <si>
    <t>REPLIT, INC. 05/27 PURCHASE 6282002281 CA DEBIT CARD *9122</t>
  </si>
  <si>
    <t>OPENAI 05/28 PURCHASE 4158799686 CA DEBIT CARD *9122</t>
  </si>
  <si>
    <t>F/131</t>
  </si>
  <si>
    <t>IVA MAYO</t>
  </si>
  <si>
    <t>IB MAYO</t>
  </si>
  <si>
    <t xml:space="preserve">ESTUDIO CONTABLE Mayo (VARIABLE) </t>
  </si>
  <si>
    <t>Impuesto USA Mayo</t>
  </si>
  <si>
    <t>IMPUESTOS USA % FACT Mayo 2025</t>
  </si>
  <si>
    <t>honorarios oxean Mayo</t>
  </si>
  <si>
    <t>***TARJETAS VISA/ AMEX Mayo</t>
  </si>
  <si>
    <t>AGUSTINA MARIA CERAVOLO</t>
  </si>
  <si>
    <t>C-00001-00000001</t>
  </si>
  <si>
    <t>C-00002-00000028</t>
  </si>
  <si>
    <t>C-00001-00000117</t>
  </si>
  <si>
    <t>C-00001-00000049</t>
  </si>
  <si>
    <t>C-00001-00000256</t>
  </si>
  <si>
    <t>C-00002-00000343</t>
  </si>
  <si>
    <t>C-00001-00000012</t>
  </si>
  <si>
    <t>C-00003-00000082</t>
  </si>
  <si>
    <t>PABLO OVEJERO</t>
  </si>
  <si>
    <t>C-00001-00000061</t>
  </si>
  <si>
    <t>SANTIAGO BERISSO</t>
  </si>
  <si>
    <t>C-00004-00000052</t>
  </si>
  <si>
    <t>C-00001-00000015</t>
  </si>
  <si>
    <t>SOL MACARENA AYALA</t>
  </si>
  <si>
    <t>C-00002-00000002</t>
  </si>
  <si>
    <t>C-00002-00000074</t>
  </si>
  <si>
    <t>C-00001-00000078</t>
  </si>
  <si>
    <t>C-00003-00000052</t>
  </si>
  <si>
    <t>HONORARIOS TOMAS Mayo</t>
  </si>
  <si>
    <t>C-00003-00000005</t>
  </si>
  <si>
    <t>C-00003-00000203</t>
  </si>
  <si>
    <t>C-00002-00000103</t>
  </si>
  <si>
    <t>TOMAS CRIADO</t>
  </si>
  <si>
    <t>FALTA LA FC</t>
  </si>
  <si>
    <t>A-00002-00001785</t>
  </si>
  <si>
    <t>DIGITALOCEAN.COM 05/31 PURCHASE 6468274366 NY DEBIT CARD *9122</t>
  </si>
  <si>
    <t>Google GSUITE_epi 06/01 PURCHASE 6502530000 CA DEBIT CARD *9122</t>
  </si>
  <si>
    <t>GOOGLE *CLOUD V6X 06/01 PURCHASE 6502530000 CA DEBIT CARD *9122</t>
  </si>
  <si>
    <t>LinkedIn SN P4034 06/02 PURCHASE LINKEDIN.COM 00 DEBIT CARD *9122</t>
  </si>
  <si>
    <t>APPLE.COM/BILL 06/02 PURCHASE 8667127753 CA DEBIT CARD *9122</t>
  </si>
  <si>
    <t>ADOBE *ADOBE 06/03 PURCHASE 4085366000 CA DEBIT CARD *9122</t>
  </si>
  <si>
    <t>OPENAI *CHATGPT S 06/06 PURCHASE 4158799686 CA DEBIT CARD *9122</t>
  </si>
  <si>
    <t>CANVA* I04540-460 06/07 PURCHASE 7372853388 DE DEBIT CARD *9122</t>
  </si>
  <si>
    <t>TYPEFORM, S.L. 06/07 PURCHASE BARCELONA 00 DEBIT CARD *9122</t>
  </si>
  <si>
    <t>DNH*GODADDY.COM 06/08 PURCHASE 4805058855 AZ DEBIT CARD *9122</t>
  </si>
  <si>
    <t>DNH*GODADDY.COM 06/09 PURCHASE 4805058855 AZ DEBIT CARD *9122</t>
  </si>
  <si>
    <t>REPLIT, INC. 06/09 PURCHASE 6282002281 CA DEBIT CARD *9122</t>
  </si>
  <si>
    <t>OPENAI 06/10 PURCHASE 4158799686 CA DEBIT CARD *9122</t>
  </si>
  <si>
    <t>OPENAI *CHATGPT S 06/11 PURCHASE 4158799686 CA DEBIT CARD *9122</t>
  </si>
  <si>
    <t>X CORP. PAID FEAT 06/17 PURCHASE 4156978699 TX DEBIT CARD *9122</t>
  </si>
  <si>
    <t>LinkedIn Pre P428 06/19 PURCHASE LINKEDIN.COM 00 DEBIT CARD *9122</t>
  </si>
  <si>
    <t>F/7</t>
  </si>
  <si>
    <t>Mailchimp 06/22 PURCHASE 6789990141 GA DEBIT CARD *9122</t>
  </si>
  <si>
    <t>TAPCLICKS* MEGALY 06/22 PURCHASE 4087252942 CA DEBIT CARD *9122</t>
  </si>
  <si>
    <t>ASANA.COM 06/26 PURCHASE 4155253888 CA DEBIT CARD *9122</t>
  </si>
  <si>
    <t>FC/1 JUNIO</t>
  </si>
  <si>
    <t>FC/16</t>
  </si>
  <si>
    <t>FC/2</t>
  </si>
  <si>
    <t>FC/1</t>
  </si>
  <si>
    <t>FC/5</t>
  </si>
  <si>
    <t>FC/6</t>
  </si>
  <si>
    <t>FC 134</t>
  </si>
  <si>
    <t>IVA JUNIO</t>
  </si>
  <si>
    <t>IB JUNIO</t>
  </si>
  <si>
    <t xml:space="preserve">ESTUDIO CONTABLE JUNIO (VARIABLE) </t>
  </si>
  <si>
    <t>Impuesto USA JUNIO</t>
  </si>
  <si>
    <t>IMPUESTOS USA % FACT JUNIO 2025</t>
  </si>
  <si>
    <t>honorarios oxean JUNIO</t>
  </si>
  <si>
    <t>***TARJETAS VISA/ AMEX JUNIO</t>
  </si>
  <si>
    <t>Diferencia honorarios oxean Mayo</t>
  </si>
  <si>
    <t>Tomas Criado A cuenta honorarios Julio</t>
  </si>
  <si>
    <t>GASTON GUNTREN</t>
  </si>
  <si>
    <t>C-00001-00000050</t>
  </si>
  <si>
    <t>C-00001-00000002</t>
  </si>
  <si>
    <t>C-00002-00000029</t>
  </si>
  <si>
    <t>C-00001-00000118</t>
  </si>
  <si>
    <t>C-00001-00000262</t>
  </si>
  <si>
    <t>C-00002-00000346</t>
  </si>
  <si>
    <t>C-00003-00000084</t>
  </si>
  <si>
    <t>C-00001-00000062</t>
  </si>
  <si>
    <t>C-00002-00000030</t>
  </si>
  <si>
    <t>C-00004-00000053</t>
  </si>
  <si>
    <t>C-00001-00000017</t>
  </si>
  <si>
    <t>C-00002-00000003</t>
  </si>
  <si>
    <t>C-00002-00000075</t>
  </si>
  <si>
    <t>C-00001-00000080</t>
  </si>
  <si>
    <t>C-00003-00000053</t>
  </si>
  <si>
    <t>XAVIER (NO ENVIO FACTURA)</t>
  </si>
  <si>
    <t>NO ENVIO FC</t>
  </si>
  <si>
    <t>SMART MATIAS</t>
  </si>
  <si>
    <t>C-00003-00000104</t>
  </si>
  <si>
    <t>f/131</t>
  </si>
  <si>
    <t>GASTOS USA</t>
  </si>
  <si>
    <t>DIGITALOCEAN.COM 06/30 PURCHASE 6468274366 NY DEBIT CARD *9122</t>
  </si>
  <si>
    <t>Google GSUITE_epi 07/01 PURCHASE 6502530000 CA DEBIT CARD *9122</t>
  </si>
  <si>
    <t>LinkedIn SN P6843 07/02 PURCHASE LINKEDIN.COM 00 DEBIT CARD *9122</t>
  </si>
  <si>
    <t>OPENAI 07/02 PURCHASE 4158799686 CA DEBIT CARD *9122</t>
  </si>
  <si>
    <t>APPLE.COM/BILL 07/02 PURCHASE 8667127753 CA DEBIT CARD *9122</t>
  </si>
  <si>
    <t>REPLIT, INC. 07/02 PURCHASE 6282002281 CA DEBIT CARD *9122</t>
  </si>
  <si>
    <t>Adobe 07/03 PURCHASE 8008336687 CA DEBIT CARD *9122</t>
  </si>
  <si>
    <t>OPENAI *CHATGPT S 07/06 PURCHASE 4158799686 CA DEBIT CARD *9122</t>
  </si>
  <si>
    <t>CANVA* I04570- 07/07 PURCHASE CAMDEN DE DEBIT CARD *9122</t>
  </si>
  <si>
    <t>TYPEFORM, S.L. 07/07 PURCHASE BARCELONA 00 DEBIT CARD *9122</t>
  </si>
  <si>
    <t>REPLIT, INC. 07/09 PURCHASE 6282002281 CA DEBIT CARD *9122</t>
  </si>
  <si>
    <t xml:space="preserve"> ITECSA INTERNET TECHNOLOGIES S.A.</t>
  </si>
  <si>
    <t>A-00002-00001815</t>
  </si>
  <si>
    <t>Factura de Compra N° C-00004-00000054</t>
  </si>
  <si>
    <t>XAVIER (Diferencia factura enviada)</t>
  </si>
  <si>
    <t>OPENAI *CHATGPT S 07/11 PURCHASE 4158799686 CA DEBIT CARD *9122</t>
  </si>
  <si>
    <t>X CORP. PAID FEAT 07/17 PURCHASE 4156978699 TX DEBIT CARD *9122</t>
  </si>
  <si>
    <t>LinkedIn Pre P713 07/19 PURCHASE LINKEDIN.COM 00 DEBIT CARD *9122</t>
  </si>
  <si>
    <t>Mailchimp 07/22 PURCHASE 6789990141 GA DEBIT CARD *9122</t>
  </si>
  <si>
    <t>TAPCLICKS* MEGALY 07/22 PURCHASE 4087252942 CA DEBIT CARD *9122</t>
  </si>
  <si>
    <t>REPLIT, INC. 07/24 PURCHASE 6282002281 CA DEBIT CARD *9122</t>
  </si>
  <si>
    <t>Devolucion Pasaje Romina Figueroa</t>
  </si>
  <si>
    <t>Devolucion viaticos reunion Tomas Criado</t>
  </si>
  <si>
    <t>Devolucion viaticos reunion Gaston</t>
  </si>
  <si>
    <t>GASTON JULIAN</t>
  </si>
  <si>
    <t>Devolucion viaticos reunion Vicky</t>
  </si>
  <si>
    <t>FC 2</t>
  </si>
  <si>
    <t>FC 17</t>
  </si>
  <si>
    <t>FC 3</t>
  </si>
  <si>
    <t>FC 7</t>
  </si>
  <si>
    <t>GASTON GRUNTREN</t>
  </si>
  <si>
    <t>TRINIDAD BACIGALUPE</t>
  </si>
  <si>
    <t>FC 8</t>
  </si>
  <si>
    <t>MATIAS SMART</t>
  </si>
  <si>
    <t>IVA JULIO</t>
  </si>
  <si>
    <t>IB JULIO</t>
  </si>
  <si>
    <t xml:space="preserve">ESTUDIO CONTABLE JULIO (VARIABLE) </t>
  </si>
  <si>
    <t>Impuesto USA JULIO</t>
  </si>
  <si>
    <t>IMPUESTOS USA % FACT JULIO 2025</t>
  </si>
  <si>
    <t>honorarios oxean JULIO</t>
  </si>
  <si>
    <t>***TARJETAS VISA/ AMEX JULIO</t>
  </si>
  <si>
    <t>Gastos USA</t>
  </si>
  <si>
    <t>ASANA.COM 07/26 PURCHASE 4155253888 CA DEBIT CARD *9122</t>
  </si>
  <si>
    <t>ELEMENTOR 07/28 PURCHASE 8332351073 DE DEBIT CARD *9122</t>
  </si>
  <si>
    <t>Semrush 07/28 PURCHASE 8008159959 MA DEBIT CARD *9122</t>
  </si>
  <si>
    <t>REPLIT, INC. 07/29 PURCHASE 6282002281 CA DEBIT CARD *9122</t>
  </si>
  <si>
    <t>Honorarios Tomas Julio</t>
  </si>
  <si>
    <t>Bono Tomas Julio</t>
  </si>
  <si>
    <t>ESTUDIO CONTABLE JUNIO (VARIABLE)</t>
  </si>
  <si>
    <t>WIRE TYPE:INTL OUT DATE:250805 TIME:1625 ET TRN:2025080500512292 SERVICE REF:437308 BNF:TOMAS HORACIO FACIO ID:3544148351 BNF BK:BANCO BBVA ARGENTINA S. ID:006550516928 PMT DET:5652478 98 POP OTHER/TRANSFER</t>
  </si>
  <si>
    <t>DIGITALOCEAN.COM 08/01 PURCHASE 6468274366 NY DEBIT CARD *9122</t>
  </si>
  <si>
    <t>Google GSUITE_epi 08/01 PURCHASE 6502530000 CA DEBIT CARD *9122</t>
  </si>
  <si>
    <t>LinkedIn SN P4884 08/02 PURCHASE LINKEDIN.COM 00 DEBIT CARD *9122</t>
  </si>
  <si>
    <t>APPLE.COM/BILL 08/02 PURCHASE 8667127753 CA DEBIT CARD *9122</t>
  </si>
  <si>
    <t>Adobe 08/03 PURCHASE 8008336687 CA DEBIT CARD *9122</t>
  </si>
  <si>
    <t>OPENAI *CHATGPT S 08/06 PURCHASE 4158799686 CA DEBIT CARD *9122</t>
  </si>
  <si>
    <t>CANVA* I04601- 08/07 PURCHASE CAMDEN DE DEBIT CARD *9122</t>
  </si>
  <si>
    <t>TYPEFORM, S.L. 08/07 PURCHASE BARCELONA 00 DEBIT CARD *9122</t>
  </si>
  <si>
    <t>REPLIT, INC. 08/09 PURCHASE 6282002281 CA DEBIT CARD *9122</t>
  </si>
  <si>
    <t>OPENAI *CHATGPT S 08/11 PURCHASE 4158799686 CA DEBIT CARD *9122</t>
  </si>
  <si>
    <t>A-0001-00008005</t>
  </si>
  <si>
    <t>A-0001-00008004</t>
  </si>
  <si>
    <t>IANNESSE LEANDRO JOSE</t>
  </si>
  <si>
    <t>A-0001-00007997</t>
  </si>
  <si>
    <t>A-0001-00007994</t>
  </si>
  <si>
    <t>A-0001-00007988</t>
  </si>
  <si>
    <t>A-0001-00007982</t>
  </si>
  <si>
    <t>A-0001-00007977</t>
  </si>
  <si>
    <t>A-0001-00007972</t>
  </si>
  <si>
    <t>A-0001-00007970</t>
  </si>
  <si>
    <t>A-0001-00007969</t>
  </si>
  <si>
    <t>A-0001-00007968</t>
  </si>
  <si>
    <t>A-0001-00007963</t>
  </si>
  <si>
    <t>A-0001-00007960</t>
  </si>
  <si>
    <t>A-0001-00007956</t>
  </si>
  <si>
    <t>A-0001-00007955</t>
  </si>
  <si>
    <t>A-0001-00007953</t>
  </si>
  <si>
    <t>A-0001-00007950</t>
  </si>
  <si>
    <t>A-0001-00007948</t>
  </si>
  <si>
    <t>A-0001-00007976</t>
  </si>
  <si>
    <t>X CORP. PAID FEAT 08/17 PURCHASE 4156978699 TX DEBIT CARD *9122</t>
  </si>
  <si>
    <t>GASTOS TARJETA USA</t>
  </si>
  <si>
    <t>REPLIT, INC. 08/18 PURCHASE 6282002281 CA DEBIT CARD *9122</t>
  </si>
  <si>
    <t>LinkedIn Pre P512 08/19 PURCHASE LINKEDIN.COM 00 DEBIT CARD *9122</t>
  </si>
  <si>
    <t>Mailchimp 08/22 PURCHASE 6789990141 GA DEBIT CARD *9122</t>
  </si>
  <si>
    <t>C-0002-0000004</t>
  </si>
  <si>
    <t>CERAVOLO AGUSTINA MARIA</t>
  </si>
  <si>
    <t>GUNTREN GASTON ANDRES</t>
  </si>
  <si>
    <t>C-0005-0000004</t>
  </si>
  <si>
    <t>LANZA VANINA</t>
  </si>
  <si>
    <t>C-0006-0000018</t>
  </si>
  <si>
    <t>PEREZ MARIEL ELINA</t>
  </si>
  <si>
    <t>C-0003-0000004</t>
  </si>
  <si>
    <t>TAMER AYLEN MAGALI</t>
  </si>
  <si>
    <t>C-0001-0000009</t>
  </si>
  <si>
    <t>C-0002-0000005</t>
  </si>
  <si>
    <t>ACHABAL MARIA VICTORIA</t>
  </si>
  <si>
    <t>C-0003-0000003</t>
  </si>
  <si>
    <t>FACIO TOMAS HORACIO</t>
  </si>
  <si>
    <t>BERISSO SANTIAGO</t>
  </si>
  <si>
    <t>C-0002-0000002</t>
  </si>
  <si>
    <t>PETREIGNE BACIGALUPE TRINIDAD</t>
  </si>
  <si>
    <t>FIGUEROA GUERRA ROMINA MARIANELA</t>
  </si>
  <si>
    <t>C-0002-0000003</t>
  </si>
  <si>
    <t>C-0099-0000002</t>
  </si>
  <si>
    <t xml:space="preserve">ESTUDIO CONTABLE AGOSTO (VARIABLE) </t>
  </si>
  <si>
    <t>Impuesto USA AGOSTO</t>
  </si>
  <si>
    <t>honorarios oxean AGOSTO</t>
  </si>
  <si>
    <t>***TARJETAS VISA/ AMEX AGOSTO</t>
  </si>
  <si>
    <t>Honorarios Tomas Agosto</t>
  </si>
  <si>
    <t>TAPCLICKS* MEGALY 08/22 PURCHASE 4087252942 CA DEBIT CARD *9122</t>
  </si>
  <si>
    <t>REPLIT, INC. 08/26 PURCHASE 6282002281 CA DEBIT CARD *9122</t>
  </si>
  <si>
    <t>ASANA.COM 08/26 PURCHASE 4155253888 CA DEBIT CARD *9122</t>
  </si>
  <si>
    <t>Intereses</t>
  </si>
  <si>
    <t>IVA AGOSTO</t>
  </si>
  <si>
    <t>IB AGOSTO</t>
  </si>
  <si>
    <t>C-00001-00000270</t>
  </si>
  <si>
    <t>C-00002-00000211</t>
  </si>
  <si>
    <t>C-00001-00000021</t>
  </si>
  <si>
    <t>C-0001-0000003</t>
  </si>
  <si>
    <t>C-00003-00000055</t>
  </si>
  <si>
    <t>C-00022-0000354</t>
  </si>
  <si>
    <t>C-0002-0000077</t>
  </si>
  <si>
    <t>C-00004-00000057</t>
  </si>
  <si>
    <t>C-0001-0000120</t>
  </si>
  <si>
    <t>C-0001-0000018</t>
  </si>
  <si>
    <t>GONZALEZ VIRGILI MATIAS</t>
  </si>
  <si>
    <t>C-0003-0000089</t>
  </si>
  <si>
    <t>FREE QUE FALTAN AL 5/9 EN PESOS: AYLEN, TRINIDAD, GUNTREN Y FIGUEROA</t>
  </si>
  <si>
    <t>Ingreso/Egreso</t>
  </si>
  <si>
    <t>Banco</t>
  </si>
  <si>
    <t>Moneda</t>
  </si>
  <si>
    <t>Fecha</t>
  </si>
  <si>
    <t>Detalle Operación</t>
  </si>
  <si>
    <t>Concepto</t>
  </si>
  <si>
    <t>Monto ARS</t>
  </si>
  <si>
    <t>Monto USD</t>
  </si>
  <si>
    <t>Saldo Santander</t>
  </si>
  <si>
    <t>Saldo BOA</t>
  </si>
  <si>
    <t>Saldo CAJA</t>
  </si>
  <si>
    <t>Saldo Total USD</t>
  </si>
  <si>
    <t>USD</t>
  </si>
  <si>
    <t>Saldo Inicial Mayo</t>
  </si>
  <si>
    <t>Santander</t>
  </si>
  <si>
    <t>ARS</t>
  </si>
  <si>
    <t>Egreso</t>
  </si>
  <si>
    <t>MOVIMIENTO INTERNO BCO. USA PARA ABONAR ARG</t>
  </si>
  <si>
    <t>Ingreso</t>
  </si>
  <si>
    <t>A-0001-00007719</t>
  </si>
  <si>
    <t>A-0001-00007697</t>
  </si>
  <si>
    <t>A-0001-00007720</t>
  </si>
  <si>
    <t>A-0001-00007698</t>
  </si>
  <si>
    <t>A-0001-00007713</t>
  </si>
  <si>
    <t>A-0001-00007693</t>
  </si>
  <si>
    <t>A-0001-00007699</t>
  </si>
  <si>
    <t>A-0001-00007714</t>
  </si>
  <si>
    <t>A-0001-00007711</t>
  </si>
  <si>
    <t>A-0001-00007695</t>
  </si>
  <si>
    <t>A-0001-00007700</t>
  </si>
  <si>
    <t>A-0001-00007701</t>
  </si>
  <si>
    <t>A-0001-00007710</t>
  </si>
  <si>
    <t>A-0001-00007716</t>
  </si>
  <si>
    <t>A-0001-00007718</t>
  </si>
  <si>
    <t>A-0001-00007717</t>
  </si>
  <si>
    <t>A-0001-00007721</t>
  </si>
  <si>
    <t>A-0001-00007702</t>
  </si>
  <si>
    <t>A-0001-00007670</t>
  </si>
  <si>
    <t>A-0001-00007704</t>
  </si>
  <si>
    <t>A-0001-00007703</t>
  </si>
  <si>
    <t>A-0001-00007647</t>
  </si>
  <si>
    <t>A-0001-00007712</t>
  </si>
  <si>
    <t>A-0001-00007696</t>
  </si>
  <si>
    <t>A-0001-00007715</t>
  </si>
  <si>
    <t>A-0001-00007694</t>
  </si>
  <si>
    <t>A-0001-00007648</t>
  </si>
  <si>
    <t>A-0001-00007691</t>
  </si>
  <si>
    <t>Efvo.</t>
  </si>
  <si>
    <t>Catalina Astiz honorarios Abril</t>
  </si>
  <si>
    <t>Baterias Detroit Mayo</t>
  </si>
  <si>
    <t>A-0001-00007730</t>
  </si>
  <si>
    <t>WarnerMedia Busi DES:PAYMENTS ID:19216700026607 INDN:OXEAN GROUP LLC CO ID:6424115227 CTX ADDITIONAL INFORMATION IS AVAILABLE FOR THIS PMT. CONTACT A TREASURY SALES OFFICER FOR ASSISTANCE.</t>
  </si>
  <si>
    <t>VERTICAL3 MEDIA DES:ACH Pmt ID:11172451952 INDN:Oxean Group LLC CO ID:9200502235 CCD PMT INFO:Invoice 582</t>
  </si>
  <si>
    <t>DIGITALOCEAN.COM 04/30 PURCHASE 6468274366 NY DEBIT CARD *9122</t>
  </si>
  <si>
    <t>LinkedIn SN P3559 05/02 PURCHASE LINKEDIN.COM 00 DEBIT CARD *9122</t>
  </si>
  <si>
    <t>APPLE.COM/BILL 05/02 PURCHASE 8667127753 CA DEBIT CARD *9122</t>
  </si>
  <si>
    <t>TRANSFER OXEAN GROUP LLC:LUAN DIGITAL LLC Confirmation# 0671812687</t>
  </si>
  <si>
    <t>WIRE TYPE:INTL OUT DATE:250520 TIME:1329 ET TRN:2025052000417180 SERVICE REF:802248 BNF:VICTORIA PURICELLI ID:7920076104 BNF BK:BANCO SANTANDER ARGENTI ID:001901680155 PMT DET:55211127 2 POP OTHER/TRANSFER</t>
  </si>
  <si>
    <t>A-00008-00008621</t>
  </si>
  <si>
    <t>C-0001-00007741</t>
  </si>
  <si>
    <t>TRANSFER OXEAN GROUP LLC:LUAN DIGITAL LLC Confirmation# 0612824762</t>
  </si>
  <si>
    <t>LUAN DIGITAL FC 130</t>
  </si>
  <si>
    <t>A-0001-00007820</t>
  </si>
  <si>
    <t>A-0001-00007817</t>
  </si>
  <si>
    <t>A-0001-00007816</t>
  </si>
  <si>
    <t>A-0001-00007815</t>
  </si>
  <si>
    <t>A-0001-00007814</t>
  </si>
  <si>
    <t>A-0001-00007813</t>
  </si>
  <si>
    <t>A-0001-00007810</t>
  </si>
  <si>
    <t>A-0001-00007803</t>
  </si>
  <si>
    <t>A-0001-00007802</t>
  </si>
  <si>
    <t>A-0001-00007799</t>
  </si>
  <si>
    <t>A-0001-00007798</t>
  </si>
  <si>
    <t>A-0001-00007795</t>
  </si>
  <si>
    <t>A-0001-00007792</t>
  </si>
  <si>
    <t>A-0001-00007791</t>
  </si>
  <si>
    <t>A-0001-00007790</t>
  </si>
  <si>
    <t>A-0001-00007785</t>
  </si>
  <si>
    <t>A-0001-00007782</t>
  </si>
  <si>
    <t>A-0001-00007778</t>
  </si>
  <si>
    <t>A-0001-00007769</t>
  </si>
  <si>
    <t>A-0001-00007768</t>
  </si>
  <si>
    <t>A-0001-00007767</t>
  </si>
  <si>
    <t>A-0001-00007824</t>
  </si>
  <si>
    <t>COBRANZA</t>
  </si>
  <si>
    <t>BATERIAS DETROIT JUNIO</t>
  </si>
  <si>
    <t>A-0001-00008638</t>
  </si>
  <si>
    <t xml:space="preserve">WarnerMedia Busi DES:PAYMENTS ID:19216700032226 INDN:OXEAN GROUP LLC CO ID:6424115227 CTX ADDITIONAL INFORMATION IS AVAILABLE FOR THIS PMT. CONTACT A TREASURY SALES OFFICER FOR ASSISTANCE.
</t>
  </si>
  <si>
    <t>LUAN DIGITAL F/131</t>
  </si>
  <si>
    <t>Gastos Tarjeta USA</t>
  </si>
  <si>
    <t>A-0001-00007908</t>
  </si>
  <si>
    <t>A-0001-00007901</t>
  </si>
  <si>
    <t>A-0001-00007891</t>
  </si>
  <si>
    <t>A-0001-00007890</t>
  </si>
  <si>
    <t>A-0001-00007887</t>
  </si>
  <si>
    <t>A-0001-00007885</t>
  </si>
  <si>
    <t>A-0001-00007884</t>
  </si>
  <si>
    <t>A-0001-00007872</t>
  </si>
  <si>
    <t>A-0001-00007911</t>
  </si>
  <si>
    <t>PAGO PARCIAL</t>
  </si>
  <si>
    <t>WarnerMedia Busi DES:PAYMENTS ID:19216700034410 INDN:OXEAN GROUP LLC CO ID:6424115227 CTX ADDITIONAL INFORMATION IS AVAILABLE FOR THIS PMT. CONTACT A TREASURY SALES OFFICER FOR ASSISTANCE.</t>
  </si>
  <si>
    <t>ESTUDIO CONTABLE</t>
  </si>
  <si>
    <t>XAVIER</t>
  </si>
  <si>
    <t>PLAY DIGITAL</t>
  </si>
  <si>
    <t>ANIMAL STUDIO</t>
  </si>
  <si>
    <t>SALDO + FEE AGOSTO + AJUSTE PAG</t>
  </si>
  <si>
    <t>BATERIAS DETROIT</t>
  </si>
  <si>
    <t>WIRE TYPE:INTL IN DATE:250815 TIME:0906 ET TRN:2025081500307431 SNDR REF:6008227H16980001 ORIG:1/UBER B.V. ID:GB18BOFA16505054 PMT DET:BUSIN ESS RELATED EXPENSES</t>
  </si>
  <si>
    <t xml:space="preserve">WIRE TYPE:INTL OUT DATE:250806 TIME:1608 ET TRN:2025080600507753 SERVICE REF:517090 BNF:TOMAS CRIADO ID:3544032000001 BNF BK:BANCO DE GALICIA Y BUEN ID:006550616913 PMT DET:565437550 P OP OTHER/TRANSFER
</t>
  </si>
  <si>
    <t xml:space="preserve">TRANSFER OXEAN GROUP LLC:TOMAS CRIADO Confirmation# 1401942638
</t>
  </si>
  <si>
    <t>PROYECTO OLAS</t>
  </si>
  <si>
    <t>A-0008-00000019</t>
  </si>
  <si>
    <t>A-0008-00000017</t>
  </si>
  <si>
    <t>A-0008-00000015</t>
  </si>
  <si>
    <t>WIRE TYPE:INTL OUT DATE:250902 TIME:0617 ET TRN:2025090200279752 SERVICE REF:605956 BNF:AYLEN MAGALI TAMER ID:50155105900 BNF BK:BANCO DE LA PROVINCIA ID:PRBAARBA/(CH0159 PMT DET:56939 5274 POP OTHER/TRANSFER</t>
  </si>
  <si>
    <t>AYLEN TAMER</t>
  </si>
  <si>
    <t>WIRE TYPE:INTL OUT DATE:250902 TIME:0656 ET TRN:2025090200278833 SERVICE REF:201345 BNF:GASTON ANDRES GUNTREN ID:0100433949 BNF BK:BAN CO SANTANDER ARGENTI ID:001901680155 PMT DET:56939 4490 POP OTHER/TRANSFER</t>
  </si>
  <si>
    <t>WIRE TYPE:INTL OUT DATE:250902 TIME:0656 ET TRN:2025090200279086 SERVICE REF:201348 BNF:MARIA VICTORIA ACHABAL ID:7693841529 BNF BK:BA NCO SANTANDER ARGENTI ID:001901680155 PMT DET:5693 94710 POP OTHER/TRANSFER</t>
  </si>
  <si>
    <t>WIRE TYPE:INTL OUT DATE:250902 TIME:0656 ET TRN:2025090200279230 SERVICE REF:087012 BNF:AGUSTINA MARIA CERAVOLO ID:415503229998 BNF BK:BANCO DE GALICIA Y BUEN ID:006550616913 PMT DET:569394806 POP OTHER/TRANSFER</t>
  </si>
  <si>
    <t>WIRE TYPE:INTL OUT DATE:250902 TIME:0657 ET TRN:2025090200279554 SERVICE REF:201351 BNF:MARICEL ELINA PEREZ ID:5473541344 BNF BK:BANCO SANTANDER ARGENTI ID:001901680155 PMT DET:5693951 26 POP OTHER/TRANSFER</t>
  </si>
  <si>
    <t>WIRE TYPE:INTL OUT DATE:250902 TIME:0657 ET TRN:2025090200280347 SERVICE REF:201353 BNF:ROMINA MARIANEL FIGUEROA G ID:2303800423 BNF BK:BANCO SANTANDER ARGENTI ID:001901680155 PMT DET:569395428 POP OTHER/TRANSFER</t>
  </si>
  <si>
    <t>ROMINA FIGUEROA</t>
  </si>
  <si>
    <t>WIRE TYPE:INTL OUT DATE:250902 TIME:0657 ET TRN:2025090200280933 SERVICE REF:201356 BNF:SOL MACARENA AYALA ID:2300112745 BNF BK:BANCO SANTANDER ARGENTI ID:001901680155 PMT DET:56939556 8 POP OTHER/TRANSFER</t>
  </si>
  <si>
    <t>SOL MACARENA AYSLA</t>
  </si>
  <si>
    <t>WIRE TYPE:INTL OUT DATE:250902 TIME:0657 ET TRN:2025090200281084 SERVICE REF:087084 BNF:TOMAS HORACIO FACIO ID:3544148351 BNF BK:BANCO BBVA ARGENTINA S. ID:006550516928 PMT DET:5693957 48 POP OTHER/TRANSFER</t>
  </si>
  <si>
    <t>WIRE TYPE:INTL OUT DATE:250902 TIME:0657 ET TRN:2025090200281205 SERVICE REF:808530 BNF:DOLORES CAMARA ID:401135731453 BNF BK:BANCO DE GALICIA Y BUEN ID:006550616913 PMT DET:569395898 POP OTHER/TRANSFER</t>
  </si>
  <si>
    <t>WIRE TYPE:INTL OUT DATE:250902 TIME:0657 ET TRN:2025090200281599 SERVICE REF:808538 BNF:SANTIAGO BERISSO ID:400905300606 BNF BK:BANCO DE GALICIA Y BUEN ID:006550616913 PMT DET:56939625 6 POP OTHER/TRANSFER</t>
  </si>
  <si>
    <t>WIRE TYPE:INTL OUT DATE:250902 TIME:0657 ET TRN:2025090200281791 SERVICE REF:087095 BNF:VANINA LANZA ID:1416116835 BNF BK:BANCO BBVA A RGENTINA S. ID:006550516928 PMT DET:569396418 POP OTHER/TRANSFER</t>
  </si>
  <si>
    <t>WIRE TYPE:INTL OUT DATE:250902 TIME:0657 ET TRN:2025090200281991 SERVICE REF:201369 BNF:VICTORIA PURICELLI ID:7920076104 BNF BK:BANCO SANTANDER ARGENTI ID:001901680155 PMT DET:56939651 4 POP OTHER/TRANSFER</t>
  </si>
  <si>
    <t>WIRE TYPE:INTL OUT DATE:250902 TIME:0657 ET TRN:2025090200282629 SERVICE REF:201372 BNF:TRINIDAD PETREIGNE BACIGAL ID:1733730733 BNF BK:BANCO SANTANDER ARGENTI ID:001901680155 PMT DET:569396996 POP OTHER/TRANSFER</t>
  </si>
  <si>
    <t>WIRE TYPE:INTL OUT DATE:250904 TIME:1502 ET TRN:2025090400522134 SERVICE REF:315729 BNF:MATIAS SMART ID:254009519212687 BNF BK:BANCO M ACRO S.A. ID:006550416230 PMT DET:570264946 POP OT HER/TRANSFER</t>
  </si>
  <si>
    <t>REPLIT, INC. 08/31 PURCHASE 6282002281 CA DEBIT CARD *9122</t>
  </si>
  <si>
    <t>DIGITALOCEAN.COM 08/31 PURCHASE 6468274366 NY DEBIT CARD *9122</t>
  </si>
  <si>
    <t>Google GSUITE_epi 09/01 PURCHASE 6502530000 CA DEBIT CARD *9122</t>
  </si>
  <si>
    <t>LinkedIn SN P5315 09/02 PURCHASE LINKEDIN.COM 00 DEBIT CARD *9122</t>
  </si>
  <si>
    <t>APPLE.COM/BILL 09/02 PURCHASE 8667127753 CA DEBIT CARD *9122</t>
  </si>
  <si>
    <t>Adobe 09/03 PURCHASE 8008336687 CA DEBIT CARD *9122</t>
  </si>
  <si>
    <t>OPENAI *CHATGPT S 09/06 PURCHASE 4158799686 CA DEBIT CARD *9122</t>
  </si>
  <si>
    <t>CANVA* I04632-359 09/07 PURCHASE 7372853388 DE DEBIT CARD *9122</t>
  </si>
  <si>
    <t>TYPEFORM, S.L. 09/07 PURCHASE BARCELONA 00 DEBIT CARD *9122</t>
  </si>
  <si>
    <t>REPLIT, INC. 09/08 PURCHASE 6282002281 CA DEBIT CARD *9122</t>
  </si>
  <si>
    <t>REPLIT, INC. 09/09 PURCHASE 6282002281 CA DEBIT CARD *9122</t>
  </si>
  <si>
    <t>OPENAI *CHATGPT S 09/11 PURCHASE 4158799686 CA DEBIT CARD *9122</t>
  </si>
  <si>
    <t>A-0001-00008040</t>
  </si>
  <si>
    <t>A-0001-00008043</t>
  </si>
  <si>
    <t>A-0001-00008045</t>
  </si>
  <si>
    <t>A-0001-00008051</t>
  </si>
  <si>
    <t>A-0001-00008034</t>
  </si>
  <si>
    <t>A-0001-00008062</t>
  </si>
  <si>
    <t>A-0001-00008063</t>
  </si>
  <si>
    <t>A-0001-00008075</t>
  </si>
  <si>
    <t>A-0001-00008077</t>
  </si>
  <si>
    <t>A-0001-00008031</t>
  </si>
  <si>
    <t>A-0001-00008067</t>
  </si>
  <si>
    <t>A-0001-00008068</t>
  </si>
  <si>
    <t>A-0001-00008071</t>
  </si>
  <si>
    <t>A-0001-00008033</t>
  </si>
  <si>
    <t>A-0001-00008072</t>
  </si>
  <si>
    <t>A-0001-00008074</t>
  </si>
  <si>
    <t>A-0001-00008066</t>
  </si>
  <si>
    <t>A-0001-00008087</t>
  </si>
  <si>
    <t>A-0008-00000026</t>
  </si>
  <si>
    <t>BA MALL SAU</t>
  </si>
  <si>
    <t>A-0001-00008094</t>
  </si>
  <si>
    <t>A-0001-00008093</t>
  </si>
  <si>
    <t>A-0001-00008091</t>
  </si>
  <si>
    <t>Honorarios Oxean Agosto</t>
  </si>
  <si>
    <t>REPLIT, INC. 09/12 PURCHASE 6282002281 CA DEBIT CARD *9122</t>
  </si>
  <si>
    <t>X CORP. PAID FEAT 09/17 PURCHASE 4156978699 TX DEBIT CARD *9122</t>
  </si>
  <si>
    <t>Nicolas regalos fin de año 2024</t>
  </si>
  <si>
    <t>LinkedIn Pre P558 09/19 PURCHASE LINKEDIN.COM 00 DEBIT CARD *9122</t>
  </si>
  <si>
    <t>Mailchimp 09/22 PURCHASE 6789990141 GA DEBIT CARD *9122</t>
  </si>
  <si>
    <t>TAPCLICKS* MEGALY 09/22 PURCHASE 4087252942 CA DEBIT CARD *9122</t>
  </si>
  <si>
    <t>REPLIT, INC. 09/23 PURCHASE 6282002281 CA DEBIT CARD *9122</t>
  </si>
  <si>
    <t>ASANA.COM 09/26 PURCHASE 4155253888 CA DEBIT CARD *9122</t>
  </si>
  <si>
    <t>WIRE TYPE:INTL OUT DATE:250902 TIME:0659 ET TRN:2025090200291189 SERVICE REF:808776 BNF:TOMAS CRIADO ID:3544032000001 BNF BK:BANCO DE GALICIA Y BUEN ID:006550616913 PMT DET:569403006 P OP OTHER/TRANSFER</t>
  </si>
  <si>
    <t>TRANSFER OXEAN GROUP LLC:TOMAS CRIADO Confirmation# 0601290629</t>
  </si>
  <si>
    <t>WarnerMedia Busi DES:PAYMENTS ID:19216700041230 INDN:OXEAN GROUP LLC CO ID:6424115227 CTX ADDITIONAL INFORMATION IS AVAILABLE FOR THIS PMT. CONTACT A TREASURY SALES OFFICER FOR ASSISTANCE.</t>
  </si>
  <si>
    <t>A-0008-00000031</t>
  </si>
  <si>
    <t>WIRE TYPE:INTL OUT DATE:251001 TIME:0823 ET TRN:2025100100300838 SERVICE REF:304878 BNF:GASTON ANDRES GUNTREN ID:0100433949 BNF BK:BAN CO SANTANDER ARGENTI ID:001901680155 PMT DET:57460 5386 POP OTHER/TRANSFER</t>
  </si>
  <si>
    <t>WIRE TYPE:INTL OUT DATE:251001 TIME:0826 ET TRN:2025100100301755 SERVICE REF:304887 BNF:MARIA VICTORIA ACHABAL ID:7693841529 BNF BK:BA NCO SANTANDER ARGENTI ID:001901680155 PMT DET:5746 09904 POP OTHER/TRANSFER</t>
  </si>
  <si>
    <t>WIRE TYPE:INTL OUT DATE:251001 TIME:0828 ET TRN:2025100100302509 SERVICE REF:697248 BNF:AGUSTINA MARIA CERAVOLO ID:415503229998 BNF BK:BANCO DE GALICIA Y BUEN ID:006550616913 PMT DET:574613848 POP OTHER/TRANSFER</t>
  </si>
  <si>
    <t>AGUSTINA CERAVOLO</t>
  </si>
  <si>
    <t>WIRE TYPE:INTL OUT DATE:251001 TIME:0832 ET TRN:2025100100305623 SERVICE REF:304906 BNF:MARICEL ELINA PEREZ ID:5473541344 BNF BK:BANCO SANTANDER ARGENTI ID:001901680155 PMT DET:5746189 48 POP OTHER/TRANSFER</t>
  </si>
  <si>
    <t>WIRE TYPE:INTL OUT DATE:251001 TIME:0835 ET TRN:2025100100307138 SERVICE REF:345630 BNF:AYLEN MAGALI TAMER ID:50155105900 BNF BK:BANCO DE LA PROVINCIA ID:PRBAARBA/(CH0159 PMT DET:57461 9428 POP OTHER/TRANSFER</t>
  </si>
  <si>
    <t>WIRE TYPE:INTL OUT DATE:251001 TIME:0837 ET TRN:2025100100308543 SERVICE REF:304919 BNF:ROMINA MARIANEL FIGUEROA G ID:2303800423 BNF BK:BANCO SANTANDER ARGENTI ID:001901680155 PMT DET:574619794 POP OTHER/TRANSFER</t>
  </si>
  <si>
    <t>WIRE TYPE:INTL OUT DATE:251001 TIME:0842 ET TRN:2025100100310675 SERVICE REF:304932 BNF:SOL MACARENA AYALA ID:2300112745 BNF BK:BANCO SANTANDER ARGENTI ID:001901680155 PMT DET:57462056 4 POP OTHER/TRANSFER</t>
  </si>
  <si>
    <t>WIRE TYPE:INTL OUT DATE:251001 TIME:0843 ET TRN:2025100100311360 SERVICE REF:988588 BNF:TOMAS HORACIO FACIO ID:3544148351 BNF BK:BANCO BBVA ARGENTINA S. ID:006550516928 PMT DET:5746208 30 POP OTHER/TRANSFER</t>
  </si>
  <si>
    <t>WIRE TYPE:INTL OUT DATE:251001 TIME:0846 ET TRN:2025100100312604 SERVICE REF:988775 BNF:DOLORES CAMARA ID:401135731453 BNF BK:BANCO DE GALICIA Y BUEN ID:006550616913 PMT DET:574621376 POP OTHER/TRANSFER</t>
  </si>
  <si>
    <t>WIRE TYPE:INTL OUT DATE:251001 TIME:0849 ET TRN:2025100100313691 SERVICE REF:988920 BNF:SANTIAGO BERISSO ID:400905300606 BNF BK:BANCO DE GALICIA Y BUEN ID:006550616913 PMT DET:57462186 8 POP OTHER/TRANSFER</t>
  </si>
  <si>
    <t>WIRE TYPE:INTL OUT DATE:251001 TIME:0851 ET TRN:2025100100314491 SERVICE REF:989031 BNF:VANINA LANZA ID:1416116835 BNF BK:BANCO BBVA A RGENTINA S. ID:006550516928 PMT DET:574622218 POP OTHER/TRANSFER</t>
  </si>
  <si>
    <t>WIRE TYPE:INTL OUT DATE:251001 TIME:0853 ET TRN:2025100100315802 SERVICE REF:304960 BNF:VICTORIA PURICELLI ID:7920076104 BNF BK:BANCO SANTANDER ARGENTI ID:001901680155 PMT DET:57462262 0 POP OTHER/TRANSFER</t>
  </si>
  <si>
    <t>WIRE TYPE:INTL OUT DATE:251001 TIME:0857 ET TRN:2025100100317832 SERVICE REF:989370 BNF:MATIAS SMART ID:254009519212687 BNF BK:BANCO M ACRO S.A. ID:006550416230 PMT DET:574623270 POP OT HER/TRANSFER</t>
  </si>
  <si>
    <t>WIRE TYPE:INTL OUT DATE:251001 TIME:0901 ET TRN:2025100100320167 SERVICE REF:304986 BNF:TRINIDAD PETREIGNE BACIGAL ID:1733730733 BNF BK:BANCO SANTANDER ARGENTI ID:001901680155 PMT DET:574623934 POP OTHER/TRANSFER</t>
  </si>
  <si>
    <t>WIRE TYPE:INTL OUT DATE:251001 TIME:0903 ET TRN:2025100100321827 SERVICE REF:699363 BNF:AGUSTINA CAFISI ID:402896550607 BNF BK:BANCO D E GALICIA Y BUEN ID:006550616913 PMT DET:574624454 POP OTHER/TRANSFER</t>
  </si>
  <si>
    <t>AGUSTINA CAFISI</t>
  </si>
  <si>
    <t>TRANSFER OXEAN GROUP LLC:TOMAS CRIADO Confirmation# 0648990723</t>
  </si>
  <si>
    <t>DIGITALOCEAN.COM 09/30 PURCHASE 6468274366 NY DEBIT CARD *9122</t>
  </si>
  <si>
    <t>Google GSUITE_epi 10/01 PURCHASE 6502530000 CA DEBIT CARD *9122</t>
  </si>
  <si>
    <t>LinkedIn SN P5764 10/02 PURCHASE LINKEDIN.COM 00 DEBIT CARD *9122</t>
  </si>
  <si>
    <t>APPLE.COM/BILL 10/02 PURCHASE 8667127753 CA DEBIT CARD *9122</t>
  </si>
  <si>
    <t>Adobe 10/03 PURCHASE 8008336687 CA DEBIT CARD *9122</t>
  </si>
  <si>
    <t>OPENAI 10/03 PURCHASE 4158799686 CA DEBIT CARD *9122</t>
  </si>
  <si>
    <t>OPENAI *CHATGPT S 10/06 PURCHASE 4158799686 CA DEBIT CARD *9122</t>
  </si>
  <si>
    <t>TYPEFORM, S.L. 10/07 PURCHASE BARCELONA 00 DEBIT CARD *9122</t>
  </si>
  <si>
    <t>CANVA* I04662-444 10/07 PURCHASE 7372853388 DE DEBIT CARD *9122</t>
  </si>
  <si>
    <t>REPLIT, INC. 10/09 PURCHASE 6282002281 CA DEBIT CARD *9122</t>
  </si>
  <si>
    <t>A-0001-00008159</t>
  </si>
  <si>
    <t>A-0001-00008155</t>
  </si>
  <si>
    <t>CAMILA DENISSE BURSTEIN</t>
  </si>
  <si>
    <t>A-0001-00008151</t>
  </si>
  <si>
    <t>A-0001-00008149</t>
  </si>
  <si>
    <t>A-0001-00008147</t>
  </si>
  <si>
    <t>A-0001-00008143</t>
  </si>
  <si>
    <t>A-0001-00008142</t>
  </si>
  <si>
    <t>A-0001-00008133</t>
  </si>
  <si>
    <t>A-0001-00008127</t>
  </si>
  <si>
    <t>A-0001-00008125</t>
  </si>
  <si>
    <t>A-0001-00008120</t>
  </si>
  <si>
    <t>A-0001-00008118</t>
  </si>
  <si>
    <t>A-0001-00008112</t>
  </si>
  <si>
    <t>A-0001-00008146</t>
  </si>
  <si>
    <t>A-0001-00008164</t>
  </si>
  <si>
    <t>A-0001-00008165</t>
  </si>
  <si>
    <t>A-0001-00008163</t>
  </si>
  <si>
    <t>C-00002-0000034</t>
  </si>
  <si>
    <t>C-00001-0000085</t>
  </si>
  <si>
    <t>C-00002-0000031</t>
  </si>
  <si>
    <t>A-00002-00001880</t>
  </si>
  <si>
    <t>C-00001-0000052</t>
  </si>
  <si>
    <t>C-00002-0000231</t>
  </si>
  <si>
    <t>C-00001-0000064</t>
  </si>
  <si>
    <t>PAGO DE MAS</t>
  </si>
  <si>
    <t>Tomas Criado Almuerzo</t>
  </si>
  <si>
    <t>E-00001-0000010</t>
  </si>
  <si>
    <t>E-00002-0000005</t>
  </si>
  <si>
    <t>E-00003-0000004</t>
  </si>
  <si>
    <t>FACIO HORACIO TOMACIO</t>
  </si>
  <si>
    <t>E-00006-0000019</t>
  </si>
  <si>
    <t>PEREZ MARICEL ELINA</t>
  </si>
  <si>
    <t>E-00002-0000003</t>
  </si>
  <si>
    <t>E-00005-0000005</t>
  </si>
  <si>
    <t>E-00002-0000006</t>
  </si>
  <si>
    <t>E-00003-0000005</t>
  </si>
  <si>
    <t>E-00003-0000010</t>
  </si>
  <si>
    <t>E-00003-0000099</t>
  </si>
  <si>
    <t>E-00002-0000004</t>
  </si>
  <si>
    <t>E-00002-0000001</t>
  </si>
  <si>
    <t>AGUSTINA CAFISI (TOMAS CCRIADO)</t>
  </si>
  <si>
    <t>TOMAS CRIADO HONORARIOS SEPT (DIF. )</t>
  </si>
  <si>
    <t>C-00002-00000032</t>
  </si>
  <si>
    <t>C-00001-00000121</t>
  </si>
  <si>
    <t>C-00001-00000003</t>
  </si>
  <si>
    <t>C-00001-00000053</t>
  </si>
  <si>
    <t>C-00001-00000275</t>
  </si>
  <si>
    <t>C-00002-00000359</t>
  </si>
  <si>
    <t>C-00003-00000090</t>
  </si>
  <si>
    <t>C-00002-00000036</t>
  </si>
  <si>
    <t>C-00001-00000024</t>
  </si>
  <si>
    <t>C-00001-00000087</t>
  </si>
  <si>
    <t>C-00003-00000056</t>
  </si>
  <si>
    <t>C-00001-00000016</t>
  </si>
  <si>
    <t>BIG BOX</t>
  </si>
  <si>
    <t xml:space="preserve">ESTUDIO CONTABLE SEPTIEMBRE (VARIABLE) </t>
  </si>
  <si>
    <t>Impuesto USA SEPTIEMBRE</t>
  </si>
  <si>
    <t>honorarios oxean SEPTIEMBRE</t>
  </si>
  <si>
    <t>Intereses al 30/09/2025</t>
  </si>
  <si>
    <t>IVA SEPTIEMBRE</t>
  </si>
  <si>
    <t>IB SEPTIEMBRE</t>
  </si>
  <si>
    <t>FACTURA</t>
  </si>
  <si>
    <t>VIATICOS (ALMUERZO EQUIPO 9/10)</t>
  </si>
  <si>
    <t>Cierre</t>
  </si>
  <si>
    <t>Activo Líquido</t>
  </si>
  <si>
    <t>Activo Mediano Plazo Crypto</t>
  </si>
  <si>
    <t>Activo Mediano Plazo Clientes a Cobrar</t>
  </si>
  <si>
    <t>Activo Total</t>
  </si>
  <si>
    <t>Pasivo Provisión Impuesto USA</t>
  </si>
  <si>
    <t>Pasivo Proveedores a pagar</t>
  </si>
  <si>
    <t>Pasivo Total</t>
  </si>
  <si>
    <t>Balance Neto (Activo-Pasivo)</t>
  </si>
  <si>
    <t>Balance 60 días</t>
  </si>
  <si>
    <t>Ventas del mes</t>
  </si>
  <si>
    <t>EBIT Utilidad operativa</t>
  </si>
  <si>
    <t>Margen operativo</t>
  </si>
  <si>
    <t>MarkUp</t>
  </si>
  <si>
    <t>Proyección resultado</t>
  </si>
  <si>
    <t>Chasflow</t>
  </si>
  <si>
    <t>NOTAS</t>
  </si>
  <si>
    <t>Cargado segun información de Lorena. No TOCAR. La diferencia es por Detroit</t>
  </si>
  <si>
    <t xml:space="preserve"> </t>
  </si>
  <si>
    <t>SALE LINEAL EN BASE A LA COLUMNA B DE LA SOLAPA ACTIVO CUANDO DICE ACTIVO LIQUIDO</t>
  </si>
  <si>
    <t>CRYPTO SALE LINEAL EN BASE A LA COLUMNA B DE LA SOLPA ADE ACTIVO CUANDO DICE MEDIANO PLAZO.</t>
  </si>
  <si>
    <t>-FORMULA LINEAL SOBRE EL MES TODO LO QUE DICE NO
-FORMULA SOBRE LOS PASADOS QUE DICEN NO Y NO TIENE FECHA DE PAGO
-FORMULA SOBRE LOS PASADOS QUE DICEN NO Y TIENE FECHA DE PAGO MAYOR A MI FECHA DE CIERRE</t>
  </si>
  <si>
    <t>-IMPUESTOS USA ACUMULADOS NO PAGADOS EN COL E DESDE ABRIL</t>
  </si>
  <si>
    <t>-FORMULA LINEAL SOBRE EL MES TODO LO QUE DICE NO
-FORMULA SOBRE LOS PASADOS QUE DICEN NO Y NO TIENE FECHA DE PAGO
-FORMULA SOBRE LOS PASADOS QUE DICEN NO Y TIENE FECHA DE PAGO MAYOR A MI FECHA DE CIERRE
-NO SE SUMA EL CAMPO IMPUESTOS USA PORQUE ESTA DISCRIMINADO EN H</t>
  </si>
  <si>
    <t>G+H</t>
  </si>
  <si>
    <t>(BALANCE NETO + PROYECCIONES DE VENTAS (EN USD Y PESOS CON IVA) DE MARK UP GENERAL - COSTOS ESTIMADOSDE MARK UP GENERAL (SIN IMPUESTOS USA))</t>
  </si>
  <si>
    <t>SALE DE LA SOLAPA Seguimiento Mark Up General, EL TOTAL DEL MES DE PROYECTOS.</t>
  </si>
  <si>
    <t>(VENTAS - Suma total sin Impuestos -arg y usa- y sin intereses Oxean)
SALE DE LA SOLAPA Seguimiento Mark Up General, EN LA COLUMNA DEL MES, CORRESPONDE A FILAS DE RESULTADOS QUE DICE Utilidad operativa (VENTAS - Suma total sin Impuestos -arg y usa- y sin intereses Oxean).</t>
  </si>
  <si>
    <t xml:space="preserve"> (Utilidad operativa / Suma Total Ventas)
SALE DE LA SOLAPA Seguimiento Mark Up General, EN LA COLUMNA DEL MES, CORRESPONDE A FILAS DE RESULTADOS QUE DICE Margen operativo (Utilidad operativa / Suma Total Ventas) </t>
  </si>
  <si>
    <t>(Suma Total Ventas / Costos DIRECTOS (todo el equipo con bonos, vickys /2, Youscan)
SALE DE LA SOLAPA Seguimiento Mark Up General, EN LA COLUMNA DEL MES, CORRESPONDE A FILAS DE RESULTADOS QUE DICE MarkUp (Suma Total Ventas / Costos DIRECTOS (todo el equipo con bonos, vickys /2, Youscan)</t>
  </si>
  <si>
    <t xml:space="preserve"> Utilidad operativa mes actual + 2 meses
SALE DE LA SOLAPA Seguimiento Mark Up General, EN LA COLUMNA DEL MES, CORRESPONDE A FILAS DE RESULTADOS QUE DICE Proyección resultado: Utilidad operativa mes actual + 2 meses</t>
  </si>
  <si>
    <t>SOLAPA CASHFLOW INGRESOS VS EGRESOS</t>
  </si>
  <si>
    <t>con las cripto del mes pasado (2417)</t>
  </si>
  <si>
    <t>Monto total</t>
  </si>
  <si>
    <t>Activos No Cobrados</t>
  </si>
  <si>
    <t>Pasivos No Pagados</t>
  </si>
  <si>
    <t>Subtipo de Costo</t>
  </si>
  <si>
    <t>Monto</t>
  </si>
  <si>
    <t>Cobrado/No Cobrado</t>
  </si>
  <si>
    <t>Factura de Venta N° A-00008-00001966</t>
  </si>
  <si>
    <t>Factura de Venta N° A-00008-00001977</t>
  </si>
  <si>
    <t>KIMERBLY CLARK</t>
  </si>
  <si>
    <t>Pagado/No Pagado</t>
  </si>
  <si>
    <t>No considerado los impuestos USA, no se como lo quieren tomar porque eso se pagaria en 2026 (es para ir teniendo en cuenta, a hoy les da a favor)</t>
  </si>
  <si>
    <t>FALTA CONFIRMACION</t>
  </si>
  <si>
    <t>f/134</t>
  </si>
  <si>
    <t>ESTUDIO CONTABLE Mayo (VARIABLE)</t>
  </si>
  <si>
    <t>ESTUDIO CONTABLE Junio (VARIABLE)</t>
  </si>
  <si>
    <t>***TARJETAS VISA/ AMEX Junio</t>
  </si>
  <si>
    <t>INGRESOS BRUTOS Junio</t>
  </si>
  <si>
    <t>IVA Junio</t>
  </si>
  <si>
    <t>HONORARIOS TOMAS Junio (a cta de Julio)</t>
  </si>
  <si>
    <t>HONORARIOS OXEAN ADMINISTRACION Junio</t>
  </si>
  <si>
    <t>ESTUDIO CONTABLE JULIO (VARIABLE)</t>
  </si>
  <si>
    <t>Tomas Criado Bono Julio</t>
  </si>
  <si>
    <t>INTERESES PRÉSTAMO OXEAN AL 31-07</t>
  </si>
  <si>
    <t>Deudas</t>
  </si>
  <si>
    <t>Facturación</t>
  </si>
  <si>
    <t>Costos (sin IVA)</t>
  </si>
  <si>
    <t>Costos (sin impuestos)</t>
  </si>
  <si>
    <t>Tipo</t>
  </si>
  <si>
    <t>Real</t>
  </si>
  <si>
    <t>Proyección</t>
  </si>
  <si>
    <t>Tipo de Costo</t>
  </si>
  <si>
    <t>Especificación</t>
  </si>
  <si>
    <t>Nro Proyecto</t>
  </si>
  <si>
    <t>Tipo de proyecto</t>
  </si>
  <si>
    <t>Proyecto</t>
  </si>
  <si>
    <t>Cantidad de horas objetivo</t>
  </si>
  <si>
    <t>Cantidad de horas reales Asana</t>
  </si>
  <si>
    <t>Cantidad de horas para facturación</t>
  </si>
  <si>
    <t>Valor Hora</t>
  </si>
  <si>
    <t>Moneda Original ARS</t>
  </si>
  <si>
    <t>Moneda Original USD</t>
  </si>
  <si>
    <t>Directo</t>
  </si>
  <si>
    <t>PRO-00002734</t>
  </si>
  <si>
    <t>Fee</t>
  </si>
  <si>
    <t>Fee mensual</t>
  </si>
  <si>
    <t>PRO-00002736</t>
  </si>
  <si>
    <t>Fee Marketing</t>
  </si>
  <si>
    <t>Indirecto</t>
  </si>
  <si>
    <t>N/A, para Asana</t>
  </si>
  <si>
    <t>PRO-00002646</t>
  </si>
  <si>
    <t>One Shot</t>
  </si>
  <si>
    <t>Colapinto</t>
  </si>
  <si>
    <t>PRO-00002735</t>
  </si>
  <si>
    <t>General</t>
  </si>
  <si>
    <t>PRO-00002698</t>
  </si>
  <si>
    <t>Tracking 3 meses</t>
  </si>
  <si>
    <t>PRO-00002733</t>
  </si>
  <si>
    <t>PRO-00002709</t>
  </si>
  <si>
    <t>Fee créditos</t>
  </si>
  <si>
    <t>PRO-00002739</t>
  </si>
  <si>
    <t>Dashboard PBI</t>
  </si>
  <si>
    <t>PRO-00002790</t>
  </si>
  <si>
    <t>PRO-00002742</t>
  </si>
  <si>
    <t>PRO-00002791</t>
  </si>
  <si>
    <t>PRO-00002828</t>
  </si>
  <si>
    <t>PRO-00002789</t>
  </si>
  <si>
    <t>PRO-00002829</t>
  </si>
  <si>
    <t>Estudio Atributos</t>
  </si>
  <si>
    <t>PRO-00002799</t>
  </si>
  <si>
    <t>PRO-00002794</t>
  </si>
  <si>
    <t>PRO-00002857</t>
  </si>
  <si>
    <t>PRO-00002801</t>
  </si>
  <si>
    <t>PRO-00002912</t>
  </si>
  <si>
    <t>Hecho en Mexico</t>
  </si>
  <si>
    <t>PRO-00002795</t>
  </si>
  <si>
    <t>PRO-00002860</t>
  </si>
  <si>
    <t>PRO-00002968</t>
  </si>
  <si>
    <t>Demo</t>
  </si>
  <si>
    <t>Quilmes Rock</t>
  </si>
  <si>
    <t>PRO-00002802</t>
  </si>
  <si>
    <t>PRO-00002928</t>
  </si>
  <si>
    <t>Fee Mensual</t>
  </si>
  <si>
    <t>Uber Taxis</t>
  </si>
  <si>
    <t>PRO-00003010</t>
  </si>
  <si>
    <t>PRO-00003036</t>
  </si>
  <si>
    <t>Fee Huggies</t>
  </si>
  <si>
    <t>6.33</t>
  </si>
  <si>
    <t>PRO-00003014</t>
  </si>
  <si>
    <t>PRO-00003020</t>
  </si>
  <si>
    <t>PRO-00002991</t>
  </si>
  <si>
    <t>PRO-00003004</t>
  </si>
  <si>
    <t>PRO-00003037</t>
  </si>
  <si>
    <t>Olas</t>
  </si>
  <si>
    <t>PRO-00003011</t>
  </si>
  <si>
    <t>PRO-00003082</t>
  </si>
  <si>
    <t>PRO-00003013</t>
  </si>
  <si>
    <t>PRO-00003015</t>
  </si>
  <si>
    <t>PRO-00003056</t>
  </si>
  <si>
    <t>PRO-0003012</t>
  </si>
  <si>
    <t>PRO-00003115</t>
  </si>
  <si>
    <t>Exploratorio Categoría Apps Delivery</t>
  </si>
  <si>
    <t>PRO-0003016</t>
  </si>
  <si>
    <t>Tracking Campaña Vacaciones Invierno</t>
  </si>
  <si>
    <t>PRO-0003020</t>
  </si>
  <si>
    <t>PRO-0003083</t>
  </si>
  <si>
    <t>PRO-0003161</t>
  </si>
  <si>
    <t>Diego Perez</t>
  </si>
  <si>
    <t>PRO-0003014</t>
  </si>
  <si>
    <t>PRO-0003163</t>
  </si>
  <si>
    <t>PRO-0003037</t>
  </si>
  <si>
    <t>PRO-0003164</t>
  </si>
  <si>
    <t>PRO-0003162</t>
  </si>
  <si>
    <t xml:space="preserve">Referentes Obesidad </t>
  </si>
  <si>
    <t>PRO-00003165</t>
  </si>
  <si>
    <t>Bono</t>
  </si>
  <si>
    <t>PRO-00003166</t>
  </si>
  <si>
    <t>PRO-00003084</t>
  </si>
  <si>
    <t>PRO-00003231</t>
  </si>
  <si>
    <t>PRO-00003186</t>
  </si>
  <si>
    <t>PRO-00003233</t>
  </si>
  <si>
    <t>PRO-00003162</t>
  </si>
  <si>
    <t>Referentes Obesidad</t>
  </si>
  <si>
    <t>PRO-00003234</t>
  </si>
  <si>
    <t>Demo MSD</t>
  </si>
  <si>
    <t>PRO-00003163</t>
  </si>
  <si>
    <t>PRO-00003232</t>
  </si>
  <si>
    <t>PRO-00003164</t>
  </si>
  <si>
    <t>PRO-00003250</t>
  </si>
  <si>
    <t>PRO-00003298</t>
  </si>
  <si>
    <t>Fee Insights</t>
  </si>
  <si>
    <t>PRO-00003262</t>
  </si>
  <si>
    <t>PRO-00003253</t>
  </si>
  <si>
    <t>PRO-00003252</t>
  </si>
  <si>
    <t>PRO-00003299</t>
  </si>
  <si>
    <t>Evaluación Kulinaria Recetas  - Nicolás Fernández Miranda  - hablar_sana</t>
  </si>
  <si>
    <t>PRO-00003251</t>
  </si>
  <si>
    <t>Mes Facturación</t>
  </si>
  <si>
    <t>Año Facturación</t>
  </si>
  <si>
    <t>Mes Cobro</t>
  </si>
  <si>
    <t>Año Cobro</t>
  </si>
  <si>
    <t>Confirmado</t>
  </si>
  <si>
    <t>Propuesta enviada</t>
  </si>
  <si>
    <t>Condición de pago</t>
  </si>
  <si>
    <t xml:space="preserve"> Ajuste</t>
  </si>
  <si>
    <t>Valor Base</t>
  </si>
  <si>
    <t>Monto Total ARS CON IVA</t>
  </si>
  <si>
    <t>Monto Total USD CON IVA</t>
  </si>
  <si>
    <t>Facturado/No Facturado</t>
  </si>
  <si>
    <t>Pasado/Futuro</t>
  </si>
  <si>
    <t>Facturado</t>
  </si>
  <si>
    <t>No Facturado</t>
  </si>
  <si>
    <t>Dashboard</t>
  </si>
  <si>
    <t>Efectivo</t>
  </si>
  <si>
    <t>No requiere factura</t>
  </si>
  <si>
    <t>Modificaciones Pagina Web</t>
  </si>
  <si>
    <t>Vacaciones Invierno</t>
  </si>
  <si>
    <t>Categoria</t>
  </si>
  <si>
    <t>Exploratorio Nicaragua</t>
  </si>
  <si>
    <t>Background check 3 influencers</t>
  </si>
  <si>
    <t>Exploratorio TACC</t>
  </si>
  <si>
    <t>Tracking 3 Meses</t>
  </si>
  <si>
    <t xml:space="preserve">Año </t>
  </si>
  <si>
    <t>Tipo_Venta</t>
  </si>
  <si>
    <t>Monto_ARS</t>
  </si>
  <si>
    <t>Monto_USD</t>
  </si>
  <si>
    <t>Enero</t>
  </si>
  <si>
    <t>Febrero</t>
  </si>
  <si>
    <t>Marzo</t>
  </si>
  <si>
    <t>Abril</t>
  </si>
  <si>
    <t>Mayo</t>
  </si>
  <si>
    <t>Junio</t>
  </si>
  <si>
    <t>Julio</t>
  </si>
  <si>
    <t>Agosto</t>
  </si>
  <si>
    <t>Septiembre</t>
  </si>
  <si>
    <t>Octubre</t>
  </si>
  <si>
    <t>Noviembre</t>
  </si>
  <si>
    <t>Diciembre</t>
  </si>
  <si>
    <t>febrero</t>
  </si>
  <si>
    <t>Cambios Web</t>
  </si>
  <si>
    <t>¿Cómo usar?
Todos los meses, una vez que se actualiza la información para le cierre se presiona en el lapiz (editar) y en filtros &gt; Mes se elige el que se está cerrando y se elige cliente por cliente para ver las horas consumidas por cliente. Esa información se traslada luego a las solapas de MarkUp por cliente
Esta tabla dinámica se utiliza también para ver a nivel total si las horas están ok cargadas vs Asana y además validar que los fijos lleguen al total de horas para reasignar a Epical General en caso que falten (Full Time 160 - Part Time 120)</t>
  </si>
  <si>
    <t>Valores</t>
  </si>
  <si>
    <t>Cantidad de Horas</t>
  </si>
  <si>
    <t>Total</t>
  </si>
  <si>
    <t>Suma total</t>
  </si>
  <si>
    <t>CIERRE POR CUENTA Y PERSONA
¿Cómo usar?
Todos los meses, una vez que se actualiza la información para le cierre se presiona en el lapiz (editar) y en filtros &gt; Mes se elige el que se está cerrando.
En la primera tabla dinámica se revisa que el total de horas esté ok vs el total disponible de los fijos y vs Asana para los variables. La idea es que si a los fijos les faltan horas, se pueda sumar como campo en Epical dentro de la solapa Costos directos e indirectos</t>
  </si>
  <si>
    <t>Cantidad de Horas Reales</t>
  </si>
  <si>
    <t xml:space="preserve">TABLA  DE COSTOS 
SOLAPA: MARKUP POR CLIENTE 
PERIODICIDAD: RETROACTIVO Y PARA CIERRE. 
ALIMENTA COSTOS DIRECTOS DE PROYECTOS
¿Cómo usar?
Todos los meses, una vez que se actualiza la información para le cierre en la solapa Costos directos e indirectos se presiona en el lapiz (editar) y en filtros &gt; Mes se elige el que se está cerrando y se elige también el cliente.
</t>
  </si>
  <si>
    <t>Total ARS</t>
  </si>
  <si>
    <r>
      <rPr>
        <color rgb="FF1155CC"/>
        <u/>
      </rPr>
      <t>TABLA  DE COSTOS REALES</t>
    </r>
    <r>
      <rPr>
        <color rgb="FFFFFFFF"/>
      </rPr>
      <t xml:space="preserve">
SOLAPA: MARKUP GENERAL 
PERIODICIDAD: RETROACTIVO Y PARA CIERRE. 
ALIMENTA COSTOS DE RESULTADOS
YOUSCAN ESTA PRORRATEADO
</t>
    </r>
    <r>
      <rPr>
        <color rgb="FF1155CC"/>
        <u/>
      </rPr>
      <t>ESTA TABLA SE ACTUALIZA AUTOMÁTICAMENTE CUANDO HAY MODIFICACIONES EN Costos directos e indirectos</t>
    </r>
    <r>
      <rPr>
        <color rgb="FFFFFFFF"/>
      </rPr>
      <t xml:space="preserve">
¿Cómo usar?
Todos los meses cuando se hace el cierre de costos de equipo se carga la solapa Costos directos e indirectos y se actualiza automáticamente esta TD. Además, una vez que Michelle cierra el pasivo se cargan el resto de los costos ahí mismo y vuelve a actualizarse la TD automáticamente. Una vez hecho esto, se filtra el mes que está cerrando y se trasladada a MarkUp General.</t>
    </r>
  </si>
  <si>
    <t>CONTROL PASIVO VS COSTOS PLASMADOS. 
Sirve simplemente para ver que no haya grandes discrepancias entre pasivo y costos considerador para el cierre de resultados y alinear a su vez criterios.</t>
  </si>
  <si>
    <t>COSTOS</t>
  </si>
  <si>
    <t>PASIVO</t>
  </si>
  <si>
    <t>SUM de Monto Total USD</t>
  </si>
  <si>
    <r>
      <rPr>
        <color rgb="FF1155CC"/>
        <u/>
      </rPr>
      <t>TABLA  DE COSTOS ARR REAL</t>
    </r>
    <r>
      <rPr>
        <color rgb="FFFFFFFF"/>
      </rPr>
      <t xml:space="preserve">
SOLAPA: MARKUP GENERAL 
PERIODICIDAD: RETROACTIVO Y PARA CIERRE. 
ALIMENTA COSTOS DE SSR
YOUSCAN ESTA PRORRATEADO
</t>
    </r>
    <r>
      <rPr>
        <color rgb="FF1155CC"/>
        <u/>
      </rPr>
      <t>ESTA TABLA SE ACTUALIZA AUTOMÁTICAMENTE CUANDO HAY MODIFICACIONES EN Costos directos e indirectos</t>
    </r>
    <r>
      <rPr>
        <color rgb="FFFFFFFF"/>
      </rPr>
      <t xml:space="preserve">
Sirve para reemplazar los estimados con los reales de cada mes en el calculo del SSR. Se debe actualizar con el mes de cierre una vez que esté Costos directos e indirectos cargado. Luego se copia y pega en Mark Up General
SE FILTRA EL MES NO SE TIENE PRESENTE LOS BONOS NI LOS IMPUESTOS USA</t>
    </r>
  </si>
  <si>
    <r>
      <rPr>
        <rFont val="Arial"/>
        <color rgb="FFFFFFFF"/>
      </rPr>
      <t xml:space="preserve">Esta tabla no se usa más que para poder calcular el total de impuestos ARG y luego trasladar a Costos Estimados.
</t>
    </r>
    <r>
      <rPr>
        <rFont val="Arial"/>
        <b/>
        <color rgb="FFFFFFFF"/>
      </rPr>
      <t>Se actualiza el dato en la solapa Costos estimados una vez que tenemos actualiza la solapa Proyectos confirmados y estimados.</t>
    </r>
  </si>
  <si>
    <t>IMPUESTOS ESTIMADOS</t>
  </si>
  <si>
    <t>SUM de IVA</t>
  </si>
  <si>
    <t>SUM de IIBB</t>
  </si>
  <si>
    <t>Total 2025</t>
  </si>
  <si>
    <t>Total 2026</t>
  </si>
  <si>
    <r>
      <rPr>
        <color rgb="FF1155CC"/>
        <u/>
      </rPr>
      <t xml:space="preserve">TABLA DE PROYECTOS CONFIRMADOS Y ESTIMADOS, NETOS. </t>
    </r>
    <r>
      <rPr>
        <color rgb="FFFFFFFF"/>
      </rPr>
      <t xml:space="preserve">
SOLAPA QUE ALIMENTA: MARKUP GENERAL 
PERIODICIDAD: RETROACTIVO, PARA CIERRE Y ESTIMADO. 
ALIMENTA VENTAS DE RESULTADOS
</t>
    </r>
    <r>
      <rPr>
        <b/>
        <color rgb="FFFF0000"/>
      </rPr>
      <t>NO MODIFICAR FORMATO NI FILTROS ESTA FORMULADO</t>
    </r>
    <r>
      <rPr>
        <color rgb="FFFFFFFF"/>
      </rPr>
      <t xml:space="preserve">
</t>
    </r>
    <r>
      <rPr>
        <color rgb="FF1155CC"/>
        <u/>
      </rPr>
      <t>ESTA TABLA SE ACTUALIZA AUTOMÁTICAMENTE CUANDO HAY MODIFICACIONES EN 
TABLA Proyectos confirmados y estimados</t>
    </r>
    <r>
      <rPr>
        <color rgb="FFFFFFFF"/>
      </rPr>
      <t xml:space="preserve">
Sirve para completar las ventas netas del mes y estimadas en Seguimiento Mark Up General. 
Se actualiza todos los meses al cierre de mes y una vez que se actualiza el dato de REM del tipo de cambio (mitad de mes aproximadamente)</t>
    </r>
  </si>
  <si>
    <t>PROYECTOS CONFIRMADO Y ESTIMADOS</t>
  </si>
  <si>
    <r>
      <rPr>
        <color rgb="FF1155CC"/>
        <u/>
      </rPr>
      <t>TABLA DE PROYECTOS 100% CONFIRMADOS PARA ARR.</t>
    </r>
    <r>
      <rPr>
        <color rgb="FFFFFFFF"/>
      </rPr>
      <t xml:space="preserve">
SOLAPA QUE ALIMENTA: MARKUP GENERAL 
PERIODICIDAD: ESTIMADO. 
ALIMENTA VENTAS PROYECTADAS CONFIRMADAS PARA SSR. SE PEGA SOLO LO ESTIMADO.
</t>
    </r>
    <r>
      <rPr>
        <b/>
        <color rgb="FFFF0000"/>
      </rPr>
      <t>NO TOCAR FORMATO NI FILTROS ESTA FORMULADA</t>
    </r>
    <r>
      <rPr>
        <color rgb="FFFFFFFF"/>
      </rPr>
      <t xml:space="preserve">
</t>
    </r>
    <r>
      <rPr>
        <color rgb="FF1155CC"/>
        <u/>
      </rPr>
      <t>ESTA TABLA SE ACTUALIZA AUTOMÁTICAMENTE CUANDO HAY MODIFICACIONES EN 
TABLA Proyectos confirmados y estimados</t>
    </r>
  </si>
  <si>
    <t xml:space="preserve">PROYECTOS CONFIRMADOS </t>
  </si>
  <si>
    <r>
      <rPr>
        <color rgb="FF1155CC"/>
        <u/>
      </rPr>
      <t xml:space="preserve">TABLA DE PROYECTOS ESTIMADOS PARA ESTADO DE SITUACIÓN A 60 DÍAS EN USD PERO LOS ARS CON IVA  </t>
    </r>
    <r>
      <rPr>
        <color rgb="FFFFFFFF"/>
      </rPr>
      <t xml:space="preserve">
SOLAPA QUE ALIMENTA: MARKUP GENERAL 
PERIODICIDAD: ESTIMADO. 
ALIMENTA VENTAS PROYECTADAS EN USD CON ARS BRUTO. SE PEGA SOLO LO ESTIMADO.
</t>
    </r>
    <r>
      <rPr>
        <color rgb="FF1155CC"/>
        <u/>
      </rPr>
      <t>ESTA TABLA SE ACTUALIZA AUTOMÁTICAMENTE CUANDO HAY MODIFICACIONES EN 
TABLA Proyectos confirmados y estimados</t>
    </r>
  </si>
  <si>
    <t>SUM de Monto Total USD CON IVA</t>
  </si>
  <si>
    <r>
      <rPr>
        <b val="0"/>
        <color rgb="FF1155CC"/>
        <u/>
      </rPr>
      <t>TABLA  DE COSTOS ESTIMADOS</t>
    </r>
    <r>
      <rPr>
        <b val="0"/>
        <color rgb="FFFFFFFF"/>
      </rPr>
      <t xml:space="preserve">
SOLAPA: MARKUP GENERAL 
PERIODICIDAD: ESTIMADO
ALIMENTA COSTOS ESTIMADOS DE RESULTADOS
YOUSCAN ESTA PRORRATEADO. </t>
    </r>
    <r>
      <rPr>
        <b/>
        <color rgb="FFFFFFFF"/>
      </rPr>
      <t xml:space="preserve">
</t>
    </r>
    <r>
      <rPr>
        <b/>
        <color rgb="FF1155CC"/>
        <u/>
      </rPr>
      <t>ESTA TABLA SE ACTUALIZA AUTOMÁTICAMENTE CUANDO HAY MODIFICACIONES EN LA SOLAPA DE COSTOS ESTIMADOS</t>
    </r>
    <r>
      <rPr>
        <b/>
        <color rgb="FFFFFFFF"/>
      </rPr>
      <t xml:space="preserve">
</t>
    </r>
    <r>
      <rPr>
        <b/>
        <color rgb="FFFF0000"/>
      </rPr>
      <t xml:space="preserve">NO CAMBIAR FORMATO POR ESTÁ FORMULADO.
</t>
    </r>
    <r>
      <rPr>
        <b/>
        <color rgb="FFFFFFFF"/>
      </rPr>
      <t>A MARKUP GENERAL SOLO SE CARGAN LOS MESES ESTIMADOS, POR EJEMPLO AL CIERRE DE AGOSTO SE CARGA SEP, OCT, NOV, DIC.</t>
    </r>
  </si>
  <si>
    <r>
      <rPr>
        <color rgb="FF1155CC"/>
        <u/>
      </rPr>
      <t>TABLA  DE COSTOS PARA A</t>
    </r>
    <r>
      <rPr>
        <color rgb="FFFFFFFF"/>
      </rPr>
      <t xml:space="preserve">RR
SOLAPA: MARKUP GENERAL 
PERIODICIDAD: ESTIMADO
ALIMENTA COSTOS ESTIMADOS DE SSR
YOUSCAN ESTA PRORRATEADO. 
</t>
    </r>
    <r>
      <rPr>
        <color rgb="FF1155CC"/>
        <u/>
      </rPr>
      <t>ESTA TABLA SE ACTUALIZA AUTOMÁTICAMENTE CUANDO HAY MODIFICACIONES EN LA SOLAPA DE COSTOS ESTIMADOS</t>
    </r>
    <r>
      <rPr>
        <color rgb="FFFFFFFF"/>
      </rPr>
      <t xml:space="preserve">
</t>
    </r>
    <r>
      <rPr>
        <b/>
        <color rgb="FFFF0000"/>
      </rPr>
      <t>NO CAMBIAR FORMATO POR ESTÁ FORMULADO.</t>
    </r>
    <r>
      <rPr>
        <color rgb="FFFFFFFF"/>
      </rPr>
      <t xml:space="preserve">
A MARKUP GENERAL SOLO SE CARGAN LOS MESES ESTIMADOS, POR EJEMPLO AL CIERRE DE AGOSTO SE CARGA SEP, OCT, NOV, DIC.</t>
    </r>
  </si>
  <si>
    <t>COSTOS ESTIMADOS</t>
  </si>
  <si>
    <t>Facturación [USD]</t>
  </si>
  <si>
    <t>Costos [USD]</t>
  </si>
  <si>
    <t>Facturación [ARS]</t>
  </si>
  <si>
    <t>Costos [ARS]</t>
  </si>
  <si>
    <t>OLA'S</t>
  </si>
  <si>
    <t>RESULTADOS</t>
  </si>
  <si>
    <r>
      <rPr>
        <b/>
        <color rgb="FFFFFFFF"/>
      </rPr>
      <t xml:space="preserve">COSTOS
CIERRE DE MES </t>
    </r>
    <r>
      <rPr>
        <b/>
        <color rgb="FF1155CC"/>
        <u/>
      </rPr>
      <t>'TD Costos para seguimiento MARKUP'!A19</t>
    </r>
    <r>
      <rPr>
        <b/>
        <color rgb="FFFFFFFF"/>
      </rPr>
      <t xml:space="preserve">
ESTIMADOS </t>
    </r>
    <r>
      <rPr>
        <b/>
        <color rgb="FF1155CC"/>
        <u/>
      </rPr>
      <t>'TD Costos Estimados para proyección MARKUP'!A1</t>
    </r>
  </si>
  <si>
    <t>Proyección automatizada en base a solapa TD Costos Estimados para proyección MARKUP</t>
  </si>
  <si>
    <t>Total Año</t>
  </si>
  <si>
    <t>Q1</t>
  </si>
  <si>
    <t>Q2</t>
  </si>
  <si>
    <t>Q3</t>
  </si>
  <si>
    <t>Q4</t>
  </si>
  <si>
    <t>Calculo estimación Impuesto USA</t>
  </si>
  <si>
    <t xml:space="preserve">Suma total sin IVA </t>
  </si>
  <si>
    <t>Suma total restando Impuestos e intereses Oxean</t>
  </si>
  <si>
    <t>Costos DIRECTOS (todo el equipo con bonos, vickys /2, Youscan)</t>
  </si>
  <si>
    <t>CONTROL VS TD. PEGAR MANUALMENTE TOTALES DESDE TABLA DINAMICA</t>
  </si>
  <si>
    <r>
      <rPr>
        <b/>
        <color rgb="FFFFFFFF"/>
      </rPr>
      <t xml:space="preserve">VENTAS
CIERRE DE MES y ESTIMADOS </t>
    </r>
    <r>
      <rPr>
        <b/>
        <color rgb="FF1155CC"/>
        <u/>
      </rPr>
      <t>TD Proyectos confirmados y estimados</t>
    </r>
  </si>
  <si>
    <t>VENTAS</t>
  </si>
  <si>
    <t>CONTROL</t>
  </si>
  <si>
    <t>EBIT Utilidad operativa (VENTAS - COSTOS Suma total sin Impuestos -arg y usa- y sin intereses Oxean)</t>
  </si>
  <si>
    <t>Resultado neto de intereses e impuestos reales y provisionados (menos IVA)</t>
  </si>
  <si>
    <t>Margen operativo (Utilidad operativa / Suma Total Ventas)</t>
  </si>
  <si>
    <t>MarkUp (Suma Total Ventas / Costos DIRECTOS (todo el equipo con bonos, vickys /2, Youscan)</t>
  </si>
  <si>
    <t>Proyección resultado: Utilidad operativa mes actual + 2 meses</t>
  </si>
  <si>
    <t>ARR</t>
  </si>
  <si>
    <r>
      <rPr>
        <b/>
        <color rgb="FFFFFFFF"/>
      </rPr>
      <t xml:space="preserve">VENTAS: SE CONSIDERAN LAS VENTAS CONFIRMADAS 100%. 
DESDE </t>
    </r>
    <r>
      <rPr>
        <b/>
        <color rgb="FF1155CC"/>
        <u/>
      </rPr>
      <t xml:space="preserve">TD Proyectos confirmados y estimados.
</t>
    </r>
  </si>
  <si>
    <r>
      <rPr>
        <b/>
        <color rgb="FFFFFFFF"/>
      </rPr>
      <t xml:space="preserve">COSTOS: SE CONSIDERAN COSTOS FIJOS, SIN LOS BONOS Y LOS PERFILES EXTRAS. SIN IMPUESTOS ARG USA. SIN INTERESES
ESTIMADO DESDE </t>
    </r>
    <r>
      <rPr>
        <b/>
        <color rgb="FF1155CC"/>
        <u/>
      </rPr>
      <t xml:space="preserve">TD Costos Estimados para proyección MARKUP
</t>
    </r>
    <r>
      <rPr>
        <b/>
        <color rgb="FFFFFFFF"/>
      </rPr>
      <t xml:space="preserve">REAL DESDE </t>
    </r>
    <r>
      <rPr>
        <b/>
        <color rgb="FF1155CC"/>
        <u/>
      </rPr>
      <t>TD Costos para seguimiento MARKUP</t>
    </r>
  </si>
  <si>
    <t xml:space="preserve">ESTIMADO SIN BONOS NI PERFIL EXTRA. AUTOMATIZADO EN BASE A TD Costos Estimados para proyección MARKUP - TABLA COSTOS FIJOS PARA SSR </t>
  </si>
  <si>
    <t>Promedio ventas</t>
  </si>
  <si>
    <t>Total Ventas</t>
  </si>
  <si>
    <t>Promedio costos</t>
  </si>
  <si>
    <t>Total Costos</t>
  </si>
  <si>
    <t>Utilidad operativa</t>
  </si>
  <si>
    <t>TABLA PROYECCIONES VENTAS USD Y ARS EN USD CON IVA PARA ESTADO DE SITUACIÓN 60 DÍAS</t>
  </si>
  <si>
    <r>
      <rPr>
        <b/>
        <color rgb="FFFFFFFF"/>
      </rPr>
      <t xml:space="preserve">VENTAS: SE CONSIDERAN LAS VENTAS EN USD + LAS VENTAS EN ARS CON IVA INCLUIDO.
DESDE </t>
    </r>
    <r>
      <rPr>
        <b/>
        <color rgb="FF1155CC"/>
        <u/>
      </rPr>
      <t>TD Proyectos confirmados y estimados</t>
    </r>
  </si>
  <si>
    <t>TIPO DE CAMBIO</t>
  </si>
  <si>
    <t>05 May</t>
  </si>
  <si>
    <t>06 Jun</t>
  </si>
  <si>
    <t>07 Jul</t>
  </si>
  <si>
    <t>08 Ago</t>
  </si>
  <si>
    <t>BAJA DE FRECUENCIA Y PRECIO</t>
  </si>
  <si>
    <t>09 Sep</t>
  </si>
  <si>
    <t>10 Oct</t>
  </si>
  <si>
    <t>11 Nov</t>
  </si>
  <si>
    <t>12 Dic</t>
  </si>
  <si>
    <t>Cantidad de horas asignadas</t>
  </si>
  <si>
    <t>Total USD</t>
  </si>
  <si>
    <t>RESULTADO MAYO</t>
  </si>
  <si>
    <t>RESULTADO JUNIO</t>
  </si>
  <si>
    <t>RESULTADO JULIO</t>
  </si>
  <si>
    <t>RESULTADO AGO</t>
  </si>
  <si>
    <t>RESULTADO SEP</t>
  </si>
  <si>
    <t>RESULTADO OCT</t>
  </si>
  <si>
    <t>RESULTADO NOV</t>
  </si>
  <si>
    <t>RESULTADO DIC</t>
  </si>
  <si>
    <t>AR$</t>
  </si>
  <si>
    <t>Costos totales</t>
  </si>
  <si>
    <t>Precio venta</t>
  </si>
  <si>
    <t>Margen</t>
  </si>
  <si>
    <t>Impuesto</t>
  </si>
  <si>
    <t>FEE MKTG</t>
  </si>
  <si>
    <t>01 Ene</t>
  </si>
  <si>
    <t>02 Feb</t>
  </si>
  <si>
    <t>03 Mar</t>
  </si>
  <si>
    <t>04 Abr</t>
  </si>
  <si>
    <t>RESULTADO ENE</t>
  </si>
  <si>
    <t>RESULTADO FEB</t>
  </si>
  <si>
    <t>RESULTADO MAR</t>
  </si>
  <si>
    <t>RESULTADO ABR</t>
  </si>
  <si>
    <t>RESULTADO MAY</t>
  </si>
  <si>
    <t>RESULTADO JUN</t>
  </si>
  <si>
    <t>RESULTADO JUL</t>
  </si>
  <si>
    <t>FEE INSIGHTS</t>
  </si>
  <si>
    <t>PROX MES HACERLO POR CREIDTOS / el precio total</t>
  </si>
  <si>
    <t>Cantidad de horas objetivo POR CRÉDITO</t>
  </si>
  <si>
    <t>Objetivo Piratería: 3 créditos</t>
  </si>
  <si>
    <t>Jesse&amp;Joy: 1 crédito</t>
  </si>
  <si>
    <t>Costo estimado total proyecto insights</t>
  </si>
  <si>
    <t>Precio Neto</t>
  </si>
  <si>
    <t>DIEGO PEREZ</t>
  </si>
  <si>
    <t>Tomar mes de Facturción</t>
  </si>
  <si>
    <t>RESULTADO CIERRE</t>
  </si>
  <si>
    <t>REFERENTES OBESIDAD</t>
  </si>
  <si>
    <t>EXPLORATORIO CATEGORÍA</t>
  </si>
  <si>
    <t>OLAS</t>
  </si>
  <si>
    <t>PARCIAL. NO ESTAN LAS HORAS DE BOARD</t>
  </si>
  <si>
    <t>UBER TAXIS</t>
  </si>
  <si>
    <t>Valor Hora Promedio</t>
  </si>
  <si>
    <t>NO CERRADO</t>
  </si>
  <si>
    <t>TOM VACACIONES INVIERNOS</t>
  </si>
  <si>
    <t>ATRIBUTOS</t>
  </si>
  <si>
    <t>HECHO EN MEXICO</t>
  </si>
  <si>
    <t>-</t>
  </si>
  <si>
    <t>CONTRATO NUEVO</t>
  </si>
  <si>
    <t>OBJETIVO WARNER BELU</t>
  </si>
  <si>
    <t>HORAS</t>
  </si>
  <si>
    <t>Costo estimado mayo</t>
  </si>
  <si>
    <t>OBJETIVO KIMBERLY</t>
  </si>
  <si>
    <t>Horas</t>
  </si>
  <si>
    <t>Costo estimado (valor hora mayo)</t>
  </si>
  <si>
    <t>OBJETIVO COELSA</t>
  </si>
  <si>
    <t>OBJETIVO MODO (VIEJO)</t>
  </si>
  <si>
    <t>Costo estimado (valor hora junio)</t>
  </si>
  <si>
    <t>OBJETIVO MODO (NUEVO DESDE AGOSTO)</t>
  </si>
  <si>
    <t>Valor hora estimado</t>
  </si>
  <si>
    <t>TOTAL</t>
  </si>
  <si>
    <t>HERRAMIENTA</t>
  </si>
  <si>
    <t>DESVIO</t>
  </si>
  <si>
    <t>Mark up obj</t>
  </si>
  <si>
    <t>PERSONA EXTRA</t>
  </si>
  <si>
    <t>--</t>
  </si>
  <si>
    <t>Equipo estimado, a confirmar según disponibilidad</t>
  </si>
  <si>
    <t>OBJETIVO Pedidos YA</t>
  </si>
  <si>
    <t>OBJETIVO Animal Studio - Influencers</t>
  </si>
  <si>
    <t>Costo estimado (valor hora julio)</t>
  </si>
  <si>
    <t>OBJETIVO Animal Studio - Obesidad</t>
  </si>
  <si>
    <t>OBJETIVO Flybondi</t>
  </si>
  <si>
    <t>OBJETIVO TOM</t>
  </si>
  <si>
    <t>OBJETIVO UBER TAXIS</t>
  </si>
  <si>
    <t>OBJ AEROPUERTOS ARG BÁSICO</t>
  </si>
  <si>
    <t>OBJ AEROPUERTOS ARG INTERMEDIO</t>
  </si>
  <si>
    <t>OBJ AEROPUERTOS ARG FULL</t>
  </si>
  <si>
    <t>OBJ EGT (GAMING)</t>
  </si>
  <si>
    <t>OBJ MOLINO CHACABUCO</t>
  </si>
  <si>
    <t>Costo estimado (valor hora agosto)</t>
  </si>
  <si>
    <t>ANALISTA SR</t>
  </si>
  <si>
    <t>DESVÍO</t>
  </si>
  <si>
    <t>OBJETIVO WARNER INSIGHTS POR INFORME LANDSCAPE</t>
  </si>
  <si>
    <t>Costo estimado sept</t>
  </si>
  <si>
    <t>COMPLETAR</t>
  </si>
  <si>
    <t>Pago en Febrero</t>
  </si>
  <si>
    <t>Pago en Marzo</t>
  </si>
  <si>
    <t>Pago en Abril</t>
  </si>
  <si>
    <t>Pago en Mayo</t>
  </si>
  <si>
    <t>Pago en Junio</t>
  </si>
  <si>
    <t>Pago en Julio</t>
  </si>
  <si>
    <t>Pago en Agosto</t>
  </si>
  <si>
    <t>Pago en Septiembre</t>
  </si>
  <si>
    <t>Pago en Octubre</t>
  </si>
  <si>
    <t>Pago en Noviembre</t>
  </si>
  <si>
    <t>Pago en Diciembre</t>
  </si>
  <si>
    <t>Pago en Enero</t>
  </si>
  <si>
    <t>Ajuste</t>
  </si>
  <si>
    <t>Valor Hora Ajustada</t>
  </si>
  <si>
    <t>Promedio Año</t>
  </si>
  <si>
    <t>01 ene 2025</t>
  </si>
  <si>
    <t>02 feb 2025</t>
  </si>
  <si>
    <t>03 mar 2025</t>
  </si>
  <si>
    <t>04 abr 2025</t>
  </si>
  <si>
    <t>05 may 2025</t>
  </si>
  <si>
    <t>06 jun 2025</t>
  </si>
  <si>
    <t>07 jul 2025</t>
  </si>
  <si>
    <t>08 ago 2025</t>
  </si>
  <si>
    <t>09 sep 2025</t>
  </si>
  <si>
    <t>10 oct 2025</t>
  </si>
  <si>
    <t>11 nov 2025</t>
  </si>
  <si>
    <t>12 dic 2025</t>
  </si>
  <si>
    <t>01 ene 2026</t>
  </si>
  <si>
    <t>02 feb 2026</t>
  </si>
  <si>
    <t>03 mar 2026</t>
  </si>
  <si>
    <t>04 abr 2026</t>
  </si>
  <si>
    <t>05 may 2026</t>
  </si>
  <si>
    <t>06 jun 2026</t>
  </si>
  <si>
    <t>07 jul 2026</t>
  </si>
  <si>
    <t>08 ago 2026</t>
  </si>
  <si>
    <t>09 sep 2026</t>
  </si>
  <si>
    <t>10 oct 2026</t>
  </si>
  <si>
    <t>11 nov 2026</t>
  </si>
  <si>
    <t>12 dic 2026</t>
  </si>
  <si>
    <t>Puesto (Si subtipo es Equipo o Board)</t>
  </si>
  <si>
    <t>Cantidad de horas/Unidades</t>
  </si>
  <si>
    <t>Ajuste proveedor</t>
  </si>
  <si>
    <t>Pasado</t>
  </si>
  <si>
    <t>Futuro</t>
  </si>
  <si>
    <t>Vacaciones Formulado en Moneda Original</t>
  </si>
  <si>
    <t>SUM de Moneda Original ARS</t>
  </si>
  <si>
    <t>Part Time</t>
  </si>
  <si>
    <t>PM Sr</t>
  </si>
  <si>
    <t>PM Jr</t>
  </si>
  <si>
    <t>Sr</t>
  </si>
  <si>
    <t>Coordi</t>
  </si>
  <si>
    <t>Jr</t>
  </si>
  <si>
    <t>Semi Sr</t>
  </si>
  <si>
    <t>Suma total semestre</t>
  </si>
  <si>
    <t>SUELDO USD SIN BONOS REALES</t>
  </si>
  <si>
    <t>SUELDO USD SIN BONOS ESTIMADOS</t>
  </si>
  <si>
    <t>Inflación INDEC + REM (En amarillo)</t>
  </si>
  <si>
    <t>Link Indec</t>
  </si>
  <si>
    <r>
      <rPr>
        <color rgb="FF1155CC"/>
        <u/>
      </rPr>
      <t>https://www.indec.gob.ar/</t>
    </r>
    <r>
      <rPr/>
      <t xml:space="preserve"> y clickear en precios al consumidor para acceder al último informe disponible</t>
    </r>
  </si>
  <si>
    <t>Link Rem</t>
  </si>
  <si>
    <t>https://www.bcra.gob.ar/PublicacionesEstadisticas/Relevamiento_Expectativas_de_Mercado.asp</t>
  </si>
  <si>
    <t>Var Mensual</t>
  </si>
  <si>
    <t>próx. 12 meses</t>
  </si>
  <si>
    <t>2025</t>
  </si>
  <si>
    <t>Tipo de Cambio BCRA + REM (En amarillo)</t>
  </si>
  <si>
    <t>El últiimo día del mes te tomar tipo de cambio Blue</t>
  </si>
  <si>
    <t>Último día hábil del mes</t>
  </si>
  <si>
    <t>Prox 12 meses por falta de información</t>
  </si>
</sst>
</file>

<file path=xl/styles.xml><?xml version="1.0" encoding="utf-8"?>
<styleSheet xmlns="http://schemas.openxmlformats.org/spreadsheetml/2006/main" xmlns:x14ac="http://schemas.microsoft.com/office/spreadsheetml/2009/9/ac" xmlns:mc="http://schemas.openxmlformats.org/markup-compatibility/2006">
  <numFmts count="26">
    <numFmt numFmtId="164" formatCode="&quot;$&quot;#,##0"/>
    <numFmt numFmtId="165" formatCode="dd/mm/yyyy"/>
    <numFmt numFmtId="166" formatCode="d-m"/>
    <numFmt numFmtId="167" formatCode="d/m"/>
    <numFmt numFmtId="168" formatCode="d/M/yyyy"/>
    <numFmt numFmtId="169" formatCode="&quot;$&quot;#,##0.00"/>
    <numFmt numFmtId="170" formatCode="[$$]#,##0.00"/>
    <numFmt numFmtId="171" formatCode="[$$]#,##0"/>
    <numFmt numFmtId="172" formatCode="d/m/yyyy"/>
    <numFmt numFmtId="173" formatCode="[$$-2C0A]\ #,##0"/>
    <numFmt numFmtId="174" formatCode="[$ $]#,##0.00"/>
    <numFmt numFmtId="175" formatCode="d&quot;/&quot;m&quot;/&quot;yyyy"/>
    <numFmt numFmtId="176" formatCode="&quot;$&quot;#,##0.0"/>
    <numFmt numFmtId="177" formatCode="d-m-yyyy"/>
    <numFmt numFmtId="178" formatCode="dd mmm"/>
    <numFmt numFmtId="179" formatCode="_-&quot;$&quot;\ * #,##0_-;\-&quot;$&quot;\ * #,##0_-;_-&quot;$&quot;\ * &quot;-&quot;??_-;_-@"/>
    <numFmt numFmtId="180" formatCode="[$ $]#,##0"/>
    <numFmt numFmtId="181" formatCode="0.0"/>
    <numFmt numFmtId="182" formatCode="#,##0.000"/>
    <numFmt numFmtId="183" formatCode="0.0000000"/>
    <numFmt numFmtId="184" formatCode="0.00_ ;\-0.00\ "/>
    <numFmt numFmtId="185" formatCode="yyyy"/>
    <numFmt numFmtId="186" formatCode="#,##0.00000"/>
    <numFmt numFmtId="187" formatCode="#,##0.0000"/>
    <numFmt numFmtId="188" formatCode="0.000%"/>
    <numFmt numFmtId="189" formatCode="mmm-d"/>
  </numFmts>
  <fonts count="60">
    <font>
      <sz val="10.0"/>
      <color rgb="FF000000"/>
      <name val="Arial"/>
      <scheme val="minor"/>
    </font>
    <font>
      <b/>
      <color theme="1"/>
      <name val="Arial"/>
      <scheme val="minor"/>
    </font>
    <font>
      <color rgb="FF000000"/>
      <name val="Arial"/>
      <scheme val="minor"/>
    </font>
    <font>
      <color theme="1"/>
      <name val="Arial"/>
      <scheme val="minor"/>
    </font>
    <font>
      <color rgb="FFFFFFFF"/>
      <name val="Arial"/>
      <scheme val="minor"/>
    </font>
    <font>
      <b/>
      <color rgb="FF000000"/>
      <name val="Arial"/>
      <scheme val="minor"/>
    </font>
    <font>
      <u/>
      <color rgb="FF0000FF"/>
    </font>
    <font>
      <u/>
      <color rgb="FF0000FF"/>
    </font>
    <font>
      <u/>
      <color rgb="FF0000FF"/>
    </font>
    <font>
      <u/>
      <color rgb="FF0000FF"/>
    </font>
    <font>
      <u/>
      <color rgb="FF0000FF"/>
    </font>
    <font>
      <u/>
      <color rgb="FF0000FF"/>
    </font>
    <font>
      <u/>
      <color rgb="FF0000FF"/>
    </font>
    <font>
      <b/>
      <color rgb="FFFFFFFF"/>
      <name val="Arial"/>
      <scheme val="minor"/>
    </font>
    <font>
      <sz val="10.0"/>
      <color rgb="FF000000"/>
      <name val="&quot;Aptos Narrow&quot;"/>
    </font>
    <font>
      <sz val="10.0"/>
      <color rgb="FF000000"/>
      <name val="Arial"/>
    </font>
    <font>
      <b/>
      <sz val="10.0"/>
      <color rgb="FF000000"/>
      <name val="Arial"/>
    </font>
    <font>
      <b/>
      <sz val="10.0"/>
      <color rgb="FF000000"/>
      <name val="&quot;Aptos Narrow&quot;"/>
    </font>
    <font>
      <sz val="10.0"/>
      <color theme="1"/>
      <name val="Calibri"/>
    </font>
    <font>
      <sz val="11.0"/>
      <color rgb="FF000000"/>
      <name val="&quot;Aptos Narrow&quot;"/>
    </font>
    <font>
      <color rgb="FF000000"/>
      <name val="&quot;Aptos Narrow&quot;"/>
    </font>
    <font>
      <color rgb="FF000000"/>
      <name val="Arial"/>
    </font>
    <font>
      <color theme="1"/>
      <name val="Arial"/>
    </font>
    <font>
      <b/>
      <color theme="1"/>
      <name val="Arial"/>
    </font>
    <font>
      <sz val="11.0"/>
      <color theme="1"/>
      <name val="Calibri"/>
    </font>
    <font>
      <b/>
      <sz val="11.0"/>
      <color theme="1"/>
      <name val="Calibri"/>
    </font>
    <font>
      <sz val="11.0"/>
      <color rgb="FF000000"/>
      <name val="Calibri"/>
    </font>
    <font>
      <color rgb="FFFF0000"/>
      <name val="Arial"/>
      <scheme val="minor"/>
    </font>
    <font>
      <b/>
      <color rgb="FFFF0000"/>
      <name val="Arial"/>
      <scheme val="minor"/>
    </font>
    <font>
      <color theme="1"/>
      <name val="Calibri"/>
    </font>
    <font>
      <color rgb="FF222222"/>
      <name val="Arial"/>
    </font>
    <font>
      <sz val="10.0"/>
      <color theme="1"/>
      <name val="Arial"/>
    </font>
    <font>
      <b/>
      <color theme="1"/>
      <name val="Calibri"/>
    </font>
    <font>
      <b/>
      <sz val="10.0"/>
      <color theme="1"/>
      <name val="Calibri"/>
    </font>
    <font>
      <color rgb="FF9900FF"/>
      <name val="Arial"/>
      <scheme val="minor"/>
    </font>
    <font>
      <sz val="10.0"/>
      <color rgb="FFFF0000"/>
      <name val="Calibri"/>
    </font>
    <font>
      <sz val="10.0"/>
      <color rgb="FF000000"/>
      <name val="Calibri"/>
    </font>
    <font>
      <sz val="11.0"/>
      <color rgb="FFFF0000"/>
      <name val="Calibri"/>
    </font>
    <font>
      <sz val="10.0"/>
      <color theme="1"/>
      <name val="Arial"/>
      <scheme val="minor"/>
    </font>
    <font>
      <color rgb="FF000000"/>
      <name val="Calibri"/>
    </font>
    <font>
      <b/>
      <sz val="11.0"/>
      <color rgb="FF000000"/>
      <name val="Calibri"/>
    </font>
    <font>
      <sz val="10.0"/>
      <color rgb="FF1F1F1F"/>
      <name val="Calibri"/>
    </font>
    <font>
      <b/>
      <sz val="10.0"/>
      <color theme="1"/>
      <name val="Arial"/>
    </font>
    <font>
      <b/>
      <sz val="10.0"/>
      <color rgb="FFFF0000"/>
      <name val="Arial"/>
    </font>
    <font>
      <sz val="10.0"/>
      <color rgb="FF9900FF"/>
      <name val="Arial"/>
    </font>
    <font>
      <sz val="11.0"/>
      <color rgb="FF4472C4"/>
      <name val="Calibri"/>
    </font>
    <font>
      <sz val="10.0"/>
      <color rgb="FFFF0000"/>
      <name val="Arial"/>
    </font>
    <font>
      <b/>
      <sz val="11.0"/>
      <color rgb="FFFFFFFF"/>
      <name val="Arial"/>
    </font>
    <font>
      <b/>
      <color rgb="FFFF0000"/>
      <name val="Arial"/>
    </font>
    <font>
      <color rgb="FFFFFFFF"/>
    </font>
    <font>
      <u/>
      <color rgb="FFFFFFFF"/>
    </font>
    <font>
      <b/>
      <u/>
      <color rgb="FFFFFFFF"/>
    </font>
    <font>
      <u/>
      <color rgb="FFFFFFFF"/>
    </font>
    <font>
      <b/>
      <u/>
      <color rgb="FFFFFFFF"/>
    </font>
    <font>
      <b/>
      <color rgb="FFFFFFFF"/>
    </font>
    <font>
      <b/>
      <color rgb="FFFFFFFF"/>
      <name val="Arial"/>
    </font>
    <font>
      <b/>
      <color rgb="FF000000"/>
      <name val="Arial"/>
    </font>
    <font>
      <sz val="11.0"/>
      <color theme="1"/>
      <name val="Arial"/>
    </font>
    <font>
      <u/>
      <color rgb="FF0000FF"/>
    </font>
    <font>
      <u/>
      <color rgb="FF0000FF"/>
    </font>
  </fonts>
  <fills count="32">
    <fill>
      <patternFill patternType="none"/>
    </fill>
    <fill>
      <patternFill patternType="lightGray"/>
    </fill>
    <fill>
      <patternFill patternType="solid">
        <fgColor rgb="FFB6D7A8"/>
        <bgColor rgb="FFB6D7A8"/>
      </patternFill>
    </fill>
    <fill>
      <patternFill patternType="solid">
        <fgColor rgb="FFFF00FF"/>
        <bgColor rgb="FFFF00FF"/>
      </patternFill>
    </fill>
    <fill>
      <patternFill patternType="solid">
        <fgColor rgb="FFFF9900"/>
        <bgColor rgb="FFFF9900"/>
      </patternFill>
    </fill>
    <fill>
      <patternFill patternType="solid">
        <fgColor rgb="FF3C78D8"/>
        <bgColor rgb="FF3C78D8"/>
      </patternFill>
    </fill>
    <fill>
      <patternFill patternType="solid">
        <fgColor rgb="FFFFD966"/>
        <bgColor rgb="FFFFD966"/>
      </patternFill>
    </fill>
    <fill>
      <patternFill patternType="solid">
        <fgColor rgb="FF00FFFF"/>
        <bgColor rgb="FF00FFFF"/>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
      <patternFill patternType="solid">
        <fgColor rgb="FFFCE5CD"/>
        <bgColor rgb="FFFCE5CD"/>
      </patternFill>
    </fill>
    <fill>
      <patternFill patternType="solid">
        <fgColor rgb="FFC9DAF8"/>
        <bgColor rgb="FFC9DAF8"/>
      </patternFill>
    </fill>
    <fill>
      <patternFill patternType="solid">
        <fgColor rgb="FFEAD1DC"/>
        <bgColor rgb="FFEAD1DC"/>
      </patternFill>
    </fill>
    <fill>
      <patternFill patternType="solid">
        <fgColor rgb="FF000000"/>
        <bgColor rgb="FF000000"/>
      </patternFill>
    </fill>
    <fill>
      <patternFill patternType="solid">
        <fgColor rgb="FFFFFFFF"/>
        <bgColor rgb="FFFFFFFF"/>
      </patternFill>
    </fill>
    <fill>
      <patternFill patternType="solid">
        <fgColor rgb="FFCCCCCC"/>
        <bgColor rgb="FFCCCCCC"/>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
      <patternFill patternType="solid">
        <fgColor rgb="FFB7B7B7"/>
        <bgColor rgb="FFB7B7B7"/>
      </patternFill>
    </fill>
    <fill>
      <patternFill patternType="solid">
        <fgColor rgb="FFCFE2F3"/>
        <bgColor rgb="FFCFE2F3"/>
      </patternFill>
    </fill>
    <fill>
      <patternFill patternType="solid">
        <fgColor rgb="FFD9D2E9"/>
        <bgColor rgb="FFD9D2E9"/>
      </patternFill>
    </fill>
    <fill>
      <patternFill patternType="solid">
        <fgColor rgb="FFE6B8AF"/>
        <bgColor rgb="FFE6B8AF"/>
      </patternFill>
    </fill>
    <fill>
      <patternFill patternType="solid">
        <fgColor rgb="FFF4CCCC"/>
        <bgColor rgb="FFF4CCCC"/>
      </patternFill>
    </fill>
    <fill>
      <patternFill patternType="solid">
        <fgColor theme="6"/>
        <bgColor theme="6"/>
      </patternFill>
    </fill>
    <fill>
      <patternFill patternType="solid">
        <fgColor rgb="FF999999"/>
        <bgColor rgb="FF999999"/>
      </patternFill>
    </fill>
    <fill>
      <patternFill patternType="solid">
        <fgColor rgb="FF08215C"/>
        <bgColor rgb="FF08215C"/>
      </patternFill>
    </fill>
    <fill>
      <patternFill patternType="solid">
        <fgColor rgb="FFB7E1CD"/>
        <bgColor rgb="FFB7E1CD"/>
      </patternFill>
    </fill>
    <fill>
      <patternFill patternType="solid">
        <fgColor rgb="FFA8D08D"/>
        <bgColor rgb="FFA8D08D"/>
      </patternFill>
    </fill>
    <fill>
      <patternFill patternType="solid">
        <fgColor rgb="FFFFE599"/>
        <bgColor rgb="FFFFE599"/>
      </patternFill>
    </fill>
  </fills>
  <borders count="16">
    <border/>
    <border>
      <left style="thin">
        <color rgb="FF000000"/>
      </left>
      <top style="thin">
        <color rgb="FF000000"/>
      </top>
      <bottom style="thin">
        <color rgb="FF000000"/>
      </bottom>
    </border>
    <border>
      <right style="thin">
        <color rgb="FF000000"/>
      </right>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border>
    <border>
      <left style="thin">
        <color rgb="FF000000"/>
      </left>
    </border>
    <border>
      <left style="thin">
        <color rgb="FF000000"/>
      </left>
      <right style="thin">
        <color rgb="FF000000"/>
      </right>
      <top style="thin">
        <color rgb="FF000000"/>
      </top>
    </border>
  </borders>
  <cellStyleXfs count="1">
    <xf borderId="0" fillId="0" fontId="0" numFmtId="0" applyAlignment="1" applyFont="1"/>
  </cellStyleXfs>
  <cellXfs count="73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center" wrapText="1"/>
    </xf>
    <xf borderId="0" fillId="2" fontId="3" numFmtId="0" xfId="0" applyAlignment="1" applyFill="1" applyFont="1">
      <alignment readingOrder="0"/>
    </xf>
    <xf borderId="0" fillId="3" fontId="3" numFmtId="0" xfId="0" applyAlignment="1" applyFill="1" applyFont="1">
      <alignment readingOrder="0"/>
    </xf>
    <xf borderId="0" fillId="4" fontId="3" numFmtId="0" xfId="0" applyAlignment="1" applyFill="1" applyFont="1">
      <alignment readingOrder="0"/>
    </xf>
    <xf borderId="0" fillId="5" fontId="4" numFmtId="0" xfId="0" applyAlignment="1" applyFill="1" applyFont="1">
      <alignment readingOrder="0"/>
    </xf>
    <xf borderId="0" fillId="6" fontId="2" numFmtId="0" xfId="0" applyAlignment="1" applyFill="1" applyFont="1">
      <alignment readingOrder="0"/>
    </xf>
    <xf borderId="0" fillId="7" fontId="2" numFmtId="0" xfId="0" applyAlignment="1" applyFill="1" applyFont="1">
      <alignment readingOrder="0"/>
    </xf>
    <xf borderId="0" fillId="0" fontId="5" numFmtId="0" xfId="0" applyAlignment="1" applyFont="1">
      <alignment horizontal="center" readingOrder="0" shrinkToFit="0" vertical="center" wrapText="1"/>
    </xf>
    <xf borderId="0" fillId="0" fontId="1" numFmtId="0" xfId="0" applyAlignment="1" applyFont="1">
      <alignment horizontal="center" readingOrder="0"/>
    </xf>
    <xf borderId="0" fillId="8" fontId="2" numFmtId="0" xfId="0" applyAlignment="1" applyFill="1" applyFont="1">
      <alignment horizontal="center" readingOrder="0" shrinkToFit="0" vertical="center" wrapText="1"/>
    </xf>
    <xf borderId="0" fillId="8" fontId="3" numFmtId="0" xfId="0" applyAlignment="1" applyFont="1">
      <alignment horizontal="center" readingOrder="0" shrinkToFit="0" vertical="center" wrapText="1"/>
    </xf>
    <xf borderId="0" fillId="8" fontId="3" numFmtId="0" xfId="0" applyAlignment="1" applyFont="1">
      <alignment horizontal="center" readingOrder="0" vertical="center"/>
    </xf>
    <xf borderId="0" fillId="8" fontId="3" numFmtId="0" xfId="0" applyAlignment="1" applyFont="1">
      <alignment horizontal="center" readingOrder="0" shrinkToFit="0" vertical="center" wrapText="1"/>
    </xf>
    <xf borderId="0" fillId="8" fontId="6" numFmtId="0" xfId="0" applyAlignment="1" applyFont="1">
      <alignment horizontal="center" readingOrder="0" shrinkToFit="0" vertical="center" wrapText="1"/>
    </xf>
    <xf borderId="0" fillId="9" fontId="2" numFmtId="0" xfId="0" applyAlignment="1" applyFill="1" applyFont="1">
      <alignment horizontal="center" readingOrder="0" shrinkToFit="0" vertical="center" wrapText="1"/>
    </xf>
    <xf borderId="0" fillId="9" fontId="7" numFmtId="0" xfId="0" applyAlignment="1" applyFont="1">
      <alignment horizontal="center" readingOrder="0" shrinkToFit="0" vertical="center" wrapText="1"/>
    </xf>
    <xf borderId="0" fillId="9" fontId="3" numFmtId="0" xfId="0" applyAlignment="1" applyFont="1">
      <alignment horizontal="center" readingOrder="0" shrinkToFit="0" vertical="center" wrapText="1"/>
    </xf>
    <xf borderId="0" fillId="0" fontId="3" numFmtId="0" xfId="0" applyAlignment="1" applyFont="1">
      <alignment shrinkToFit="0" vertical="center" wrapText="1"/>
    </xf>
    <xf borderId="0" fillId="10" fontId="2" numFmtId="0" xfId="0" applyAlignment="1" applyFill="1" applyFont="1">
      <alignment horizontal="center" readingOrder="0" shrinkToFit="0" vertical="center" wrapText="1"/>
    </xf>
    <xf borderId="0" fillId="10" fontId="8" numFmtId="0" xfId="0" applyAlignment="1" applyFont="1">
      <alignment readingOrder="0" shrinkToFit="0" vertical="center" wrapText="1"/>
    </xf>
    <xf borderId="0" fillId="10" fontId="3" numFmtId="0" xfId="0" applyAlignment="1" applyFont="1">
      <alignment horizontal="center" readingOrder="0" shrinkToFit="0" vertical="center" wrapText="1"/>
    </xf>
    <xf borderId="0" fillId="10" fontId="3" numFmtId="0" xfId="0" applyAlignment="1" applyFont="1">
      <alignment readingOrder="0" shrinkToFit="0" vertical="center" wrapText="1"/>
    </xf>
    <xf borderId="0" fillId="10" fontId="9" numFmtId="0" xfId="0" applyAlignment="1" applyFont="1">
      <alignment horizontal="center" readingOrder="0" shrinkToFit="0" vertical="center" wrapText="1"/>
    </xf>
    <xf borderId="0" fillId="10" fontId="3" numFmtId="0" xfId="0" applyAlignment="1" applyFont="1">
      <alignment shrinkToFit="0" vertical="center" wrapText="1"/>
    </xf>
    <xf borderId="0" fillId="11" fontId="3" numFmtId="0" xfId="0" applyAlignment="1" applyFill="1" applyFont="1">
      <alignment horizontal="center" readingOrder="0" shrinkToFit="0" vertical="center" wrapText="1"/>
    </xf>
    <xf borderId="0" fillId="11" fontId="10" numFmtId="0" xfId="0" applyAlignment="1" applyFont="1">
      <alignment readingOrder="0" shrinkToFit="0" vertical="center" wrapText="1"/>
    </xf>
    <xf borderId="0" fillId="11" fontId="11" numFmtId="0" xfId="0" applyAlignment="1" applyFont="1">
      <alignment horizontal="center" readingOrder="0" shrinkToFit="0" vertical="center" wrapText="1"/>
    </xf>
    <xf borderId="0" fillId="11" fontId="3" numFmtId="0" xfId="0" applyAlignment="1" applyFont="1">
      <alignment readingOrder="0" shrinkToFit="0" vertical="center" wrapText="1"/>
    </xf>
    <xf borderId="0" fillId="12" fontId="3" numFmtId="0" xfId="0" applyAlignment="1" applyFill="1" applyFont="1">
      <alignment horizontal="center" readingOrder="0" shrinkToFit="0" vertical="center" wrapText="1"/>
    </xf>
    <xf borderId="0" fillId="12" fontId="3" numFmtId="0" xfId="0" applyAlignment="1" applyFont="1">
      <alignment readingOrder="0" shrinkToFit="0" vertical="center" wrapText="1"/>
    </xf>
    <xf borderId="0" fillId="12" fontId="12" numFmtId="0" xfId="0" applyAlignment="1" applyFont="1">
      <alignment horizontal="center" readingOrder="0" shrinkToFit="0" vertical="center" wrapText="1"/>
    </xf>
    <xf borderId="0" fillId="13" fontId="3" numFmtId="0" xfId="0" applyAlignment="1" applyFill="1" applyFont="1">
      <alignment horizontal="center" readingOrder="0" shrinkToFit="0" vertical="center" wrapText="1"/>
    </xf>
    <xf borderId="0" fillId="13" fontId="3" numFmtId="0" xfId="0" applyAlignment="1" applyFont="1">
      <alignment readingOrder="0" shrinkToFit="0" vertical="center" wrapText="1"/>
    </xf>
    <xf borderId="0" fillId="13" fontId="3"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14" fontId="13"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5" numFmtId="0" xfId="0" applyAlignment="1" applyFont="1">
      <alignment readingOrder="0" vertical="bottom"/>
    </xf>
    <xf borderId="0" fillId="0" fontId="3" numFmtId="0" xfId="0" applyAlignment="1" applyFont="1">
      <alignment readingOrder="0"/>
    </xf>
    <xf borderId="0" fillId="0" fontId="3" numFmtId="49" xfId="0" applyFont="1" applyNumberFormat="1"/>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0" fillId="0" fontId="16" numFmtId="0" xfId="0" applyAlignment="1" applyFont="1">
      <alignment readingOrder="0"/>
    </xf>
    <xf borderId="0" fillId="0" fontId="1" numFmtId="49" xfId="0" applyAlignment="1" applyFont="1" applyNumberFormat="1">
      <alignment readingOrder="0"/>
    </xf>
    <xf borderId="0" fillId="0" fontId="14" numFmtId="0" xfId="0" applyAlignment="1" applyFont="1">
      <alignment readingOrder="0" vertical="bottom"/>
    </xf>
    <xf borderId="0" fillId="0" fontId="14" numFmtId="0" xfId="0" applyAlignment="1" applyFont="1">
      <alignment readingOrder="0"/>
    </xf>
    <xf borderId="0" fillId="0" fontId="3" numFmtId="49" xfId="0" applyAlignment="1" applyFont="1" applyNumberFormat="1">
      <alignment readingOrder="0"/>
    </xf>
    <xf borderId="0" fillId="0" fontId="15" numFmtId="0" xfId="0" applyAlignment="1" applyFont="1">
      <alignment readingOrder="0"/>
    </xf>
    <xf borderId="0" fillId="0" fontId="14" numFmtId="0" xfId="0" applyAlignment="1" applyFont="1">
      <alignment shrinkToFit="0" vertical="bottom" wrapText="0"/>
    </xf>
    <xf borderId="0" fillId="0" fontId="14" numFmtId="0" xfId="0" applyFont="1"/>
    <xf borderId="0" fillId="0" fontId="18" numFmtId="0" xfId="0" applyAlignment="1" applyFont="1">
      <alignment readingOrder="0" vertical="bottom"/>
    </xf>
    <xf borderId="0" fillId="0" fontId="19" numFmtId="0" xfId="0" applyAlignment="1" applyFont="1">
      <alignment readingOrder="0" shrinkToFit="0" vertical="bottom" wrapText="0"/>
    </xf>
    <xf borderId="0" fillId="0" fontId="20" numFmtId="0" xfId="0" applyAlignment="1" applyFont="1">
      <alignment readingOrder="0" vertical="bottom"/>
    </xf>
    <xf borderId="0" fillId="0" fontId="21" numFmtId="0" xfId="0" applyAlignment="1" applyFont="1">
      <alignment readingOrder="0" vertical="bottom"/>
    </xf>
    <xf borderId="0" fillId="0" fontId="22" numFmtId="0" xfId="0" applyAlignment="1" applyFont="1">
      <alignment readingOrder="0" shrinkToFit="0" vertical="bottom" wrapText="0"/>
    </xf>
    <xf borderId="0" fillId="0" fontId="21" numFmtId="0" xfId="0" applyAlignment="1" applyFont="1">
      <alignment readingOrder="0" vertical="bottom"/>
    </xf>
    <xf borderId="0" fillId="0" fontId="23" numFmtId="0" xfId="0" applyAlignment="1" applyFont="1">
      <alignment horizontal="center" readingOrder="0" shrinkToFit="0" vertical="bottom" wrapText="0"/>
    </xf>
    <xf borderId="0" fillId="0" fontId="22" numFmtId="164" xfId="0" applyAlignment="1" applyFont="1" applyNumberFormat="1">
      <alignment readingOrder="0" shrinkToFit="0" vertical="bottom" wrapText="0"/>
    </xf>
    <xf borderId="0" fillId="0" fontId="22" numFmtId="0" xfId="0" applyAlignment="1" applyFont="1">
      <alignment readingOrder="0" shrinkToFit="0" vertical="bottom" wrapText="0"/>
    </xf>
    <xf borderId="0" fillId="15" fontId="22" numFmtId="0" xfId="0" applyAlignment="1" applyFill="1" applyFont="1">
      <alignment readingOrder="0" shrinkToFit="0" vertical="bottom" wrapText="0"/>
    </xf>
    <xf borderId="0" fillId="15" fontId="23" numFmtId="0" xfId="0" applyAlignment="1" applyFont="1">
      <alignment horizontal="center" readingOrder="0" shrinkToFit="0" vertical="bottom" wrapText="0"/>
    </xf>
    <xf borderId="0" fillId="15" fontId="22" numFmtId="164" xfId="0" applyAlignment="1" applyFont="1" applyNumberFormat="1">
      <alignment readingOrder="0" shrinkToFit="0" vertical="bottom" wrapText="0"/>
    </xf>
    <xf borderId="0" fillId="15" fontId="22" numFmtId="1" xfId="0" applyAlignment="1" applyFont="1" applyNumberFormat="1">
      <alignment readingOrder="0" shrinkToFit="0" vertical="bottom" wrapText="0"/>
    </xf>
    <xf borderId="0" fillId="15" fontId="22" numFmtId="0" xfId="0" applyAlignment="1" applyFont="1">
      <alignment shrinkToFit="0" vertical="bottom" wrapText="0"/>
    </xf>
    <xf borderId="0" fillId="15" fontId="22" numFmtId="0" xfId="0" applyAlignment="1" applyFont="1">
      <alignment horizontal="right" readingOrder="0" shrinkToFit="0" vertical="bottom" wrapText="0"/>
    </xf>
    <xf borderId="0" fillId="15" fontId="21" numFmtId="0" xfId="0" applyAlignment="1" applyFont="1">
      <alignment readingOrder="0" shrinkToFit="0" vertical="bottom" wrapText="0"/>
    </xf>
    <xf borderId="0" fillId="0" fontId="3" numFmtId="164" xfId="0" applyFont="1" applyNumberFormat="1"/>
    <xf borderId="0" fillId="15" fontId="5" numFmtId="164" xfId="0" applyFont="1" applyNumberFormat="1"/>
    <xf borderId="0" fillId="15" fontId="5" numFmtId="1" xfId="0" applyFont="1" applyNumberFormat="1"/>
    <xf borderId="0" fillId="15" fontId="24" numFmtId="164" xfId="0" applyAlignment="1" applyFont="1" applyNumberFormat="1">
      <alignment vertical="bottom"/>
    </xf>
    <xf borderId="0" fillId="15" fontId="25" numFmtId="164" xfId="0" applyAlignment="1" applyFont="1" applyNumberFormat="1">
      <alignment vertical="bottom"/>
    </xf>
    <xf borderId="0" fillId="15" fontId="25" numFmtId="1" xfId="0" applyAlignment="1" applyFont="1" applyNumberFormat="1">
      <alignment vertical="bottom"/>
    </xf>
    <xf borderId="0" fillId="15" fontId="25" numFmtId="0" xfId="0" applyAlignment="1" applyFont="1">
      <alignment horizontal="center" readingOrder="0" vertical="bottom"/>
    </xf>
    <xf borderId="0" fillId="15" fontId="25" numFmtId="0" xfId="0" applyAlignment="1" applyFont="1">
      <alignment vertical="bottom"/>
    </xf>
    <xf borderId="0" fillId="15" fontId="24" numFmtId="0" xfId="0" applyAlignment="1" applyFont="1">
      <alignment vertical="bottom"/>
    </xf>
    <xf borderId="0" fillId="15" fontId="24" numFmtId="1" xfId="0" applyAlignment="1" applyFont="1" applyNumberFormat="1">
      <alignment readingOrder="0" vertical="bottom"/>
    </xf>
    <xf borderId="0" fillId="15" fontId="26" numFmtId="1" xfId="0" applyAlignment="1" applyFont="1" applyNumberFormat="1">
      <alignment readingOrder="0" vertical="bottom"/>
    </xf>
    <xf borderId="0" fillId="0" fontId="26" numFmtId="165" xfId="0" applyAlignment="1" applyFont="1" applyNumberFormat="1">
      <alignment horizontal="right" readingOrder="0" shrinkToFit="0" vertical="bottom" wrapText="0"/>
    </xf>
    <xf borderId="0" fillId="0" fontId="26" numFmtId="0" xfId="0" applyAlignment="1" applyFont="1">
      <alignment readingOrder="0" vertical="bottom"/>
    </xf>
    <xf borderId="0" fillId="15" fontId="26" numFmtId="0" xfId="0" applyAlignment="1" applyFont="1">
      <alignment horizontal="right" readingOrder="0" shrinkToFit="0" vertical="bottom" wrapText="0"/>
    </xf>
    <xf borderId="0" fillId="0" fontId="3" numFmtId="9" xfId="0" applyAlignment="1" applyFont="1" applyNumberFormat="1">
      <alignment readingOrder="0"/>
    </xf>
    <xf borderId="0" fillId="14" fontId="13" numFmtId="0" xfId="0" applyAlignment="1" applyFont="1">
      <alignment horizontal="center" readingOrder="0"/>
    </xf>
    <xf borderId="0" fillId="0" fontId="3" numFmtId="166" xfId="0" applyAlignment="1" applyFont="1" applyNumberFormat="1">
      <alignment readingOrder="0"/>
    </xf>
    <xf borderId="0" fillId="0" fontId="3" numFmtId="2" xfId="0" applyFont="1" applyNumberFormat="1"/>
    <xf borderId="0" fillId="0" fontId="3" numFmtId="164" xfId="0" applyAlignment="1" applyFont="1" applyNumberFormat="1">
      <alignment readingOrder="0"/>
    </xf>
    <xf borderId="0" fillId="0" fontId="3" numFmtId="167" xfId="0" applyAlignment="1" applyFont="1" applyNumberFormat="1">
      <alignment readingOrder="0"/>
    </xf>
    <xf borderId="0" fillId="0" fontId="2" numFmtId="1" xfId="0" applyAlignment="1" applyFont="1" applyNumberFormat="1">
      <alignment readingOrder="0"/>
    </xf>
    <xf borderId="0" fillId="0" fontId="27" numFmtId="0" xfId="0" applyAlignment="1" applyFont="1">
      <alignment readingOrder="0"/>
    </xf>
    <xf borderId="0" fillId="0" fontId="28" numFmtId="0" xfId="0" applyAlignment="1" applyFont="1">
      <alignment horizontal="center" readingOrder="0"/>
    </xf>
    <xf borderId="0" fillId="0" fontId="5" numFmtId="49" xfId="0" applyAlignment="1" applyFont="1" applyNumberFormat="1">
      <alignment horizontal="center" readingOrder="0"/>
    </xf>
    <xf borderId="0" fillId="0" fontId="5" numFmtId="0" xfId="0" applyAlignment="1" applyFont="1">
      <alignment horizontal="center" readingOrder="0"/>
    </xf>
    <xf borderId="0" fillId="16" fontId="1" numFmtId="0" xfId="0" applyAlignment="1" applyFill="1" applyFont="1">
      <alignment horizontal="center" readingOrder="0"/>
    </xf>
    <xf borderId="0" fillId="16" fontId="28" numFmtId="0" xfId="0" applyAlignment="1" applyFont="1">
      <alignment horizontal="center" readingOrder="0"/>
    </xf>
    <xf borderId="0" fillId="16" fontId="1" numFmtId="168" xfId="0" applyAlignment="1" applyFont="1" applyNumberFormat="1">
      <alignment horizontal="center" readingOrder="0"/>
    </xf>
    <xf borderId="0" fillId="0" fontId="1" numFmtId="169" xfId="0" applyAlignment="1" applyFont="1" applyNumberFormat="1">
      <alignment horizontal="center" readingOrder="0"/>
    </xf>
    <xf borderId="0" fillId="0" fontId="28" numFmtId="164" xfId="0" applyAlignment="1" applyFont="1" applyNumberFormat="1">
      <alignment horizontal="center" readingOrder="0"/>
    </xf>
    <xf borderId="0" fillId="0" fontId="28" numFmtId="170" xfId="0" applyAlignment="1" applyFont="1" applyNumberFormat="1">
      <alignment horizontal="center" readingOrder="0"/>
    </xf>
    <xf borderId="0" fillId="0" fontId="3" numFmtId="0" xfId="0" applyFont="1"/>
    <xf borderId="0" fillId="0" fontId="3" numFmtId="168" xfId="0" applyFont="1" applyNumberFormat="1"/>
    <xf borderId="0" fillId="0" fontId="3" numFmtId="168" xfId="0" applyAlignment="1" applyFont="1" applyNumberFormat="1">
      <alignment readingOrder="0"/>
    </xf>
    <xf borderId="0" fillId="0" fontId="3" numFmtId="171" xfId="0" applyFont="1" applyNumberFormat="1"/>
    <xf borderId="0" fillId="0" fontId="3" numFmtId="171" xfId="0" applyAlignment="1" applyFont="1" applyNumberFormat="1">
      <alignment readingOrder="0"/>
    </xf>
    <xf borderId="0" fillId="0" fontId="3" numFmtId="170" xfId="0" applyFont="1" applyNumberFormat="1"/>
    <xf borderId="0" fillId="0" fontId="22" numFmtId="168" xfId="0" applyAlignment="1" applyFont="1" applyNumberFormat="1">
      <alignment horizontal="right" vertical="bottom"/>
    </xf>
    <xf borderId="0" fillId="0" fontId="22" numFmtId="170" xfId="0" applyAlignment="1" applyFont="1" applyNumberFormat="1">
      <alignment horizontal="right" vertical="bottom"/>
    </xf>
    <xf borderId="0" fillId="0" fontId="3" numFmtId="172" xfId="0" applyAlignment="1" applyFont="1" applyNumberFormat="1">
      <alignment readingOrder="0"/>
    </xf>
    <xf borderId="0" fillId="0" fontId="29" numFmtId="169" xfId="0" applyAlignment="1" applyFont="1" applyNumberFormat="1">
      <alignment vertical="bottom"/>
    </xf>
    <xf borderId="0" fillId="0" fontId="3" numFmtId="169" xfId="0" applyAlignment="1" applyFont="1" applyNumberFormat="1">
      <alignment readingOrder="0"/>
    </xf>
    <xf borderId="0" fillId="0" fontId="3" numFmtId="169" xfId="0" applyFont="1" applyNumberFormat="1"/>
    <xf borderId="0" fillId="0" fontId="3" numFmtId="170" xfId="0" applyAlignment="1" applyFont="1" applyNumberFormat="1">
      <alignment readingOrder="0"/>
    </xf>
    <xf borderId="0" fillId="0" fontId="3" numFmtId="0" xfId="0" applyAlignment="1" applyFont="1">
      <alignment readingOrder="0" vertical="bottom"/>
    </xf>
    <xf borderId="0" fillId="0" fontId="3" numFmtId="0" xfId="0" applyAlignment="1" applyFont="1">
      <alignment vertical="bottom"/>
    </xf>
    <xf borderId="0" fillId="0" fontId="3" numFmtId="173" xfId="0" applyAlignment="1" applyFont="1" applyNumberFormat="1">
      <alignment horizontal="right" vertical="bottom"/>
    </xf>
    <xf borderId="0" fillId="0" fontId="29" numFmtId="0" xfId="0" applyAlignment="1" applyFont="1">
      <alignment vertical="bottom"/>
    </xf>
    <xf borderId="0" fillId="15" fontId="30" numFmtId="0" xfId="0" applyAlignment="1" applyFont="1">
      <alignment readingOrder="0"/>
    </xf>
    <xf borderId="0" fillId="0" fontId="31" numFmtId="169" xfId="0" applyAlignment="1" applyFont="1" applyNumberFormat="1">
      <alignment horizontal="right" readingOrder="0" shrinkToFit="0" vertical="bottom" wrapText="0"/>
    </xf>
    <xf borderId="0" fillId="0" fontId="26" numFmtId="0" xfId="0" applyAlignment="1" applyFont="1">
      <alignment readingOrder="0" shrinkToFit="0" vertical="bottom" wrapText="0"/>
    </xf>
    <xf borderId="0" fillId="0" fontId="26" numFmtId="168" xfId="0" applyAlignment="1" applyFont="1" applyNumberFormat="1">
      <alignment horizontal="right" readingOrder="0" shrinkToFit="0" vertical="bottom" wrapText="0"/>
    </xf>
    <xf borderId="0" fillId="0" fontId="26" numFmtId="164" xfId="0" applyAlignment="1" applyFont="1" applyNumberFormat="1">
      <alignment horizontal="right" readingOrder="0" shrinkToFit="0" vertical="bottom" wrapText="0"/>
    </xf>
    <xf borderId="0" fillId="0" fontId="29" numFmtId="0" xfId="0" applyAlignment="1" applyFont="1">
      <alignment readingOrder="0" vertical="bottom"/>
    </xf>
    <xf borderId="0" fillId="0" fontId="29" numFmtId="0" xfId="0" applyAlignment="1" applyFont="1">
      <alignment vertical="bottom"/>
    </xf>
    <xf borderId="0" fillId="0" fontId="32" numFmtId="0" xfId="0" applyAlignment="1" applyFont="1">
      <alignment readingOrder="0" vertical="bottom"/>
    </xf>
    <xf borderId="0" fillId="7" fontId="3" numFmtId="168" xfId="0" applyAlignment="1" applyFont="1" applyNumberFormat="1">
      <alignment readingOrder="0"/>
    </xf>
    <xf borderId="0" fillId="0" fontId="22" numFmtId="169" xfId="0" applyAlignment="1" applyFont="1" applyNumberFormat="1">
      <alignment horizontal="right" readingOrder="0" shrinkToFit="0" vertical="bottom" wrapText="0"/>
    </xf>
    <xf borderId="0" fillId="0" fontId="22" numFmtId="168" xfId="0" applyAlignment="1" applyFont="1" applyNumberFormat="1">
      <alignment horizontal="right" readingOrder="0" shrinkToFit="0" vertical="bottom" wrapText="0"/>
    </xf>
    <xf borderId="0" fillId="0" fontId="22" numFmtId="169" xfId="0" applyAlignment="1" applyFont="1" applyNumberFormat="1">
      <alignment readingOrder="0" shrinkToFit="0" vertical="bottom" wrapText="0"/>
    </xf>
    <xf borderId="0" fillId="0" fontId="26" numFmtId="171" xfId="0" applyAlignment="1" applyFont="1" applyNumberFormat="1">
      <alignment horizontal="right" readingOrder="0" shrinkToFit="0" vertical="bottom" wrapText="0"/>
    </xf>
    <xf borderId="0" fillId="0" fontId="1" numFmtId="0" xfId="0" applyFont="1"/>
    <xf borderId="0" fillId="17" fontId="3" numFmtId="0" xfId="0" applyAlignment="1" applyFill="1" applyFont="1">
      <alignment readingOrder="0"/>
    </xf>
    <xf borderId="0" fillId="0" fontId="1" numFmtId="168" xfId="0" applyAlignment="1" applyFont="1" applyNumberFormat="1">
      <alignment readingOrder="0"/>
    </xf>
    <xf borderId="0" fillId="0" fontId="32" numFmtId="0" xfId="0" applyAlignment="1" applyFont="1">
      <alignment vertical="bottom"/>
    </xf>
    <xf borderId="0" fillId="0" fontId="1" numFmtId="173" xfId="0" applyAlignment="1" applyFont="1" applyNumberFormat="1">
      <alignment horizontal="right" vertical="bottom"/>
    </xf>
    <xf borderId="0" fillId="0" fontId="1" numFmtId="170" xfId="0" applyFont="1" applyNumberFormat="1"/>
    <xf borderId="0" fillId="0" fontId="1" numFmtId="171" xfId="0" applyAlignment="1" applyFont="1" applyNumberFormat="1">
      <alignment readingOrder="0"/>
    </xf>
    <xf borderId="0" fillId="17" fontId="1" numFmtId="0" xfId="0" applyAlignment="1" applyFont="1">
      <alignment readingOrder="0"/>
    </xf>
    <xf borderId="0" fillId="0" fontId="1" numFmtId="169" xfId="0" applyAlignment="1" applyFont="1" applyNumberFormat="1">
      <alignment readingOrder="0"/>
    </xf>
    <xf borderId="0" fillId="17" fontId="3" numFmtId="49" xfId="0" applyAlignment="1" applyFont="1" applyNumberFormat="1">
      <alignment readingOrder="0"/>
    </xf>
    <xf borderId="0" fillId="17" fontId="26" numFmtId="165" xfId="0" applyAlignment="1" applyFont="1" applyNumberFormat="1">
      <alignment horizontal="right" readingOrder="0" shrinkToFit="0" vertical="bottom" wrapText="0"/>
    </xf>
    <xf borderId="0" fillId="17" fontId="26" numFmtId="0" xfId="0" applyAlignment="1" applyFont="1">
      <alignment readingOrder="0" shrinkToFit="0" vertical="bottom" wrapText="0"/>
    </xf>
    <xf borderId="0" fillId="17" fontId="26" numFmtId="168" xfId="0" applyAlignment="1" applyFont="1" applyNumberFormat="1">
      <alignment horizontal="right" readingOrder="0" shrinkToFit="0" vertical="bottom" wrapText="0"/>
    </xf>
    <xf borderId="0" fillId="17" fontId="26" numFmtId="164" xfId="0" applyAlignment="1" applyFont="1" applyNumberFormat="1">
      <alignment horizontal="right" readingOrder="0" shrinkToFit="0" vertical="bottom" wrapText="0"/>
    </xf>
    <xf borderId="0" fillId="17" fontId="3" numFmtId="171" xfId="0" applyFont="1" applyNumberFormat="1"/>
    <xf borderId="0" fillId="17" fontId="3" numFmtId="171" xfId="0" applyAlignment="1" applyFont="1" applyNumberFormat="1">
      <alignment readingOrder="0"/>
    </xf>
    <xf borderId="0" fillId="17" fontId="3" numFmtId="170" xfId="0" applyFont="1" applyNumberFormat="1"/>
    <xf borderId="0" fillId="17" fontId="3" numFmtId="0" xfId="0" applyFont="1"/>
    <xf borderId="0" fillId="4" fontId="29" numFmtId="0" xfId="0" applyAlignment="1" applyFont="1">
      <alignment vertical="bottom"/>
    </xf>
    <xf borderId="0" fillId="18" fontId="1" numFmtId="0" xfId="0" applyAlignment="1" applyFill="1" applyFont="1">
      <alignment readingOrder="0"/>
    </xf>
    <xf borderId="0" fillId="0" fontId="33" numFmtId="0" xfId="0" applyAlignment="1" applyFont="1">
      <alignment horizontal="center" readingOrder="0"/>
    </xf>
    <xf borderId="0" fillId="0" fontId="1" numFmtId="168" xfId="0" applyAlignment="1" applyFont="1" applyNumberFormat="1">
      <alignment horizontal="center" readingOrder="0"/>
    </xf>
    <xf borderId="0" fillId="0" fontId="1" numFmtId="164" xfId="0" applyAlignment="1" applyFont="1" applyNumberFormat="1">
      <alignment horizontal="center" readingOrder="0"/>
    </xf>
    <xf borderId="0" fillId="0" fontId="28" numFmtId="169" xfId="0" applyAlignment="1" applyFont="1" applyNumberFormat="1">
      <alignment horizontal="center" readingOrder="0"/>
    </xf>
    <xf borderId="0" fillId="0" fontId="2" numFmtId="0" xfId="0" applyAlignment="1" applyFont="1">
      <alignment readingOrder="0"/>
    </xf>
    <xf borderId="0" fillId="17" fontId="2" numFmtId="0" xfId="0" applyAlignment="1" applyFont="1">
      <alignment readingOrder="0"/>
    </xf>
    <xf borderId="0" fillId="0" fontId="18" numFmtId="0" xfId="0" applyAlignment="1" applyFont="1">
      <alignment vertical="bottom"/>
    </xf>
    <xf borderId="0" fillId="0" fontId="29" numFmtId="0" xfId="0" applyAlignment="1" applyFont="1">
      <alignment vertical="bottom"/>
    </xf>
    <xf borderId="0" fillId="15" fontId="18" numFmtId="0" xfId="0" applyAlignment="1" applyFont="1">
      <alignment vertical="bottom"/>
    </xf>
    <xf borderId="0" fillId="0" fontId="18" numFmtId="174" xfId="0" applyAlignment="1" applyFont="1" applyNumberFormat="1">
      <alignment vertical="bottom"/>
    </xf>
    <xf borderId="0" fillId="15" fontId="18" numFmtId="169" xfId="0" applyAlignment="1" applyFont="1" applyNumberFormat="1">
      <alignment vertical="bottom"/>
    </xf>
    <xf borderId="0" fillId="0" fontId="18" numFmtId="169" xfId="0" applyAlignment="1" applyFont="1" applyNumberFormat="1">
      <alignment vertical="bottom"/>
    </xf>
    <xf borderId="0" fillId="15" fontId="29" numFmtId="168" xfId="0" applyAlignment="1" applyFont="1" applyNumberFormat="1">
      <alignment horizontal="right" readingOrder="0"/>
    </xf>
    <xf borderId="0" fillId="0" fontId="18" numFmtId="0" xfId="0" applyAlignment="1" applyFont="1">
      <alignment readingOrder="0"/>
    </xf>
    <xf borderId="0" fillId="15" fontId="29" numFmtId="0" xfId="0" applyAlignment="1" applyFont="1">
      <alignment shrinkToFit="0" wrapText="1"/>
    </xf>
    <xf borderId="0" fillId="15" fontId="29" numFmtId="168" xfId="0" applyAlignment="1" applyFont="1" applyNumberFormat="1">
      <alignment horizontal="right"/>
    </xf>
    <xf borderId="0" fillId="15" fontId="3" numFmtId="168" xfId="0" applyAlignment="1" applyFont="1" applyNumberFormat="1">
      <alignment readingOrder="0"/>
    </xf>
    <xf borderId="0" fillId="0" fontId="24" numFmtId="0" xfId="0" applyAlignment="1" applyFont="1">
      <alignment readingOrder="0" vertical="bottom"/>
    </xf>
    <xf borderId="0" fillId="0" fontId="24" numFmtId="168" xfId="0" applyAlignment="1" applyFont="1" applyNumberFormat="1">
      <alignment horizontal="right" readingOrder="0" shrinkToFit="0" vertical="bottom" wrapText="0"/>
    </xf>
    <xf borderId="0" fillId="0" fontId="24" numFmtId="164" xfId="0" applyAlignment="1" applyFont="1" applyNumberFormat="1">
      <alignment horizontal="right" readingOrder="0" shrinkToFit="0" vertical="bottom" wrapText="0"/>
    </xf>
    <xf borderId="0" fillId="0" fontId="15" numFmtId="168" xfId="0" applyAlignment="1" applyFont="1" applyNumberFormat="1">
      <alignment horizontal="center" readingOrder="0" shrinkToFit="0" vertical="bottom" wrapText="0"/>
    </xf>
    <xf borderId="0" fillId="0" fontId="34" numFmtId="0" xfId="0" applyFont="1"/>
    <xf borderId="0" fillId="0" fontId="24" numFmtId="175" xfId="0" applyAlignment="1" applyFont="1" applyNumberFormat="1">
      <alignment horizontal="right" readingOrder="0" shrinkToFit="0" vertical="bottom" wrapText="0"/>
    </xf>
    <xf borderId="0" fillId="0" fontId="3" numFmtId="3" xfId="0" applyAlignment="1" applyFont="1" applyNumberFormat="1">
      <alignment readingOrder="0"/>
    </xf>
    <xf borderId="0" fillId="0" fontId="3" numFmtId="3" xfId="0" applyFont="1" applyNumberFormat="1"/>
    <xf borderId="0" fillId="15" fontId="27" numFmtId="168" xfId="0" applyAlignment="1" applyFont="1" applyNumberFormat="1">
      <alignment readingOrder="0"/>
    </xf>
    <xf borderId="0" fillId="0" fontId="35" numFmtId="0" xfId="0" applyAlignment="1" applyFont="1">
      <alignment readingOrder="0"/>
    </xf>
    <xf borderId="0" fillId="0" fontId="27" numFmtId="169" xfId="0" applyFont="1" applyNumberFormat="1"/>
    <xf borderId="0" fillId="0" fontId="27" numFmtId="164" xfId="0" applyAlignment="1" applyFont="1" applyNumberFormat="1">
      <alignment readingOrder="0"/>
    </xf>
    <xf borderId="0" fillId="0" fontId="27" numFmtId="170" xfId="0" applyFont="1" applyNumberFormat="1"/>
    <xf borderId="0" fillId="0" fontId="27" numFmtId="0" xfId="0" applyFont="1"/>
    <xf borderId="0" fillId="15" fontId="2" numFmtId="168" xfId="0" applyAlignment="1" applyFont="1" applyNumberFormat="1">
      <alignment readingOrder="0"/>
    </xf>
    <xf borderId="0" fillId="15" fontId="18" numFmtId="0" xfId="0" applyAlignment="1" applyFont="1">
      <alignment readingOrder="0" vertical="bottom"/>
    </xf>
    <xf borderId="0" fillId="15" fontId="1" numFmtId="168" xfId="0" applyAlignment="1" applyFont="1" applyNumberFormat="1">
      <alignment readingOrder="0"/>
    </xf>
    <xf borderId="0" fillId="0" fontId="26" numFmtId="172" xfId="0" applyAlignment="1" applyFont="1" applyNumberFormat="1">
      <alignment horizontal="right" readingOrder="0" shrinkToFit="0" vertical="bottom" wrapText="0"/>
    </xf>
    <xf borderId="0" fillId="0" fontId="36" numFmtId="0" xfId="0" applyAlignment="1" applyFont="1">
      <alignment readingOrder="0" shrinkToFit="0" vertical="bottom" wrapText="0"/>
    </xf>
    <xf borderId="0" fillId="0" fontId="26" numFmtId="169" xfId="0" applyAlignment="1" applyFont="1" applyNumberFormat="1">
      <alignment horizontal="right" readingOrder="0" shrinkToFit="0" vertical="bottom" wrapText="0"/>
    </xf>
    <xf borderId="0" fillId="0" fontId="26" numFmtId="0" xfId="0" applyAlignment="1" applyFont="1">
      <alignment shrinkToFit="0" vertical="bottom" wrapText="0"/>
    </xf>
    <xf borderId="0" fillId="0" fontId="24" numFmtId="172" xfId="0" applyAlignment="1" applyFont="1" applyNumberFormat="1">
      <alignment horizontal="right" readingOrder="0" vertical="bottom"/>
    </xf>
    <xf borderId="0" fillId="0" fontId="24" numFmtId="172" xfId="0" applyAlignment="1" applyFont="1" applyNumberFormat="1">
      <alignment readingOrder="0" vertical="bottom"/>
    </xf>
    <xf borderId="0" fillId="0" fontId="29" numFmtId="0" xfId="0" applyAlignment="1" applyFont="1">
      <alignment readingOrder="0"/>
    </xf>
    <xf borderId="0" fillId="0" fontId="24" numFmtId="170" xfId="0" applyAlignment="1" applyFont="1" applyNumberFormat="1">
      <alignment horizontal="right" vertical="bottom"/>
    </xf>
    <xf borderId="0" fillId="15" fontId="26" numFmtId="168" xfId="0" applyAlignment="1" applyFont="1" applyNumberFormat="1">
      <alignment horizontal="right" readingOrder="0" shrinkToFit="0" vertical="bottom" wrapText="0"/>
    </xf>
    <xf borderId="0" fillId="15" fontId="26" numFmtId="0" xfId="0" applyAlignment="1" applyFont="1">
      <alignment readingOrder="0" shrinkToFit="0" vertical="bottom" wrapText="0"/>
    </xf>
    <xf borderId="0" fillId="0" fontId="26" numFmtId="172" xfId="0" applyAlignment="1" applyFont="1" applyNumberFormat="1">
      <alignment readingOrder="0" shrinkToFit="0" vertical="bottom" wrapText="0"/>
    </xf>
    <xf borderId="0" fillId="15" fontId="27" numFmtId="0" xfId="0" applyAlignment="1" applyFont="1">
      <alignment readingOrder="0"/>
    </xf>
    <xf borderId="0" fillId="15" fontId="27" numFmtId="0" xfId="0" applyFont="1"/>
    <xf borderId="0" fillId="15" fontId="27" numFmtId="164" xfId="0" applyAlignment="1" applyFont="1" applyNumberFormat="1">
      <alignment readingOrder="0"/>
    </xf>
    <xf borderId="0" fillId="15" fontId="27" numFmtId="170" xfId="0" applyFont="1" applyNumberFormat="1"/>
    <xf borderId="0" fillId="0" fontId="3" numFmtId="176" xfId="0" applyAlignment="1" applyFont="1" applyNumberFormat="1">
      <alignment readingOrder="0"/>
    </xf>
    <xf borderId="0" fillId="0" fontId="24" numFmtId="0" xfId="0" applyAlignment="1" applyFont="1">
      <alignment readingOrder="0" vertical="bottom"/>
    </xf>
    <xf borderId="0" fillId="0" fontId="24" numFmtId="0" xfId="0" applyAlignment="1" applyFont="1">
      <alignment vertical="bottom"/>
    </xf>
    <xf borderId="0" fillId="0" fontId="3" numFmtId="169" xfId="0" applyAlignment="1" applyFont="1" applyNumberFormat="1">
      <alignment horizontal="right" readingOrder="0" shrinkToFit="0" vertical="bottom" wrapText="0"/>
    </xf>
    <xf borderId="0" fillId="0" fontId="0" numFmtId="169" xfId="0" applyAlignment="1" applyFont="1" applyNumberFormat="1">
      <alignment readingOrder="0" shrinkToFit="0" vertical="bottom" wrapText="0"/>
    </xf>
    <xf borderId="0" fillId="0" fontId="37" numFmtId="0" xfId="0" applyAlignment="1" applyFont="1">
      <alignment vertical="bottom"/>
    </xf>
    <xf borderId="0" fillId="0" fontId="37" numFmtId="0" xfId="0" applyAlignment="1" applyFont="1">
      <alignment readingOrder="0" vertical="bottom"/>
    </xf>
    <xf borderId="0" fillId="0" fontId="27" numFmtId="168" xfId="0" applyAlignment="1" applyFont="1" applyNumberFormat="1">
      <alignment readingOrder="0"/>
    </xf>
    <xf borderId="0" fillId="0" fontId="27" numFmtId="169" xfId="0" applyAlignment="1" applyFont="1" applyNumberFormat="1">
      <alignment horizontal="right" readingOrder="0" shrinkToFit="0" vertical="bottom" wrapText="0"/>
    </xf>
    <xf borderId="0" fillId="0" fontId="27" numFmtId="164" xfId="0" applyFont="1" applyNumberFormat="1"/>
    <xf borderId="0" fillId="0" fontId="32" numFmtId="0" xfId="0" applyAlignment="1" applyFont="1">
      <alignment vertical="bottom"/>
    </xf>
    <xf borderId="0" fillId="0" fontId="38" numFmtId="169" xfId="0" applyAlignment="1" applyFont="1" applyNumberFormat="1">
      <alignment horizontal="right" readingOrder="0" shrinkToFit="0" vertical="bottom" wrapText="0"/>
    </xf>
    <xf borderId="0" fillId="0" fontId="26" numFmtId="168" xfId="0" applyAlignment="1" applyFont="1" applyNumberFormat="1">
      <alignment horizontal="center" readingOrder="0" shrinkToFit="0" vertical="bottom" wrapText="0"/>
    </xf>
    <xf borderId="0" fillId="0" fontId="26" numFmtId="171" xfId="0" applyAlignment="1" applyFont="1" applyNumberFormat="1">
      <alignment readingOrder="0" shrinkToFit="0" vertical="bottom" wrapText="0"/>
    </xf>
    <xf borderId="0" fillId="0" fontId="22" numFmtId="171" xfId="0" applyAlignment="1" applyFont="1" applyNumberFormat="1">
      <alignment readingOrder="0" shrinkToFit="0" vertical="bottom" wrapText="0"/>
    </xf>
    <xf borderId="0" fillId="0" fontId="39" numFmtId="168" xfId="0" applyAlignment="1" applyFont="1" applyNumberFormat="1">
      <alignment horizontal="right" readingOrder="0" vertical="bottom"/>
    </xf>
    <xf borderId="0" fillId="0" fontId="39" numFmtId="0" xfId="0" applyAlignment="1" applyFont="1">
      <alignment readingOrder="0" vertical="bottom"/>
    </xf>
    <xf borderId="0" fillId="0" fontId="39" numFmtId="164" xfId="0" applyAlignment="1" applyFont="1" applyNumberFormat="1">
      <alignment horizontal="right" readingOrder="0" vertical="bottom"/>
    </xf>
    <xf borderId="0" fillId="18" fontId="3" numFmtId="0" xfId="0" applyAlignment="1" applyFont="1">
      <alignment readingOrder="0"/>
    </xf>
    <xf borderId="0" fillId="18" fontId="3" numFmtId="49" xfId="0" applyAlignment="1" applyFont="1" applyNumberFormat="1">
      <alignment readingOrder="0"/>
    </xf>
    <xf borderId="0" fillId="18" fontId="2" numFmtId="0" xfId="0" applyAlignment="1" applyFont="1">
      <alignment readingOrder="0"/>
    </xf>
    <xf borderId="0" fillId="18" fontId="3" numFmtId="168" xfId="0" applyAlignment="1" applyFont="1" applyNumberFormat="1">
      <alignment readingOrder="0"/>
    </xf>
    <xf borderId="0" fillId="18" fontId="18" numFmtId="0" xfId="0" applyAlignment="1" applyFont="1">
      <alignment readingOrder="0"/>
    </xf>
    <xf borderId="0" fillId="18" fontId="3" numFmtId="164" xfId="0" applyAlignment="1" applyFont="1" applyNumberFormat="1">
      <alignment readingOrder="0"/>
    </xf>
    <xf borderId="0" fillId="18" fontId="3" numFmtId="164" xfId="0" applyFont="1" applyNumberFormat="1"/>
    <xf borderId="0" fillId="18" fontId="3" numFmtId="171" xfId="0" applyAlignment="1" applyFont="1" applyNumberFormat="1">
      <alignment readingOrder="0"/>
    </xf>
    <xf borderId="0" fillId="18" fontId="3" numFmtId="170" xfId="0" applyFont="1" applyNumberFormat="1"/>
    <xf borderId="0" fillId="18" fontId="3" numFmtId="0" xfId="0" applyFont="1"/>
    <xf borderId="0" fillId="15" fontId="3" numFmtId="164" xfId="0" applyAlignment="1" applyFont="1" applyNumberFormat="1">
      <alignment readingOrder="0"/>
    </xf>
    <xf borderId="0" fillId="0" fontId="36" numFmtId="0" xfId="0" applyAlignment="1" applyFont="1">
      <alignment readingOrder="0"/>
    </xf>
    <xf borderId="0" fillId="0" fontId="26" numFmtId="171" xfId="0" applyAlignment="1" applyFont="1" applyNumberFormat="1">
      <alignment horizontal="right" readingOrder="0" vertical="bottom"/>
    </xf>
    <xf borderId="0" fillId="18" fontId="1" numFmtId="49" xfId="0" applyAlignment="1" applyFont="1" applyNumberFormat="1">
      <alignment readingOrder="0"/>
    </xf>
    <xf borderId="0" fillId="18" fontId="5" numFmtId="0" xfId="0" applyAlignment="1" applyFont="1">
      <alignment readingOrder="0"/>
    </xf>
    <xf borderId="0" fillId="18" fontId="1" numFmtId="168" xfId="0" applyAlignment="1" applyFont="1" applyNumberFormat="1">
      <alignment readingOrder="0"/>
    </xf>
    <xf borderId="0" fillId="18" fontId="40" numFmtId="0" xfId="0" applyAlignment="1" applyFont="1">
      <alignment readingOrder="0" vertical="bottom"/>
    </xf>
    <xf borderId="0" fillId="18" fontId="1" numFmtId="164" xfId="0" applyAlignment="1" applyFont="1" applyNumberFormat="1">
      <alignment readingOrder="0"/>
    </xf>
    <xf borderId="0" fillId="18" fontId="1" numFmtId="164" xfId="0" applyFont="1" applyNumberFormat="1"/>
    <xf borderId="0" fillId="18" fontId="1" numFmtId="171" xfId="0" applyAlignment="1" applyFont="1" applyNumberFormat="1">
      <alignment readingOrder="0"/>
    </xf>
    <xf borderId="0" fillId="18" fontId="1" numFmtId="170" xfId="0" applyFont="1" applyNumberFormat="1"/>
    <xf borderId="0" fillId="18" fontId="1" numFmtId="0" xfId="0" applyFont="1"/>
    <xf borderId="0" fillId="18" fontId="33" numFmtId="0" xfId="0" applyAlignment="1" applyFont="1">
      <alignment readingOrder="0"/>
    </xf>
    <xf borderId="0" fillId="0" fontId="26" numFmtId="164" xfId="0" applyAlignment="1" applyFont="1" applyNumberFormat="1">
      <alignment shrinkToFit="0" vertical="bottom" wrapText="0"/>
    </xf>
    <xf borderId="0" fillId="0" fontId="24" numFmtId="0" xfId="0" applyAlignment="1" applyFont="1">
      <alignment shrinkToFit="0" vertical="bottom" wrapText="0"/>
    </xf>
    <xf borderId="0" fillId="0" fontId="22" numFmtId="164" xfId="0" applyAlignment="1" applyFont="1" applyNumberFormat="1">
      <alignment horizontal="right" readingOrder="0" shrinkToFit="0" vertical="bottom" wrapText="0"/>
    </xf>
    <xf borderId="0" fillId="0" fontId="22" numFmtId="0" xfId="0" applyAlignment="1" applyFont="1">
      <alignment horizontal="right" readingOrder="0" shrinkToFit="0" vertical="bottom" wrapText="0"/>
    </xf>
    <xf borderId="0" fillId="15" fontId="41" numFmtId="0" xfId="0" applyAlignment="1" applyFont="1">
      <alignment horizontal="left" readingOrder="0" shrinkToFit="0" wrapText="1"/>
    </xf>
    <xf borderId="0" fillId="15" fontId="3" numFmtId="0" xfId="0" applyAlignment="1" applyFont="1">
      <alignment readingOrder="0"/>
    </xf>
    <xf borderId="0" fillId="17" fontId="3" numFmtId="168" xfId="0" applyAlignment="1" applyFont="1" applyNumberFormat="1">
      <alignment readingOrder="0"/>
    </xf>
    <xf borderId="0" fillId="15" fontId="35" numFmtId="0" xfId="0" applyAlignment="1" applyFont="1">
      <alignment readingOrder="0" vertical="bottom"/>
    </xf>
    <xf borderId="0" fillId="18" fontId="3" numFmtId="171" xfId="0" applyFont="1" applyNumberFormat="1"/>
    <xf borderId="0" fillId="0" fontId="3" numFmtId="0" xfId="0" applyAlignment="1" applyFont="1">
      <alignment readingOrder="0" shrinkToFit="0" vertical="bottom" wrapText="0"/>
    </xf>
    <xf borderId="0" fillId="0" fontId="24" numFmtId="174" xfId="0" applyAlignment="1" applyFont="1" applyNumberFormat="1">
      <alignment horizontal="right" vertical="bottom"/>
    </xf>
    <xf borderId="0" fillId="0" fontId="24" numFmtId="172" xfId="0" applyAlignment="1" applyFont="1" applyNumberFormat="1">
      <alignment horizontal="right" vertical="bottom"/>
    </xf>
    <xf borderId="0" fillId="0" fontId="24" numFmtId="172" xfId="0" applyAlignment="1" applyFont="1" applyNumberFormat="1">
      <alignment vertical="bottom"/>
    </xf>
    <xf borderId="0" fillId="0" fontId="24" numFmtId="168" xfId="0" applyAlignment="1" applyFont="1" applyNumberFormat="1">
      <alignment vertical="bottom"/>
    </xf>
    <xf borderId="1" fillId="0" fontId="24" numFmtId="172" xfId="0" applyAlignment="1" applyBorder="1" applyFont="1" applyNumberFormat="1">
      <alignment horizontal="right" vertical="bottom"/>
    </xf>
    <xf borderId="0" fillId="0" fontId="2" numFmtId="0" xfId="0" applyFont="1"/>
    <xf borderId="0" fillId="0" fontId="18" numFmtId="0" xfId="0" applyFont="1"/>
    <xf borderId="0" fillId="0" fontId="42" numFmtId="0" xfId="0" applyAlignment="1" applyFont="1">
      <alignment horizontal="center" readingOrder="0"/>
    </xf>
    <xf borderId="0" fillId="0" fontId="42" numFmtId="171" xfId="0" applyAlignment="1" applyFont="1" applyNumberFormat="1">
      <alignment horizontal="center" readingOrder="0"/>
    </xf>
    <xf borderId="0" fillId="0" fontId="43" numFmtId="164" xfId="0" applyAlignment="1" applyFont="1" applyNumberFormat="1">
      <alignment horizontal="center" readingOrder="0"/>
    </xf>
    <xf borderId="0" fillId="0" fontId="43" numFmtId="170" xfId="0" applyAlignment="1" applyFont="1" applyNumberFormat="1">
      <alignment horizontal="center" readingOrder="0"/>
    </xf>
    <xf borderId="0" fillId="0" fontId="43" numFmtId="171" xfId="0" applyAlignment="1" applyFont="1" applyNumberFormat="1">
      <alignment horizontal="center" readingOrder="0"/>
    </xf>
    <xf borderId="0" fillId="0" fontId="31" numFmtId="0" xfId="0" applyFont="1"/>
    <xf borderId="0" fillId="16" fontId="31" numFmtId="0" xfId="0" applyAlignment="1" applyFont="1">
      <alignment readingOrder="0"/>
    </xf>
    <xf borderId="0" fillId="16" fontId="31" numFmtId="168" xfId="0" applyAlignment="1" applyFont="1" applyNumberFormat="1">
      <alignment horizontal="center" readingOrder="0"/>
    </xf>
    <xf borderId="0" fillId="16" fontId="31" numFmtId="0" xfId="0" applyAlignment="1" applyFont="1">
      <alignment horizontal="center" readingOrder="0"/>
    </xf>
    <xf borderId="0" fillId="16" fontId="31" numFmtId="0" xfId="0" applyFont="1"/>
    <xf borderId="0" fillId="16" fontId="31" numFmtId="171" xfId="0" applyFont="1" applyNumberFormat="1"/>
    <xf borderId="0" fillId="16" fontId="2" numFmtId="171" xfId="0" applyAlignment="1" applyFont="1" applyNumberFormat="1">
      <alignment readingOrder="0"/>
    </xf>
    <xf borderId="0" fillId="16" fontId="31" numFmtId="171" xfId="0" applyAlignment="1" applyFont="1" applyNumberFormat="1">
      <alignment readingOrder="0"/>
    </xf>
    <xf borderId="0" fillId="0" fontId="31" numFmtId="0" xfId="0" applyAlignment="1" applyFont="1">
      <alignment readingOrder="0"/>
    </xf>
    <xf borderId="0" fillId="0" fontId="31" numFmtId="168" xfId="0" applyAlignment="1" applyFont="1" applyNumberFormat="1">
      <alignment horizontal="center" readingOrder="0"/>
    </xf>
    <xf borderId="0" fillId="15" fontId="31" numFmtId="0" xfId="0" applyAlignment="1" applyFont="1">
      <alignment horizontal="center" readingOrder="0"/>
    </xf>
    <xf borderId="0" fillId="0" fontId="31" numFmtId="171" xfId="0" applyAlignment="1" applyFont="1" applyNumberFormat="1">
      <alignment readingOrder="0"/>
    </xf>
    <xf borderId="0" fillId="15" fontId="2" numFmtId="171" xfId="0" applyAlignment="1" applyFont="1" applyNumberFormat="1">
      <alignment readingOrder="0"/>
    </xf>
    <xf borderId="0" fillId="0" fontId="31" numFmtId="171" xfId="0" applyFont="1" applyNumberFormat="1"/>
    <xf borderId="0" fillId="0" fontId="31" numFmtId="170" xfId="0" applyAlignment="1" applyFont="1" applyNumberFormat="1">
      <alignment readingOrder="0"/>
    </xf>
    <xf borderId="0" fillId="0" fontId="31" numFmtId="168" xfId="0" applyAlignment="1" applyFont="1" applyNumberFormat="1">
      <alignment horizontal="center" readingOrder="0" shrinkToFit="0" vertical="bottom" wrapText="0"/>
    </xf>
    <xf borderId="0" fillId="0" fontId="31" numFmtId="0" xfId="0" applyAlignment="1" applyFont="1">
      <alignment readingOrder="0" shrinkToFit="0" vertical="bottom" wrapText="0"/>
    </xf>
    <xf borderId="0" fillId="0" fontId="42" numFmtId="0" xfId="0" applyAlignment="1" applyFont="1">
      <alignment readingOrder="0"/>
    </xf>
    <xf borderId="0" fillId="0" fontId="31" numFmtId="172" xfId="0" applyAlignment="1" applyFont="1" applyNumberFormat="1">
      <alignment horizontal="center" readingOrder="0" shrinkToFit="0" vertical="bottom" wrapText="0"/>
    </xf>
    <xf borderId="0" fillId="15" fontId="31" numFmtId="169" xfId="0" applyAlignment="1" applyFont="1" applyNumberFormat="1">
      <alignment readingOrder="0" vertical="bottom"/>
    </xf>
    <xf borderId="0" fillId="0" fontId="31" numFmtId="164" xfId="0" applyAlignment="1" applyFont="1" applyNumberFormat="1">
      <alignment readingOrder="0"/>
    </xf>
    <xf borderId="0" fillId="15" fontId="31" numFmtId="0" xfId="0" applyAlignment="1" applyFont="1">
      <alignment vertical="bottom"/>
    </xf>
    <xf borderId="0" fillId="0" fontId="31" numFmtId="170" xfId="0" applyFont="1" applyNumberFormat="1"/>
    <xf borderId="0" fillId="15" fontId="31" numFmtId="0" xfId="0" applyAlignment="1" applyFont="1">
      <alignment readingOrder="0" vertical="bottom"/>
    </xf>
    <xf borderId="0" fillId="0" fontId="31" numFmtId="169" xfId="0" applyAlignment="1" applyFont="1" applyNumberFormat="1">
      <alignment readingOrder="0" shrinkToFit="0" vertical="bottom" wrapText="0"/>
    </xf>
    <xf borderId="0" fillId="0" fontId="31" numFmtId="0" xfId="0" applyAlignment="1" applyFont="1">
      <alignment readingOrder="0" vertical="bottom"/>
    </xf>
    <xf borderId="0" fillId="0" fontId="31" numFmtId="170" xfId="0" applyAlignment="1" applyFont="1" applyNumberFormat="1">
      <alignment horizontal="right" readingOrder="0" shrinkToFit="0" vertical="bottom" wrapText="0"/>
    </xf>
    <xf borderId="0" fillId="0" fontId="15" numFmtId="172" xfId="0" applyAlignment="1" applyFont="1" applyNumberFormat="1">
      <alignment horizontal="center" readingOrder="0" shrinkToFit="0" vertical="bottom" wrapText="0"/>
    </xf>
    <xf borderId="0" fillId="0" fontId="15" numFmtId="0" xfId="0" applyFont="1"/>
    <xf borderId="0" fillId="0" fontId="15" numFmtId="171" xfId="0" applyFont="1" applyNumberFormat="1"/>
    <xf borderId="0" fillId="0" fontId="15" numFmtId="170" xfId="0" applyAlignment="1" applyFont="1" applyNumberFormat="1">
      <alignment horizontal="right" readingOrder="0" shrinkToFit="0" vertical="bottom" wrapText="0"/>
    </xf>
    <xf borderId="0" fillId="0" fontId="44" numFmtId="0" xfId="0" applyFont="1"/>
    <xf borderId="0" fillId="0" fontId="15" numFmtId="165" xfId="0" applyAlignment="1" applyFont="1" applyNumberFormat="1">
      <alignment horizontal="center" readingOrder="0" shrinkToFit="0" vertical="bottom" wrapText="0"/>
    </xf>
    <xf borderId="0" fillId="19" fontId="15" numFmtId="0" xfId="0" applyAlignment="1" applyFill="1" applyFont="1">
      <alignment readingOrder="0"/>
    </xf>
    <xf borderId="0" fillId="15" fontId="15" numFmtId="0" xfId="0" applyAlignment="1" applyFont="1">
      <alignment readingOrder="0" shrinkToFit="0" vertical="bottom" wrapText="0"/>
    </xf>
    <xf borderId="0" fillId="0" fontId="15" numFmtId="171" xfId="0" applyAlignment="1" applyFont="1" applyNumberFormat="1">
      <alignment readingOrder="0"/>
    </xf>
    <xf borderId="0" fillId="18" fontId="15" numFmtId="171" xfId="0" applyFont="1" applyNumberFormat="1"/>
    <xf borderId="0" fillId="15" fontId="29" numFmtId="0" xfId="0" applyAlignment="1" applyFont="1">
      <alignment readingOrder="0" vertical="bottom"/>
    </xf>
    <xf borderId="0" fillId="0" fontId="26" numFmtId="170" xfId="0" applyAlignment="1" applyFont="1" applyNumberFormat="1">
      <alignment readingOrder="0" shrinkToFit="0" vertical="bottom" wrapText="0"/>
    </xf>
    <xf borderId="0" fillId="0" fontId="22" numFmtId="168" xfId="0" applyAlignment="1" applyFont="1" applyNumberFormat="1">
      <alignment horizontal="center" readingOrder="0" shrinkToFit="0" vertical="bottom" wrapText="0"/>
    </xf>
    <xf borderId="0" fillId="0" fontId="22" numFmtId="171" xfId="0" applyAlignment="1" applyFont="1" applyNumberFormat="1">
      <alignment readingOrder="0" shrinkToFit="0" vertical="bottom" wrapText="0"/>
    </xf>
    <xf borderId="0" fillId="7" fontId="15" numFmtId="170" xfId="0" applyAlignment="1" applyFont="1" applyNumberFormat="1">
      <alignment horizontal="right" readingOrder="0" shrinkToFit="0" vertical="bottom" wrapText="0"/>
    </xf>
    <xf borderId="0" fillId="0" fontId="26" numFmtId="165" xfId="0" applyAlignment="1" applyFont="1" applyNumberFormat="1">
      <alignment horizontal="center" readingOrder="0" shrinkToFit="0" vertical="bottom" wrapText="0"/>
    </xf>
    <xf borderId="0" fillId="0" fontId="26" numFmtId="170" xfId="0" applyAlignment="1" applyFont="1" applyNumberFormat="1">
      <alignment horizontal="right" readingOrder="0" shrinkToFit="0" vertical="bottom" wrapText="0"/>
    </xf>
    <xf borderId="0" fillId="0" fontId="1" numFmtId="164" xfId="0" applyAlignment="1" applyFont="1" applyNumberFormat="1">
      <alignment readingOrder="0"/>
    </xf>
    <xf borderId="0" fillId="0" fontId="15" numFmtId="171" xfId="0" applyAlignment="1" applyFont="1" applyNumberFormat="1">
      <alignment horizontal="right" readingOrder="0" shrinkToFit="0" vertical="bottom" wrapText="0"/>
    </xf>
    <xf borderId="0" fillId="20" fontId="26" numFmtId="0" xfId="0" applyAlignment="1" applyFill="1" applyFont="1">
      <alignment readingOrder="0" shrinkToFit="0" vertical="bottom" wrapText="0"/>
    </xf>
    <xf borderId="0" fillId="0" fontId="24" numFmtId="168" xfId="0" applyAlignment="1" applyFont="1" applyNumberFormat="1">
      <alignment horizontal="center" readingOrder="0" shrinkToFit="0" vertical="bottom" wrapText="0"/>
    </xf>
    <xf borderId="0" fillId="0" fontId="24" numFmtId="172" xfId="0" applyAlignment="1" applyFont="1" applyNumberFormat="1">
      <alignment horizontal="center" readingOrder="0" shrinkToFit="0" vertical="bottom" wrapText="0"/>
    </xf>
    <xf borderId="0" fillId="0" fontId="3" numFmtId="168" xfId="0" applyAlignment="1" applyFont="1" applyNumberFormat="1">
      <alignment horizontal="center" readingOrder="0"/>
    </xf>
    <xf borderId="0" fillId="18" fontId="31" numFmtId="171" xfId="0" applyFont="1" applyNumberFormat="1"/>
    <xf borderId="0" fillId="0" fontId="3" numFmtId="164" xfId="0" applyAlignment="1" applyFont="1" applyNumberFormat="1">
      <alignment horizontal="right" readingOrder="0" shrinkToFit="0" vertical="bottom" wrapText="0"/>
    </xf>
    <xf borderId="0" fillId="0" fontId="0" numFmtId="164" xfId="0" applyAlignment="1" applyFont="1" applyNumberFormat="1">
      <alignment readingOrder="0" shrinkToFit="0" vertical="bottom" wrapText="0"/>
    </xf>
    <xf borderId="0" fillId="15" fontId="29" numFmtId="0" xfId="0" applyAlignment="1" applyFont="1">
      <alignment readingOrder="0" shrinkToFit="0" vertical="bottom" wrapText="0"/>
    </xf>
    <xf borderId="0" fillId="0" fontId="22" numFmtId="168" xfId="0" applyAlignment="1" applyFont="1" applyNumberFormat="1">
      <alignment horizontal="center" readingOrder="0" shrinkToFit="0" vertical="bottom" wrapText="0"/>
    </xf>
    <xf borderId="0" fillId="0" fontId="22" numFmtId="0" xfId="0" applyAlignment="1" applyFont="1">
      <alignment vertical="bottom"/>
    </xf>
    <xf borderId="0" fillId="0" fontId="22" numFmtId="173" xfId="0" applyAlignment="1" applyFont="1" applyNumberFormat="1">
      <alignment horizontal="right" vertical="bottom"/>
    </xf>
    <xf borderId="0" fillId="0" fontId="22" numFmtId="0" xfId="0" applyAlignment="1" applyFont="1">
      <alignment readingOrder="0" vertical="bottom"/>
    </xf>
    <xf borderId="0" fillId="0" fontId="2" numFmtId="171" xfId="0" applyAlignment="1" applyFont="1" applyNumberFormat="1">
      <alignment readingOrder="0"/>
    </xf>
    <xf borderId="0" fillId="0" fontId="45" numFmtId="0" xfId="0" applyAlignment="1" applyFont="1">
      <alignment readingOrder="0" vertical="bottom"/>
    </xf>
    <xf borderId="0" fillId="0" fontId="31" numFmtId="0" xfId="0" applyAlignment="1" applyFont="1">
      <alignment horizontal="center" readingOrder="0"/>
    </xf>
    <xf borderId="2" fillId="0" fontId="24" numFmtId="0" xfId="0" applyAlignment="1" applyBorder="1" applyFont="1">
      <alignment readingOrder="0" vertical="bottom"/>
    </xf>
    <xf borderId="0" fillId="15" fontId="46" numFmtId="0" xfId="0" applyAlignment="1" applyFont="1">
      <alignment horizontal="center" readingOrder="0"/>
    </xf>
    <xf borderId="0" fillId="0" fontId="15" numFmtId="170" xfId="0" applyFont="1" applyNumberFormat="1"/>
    <xf borderId="0" fillId="0" fontId="24" numFmtId="165" xfId="0" applyAlignment="1" applyFont="1" applyNumberFormat="1">
      <alignment horizontal="right" readingOrder="0" shrinkToFit="0" vertical="bottom" wrapText="0"/>
    </xf>
    <xf borderId="0" fillId="0" fontId="15" numFmtId="168" xfId="0" applyAlignment="1" applyFont="1" applyNumberFormat="1">
      <alignment horizontal="right" readingOrder="0" shrinkToFit="0" vertical="bottom" wrapText="0"/>
    </xf>
    <xf borderId="0" fillId="0" fontId="2" numFmtId="49" xfId="0" applyAlignment="1" applyFont="1" applyNumberFormat="1">
      <alignment readingOrder="0"/>
    </xf>
    <xf borderId="0" fillId="0" fontId="2" numFmtId="169" xfId="0" applyFont="1" applyNumberFormat="1"/>
    <xf borderId="0" fillId="0" fontId="2" numFmtId="164" xfId="0" applyAlignment="1" applyFont="1" applyNumberFormat="1">
      <alignment readingOrder="0"/>
    </xf>
    <xf borderId="0" fillId="0" fontId="2" numFmtId="170" xfId="0" applyFont="1" applyNumberFormat="1"/>
    <xf borderId="0" fillId="15" fontId="2" numFmtId="0" xfId="0" applyAlignment="1" applyFont="1">
      <alignment readingOrder="0"/>
    </xf>
    <xf borderId="0" fillId="15" fontId="2" numFmtId="0" xfId="0" applyFont="1"/>
    <xf borderId="0" fillId="15" fontId="2" numFmtId="164" xfId="0" applyAlignment="1" applyFont="1" applyNumberFormat="1">
      <alignment readingOrder="0"/>
    </xf>
    <xf borderId="0" fillId="15" fontId="2" numFmtId="170" xfId="0" applyFont="1" applyNumberFormat="1"/>
    <xf borderId="0" fillId="0" fontId="27" numFmtId="49" xfId="0" applyAlignment="1" applyFont="1" applyNumberFormat="1">
      <alignment readingOrder="0"/>
    </xf>
    <xf borderId="0" fillId="0" fontId="27" numFmtId="171" xfId="0" applyAlignment="1" applyFont="1" applyNumberFormat="1">
      <alignment readingOrder="0"/>
    </xf>
    <xf borderId="0" fillId="15" fontId="3" numFmtId="171" xfId="0" applyFont="1" applyNumberFormat="1"/>
    <xf borderId="0" fillId="0" fontId="22" numFmtId="169" xfId="0" applyAlignment="1" applyFont="1" applyNumberFormat="1">
      <alignment readingOrder="0" shrinkToFit="0" vertical="bottom" wrapText="0"/>
    </xf>
    <xf borderId="0" fillId="0" fontId="22" numFmtId="169" xfId="0" applyAlignment="1" applyFont="1" applyNumberFormat="1">
      <alignment readingOrder="0" shrinkToFit="0" vertical="bottom" wrapText="0"/>
    </xf>
    <xf borderId="0" fillId="0" fontId="3" numFmtId="169" xfId="0" applyAlignment="1" applyFont="1" applyNumberFormat="1">
      <alignment readingOrder="0"/>
    </xf>
    <xf borderId="0" fillId="15" fontId="3" numFmtId="164" xfId="0" applyFont="1" applyNumberFormat="1"/>
    <xf borderId="0" fillId="14" fontId="47" numFmtId="0" xfId="0" applyAlignment="1" applyFont="1">
      <alignment horizontal="center" readingOrder="0" shrinkToFit="0" vertical="center" wrapText="1"/>
    </xf>
    <xf borderId="3" fillId="14" fontId="47" numFmtId="0" xfId="0" applyAlignment="1" applyBorder="1" applyFont="1">
      <alignment horizontal="center" readingOrder="0" shrinkToFit="0" vertical="center" wrapText="1"/>
    </xf>
    <xf borderId="4" fillId="14" fontId="47" numFmtId="164" xfId="0" applyAlignment="1" applyBorder="1" applyFont="1" applyNumberFormat="1">
      <alignment horizontal="center" readingOrder="0" shrinkToFit="0" vertical="center" wrapText="1"/>
    </xf>
    <xf borderId="5" fillId="14" fontId="47" numFmtId="0" xfId="0" applyAlignment="1" applyBorder="1" applyFont="1">
      <alignment horizontal="center" readingOrder="0" shrinkToFit="0" vertical="center" wrapText="1"/>
    </xf>
    <xf borderId="4" fillId="14" fontId="47" numFmtId="0" xfId="0" applyAlignment="1" applyBorder="1" applyFont="1">
      <alignment horizontal="center" readingOrder="0" shrinkToFit="0" vertical="center" wrapText="1"/>
    </xf>
    <xf borderId="0" fillId="18" fontId="3" numFmtId="177" xfId="0" applyAlignment="1" applyFont="1" applyNumberFormat="1">
      <alignment readingOrder="0"/>
    </xf>
    <xf borderId="0" fillId="18" fontId="3" numFmtId="169" xfId="0" applyFont="1" applyNumberFormat="1"/>
    <xf borderId="0" fillId="18" fontId="3" numFmtId="169" xfId="0" applyAlignment="1" applyFont="1" applyNumberFormat="1">
      <alignment readingOrder="0"/>
    </xf>
    <xf borderId="0" fillId="18" fontId="3" numFmtId="10" xfId="0" applyFont="1" applyNumberFormat="1"/>
    <xf borderId="0" fillId="18" fontId="3" numFmtId="4" xfId="0" applyFont="1" applyNumberFormat="1"/>
    <xf borderId="0" fillId="18" fontId="1" numFmtId="49" xfId="0" applyAlignment="1" applyFont="1" applyNumberFormat="1">
      <alignment readingOrder="0" shrinkToFit="0" vertical="center" wrapText="1"/>
    </xf>
    <xf borderId="0" fillId="2" fontId="3" numFmtId="49" xfId="0" applyAlignment="1" applyFont="1" applyNumberFormat="1">
      <alignment readingOrder="0"/>
    </xf>
    <xf borderId="0" fillId="2" fontId="3" numFmtId="177" xfId="0" applyAlignment="1" applyFont="1" applyNumberFormat="1">
      <alignment readingOrder="0"/>
    </xf>
    <xf borderId="0" fillId="2" fontId="3" numFmtId="169" xfId="0" applyFont="1" applyNumberFormat="1"/>
    <xf borderId="0" fillId="2" fontId="3" numFmtId="169" xfId="0" applyAlignment="1" applyFont="1" applyNumberFormat="1">
      <alignment readingOrder="0"/>
    </xf>
    <xf borderId="0" fillId="2" fontId="3" numFmtId="171" xfId="0" applyFont="1" applyNumberFormat="1"/>
    <xf borderId="0" fillId="2" fontId="3" numFmtId="10" xfId="0" applyFont="1" applyNumberFormat="1"/>
    <xf borderId="0" fillId="2" fontId="3" numFmtId="4" xfId="0" applyFont="1" applyNumberFormat="1"/>
    <xf borderId="0" fillId="2" fontId="1" numFmtId="49" xfId="0" applyAlignment="1" applyFont="1" applyNumberFormat="1">
      <alignment readingOrder="0" shrinkToFit="0" vertical="center" wrapText="1"/>
    </xf>
    <xf borderId="0" fillId="17" fontId="3" numFmtId="177" xfId="0" applyAlignment="1" applyFont="1" applyNumberFormat="1">
      <alignment readingOrder="0"/>
    </xf>
    <xf borderId="0" fillId="17" fontId="3" numFmtId="169" xfId="0" applyFont="1" applyNumberFormat="1"/>
    <xf borderId="0" fillId="17" fontId="3" numFmtId="169" xfId="0" applyAlignment="1" applyFont="1" applyNumberFormat="1">
      <alignment readingOrder="0"/>
    </xf>
    <xf borderId="0" fillId="14" fontId="4" numFmtId="0" xfId="0" applyAlignment="1" applyFont="1">
      <alignment horizontal="center" readingOrder="0" shrinkToFit="0" vertical="center" wrapText="1"/>
    </xf>
    <xf borderId="0" fillId="14" fontId="4" numFmtId="0" xfId="0" applyFont="1"/>
    <xf borderId="0" fillId="14" fontId="4" numFmtId="0" xfId="0" applyAlignment="1" applyFont="1">
      <alignment readingOrder="0" shrinkToFit="0" vertical="center" wrapText="1"/>
    </xf>
    <xf borderId="0" fillId="0" fontId="3" numFmtId="1" xfId="0" applyFont="1" applyNumberFormat="1"/>
    <xf borderId="0" fillId="0" fontId="3" numFmtId="4" xfId="0" applyAlignment="1" applyFont="1" applyNumberFormat="1">
      <alignment readingOrder="0"/>
    </xf>
    <xf borderId="0" fillId="0" fontId="3" numFmtId="4" xfId="0" applyFont="1" applyNumberFormat="1"/>
    <xf borderId="0" fillId="0" fontId="3" numFmtId="0" xfId="0" applyAlignment="1" applyFont="1">
      <alignment readingOrder="0" shrinkToFit="0" vertical="center" wrapText="1"/>
    </xf>
    <xf borderId="0" fillId="21" fontId="1" numFmtId="0" xfId="0" applyAlignment="1" applyFill="1" applyFont="1">
      <alignment readingOrder="0"/>
    </xf>
    <xf borderId="0" fillId="21" fontId="1" numFmtId="169" xfId="0" applyAlignment="1" applyFont="1" applyNumberFormat="1">
      <alignment readingOrder="0"/>
    </xf>
    <xf borderId="0" fillId="21" fontId="28" numFmtId="169" xfId="0" applyAlignment="1" applyFont="1" applyNumberFormat="1">
      <alignment readingOrder="0"/>
    </xf>
    <xf borderId="0" fillId="0" fontId="3" numFmtId="178" xfId="0" applyAlignment="1" applyFont="1" applyNumberFormat="1">
      <alignment readingOrder="0"/>
    </xf>
    <xf borderId="6" fillId="0" fontId="22" numFmtId="169" xfId="0" applyAlignment="1" applyBorder="1" applyFont="1" applyNumberFormat="1">
      <alignment horizontal="center" readingOrder="0" vertical="bottom"/>
    </xf>
    <xf borderId="6" fillId="0" fontId="22" numFmtId="179" xfId="0" applyAlignment="1" applyBorder="1" applyFont="1" applyNumberFormat="1">
      <alignment horizontal="center" readingOrder="0" vertical="bottom"/>
    </xf>
    <xf borderId="0" fillId="0" fontId="22" numFmtId="164" xfId="0" applyAlignment="1" applyFont="1" applyNumberFormat="1">
      <alignment horizontal="right" vertical="bottom"/>
    </xf>
    <xf borderId="6" fillId="0" fontId="24" numFmtId="179" xfId="0" applyAlignment="1" applyBorder="1" applyFont="1" applyNumberFormat="1">
      <alignment readingOrder="0"/>
    </xf>
    <xf borderId="0" fillId="4" fontId="3" numFmtId="49" xfId="0" applyAlignment="1" applyFont="1" applyNumberFormat="1">
      <alignment readingOrder="0"/>
    </xf>
    <xf borderId="0" fillId="22" fontId="14" numFmtId="0" xfId="0" applyAlignment="1" applyFill="1" applyFont="1">
      <alignment readingOrder="0"/>
    </xf>
    <xf borderId="0" fillId="22" fontId="3" numFmtId="49" xfId="0" applyAlignment="1" applyFont="1" applyNumberFormat="1">
      <alignment readingOrder="0"/>
    </xf>
    <xf borderId="0" fillId="22" fontId="15" numFmtId="0" xfId="0" applyAlignment="1" applyFont="1">
      <alignment readingOrder="0"/>
    </xf>
    <xf borderId="0" fillId="22" fontId="3" numFmtId="0" xfId="0" applyAlignment="1" applyFont="1">
      <alignment readingOrder="0"/>
    </xf>
    <xf borderId="0" fillId="23" fontId="14" numFmtId="0" xfId="0" applyAlignment="1" applyFill="1" applyFont="1">
      <alignment readingOrder="0"/>
    </xf>
    <xf borderId="0" fillId="23" fontId="3" numFmtId="49" xfId="0" applyAlignment="1" applyFont="1" applyNumberFormat="1">
      <alignment readingOrder="0"/>
    </xf>
    <xf borderId="0" fillId="23" fontId="15" numFmtId="0" xfId="0" applyAlignment="1" applyFont="1">
      <alignment readingOrder="0"/>
    </xf>
    <xf borderId="0" fillId="23" fontId="3" numFmtId="0" xfId="0" applyAlignment="1" applyFont="1">
      <alignment readingOrder="0"/>
    </xf>
    <xf borderId="0" fillId="12" fontId="14" numFmtId="0" xfId="0" applyAlignment="1" applyFont="1">
      <alignment readingOrder="0"/>
    </xf>
    <xf borderId="0" fillId="12" fontId="3" numFmtId="49" xfId="0" applyAlignment="1" applyFont="1" applyNumberFormat="1">
      <alignment readingOrder="0"/>
    </xf>
    <xf borderId="0" fillId="12" fontId="15" numFmtId="0" xfId="0" applyAlignment="1" applyFont="1">
      <alignment readingOrder="0"/>
    </xf>
    <xf borderId="0" fillId="12" fontId="3" numFmtId="0" xfId="0" applyAlignment="1" applyFont="1">
      <alignment readingOrder="0"/>
    </xf>
    <xf borderId="0" fillId="10" fontId="14" numFmtId="0" xfId="0" applyAlignment="1" applyFont="1">
      <alignment readingOrder="0"/>
    </xf>
    <xf borderId="0" fillId="10" fontId="3" numFmtId="49" xfId="0" applyAlignment="1" applyFont="1" applyNumberFormat="1">
      <alignment readingOrder="0"/>
    </xf>
    <xf borderId="0" fillId="10" fontId="15" numFmtId="0" xfId="0" applyAlignment="1" applyFont="1">
      <alignment readingOrder="0"/>
    </xf>
    <xf borderId="0" fillId="10" fontId="3" numFmtId="0" xfId="0" applyAlignment="1" applyFont="1">
      <alignment readingOrder="0"/>
    </xf>
    <xf borderId="0" fillId="13" fontId="14" numFmtId="0" xfId="0" applyAlignment="1" applyFont="1">
      <alignment readingOrder="0"/>
    </xf>
    <xf borderId="0" fillId="13" fontId="3" numFmtId="49" xfId="0" applyAlignment="1" applyFont="1" applyNumberFormat="1">
      <alignment readingOrder="0"/>
    </xf>
    <xf borderId="0" fillId="13" fontId="15" numFmtId="0" xfId="0" applyAlignment="1" applyFont="1">
      <alignment readingOrder="0"/>
    </xf>
    <xf borderId="0" fillId="13" fontId="3" numFmtId="0" xfId="0" applyAlignment="1" applyFont="1">
      <alignment readingOrder="0"/>
    </xf>
    <xf borderId="0" fillId="9" fontId="14" numFmtId="0" xfId="0" applyAlignment="1" applyFont="1">
      <alignment readingOrder="0"/>
    </xf>
    <xf borderId="0" fillId="9" fontId="3" numFmtId="49" xfId="0" applyAlignment="1" applyFont="1" applyNumberFormat="1">
      <alignment readingOrder="0"/>
    </xf>
    <xf borderId="0" fillId="9" fontId="15" numFmtId="0" xfId="0" applyAlignment="1" applyFont="1">
      <alignment readingOrder="0"/>
    </xf>
    <xf borderId="0" fillId="9" fontId="3" numFmtId="0" xfId="0" applyAlignment="1" applyFont="1">
      <alignment readingOrder="0"/>
    </xf>
    <xf borderId="0" fillId="24" fontId="14" numFmtId="0" xfId="0" applyAlignment="1" applyFill="1" applyFont="1">
      <alignment readingOrder="0"/>
    </xf>
    <xf borderId="0" fillId="24" fontId="3" numFmtId="49" xfId="0" applyAlignment="1" applyFont="1" applyNumberFormat="1">
      <alignment readingOrder="0"/>
    </xf>
    <xf borderId="0" fillId="24" fontId="15" numFmtId="0" xfId="0" applyAlignment="1" applyFont="1">
      <alignment readingOrder="0"/>
    </xf>
    <xf borderId="0" fillId="24" fontId="3" numFmtId="0" xfId="0" applyAlignment="1" applyFont="1">
      <alignment readingOrder="0"/>
    </xf>
    <xf borderId="0" fillId="8" fontId="14" numFmtId="0" xfId="0" applyAlignment="1" applyFont="1">
      <alignment readingOrder="0"/>
    </xf>
    <xf borderId="0" fillId="8" fontId="3" numFmtId="49" xfId="0" applyAlignment="1" applyFont="1" applyNumberFormat="1">
      <alignment readingOrder="0"/>
    </xf>
    <xf borderId="0" fillId="8" fontId="15" numFmtId="0" xfId="0" applyAlignment="1" applyFont="1">
      <alignment readingOrder="0"/>
    </xf>
    <xf borderId="0" fillId="8" fontId="3" numFmtId="0" xfId="0" applyAlignment="1" applyFont="1">
      <alignment readingOrder="0"/>
    </xf>
    <xf borderId="0" fillId="11" fontId="14" numFmtId="0" xfId="0" applyAlignment="1" applyFont="1">
      <alignment readingOrder="0"/>
    </xf>
    <xf borderId="0" fillId="11" fontId="3" numFmtId="49" xfId="0" applyAlignment="1" applyFont="1" applyNumberFormat="1">
      <alignment readingOrder="0"/>
    </xf>
    <xf borderId="0" fillId="11" fontId="15" numFmtId="0" xfId="0" applyAlignment="1" applyFont="1">
      <alignment readingOrder="0"/>
    </xf>
    <xf borderId="0" fillId="11" fontId="3" numFmtId="0" xfId="0" applyAlignment="1" applyFont="1">
      <alignment readingOrder="0"/>
    </xf>
    <xf borderId="0" fillId="0" fontId="27" numFmtId="0" xfId="0" applyAlignment="1" applyFont="1">
      <alignment horizontal="center" readingOrder="0"/>
    </xf>
    <xf borderId="0" fillId="0" fontId="3" numFmtId="165" xfId="0" applyAlignment="1" applyFont="1" applyNumberFormat="1">
      <alignment readingOrder="0"/>
    </xf>
    <xf borderId="0" fillId="25" fontId="26" numFmtId="0" xfId="0" applyAlignment="1" applyFill="1" applyFont="1">
      <alignment readingOrder="0" shrinkToFit="0" vertical="bottom" wrapText="0"/>
    </xf>
    <xf borderId="0" fillId="10" fontId="26" numFmtId="0" xfId="0" applyAlignment="1" applyFont="1">
      <alignment readingOrder="0" shrinkToFit="0" vertical="bottom" wrapText="0"/>
    </xf>
    <xf borderId="0" fillId="10" fontId="3" numFmtId="168" xfId="0" applyAlignment="1" applyFont="1" applyNumberFormat="1">
      <alignment readingOrder="0"/>
    </xf>
    <xf borderId="0" fillId="10" fontId="26" numFmtId="164" xfId="0" applyAlignment="1" applyFont="1" applyNumberFormat="1">
      <alignment horizontal="right" readingOrder="0" shrinkToFit="0" vertical="bottom" wrapText="0"/>
    </xf>
    <xf borderId="0" fillId="0" fontId="26" numFmtId="0" xfId="0" applyAlignment="1" applyFont="1">
      <alignment shrinkToFit="0" vertical="bottom" wrapText="0"/>
    </xf>
    <xf borderId="0" fillId="10" fontId="26" numFmtId="164" xfId="0" applyAlignment="1" applyFont="1" applyNumberFormat="1">
      <alignment shrinkToFit="0" vertical="bottom" wrapText="0"/>
    </xf>
    <xf borderId="0" fillId="10" fontId="18" numFmtId="0" xfId="0" applyAlignment="1" applyFont="1">
      <alignment readingOrder="0"/>
    </xf>
    <xf borderId="0" fillId="0" fontId="26" numFmtId="168" xfId="0" applyAlignment="1" applyFont="1" applyNumberFormat="1">
      <alignment shrinkToFit="0" vertical="bottom" wrapText="0"/>
    </xf>
    <xf borderId="0" fillId="10" fontId="29" numFmtId="0" xfId="0" applyAlignment="1" applyFont="1">
      <alignment vertical="bottom"/>
    </xf>
    <xf borderId="0" fillId="10" fontId="29" numFmtId="0" xfId="0" applyAlignment="1" applyFont="1">
      <alignment readingOrder="0" vertical="bottom"/>
    </xf>
    <xf borderId="0" fillId="10" fontId="18" numFmtId="0" xfId="0" applyAlignment="1" applyFont="1">
      <alignment readingOrder="0" vertical="bottom"/>
    </xf>
    <xf borderId="0" fillId="26" fontId="5" numFmtId="49" xfId="0" applyAlignment="1" applyFill="1" applyFont="1" applyNumberFormat="1">
      <alignment horizontal="center" readingOrder="0"/>
    </xf>
    <xf borderId="0" fillId="26" fontId="5" numFmtId="0" xfId="0" applyAlignment="1" applyFont="1">
      <alignment horizontal="center" readingOrder="0"/>
    </xf>
    <xf borderId="0" fillId="26" fontId="1" numFmtId="0" xfId="0" applyAlignment="1" applyFont="1">
      <alignment horizontal="center" readingOrder="0"/>
    </xf>
    <xf borderId="0" fillId="0" fontId="1" numFmtId="170" xfId="0" applyAlignment="1" applyFont="1" applyNumberFormat="1">
      <alignment horizontal="center" readingOrder="0"/>
    </xf>
    <xf borderId="0" fillId="8" fontId="3" numFmtId="0" xfId="0" applyFont="1"/>
    <xf borderId="0" fillId="25" fontId="3" numFmtId="49" xfId="0" applyAlignment="1" applyFont="1" applyNumberFormat="1">
      <alignment readingOrder="0"/>
    </xf>
    <xf borderId="0" fillId="25" fontId="3" numFmtId="0" xfId="0" applyAlignment="1" applyFont="1">
      <alignment readingOrder="0"/>
    </xf>
    <xf borderId="0" fillId="25" fontId="3" numFmtId="0" xfId="0" applyFont="1"/>
    <xf borderId="0" fillId="12" fontId="3" numFmtId="169" xfId="0" applyFont="1" applyNumberFormat="1"/>
    <xf borderId="0" fillId="12" fontId="3" numFmtId="0" xfId="0" applyFont="1"/>
    <xf borderId="0" fillId="16" fontId="1" numFmtId="49" xfId="0" applyAlignment="1" applyFont="1" applyNumberFormat="1">
      <alignment horizontal="center" readingOrder="0"/>
    </xf>
    <xf borderId="0" fillId="0" fontId="3" numFmtId="0" xfId="0" applyAlignment="1" applyFont="1">
      <alignment horizontal="center" readingOrder="0"/>
    </xf>
    <xf borderId="0" fillId="0" fontId="1" numFmtId="49" xfId="0" applyAlignment="1" applyFont="1" applyNumberFormat="1">
      <alignment horizontal="center" readingOrder="0"/>
    </xf>
    <xf borderId="0" fillId="27" fontId="25" numFmtId="168" xfId="0" applyAlignment="1" applyFill="1" applyFont="1" applyNumberFormat="1">
      <alignment horizontal="center" vertical="bottom"/>
    </xf>
    <xf borderId="0" fillId="27" fontId="25" numFmtId="0" xfId="0" applyAlignment="1" applyFont="1">
      <alignment horizontal="center" readingOrder="0" vertical="bottom"/>
    </xf>
    <xf borderId="0" fillId="27" fontId="28" numFmtId="0" xfId="0" applyAlignment="1" applyFont="1">
      <alignment horizontal="center" readingOrder="0"/>
    </xf>
    <xf borderId="0" fillId="0" fontId="5" numFmtId="180" xfId="0" applyAlignment="1" applyFont="1" applyNumberFormat="1">
      <alignment horizontal="center" readingOrder="0"/>
    </xf>
    <xf borderId="0" fillId="0" fontId="28" numFmtId="171" xfId="0" applyAlignment="1" applyFont="1" applyNumberFormat="1">
      <alignment horizontal="center" readingOrder="0"/>
    </xf>
    <xf borderId="0" fillId="0" fontId="3" numFmtId="0" xfId="0" applyAlignment="1" applyFont="1">
      <alignment horizontal="center"/>
    </xf>
    <xf borderId="0" fillId="0" fontId="3" numFmtId="4" xfId="0" applyAlignment="1" applyFont="1" applyNumberFormat="1">
      <alignment horizontal="center" readingOrder="0"/>
    </xf>
    <xf borderId="0" fillId="0" fontId="3" numFmtId="174" xfId="0" applyFont="1" applyNumberFormat="1"/>
    <xf borderId="0" fillId="0" fontId="3" numFmtId="180" xfId="0" applyFont="1" applyNumberFormat="1"/>
    <xf borderId="0" fillId="0" fontId="22" numFmtId="0" xfId="0" applyAlignment="1" applyFont="1">
      <alignment horizontal="right" vertical="bottom"/>
    </xf>
    <xf borderId="0" fillId="0" fontId="3" numFmtId="4" xfId="0" applyAlignment="1" applyFont="1" applyNumberFormat="1">
      <alignment horizontal="center"/>
    </xf>
    <xf borderId="0" fillId="0" fontId="29" numFmtId="0" xfId="0" applyAlignment="1" applyFont="1">
      <alignment horizontal="center" readingOrder="0" vertical="bottom"/>
    </xf>
    <xf borderId="0" fillId="0" fontId="3" numFmtId="173" xfId="0" applyFont="1" applyNumberFormat="1"/>
    <xf borderId="0" fillId="0" fontId="29" numFmtId="174" xfId="0" applyAlignment="1" applyFont="1" applyNumberFormat="1">
      <alignment vertical="bottom"/>
    </xf>
    <xf borderId="0" fillId="15" fontId="29" numFmtId="169" xfId="0" applyAlignment="1" applyFont="1" applyNumberFormat="1">
      <alignment vertical="bottom"/>
    </xf>
    <xf borderId="0" fillId="15" fontId="29" numFmtId="0" xfId="0" applyAlignment="1" applyFont="1">
      <alignment vertical="bottom"/>
    </xf>
    <xf borderId="0" fillId="0" fontId="29" numFmtId="174" xfId="0" applyAlignment="1" applyFont="1" applyNumberFormat="1">
      <alignment readingOrder="0" vertical="bottom"/>
    </xf>
    <xf borderId="0" fillId="0" fontId="29" numFmtId="169" xfId="0" applyAlignment="1" applyFont="1" applyNumberFormat="1">
      <alignment readingOrder="0" vertical="bottom"/>
    </xf>
    <xf borderId="0" fillId="15" fontId="29" numFmtId="169" xfId="0" applyAlignment="1" applyFont="1" applyNumberFormat="1">
      <alignment readingOrder="0" vertical="bottom"/>
    </xf>
    <xf borderId="0" fillId="0" fontId="3" numFmtId="174" xfId="0" applyAlignment="1" applyFont="1" applyNumberFormat="1">
      <alignment horizontal="center"/>
    </xf>
    <xf borderId="0" fillId="0" fontId="3" numFmtId="169" xfId="0" applyAlignment="1" applyFont="1" applyNumberFormat="1">
      <alignment horizontal="center"/>
    </xf>
    <xf borderId="0" fillId="0" fontId="3" numFmtId="174" xfId="0" applyAlignment="1" applyFont="1" applyNumberFormat="1">
      <alignment readingOrder="0"/>
    </xf>
    <xf borderId="0" fillId="0" fontId="22" numFmtId="49" xfId="0" applyAlignment="1" applyFont="1" applyNumberFormat="1">
      <alignment readingOrder="0" vertical="bottom"/>
    </xf>
    <xf borderId="0" fillId="0" fontId="3" numFmtId="180" xfId="0" applyAlignment="1" applyFont="1" applyNumberFormat="1">
      <alignment readingOrder="0"/>
    </xf>
    <xf borderId="0" fillId="0" fontId="3" numFmtId="2" xfId="0" applyAlignment="1" applyFont="1" applyNumberFormat="1">
      <alignment horizontal="center" readingOrder="0"/>
    </xf>
    <xf borderId="0" fillId="0" fontId="3" numFmtId="181" xfId="0" applyAlignment="1" applyFont="1" applyNumberFormat="1">
      <alignment horizontal="center" readingOrder="0"/>
    </xf>
    <xf borderId="0" fillId="0" fontId="24" numFmtId="169" xfId="0" applyAlignment="1" applyFont="1" applyNumberFormat="1">
      <alignment horizontal="right" readingOrder="0" shrinkToFit="0" vertical="bottom" wrapText="0"/>
    </xf>
    <xf borderId="0" fillId="0" fontId="27" numFmtId="0" xfId="0" applyAlignment="1" applyFont="1">
      <alignment horizontal="center"/>
    </xf>
    <xf borderId="0" fillId="0" fontId="27" numFmtId="4" xfId="0" applyAlignment="1" applyFont="1" applyNumberFormat="1">
      <alignment horizontal="center"/>
    </xf>
    <xf borderId="0" fillId="15" fontId="22" numFmtId="164" xfId="0" applyAlignment="1" applyFont="1" applyNumberFormat="1">
      <alignment horizontal="right" vertical="bottom"/>
    </xf>
    <xf borderId="0" fillId="0" fontId="26" numFmtId="0" xfId="0" applyAlignment="1" applyFont="1">
      <alignment horizontal="right" readingOrder="0" shrinkToFit="0" vertical="bottom" wrapText="0"/>
    </xf>
    <xf borderId="0" fillId="0" fontId="3" numFmtId="181" xfId="0" applyAlignment="1" applyFont="1" applyNumberFormat="1">
      <alignment horizontal="center"/>
    </xf>
    <xf borderId="0" fillId="0" fontId="22" numFmtId="0" xfId="0" applyAlignment="1" applyFont="1">
      <alignment readingOrder="0"/>
    </xf>
    <xf borderId="0" fillId="17" fontId="3" numFmtId="0" xfId="0" applyAlignment="1" applyFont="1">
      <alignment horizontal="center" readingOrder="0"/>
    </xf>
    <xf borderId="0" fillId="17" fontId="3" numFmtId="0" xfId="0" applyAlignment="1" applyFont="1">
      <alignment horizontal="center"/>
    </xf>
    <xf borderId="0" fillId="0" fontId="22" numFmtId="49" xfId="0" applyAlignment="1" applyFont="1" applyNumberFormat="1">
      <alignment vertical="bottom"/>
    </xf>
    <xf borderId="0" fillId="0" fontId="22" numFmtId="0" xfId="0" applyAlignment="1" applyFont="1">
      <alignment horizontal="right" vertical="bottom"/>
    </xf>
    <xf borderId="0" fillId="0" fontId="3" numFmtId="0" xfId="0" applyAlignment="1" applyFont="1">
      <alignment horizontal="left" readingOrder="0"/>
    </xf>
    <xf borderId="0" fillId="0" fontId="25" numFmtId="168" xfId="0" applyAlignment="1" applyFont="1" applyNumberFormat="1">
      <alignment horizontal="center" vertical="bottom"/>
    </xf>
    <xf borderId="0" fillId="0" fontId="25" numFmtId="0" xfId="0" applyAlignment="1" applyFont="1">
      <alignment readingOrder="0" vertical="bottom"/>
    </xf>
    <xf borderId="0" fillId="0" fontId="1" numFmtId="180" xfId="0" applyAlignment="1" applyFont="1" applyNumberFormat="1">
      <alignment horizontal="center" readingOrder="0"/>
    </xf>
    <xf borderId="0" fillId="0" fontId="23" numFmtId="180" xfId="0" applyAlignment="1" applyFont="1" applyNumberFormat="1">
      <alignment horizontal="center" vertical="bottom"/>
    </xf>
    <xf borderId="0" fillId="0" fontId="48" numFmtId="171" xfId="0" applyAlignment="1" applyFont="1" applyNumberFormat="1">
      <alignment horizontal="center" vertical="bottom"/>
    </xf>
    <xf borderId="0" fillId="0" fontId="48" numFmtId="170" xfId="0" applyAlignment="1" applyFont="1" applyNumberFormat="1">
      <alignment horizontal="center" vertical="bottom"/>
    </xf>
    <xf borderId="0" fillId="0" fontId="48" numFmtId="170" xfId="0" applyAlignment="1" applyFont="1" applyNumberFormat="1">
      <alignment horizontal="center" readingOrder="0" shrinkToFit="0" vertical="bottom" wrapText="1"/>
    </xf>
    <xf borderId="7" fillId="0" fontId="3" numFmtId="0" xfId="0" applyAlignment="1" applyBorder="1" applyFont="1">
      <alignment readingOrder="0"/>
    </xf>
    <xf borderId="0" fillId="0" fontId="22" numFmtId="171" xfId="0" applyAlignment="1" applyFont="1" applyNumberFormat="1">
      <alignment horizontal="right" vertical="bottom"/>
    </xf>
    <xf borderId="0" fillId="0" fontId="3" numFmtId="182" xfId="0" applyAlignment="1" applyFont="1" applyNumberFormat="1">
      <alignment readingOrder="0"/>
    </xf>
    <xf borderId="0" fillId="0" fontId="23" numFmtId="180" xfId="0" applyAlignment="1" applyFont="1" applyNumberFormat="1">
      <alignment horizontal="center" readingOrder="0" vertical="bottom"/>
    </xf>
    <xf borderId="0" fillId="14" fontId="4" numFmtId="0" xfId="0" applyAlignment="1" applyFont="1">
      <alignment horizontal="center" readingOrder="0" shrinkToFit="0" wrapText="1"/>
    </xf>
    <xf borderId="0" fillId="0" fontId="3" numFmtId="49" xfId="0" applyAlignment="1" applyFont="1" applyNumberFormat="1">
      <alignment horizontal="center"/>
    </xf>
    <xf borderId="0" fillId="0" fontId="3" numFmtId="2" xfId="0" applyAlignment="1" applyFont="1" applyNumberFormat="1">
      <alignment horizontal="center"/>
    </xf>
    <xf borderId="0" fillId="0" fontId="3" numFmtId="180" xfId="0" applyAlignment="1" applyFont="1" applyNumberFormat="1">
      <alignment horizontal="center"/>
    </xf>
    <xf borderId="0" fillId="0" fontId="3" numFmtId="170" xfId="0" applyAlignment="1" applyFont="1" applyNumberFormat="1">
      <alignment horizontal="center"/>
    </xf>
    <xf borderId="0" fillId="0" fontId="3" numFmtId="178" xfId="0" applyAlignment="1" applyFont="1" applyNumberFormat="1">
      <alignment horizontal="center"/>
    </xf>
    <xf borderId="0" fillId="0" fontId="3" numFmtId="168" xfId="0" applyAlignment="1" applyFont="1" applyNumberFormat="1">
      <alignment horizontal="center"/>
    </xf>
    <xf borderId="0" fillId="0" fontId="3" numFmtId="1" xfId="0" applyAlignment="1" applyFont="1" applyNumberFormat="1">
      <alignment horizontal="center"/>
    </xf>
    <xf borderId="0" fillId="0" fontId="3" numFmtId="183" xfId="0" applyAlignment="1" applyFont="1" applyNumberFormat="1">
      <alignment horizontal="center"/>
    </xf>
    <xf borderId="0" fillId="14" fontId="49" numFmtId="0" xfId="0" applyAlignment="1" applyFont="1">
      <alignment horizontal="center" readingOrder="0" shrinkToFit="0" wrapText="1"/>
    </xf>
    <xf borderId="0" fillId="0" fontId="22" numFmtId="0" xfId="0" applyAlignment="1" applyFont="1">
      <alignment vertical="bottom"/>
    </xf>
    <xf borderId="0" fillId="0" fontId="3" numFmtId="0" xfId="0" applyAlignment="1" applyFont="1">
      <alignment horizontal="left"/>
    </xf>
    <xf borderId="0" fillId="0" fontId="3" numFmtId="169" xfId="0" applyAlignment="1" applyFont="1" applyNumberFormat="1">
      <alignment horizontal="center" readingOrder="0"/>
    </xf>
    <xf borderId="0" fillId="0" fontId="3" numFmtId="0" xfId="0" applyAlignment="1" applyFont="1">
      <alignment horizontal="center" readingOrder="0" shrinkToFit="0" wrapText="1"/>
    </xf>
    <xf borderId="0" fillId="14" fontId="50" numFmtId="0" xfId="0" applyAlignment="1" applyFont="1">
      <alignment horizontal="center" readingOrder="0" shrinkToFit="0" wrapText="1"/>
    </xf>
    <xf borderId="0" fillId="14" fontId="4" numFmtId="0" xfId="0" applyAlignment="1" applyFont="1">
      <alignment readingOrder="0" shrinkToFit="0" wrapText="1"/>
    </xf>
    <xf borderId="0" fillId="0" fontId="3" numFmtId="0" xfId="0" applyAlignment="1" applyFont="1">
      <alignment vertical="center"/>
    </xf>
    <xf borderId="0" fillId="0" fontId="4" numFmtId="0" xfId="0" applyAlignment="1" applyFont="1">
      <alignment readingOrder="0" shrinkToFit="0" wrapText="1"/>
    </xf>
    <xf borderId="0" fillId="14" fontId="49" numFmtId="0" xfId="0" applyAlignment="1" applyFont="1">
      <alignment readingOrder="0" shrinkToFit="0" wrapText="1"/>
    </xf>
    <xf borderId="0" fillId="14" fontId="51" numFmtId="0" xfId="0" applyAlignment="1" applyFont="1">
      <alignment readingOrder="0" shrinkToFit="0" wrapText="1"/>
    </xf>
    <xf borderId="0" fillId="14" fontId="52" numFmtId="0" xfId="0" applyAlignment="1" applyFont="1">
      <alignment readingOrder="0"/>
    </xf>
    <xf borderId="0" fillId="16" fontId="25" numFmtId="0" xfId="0" applyAlignment="1" applyFont="1">
      <alignment readingOrder="0" vertical="bottom"/>
    </xf>
    <xf borderId="0" fillId="0" fontId="1" numFmtId="170" xfId="0" applyAlignment="1" applyFont="1" applyNumberFormat="1">
      <alignment horizontal="center" readingOrder="0"/>
    </xf>
    <xf borderId="0" fillId="0" fontId="1" numFmtId="171" xfId="0" applyAlignment="1" applyFont="1" applyNumberFormat="1">
      <alignment horizontal="center" readingOrder="0"/>
    </xf>
    <xf borderId="0" fillId="0" fontId="3" numFmtId="170" xfId="0" applyAlignment="1" applyFont="1" applyNumberFormat="1">
      <alignment readingOrder="0"/>
    </xf>
    <xf borderId="0" fillId="0" fontId="3" numFmtId="170" xfId="0" applyFont="1" applyNumberFormat="1"/>
    <xf borderId="0" fillId="0" fontId="3" numFmtId="179" xfId="0" applyAlignment="1" applyFont="1" applyNumberFormat="1">
      <alignment readingOrder="0"/>
    </xf>
    <xf borderId="6" fillId="0" fontId="22" numFmtId="164" xfId="0" applyAlignment="1" applyBorder="1" applyFont="1" applyNumberFormat="1">
      <alignment horizontal="center" readingOrder="0" vertical="bottom"/>
    </xf>
    <xf borderId="0" fillId="0" fontId="3" numFmtId="179" xfId="0" applyFont="1" applyNumberFormat="1"/>
    <xf borderId="6" fillId="0" fontId="22" numFmtId="164" xfId="0" applyAlignment="1" applyBorder="1" applyFont="1" applyNumberFormat="1">
      <alignment horizontal="center" vertical="bottom"/>
    </xf>
    <xf borderId="0" fillId="18" fontId="3" numFmtId="170" xfId="0" applyFont="1" applyNumberFormat="1"/>
    <xf borderId="0" fillId="28" fontId="13" numFmtId="171" xfId="0" applyAlignment="1" applyFill="1" applyFont="1" applyNumberFormat="1">
      <alignment horizontal="center" readingOrder="0"/>
    </xf>
    <xf borderId="0" fillId="0" fontId="13" numFmtId="171" xfId="0" applyAlignment="1" applyFont="1" applyNumberFormat="1">
      <alignment readingOrder="0"/>
    </xf>
    <xf borderId="0" fillId="0" fontId="5" numFmtId="171" xfId="0" applyAlignment="1" applyFont="1" applyNumberFormat="1">
      <alignment readingOrder="0"/>
    </xf>
    <xf borderId="0" fillId="0" fontId="13" numFmtId="171" xfId="0" applyAlignment="1" applyFont="1" applyNumberFormat="1">
      <alignment horizontal="center" readingOrder="0"/>
    </xf>
    <xf borderId="0" fillId="14" fontId="53" numFmtId="171" xfId="0" applyAlignment="1" applyFont="1" applyNumberFormat="1">
      <alignment readingOrder="0" shrinkToFit="0" wrapText="1"/>
    </xf>
    <xf borderId="0" fillId="6" fontId="5" numFmtId="171" xfId="0" applyAlignment="1" applyFont="1" applyNumberFormat="1">
      <alignment horizontal="center" readingOrder="0" shrinkToFit="0" wrapText="1"/>
    </xf>
    <xf borderId="0" fillId="14" fontId="13" numFmtId="0" xfId="0" applyAlignment="1" applyFont="1">
      <alignment readingOrder="0"/>
    </xf>
    <xf borderId="0" fillId="14" fontId="13" numFmtId="171" xfId="0" applyAlignment="1" applyFont="1" applyNumberFormat="1">
      <alignment readingOrder="0"/>
    </xf>
    <xf borderId="0" fillId="6" fontId="5" numFmtId="171" xfId="0" applyAlignment="1" applyFont="1" applyNumberFormat="1">
      <alignment readingOrder="0"/>
    </xf>
    <xf borderId="0" fillId="14" fontId="13" numFmtId="171" xfId="0" applyAlignment="1" applyFont="1" applyNumberFormat="1">
      <alignment horizontal="center" readingOrder="0"/>
    </xf>
    <xf borderId="0" fillId="0" fontId="3" numFmtId="10" xfId="0" applyFont="1" applyNumberFormat="1"/>
    <xf borderId="0" fillId="15" fontId="22" numFmtId="170" xfId="0" applyAlignment="1" applyFont="1" applyNumberFormat="1">
      <alignment horizontal="center" vertical="bottom"/>
    </xf>
    <xf borderId="0" fillId="0" fontId="3" numFmtId="9" xfId="0" applyFont="1" applyNumberFormat="1"/>
    <xf borderId="0" fillId="15" fontId="22" numFmtId="171" xfId="0" applyAlignment="1" applyFont="1" applyNumberFormat="1">
      <alignment vertical="bottom"/>
    </xf>
    <xf borderId="0" fillId="0" fontId="3" numFmtId="170" xfId="0" applyAlignment="1" applyFont="1" applyNumberFormat="1">
      <alignment horizontal="center" readingOrder="0"/>
    </xf>
    <xf borderId="0" fillId="15" fontId="22" numFmtId="170" xfId="0" applyAlignment="1" applyFont="1" applyNumberFormat="1">
      <alignment horizontal="center" readingOrder="0" vertical="bottom"/>
    </xf>
    <xf borderId="0" fillId="4" fontId="3" numFmtId="170" xfId="0" applyFont="1" applyNumberFormat="1"/>
    <xf borderId="0" fillId="14" fontId="13" numFmtId="0" xfId="0" applyFont="1"/>
    <xf borderId="0" fillId="14" fontId="13" numFmtId="170" xfId="0" applyFont="1" applyNumberFormat="1"/>
    <xf borderId="0" fillId="14" fontId="13" numFmtId="171" xfId="0" applyFont="1" applyNumberFormat="1"/>
    <xf borderId="0" fillId="17" fontId="3" numFmtId="4" xfId="0" applyFont="1" applyNumberFormat="1"/>
    <xf borderId="0" fillId="17" fontId="13" numFmtId="171" xfId="0" applyAlignment="1" applyFont="1" applyNumberFormat="1">
      <alignment readingOrder="0"/>
    </xf>
    <xf borderId="0" fillId="17" fontId="5" numFmtId="171" xfId="0" applyAlignment="1" applyFont="1" applyNumberFormat="1">
      <alignment readingOrder="0"/>
    </xf>
    <xf borderId="0" fillId="0" fontId="13" numFmtId="171" xfId="0" applyAlignment="1" applyFont="1" applyNumberFormat="1">
      <alignment readingOrder="0" shrinkToFit="0" wrapText="1"/>
    </xf>
    <xf borderId="0" fillId="6" fontId="3" numFmtId="171" xfId="0" applyAlignment="1" applyFont="1" applyNumberFormat="1">
      <alignment readingOrder="0"/>
    </xf>
    <xf borderId="0" fillId="14" fontId="13" numFmtId="164" xfId="0" applyFont="1" applyNumberFormat="1"/>
    <xf borderId="0" fillId="0" fontId="2" numFmtId="171" xfId="0" applyFont="1" applyNumberFormat="1"/>
    <xf borderId="0" fillId="0" fontId="5" numFmtId="171" xfId="0" applyFont="1" applyNumberFormat="1"/>
    <xf borderId="0" fillId="0" fontId="5" numFmtId="170" xfId="0" applyFont="1" applyNumberFormat="1"/>
    <xf borderId="0" fillId="0" fontId="3" numFmtId="10" xfId="0" applyAlignment="1" applyFont="1" applyNumberFormat="1">
      <alignment readingOrder="0"/>
    </xf>
    <xf borderId="0" fillId="0" fontId="23" numFmtId="171" xfId="0" applyAlignment="1" applyFont="1" applyNumberFormat="1">
      <alignment horizontal="right" vertical="bottom"/>
    </xf>
    <xf borderId="0" fillId="0" fontId="23" numFmtId="10" xfId="0" applyAlignment="1" applyFont="1" applyNumberFormat="1">
      <alignment horizontal="right" vertical="bottom"/>
    </xf>
    <xf borderId="0" fillId="0" fontId="5" numFmtId="10" xfId="0" applyFont="1" applyNumberFormat="1"/>
    <xf borderId="0" fillId="0" fontId="5" numFmtId="4" xfId="0" applyFont="1" applyNumberFormat="1"/>
    <xf borderId="0" fillId="0" fontId="23" numFmtId="4" xfId="0" applyAlignment="1" applyFont="1" applyNumberFormat="1">
      <alignment horizontal="right" vertical="bottom"/>
    </xf>
    <xf borderId="0" fillId="28" fontId="13" numFmtId="171" xfId="0" applyAlignment="1" applyFont="1" applyNumberFormat="1">
      <alignment horizontal="center" readingOrder="0" shrinkToFit="0" wrapText="1"/>
    </xf>
    <xf borderId="0" fillId="14" fontId="54" numFmtId="171" xfId="0" applyAlignment="1" applyFont="1" applyNumberFormat="1">
      <alignment readingOrder="0" shrinkToFit="0" wrapText="1"/>
    </xf>
    <xf borderId="0" fillId="14" fontId="13" numFmtId="168" xfId="0" applyAlignment="1" applyFont="1" applyNumberFormat="1">
      <alignment horizontal="center"/>
    </xf>
    <xf borderId="0" fillId="6" fontId="5" numFmtId="49" xfId="0" applyAlignment="1" applyFont="1" applyNumberFormat="1">
      <alignment horizontal="center"/>
    </xf>
    <xf borderId="0" fillId="0" fontId="28" numFmtId="171" xfId="0" applyAlignment="1" applyFont="1" applyNumberFormat="1">
      <alignment readingOrder="0" shrinkToFit="0" vertical="center" wrapText="1"/>
    </xf>
    <xf borderId="0" fillId="0" fontId="13" numFmtId="171" xfId="0" applyAlignment="1" applyFont="1" applyNumberFormat="1">
      <alignment readingOrder="0" shrinkToFit="0" wrapText="1"/>
    </xf>
    <xf borderId="0" fillId="0" fontId="5" numFmtId="171" xfId="0" applyAlignment="1" applyFont="1" applyNumberFormat="1">
      <alignment horizontal="center" readingOrder="0" shrinkToFit="0" vertical="center" wrapText="1"/>
    </xf>
    <xf borderId="0" fillId="14" fontId="54" numFmtId="171" xfId="0" applyAlignment="1" applyFont="1" applyNumberFormat="1">
      <alignment readingOrder="0" shrinkToFit="0" vertical="center" wrapText="1"/>
    </xf>
    <xf borderId="0" fillId="6" fontId="5" numFmtId="171" xfId="0" applyAlignment="1" applyFont="1" applyNumberFormat="1">
      <alignment horizontal="center" readingOrder="0" shrinkToFit="0" vertical="center" wrapText="1"/>
    </xf>
    <xf borderId="0" fillId="14" fontId="13" numFmtId="0" xfId="0" applyAlignment="1" applyFont="1">
      <alignment horizontal="center"/>
    </xf>
    <xf borderId="0" fillId="14" fontId="13" numFmtId="49" xfId="0" applyAlignment="1" applyFont="1" applyNumberFormat="1">
      <alignment horizontal="center"/>
    </xf>
    <xf borderId="0" fillId="14" fontId="13" numFmtId="178" xfId="0" applyAlignment="1" applyFont="1" applyNumberFormat="1">
      <alignment horizontal="center"/>
    </xf>
    <xf borderId="0" fillId="14" fontId="13" numFmtId="49" xfId="0" applyAlignment="1" applyFont="1" applyNumberFormat="1">
      <alignment horizontal="center" readingOrder="0"/>
    </xf>
    <xf borderId="0" fillId="14" fontId="13" numFmtId="168" xfId="0" applyFont="1" applyNumberFormat="1"/>
    <xf borderId="0" fillId="14" fontId="13" numFmtId="164" xfId="0" applyAlignment="1" applyFont="1" applyNumberFormat="1">
      <alignment horizontal="center"/>
    </xf>
    <xf borderId="0" fillId="6" fontId="5" numFmtId="164" xfId="0" applyAlignment="1" applyFont="1" applyNumberFormat="1">
      <alignment horizontal="center"/>
    </xf>
    <xf borderId="0" fillId="0" fontId="5" numFmtId="168" xfId="0" applyFont="1" applyNumberFormat="1"/>
    <xf borderId="0" fillId="0" fontId="3" numFmtId="171" xfId="0" applyAlignment="1" applyFont="1" applyNumberFormat="1">
      <alignment horizontal="left"/>
    </xf>
    <xf borderId="0" fillId="0" fontId="5" numFmtId="49" xfId="0" applyFont="1" applyNumberFormat="1"/>
    <xf borderId="0" fillId="0" fontId="2" numFmtId="49" xfId="0" applyFont="1" applyNumberFormat="1"/>
    <xf borderId="0" fillId="0" fontId="3" numFmtId="164" xfId="0" applyAlignment="1" applyFont="1" applyNumberFormat="1">
      <alignment horizontal="center"/>
    </xf>
    <xf borderId="0" fillId="0" fontId="3" numFmtId="164" xfId="0" applyAlignment="1" applyFont="1" applyNumberFormat="1">
      <alignment horizontal="left"/>
    </xf>
    <xf borderId="0" fillId="0" fontId="5" numFmtId="164" xfId="0" applyFont="1" applyNumberFormat="1"/>
    <xf borderId="0" fillId="0" fontId="2" numFmtId="164" xfId="0" applyFont="1" applyNumberFormat="1"/>
    <xf borderId="0" fillId="17" fontId="3" numFmtId="164" xfId="0" applyFont="1" applyNumberFormat="1"/>
    <xf borderId="8" fillId="0" fontId="22" numFmtId="0" xfId="0" applyAlignment="1" applyBorder="1" applyFont="1">
      <alignment horizontal="center" vertical="bottom"/>
    </xf>
    <xf borderId="9" fillId="0" fontId="3" numFmtId="49" xfId="0" applyAlignment="1" applyBorder="1" applyFont="1" applyNumberFormat="1">
      <alignment readingOrder="0"/>
    </xf>
    <xf borderId="10" fillId="14" fontId="55" numFmtId="171" xfId="0" applyAlignment="1" applyBorder="1" applyFont="1" applyNumberFormat="1">
      <alignment horizontal="center" vertical="bottom"/>
    </xf>
    <xf borderId="0" fillId="14" fontId="13" numFmtId="4" xfId="0" applyAlignment="1" applyFont="1" applyNumberFormat="1">
      <alignment horizontal="center"/>
    </xf>
    <xf borderId="0" fillId="0" fontId="24" numFmtId="0" xfId="0" applyAlignment="1" applyFont="1">
      <alignment horizontal="center" vertical="bottom"/>
    </xf>
    <xf borderId="0" fillId="14" fontId="13" numFmtId="174" xfId="0" applyAlignment="1" applyFont="1" applyNumberFormat="1">
      <alignment horizontal="center"/>
    </xf>
    <xf borderId="0" fillId="14" fontId="13" numFmtId="180" xfId="0" applyAlignment="1" applyFont="1" applyNumberFormat="1">
      <alignment horizontal="center"/>
    </xf>
    <xf borderId="0" fillId="14" fontId="13" numFmtId="170" xfId="0" applyAlignment="1" applyFont="1" applyNumberFormat="1">
      <alignment horizontal="center"/>
    </xf>
    <xf borderId="0" fillId="0" fontId="24" numFmtId="174" xfId="0" applyAlignment="1" applyFont="1" applyNumberFormat="1">
      <alignment horizontal="center" vertical="bottom"/>
    </xf>
    <xf borderId="0" fillId="0" fontId="55" numFmtId="180" xfId="0" applyAlignment="1" applyFont="1" applyNumberFormat="1">
      <alignment horizontal="center" shrinkToFit="0" vertical="bottom" wrapText="1"/>
    </xf>
    <xf borderId="0" fillId="0" fontId="24" numFmtId="170" xfId="0" applyAlignment="1" applyFont="1" applyNumberFormat="1">
      <alignment horizontal="center" vertical="bottom"/>
    </xf>
    <xf borderId="0" fillId="0" fontId="55" numFmtId="3" xfId="0" applyAlignment="1" applyFont="1" applyNumberFormat="1">
      <alignment horizontal="center" shrinkToFit="0" vertical="bottom" wrapText="1"/>
    </xf>
    <xf borderId="0" fillId="0" fontId="24" numFmtId="4" xfId="0" applyAlignment="1" applyFont="1" applyNumberFormat="1">
      <alignment horizontal="center" vertical="bottom"/>
    </xf>
    <xf borderId="0" fillId="0" fontId="24" numFmtId="180" xfId="0" applyAlignment="1" applyFont="1" applyNumberFormat="1">
      <alignment horizontal="center" vertical="bottom"/>
    </xf>
    <xf borderId="11" fillId="14" fontId="55" numFmtId="3" xfId="0" applyAlignment="1" applyBorder="1" applyFont="1" applyNumberFormat="1">
      <alignment horizontal="center" shrinkToFit="0" vertical="bottom" wrapText="1"/>
    </xf>
    <xf borderId="11" fillId="14" fontId="55" numFmtId="3" xfId="0" applyAlignment="1" applyBorder="1" applyFont="1" applyNumberFormat="1">
      <alignment horizontal="center" readingOrder="0" shrinkToFit="0" vertical="bottom" wrapText="1"/>
    </xf>
    <xf borderId="11" fillId="14" fontId="55" numFmtId="3" xfId="0" applyAlignment="1" applyBorder="1" applyFont="1" applyNumberFormat="1">
      <alignment horizontal="center" vertical="bottom"/>
    </xf>
    <xf borderId="12" fillId="14" fontId="55" numFmtId="3" xfId="0" applyAlignment="1" applyBorder="1" applyFont="1" applyNumberFormat="1">
      <alignment horizontal="center" vertical="bottom"/>
    </xf>
    <xf borderId="6" fillId="0" fontId="22" numFmtId="0" xfId="0" applyAlignment="1" applyBorder="1" applyFont="1">
      <alignment horizontal="center" readingOrder="0" vertical="bottom"/>
    </xf>
    <xf borderId="6" fillId="0" fontId="22" numFmtId="179" xfId="0" applyAlignment="1" applyBorder="1" applyFont="1" applyNumberFormat="1">
      <alignment horizontal="center" vertical="bottom"/>
    </xf>
    <xf borderId="6" fillId="0" fontId="22" numFmtId="0" xfId="0" applyAlignment="1" applyBorder="1" applyFont="1">
      <alignment horizontal="center" vertical="bottom"/>
    </xf>
    <xf borderId="6" fillId="29" fontId="22" numFmtId="184" xfId="0" applyAlignment="1" applyBorder="1" applyFill="1" applyFont="1" applyNumberFormat="1">
      <alignment horizontal="center" vertical="bottom"/>
    </xf>
    <xf borderId="6" fillId="15" fontId="22" numFmtId="179" xfId="0" applyAlignment="1" applyBorder="1" applyFont="1" applyNumberFormat="1">
      <alignment horizontal="center" vertical="bottom"/>
    </xf>
    <xf borderId="0" fillId="0" fontId="22" numFmtId="180" xfId="0" applyAlignment="1" applyFont="1" applyNumberFormat="1">
      <alignment horizontal="center" shrinkToFit="0" vertical="bottom" wrapText="1"/>
    </xf>
    <xf borderId="0" fillId="0" fontId="21" numFmtId="180" xfId="0" applyAlignment="1" applyFont="1" applyNumberFormat="1">
      <alignment horizontal="center" shrinkToFit="0" vertical="bottom" wrapText="1"/>
    </xf>
    <xf borderId="0" fillId="14" fontId="13" numFmtId="3" xfId="0" applyAlignment="1" applyFont="1" applyNumberFormat="1">
      <alignment horizontal="center" readingOrder="0"/>
    </xf>
    <xf borderId="0" fillId="14" fontId="13" numFmtId="1" xfId="0" applyAlignment="1" applyFont="1" applyNumberFormat="1">
      <alignment horizontal="center"/>
    </xf>
    <xf borderId="0" fillId="0" fontId="55" numFmtId="3" xfId="0" applyAlignment="1" applyFont="1" applyNumberFormat="1">
      <alignment horizontal="center" readingOrder="0" shrinkToFit="0" vertical="bottom" wrapText="1"/>
    </xf>
    <xf borderId="0" fillId="14" fontId="3" numFmtId="0" xfId="0" applyAlignment="1" applyFont="1">
      <alignment horizontal="center"/>
    </xf>
    <xf borderId="0" fillId="14" fontId="3" numFmtId="4" xfId="0" applyAlignment="1" applyFont="1" applyNumberFormat="1">
      <alignment horizontal="center"/>
    </xf>
    <xf borderId="0" fillId="14" fontId="3" numFmtId="174" xfId="0" applyAlignment="1" applyFont="1" applyNumberFormat="1">
      <alignment horizontal="center"/>
    </xf>
    <xf borderId="0" fillId="14" fontId="3" numFmtId="180" xfId="0" applyAlignment="1" applyFont="1" applyNumberFormat="1">
      <alignment horizontal="center"/>
    </xf>
    <xf borderId="0" fillId="14" fontId="3" numFmtId="170" xfId="0" applyAlignment="1" applyFont="1" applyNumberFormat="1">
      <alignment horizontal="center"/>
    </xf>
    <xf borderId="0" fillId="14" fontId="3" numFmtId="0" xfId="0" applyFont="1"/>
    <xf borderId="0" fillId="14" fontId="3" numFmtId="1" xfId="0" applyFont="1" applyNumberFormat="1"/>
    <xf borderId="0" fillId="14" fontId="3" numFmtId="4" xfId="0" applyFont="1" applyNumberFormat="1"/>
    <xf borderId="0" fillId="14" fontId="3" numFmtId="180" xfId="0" applyFont="1" applyNumberFormat="1"/>
    <xf borderId="0" fillId="14" fontId="3" numFmtId="170" xfId="0" applyFont="1" applyNumberFormat="1"/>
    <xf borderId="0" fillId="14" fontId="13" numFmtId="0" xfId="0" applyAlignment="1" applyFont="1">
      <alignment horizontal="center" vertical="center"/>
    </xf>
    <xf borderId="0" fillId="14" fontId="13" numFmtId="4" xfId="0" applyAlignment="1" applyFont="1" applyNumberFormat="1">
      <alignment horizontal="center" vertical="center"/>
    </xf>
    <xf borderId="0" fillId="0" fontId="3" numFmtId="1" xfId="0" applyAlignment="1" applyFont="1" applyNumberFormat="1">
      <alignment horizontal="center" readingOrder="0"/>
    </xf>
    <xf borderId="0" fillId="0" fontId="23" numFmtId="49" xfId="0" applyAlignment="1" applyFont="1" applyNumberFormat="1">
      <alignment horizontal="center" vertical="bottom"/>
    </xf>
    <xf borderId="0" fillId="0" fontId="22" numFmtId="0" xfId="0" applyAlignment="1" applyFont="1">
      <alignment horizontal="center" vertical="bottom"/>
    </xf>
    <xf borderId="0" fillId="0" fontId="55" numFmtId="171" xfId="0" applyAlignment="1" applyFont="1" applyNumberFormat="1">
      <alignment horizontal="center" vertical="bottom"/>
    </xf>
    <xf borderId="0" fillId="0" fontId="13" numFmtId="0" xfId="0" applyAlignment="1" applyFont="1">
      <alignment horizontal="center"/>
    </xf>
    <xf borderId="0" fillId="0" fontId="13" numFmtId="4" xfId="0" applyAlignment="1" applyFont="1" applyNumberFormat="1">
      <alignment horizontal="center"/>
    </xf>
    <xf borderId="0" fillId="0" fontId="55" numFmtId="3" xfId="0" applyAlignment="1" applyFont="1" applyNumberFormat="1">
      <alignment horizontal="center" vertical="bottom"/>
    </xf>
    <xf borderId="0" fillId="0" fontId="22" numFmtId="0" xfId="0" applyAlignment="1" applyFont="1">
      <alignment horizontal="center" readingOrder="0" vertical="bottom"/>
    </xf>
    <xf borderId="0" fillId="0" fontId="22" numFmtId="179" xfId="0" applyAlignment="1" applyFont="1" applyNumberFormat="1">
      <alignment horizontal="center" vertical="bottom"/>
    </xf>
    <xf borderId="0" fillId="0" fontId="22" numFmtId="164" xfId="0" applyAlignment="1" applyFont="1" applyNumberFormat="1">
      <alignment horizontal="right" readingOrder="0" vertical="bottom"/>
    </xf>
    <xf borderId="0" fillId="0" fontId="22" numFmtId="164" xfId="0" applyAlignment="1" applyFont="1" applyNumberFormat="1">
      <alignment horizontal="center" vertical="bottom"/>
    </xf>
    <xf borderId="0" fillId="0" fontId="22" numFmtId="184" xfId="0" applyAlignment="1" applyFont="1" applyNumberFormat="1">
      <alignment horizontal="center" vertical="bottom"/>
    </xf>
    <xf borderId="0" fillId="0" fontId="56" numFmtId="3" xfId="0" applyAlignment="1" applyFont="1" applyNumberFormat="1">
      <alignment horizontal="center" readingOrder="0" shrinkToFit="0" vertical="bottom" wrapText="1"/>
    </xf>
    <xf borderId="0" fillId="0" fontId="37" numFmtId="0" xfId="0" applyAlignment="1" applyFont="1">
      <alignment horizontal="center" readingOrder="0" shrinkToFit="0" vertical="bottom" wrapText="1"/>
    </xf>
    <xf borderId="0" fillId="14" fontId="13" numFmtId="10" xfId="0" applyAlignment="1" applyFont="1" applyNumberFormat="1">
      <alignment readingOrder="0"/>
    </xf>
    <xf borderId="0" fillId="17" fontId="24" numFmtId="0" xfId="0" applyAlignment="1" applyFont="1">
      <alignment horizontal="center" readingOrder="0" vertical="bottom"/>
    </xf>
    <xf borderId="0" fillId="0" fontId="3" numFmtId="3" xfId="0" applyAlignment="1" applyFont="1" applyNumberFormat="1">
      <alignment horizontal="center"/>
    </xf>
    <xf borderId="0" fillId="14" fontId="13" numFmtId="3" xfId="0" applyAlignment="1" applyFont="1" applyNumberFormat="1">
      <alignment horizontal="center"/>
    </xf>
    <xf borderId="0" fillId="15" fontId="57" numFmtId="0" xfId="0" applyAlignment="1" applyFont="1">
      <alignment readingOrder="0" vertical="bottom"/>
    </xf>
    <xf borderId="0" fillId="15" fontId="57" numFmtId="3" xfId="0" applyAlignment="1" applyFont="1" applyNumberFormat="1">
      <alignment readingOrder="0" vertical="bottom"/>
    </xf>
    <xf borderId="0" fillId="15" fontId="24" numFmtId="3" xfId="0" applyAlignment="1" applyFont="1" applyNumberFormat="1">
      <alignment vertical="bottom"/>
    </xf>
    <xf borderId="6" fillId="16" fontId="25" numFmtId="0" xfId="0" applyAlignment="1" applyBorder="1" applyFont="1">
      <alignment horizontal="center" readingOrder="0" shrinkToFit="0" vertical="bottom" wrapText="1"/>
    </xf>
    <xf borderId="6" fillId="16" fontId="25" numFmtId="3" xfId="0" applyAlignment="1" applyBorder="1" applyFont="1" applyNumberFormat="1">
      <alignment horizontal="center" readingOrder="0" vertical="bottom"/>
    </xf>
    <xf borderId="6" fillId="16" fontId="25" numFmtId="3" xfId="0" applyAlignment="1" applyBorder="1" applyFont="1" applyNumberFormat="1">
      <alignment horizontal="center" readingOrder="0" shrinkToFit="0" vertical="bottom" wrapText="1"/>
    </xf>
    <xf borderId="6" fillId="16" fontId="25" numFmtId="0" xfId="0" applyAlignment="1" applyBorder="1" applyFont="1">
      <alignment horizontal="center" readingOrder="0" vertical="bottom"/>
    </xf>
    <xf borderId="6" fillId="16" fontId="25" numFmtId="0" xfId="0" applyAlignment="1" applyBorder="1" applyFont="1">
      <alignment horizontal="center" readingOrder="0" shrinkToFit="0" wrapText="1"/>
    </xf>
    <xf borderId="6" fillId="21" fontId="25" numFmtId="0" xfId="0" applyAlignment="1" applyBorder="1" applyFont="1">
      <alignment horizontal="center" readingOrder="0" shrinkToFit="0" vertical="bottom" wrapText="1"/>
    </xf>
    <xf borderId="6" fillId="21" fontId="25" numFmtId="3" xfId="0" applyAlignment="1" applyBorder="1" applyFont="1" applyNumberFormat="1">
      <alignment horizontal="center" readingOrder="0" vertical="bottom"/>
    </xf>
    <xf borderId="6" fillId="21" fontId="25" numFmtId="3" xfId="0" applyAlignment="1" applyBorder="1" applyFont="1" applyNumberFormat="1">
      <alignment horizontal="center" readingOrder="0" shrinkToFit="0" vertical="bottom" wrapText="1"/>
    </xf>
    <xf borderId="6" fillId="16" fontId="3" numFmtId="0" xfId="0" applyAlignment="1" applyBorder="1" applyFont="1">
      <alignment readingOrder="0"/>
    </xf>
    <xf borderId="6" fillId="16" fontId="24" numFmtId="3" xfId="0" applyAlignment="1" applyBorder="1" applyFont="1" applyNumberFormat="1">
      <alignment horizontal="center" readingOrder="0" vertical="bottom"/>
    </xf>
    <xf borderId="6" fillId="16" fontId="24" numFmtId="0" xfId="0" applyAlignment="1" applyBorder="1" applyFont="1">
      <alignment horizontal="right" readingOrder="0" vertical="bottom"/>
    </xf>
    <xf borderId="6" fillId="21" fontId="24" numFmtId="3" xfId="0" applyAlignment="1" applyBorder="1" applyFont="1" applyNumberFormat="1">
      <alignment horizontal="center" readingOrder="0" vertical="bottom"/>
    </xf>
    <xf borderId="6" fillId="16" fontId="24" numFmtId="0" xfId="0" applyAlignment="1" applyBorder="1" applyFont="1">
      <alignment readingOrder="0" vertical="bottom"/>
    </xf>
    <xf borderId="6" fillId="16" fontId="24" numFmtId="0" xfId="0" applyAlignment="1" applyBorder="1" applyFont="1">
      <alignment vertical="bottom"/>
    </xf>
    <xf borderId="6" fillId="0" fontId="24" numFmtId="0" xfId="0" applyAlignment="1" applyBorder="1" applyFont="1">
      <alignment readingOrder="0" vertical="bottom"/>
    </xf>
    <xf borderId="6" fillId="0" fontId="24" numFmtId="179" xfId="0" applyAlignment="1" applyBorder="1" applyFont="1" applyNumberFormat="1">
      <alignment horizontal="right" readingOrder="0" vertical="bottom"/>
    </xf>
    <xf borderId="6" fillId="0" fontId="24" numFmtId="3" xfId="0" applyAlignment="1" applyBorder="1" applyFont="1" applyNumberFormat="1">
      <alignment horizontal="right" readingOrder="0" vertical="bottom"/>
    </xf>
    <xf borderId="6" fillId="16" fontId="24" numFmtId="3" xfId="0" applyAlignment="1" applyBorder="1" applyFont="1" applyNumberFormat="1">
      <alignment vertical="bottom"/>
    </xf>
    <xf borderId="6" fillId="30" fontId="24" numFmtId="184" xfId="0" applyAlignment="1" applyBorder="1" applyFill="1" applyFont="1" applyNumberFormat="1">
      <alignment vertical="bottom"/>
    </xf>
    <xf borderId="6" fillId="30" fontId="25" numFmtId="4" xfId="0" applyAlignment="1" applyBorder="1" applyFont="1" applyNumberFormat="1">
      <alignment horizontal="right" readingOrder="0" vertical="bottom"/>
    </xf>
    <xf borderId="6" fillId="21" fontId="24" numFmtId="0" xfId="0" applyAlignment="1" applyBorder="1" applyFont="1">
      <alignment readingOrder="0" vertical="bottom"/>
    </xf>
    <xf borderId="6" fillId="16" fontId="24" numFmtId="3" xfId="0" applyAlignment="1" applyBorder="1" applyFont="1" applyNumberFormat="1">
      <alignment horizontal="right" readingOrder="0" vertical="bottom"/>
    </xf>
    <xf borderId="6" fillId="0" fontId="24" numFmtId="179" xfId="0" applyAlignment="1" applyBorder="1" applyFont="1" applyNumberFormat="1">
      <alignment vertical="bottom"/>
    </xf>
    <xf borderId="0" fillId="0" fontId="57" numFmtId="0" xfId="0" applyAlignment="1" applyFont="1">
      <alignment readingOrder="0" vertical="bottom"/>
    </xf>
    <xf borderId="6" fillId="16" fontId="57" numFmtId="3" xfId="0" applyAlignment="1" applyBorder="1" applyFont="1" applyNumberFormat="1">
      <alignment horizontal="right" readingOrder="0" vertical="bottom"/>
    </xf>
    <xf borderId="1" fillId="15" fontId="24" numFmtId="0" xfId="0" applyAlignment="1" applyBorder="1" applyFont="1">
      <alignment vertical="bottom"/>
    </xf>
    <xf borderId="0" fillId="10" fontId="24" numFmtId="0" xfId="0" applyAlignment="1" applyFont="1">
      <alignment vertical="bottom"/>
    </xf>
    <xf borderId="13" fillId="0" fontId="22" numFmtId="0" xfId="0" applyAlignment="1" applyBorder="1" applyFont="1">
      <alignment horizontal="center" readingOrder="0" vertical="bottom"/>
    </xf>
    <xf borderId="0" fillId="14" fontId="55" numFmtId="0" xfId="0" applyAlignment="1" applyFont="1">
      <alignment horizontal="center" vertical="bottom"/>
    </xf>
    <xf borderId="2" fillId="14" fontId="55" numFmtId="0" xfId="0" applyAlignment="1" applyBorder="1" applyFont="1">
      <alignment horizontal="center" vertical="bottom"/>
    </xf>
    <xf borderId="14" fillId="14" fontId="55" numFmtId="0" xfId="0" applyAlignment="1" applyBorder="1" applyFont="1">
      <alignment horizontal="center" vertical="bottom"/>
    </xf>
    <xf borderId="2" fillId="14" fontId="55" numFmtId="169" xfId="0" applyAlignment="1" applyBorder="1" applyFont="1" applyNumberFormat="1">
      <alignment horizontal="center" vertical="bottom"/>
    </xf>
    <xf borderId="13" fillId="14" fontId="55" numFmtId="0" xfId="0" applyAlignment="1" applyBorder="1" applyFont="1">
      <alignment horizontal="center" vertical="bottom"/>
    </xf>
    <xf borderId="0" fillId="0" fontId="22" numFmtId="164" xfId="0" applyAlignment="1" applyFont="1" applyNumberFormat="1">
      <alignment vertical="bottom"/>
    </xf>
    <xf borderId="15" fillId="0" fontId="3" numFmtId="49" xfId="0" applyBorder="1" applyFont="1" applyNumberFormat="1"/>
    <xf borderId="0" fillId="0" fontId="3" numFmtId="49" xfId="0" applyAlignment="1" applyFont="1" applyNumberFormat="1">
      <alignment horizontal="center" readingOrder="0"/>
    </xf>
    <xf borderId="0" fillId="0" fontId="3" numFmtId="169" xfId="0" applyFont="1" applyNumberFormat="1"/>
    <xf borderId="2" fillId="0" fontId="3" numFmtId="169" xfId="0" applyAlignment="1" applyBorder="1" applyFont="1" applyNumberFormat="1">
      <alignment readingOrder="0"/>
    </xf>
    <xf borderId="14" fillId="0" fontId="3" numFmtId="10" xfId="0" applyAlignment="1" applyBorder="1" applyFont="1" applyNumberFormat="1">
      <alignment readingOrder="0"/>
    </xf>
    <xf borderId="14" fillId="0" fontId="3" numFmtId="10" xfId="0" applyBorder="1" applyFont="1" applyNumberFormat="1"/>
    <xf borderId="14" fillId="0" fontId="3" numFmtId="169" xfId="0" applyBorder="1" applyFont="1" applyNumberFormat="1"/>
    <xf borderId="2" fillId="0" fontId="3" numFmtId="169" xfId="0" applyBorder="1" applyFont="1" applyNumberFormat="1"/>
    <xf borderId="14" fillId="31" fontId="3" numFmtId="10" xfId="0" applyAlignment="1" applyBorder="1" applyFill="1" applyFont="1" applyNumberFormat="1">
      <alignment readingOrder="0"/>
    </xf>
    <xf borderId="13" fillId="0" fontId="3" numFmtId="169" xfId="0" applyBorder="1" applyFont="1" applyNumberFormat="1"/>
    <xf borderId="14" fillId="12" fontId="3" numFmtId="10" xfId="0" applyBorder="1" applyFont="1" applyNumberFormat="1"/>
    <xf borderId="14" fillId="15" fontId="3" numFmtId="10" xfId="0" applyAlignment="1" applyBorder="1" applyFont="1" applyNumberFormat="1">
      <alignment readingOrder="0"/>
    </xf>
    <xf borderId="14" fillId="0" fontId="3" numFmtId="169" xfId="0" applyAlignment="1" applyBorder="1" applyFont="1" applyNumberFormat="1">
      <alignment readingOrder="0"/>
    </xf>
    <xf borderId="14" fillId="15" fontId="3" numFmtId="169" xfId="0" applyBorder="1" applyFont="1" applyNumberFormat="1"/>
    <xf borderId="14" fillId="15" fontId="3" numFmtId="10" xfId="0" applyBorder="1" applyFont="1" applyNumberFormat="1"/>
    <xf borderId="2" fillId="0" fontId="3" numFmtId="169" xfId="0" applyBorder="1" applyFont="1" applyNumberFormat="1"/>
    <xf borderId="0" fillId="0" fontId="22" numFmtId="169" xfId="0" applyAlignment="1" applyFont="1" applyNumberFormat="1">
      <alignment vertical="bottom"/>
    </xf>
    <xf borderId="2" fillId="0" fontId="22" numFmtId="169" xfId="0" applyAlignment="1" applyBorder="1" applyFont="1" applyNumberFormat="1">
      <alignment horizontal="right" vertical="bottom"/>
    </xf>
    <xf borderId="0" fillId="0" fontId="22" numFmtId="10" xfId="0" applyAlignment="1" applyFont="1" applyNumberFormat="1">
      <alignment readingOrder="0" vertical="bottom"/>
    </xf>
    <xf borderId="14" fillId="31" fontId="3" numFmtId="10" xfId="0" applyBorder="1" applyFont="1" applyNumberFormat="1"/>
    <xf borderId="2" fillId="0" fontId="3" numFmtId="0" xfId="0" applyBorder="1" applyFont="1"/>
    <xf borderId="0" fillId="0" fontId="1" numFmtId="185" xfId="0" applyAlignment="1" applyFont="1" applyNumberFormat="1">
      <alignment horizontal="center" readingOrder="0"/>
    </xf>
    <xf borderId="0" fillId="27" fontId="25" numFmtId="0" xfId="0" applyAlignment="1" applyFont="1">
      <alignment readingOrder="0" vertical="bottom"/>
    </xf>
    <xf borderId="0" fillId="0" fontId="28" numFmtId="180" xfId="0" applyAlignment="1" applyFont="1" applyNumberFormat="1">
      <alignment horizontal="center" readingOrder="0"/>
    </xf>
    <xf borderId="0" fillId="0" fontId="3" numFmtId="0" xfId="0" applyAlignment="1" applyFont="1">
      <alignment readingOrder="0" vertical="center"/>
    </xf>
    <xf borderId="0" fillId="0" fontId="3" numFmtId="0" xfId="0" applyAlignment="1" applyFont="1">
      <alignment horizontal="center"/>
    </xf>
    <xf borderId="0" fillId="0" fontId="3" numFmtId="186" xfId="0" applyAlignment="1" applyFont="1" applyNumberFormat="1">
      <alignment horizontal="center"/>
    </xf>
    <xf borderId="0" fillId="0" fontId="3" numFmtId="186" xfId="0" applyFont="1" applyNumberFormat="1"/>
    <xf borderId="0" fillId="0" fontId="22" numFmtId="180" xfId="0" applyAlignment="1" applyFont="1" applyNumberFormat="1">
      <alignment horizontal="right" vertical="bottom"/>
    </xf>
    <xf borderId="0" fillId="0" fontId="22" numFmtId="187" xfId="0" applyAlignment="1" applyFont="1" applyNumberFormat="1">
      <alignment horizontal="right" readingOrder="0" vertical="bottom"/>
    </xf>
    <xf borderId="0" fillId="0" fontId="1" numFmtId="180" xfId="0" applyFont="1" applyNumberFormat="1"/>
    <xf borderId="0" fillId="0" fontId="3" numFmtId="188" xfId="0" applyFont="1" applyNumberFormat="1"/>
    <xf borderId="13" fillId="0" fontId="23" numFmtId="0" xfId="0" applyAlignment="1" applyBorder="1" applyFont="1">
      <alignment horizontal="center" vertical="bottom"/>
    </xf>
    <xf borderId="14" fillId="14" fontId="55" numFmtId="0" xfId="0" applyAlignment="1" applyBorder="1" applyFont="1">
      <alignment horizontal="center" vertical="bottom"/>
    </xf>
    <xf borderId="2" fillId="14" fontId="55" numFmtId="0" xfId="0" applyAlignment="1" applyBorder="1" applyFont="1">
      <alignment horizontal="center" vertical="bottom"/>
    </xf>
    <xf borderId="15" fillId="0" fontId="22" numFmtId="49" xfId="0" applyAlignment="1" applyBorder="1" applyFont="1" applyNumberFormat="1">
      <alignment vertical="bottom"/>
    </xf>
    <xf borderId="14" fillId="0" fontId="22" numFmtId="10" xfId="0" applyAlignment="1" applyBorder="1" applyFont="1" applyNumberFormat="1">
      <alignment horizontal="right" vertical="bottom"/>
    </xf>
    <xf borderId="14" fillId="0" fontId="22" numFmtId="10" xfId="0" applyAlignment="1" applyBorder="1" applyFont="1" applyNumberFormat="1">
      <alignment vertical="bottom"/>
    </xf>
    <xf borderId="14" fillId="0" fontId="22" numFmtId="169" xfId="0" applyAlignment="1" applyBorder="1" applyFont="1" applyNumberFormat="1">
      <alignment vertical="bottom"/>
    </xf>
    <xf borderId="14" fillId="0" fontId="22" numFmtId="10" xfId="0" applyAlignment="1" applyBorder="1" applyFont="1" applyNumberFormat="1">
      <alignment horizontal="right" readingOrder="0" vertical="bottom"/>
    </xf>
    <xf borderId="14" fillId="31" fontId="22" numFmtId="10" xfId="0" applyAlignment="1" applyBorder="1" applyFont="1" applyNumberFormat="1">
      <alignment horizontal="right" vertical="bottom"/>
    </xf>
    <xf borderId="2" fillId="0" fontId="3" numFmtId="164" xfId="0" applyBorder="1" applyFont="1" applyNumberFormat="1"/>
    <xf borderId="14" fillId="12" fontId="22" numFmtId="10" xfId="0" applyAlignment="1" applyBorder="1" applyFont="1" applyNumberFormat="1">
      <alignment horizontal="right" vertical="bottom"/>
    </xf>
    <xf borderId="0" fillId="8" fontId="3" numFmtId="171" xfId="0" applyFont="1" applyNumberFormat="1"/>
    <xf borderId="0" fillId="0" fontId="1" numFmtId="49" xfId="0" applyAlignment="1" applyFont="1" applyNumberFormat="1">
      <alignment horizontal="center" readingOrder="0" vertical="center"/>
    </xf>
    <xf borderId="0" fillId="0" fontId="58" numFmtId="0" xfId="0" applyAlignment="1" applyFont="1">
      <alignment horizontal="center" readingOrder="0" shrinkToFit="0" wrapText="1"/>
    </xf>
    <xf borderId="0" fillId="0" fontId="59" numFmtId="0" xfId="0" applyAlignment="1" applyFont="1">
      <alignment horizontal="center" readingOrder="0" shrinkToFit="0" wrapText="1"/>
    </xf>
    <xf borderId="0" fillId="10" fontId="3" numFmtId="49" xfId="0" applyAlignment="1" applyFont="1" applyNumberFormat="1">
      <alignment horizontal="center" readingOrder="0"/>
    </xf>
    <xf borderId="0" fillId="0" fontId="3" numFmtId="189" xfId="0" applyAlignment="1" applyFont="1" applyNumberFormat="1">
      <alignment readingOrder="0"/>
    </xf>
    <xf borderId="0" fillId="8" fontId="3" numFmtId="49" xfId="0" applyAlignment="1" applyFont="1" applyNumberFormat="1">
      <alignment horizontal="center" readingOrder="0"/>
    </xf>
    <xf borderId="0" fillId="8" fontId="3" numFmtId="49" xfId="0" applyAlignment="1" applyFont="1" applyNumberFormat="1">
      <alignment horizontal="right" readingOrder="0"/>
    </xf>
    <xf borderId="0" fillId="0" fontId="3" numFmtId="0" xfId="0" applyAlignment="1" applyFont="1">
      <alignment horizontal="center" readingOrder="0" shrinkToFit="0" wrapText="1"/>
    </xf>
  </cellXfs>
  <cellStyles count="1">
    <cellStyle xfId="0" name="Normal" builtinId="0"/>
  </cellStyles>
  <dxfs count="2">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pivotCacheDefinition" Target="pivotCache/pivotCacheDefinition1.xml"/><Relationship Id="rId47" Type="http://schemas.openxmlformats.org/officeDocument/2006/relationships/worksheet" Target="worksheets/sheet44.xml"/><Relationship Id="rId49"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pivotCacheDefinition" Target="pivotCache/pivotCacheDefinition4.xml"/><Relationship Id="rId50" Type="http://schemas.openxmlformats.org/officeDocument/2006/relationships/pivotCacheDefinition" Target="pivotCache/pivotCacheDefinition3.xml"/><Relationship Id="rId52" Type="http://schemas.openxmlformats.org/officeDocument/2006/relationships/pivotCacheDefinition" Target="pivotCache/pivotCacheDefinition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0</xdr:row>
      <xdr:rowOff>180975</xdr:rowOff>
    </xdr:from>
    <xdr:ext cx="11677650" cy="1905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190500</xdr:colOff>
      <xdr:row>1</xdr:row>
      <xdr:rowOff>171450</xdr:rowOff>
    </xdr:from>
    <xdr:ext cx="11001375" cy="1905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4219" sheet="Costos directos e indirectos"/>
  </cacheSource>
  <cacheFields>
    <cacheField name="Detalle" numFmtId="0">
      <sharedItems containsBlank="1">
        <s v="Vicky Achabal"/>
        <s v="Vanu Lanza"/>
        <s v="Tomi Facio"/>
        <s v="Trini Petreigne"/>
        <s v="To Merello"/>
        <s v="Lola Camara"/>
        <s v="Xavi Aranzana"/>
        <s v="Aylu Tamer"/>
        <s v="Cata Astiz"/>
        <s v="Romi Figueroa"/>
        <s v="Male Quiroga"/>
        <s v="Gast Guntren"/>
        <s v="Maricel Perez"/>
        <s v="Mati Gonzalez"/>
        <s v="Ana Dalila Pop"/>
        <s v="Sandra Heyman"/>
        <s v="Vicky Puricelli"/>
        <s v="Tomi Criado"/>
        <s v="Gloup by digital tie"/>
        <s v="Gastón Julian"/>
        <s v="Nazarena Drachemberg"/>
        <s v="Pablo Ovejero"/>
        <s v="People"/>
        <s v="Estudio Contable"/>
        <s v="Tarjeta ARG"/>
        <s v="IIBB"/>
        <s v="IVA"/>
        <s v="Honorarios Oxean"/>
        <s v="Brandwatch"/>
        <s v="Luan Digital"/>
        <s v="Youscan"/>
        <s v="Tarjeta USA"/>
        <s v="Ina Ceravolo"/>
        <s v="Denise Sielfeld"/>
        <s v="Sol Ayala"/>
        <s v="Sil Vera"/>
        <s v="Impuestos USA"/>
        <s v="Santi Berisso"/>
        <s v="Comisiones Bancarias"/>
        <s v="Itecsa"/>
        <s v="Intereses Oxean"/>
        <s v="Ianece Leandro"/>
        <s v="Cami Burstein"/>
        <s v="Otros"/>
        <m/>
      </sharedItems>
    </cacheField>
    <cacheField name="Subtipo de costo" numFmtId="0">
      <sharedItems containsBlank="1">
        <s v="Equipo"/>
        <s v="Board"/>
        <s v="Otros Proveedores"/>
        <s v="Administración Finanzas"/>
        <s v="Gastos Varios"/>
        <s v="People"/>
        <s v="Estudio Contable"/>
        <s v="Tarjeta"/>
        <s v="Impuestos ARG"/>
        <s v="Oxean"/>
        <s v="Suscripciones/Herramientas"/>
        <s v="Impuestos USA"/>
        <s v="Comisiones Bancarias"/>
        <s v="Equipo - Bono"/>
        <s v="Board - Bono"/>
        <s v="Administración Finanzas - Bono"/>
        <s v="Intereses Oxean"/>
        <s v="Otros Gastos"/>
        <s v=""/>
        <m/>
      </sharedItems>
    </cacheField>
    <cacheField name="Mes" numFmtId="49">
      <sharedItems containsBlank="1">
        <s v="01 ene"/>
        <s v="02 feb"/>
        <s v="03 mar"/>
        <s v="04 abr"/>
        <s v="05 may"/>
        <s v="06 jun"/>
        <s v="07 jul"/>
        <s v="08 ago"/>
        <s v="09 sep"/>
        <m/>
      </sharedItems>
    </cacheField>
    <cacheField name="Año" numFmtId="0">
      <sharedItems containsString="0" containsBlank="1" containsNumber="1" containsInteger="1">
        <n v="2025.0"/>
        <m/>
      </sharedItems>
    </cacheField>
    <cacheField name="Tipo de Costo" numFmtId="0">
      <sharedItems containsBlank="1">
        <s v="Directo"/>
        <s v="Indirecto"/>
        <m/>
      </sharedItems>
    </cacheField>
    <cacheField name="Especificación" numFmtId="0">
      <sharedItems containsBlank="1">
        <m/>
        <s v="GASTOS USA"/>
        <s v=" ITECSA INTERNET TECHNOLOGIES S.A."/>
        <s v="OPENAI *CHATGPT S 07/11 PURCHASE 4158799686 CA DEBIT CARD *9122"/>
        <s v="X CORP. PAID FEAT 07/17 PURCHASE 4156978699 TX DEBIT CARD *9122"/>
        <s v="LinkedIn Pre P713 07/19 PURCHASE LINKEDIN.COM 00 DEBIT CARD *9122"/>
        <s v="Mailchimp 07/22 PURCHASE 6789990141 GA DEBIT CARD *9122"/>
        <s v="TAPCLICKS* MEGALY 07/22 PURCHASE 4087252942 CA DEBIT CARD *9122"/>
        <s v="REPLIT, INC. 07/24 PURCHASE 6282002281 CA DEBIT CARD *9122"/>
        <s v="Devolucion Pasaje Romina Figueroa"/>
        <s v="Devolucion viaticos reunion Tomas Criado"/>
        <s v="Devolucion viaticos reunion Gaston"/>
        <s v="Devolucion viaticos reunion Vicky"/>
        <s v="IVA JULIO"/>
        <s v="IB JULIO"/>
        <s v="ESTUDIO CONTABLE JULIO (VARIABLE) "/>
        <s v="Impuesto USA JULIO"/>
        <s v="honorarios oxean JULIO"/>
        <s v="***TARJETAS VISA/ AMEX JULIO"/>
        <s v="BRANDWATCH SOLO CONSIDERAR 3 MESES"/>
        <s v="ESTUDIO CONTABLE JUNIO (VARIABLE)"/>
      </sharedItems>
    </cacheField>
    <cacheField name="Nro Proyecto" numFmtId="0">
      <sharedItems containsBlank="1">
        <s v="PRO-00002734"/>
        <s v="PRO-00002736"/>
        <s v="N/A, para Asana"/>
        <s v="PRO-00002646"/>
        <s v="PRO-00002735"/>
        <s v="PRO-00002698"/>
        <s v="PRO-00002733"/>
        <s v="PRO-00002709"/>
        <s v="PRO-00002739"/>
        <m/>
        <s v="PRO-00002790"/>
        <s v="PRO-00002742"/>
        <s v="PRO-00002791"/>
        <s v="PRO-00002828"/>
        <s v="PRO-00002789"/>
        <s v="PRO-00002829"/>
        <s v="PRO-00002799"/>
        <s v="PRO-00002794"/>
        <s v="PRO-00002857"/>
        <s v="PRO-00002801"/>
        <s v="PRO-00002912"/>
        <s v="PRO-00002795"/>
        <s v="PRO-00002860"/>
        <s v="PRO-00002968"/>
        <s v="PRO-00002802"/>
        <s v="PRO-00002928"/>
        <s v="PRO-00003010"/>
        <s v="PRO-00003036"/>
        <s v="PRO-00003014"/>
        <s v="PRO-00003020"/>
        <s v="PRO-00002991"/>
        <s v="PRO-00003004"/>
        <s v="PRO-00003037"/>
        <s v="PRO-00003011"/>
        <s v="PRO-00003082"/>
        <s v="PRO-00003013"/>
        <s v="PRO-00003015"/>
        <s v="PRO-00003056"/>
        <s v="PRO-0003012"/>
        <s v="PRO-00003115"/>
        <s v="PRO-0003016"/>
        <s v="PRO-0003020"/>
        <s v="PRO-0003083"/>
        <s v="PRO-0003161"/>
        <s v="PRO-0003014"/>
        <s v="PRO-0003163"/>
        <s v="PRO-0003037"/>
        <s v="PRO-0003164"/>
        <s v="PRO-0003162"/>
        <s v="PRO-00003165"/>
        <s v="PRO-00003166"/>
        <s v="PRO-00003084"/>
        <s v="PRO-00003231"/>
        <s v="PRO-00003186"/>
        <s v="PRO-00003233"/>
        <s v="PRO-00003162"/>
        <s v="PRO-00003234"/>
        <s v="PRO-00003163"/>
        <s v="PRO-00003232"/>
        <s v="PRO-00003164"/>
        <s v="PRO-00003250"/>
        <s v="PRO-00003298"/>
        <s v="PRO-00003262"/>
        <s v="PRO-00003253"/>
        <s v="PRO-00003252"/>
        <s v="PRO-00003299"/>
        <s v="PRO-00003251"/>
      </sharedItems>
    </cacheField>
    <cacheField name="Tipo de proyecto" numFmtId="0">
      <sharedItems containsBlank="1">
        <s v="Fee"/>
        <s v="Epical"/>
        <s v="One Shot"/>
        <m/>
        <s v="Demo"/>
      </sharedItems>
    </cacheField>
    <cacheField name="Proyecto" numFmtId="0">
      <sharedItems containsBlank="1">
        <s v="Fee mensual"/>
        <s v="Fee Marketing"/>
        <m/>
        <s v="Colapinto"/>
        <s v="General"/>
        <s v="Tracking 3 meses"/>
        <s v="Fee créditos"/>
        <s v="Dashboard PBI"/>
        <s v="Estudio Atributos"/>
        <s v="Hecho en Mexico"/>
        <s v="Quilmes Rock"/>
        <s v="Uber Taxis"/>
        <s v="Fee Huggies"/>
        <s v="Olas"/>
        <s v="Exploratorio Categoría Apps Delivery"/>
        <s v="Tracking Campaña Vacaciones Invierno"/>
        <s v="Diego Perez"/>
        <s v="Referentes Obesidad "/>
        <s v="Bono"/>
        <s v="Referentes Obesidad"/>
        <s v="Demo MSD"/>
        <s v="Fee Insights"/>
        <s v="Evaluación Kulinaria Recetas  - Nicolás Fernández Miranda  - hablar_sana"/>
      </sharedItems>
    </cacheField>
    <cacheField name="Cliente" numFmtId="0">
      <sharedItems containsBlank="1">
        <s v="Play Digital S.A (Modo)"/>
        <s v="Warner"/>
        <s v="Epical"/>
        <s v="Uber"/>
        <s v="Tortugas Open Mall"/>
        <s v="Coelsa"/>
        <s v="Google LLC"/>
        <s v="Arcos Dorados"/>
        <m/>
        <s v="Coca-Cola"/>
        <s v="Kimberly Clark"/>
        <s v="Cami Criado"/>
        <s v="PeYa"/>
        <s v="Animal Studio"/>
      </sharedItems>
    </cacheField>
    <cacheField name="Cantidad de horas objetivo" numFmtId="0">
      <sharedItems containsString="0" containsBlank="1" containsNumber="1" containsInteger="1">
        <n v="5.0"/>
        <n v="45.0"/>
        <n v="10.0"/>
        <n v="40.0"/>
        <n v="6.0"/>
        <n v="60.0"/>
        <n v="32.0"/>
        <m/>
        <n v="50.0"/>
        <n v="100.0"/>
        <n v="30.0"/>
        <n v="150.0"/>
        <n v="140.0"/>
        <n v="80.0"/>
        <n v="0.0"/>
        <n v="18.0"/>
        <n v="25.0"/>
        <n v="2.0"/>
        <n v="27.0"/>
        <n v="1.0"/>
        <n v="20.0"/>
        <n v="58.0"/>
        <n v="28.0"/>
        <n v="8.0"/>
        <n v="160.0"/>
        <n v="120.0"/>
        <n v="70.0"/>
        <n v="90.0"/>
        <n v="13.0"/>
        <n v="4.0"/>
        <n v="11.0"/>
        <n v="3.0"/>
        <n v="15.0"/>
        <n v="31.0"/>
      </sharedItems>
    </cacheField>
    <cacheField name="Cantidad de horas reales Asana">
      <sharedItems containsBlank="1" containsMixedTypes="1" containsNumber="1">
        <n v="0.33"/>
        <n v="98.0"/>
        <n v="19.0"/>
        <n v="50.83"/>
        <n v="0.5"/>
        <n v="132.57"/>
        <n v="119.73"/>
        <n v="1.5"/>
        <n v="16.0"/>
        <n v="109.0"/>
        <n v="78.69"/>
        <n v="31.0"/>
        <n v="64.0"/>
        <n v="149.82999999999998"/>
        <n v="6.68"/>
        <n v="12.63"/>
        <n v="55.13"/>
        <n v="5.5"/>
        <m/>
        <n v="10.719999999999999"/>
        <n v="1.0"/>
        <n v="10.0"/>
        <n v="49.02"/>
        <n v="24.0"/>
        <n v="4.0"/>
        <n v="0.0"/>
        <n v="0.75"/>
        <n v="18.3"/>
        <n v="55.53"/>
        <n v="17.97"/>
        <n v="21.31"/>
        <n v="2.0"/>
        <n v="7.95"/>
        <n v="7.45"/>
        <n v="5.6"/>
        <n v="27.3"/>
        <n v="26.52"/>
        <n v="3.67"/>
        <n v="53.8"/>
        <n v="23.67"/>
        <n v="20.17"/>
        <n v="18.25"/>
        <n v="8.58"/>
        <n v="1.42"/>
        <n v="62.67"/>
        <n v="5.0"/>
        <n v="50.11"/>
        <n v="144.07999999999998"/>
        <n v="33.5"/>
        <n v="94.5"/>
        <n v="100.0"/>
        <n v="107.63999999999999"/>
        <n v="49.120000000000005"/>
        <n v="85.8"/>
        <n v="146.33"/>
        <n v="49.65"/>
        <n v="28.73"/>
        <n v="11.0"/>
        <n v="80.28"/>
        <n v="11.48"/>
        <n v="63.92"/>
        <n v="2.83"/>
        <n v="0.42"/>
        <n v="1.67"/>
        <n v="1.25"/>
        <n v="3.5"/>
        <n v="55.6"/>
        <n v="21.9"/>
        <n v="33.43"/>
        <n v="4.77"/>
        <n v="9.27"/>
        <n v="13.48"/>
        <n v="44.3"/>
        <n v="5.2"/>
        <n v="2.5"/>
        <n v="0.93"/>
        <n v="20.35"/>
        <n v="15.7"/>
        <n v="82.67"/>
        <n v="54.67"/>
        <n v="20.169999999999998"/>
        <n v="53.17"/>
        <n v="71.58"/>
        <n v="57.58"/>
        <n v="95.67"/>
        <n v="100.53"/>
        <n v="25.85"/>
        <n v="125.49000000000001"/>
        <n v="37.7"/>
        <n v="22.87"/>
        <n v="128.62"/>
        <n v="80.73"/>
        <n v="3.33"/>
        <n v="32.44"/>
        <n v="69.67"/>
        <n v="9.0"/>
        <n v="0.67"/>
        <n v="36.03"/>
        <n v="16.5"/>
        <n v="21.85"/>
        <n v="4.98"/>
        <n v="30.72"/>
        <n v="48.6"/>
        <n v="17.87"/>
        <n v="74.1"/>
        <n v="18.8"/>
        <n v="22.0"/>
        <n v="18.0"/>
        <n v="9.07"/>
        <n v="12.28"/>
        <n v="7.63"/>
        <n v="13.0"/>
        <n v="15.33"/>
        <n v="18.33"/>
        <n v="19.63"/>
        <n v="13.05"/>
        <n v="11.62"/>
        <n v="77.56"/>
        <n v="35.12"/>
        <n v="62.25"/>
        <n v="38.67"/>
        <n v="86.05"/>
        <n v="32.260000000000005"/>
        <n v="58.25"/>
        <n v="98.69"/>
        <n v="45.3"/>
        <n v="106.42"/>
        <n v="79.52"/>
        <n v="20.430000000000003"/>
        <n v="11.870000000000001"/>
        <n v="44.1"/>
        <n v="26.33"/>
        <n v="22.67"/>
        <n v="13.08"/>
        <n v="4.63"/>
        <n v="14.82"/>
        <n v="12.13"/>
        <n v="1.15"/>
        <n v="4.34"/>
        <n v="18.17"/>
        <n v="28.17"/>
        <n v="16.82"/>
        <n v="17.5"/>
        <n v="28.48"/>
        <n v="63.36000000000001"/>
        <n v="10.92"/>
        <n v="2.17"/>
        <n v="48.08"/>
        <n v="1.33"/>
        <n v="48.0"/>
        <n v="39.83"/>
        <n v="17.46"/>
        <n v="17.75"/>
        <n v="21.92"/>
        <n v="0.92"/>
        <n v="73.45"/>
        <n v="26.0"/>
        <n v="164.1"/>
        <n v="37.25"/>
        <n v="77.8"/>
        <n v="105.11"/>
        <n v="54.0"/>
        <n v="30.0"/>
        <n v="106.60000000000001"/>
        <n v="76.08"/>
        <n v="67.07"/>
        <n v="170.75"/>
        <n v="4.75"/>
        <n v="87.13"/>
        <n v="27.68"/>
        <n v="85.0"/>
        <s v="6.33"/>
        <n v="8.83"/>
        <n v="6.0"/>
        <n v="8.5"/>
        <n v="4.17"/>
        <n v="11.17"/>
        <n v="0.17"/>
        <n v="55.5"/>
        <n v="1.93"/>
        <n v="20.83"/>
        <n v="8.17"/>
        <n v="4.92"/>
        <n v="1.27"/>
        <n v="20.25"/>
        <n v="1.83"/>
        <n v="5.83"/>
        <n v="7.42"/>
        <n v="4.65"/>
        <n v="92.98"/>
        <n v="5.25"/>
        <n v="2.42"/>
        <n v="119.17"/>
        <n v="5.08"/>
        <n v="82.0"/>
        <n v="79.19"/>
        <n v="30.67"/>
        <n v="5.17"/>
        <n v="2.92"/>
        <n v="33.85"/>
        <n v="79.83"/>
        <n v="59.42"/>
        <n v="6.92"/>
        <n v="2.25"/>
        <n v="22.52"/>
        <n v="31.25"/>
        <n v="107.5"/>
        <n v="43.75"/>
        <n v="65.0"/>
        <n v="105.41"/>
        <n v="33.0"/>
        <n v="128.76"/>
        <n v="30.02"/>
        <n v="60.67999999999999"/>
        <n v="96.58"/>
        <n v="86.82"/>
        <n v="8.2"/>
        <n v="110.09"/>
        <n v="26.93"/>
        <n v="19.67"/>
        <n v="0.83"/>
        <n v="9.32"/>
        <n v="7.33"/>
        <n v="3.25"/>
        <n v="10.08"/>
        <n v="9.33"/>
        <n v="50.58"/>
        <n v="67.89"/>
        <n v="12.9"/>
        <n v="6.5"/>
        <n v="23.37"/>
        <n v="2.95"/>
        <n v="25.38"/>
        <n v="36.17"/>
        <n v="3.75"/>
        <n v="12.0"/>
        <n v="52.75"/>
        <n v="80.83"/>
        <n v="81.75"/>
        <n v="7.67"/>
        <n v="1.58"/>
        <n v="6.25"/>
        <n v="3.9"/>
        <n v="34.03"/>
        <n v="54.75"/>
        <n v="46.0"/>
        <n v="129.28"/>
        <n v="44.57"/>
        <n v="0.88"/>
        <n v="104.5"/>
        <n v="64.92"/>
        <n v="55.010000000000005"/>
        <n v="22.83"/>
        <n v="12.2"/>
        <n v="67.31"/>
        <n v="80.72"/>
        <n v="24.25"/>
        <n v="63.52"/>
        <n v="72.88"/>
        <n v="3.17"/>
        <n v="150.75"/>
        <n v="121.67"/>
        <n v="28.5"/>
        <n v="8.0"/>
        <n v="62.43"/>
        <n v="20.67"/>
        <n v="5.73"/>
        <n v="69.92"/>
        <n v="33.83"/>
        <n v="14.0"/>
        <n v="8.92"/>
        <n v="3.7"/>
        <n v="103.38"/>
        <n v="15.75"/>
        <n v="7.92"/>
        <n v="6.9"/>
        <n v="3.42"/>
        <n v="23.95"/>
        <n v="13.33"/>
        <n v="1.92"/>
        <n v="5.38"/>
        <n v="9.92"/>
        <n v="114.33"/>
        <n v="4.58"/>
        <n v="101.33"/>
        <n v="26.92"/>
        <n v="75.94999999999999"/>
        <n v="31.07"/>
        <n v="9.62"/>
        <n v="7.1"/>
        <n v="60.620000000000005"/>
        <n v="49.019999999999996"/>
        <n v="82.5"/>
        <n v="22.4"/>
        <n v="20.77"/>
        <n v="20.53"/>
        <n v="53.0"/>
        <n v="55.17"/>
        <n v="40.15"/>
        <n v="6.03"/>
        <n v="2.75"/>
        <n v="49.75"/>
        <n v="70.08"/>
        <n v="40.0"/>
        <n v="18.58"/>
        <n v="8.33"/>
        <n v="19.17"/>
        <n v="55.22"/>
        <n v="24.02"/>
        <n v="8.85"/>
        <n v="66.92999999999999"/>
        <n v="18.73"/>
        <n v="26.75"/>
        <n v="80.75"/>
        <n v="44.25"/>
        <n v="16.42"/>
        <n v="18.18"/>
        <n v="6.7"/>
        <n v="8.38"/>
        <n v="5.78"/>
        <n v="80.16999999999999"/>
        <n v="94.92"/>
        <n v="14.67"/>
        <n v="4.08"/>
        <n v="54.589999999999996"/>
        <n v="22.33"/>
        <n v="13.25"/>
        <n v="85.07000000000001"/>
        <n v="46.92"/>
        <n v="33.2"/>
        <n v="14.5"/>
        <n v="121.92"/>
        <n v="12.5"/>
        <n v="20.0"/>
        <n v="13.5"/>
        <n v="0.25"/>
        <n v="115.03"/>
        <n v="5.67"/>
        <n v="23.8"/>
        <n v="62.42"/>
        <n v="10.5"/>
        <n v="83.17"/>
        <n v="80.0"/>
        <n v="4.33"/>
        <n v="94.05000000000001"/>
        <n v="60.77"/>
        <n v="23.05"/>
        <n v="103.82"/>
        <n v="14.25"/>
        <n v="154.42000000000002"/>
        <n v="20.95"/>
        <n v="18.229999999999997"/>
        <n v="85.91"/>
        <n v="40.25"/>
        <n v="160.0"/>
        <n v="125.08"/>
      </sharedItems>
    </cacheField>
    <cacheField name="Cantidad de horas para facturación" numFmtId="0">
      <sharedItems containsString="0" containsBlank="1" containsNumber="1">
        <n v="0.3"/>
        <n v="98.052"/>
        <n v="19.0"/>
        <n v="40.8"/>
        <n v="0.5"/>
        <n v="133.1"/>
        <n v="120.0"/>
        <m/>
        <n v="16.0"/>
        <n v="109.0"/>
        <n v="79.0"/>
        <n v="31.17"/>
        <n v="52.33"/>
        <n v="149.8"/>
        <n v="6.7"/>
        <n v="12.6"/>
        <n v="55.0"/>
        <n v="5.5"/>
        <n v="34.0"/>
        <n v="10.5"/>
        <n v="1.0"/>
        <n v="10.0"/>
        <n v="1.2"/>
        <n v="97.72999999999999"/>
        <n v="13.0"/>
        <n v="2.0"/>
        <n v="20.0"/>
        <n v="10.23"/>
        <n v="55.53"/>
        <n v="17.97"/>
        <n v="14.418999999999999"/>
        <n v="7.95"/>
        <n v="5.82"/>
        <n v="5.6"/>
        <n v="27.28"/>
        <n v="30.0"/>
        <n v="160.0"/>
        <n v="4.0"/>
        <n v="54.67"/>
        <n v="24.0"/>
        <n v="16.3"/>
        <n v="18.349999999999998"/>
        <n v="9.0"/>
        <n v="1.4"/>
        <n v="62.7"/>
        <n v="5.0"/>
        <n v="50.1"/>
        <n v="144.079"/>
        <n v="33.5"/>
        <n v="94.463"/>
        <n v="99.502"/>
        <n v="107.636"/>
        <n v="49.120000000000005"/>
        <n v="85.78399999999999"/>
        <n v="146.32500000000002"/>
        <n v="49.651"/>
        <n v="28.73"/>
        <n v="11.0"/>
        <n v="80.28"/>
        <n v="11.5"/>
        <n v="62.76"/>
        <n v="0.87"/>
        <n v="2.83"/>
        <n v="1.92"/>
        <n v="51.5"/>
        <n v="13.67"/>
        <n v="0.75"/>
        <n v="3.5"/>
        <n v="55.68"/>
        <n v="10.45"/>
        <n v="21.57"/>
        <n v="33.1"/>
        <n v="4.77"/>
        <n v="9.27"/>
        <n v="13.48"/>
        <n v="44.3"/>
        <n v="3.0"/>
        <n v="160.053"/>
        <n v="82.70100000000001"/>
        <n v="54.564"/>
        <n v="20.2"/>
        <n v="53.2"/>
        <n v="72.0"/>
        <n v="42.3"/>
        <n v="100.0"/>
        <n v="100.62599999999999"/>
        <n v="25.9"/>
        <n v="125.495"/>
        <n v="37.771"/>
        <n v="23.0"/>
        <n v="128.6"/>
        <n v="82.0"/>
        <n v="3.3"/>
        <n v="36.14"/>
        <n v="66.8"/>
        <n v="44.702000000000005"/>
        <n v="34.5"/>
        <n v="31.4"/>
        <n v="36.03"/>
        <n v="16.5"/>
        <n v="27.07"/>
        <n v="5.4"/>
        <n v="31.0"/>
        <n v="39.36"/>
        <n v="17.87"/>
        <n v="69.66"/>
        <n v="160.05"/>
        <n v="22.0"/>
        <n v="18.0"/>
        <n v="14.0"/>
        <n v="5.3"/>
        <n v="15.3"/>
        <n v="18.5"/>
        <n v="19.6"/>
        <n v="13.049999999999999"/>
        <n v="7.1"/>
        <n v="35.29"/>
        <n v="60.5"/>
        <n v="38.0"/>
        <n v="86.1"/>
        <n v="32.3"/>
        <n v="56.40471749863"/>
        <n v="148.0"/>
        <n v="42.9"/>
        <n v="104.0"/>
        <n v="80.0"/>
        <n v="11.9"/>
        <n v="44.1"/>
        <n v="26.3"/>
        <n v="22.7"/>
        <n v="6.6"/>
        <n v="4.7"/>
        <n v="14.54"/>
        <n v="12.26"/>
        <n v="1.5"/>
        <n v="28.2"/>
        <n v="16.8"/>
        <n v="27.7"/>
        <n v="64.8"/>
        <n v="16.55172222222"/>
        <n v="55.2023463586"/>
        <n v="48.0"/>
        <n v="122.002371307183"/>
        <n v="55.8619529315"/>
        <n v="11.99461448703"/>
        <n v="55.991742361685"/>
        <n v="71.45"/>
        <n v="26.0"/>
        <n v="17.5"/>
        <n v="1.7"/>
        <n v="162.77002373042"/>
        <n v="33.25"/>
        <n v="77.8"/>
        <n v="104.85000000000001"/>
        <n v="54.0"/>
        <n v="109.4"/>
        <n v="76.001598295152"/>
        <n v="67.09001632486499"/>
        <n v="87.13"/>
        <n v="26.68"/>
        <n v="80.5"/>
        <n v="6.3"/>
        <n v="8.8"/>
        <n v="6.0"/>
        <n v="8.5"/>
        <n v="4.2"/>
        <n v="11.2"/>
        <n v="0.2"/>
        <n v="55.52494679234"/>
        <n v="1.93"/>
        <n v="20.8"/>
        <n v="8.2"/>
        <n v="4.9"/>
        <n v="1.3"/>
        <n v="7.0"/>
        <n v="91.8"/>
        <n v="5.25"/>
        <n v="2.42"/>
        <n v="115.1042376207"/>
        <n v="5.08"/>
        <n v="82.00655677989"/>
        <n v="4.75"/>
        <n v="79.92"/>
        <n v="50.22574454004"/>
        <n v="5.17"/>
        <n v="2.92"/>
        <n v="30.15"/>
        <n v="79.5"/>
        <n v="59.0"/>
        <n v="2.3"/>
        <n v="22.5"/>
        <n v="30.7717423617"/>
        <n v="117.7"/>
        <n v="35.0"/>
        <n v="53.0"/>
        <n v="105.4"/>
        <n v="33.0"/>
        <n v="155.72574454"/>
        <n v="30.0006088743436"/>
        <n v="59.69999693908785"/>
        <n v="159.5"/>
        <n v="84.5"/>
        <n v="155.25"/>
        <n v="26.9"/>
        <n v="0.8"/>
        <n v="9.3"/>
        <n v="7.3"/>
        <n v="10.1"/>
        <n v="45.0"/>
        <n v="67.91651971217"/>
        <n v="12.9"/>
        <n v="6.5"/>
        <n v="18.3"/>
        <n v="23.4"/>
        <n v="2.95"/>
        <n v="25.0"/>
        <n v="36.2"/>
        <n v="3.8"/>
        <n v="12.0"/>
        <n v="52.47174236168"/>
        <n v="80.3100137931"/>
        <n v="81.50423762065"/>
        <n v="2.3000000000000003"/>
        <n v="106.20655677989001"/>
        <n v="42.92"/>
        <n v="3.9"/>
        <n v="0.9"/>
        <n v="33.730000000000004"/>
        <n v="54.45"/>
        <n v="46.0"/>
        <n v="115.0557445"/>
        <n v="44.57"/>
        <n v="103.08"/>
        <n v="48.92"/>
        <n v="8.0"/>
        <n v="55.010000000000005"/>
        <n v="22.83"/>
        <n v="12.2"/>
        <n v="0.83"/>
        <n v="66.81"/>
        <n v="80.22"/>
        <n v="24.25"/>
        <n v="72.88"/>
        <n v="3.17"/>
        <n v="150.5"/>
        <n v="9.5"/>
        <n v="121.500019"/>
        <n v="28.5"/>
        <n v="61.35"/>
        <n v="20.67"/>
        <n v="5.73"/>
        <n v="68.33"/>
        <n v="30.67"/>
        <n v="33.6342376"/>
        <n v="8.92"/>
        <n v="3.7"/>
        <n v="87.09"/>
        <n v="14.67"/>
        <n v="7.92"/>
        <n v="6.9"/>
        <n v="3.42"/>
        <n v="48.6"/>
        <n v="23.95"/>
        <n v="13.08"/>
        <n v="5.05"/>
        <n v="96.25656"/>
        <n v="62.17"/>
        <n v="2.5"/>
        <n v="58.25"/>
        <n v="113.58"/>
        <n v="6.92"/>
        <n v="3.83"/>
        <n v="101.33"/>
        <n v="26.92"/>
        <n v="23.75"/>
        <n v="115.5"/>
        <n v="44.5"/>
        <n v="81.6"/>
        <n v="31.07"/>
        <n v="22.52"/>
        <n v="9.62"/>
        <n v="0.09000000000000341"/>
        <n v="60.620000000000005"/>
        <n v="49.019999999999996"/>
        <n v="82.5"/>
        <n v="22.4"/>
        <n v="41.56999999999999"/>
        <n v="20.53"/>
        <n v="55.17"/>
        <n v="40.15"/>
        <n v="6.03"/>
        <n v="2.75"/>
        <n v="49.75"/>
        <n v="110.25"/>
        <n v="70.08"/>
        <n v="40.0"/>
        <n v="18.58"/>
        <n v="8.33"/>
        <n v="19.009999999999977"/>
        <n v="55.22"/>
        <n v="24.02"/>
        <n v="8.85"/>
        <n v="66.92999999999999"/>
        <n v="18.73"/>
        <n v="107.5"/>
        <n v="26.75"/>
        <n v="80.75"/>
        <n v="44.25"/>
        <n v="1.83"/>
        <n v="16.42"/>
        <n v="35.192903225806496"/>
        <n v="18.18"/>
        <n v="8.38"/>
        <n v="5.78"/>
        <n v="82.96000000000001"/>
        <n v="94.92"/>
        <n v="4.08"/>
        <n v="54.589999999999996"/>
        <n v="69.92"/>
        <n v="22.33"/>
        <n v="13.25"/>
        <n v="85.07000000000001"/>
        <n v="46.92"/>
        <n v="33.2"/>
        <n v="14.5"/>
        <n v="65.0"/>
        <n v="121.92"/>
        <n v="12.5"/>
        <n v="25.58"/>
        <n v="13.5"/>
        <n v="71.33"/>
        <n v="115.03"/>
        <n v="5.67"/>
        <n v="38.8"/>
        <n v="62.42"/>
        <n v="3.33"/>
        <n v="83.25"/>
        <n v="75.67"/>
        <n v="4.33"/>
        <n v="88.093333333"/>
        <n v="54.813333333"/>
        <n v="17.093333333"/>
        <n v="103.82"/>
        <n v="14.25"/>
        <n v="154.42000000000002"/>
        <n v="4.079999999999984"/>
        <n v="20.95"/>
        <n v="18.229999999999997"/>
        <n v="0.25"/>
        <n v="85.91"/>
        <n v="40.25"/>
        <n v="125.08"/>
        <n v="34.92"/>
      </sharedItems>
    </cacheField>
    <cacheField name="Valor Hora" numFmtId="174">
      <sharedItems containsString="0" containsBlank="1" containsNumber="1">
        <n v="20833.333333333332"/>
        <n v="9049.0"/>
        <n v="8801.0"/>
        <n v="8286.0"/>
        <n v="14717.0"/>
        <n v="13704.0"/>
        <n v="18000.0"/>
        <n v="8157.0"/>
        <n v="7000.0"/>
        <n v="9687.5"/>
        <n v="12166.0"/>
        <n v="30000.0"/>
        <n v="10000.0"/>
        <n v="6250.0"/>
        <n v="9000.0"/>
        <n v="20000.0"/>
        <n v="18900.0"/>
        <n v="0.0"/>
        <m/>
        <n v="10045.0"/>
        <n v="10121.0"/>
        <n v="9115.0"/>
        <n v="16856.0"/>
        <n v="8973.0"/>
        <n v="11141.0"/>
        <n v="13139.0"/>
        <n v="21356.999999999996"/>
        <n v="22680.0"/>
        <n v="10282.999999999998"/>
        <n v="19000.0"/>
        <n v="8500.0"/>
        <n v="9375.0"/>
        <n v="11485.0"/>
        <n v="23066.000000000004"/>
        <n v="28125.0"/>
        <n v="24166.666666666668"/>
        <n v="11081.0"/>
        <n v="9688.0"/>
        <n v="11000.0"/>
        <n v="7500.0"/>
        <n v="30687.999999999996"/>
        <n v="24911.0"/>
        <n v="12743.0"/>
        <n v="10981.0"/>
        <n v="9867.0"/>
        <n v="12088.000000000002"/>
        <n v="19602.0"/>
        <n v="10625.0"/>
        <n v="16760.0"/>
        <n v="30688.0"/>
        <n v="12088.0"/>
        <n v="11900.000000000002"/>
        <n v="10270.248800000001"/>
        <n v="18880.0"/>
        <n v="12504.520000000002"/>
        <n v="13806.4612"/>
        <n v="12702.070399999999"/>
        <n v="11558.8"/>
        <n v="18017.0"/>
        <n v="11859.480000000001"/>
        <n v="13390.3444"/>
        <n v="10853.7"/>
        <n v="10508.0"/>
        <n v="26583.333333333336"/>
        <n v="26903.88"/>
        <n v="33143.04"/>
        <n v="20680.0"/>
        <n v="10750.0"/>
        <n v="20000.008"/>
      </sharedItems>
    </cacheField>
    <cacheField name="Moneda Original ARS" numFmtId="180">
      <sharedItems containsString="0" containsBlank="1" containsNumber="1">
        <n v="6249.999999999999"/>
        <n v="887272.5480000001"/>
        <n v="167219.0"/>
        <n v="338068.8"/>
        <n v="7358.5"/>
        <n v="1824002.4"/>
        <n v="2160000.0"/>
        <n v="0.0"/>
        <n v="144784.0"/>
        <n v="959309.0"/>
        <n v="644403.0"/>
        <n v="218190.0"/>
        <n v="433606.38"/>
        <n v="1451187.5"/>
        <n v="81512.2"/>
        <n v="378000.0"/>
        <n v="550000.0"/>
        <n v="34375.0"/>
        <n v="306000.0"/>
        <n v="154528.5"/>
        <n v="9049.0"/>
        <n v="88010.0"/>
        <n v="9943.199999999999"/>
        <n v="2036041.6666666663"/>
        <n v="117637.0"/>
        <n v="27408.0"/>
        <n v="176020.0"/>
        <n v="20000.0"/>
        <n v="99103.125"/>
        <n v="347062.5"/>
        <n v="374374.99999999994"/>
        <n v="432569.99999999994"/>
        <n v="17602.0"/>
        <n v="71939.55"/>
        <n v="48224.520000000004"/>
        <n v="56000.0"/>
        <n v="331888.48000000004"/>
        <n v="900000.0"/>
        <n v="3025000.0"/>
        <n v="83333.33333333333"/>
        <n v="1093400.0"/>
        <n v="217176.0"/>
        <n v="135061.80000000002"/>
        <n v="183499.99999999997"/>
        <n v="56250.0"/>
        <n v="1827887.0"/>
        <n v="537700.0"/>
        <n v="1280000.0"/>
        <n v="291750.0"/>
        <n v="32400.0"/>
        <n v="178400.0"/>
        <n v="86677.0"/>
        <n v="28405.0"/>
        <n v="579408.0"/>
        <n v="2689779.0"/>
        <m/>
        <n v="29166.666666666664"/>
        <n v="629821.5"/>
        <n v="50605.0"/>
        <n v="456661.5"/>
        <n v="29434.0"/>
        <n v="2428595.6240000003"/>
        <n v="603000.0"/>
        <n v="948880.835"/>
        <n v="1007059.742"/>
        <n v="965817.828"/>
        <n v="343840.00000000006"/>
        <n v="781921.1599999999"/>
        <n v="1630206.8250000002"/>
        <n v="652364.4890000001"/>
        <n v="517140.0"/>
        <n v="99000.0"/>
        <n v="802800.0"/>
        <n v="103500.0"/>
        <n v="73585.0"/>
        <n v="1307499.9999999998"/>
        <n v="15660.0"/>
        <n v="28427.350000000002"/>
        <n v="32363.52"/>
        <n v="521231.5"/>
        <n v="18230.0"/>
        <n v="152297.47"/>
        <n v="6729.75"/>
        <n v="31500.0"/>
        <n v="7500.0"/>
        <n v="501120.0"/>
        <n v="153792.65"/>
        <n v="449375.0"/>
        <n v="595800.0"/>
        <n v="33390.0"/>
        <n v="193124.99999999997"/>
        <n v="177113.72"/>
        <n v="797400.0"/>
        <n v="51509.5"/>
        <n v="104166.66666666666"/>
        <n v="30363.0"/>
        <n v="9000.0"/>
        <n v="3418251.920999999"/>
        <n v="3630002.04"/>
        <n v="416666.6666666666"/>
        <n v="10121.0"/>
        <n v="4557.5"/>
        <n v="144000.0"/>
        <n v="1763636.0"/>
        <n v="48399.0"/>
        <n v="845000.0"/>
        <n v="45838.0"/>
        <n v="86405.0"/>
        <n v="306411.0"/>
        <n v="1256673.0"/>
        <n v="3418250.0"/>
        <n v="850414.3829999999"/>
        <n v="497350.86"/>
        <n v="420833.3333333333"/>
        <n v="896739.2000000001"/>
        <n v="1368000.0"/>
        <n v="434970.8999999999"/>
        <n v="1012100.0"/>
        <n v="902917.0979999999"/>
        <n v="29750.0"/>
        <n v="236078.5"/>
        <n v="1398139.7950000002"/>
        <n v="496273.169"/>
        <n v="414000.0"/>
        <n v="1205625.0"/>
        <n v="820000.0"/>
        <n v="33000.0"/>
        <n v="752916.6666666666"/>
        <n v="36000.0"/>
        <n v="1125980.8"/>
        <n v="452428.94200000004"/>
        <n v="82035.0"/>
        <n v="384364.5"/>
        <n v="8973.0"/>
        <n v="294375.0"/>
        <n v="10000.0"/>
        <n v="360300.0"/>
        <n v="242830.5"/>
        <n v="487260.0"/>
        <n v="45900.0"/>
        <n v="558000.0"/>
        <n v="819999.9999999999"/>
        <n v="178700.0"/>
        <n v="800000.0"/>
        <n v="58868.0"/>
        <n v="3691713.3000000007"/>
        <n v="4500000.0"/>
        <n v="395833.3333333333"/>
        <n v="226225.99999999997"/>
        <n v="164070.0"/>
        <n v="118251.0"/>
        <n v="252000.0"/>
        <n v="110416.66666666666"/>
        <n v="133678.99999999997"/>
        <n v="154851.30000000002"/>
        <n v="168627.5"/>
        <n v="175870.80000000002"/>
        <n v="110924.99999999999"/>
        <n v="495998.0"/>
        <n v="69810.0"/>
        <n v="466656.0"/>
        <n v="2420141.0"/>
        <n v="103712.0"/>
        <n v="171583.33333333334"/>
        <n v="1213632.0"/>
        <n v="670510.0"/>
        <n v="670400.5"/>
        <n v="384598.0"/>
        <n v="861000.0"/>
        <n v="274550.0"/>
        <n v="514129.00000001246"/>
        <n v="1648868.0"/>
        <n v="772200.0"/>
        <n v="1007552.0"/>
        <n v="880000.0"/>
        <n v="190000.0"/>
        <n v="108468.5"/>
        <n v="1065750.0"/>
        <n v="291430.3"/>
        <n v="206910.5"/>
        <n v="63940.799999999996"/>
        <n v="84600.0"/>
        <n v="145400.0"/>
        <n v="104210.0"/>
        <n v="15000.0"/>
        <n v="14717.0"/>
        <n v="96666.66666666667"/>
        <n v="199458.0"/>
        <n v="184123.0"/>
        <n v="273201.6"/>
        <n v="168000.0"/>
        <n v="180000.0"/>
        <n v="498600.0"/>
        <n v="1566000.0"/>
        <n v="297930.99999996"/>
        <n v="38000.0"/>
        <n v="611697.1999996466"/>
        <n v="809088.0"/>
        <n v="1234785.999999999"/>
        <n v="91150.0"/>
        <n v="541190.600000372"/>
        <n v="133632.00000000125"/>
        <n v="542448.0000000043"/>
        <n v="8500.0"/>
        <n v="714500.0"/>
        <n v="382642.0"/>
        <n v="131250.0"/>
        <n v="4910000.0"/>
        <n v="3931000.0"/>
        <n v="374498.0"/>
        <n v="49230.0"/>
        <n v="53969.0"/>
        <n v="329085.0"/>
        <n v="1694577.0"/>
        <n v="41083.333333333336"/>
        <n v="2743651.5199999595"/>
        <n v="631750.0"/>
        <n v="63715.0"/>
        <n v="854321.7999999999"/>
        <n v="1048500.0000000001"/>
        <n v="459000.0"/>
        <n v="296010.0"/>
        <n v="1322427.2000000002"/>
        <n v="998585.000000002"/>
        <n v="1315098.5000000035"/>
        <n v="1600000.0"/>
        <n v="958430.0"/>
        <n v="293480.0"/>
        <n v="855312.5"/>
        <n v="152250.0"/>
        <n v="112138.40000000001"/>
        <n v="60000.0"/>
        <n v="59202.0"/>
        <n v="82348.0"/>
        <n v="101500.00000000001"/>
        <n v="142721.59999999998"/>
        <n v="2196.2000000000003"/>
        <n v="547864.6500000188"/>
        <n v="21230.0"/>
        <n v="201510.4"/>
        <n v="198166.66666666666"/>
        <n v="62440.700000000004"/>
        <n v="150965.1"/>
        <n v="13000.0"/>
        <n v="193760.0"/>
        <n v="48333.333333333336"/>
        <n v="76458.0"/>
        <n v="89201.0"/>
        <n v="55000.0"/>
        <n v="2218500.0"/>
        <n v="102910.5"/>
        <n v="45980.0"/>
        <n v="1466773.3000005803"/>
        <n v="85628.48"/>
        <n v="900513.9999999722"/>
        <n v="46868.25"/>
        <n v="774264.96"/>
        <n v="607128.8000000035"/>
        <n v="51700.0"/>
        <n v="24820.0"/>
        <n v="56870.0"/>
        <n v="331650.0"/>
        <n v="844687.5"/>
        <n v="442500.0"/>
        <n v="117320.0"/>
        <n v="55583.33333333333"/>
        <n v="441045.0"/>
        <n v="298116.6400001496"/>
        <n v="19114.5"/>
        <n v="36250.0"/>
        <n v="6371.5"/>
        <n v="45600.0"/>
        <n v="110500.0"/>
        <n v="1673785.0"/>
        <n v="308917.53465000005"/>
        <n v="49229.886"/>
        <n v="223609.31"/>
        <n v="45658.4"/>
        <n v="145000.0"/>
        <n v="1983951.2"/>
        <n v="665000.0"/>
        <n v="581993.0"/>
        <n v="1054000.0"/>
        <n v="280500.0"/>
        <n v="1882412.79999952"/>
        <n v="394178.0000000006"/>
        <n v="1170239.34"/>
        <n v="1595000.0"/>
        <n v="929500.0"/>
        <n v="90199.99999999999"/>
        <n v="1847475.0000000002"/>
        <n v="650083.3333333334"/>
        <n v="254860.0"/>
        <n v="8784.800000000001"/>
        <n v="93000.0"/>
        <n v="72029.09999999999"/>
        <n v="36300.0"/>
        <n v="97848.8"/>
        <n v="58660.0"/>
        <n v="573435.0"/>
        <n v="670132.2999999814"/>
        <n v="141900.0"/>
        <n v="108940.0"/>
        <n v="24166.666666666668"/>
        <n v="177290.4"/>
        <n v="234000.0"/>
        <n v="32450.000000000004"/>
        <n v="33520.0"/>
        <n v="490050.0"/>
        <n v="350705.60000000003"/>
        <n v="91833.33333333333"/>
        <n v="152916.0"/>
        <n v="508346.23999995587"/>
        <n v="1940825.3333332501"/>
        <n v="55473.66"/>
        <n v="9500.0"/>
        <n v="1038608.499999943"/>
        <n v="38768.8"/>
        <n v="1166254.1999999722"/>
        <n v="7893.6"/>
        <n v="415808.96"/>
        <n v="47143.2"/>
        <n v="5000.0"/>
        <n v="4250.0"/>
        <n v="5500.0"/>
        <n v="371030.00000000006"/>
        <n v="56525.00000000001"/>
        <n v="408375.0"/>
        <n v="119000.0"/>
        <n v="1835920.0"/>
        <n v="337214.0"/>
        <n v="59568.3"/>
        <n v="111382.0"/>
        <n v="410000.0"/>
        <n v="22829.2"/>
        <n v="802040.0"/>
        <n v="874000.0"/>
        <n v="1390793.8395160001"/>
        <n v="538762.16"/>
        <n v="1030800.0"/>
        <n v="489200.0"/>
        <n v="80000.0"/>
        <n v="1078306.02"/>
        <n v="447513.66"/>
        <n v="239144.4"/>
        <n v="16269.66"/>
        <n v="877816.5900000001"/>
        <n v="13139.0"/>
        <n v="802200.0"/>
        <n v="242500.0"/>
        <n v="555300.0"/>
        <n v="801680.0"/>
        <n v="34870.0"/>
        <n v="1790950.0000000002"/>
        <n v="113050.00000000001"/>
        <n v="1247835.4243347272"/>
        <n v="292702.0908"/>
        <n v="82161.99040000001"/>
        <n v="20540.497600000002"/>
        <n v="605340.4500000001"/>
        <n v="203950.89"/>
        <n v="56537.91"/>
        <n v="7400.25"/>
        <n v="870729.19"/>
        <n v="390827.81"/>
        <n v="428601.0897368"/>
        <n v="178402.0"/>
        <n v="113667.56"/>
        <n v="47149.100000000006"/>
        <n v="9557.25"/>
        <n v="2104675.0"/>
        <n v="354525.0"/>
        <n v="191400.0"/>
        <n v="166750.00000000003"/>
        <n v="82650.0"/>
        <n v="534600.0"/>
        <n v="263450.0"/>
        <n v="143880.0"/>
        <n v="21120.0"/>
        <n v="55550.0"/>
        <n v="1056993.2853599999"/>
        <n v="682688.77"/>
        <n v="9114.23"/>
        <n v="8235.75"/>
        <n v="100560.0"/>
        <n v="83800.0"/>
        <n v="41900.0"/>
        <n v="436875.0"/>
        <n v="2144390.4"/>
        <n v="130649.6"/>
        <n v="72310.4"/>
        <n v="264000.0"/>
        <n v="435600.0"/>
        <n v="132000.0"/>
        <n v="158400.0"/>
        <n v="142317.48"/>
        <n v="221400.0"/>
        <n v="2012802.0"/>
        <n v="369970.0"/>
        <n v="71341.0"/>
        <n v="118200.0"/>
        <n v="59568.0"/>
        <n v="1040684.3109040001"/>
        <n v="276475.09769600007"/>
        <n v="243918.40900000004"/>
        <n v="1444272.0600000003"/>
        <n v="556451.1400000001"/>
        <n v="816000.0"/>
        <n v="310700.0"/>
        <n v="225200.0"/>
        <n v="96199.99999999999"/>
        <n v="71000.0"/>
        <n v="900.0000000000341"/>
        <n v="836947.677944"/>
        <n v="931379.9999999999"/>
        <n v="19000.0"/>
        <n v="1047920.8079999998"/>
        <n v="284526.37695999997"/>
        <n v="528025.0665279998"/>
        <n v="260773.505312"/>
        <n v="397500.0"/>
        <n v="637698.9959999999"/>
        <n v="464085.81999999995"/>
        <n v="69699.564"/>
        <n v="198187.0"/>
        <n v="108102.0"/>
        <n v="49546.75"/>
        <n v="36034.0"/>
        <n v="18017.0"/>
        <n v="590009.1300000001"/>
        <n v="1307507.6700000002"/>
        <n v="938395.335552"/>
        <n v="535613.776"/>
        <n v="248792.59895199997"/>
        <n v="111541.568852"/>
        <n v="53561.3776"/>
        <n v="254550.44704399968"/>
        <n v="1082422.44"/>
        <n v="470840.04"/>
        <n v="173477.69999999998"/>
        <n v="773630.4839999998"/>
        <n v="216496.324"/>
        <n v="1166772.75"/>
        <n v="290336.47500000003"/>
        <n v="1524560.0"/>
        <n v="835440.0"/>
        <n v="160480.0"/>
        <n v="34550.4"/>
        <n v="172541.36000000002"/>
        <n v="369807.02709677466"/>
        <n v="483285.00000000006"/>
        <n v="178108.33333333334"/>
        <n v="222768.33333333337"/>
        <n v="153651.6666666667"/>
        <n v="126270.83333333334"/>
        <n v="139562.5"/>
        <n v="53166.66666666667"/>
        <n v="2205353.333333334"/>
        <n v="4304620.8"/>
        <n v="5302886.4"/>
        <n v="72000.0"/>
        <n v="712040.0"/>
        <n v="38048.66"/>
        <n v="66138.0"/>
        <n v="1876795.0"/>
        <n v="342986.0"/>
        <n v="537000.0"/>
        <n v="962040.0"/>
        <n v="61260.57"/>
        <n v="1792089.6"/>
        <n v="276969.6"/>
        <n v="77030.4"/>
        <n v="51920.0"/>
        <n v="753694.716908"/>
        <n v="758890.704"/>
        <n v="242363.12099999998"/>
        <n v="143811.52500000002"/>
        <n v="983307.116"/>
        <n v="970305.6000000001"/>
        <n v="686576.0000000001"/>
        <n v="10340.0"/>
        <n v="261246.5"/>
        <n v="487500.0"/>
        <n v="1252148.7336960002"/>
        <n v="128378.11000000002"/>
        <n v="262712.964304"/>
        <n v="654287.5116000001"/>
        <n v="237189.60000000003"/>
        <n v="160102.98"/>
        <n v="845936.7084000001"/>
        <n v="1461119.158112"/>
        <n v="72020.73916799999"/>
        <n v="6351.035199999999"/>
        <n v="492840.3315199999"/>
        <n v="835825.297448"/>
        <n v="140598.6162"/>
        <n v="44589.846852"/>
        <n v="6695.1722"/>
        <n v="1114746.1713"/>
        <n v="813452.5"/>
        <n v="46547.5"/>
        <n v="880933.33333"/>
        <n v="548133.33333"/>
        <n v="170933.33333"/>
        <n v="1200034.616"/>
        <n v="164712.9"/>
        <n v="5779.4"/>
        <n v="1622645.36"/>
        <n v="15762.0"/>
        <n v="42872.63999999983"/>
        <n v="556920.8333333334"/>
        <n v="484614.1666666666"/>
        <n v="73104.16666666667"/>
        <n v="39875.0"/>
        <n v="26583.333333333336"/>
        <n v="6645.833333333334"/>
        <n v="2283774.166666667"/>
        <n v="805000.322"/>
        <n v="1564065.3616000002"/>
        <n v="436657.8384000001"/>
        <n v="130000.0"/>
        <n v="675800.0"/>
        <n v="87515.1"/>
        <n v="762594.0"/>
        <n v="32000.0"/>
        <n v="98675.0"/>
        <n v="2811304.0"/>
        <n v="511723.0"/>
      </sharedItems>
    </cacheField>
    <cacheField name="Moneda Original USD" numFmtId="0">
      <sharedItems containsString="0" containsBlank="1" containsNumber="1">
        <m/>
        <n v="0.0"/>
        <n v="600.0"/>
        <n v="2483.3333333333335"/>
        <n v="12.0"/>
        <n v="450.0"/>
        <n v="303.0"/>
        <n v="8.0"/>
        <n v="14.19"/>
        <n v="22.99"/>
        <n v="25.0"/>
        <n v="466.0"/>
        <n v="304.0"/>
        <n v="20.0"/>
        <n v="6.49"/>
        <n v="515.0"/>
        <n v="112.0"/>
        <n v="7.72"/>
        <n v="117.0"/>
        <n v="222.0"/>
        <n v="974.0"/>
        <n v="1186.0"/>
        <n v="50.03"/>
        <n v="3.08"/>
        <n v="46.41"/>
        <n v="500.47"/>
        <n v="29.0"/>
        <n v="192.0"/>
        <n v="25.3"/>
        <n v="45.0"/>
        <n v="29.99"/>
        <n v="588.0"/>
        <n v="609.8"/>
        <n v="500.46"/>
        <n v="6.15"/>
        <n v="-4124.0"/>
        <n v="633.6"/>
        <n v="6.91"/>
        <n v="59.88"/>
        <n v="22.17"/>
        <n v="383.56"/>
        <n v="6.11"/>
        <n v="25.19"/>
        <n v="-4204.92"/>
        <n v="500.0"/>
        <n v="340.0"/>
        <n v="300.0"/>
        <n v="200.0"/>
        <n v="180.0"/>
        <n v="130.0"/>
        <n v="150.0"/>
        <n v="655.0"/>
        <n v="820.0"/>
        <n v="919.79"/>
        <n v="14.82"/>
        <n v="11.0"/>
        <n v="507.4"/>
        <n v="132.72"/>
        <n v="5.0"/>
        <n v="22.52"/>
        <n v="502.07"/>
        <n v="725.0"/>
        <n v="49.0"/>
        <n v="139.95"/>
        <n v="500.54"/>
        <n v="14.0"/>
        <n v="6.08"/>
        <n v="491.63"/>
        <n v="501.77"/>
        <n v="22.26"/>
        <n v="15228.0"/>
        <n v="500.07"/>
        <n v="3544.67"/>
        <n v="1108.55"/>
        <n v="500.96"/>
        <n v="607.42"/>
        <n v="6.05"/>
        <n v="500.2"/>
        <n v="171.47"/>
        <n v="501.0"/>
        <n v="30.0"/>
        <n v="502.0"/>
        <n v="610.0"/>
        <n v="10801.0"/>
        <n v="743.2"/>
      </sharedItems>
    </cacheField>
    <cacheField name="Cotización">
      <sharedItems containsMixedTypes="1" containsNumber="1" containsInteger="1">
        <n v="1220.0"/>
        <s v=""/>
        <n v="1230.0"/>
        <n v="1325.0"/>
        <n v="1185.0"/>
        <n v="1180.0"/>
        <n v="1215.0"/>
        <n v="1320.0"/>
        <n v="1345.0"/>
        <n v="1445.0"/>
        <e v="#N/A"/>
      </sharedItems>
    </cacheField>
    <cacheField name="Monto Total USD">
      <sharedItems containsBlank="1" containsMixedTypes="1" containsNumber="1">
        <n v="5.1229508196721305"/>
        <n v="727.2725803278689"/>
        <n v="137.06475409836065"/>
        <n v="277.1055737704918"/>
        <n v="6.031557377049181"/>
        <n v="1495.0839344262295"/>
        <n v="1770.4918032786886"/>
        <n v="0.0"/>
        <n v="118.67540983606557"/>
        <n v="786.3188524590164"/>
        <n v="528.1991803278688"/>
        <n v="178.84426229508196"/>
        <n v="355.4150655737705"/>
        <n v="1189.497950819672"/>
        <n v="66.81327868852459"/>
        <n v="309.8360655737705"/>
        <n v="450.8196721311475"/>
        <n v="28.17622950819672"/>
        <n v="250.81967213114754"/>
        <n v="126.66270491803279"/>
        <n v="7.417213114754098"/>
        <n v="72.13934426229508"/>
        <n v="8.150163934426228"/>
        <n v="1668.8866120218577"/>
        <n v="96.42377049180328"/>
        <n v="22.465573770491805"/>
        <n v="144.27868852459017"/>
        <n v="16.39344262295082"/>
        <n v="81.23206967213115"/>
        <n v="284.4774590163934"/>
        <n v="306.8647540983606"/>
        <n v="354.56557377049177"/>
        <n v="14.427868852459016"/>
        <n v="58.96684426229508"/>
        <n v="39.528295081967215"/>
        <n v="45.90163934426229"/>
        <n v="272.0397377049181"/>
        <n v="737.7049180327868"/>
        <n v="2479.5081967213114"/>
        <n v="68.30601092896174"/>
        <n v="896.2295081967213"/>
        <n v="178.01311475409835"/>
        <n v="110.70639344262297"/>
        <n v="150.40983606557376"/>
        <n v="46.10655737704918"/>
        <n v="1498.2680327868852"/>
        <n v="440.73770491803276"/>
        <n v="1049.1803278688524"/>
        <n v="239.13934426229508"/>
        <n v="26.557377049180328"/>
        <n v="146.2295081967213"/>
        <n v="71.04672131147541"/>
        <n v="23.2827868852459"/>
        <n v="474.92459016393445"/>
        <n v="2204.7368852459017"/>
        <n v="600.0"/>
        <n v="2483.3333333333335"/>
        <n v="12.0"/>
        <n v="450.0"/>
        <n v="303.0"/>
        <n v="8.0"/>
        <n v="14.19"/>
        <n v="22.99"/>
        <n v="25.0"/>
        <n v="23.712737127371273"/>
        <n v="512.05"/>
        <n v="41.142276422764226"/>
        <n v="371.26951219512193"/>
        <n v="23.930081300813008"/>
        <n v="1974.4679869918702"/>
        <n v="490.2439024390244"/>
        <n v="771.4478333333333"/>
        <n v="818.7477577235773"/>
        <n v="785.2177463414635"/>
        <n v="279.54471544715454"/>
        <n v="635.7082601626015"/>
        <n v="1325.3714024390245"/>
        <n v="530.3776333333334"/>
        <n v="420.4390243902439"/>
        <n v="80.48780487804878"/>
        <n v="652.6829268292682"/>
        <n v="84.14634146341463"/>
        <n v="59.82520325203252"/>
        <n v="1063.0081300813006"/>
        <n v="12.731707317073171"/>
        <n v="23.111666666666668"/>
        <n v="26.311804878048783"/>
        <n v="423.76544715447153"/>
        <n v="14.821138211382113"/>
        <n v="123.81908130081301"/>
        <n v="5.4713414634146345"/>
        <n v="25.609756097560975"/>
        <n v="6.097560975609756"/>
        <n v="407.4146341463415"/>
        <n v="125.03467479674796"/>
        <n v="365.3455284552846"/>
        <n v="484.390243902439"/>
        <n v="27.146341463414632"/>
        <n v="157.0121951219512"/>
        <n v="143.9948943089431"/>
        <n v="648.2926829268292"/>
        <n v="41.87764227642276"/>
        <n v="84.68834688346882"/>
        <n v="24.685365853658535"/>
        <n v="7.317073170731708"/>
        <n v="2779.066602439024"/>
        <n v="2951.2211707317074"/>
        <n v="338.7533875338753"/>
        <n v="8.228455284552846"/>
        <n v="3.7052845528455283"/>
        <n v="117.07317073170732"/>
        <n v="1433.850406504065"/>
        <n v="437.1544715447154"/>
        <n v="39.34878048780488"/>
        <n v="686.9918699186992"/>
        <n v="37.266666666666666"/>
        <n v="70.2479674796748"/>
        <n v="249.11463414634147"/>
        <n v="1021.6853658536585"/>
        <n v="2779.0650406504064"/>
        <n v="466.0"/>
        <n v="304.0"/>
        <n v="20.0"/>
        <n v="6.49"/>
        <n v="641.8221758490565"/>
        <n v="375.3591396226415"/>
        <n v="317.61006289308176"/>
        <n v="676.7843018867925"/>
        <n v="1032.4528301886792"/>
        <n v="328.2799245283018"/>
        <n v="763.8490566037735"/>
        <n v="681.4468664150943"/>
        <n v="22.452830188679247"/>
        <n v="178.1724528301887"/>
        <n v="1055.199845283019"/>
        <n v="374.54578792452827"/>
        <n v="312.45283018867923"/>
        <n v="909.9056603773585"/>
        <n v="618.8679245283018"/>
        <n v="24.90566037735849"/>
        <n v="568.2389937106918"/>
        <n v="27.169811320754718"/>
        <n v="849.7968301886793"/>
        <n v="341.4558052830189"/>
        <n v="61.91320754716981"/>
        <n v="290.0864150943396"/>
        <n v="6.7720754716981135"/>
        <n v="222.16981132075472"/>
        <n v="7.547169811320755"/>
        <n v="271.92452830188677"/>
        <n v="183.26830188679244"/>
        <n v="367.7433962264151"/>
        <n v="34.64150943396226"/>
        <n v="421.1320754716981"/>
        <n v="134.8679245283019"/>
        <n v="603.7735849056604"/>
        <n v="44.42867924528302"/>
        <n v="2786.1987169811327"/>
        <n v="3396.2264150943397"/>
        <n v="298.74213836477986"/>
        <n v="170.73660377358487"/>
        <n v="123.82641509433962"/>
        <n v="89.24603773584906"/>
        <n v="190.18867924528303"/>
        <n v="22.21433962264151"/>
        <n v="83.33333333333333"/>
        <n v="100.88981132075469"/>
        <n v="116.86890566037737"/>
        <n v="127.26603773584905"/>
        <n v="132.73267924528304"/>
        <n v="83.71698113207546"/>
        <n v="405.811320754717"/>
        <n v="637.7358490566038"/>
        <n v="374.33811320754717"/>
        <n v="52.68679245283019"/>
        <n v="352.19320754716983"/>
        <n v="1826.5215094339624"/>
        <n v="515.0"/>
        <n v="112.0"/>
        <n v="7.72"/>
        <n v="78.27320754716982"/>
        <n v="144.79606188466948"/>
        <n v="1024.1620253164556"/>
        <n v="565.831223628692"/>
        <n v="565.7388185654008"/>
        <n v="324.55527426160336"/>
        <n v="726.5822784810126"/>
        <n v="231.68776371308016"/>
        <n v="433.8641350211076"/>
        <n v="1391.4497890295359"/>
        <n v="651.6455696202531"/>
        <n v="850.2548523206751"/>
        <n v="742.6160337552743"/>
        <n v="160.33755274261603"/>
        <n v="24.838818565400842"/>
        <n v="91.53459915611815"/>
        <n v="899.367088607595"/>
        <n v="245.93274261603375"/>
        <n v="174.60801687763714"/>
        <n v="53.958481012658225"/>
        <n v="71.39240506329114"/>
        <n v="122.70042194092827"/>
        <n v="87.94092827004219"/>
        <n v="12.658227848101266"/>
        <n v="12.419409282700421"/>
        <n v="81.57524613220816"/>
        <n v="168.31898734177216"/>
        <n v="155.37805907172995"/>
        <n v="230.5498734177215"/>
        <n v="141.77215189873417"/>
        <n v="151.8987341772152"/>
        <n v="420.75949367088606"/>
        <n v="1321.5189873417721"/>
        <n v="251.41856540081014"/>
        <n v="32.06751054852321"/>
        <n v="516.2001687760732"/>
        <n v="682.7746835443038"/>
        <n v="1042.013502109704"/>
        <n v="76.91983122362869"/>
        <n v="456.70092827035614"/>
        <n v="112.76962025316561"/>
        <n v="457.76202531645936"/>
        <n v="7.172995780590718"/>
        <n v="602.9535864978903"/>
        <n v="322.90464135021097"/>
        <n v="110.75949367088607"/>
        <n v="4143.459915611815"/>
        <n v="3317.299578059072"/>
        <n v="453.7552742616034"/>
        <n v="316.03206751054853"/>
        <n v="40.84303797468355"/>
        <n v="41.54430379746835"/>
        <n v="45.54345991561181"/>
        <n v="277.7088607594937"/>
        <n v="1430.0227848101265"/>
        <n v="3797.46835443038"/>
        <n v="117.0"/>
        <n v="222.0"/>
        <n v="974.0"/>
        <n v="1186.0"/>
        <n v="34.81638418079096"/>
        <n v="2325.128406779627"/>
        <n v="535.3813559322034"/>
        <n v="53.99576271186441"/>
        <n v="724.0015254237287"/>
        <n v="888.5593220338984"/>
        <n v="388.9830508474576"/>
        <n v="250.85593220338984"/>
        <n v="1120.7010169491527"/>
        <n v="846.2584745762729"/>
        <n v="1114.490254237291"/>
        <n v="1355.9322033898304"/>
        <n v="812.228813559322"/>
        <n v="248.71186440677965"/>
        <n v="724.8411016949152"/>
        <n v="129.02542372881356"/>
        <n v="95.03254237288137"/>
        <n v="50.847457627118644"/>
        <n v="50.171186440677964"/>
        <n v="69.7864406779661"/>
        <n v="86.01694915254238"/>
        <n v="120.95050847457625"/>
        <n v="1.8611864406779663"/>
        <n v="464.29207627120235"/>
        <n v="17.991525423728813"/>
        <n v="170.7715254237288"/>
        <n v="167.93785310734464"/>
        <n v="52.91584745762712"/>
        <n v="127.93652542372882"/>
        <n v="11.016949152542374"/>
        <n v="164.20338983050848"/>
        <n v="40.960451977401135"/>
        <n v="64.79491525423728"/>
        <n v="75.59406779661018"/>
        <n v="46.610169491525426"/>
        <n v="1880.084745762712"/>
        <n v="87.21228813559323"/>
        <n v="38.96610169491525"/>
        <n v="1243.0282203394747"/>
        <n v="72.56650847457627"/>
        <n v="763.147457627095"/>
        <n v="39.71885593220339"/>
        <n v="656.1567457627118"/>
        <n v="514.5159322033928"/>
        <n v="43.813559322033896"/>
        <n v="21.033898305084747"/>
        <n v="48.19491525423729"/>
        <n v="281.0593220338983"/>
        <n v="715.8368644067797"/>
        <n v="375.0"/>
        <n v="99.42372881355932"/>
        <n v="47.104519774011294"/>
        <n v="373.7669491525424"/>
        <n v="252.64122033910985"/>
        <n v="16.19872881355932"/>
        <n v="30.720338983050848"/>
        <n v="5.399576271186441"/>
        <n v="3331.35593220339"/>
        <n v="4161.016949152542"/>
        <n v="38.644067796610166"/>
        <n v="93.64406779661017"/>
        <n v="50.03"/>
        <n v="3.08"/>
        <n v="46.41"/>
        <n v="500.47"/>
        <n v="29.0"/>
        <n v="192.0"/>
        <n v="25.3"/>
        <n v="45.0"/>
        <n v="29.99"/>
        <n v="588.0"/>
        <n v="609.8"/>
        <n v="500.46"/>
        <n v="6.15"/>
        <n v="1418.4618644067796"/>
        <n v="261.79452088983055"/>
        <n v="41.72024237288135"/>
        <n v="-4124.0"/>
        <n v="3813.5593220338983"/>
        <n v="189.49941525423728"/>
        <n v="38.6935593220339"/>
        <n v="455.6779661016949"/>
        <n v="119.34156378600824"/>
        <n v="1632.881646090535"/>
        <n v="547.3251028806584"/>
        <n v="479.0065843621399"/>
        <n v="867.4897119341564"/>
        <n v="230.8641975308642"/>
        <n v="1549.3109465016626"/>
        <n v="324.42633744856016"/>
        <n v="963.159950617284"/>
        <n v="1312.7572016460906"/>
        <n v="765.0205761316872"/>
        <n v="74.238683127572"/>
        <n v="1520.5555555555557"/>
        <n v="535.0480109739369"/>
        <n v="209.76131687242798"/>
        <n v="7.230288065843622"/>
        <n v="76.54320987654322"/>
        <n v="59.283209876543204"/>
        <n v="29.876543209876544"/>
        <n v="80.53399176954733"/>
        <n v="48.2798353909465"/>
        <n v="39.78052126200274"/>
        <n v="471.962962962963"/>
        <n v="551.5492181069806"/>
        <n v="116.79012345679013"/>
        <n v="89.66255144032922"/>
        <n v="19.89026063100137"/>
        <n v="15.732098765432099"/>
        <n v="145.91802469135803"/>
        <n v="192.59259259259258"/>
        <n v="26.707818930041157"/>
        <n v="27.588477366255145"/>
        <n v="403.3333333333333"/>
        <n v="288.64658436213995"/>
        <n v="75.5829903978052"/>
        <n v="125.85679012345679"/>
        <n v="418.39196707815296"/>
        <n v="1597.3871056240741"/>
        <n v="45.657333333333334"/>
        <n v="7.818930041152264"/>
        <n v="854.8218106995415"/>
        <n v="31.908477366255145"/>
        <n v="959.8799999999771"/>
        <n v="6.49679012345679"/>
        <n v="342.2295967078189"/>
        <n v="38.800987654320984"/>
        <n v="7.407407407407407"/>
        <n v="4.11522633744856"/>
        <n v="3.4979423868312756"/>
        <n v="4.526748971193416"/>
        <n v="305.37448559670787"/>
        <n v="46.52263374485597"/>
        <n v="336.1111111111111"/>
        <n v="3235.3909465020574"/>
        <n v="4041.1522633744858"/>
        <n v="97.94238683127573"/>
        <n v="633.6"/>
        <n v="6.91"/>
        <n v="59.88"/>
        <n v="22.17"/>
        <n v="383.56"/>
        <n v="6.11"/>
        <n v="25.19"/>
        <n v="1511.045267489712"/>
        <n v="277.54238683127573"/>
        <n v="49.02740740740741"/>
        <n v="-4204.92"/>
        <n v="91.6724279835391"/>
        <n v="337.4485596707819"/>
        <n v="442.5514403292181"/>
        <n v="18.78946502057613"/>
        <n v="660.1152263374486"/>
        <n v="662.1212121212121"/>
        <n v="28.78787878787879"/>
        <n v="1053.6316966030304"/>
        <n v="408.15315151515154"/>
        <n v="780.9090909090909"/>
        <n v="370.6060606060606"/>
        <n v="60.60606060606061"/>
        <n v="816.8985"/>
        <n v="339.02549999999997"/>
        <n v="181.17"/>
        <n v="12.3255"/>
        <n v="665.0125681818182"/>
        <n v="9.953787878787878"/>
        <n v="607.7272727272727"/>
        <n v="183.71212121212122"/>
        <n v="420.6818181818182"/>
        <n v="607.3333333333334"/>
        <n v="26.416666666666668"/>
        <n v="1356.7803030303032"/>
        <n v="85.6439393939394"/>
        <n v="945.3298669202479"/>
        <n v="221.74400818181817"/>
        <n v="62.243932121212126"/>
        <n v="15.560983030303031"/>
        <n v="458.59125000000006"/>
        <n v="154.50825"/>
        <n v="42.83175"/>
        <n v="5.60625"/>
        <n v="659.6433257575757"/>
        <n v="296.08167424242424"/>
        <n v="324.6977952551515"/>
        <n v="135.1530303030303"/>
        <n v="86.11178787878788"/>
        <n v="35.71901515151516"/>
        <n v="7.240340909090909"/>
        <n v="1594.4507575757575"/>
        <n v="268.57954545454544"/>
        <n v="145.0"/>
        <n v="126.32575757575759"/>
        <n v="62.61363636363637"/>
        <n v="405.0"/>
        <n v="199.58333333333334"/>
        <n v="109.0"/>
        <n v="16.0"/>
        <n v="42.083333333333336"/>
        <n v="800.7524889090909"/>
        <n v="517.1884621212122"/>
        <n v="6.904719696969696"/>
        <n v="6.2392045454545455"/>
        <n v="76.18181818181819"/>
        <n v="63.484848484848484"/>
        <n v="31.742424242424242"/>
        <n v="330.96590909090907"/>
        <n v="1624.5381818181818"/>
        <n v="98.9769696969697"/>
        <n v="54.780606060606054"/>
        <n v="3719.6969696969695"/>
        <n v="2978.030303030303"/>
        <n v="500.0"/>
        <n v="340.0"/>
        <n v="300.0"/>
        <n v="200.0"/>
        <n v="330.0"/>
        <n v="180.0"/>
        <n v="100.0"/>
        <n v="120.0"/>
        <n v="130.0"/>
        <n v="150.0"/>
        <n v="655.0"/>
        <n v="820.0"/>
        <n v="919.79"/>
        <n v="14.82"/>
        <n v="11.0"/>
        <n v="507.4"/>
        <n v="132.72"/>
        <n v="90.15151515151516"/>
        <n v="5.0"/>
        <n v="22.52"/>
        <n v="502.07"/>
        <n v="107.81627272727273"/>
        <n v="167.72727272727272"/>
        <n v="15.151515151515152"/>
        <n v="1524.85"/>
        <n v="280.280303030303"/>
        <n v="54.04621212121212"/>
        <n v="725.0"/>
        <n v="89.54545454545455"/>
        <n v="49.0"/>
        <n v="139.95"/>
        <n v="500.54"/>
        <n v="45.127272727272725"/>
        <n v="773.7429820847584"/>
        <n v="205.55769345427515"/>
        <n v="61.08698171003718"/>
        <n v="181.3519769516729"/>
        <n v="1073.8082230483274"/>
        <n v="413.71831970260234"/>
        <n v="606.6914498141264"/>
        <n v="231.00371747211895"/>
        <n v="167.43494423791822"/>
        <n v="71.52416356877322"/>
        <n v="52.78810408921933"/>
        <n v="0.6691449814126648"/>
        <n v="59.479553903345725"/>
        <n v="622.2659315568774"/>
        <n v="692.4758364312266"/>
        <n v="14.12639405204461"/>
        <n v="779.12327732342"/>
        <n v="211.54377469144978"/>
        <n v="392.58369258587345"/>
        <n v="193.88364707211895"/>
        <n v="295.53903345724905"/>
        <n v="474.12564758364306"/>
        <n v="345.045219330855"/>
        <n v="51.82123717472119"/>
        <n v="147.35092936802974"/>
        <n v="80.3732342007435"/>
        <n v="36.837732342007435"/>
        <n v="26.791078066914498"/>
        <n v="13.395539033457249"/>
        <n v="438.668498141264"/>
        <n v="972.1246617100373"/>
        <n v="697.6916992951673"/>
        <n v="398.2258557620818"/>
        <n v="184.97591000148697"/>
        <n v="82.93053446245352"/>
        <n v="39.822585576208176"/>
        <n v="189.25683795092914"/>
        <n v="804.7750483271375"/>
        <n v="350.0669442379182"/>
        <n v="128.97970260223047"/>
        <n v="12.096401486988848"/>
        <n v="575.1899509293679"/>
        <n v="160.9638096654275"/>
        <n v="867.4890334572491"/>
        <n v="215.86355018587363"/>
        <n v="1133.5018587360594"/>
        <n v="621.1449814126394"/>
        <n v="119.31598513011153"/>
        <n v="25.68802973977695"/>
        <n v="128.28353903345726"/>
        <n v="274.949462525483"/>
        <n v="359.3197026022305"/>
        <n v="132.42255266418837"/>
        <n v="165.62701363073114"/>
        <n v="114.23915737298638"/>
        <n v="93.88166047087981"/>
        <n v="103.7639405204461"/>
        <n v="39.52912019826518"/>
        <n v="1639.6679058240402"/>
        <n v="3200.46156133829"/>
        <n v="3942.6664684014872"/>
        <n v="14.0"/>
        <n v="6.08"/>
        <n v="491.63"/>
        <n v="88.47583643122677"/>
        <n v="53.531598513011154"/>
        <n v="399.7769516728625"/>
        <n v="529.3977695167287"/>
        <n v="28.28896654275093"/>
        <n v="501.77"/>
        <n v="22.26"/>
        <n v="49.173234200743494"/>
        <n v="15228.0"/>
        <n v="500.07"/>
        <n v="3544.67"/>
        <n v="1108.55"/>
        <n v="1395.3866171003717"/>
        <n v="255.0081784386617"/>
        <n v="399.25650557620816"/>
        <n v="715.2713754646841"/>
        <n v="45.54689219330855"/>
        <n v="1240.2004152249135"/>
        <n v="191.67446366782005"/>
        <n v="53.308235294117644"/>
        <n v="35.930795847750865"/>
        <n v="521.5880393826989"/>
        <n v="525.1838782006921"/>
        <n v="167.72534325259514"/>
        <n v="99.52354671280278"/>
        <n v="680.489353633218"/>
        <n v="671.4917647058825"/>
        <n v="475.1391003460208"/>
        <n v="7.155709342560554"/>
        <n v="180.79342560553633"/>
        <n v="337.3702422145329"/>
        <n v="866.5389160525953"/>
        <n v="88.84298269896195"/>
        <n v="181.80827979515573"/>
        <n v="452.79412567474054"/>
        <n v="164.14505190311422"/>
        <n v="110.79791003460208"/>
        <n v="585.4233276124568"/>
        <n v="1011.1551267211072"/>
        <n v="49.84134198477508"/>
        <n v="4.395180069204152"/>
        <n v="341.06597337024215"/>
        <n v="578.425811382699"/>
        <n v="97.30008041522491"/>
        <n v="30.858025503114188"/>
        <n v="4.633337162629758"/>
        <n v="771.4506375778546"/>
        <n v="562.9429065743944"/>
        <n v="32.21280276816609"/>
        <n v="609.6424452110728"/>
        <n v="379.3310265259516"/>
        <n v="118.29296424221452"/>
        <n v="830.4737826989618"/>
        <n v="113.98816608996539"/>
        <n v="3.999584775086505"/>
        <n v="1122.937965397924"/>
        <n v="10.90795847750865"/>
        <n v="29.669647058823415"/>
        <n v="385.41234140715113"/>
        <n v="335.37312572087654"/>
        <n v="50.591118800461366"/>
        <n v="27.59515570934256"/>
        <n v="18.396770472895042"/>
        <n v="4.599192618223761"/>
        <n v="1580.466551326413"/>
        <n v="557.0936484429066"/>
        <n v="2978.9763321799305"/>
        <n v="3669.8175778546715"/>
        <n v="1082.3981741176472"/>
        <n v="302.18535529411776"/>
        <n v="500.96"/>
        <n v="607.42"/>
        <n v="6.05"/>
        <n v="500.2"/>
        <n v="171.47"/>
        <n v="82.3529411764706"/>
        <n v="501.0"/>
        <n v="89.96539792387543"/>
        <n v="30.0"/>
        <n v="502.0"/>
        <n v="610.0"/>
        <n v="467.681660899654"/>
        <n v="60.5640830449827"/>
        <n v="527.7467128027681"/>
        <n v="22.14532871972318"/>
        <n v="68.28719723183391"/>
        <n v="10801.0"/>
        <n v="743.2"/>
        <n v="1945.5391003460209"/>
        <n v="354.13356401384084"/>
        <s v=""/>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2219" sheet="Costos directos e indirectos"/>
  </cacheSource>
  <cacheFields>
    <cacheField name="Detalle" numFmtId="0">
      <sharedItems containsBlank="1">
        <s v="Vicky Achabal"/>
        <s v="Vanu Lanza"/>
        <s v="Tomi Facio"/>
        <s v="Trini Petreigne"/>
        <s v="To Merello"/>
        <s v="Lola Camara"/>
        <s v="Xavi Aranzana"/>
        <s v="Aylu Tamer"/>
        <s v="Cata Astiz"/>
        <s v="Romi Figueroa"/>
        <s v="Male Quiroga"/>
        <s v="Gast Guntren"/>
        <s v="Maricel Perez"/>
        <s v="Mati Gonzalez"/>
        <s v="Ana Dalila Pop"/>
        <s v="Sandra Heyman"/>
        <s v="Vicky Puricelli"/>
        <s v="Tomi Criado"/>
        <s v="Gloup by digital tie"/>
        <s v="Gastón Julian"/>
        <s v="Nazarena Drachemberg"/>
        <s v="Pablo Ovejero"/>
        <s v="People"/>
        <s v="Estudio Contable"/>
        <s v="Tarjeta ARG"/>
        <s v="IIBB"/>
        <s v="IVA"/>
        <s v="Honorarios Oxean"/>
        <s v="Brandwatch"/>
        <s v="Luan Digital"/>
        <s v="Youscan"/>
        <s v="Tarjeta USA"/>
        <s v="Ina Ceravolo"/>
        <s v="Denise Sielfeld"/>
        <s v="Sol Ayala"/>
        <s v="Sil Vera"/>
        <s v="Impuestos USA"/>
        <s v="Santi Berisso"/>
        <s v="Comisiones Bancarias"/>
        <s v="Itecsa"/>
        <s v="Intereses Oxean"/>
        <s v="Ianece Leandro"/>
        <s v="Cami Burstein"/>
        <s v="Otros"/>
        <m/>
      </sharedItems>
    </cacheField>
    <cacheField name="Subtipo de costo" numFmtId="0">
      <sharedItems>
        <s v="Equipo"/>
        <s v="Board"/>
        <s v="Otros Proveedores"/>
        <s v="Administración Finanzas"/>
        <s v="Gastos Varios"/>
        <s v="People"/>
        <s v="Estudio Contable"/>
        <s v="Tarjeta"/>
        <s v="Impuestos ARG"/>
        <s v="Oxean"/>
        <s v="Suscripciones/Herramientas"/>
        <s v="Impuestos USA"/>
        <s v="Comisiones Bancarias"/>
        <s v="Equipo - Bono"/>
        <s v="Board - Bono"/>
        <s v="Administración Finanzas - Bono"/>
        <s v="Intereses Oxean"/>
        <s v="Otros Gastos"/>
        <s v=""/>
      </sharedItems>
    </cacheField>
    <cacheField name="Mes" numFmtId="49">
      <sharedItems containsBlank="1">
        <s v="01 ene"/>
        <s v="02 feb"/>
        <s v="03 mar"/>
        <s v="04 abr"/>
        <s v="05 may"/>
        <s v="06 jun"/>
        <s v="07 jul"/>
        <s v="08 ago"/>
        <s v="09 sep"/>
        <m/>
      </sharedItems>
    </cacheField>
    <cacheField name="Año" numFmtId="0">
      <sharedItems containsString="0" containsBlank="1" containsNumber="1" containsInteger="1">
        <n v="2025.0"/>
        <m/>
      </sharedItems>
    </cacheField>
    <cacheField name="Tipo de Costo" numFmtId="0">
      <sharedItems containsBlank="1">
        <s v="Directo"/>
        <s v="Indirecto"/>
        <m/>
      </sharedItems>
    </cacheField>
    <cacheField name="Especificación" numFmtId="0">
      <sharedItems containsBlank="1">
        <m/>
        <s v="GASTOS USA"/>
        <s v=" ITECSA INTERNET TECHNOLOGIES S.A."/>
        <s v="OPENAI *CHATGPT S 07/11 PURCHASE 4158799686 CA DEBIT CARD *9122"/>
        <s v="X CORP. PAID FEAT 07/17 PURCHASE 4156978699 TX DEBIT CARD *9122"/>
        <s v="LinkedIn Pre P713 07/19 PURCHASE LINKEDIN.COM 00 DEBIT CARD *9122"/>
        <s v="Mailchimp 07/22 PURCHASE 6789990141 GA DEBIT CARD *9122"/>
        <s v="TAPCLICKS* MEGALY 07/22 PURCHASE 4087252942 CA DEBIT CARD *9122"/>
        <s v="REPLIT, INC. 07/24 PURCHASE 6282002281 CA DEBIT CARD *9122"/>
        <s v="Devolucion Pasaje Romina Figueroa"/>
        <s v="Devolucion viaticos reunion Tomas Criado"/>
        <s v="Devolucion viaticos reunion Gaston"/>
        <s v="Devolucion viaticos reunion Vicky"/>
        <s v="IVA JULIO"/>
        <s v="IB JULIO"/>
        <s v="ESTUDIO CONTABLE JULIO (VARIABLE) "/>
        <s v="Impuesto USA JULIO"/>
        <s v="honorarios oxean JULIO"/>
        <s v="***TARJETAS VISA/ AMEX JULIO"/>
        <s v="BRANDWATCH SOLO CONSIDERAR 3 MESES"/>
        <s v="ESTUDIO CONTABLE JUNIO (VARIABLE)"/>
      </sharedItems>
    </cacheField>
    <cacheField name="Nro Proyecto" numFmtId="0">
      <sharedItems containsBlank="1">
        <s v="PRO-00002734"/>
        <s v="PRO-00002736"/>
        <s v="N/A, para Asana"/>
        <s v="PRO-00002646"/>
        <s v="PRO-00002735"/>
        <s v="PRO-00002698"/>
        <s v="PRO-00002733"/>
        <s v="PRO-00002709"/>
        <s v="PRO-00002739"/>
        <m/>
        <s v="PRO-00002790"/>
        <s v="PRO-00002742"/>
        <s v="PRO-00002791"/>
        <s v="PRO-00002828"/>
        <s v="PRO-00002789"/>
        <s v="PRO-00002829"/>
        <s v="PRO-00002799"/>
        <s v="PRO-00002794"/>
        <s v="PRO-00002857"/>
        <s v="PRO-00002801"/>
        <s v="PRO-00002912"/>
        <s v="PRO-00002795"/>
        <s v="PRO-00002860"/>
        <s v="PRO-00002968"/>
        <s v="PRO-00002802"/>
        <s v="PRO-00002928"/>
        <s v="PRO-00003010"/>
        <s v="PRO-00003036"/>
        <s v="PRO-00003014"/>
        <s v="PRO-00003020"/>
        <s v="PRO-00002991"/>
        <s v="PRO-00003004"/>
        <s v="PRO-00003037"/>
        <s v="PRO-00003011"/>
        <s v="PRO-00003082"/>
        <s v="PRO-00003013"/>
        <s v="PRO-00003015"/>
        <s v="PRO-00003056"/>
        <s v="PRO-0003012"/>
        <s v="PRO-00003115"/>
        <s v="PRO-0003016"/>
        <s v="PRO-0003020"/>
        <s v="PRO-0003083"/>
        <s v="PRO-0003161"/>
        <s v="PRO-0003014"/>
        <s v="PRO-0003163"/>
        <s v="PRO-0003037"/>
        <s v="PRO-0003164"/>
        <s v="PRO-0003162"/>
        <s v="PRO-00003165"/>
        <s v="PRO-00003166"/>
        <s v="PRO-00003084"/>
        <s v="PRO-00003231"/>
        <s v="PRO-00003186"/>
        <s v="PRO-00003233"/>
        <s v="PRO-00003162"/>
        <s v="PRO-00003234"/>
        <s v="PRO-00003163"/>
        <s v="PRO-00003232"/>
        <s v="PRO-00003164"/>
        <s v="PRO-00003250"/>
        <s v="PRO-00003298"/>
        <s v="PRO-00003262"/>
        <s v="PRO-00003253"/>
        <s v="PRO-00003252"/>
        <s v="PRO-00003299"/>
        <s v="PRO-00003251"/>
      </sharedItems>
    </cacheField>
    <cacheField name="Tipo de proyecto" numFmtId="0">
      <sharedItems containsBlank="1">
        <s v="Fee"/>
        <s v="Epical"/>
        <s v="One Shot"/>
        <m/>
        <s v="Demo"/>
      </sharedItems>
    </cacheField>
    <cacheField name="Proyecto" numFmtId="0">
      <sharedItems containsBlank="1">
        <s v="Fee mensual"/>
        <s v="Fee Marketing"/>
        <m/>
        <s v="Colapinto"/>
        <s v="General"/>
        <s v="Tracking 3 meses"/>
        <s v="Fee créditos"/>
        <s v="Dashboard PBI"/>
        <s v="Estudio Atributos"/>
        <s v="Hecho en Mexico"/>
        <s v="Quilmes Rock"/>
        <s v="Uber Taxis"/>
        <s v="Fee Huggies"/>
        <s v="Olas"/>
        <s v="Exploratorio Categoría Apps Delivery"/>
        <s v="Tracking Campaña Vacaciones Invierno"/>
        <s v="Diego Perez"/>
        <s v="Referentes Obesidad "/>
        <s v="Bono"/>
        <s v="Referentes Obesidad"/>
        <s v="Demo MSD"/>
        <s v="Fee Insights"/>
        <s v="Evaluación Kulinaria Recetas  - Nicolás Fernández Miranda  - hablar_sana"/>
      </sharedItems>
    </cacheField>
    <cacheField name="Cliente" numFmtId="0">
      <sharedItems containsBlank="1">
        <s v="Play Digital S.A (Modo)"/>
        <s v="Warner"/>
        <s v="Epical"/>
        <s v="Uber"/>
        <s v="Tortugas Open Mall"/>
        <s v="Coelsa"/>
        <s v="Google LLC"/>
        <s v="Arcos Dorados"/>
        <m/>
        <s v="Coca-Cola"/>
        <s v="Kimberly Clark"/>
        <s v="Cami Criado"/>
        <s v="PeYa"/>
        <s v="Animal Studio"/>
      </sharedItems>
    </cacheField>
    <cacheField name="Cantidad de horas objetivo" numFmtId="0">
      <sharedItems containsString="0" containsBlank="1" containsNumber="1" containsInteger="1">
        <n v="5.0"/>
        <n v="45.0"/>
        <n v="10.0"/>
        <n v="40.0"/>
        <n v="6.0"/>
        <n v="60.0"/>
        <n v="32.0"/>
        <m/>
        <n v="50.0"/>
        <n v="100.0"/>
        <n v="30.0"/>
        <n v="150.0"/>
        <n v="140.0"/>
        <n v="80.0"/>
        <n v="0.0"/>
        <n v="18.0"/>
        <n v="25.0"/>
        <n v="2.0"/>
        <n v="27.0"/>
        <n v="1.0"/>
        <n v="20.0"/>
        <n v="58.0"/>
        <n v="28.0"/>
        <n v="8.0"/>
        <n v="160.0"/>
        <n v="120.0"/>
        <n v="70.0"/>
        <n v="90.0"/>
        <n v="13.0"/>
        <n v="4.0"/>
        <n v="11.0"/>
        <n v="3.0"/>
        <n v="15.0"/>
        <n v="31.0"/>
      </sharedItems>
    </cacheField>
    <cacheField name="Cantidad de horas reales Asana">
      <sharedItems containsBlank="1" containsMixedTypes="1" containsNumber="1">
        <n v="0.33"/>
        <n v="98.0"/>
        <n v="19.0"/>
        <n v="50.83"/>
        <n v="0.5"/>
        <n v="132.57"/>
        <n v="119.73"/>
        <n v="1.5"/>
        <n v="16.0"/>
        <n v="109.0"/>
        <n v="78.69"/>
        <n v="31.0"/>
        <n v="64.0"/>
        <n v="149.82999999999998"/>
        <n v="6.68"/>
        <n v="12.63"/>
        <n v="55.13"/>
        <n v="5.5"/>
        <m/>
        <n v="10.719999999999999"/>
        <n v="1.0"/>
        <n v="10.0"/>
        <n v="49.02"/>
        <n v="24.0"/>
        <n v="4.0"/>
        <n v="0.0"/>
        <n v="0.75"/>
        <n v="18.3"/>
        <n v="55.53"/>
        <n v="17.97"/>
        <n v="21.31"/>
        <n v="2.0"/>
        <n v="7.95"/>
        <n v="7.45"/>
        <n v="5.6"/>
        <n v="27.3"/>
        <n v="26.52"/>
        <n v="3.67"/>
        <n v="53.8"/>
        <n v="23.67"/>
        <n v="20.17"/>
        <n v="18.25"/>
        <n v="8.58"/>
        <n v="1.42"/>
        <n v="62.67"/>
        <n v="5.0"/>
        <n v="50.11"/>
        <n v="144.07999999999998"/>
        <n v="33.5"/>
        <n v="94.5"/>
        <n v="100.0"/>
        <n v="107.63999999999999"/>
        <n v="49.120000000000005"/>
        <n v="85.8"/>
        <n v="146.33"/>
        <n v="49.65"/>
        <n v="28.73"/>
        <n v="11.0"/>
        <n v="80.28"/>
        <n v="11.48"/>
        <n v="63.92"/>
        <n v="2.83"/>
        <n v="0.42"/>
        <n v="1.67"/>
        <n v="1.25"/>
        <n v="3.5"/>
        <n v="55.6"/>
        <n v="21.9"/>
        <n v="33.43"/>
        <n v="4.77"/>
        <n v="9.27"/>
        <n v="13.48"/>
        <n v="44.3"/>
        <n v="5.2"/>
        <n v="2.5"/>
        <n v="0.93"/>
        <n v="20.35"/>
        <n v="15.7"/>
        <n v="82.67"/>
        <n v="54.67"/>
        <n v="20.169999999999998"/>
        <n v="53.17"/>
        <n v="71.58"/>
        <n v="57.58"/>
        <n v="95.67"/>
        <n v="100.53"/>
        <n v="25.85"/>
        <n v="125.49000000000001"/>
        <n v="37.7"/>
        <n v="22.87"/>
        <n v="128.62"/>
        <n v="80.73"/>
        <n v="3.33"/>
        <n v="32.44"/>
        <n v="69.67"/>
        <n v="9.0"/>
        <n v="0.67"/>
        <n v="36.03"/>
        <n v="16.5"/>
        <n v="21.85"/>
        <n v="4.98"/>
        <n v="30.72"/>
        <n v="48.6"/>
        <n v="17.87"/>
        <n v="74.1"/>
        <n v="18.8"/>
        <n v="22.0"/>
        <n v="18.0"/>
        <n v="9.07"/>
        <n v="12.28"/>
        <n v="7.63"/>
        <n v="13.0"/>
        <n v="15.33"/>
        <n v="18.33"/>
        <n v="19.63"/>
        <n v="13.05"/>
        <n v="11.62"/>
        <n v="77.56"/>
        <n v="35.12"/>
        <n v="62.25"/>
        <n v="38.67"/>
        <n v="86.05"/>
        <n v="32.260000000000005"/>
        <n v="58.25"/>
        <n v="98.69"/>
        <n v="45.3"/>
        <n v="106.42"/>
        <n v="79.52"/>
        <n v="20.430000000000003"/>
        <n v="11.870000000000001"/>
        <n v="44.1"/>
        <n v="26.33"/>
        <n v="22.67"/>
        <n v="13.08"/>
        <n v="4.63"/>
        <n v="14.82"/>
        <n v="12.13"/>
        <n v="1.15"/>
        <n v="4.34"/>
        <n v="18.17"/>
        <n v="28.17"/>
        <n v="16.82"/>
        <n v="17.5"/>
        <n v="28.48"/>
        <n v="63.36000000000001"/>
        <n v="10.92"/>
        <n v="2.17"/>
        <n v="48.08"/>
        <n v="1.33"/>
        <n v="48.0"/>
        <n v="39.83"/>
        <n v="17.46"/>
        <n v="17.75"/>
        <n v="21.92"/>
        <n v="0.92"/>
        <n v="73.45"/>
        <n v="26.0"/>
        <n v="164.1"/>
        <n v="37.25"/>
        <n v="77.8"/>
        <n v="105.11"/>
        <n v="54.0"/>
        <n v="30.0"/>
        <n v="106.60000000000001"/>
        <n v="76.08"/>
        <n v="67.07"/>
        <n v="170.75"/>
        <n v="4.75"/>
        <n v="87.13"/>
        <n v="27.68"/>
        <n v="85.0"/>
        <s v="6.33"/>
        <n v="8.83"/>
        <n v="6.0"/>
        <n v="8.5"/>
        <n v="4.17"/>
        <n v="11.17"/>
        <n v="0.17"/>
        <n v="55.5"/>
        <n v="1.93"/>
        <n v="20.83"/>
        <n v="8.17"/>
        <n v="4.92"/>
        <n v="1.27"/>
        <n v="20.25"/>
        <n v="1.83"/>
        <n v="5.83"/>
        <n v="7.42"/>
        <n v="4.65"/>
        <n v="92.98"/>
        <n v="5.25"/>
        <n v="2.42"/>
        <n v="119.17"/>
        <n v="5.08"/>
        <n v="82.0"/>
        <n v="79.19"/>
        <n v="30.67"/>
        <n v="5.17"/>
        <n v="2.92"/>
        <n v="33.85"/>
        <n v="79.83"/>
        <n v="59.42"/>
        <n v="6.92"/>
        <n v="2.25"/>
        <n v="22.52"/>
        <n v="31.25"/>
        <n v="107.5"/>
        <n v="43.75"/>
        <n v="65.0"/>
        <n v="105.41"/>
        <n v="33.0"/>
        <n v="128.76"/>
        <n v="30.02"/>
        <n v="60.67999999999999"/>
        <n v="96.58"/>
        <n v="86.82"/>
        <n v="8.2"/>
        <n v="110.09"/>
        <n v="26.93"/>
        <n v="19.67"/>
        <n v="0.83"/>
        <n v="9.32"/>
        <n v="7.33"/>
        <n v="3.25"/>
        <n v="10.08"/>
        <n v="9.33"/>
        <n v="50.58"/>
        <n v="67.89"/>
        <n v="12.9"/>
        <n v="6.5"/>
        <n v="23.37"/>
        <n v="2.95"/>
        <n v="25.38"/>
        <n v="36.17"/>
        <n v="3.75"/>
        <n v="12.0"/>
        <n v="52.75"/>
        <n v="80.83"/>
        <n v="81.75"/>
        <n v="7.67"/>
        <n v="1.58"/>
        <n v="6.25"/>
        <n v="3.9"/>
        <n v="34.03"/>
        <n v="54.75"/>
        <n v="46.0"/>
        <n v="129.28"/>
        <n v="44.57"/>
        <n v="0.88"/>
        <n v="104.5"/>
        <n v="64.92"/>
        <n v="55.010000000000005"/>
        <n v="22.83"/>
        <n v="12.2"/>
        <n v="67.31"/>
        <n v="80.72"/>
        <n v="24.25"/>
        <n v="63.52"/>
        <n v="72.88"/>
        <n v="3.17"/>
        <n v="150.75"/>
        <n v="121.67"/>
        <n v="28.5"/>
        <n v="8.0"/>
        <n v="62.43"/>
        <n v="20.67"/>
        <n v="5.73"/>
        <n v="69.92"/>
        <n v="33.83"/>
        <n v="14.0"/>
        <n v="8.92"/>
        <n v="3.7"/>
        <n v="103.38"/>
        <n v="15.75"/>
        <n v="7.92"/>
        <n v="6.9"/>
        <n v="3.42"/>
        <n v="23.95"/>
        <n v="13.33"/>
        <n v="1.92"/>
        <n v="5.38"/>
        <n v="9.92"/>
        <n v="114.33"/>
        <n v="4.58"/>
        <n v="101.33"/>
        <n v="26.92"/>
        <n v="75.94999999999999"/>
        <n v="31.07"/>
        <n v="9.62"/>
        <n v="7.1"/>
        <n v="60.620000000000005"/>
        <n v="49.019999999999996"/>
        <n v="82.5"/>
        <n v="22.4"/>
        <n v="20.77"/>
        <n v="20.53"/>
        <n v="53.0"/>
        <n v="55.17"/>
        <n v="40.15"/>
        <n v="6.03"/>
        <n v="2.75"/>
        <n v="49.75"/>
        <n v="70.08"/>
        <n v="40.0"/>
        <n v="18.58"/>
        <n v="8.33"/>
        <n v="19.17"/>
        <n v="55.22"/>
        <n v="24.02"/>
        <n v="8.85"/>
        <n v="66.92999999999999"/>
        <n v="18.73"/>
        <n v="26.75"/>
        <n v="80.75"/>
        <n v="44.25"/>
        <n v="16.42"/>
        <n v="18.18"/>
        <n v="6.7"/>
        <n v="8.38"/>
        <n v="5.78"/>
        <n v="80.16999999999999"/>
        <n v="94.92"/>
        <n v="14.67"/>
        <n v="4.08"/>
        <n v="54.589999999999996"/>
        <n v="22.33"/>
        <n v="13.25"/>
        <n v="85.07000000000001"/>
        <n v="46.92"/>
        <n v="33.2"/>
        <n v="14.5"/>
        <n v="121.92"/>
        <n v="12.5"/>
        <n v="20.0"/>
        <n v="13.5"/>
        <n v="0.25"/>
        <n v="115.03"/>
        <n v="5.67"/>
        <n v="23.8"/>
        <n v="62.42"/>
        <n v="10.5"/>
        <n v="83.17"/>
        <n v="80.0"/>
        <n v="4.33"/>
        <n v="94.05000000000001"/>
        <n v="60.77"/>
        <n v="23.05"/>
        <n v="103.82"/>
        <n v="14.25"/>
        <n v="154.42000000000002"/>
        <n v="20.95"/>
        <n v="18.229999999999997"/>
        <n v="85.91"/>
        <n v="40.25"/>
        <n v="160.0"/>
        <n v="125.08"/>
      </sharedItems>
    </cacheField>
    <cacheField name="Cantidad de horas para facturación" numFmtId="0">
      <sharedItems containsString="0" containsBlank="1" containsNumber="1">
        <n v="0.3"/>
        <n v="98.052"/>
        <n v="19.0"/>
        <n v="40.8"/>
        <n v="0.5"/>
        <n v="133.1"/>
        <n v="120.0"/>
        <m/>
        <n v="16.0"/>
        <n v="109.0"/>
        <n v="79.0"/>
        <n v="31.17"/>
        <n v="52.33"/>
        <n v="149.8"/>
        <n v="6.7"/>
        <n v="12.6"/>
        <n v="55.0"/>
        <n v="5.5"/>
        <n v="34.0"/>
        <n v="10.5"/>
        <n v="1.0"/>
        <n v="10.0"/>
        <n v="1.2"/>
        <n v="97.72999999999999"/>
        <n v="13.0"/>
        <n v="2.0"/>
        <n v="20.0"/>
        <n v="10.23"/>
        <n v="55.53"/>
        <n v="17.97"/>
        <n v="14.418999999999999"/>
        <n v="7.95"/>
        <n v="5.82"/>
        <n v="5.6"/>
        <n v="27.28"/>
        <n v="30.0"/>
        <n v="160.0"/>
        <n v="4.0"/>
        <n v="54.67"/>
        <n v="24.0"/>
        <n v="16.3"/>
        <n v="18.349999999999998"/>
        <n v="9.0"/>
        <n v="1.4"/>
        <n v="62.7"/>
        <n v="5.0"/>
        <n v="50.1"/>
        <n v="144.079"/>
        <n v="33.5"/>
        <n v="94.463"/>
        <n v="99.502"/>
        <n v="107.636"/>
        <n v="49.120000000000005"/>
        <n v="85.78399999999999"/>
        <n v="146.32500000000002"/>
        <n v="49.651"/>
        <n v="28.73"/>
        <n v="11.0"/>
        <n v="80.28"/>
        <n v="11.5"/>
        <n v="62.76"/>
        <n v="0.87"/>
        <n v="2.83"/>
        <n v="1.92"/>
        <n v="51.5"/>
        <n v="13.67"/>
        <n v="0.75"/>
        <n v="3.5"/>
        <n v="55.68"/>
        <n v="10.45"/>
        <n v="21.57"/>
        <n v="33.1"/>
        <n v="4.77"/>
        <n v="9.27"/>
        <n v="13.48"/>
        <n v="44.3"/>
        <n v="3.0"/>
        <n v="160.053"/>
        <n v="82.70100000000001"/>
        <n v="54.564"/>
        <n v="20.2"/>
        <n v="53.2"/>
        <n v="72.0"/>
        <n v="42.3"/>
        <n v="100.0"/>
        <n v="100.62599999999999"/>
        <n v="25.9"/>
        <n v="125.495"/>
        <n v="37.771"/>
        <n v="23.0"/>
        <n v="128.6"/>
        <n v="82.0"/>
        <n v="3.3"/>
        <n v="36.14"/>
        <n v="66.8"/>
        <n v="44.702000000000005"/>
        <n v="34.5"/>
        <n v="31.4"/>
        <n v="36.03"/>
        <n v="16.5"/>
        <n v="27.07"/>
        <n v="5.4"/>
        <n v="31.0"/>
        <n v="39.36"/>
        <n v="17.87"/>
        <n v="69.66"/>
        <n v="160.05"/>
        <n v="22.0"/>
        <n v="18.0"/>
        <n v="14.0"/>
        <n v="5.3"/>
        <n v="15.3"/>
        <n v="18.5"/>
        <n v="19.6"/>
        <n v="13.049999999999999"/>
        <n v="7.1"/>
        <n v="35.29"/>
        <n v="60.5"/>
        <n v="38.0"/>
        <n v="86.1"/>
        <n v="32.3"/>
        <n v="56.40471749863"/>
        <n v="148.0"/>
        <n v="42.9"/>
        <n v="104.0"/>
        <n v="80.0"/>
        <n v="11.9"/>
        <n v="44.1"/>
        <n v="26.3"/>
        <n v="22.7"/>
        <n v="6.6"/>
        <n v="4.7"/>
        <n v="14.54"/>
        <n v="12.26"/>
        <n v="1.5"/>
        <n v="28.2"/>
        <n v="16.8"/>
        <n v="27.7"/>
        <n v="64.8"/>
        <n v="16.55172222222"/>
        <n v="55.2023463586"/>
        <n v="48.0"/>
        <n v="122.002371307183"/>
        <n v="55.8619529315"/>
        <n v="11.99461448703"/>
        <n v="55.991742361685"/>
        <n v="71.45"/>
        <n v="26.0"/>
        <n v="17.5"/>
        <n v="1.7"/>
        <n v="162.77002373042"/>
        <n v="33.25"/>
        <n v="77.8"/>
        <n v="104.85000000000001"/>
        <n v="54.0"/>
        <n v="109.4"/>
        <n v="76.001598295152"/>
        <n v="67.09001632486499"/>
        <n v="87.13"/>
        <n v="26.68"/>
        <n v="80.5"/>
        <n v="6.3"/>
        <n v="8.8"/>
        <n v="6.0"/>
        <n v="8.5"/>
        <n v="4.2"/>
        <n v="11.2"/>
        <n v="0.2"/>
        <n v="55.52494679234"/>
        <n v="1.93"/>
        <n v="20.8"/>
        <n v="8.2"/>
        <n v="4.9"/>
        <n v="1.3"/>
        <n v="7.0"/>
        <n v="91.8"/>
        <n v="5.25"/>
        <n v="2.42"/>
        <n v="115.1042376207"/>
        <n v="5.08"/>
        <n v="82.00655677989"/>
        <n v="4.75"/>
        <n v="79.92"/>
        <n v="50.22574454004"/>
        <n v="5.17"/>
        <n v="2.92"/>
        <n v="30.15"/>
        <n v="79.5"/>
        <n v="59.0"/>
        <n v="2.3"/>
        <n v="22.5"/>
        <n v="30.7717423617"/>
        <n v="117.7"/>
        <n v="35.0"/>
        <n v="53.0"/>
        <n v="105.4"/>
        <n v="33.0"/>
        <n v="155.72574454"/>
        <n v="30.0006088743436"/>
        <n v="59.69999693908785"/>
        <n v="159.5"/>
        <n v="84.5"/>
        <n v="155.25"/>
        <n v="26.9"/>
        <n v="0.8"/>
        <n v="9.3"/>
        <n v="7.3"/>
        <n v="10.1"/>
        <n v="45.0"/>
        <n v="67.91651971217"/>
        <n v="12.9"/>
        <n v="6.5"/>
        <n v="18.3"/>
        <n v="23.4"/>
        <n v="2.95"/>
        <n v="25.0"/>
        <n v="36.2"/>
        <n v="3.8"/>
        <n v="12.0"/>
        <n v="52.47174236168"/>
        <n v="80.3100137931"/>
        <n v="81.50423762065"/>
        <n v="2.3000000000000003"/>
        <n v="106.20655677989001"/>
        <n v="42.92"/>
        <n v="3.9"/>
        <n v="0.9"/>
        <n v="33.730000000000004"/>
        <n v="54.45"/>
        <n v="46.0"/>
        <n v="115.0557445"/>
        <n v="44.57"/>
        <n v="103.08"/>
        <n v="48.92"/>
        <n v="8.0"/>
        <n v="55.010000000000005"/>
        <n v="22.83"/>
        <n v="12.2"/>
        <n v="0.83"/>
        <n v="66.81"/>
        <n v="80.22"/>
        <n v="24.25"/>
        <n v="72.88"/>
        <n v="3.17"/>
        <n v="150.5"/>
        <n v="9.5"/>
        <n v="121.500019"/>
        <n v="28.5"/>
        <n v="61.35"/>
        <n v="20.67"/>
        <n v="5.73"/>
        <n v="68.33"/>
        <n v="30.67"/>
        <n v="33.6342376"/>
        <n v="8.92"/>
        <n v="3.7"/>
        <n v="87.09"/>
        <n v="14.67"/>
        <n v="7.92"/>
        <n v="6.9"/>
        <n v="3.42"/>
        <n v="48.6"/>
        <n v="23.95"/>
        <n v="13.08"/>
        <n v="5.05"/>
        <n v="96.25656"/>
        <n v="62.17"/>
        <n v="2.5"/>
        <n v="58.25"/>
        <n v="113.58"/>
        <n v="6.92"/>
        <n v="3.83"/>
        <n v="101.33"/>
        <n v="26.92"/>
        <n v="23.75"/>
        <n v="115.5"/>
        <n v="44.5"/>
        <n v="81.6"/>
        <n v="31.07"/>
        <n v="22.52"/>
        <n v="9.62"/>
        <n v="0.09000000000000341"/>
        <n v="60.620000000000005"/>
        <n v="49.019999999999996"/>
        <n v="82.5"/>
        <n v="22.4"/>
        <n v="41.56999999999999"/>
        <n v="20.53"/>
        <n v="55.17"/>
        <n v="40.15"/>
        <n v="6.03"/>
        <n v="2.75"/>
        <n v="49.75"/>
        <n v="110.25"/>
        <n v="70.08"/>
        <n v="40.0"/>
        <n v="18.58"/>
        <n v="8.33"/>
        <n v="19.009999999999977"/>
        <n v="55.22"/>
        <n v="24.02"/>
        <n v="8.85"/>
        <n v="66.92999999999999"/>
        <n v="18.73"/>
        <n v="107.5"/>
        <n v="26.75"/>
        <n v="80.75"/>
        <n v="44.25"/>
        <n v="1.83"/>
        <n v="16.42"/>
        <n v="35.192903225806496"/>
        <n v="18.18"/>
        <n v="8.38"/>
        <n v="5.78"/>
        <n v="82.96000000000001"/>
        <n v="94.92"/>
        <n v="4.08"/>
        <n v="54.589999999999996"/>
        <n v="69.92"/>
        <n v="22.33"/>
        <n v="13.25"/>
        <n v="85.07000000000001"/>
        <n v="46.92"/>
        <n v="33.2"/>
        <n v="14.5"/>
        <n v="65.0"/>
        <n v="121.92"/>
        <n v="12.5"/>
        <n v="25.58"/>
        <n v="13.5"/>
        <n v="71.33"/>
        <n v="115.03"/>
        <n v="5.67"/>
        <n v="38.8"/>
        <n v="62.42"/>
        <n v="3.33"/>
        <n v="83.25"/>
        <n v="75.67"/>
        <n v="4.33"/>
        <n v="88.093333333"/>
        <n v="54.813333333"/>
        <n v="17.093333333"/>
        <n v="103.82"/>
        <n v="14.25"/>
        <n v="154.42000000000002"/>
        <n v="4.079999999999984"/>
        <n v="20.95"/>
        <n v="18.229999999999997"/>
        <n v="0.25"/>
        <n v="85.91"/>
        <n v="40.25"/>
        <n v="125.08"/>
        <n v="34.92"/>
      </sharedItems>
    </cacheField>
    <cacheField name="Valor Hora" numFmtId="174">
      <sharedItems containsString="0" containsBlank="1" containsNumber="1">
        <n v="20833.333333333332"/>
        <n v="9049.0"/>
        <n v="8801.0"/>
        <n v="8286.0"/>
        <n v="14717.0"/>
        <n v="13704.0"/>
        <n v="18000.0"/>
        <n v="8157.0"/>
        <n v="7000.0"/>
        <n v="9687.5"/>
        <n v="12166.0"/>
        <n v="30000.0"/>
        <n v="10000.0"/>
        <n v="6250.0"/>
        <n v="9000.0"/>
        <n v="20000.0"/>
        <n v="18900.0"/>
        <n v="0.0"/>
        <m/>
        <n v="10045.0"/>
        <n v="10121.0"/>
        <n v="9115.0"/>
        <n v="16856.0"/>
        <n v="8973.0"/>
        <n v="11141.0"/>
        <n v="13139.0"/>
        <n v="21356.999999999996"/>
        <n v="22680.0"/>
        <n v="10282.999999999998"/>
        <n v="19000.0"/>
        <n v="8500.0"/>
        <n v="9375.0"/>
        <n v="11485.0"/>
        <n v="23066.000000000004"/>
        <n v="28125.0"/>
        <n v="24166.666666666668"/>
        <n v="11081.0"/>
        <n v="9688.0"/>
        <n v="11000.0"/>
        <n v="7500.0"/>
        <n v="30687.999999999996"/>
        <n v="24911.0"/>
        <n v="12743.0"/>
        <n v="10981.0"/>
        <n v="9867.0"/>
        <n v="12088.000000000002"/>
        <n v="19602.0"/>
        <n v="10625.0"/>
        <n v="16760.0"/>
        <n v="30688.0"/>
        <n v="12088.0"/>
        <n v="11900.000000000002"/>
        <n v="10270.248800000001"/>
        <n v="18880.0"/>
        <n v="12504.520000000002"/>
        <n v="13806.4612"/>
        <n v="12702.070399999999"/>
        <n v="11558.8"/>
        <n v="18017.0"/>
        <n v="11859.480000000001"/>
        <n v="13390.3444"/>
        <n v="10853.7"/>
        <n v="10508.0"/>
        <n v="26583.333333333336"/>
        <n v="26903.88"/>
        <n v="33143.04"/>
        <n v="20680.0"/>
        <n v="10750.0"/>
        <n v="20000.008"/>
      </sharedItems>
    </cacheField>
    <cacheField name="Moneda Original ARS" numFmtId="180">
      <sharedItems containsString="0" containsBlank="1" containsNumber="1">
        <n v="6249.999999999999"/>
        <n v="887272.5480000001"/>
        <n v="167219.0"/>
        <n v="338068.8"/>
        <n v="7358.5"/>
        <n v="1824002.4"/>
        <n v="2160000.0"/>
        <n v="0.0"/>
        <n v="144784.0"/>
        <n v="959309.0"/>
        <n v="644403.0"/>
        <n v="218190.0"/>
        <n v="433606.38"/>
        <n v="1451187.5"/>
        <n v="81512.2"/>
        <n v="378000.0"/>
        <n v="550000.0"/>
        <n v="34375.0"/>
        <n v="306000.0"/>
        <n v="154528.5"/>
        <n v="9049.0"/>
        <n v="88010.0"/>
        <n v="9943.199999999999"/>
        <n v="2036041.6666666663"/>
        <n v="117637.0"/>
        <n v="27408.0"/>
        <n v="176020.0"/>
        <n v="20000.0"/>
        <n v="99103.125"/>
        <n v="347062.5"/>
        <n v="374374.99999999994"/>
        <n v="432569.99999999994"/>
        <n v="17602.0"/>
        <n v="71939.55"/>
        <n v="48224.520000000004"/>
        <n v="56000.0"/>
        <n v="331888.48000000004"/>
        <n v="900000.0"/>
        <n v="3025000.0"/>
        <n v="83333.33333333333"/>
        <n v="1093400.0"/>
        <n v="217176.0"/>
        <n v="135061.80000000002"/>
        <n v="183499.99999999997"/>
        <n v="56250.0"/>
        <n v="1827887.0"/>
        <n v="537700.0"/>
        <n v="1280000.0"/>
        <n v="291750.0"/>
        <n v="32400.0"/>
        <n v="178400.0"/>
        <n v="86677.0"/>
        <n v="28405.0"/>
        <n v="579408.0"/>
        <n v="2689779.0"/>
        <m/>
        <n v="29166.666666666664"/>
        <n v="629821.5"/>
        <n v="50605.0"/>
        <n v="456661.5"/>
        <n v="29434.0"/>
        <n v="2428595.6240000003"/>
        <n v="603000.0"/>
        <n v="948880.835"/>
        <n v="1007059.742"/>
        <n v="965817.828"/>
        <n v="343840.00000000006"/>
        <n v="781921.1599999999"/>
        <n v="1630206.8250000002"/>
        <n v="652364.4890000001"/>
        <n v="517140.0"/>
        <n v="99000.0"/>
        <n v="802800.0"/>
        <n v="103500.0"/>
        <n v="73585.0"/>
        <n v="1307499.9999999998"/>
        <n v="15660.0"/>
        <n v="28427.350000000002"/>
        <n v="32363.52"/>
        <n v="521231.5"/>
        <n v="18230.0"/>
        <n v="152297.47"/>
        <n v="6729.75"/>
        <n v="31500.0"/>
        <n v="7500.0"/>
        <n v="501120.0"/>
        <n v="153792.65"/>
        <n v="449375.0"/>
        <n v="595800.0"/>
        <n v="33390.0"/>
        <n v="193124.99999999997"/>
        <n v="177113.72"/>
        <n v="797400.0"/>
        <n v="51509.5"/>
        <n v="104166.66666666666"/>
        <n v="30363.0"/>
        <n v="9000.0"/>
        <n v="3418251.920999999"/>
        <n v="3630002.04"/>
        <n v="416666.6666666666"/>
        <n v="10121.0"/>
        <n v="4557.5"/>
        <n v="144000.0"/>
        <n v="1763636.0"/>
        <n v="48399.0"/>
        <n v="845000.0"/>
        <n v="45838.0"/>
        <n v="86405.0"/>
        <n v="306411.0"/>
        <n v="1256673.0"/>
        <n v="3418250.0"/>
        <n v="850414.3829999999"/>
        <n v="497350.86"/>
        <n v="420833.3333333333"/>
        <n v="896739.2000000001"/>
        <n v="1368000.0"/>
        <n v="434970.8999999999"/>
        <n v="1012100.0"/>
        <n v="902917.0979999999"/>
        <n v="29750.0"/>
        <n v="236078.5"/>
        <n v="1398139.7950000002"/>
        <n v="496273.169"/>
        <n v="414000.0"/>
        <n v="1205625.0"/>
        <n v="820000.0"/>
        <n v="33000.0"/>
        <n v="752916.6666666666"/>
        <n v="36000.0"/>
        <n v="1125980.8"/>
        <n v="452428.94200000004"/>
        <n v="82035.0"/>
        <n v="384364.5"/>
        <n v="8973.0"/>
        <n v="294375.0"/>
        <n v="10000.0"/>
        <n v="360300.0"/>
        <n v="242830.5"/>
        <n v="487260.0"/>
        <n v="45900.0"/>
        <n v="558000.0"/>
        <n v="819999.9999999999"/>
        <n v="178700.0"/>
        <n v="800000.0"/>
        <n v="58868.0"/>
        <n v="3691713.3000000007"/>
        <n v="4500000.0"/>
        <n v="395833.3333333333"/>
        <n v="226225.99999999997"/>
        <n v="164070.0"/>
        <n v="118251.0"/>
        <n v="252000.0"/>
        <n v="110416.66666666666"/>
        <n v="133678.99999999997"/>
        <n v="154851.30000000002"/>
        <n v="168627.5"/>
        <n v="175870.80000000002"/>
        <n v="110924.99999999999"/>
        <n v="495998.0"/>
        <n v="69810.0"/>
        <n v="466656.0"/>
        <n v="2420141.0"/>
        <n v="103712.0"/>
        <n v="171583.33333333334"/>
        <n v="1213632.0"/>
        <n v="670510.0"/>
        <n v="670400.5"/>
        <n v="384598.0"/>
        <n v="861000.0"/>
        <n v="274550.0"/>
        <n v="514129.00000001246"/>
        <n v="1648868.0"/>
        <n v="772200.0"/>
        <n v="1007552.0"/>
        <n v="880000.0"/>
        <n v="190000.0"/>
        <n v="108468.5"/>
        <n v="1065750.0"/>
        <n v="291430.3"/>
        <n v="206910.5"/>
        <n v="63940.799999999996"/>
        <n v="84600.0"/>
        <n v="145400.0"/>
        <n v="104210.0"/>
        <n v="15000.0"/>
        <n v="14717.0"/>
        <n v="96666.66666666667"/>
        <n v="199458.0"/>
        <n v="184123.0"/>
        <n v="273201.6"/>
        <n v="168000.0"/>
        <n v="180000.0"/>
        <n v="498600.0"/>
        <n v="1566000.0"/>
        <n v="297930.99999996"/>
        <n v="38000.0"/>
        <n v="611697.1999996466"/>
        <n v="809088.0"/>
        <n v="1234785.999999999"/>
        <n v="91150.0"/>
        <n v="541190.600000372"/>
        <n v="133632.00000000125"/>
        <n v="542448.0000000043"/>
        <n v="8500.0"/>
        <n v="714500.0"/>
        <n v="382642.0"/>
        <n v="131250.0"/>
        <n v="4910000.0"/>
        <n v="3931000.0"/>
        <n v="374498.0"/>
        <n v="49230.0"/>
        <n v="53969.0"/>
        <n v="329085.0"/>
        <n v="1694577.0"/>
        <n v="41083.333333333336"/>
        <n v="2743651.5199999595"/>
        <n v="631750.0"/>
        <n v="63715.0"/>
        <n v="854321.7999999999"/>
        <n v="1048500.0000000001"/>
        <n v="459000.0"/>
        <n v="296010.0"/>
        <n v="1322427.2000000002"/>
        <n v="998585.000000002"/>
        <n v="1315098.5000000035"/>
        <n v="1600000.0"/>
        <n v="958430.0"/>
        <n v="293480.0"/>
        <n v="855312.5"/>
        <n v="152250.0"/>
        <n v="112138.40000000001"/>
        <n v="60000.0"/>
        <n v="59202.0"/>
        <n v="82348.0"/>
        <n v="101500.00000000001"/>
        <n v="142721.59999999998"/>
        <n v="2196.2000000000003"/>
        <n v="547864.6500000188"/>
        <n v="21230.0"/>
        <n v="201510.4"/>
        <n v="198166.66666666666"/>
        <n v="62440.700000000004"/>
        <n v="150965.1"/>
        <n v="13000.0"/>
        <n v="193760.0"/>
        <n v="48333.333333333336"/>
        <n v="76458.0"/>
        <n v="89201.0"/>
        <n v="55000.0"/>
        <n v="2218500.0"/>
        <n v="102910.5"/>
        <n v="45980.0"/>
        <n v="1466773.3000005803"/>
        <n v="85628.48"/>
        <n v="900513.9999999722"/>
        <n v="46868.25"/>
        <n v="774264.96"/>
        <n v="607128.8000000035"/>
        <n v="51700.0"/>
        <n v="24820.0"/>
        <n v="56870.0"/>
        <n v="331650.0"/>
        <n v="844687.5"/>
        <n v="442500.0"/>
        <n v="117320.0"/>
        <n v="55583.33333333333"/>
        <n v="441045.0"/>
        <n v="298116.6400001496"/>
        <n v="19114.5"/>
        <n v="36250.0"/>
        <n v="6371.5"/>
        <n v="45600.0"/>
        <n v="110500.0"/>
        <n v="1673785.0"/>
        <n v="308917.53465000005"/>
        <n v="49229.886"/>
        <n v="223609.31"/>
        <n v="45658.4"/>
        <n v="145000.0"/>
        <n v="1983951.2"/>
        <n v="665000.0"/>
        <n v="581993.0"/>
        <n v="1054000.0"/>
        <n v="280500.0"/>
        <n v="1882412.79999952"/>
        <n v="394178.0000000006"/>
        <n v="1170239.34"/>
        <n v="1595000.0"/>
        <n v="929500.0"/>
        <n v="90199.99999999999"/>
        <n v="1847475.0000000002"/>
        <n v="650083.3333333334"/>
        <n v="254860.0"/>
        <n v="8784.800000000001"/>
        <n v="93000.0"/>
        <n v="72029.09999999999"/>
        <n v="36300.0"/>
        <n v="97848.8"/>
        <n v="58660.0"/>
        <n v="573435.0"/>
        <n v="670132.2999999814"/>
        <n v="141900.0"/>
        <n v="108940.0"/>
        <n v="24166.666666666668"/>
        <n v="177290.4"/>
        <n v="234000.0"/>
        <n v="32450.000000000004"/>
        <n v="33520.0"/>
        <n v="490050.0"/>
        <n v="350705.60000000003"/>
        <n v="91833.33333333333"/>
        <n v="152916.0"/>
        <n v="508346.23999995587"/>
        <n v="1940825.3333332501"/>
        <n v="55473.66"/>
        <n v="9500.0"/>
        <n v="1038608.499999943"/>
        <n v="38768.8"/>
        <n v="1166254.1999999722"/>
        <n v="7893.6"/>
        <n v="415808.96"/>
        <n v="47143.2"/>
        <n v="5000.0"/>
        <n v="4250.0"/>
        <n v="5500.0"/>
        <n v="371030.00000000006"/>
        <n v="56525.00000000001"/>
        <n v="408375.0"/>
        <n v="119000.0"/>
        <n v="1835920.0"/>
        <n v="337214.0"/>
        <n v="59568.3"/>
        <n v="111382.0"/>
        <n v="410000.0"/>
        <n v="22829.2"/>
        <n v="802040.0"/>
        <n v="874000.0"/>
        <n v="1390793.8395160001"/>
        <n v="538762.16"/>
        <n v="1030800.0"/>
        <n v="489200.0"/>
        <n v="80000.0"/>
        <n v="1078306.02"/>
        <n v="447513.66"/>
        <n v="239144.4"/>
        <n v="16269.66"/>
        <n v="877816.5900000001"/>
        <n v="13139.0"/>
        <n v="802200.0"/>
        <n v="242500.0"/>
        <n v="555300.0"/>
        <n v="801680.0"/>
        <n v="34870.0"/>
        <n v="1790950.0000000002"/>
        <n v="113050.00000000001"/>
        <n v="1247835.4243347272"/>
        <n v="292702.0908"/>
        <n v="82161.99040000001"/>
        <n v="20540.497600000002"/>
        <n v="605340.4500000001"/>
        <n v="203950.89"/>
        <n v="56537.91"/>
        <n v="7400.25"/>
        <n v="870729.19"/>
        <n v="390827.81"/>
        <n v="428601.0897368"/>
        <n v="178402.0"/>
        <n v="113667.56"/>
        <n v="47149.100000000006"/>
        <n v="9557.25"/>
        <n v="2104675.0"/>
        <n v="354525.0"/>
        <n v="191400.0"/>
        <n v="166750.00000000003"/>
        <n v="82650.0"/>
        <n v="534600.0"/>
        <n v="263450.0"/>
        <n v="143880.0"/>
        <n v="21120.0"/>
        <n v="55550.0"/>
        <n v="1056993.2853599999"/>
        <n v="682688.77"/>
        <n v="9114.23"/>
        <n v="8235.75"/>
        <n v="100560.0"/>
        <n v="83800.0"/>
        <n v="41900.0"/>
        <n v="436875.0"/>
        <n v="2144390.4"/>
        <n v="130649.6"/>
        <n v="72310.4"/>
        <n v="264000.0"/>
        <n v="435600.0"/>
        <n v="132000.0"/>
        <n v="158400.0"/>
        <n v="142317.48"/>
        <n v="221400.0"/>
        <n v="2012802.0"/>
        <n v="369970.0"/>
        <n v="71341.0"/>
        <n v="118200.0"/>
        <n v="59568.0"/>
        <n v="1040684.3109040001"/>
        <n v="276475.09769600007"/>
        <n v="243918.40900000004"/>
        <n v="1444272.0600000003"/>
        <n v="556451.1400000001"/>
        <n v="816000.0"/>
        <n v="310700.0"/>
        <n v="225200.0"/>
        <n v="96199.99999999999"/>
        <n v="71000.0"/>
        <n v="900.0000000000341"/>
        <n v="836947.677944"/>
        <n v="931379.9999999999"/>
        <n v="19000.0"/>
        <n v="1047920.8079999998"/>
        <n v="284526.37695999997"/>
        <n v="528025.0665279998"/>
        <n v="260773.505312"/>
        <n v="397500.0"/>
        <n v="637698.9959999999"/>
        <n v="464085.81999999995"/>
        <n v="69699.564"/>
        <n v="198187.0"/>
        <n v="108102.0"/>
        <n v="49546.75"/>
        <n v="36034.0"/>
        <n v="18017.0"/>
        <n v="590009.1300000001"/>
        <n v="1307507.6700000002"/>
        <n v="938395.335552"/>
        <n v="535613.776"/>
        <n v="248792.59895199997"/>
        <n v="111541.568852"/>
        <n v="53561.3776"/>
        <n v="254550.44704399968"/>
        <n v="1082422.44"/>
        <n v="470840.04"/>
        <n v="173477.69999999998"/>
        <n v="773630.4839999998"/>
        <n v="216496.324"/>
        <n v="1166772.75"/>
        <n v="290336.47500000003"/>
        <n v="1524560.0"/>
        <n v="835440.0"/>
        <n v="160480.0"/>
        <n v="34550.4"/>
        <n v="172541.36000000002"/>
        <n v="369807.02709677466"/>
        <n v="483285.00000000006"/>
        <n v="178108.33333333334"/>
        <n v="222768.33333333337"/>
        <n v="153651.6666666667"/>
        <n v="126270.83333333334"/>
        <n v="139562.5"/>
        <n v="53166.66666666667"/>
        <n v="2205353.333333334"/>
        <n v="4304620.8"/>
        <n v="5302886.4"/>
        <n v="72000.0"/>
        <n v="712040.0"/>
        <n v="38048.66"/>
        <n v="66138.0"/>
        <n v="1876795.0"/>
        <n v="342986.0"/>
        <n v="537000.0"/>
        <n v="962040.0"/>
        <n v="61260.57"/>
        <n v="1792089.6"/>
        <n v="276969.6"/>
        <n v="77030.4"/>
        <n v="51920.0"/>
        <n v="753694.716908"/>
        <n v="758890.704"/>
        <n v="242363.12099999998"/>
        <n v="143811.52500000002"/>
        <n v="983307.116"/>
        <n v="970305.6000000001"/>
        <n v="686576.0000000001"/>
        <n v="10340.0"/>
        <n v="261246.5"/>
        <n v="487500.0"/>
        <n v="1252148.7336960002"/>
        <n v="128378.11000000002"/>
        <n v="262712.964304"/>
        <n v="654287.5116000001"/>
        <n v="237189.60000000003"/>
        <n v="160102.98"/>
        <n v="845936.7084000001"/>
        <n v="1461119.158112"/>
        <n v="72020.73916799999"/>
        <n v="6351.035199999999"/>
        <n v="492840.3315199999"/>
        <n v="835825.297448"/>
        <n v="140598.6162"/>
        <n v="44589.846852"/>
        <n v="6695.1722"/>
        <n v="1114746.1713"/>
        <n v="813452.5"/>
        <n v="46547.5"/>
        <n v="880933.33333"/>
        <n v="548133.33333"/>
        <n v="170933.33333"/>
        <n v="1200034.616"/>
        <n v="164712.9"/>
        <n v="5779.4"/>
        <n v="1622645.36"/>
        <n v="15762.0"/>
        <n v="42872.63999999983"/>
        <n v="556920.8333333334"/>
        <n v="484614.1666666666"/>
        <n v="73104.16666666667"/>
        <n v="39875.0"/>
        <n v="26583.333333333336"/>
        <n v="6645.833333333334"/>
        <n v="2283774.166666667"/>
        <n v="805000.322"/>
        <n v="1564065.3616000002"/>
        <n v="436657.8384000001"/>
        <n v="130000.0"/>
        <n v="675800.0"/>
        <n v="87515.1"/>
        <n v="762594.0"/>
        <n v="32000.0"/>
        <n v="98675.0"/>
        <n v="2811304.0"/>
        <n v="511723.0"/>
      </sharedItems>
    </cacheField>
    <cacheField name="Moneda Original USD" numFmtId="0">
      <sharedItems containsString="0" containsBlank="1" containsNumber="1">
        <m/>
        <n v="0.0"/>
        <n v="600.0"/>
        <n v="2483.3333333333335"/>
        <n v="12.0"/>
        <n v="450.0"/>
        <n v="303.0"/>
        <n v="8.0"/>
        <n v="14.19"/>
        <n v="22.99"/>
        <n v="25.0"/>
        <n v="466.0"/>
        <n v="304.0"/>
        <n v="20.0"/>
        <n v="6.49"/>
        <n v="515.0"/>
        <n v="112.0"/>
        <n v="7.72"/>
        <n v="117.0"/>
        <n v="222.0"/>
        <n v="974.0"/>
        <n v="1186.0"/>
        <n v="50.03"/>
        <n v="3.08"/>
        <n v="46.41"/>
        <n v="500.47"/>
        <n v="29.0"/>
        <n v="192.0"/>
        <n v="25.3"/>
        <n v="45.0"/>
        <n v="29.99"/>
        <n v="588.0"/>
        <n v="609.8"/>
        <n v="500.46"/>
        <n v="6.15"/>
        <n v="-4124.0"/>
        <n v="633.6"/>
        <n v="6.91"/>
        <n v="59.88"/>
        <n v="22.17"/>
        <n v="383.56"/>
        <n v="6.11"/>
        <n v="25.19"/>
        <n v="-4204.92"/>
        <n v="500.0"/>
        <n v="340.0"/>
        <n v="300.0"/>
        <n v="200.0"/>
        <n v="180.0"/>
        <n v="130.0"/>
        <n v="150.0"/>
        <n v="655.0"/>
        <n v="820.0"/>
        <n v="919.79"/>
        <n v="14.82"/>
        <n v="11.0"/>
        <n v="507.4"/>
        <n v="132.72"/>
        <n v="5.0"/>
        <n v="22.52"/>
        <n v="502.07"/>
        <n v="725.0"/>
        <n v="49.0"/>
        <n v="139.95"/>
        <n v="500.54"/>
        <n v="14.0"/>
        <n v="6.08"/>
        <n v="491.63"/>
        <n v="501.77"/>
        <n v="22.26"/>
        <n v="15228.0"/>
        <n v="500.07"/>
        <n v="3544.67"/>
        <n v="1108.55"/>
        <n v="500.96"/>
        <n v="607.42"/>
        <n v="6.05"/>
        <n v="500.2"/>
        <n v="171.47"/>
        <n v="501.0"/>
        <n v="30.0"/>
        <n v="502.0"/>
        <n v="610.0"/>
        <n v="10801.0"/>
        <n v="743.2"/>
      </sharedItems>
    </cacheField>
    <cacheField name="Cotización">
      <sharedItems containsMixedTypes="1" containsNumber="1" containsInteger="1">
        <n v="1220.0"/>
        <s v=""/>
        <n v="1230.0"/>
        <n v="1325.0"/>
        <n v="1185.0"/>
        <n v="1180.0"/>
        <n v="1215.0"/>
        <n v="1320.0"/>
        <n v="1345.0"/>
        <n v="1445.0"/>
        <e v="#N/A"/>
      </sharedItems>
    </cacheField>
    <cacheField name="Monto Total USD">
      <sharedItems containsMixedTypes="1" containsNumber="1">
        <n v="5.1229508196721305"/>
        <n v="727.2725803278689"/>
        <n v="137.06475409836065"/>
        <n v="277.1055737704918"/>
        <n v="6.031557377049181"/>
        <n v="1495.0839344262295"/>
        <n v="1770.4918032786886"/>
        <n v="0.0"/>
        <n v="118.67540983606557"/>
        <n v="786.3188524590164"/>
        <n v="528.1991803278688"/>
        <n v="178.84426229508196"/>
        <n v="355.4150655737705"/>
        <n v="1189.497950819672"/>
        <n v="66.81327868852459"/>
        <n v="309.8360655737705"/>
        <n v="450.8196721311475"/>
        <n v="28.17622950819672"/>
        <n v="250.81967213114754"/>
        <n v="126.66270491803279"/>
        <n v="7.417213114754098"/>
        <n v="72.13934426229508"/>
        <n v="8.150163934426228"/>
        <n v="1668.8866120218577"/>
        <n v="96.42377049180328"/>
        <n v="22.465573770491805"/>
        <n v="144.27868852459017"/>
        <n v="16.39344262295082"/>
        <n v="81.23206967213115"/>
        <n v="284.4774590163934"/>
        <n v="306.8647540983606"/>
        <n v="354.56557377049177"/>
        <n v="14.427868852459016"/>
        <n v="58.96684426229508"/>
        <n v="39.528295081967215"/>
        <n v="45.90163934426229"/>
        <n v="272.0397377049181"/>
        <n v="737.7049180327868"/>
        <n v="2479.5081967213114"/>
        <n v="68.30601092896174"/>
        <n v="896.2295081967213"/>
        <n v="178.01311475409835"/>
        <n v="110.70639344262297"/>
        <n v="150.40983606557376"/>
        <n v="46.10655737704918"/>
        <n v="1498.2680327868852"/>
        <n v="440.73770491803276"/>
        <n v="1049.1803278688524"/>
        <n v="239.13934426229508"/>
        <n v="26.557377049180328"/>
        <n v="146.2295081967213"/>
        <n v="71.04672131147541"/>
        <n v="23.2827868852459"/>
        <n v="474.92459016393445"/>
        <n v="2204.7368852459017"/>
        <n v="600.0"/>
        <n v="2483.3333333333335"/>
        <n v="12.0"/>
        <n v="450.0"/>
        <n v="303.0"/>
        <n v="8.0"/>
        <n v="14.19"/>
        <n v="22.99"/>
        <n v="25.0"/>
        <n v="23.712737127371273"/>
        <n v="512.05"/>
        <n v="41.142276422764226"/>
        <n v="371.26951219512193"/>
        <n v="23.930081300813008"/>
        <n v="1974.4679869918702"/>
        <n v="490.2439024390244"/>
        <n v="771.4478333333333"/>
        <n v="818.7477577235773"/>
        <n v="785.2177463414635"/>
        <n v="279.54471544715454"/>
        <n v="635.7082601626015"/>
        <n v="1325.3714024390245"/>
        <n v="530.3776333333334"/>
        <n v="420.4390243902439"/>
        <n v="80.48780487804878"/>
        <n v="652.6829268292682"/>
        <n v="84.14634146341463"/>
        <n v="59.82520325203252"/>
        <n v="1063.0081300813006"/>
        <n v="12.731707317073171"/>
        <n v="23.111666666666668"/>
        <n v="26.311804878048783"/>
        <n v="423.76544715447153"/>
        <n v="14.821138211382113"/>
        <n v="123.81908130081301"/>
        <n v="5.4713414634146345"/>
        <n v="25.609756097560975"/>
        <n v="6.097560975609756"/>
        <n v="407.4146341463415"/>
        <n v="125.03467479674796"/>
        <n v="365.3455284552846"/>
        <n v="484.390243902439"/>
        <n v="27.146341463414632"/>
        <n v="157.0121951219512"/>
        <n v="143.9948943089431"/>
        <n v="648.2926829268292"/>
        <n v="41.87764227642276"/>
        <n v="84.68834688346882"/>
        <n v="24.685365853658535"/>
        <n v="7.317073170731708"/>
        <n v="2779.066602439024"/>
        <n v="2951.2211707317074"/>
        <n v="338.7533875338753"/>
        <n v="8.228455284552846"/>
        <n v="3.7052845528455283"/>
        <n v="117.07317073170732"/>
        <n v="1433.850406504065"/>
        <n v="437.1544715447154"/>
        <n v="39.34878048780488"/>
        <n v="686.9918699186992"/>
        <n v="37.266666666666666"/>
        <n v="70.2479674796748"/>
        <n v="249.11463414634147"/>
        <n v="1021.6853658536585"/>
        <n v="2779.0650406504064"/>
        <n v="466.0"/>
        <n v="304.0"/>
        <n v="20.0"/>
        <n v="6.49"/>
        <n v="641.8221758490565"/>
        <n v="375.3591396226415"/>
        <n v="317.61006289308176"/>
        <n v="676.7843018867925"/>
        <n v="1032.4528301886792"/>
        <n v="328.2799245283018"/>
        <n v="763.8490566037735"/>
        <n v="681.4468664150943"/>
        <n v="22.452830188679247"/>
        <n v="178.1724528301887"/>
        <n v="1055.199845283019"/>
        <n v="374.54578792452827"/>
        <n v="312.45283018867923"/>
        <n v="909.9056603773585"/>
        <n v="618.8679245283018"/>
        <n v="24.90566037735849"/>
        <n v="568.2389937106918"/>
        <n v="27.169811320754718"/>
        <n v="849.7968301886793"/>
        <n v="341.4558052830189"/>
        <n v="61.91320754716981"/>
        <n v="290.0864150943396"/>
        <n v="6.7720754716981135"/>
        <n v="222.16981132075472"/>
        <n v="7.547169811320755"/>
        <n v="271.92452830188677"/>
        <n v="183.26830188679244"/>
        <n v="367.7433962264151"/>
        <n v="34.64150943396226"/>
        <n v="421.1320754716981"/>
        <n v="134.8679245283019"/>
        <n v="603.7735849056604"/>
        <n v="44.42867924528302"/>
        <n v="2786.1987169811327"/>
        <n v="3396.2264150943397"/>
        <n v="298.74213836477986"/>
        <n v="170.73660377358487"/>
        <n v="123.82641509433962"/>
        <n v="89.24603773584906"/>
        <n v="190.18867924528303"/>
        <n v="22.21433962264151"/>
        <n v="83.33333333333333"/>
        <n v="100.88981132075469"/>
        <n v="116.86890566037737"/>
        <n v="127.26603773584905"/>
        <n v="132.73267924528304"/>
        <n v="83.71698113207546"/>
        <n v="405.811320754717"/>
        <n v="637.7358490566038"/>
        <n v="374.33811320754717"/>
        <n v="52.68679245283019"/>
        <n v="352.19320754716983"/>
        <n v="1826.5215094339624"/>
        <n v="515.0"/>
        <n v="112.0"/>
        <n v="7.72"/>
        <n v="78.27320754716982"/>
        <n v="144.79606188466948"/>
        <n v="1024.1620253164556"/>
        <n v="565.831223628692"/>
        <n v="565.7388185654008"/>
        <n v="324.55527426160336"/>
        <n v="726.5822784810126"/>
        <n v="231.68776371308016"/>
        <n v="433.8641350211076"/>
        <n v="1391.4497890295359"/>
        <n v="651.6455696202531"/>
        <n v="850.2548523206751"/>
        <n v="742.6160337552743"/>
        <n v="160.33755274261603"/>
        <n v="24.838818565400842"/>
        <n v="91.53459915611815"/>
        <n v="899.367088607595"/>
        <n v="245.93274261603375"/>
        <n v="174.60801687763714"/>
        <n v="53.958481012658225"/>
        <n v="71.39240506329114"/>
        <n v="122.70042194092827"/>
        <n v="87.94092827004219"/>
        <n v="12.658227848101266"/>
        <n v="12.419409282700421"/>
        <n v="81.57524613220816"/>
        <n v="168.31898734177216"/>
        <n v="155.37805907172995"/>
        <n v="230.5498734177215"/>
        <n v="141.77215189873417"/>
        <n v="151.8987341772152"/>
        <n v="420.75949367088606"/>
        <n v="1321.5189873417721"/>
        <n v="251.41856540081014"/>
        <n v="32.06751054852321"/>
        <n v="516.2001687760732"/>
        <n v="682.7746835443038"/>
        <n v="1042.013502109704"/>
        <n v="76.91983122362869"/>
        <n v="456.70092827035614"/>
        <n v="112.76962025316561"/>
        <n v="457.76202531645936"/>
        <n v="7.172995780590718"/>
        <n v="602.9535864978903"/>
        <n v="322.90464135021097"/>
        <n v="110.75949367088607"/>
        <n v="4143.459915611815"/>
        <n v="3317.299578059072"/>
        <n v="453.7552742616034"/>
        <n v="316.03206751054853"/>
        <n v="40.84303797468355"/>
        <n v="41.54430379746835"/>
        <n v="45.54345991561181"/>
        <n v="277.7088607594937"/>
        <n v="1430.0227848101265"/>
        <n v="3797.46835443038"/>
        <n v="117.0"/>
        <n v="222.0"/>
        <n v="974.0"/>
        <n v="1186.0"/>
        <n v="34.81638418079096"/>
        <n v="2325.128406779627"/>
        <n v="535.3813559322034"/>
        <n v="53.99576271186441"/>
        <n v="724.0015254237287"/>
        <n v="888.5593220338984"/>
        <n v="388.9830508474576"/>
        <n v="250.85593220338984"/>
        <n v="1120.7010169491527"/>
        <n v="846.2584745762729"/>
        <n v="1114.490254237291"/>
        <n v="1355.9322033898304"/>
        <n v="812.228813559322"/>
        <n v="248.71186440677965"/>
        <n v="724.8411016949152"/>
        <n v="129.02542372881356"/>
        <n v="95.03254237288137"/>
        <n v="50.847457627118644"/>
        <n v="50.171186440677964"/>
        <n v="69.7864406779661"/>
        <n v="86.01694915254238"/>
        <n v="120.95050847457625"/>
        <n v="1.8611864406779663"/>
        <n v="464.29207627120235"/>
        <n v="17.991525423728813"/>
        <n v="170.7715254237288"/>
        <n v="167.93785310734464"/>
        <n v="52.91584745762712"/>
        <n v="127.93652542372882"/>
        <n v="11.016949152542374"/>
        <n v="164.20338983050848"/>
        <n v="40.960451977401135"/>
        <n v="64.79491525423728"/>
        <n v="75.59406779661018"/>
        <n v="46.610169491525426"/>
        <n v="1880.084745762712"/>
        <n v="87.21228813559323"/>
        <n v="38.96610169491525"/>
        <n v="1243.0282203394747"/>
        <n v="72.56650847457627"/>
        <n v="763.147457627095"/>
        <n v="39.71885593220339"/>
        <n v="656.1567457627118"/>
        <n v="514.5159322033928"/>
        <n v="43.813559322033896"/>
        <n v="21.033898305084747"/>
        <n v="48.19491525423729"/>
        <n v="281.0593220338983"/>
        <n v="715.8368644067797"/>
        <n v="375.0"/>
        <n v="99.42372881355932"/>
        <n v="47.104519774011294"/>
        <n v="373.7669491525424"/>
        <n v="252.64122033910985"/>
        <n v="16.19872881355932"/>
        <n v="30.720338983050848"/>
        <n v="5.399576271186441"/>
        <n v="3331.35593220339"/>
        <n v="4161.016949152542"/>
        <n v="38.644067796610166"/>
        <n v="93.64406779661017"/>
        <n v="50.03"/>
        <n v="3.08"/>
        <n v="46.41"/>
        <n v="500.47"/>
        <n v="29.0"/>
        <n v="192.0"/>
        <n v="25.3"/>
        <n v="45.0"/>
        <n v="29.99"/>
        <n v="588.0"/>
        <n v="609.8"/>
        <n v="500.46"/>
        <n v="6.15"/>
        <n v="1418.4618644067796"/>
        <n v="261.79452088983055"/>
        <n v="41.72024237288135"/>
        <n v="-4124.0"/>
        <n v="3813.5593220338983"/>
        <n v="189.49941525423728"/>
        <n v="38.6935593220339"/>
        <n v="455.6779661016949"/>
        <n v="119.34156378600824"/>
        <n v="1632.881646090535"/>
        <n v="547.3251028806584"/>
        <n v="479.0065843621399"/>
        <n v="867.4897119341564"/>
        <n v="230.8641975308642"/>
        <n v="1549.3109465016626"/>
        <n v="324.42633744856016"/>
        <n v="963.159950617284"/>
        <n v="1312.7572016460906"/>
        <n v="765.0205761316872"/>
        <n v="74.238683127572"/>
        <n v="1520.5555555555557"/>
        <n v="535.0480109739369"/>
        <n v="209.76131687242798"/>
        <n v="7.230288065843622"/>
        <n v="76.54320987654322"/>
        <n v="59.283209876543204"/>
        <n v="29.876543209876544"/>
        <n v="80.53399176954733"/>
        <n v="48.2798353909465"/>
        <n v="39.78052126200274"/>
        <n v="471.962962962963"/>
        <n v="551.5492181069806"/>
        <n v="116.79012345679013"/>
        <n v="89.66255144032922"/>
        <n v="19.89026063100137"/>
        <n v="15.732098765432099"/>
        <n v="145.91802469135803"/>
        <n v="192.59259259259258"/>
        <n v="26.707818930041157"/>
        <n v="27.588477366255145"/>
        <n v="403.3333333333333"/>
        <n v="288.64658436213995"/>
        <n v="75.5829903978052"/>
        <n v="125.85679012345679"/>
        <n v="418.39196707815296"/>
        <n v="1597.3871056240741"/>
        <n v="45.657333333333334"/>
        <n v="7.818930041152264"/>
        <n v="854.8218106995415"/>
        <n v="31.908477366255145"/>
        <n v="959.8799999999771"/>
        <n v="6.49679012345679"/>
        <n v="342.2295967078189"/>
        <n v="38.800987654320984"/>
        <n v="7.407407407407407"/>
        <n v="4.11522633744856"/>
        <n v="3.4979423868312756"/>
        <n v="4.526748971193416"/>
        <n v="305.37448559670787"/>
        <n v="46.52263374485597"/>
        <n v="336.1111111111111"/>
        <n v="3235.3909465020574"/>
        <n v="4041.1522633744858"/>
        <n v="97.94238683127573"/>
        <n v="633.6"/>
        <n v="6.91"/>
        <n v="59.88"/>
        <n v="22.17"/>
        <n v="383.56"/>
        <n v="6.11"/>
        <n v="25.19"/>
        <n v="1511.045267489712"/>
        <n v="277.54238683127573"/>
        <n v="49.02740740740741"/>
        <n v="-4204.92"/>
        <n v="91.6724279835391"/>
        <n v="337.4485596707819"/>
        <n v="442.5514403292181"/>
        <n v="18.78946502057613"/>
        <n v="660.1152263374486"/>
        <n v="662.1212121212121"/>
        <n v="28.78787878787879"/>
        <n v="1053.6316966030304"/>
        <n v="408.15315151515154"/>
        <n v="780.9090909090909"/>
        <n v="370.6060606060606"/>
        <n v="60.60606060606061"/>
        <n v="816.8985"/>
        <n v="339.02549999999997"/>
        <n v="181.17"/>
        <n v="12.3255"/>
        <n v="665.0125681818182"/>
        <n v="9.953787878787878"/>
        <n v="607.7272727272727"/>
        <n v="183.71212121212122"/>
        <n v="420.6818181818182"/>
        <n v="607.3333333333334"/>
        <n v="26.416666666666668"/>
        <n v="1356.7803030303032"/>
        <n v="85.6439393939394"/>
        <n v="945.3298669202479"/>
        <n v="221.74400818181817"/>
        <n v="62.243932121212126"/>
        <n v="15.560983030303031"/>
        <n v="458.59125000000006"/>
        <n v="154.50825"/>
        <n v="42.83175"/>
        <n v="5.60625"/>
        <n v="659.6433257575757"/>
        <n v="296.08167424242424"/>
        <n v="324.6977952551515"/>
        <n v="135.1530303030303"/>
        <n v="86.11178787878788"/>
        <n v="35.71901515151516"/>
        <n v="7.240340909090909"/>
        <n v="1594.4507575757575"/>
        <n v="268.57954545454544"/>
        <n v="145.0"/>
        <n v="126.32575757575759"/>
        <n v="62.61363636363637"/>
        <n v="405.0"/>
        <n v="199.58333333333334"/>
        <n v="109.0"/>
        <n v="16.0"/>
        <n v="42.083333333333336"/>
        <n v="800.7524889090909"/>
        <n v="517.1884621212122"/>
        <n v="6.904719696969696"/>
        <n v="6.2392045454545455"/>
        <n v="76.18181818181819"/>
        <n v="63.484848484848484"/>
        <n v="31.742424242424242"/>
        <n v="330.96590909090907"/>
        <n v="1624.5381818181818"/>
        <n v="98.9769696969697"/>
        <n v="54.780606060606054"/>
        <n v="3719.6969696969695"/>
        <n v="2978.030303030303"/>
        <n v="500.0"/>
        <n v="340.0"/>
        <n v="300.0"/>
        <n v="200.0"/>
        <n v="330.0"/>
        <n v="180.0"/>
        <n v="100.0"/>
        <n v="120.0"/>
        <n v="130.0"/>
        <n v="150.0"/>
        <n v="655.0"/>
        <n v="820.0"/>
        <n v="919.79"/>
        <n v="14.82"/>
        <n v="11.0"/>
        <n v="507.4"/>
        <n v="132.72"/>
        <n v="90.15151515151516"/>
        <n v="5.0"/>
        <n v="22.52"/>
        <n v="502.07"/>
        <n v="107.81627272727273"/>
        <n v="167.72727272727272"/>
        <n v="15.151515151515152"/>
        <n v="1524.85"/>
        <n v="280.280303030303"/>
        <n v="54.04621212121212"/>
        <n v="725.0"/>
        <n v="89.54545454545455"/>
        <n v="49.0"/>
        <n v="139.95"/>
        <n v="500.54"/>
        <n v="45.127272727272725"/>
        <n v="773.7429820847584"/>
        <n v="205.55769345427515"/>
        <n v="61.08698171003718"/>
        <n v="181.3519769516729"/>
        <n v="1073.8082230483274"/>
        <n v="413.71831970260234"/>
        <n v="606.6914498141264"/>
        <n v="231.00371747211895"/>
        <n v="167.43494423791822"/>
        <n v="71.52416356877322"/>
        <n v="52.78810408921933"/>
        <n v="0.6691449814126648"/>
        <n v="59.479553903345725"/>
        <n v="622.2659315568774"/>
        <n v="692.4758364312266"/>
        <n v="14.12639405204461"/>
        <n v="779.12327732342"/>
        <n v="211.54377469144978"/>
        <n v="392.58369258587345"/>
        <n v="193.88364707211895"/>
        <n v="295.53903345724905"/>
        <n v="474.12564758364306"/>
        <n v="345.045219330855"/>
        <n v="51.82123717472119"/>
        <n v="147.35092936802974"/>
        <n v="80.3732342007435"/>
        <n v="36.837732342007435"/>
        <n v="26.791078066914498"/>
        <n v="13.395539033457249"/>
        <n v="438.668498141264"/>
        <n v="972.1246617100373"/>
        <n v="697.6916992951673"/>
        <n v="398.2258557620818"/>
        <n v="184.97591000148697"/>
        <n v="82.93053446245352"/>
        <n v="39.822585576208176"/>
        <n v="189.25683795092914"/>
        <n v="804.7750483271375"/>
        <n v="350.0669442379182"/>
        <n v="128.97970260223047"/>
        <n v="12.096401486988848"/>
        <n v="575.1899509293679"/>
        <n v="160.9638096654275"/>
        <n v="867.4890334572491"/>
        <n v="215.86355018587363"/>
        <n v="1133.5018587360594"/>
        <n v="621.1449814126394"/>
        <n v="119.31598513011153"/>
        <n v="25.68802973977695"/>
        <n v="128.28353903345726"/>
        <n v="274.949462525483"/>
        <n v="359.3197026022305"/>
        <n v="132.42255266418837"/>
        <n v="165.62701363073114"/>
        <n v="114.23915737298638"/>
        <n v="93.88166047087981"/>
        <n v="103.7639405204461"/>
        <n v="39.52912019826518"/>
        <n v="1639.6679058240402"/>
        <n v="3200.46156133829"/>
        <n v="3942.6664684014872"/>
        <n v="14.0"/>
        <n v="6.08"/>
        <n v="491.63"/>
        <n v="88.47583643122677"/>
        <n v="53.531598513011154"/>
        <n v="399.7769516728625"/>
        <n v="529.3977695167287"/>
        <n v="28.28896654275093"/>
        <n v="501.77"/>
        <n v="22.26"/>
        <n v="49.173234200743494"/>
        <n v="15228.0"/>
        <n v="500.07"/>
        <n v="3544.67"/>
        <n v="1108.55"/>
        <n v="1395.3866171003717"/>
        <n v="255.0081784386617"/>
        <n v="399.25650557620816"/>
        <n v="715.2713754646841"/>
        <n v="45.54689219330855"/>
        <n v="1240.2004152249135"/>
        <n v="191.67446366782005"/>
        <n v="53.308235294117644"/>
        <n v="35.930795847750865"/>
        <n v="521.5880393826989"/>
        <n v="525.1838782006921"/>
        <n v="167.72534325259514"/>
        <n v="99.52354671280278"/>
        <n v="680.489353633218"/>
        <n v="671.4917647058825"/>
        <n v="475.1391003460208"/>
        <n v="7.155709342560554"/>
        <n v="180.79342560553633"/>
        <n v="337.3702422145329"/>
        <n v="866.5389160525953"/>
        <n v="88.84298269896195"/>
        <n v="181.80827979515573"/>
        <n v="452.79412567474054"/>
        <n v="164.14505190311422"/>
        <n v="110.79791003460208"/>
        <n v="585.4233276124568"/>
        <n v="1011.1551267211072"/>
        <n v="49.84134198477508"/>
        <n v="4.395180069204152"/>
        <n v="341.06597337024215"/>
        <n v="578.425811382699"/>
        <n v="97.30008041522491"/>
        <n v="30.858025503114188"/>
        <n v="4.633337162629758"/>
        <n v="771.4506375778546"/>
        <n v="562.9429065743944"/>
        <n v="32.21280276816609"/>
        <n v="609.6424452110728"/>
        <n v="379.3310265259516"/>
        <n v="118.29296424221452"/>
        <n v="830.4737826989618"/>
        <n v="113.98816608996539"/>
        <n v="3.999584775086505"/>
        <n v="1122.937965397924"/>
        <n v="10.90795847750865"/>
        <n v="29.669647058823415"/>
        <n v="385.41234140715113"/>
        <n v="335.37312572087654"/>
        <n v="50.591118800461366"/>
        <n v="27.59515570934256"/>
        <n v="18.396770472895042"/>
        <n v="4.599192618223761"/>
        <n v="1580.466551326413"/>
        <n v="557.0936484429066"/>
        <n v="2978.9763321799305"/>
        <n v="3669.8175778546715"/>
        <n v="1082.3981741176472"/>
        <n v="302.18535529411776"/>
        <n v="500.96"/>
        <n v="607.42"/>
        <n v="6.05"/>
        <n v="500.2"/>
        <n v="171.47"/>
        <n v="82.3529411764706"/>
        <n v="501.0"/>
        <n v="89.96539792387543"/>
        <n v="30.0"/>
        <n v="502.0"/>
        <n v="610.0"/>
        <n v="467.681660899654"/>
        <n v="60.5640830449827"/>
        <n v="527.7467128027681"/>
        <n v="22.14532871972318"/>
        <n v="68.28719723183391"/>
        <n v="10801.0"/>
        <n v="743.2"/>
        <n v="1945.5391003460209"/>
        <n v="354.13356401384084"/>
        <s v=""/>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106" sheet="Pasivo"/>
  </cacheSource>
  <cacheFields>
    <cacheField name="Detalle" numFmtId="0">
      <sharedItems containsBlank="1">
        <s v="Sosa Gonzalez Walter Gaston"/>
        <s v="Gloup by digital tie"/>
        <s v="Cata Astiz"/>
        <s v="Aylu Tamer"/>
        <s v="Lola Camara"/>
        <s v="Gastón Julian"/>
        <s v="Nazarena Drachemberg"/>
        <s v="Vicky Achabal"/>
        <s v="Maricel Perez"/>
        <s v="Mati Gonzalez"/>
        <s v="Vicky Puricelli"/>
        <s v="To Merello"/>
        <s v="Pablo Ovejero"/>
        <s v="Male Quiroga"/>
        <s v="Romi Figueroa"/>
        <s v="Sandra Heyman"/>
        <s v="Tomi Facio"/>
        <s v="Trini Petreigne"/>
        <s v="Vanu Lanza"/>
        <s v="People"/>
        <s v="Xavi Aranzana"/>
        <s v="Brandwatch"/>
        <s v="Luan Digital"/>
        <s v="Youscan"/>
        <s v="Estudio Contable"/>
        <s v="Tarjeta ARG"/>
        <s v="IIBB"/>
        <s v="IVA"/>
        <s v="Tomi Criado"/>
        <s v="Honorarios Oxean"/>
        <s v="Tarjeta USA"/>
        <s v="Impuestos USA"/>
        <s v="Gast Guntren"/>
        <s v="Ina Ceravolo"/>
        <s v="Denise Sielfeld"/>
        <s v="Sil Vera"/>
        <s v="Sol Ayala"/>
        <s v="Comisiones Bancarias"/>
        <s v="Itecsa"/>
        <s v="Santi Berisso"/>
        <s v="Agustina Cervalo"/>
        <s v="Intereses Oxean"/>
        <s v="Ianece Leandro"/>
        <s v="Otros"/>
        <s v="Cami Burstein"/>
        <m/>
      </sharedItems>
    </cacheField>
    <cacheField name="Subtipo de costo" numFmtId="0">
      <sharedItems>
        <s v="Otros Proveedores"/>
        <s v="Equipo"/>
        <s v="Administración Finanzas"/>
        <s v="Board"/>
        <s v="Gastos Varios"/>
        <s v="People"/>
        <s v="Suscripciones/Herramientas"/>
        <s v="Estudio Contable"/>
        <s v="Tarjeta"/>
        <s v="Impuestos ARG"/>
        <s v="Oxean"/>
        <s v="Impuestos USA"/>
        <s v="Comisiones Bancarias"/>
        <s v="Intereses Oxean"/>
        <s v="Otros Gastos"/>
        <s v=""/>
      </sharedItems>
    </cacheField>
    <cacheField name="Mes" numFmtId="49">
      <sharedItems containsBlank="1">
        <s v="01 ene"/>
        <s v="02 feb"/>
        <s v="03 mar"/>
        <s v="04 abr"/>
        <s v="05 may"/>
        <s v="06 jun"/>
        <s v="07 jul"/>
        <s v="08 ago"/>
        <s v="09 sep"/>
        <s v="10 oct"/>
        <m/>
      </sharedItems>
    </cacheField>
    <cacheField name="Año" numFmtId="0">
      <sharedItems containsString="0" containsBlank="1" containsNumber="1" containsInteger="1">
        <n v="2025.0"/>
        <m/>
      </sharedItems>
    </cacheField>
    <cacheField name="Pagado/No Pagado AL CIERRE" numFmtId="0">
      <sharedItems containsBlank="1">
        <m/>
        <s v="No Pagado"/>
        <s v="Pagado"/>
      </sharedItems>
    </cacheField>
    <cacheField name="Fecha de pago" numFmtId="0">
      <sharedItems containsDate="1" containsString="0" containsBlank="1">
        <m/>
        <d v="2025-06-02T00:00:00Z"/>
        <d v="2025-05-15T00:00:00Z"/>
        <d v="2025-05-05T00:00:00Z"/>
        <d v="2025-05-06T00:00:00Z"/>
        <d v="2025-05-07T00:00:00Z"/>
        <d v="2025-05-08T00:00:00Z"/>
        <d v="2025-05-12T00:00:00Z"/>
        <d v="2025-05-19T00:00:00Z"/>
        <d v="2025-05-20T00:00:00Z"/>
        <d v="2025-06-05T00:00:00Z"/>
        <d v="2025-05-28T00:00:00Z"/>
        <d v="2025-05-23T00:00:00Z"/>
        <d v="2025-05-27T00:00:00Z"/>
        <d v="2025-05-29T00:00:00Z"/>
        <d v="2025-07-04T00:00:00Z"/>
        <d v="2025-06-23T00:00:00Z"/>
        <d v="2025-07-28T00:00:00Z"/>
        <d v="2025-06-13T00:00:00Z"/>
        <d v="2025-06-12T00:00:00Z"/>
        <d v="2025-06-19T00:00:00Z"/>
        <d v="2025-06-27T00:00:00Z"/>
        <d v="2025-06-09T00:00:00Z"/>
        <d v="2025-06-10T00:00:00Z"/>
        <d v="2025-06-11T00:00:00Z"/>
        <d v="2025-06-18T00:00:00Z"/>
        <d v="2025-06-20T00:00:00Z"/>
        <d v="2025-07-29T00:00:00Z"/>
        <d v="2025-08-25T00:00:00Z"/>
        <d v="2025-08-12T00:00:00Z"/>
        <d v="2025-07-10T00:00:00Z"/>
        <d v="2025-07-01T00:00:00Z"/>
        <d v="2025-07-02T00:00:00Z"/>
        <d v="2025-07-03T00:00:00Z"/>
        <d v="2025-07-07T00:00:00Z"/>
        <d v="2025-07-08T00:00:00Z"/>
        <d v="2025-08-13T00:00:00Z"/>
        <d v="2025-07-18T00:00:00Z"/>
        <d v="2025-07-21T00:00:00Z"/>
        <d v="2025-07-22T00:00:00Z"/>
        <d v="2025-07-23T00:00:00Z"/>
        <d v="2025-07-25T00:00:00Z"/>
        <d v="2025-08-10T00:00:00Z"/>
        <d v="2025-09-22T00:00:00Z"/>
        <d v="2025-08-05T00:00:00Z"/>
        <d v="2025-08-01T00:00:00Z"/>
        <d v="2025-08-04T00:00:00Z"/>
        <d v="2025-08-07T00:00:00Z"/>
        <d v="2025-08-08T00:00:00Z"/>
        <d v="2025-08-11T00:00:00Z"/>
        <d v="2025-08-14T00:00:00Z"/>
        <d v="2025-08-18T00:00:00Z"/>
        <d v="2025-08-19T00:00:00Z"/>
        <d v="2025-08-22T00:00:00Z"/>
        <d v="2025-09-02T00:00:00Z"/>
        <d v="2025-09-30T00:00:00Z"/>
        <d v="2025-09-10T00:00:00Z"/>
        <d v="2025-09-09T00:00:00Z"/>
        <d v="2025-10-01T00:00:00Z"/>
        <d v="2025-10-03T00:00:00Z"/>
        <d v="2025-10-08T00:00:00Z"/>
        <d v="2025-10-09T00:00:00Z"/>
      </sharedItems>
    </cacheField>
    <cacheField name="Fecha emisión" numFmtId="0">
      <sharedItems containsDate="1" containsString="0" containsBlank="1">
        <m/>
        <d v="2025-05-01T00:00:00Z"/>
        <d v="2025-05-02T00:00:00Z"/>
        <d v="2025-05-05T00:00:00Z"/>
        <d v="2025-05-06T00:00:00Z"/>
        <d v="2025-05-07T00:00:00Z"/>
        <d v="2025-05-08T00:00:00Z"/>
        <d v="2025-05-12T00:00:00Z"/>
        <d v="2025-05-19T00:00:00Z"/>
        <d v="2025-05-20T00:00:00Z"/>
        <d v="2025-05-15T00:00:00Z"/>
        <d v="2025-04-30T00:00:00Z"/>
        <d v="2025-05-28T00:00:00Z"/>
        <d v="2025-05-23T00:00:00Z"/>
        <d v="2025-05-27T00:00:00Z"/>
        <d v="2025-05-30T00:00:00Z"/>
        <d v="2025-05-31T00:00:00Z"/>
        <d v="2025-06-02T00:00:00Z"/>
        <d v="2025-05-29T00:00:00Z"/>
        <d v="2025-06-04T00:00:00Z"/>
        <d v="2025-06-05T00:00:00Z"/>
        <d v="2025-06-06T00:00:00Z"/>
        <d v="2025-06-09T00:00:00Z"/>
        <d v="2025-06-10T00:00:00Z"/>
        <d v="2025-06-11T00:00:00Z"/>
        <d v="2025-06-12T00:00:00Z"/>
        <d v="2025-06-18T00:00:00Z"/>
        <d v="2025-06-20T00:00:00Z"/>
        <d v="2025-06-19T00:00:00Z"/>
        <d v="2025-06-23T00:00:00Z"/>
        <d v="2025-06-24T00:00:00Z"/>
        <d v="2025-06-25T00:00:00Z"/>
        <d v="2025-06-26T00:00:00Z"/>
        <d v="2025-06-27T00:00:00Z"/>
        <d v="2025-06-30T00:00:00Z"/>
        <d v="2025-07-01T00:00:00Z"/>
        <d v="2025-07-02T00:00:00Z"/>
        <d v="2025-07-03T00:00:00Z"/>
        <d v="2025-07-07T00:00:00Z"/>
        <d v="2025-07-08T00:00:00Z"/>
        <d v="2025-07-10T00:00:00Z"/>
        <d v="2025-07-16T00:00:00Z"/>
        <d v="2025-07-14T00:00:00Z"/>
        <d v="2025-07-18T00:00:00Z"/>
        <d v="2025-07-21T00:00:00Z"/>
        <d v="2025-07-22T00:00:00Z"/>
        <d v="2025-07-23T00:00:00Z"/>
        <d v="2025-07-25T00:00:00Z"/>
        <d v="2025-07-28T00:00:00Z"/>
        <d v="2025-07-24T00:00:00Z"/>
        <d v="2025-07-31T00:00:00Z"/>
        <d v="2025-07-29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8T00:00:00Z"/>
        <d v="2025-08-19T00:00:00Z"/>
        <d v="2025-08-22T00:00:00Z"/>
        <d v="2025-08-25T00:00:00Z"/>
        <d v="2025-08-26T00:00:00Z"/>
        <d v="2025-08-28T00:00:00Z"/>
        <d v="2025-08-31T00:00:00Z"/>
        <d v="2025-08-27T00:00:00Z"/>
        <d v="2025-09-01T00:00:00Z"/>
        <d v="2025-08-29T00:00:00Z"/>
        <d v="2025-09-03T00:00:00Z"/>
        <d v="2025-09-04T00:00:00Z"/>
        <d v="2025-09-02T00:00:00Z"/>
        <d v="2025-09-08T00:00:00Z"/>
        <d v="2025-09-09T00:00:00Z"/>
        <d v="2025-09-10T00:00:00Z"/>
        <d v="2025-09-12T00:00:00Z"/>
        <d v="2025-09-05T00:00:00Z"/>
        <d v="2025-09-11T00:00:00Z"/>
        <d v="2025-09-15T00:00:00Z"/>
        <d v="2025-09-17T00:00:00Z"/>
        <d v="2025-09-19T00:00:00Z"/>
        <d v="2025-09-24T00:00:00Z"/>
        <d v="2025-09-26T00:00:00Z"/>
        <d v="2025-09-25T00:00:00Z"/>
        <d v="2025-09-29T00:00:00Z"/>
        <d v="2025-09-27T00:00:00Z"/>
        <d v="2025-09-30T00:00:00Z"/>
        <d v="2025-09-22T00:00:00Z"/>
        <d v="2025-09-23T00:00:00Z"/>
        <d v="2025-10-07T00:00:00Z"/>
        <d v="2025-10-02T00:00:00Z"/>
        <d v="2025-10-01T00:00:00Z"/>
        <d v="2025-10-03T00:00:00Z"/>
        <d v="2025-10-06T00:00:00Z"/>
        <d v="2025-10-08T00:00:00Z"/>
        <d v="2025-10-10T00:00:00Z"/>
        <d v="2025-10-09T00:00:00Z"/>
        <d v="2025-10-16T00:00:00Z"/>
      </sharedItems>
    </cacheField>
    <cacheField name="Concepto/Detalle" numFmtId="0">
      <sharedItems containsBlank="1">
        <s v="SOSA GONZALEZ WALTER GASTON"/>
        <s v="GLOUP BY DIGITAL TIE"/>
        <s v="CATALINA ASTIZ"/>
        <s v="AYLEN MAGALI TAMER"/>
        <s v="CAMARA DOLORES"/>
        <s v="GASTON LEONARDO JULIAN"/>
        <s v="MARIA NAZARENA DRACHEMBERG"/>
        <s v="MARIA VICTORIA ACHABAL"/>
        <s v="MARICEL ELINA PEREZ"/>
        <s v="MATIAS GONZALEZ VIRGILI"/>
        <s v="MATIAS SMART (VICTORIA PURICELLI)"/>
        <s v="VICTORIA PURICELLI (SALDO)"/>
        <s v="MERELLO ABENTE MARIA DEL ROSARIO"/>
        <s v="PABLO JAVIER RUIZ OVEJERO"/>
        <s v="QUIROGA MALENA"/>
        <s v="ROMINA MARIANELA FIGUEROA GUERRA"/>
        <s v="SANDRA CARINA HEYMAN"/>
        <s v="TOMAS HORACIO FACIO"/>
        <s v="TRINIDAD PETREIGNE BACIGALUPE"/>
        <s v="VANINA LANZA"/>
        <s v="SABRINA SOLEDAD PECHI"/>
        <s v="XAVIER RICARDO ARANZANA"/>
        <s v="CAMILA FERRARIS  (PEOPLE 8 hs.)"/>
        <s v="BRANDWATCH SOLO CONSIDERAR 3 MESES"/>
        <s v="LUAN DIGITAL"/>
        <s v="YOUSCAN"/>
        <s v="ESTUDIO CONTABLE Enero (VARIABLE)"/>
        <s v="***TARJETAS VISA/ AMEX Enero"/>
        <s v="INGRESOS BRUTOS Enero"/>
        <s v="IVA Enero"/>
        <s v="HONORARIOS TOMAS Enero"/>
        <s v="HONORARIOS OXEAN ADMINISTRACION Enero"/>
        <s v="DIGITALOCEAN.COM 01/31 PURCHASE 6468274366 NY DEBIT CARD *9122"/>
        <s v="GOOGLE*GSUITE EPI 02/01 PURCHASE 6502530000 CA DEBIT CARD *9122"/>
        <s v="Google ADS7881686 02/01 PURCHASE 6502530000 CA DEBIT CARD *9122"/>
        <s v="LinkedIn SN P2358 02/02 PURCHASE LINKEDIN.COM 00 DEBIT CARD *9122"/>
        <s v="APPLE.COM/BILL 02/02 PURCHASE 8667127753 CA DEBIT CARD *9122"/>
        <s v="ADOBE *ADOBE 02/03 PURCHASE 4085366000 CA DEBIT CARD *9122"/>
        <s v="REPLIT, INC. 02/04 PURCHASE 6282002281 CA DEBIT CARD *9122"/>
        <s v="Impuestos a pagar USA"/>
        <s v="GASTON ANDRES GUNTREN"/>
        <s v="MANUEL JORGE ADARO ( AGUSTINA CERAVOLO)"/>
        <s v="DOLORES CAMARA"/>
        <s v="ROSARIO MERELLO"/>
        <s v="TOMAS FACIO"/>
        <s v="VICTORIA ACHABAL"/>
        <s v="VICTORIA PURICELLI"/>
        <s v="ESTUDIO CONTABLE Febrero (VARIABLE)"/>
        <s v="***TARJETAS VISA/ AMEX Febrero"/>
        <s v="INGRESOS BRUTOS Febrero"/>
        <s v="IVA Febrero"/>
        <s v="HONORARIOS TOMAS Febrero"/>
        <s v="HONORARIOS OXEAN ADMINISTRACION Febrero"/>
        <m/>
        <s v="BETTINA ALEJANDRA FRIAS - Ceravolo Agustina"/>
        <s v="DENISE CAROLINA SIELFELD"/>
        <s v="Catalina Astiz efvo"/>
        <s v="QUIROGA NO ENVIO FC"/>
        <s v="TOMAS FACIO NO ENVIO FC"/>
        <s v="ESTUDIO CONTABLE Marzo (VARIABLE)"/>
        <s v="***TARJETAS VISA/ AMEX Marzo"/>
        <s v="INGRESOS BRUTOS Marzo"/>
        <s v="IVA Marzo"/>
        <s v="HONORARIOS TOMAS Marzo"/>
        <s v="HONORARIOS OXEAN ADMINISTRACION Marzo"/>
        <s v="SILVANA RAQUEL VERA"/>
        <s v="ARANZANA XAVIER RICARDO"/>
        <s v="AYALA SOL MACARENA"/>
        <s v="ESTUDIO CONTABLE Abril (VARIABLE) "/>
        <s v="***TARJETAS VISA/ AMEX Abril"/>
        <s v="INGRESOS BRUTOS Abril"/>
        <s v="IVA Abril"/>
        <s v="HONORARIOS TOMAS Abril"/>
        <s v="HONORARIOS OXEAN ADMINISTRACION Abril"/>
        <s v="Gastos tarjeta USA"/>
        <s v="Impuesto USA"/>
        <s v="Comisiones bancarias Tomas Criado"/>
        <s v="ITECSA INTERNET TECHNOLOGIES S.A."/>
        <s v="IVA MAYO"/>
        <s v="IB MAYO"/>
        <s v="ESTUDIO CONTABLE Mayo (VARIABLE) "/>
        <s v="Impuesto USA Mayo"/>
        <s v="honorarios oxean Mayo"/>
        <s v="***TARJETAS VISA/ AMEX Mayo"/>
        <s v="AGUSTINA MARIA CERAVOLO"/>
        <s v="PABLO OVEJERO"/>
        <s v="SANTIAGO BERISSO"/>
        <s v="SOL MACARENA AYALA"/>
        <s v="HONORARIOS TOMAS Mayo"/>
        <s v="TOMAS CRIADO"/>
        <s v="IVA JUNIO"/>
        <s v="IB JUNIO"/>
        <s v="ESTUDIO CONTABLE JUNIO (VARIABLE) "/>
        <s v="Impuesto USA JUNIO"/>
        <s v="honorarios oxean JUNIO"/>
        <s v="***TARJETAS VISA/ AMEX JUNIO"/>
        <s v="Diferencia honorarios oxean Mayo"/>
        <s v="Tomas Criado A cuenta honorarios Julio"/>
        <s v="GASTON GUNTREN"/>
        <s v="XAVIER (NO ENVIO FACTURA)"/>
        <s v="SMART MATIAS"/>
        <s v="GASTOS USA"/>
        <s v=" ITECSA INTERNET TECHNOLOGIES S.A."/>
        <s v="Factura de Compra N° C-00004-00000054"/>
        <s v="XAVIER (Diferencia factura enviada)"/>
        <s v="OPENAI *CHATGPT S 07/11 PURCHASE 4158799686 CA DEBIT CARD *9122"/>
        <s v="X CORP. PAID FEAT 07/17 PURCHASE 4156978699 TX DEBIT CARD *9122"/>
        <s v="LinkedIn Pre P713 07/19 PURCHASE LINKEDIN.COM 00 DEBIT CARD *9122"/>
        <s v="Mailchimp 07/22 PURCHASE 6789990141 GA DEBIT CARD *9122"/>
        <s v="TAPCLICKS* MEGALY 07/22 PURCHASE 4087252942 CA DEBIT CARD *9122"/>
        <s v="REPLIT, INC. 07/24 PURCHASE 6282002281 CA DEBIT CARD *9122"/>
        <s v="Devolucion Pasaje Romina Figueroa"/>
        <s v="Devolucion viaticos reunion Tomas Criado"/>
        <s v="Devolucion viaticos reunion Gaston"/>
        <s v="Devolucion viaticos reunion Vicky"/>
        <s v="GASTON GRUNTREN"/>
        <s v="TRINIDAD BACIGALUPE"/>
        <s v="MATIAS SMART"/>
        <s v="IVA JULIO"/>
        <s v="IB JULIO"/>
        <s v="ESTUDIO CONTABLE JULIO (VARIABLE) "/>
        <s v="Impuesto USA JULIO"/>
        <s v="honorarios oxean JULIO"/>
        <s v="***TARJETAS VISA/ AMEX JULIO"/>
        <s v="Honorarios Tomas Julio"/>
        <s v="Bono Tomas Julio"/>
        <s v="ESTUDIO CONTABLE JUNIO (VARIABLE)"/>
        <s v="Wire Transfer Fee"/>
        <s v="DIGITALOCEAN.COM 08/01 PURCHASE 6468274366 NY DEBIT CARD *9122"/>
        <s v="Google GSUITE_epi 08/01 PURCHASE 6502530000 CA DEBIT CARD *9122"/>
        <s v="LinkedIn SN P4884 08/02 PURCHASE LINKEDIN.COM 00 DEBIT CARD *9122"/>
        <s v="APPLE.COM/BILL 08/02 PURCHASE 8667127753 CA DEBIT CARD *9122"/>
        <s v="Adobe 08/03 PURCHASE 8008336687 CA DEBIT CARD *9122"/>
        <s v="OPENAI *CHATGPT S 08/06 PURCHASE 4158799686 CA DEBIT CARD *9122"/>
        <s v="CANVA* I04601- 08/07 PURCHASE CAMDEN DE DEBIT CARD *9122"/>
        <s v="TYPEFORM, S.L. 08/07 PURCHASE BARCELONA 00 DEBIT CARD *9122"/>
        <s v="REPLIT, INC. 08/09 PURCHASE 6282002281 CA DEBIT CARD *9122"/>
        <s v="OPENAI *CHATGPT S 08/11 PURCHASE 4158799686 CA DEBIT CARD *9122"/>
        <s v="A-0001-00008005"/>
        <s v="A-0001-00008004"/>
        <s v="A-0001-00007997"/>
        <s v="A-0001-00007994"/>
        <s v="A-0001-00007988"/>
        <s v="A-0001-00007982"/>
        <s v="A-0001-00007977"/>
        <s v="A-0001-00007972"/>
        <s v="A-0001-00007970"/>
        <s v="A-0001-00007969"/>
        <s v="A-0001-00007968"/>
        <s v="A-0001-00007963"/>
        <s v="A-0001-00007960"/>
        <s v="A-0001-00007956"/>
        <s v="A-0001-00007955"/>
        <s v="A-0001-00007953"/>
        <s v="A-0001-00007950"/>
        <s v="A-0001-00007948"/>
        <s v="A-0001-00007976"/>
        <s v="X CORP. PAID FEAT 08/17 PURCHASE 4156978699 TX DEBIT CARD *9122"/>
        <s v="REPLIT, INC. 08/18 PURCHASE 6282002281 CA DEBIT CARD *9122"/>
        <s v="LinkedIn Pre P512 08/19 PURCHASE LINKEDIN.COM 00 DEBIT CARD *9122"/>
        <s v="Mailchimp 08/22 PURCHASE 6789990141 GA DEBIT CARD *9122"/>
        <s v="C-0002-0000004"/>
        <s v="C-0005-0000004"/>
        <s v="C-0006-0000018"/>
        <s v="C-0003-0000004"/>
        <s v="C-0001-0000009"/>
        <s v="C-0002-0000005"/>
        <s v="C-0003-0000003"/>
        <s v="C-0002-0000002"/>
        <s v="C-0002-0000003"/>
        <s v="C-0099-0000002"/>
        <s v="ESTUDIO CONTABLE AGOSTO (VARIABLE) "/>
        <s v="Impuesto USA AGOSTO"/>
        <s v="honorarios oxean AGOSTO"/>
        <s v="***TARJETAS VISA/ AMEX AGOSTO"/>
        <s v="Honorarios Tomas Agosto"/>
        <s v="TAPCLICKS* MEGALY 08/22 PURCHASE 4087252942 CA DEBIT CARD *9122"/>
        <s v="REPLIT, INC. 08/26 PURCHASE 6282002281 CA DEBIT CARD *9122"/>
        <s v="ASANA.COM 08/26 PURCHASE 4155253888 CA DEBIT CARD *9122"/>
        <s v="Intereses"/>
        <s v="IVA AGOSTO"/>
        <s v="IB AGOSTO"/>
        <s v="C-00001-00000270"/>
        <s v="C-00002-00000211"/>
        <s v="C-00001-00000012"/>
        <s v="C-00001-00000021"/>
        <s v="C-00001-00000015"/>
        <s v="C-0001-0000003"/>
        <s v="C-00003-00000055"/>
        <s v="C-00022-0000354"/>
        <s v="C-00001-00000013"/>
        <s v="C-0002-0000077"/>
        <s v="C-00004-00000057"/>
        <s v="C-0001-0000120"/>
        <s v="C-0001-0000018"/>
        <s v="C-0003-0000089"/>
        <s v="REPLIT, INC. 08/31 PURCHASE 6282002281 CA DEBIT CARD *9122"/>
        <s v="DIGITALOCEAN.COM 08/31 PURCHASE 6468274366 NY DEBIT CARD *9122"/>
        <s v="Google GSUITE_epi 09/01 PURCHASE 6502530000 CA DEBIT CARD *9122"/>
        <s v="LinkedIn SN P5315 09/02 PURCHASE LINKEDIN.COM 00 DEBIT CARD *9122"/>
        <s v="APPLE.COM/BILL 09/02 PURCHASE 8667127753 CA DEBIT CARD *9122"/>
        <s v="Adobe 09/03 PURCHASE 8008336687 CA DEBIT CARD *9122"/>
        <s v="OPENAI *CHATGPT S 09/06 PURCHASE 4158799686 CA DEBIT CARD *9122"/>
        <s v="CANVA* I04632-359 09/07 PURCHASE 7372853388 DE DEBIT CARD *9122"/>
        <s v="TYPEFORM, S.L. 09/07 PURCHASE BARCELONA 00 DEBIT CARD *9122"/>
        <s v="REPLIT, INC. 09/08 PURCHASE 6282002281 CA DEBIT CARD *9122"/>
        <s v="REPLIT, INC. 09/09 PURCHASE 6282002281 CA DEBIT CARD *9122"/>
        <s v="OPENAI *CHATGPT S 09/11 PURCHASE 4158799686 CA DEBIT CARD *9122"/>
        <s v="C-00002-0000034"/>
        <s v="C-00001-0000085"/>
        <s v="C-00002-0000031"/>
        <s v="A-00002-00001880"/>
        <s v="C-00001-0000052"/>
        <s v="C-00002-0000231"/>
        <s v="C-00001-0000064"/>
        <s v="PAGO DE MAS"/>
        <s v="REPLIT, INC. 09/12 PURCHASE 6282002281 CA DEBIT CARD *9122"/>
        <s v="X CORP. PAID FEAT 09/17 PURCHASE 4156978699 TX DEBIT CARD *9122"/>
        <s v="Nicolas regalos fin de año 2024"/>
        <s v="Tomas Criado Almuerzo"/>
        <s v="E-00001-0000010"/>
        <s v="E-00002-0000005"/>
        <s v="E-00003-0000004"/>
        <s v="E-00006-0000019"/>
        <s v="E-00002-0000003"/>
        <s v="E-00005-0000005"/>
        <s v="E-00002-0000006"/>
        <s v="E-00003-0000005"/>
        <s v="E-00003-0000010"/>
        <s v="E-00003-0000099"/>
        <s v="E-00002-0000004"/>
        <s v="E-00002-0000001"/>
        <s v="TOMAS CRIADO HONORARIOS SEPT (DIF. )"/>
        <s v="LinkedIn Pre P558 09/19 PURCHASE LINKEDIN.COM 00 DEBIT CARD *9122"/>
        <s v="Mailchimp 09/22 PURCHASE 6789990141 GA DEBIT CARD *9122"/>
        <s v="TAPCLICKS* MEGALY 09/22 PURCHASE 4087252942 CA DEBIT CARD *9122"/>
        <s v="REPLIT, INC. 09/23 PURCHASE 6282002281 CA DEBIT CARD *9122"/>
        <s v="ASANA.COM 09/26 PURCHASE 4155253888 CA DEBIT CARD *9122"/>
        <s v="CAMILA DENISSE BURSTEIN"/>
        <s v="BIG BOX"/>
        <s v="ESTUDIO CONTABLE SEPTIEMBRE (VARIABLE) "/>
        <s v="Impuesto USA SEPTIEMBRE"/>
        <s v="honorarios oxean SEPTIEMBRE"/>
        <s v="Intereses al 30/09/2025"/>
        <s v="IVA SEPTIEMBRE"/>
        <s v="IB SEPTIEMBRE"/>
        <s v="DIGITALOCEAN.COM 09/30 PURCHASE 6468274366 NY DEBIT CARD *9122"/>
        <s v="Google GSUITE_epi 10/01 PURCHASE 6502530000 CA DEBIT CARD *9122"/>
        <s v="LinkedIn SN P5764 10/02 PURCHASE LINKEDIN.COM 00 DEBIT CARD *9122"/>
        <s v="APPLE.COM/BILL 10/02 PURCHASE 8667127753 CA DEBIT CARD *9122"/>
        <s v="Adobe 10/03 PURCHASE 8008336687 CA DEBIT CARD *9122"/>
        <s v="OPENAI 10/03 PURCHASE 4158799686 CA DEBIT CARD *9122"/>
        <s v="OPENAI *CHATGPT S 10/06 PURCHASE 4158799686 CA DEBIT CARD *9122"/>
        <s v="TYPEFORM, S.L. 10/07 PURCHASE BARCELONA 00 DEBIT CARD *9122"/>
        <s v="CANVA* I04662-444 10/07 PURCHASE 7372853388 DE DEBIT CARD *9122"/>
        <s v="REPLIT, INC. 10/09 PURCHASE 6282002281 CA DEBIT CARD *9122"/>
        <s v="FACTURA"/>
      </sharedItems>
    </cacheField>
    <cacheField name="Descripción/Factura" numFmtId="0">
      <sharedItems containsBlank="1">
        <s v="Factura de Compra N° C-00001-00000125"/>
        <s v="Factura de Compra N° A-00002-00000591"/>
        <s v="EFVO."/>
        <s v="C-00002-00000024"/>
        <s v="C-00001-00000113"/>
        <s v="C-00001-00000240"/>
        <s v="C-00001-00000010"/>
        <s v="C-00001-00000005"/>
        <s v="C-00002-00000326"/>
        <s v="C-00001-00000007"/>
        <s v="C-00003-00000097"/>
        <s v="Fac E  2"/>
        <s v="C-00003-00000073"/>
        <s v="C-00002-00000166"/>
        <s v="C-00001-00000058"/>
        <s v="C-00002-00000017"/>
        <s v="C-00004-00000006"/>
        <s v="C-00002-00000070"/>
        <s v="C-00001-00000071"/>
        <s v="C-00003-00000048"/>
        <s v="C-00001-00000008"/>
        <m/>
        <s v="LA ENVIAN CUANDO SE ABONA"/>
        <s v="Factura de Compra N° A-00002-00000607"/>
        <s v="C-00001-00000046"/>
        <s v="C-00002-00000020"/>
        <s v="C-00003-00000049"/>
        <s v="C-00001-00000072"/>
        <s v="C-00002-00000025"/>
        <s v="C-00001-00000059"/>
        <s v="C-00002-00000328"/>
        <s v="C-00001-00000009"/>
        <s v="C-00001-00000243"/>
        <s v="C-00001-00000067"/>
        <s v="C-00001-00000006"/>
        <s v="C-00001-00000011"/>
        <s v="C-00001-00000114"/>
        <s v="C-00003-00000075"/>
        <s v="SIN FC"/>
        <s v="C-00003-00000098"/>
        <s v="C-00002-00000227"/>
        <s v="f/125"/>
        <s v="DIGITALOCEAN.COM 02/28 PURCHASE 6468274366 NY DEBIT CARD *9122"/>
        <s v="GOOGLE*GSUITE EPI 03/01 PURCHASE 6502530000 CA DEBIT CARD *9122"/>
        <s v="Google ADS7881686 03/01 PURCHASE 6502530000 CA DEBIT CARD *9122"/>
        <s v="LinkedIn SN P2707 03/02 PURCHASE LINKEDIN.COM 00 DEBIT CARD *9122"/>
        <s v="APPLE.COM/BILL 03/02 PURCHASE 8667127753 CA DEBIT CARD *9122"/>
        <s v="ADOBE *ADOBE 03/03 PURCHASE 4085366000 CA DEBIT CARD *9122"/>
        <s v="REPLIT, INC. 03/04 PURCHASE 6282002281 CA DEBIT CARD *9122"/>
        <s v="OPENAI *CHATGPT S 03/06 PURCHASE 4158799686 CA DEBIT CARD *9122"/>
        <s v="CANVA* I04448- 03/07 PURCHASE CAMDEN DE DEBIT CARD *9122"/>
        <s v="DIGITALOCEAN.COM 03/31 PURCHASE 6468274366 NY DEBIT CARD *9122"/>
        <s v="Google GSUITE_epi 04/01 PURCHASE 6502530000 CA DEBIT CARD *9122"/>
        <s v="Google ADS7881686 04/01 PURCHASE 6502530000 CA DEBIT CARD *9122"/>
        <s v="LinkedIn SN P3145 04/02 PURCHASE LINKEDIN.COM 00 DEBIT CARD *9122"/>
        <s v="APPLE.COM/BILL 04/02 PURCHASE 8667127753 CA DEBIT CARD *9122"/>
        <s v="C-00002-00000027"/>
        <s v="C-00002-00000061"/>
        <s v="C-00001-00000116"/>
        <s v="C-00001-00000048"/>
        <s v="C-00001-00000252"/>
        <s v="C-00002-00000337"/>
        <s v="C-00003-00000101"/>
        <s v="C-00003-00000080"/>
        <s v="C-00002-00000185"/>
        <s v="C-00001-00000060"/>
        <s v="C-00002-00000026"/>
        <s v="C-00001-00000013"/>
        <s v="C-00001-00000076"/>
        <s v="C-00003-00000051"/>
        <s v="C-00002-00000229"/>
        <s v="EFECTIVO"/>
        <s v="Factura de Compra N° C-00002-00000073"/>
        <s v="C-00002-00000001"/>
        <s v="f/128"/>
        <s v="8728F05C-0007"/>
        <s v="DIGITALOCEAN.COM PURCHASE 6468274366 NY DEBIT CARD *9122"/>
        <s v="Google GSUITE_epi PURCHASE 6502530000 CA DEBIT CARD *9122"/>
        <s v="Google ADS7881686  PURCHASE 6502530000 CA DEBIT CARD *9122"/>
        <s v="LinkedIn SN P3145  PURCHASE LINKEDIN.COM 00 DEBIT CARD *9122"/>
        <s v="APPLE.COM/BILL  PURCHASE 8667127753 CA DEBIT CARD *9122"/>
        <s v="IMPUESTOS USA % FACT Abril 2025"/>
        <s v="IMPUESTOS USA % FACT Marzo 2025"/>
        <s v="IMPUESTOS USA % FACT Febrero 2025"/>
        <s v="IMPUESTOS USA % FACT Enero 2025"/>
        <s v="C-00002-00001753"/>
        <s v="REPLIT, INC. 04/30 PURCHASE 6282002281 CA DEBIT CARD *9122"/>
        <s v="Google GSUITE_epi 05/01 PURCHASE 6502530000 CA DEBIT CARD *9122"/>
        <s v="Adobe 05/03 PURCHASE 8008336687 CA DEBIT CARD *9122"/>
        <s v="REPLIT, INC. 05/04 PURCHASE 6282002281 CA DEBIT CARD *9122"/>
        <s v="REPLIT, INC. 05/05 PURCHASE 6282002281 CA DEBIT CARD *9122"/>
        <s v="OPENAI *CHATGPT S 05/06 PURCHASE 4158799686 CA DEBIT CARD *9122"/>
        <s v="CANVA* I04509-700 05/07 PURCHASE 7372853388 DE DEBIT CARD *9122"/>
        <s v="TYPEFORM, S.L. 05/07 PURCHASE BARCELONA 00 DEBIT CARD *9122"/>
        <s v="REPLIT, INC. 05/09 PURCHASE 6282002281 CA DEBIT CARD *9122"/>
        <s v="OPENAI *CHATGPT S 05/11 PURCHASE 4158799686 CA DEBIT CARD *9122"/>
        <s v="X CORP. PAID FEAT 05/17 PURCHASE 4156978699 TX DEBIT CARD *9122"/>
        <s v="LinkedIn Pre P383 05/19 PURCHASE LINKEDIN.COM 00 DEBIT CARD *9122"/>
        <s v="F/6"/>
        <s v="Wire Transfer Fee"/>
        <s v="F/130"/>
        <s v="FC 1"/>
        <s v="Comision transfer USA"/>
        <s v="TAPCLICKS* MEGALY 05/22 PURCHASE 4087252942 CA DEBIT CARD *9122"/>
        <s v="MEETALFRED.COM 05/23 PURCHASE 7028698800 DE DEBIT CARD *9122"/>
        <s v="ASANA.COM 05/26 PURCHASE 4155253888 CA DEBIT CARD *9122"/>
        <s v="REPLIT, INC. 05/27 PURCHASE 6282002281 CA DEBIT CARD *9122"/>
        <s v="OPENAI 05/28 PURCHASE 4158799686 CA DEBIT CARD *9122"/>
        <s v="F/131"/>
        <s v="IMPUESTOS USA % FACT Mayo 2025"/>
        <s v="C-00001-00000001"/>
        <s v="C-00002-00000028"/>
        <s v="C-00001-00000117"/>
        <s v="C-00001-00000049"/>
        <s v="C-00001-00000256"/>
        <s v="C-00002-00000343"/>
        <s v="C-00001-00000012"/>
        <s v="C-00003-00000082"/>
        <s v="C-00001-00000061"/>
        <s v="C-00004-00000052"/>
        <s v="C-00001-00000015"/>
        <s v="C-00002-00000002"/>
        <s v="C-00002-00000074"/>
        <s v="C-00001-00000078"/>
        <s v="C-00003-00000052"/>
        <s v="C-00003-00000005"/>
        <s v="C-00003-00000203"/>
        <s v="C-00002-00000103"/>
        <s v="FALTA LA FC"/>
        <s v="A-00002-00001785"/>
        <s v="DIGITALOCEAN.COM 05/31 PURCHASE 6468274366 NY DEBIT CARD *9122"/>
        <s v="Google GSUITE_epi 06/01 PURCHASE 6502530000 CA DEBIT CARD *9122"/>
        <s v="GOOGLE *CLOUD V6X 06/01 PURCHASE 6502530000 CA DEBIT CARD *9122"/>
        <s v="LinkedIn SN P4034 06/02 PURCHASE LINKEDIN.COM 00 DEBIT CARD *9122"/>
        <s v="APPLE.COM/BILL 06/02 PURCHASE 8667127753 CA DEBIT CARD *9122"/>
        <s v="ADOBE *ADOBE 06/03 PURCHASE 4085366000 CA DEBIT CARD *9122"/>
        <s v="OPENAI *CHATGPT S 06/06 PURCHASE 4158799686 CA DEBIT CARD *9122"/>
        <s v="CANVA* I04540-460 06/07 PURCHASE 7372853388 DE DEBIT CARD *9122"/>
        <s v="TYPEFORM, S.L. 06/07 PURCHASE BARCELONA 00 DEBIT CARD *9122"/>
        <s v="DNH*GODADDY.COM 06/08 PURCHASE 4805058855 AZ DEBIT CARD *9122"/>
        <s v="DNH*GODADDY.COM 06/09 PURCHASE 4805058855 AZ DEBIT CARD *9122"/>
        <s v="REPLIT, INC. 06/09 PURCHASE 6282002281 CA DEBIT CARD *9122"/>
        <s v="OPENAI 06/10 PURCHASE 4158799686 CA DEBIT CARD *9122"/>
        <s v="OPENAI *CHATGPT S 06/11 PURCHASE 4158799686 CA DEBIT CARD *9122"/>
        <s v="X CORP. PAID FEAT 06/17 PURCHASE 4156978699 TX DEBIT CARD *9122"/>
        <s v="LinkedIn Pre P428 06/19 PURCHASE LINKEDIN.COM 00 DEBIT CARD *9122"/>
        <s v="F/7"/>
        <s v="Mailchimp 06/22 PURCHASE 6789990141 GA DEBIT CARD *9122"/>
        <s v="TAPCLICKS* MEGALY 06/22 PURCHASE 4087252942 CA DEBIT CARD *9122"/>
        <s v="ASANA.COM 06/26 PURCHASE 4155253888 CA DEBIT CARD *9122"/>
        <s v="FC/1 JUNIO"/>
        <s v="FC/16"/>
        <s v="FC/2"/>
        <s v="FC/1"/>
        <s v="FC/5"/>
        <s v="FC/6"/>
        <s v="FC 134"/>
        <s v="IMPUESTOS USA % FACT JUNIO 2025"/>
        <s v="C-00001-00000050"/>
        <s v="C-00001-00000002"/>
        <s v="C-00002-00000029"/>
        <s v="C-00001-00000118"/>
        <s v="C-00001-00000262"/>
        <s v="C-00002-00000346"/>
        <s v="C-00003-00000084"/>
        <s v="C-00001-00000062"/>
        <s v="C-00002-00000030"/>
        <s v="C-00004-00000053"/>
        <s v="C-00001-00000017"/>
        <s v="C-00002-00000003"/>
        <s v="C-00002-00000075"/>
        <s v="C-00001-00000080"/>
        <s v="C-00003-00000053"/>
        <s v="NO ENVIO FC"/>
        <s v="C-00003-00000104"/>
        <s v="DIGITALOCEAN.COM 06/30 PURCHASE 6468274366 NY DEBIT CARD *9122"/>
        <s v="Google GSUITE_epi 07/01 PURCHASE 6502530000 CA DEBIT CARD *9122"/>
        <s v="LinkedIn SN P6843 07/02 PURCHASE LINKEDIN.COM 00 DEBIT CARD *9122"/>
        <s v="OPENAI 07/02 PURCHASE 4158799686 CA DEBIT CARD *9122"/>
        <s v="APPLE.COM/BILL 07/02 PURCHASE 8667127753 CA DEBIT CARD *9122"/>
        <s v="REPLIT, INC. 07/02 PURCHASE 6282002281 CA DEBIT CARD *9122"/>
        <s v="Adobe 07/03 PURCHASE 8008336687 CA DEBIT CARD *9122"/>
        <s v="OPENAI *CHATGPT S 07/06 PURCHASE 4158799686 CA DEBIT CARD *9122"/>
        <s v="CANVA* I04570- 07/07 PURCHASE CAMDEN DE DEBIT CARD *9122"/>
        <s v="TYPEFORM, S.L. 07/07 PURCHASE BARCELONA 00 DEBIT CARD *9122"/>
        <s v="REPLIT, INC. 07/09 PURCHASE 6282002281 CA DEBIT CARD *9122"/>
        <s v="A-00002-00001815"/>
        <s v="SANTIAGO BERISSO"/>
        <s v="TOMAS CRIADO"/>
        <s v="GASTON JULIAN"/>
        <s v="VICTORIA PURICELLI"/>
        <s v="FC 2"/>
        <s v="FC 17"/>
        <s v="FC 3"/>
        <s v="FC 7"/>
        <s v="FC 8"/>
        <s v="IMPUESTOS USA % FACT JULIO 2025"/>
        <s v="ASANA.COM 07/26 PURCHASE 4155253888 CA DEBIT CARD *9122"/>
        <s v="ELEMENTOR 07/28 PURCHASE 8332351073 DE DEBIT CARD *9122"/>
        <s v="Semrush 07/28 PURCHASE 8008159959 MA DEBIT CARD *9122"/>
        <s v="REPLIT, INC. 07/29 PURCHASE 6282002281 CA DEBIT CARD *9122"/>
        <s v="WIRE TYPE:INTL OUT DATE:250805 TIME:1625 ET TRN:2025080500512292 SERVICE REF:437308 BNF:TOMAS HORACIO FACIO ID:3544148351 BNF BK:BANCO BBVA ARGENTINA S. ID:006550516928 PMT DET:5652478 98 POP OTHER/TRANSFER"/>
        <s v="ITECSA INTERNET TECHNOLOGIES S.A."/>
        <s v="IANNESSE LEANDRO JOSE"/>
        <s v="MARICEL ELINA PEREZ"/>
        <s v="SILVANA RAQUEL VERA"/>
        <s v="AYLEN MAGALI TAMER"/>
        <s v="QUIROGA MALENA"/>
        <s v="MERELLO ABENTE MARIA DEL ROSARIO"/>
        <s v="VANINA LANZA"/>
        <s v="GASTON LEONARDO JULIAN"/>
        <s v="MATIAS GONZALEZ VIRGILI"/>
        <s v="TOMAS HORACIO FACIO"/>
        <s v="CAMARA DOLORES"/>
        <s v="XAVIER RICARDO ARANZANA"/>
        <s v="TRINIDAD PETREIGNE BACIGALUPE"/>
        <s v="ROMINA MARIANELA FIGUEROA GUERRA"/>
        <s v="GASTON ANDRES GUNTREN"/>
        <s v="PABLO JAVIER RUIZ OVEJERO"/>
        <s v="SABRINA SOLEDAD PECHI"/>
        <s v="GASTOS TARJETA USA"/>
        <s v="CERAVOLO AGUSTINA MARIA"/>
        <s v="GUNTREN GASTON ANDRES"/>
        <s v="LANZA VANINA"/>
        <s v="PEREZ MARIEL ELINA"/>
        <s v="TAMER AYLEN MAGALI"/>
        <s v="AYALA SOL MACARENA"/>
        <s v="ACHABAL MARIA VICTORIA"/>
        <s v="FACIO TOMAS HORACIO"/>
        <s v="BERISSO SANTIAGO"/>
        <s v="PETREIGNE BACIGALUPE TRINIDAD"/>
        <s v="FIGUEROA GUERRA ROMINA MARIANELA"/>
        <s v="SMART MATIAS"/>
        <s v="MARIA VICTORIA ACHABAL"/>
        <s v="GONZALEZ VIRGILI MATIAS"/>
        <s v="SOL MACARENA AYALA"/>
        <s v="FACIO HORACIO TOMACIO"/>
        <s v="PEREZ MARICEL ELINA"/>
        <s v="MATIAS SMART"/>
        <s v="DOLORES CAMARA"/>
        <s v="AGUSTINA CAFISI (TOMAS CCRIADO)"/>
        <s v="C-00002-00000032"/>
        <s v="C-00001-00000121"/>
        <s v="C-00001-00000003"/>
        <s v="C-00001-00000053"/>
        <s v="C-00001-00000275"/>
        <s v="C-00002-00000359"/>
        <s v="C-00001-00000021"/>
        <s v="C-00003-00000090"/>
        <s v="C-00002-00000036"/>
        <s v="C-00001-00000024"/>
        <s v="C-00001-00000087"/>
        <s v="C-00003-00000056"/>
        <s v="C-00001-00000016"/>
        <s v="VIATICOS (ALMUERZO EQUIPO 9/10)"/>
      </sharedItems>
    </cacheField>
    <cacheField name="Fecha de vencimiento" numFmtId="168">
      <sharedItems containsDate="1" containsString="0" containsBlank="1">
        <d v="2024-05-01T00:00:00Z"/>
        <d v="2025-02-02T00:00:00Z"/>
        <d v="2025-01-31T00:00:00Z"/>
        <d v="2025-02-05T00:00:00Z"/>
        <d v="2025-02-04T00:00:00Z"/>
        <d v="2025-02-03T00:00:00Z"/>
        <d v="2025-01-21T00:00:00Z"/>
        <d v="2024-09-01T00:00:00Z"/>
        <d v="2025-02-28T00:00:00Z"/>
        <d v="2025-02-10T00:00:00Z"/>
        <d v="2025-02-18T00:00:00Z"/>
        <d v="2025-02-22T00:00:00Z"/>
        <m/>
        <d v="2025-03-01T00:00:00Z"/>
        <d v="2025-03-06T00:00:00Z"/>
        <d v="2025-02-24T00:00:00Z"/>
        <d v="2025-03-05T00:00:00Z"/>
        <d v="2025-03-11T00:00:00Z"/>
        <d v="2025-03-10T00:00:00Z"/>
        <d v="2025-03-18T00:00:00Z"/>
        <d v="2025-03-22T00:00:00Z"/>
        <d v="2025-04-30T00:00:00Z"/>
        <d v="2025-05-05T00:00:00Z"/>
        <d v="2025-05-02T00:00:00Z"/>
        <d v="2025-05-06T00:00:00Z"/>
        <d v="2025-05-07T00:00:00Z"/>
        <d v="2025-05-01T00:00:00Z"/>
        <d v="2025-04-05T00:00:00Z"/>
        <d v="2025-05-31T00:00:00Z"/>
        <d v="2025-06-10T00:00:00Z"/>
        <d v="2025-05-18T00:00:00Z"/>
        <d v="2025-05-22T00:00:00Z"/>
        <d v="2026-04-30T00:00:00Z"/>
        <d v="2025-05-09T00:00:00Z"/>
        <d v="2025-05-08T00:00:00Z"/>
        <d v="2025-05-12T00:00:00Z"/>
        <d v="2025-05-19T00:00:00Z"/>
        <d v="2025-05-20T00:00:00Z"/>
        <d v="2025-06-05T00:00:00Z"/>
        <d v="2025-05-28T00:00:00Z"/>
        <d v="2025-05-23T00:00:00Z"/>
        <d v="2025-05-27T00:00:00Z"/>
        <d v="2025-05-29T00:00:00Z"/>
        <d v="2025-07-01T00:00:00Z"/>
        <d v="2025-06-24T00:00:00Z"/>
        <d v="2025-06-19T00:00:00Z"/>
        <d v="2025-07-10T00:00:00Z"/>
        <d v="2025-06-18T00:00:00Z"/>
        <d v="2025-06-12T00:00:00Z"/>
        <d v="2025-06-02T00:00:00Z"/>
        <d v="2025-06-06T00:00:00Z"/>
        <d v="2025-06-09T00:00:00Z"/>
        <d v="2025-06-11T00:00:00Z"/>
        <d v="2025-06-20T00:00:00Z"/>
        <d v="2025-06-26T00:00:00Z"/>
        <d v="2025-06-23T00:00:00Z"/>
        <d v="2025-06-25T00:00:00Z"/>
        <d v="2025-06-27T00:00:00Z"/>
        <d v="2025-06-30T00:00:00Z"/>
        <d v="2025-07-30T00:00:00Z"/>
        <d v="2025-07-24T00:00:00Z"/>
        <d v="2025-07-19T00:00:00Z"/>
        <d v="2025-08-10T00:00:00Z"/>
        <d v="2025-07-18T00:00:00Z"/>
        <d v="2025-07-31T00:00:00Z"/>
        <d v="2025-07-07T00:00:00Z"/>
        <d v="2025-07-02T00:00:00Z"/>
        <d v="2025-07-03T00:00:00Z"/>
        <d v="2025-07-08T00:00:00Z"/>
        <d v="2025-07-17T00:00:00Z"/>
        <d v="2025-07-16T00:00:00Z"/>
        <d v="2025-07-14T00:00:00Z"/>
        <d v="2025-07-21T00:00:00Z"/>
        <d v="2025-07-22T00:00:00Z"/>
        <d v="2025-07-23T00:00:00Z"/>
        <d v="2025-07-25T00:00:00Z"/>
        <d v="2025-08-01T00:00:00Z"/>
        <d v="2025-09-10T00:00:00Z"/>
        <d v="2025-08-18T00:00:00Z"/>
        <d v="2025-08-08T00:00:00Z"/>
        <d v="2025-08-05T00:00:00Z"/>
        <d v="2025-08-06T00:00:00Z"/>
        <d v="2025-08-14T00:00:00Z"/>
        <d v="2025-08-04T00:00:00Z"/>
        <d v="2025-08-07T00:00:00Z"/>
        <d v="2025-08-11T00:00:00Z"/>
        <d v="2025-08-12T00:00:00Z"/>
        <d v="2025-08-13T00:00:00Z"/>
        <d v="2025-08-19T00:00:00Z"/>
        <d v="2025-08-22T00:00:00Z"/>
        <d v="2025-09-01T00:00:00Z"/>
        <d v="2025-10-15T00:00:00Z"/>
        <d v="2025-09-15T00:00:00Z"/>
        <d v="2025-08-25T00:00:00Z"/>
        <d v="2025-08-27T00:00:00Z"/>
        <d v="2025-11-14T00:00:00Z"/>
        <d v="2025-08-31T00:00:00Z"/>
        <d v="2025-09-02T00:00:00Z"/>
        <d v="2025-09-03T00:00:00Z"/>
        <d v="2025-09-08T00:00:00Z"/>
        <d v="2025-09-09T00:00:00Z"/>
        <d v="2025-09-12T00:00:00Z"/>
        <d v="2025-10-10T00:00:00Z"/>
        <d v="2025-09-17T00:00:00Z"/>
        <d v="2025-09-19T00:00:00Z"/>
        <d v="2025-10-01T00:00:00Z"/>
      </sharedItems>
    </cacheField>
    <cacheField name="Moneda original ARS" numFmtId="164">
      <sharedItems containsString="0" containsBlank="1" containsNumber="1">
        <n v="96000.0"/>
        <n v="1827887.0"/>
        <n v="218190.0"/>
        <n v="644403.0"/>
        <n v="1851120.0"/>
        <n v="537700.0"/>
        <n v="1280000.0"/>
        <n v="2500000.0"/>
        <n v="776000.0"/>
        <n v="420501.0"/>
        <n v="898903.0"/>
        <n v="1085230.0"/>
        <n v="161887.0"/>
        <n v="291750.0"/>
        <n v="413401.0"/>
        <n v="1550000.0"/>
        <n v="1113200.0"/>
        <n v="1408176.0"/>
        <n v="963542.0"/>
        <n v="1447861.0"/>
        <n v="32400.0"/>
        <n v="2160000.0"/>
        <n v="178400.0"/>
        <m/>
        <n v="86677.0"/>
        <n v="28405.0"/>
        <n v="579408.0"/>
        <n v="2689779.0"/>
        <n v="3025000.0"/>
        <n v="1763636.0"/>
        <n v="1173315.0"/>
        <n v="1926000.0"/>
        <n v="1782500.0"/>
        <n v="1606924.0"/>
        <n v="1219798.0"/>
        <n v="965821.0"/>
        <n v="829482.0"/>
        <n v="810000.0"/>
        <n v="609300.0"/>
        <n v="130500.0"/>
        <n v="48399.0"/>
        <n v="845000.0"/>
        <n v="2460976.0"/>
        <n v="309057.0"/>
        <n v="1619384.0"/>
        <n v="1000000.0"/>
        <n v="1403068.0"/>
        <n v="377230.0"/>
        <n v="45838.0"/>
        <n v="86405.0"/>
        <n v="306411.0"/>
        <n v="1256673.0"/>
        <n v="1263720.0"/>
        <n v="3418250.0"/>
        <n v="1087761.0"/>
        <n v="1500000.0"/>
        <n v="2022720.0"/>
        <n v="800000.0"/>
        <n v="1620000.0"/>
        <n v="820000.0"/>
        <n v="572000.0"/>
        <n v="390001.0"/>
        <n v="495998.0"/>
        <n v="103712.0"/>
        <n v="1148215.0"/>
        <n v="1645291.0"/>
        <n v="1094028.0"/>
        <n v="186575.0"/>
        <n v="614524.0"/>
        <n v="1368000.0"/>
        <n v="1862292.0"/>
        <n v="69810.0"/>
        <n v="0.0"/>
        <n v="466656.0"/>
        <n v="2420141.0"/>
        <n v="4500000.0"/>
        <n v="1354400.0"/>
        <n v="1602000.0"/>
        <n v="2900000.0"/>
        <n v="891000.0"/>
        <n v="1080125.0"/>
        <n v="456227.0"/>
        <n v="374498.0"/>
        <n v="617533.0"/>
        <n v="131250.0"/>
        <n v="1104780.0"/>
        <n v="1772986.0"/>
        <n v="1271818.0"/>
        <n v="386580.0"/>
        <n v="703000.0"/>
        <n v="878172.0"/>
        <n v="49230.0"/>
        <n v="53969.0"/>
        <n v="329085.0"/>
        <n v="1694577.0"/>
        <n v="1062717.0"/>
        <n v="45600.0"/>
        <n v="133705.0"/>
        <n v="1673785.0"/>
        <n v="308917.53465000005"/>
        <n v="49229.886"/>
        <n v="223609.31"/>
        <n v="1600000.0"/>
        <n v="1173200.0"/>
        <n v="2829279.0"/>
        <n v="785600.0"/>
        <n v="1770877.0"/>
        <n v="1015300.0"/>
        <n v="701360.0"/>
        <n v="117320.0"/>
        <n v="529405.0"/>
        <n v="998564.0"/>
        <n v="1929556.0"/>
        <n v="45658.4"/>
        <n v="1700000.0"/>
        <n v="442500.0"/>
        <n v="1757032.0"/>
        <n v="1100658.0"/>
        <n v="2038934.0"/>
        <n v="684000.0"/>
        <n v="483820.0"/>
        <n v="702565.0"/>
        <n v="483647.0"/>
        <n v="143990.0"/>
        <n v="1835920.0"/>
        <n v="337214.0"/>
        <n v="59568.3"/>
        <n v="4910000.0"/>
        <n v="111382.0"/>
        <n v="410000.0"/>
        <n v="-318979.0"/>
        <n v="392090.0"/>
        <n v="60123.0"/>
        <n v="401555.0"/>
        <n v="338952.0"/>
        <n v="281174.0"/>
        <n v="245242.0"/>
        <n v="671880.0"/>
        <n v="201120.0"/>
        <n v="394178.0"/>
        <n v="251466.0"/>
        <n v="22829.2"/>
        <n v="183868.0"/>
        <n v="408375.0"/>
        <n v="164136.0"/>
        <n v="250356.0"/>
        <n v="750055.0"/>
        <n v="232403.0"/>
        <n v="284750.0"/>
        <n v="802040.0"/>
        <n v="674500.0"/>
        <n v="515961.0"/>
        <n v="72726.0"/>
        <n v="161500.0"/>
        <n v="142317.48"/>
        <n v="221400.0"/>
        <n v="20000.0"/>
        <n v="132000.0"/>
        <n v="2012802.0"/>
        <n v="369970.0"/>
        <n v="71341.0"/>
        <n v="118200.0"/>
        <n v="59568.0"/>
        <n v="72000.0"/>
        <n v="169473.0"/>
        <n v="26385.0"/>
        <n v="436875.0"/>
        <n v="89131.0"/>
        <n v="1049356.0"/>
        <n v="326820.0"/>
        <n v="111181.0"/>
        <n v="1150600.0"/>
        <n v="237372.0"/>
        <n v="260763.0"/>
        <n v="912000.0"/>
        <n v="318008.0"/>
        <n v="503308.0"/>
        <n v="296488.0"/>
        <n v="712040.0"/>
        <n v="38048.66"/>
        <n v="66138.0"/>
        <n v="5302886.0"/>
        <n v="1876795.0"/>
        <n v="342986.0"/>
        <n v="537000.0"/>
        <n v="962040.0"/>
        <n v="61260.57"/>
        <n v="397500.0"/>
        <n v="950380.0"/>
        <n v="411785.0"/>
        <n v="199810.0"/>
        <n v="384121.0"/>
        <n v="666467.0"/>
        <n v="203711.0"/>
        <n v="275935.0"/>
        <n v="614374.0"/>
        <n v="1171485.0"/>
        <n v="450425.0"/>
        <n v="155290.0"/>
        <n v="621186.0"/>
        <n v="155249.0"/>
        <n v="289910.0"/>
        <n v="153310.0"/>
        <n v="836948.0"/>
        <n v="-96690.0"/>
        <n v="130000.0"/>
        <n v="66500.0"/>
        <n v="103069.0"/>
        <n v="317047.0"/>
        <n v="860000.0"/>
        <n v="296603.0"/>
        <n v="675800.0"/>
        <n v="316575.0"/>
        <n v="1364748.0"/>
        <n v="270255.0"/>
        <n v="110561.0"/>
        <n v="87515.1"/>
        <n v="487500.0"/>
        <n v="222501.0"/>
        <n v="102978.0"/>
        <n v="805000.0"/>
        <n v="762594.0"/>
        <n v="32000.0"/>
        <n v="98675.0"/>
        <n v="2811304.0"/>
        <n v="511723.0"/>
        <n v="369517.0"/>
        <n v="83680.0"/>
        <n v="141900.0"/>
      </sharedItems>
    </cacheField>
    <cacheField name="Moneda original USD" numFmtId="0">
      <sharedItems containsString="0" containsBlank="1" containsNumber="1">
        <m/>
        <n v="4050.0"/>
        <n v="600.0"/>
        <n v="7500.0"/>
        <n v="12.0"/>
        <n v="450.0"/>
        <n v="303.0"/>
        <n v="8.0"/>
        <n v="14.19"/>
        <n v="22.99"/>
        <n v="25.0"/>
        <n v="17732.0"/>
        <n v="466.0"/>
        <n v="304.0"/>
        <n v="20.0"/>
        <n v="6.49"/>
        <n v="16758.0"/>
        <n v="515.0"/>
        <n v="112.0"/>
        <n v="7.72"/>
        <n v="16536.0"/>
        <n v="117.0"/>
        <n v="-222.0"/>
        <n v="-974.0"/>
        <n v="1186.0"/>
        <n v="50.03"/>
        <n v="3.08"/>
        <n v="46.41"/>
        <n v="500.47"/>
        <n v="29.0"/>
        <n v="192.0"/>
        <n v="25.3"/>
        <n v="2000.0"/>
        <n v="45.0"/>
        <n v="1000.0"/>
        <n v="29.99"/>
        <n v="588.0"/>
        <n v="609.8"/>
        <n v="500.46"/>
        <n v="6.15"/>
        <n v="-4124.0"/>
        <n v="4000.0"/>
        <n v="633.6"/>
        <n v="6.91"/>
        <n v="59.88"/>
        <n v="22.17"/>
        <n v="383.56"/>
        <n v="6.11"/>
        <n v="25.19"/>
        <n v="3000.0"/>
        <n v="1440.0"/>
        <n v="597.0"/>
        <n v="2279.0"/>
        <n v="873.0"/>
        <n v="1469.0"/>
        <n v="1218.0"/>
        <n v="4500.0"/>
        <n v="1352.0"/>
        <n v="1557.0"/>
        <n v="1156.0"/>
        <n v="1568.0"/>
        <n v="1465.0"/>
        <n v="-4204.92"/>
        <n v="919.79"/>
        <n v="14.82"/>
        <n v="11.0"/>
        <n v="507.4"/>
        <n v="132.72"/>
        <n v="5.0"/>
        <n v="22.52"/>
        <n v="502.07"/>
        <n v="1141.0"/>
        <n v="614.0"/>
        <n v="2722.0"/>
        <n v="1366.0"/>
        <n v="1412.0"/>
        <n v="1313.0"/>
        <n v="1978.0"/>
        <n v="1526.0"/>
        <n v="1791.0"/>
        <n v="1429.0"/>
        <n v="2200.0"/>
        <n v="1500.0"/>
        <n v="725.0"/>
        <n v="49.0"/>
        <n v="139.95"/>
        <n v="500.54"/>
        <n v="820.0"/>
        <n v="1489.0"/>
        <n v="14.0"/>
        <n v="6.08"/>
        <n v="491.63"/>
        <n v="10634.0"/>
        <n v="501.77"/>
        <n v="22.26"/>
        <n v="408.0"/>
        <n v="1084.0"/>
        <n v="1472.0"/>
        <n v="455.0"/>
        <n v="1116.0"/>
        <n v="1120.0"/>
        <n v="2140.0"/>
        <n v="1284.0"/>
        <n v="1354.0"/>
        <n v="607.0"/>
        <n v="1516.0"/>
        <n v="15228.0"/>
        <n v="500.07"/>
        <n v="1108.55"/>
        <n v="500.96"/>
        <n v="607.42"/>
        <n v="6.05"/>
        <n v="500.2"/>
        <n v="171.47"/>
        <n v="501.0"/>
        <n v="1112.0"/>
        <n v="1151.0"/>
        <n v="1299.0"/>
        <n v="473.0"/>
        <n v="629.0"/>
        <n v="1369.0"/>
        <n v="1375.0"/>
        <n v="972.0"/>
        <n v="1478.0"/>
        <n v="1099.0"/>
        <n v="1339.0"/>
        <n v="2500.0"/>
        <n v="1361.64"/>
        <n v="30.0"/>
        <n v="502.0"/>
        <n v="610.0"/>
        <n v="10801.0"/>
        <n v="743.2"/>
        <n v="2.25"/>
        <n v="609.36"/>
        <n v="5.82"/>
        <n v="6.24"/>
        <n v="490.49"/>
      </sharedItems>
    </cacheField>
    <cacheField name="Cotización">
      <sharedItems containsBlank="1" containsMixedTypes="1" containsNumber="1" containsInteger="1">
        <n v="1220.0"/>
        <s v=""/>
        <n v="1230.0"/>
        <n v="1325.0"/>
        <n v="1185.0"/>
        <n v="1180.0"/>
        <n v="1215.0"/>
        <n v="1320.0"/>
        <n v="1345.0"/>
        <n v="1445.0"/>
        <m/>
        <n v="1440.0"/>
      </sharedItems>
    </cacheField>
    <cacheField name="Monto Total USD">
      <sharedItems containsMixedTypes="1" containsNumber="1">
        <n v="78.68852459016394"/>
        <n v="1498.2680327868852"/>
        <n v="178.84426229508196"/>
        <n v="528.1991803278688"/>
        <n v="1517.311475409836"/>
        <n v="440.73770491803276"/>
        <n v="1049.1803278688524"/>
        <n v="2049.1803278688526"/>
        <n v="636.0655737704918"/>
        <n v="344.6729508196721"/>
        <n v="736.805737704918"/>
        <n v="889.5327868852459"/>
        <n v="132.69426229508196"/>
        <n v="239.13934426229508"/>
        <n v="338.8532786885246"/>
        <n v="1270.4918032786886"/>
        <n v="912.4590163934427"/>
        <n v="1154.2426229508196"/>
        <n v="789.7885245901639"/>
        <n v="1186.77131147541"/>
        <n v="26.557377049180328"/>
        <n v="1770.4918032786886"/>
        <n v="146.2295081967213"/>
        <n v="4050.0"/>
        <n v="600.0"/>
        <n v="7500.0"/>
        <n v="71.04672131147541"/>
        <n v="23.2827868852459"/>
        <n v="474.92459016393445"/>
        <n v="2204.7368852459017"/>
        <n v="2479.5081967213114"/>
        <n v="12.0"/>
        <n v="450.0"/>
        <n v="303.0"/>
        <n v="8.0"/>
        <n v="14.19"/>
        <n v="22.99"/>
        <n v="25.0"/>
        <n v="17732.0"/>
        <n v="78.04878048780488"/>
        <n v="1433.850406504065"/>
        <n v="953.9146341463414"/>
        <n v="1565.8536585365853"/>
        <n v="1449.1869918699188"/>
        <n v="1306.4422764227643"/>
        <n v="991.7056910569106"/>
        <n v="785.2203252032521"/>
        <n v="674.3756097560976"/>
        <n v="658.5365853658536"/>
        <n v="495.3658536585366"/>
        <n v="437.1544715447154"/>
        <n v="106.09756097560975"/>
        <n v="39.34878048780488"/>
        <n v="686.9918699186992"/>
        <n v="2000.7934959349593"/>
        <n v="251.2658536585366"/>
        <n v="1316.5723577235772"/>
        <n v="2032.520325203252"/>
        <n v="813.0081300813008"/>
        <n v="1140.7056910569106"/>
        <n v="306.6910569105691"/>
        <n v="37.266666666666666"/>
        <n v="70.2479674796748"/>
        <n v="249.11463414634147"/>
        <n v="1021.6853658536585"/>
        <n v="1027.4146341463415"/>
        <n v="2779.0650406504064"/>
        <n v="466.0"/>
        <n v="304.0"/>
        <n v="20.0"/>
        <n v="6.49"/>
        <n v="16758.0"/>
        <n v="72.45283018867924"/>
        <n v="820.9516981132075"/>
        <n v="1132.0754716981132"/>
        <n v="1526.5811320754717"/>
        <n v="603.7735849056604"/>
        <n v="1222.6415094339623"/>
        <n v="405.811320754717"/>
        <n v="637.7358490566038"/>
        <n v="1886.7924528301887"/>
        <n v="618.8679245283018"/>
        <n v="431.6981132075472"/>
        <n v="754.7169811320755"/>
        <n v="294.34037735849057"/>
        <n v="374.33811320754717"/>
        <n v="78.27320754716982"/>
        <n v="866.577358490566"/>
        <n v="1241.7290566037736"/>
        <n v="825.6815094339622"/>
        <n v="140.81132075471697"/>
        <n v="1345.2830188679245"/>
        <n v="463.79169811320753"/>
        <n v="1032.4528301886792"/>
        <n v="1405.5033962264151"/>
        <n v="52.68679245283019"/>
        <n v="0.0"/>
        <n v="352.19320754716983"/>
        <n v="1826.5215094339624"/>
        <n v="3396.2264150943397"/>
        <n v="515.0"/>
        <n v="112.0"/>
        <n v="7.72"/>
        <n v="16536.0"/>
        <n v="81.0126582278481"/>
        <n v="1142.9535864978902"/>
        <n v="1308.0168776371308"/>
        <n v="1706.9367088607594"/>
        <n v="1351.8987341772151"/>
        <n v="453.7552742616034"/>
        <n v="2447.2573839662446"/>
        <n v="751.8987341772151"/>
        <n v="911.4978902953586"/>
        <n v="843.8818565400844"/>
        <n v="385.0016877637131"/>
        <n v="316.03206751054853"/>
        <n v="521.1248945147679"/>
        <n v="1504.2194092827003"/>
        <n v="40.84303797468355"/>
        <n v="110.75949367088607"/>
        <n v="932.3037974683544"/>
        <n v="1496.190717299578"/>
        <n v="1073.264135021097"/>
        <n v="326.2278481012658"/>
        <n v="1366.568776371308"/>
        <n v="593.2489451476794"/>
        <n v="741.073417721519"/>
        <n v="41.54430379746835"/>
        <n v="45.54345991561181"/>
        <n v="277.7088607594937"/>
        <n v="1430.0227848101265"/>
        <n v="896.8075949367088"/>
        <n v="3797.46835443038"/>
        <n v="117.0"/>
        <n v="-222.0"/>
        <n v="-974.0"/>
        <n v="1186.0"/>
        <n v="38.644067796610166"/>
        <n v="113.30932203389831"/>
        <n v="50.03"/>
        <n v="3.08"/>
        <n v="46.41"/>
        <n v="500.47"/>
        <n v="29.0"/>
        <n v="192.0"/>
        <n v="25.3"/>
        <n v="2000.0"/>
        <n v="45.0"/>
        <n v="1000.0"/>
        <n v="29.99"/>
        <n v="588.0"/>
        <n v="609.8"/>
        <n v="500.46"/>
        <n v="6.15"/>
        <n v="1418.4618644067796"/>
        <n v="261.79452088983055"/>
        <n v="41.72024237288135"/>
        <n v="-4124.0"/>
        <n v="3813.5593220338983"/>
        <n v="189.49941525423728"/>
        <n v="1355.9322033898304"/>
        <n v="994.2372881355932"/>
        <n v="2397.69406779661"/>
        <n v="665.7627118644068"/>
        <n v="455.6779661016949"/>
        <n v="1500.743220338983"/>
        <n v="860.4237288135594"/>
        <n v="594.3728813559322"/>
        <n v="99.42372881355932"/>
        <n v="448.64830508474574"/>
        <n v="846.2406779661017"/>
        <n v="1635.2169491525424"/>
        <n v="38.6935593220339"/>
        <n v="1440.677966101695"/>
        <n v="375.0"/>
        <n v="1313.5593220338983"/>
        <n v="1489.0101694915254"/>
        <n v="932.7610169491526"/>
        <n v="1727.9101694915255"/>
        <n v="579.6610169491526"/>
        <n v="4000.0"/>
        <n v="410.0169491525424"/>
        <n v="595.3940677966102"/>
        <n v="847.457627118644"/>
        <n v="409.87033898305083"/>
        <n v="118.51028806584362"/>
        <n v="633.6"/>
        <n v="6.91"/>
        <n v="59.88"/>
        <n v="22.17"/>
        <n v="383.56"/>
        <n v="6.11"/>
        <n v="25.19"/>
        <n v="3000.0"/>
        <n v="1440.0"/>
        <n v="597.0"/>
        <n v="2279.0"/>
        <n v="873.0"/>
        <n v="1469.0"/>
        <n v="1218.0"/>
        <n v="4500.0"/>
        <n v="1352.0"/>
        <n v="1557.0"/>
        <n v="1156.0"/>
        <n v="1568.0"/>
        <n v="1465.0"/>
        <n v="1511.045267489712"/>
        <n v="277.54238683127573"/>
        <n v="49.02740740740741"/>
        <n v="-4204.92"/>
        <n v="4041.1522633744858"/>
        <n v="91.6724279835391"/>
        <n v="337.4485596707819"/>
        <n v="-241.65075757575758"/>
        <n v="322.7078189300411"/>
        <n v="49.48395061728395"/>
        <n v="330.49794238683126"/>
        <n v="278.9728395061728"/>
        <n v="442.5514403292181"/>
        <n v="231.41893004115227"/>
        <n v="201.84526748971194"/>
        <n v="552.9876543209876"/>
        <n v="165.53086419753086"/>
        <n v="324.42633744855965"/>
        <n v="206.9679012345679"/>
        <n v="18.78946502057613"/>
        <n v="151.33168724279835"/>
        <n v="336.1111111111111"/>
        <n v="135.09135802469135"/>
        <n v="206.0543209876543"/>
        <n v="617.3292181069959"/>
        <n v="191.27818930041153"/>
        <n v="234.3621399176955"/>
        <n v="660.1152263374486"/>
        <n v="555.1440329218107"/>
        <n v="424.6592592592593"/>
        <n v="40.51851851851852"/>
        <n v="919.79"/>
        <n v="14.82"/>
        <n v="11.0"/>
        <n v="507.4"/>
        <n v="132.72"/>
        <n v="109.08333333333333"/>
        <n v="55.095454545454544"/>
        <n v="122.34848484848484"/>
        <n v="5.0"/>
        <n v="22.52"/>
        <n v="502.07"/>
        <n v="107.81627272727273"/>
        <n v="167.72727272727272"/>
        <n v="15.151515151515152"/>
        <n v="100.0"/>
        <n v="1141.0"/>
        <n v="614.0"/>
        <n v="2722.0"/>
        <n v="1366.0"/>
        <n v="1412.0"/>
        <n v="1313.0"/>
        <n v="1978.0"/>
        <n v="1526.0"/>
        <n v="1791.0"/>
        <n v="1429.0"/>
        <n v="2200.0"/>
        <n v="1500.0"/>
        <n v="1524.85"/>
        <n v="280.280303030303"/>
        <n v="54.04621212121212"/>
        <n v="725.0"/>
        <n v="3719.6969696969695"/>
        <n v="89.54545454545455"/>
        <n v="49.0"/>
        <n v="139.95"/>
        <n v="500.54"/>
        <n v="820.0"/>
        <n v="45.127272727272725"/>
        <n v="1489.0"/>
        <n v="14.0"/>
        <n v="6.08"/>
        <n v="491.63"/>
        <n v="10634.0"/>
        <n v="107.05576208178438"/>
        <n v="53.531598513011154"/>
        <n v="126.00223048327138"/>
        <n v="19.617100371747213"/>
        <n v="324.81412639405204"/>
        <n v="66.26840148698885"/>
        <n v="780.1903345724907"/>
        <n v="242.98884758364312"/>
        <n v="82.66245353159852"/>
        <n v="399.7769516728625"/>
        <n v="855.4646840148699"/>
        <n v="176.48475836431226"/>
        <n v="193.87583643122676"/>
        <n v="678.0669144981413"/>
        <n v="236.4371747211896"/>
        <n v="374.2066914498141"/>
        <n v="220.4371747211896"/>
        <n v="529.3977695167287"/>
        <n v="28.28896654275093"/>
        <n v="501.77"/>
        <n v="22.26"/>
        <n v="408.0"/>
        <n v="1084.0"/>
        <n v="1472.0"/>
        <n v="455.0"/>
        <n v="1116.0"/>
        <n v="1120.0"/>
        <n v="2140.0"/>
        <n v="1284.0"/>
        <n v="1354.0"/>
        <n v="607.0"/>
        <n v="1516.0"/>
        <n v="49.173234200743494"/>
        <n v="15228.0"/>
        <n v="3942.6661710037174"/>
        <n v="500.07"/>
        <n v="1108.55"/>
        <n v="1395.3866171003717"/>
        <n v="255.0081784386617"/>
        <n v="399.25650557620816"/>
        <n v="715.2713754646841"/>
        <n v="45.54689219330855"/>
        <n v="295.53903345724905"/>
        <n v="706.6022304832713"/>
        <n v="306.1598513011152"/>
        <n v="148.55762081784385"/>
        <n v="285.5918215613383"/>
        <n v="495.5144981412639"/>
        <n v="151.45799256505578"/>
        <n v="205.15613382899627"/>
        <n v="456.7836431226766"/>
        <n v="870.992565055762"/>
        <n v="334.8884758364312"/>
        <n v="500.96"/>
        <n v="607.42"/>
        <n v="6.05"/>
        <n v="500.2"/>
        <n v="171.47"/>
        <n v="107.46712802768167"/>
        <n v="429.8865051903114"/>
        <n v="107.43875432525951"/>
        <n v="99.6470588235294"/>
        <n v="200.62975778546712"/>
        <n v="106.09688581314879"/>
        <n v="579.20276816609"/>
        <n v="-66.91349480968859"/>
        <n v="501.0"/>
        <n v="89.96539792387543"/>
        <n v="46.02076124567474"/>
        <n v="1112.0"/>
        <n v="1151.0"/>
        <n v="1299.0"/>
        <n v="473.0"/>
        <n v="629.0"/>
        <n v="1369.0"/>
        <n v="1375.0"/>
        <n v="972.0"/>
        <n v="1478.0"/>
        <n v="1099.0"/>
        <n v="1339.0"/>
        <n v="2500.0"/>
        <n v="1361.64"/>
        <n v="30.0"/>
        <n v="502.0"/>
        <n v="610.0"/>
        <n v="71.3280276816609"/>
        <n v="219.40968858131487"/>
        <n v="595.1557093425605"/>
        <n v="205.26159169550172"/>
        <n v="467.681660899654"/>
        <n v="219.08304498269896"/>
        <n v="944.4622837370242"/>
        <n v="187.02768166089965"/>
        <n v="76.5128027681661"/>
        <n v="60.5640830449827"/>
        <n v="337.3702422145329"/>
        <n v="153.97993079584776"/>
        <n v="71.26505190311418"/>
        <n v="557.0934256055364"/>
        <n v="527.7467128027681"/>
        <n v="22.14532871972318"/>
        <n v="68.28719723183391"/>
        <n v="10801.0"/>
        <n v="3669.8173010380624"/>
        <n v="743.2"/>
        <n v="1945.5391003460209"/>
        <n v="354.13356401384084"/>
        <n v="2.25"/>
        <n v="609.36"/>
        <n v="5.82"/>
        <n v="6.24"/>
        <n v="490.49"/>
        <n v="256.6090277777778"/>
        <n v="58.111111111111114"/>
        <n v="98.54166666666667"/>
        <s v=""/>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002" sheet="Proyectos confirmados y estimad"/>
  </cacheSource>
  <cacheFields>
    <cacheField name="Mes Facturación" numFmtId="49">
      <sharedItems containsBlank="1">
        <s v="01 ene"/>
        <s v="02 feb"/>
        <s v="03 mar"/>
        <s v="04 abr"/>
        <s v="05 may"/>
        <s v="06 jun"/>
        <s v="07 jul"/>
        <s v="08 ago"/>
        <s v="09 sep"/>
        <s v="10 oct"/>
        <s v="11 nov"/>
        <s v="12 dic"/>
        <m/>
      </sharedItems>
    </cacheField>
    <cacheField name="Año Facturación" numFmtId="0">
      <sharedItems containsString="0" containsBlank="1" containsNumber="1" containsInteger="1">
        <n v="2025.0"/>
        <n v="2026.0"/>
        <m/>
      </sharedItems>
    </cacheField>
    <cacheField name="Mes Cobro" numFmtId="49">
      <sharedItems containsBlank="1">
        <s v="04 abr"/>
        <s v="05 may"/>
        <s v="06 jun"/>
        <s v="07 jul"/>
        <s v="08 ago"/>
        <s v="09 sep"/>
        <s v="10 oct"/>
        <s v="11 nov"/>
        <s v="12 dic"/>
        <s v="01 ene"/>
        <s v="02 feb"/>
        <s v="03 mar"/>
        <m/>
      </sharedItems>
    </cacheField>
    <cacheField name="Año Cobro" numFmtId="0">
      <sharedItems containsString="0" containsBlank="1" containsNumber="1" containsInteger="1">
        <n v="2025.0"/>
        <n v="2026.0"/>
        <n v="2027.0"/>
        <m/>
      </sharedItems>
    </cacheField>
    <cacheField name="Cliente" numFmtId="0">
      <sharedItems containsBlank="1">
        <s v="Warner"/>
        <s v="Coca-Cola"/>
        <s v="Arcos Dorados"/>
        <s v="Kimberly Clark"/>
        <s v="Uber"/>
        <s v="Vertical Media"/>
        <s v="Play Digital S.A (Modo)"/>
        <s v="Coelsa"/>
        <s v="Detroit"/>
        <s v="Tortugas Open Mall"/>
        <s v="PeYa"/>
        <s v="Cami Criado"/>
        <s v="Animal Studio"/>
        <s v="Sentidos"/>
        <s v="BID"/>
        <s v="Molino Chacabuco"/>
        <s v="PepsiCo"/>
        <m/>
      </sharedItems>
    </cacheField>
    <cacheField name="Detalle" numFmtId="0">
      <sharedItems containsBlank="1">
        <s v="Fee Marketing"/>
        <s v="Fee Insights"/>
        <s v="Hecho en Mexico"/>
        <s v="Dashboard"/>
        <s v="Estudio Atributos"/>
        <s v="Fee Huggies"/>
        <s v="Uber Taxis"/>
        <m/>
        <s v="Fee mensual"/>
        <s v="Modificaciones Pagina Web"/>
        <s v="Vacaciones Invierno"/>
        <s v="Categoria"/>
        <s v="Olas"/>
        <s v="Diego Perez"/>
        <s v="Referentes Obesidad"/>
        <s v="Exploratorio Nicaragua"/>
        <s v="Background check 3 influencers"/>
        <s v="Exploratorio TACC"/>
        <s v="Tracking 3 Meses"/>
      </sharedItems>
    </cacheField>
    <cacheField name="Tipo de proyecto" numFmtId="0">
      <sharedItems containsBlank="1">
        <s v="Fee"/>
        <s v="One Shot"/>
        <m/>
      </sharedItems>
    </cacheField>
    <cacheField name="Confirmado" numFmtId="0">
      <sharedItems containsBlank="1">
        <s v="Si"/>
        <s v="No"/>
        <m/>
      </sharedItems>
    </cacheField>
    <cacheField name="Propuesta enviada" numFmtId="0">
      <sharedItems containsBlank="1">
        <s v="Si"/>
        <m/>
      </sharedItems>
    </cacheField>
    <cacheField name="Condición de pago">
      <sharedItems containsBlank="1" containsMixedTypes="1" containsNumber="1" containsInteger="1">
        <n v="90.0"/>
        <n v="45.0"/>
        <n v="120.0"/>
        <n v="30.0"/>
        <n v="60.0"/>
        <s v="Efectivo"/>
        <m/>
        <n v="0.0"/>
      </sharedItems>
    </cacheField>
    <cacheField name=" Ajuste" numFmtId="0">
      <sharedItems containsString="0" containsBlank="1" containsNumber="1">
        <m/>
        <n v="1.0"/>
        <n v="1.074000091307128"/>
        <n v="1.0915999263828449"/>
        <n v="1.1723746075709398"/>
        <n v="1.05"/>
        <n v="1.075"/>
        <n v="1.07"/>
      </sharedItems>
    </cacheField>
    <cacheField name="Valor Base" numFmtId="0">
      <sharedItems containsString="0" containsBlank="1" containsNumber="1">
        <m/>
        <n v="3920833.0"/>
        <n v="4210975.0"/>
        <n v="4596700.0"/>
        <n v="3075000.0"/>
        <n v="3718825.0"/>
        <n v="4359856.9496"/>
        <n v="4577849.79708"/>
        <n v="4921188.531861"/>
        <n v="5290277.671750574"/>
        <n v="5687048.497131867"/>
        <n v="6113577.134416757"/>
        <n v="6572095.419498013"/>
        <n v="718100.0"/>
        <n v="144000.0"/>
        <n v="718000.0"/>
        <n v="771250.0"/>
        <n v="792000.0"/>
        <n v="1071885.0"/>
        <n v="130000.0"/>
        <n v="370000.0"/>
        <n v="1114000.0"/>
        <n v="1191980.0"/>
        <n v="1675000.0"/>
        <n v="4250500.0"/>
        <n v="2000000.0"/>
        <n v="870000.0"/>
        <n v="1688220.0"/>
        <n v="7218136.43"/>
        <n v="1360000.0"/>
        <n v="3425000.0"/>
      </sharedItems>
    </cacheField>
    <cacheField name="Moneda Original ARS" numFmtId="0">
      <sharedItems containsString="0" containsBlank="1" containsNumber="1">
        <m/>
        <n v="420000.0"/>
        <n v="3430000.0"/>
        <n v="3920833.0"/>
        <n v="4210975.0"/>
        <n v="4596700.0"/>
        <n v="3075000.0"/>
        <n v="3718825.0"/>
        <n v="4359856.0"/>
        <n v="4359856.9496"/>
        <n v="4577849.79708"/>
        <n v="4921188.531861"/>
        <n v="5290277.671750574"/>
        <n v="5687048.497131867"/>
        <n v="6113577.134416757"/>
        <n v="6572095.419498013"/>
        <n v="718100.0"/>
        <n v="144000.0"/>
        <n v="718000.0"/>
        <n v="771250.0"/>
        <n v="792000.0"/>
        <n v="1071885.0"/>
        <n v="130000.0"/>
        <n v="370000.0"/>
        <n v="1114000.0"/>
        <n v="1275418.6"/>
        <n v="1675000.0"/>
        <n v="4250500.0"/>
        <n v="2000000.0"/>
        <n v="870000.0"/>
        <n v="1688220.0"/>
        <n v="7218136.43"/>
        <n v="1360000.0"/>
        <n v="3425000.0"/>
      </sharedItems>
    </cacheField>
    <cacheField name="Moneda Original USD" numFmtId="169">
      <sharedItems containsString="0" containsBlank="1" containsNumber="1" containsInteger="1">
        <n v="13450.0"/>
        <n v="14750.0"/>
        <n v="29230.0"/>
        <n v="60640.0"/>
        <n v="30320.0"/>
        <n v="5568.0"/>
        <m/>
        <n v="8450.0"/>
        <n v="16900.0"/>
        <n v="7550.0"/>
        <n v="7350.0"/>
        <n v="1750.0"/>
        <n v="1236.0"/>
        <n v="2472.0"/>
        <n v="3708.0"/>
        <n v="35550.0"/>
      </sharedItems>
    </cacheField>
    <cacheField name="IVA" numFmtId="0">
      <sharedItems containsString="0" containsBlank="1" containsNumber="1">
        <m/>
        <n v="88200.0"/>
        <n v="720300.0"/>
        <n v="823374.9299999999"/>
        <n v="884304.75"/>
        <n v="965307.0"/>
        <n v="645750.0"/>
        <n v="780953.25"/>
        <n v="915569.76"/>
        <n v="915569.9594159999"/>
        <n v="961348.4573868"/>
        <n v="1033449.5916908099"/>
        <n v="1110958.3110676205"/>
        <n v="1194280.184397692"/>
        <n v="1283851.198227519"/>
        <n v="1380140.0380945827"/>
        <n v="351750.0"/>
        <n v="892605.0"/>
        <n v="182700.0"/>
        <n v="354526.2"/>
        <n v="285600.0"/>
        <n v="719250.0"/>
        <n v="0.0"/>
      </sharedItems>
    </cacheField>
    <cacheField name="IIBB" numFmtId="0">
      <sharedItems containsString="0" containsBlank="1" containsNumber="1">
        <m/>
        <n v="16845.36"/>
        <n v="137570.44"/>
        <n v="157256.76996399998"/>
        <n v="168893.7853"/>
        <n v="184364.4436"/>
        <n v="123332.09999999998"/>
        <n v="149154.6331"/>
        <n v="174865.104448"/>
        <n v="174865.1425345568"/>
        <n v="183608.39966128464"/>
        <n v="197379.02963588096"/>
        <n v="212182.45685857203"/>
        <n v="228096.1411229649"/>
        <n v="245203.3517071873"/>
        <n v="263593.6030852263"/>
        <n v="67180.9"/>
        <n v="170479.054"/>
        <n v="34893.96"/>
        <n v="67711.12776"/>
        <n v="54546.880000000005"/>
        <n v="137369.9"/>
        <n v="0.0"/>
      </sharedItems>
    </cacheField>
    <cacheField name="Cotización">
      <sharedItems containsBlank="1" containsMixedTypes="1" containsNumber="1" containsInteger="1">
        <s v=""/>
        <n v="1220.0"/>
        <n v="1230.0"/>
        <n v="1325.0"/>
        <n v="1185.0"/>
        <n v="1180.0"/>
        <n v="1215.0"/>
        <n v="1320.0"/>
        <n v="1345.0"/>
        <n v="1445.0"/>
        <n v="1440.0"/>
        <n v="1499.0"/>
        <n v="1536.0"/>
        <n v="1589.0"/>
        <n v="1610.0"/>
        <n v="1638.0"/>
        <n v="1739.0"/>
        <m/>
      </sharedItems>
    </cacheField>
    <cacheField name="Monto Total USD">
      <sharedItems containsMixedTypes="1" containsNumber="1">
        <n v="13450.0"/>
        <n v="14750.0"/>
        <n v="29230.0"/>
        <n v="60640.0"/>
        <n v="30320.0"/>
        <n v="5568.0"/>
        <n v="344.26229508196724"/>
        <n v="341.4634146341463"/>
        <n v="2588.6792452830186"/>
        <n v="8450.0"/>
        <n v="16900.0"/>
        <n v="7550.0"/>
        <n v="7350.0"/>
        <n v="1750.0"/>
        <n v="3213.7975409836067"/>
        <n v="3187.6691056910568"/>
        <n v="3178.0943396226417"/>
        <n v="3553.565400843882"/>
        <n v="3568.6228813559323"/>
        <n v="3783.292181069959"/>
        <n v="3482.348484848485"/>
        <n v="2286.245353159851"/>
        <n v="2128.0276816609"/>
        <n v="2135.4166666666665"/>
        <n v="3048.217213114754"/>
        <n v="3023.4349593495936"/>
        <n v="2806.6603773584907"/>
        <n v="3138.2489451476795"/>
        <n v="3151.5466101694915"/>
        <n v="3588.3588477366256"/>
        <n v="3302.9219315151513"/>
        <n v="3241.5293305576206"/>
        <n v="3168.0621433079586"/>
        <n v="3179.0623590833334"/>
        <n v="3053.935821934623"/>
        <n v="3203.898783763672"/>
        <n v="3329.3125687542947"/>
        <n v="3285.886752640108"/>
        <n v="3229.717748321474"/>
        <n v="3270.2981582126895"/>
        <n v="3515.570520078641"/>
        <n v="3779.238309084539"/>
        <n v="588.6065573770492"/>
        <n v="117.07317073170732"/>
        <n v="583.739837398374"/>
        <n v="582.0754716981132"/>
        <n v="668.3544303797469"/>
        <n v="122.03389830508475"/>
        <n v="653.6016949152543"/>
        <n v="882.2098765432099"/>
        <n v="812.0340909090909"/>
        <n v="98.48484848484848"/>
        <n v="796.9405204460967"/>
        <n v="275.09293680297395"/>
        <n v="770.9342560553633"/>
        <n v="773.6111111111111"/>
        <n v="743.162108072048"/>
        <n v="830.3506510416668"/>
        <n v="1245.3531598513011"/>
        <n v="2941.522491349481"/>
        <n v="1384.083044982699"/>
        <n v="659.0909090909091"/>
        <n v="1168.318339100346"/>
        <n v="5916.5052704918035"/>
        <n v="1236.0"/>
        <n v="2472.0"/>
        <n v="3708.0"/>
        <n v="944.4444444444445"/>
        <n v="2378.472222222222"/>
        <n v="2229.8177083333335"/>
        <n v="35550.0"/>
        <s v=""/>
      </sharedItems>
    </cacheField>
    <cacheField name="Monto Total ARS CON IVA">
      <sharedItems containsMixedTypes="1" containsNumber="1">
        <s v=""/>
        <n v="508200.0"/>
        <n v="4150300.0"/>
        <n v="4744207.93"/>
        <n v="5095279.75"/>
        <n v="5562007.0"/>
        <n v="3720750.0"/>
        <n v="4499778.25"/>
        <n v="5275425.76"/>
        <n v="5275426.909016"/>
        <n v="5539198.2544668"/>
        <n v="5954638.12355181"/>
        <n v="6401235.982818195"/>
        <n v="6881328.681529559"/>
        <n v="7397428.332644276"/>
        <n v="7952235.457592596"/>
        <n v="718100.0"/>
        <n v="144000.0"/>
        <n v="718000.0"/>
        <n v="771250.0"/>
        <n v="792000.0"/>
        <n v="1071885.0"/>
        <n v="130000.0"/>
        <n v="370000.0"/>
        <n v="1114000.0"/>
        <n v="1275418.6"/>
        <n v="2026750.0"/>
        <n v="5143105.0"/>
        <n v="2000000.0"/>
        <n v="1052700.0"/>
        <n v="2042746.2"/>
        <n v="7218136.43"/>
        <n v="1645600.0"/>
        <n v="4144250.0"/>
      </sharedItems>
    </cacheField>
    <cacheField name="Monto Total USD CON IVA" numFmtId="164">
      <sharedItems containsSemiMixedTypes="0" containsString="0" containsNumber="1">
        <n v="13450.0"/>
        <n v="14750.0"/>
        <n v="29230.0"/>
        <n v="60640.0"/>
        <n v="30320.0"/>
        <n v="5568.0"/>
        <n v="416.55737704918033"/>
        <n v="413.1707317073171"/>
        <n v="3132.301886792453"/>
        <n v="8450.0"/>
        <n v="16900.0"/>
        <n v="7550.0"/>
        <n v="7350.0"/>
        <n v="1750.0"/>
        <n v="3888.6950245901635"/>
        <n v="3857.0796178861788"/>
        <n v="3845.494150943396"/>
        <n v="4299.814135021097"/>
        <n v="4318.033686440678"/>
        <n v="4577.78353909465"/>
        <n v="4213.641666666666"/>
        <n v="2766.35687732342"/>
        <n v="2574.9134948096885"/>
        <n v="2583.8541666666665"/>
        <n v="3688.3428278688525"/>
        <n v="3658.356300813008"/>
        <n v="3396.0590566037736"/>
        <n v="3797.281223628692"/>
        <n v="3813.3713983050848"/>
        <n v="4341.914205761317"/>
        <n v="3996.5355371333335"/>
        <n v="3922.2504899747214"/>
        <n v="3833.35519340263"/>
        <n v="3846.6654544908333"/>
        <n v="3695.262344540894"/>
        <n v="3876.717528354043"/>
        <n v="4028.4682081926962"/>
        <n v="3975.9229706945307"/>
        <n v="3907.958475468983"/>
        <n v="3957.0607714373546"/>
        <n v="4253.840329295156"/>
        <n v="4572.878353992292"/>
        <n v="588.6065573770492"/>
        <n v="117.07317073170732"/>
        <n v="583.739837398374"/>
        <n v="582.0754716981132"/>
        <n v="668.3544303797469"/>
        <n v="122.03389830508475"/>
        <n v="653.6016949152543"/>
        <n v="882.2098765432099"/>
        <n v="812.0340909090909"/>
        <n v="98.48484848484848"/>
        <n v="796.9405204460967"/>
        <n v="275.09293680297395"/>
        <n v="770.9342560553633"/>
        <n v="773.6111111111111"/>
        <n v="743.162108072048"/>
        <n v="830.3506510416668"/>
        <n v="1506.8773234200744"/>
        <n v="3559.242214532872"/>
        <n v="1384.083044982699"/>
        <n v="797.5"/>
        <n v="1413.6651903114187"/>
        <n v="5916.5052704918035"/>
        <n v="1236.0"/>
        <n v="2472.0"/>
        <n v="3708.0"/>
        <n v="1142.7777777777778"/>
        <n v="2877.9513888888887"/>
        <n v="2698.0794270833335"/>
        <n v="35550.0"/>
        <n v="0.0"/>
      </sharedItems>
    </cacheField>
    <cacheField name="Facturado/No Facturado" numFmtId="0">
      <sharedItems containsBlank="1">
        <s v="Facturado"/>
        <s v="No Facturado"/>
        <s v="No requiere factura"/>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225" sheet="Costos estimados"/>
  </cacheSource>
  <cacheFields>
    <cacheField name="Mes" numFmtId="49">
      <sharedItems containsBlank="1">
        <s v="06 jun"/>
        <s v="07 jul"/>
        <s v="08 ago"/>
        <s v="09 sep"/>
        <s v="10 oct"/>
        <s v="11 nov"/>
        <s v="12 dic"/>
        <m/>
      </sharedItems>
    </cacheField>
    <cacheField name="Año" numFmtId="0">
      <sharedItems containsString="0" containsBlank="1" containsNumber="1" containsInteger="1">
        <n v="2025.0"/>
        <m/>
      </sharedItems>
    </cacheField>
    <cacheField name="Detalle" numFmtId="0">
      <sharedItems containsBlank="1">
        <s v="Vicky Achabal"/>
        <s v="Lola Camara"/>
        <s v="Xavi Aranzana"/>
        <s v="Vanu Lanza"/>
        <s v="Tomi Facio"/>
        <s v="Aylu Tamer"/>
        <s v="Cata Astiz"/>
        <s v="Trini Petreigne"/>
        <s v="Romi Figueroa"/>
        <s v="Gast Guntren"/>
        <s v="Ina Ceravolo"/>
        <s v="Maricel Perez"/>
        <s v="Mati Gonzalez"/>
        <s v="To Merello"/>
        <s v="Male Quiroga"/>
        <s v="Sol Ayala"/>
        <s v="Santi Berisso"/>
        <s v="Sil Vera"/>
        <s v="Vicky Puricelli"/>
        <s v="Tomi Criado"/>
        <s v="Honorarios Oxean"/>
        <s v="Gastón Julian"/>
        <s v="Pablo Ovejero"/>
        <s v="Luan Digital"/>
        <s v="Youscan"/>
        <s v="Brandwatch"/>
        <s v="Estudio Contable"/>
        <s v="IIBB"/>
        <s v="IVA"/>
        <s v="Comisiones Bancarias"/>
        <s v="Tarjeta ARG"/>
        <s v="Tarjeta USA"/>
        <s v="People"/>
        <s v="Itecsa"/>
        <s v="Cami Burstein"/>
        <s v="Perfil Extra"/>
        <s v="Intereses Oxean"/>
        <s v="Ianece Leandro"/>
        <s v="Impuestos USA"/>
        <m/>
      </sharedItems>
    </cacheField>
    <cacheField name="Subtipo de costo" numFmtId="0">
      <sharedItems containsBlank="1">
        <s v="Equipo"/>
        <s v="Equipo - Bono"/>
        <s v="Board"/>
        <s v="Board - Bono"/>
        <s v="Oxean"/>
        <s v="Administración Finanzas"/>
        <s v="Administración Finanzas - Bono"/>
        <s v="Otros Proveedores"/>
        <s v="Gastos Varios"/>
        <s v="Suscripciones/Herramientas"/>
        <s v="Estudio Contable"/>
        <s v="Impuestos ARG"/>
        <s v="Comisiones Bancarias"/>
        <s v="Tarjeta"/>
        <s v="People"/>
        <s v="Intereses Oxean"/>
        <s v="Impuestos USA"/>
        <m/>
      </sharedItems>
    </cacheField>
    <cacheField name="Puesto (Si subtipo es Equipo o Board)" numFmtId="0">
      <sharedItems containsBlank="1">
        <s v="Operation Lead"/>
        <s v="PM"/>
        <s v="Analista"/>
        <s v="Data Tech"/>
        <s v="Diseño"/>
        <s v="Marketing"/>
        <s v="Board"/>
        <m/>
      </sharedItems>
    </cacheField>
    <cacheField name="Cantidad de horas/Unidades">
      <sharedItems containsBlank="1" containsMixedTypes="1" containsNumber="1">
        <n v="120.0"/>
        <m/>
        <n v="35.0"/>
        <n v="50.0"/>
        <n v="160.00423762065"/>
        <n v="160.0"/>
        <n v="160.00655677989"/>
        <n v="160.0065568"/>
        <n v="40.0"/>
        <n v="159.6257445"/>
        <n v="100.0"/>
        <s v="Vacaciones Formulado en Moneda Original"/>
        <n v="85.0"/>
        <n v="80.0"/>
        <n v="90.0"/>
        <n v="110.0"/>
        <n v="10.0"/>
        <n v="25.0"/>
        <n v="70.0"/>
        <n v="159.9917424"/>
        <n v="60.0"/>
        <n v="157.801774316567"/>
        <n v="159.99739311783108"/>
        <n v="1.0"/>
      </sharedItems>
    </cacheField>
    <cacheField name="Ajuste proveedor" numFmtId="0">
      <sharedItems containsString="0" containsBlank="1" containsNumber="1">
        <m/>
        <n v="1.075"/>
      </sharedItems>
    </cacheField>
    <cacheField name="Valor Hora" numFmtId="174">
      <sharedItems containsString="0" containsBlank="1" containsNumber="1">
        <n v="24166.666666666668"/>
        <n v="26583.333333333336"/>
        <n v="28178.333333333336"/>
        <m/>
        <n v="16856.0"/>
        <n v="18880.0"/>
        <n v="19933.504"/>
        <n v="19000.0"/>
        <n v="20000.008"/>
        <n v="12743.0"/>
        <n v="13390.3444"/>
        <n v="14193.765064000001"/>
        <n v="10981.0"/>
        <n v="11859.480000000001"/>
        <n v="12571.048800000002"/>
        <n v="10000.0"/>
        <n v="10600.0"/>
        <n v="8500.0"/>
        <n v="9867.0"/>
        <n v="10853.7"/>
        <n v="11504.922"/>
        <n v="12088.0"/>
        <n v="12702.070399999999"/>
        <n v="13337.17392"/>
        <n v="19602.0"/>
        <n v="20680.0"/>
        <n v="21817.399999999998"/>
        <n v="10508.0"/>
        <n v="11981.0"/>
        <n v="11000.0"/>
        <n v="11558.8"/>
        <n v="12252.328"/>
        <n v="16760.0"/>
        <n v="18017.0"/>
        <n v="19098.02"/>
        <n v="13139.0"/>
        <n v="13806.4612"/>
        <n v="14634.848872"/>
        <n v="9688.0"/>
        <n v="10270.248800000001"/>
        <n v="10843.328683040001"/>
        <n v="11900.000000000002"/>
        <n v="12504.520000000002"/>
        <n v="13254.791200000003"/>
        <n v="7500.0"/>
        <n v="24911.0"/>
        <n v="26903.88"/>
        <n v="28518.112800000003"/>
        <n v="30688.0"/>
        <n v="33143.04"/>
        <n v="35131.6224"/>
        <n v="0.0"/>
        <n v="10750.0"/>
        <n v="11395.0"/>
        <n v="14375.0"/>
        <n v="12500.0"/>
      </sharedItems>
    </cacheField>
    <cacheField name="Moneda Original ARS" numFmtId="180">
      <sharedItems containsString="0" containsBlank="1" containsNumber="1">
        <n v="2900000.0"/>
        <n v="3190000.0000000005"/>
        <n v="3381400.0000000005"/>
        <m/>
        <n v="2022720.0"/>
        <n v="2265600.0"/>
        <n v="2392020.48"/>
        <n v="665000.0"/>
        <n v="950000.0"/>
        <n v="1000000.4000000001"/>
        <n v="2038933.999999943"/>
        <n v="2142455.104"/>
        <n v="2271002.41024"/>
        <n v="1757031.999999972"/>
        <n v="1757032.0002208"/>
        <n v="1897516.8000000003"/>
        <n v="2011367.8080000004"/>
        <n v="1200000.0"/>
        <n v="1600000.0"/>
        <n v="1696000.0"/>
        <n v="340000.0"/>
        <n v="1184040.0"/>
        <n v="1302444.0"/>
        <n v="1380590.6400000001"/>
        <n v="1929555.999516"/>
        <n v="2032331.2639999997"/>
        <n v="2133947.8271999997"/>
        <n v="1960200.0"/>
        <n v="2068000.0"/>
        <n v="2181740.0"/>
        <n v="542348.3870967742"/>
        <n v="1681280.0"/>
        <n v="1916960.0"/>
        <n v="935000.0"/>
        <n v="982497.9999999999"/>
        <n v="1041447.88"/>
        <n v="880000.0"/>
        <n v="1040291.9999999999"/>
        <n v="1271468.0"/>
        <n v="167600.0"/>
        <n v="450425.0"/>
        <n v="477450.5"/>
        <n v="656950.0"/>
        <n v="966452.284"/>
        <n v="1024439.42104"/>
        <n v="1550000.0003712"/>
        <n v="1643239.8080000002"/>
        <n v="1734932.5892864002"/>
        <n v="1904000.0000000002"/>
        <n v="2000723.2000000004"/>
        <n v="2120766.5920000006"/>
        <n v="450000.0"/>
        <n v="3931000.0000000005"/>
        <n v="4476620.8"/>
        <n v="4734898.048"/>
        <n v="4910000.0"/>
        <n v="5474886.4"/>
        <n v="5793059.584"/>
        <n v="537700.0"/>
        <n v="578027.5"/>
        <n v="675800.0"/>
        <n v="802440.0"/>
        <n v="712040.0"/>
        <n v="765443.0"/>
        <n v="250000.0"/>
        <n v="862623.0"/>
        <n v="927319.725"/>
        <n v="59568.0"/>
        <n v="64035.6"/>
        <n v="68838.26999999999"/>
        <n v="359229.54804799997"/>
        <n v="394123.5461345568"/>
        <n v="683784.3242945569"/>
        <n v="545130.6814212846"/>
        <n v="444310.39966128464"/>
        <n v="316190.4071612846"/>
        <n v="467330.93713588093"/>
        <n v="1880876.76"/>
        <n v="2063576.959416"/>
        <n v="3580201.1594160004"/>
        <n v="2854229.6573868003"/>
        <n v="2326348.4573868"/>
        <n v="1655529.7073868"/>
        <n v="2446880.84169081"/>
        <n v="130000.0"/>
        <n v="50000.0"/>
        <n v="145000.0"/>
        <n v="127500.0"/>
        <n v="860000.0"/>
        <n v="1720000.0"/>
        <n v="1823200.0"/>
        <n v="2300000.0"/>
        <n v="2000000.0"/>
        <n v="72000.0"/>
      </sharedItems>
    </cacheField>
    <cacheField name="Moneda Original USD" numFmtId="0">
      <sharedItems containsString="0" containsBlank="1" containsNumber="1">
        <m/>
        <n v="500.0"/>
        <n v="1535.0"/>
        <n v="340.0"/>
        <n v="886.0"/>
        <n v="120.0"/>
        <n v="805.0"/>
        <n v="300.0"/>
        <n v="638.0"/>
        <n v="200.0"/>
        <n v="607.0"/>
        <n v="466.0"/>
        <n v="330.0"/>
        <n v="767.0"/>
        <n v="350.0"/>
        <n v="711.0"/>
        <n v="180.0"/>
        <n v="477.0"/>
        <n v="100.0"/>
        <n v="130.0"/>
        <n v="349.0"/>
        <n v="110.0"/>
        <n v="504.0"/>
        <n v="655.0"/>
        <n v="3401.0"/>
        <n v="820.0"/>
        <n v="5021.0"/>
        <n v="600.0"/>
        <n v="0.0"/>
        <n v="2483.3333333333335"/>
        <n v="3544.67"/>
        <n v="540.0"/>
        <n v="675.0"/>
        <n v="2000.0"/>
        <n v="182.0"/>
        <n v="919.79"/>
        <n v="670.03"/>
        <n v="15438.0"/>
        <n v="5517.0"/>
      </sharedItems>
    </cacheField>
    <cacheField name="Cotización">
      <sharedItems containsMixedTypes="1" containsNumber="1" containsInteger="1">
        <n v="1215.0"/>
        <n v="1320.0"/>
        <n v="1345.0"/>
        <n v="1445.0"/>
        <n v="1440.0"/>
        <n v="1499.0"/>
        <n v="1536.0"/>
        <s v=""/>
      </sharedItems>
    </cacheField>
    <cacheField name="Monto Total USD">
      <sharedItems containsMixedTypes="1" containsNumber="1">
        <n v="2386.8312757201647"/>
        <n v="2196.969696969697"/>
        <n v="2371.7472118959113"/>
        <n v="2207.6124567474053"/>
        <n v="2215.2777777777783"/>
        <n v="2255.770513675784"/>
        <n v="2201.432291666667"/>
        <n v="500.0"/>
        <n v="1535.0"/>
        <n v="1664.79012345679"/>
        <n v="1716.3636363636363"/>
        <n v="1684.4609665427508"/>
        <n v="1567.8892733564014"/>
        <n v="1661.1253333333334"/>
        <n v="1595.7441494329553"/>
        <n v="1557.305"/>
        <n v="340.0"/>
        <n v="886.0"/>
        <n v="547.3251028806584"/>
        <n v="503.7878787878788"/>
        <n v="706.3197026022304"/>
        <n v="692.0417993079586"/>
        <n v="694.4447222222224"/>
        <n v="667.1116744496331"/>
        <n v="651.0419270833335"/>
        <n v="120.0"/>
        <n v="1678.1349794238213"/>
        <n v="1544.6469696969266"/>
        <n v="1592.903423048327"/>
        <n v="1482.6678920415225"/>
        <n v="1487.8160444444443"/>
        <n v="1515.0116145697132"/>
        <n v="1478.5171941666667"/>
        <n v="805.0"/>
        <n v="1446.1168724279605"/>
        <n v="1331.0848486521213"/>
        <n v="1410.7931598513014"/>
        <n v="1313.1604152249138"/>
        <n v="1317.7200000000003"/>
        <n v="1341.8064096064045"/>
        <n v="1309.4842500000002"/>
        <n v="300.0"/>
        <n v="638.0"/>
        <n v="987.6543209876543"/>
        <n v="1212.121212121212"/>
        <n v="1189.5910780669144"/>
        <n v="1107.2664359861592"/>
        <n v="1111.111111111111"/>
        <n v="1131.4209472981988"/>
        <n v="1104.1666666666667"/>
        <n v="200.0"/>
        <n v="607.0"/>
        <n v="279.83539094650206"/>
        <n v="974.5185185185185"/>
        <n v="897.0"/>
        <n v="968.3598513011152"/>
        <n v="901.3453287197232"/>
        <n v="904.475"/>
        <n v="921.0077651767846"/>
        <n v="898.8220312500001"/>
        <n v="466.0"/>
        <n v="1588.1119337580246"/>
        <n v="1461.7848481181818"/>
        <n v="1511.0269620817842"/>
        <n v="1406.4576221453285"/>
        <n v="1411.3411555555554"/>
        <n v="1423.5809387591726"/>
        <n v="1389.2889499999999"/>
        <n v="330.0"/>
        <n v="767.0"/>
        <n v="1613.3333333333333"/>
        <n v="1485.0"/>
        <n v="1457.3977695167287"/>
        <n v="1431.1418685121107"/>
        <n v="1436.111111111111"/>
        <n v="1379.5863909272848"/>
        <n v="1420.4036458333333"/>
        <n v="350.0"/>
        <n v="711.0"/>
        <n v="1316.8724279835392"/>
        <n v="403.2330015589399"/>
        <n v="1163.515570934256"/>
        <n v="1167.5555555555557"/>
        <n v="1278.825883922615"/>
        <n v="1248.0208333333333"/>
        <n v="180.0"/>
        <n v="477.0"/>
        <n v="769.5473251028807"/>
        <n v="708.3333333333334"/>
        <n v="730.481784386617"/>
        <n v="679.9294117647058"/>
        <n v="682.2902777777776"/>
        <n v="694.761761174116"/>
        <n v="678.0259635416667"/>
        <n v="724.2798353909465"/>
        <n v="666.6666666666666"/>
        <n v="773.4513011152416"/>
        <n v="719.9252595155708"/>
        <n v="882.9638888888888"/>
        <n v="848.2108072048032"/>
        <n v="827.7786458333334"/>
        <n v="100.0"/>
        <n v="137.9423868312757"/>
        <n v="126.96969696969697"/>
        <n v="334.8884758364312"/>
        <n v="311.7128027681661"/>
        <n v="312.7951388888889"/>
        <n v="318.5126751167445"/>
        <n v="310.8401692708333"/>
        <n v="540.6995884773662"/>
        <n v="497.68939393939394"/>
        <n v="718.5518840148699"/>
        <n v="668.8251100346021"/>
        <n v="671.1474194444444"/>
        <n v="683.4152241761175"/>
        <n v="666.9527480729167"/>
        <n v="1275.720164914568"/>
        <n v="1244.8786424242426"/>
        <n v="1221.7396342007437"/>
        <n v="1137.190178546713"/>
        <n v="1204.8142981155556"/>
        <n v="1157.3933217387594"/>
        <n v="1129.5134044833335"/>
        <n v="130.0"/>
        <n v="349.0"/>
        <n v="1567.0781893004116"/>
        <n v="1442.4242424242425"/>
        <n v="1487.5265427509296"/>
        <n v="1384.583529411765"/>
        <n v="1389.3911111111115"/>
        <n v="1414.7875863909278"/>
        <n v="1380.707416666667"/>
        <n v="110.0"/>
        <n v="504.0"/>
        <n v="370.3703703703704"/>
        <n v="340.90909090909093"/>
        <n v="334.5724907063197"/>
        <n v="311.4186851211073"/>
        <n v="312.5"/>
        <n v="300.2001334222815"/>
        <n v="292.96875"/>
        <n v="3235.390946502058"/>
        <n v="2978.0303030303035"/>
        <n v="3328.342602230483"/>
        <n v="3098.007474048443"/>
        <n v="3108.7644444444445"/>
        <n v="3158.704501667779"/>
        <n v="3082.615916666667"/>
        <n v="655.0"/>
        <n v="3401.0"/>
        <n v="4041.1522633744858"/>
        <n v="3719.6969696969695"/>
        <n v="4070.5475092936804"/>
        <n v="3788.8487197231834"/>
        <n v="3802.0044444444447"/>
        <n v="3864.6161334222816"/>
        <n v="3771.5231666666664"/>
        <n v="820.0"/>
        <n v="5021.0"/>
        <n v="442.5514403292181"/>
        <n v="407.3484848484849"/>
        <n v="429.76022304832713"/>
        <n v="400.01903114186854"/>
        <n v="469.30555555555554"/>
        <n v="450.83388925950635"/>
        <n v="439.9739583333333"/>
        <n v="660.4444444444445"/>
        <n v="539.4242424242424"/>
        <n v="569.1026022304833"/>
        <n v="173.01038062283737"/>
        <n v="596.9709342560553"/>
        <n v="599.04375"/>
        <n v="618.6255670446965"/>
        <n v="603.723779296875"/>
        <n v="600.0"/>
        <n v="0.0"/>
        <n v="2483.3333333333335"/>
        <n v="3544.67"/>
        <n v="49.02716049382716"/>
        <n v="45.127272727272725"/>
        <n v="44.288475836431225"/>
        <n v="44.315294117647056"/>
        <n v="44.469166666666666"/>
        <n v="42.71887925283522"/>
        <n v="44.81658203124999"/>
        <n v="295.66217946337446"/>
        <n v="298.5784440413309"/>
        <n v="508.3898321892616"/>
        <n v="377.2530667275326"/>
        <n v="308.5488886536699"/>
        <n v="210.9342275925848"/>
        <n v="304.25191219783915"/>
        <n v="1548.0467160493827"/>
        <n v="1563.3158783454544"/>
        <n v="2661.8595980788104"/>
        <n v="1975.2454376379242"/>
        <n v="1615.5197620741667"/>
        <n v="1104.422753426818"/>
        <n v="1593.0213813091211"/>
        <n v="540.0"/>
        <n v="675.0"/>
        <n v="106.99588477366255"/>
        <n v="98.48484848484848"/>
        <n v="96.6542750929368"/>
        <n v="89.96539792387543"/>
        <n v="90.27777777777777"/>
        <n v="86.7244829886591"/>
        <n v="84.63541666666667"/>
        <n v="2000.0"/>
        <n v="37.174721189591075"/>
        <n v="34.602076124567475"/>
        <n v="34.72222222222222"/>
        <n v="33.3555703802535"/>
        <n v="32.552083333333336"/>
        <n v="107.80669144981412"/>
        <n v="100.34602076124567"/>
        <n v="88.54166666666667"/>
        <n v="85.05670446964643"/>
        <n v="83.0078125"/>
        <n v="595.1557093425605"/>
        <n v="1194.4444444444443"/>
        <n v="1147.4316210807206"/>
        <n v="1186.9791666666667"/>
        <n v="182.0"/>
        <n v="1534.3562374916612"/>
        <n v="1497.3958333333333"/>
        <n v="1334.2228152101402"/>
        <n v="1302.0833333333333"/>
        <n v="919.79"/>
        <n v="670.03"/>
        <n v="49.826989619377166"/>
        <n v="50.0"/>
        <n v="48.03202134756504"/>
        <n v="46.875"/>
        <n v="15438.0"/>
        <n v="5517.0"/>
        <s v=""/>
      </sharedItems>
    </cacheField>
    <cacheField name="Pasado/Futuro" numFmtId="0">
      <sharedItems containsBlank="1">
        <s v="Pasado"/>
        <s v="Futuro"/>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TD Costos Directos para CIERRE" cacheId="1" dataCaption="" rowGrandTotals="0" colGrandTotals="0" compact="0" compactData="0">
  <location ref="A33:F88" firstHeaderRow="0" firstDataRow="4" firstDataCol="1" rowPageCount="2" colPageCount="1"/>
  <pivotFields>
    <pivotField name="Detalle" axis="axisRow" compact="0" outline="0" multipleItemSelectionAllowed="1" showAll="0" sortType="ascending">
      <items>
        <item x="44"/>
        <item x="14"/>
        <item x="7"/>
        <item x="28"/>
        <item x="42"/>
        <item x="8"/>
        <item x="38"/>
        <item x="33"/>
        <item x="23"/>
        <item x="11"/>
        <item x="19"/>
        <item x="18"/>
        <item x="27"/>
        <item x="41"/>
        <item x="25"/>
        <item x="36"/>
        <item x="32"/>
        <item x="40"/>
        <item x="39"/>
        <item x="26"/>
        <item x="5"/>
        <item x="29"/>
        <item x="10"/>
        <item x="12"/>
        <item x="13"/>
        <item x="20"/>
        <item h="1" x="43"/>
        <item x="21"/>
        <item x="22"/>
        <item x="9"/>
        <item x="15"/>
        <item x="37"/>
        <item x="35"/>
        <item x="34"/>
        <item x="24"/>
        <item x="31"/>
        <item x="4"/>
        <item x="17"/>
        <item x="2"/>
        <item x="3"/>
        <item x="1"/>
        <item x="0"/>
        <item x="16"/>
        <item x="6"/>
        <item x="30"/>
        <item t="default"/>
      </items>
    </pivotField>
    <pivotField name="Subtipo de costo" axis="axisPage" compact="0" outline="0" multipleItemSelectionAllowed="1" showAll="0">
      <items>
        <item x="0"/>
        <item x="1"/>
        <item h="1" x="2"/>
        <item h="1" x="3"/>
        <item h="1" x="4"/>
        <item h="1" x="5"/>
        <item h="1" x="6"/>
        <item h="1" x="7"/>
        <item h="1" x="8"/>
        <item h="1" x="9"/>
        <item h="1" x="10"/>
        <item h="1" x="11"/>
        <item h="1" x="12"/>
        <item h="1" x="13"/>
        <item h="1" x="14"/>
        <item h="1" x="15"/>
        <item h="1" x="16"/>
        <item h="1" x="17"/>
        <item h="1" x="18"/>
        <item t="default"/>
      </items>
    </pivotField>
    <pivotField name="Mes" axis="axisCol" compact="0" numFmtId="49" outline="0" multipleItemSelectionAllowed="1" showAll="0" sortType="ascending">
      <items>
        <item h="1" x="9"/>
        <item h="1" x="0"/>
        <item h="1" x="1"/>
        <item h="1" x="2"/>
        <item h="1" x="3"/>
        <item h="1" x="4"/>
        <item h="1" x="5"/>
        <item h="1" x="6"/>
        <item h="1" x="7"/>
        <item x="8"/>
        <item t="default"/>
      </items>
    </pivotField>
    <pivotField name="Año" axis="axisPage" compact="0" outline="0" multipleItemSelectionAllowed="1" showAll="0">
      <items>
        <item x="0"/>
        <item x="1"/>
        <item t="default"/>
      </items>
    </pivotField>
    <pivotField name="Tipo de Costo" compact="0" outline="0" multipleItemSelectionAllowed="1" showAll="0">
      <items>
        <item x="0"/>
        <item x="1"/>
        <item x="2"/>
        <item t="default"/>
      </items>
    </pivotField>
    <pivotField name="Especific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ro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proyecto" compact="0" outline="0" multipleItemSelectionAllowed="1" showAll="0">
      <items>
        <item x="0"/>
        <item x="1"/>
        <item x="2"/>
        <item x="3"/>
        <item x="4"/>
        <item t="default"/>
      </items>
    </pivotField>
    <pivotField name="Proyecto" axis="axisRow" compact="0" outline="0" multipleItemSelectionAllowed="1" showAll="0" sortType="ascending" defaultSubtotal="0">
      <items>
        <item x="2"/>
        <item x="18"/>
        <item x="3"/>
        <item x="7"/>
        <item x="20"/>
        <item x="16"/>
        <item x="8"/>
        <item x="22"/>
        <item x="14"/>
        <item x="6"/>
        <item x="12"/>
        <item x="21"/>
        <item x="1"/>
        <item x="0"/>
        <item x="4"/>
        <item x="9"/>
        <item x="13"/>
        <item x="10"/>
        <item x="19"/>
        <item x="17"/>
        <item x="5"/>
        <item x="15"/>
        <item x="11"/>
      </items>
    </pivotField>
    <pivotField name="Cliente" axis="axisRow" compact="0" outline="0" multipleItemSelectionAllowed="1" showAll="0" sortType="ascending" defaultSubtotal="0">
      <items>
        <item x="8"/>
        <item x="13"/>
        <item x="7"/>
        <item x="11"/>
        <item x="9"/>
        <item x="5"/>
        <item x="2"/>
        <item x="6"/>
        <item x="10"/>
        <item x="12"/>
        <item x="0"/>
        <item x="4"/>
        <item x="3"/>
        <item x="1"/>
      </items>
    </pivotField>
    <pivotField name="Cantidad de horas obje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antidad de horas reales Asa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Cantidad de horas para factur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Valor Hora" dataField="1"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oneda Original ARS" dataField="1"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tización" compact="0" outline="0" multipleItemSelectionAllowed="1" showAll="0">
      <items>
        <item x="0"/>
        <item x="1"/>
        <item x="2"/>
        <item x="3"/>
        <item x="4"/>
        <item x="5"/>
        <item x="6"/>
        <item x="7"/>
        <item x="8"/>
        <item x="9"/>
        <item x="10"/>
        <item t="default"/>
      </items>
    </pivotField>
    <pivotField name="Monto Tot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t="default"/>
      </items>
    </pivotField>
  </pivotFields>
  <rowFields>
    <field x="9"/>
    <field x="8"/>
    <field x="0"/>
  </rowFields>
  <colFields>
    <field x="2"/>
    <field x="-2"/>
  </colFields>
  <pageFields>
    <pageField fld="3"/>
    <pageField fld="1"/>
  </pageFields>
  <dataFields>
    <dataField name="Cantidad de Horas Reales" fld="12" baseField="0"/>
    <dataField name="Valor Hora" fld="13" subtotal="average" baseField="0"/>
    <dataField name="Total" fld="14" baseField="0"/>
  </dataFields>
</pivotTableDefinition>
</file>

<file path=xl/pivotTables/pivotTable2.xml><?xml version="1.0" encoding="utf-8"?>
<pivotTableDefinition xmlns="http://schemas.openxmlformats.org/spreadsheetml/2006/main" name="TD Costos para seguimiento MARK" cacheId="1" dataCaption="" compact="0" compactData="0">
  <location ref="A8:F15" firstHeaderRow="0" firstDataRow="2" firstDataCol="0" rowPageCount="5" colPageCount="1"/>
  <pivotFields>
    <pivotField name="Detalle" axis="axisRow" compact="0" outline="0" multipleItemSelectionAllowed="1" showAll="0" sortType="ascending">
      <items>
        <item x="44"/>
        <item x="14"/>
        <item x="7"/>
        <item x="28"/>
        <item x="42"/>
        <item x="8"/>
        <item x="38"/>
        <item x="33"/>
        <item x="23"/>
        <item x="11"/>
        <item x="19"/>
        <item x="18"/>
        <item x="27"/>
        <item x="41"/>
        <item x="25"/>
        <item x="36"/>
        <item x="32"/>
        <item x="40"/>
        <item x="39"/>
        <item x="26"/>
        <item x="5"/>
        <item x="29"/>
        <item x="10"/>
        <item x="12"/>
        <item x="13"/>
        <item x="20"/>
        <item x="43"/>
        <item x="21"/>
        <item x="22"/>
        <item x="9"/>
        <item x="15"/>
        <item x="37"/>
        <item x="35"/>
        <item x="34"/>
        <item x="24"/>
        <item x="31"/>
        <item x="4"/>
        <item x="17"/>
        <item x="2"/>
        <item x="3"/>
        <item x="1"/>
        <item x="0"/>
        <item x="16"/>
        <item x="6"/>
        <item x="30"/>
        <item t="default"/>
      </items>
    </pivotField>
    <pivotField name="Subtipo de costo" axis="axisPage" compact="0" outline="0" multipleItemSelectionAllowed="1" showAll="0">
      <items>
        <item x="0"/>
        <item x="1"/>
        <item h="1" x="2"/>
        <item h="1" x="3"/>
        <item h="1" x="4"/>
        <item h="1" x="5"/>
        <item h="1" x="6"/>
        <item h="1" x="7"/>
        <item h="1" x="8"/>
        <item h="1" x="9"/>
        <item h="1" x="10"/>
        <item h="1" x="11"/>
        <item h="1" x="12"/>
        <item h="1" x="13"/>
        <item h="1" x="14"/>
        <item h="1" x="15"/>
        <item h="1" x="16"/>
        <item h="1" x="17"/>
        <item h="1" x="18"/>
        <item t="default"/>
      </items>
    </pivotField>
    <pivotField name="Mes" axis="axisPage" compact="0" numFmtId="49" outline="0" multipleItemSelectionAllowed="1" showAll="0">
      <items>
        <item x="0"/>
        <item x="1"/>
        <item x="2"/>
        <item x="3"/>
        <item x="4"/>
        <item x="5"/>
        <item x="6"/>
        <item x="7"/>
        <item x="8"/>
        <item x="9"/>
        <item t="default"/>
      </items>
    </pivotField>
    <pivotField name="Año" axis="axisPage" compact="0" outline="0" multipleItemSelectionAllowed="1" showAll="0">
      <items>
        <item x="0"/>
        <item x="1"/>
        <item t="default"/>
      </items>
    </pivotField>
    <pivotField name="Tipo de Costo" compact="0" outline="0" multipleItemSelectionAllowed="1" showAll="0">
      <items>
        <item x="0"/>
        <item x="1"/>
        <item x="2"/>
        <item t="default"/>
      </items>
    </pivotField>
    <pivotField name="Especific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ro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proyecto" compact="0" outline="0" multipleItemSelectionAllowed="1" showAll="0">
      <items>
        <item x="0"/>
        <item x="1"/>
        <item x="2"/>
        <item x="3"/>
        <item x="4"/>
        <item t="default"/>
      </items>
    </pivotField>
    <pivotField name="Proyecto" axis="axisPage" compact="0" outline="0" multipleItemSelectionAllowed="1" showAll="0">
      <items>
        <item h="1" x="0"/>
        <item h="1" x="1"/>
        <item h="1" x="2"/>
        <item h="1" x="3"/>
        <item h="1" x="4"/>
        <item h="1" x="5"/>
        <item h="1" x="6"/>
        <item h="1" x="7"/>
        <item h="1" x="8"/>
        <item h="1" x="9"/>
        <item h="1" x="10"/>
        <item x="11"/>
        <item h="1" x="12"/>
        <item h="1" x="13"/>
        <item h="1" x="14"/>
        <item h="1" x="15"/>
        <item h="1" x="16"/>
        <item h="1" x="17"/>
        <item h="1" x="18"/>
        <item h="1" x="19"/>
        <item h="1" x="20"/>
        <item h="1" x="21"/>
        <item h="1" x="22"/>
        <item t="default"/>
      </items>
    </pivotField>
    <pivotField name="Cliente" axis="axisPage" compact="0" outline="0" multipleItemSelectionAllowed="1" showAll="0">
      <items>
        <item h="1" x="0"/>
        <item h="1" x="1"/>
        <item h="1" x="2"/>
        <item x="3"/>
        <item h="1" x="4"/>
        <item h="1" x="5"/>
        <item h="1" x="6"/>
        <item h="1" x="7"/>
        <item h="1" x="8"/>
        <item h="1" x="9"/>
        <item h="1" x="10"/>
        <item h="1" x="11"/>
        <item h="1" x="12"/>
        <item h="1" x="13"/>
        <item t="default"/>
      </items>
    </pivotField>
    <pivotField name="Cantidad de horas objetiv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antidad de horas reales Asa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Cantidad de horas para factur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Valor Hora" dataField="1"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oneda Original ARS" dataField="1"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tización" compact="0" outline="0" multipleItemSelectionAllowed="1" showAll="0">
      <items>
        <item x="0"/>
        <item x="1"/>
        <item x="2"/>
        <item x="3"/>
        <item x="4"/>
        <item x="5"/>
        <item x="6"/>
        <item x="7"/>
        <item x="8"/>
        <item x="9"/>
        <item x="10"/>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t="default"/>
      </items>
    </pivotField>
  </pivotFields>
  <rowFields>
    <field x="0"/>
  </rowFields>
  <colFields>
    <field x="-2"/>
  </colFields>
  <pageFields>
    <pageField fld="8"/>
    <pageField fld="2"/>
    <pageField fld="1"/>
    <pageField fld="9"/>
    <pageField fld="3"/>
  </pageFields>
  <dataFields>
    <dataField name="Cantidad de horas objetivo" fld="10" subtotal="average" baseField="0"/>
    <dataField name="Cantidad de Horas" fld="12" baseField="0"/>
    <dataField name="Valor Hora" fld="13" subtotal="average" baseField="0"/>
    <dataField name="Total ARS" fld="14" baseField="0"/>
    <dataField name="Monto Total USD" fld="17" baseField="0"/>
  </dataFields>
</pivotTableDefinition>
</file>

<file path=xl/pivotTables/pivotTable3.xml><?xml version="1.0" encoding="utf-8"?>
<pivotTableDefinition xmlns="http://schemas.openxmlformats.org/spreadsheetml/2006/main" name="TD Costos para seguimiento MARK 2" cacheId="0" dataCaption="" compact="0" compactData="0">
  <location ref="A26:C63" firstHeaderRow="0" firstDataRow="1" firstDataCol="1" rowPageCount="4" colPageCount="1"/>
  <pivotFields>
    <pivotField name="Detalle" axis="axisRow" compact="0" outline="0" multipleItemSelectionAllowed="1" showAll="0" sortType="ascending">
      <items>
        <item x="44"/>
        <item x="14"/>
        <item x="7"/>
        <item x="28"/>
        <item x="42"/>
        <item x="8"/>
        <item x="38"/>
        <item x="33"/>
        <item x="23"/>
        <item x="11"/>
        <item x="19"/>
        <item x="18"/>
        <item x="27"/>
        <item x="41"/>
        <item x="25"/>
        <item x="36"/>
        <item x="32"/>
        <item x="40"/>
        <item x="39"/>
        <item x="26"/>
        <item x="5"/>
        <item x="29"/>
        <item x="10"/>
        <item x="12"/>
        <item x="13"/>
        <item x="20"/>
        <item x="43"/>
        <item x="21"/>
        <item x="22"/>
        <item x="9"/>
        <item x="15"/>
        <item x="37"/>
        <item x="35"/>
        <item x="34"/>
        <item x="24"/>
        <item x="31"/>
        <item x="4"/>
        <item x="17"/>
        <item x="2"/>
        <item x="3"/>
        <item x="1"/>
        <item x="0"/>
        <item x="16"/>
        <item x="6"/>
        <item x="30"/>
        <item t="default"/>
      </items>
    </pivotField>
    <pivotField name="Subtipo de costo" axis="axisPage" compact="0" outline="0" multipleItemSelectionAllowed="1" showAll="0">
      <items>
        <item x="0"/>
        <item x="1"/>
        <item x="2"/>
        <item x="3"/>
        <item x="4"/>
        <item x="5"/>
        <item x="6"/>
        <item x="7"/>
        <item x="8"/>
        <item x="9"/>
        <item x="10"/>
        <item x="11"/>
        <item x="12"/>
        <item x="13"/>
        <item x="14"/>
        <item x="15"/>
        <item x="16"/>
        <item x="17"/>
        <item h="1" x="18"/>
        <item x="19"/>
        <item t="default"/>
      </items>
    </pivotField>
    <pivotField name="Mes" axis="axisCol" compact="0" numFmtId="49" outline="0" multipleItemSelectionAllowed="1" showAll="0" sortType="ascending">
      <items>
        <item h="1" x="9"/>
        <item h="1" x="0"/>
        <item h="1" x="1"/>
        <item h="1" x="2"/>
        <item h="1" x="3"/>
        <item h="1" x="4"/>
        <item h="1" x="5"/>
        <item h="1" x="6"/>
        <item h="1" x="7"/>
        <item x="8"/>
        <item t="default"/>
      </items>
    </pivotField>
    <pivotField name="Año" axis="axisPage" compact="0" outline="0" multipleItemSelectionAllowed="1" showAll="0">
      <items>
        <item x="0"/>
        <item x="1"/>
        <item t="default"/>
      </items>
    </pivotField>
    <pivotField name="Tipo de Costo" compact="0" outline="0" multipleItemSelectionAllowed="1" showAll="0">
      <items>
        <item x="0"/>
        <item x="1"/>
        <item x="2"/>
        <item t="default"/>
      </items>
    </pivotField>
    <pivotField name="Especific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ro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proyecto" compact="0" outline="0" multipleItemSelectionAllowed="1" showAll="0">
      <items>
        <item x="0"/>
        <item x="1"/>
        <item x="2"/>
        <item x="3"/>
        <item x="4"/>
        <item t="default"/>
      </items>
    </pivotField>
    <pivotField name="Proyect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liente" axis="axisPage" compact="0" outline="0" multipleItemSelectionAllowed="1" showAll="0">
      <items>
        <item x="0"/>
        <item x="1"/>
        <item x="2"/>
        <item x="3"/>
        <item x="4"/>
        <item x="5"/>
        <item x="6"/>
        <item x="7"/>
        <item x="8"/>
        <item x="9"/>
        <item x="10"/>
        <item x="11"/>
        <item x="12"/>
        <item x="13"/>
        <item t="default"/>
      </items>
    </pivotField>
    <pivotField name="Cantidad de horas obje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antidad de horas reales Asa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Cantidad de horas para factur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tización" compact="0" outline="0" multipleItemSelectionAllowed="1" showAll="0">
      <items>
        <item x="0"/>
        <item x="1"/>
        <item x="2"/>
        <item x="3"/>
        <item x="4"/>
        <item x="5"/>
        <item x="6"/>
        <item x="7"/>
        <item x="8"/>
        <item x="9"/>
        <item x="10"/>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s>
  <rowFields>
    <field x="0"/>
  </rowFields>
  <colFields>
    <field x="2"/>
  </colFields>
  <pageFields>
    <pageField fld="8"/>
    <pageField fld="1"/>
    <pageField fld="9"/>
    <pageField fld="3"/>
  </pageFields>
  <dataFields>
    <dataField name="Monto Total USD" fld="17" baseField="0"/>
  </dataFields>
</pivotTableDefinition>
</file>

<file path=xl/pivotTables/pivotTable4.xml><?xml version="1.0" encoding="utf-8"?>
<pivotTableDefinition xmlns="http://schemas.openxmlformats.org/spreadsheetml/2006/main" name="TD Costos para seguimiento MARK 3" cacheId="0" dataCaption="" compact="0" compactData="0">
  <location ref="A77:C93" firstHeaderRow="0" firstDataRow="1" firstDataCol="1" rowPageCount="3" colPageCount="1"/>
  <pivotFields>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Subtipo de costo" axis="axisRow" compact="0" outline="0" multipleItemSelectionAllowed="1" showAll="0" sortType="ascending">
      <items>
        <item x="19"/>
        <item h="1" x="18"/>
        <item x="3"/>
        <item x="15"/>
        <item x="1"/>
        <item x="14"/>
        <item x="12"/>
        <item x="0"/>
        <item x="13"/>
        <item x="6"/>
        <item x="4"/>
        <item x="8"/>
        <item x="11"/>
        <item x="16"/>
        <item x="17"/>
        <item x="2"/>
        <item x="9"/>
        <item x="5"/>
        <item x="10"/>
        <item x="7"/>
        <item t="default"/>
      </items>
    </pivotField>
    <pivotField name="Mes" axis="axisCol" compact="0" numFmtId="49" outline="0" multipleItemSelectionAllowed="1" showAll="0" sortType="ascending">
      <items>
        <item h="1" x="9"/>
        <item h="1" x="0"/>
        <item h="1" x="1"/>
        <item h="1" x="2"/>
        <item h="1" x="3"/>
        <item h="1" x="4"/>
        <item h="1" x="5"/>
        <item h="1" x="6"/>
        <item h="1" x="7"/>
        <item x="8"/>
        <item t="default"/>
      </items>
    </pivotField>
    <pivotField name="Año" axis="axisPage" compact="0" outline="0" multipleItemSelectionAllowed="1" showAll="0">
      <items>
        <item x="0"/>
        <item x="1"/>
        <item t="default"/>
      </items>
    </pivotField>
    <pivotField name="Tipo de Costo" compact="0" outline="0" multipleItemSelectionAllowed="1" showAll="0">
      <items>
        <item x="0"/>
        <item x="1"/>
        <item x="2"/>
        <item t="default"/>
      </items>
    </pivotField>
    <pivotField name="Especific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ro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proyecto" compact="0" outline="0" multipleItemSelectionAllowed="1" showAll="0">
      <items>
        <item x="0"/>
        <item x="1"/>
        <item x="2"/>
        <item x="3"/>
        <item x="4"/>
        <item t="default"/>
      </items>
    </pivotField>
    <pivotField name="Proyecto" axis="axisPage" compact="0" outline="0" multipleItemSelectionAllowed="1" showAll="0">
      <items>
        <item x="0"/>
        <item x="1"/>
        <item x="2"/>
        <item x="3"/>
        <item x="4"/>
        <item x="5"/>
        <item x="6"/>
        <item x="7"/>
        <item x="8"/>
        <item x="9"/>
        <item x="10"/>
        <item x="11"/>
        <item x="12"/>
        <item x="13"/>
        <item x="14"/>
        <item x="15"/>
        <item x="16"/>
        <item x="17"/>
        <item x="18"/>
        <item x="19"/>
        <item x="20"/>
        <item h="1" x="21"/>
        <item h="1" x="22"/>
        <item t="default"/>
      </items>
    </pivotField>
    <pivotField name="Cliente" axis="axisPage" compact="0" outline="0" multipleItemSelectionAllowed="1" showAll="0">
      <items>
        <item x="0"/>
        <item x="1"/>
        <item x="2"/>
        <item x="3"/>
        <item x="4"/>
        <item x="5"/>
        <item x="6"/>
        <item x="7"/>
        <item x="8"/>
        <item x="9"/>
        <item x="10"/>
        <item x="11"/>
        <item x="12"/>
        <item x="13"/>
        <item t="default"/>
      </items>
    </pivotField>
    <pivotField name="Cantidad de horas obje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antidad de horas reales Asa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Cantidad de horas para factur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tización" compact="0" outline="0" multipleItemSelectionAllowed="1" showAll="0">
      <items>
        <item x="0"/>
        <item x="1"/>
        <item x="2"/>
        <item x="3"/>
        <item x="4"/>
        <item x="5"/>
        <item x="6"/>
        <item x="7"/>
        <item x="8"/>
        <item x="9"/>
        <item x="10"/>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s>
  <rowFields>
    <field x="1"/>
  </rowFields>
  <colFields>
    <field x="2"/>
  </colFields>
  <pageFields>
    <pageField fld="8"/>
    <pageField fld="9"/>
    <pageField fld="3"/>
  </pageFields>
  <dataFields>
    <dataField name="Monto Total USD" fld="17" baseField="0"/>
  </dataFields>
</pivotTableDefinition>
</file>

<file path=xl/pivotTables/pivotTable5.xml><?xml version="1.0" encoding="utf-8"?>
<pivotTableDefinition xmlns="http://schemas.openxmlformats.org/spreadsheetml/2006/main" name="TD Costos para seguimiento MARK 4" cacheId="2" dataCaption="" compact="0" compactData="0">
  <location ref="E73:G88" firstHeaderRow="0" firstDataRow="1" firstDataCol="1"/>
  <pivotFields>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Subtipo de costo" axis="axisRow" compact="0" outline="0" multipleItemSelectionAllowed="1" showAll="0" sortType="ascending">
      <items>
        <item x="15"/>
        <item x="2"/>
        <item x="3"/>
        <item x="12"/>
        <item x="1"/>
        <item x="7"/>
        <item x="4"/>
        <item x="9"/>
        <item x="11"/>
        <item x="13"/>
        <item x="14"/>
        <item x="0"/>
        <item x="10"/>
        <item x="5"/>
        <item x="6"/>
        <item x="8"/>
        <item t="default"/>
      </items>
    </pivotField>
    <pivotField name="Mes" axis="axisCol" compact="0" numFmtId="49" outline="0" multipleItemSelectionAllowed="1" showAll="0" sortType="ascending">
      <items>
        <item h="1" x="10"/>
        <item h="1" x="0"/>
        <item h="1" x="1"/>
        <item h="1" x="2"/>
        <item h="1" x="3"/>
        <item h="1" x="4"/>
        <item h="1" x="5"/>
        <item h="1" x="6"/>
        <item h="1" x="7"/>
        <item x="8"/>
        <item h="1" x="9"/>
        <item t="default"/>
      </items>
    </pivotField>
    <pivotField name="Año" compact="0" outline="0" multipleItemSelectionAllowed="1" showAll="0">
      <items>
        <item x="0"/>
        <item x="1"/>
        <item t="default"/>
      </items>
    </pivotField>
    <pivotField name="Pagado/No Pagado AL CIERRE" compact="0" outline="0" multipleItemSelectionAllowed="1" showAll="0">
      <items>
        <item x="0"/>
        <item x="1"/>
        <item x="2"/>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Fecha emis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Concepto/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Descripción/Fac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Fecha de vencimiento"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Moneda original AR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tización" compact="0" outline="0" multipleItemSelectionAllowed="1" showAll="0">
      <items>
        <item x="0"/>
        <item x="1"/>
        <item x="2"/>
        <item x="3"/>
        <item x="4"/>
        <item x="5"/>
        <item x="6"/>
        <item x="7"/>
        <item x="8"/>
        <item x="9"/>
        <item x="10"/>
        <item x="11"/>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t="default"/>
      </items>
    </pivotField>
  </pivotFields>
  <rowFields>
    <field x="1"/>
  </rowFields>
  <colFields>
    <field x="2"/>
  </colFields>
  <dataFields>
    <dataField name="SUM of Monto Total USD" fld="13" baseField="0"/>
  </dataFields>
</pivotTableDefinition>
</file>

<file path=xl/pivotTables/pivotTable6.xml><?xml version="1.0" encoding="utf-8"?>
<pivotTableDefinition xmlns="http://schemas.openxmlformats.org/spreadsheetml/2006/main" name="TD Costos para seguimiento MARK 5" cacheId="0" dataCaption="" compact="0" compactData="0">
  <location ref="A96:K138" firstHeaderRow="0" firstDataRow="1" firstDataCol="1" rowPageCount="4" colPageCount="1"/>
  <pivotFields>
    <pivotField name="Detalle" axis="axisRow" compact="0" outline="0" multipleItemSelectionAllowed="1" showAll="0" sortType="ascending">
      <items>
        <item x="44"/>
        <item x="14"/>
        <item x="7"/>
        <item x="28"/>
        <item x="42"/>
        <item x="8"/>
        <item x="38"/>
        <item x="33"/>
        <item x="23"/>
        <item x="11"/>
        <item x="19"/>
        <item x="18"/>
        <item x="27"/>
        <item x="41"/>
        <item x="25"/>
        <item x="36"/>
        <item x="32"/>
        <item x="40"/>
        <item x="39"/>
        <item x="26"/>
        <item x="5"/>
        <item x="29"/>
        <item x="10"/>
        <item x="12"/>
        <item x="13"/>
        <item x="20"/>
        <item x="43"/>
        <item x="21"/>
        <item x="22"/>
        <item x="9"/>
        <item x="15"/>
        <item x="37"/>
        <item x="35"/>
        <item x="34"/>
        <item x="24"/>
        <item x="31"/>
        <item x="4"/>
        <item x="17"/>
        <item x="2"/>
        <item x="3"/>
        <item x="1"/>
        <item x="0"/>
        <item x="16"/>
        <item x="6"/>
        <item x="30"/>
        <item t="default"/>
      </items>
    </pivotField>
    <pivotField name="Subtipo de costo" axis="axisPage" compact="0" outline="0" multipleItemSelectionAllowed="1" showAll="0">
      <items>
        <item x="0"/>
        <item x="1"/>
        <item x="2"/>
        <item x="3"/>
        <item x="4"/>
        <item x="5"/>
        <item x="6"/>
        <item x="7"/>
        <item h="1" x="8"/>
        <item x="9"/>
        <item x="10"/>
        <item h="1" x="11"/>
        <item x="12"/>
        <item h="1" x="13"/>
        <item h="1" x="14"/>
        <item h="1" x="15"/>
        <item h="1" x="16"/>
        <item x="17"/>
        <item h="1" x="18"/>
        <item x="19"/>
        <item t="default"/>
      </items>
    </pivotField>
    <pivotField name="Mes" axis="axisCol" compact="0" numFmtId="49" outline="0" multipleItemSelectionAllowed="1" showAll="0" sortType="ascending">
      <items>
        <item h="1" x="9"/>
        <item x="0"/>
        <item x="1"/>
        <item x="2"/>
        <item x="3"/>
        <item x="4"/>
        <item x="5"/>
        <item x="6"/>
        <item x="7"/>
        <item x="8"/>
        <item t="default"/>
      </items>
    </pivotField>
    <pivotField name="Año" axis="axisPage" compact="0" outline="0" multipleItemSelectionAllowed="1" showAll="0">
      <items>
        <item x="0"/>
        <item x="1"/>
        <item t="default"/>
      </items>
    </pivotField>
    <pivotField name="Tipo de Costo" compact="0" outline="0" multipleItemSelectionAllowed="1" showAll="0">
      <items>
        <item x="0"/>
        <item x="1"/>
        <item x="2"/>
        <item t="default"/>
      </items>
    </pivotField>
    <pivotField name="Especific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ro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proyecto" compact="0" outline="0" multipleItemSelectionAllowed="1" showAll="0">
      <items>
        <item x="0"/>
        <item x="1"/>
        <item x="2"/>
        <item x="3"/>
        <item x="4"/>
        <item t="default"/>
      </items>
    </pivotField>
    <pivotField name="Proyecto" axis="axisPage" compact="0" outline="0" multipleItemSelectionAllowed="1" showAll="0">
      <items>
        <item x="0"/>
        <item x="1"/>
        <item x="2"/>
        <item x="3"/>
        <item x="4"/>
        <item x="5"/>
        <item x="6"/>
        <item x="7"/>
        <item x="8"/>
        <item x="9"/>
        <item x="10"/>
        <item x="11"/>
        <item x="12"/>
        <item x="13"/>
        <item x="14"/>
        <item x="15"/>
        <item x="16"/>
        <item x="17"/>
        <item x="18"/>
        <item x="19"/>
        <item x="20"/>
        <item h="1" x="21"/>
        <item h="1" x="22"/>
        <item t="default"/>
      </items>
    </pivotField>
    <pivotField name="Cliente" axis="axisPage" compact="0" outline="0" multipleItemSelectionAllowed="1" showAll="0">
      <items>
        <item x="0"/>
        <item x="1"/>
        <item x="2"/>
        <item x="3"/>
        <item x="4"/>
        <item x="5"/>
        <item x="6"/>
        <item x="7"/>
        <item x="8"/>
        <item x="9"/>
        <item x="10"/>
        <item x="11"/>
        <item x="12"/>
        <item x="13"/>
        <item t="default"/>
      </items>
    </pivotField>
    <pivotField name="Cantidad de horas obje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antidad de horas reales Asa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Cantidad de horas para factur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tización" compact="0" outline="0" multipleItemSelectionAllowed="1" showAll="0">
      <items>
        <item x="0"/>
        <item x="1"/>
        <item x="2"/>
        <item x="3"/>
        <item x="4"/>
        <item x="5"/>
        <item x="6"/>
        <item x="7"/>
        <item x="8"/>
        <item x="9"/>
        <item x="10"/>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s>
  <rowFields>
    <field x="0"/>
  </rowFields>
  <colFields>
    <field x="2"/>
  </colFields>
  <pageFields>
    <pageField fld="8"/>
    <pageField fld="1"/>
    <pageField fld="9"/>
    <pageField fld="3"/>
  </pageFields>
  <dataFields>
    <dataField name="Monto Total USD" fld="17" baseField="0"/>
  </dataFields>
</pivotTableDefinition>
</file>

<file path=xl/pivotTables/pivotTable7.xml><?xml version="1.0" encoding="utf-8"?>
<pivotTableDefinition xmlns="http://schemas.openxmlformats.org/spreadsheetml/2006/main" name="TD Proyectos confirmados y esti" cacheId="3" dataCaption="" compact="0" compactData="0">
  <location ref="A2:D29" firstHeaderRow="0" firstDataRow="3" firstDataCol="0"/>
  <pivotFields>
    <pivotField name="IMPUESTOS ESTIMADOS" axis="axisRow" compact="0" numFmtId="49" outline="0" multipleItemSelectionAllowed="1" showAll="0" sortType="ascending">
      <items>
        <item h="1" x="12"/>
        <item x="0"/>
        <item x="1"/>
        <item x="2"/>
        <item x="3"/>
        <item x="4"/>
        <item x="5"/>
        <item x="6"/>
        <item x="7"/>
        <item x="8"/>
        <item x="9"/>
        <item x="10"/>
        <item x="11"/>
        <item t="default"/>
      </items>
    </pivotField>
    <pivotField name="Año Facturación" axis="axisRow" compact="0" outline="0" multipleItemSelectionAllowed="1" showAll="0" sortType="ascending">
      <items>
        <item x="2"/>
        <item x="0"/>
        <item x="1"/>
        <item t="default"/>
      </items>
    </pivotField>
    <pivotField name="Mes Cobro" compact="0" numFmtId="49" outline="0" multipleItemSelectionAllowed="1" showAll="0">
      <items>
        <item x="0"/>
        <item x="1"/>
        <item x="2"/>
        <item x="3"/>
        <item x="4"/>
        <item x="5"/>
        <item x="6"/>
        <item x="7"/>
        <item x="8"/>
        <item x="9"/>
        <item x="10"/>
        <item x="11"/>
        <item x="12"/>
        <item t="default"/>
      </items>
    </pivotField>
    <pivotField name="Año Cobro" compact="0" outline="0" multipleItemSelectionAllowed="1" showAll="0">
      <items>
        <item x="0"/>
        <item x="1"/>
        <item x="2"/>
        <item x="3"/>
        <item t="default"/>
      </items>
    </pivotField>
    <pivotField name="Cliente" compact="0" outline="0" multipleItemSelectionAllowed="1" showAll="0">
      <items>
        <item x="0"/>
        <item x="1"/>
        <item x="2"/>
        <item x="3"/>
        <item x="4"/>
        <item x="5"/>
        <item x="6"/>
        <item x="7"/>
        <item x="8"/>
        <item x="9"/>
        <item x="10"/>
        <item x="11"/>
        <item x="12"/>
        <item x="13"/>
        <item x="14"/>
        <item x="15"/>
        <item x="16"/>
        <item x="17"/>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t="default"/>
      </items>
    </pivotField>
    <pivotField name="Tipo de proyecto" compact="0" outline="0" multipleItemSelectionAllowed="1" showAll="0">
      <items>
        <item x="0"/>
        <item x="1"/>
        <item x="2"/>
        <item t="default"/>
      </items>
    </pivotField>
    <pivotField name="Confirmado" compact="0" outline="0" multipleItemSelectionAllowed="1" showAll="0">
      <items>
        <item x="0"/>
        <item x="1"/>
        <item x="2"/>
        <item t="default"/>
      </items>
    </pivotField>
    <pivotField name="Propuesta enviada" compact="0" outline="0" multipleItemSelectionAllowed="1" showAll="0">
      <items>
        <item x="0"/>
        <item x="1"/>
        <item t="default"/>
      </items>
    </pivotField>
    <pivotField name="Condición de pago" compact="0" outline="0" multipleItemSelectionAllowed="1" showAll="0">
      <items>
        <item x="0"/>
        <item x="1"/>
        <item x="2"/>
        <item x="3"/>
        <item x="4"/>
        <item x="5"/>
        <item x="6"/>
        <item x="7"/>
        <item t="default"/>
      </items>
    </pivotField>
    <pivotField name=" Ajuste" compact="0" outline="0" multipleItemSelectionAllowed="1" showAll="0">
      <items>
        <item x="0"/>
        <item x="1"/>
        <item x="2"/>
        <item x="3"/>
        <item x="4"/>
        <item x="5"/>
        <item x="6"/>
        <item x="7"/>
        <item t="default"/>
      </items>
    </pivotField>
    <pivotField name="Valor B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eda Original 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eda Original USD" compact="0" numFmtId="169" outline="0" multipleItemSelectionAllowed="1" showAll="0">
      <items>
        <item x="0"/>
        <item x="1"/>
        <item x="2"/>
        <item x="3"/>
        <item x="4"/>
        <item x="5"/>
        <item x="6"/>
        <item x="7"/>
        <item x="8"/>
        <item x="9"/>
        <item x="10"/>
        <item x="11"/>
        <item x="12"/>
        <item x="13"/>
        <item x="14"/>
        <item x="15"/>
        <item t="default"/>
      </items>
    </pivotField>
    <pivotField name="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IBB"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tización" compact="0" outline="0" multipleItemSelectionAllowed="1" showAll="0">
      <items>
        <item x="0"/>
        <item x="1"/>
        <item x="2"/>
        <item x="3"/>
        <item x="4"/>
        <item x="5"/>
        <item x="6"/>
        <item x="7"/>
        <item x="8"/>
        <item x="9"/>
        <item x="10"/>
        <item x="11"/>
        <item x="12"/>
        <item x="13"/>
        <item x="14"/>
        <item x="15"/>
        <item x="16"/>
        <item x="17"/>
        <item t="default"/>
      </items>
    </pivotField>
    <pivotField name="Monto Tot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Monto Total ARS CO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to Total USD CON IV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Facturado/No Facturado" compact="0" outline="0" multipleItemSelectionAllowed="1" showAll="0">
      <items>
        <item x="0"/>
        <item x="1"/>
        <item x="2"/>
        <item x="3"/>
        <item t="default"/>
      </items>
    </pivotField>
  </pivotFields>
  <rowFields>
    <field x="1"/>
    <field x="0"/>
  </rowFields>
  <colFields>
    <field x="-2"/>
  </colFields>
  <dataFields>
    <dataField name="SUM of IVA" fld="14" baseField="0"/>
    <dataField name="SUM of IIBB" fld="15" baseField="0"/>
  </dataFields>
</pivotTableDefinition>
</file>

<file path=xl/pivotTables/pivotTable8.xml><?xml version="1.0" encoding="utf-8"?>
<pivotTableDefinition xmlns="http://schemas.openxmlformats.org/spreadsheetml/2006/main" name="TD Proyectos confirmados y esti 2" cacheId="3" dataCaption="" colGrandTotals="0" compact="0" compactData="0">
  <location ref="A34:M53" firstHeaderRow="0" firstDataRow="1" firstDataCol="1" rowPageCount="1" colPageCount="1"/>
  <pivotFields>
    <pivotField name="PROYECTOS CONFIRMADO Y ESTIMADOS" axis="axisCol" compact="0" numFmtId="49" outline="0" multipleItemSelectionAllowed="1" showAll="0" sortType="ascending">
      <items>
        <item x="12"/>
        <item x="0"/>
        <item x="1"/>
        <item x="2"/>
        <item x="3"/>
        <item x="4"/>
        <item x="5"/>
        <item x="6"/>
        <item x="7"/>
        <item x="8"/>
        <item x="9"/>
        <item x="10"/>
        <item x="11"/>
        <item t="default"/>
      </items>
    </pivotField>
    <pivotField name="Año Facturación" axis="axisPage" compact="0" outline="0" multipleItemSelectionAllowed="1" showAll="0">
      <items>
        <item x="0"/>
        <item h="1" x="1"/>
        <item h="1" x="2"/>
        <item t="default"/>
      </items>
    </pivotField>
    <pivotField name="Mes Cobro" compact="0" numFmtId="49" outline="0" multipleItemSelectionAllowed="1" showAll="0">
      <items>
        <item x="0"/>
        <item x="1"/>
        <item x="2"/>
        <item x="3"/>
        <item x="4"/>
        <item x="5"/>
        <item x="6"/>
        <item x="7"/>
        <item x="8"/>
        <item x="9"/>
        <item x="10"/>
        <item x="11"/>
        <item x="12"/>
        <item t="default"/>
      </items>
    </pivotField>
    <pivotField name="Año Cobro" compact="0" outline="0" multipleItemSelectionAllowed="1" showAll="0">
      <items>
        <item x="0"/>
        <item x="1"/>
        <item x="2"/>
        <item x="3"/>
        <item t="default"/>
      </items>
    </pivotField>
    <pivotField name="Cliente" axis="axisRow" compact="0" outline="0" multipleItemSelectionAllowed="1" showAll="0" sortType="ascending">
      <items>
        <item x="17"/>
        <item x="12"/>
        <item x="2"/>
        <item x="14"/>
        <item x="11"/>
        <item x="1"/>
        <item x="7"/>
        <item x="8"/>
        <item x="3"/>
        <item x="15"/>
        <item x="16"/>
        <item x="10"/>
        <item x="6"/>
        <item x="13"/>
        <item x="9"/>
        <item x="4"/>
        <item x="5"/>
        <item x="0"/>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t="default"/>
      </items>
    </pivotField>
    <pivotField name="Tipo de proyecto" compact="0" outline="0" multipleItemSelectionAllowed="1" showAll="0">
      <items>
        <item x="0"/>
        <item x="1"/>
        <item x="2"/>
        <item t="default"/>
      </items>
    </pivotField>
    <pivotField name="Confirmado" compact="0" outline="0" multipleItemSelectionAllowed="1" showAll="0">
      <items>
        <item x="0"/>
        <item x="1"/>
        <item x="2"/>
        <item t="default"/>
      </items>
    </pivotField>
    <pivotField name="Propuesta enviada" compact="0" outline="0" multipleItemSelectionAllowed="1" showAll="0">
      <items>
        <item x="0"/>
        <item x="1"/>
        <item t="default"/>
      </items>
    </pivotField>
    <pivotField name="Condición de pago" compact="0" outline="0" multipleItemSelectionAllowed="1" showAll="0">
      <items>
        <item x="0"/>
        <item x="1"/>
        <item x="2"/>
        <item x="3"/>
        <item x="4"/>
        <item x="5"/>
        <item x="6"/>
        <item x="7"/>
        <item t="default"/>
      </items>
    </pivotField>
    <pivotField name=" Ajuste" compact="0" outline="0" multipleItemSelectionAllowed="1" showAll="0">
      <items>
        <item x="0"/>
        <item x="1"/>
        <item x="2"/>
        <item x="3"/>
        <item x="4"/>
        <item x="5"/>
        <item x="6"/>
        <item x="7"/>
        <item t="default"/>
      </items>
    </pivotField>
    <pivotField name="Valor B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eda Original 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eda Original USD" compact="0" numFmtId="169" outline="0" multipleItemSelectionAllowed="1" showAll="0">
      <items>
        <item x="0"/>
        <item x="1"/>
        <item x="2"/>
        <item x="3"/>
        <item x="4"/>
        <item x="5"/>
        <item x="6"/>
        <item x="7"/>
        <item x="8"/>
        <item x="9"/>
        <item x="10"/>
        <item x="11"/>
        <item x="12"/>
        <item x="13"/>
        <item x="14"/>
        <item x="15"/>
        <item t="default"/>
      </items>
    </pivotField>
    <pivotField name="IV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IBB"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tización" compact="0" outline="0" multipleItemSelectionAllowed="1" showAll="0">
      <items>
        <item x="0"/>
        <item x="1"/>
        <item x="2"/>
        <item x="3"/>
        <item x="4"/>
        <item x="5"/>
        <item x="6"/>
        <item x="7"/>
        <item x="8"/>
        <item x="9"/>
        <item x="10"/>
        <item x="11"/>
        <item x="12"/>
        <item x="13"/>
        <item x="14"/>
        <item x="15"/>
        <item x="16"/>
        <item x="17"/>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Monto Total ARS CO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to Total USD CON IV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Facturado/No Facturado" compact="0" outline="0" multipleItemSelectionAllowed="1" showAll="0">
      <items>
        <item x="0"/>
        <item x="1"/>
        <item x="2"/>
        <item x="3"/>
        <item t="default"/>
      </items>
    </pivotField>
  </pivotFields>
  <rowFields>
    <field x="4"/>
  </rowFields>
  <colFields>
    <field x="0"/>
  </colFields>
  <pageFields>
    <pageField fld="1"/>
  </pageFields>
  <dataFields>
    <dataField name="SUM of Monto Total USD" fld="17" baseField="0"/>
  </dataFields>
</pivotTableDefinition>
</file>

<file path=xl/pivotTables/pivotTable9.xml><?xml version="1.0" encoding="utf-8"?>
<pivotTableDefinition xmlns="http://schemas.openxmlformats.org/spreadsheetml/2006/main" name="TD Proyectos confirmados y esti 3" cacheId="3" dataCaption="" colGrandTotals="0" compact="0" compactData="0">
  <location ref="A61:M79" firstHeaderRow="0" firstDataRow="1" firstDataCol="1" rowPageCount="3" colPageCount="1"/>
  <pivotFields>
    <pivotField name="PROYECTOS CONFIRMADOS " axis="axisCol" compact="0" numFmtId="49" outline="0" multipleItemSelectionAllowed="1" showAll="0" sortType="ascending">
      <items>
        <item x="12"/>
        <item x="0"/>
        <item x="1"/>
        <item x="2"/>
        <item x="3"/>
        <item x="4"/>
        <item x="5"/>
        <item x="6"/>
        <item x="7"/>
        <item x="8"/>
        <item x="9"/>
        <item x="10"/>
        <item x="11"/>
        <item t="default"/>
      </items>
    </pivotField>
    <pivotField name="Año Facturación" axis="axisPage" compact="0" outline="0" multipleItemSelectionAllowed="1" showAll="0">
      <items>
        <item x="0"/>
        <item h="1" x="1"/>
        <item h="1" x="2"/>
        <item t="default"/>
      </items>
    </pivotField>
    <pivotField name="Mes Cobro" compact="0" numFmtId="49" outline="0" multipleItemSelectionAllowed="1" showAll="0">
      <items>
        <item x="0"/>
        <item x="1"/>
        <item x="2"/>
        <item x="3"/>
        <item x="4"/>
        <item x="5"/>
        <item x="6"/>
        <item x="7"/>
        <item x="8"/>
        <item x="9"/>
        <item x="10"/>
        <item x="11"/>
        <item x="12"/>
        <item t="default"/>
      </items>
    </pivotField>
    <pivotField name="Año Cobro" compact="0" outline="0" multipleItemSelectionAllowed="1" showAll="0">
      <items>
        <item x="0"/>
        <item x="1"/>
        <item x="2"/>
        <item x="3"/>
        <item t="default"/>
      </items>
    </pivotField>
    <pivotField name="Cliente" axis="axisRow" compact="0" outline="0" multipleItemSelectionAllowed="1" showAll="0" sortType="ascending">
      <items>
        <item x="17"/>
        <item x="12"/>
        <item x="2"/>
        <item x="14"/>
        <item x="11"/>
        <item x="1"/>
        <item x="7"/>
        <item x="8"/>
        <item x="3"/>
        <item x="15"/>
        <item x="16"/>
        <item x="10"/>
        <item x="6"/>
        <item x="13"/>
        <item x="9"/>
        <item x="4"/>
        <item x="5"/>
        <item x="0"/>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t="default"/>
      </items>
    </pivotField>
    <pivotField name="Tipo de proyecto" axis="axisPage" compact="0" outline="0" multipleItemSelectionAllowed="1" showAll="0">
      <items>
        <item x="0"/>
        <item x="1"/>
        <item x="2"/>
        <item t="default"/>
      </items>
    </pivotField>
    <pivotField name="Confirmado" axis="axisPage" compact="0" outline="0" multipleItemSelectionAllowed="1" showAll="0">
      <items>
        <item x="0"/>
        <item h="1" x="1"/>
        <item h="1" x="2"/>
        <item t="default"/>
      </items>
    </pivotField>
    <pivotField name="Propuesta enviada" compact="0" outline="0" multipleItemSelectionAllowed="1" showAll="0">
      <items>
        <item x="0"/>
        <item x="1"/>
        <item t="default"/>
      </items>
    </pivotField>
    <pivotField name="Condición de pago" compact="0" outline="0" multipleItemSelectionAllowed="1" showAll="0">
      <items>
        <item x="0"/>
        <item x="1"/>
        <item x="2"/>
        <item x="3"/>
        <item x="4"/>
        <item x="5"/>
        <item x="6"/>
        <item x="7"/>
        <item t="default"/>
      </items>
    </pivotField>
    <pivotField name=" Ajuste" compact="0" outline="0" multipleItemSelectionAllowed="1" showAll="0">
      <items>
        <item x="0"/>
        <item x="1"/>
        <item x="2"/>
        <item x="3"/>
        <item x="4"/>
        <item x="5"/>
        <item x="6"/>
        <item x="7"/>
        <item t="default"/>
      </items>
    </pivotField>
    <pivotField name="Valor B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eda Original 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eda Original USD" compact="0" numFmtId="169" outline="0" multipleItemSelectionAllowed="1" showAll="0">
      <items>
        <item x="0"/>
        <item x="1"/>
        <item x="2"/>
        <item x="3"/>
        <item x="4"/>
        <item x="5"/>
        <item x="6"/>
        <item x="7"/>
        <item x="8"/>
        <item x="9"/>
        <item x="10"/>
        <item x="11"/>
        <item x="12"/>
        <item x="13"/>
        <item x="14"/>
        <item x="15"/>
        <item t="default"/>
      </items>
    </pivotField>
    <pivotField name="IV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IBB"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tización" compact="0" outline="0" multipleItemSelectionAllowed="1" showAll="0">
      <items>
        <item x="0"/>
        <item x="1"/>
        <item x="2"/>
        <item x="3"/>
        <item x="4"/>
        <item x="5"/>
        <item x="6"/>
        <item x="7"/>
        <item x="8"/>
        <item x="9"/>
        <item x="10"/>
        <item x="11"/>
        <item x="12"/>
        <item x="13"/>
        <item x="14"/>
        <item x="15"/>
        <item x="16"/>
        <item x="17"/>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Monto Total ARS CO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to Total USD CON IV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Facturado/No Facturado" compact="0" outline="0" multipleItemSelectionAllowed="1" showAll="0">
      <items>
        <item x="0"/>
        <item x="1"/>
        <item x="2"/>
        <item x="3"/>
        <item t="default"/>
      </items>
    </pivotField>
  </pivotFields>
  <rowFields>
    <field x="4"/>
  </rowFields>
  <colFields>
    <field x="0"/>
  </colFields>
  <pageFields>
    <pageField fld="7"/>
    <pageField fld="6"/>
    <pageField fld="1"/>
  </pageFields>
  <dataFields>
    <dataField name="SUM of Monto Total USD" fld="17" baseField="0"/>
  </dataFields>
</pivotTableDefinition>
</file>

<file path=xl/pivotTables/pivotTable10.xml><?xml version="1.0" encoding="utf-8"?>
<pivotTableDefinition xmlns="http://schemas.openxmlformats.org/spreadsheetml/2006/main" name="TD Proyectos confirmados y esti 4" cacheId="3" dataCaption="" colGrandTotals="0" compact="0" compactData="0">
  <location ref="A81:E93" firstHeaderRow="0" firstDataRow="1" firstDataCol="1" rowPageCount="3" colPageCount="1"/>
  <pivotFields>
    <pivotField name="PROYECTOS CONFIRMADOS " axis="axisCol" compact="0" numFmtId="49" outline="0" multipleItemSelectionAllowed="1" showAll="0" sortType="ascending">
      <items>
        <item h="1" x="12"/>
        <item h="1" x="0"/>
        <item h="1" x="1"/>
        <item h="1" x="2"/>
        <item h="1" x="3"/>
        <item h="1" x="4"/>
        <item h="1" x="5"/>
        <item h="1" x="6"/>
        <item h="1" x="7"/>
        <item x="8"/>
        <item x="9"/>
        <item x="10"/>
        <item x="11"/>
        <item t="default"/>
      </items>
    </pivotField>
    <pivotField name="Año Facturación" axis="axisPage" compact="0" outline="0" multipleItemSelectionAllowed="1" showAll="0">
      <items>
        <item x="0"/>
        <item h="1" x="1"/>
        <item h="1" x="2"/>
        <item t="default"/>
      </items>
    </pivotField>
    <pivotField name="Mes Cobro" compact="0" numFmtId="49" outline="0" multipleItemSelectionAllowed="1" showAll="0">
      <items>
        <item x="0"/>
        <item x="1"/>
        <item x="2"/>
        <item x="3"/>
        <item x="4"/>
        <item x="5"/>
        <item x="6"/>
        <item x="7"/>
        <item x="8"/>
        <item x="9"/>
        <item x="10"/>
        <item x="11"/>
        <item x="12"/>
        <item t="default"/>
      </items>
    </pivotField>
    <pivotField name="Año Cobro" compact="0" outline="0" multipleItemSelectionAllowed="1" showAll="0">
      <items>
        <item x="0"/>
        <item x="1"/>
        <item x="2"/>
        <item x="3"/>
        <item t="default"/>
      </items>
    </pivotField>
    <pivotField name="Cliente" axis="axisRow" compact="0" outline="0" multipleItemSelectionAllowed="1" showAll="0" sortType="ascending">
      <items>
        <item x="17"/>
        <item x="12"/>
        <item x="2"/>
        <item x="14"/>
        <item x="11"/>
        <item x="1"/>
        <item x="7"/>
        <item x="8"/>
        <item x="3"/>
        <item x="15"/>
        <item x="16"/>
        <item x="10"/>
        <item x="6"/>
        <item x="13"/>
        <item x="9"/>
        <item x="4"/>
        <item x="5"/>
        <item x="0"/>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t="default"/>
      </items>
    </pivotField>
    <pivotField name="Tipo de proyecto" axis="axisPage" compact="0" outline="0" multipleItemSelectionAllowed="1" showAll="0">
      <items>
        <item x="0"/>
        <item x="1"/>
        <item x="2"/>
        <item t="default"/>
      </items>
    </pivotField>
    <pivotField name="Confirmado" axis="axisPage" compact="0" outline="0" multipleItemSelectionAllowed="1" showAll="0">
      <items>
        <item x="0"/>
        <item h="1" x="1"/>
        <item h="1" x="2"/>
        <item t="default"/>
      </items>
    </pivotField>
    <pivotField name="Propuesta enviada" compact="0" outline="0" multipleItemSelectionAllowed="1" showAll="0">
      <items>
        <item x="0"/>
        <item x="1"/>
        <item t="default"/>
      </items>
    </pivotField>
    <pivotField name="Condición de pago" compact="0" outline="0" multipleItemSelectionAllowed="1" showAll="0">
      <items>
        <item x="0"/>
        <item x="1"/>
        <item x="2"/>
        <item x="3"/>
        <item x="4"/>
        <item x="5"/>
        <item x="6"/>
        <item x="7"/>
        <item t="default"/>
      </items>
    </pivotField>
    <pivotField name=" Ajuste" compact="0" outline="0" multipleItemSelectionAllowed="1" showAll="0">
      <items>
        <item x="0"/>
        <item x="1"/>
        <item x="2"/>
        <item x="3"/>
        <item x="4"/>
        <item x="5"/>
        <item x="6"/>
        <item x="7"/>
        <item t="default"/>
      </items>
    </pivotField>
    <pivotField name="Valor B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eda Original 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eda Original USD" compact="0" numFmtId="169" outline="0" multipleItemSelectionAllowed="1" showAll="0">
      <items>
        <item x="0"/>
        <item x="1"/>
        <item x="2"/>
        <item x="3"/>
        <item x="4"/>
        <item x="5"/>
        <item x="6"/>
        <item x="7"/>
        <item x="8"/>
        <item x="9"/>
        <item x="10"/>
        <item x="11"/>
        <item x="12"/>
        <item x="13"/>
        <item x="14"/>
        <item x="15"/>
        <item t="default"/>
      </items>
    </pivotField>
    <pivotField name="IV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IBB"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tización" compact="0" outline="0" multipleItemSelectionAllowed="1" showAll="0">
      <items>
        <item x="0"/>
        <item x="1"/>
        <item x="2"/>
        <item x="3"/>
        <item x="4"/>
        <item x="5"/>
        <item x="6"/>
        <item x="7"/>
        <item x="8"/>
        <item x="9"/>
        <item x="10"/>
        <item x="11"/>
        <item x="12"/>
        <item x="13"/>
        <item x="14"/>
        <item x="15"/>
        <item x="16"/>
        <item x="17"/>
        <item t="default"/>
      </items>
    </pivotField>
    <pivotField name="Monto Tot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Monto Total ARS CO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onto Total USD CON IVA"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Facturado/No Facturado" compact="0" outline="0" multipleItemSelectionAllowed="1" showAll="0">
      <items>
        <item x="0"/>
        <item x="1"/>
        <item x="2"/>
        <item x="3"/>
        <item t="default"/>
      </items>
    </pivotField>
  </pivotFields>
  <rowFields>
    <field x="4"/>
  </rowFields>
  <colFields>
    <field x="0"/>
  </colFields>
  <pageFields>
    <pageField fld="7"/>
    <pageField fld="6"/>
    <pageField fld="1"/>
  </pageFields>
  <dataFields>
    <dataField name="SUM of Monto Total USD CON IVA" fld="19" baseField="0"/>
  </dataFields>
</pivotTableDefinition>
</file>

<file path=xl/pivotTables/pivotTable11.xml><?xml version="1.0" encoding="utf-8"?>
<pivotTableDefinition xmlns="http://schemas.openxmlformats.org/spreadsheetml/2006/main" name="TD Costos Estimados para proyec" cacheId="4" dataCaption="" compact="0" compactData="0">
  <location ref="A6:G46" firstHeaderRow="0" firstDataRow="1" firstDataCol="1" rowPageCount="3" colPageCount="1"/>
  <pivotFields>
    <pivotField name="Mes" axis="axisCol" compact="0" numFmtId="49" outline="0" multipleItemSelectionAllowed="1" showAll="0" sortType="ascending">
      <items>
        <item h="1" x="7"/>
        <item h="1" x="0"/>
        <item h="1" x="1"/>
        <item x="2"/>
        <item x="3"/>
        <item x="4"/>
        <item x="5"/>
        <item x="6"/>
        <item t="default"/>
      </items>
    </pivotField>
    <pivotField name="Año" axis="axisPage" compact="0" outline="0" multipleItemSelectionAllowed="1" showAll="0">
      <items>
        <item x="0"/>
        <item x="1"/>
        <item t="default"/>
      </items>
    </pivotField>
    <pivotField name="Detalle" axis="axisRow" compact="0" outline="0" multipleItemSelectionAllowed="1" showAll="0" sortType="ascending">
      <items>
        <item x="39"/>
        <item x="5"/>
        <item x="25"/>
        <item x="34"/>
        <item x="6"/>
        <item x="29"/>
        <item x="26"/>
        <item x="9"/>
        <item x="21"/>
        <item x="20"/>
        <item x="37"/>
        <item x="27"/>
        <item x="38"/>
        <item x="10"/>
        <item x="36"/>
        <item x="33"/>
        <item x="28"/>
        <item x="1"/>
        <item x="23"/>
        <item x="14"/>
        <item x="11"/>
        <item x="12"/>
        <item x="22"/>
        <item x="32"/>
        <item x="35"/>
        <item x="8"/>
        <item x="16"/>
        <item x="17"/>
        <item x="15"/>
        <item x="30"/>
        <item x="31"/>
        <item x="13"/>
        <item x="19"/>
        <item x="4"/>
        <item x="7"/>
        <item x="3"/>
        <item x="0"/>
        <item x="18"/>
        <item x="2"/>
        <item x="24"/>
        <item t="default"/>
      </items>
    </pivotField>
    <pivotField name="Subtipo de costo" axis="axisPage" compact="0" outline="0" multipleItemSelectionAllowed="1" showAll="0">
      <items>
        <item x="0"/>
        <item x="1"/>
        <item x="2"/>
        <item x="3"/>
        <item x="4"/>
        <item x="5"/>
        <item x="6"/>
        <item x="7"/>
        <item x="8"/>
        <item x="9"/>
        <item x="10"/>
        <item x="11"/>
        <item x="12"/>
        <item x="13"/>
        <item x="14"/>
        <item x="15"/>
        <item x="16"/>
        <item x="17"/>
        <item t="default"/>
      </items>
    </pivotField>
    <pivotField name="Puesto (Si subtipo es Equipo o Board)" compact="0" outline="0" multipleItemSelectionAllowed="1" showAll="0">
      <items>
        <item x="0"/>
        <item x="1"/>
        <item x="2"/>
        <item x="3"/>
        <item x="4"/>
        <item x="5"/>
        <item x="6"/>
        <item x="7"/>
        <item t="default"/>
      </items>
    </pivotField>
    <pivotField name="Cantidad de horas/Uni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juste proveedor" compact="0" outline="0" multipleItemSelectionAllowed="1" showAll="0">
      <items>
        <item x="0"/>
        <item x="1"/>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tización" compact="0" outline="0" multipleItemSelectionAllowed="1" showAll="0">
      <items>
        <item x="0"/>
        <item x="1"/>
        <item x="2"/>
        <item x="3"/>
        <item x="4"/>
        <item x="5"/>
        <item x="6"/>
        <item x="7"/>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Pasado/Futuro" axis="axisPage" compact="0" outline="0" multipleItemSelectionAllowed="1" showAll="0">
      <items>
        <item x="0"/>
        <item x="1"/>
        <item h="1" x="2"/>
        <item t="default"/>
      </items>
    </pivotField>
  </pivotFields>
  <rowFields>
    <field x="2"/>
  </rowFields>
  <colFields>
    <field x="0"/>
  </colFields>
  <pageFields>
    <pageField fld="12"/>
    <pageField fld="3"/>
    <pageField fld="1"/>
  </pageFields>
  <dataFields>
    <dataField name="SUM of Monto Total USD" fld="11" baseField="0"/>
  </dataFields>
</pivotTableDefinition>
</file>

<file path=xl/pivotTables/pivotTable12.xml><?xml version="1.0" encoding="utf-8"?>
<pivotTableDefinition xmlns="http://schemas.openxmlformats.org/spreadsheetml/2006/main" name="TD Costos Estimados para proyec 2" cacheId="4" dataCaption="" colGrandTotals="0" compact="0" compactData="0">
  <location ref="A54:E89" firstHeaderRow="0" firstDataRow="1" firstDataCol="1" rowPageCount="2" colPageCount="1"/>
  <pivotFields>
    <pivotField name="COSTOS ESTIMADOS" axis="axisCol" compact="0" numFmtId="49" outline="0" multipleItemSelectionAllowed="1" showAll="0" sortType="ascending">
      <items>
        <item h="1" x="7"/>
        <item h="1" x="0"/>
        <item h="1" x="1"/>
        <item h="1" x="2"/>
        <item x="3"/>
        <item x="4"/>
        <item x="5"/>
        <item x="6"/>
        <item t="default"/>
      </items>
    </pivotField>
    <pivotField name="Año" axis="axisPage" compact="0" outline="0" multipleItemSelectionAllowed="1" showAll="0">
      <items>
        <item x="0"/>
        <item x="1"/>
        <item t="default"/>
      </items>
    </pivotField>
    <pivotField name="Detalle" axis="axisRow" compact="0" outline="0" multipleItemSelectionAllowed="1" showAll="0" sortType="ascending">
      <items>
        <item x="39"/>
        <item x="5"/>
        <item x="25"/>
        <item x="34"/>
        <item x="6"/>
        <item x="29"/>
        <item x="26"/>
        <item x="9"/>
        <item x="21"/>
        <item x="20"/>
        <item x="37"/>
        <item x="27"/>
        <item h="1" x="38"/>
        <item x="10"/>
        <item x="36"/>
        <item x="33"/>
        <item x="28"/>
        <item x="1"/>
        <item x="23"/>
        <item x="14"/>
        <item x="11"/>
        <item x="12"/>
        <item x="22"/>
        <item x="32"/>
        <item h="1" x="35"/>
        <item x="8"/>
        <item x="16"/>
        <item x="17"/>
        <item x="15"/>
        <item x="30"/>
        <item x="31"/>
        <item x="13"/>
        <item x="19"/>
        <item x="4"/>
        <item x="7"/>
        <item x="3"/>
        <item x="0"/>
        <item x="18"/>
        <item x="2"/>
        <item x="24"/>
        <item t="default"/>
      </items>
    </pivotField>
    <pivotField name="Subtipo de costo" axis="axisPage" compact="0" outline="0" multipleItemSelectionAllowed="1" showAll="0">
      <items>
        <item x="0"/>
        <item h="1" x="1"/>
        <item x="2"/>
        <item h="1" x="3"/>
        <item x="4"/>
        <item x="5"/>
        <item h="1" x="6"/>
        <item x="7"/>
        <item x="8"/>
        <item x="9"/>
        <item x="10"/>
        <item h="1" x="11"/>
        <item x="12"/>
        <item x="13"/>
        <item x="14"/>
        <item h="1" x="15"/>
        <item h="1" x="16"/>
        <item x="17"/>
        <item t="default"/>
      </items>
    </pivotField>
    <pivotField name="Puesto (Si subtipo es Equipo o Board)" compact="0" outline="0" multipleItemSelectionAllowed="1" showAll="0">
      <items>
        <item x="0"/>
        <item x="1"/>
        <item x="2"/>
        <item x="3"/>
        <item x="4"/>
        <item x="5"/>
        <item x="6"/>
        <item x="7"/>
        <item t="default"/>
      </items>
    </pivotField>
    <pivotField name="Cantidad de horas/Uni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juste proveedor" compact="0" outline="0" multipleItemSelectionAllowed="1" showAll="0">
      <items>
        <item x="0"/>
        <item x="1"/>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tización" compact="0" outline="0" multipleItemSelectionAllowed="1" showAll="0">
      <items>
        <item x="0"/>
        <item x="1"/>
        <item x="2"/>
        <item x="3"/>
        <item x="4"/>
        <item x="5"/>
        <item x="6"/>
        <item x="7"/>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Pasado/Futuro" compact="0" outline="0" multipleItemSelectionAllowed="1" showAll="0">
      <items>
        <item x="0"/>
        <item x="1"/>
        <item x="2"/>
        <item t="default"/>
      </items>
    </pivotField>
  </pivotFields>
  <rowFields>
    <field x="2"/>
  </rowFields>
  <colFields>
    <field x="0"/>
  </colFields>
  <pageFields>
    <pageField fld="3"/>
    <pageField fld="1"/>
  </pageFields>
  <dataFields>
    <dataField name="SUM of Monto Total USD" fld="11" baseField="0"/>
  </dataFields>
</pivotTableDefinition>
</file>

<file path=xl/pivotTables/pivotTable13.xml><?xml version="1.0" encoding="utf-8"?>
<pivotTableDefinition xmlns="http://schemas.openxmlformats.org/spreadsheetml/2006/main" name="Calculo ajustes " cacheId="4" dataCaption="" compact="0" compactData="0">
  <location ref="A5:E27" firstHeaderRow="0" firstDataRow="1" firstDataCol="1" rowPageCount="3" colPageCount="1"/>
  <pivotFields>
    <pivotField name="Mes" axis="axisCol" compact="0" numFmtId="49" outline="0" multipleItemSelectionAllowed="1" showAll="0" sortType="ascending">
      <items>
        <item h="1" x="7"/>
        <item h="1" x="0"/>
        <item h="1" x="1"/>
        <item h="1" x="2"/>
        <item h="1" x="3"/>
        <item x="4"/>
        <item x="5"/>
        <item x="6"/>
        <item t="default"/>
      </items>
    </pivotField>
    <pivotField name="Año" axis="axisPage" compact="0" outline="0" multipleItemSelectionAllowed="1" showAll="0">
      <items>
        <item x="0"/>
        <item x="1"/>
        <item t="default"/>
      </items>
    </pivotField>
    <pivotField name="Detalle" axis="axisRow" compact="0" outline="0" multipleItemSelectionAllowed="1" showAll="0" sortType="ascending">
      <items>
        <item x="39"/>
        <item x="5"/>
        <item x="25"/>
        <item x="34"/>
        <item x="6"/>
        <item x="29"/>
        <item x="26"/>
        <item x="9"/>
        <item x="21"/>
        <item x="20"/>
        <item x="37"/>
        <item x="27"/>
        <item x="38"/>
        <item x="10"/>
        <item x="36"/>
        <item x="33"/>
        <item x="28"/>
        <item x="1"/>
        <item x="23"/>
        <item x="14"/>
        <item x="11"/>
        <item x="12"/>
        <item x="22"/>
        <item x="32"/>
        <item h="1" x="35"/>
        <item x="8"/>
        <item x="16"/>
        <item x="17"/>
        <item x="15"/>
        <item x="30"/>
        <item x="31"/>
        <item x="13"/>
        <item x="19"/>
        <item x="4"/>
        <item x="7"/>
        <item x="3"/>
        <item x="0"/>
        <item x="18"/>
        <item x="2"/>
        <item x="24"/>
        <item t="default"/>
      </items>
    </pivotField>
    <pivotField name="Subtipo de costo" axis="axisPage" compact="0" outline="0" multipleItemSelectionAllowed="1" showAll="0">
      <items>
        <item x="0"/>
        <item h="1" x="1"/>
        <item x="2"/>
        <item h="1" x="3"/>
        <item h="1" x="4"/>
        <item h="1" x="5"/>
        <item h="1" x="6"/>
        <item h="1" x="7"/>
        <item h="1" x="8"/>
        <item h="1" x="9"/>
        <item h="1" x="10"/>
        <item h="1" x="11"/>
        <item h="1" x="12"/>
        <item h="1" x="13"/>
        <item h="1" x="14"/>
        <item h="1" x="15"/>
        <item h="1" x="16"/>
        <item h="1" x="17"/>
        <item t="default"/>
      </items>
    </pivotField>
    <pivotField name="Puesto (Si subtipo es Equipo o Board)" compact="0" outline="0" multipleItemSelectionAllowed="1" showAll="0">
      <items>
        <item x="0"/>
        <item x="1"/>
        <item x="2"/>
        <item x="3"/>
        <item x="4"/>
        <item x="5"/>
        <item x="6"/>
        <item x="7"/>
        <item t="default"/>
      </items>
    </pivotField>
    <pivotField name="Cantidad de horas/Uni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juste proveedor" compact="0" outline="0" multipleItemSelectionAllowed="1" showAll="0">
      <items>
        <item x="0"/>
        <item x="1"/>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oneda Original ARS" dataField="1"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tización" compact="0" outline="0" multipleItemSelectionAllowed="1" showAll="0">
      <items>
        <item x="0"/>
        <item x="1"/>
        <item x="2"/>
        <item x="3"/>
        <item x="4"/>
        <item x="5"/>
        <item x="6"/>
        <item x="7"/>
        <item t="default"/>
      </items>
    </pivotField>
    <pivotField name="Monto Tot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Pasado/Futuro" axis="axisPage" compact="0" outline="0" multipleItemSelectionAllowed="1" showAll="0">
      <items>
        <item x="0"/>
        <item x="1"/>
        <item h="1" x="2"/>
        <item t="default"/>
      </items>
    </pivotField>
  </pivotFields>
  <rowFields>
    <field x="2"/>
  </rowFields>
  <colFields>
    <field x="0"/>
  </colFields>
  <pageFields>
    <pageField fld="12"/>
    <pageField fld="3"/>
    <pageField fld="1"/>
  </pageFields>
  <dataFields>
    <dataField name="SUM of Moneda Original ARS" fld="8" baseField="0"/>
  </dataFields>
</pivotTableDefinition>
</file>

<file path=xl/pivotTables/pivotTable14.xml><?xml version="1.0" encoding="utf-8"?>
<pivotTableDefinition xmlns="http://schemas.openxmlformats.org/spreadsheetml/2006/main" name="Calculo ajustes  2" cacheId="0" dataCaption="" compact="0" compactData="0">
  <location ref="A85:K107" firstHeaderRow="0" firstDataRow="1" firstDataCol="1" rowPageCount="4" colPageCount="1"/>
  <pivotFields>
    <pivotField name="Detalle" axis="axisRow" compact="0" outline="0" multipleItemSelectionAllowed="1" showAll="0" sortType="ascending">
      <items>
        <item x="44"/>
        <item h="1" x="14"/>
        <item x="7"/>
        <item x="28"/>
        <item x="42"/>
        <item h="1" x="8"/>
        <item x="38"/>
        <item h="1" x="33"/>
        <item x="23"/>
        <item x="11"/>
        <item x="19"/>
        <item x="18"/>
        <item x="27"/>
        <item x="41"/>
        <item x="25"/>
        <item x="36"/>
        <item x="32"/>
        <item x="40"/>
        <item x="39"/>
        <item x="26"/>
        <item x="5"/>
        <item x="29"/>
        <item x="10"/>
        <item x="12"/>
        <item x="13"/>
        <item x="20"/>
        <item x="43"/>
        <item x="21"/>
        <item x="22"/>
        <item x="9"/>
        <item h="1" x="15"/>
        <item x="37"/>
        <item x="35"/>
        <item x="34"/>
        <item x="24"/>
        <item x="31"/>
        <item x="4"/>
        <item x="17"/>
        <item x="2"/>
        <item x="3"/>
        <item x="1"/>
        <item x="0"/>
        <item x="16"/>
        <item x="6"/>
        <item x="30"/>
        <item t="default"/>
      </items>
    </pivotField>
    <pivotField name="Subtipo de costo" axis="axisPage" compact="0" outline="0" multipleItemSelectionAllowed="1" showAll="0">
      <items>
        <item x="0"/>
        <item x="1"/>
        <item h="1" x="2"/>
        <item h="1" x="3"/>
        <item h="1" x="4"/>
        <item h="1" x="5"/>
        <item h="1" x="6"/>
        <item h="1" x="7"/>
        <item h="1" x="8"/>
        <item h="1" x="9"/>
        <item h="1" x="10"/>
        <item h="1" x="11"/>
        <item h="1" x="12"/>
        <item h="1" x="13"/>
        <item h="1" x="14"/>
        <item h="1" x="15"/>
        <item h="1" x="16"/>
        <item h="1" x="17"/>
        <item h="1" x="18"/>
        <item h="1" x="19"/>
        <item t="default"/>
      </items>
    </pivotField>
    <pivotField name="Mes" axis="axisCol" compact="0" numFmtId="49" outline="0" multipleItemSelectionAllowed="1" showAll="0" sortType="ascending">
      <items>
        <item h="1" x="9"/>
        <item x="0"/>
        <item x="1"/>
        <item x="2"/>
        <item x="3"/>
        <item x="4"/>
        <item x="5"/>
        <item x="6"/>
        <item x="7"/>
        <item x="8"/>
        <item t="default"/>
      </items>
    </pivotField>
    <pivotField name="Año" axis="axisPage" compact="0" outline="0" multipleItemSelectionAllowed="1" showAll="0">
      <items>
        <item x="0"/>
        <item x="1"/>
        <item t="default"/>
      </items>
    </pivotField>
    <pivotField name="Tipo de Costo" compact="0" outline="0" multipleItemSelectionAllowed="1" showAll="0">
      <items>
        <item x="0"/>
        <item x="1"/>
        <item x="2"/>
        <item t="default"/>
      </items>
    </pivotField>
    <pivotField name="Especific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ro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proyecto" compact="0" outline="0" multipleItemSelectionAllowed="1" showAll="0">
      <items>
        <item x="0"/>
        <item x="1"/>
        <item x="2"/>
        <item x="3"/>
        <item x="4"/>
        <item t="default"/>
      </items>
    </pivotField>
    <pivotField name="Proyect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liente" axis="axisPage" compact="0" outline="0" multipleItemSelectionAllowed="1" showAll="0">
      <items>
        <item x="0"/>
        <item x="1"/>
        <item x="2"/>
        <item x="3"/>
        <item x="4"/>
        <item x="5"/>
        <item x="6"/>
        <item x="7"/>
        <item x="8"/>
        <item x="9"/>
        <item x="10"/>
        <item x="11"/>
        <item x="12"/>
        <item x="13"/>
        <item t="default"/>
      </items>
    </pivotField>
    <pivotField name="Cantidad de horas objetiv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antidad de horas reales Asa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t="default"/>
      </items>
    </pivotField>
    <pivotField name="Cantidad de horas para factur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tización" compact="0" outline="0" multipleItemSelectionAllowed="1" showAll="0">
      <items>
        <item x="0"/>
        <item x="1"/>
        <item x="2"/>
        <item x="3"/>
        <item x="4"/>
        <item x="5"/>
        <item x="6"/>
        <item x="7"/>
        <item x="8"/>
        <item x="9"/>
        <item x="10"/>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s>
  <rowFields>
    <field x="0"/>
  </rowFields>
  <colFields>
    <field x="2"/>
  </colFields>
  <pageFields>
    <pageField fld="8"/>
    <pageField fld="1"/>
    <pageField fld="9"/>
    <pageField fld="3"/>
  </pageFields>
  <dataFields>
    <dataField name="Monto Total USD" fld="17" baseField="0"/>
  </dataFields>
</pivotTableDefinition>
</file>

<file path=xl/pivotTables/pivotTable15.xml><?xml version="1.0" encoding="utf-8"?>
<pivotTableDefinition xmlns="http://schemas.openxmlformats.org/spreadsheetml/2006/main" name="Calculo ajustes  3" cacheId="4" dataCaption="" compact="0" compactData="0">
  <location ref="P80:T102" firstHeaderRow="0" firstDataRow="1" firstDataCol="1" rowPageCount="3" colPageCount="1"/>
  <pivotFields>
    <pivotField name="Mes" axis="axisCol" compact="0" numFmtId="49" outline="0" multipleItemSelectionAllowed="1" showAll="0" sortType="ascending">
      <items>
        <item h="1" x="7"/>
        <item h="1" x="0"/>
        <item h="1" x="1"/>
        <item h="1" x="2"/>
        <item h="1" x="3"/>
        <item x="4"/>
        <item x="5"/>
        <item x="6"/>
        <item t="default"/>
      </items>
    </pivotField>
    <pivotField name="Año" axis="axisPage" compact="0" outline="0" multipleItemSelectionAllowed="1" showAll="0">
      <items>
        <item x="0"/>
        <item x="1"/>
        <item t="default"/>
      </items>
    </pivotField>
    <pivotField name="Detalle" axis="axisRow" compact="0" outline="0" multipleItemSelectionAllowed="1" showAll="0" sortType="ascending">
      <items>
        <item x="39"/>
        <item x="5"/>
        <item x="25"/>
        <item x="34"/>
        <item x="6"/>
        <item x="29"/>
        <item x="26"/>
        <item x="9"/>
        <item x="21"/>
        <item x="20"/>
        <item x="37"/>
        <item x="27"/>
        <item x="38"/>
        <item x="10"/>
        <item x="36"/>
        <item x="33"/>
        <item x="28"/>
        <item x="1"/>
        <item x="23"/>
        <item x="14"/>
        <item x="11"/>
        <item x="12"/>
        <item x="22"/>
        <item x="32"/>
        <item h="1" x="35"/>
        <item x="8"/>
        <item x="16"/>
        <item x="17"/>
        <item x="15"/>
        <item x="30"/>
        <item x="31"/>
        <item x="13"/>
        <item x="19"/>
        <item x="4"/>
        <item x="7"/>
        <item x="3"/>
        <item x="0"/>
        <item x="18"/>
        <item x="2"/>
        <item x="24"/>
        <item t="default"/>
      </items>
    </pivotField>
    <pivotField name="Subtipo de costo" axis="axisPage" compact="0" outline="0" multipleItemSelectionAllowed="1" showAll="0">
      <items>
        <item x="0"/>
        <item h="1" x="1"/>
        <item x="2"/>
        <item h="1" x="3"/>
        <item h="1" x="4"/>
        <item h="1" x="5"/>
        <item h="1" x="6"/>
        <item h="1" x="7"/>
        <item h="1" x="8"/>
        <item h="1" x="9"/>
        <item h="1" x="10"/>
        <item h="1" x="11"/>
        <item h="1" x="12"/>
        <item h="1" x="13"/>
        <item h="1" x="14"/>
        <item h="1" x="15"/>
        <item h="1" x="16"/>
        <item h="1" x="17"/>
        <item t="default"/>
      </items>
    </pivotField>
    <pivotField name="Puesto (Si subtipo es Equipo o Board)" compact="0" outline="0" multipleItemSelectionAllowed="1" showAll="0">
      <items>
        <item x="0"/>
        <item x="1"/>
        <item x="2"/>
        <item x="3"/>
        <item x="4"/>
        <item x="5"/>
        <item x="6"/>
        <item x="7"/>
        <item t="default"/>
      </items>
    </pivotField>
    <pivotField name="Cantidad de horas/Uni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juste proveedor" compact="0" outline="0" multipleItemSelectionAllowed="1" showAll="0">
      <items>
        <item x="0"/>
        <item x="1"/>
        <item t="default"/>
      </items>
    </pivotField>
    <pivotField name="Valor Hora"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oneda Original ARS" compact="0" numFmtId="18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Moneda Original 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tización" compact="0" outline="0" multipleItemSelectionAllowed="1" showAll="0">
      <items>
        <item x="0"/>
        <item x="1"/>
        <item x="2"/>
        <item x="3"/>
        <item x="4"/>
        <item x="5"/>
        <item x="6"/>
        <item x="7"/>
        <item t="default"/>
      </items>
    </pivotField>
    <pivotField name="Monto Total US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Pasado/Futuro" axis="axisPage" compact="0" outline="0" multipleItemSelectionAllowed="1" showAll="0">
      <items>
        <item x="0"/>
        <item x="1"/>
        <item h="1" x="2"/>
        <item t="default"/>
      </items>
    </pivotField>
  </pivotFields>
  <rowFields>
    <field x="2"/>
  </rowFields>
  <colFields>
    <field x="0"/>
  </colFields>
  <pageFields>
    <pageField fld="12"/>
    <pageField fld="3"/>
    <pageField fld="1"/>
  </pageFields>
  <dataFields>
    <dataField name="SUM of Monto Total USD" fld="1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6.xml"/><Relationship Id="rId3"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8.xml"/><Relationship Id="rId3"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9.xml"/><Relationship Id="rId3"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0.xml"/><Relationship Id="rId3"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pivotTable" Target="../pivotTables/pivotTable6.xml"/><Relationship Id="rId6"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pivotTable" Target="../pivotTables/pivotTable10.xm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pivotTable" Target="../pivotTables/pivotTable12.xm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7.xml"/><Relationship Id="rId3"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41.xml"/><Relationship Id="rId3" Type="http://schemas.openxmlformats.org/officeDocument/2006/relationships/vmlDrawing" Target="../drawings/vmlDrawing16.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42.xml"/><Relationship Id="rId3" Type="http://schemas.openxmlformats.org/officeDocument/2006/relationships/vmlDrawing" Target="../drawings/vmlDrawing17.vml"/></Relationships>
</file>

<file path=xl/worksheets/_rels/sheet43.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pivotTable" Target="../pivotTables/pivotTable15.xml"/><Relationship Id="rId4"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www.indec.gob.ar/" TargetMode="External"/><Relationship Id="rId2" Type="http://schemas.openxmlformats.org/officeDocument/2006/relationships/hyperlink" Target="https://www.bcra.gob.ar/PublicacionesEstadisticas/Relevamiento_Expectativas_de_Mercado.asp" TargetMode="External"/><Relationship Id="rId3" Type="http://schemas.openxmlformats.org/officeDocument/2006/relationships/hyperlink" Target="https://www.bcra.gob.ar/PublicacionesEstadisticas/Relevamiento_Expectativas_de_Mercado.asp" TargetMode="External"/><Relationship Id="rId4"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14.25"/>
    <col customWidth="1" min="3" max="3" width="80.0"/>
    <col customWidth="1" min="4" max="4" width="31.0"/>
    <col customWidth="1" min="5" max="5" width="40.13"/>
    <col customWidth="1" min="6" max="6" width="35.5"/>
    <col customWidth="1" min="7" max="7" width="17.38"/>
    <col customWidth="1" min="8" max="8" width="22.75"/>
    <col customWidth="1" min="9" max="9" width="18.38"/>
    <col customWidth="1" min="10" max="10" width="55.0"/>
    <col customWidth="1" min="11" max="11" width="26.63"/>
    <col customWidth="1" min="12" max="13" width="51.5"/>
    <col customWidth="1" min="14" max="14" width="54.25"/>
    <col customWidth="1" min="15" max="15" width="11.25"/>
    <col customWidth="1" min="16" max="16" width="10.0"/>
    <col customWidth="1" min="17" max="17" width="51.88"/>
    <col customWidth="1" min="18" max="18" width="42.88"/>
    <col customWidth="1" min="19" max="27" width="56.13"/>
  </cols>
  <sheetData>
    <row r="1">
      <c r="A1" s="1" t="s">
        <v>0</v>
      </c>
      <c r="G1" s="2"/>
      <c r="H1" s="2"/>
      <c r="I1" s="2"/>
      <c r="J1" s="2"/>
      <c r="K1" s="2"/>
      <c r="L1" s="2"/>
      <c r="M1" s="2"/>
      <c r="N1" s="2"/>
      <c r="O1" s="2"/>
      <c r="P1" s="2"/>
      <c r="Q1" s="2"/>
      <c r="R1" s="2"/>
      <c r="S1" s="2"/>
      <c r="T1" s="2"/>
      <c r="U1" s="2"/>
      <c r="V1" s="2"/>
      <c r="W1" s="2"/>
      <c r="X1" s="2"/>
      <c r="Y1" s="2"/>
      <c r="Z1" s="2"/>
      <c r="AA1" s="2"/>
    </row>
    <row r="2">
      <c r="A2" s="3" t="s">
        <v>1</v>
      </c>
      <c r="F2" s="2"/>
      <c r="G2" s="2"/>
      <c r="H2" s="2"/>
      <c r="I2" s="2"/>
      <c r="J2" s="2"/>
      <c r="K2" s="2"/>
      <c r="L2" s="2"/>
      <c r="M2" s="2"/>
      <c r="N2" s="2"/>
      <c r="O2" s="2"/>
      <c r="P2" s="2"/>
      <c r="Q2" s="2"/>
      <c r="R2" s="2"/>
      <c r="S2" s="2"/>
      <c r="T2" s="2"/>
      <c r="U2" s="2"/>
      <c r="V2" s="2"/>
      <c r="W2" s="2"/>
      <c r="X2" s="2"/>
      <c r="Y2" s="2"/>
      <c r="Z2" s="2"/>
      <c r="AA2" s="2"/>
    </row>
    <row r="3">
      <c r="A3" s="4" t="s">
        <v>2</v>
      </c>
      <c r="F3" s="2"/>
      <c r="G3" s="2"/>
      <c r="H3" s="2"/>
      <c r="I3" s="2"/>
      <c r="J3" s="2"/>
      <c r="K3" s="2"/>
      <c r="L3" s="2"/>
      <c r="M3" s="2"/>
      <c r="N3" s="2"/>
      <c r="O3" s="2"/>
      <c r="P3" s="2"/>
      <c r="Q3" s="2"/>
      <c r="R3" s="2"/>
      <c r="S3" s="2"/>
      <c r="T3" s="2"/>
      <c r="U3" s="2"/>
      <c r="V3" s="2"/>
      <c r="W3" s="2"/>
      <c r="X3" s="2"/>
      <c r="Y3" s="2"/>
      <c r="Z3" s="2"/>
      <c r="AA3" s="2"/>
    </row>
    <row r="4">
      <c r="A4" s="5" t="s">
        <v>3</v>
      </c>
      <c r="F4" s="2"/>
      <c r="G4" s="2"/>
      <c r="H4" s="2"/>
      <c r="I4" s="2"/>
      <c r="J4" s="2"/>
      <c r="K4" s="2"/>
      <c r="L4" s="2"/>
      <c r="M4" s="2"/>
      <c r="N4" s="2"/>
      <c r="O4" s="2"/>
      <c r="P4" s="2"/>
      <c r="Q4" s="2"/>
      <c r="R4" s="2"/>
      <c r="S4" s="2"/>
      <c r="T4" s="2"/>
      <c r="U4" s="2"/>
      <c r="V4" s="2"/>
      <c r="W4" s="2"/>
      <c r="X4" s="2"/>
      <c r="Y4" s="2"/>
      <c r="Z4" s="2"/>
      <c r="AA4" s="2"/>
    </row>
    <row r="5">
      <c r="A5" s="6" t="s">
        <v>4</v>
      </c>
      <c r="F5" s="2"/>
      <c r="G5" s="2"/>
      <c r="H5" s="2"/>
      <c r="I5" s="2"/>
      <c r="J5" s="2"/>
      <c r="K5" s="2"/>
      <c r="L5" s="2"/>
      <c r="M5" s="2"/>
      <c r="N5" s="2"/>
      <c r="O5" s="2"/>
      <c r="P5" s="2"/>
      <c r="Q5" s="2"/>
      <c r="R5" s="2"/>
      <c r="S5" s="2"/>
      <c r="T5" s="2"/>
      <c r="U5" s="2"/>
      <c r="V5" s="2"/>
      <c r="W5" s="2"/>
      <c r="X5" s="2"/>
      <c r="Y5" s="2"/>
      <c r="Z5" s="2"/>
      <c r="AA5" s="2"/>
    </row>
    <row r="6">
      <c r="A6" s="7" t="s">
        <v>5</v>
      </c>
      <c r="F6" s="2"/>
      <c r="G6" s="2"/>
      <c r="H6" s="2"/>
      <c r="I6" s="2"/>
      <c r="J6" s="2"/>
      <c r="K6" s="2"/>
      <c r="L6" s="2"/>
      <c r="M6" s="2"/>
      <c r="N6" s="2"/>
      <c r="O6" s="2"/>
      <c r="P6" s="2"/>
      <c r="Q6" s="2"/>
      <c r="R6" s="2"/>
      <c r="S6" s="2"/>
      <c r="T6" s="2"/>
      <c r="U6" s="2"/>
      <c r="V6" s="2"/>
      <c r="W6" s="2"/>
      <c r="X6" s="2"/>
      <c r="Y6" s="2"/>
      <c r="Z6" s="2"/>
      <c r="AA6" s="2"/>
    </row>
    <row r="7">
      <c r="A7" s="8" t="s">
        <v>6</v>
      </c>
      <c r="F7" s="2"/>
      <c r="G7" s="2"/>
      <c r="H7" s="2"/>
      <c r="I7" s="2"/>
      <c r="J7" s="2"/>
      <c r="K7" s="2"/>
      <c r="L7" s="2"/>
      <c r="M7" s="2"/>
      <c r="N7" s="2"/>
      <c r="O7" s="2"/>
      <c r="P7" s="2"/>
      <c r="Q7" s="2"/>
      <c r="R7" s="2"/>
      <c r="S7" s="2"/>
      <c r="T7" s="2"/>
      <c r="U7" s="2"/>
      <c r="V7" s="2"/>
      <c r="W7" s="2"/>
      <c r="X7" s="2"/>
      <c r="Y7" s="2"/>
      <c r="Z7" s="2"/>
      <c r="AA7" s="2"/>
    </row>
    <row r="8">
      <c r="A8" s="9"/>
      <c r="B8" s="9"/>
      <c r="C8" s="9"/>
      <c r="D8" s="9"/>
      <c r="E8" s="2"/>
      <c r="F8" s="2"/>
      <c r="G8" s="2"/>
      <c r="H8" s="2"/>
      <c r="I8" s="2"/>
      <c r="J8" s="2"/>
      <c r="K8" s="2"/>
      <c r="L8" s="2"/>
      <c r="M8" s="2"/>
      <c r="N8" s="2"/>
      <c r="O8" s="2"/>
      <c r="P8" s="2"/>
      <c r="Q8" s="2"/>
      <c r="R8" s="2"/>
      <c r="S8" s="2"/>
      <c r="T8" s="2"/>
      <c r="U8" s="2"/>
      <c r="V8" s="2"/>
      <c r="W8" s="2"/>
      <c r="X8" s="2"/>
      <c r="Y8" s="2"/>
      <c r="Z8" s="2"/>
      <c r="AA8" s="2"/>
    </row>
    <row r="9">
      <c r="A9" s="9"/>
      <c r="B9" s="9"/>
      <c r="C9" s="9"/>
      <c r="D9" s="9"/>
      <c r="E9" s="2"/>
      <c r="F9" s="2"/>
      <c r="G9" s="2"/>
      <c r="H9" s="2"/>
      <c r="I9" s="2"/>
      <c r="J9" s="2"/>
      <c r="K9" s="2"/>
      <c r="L9" s="2"/>
      <c r="M9" s="2"/>
      <c r="N9" s="2"/>
      <c r="O9" s="2"/>
      <c r="P9" s="2"/>
      <c r="Q9" s="2"/>
      <c r="R9" s="2"/>
      <c r="S9" s="2"/>
      <c r="T9" s="2"/>
      <c r="U9" s="2"/>
      <c r="V9" s="2"/>
      <c r="W9" s="2"/>
      <c r="X9" s="2"/>
      <c r="Y9" s="2"/>
      <c r="Z9" s="2"/>
      <c r="AA9" s="2"/>
    </row>
    <row r="10">
      <c r="A10" s="9"/>
      <c r="B10" s="9"/>
      <c r="C10" s="9"/>
      <c r="D10" s="9"/>
      <c r="E10" s="2"/>
      <c r="F10" s="2"/>
      <c r="G10" s="2"/>
      <c r="H10" s="2"/>
      <c r="I10" s="2"/>
      <c r="J10" s="2"/>
      <c r="K10" s="2"/>
      <c r="L10" s="2"/>
      <c r="M10" s="2"/>
      <c r="N10" s="2"/>
      <c r="O10" s="2"/>
      <c r="P10" s="2"/>
      <c r="Q10" s="2"/>
      <c r="R10" s="2"/>
      <c r="S10" s="2"/>
      <c r="T10" s="2"/>
      <c r="U10" s="2"/>
      <c r="V10" s="2"/>
      <c r="W10" s="2"/>
      <c r="X10" s="2"/>
      <c r="Y10" s="2"/>
      <c r="Z10" s="2"/>
      <c r="AA10" s="2"/>
    </row>
    <row r="11">
      <c r="A11" s="9" t="s">
        <v>7</v>
      </c>
      <c r="B11" s="10" t="s">
        <v>8</v>
      </c>
      <c r="C11" s="10" t="s">
        <v>9</v>
      </c>
      <c r="D11" s="10" t="s">
        <v>10</v>
      </c>
      <c r="E11" s="9" t="s">
        <v>11</v>
      </c>
      <c r="F11" s="9" t="s">
        <v>12</v>
      </c>
      <c r="G11" s="2"/>
      <c r="H11" s="2"/>
      <c r="I11" s="2"/>
      <c r="J11" s="2"/>
      <c r="K11" s="2"/>
      <c r="L11" s="2"/>
      <c r="M11" s="2"/>
      <c r="N11" s="2"/>
      <c r="O11" s="2"/>
      <c r="P11" s="2"/>
      <c r="Q11" s="2"/>
      <c r="R11" s="2"/>
      <c r="S11" s="2"/>
      <c r="T11" s="2"/>
      <c r="U11" s="2"/>
      <c r="V11" s="2"/>
      <c r="W11" s="2"/>
      <c r="X11" s="2"/>
      <c r="Y11" s="2"/>
      <c r="Z11" s="2"/>
      <c r="AA11" s="2"/>
    </row>
    <row r="12">
      <c r="A12" s="11" t="s">
        <v>13</v>
      </c>
      <c r="B12" s="12" t="s">
        <v>14</v>
      </c>
      <c r="C12" s="12" t="s">
        <v>15</v>
      </c>
      <c r="D12" s="13" t="s">
        <v>16</v>
      </c>
      <c r="E12" s="11" t="s">
        <v>17</v>
      </c>
      <c r="F12" s="11" t="s">
        <v>17</v>
      </c>
      <c r="G12" s="2"/>
      <c r="H12" s="2"/>
      <c r="I12" s="2"/>
      <c r="J12" s="2"/>
      <c r="K12" s="2"/>
      <c r="L12" s="2"/>
      <c r="M12" s="2"/>
      <c r="N12" s="2"/>
      <c r="O12" s="2"/>
      <c r="P12" s="2"/>
      <c r="Q12" s="2"/>
      <c r="R12" s="2"/>
      <c r="S12" s="2"/>
      <c r="T12" s="2"/>
      <c r="U12" s="2"/>
      <c r="V12" s="2"/>
      <c r="W12" s="2"/>
      <c r="X12" s="2"/>
      <c r="Y12" s="2"/>
      <c r="Z12" s="2"/>
      <c r="AA12" s="2"/>
    </row>
    <row r="13">
      <c r="A13" s="11" t="s">
        <v>13</v>
      </c>
      <c r="B13" s="12" t="s">
        <v>14</v>
      </c>
      <c r="C13" s="12" t="s">
        <v>18</v>
      </c>
      <c r="D13" s="13" t="s">
        <v>16</v>
      </c>
      <c r="E13" s="14" t="s">
        <v>17</v>
      </c>
      <c r="F13" s="11" t="s">
        <v>17</v>
      </c>
      <c r="G13" s="2"/>
      <c r="H13" s="2"/>
      <c r="I13" s="2"/>
      <c r="J13" s="2"/>
      <c r="K13" s="2"/>
      <c r="L13" s="2"/>
      <c r="M13" s="2"/>
      <c r="N13" s="2"/>
      <c r="O13" s="2"/>
      <c r="P13" s="2"/>
      <c r="Q13" s="2"/>
      <c r="R13" s="2"/>
      <c r="S13" s="2"/>
      <c r="T13" s="2"/>
      <c r="U13" s="2"/>
      <c r="V13" s="2"/>
      <c r="W13" s="2"/>
      <c r="X13" s="2"/>
      <c r="Y13" s="2"/>
      <c r="Z13" s="2"/>
      <c r="AA13" s="2"/>
    </row>
    <row r="14">
      <c r="A14" s="11" t="s">
        <v>19</v>
      </c>
      <c r="B14" s="12" t="s">
        <v>14</v>
      </c>
      <c r="C14" s="12" t="s">
        <v>20</v>
      </c>
      <c r="D14" s="13" t="s">
        <v>16</v>
      </c>
      <c r="E14" s="15" t="s">
        <v>21</v>
      </c>
      <c r="F14" s="11" t="s">
        <v>22</v>
      </c>
      <c r="G14" s="2"/>
      <c r="H14" s="2"/>
      <c r="I14" s="2"/>
      <c r="J14" s="2"/>
      <c r="K14" s="2"/>
      <c r="L14" s="2"/>
      <c r="M14" s="2"/>
      <c r="N14" s="2"/>
      <c r="O14" s="2"/>
      <c r="P14" s="2"/>
      <c r="Q14" s="2"/>
      <c r="R14" s="2"/>
      <c r="S14" s="2"/>
      <c r="T14" s="2"/>
      <c r="U14" s="2"/>
      <c r="V14" s="2"/>
      <c r="W14" s="2"/>
      <c r="X14" s="2"/>
      <c r="Y14" s="2"/>
      <c r="Z14" s="2"/>
      <c r="AA14" s="2"/>
    </row>
    <row r="15">
      <c r="A15" s="11" t="s">
        <v>19</v>
      </c>
      <c r="B15" s="12" t="s">
        <v>14</v>
      </c>
      <c r="C15" s="11" t="s">
        <v>23</v>
      </c>
      <c r="D15" s="13" t="s">
        <v>16</v>
      </c>
      <c r="E15" s="11" t="s">
        <v>24</v>
      </c>
      <c r="F15" s="11" t="s">
        <v>17</v>
      </c>
      <c r="G15" s="2"/>
      <c r="H15" s="2"/>
      <c r="I15" s="2"/>
      <c r="J15" s="2"/>
      <c r="K15" s="2"/>
      <c r="L15" s="2"/>
      <c r="M15" s="2"/>
      <c r="N15" s="2"/>
      <c r="O15" s="2"/>
      <c r="P15" s="2"/>
      <c r="Q15" s="2"/>
      <c r="R15" s="2"/>
      <c r="S15" s="2"/>
      <c r="T15" s="2"/>
      <c r="U15" s="2"/>
      <c r="V15" s="2"/>
      <c r="W15" s="2"/>
      <c r="X15" s="2"/>
      <c r="Y15" s="2"/>
      <c r="Z15" s="2"/>
      <c r="AA15" s="2"/>
    </row>
    <row r="16">
      <c r="A16" s="11" t="s">
        <v>25</v>
      </c>
      <c r="B16" s="12" t="s">
        <v>14</v>
      </c>
      <c r="C16" s="11" t="s">
        <v>26</v>
      </c>
      <c r="D16" s="11" t="s">
        <v>27</v>
      </c>
      <c r="E16" s="11" t="s">
        <v>17</v>
      </c>
      <c r="F16" s="11" t="s">
        <v>17</v>
      </c>
      <c r="G16" s="2"/>
      <c r="H16" s="2"/>
      <c r="I16" s="2"/>
      <c r="J16" s="2"/>
      <c r="K16" s="2"/>
      <c r="L16" s="2"/>
      <c r="M16" s="2"/>
      <c r="N16" s="2"/>
      <c r="O16" s="2"/>
      <c r="P16" s="2"/>
      <c r="Q16" s="2"/>
      <c r="R16" s="2"/>
      <c r="S16" s="2"/>
      <c r="T16" s="2"/>
      <c r="U16" s="2"/>
      <c r="V16" s="2"/>
      <c r="W16" s="2"/>
      <c r="X16" s="2"/>
      <c r="Y16" s="2"/>
      <c r="Z16" s="2"/>
      <c r="AA16" s="2"/>
    </row>
    <row r="17">
      <c r="A17" s="11" t="s">
        <v>28</v>
      </c>
      <c r="B17" s="12" t="s">
        <v>14</v>
      </c>
      <c r="C17" s="11" t="s">
        <v>29</v>
      </c>
      <c r="D17" s="13" t="s">
        <v>16</v>
      </c>
      <c r="E17" s="15" t="s">
        <v>21</v>
      </c>
      <c r="F17" s="11" t="s">
        <v>22</v>
      </c>
      <c r="G17" s="2"/>
      <c r="H17" s="2"/>
      <c r="I17" s="2"/>
      <c r="J17" s="2"/>
      <c r="K17" s="2"/>
      <c r="L17" s="2"/>
      <c r="M17" s="2"/>
      <c r="N17" s="2"/>
      <c r="O17" s="2"/>
      <c r="P17" s="2"/>
      <c r="Q17" s="2"/>
      <c r="R17" s="2"/>
      <c r="S17" s="2"/>
      <c r="T17" s="2"/>
      <c r="U17" s="2"/>
      <c r="V17" s="2"/>
      <c r="W17" s="2"/>
      <c r="X17" s="2"/>
      <c r="Y17" s="2"/>
      <c r="Z17" s="2"/>
      <c r="AA17" s="2"/>
    </row>
    <row r="18">
      <c r="A18" s="16" t="s">
        <v>30</v>
      </c>
      <c r="B18" s="16" t="s">
        <v>31</v>
      </c>
      <c r="C18" s="16" t="s">
        <v>32</v>
      </c>
      <c r="D18" s="16" t="s">
        <v>27</v>
      </c>
      <c r="E18" s="17" t="s">
        <v>33</v>
      </c>
      <c r="F18" s="16" t="s">
        <v>34</v>
      </c>
      <c r="G18" s="2"/>
      <c r="H18" s="2"/>
      <c r="I18" s="2"/>
      <c r="J18" s="2"/>
      <c r="K18" s="2"/>
      <c r="L18" s="2"/>
      <c r="M18" s="2"/>
      <c r="N18" s="2"/>
      <c r="O18" s="2"/>
      <c r="P18" s="2"/>
      <c r="Q18" s="2"/>
      <c r="R18" s="2"/>
      <c r="S18" s="2"/>
      <c r="T18" s="2"/>
      <c r="U18" s="2"/>
      <c r="V18" s="2"/>
      <c r="W18" s="2"/>
      <c r="X18" s="2"/>
      <c r="Y18" s="2"/>
      <c r="Z18" s="2"/>
      <c r="AA18" s="2"/>
    </row>
    <row r="19">
      <c r="A19" s="16" t="s">
        <v>30</v>
      </c>
      <c r="B19" s="16" t="s">
        <v>35</v>
      </c>
      <c r="C19" s="18" t="s">
        <v>36</v>
      </c>
      <c r="D19" s="16" t="s">
        <v>27</v>
      </c>
      <c r="E19" s="17" t="s">
        <v>37</v>
      </c>
      <c r="F19" s="16" t="s">
        <v>34</v>
      </c>
      <c r="G19" s="19"/>
      <c r="H19" s="19"/>
      <c r="I19" s="19"/>
      <c r="J19" s="19"/>
      <c r="K19" s="19"/>
      <c r="L19" s="19"/>
      <c r="M19" s="19"/>
      <c r="N19" s="19"/>
      <c r="O19" s="19"/>
      <c r="P19" s="19"/>
      <c r="Q19" s="19"/>
      <c r="R19" s="19"/>
      <c r="S19" s="19"/>
      <c r="T19" s="19"/>
      <c r="U19" s="19"/>
      <c r="V19" s="19"/>
      <c r="W19" s="19"/>
      <c r="X19" s="19"/>
      <c r="Y19" s="19"/>
      <c r="Z19" s="19"/>
      <c r="AA19" s="19"/>
    </row>
    <row r="20">
      <c r="A20" s="16" t="s">
        <v>30</v>
      </c>
      <c r="B20" s="16" t="s">
        <v>38</v>
      </c>
      <c r="C20" s="18" t="s">
        <v>39</v>
      </c>
      <c r="D20" s="16" t="s">
        <v>27</v>
      </c>
      <c r="E20" s="17" t="s">
        <v>40</v>
      </c>
      <c r="F20" s="16" t="s">
        <v>34</v>
      </c>
      <c r="G20" s="19"/>
      <c r="H20" s="19"/>
      <c r="I20" s="19"/>
      <c r="J20" s="19"/>
      <c r="K20" s="19"/>
      <c r="L20" s="19"/>
      <c r="M20" s="19"/>
      <c r="N20" s="19"/>
      <c r="O20" s="19"/>
      <c r="P20" s="19"/>
      <c r="Q20" s="19"/>
      <c r="R20" s="19"/>
      <c r="S20" s="19"/>
      <c r="T20" s="19"/>
      <c r="U20" s="19"/>
      <c r="V20" s="19"/>
      <c r="W20" s="19"/>
      <c r="X20" s="19"/>
      <c r="Y20" s="19"/>
      <c r="Z20" s="19"/>
      <c r="AA20" s="19"/>
    </row>
    <row r="21">
      <c r="A21" s="20" t="s">
        <v>41</v>
      </c>
      <c r="B21" s="20" t="s">
        <v>42</v>
      </c>
      <c r="C21" s="20" t="s">
        <v>43</v>
      </c>
      <c r="D21" s="20" t="s">
        <v>44</v>
      </c>
      <c r="E21" s="21" t="s">
        <v>45</v>
      </c>
      <c r="F21" s="20" t="s">
        <v>46</v>
      </c>
      <c r="G21" s="2"/>
      <c r="H21" s="2"/>
      <c r="I21" s="2"/>
      <c r="J21" s="2"/>
      <c r="K21" s="2"/>
      <c r="L21" s="2"/>
      <c r="M21" s="2"/>
      <c r="N21" s="2"/>
      <c r="O21" s="2"/>
      <c r="P21" s="2"/>
      <c r="Q21" s="2"/>
      <c r="R21" s="2"/>
      <c r="S21" s="2"/>
      <c r="T21" s="2"/>
      <c r="U21" s="2"/>
      <c r="V21" s="2"/>
      <c r="W21" s="2"/>
      <c r="X21" s="2"/>
      <c r="Y21" s="2"/>
      <c r="Z21" s="2"/>
      <c r="AA21" s="2"/>
    </row>
    <row r="22">
      <c r="A22" s="22" t="s">
        <v>47</v>
      </c>
      <c r="B22" s="20" t="s">
        <v>48</v>
      </c>
      <c r="C22" s="23" t="s">
        <v>49</v>
      </c>
      <c r="D22" s="22" t="s">
        <v>27</v>
      </c>
      <c r="E22" s="24" t="s">
        <v>40</v>
      </c>
      <c r="F22" s="22" t="s">
        <v>50</v>
      </c>
      <c r="G22" s="19"/>
      <c r="H22" s="19"/>
      <c r="I22" s="19"/>
      <c r="J22" s="19"/>
      <c r="K22" s="19"/>
      <c r="L22" s="19"/>
      <c r="M22" s="19"/>
      <c r="N22" s="19"/>
      <c r="O22" s="19"/>
      <c r="P22" s="19"/>
      <c r="Q22" s="19"/>
      <c r="R22" s="19"/>
      <c r="S22" s="19"/>
      <c r="T22" s="19"/>
      <c r="U22" s="19"/>
      <c r="V22" s="19"/>
      <c r="W22" s="19"/>
      <c r="X22" s="19"/>
      <c r="Y22" s="19"/>
      <c r="Z22" s="19"/>
      <c r="AA22" s="19"/>
    </row>
    <row r="23">
      <c r="A23" s="22" t="s">
        <v>47</v>
      </c>
      <c r="B23" s="20" t="s">
        <v>51</v>
      </c>
      <c r="C23" s="23" t="s">
        <v>52</v>
      </c>
      <c r="D23" s="22" t="s">
        <v>53</v>
      </c>
      <c r="E23" s="24" t="s">
        <v>33</v>
      </c>
      <c r="F23" s="22" t="s">
        <v>34</v>
      </c>
      <c r="G23" s="19"/>
      <c r="H23" s="19"/>
      <c r="I23" s="19"/>
      <c r="J23" s="19"/>
      <c r="K23" s="19"/>
      <c r="L23" s="19"/>
      <c r="M23" s="19"/>
      <c r="N23" s="19"/>
      <c r="O23" s="19"/>
      <c r="P23" s="19"/>
      <c r="Q23" s="19"/>
      <c r="R23" s="19"/>
      <c r="S23" s="19"/>
      <c r="T23" s="19"/>
      <c r="U23" s="19"/>
      <c r="V23" s="19"/>
      <c r="W23" s="19"/>
      <c r="X23" s="19"/>
      <c r="Y23" s="19"/>
      <c r="Z23" s="19"/>
      <c r="AA23" s="19"/>
    </row>
    <row r="24">
      <c r="A24" s="22" t="s">
        <v>47</v>
      </c>
      <c r="B24" s="20" t="s">
        <v>54</v>
      </c>
      <c r="C24" s="23" t="s">
        <v>55</v>
      </c>
      <c r="D24" s="25"/>
      <c r="E24" s="24" t="s">
        <v>37</v>
      </c>
      <c r="F24" s="22" t="s">
        <v>50</v>
      </c>
      <c r="G24" s="19"/>
      <c r="H24" s="19"/>
      <c r="I24" s="19"/>
      <c r="J24" s="19"/>
      <c r="K24" s="19"/>
      <c r="L24" s="19"/>
      <c r="M24" s="19"/>
      <c r="N24" s="19"/>
      <c r="O24" s="19"/>
      <c r="P24" s="19"/>
      <c r="Q24" s="19"/>
      <c r="R24" s="19"/>
      <c r="S24" s="19"/>
      <c r="T24" s="19"/>
      <c r="U24" s="19"/>
      <c r="V24" s="19"/>
      <c r="W24" s="19"/>
      <c r="X24" s="19"/>
      <c r="Y24" s="19"/>
      <c r="Z24" s="19"/>
      <c r="AA24" s="19"/>
    </row>
    <row r="25">
      <c r="A25" s="26" t="s">
        <v>56</v>
      </c>
      <c r="B25" s="26" t="s">
        <v>57</v>
      </c>
      <c r="C25" s="27" t="s">
        <v>58</v>
      </c>
      <c r="D25" s="26" t="s">
        <v>16</v>
      </c>
      <c r="E25" s="28" t="s">
        <v>59</v>
      </c>
      <c r="F25" s="26" t="s">
        <v>60</v>
      </c>
      <c r="G25" s="19"/>
      <c r="H25" s="19"/>
      <c r="I25" s="19"/>
      <c r="J25" s="19"/>
      <c r="K25" s="19"/>
      <c r="L25" s="19"/>
      <c r="M25" s="19"/>
      <c r="N25" s="19"/>
      <c r="O25" s="19"/>
      <c r="P25" s="19"/>
      <c r="Q25" s="19"/>
      <c r="R25" s="19"/>
      <c r="S25" s="19"/>
      <c r="T25" s="19"/>
      <c r="U25" s="19"/>
      <c r="V25" s="19"/>
      <c r="W25" s="19"/>
      <c r="X25" s="19"/>
      <c r="Y25" s="19"/>
      <c r="Z25" s="19"/>
      <c r="AA25" s="19"/>
    </row>
    <row r="26">
      <c r="A26" s="26" t="s">
        <v>56</v>
      </c>
      <c r="B26" s="26" t="s">
        <v>61</v>
      </c>
      <c r="C26" s="29" t="s">
        <v>62</v>
      </c>
      <c r="D26" s="26" t="s">
        <v>16</v>
      </c>
      <c r="E26" s="28" t="s">
        <v>63</v>
      </c>
      <c r="F26" s="26" t="s">
        <v>64</v>
      </c>
      <c r="G26" s="19"/>
      <c r="H26" s="19"/>
      <c r="I26" s="19"/>
      <c r="J26" s="19"/>
      <c r="K26" s="19"/>
      <c r="L26" s="19"/>
      <c r="M26" s="19"/>
      <c r="N26" s="19"/>
      <c r="O26" s="19"/>
      <c r="P26" s="19"/>
      <c r="Q26" s="19"/>
      <c r="R26" s="19"/>
      <c r="S26" s="19"/>
      <c r="T26" s="19"/>
      <c r="U26" s="19"/>
      <c r="V26" s="19"/>
      <c r="W26" s="19"/>
      <c r="X26" s="19"/>
      <c r="Y26" s="19"/>
      <c r="Z26" s="19"/>
      <c r="AA26" s="19"/>
    </row>
    <row r="27">
      <c r="A27" s="26" t="s">
        <v>65</v>
      </c>
      <c r="B27" s="26" t="s">
        <v>66</v>
      </c>
      <c r="C27" s="29" t="s">
        <v>67</v>
      </c>
      <c r="D27" s="26" t="s">
        <v>16</v>
      </c>
      <c r="E27" s="28" t="s">
        <v>21</v>
      </c>
      <c r="F27" s="26" t="s">
        <v>68</v>
      </c>
      <c r="G27" s="19"/>
      <c r="H27" s="19"/>
      <c r="I27" s="19"/>
      <c r="J27" s="19"/>
      <c r="K27" s="19"/>
      <c r="L27" s="19"/>
      <c r="M27" s="19"/>
      <c r="N27" s="19"/>
      <c r="O27" s="19"/>
      <c r="P27" s="19"/>
      <c r="Q27" s="19"/>
      <c r="R27" s="19"/>
      <c r="S27" s="19"/>
      <c r="T27" s="19"/>
      <c r="U27" s="19"/>
      <c r="V27" s="19"/>
      <c r="W27" s="19"/>
      <c r="X27" s="19"/>
      <c r="Y27" s="19"/>
      <c r="Z27" s="19"/>
      <c r="AA27" s="19"/>
    </row>
    <row r="28">
      <c r="A28" s="26" t="s">
        <v>65</v>
      </c>
      <c r="B28" s="26" t="s">
        <v>69</v>
      </c>
      <c r="C28" s="27" t="s">
        <v>70</v>
      </c>
      <c r="D28" s="26" t="s">
        <v>16</v>
      </c>
      <c r="E28" s="28" t="s">
        <v>71</v>
      </c>
      <c r="F28" s="26" t="s">
        <v>17</v>
      </c>
      <c r="G28" s="19"/>
      <c r="H28" s="19"/>
      <c r="I28" s="19"/>
      <c r="J28" s="19"/>
      <c r="K28" s="19"/>
      <c r="L28" s="19"/>
      <c r="M28" s="19"/>
      <c r="N28" s="19"/>
      <c r="O28" s="19"/>
      <c r="P28" s="19"/>
      <c r="Q28" s="19"/>
      <c r="R28" s="19"/>
      <c r="S28" s="19"/>
      <c r="T28" s="19"/>
      <c r="U28" s="19"/>
      <c r="V28" s="19"/>
      <c r="W28" s="19"/>
      <c r="X28" s="19"/>
      <c r="Y28" s="19"/>
      <c r="Z28" s="19"/>
      <c r="AA28" s="19"/>
    </row>
    <row r="29">
      <c r="A29" s="26" t="s">
        <v>65</v>
      </c>
      <c r="B29" s="26" t="s">
        <v>72</v>
      </c>
      <c r="C29" s="27" t="s">
        <v>73</v>
      </c>
      <c r="D29" s="26" t="s">
        <v>16</v>
      </c>
      <c r="E29" s="26" t="s">
        <v>74</v>
      </c>
      <c r="F29" s="26" t="s">
        <v>17</v>
      </c>
      <c r="G29" s="19"/>
      <c r="H29" s="19"/>
      <c r="I29" s="19"/>
      <c r="J29" s="19"/>
      <c r="K29" s="19"/>
      <c r="L29" s="19"/>
      <c r="M29" s="19"/>
      <c r="N29" s="19"/>
      <c r="O29" s="19"/>
      <c r="P29" s="19"/>
      <c r="Q29" s="19"/>
      <c r="R29" s="19"/>
      <c r="S29" s="19"/>
      <c r="T29" s="19"/>
      <c r="U29" s="19"/>
      <c r="V29" s="19"/>
      <c r="W29" s="19"/>
      <c r="X29" s="19"/>
      <c r="Y29" s="19"/>
      <c r="Z29" s="19"/>
      <c r="AA29" s="19"/>
    </row>
    <row r="30">
      <c r="A30" s="30" t="s">
        <v>75</v>
      </c>
      <c r="B30" s="30" t="s">
        <v>76</v>
      </c>
      <c r="C30" s="31" t="s">
        <v>77</v>
      </c>
      <c r="D30" s="30" t="s">
        <v>16</v>
      </c>
      <c r="E30" s="32" t="s">
        <v>78</v>
      </c>
      <c r="F30" s="30" t="s">
        <v>79</v>
      </c>
      <c r="G30" s="19"/>
      <c r="H30" s="19"/>
      <c r="I30" s="19"/>
      <c r="J30" s="19"/>
      <c r="K30" s="19"/>
      <c r="L30" s="19"/>
      <c r="M30" s="19"/>
      <c r="N30" s="19"/>
      <c r="O30" s="19"/>
      <c r="P30" s="19"/>
      <c r="Q30" s="19"/>
      <c r="R30" s="19"/>
      <c r="S30" s="19"/>
      <c r="T30" s="19"/>
      <c r="U30" s="19"/>
      <c r="V30" s="19"/>
      <c r="W30" s="19"/>
      <c r="X30" s="19"/>
      <c r="Y30" s="19"/>
      <c r="Z30" s="19"/>
      <c r="AA30" s="19"/>
    </row>
    <row r="31">
      <c r="A31" s="30" t="s">
        <v>80</v>
      </c>
      <c r="B31" s="30" t="s">
        <v>81</v>
      </c>
      <c r="C31" s="31" t="s">
        <v>82</v>
      </c>
      <c r="D31" s="30" t="s">
        <v>83</v>
      </c>
      <c r="E31" s="32" t="s">
        <v>84</v>
      </c>
      <c r="F31" s="30" t="s">
        <v>46</v>
      </c>
      <c r="G31" s="19"/>
      <c r="H31" s="19"/>
      <c r="I31" s="19"/>
      <c r="J31" s="19"/>
      <c r="K31" s="19"/>
      <c r="L31" s="19"/>
      <c r="M31" s="19"/>
      <c r="N31" s="19"/>
      <c r="O31" s="19"/>
      <c r="P31" s="19"/>
      <c r="Q31" s="19"/>
      <c r="R31" s="19"/>
      <c r="S31" s="19"/>
      <c r="T31" s="19"/>
      <c r="U31" s="19"/>
      <c r="V31" s="19"/>
      <c r="W31" s="19"/>
      <c r="X31" s="19"/>
      <c r="Y31" s="19"/>
      <c r="Z31" s="19"/>
      <c r="AA31" s="19"/>
    </row>
    <row r="32" ht="124.5" customHeight="1">
      <c r="A32" s="33" t="s">
        <v>80</v>
      </c>
      <c r="B32" s="34" t="s">
        <v>85</v>
      </c>
      <c r="C32" s="34" t="s">
        <v>86</v>
      </c>
      <c r="D32" s="33" t="s">
        <v>87</v>
      </c>
      <c r="E32" s="33" t="s">
        <v>88</v>
      </c>
      <c r="F32" s="34" t="s">
        <v>17</v>
      </c>
      <c r="G32" s="35"/>
      <c r="H32" s="35"/>
      <c r="I32" s="35"/>
      <c r="J32" s="35"/>
      <c r="K32" s="35"/>
      <c r="L32" s="35"/>
      <c r="M32" s="35"/>
      <c r="N32" s="35"/>
      <c r="O32" s="35"/>
      <c r="P32" s="35"/>
      <c r="Q32" s="35"/>
      <c r="R32" s="35"/>
      <c r="S32" s="35"/>
      <c r="T32" s="35"/>
      <c r="U32" s="35"/>
      <c r="V32" s="35"/>
      <c r="W32" s="35"/>
      <c r="X32" s="35"/>
      <c r="Y32" s="35"/>
      <c r="Z32" s="35"/>
      <c r="AA32" s="35"/>
    </row>
    <row r="33" ht="75.0" customHeight="1">
      <c r="A33" s="33" t="s">
        <v>80</v>
      </c>
      <c r="B33" s="34" t="s">
        <v>89</v>
      </c>
      <c r="C33" s="34" t="s">
        <v>90</v>
      </c>
      <c r="D33" s="33" t="s">
        <v>87</v>
      </c>
      <c r="E33" s="33" t="s">
        <v>91</v>
      </c>
      <c r="F33" s="34" t="s">
        <v>17</v>
      </c>
      <c r="G33" s="35"/>
      <c r="H33" s="35"/>
      <c r="I33" s="35"/>
      <c r="J33" s="35"/>
      <c r="K33" s="35"/>
      <c r="L33" s="35"/>
      <c r="M33" s="35"/>
      <c r="N33" s="35"/>
      <c r="O33" s="35"/>
      <c r="P33" s="35"/>
      <c r="Q33" s="35"/>
      <c r="R33" s="35"/>
      <c r="S33" s="35"/>
      <c r="T33" s="35"/>
      <c r="U33" s="35"/>
      <c r="V33" s="35"/>
      <c r="W33" s="35"/>
      <c r="X33" s="35"/>
      <c r="Y33" s="35"/>
      <c r="Z33" s="35"/>
      <c r="AA33" s="35"/>
    </row>
    <row r="34" ht="50.25" customHeight="1">
      <c r="A34" s="33" t="s">
        <v>80</v>
      </c>
      <c r="B34" s="34" t="s">
        <v>92</v>
      </c>
      <c r="C34" s="34" t="s">
        <v>93</v>
      </c>
      <c r="D34" s="33" t="s">
        <v>87</v>
      </c>
      <c r="E34" s="33" t="s">
        <v>92</v>
      </c>
      <c r="F34" s="34" t="s">
        <v>17</v>
      </c>
      <c r="G34" s="35"/>
      <c r="H34" s="35"/>
      <c r="I34" s="35"/>
      <c r="J34" s="35"/>
      <c r="K34" s="35"/>
      <c r="L34" s="35"/>
      <c r="M34" s="35"/>
      <c r="N34" s="35"/>
      <c r="O34" s="35"/>
      <c r="P34" s="35"/>
      <c r="Q34" s="35"/>
      <c r="R34" s="35"/>
      <c r="S34" s="35"/>
      <c r="T34" s="35"/>
      <c r="U34" s="35"/>
      <c r="V34" s="35"/>
      <c r="W34" s="35"/>
      <c r="X34" s="35"/>
      <c r="Y34" s="35"/>
      <c r="Z34" s="35"/>
      <c r="AA34" s="35"/>
    </row>
    <row r="35" ht="71.25" customHeight="1">
      <c r="A35" s="33" t="s">
        <v>80</v>
      </c>
      <c r="B35" s="34" t="s">
        <v>94</v>
      </c>
      <c r="C35" s="34" t="s">
        <v>95</v>
      </c>
      <c r="D35" s="33" t="s">
        <v>87</v>
      </c>
      <c r="E35" s="33" t="s">
        <v>94</v>
      </c>
      <c r="F35" s="34" t="s">
        <v>17</v>
      </c>
      <c r="G35" s="35"/>
      <c r="H35" s="35"/>
      <c r="I35" s="35"/>
      <c r="J35" s="35"/>
      <c r="K35" s="35"/>
      <c r="L35" s="35"/>
      <c r="M35" s="35"/>
      <c r="N35" s="35"/>
      <c r="O35" s="35"/>
      <c r="P35" s="35"/>
      <c r="Q35" s="35"/>
      <c r="R35" s="35"/>
      <c r="S35" s="35"/>
      <c r="T35" s="35"/>
      <c r="U35" s="35"/>
      <c r="V35" s="35"/>
      <c r="W35" s="35"/>
      <c r="X35" s="35"/>
      <c r="Y35" s="35"/>
      <c r="Z35" s="35"/>
      <c r="AA35" s="35"/>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c r="A38" s="36" t="s">
        <v>96</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c r="A44" s="37"/>
      <c r="B44" s="38"/>
      <c r="C44" s="38" t="s">
        <v>97</v>
      </c>
      <c r="D44" s="38" t="s">
        <v>98</v>
      </c>
      <c r="E44" s="38" t="s">
        <v>99</v>
      </c>
      <c r="F44" s="19"/>
      <c r="G44" s="19"/>
      <c r="H44" s="19"/>
      <c r="I44" s="19"/>
      <c r="J44" s="19"/>
      <c r="K44" s="19"/>
      <c r="L44" s="19"/>
      <c r="M44" s="19"/>
      <c r="N44" s="19"/>
      <c r="O44" s="19"/>
      <c r="P44" s="19"/>
      <c r="Q44" s="19"/>
      <c r="R44" s="19"/>
      <c r="S44" s="19"/>
      <c r="T44" s="19"/>
      <c r="U44" s="19"/>
      <c r="V44" s="19"/>
      <c r="W44" s="19"/>
      <c r="X44" s="19"/>
      <c r="Y44" s="19"/>
      <c r="Z44" s="19"/>
      <c r="AA44" s="19"/>
    </row>
    <row r="45">
      <c r="A45" s="9" t="s">
        <v>33</v>
      </c>
      <c r="B45" s="37"/>
      <c r="C45" s="37" t="s">
        <v>100</v>
      </c>
      <c r="D45" s="37" t="s">
        <v>101</v>
      </c>
      <c r="E45" s="39" t="s">
        <v>102</v>
      </c>
      <c r="F45" s="19"/>
      <c r="G45" s="19"/>
      <c r="H45" s="19"/>
      <c r="I45" s="19"/>
      <c r="J45" s="19"/>
      <c r="K45" s="19"/>
      <c r="L45" s="19"/>
      <c r="M45" s="19"/>
      <c r="N45" s="19"/>
      <c r="O45" s="19"/>
      <c r="P45" s="19"/>
      <c r="Q45" s="19"/>
      <c r="R45" s="19"/>
      <c r="S45" s="19"/>
      <c r="T45" s="19"/>
      <c r="U45" s="19"/>
      <c r="V45" s="19"/>
      <c r="W45" s="19"/>
      <c r="X45" s="19"/>
      <c r="Y45" s="19"/>
      <c r="Z45" s="19"/>
      <c r="AA45" s="19"/>
    </row>
    <row r="46">
      <c r="A46" s="9" t="s">
        <v>40</v>
      </c>
      <c r="B46" s="9"/>
      <c r="C46" s="9"/>
      <c r="D46" s="9"/>
      <c r="E46" s="2"/>
      <c r="F46" s="19"/>
      <c r="G46" s="19"/>
      <c r="H46" s="19"/>
      <c r="I46" s="19"/>
      <c r="J46" s="19"/>
      <c r="K46" s="19"/>
      <c r="L46" s="19"/>
      <c r="M46" s="19"/>
      <c r="N46" s="19"/>
      <c r="O46" s="19"/>
      <c r="P46" s="19"/>
      <c r="Q46" s="19"/>
      <c r="R46" s="19"/>
      <c r="S46" s="19"/>
      <c r="T46" s="19"/>
      <c r="U46" s="19"/>
      <c r="V46" s="19"/>
      <c r="W46" s="19"/>
      <c r="X46" s="19"/>
      <c r="Y46" s="19"/>
      <c r="Z46" s="19"/>
      <c r="AA46" s="19"/>
    </row>
    <row r="47">
      <c r="A47" s="9" t="s">
        <v>37</v>
      </c>
      <c r="B47" s="9"/>
      <c r="C47" s="9"/>
      <c r="D47" s="9"/>
      <c r="E47" s="2"/>
      <c r="F47" s="19"/>
      <c r="G47" s="19"/>
      <c r="H47" s="19"/>
      <c r="I47" s="19"/>
      <c r="J47" s="19"/>
      <c r="K47" s="19"/>
      <c r="L47" s="19"/>
      <c r="M47" s="19"/>
      <c r="N47" s="19"/>
      <c r="O47" s="19"/>
      <c r="P47" s="19"/>
      <c r="Q47" s="19"/>
      <c r="R47" s="19"/>
      <c r="S47" s="19"/>
      <c r="T47" s="19"/>
      <c r="U47" s="19"/>
      <c r="V47" s="19"/>
      <c r="W47" s="19"/>
      <c r="X47" s="19"/>
      <c r="Y47" s="19"/>
      <c r="Z47" s="19"/>
      <c r="AA47" s="19"/>
    </row>
    <row r="48">
      <c r="A48" s="9" t="s">
        <v>103</v>
      </c>
      <c r="B48" s="9"/>
      <c r="C48" s="9"/>
      <c r="D48" s="9"/>
      <c r="E48" s="2"/>
      <c r="F48" s="19"/>
      <c r="G48" s="19"/>
      <c r="H48" s="19"/>
      <c r="I48" s="19"/>
      <c r="J48" s="19"/>
      <c r="K48" s="19"/>
      <c r="L48" s="19"/>
      <c r="M48" s="19"/>
      <c r="N48" s="19"/>
      <c r="O48" s="19"/>
      <c r="P48" s="19"/>
      <c r="Q48" s="19"/>
      <c r="R48" s="19"/>
      <c r="S48" s="19"/>
      <c r="T48" s="19"/>
      <c r="U48" s="19"/>
      <c r="V48" s="19"/>
      <c r="W48" s="19"/>
      <c r="X48" s="19"/>
      <c r="Y48" s="19"/>
      <c r="Z48" s="19"/>
      <c r="AA48" s="19"/>
    </row>
    <row r="49">
      <c r="A49" s="9" t="s">
        <v>104</v>
      </c>
      <c r="B49" s="9"/>
      <c r="C49" s="9"/>
      <c r="D49" s="9"/>
      <c r="E49" s="2"/>
      <c r="F49" s="19"/>
      <c r="G49" s="19"/>
      <c r="H49" s="19"/>
      <c r="I49" s="19"/>
      <c r="J49" s="19"/>
      <c r="K49" s="19"/>
      <c r="L49" s="19"/>
      <c r="M49" s="19"/>
      <c r="N49" s="19"/>
      <c r="O49" s="19"/>
      <c r="P49" s="19"/>
      <c r="Q49" s="19"/>
      <c r="R49" s="19"/>
      <c r="S49" s="19"/>
      <c r="T49" s="19"/>
      <c r="U49" s="19"/>
      <c r="V49" s="19"/>
      <c r="W49" s="19"/>
      <c r="X49" s="19"/>
      <c r="Y49" s="19"/>
      <c r="Z49" s="19"/>
      <c r="AA49" s="19"/>
    </row>
    <row r="50">
      <c r="A50" s="9" t="s">
        <v>59</v>
      </c>
      <c r="B50" s="9"/>
      <c r="C50" s="9"/>
      <c r="D50" s="9"/>
      <c r="E50" s="2"/>
      <c r="F50" s="19"/>
      <c r="G50" s="19"/>
      <c r="H50" s="19"/>
      <c r="I50" s="19"/>
      <c r="J50" s="19"/>
      <c r="K50" s="19"/>
      <c r="L50" s="19"/>
      <c r="M50" s="19"/>
      <c r="N50" s="19"/>
      <c r="O50" s="19"/>
      <c r="P50" s="19"/>
      <c r="Q50" s="19"/>
      <c r="R50" s="19"/>
      <c r="S50" s="19"/>
      <c r="T50" s="19"/>
      <c r="U50" s="19"/>
      <c r="V50" s="19"/>
      <c r="W50" s="19"/>
      <c r="X50" s="19"/>
      <c r="Y50" s="19"/>
      <c r="Z50" s="19"/>
      <c r="AA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sheetData>
  <hyperlinks>
    <hyperlink display="Costos directos e indirectos" location="'Costos directos e indirectos'!A1" ref="E14"/>
    <hyperlink display="Costos directos e indirectos" location="'Costos directos e indirectos'!A1" ref="E17"/>
    <hyperlink display="Activo" location="Activo!A1" ref="E18"/>
    <hyperlink display="Pasivo" location="Pasivo!A1" ref="E19"/>
    <hyperlink display="Cashflow" location="CashFlow!A1" ref="E20"/>
    <hyperlink display="Info Tipo de Cambio y REM = a partir de celda A23." location="'Info Tipo de Cambio y REM'!A1" ref="E21"/>
    <hyperlink display="Cashflow" location="CashFlow!A1" ref="E22"/>
    <hyperlink display="Activo" location="Activo!A1" ref="E23"/>
    <hyperlink display="Pasivo" location="Pasivo!A1" ref="E24"/>
    <hyperlink display="Se validan los costos estimados para actualizar en caso de ser necesario. Además se pasa lo que es el cierre de mes actual a Pasado en COL M, es decir si estamos cerrando Agosto, ese mes se pone como Pasado.&#10;Además se cargan los impuestos en ARS estimados (IVA e IIBB), que se sacan de la solapa TD Proyectos Confirmados y Estimados. Se toman solo los meses futuros. LINK A LA TD." location="'TD Proyectos confirmados y esti'!A2" ref="C25"/>
    <hyperlink display="Costos estimados" location="'Costos estimados'!A1" ref="E25"/>
    <hyperlink display="Proyectos confirmados y estimados" location="'Proyectos confirmados y estimad'!A1" ref="E26"/>
    <hyperlink display="Costos directos e indirectos" location="'Costos directos e indirectos'!A1" ref="E27"/>
    <hyperlink display="Esta solapa se divide en 3 partes señalizadas en Azul Marino:&#10;&#10;RESULDATOS - INCLUYEN TODOS LOS COSTOS y VENTAS (SIN IVA)&#10;1- Costos directos e indirectos: se utiliza la tabla dinámica TD Costos para Seguimiento MarkUp para poder actualizar el dato del mes que se está cerrando. En esa TD se filtra el mes que se cierra y se copian y pegan todos los costos. También se puede hacer un BUSCARV para que traiga la información. Es sumamente importante chequear que el total que suma en en Seguimiento MarkUp coincida con el total que se suma en la TD. Para esto debajo de la tabla de costos hay una zona en rojo que permite copiar y pegar totales de la TD para hacer un control. LINK A LA TD UTILIZADA&#10;&#10;2- Proyectos Confirmados y Estimados: se utiliza la TD Proyectos confirmados y estimados para poder actualizar el dato del mes que se está cerrando y las estimaciones. La carga de información en MarkUp General está automatizada, sin embargo se debe hacer el control totalizador en ROJO por si hay diferencias, se agregan nuevos clientes y hay que ajustar el BuscarV, o cualquier diferencia o ajuste que se haga. &#10;&#10;3- Completando esta información se actualizan los resultados pero siempre es importante validar que estén ok y no haya moviemiento de celdas con los ajustes.&#10;&#10;ARR&#10;VENTAS: SE CONSIDERAN LAS VENTAS CONFIRMADAS 100%: se sacan de la solapa TD Proyectos confirmados y estimados. LINK A LA TD UTILIZADA&#10;COSTOS: SE CONSIDERAN COSTOS FIJOS, SIN LOS BONOS Y LOS PERFILES EXTRAS. SIN IMPUESTOS ARG USA. SIN INTERESES. Se sacan de la solapa TD Costos Estimados. LINK A LA TD UTILIZADA&#10;&#10;TABLA PROYECCIONES VENTAS USD Y ARS EN USD CON IVA PARA ESTADO DE SITUACIÓN 60 DÍAS&#10;Solo se ponen las ventas dado que los costos salen de la tabla de resultado. En este caso para el estado de situacion si se considera el IVA en las ventas en ARS por eso se arma una nueva tabla. Para esto se utiliza la solapa TD Proyectos confirmados y Estimados. LINK A LA TD UTILIZADA" location="'TD Costos para seguimiento MARK'!A19" ref="C28"/>
    <hyperlink display="Seguimiento MarkUp General" location="'Seguimiento Mark Up General'!A1" ref="E28"/>
    <hyperlink display="Una vez que están cerradas la solapa Costos Directos e Indirectos, desde la solapa TD Costos Directos para CIERRE usando esta Tabla Dinámica se sacan los datos de equipo para poder estimar el MarkUp del mes de cada cliente tanto proyecto Fee como One shot on going. &#10;¿Cómo usar?&#10;Todos los meses, una vez que se actualiza la información para le cierre se presiona en el lapiz (editar) y en filtros &gt; Mes se elige el que se está cerrando y se elige cliente por cliente para ver las horas consumidas por cliente. Esa información se traslada luego a las solapas de MarkUp por cliente" location="'TD Costos Directos para CIERRE'!A1" ref="C29"/>
    <hyperlink display="Valor Hora Real y Estimada" location="'Valor Hora Real y Estimada'!A1" ref="E30"/>
    <hyperlink display="Info Tipo de Cambio y REM" location="'Info Tipo de Cambio y REM'!A1" ref="E31"/>
  </hyperlin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14.38"/>
    <col customWidth="1" min="3" max="26" width="36.25"/>
  </cols>
  <sheetData>
    <row r="1">
      <c r="A1" s="40" t="s">
        <v>105</v>
      </c>
      <c r="B1" s="40" t="s">
        <v>105</v>
      </c>
      <c r="C1" s="41" t="s">
        <v>106</v>
      </c>
      <c r="D1" s="42" t="s">
        <v>107</v>
      </c>
      <c r="E1" s="42" t="s">
        <v>107</v>
      </c>
      <c r="F1" s="43" t="s">
        <v>108</v>
      </c>
      <c r="G1" s="43" t="s">
        <v>59</v>
      </c>
      <c r="H1" s="44"/>
    </row>
    <row r="2">
      <c r="A2" s="45" t="s">
        <v>109</v>
      </c>
      <c r="B2" s="45" t="s">
        <v>110</v>
      </c>
      <c r="C2" s="46" t="s">
        <v>111</v>
      </c>
      <c r="D2" s="45" t="s">
        <v>112</v>
      </c>
      <c r="E2" s="47" t="s">
        <v>113</v>
      </c>
      <c r="F2" s="1" t="s">
        <v>114</v>
      </c>
      <c r="G2" s="1" t="s">
        <v>115</v>
      </c>
      <c r="H2" s="48" t="s">
        <v>116</v>
      </c>
    </row>
    <row r="3">
      <c r="A3" s="40" t="s">
        <v>117</v>
      </c>
      <c r="B3" s="40" t="s">
        <v>118</v>
      </c>
      <c r="C3" s="40" t="s">
        <v>119</v>
      </c>
      <c r="D3" s="49" t="s">
        <v>120</v>
      </c>
      <c r="E3" s="50" t="s">
        <v>121</v>
      </c>
      <c r="F3" s="50" t="s">
        <v>121</v>
      </c>
      <c r="G3" s="43" t="s">
        <v>122</v>
      </c>
      <c r="H3" s="51" t="s">
        <v>123</v>
      </c>
    </row>
    <row r="4">
      <c r="A4" s="40" t="s">
        <v>124</v>
      </c>
      <c r="B4" s="40" t="s">
        <v>125</v>
      </c>
      <c r="C4" s="40" t="s">
        <v>126</v>
      </c>
      <c r="D4" s="49" t="s">
        <v>127</v>
      </c>
      <c r="E4" s="50" t="s">
        <v>128</v>
      </c>
      <c r="F4" s="50" t="s">
        <v>128</v>
      </c>
      <c r="G4" s="43" t="s">
        <v>128</v>
      </c>
      <c r="H4" s="51" t="s">
        <v>129</v>
      </c>
    </row>
    <row r="5">
      <c r="A5" s="40" t="s">
        <v>130</v>
      </c>
      <c r="B5" s="41" t="s">
        <v>131</v>
      </c>
      <c r="C5" s="40" t="s">
        <v>132</v>
      </c>
      <c r="D5" s="49" t="s">
        <v>133</v>
      </c>
      <c r="E5" s="50" t="s">
        <v>134</v>
      </c>
      <c r="F5" s="50" t="s">
        <v>134</v>
      </c>
      <c r="G5" s="43" t="s">
        <v>135</v>
      </c>
      <c r="H5" s="51" t="s">
        <v>136</v>
      </c>
    </row>
    <row r="6">
      <c r="A6" s="40" t="s">
        <v>137</v>
      </c>
      <c r="B6" s="40"/>
      <c r="C6" s="40" t="s">
        <v>138</v>
      </c>
      <c r="D6" s="49" t="s">
        <v>139</v>
      </c>
      <c r="E6" s="52" t="s">
        <v>140</v>
      </c>
      <c r="F6" s="50" t="s">
        <v>141</v>
      </c>
      <c r="G6" s="43" t="s">
        <v>142</v>
      </c>
      <c r="H6" s="51" t="s">
        <v>143</v>
      </c>
    </row>
    <row r="7">
      <c r="A7" s="40" t="s">
        <v>144</v>
      </c>
      <c r="B7" s="40"/>
      <c r="C7" s="40" t="s">
        <v>145</v>
      </c>
      <c r="D7" s="49" t="s">
        <v>146</v>
      </c>
      <c r="E7" s="50" t="s">
        <v>147</v>
      </c>
      <c r="F7" s="50" t="s">
        <v>147</v>
      </c>
      <c r="G7" s="43" t="s">
        <v>148</v>
      </c>
      <c r="H7" s="51" t="s">
        <v>149</v>
      </c>
    </row>
    <row r="8">
      <c r="A8" s="40" t="s">
        <v>150</v>
      </c>
      <c r="B8" s="40"/>
      <c r="C8" s="40" t="s">
        <v>151</v>
      </c>
      <c r="D8" s="49" t="s">
        <v>152</v>
      </c>
      <c r="E8" s="50" t="s">
        <v>153</v>
      </c>
      <c r="F8" s="50" t="s">
        <v>153</v>
      </c>
      <c r="G8" s="43" t="s">
        <v>154</v>
      </c>
      <c r="H8" s="51" t="s">
        <v>155</v>
      </c>
    </row>
    <row r="9">
      <c r="A9" s="40" t="s">
        <v>156</v>
      </c>
      <c r="B9" s="40"/>
      <c r="C9" s="40" t="s">
        <v>157</v>
      </c>
      <c r="D9" s="49" t="s">
        <v>158</v>
      </c>
      <c r="E9" s="50" t="s">
        <v>159</v>
      </c>
      <c r="F9" s="50" t="s">
        <v>159</v>
      </c>
      <c r="G9" s="43" t="s">
        <v>160</v>
      </c>
      <c r="H9" s="51" t="s">
        <v>161</v>
      </c>
    </row>
    <row r="10">
      <c r="A10" s="40" t="s">
        <v>162</v>
      </c>
      <c r="B10" s="40"/>
      <c r="C10" s="40" t="s">
        <v>163</v>
      </c>
      <c r="D10" s="49" t="s">
        <v>153</v>
      </c>
      <c r="E10" s="50" t="s">
        <v>164</v>
      </c>
      <c r="F10" s="50" t="s">
        <v>164</v>
      </c>
      <c r="G10" s="43" t="s">
        <v>165</v>
      </c>
      <c r="H10" s="51" t="s">
        <v>166</v>
      </c>
    </row>
    <row r="11">
      <c r="A11" s="40" t="s">
        <v>167</v>
      </c>
      <c r="B11" s="40"/>
      <c r="C11" s="40" t="s">
        <v>168</v>
      </c>
      <c r="D11" s="49" t="s">
        <v>169</v>
      </c>
      <c r="E11" s="50" t="s">
        <v>170</v>
      </c>
      <c r="F11" s="50" t="s">
        <v>170</v>
      </c>
      <c r="H11" s="51" t="s">
        <v>171</v>
      </c>
    </row>
    <row r="12">
      <c r="A12" s="53"/>
      <c r="B12" s="53"/>
      <c r="C12" s="40" t="s">
        <v>172</v>
      </c>
      <c r="D12" s="49" t="s">
        <v>173</v>
      </c>
      <c r="E12" s="50" t="s">
        <v>174</v>
      </c>
      <c r="F12" s="50" t="s">
        <v>174</v>
      </c>
      <c r="H12" s="51" t="s">
        <v>175</v>
      </c>
    </row>
    <row r="13">
      <c r="A13" s="53"/>
      <c r="B13" s="53"/>
      <c r="C13" s="40" t="s">
        <v>176</v>
      </c>
      <c r="D13" s="49" t="s">
        <v>177</v>
      </c>
      <c r="E13" s="50" t="s">
        <v>178</v>
      </c>
      <c r="F13" s="50" t="s">
        <v>178</v>
      </c>
      <c r="H13" s="51" t="s">
        <v>179</v>
      </c>
    </row>
    <row r="14">
      <c r="A14" s="53"/>
      <c r="B14" s="53"/>
      <c r="C14" s="40" t="s">
        <v>180</v>
      </c>
      <c r="D14" s="49" t="s">
        <v>181</v>
      </c>
      <c r="E14" s="50" t="s">
        <v>139</v>
      </c>
      <c r="F14" s="50" t="s">
        <v>139</v>
      </c>
      <c r="H14" s="51" t="s">
        <v>182</v>
      </c>
    </row>
    <row r="15">
      <c r="A15" s="53"/>
      <c r="B15" s="53"/>
      <c r="C15" s="40" t="s">
        <v>183</v>
      </c>
      <c r="D15" s="49" t="s">
        <v>184</v>
      </c>
      <c r="E15" s="52" t="s">
        <v>185</v>
      </c>
      <c r="F15" s="43" t="s">
        <v>111</v>
      </c>
      <c r="H15" s="44"/>
    </row>
    <row r="16">
      <c r="A16" s="53"/>
      <c r="B16" s="53"/>
      <c r="C16" s="40" t="s">
        <v>186</v>
      </c>
      <c r="D16" s="49" t="s">
        <v>187</v>
      </c>
      <c r="E16" s="52" t="s">
        <v>188</v>
      </c>
      <c r="F16" s="43" t="s">
        <v>189</v>
      </c>
      <c r="H16" s="44"/>
    </row>
    <row r="17">
      <c r="A17" s="53"/>
      <c r="B17" s="53"/>
      <c r="C17" s="40" t="s">
        <v>190</v>
      </c>
      <c r="D17" s="49" t="s">
        <v>191</v>
      </c>
      <c r="E17" s="52" t="s">
        <v>192</v>
      </c>
      <c r="H17" s="44"/>
    </row>
    <row r="18">
      <c r="A18" s="53"/>
      <c r="B18" s="53"/>
      <c r="C18" s="40" t="s">
        <v>193</v>
      </c>
      <c r="D18" s="49" t="s">
        <v>194</v>
      </c>
      <c r="E18" s="52" t="s">
        <v>195</v>
      </c>
      <c r="H18" s="44"/>
    </row>
    <row r="19">
      <c r="A19" s="53"/>
      <c r="B19" s="53"/>
      <c r="C19" s="40" t="s">
        <v>196</v>
      </c>
      <c r="D19" s="49" t="s">
        <v>197</v>
      </c>
      <c r="E19" s="52" t="s">
        <v>198</v>
      </c>
      <c r="H19" s="44"/>
    </row>
    <row r="20">
      <c r="A20" s="53"/>
      <c r="B20" s="53"/>
      <c r="C20" s="40" t="s">
        <v>199</v>
      </c>
      <c r="D20" s="49" t="s">
        <v>200</v>
      </c>
      <c r="E20" s="43" t="s">
        <v>201</v>
      </c>
      <c r="H20" s="44"/>
    </row>
    <row r="21">
      <c r="A21" s="53"/>
      <c r="B21" s="53"/>
      <c r="C21" s="40" t="s">
        <v>202</v>
      </c>
      <c r="D21" s="49" t="s">
        <v>203</v>
      </c>
      <c r="E21" s="54"/>
      <c r="H21" s="44"/>
    </row>
    <row r="22">
      <c r="A22" s="53"/>
      <c r="B22" s="53"/>
      <c r="C22" s="40" t="s">
        <v>204</v>
      </c>
      <c r="D22" s="49" t="s">
        <v>205</v>
      </c>
      <c r="E22" s="54"/>
      <c r="H22" s="44"/>
    </row>
    <row r="23">
      <c r="A23" s="53"/>
      <c r="B23" s="53"/>
      <c r="C23" s="40" t="s">
        <v>206</v>
      </c>
      <c r="D23" s="49" t="s">
        <v>207</v>
      </c>
      <c r="E23" s="54"/>
      <c r="H23" s="44"/>
    </row>
    <row r="24">
      <c r="A24" s="53"/>
      <c r="B24" s="53"/>
      <c r="C24" s="40" t="s">
        <v>208</v>
      </c>
      <c r="D24" s="49" t="s">
        <v>87</v>
      </c>
      <c r="E24" s="54"/>
      <c r="H24" s="44"/>
    </row>
    <row r="25">
      <c r="A25" s="53"/>
      <c r="B25" s="53"/>
      <c r="C25" s="41" t="s">
        <v>209</v>
      </c>
      <c r="D25" s="49" t="s">
        <v>210</v>
      </c>
      <c r="E25" s="54"/>
      <c r="H25" s="44"/>
    </row>
    <row r="26">
      <c r="A26" s="53"/>
      <c r="B26" s="53"/>
      <c r="C26" s="41" t="s">
        <v>211</v>
      </c>
      <c r="D26" s="49" t="s">
        <v>212</v>
      </c>
      <c r="E26" s="54"/>
      <c r="H26" s="44"/>
    </row>
    <row r="27">
      <c r="A27" s="53"/>
      <c r="B27" s="53"/>
      <c r="C27" s="41" t="s">
        <v>213</v>
      </c>
      <c r="D27" s="49" t="s">
        <v>214</v>
      </c>
      <c r="E27" s="54"/>
      <c r="H27" s="44"/>
    </row>
    <row r="28">
      <c r="A28" s="53"/>
      <c r="B28" s="53"/>
      <c r="C28" s="41" t="s">
        <v>215</v>
      </c>
      <c r="D28" s="49" t="s">
        <v>216</v>
      </c>
      <c r="E28" s="54"/>
      <c r="H28" s="44"/>
    </row>
    <row r="29">
      <c r="A29" s="53"/>
      <c r="B29" s="53"/>
      <c r="C29" s="53"/>
      <c r="D29" s="49" t="s">
        <v>217</v>
      </c>
      <c r="E29" s="54"/>
      <c r="H29" s="44"/>
    </row>
    <row r="30">
      <c r="A30" s="53"/>
      <c r="B30" s="53"/>
      <c r="C30" s="53"/>
      <c r="D30" s="49" t="s">
        <v>218</v>
      </c>
      <c r="E30" s="54"/>
      <c r="H30" s="44"/>
    </row>
    <row r="31">
      <c r="A31" s="53"/>
      <c r="B31" s="53"/>
      <c r="C31" s="53"/>
      <c r="D31" s="49" t="s">
        <v>219</v>
      </c>
      <c r="E31" s="54"/>
      <c r="H31" s="44"/>
    </row>
    <row r="32">
      <c r="A32" s="53"/>
      <c r="B32" s="53"/>
      <c r="C32" s="53"/>
      <c r="D32" s="49" t="s">
        <v>220</v>
      </c>
      <c r="E32" s="54"/>
      <c r="H32" s="44"/>
    </row>
    <row r="33">
      <c r="A33" s="53"/>
      <c r="B33" s="53"/>
      <c r="C33" s="53"/>
      <c r="D33" s="49" t="s">
        <v>221</v>
      </c>
      <c r="E33" s="54"/>
      <c r="H33" s="44"/>
    </row>
    <row r="34">
      <c r="A34" s="53"/>
      <c r="B34" s="53"/>
      <c r="C34" s="53"/>
      <c r="D34" s="49" t="s">
        <v>222</v>
      </c>
      <c r="E34" s="54"/>
      <c r="H34" s="44"/>
    </row>
    <row r="35">
      <c r="A35" s="53"/>
      <c r="B35" s="53"/>
      <c r="C35" s="53"/>
      <c r="D35" s="49" t="s">
        <v>223</v>
      </c>
      <c r="E35" s="54"/>
      <c r="H35" s="44"/>
    </row>
    <row r="36">
      <c r="A36" s="53"/>
      <c r="B36" s="53"/>
      <c r="C36" s="53"/>
      <c r="D36" s="49" t="s">
        <v>224</v>
      </c>
      <c r="E36" s="54"/>
      <c r="H36" s="44"/>
    </row>
    <row r="37">
      <c r="A37" s="53"/>
      <c r="B37" s="53"/>
      <c r="C37" s="53"/>
      <c r="D37" s="42" t="s">
        <v>225</v>
      </c>
      <c r="E37" s="54"/>
      <c r="H37" s="44"/>
    </row>
    <row r="38">
      <c r="A38" s="53"/>
      <c r="B38" s="53"/>
      <c r="C38" s="53"/>
      <c r="D38" s="49" t="s">
        <v>226</v>
      </c>
      <c r="E38" s="54"/>
      <c r="H38" s="44"/>
    </row>
    <row r="39">
      <c r="A39" s="53"/>
      <c r="B39" s="53"/>
      <c r="C39" s="53"/>
      <c r="D39" s="49" t="s">
        <v>227</v>
      </c>
      <c r="E39" s="54"/>
      <c r="H39" s="44"/>
    </row>
    <row r="40">
      <c r="A40" s="53"/>
      <c r="B40" s="53"/>
      <c r="C40" s="53"/>
      <c r="D40" s="49" t="s">
        <v>164</v>
      </c>
      <c r="E40" s="54"/>
      <c r="H40" s="44"/>
    </row>
    <row r="41">
      <c r="A41" s="53"/>
      <c r="B41" s="53"/>
      <c r="C41" s="53"/>
      <c r="D41" s="49" t="s">
        <v>228</v>
      </c>
      <c r="E41" s="54"/>
      <c r="H41" s="44"/>
    </row>
    <row r="42">
      <c r="A42" s="53"/>
      <c r="B42" s="53"/>
      <c r="C42" s="53"/>
      <c r="D42" s="49" t="s">
        <v>229</v>
      </c>
      <c r="E42" s="54"/>
      <c r="H42" s="44"/>
    </row>
    <row r="43">
      <c r="A43" s="53"/>
      <c r="B43" s="53"/>
      <c r="C43" s="53"/>
      <c r="D43" s="42" t="s">
        <v>230</v>
      </c>
      <c r="E43" s="54"/>
      <c r="H43" s="44"/>
    </row>
    <row r="44">
      <c r="A44" s="53"/>
      <c r="B44" s="53"/>
      <c r="C44" s="53"/>
      <c r="D44" s="42" t="s">
        <v>185</v>
      </c>
      <c r="E44" s="54"/>
      <c r="H44" s="44"/>
    </row>
    <row r="45">
      <c r="D45" s="43" t="s">
        <v>231</v>
      </c>
      <c r="H45" s="44"/>
    </row>
    <row r="46">
      <c r="D46" s="43" t="s">
        <v>232</v>
      </c>
      <c r="H46" s="44"/>
    </row>
    <row r="47">
      <c r="D47" s="43" t="s">
        <v>233</v>
      </c>
      <c r="H47" s="44"/>
    </row>
    <row r="48">
      <c r="D48" s="43" t="s">
        <v>234</v>
      </c>
      <c r="H48" s="44"/>
    </row>
    <row r="49">
      <c r="D49" s="43" t="s">
        <v>235</v>
      </c>
      <c r="H49" s="44"/>
    </row>
    <row r="50">
      <c r="D50" s="43" t="s">
        <v>236</v>
      </c>
      <c r="H50" s="44"/>
    </row>
    <row r="51">
      <c r="D51" s="55" t="s">
        <v>237</v>
      </c>
      <c r="H51" s="44"/>
    </row>
    <row r="52">
      <c r="D52" s="43" t="s">
        <v>201</v>
      </c>
      <c r="H52" s="44"/>
    </row>
    <row r="53">
      <c r="D53" s="43" t="s">
        <v>238</v>
      </c>
      <c r="H53" s="44"/>
    </row>
    <row r="54">
      <c r="D54" s="43" t="s">
        <v>239</v>
      </c>
      <c r="H54" s="44"/>
    </row>
    <row r="55">
      <c r="D55" s="43" t="s">
        <v>240</v>
      </c>
      <c r="H55" s="44"/>
    </row>
    <row r="56">
      <c r="H56" s="44"/>
    </row>
    <row r="57">
      <c r="H57" s="44"/>
    </row>
    <row r="58">
      <c r="H58" s="44"/>
    </row>
    <row r="59">
      <c r="H59" s="44"/>
    </row>
    <row r="60">
      <c r="H60" s="44"/>
    </row>
    <row r="61">
      <c r="H61" s="44"/>
    </row>
    <row r="62">
      <c r="H62" s="44"/>
    </row>
    <row r="63">
      <c r="H63" s="44"/>
    </row>
    <row r="64">
      <c r="H64" s="44"/>
    </row>
    <row r="65">
      <c r="H65" s="44"/>
    </row>
    <row r="66">
      <c r="H66" s="44"/>
    </row>
    <row r="67">
      <c r="H67" s="44"/>
    </row>
    <row r="68">
      <c r="H68" s="44"/>
    </row>
    <row r="69">
      <c r="H69" s="44"/>
    </row>
    <row r="70">
      <c r="H70" s="44"/>
    </row>
    <row r="71">
      <c r="H71" s="44"/>
    </row>
    <row r="72">
      <c r="H72" s="44"/>
    </row>
    <row r="73">
      <c r="H73" s="44"/>
    </row>
    <row r="74">
      <c r="H74" s="44"/>
    </row>
    <row r="75">
      <c r="H75" s="44"/>
    </row>
    <row r="76">
      <c r="H76" s="44"/>
    </row>
    <row r="77">
      <c r="H77" s="44"/>
    </row>
    <row r="78">
      <c r="H78" s="44"/>
    </row>
    <row r="79">
      <c r="H79" s="44"/>
    </row>
    <row r="80">
      <c r="H80" s="44"/>
    </row>
    <row r="81">
      <c r="H81" s="44"/>
    </row>
    <row r="82">
      <c r="H82" s="44"/>
    </row>
    <row r="83">
      <c r="H83" s="44"/>
    </row>
    <row r="84">
      <c r="H84" s="44"/>
    </row>
    <row r="85">
      <c r="H85" s="44"/>
    </row>
    <row r="86">
      <c r="H86" s="44"/>
    </row>
    <row r="87">
      <c r="H87" s="44"/>
    </row>
    <row r="88">
      <c r="H88" s="44"/>
    </row>
    <row r="89">
      <c r="H89" s="44"/>
    </row>
    <row r="90">
      <c r="H90" s="44"/>
    </row>
    <row r="91">
      <c r="H91" s="44"/>
    </row>
    <row r="92">
      <c r="H92" s="44"/>
    </row>
    <row r="93">
      <c r="H93" s="44"/>
    </row>
    <row r="94">
      <c r="H94" s="44"/>
    </row>
    <row r="95">
      <c r="H95" s="44"/>
    </row>
    <row r="96">
      <c r="H96" s="44"/>
    </row>
    <row r="97">
      <c r="H97" s="44"/>
    </row>
    <row r="98">
      <c r="H98" s="44"/>
    </row>
    <row r="99">
      <c r="H99" s="44"/>
    </row>
    <row r="100">
      <c r="H100" s="44"/>
    </row>
    <row r="101">
      <c r="H101" s="44"/>
    </row>
    <row r="102">
      <c r="H102" s="44"/>
    </row>
    <row r="103">
      <c r="H103" s="44"/>
    </row>
    <row r="104">
      <c r="H104" s="44"/>
    </row>
    <row r="105">
      <c r="H105" s="44"/>
    </row>
    <row r="106">
      <c r="H106" s="44"/>
    </row>
    <row r="107">
      <c r="H107" s="44"/>
    </row>
    <row r="108">
      <c r="H108" s="44"/>
    </row>
    <row r="109">
      <c r="H109" s="44"/>
    </row>
    <row r="110">
      <c r="H110" s="44"/>
    </row>
    <row r="111">
      <c r="H111" s="44"/>
    </row>
    <row r="112">
      <c r="H112" s="44"/>
    </row>
    <row r="113">
      <c r="H113" s="44"/>
    </row>
    <row r="114">
      <c r="H114" s="44"/>
    </row>
    <row r="115">
      <c r="H115" s="44"/>
    </row>
    <row r="116">
      <c r="H116" s="44"/>
    </row>
    <row r="117">
      <c r="H117" s="44"/>
    </row>
    <row r="118">
      <c r="H118" s="44"/>
    </row>
    <row r="119">
      <c r="H119" s="44"/>
    </row>
    <row r="120">
      <c r="H120" s="44"/>
    </row>
    <row r="121">
      <c r="H121" s="44"/>
    </row>
    <row r="122">
      <c r="H122" s="44"/>
    </row>
    <row r="123">
      <c r="H123" s="44"/>
    </row>
    <row r="124">
      <c r="H124" s="44"/>
    </row>
    <row r="125">
      <c r="H125" s="44"/>
    </row>
    <row r="126">
      <c r="H126" s="44"/>
    </row>
    <row r="127">
      <c r="H127" s="44"/>
    </row>
    <row r="128">
      <c r="H128" s="44"/>
    </row>
    <row r="129">
      <c r="H129" s="44"/>
    </row>
    <row r="130">
      <c r="H130" s="44"/>
    </row>
    <row r="131">
      <c r="H131" s="44"/>
    </row>
    <row r="132">
      <c r="H132" s="44"/>
    </row>
    <row r="133">
      <c r="H133" s="44"/>
    </row>
    <row r="134">
      <c r="H134" s="44"/>
    </row>
    <row r="135">
      <c r="H135" s="44"/>
    </row>
    <row r="136">
      <c r="H136" s="44"/>
    </row>
    <row r="137">
      <c r="H137" s="44"/>
    </row>
    <row r="138">
      <c r="H138" s="44"/>
    </row>
    <row r="139">
      <c r="H139" s="44"/>
    </row>
    <row r="140">
      <c r="H140" s="44"/>
    </row>
    <row r="141">
      <c r="H141" s="44"/>
    </row>
    <row r="142">
      <c r="H142" s="44"/>
    </row>
    <row r="143">
      <c r="H143" s="44"/>
    </row>
    <row r="144">
      <c r="H144" s="44"/>
    </row>
    <row r="145">
      <c r="H145" s="44"/>
    </row>
    <row r="146">
      <c r="H146" s="44"/>
    </row>
    <row r="147">
      <c r="H147" s="44"/>
    </row>
    <row r="148">
      <c r="H148" s="44"/>
    </row>
    <row r="149">
      <c r="H149" s="44"/>
    </row>
    <row r="150">
      <c r="H150" s="44"/>
    </row>
    <row r="151">
      <c r="H151" s="44"/>
    </row>
    <row r="152">
      <c r="H152" s="44"/>
    </row>
    <row r="153">
      <c r="H153" s="44"/>
    </row>
    <row r="154">
      <c r="H154" s="44"/>
    </row>
    <row r="155">
      <c r="H155" s="44"/>
    </row>
    <row r="156">
      <c r="H156" s="44"/>
    </row>
    <row r="157">
      <c r="H157" s="44"/>
    </row>
    <row r="158">
      <c r="H158" s="44"/>
    </row>
    <row r="159">
      <c r="H159" s="44"/>
    </row>
    <row r="160">
      <c r="H160" s="44"/>
    </row>
    <row r="161">
      <c r="H161" s="44"/>
    </row>
    <row r="162">
      <c r="H162" s="44"/>
    </row>
    <row r="163">
      <c r="H163" s="44"/>
    </row>
    <row r="164">
      <c r="H164" s="44"/>
    </row>
    <row r="165">
      <c r="H165" s="44"/>
    </row>
    <row r="166">
      <c r="H166" s="44"/>
    </row>
    <row r="167">
      <c r="H167" s="44"/>
    </row>
    <row r="168">
      <c r="H168" s="44"/>
    </row>
    <row r="169">
      <c r="H169" s="44"/>
    </row>
    <row r="170">
      <c r="H170" s="44"/>
    </row>
    <row r="171">
      <c r="H171" s="44"/>
    </row>
    <row r="172">
      <c r="H172" s="44"/>
    </row>
    <row r="173">
      <c r="H173" s="44"/>
    </row>
    <row r="174">
      <c r="H174" s="44"/>
    </row>
    <row r="175">
      <c r="H175" s="44"/>
    </row>
    <row r="176">
      <c r="H176" s="44"/>
    </row>
    <row r="177">
      <c r="H177" s="44"/>
    </row>
    <row r="178">
      <c r="H178" s="44"/>
    </row>
    <row r="179">
      <c r="H179" s="44"/>
    </row>
    <row r="180">
      <c r="H180" s="44"/>
    </row>
    <row r="181">
      <c r="H181" s="44"/>
    </row>
    <row r="182">
      <c r="H182" s="44"/>
    </row>
    <row r="183">
      <c r="H183" s="44"/>
    </row>
    <row r="184">
      <c r="H184" s="44"/>
    </row>
    <row r="185">
      <c r="H185" s="44"/>
    </row>
    <row r="186">
      <c r="H186" s="44"/>
    </row>
    <row r="187">
      <c r="H187" s="44"/>
    </row>
    <row r="188">
      <c r="H188" s="44"/>
    </row>
    <row r="189">
      <c r="H189" s="44"/>
    </row>
    <row r="190">
      <c r="H190" s="44"/>
    </row>
    <row r="191">
      <c r="H191" s="44"/>
    </row>
    <row r="192">
      <c r="H192" s="44"/>
    </row>
    <row r="193">
      <c r="H193" s="44"/>
    </row>
    <row r="194">
      <c r="H194" s="44"/>
    </row>
    <row r="195">
      <c r="H195" s="44"/>
    </row>
    <row r="196">
      <c r="H196" s="44"/>
    </row>
    <row r="197">
      <c r="H197" s="44"/>
    </row>
    <row r="198">
      <c r="H198" s="44"/>
    </row>
    <row r="199">
      <c r="H199" s="44"/>
    </row>
    <row r="200">
      <c r="H200" s="44"/>
    </row>
    <row r="201">
      <c r="H201" s="44"/>
    </row>
    <row r="202">
      <c r="H202" s="44"/>
    </row>
    <row r="203">
      <c r="H203" s="44"/>
    </row>
    <row r="204">
      <c r="H204" s="44"/>
    </row>
    <row r="205">
      <c r="H205" s="44"/>
    </row>
    <row r="206">
      <c r="H206" s="44"/>
    </row>
    <row r="207">
      <c r="H207" s="44"/>
    </row>
    <row r="208">
      <c r="H208" s="44"/>
    </row>
    <row r="209">
      <c r="H209" s="44"/>
    </row>
    <row r="210">
      <c r="H210" s="44"/>
    </row>
    <row r="211">
      <c r="H211" s="44"/>
    </row>
    <row r="212">
      <c r="H212" s="44"/>
    </row>
    <row r="213">
      <c r="H213" s="44"/>
    </row>
    <row r="214">
      <c r="H214" s="44"/>
    </row>
    <row r="215">
      <c r="H215" s="44"/>
    </row>
    <row r="216">
      <c r="H216" s="44"/>
    </row>
    <row r="217">
      <c r="H217" s="44"/>
    </row>
    <row r="218">
      <c r="H218" s="44"/>
    </row>
    <row r="219">
      <c r="H219" s="44"/>
    </row>
    <row r="220">
      <c r="H220" s="44"/>
    </row>
    <row r="221">
      <c r="H221" s="44"/>
    </row>
    <row r="222">
      <c r="H222" s="44"/>
    </row>
    <row r="223">
      <c r="H223" s="44"/>
    </row>
    <row r="224">
      <c r="H224" s="44"/>
    </row>
    <row r="225">
      <c r="H225" s="44"/>
    </row>
    <row r="226">
      <c r="H226" s="44"/>
    </row>
    <row r="227">
      <c r="H227" s="44"/>
    </row>
    <row r="228">
      <c r="H228" s="44"/>
    </row>
    <row r="229">
      <c r="H229" s="44"/>
    </row>
    <row r="230">
      <c r="H230" s="44"/>
    </row>
    <row r="231">
      <c r="H231" s="44"/>
    </row>
    <row r="232">
      <c r="H232" s="44"/>
    </row>
    <row r="233">
      <c r="H233" s="44"/>
    </row>
    <row r="234">
      <c r="H234" s="44"/>
    </row>
    <row r="235">
      <c r="H235" s="44"/>
    </row>
    <row r="236">
      <c r="H236" s="44"/>
    </row>
    <row r="237">
      <c r="H237" s="44"/>
    </row>
    <row r="238">
      <c r="H238" s="44"/>
    </row>
    <row r="239">
      <c r="H239" s="44"/>
    </row>
    <row r="240">
      <c r="H240" s="44"/>
    </row>
    <row r="241">
      <c r="H241" s="44"/>
    </row>
    <row r="242">
      <c r="H242" s="44"/>
    </row>
    <row r="243">
      <c r="H243" s="44"/>
    </row>
    <row r="244">
      <c r="H244" s="44"/>
    </row>
    <row r="245">
      <c r="H245" s="44"/>
    </row>
    <row r="246">
      <c r="H246" s="44"/>
    </row>
    <row r="247">
      <c r="H247" s="44"/>
    </row>
    <row r="248">
      <c r="H248" s="44"/>
    </row>
    <row r="249">
      <c r="H249" s="44"/>
    </row>
    <row r="250">
      <c r="H250" s="44"/>
    </row>
    <row r="251">
      <c r="H251" s="44"/>
    </row>
    <row r="252">
      <c r="H252" s="44"/>
    </row>
    <row r="253">
      <c r="H253" s="44"/>
    </row>
    <row r="254">
      <c r="H254" s="44"/>
    </row>
    <row r="255">
      <c r="H255" s="44"/>
    </row>
    <row r="256">
      <c r="H256" s="44"/>
    </row>
    <row r="257">
      <c r="H257" s="44"/>
    </row>
    <row r="258">
      <c r="H258" s="44"/>
    </row>
    <row r="259">
      <c r="H259" s="44"/>
    </row>
    <row r="260">
      <c r="H260" s="44"/>
    </row>
    <row r="261">
      <c r="H261" s="44"/>
    </row>
    <row r="262">
      <c r="H262" s="44"/>
    </row>
    <row r="263">
      <c r="H263" s="44"/>
    </row>
    <row r="264">
      <c r="H264" s="44"/>
    </row>
    <row r="265">
      <c r="H265" s="44"/>
    </row>
    <row r="266">
      <c r="H266" s="44"/>
    </row>
    <row r="267">
      <c r="H267" s="44"/>
    </row>
    <row r="268">
      <c r="H268" s="44"/>
    </row>
    <row r="269">
      <c r="H269" s="44"/>
    </row>
    <row r="270">
      <c r="H270" s="44"/>
    </row>
    <row r="271">
      <c r="H271" s="44"/>
    </row>
    <row r="272">
      <c r="H272" s="44"/>
    </row>
    <row r="273">
      <c r="H273" s="44"/>
    </row>
    <row r="274">
      <c r="H274" s="44"/>
    </row>
    <row r="275">
      <c r="H275" s="44"/>
    </row>
    <row r="276">
      <c r="H276" s="44"/>
    </row>
    <row r="277">
      <c r="H277" s="44"/>
    </row>
    <row r="278">
      <c r="H278" s="44"/>
    </row>
    <row r="279">
      <c r="H279" s="44"/>
    </row>
    <row r="280">
      <c r="H280" s="44"/>
    </row>
    <row r="281">
      <c r="H281" s="44"/>
    </row>
    <row r="282">
      <c r="H282" s="44"/>
    </row>
    <row r="283">
      <c r="H283" s="44"/>
    </row>
    <row r="284">
      <c r="H284" s="44"/>
    </row>
    <row r="285">
      <c r="H285" s="44"/>
    </row>
    <row r="286">
      <c r="H286" s="44"/>
    </row>
    <row r="287">
      <c r="H287" s="44"/>
    </row>
    <row r="288">
      <c r="H288" s="44"/>
    </row>
    <row r="289">
      <c r="H289" s="44"/>
    </row>
    <row r="290">
      <c r="H290" s="44"/>
    </row>
    <row r="291">
      <c r="H291" s="44"/>
    </row>
    <row r="292">
      <c r="H292" s="44"/>
    </row>
    <row r="293">
      <c r="H293" s="44"/>
    </row>
    <row r="294">
      <c r="H294" s="44"/>
    </row>
    <row r="295">
      <c r="H295" s="44"/>
    </row>
    <row r="296">
      <c r="H296" s="44"/>
    </row>
    <row r="297">
      <c r="H297" s="44"/>
    </row>
    <row r="298">
      <c r="H298" s="44"/>
    </row>
    <row r="299">
      <c r="H299" s="44"/>
    </row>
    <row r="300">
      <c r="H300" s="44"/>
    </row>
    <row r="301">
      <c r="H301" s="44"/>
    </row>
    <row r="302">
      <c r="H302" s="44"/>
    </row>
    <row r="303">
      <c r="H303" s="44"/>
    </row>
    <row r="304">
      <c r="H304" s="44"/>
    </row>
    <row r="305">
      <c r="H305" s="44"/>
    </row>
    <row r="306">
      <c r="H306" s="44"/>
    </row>
    <row r="307">
      <c r="H307" s="44"/>
    </row>
    <row r="308">
      <c r="H308" s="44"/>
    </row>
    <row r="309">
      <c r="H309" s="44"/>
    </row>
    <row r="310">
      <c r="H310" s="44"/>
    </row>
    <row r="311">
      <c r="H311" s="44"/>
    </row>
    <row r="312">
      <c r="H312" s="44"/>
    </row>
    <row r="313">
      <c r="H313" s="44"/>
    </row>
    <row r="314">
      <c r="H314" s="44"/>
    </row>
    <row r="315">
      <c r="H315" s="44"/>
    </row>
    <row r="316">
      <c r="H316" s="44"/>
    </row>
    <row r="317">
      <c r="H317" s="44"/>
    </row>
    <row r="318">
      <c r="H318" s="44"/>
    </row>
    <row r="319">
      <c r="H319" s="44"/>
    </row>
    <row r="320">
      <c r="H320" s="44"/>
    </row>
    <row r="321">
      <c r="H321" s="44"/>
    </row>
    <row r="322">
      <c r="H322" s="44"/>
    </row>
    <row r="323">
      <c r="H323" s="44"/>
    </row>
    <row r="324">
      <c r="H324" s="44"/>
    </row>
    <row r="325">
      <c r="H325" s="44"/>
    </row>
    <row r="326">
      <c r="H326" s="44"/>
    </row>
    <row r="327">
      <c r="H327" s="44"/>
    </row>
    <row r="328">
      <c r="H328" s="44"/>
    </row>
    <row r="329">
      <c r="H329" s="44"/>
    </row>
    <row r="330">
      <c r="H330" s="44"/>
    </row>
    <row r="331">
      <c r="H331" s="44"/>
    </row>
    <row r="332">
      <c r="H332" s="44"/>
    </row>
    <row r="333">
      <c r="H333" s="44"/>
    </row>
    <row r="334">
      <c r="H334" s="44"/>
    </row>
    <row r="335">
      <c r="H335" s="44"/>
    </row>
    <row r="336">
      <c r="H336" s="44"/>
    </row>
    <row r="337">
      <c r="H337" s="44"/>
    </row>
    <row r="338">
      <c r="H338" s="44"/>
    </row>
    <row r="339">
      <c r="H339" s="44"/>
    </row>
    <row r="340">
      <c r="H340" s="44"/>
    </row>
    <row r="341">
      <c r="H341" s="44"/>
    </row>
    <row r="342">
      <c r="H342" s="44"/>
    </row>
    <row r="343">
      <c r="H343" s="44"/>
    </row>
    <row r="344">
      <c r="H344" s="44"/>
    </row>
    <row r="345">
      <c r="H345" s="44"/>
    </row>
    <row r="346">
      <c r="H346" s="44"/>
    </row>
    <row r="347">
      <c r="H347" s="44"/>
    </row>
    <row r="348">
      <c r="H348" s="44"/>
    </row>
    <row r="349">
      <c r="H349" s="44"/>
    </row>
    <row r="350">
      <c r="H350" s="44"/>
    </row>
    <row r="351">
      <c r="H351" s="44"/>
    </row>
    <row r="352">
      <c r="H352" s="44"/>
    </row>
    <row r="353">
      <c r="H353" s="44"/>
    </row>
    <row r="354">
      <c r="H354" s="44"/>
    </row>
    <row r="355">
      <c r="H355" s="44"/>
    </row>
    <row r="356">
      <c r="H356" s="44"/>
    </row>
    <row r="357">
      <c r="H357" s="44"/>
    </row>
    <row r="358">
      <c r="H358" s="44"/>
    </row>
    <row r="359">
      <c r="H359" s="44"/>
    </row>
    <row r="360">
      <c r="H360" s="44"/>
    </row>
    <row r="361">
      <c r="H361" s="44"/>
    </row>
    <row r="362">
      <c r="H362" s="44"/>
    </row>
    <row r="363">
      <c r="H363" s="44"/>
    </row>
    <row r="364">
      <c r="H364" s="44"/>
    </row>
    <row r="365">
      <c r="H365" s="44"/>
    </row>
    <row r="366">
      <c r="H366" s="44"/>
    </row>
    <row r="367">
      <c r="H367" s="44"/>
    </row>
    <row r="368">
      <c r="H368" s="44"/>
    </row>
    <row r="369">
      <c r="H369" s="44"/>
    </row>
    <row r="370">
      <c r="H370" s="44"/>
    </row>
    <row r="371">
      <c r="H371" s="44"/>
    </row>
    <row r="372">
      <c r="H372" s="44"/>
    </row>
    <row r="373">
      <c r="H373" s="44"/>
    </row>
    <row r="374">
      <c r="H374" s="44"/>
    </row>
    <row r="375">
      <c r="H375" s="44"/>
    </row>
    <row r="376">
      <c r="H376" s="44"/>
    </row>
    <row r="377">
      <c r="H377" s="44"/>
    </row>
    <row r="378">
      <c r="H378" s="44"/>
    </row>
    <row r="379">
      <c r="H379" s="44"/>
    </row>
    <row r="380">
      <c r="H380" s="44"/>
    </row>
    <row r="381">
      <c r="H381" s="44"/>
    </row>
    <row r="382">
      <c r="H382" s="44"/>
    </row>
    <row r="383">
      <c r="H383" s="44"/>
    </row>
    <row r="384">
      <c r="H384" s="44"/>
    </row>
    <row r="385">
      <c r="H385" s="44"/>
    </row>
    <row r="386">
      <c r="H386" s="44"/>
    </row>
    <row r="387">
      <c r="H387" s="44"/>
    </row>
    <row r="388">
      <c r="H388" s="44"/>
    </row>
    <row r="389">
      <c r="H389" s="44"/>
    </row>
    <row r="390">
      <c r="H390" s="44"/>
    </row>
    <row r="391">
      <c r="H391" s="44"/>
    </row>
    <row r="392">
      <c r="H392" s="44"/>
    </row>
    <row r="393">
      <c r="H393" s="44"/>
    </row>
    <row r="394">
      <c r="H394" s="44"/>
    </row>
    <row r="395">
      <c r="H395" s="44"/>
    </row>
    <row r="396">
      <c r="H396" s="44"/>
    </row>
    <row r="397">
      <c r="H397" s="44"/>
    </row>
    <row r="398">
      <c r="H398" s="44"/>
    </row>
    <row r="399">
      <c r="H399" s="44"/>
    </row>
    <row r="400">
      <c r="H400" s="44"/>
    </row>
    <row r="401">
      <c r="H401" s="44"/>
    </row>
    <row r="402">
      <c r="H402" s="44"/>
    </row>
    <row r="403">
      <c r="H403" s="44"/>
    </row>
    <row r="404">
      <c r="H404" s="44"/>
    </row>
    <row r="405">
      <c r="H405" s="44"/>
    </row>
    <row r="406">
      <c r="H406" s="44"/>
    </row>
    <row r="407">
      <c r="H407" s="44"/>
    </row>
    <row r="408">
      <c r="H408" s="44"/>
    </row>
    <row r="409">
      <c r="H409" s="44"/>
    </row>
    <row r="410">
      <c r="H410" s="44"/>
    </row>
    <row r="411">
      <c r="H411" s="44"/>
    </row>
    <row r="412">
      <c r="H412" s="44"/>
    </row>
    <row r="413">
      <c r="H413" s="44"/>
    </row>
    <row r="414">
      <c r="H414" s="44"/>
    </row>
    <row r="415">
      <c r="H415" s="44"/>
    </row>
    <row r="416">
      <c r="H416" s="44"/>
    </row>
    <row r="417">
      <c r="H417" s="44"/>
    </row>
    <row r="418">
      <c r="H418" s="44"/>
    </row>
    <row r="419">
      <c r="H419" s="44"/>
    </row>
    <row r="420">
      <c r="H420" s="44"/>
    </row>
    <row r="421">
      <c r="H421" s="44"/>
    </row>
    <row r="422">
      <c r="H422" s="44"/>
    </row>
    <row r="423">
      <c r="H423" s="44"/>
    </row>
    <row r="424">
      <c r="H424" s="44"/>
    </row>
    <row r="425">
      <c r="H425" s="44"/>
    </row>
    <row r="426">
      <c r="H426" s="44"/>
    </row>
    <row r="427">
      <c r="H427" s="44"/>
    </row>
    <row r="428">
      <c r="H428" s="44"/>
    </row>
    <row r="429">
      <c r="H429" s="44"/>
    </row>
    <row r="430">
      <c r="H430" s="44"/>
    </row>
    <row r="431">
      <c r="H431" s="44"/>
    </row>
    <row r="432">
      <c r="H432" s="44"/>
    </row>
    <row r="433">
      <c r="H433" s="44"/>
    </row>
    <row r="434">
      <c r="H434" s="44"/>
    </row>
    <row r="435">
      <c r="H435" s="44"/>
    </row>
    <row r="436">
      <c r="H436" s="44"/>
    </row>
    <row r="437">
      <c r="H437" s="44"/>
    </row>
    <row r="438">
      <c r="H438" s="44"/>
    </row>
    <row r="439">
      <c r="H439" s="44"/>
    </row>
    <row r="440">
      <c r="H440" s="44"/>
    </row>
    <row r="441">
      <c r="H441" s="44"/>
    </row>
    <row r="442">
      <c r="H442" s="44"/>
    </row>
    <row r="443">
      <c r="H443" s="44"/>
    </row>
    <row r="444">
      <c r="H444" s="44"/>
    </row>
    <row r="445">
      <c r="H445" s="44"/>
    </row>
    <row r="446">
      <c r="H446" s="44"/>
    </row>
    <row r="447">
      <c r="H447" s="44"/>
    </row>
    <row r="448">
      <c r="H448" s="44"/>
    </row>
    <row r="449">
      <c r="H449" s="44"/>
    </row>
    <row r="450">
      <c r="H450" s="44"/>
    </row>
    <row r="451">
      <c r="H451" s="44"/>
    </row>
    <row r="452">
      <c r="H452" s="44"/>
    </row>
    <row r="453">
      <c r="H453" s="44"/>
    </row>
    <row r="454">
      <c r="H454" s="44"/>
    </row>
    <row r="455">
      <c r="H455" s="44"/>
    </row>
    <row r="456">
      <c r="H456" s="44"/>
    </row>
    <row r="457">
      <c r="H457" s="44"/>
    </row>
    <row r="458">
      <c r="H458" s="44"/>
    </row>
    <row r="459">
      <c r="H459" s="44"/>
    </row>
    <row r="460">
      <c r="H460" s="44"/>
    </row>
    <row r="461">
      <c r="H461" s="44"/>
    </row>
    <row r="462">
      <c r="H462" s="44"/>
    </row>
    <row r="463">
      <c r="H463" s="44"/>
    </row>
    <row r="464">
      <c r="H464" s="44"/>
    </row>
    <row r="465">
      <c r="H465" s="44"/>
    </row>
    <row r="466">
      <c r="H466" s="44"/>
    </row>
    <row r="467">
      <c r="H467" s="44"/>
    </row>
    <row r="468">
      <c r="H468" s="44"/>
    </row>
    <row r="469">
      <c r="H469" s="44"/>
    </row>
    <row r="470">
      <c r="H470" s="44"/>
    </row>
    <row r="471">
      <c r="H471" s="44"/>
    </row>
    <row r="472">
      <c r="H472" s="44"/>
    </row>
    <row r="473">
      <c r="H473" s="44"/>
    </row>
    <row r="474">
      <c r="H474" s="44"/>
    </row>
    <row r="475">
      <c r="H475" s="44"/>
    </row>
    <row r="476">
      <c r="H476" s="44"/>
    </row>
    <row r="477">
      <c r="H477" s="44"/>
    </row>
    <row r="478">
      <c r="H478" s="44"/>
    </row>
    <row r="479">
      <c r="H479" s="44"/>
    </row>
    <row r="480">
      <c r="H480" s="44"/>
    </row>
    <row r="481">
      <c r="H481" s="44"/>
    </row>
    <row r="482">
      <c r="H482" s="44"/>
    </row>
    <row r="483">
      <c r="H483" s="44"/>
    </row>
    <row r="484">
      <c r="H484" s="44"/>
    </row>
    <row r="485">
      <c r="H485" s="44"/>
    </row>
    <row r="486">
      <c r="H486" s="44"/>
    </row>
    <row r="487">
      <c r="H487" s="44"/>
    </row>
    <row r="488">
      <c r="H488" s="44"/>
    </row>
    <row r="489">
      <c r="H489" s="44"/>
    </row>
    <row r="490">
      <c r="H490" s="44"/>
    </row>
    <row r="491">
      <c r="H491" s="44"/>
    </row>
    <row r="492">
      <c r="H492" s="44"/>
    </row>
    <row r="493">
      <c r="H493" s="44"/>
    </row>
    <row r="494">
      <c r="H494" s="44"/>
    </row>
    <row r="495">
      <c r="H495" s="44"/>
    </row>
    <row r="496">
      <c r="H496" s="44"/>
    </row>
    <row r="497">
      <c r="H497" s="44"/>
    </row>
    <row r="498">
      <c r="H498" s="44"/>
    </row>
    <row r="499">
      <c r="H499" s="44"/>
    </row>
    <row r="500">
      <c r="H500" s="44"/>
    </row>
    <row r="501">
      <c r="H501" s="44"/>
    </row>
    <row r="502">
      <c r="H502" s="44"/>
    </row>
    <row r="503">
      <c r="H503" s="44"/>
    </row>
    <row r="504">
      <c r="H504" s="44"/>
    </row>
    <row r="505">
      <c r="H505" s="44"/>
    </row>
    <row r="506">
      <c r="H506" s="44"/>
    </row>
    <row r="507">
      <c r="H507" s="44"/>
    </row>
    <row r="508">
      <c r="H508" s="44"/>
    </row>
    <row r="509">
      <c r="H509" s="44"/>
    </row>
    <row r="510">
      <c r="H510" s="44"/>
    </row>
    <row r="511">
      <c r="H511" s="44"/>
    </row>
    <row r="512">
      <c r="H512" s="44"/>
    </row>
    <row r="513">
      <c r="H513" s="44"/>
    </row>
    <row r="514">
      <c r="H514" s="44"/>
    </row>
    <row r="515">
      <c r="H515" s="44"/>
    </row>
    <row r="516">
      <c r="H516" s="44"/>
    </row>
    <row r="517">
      <c r="H517" s="44"/>
    </row>
    <row r="518">
      <c r="H518" s="44"/>
    </row>
    <row r="519">
      <c r="H519" s="44"/>
    </row>
    <row r="520">
      <c r="H520" s="44"/>
    </row>
    <row r="521">
      <c r="H521" s="44"/>
    </row>
    <row r="522">
      <c r="H522" s="44"/>
    </row>
    <row r="523">
      <c r="H523" s="44"/>
    </row>
    <row r="524">
      <c r="H524" s="44"/>
    </row>
    <row r="525">
      <c r="H525" s="44"/>
    </row>
    <row r="526">
      <c r="H526" s="44"/>
    </row>
    <row r="527">
      <c r="H527" s="44"/>
    </row>
    <row r="528">
      <c r="H528" s="44"/>
    </row>
    <row r="529">
      <c r="H529" s="44"/>
    </row>
    <row r="530">
      <c r="H530" s="44"/>
    </row>
    <row r="531">
      <c r="H531" s="44"/>
    </row>
    <row r="532">
      <c r="H532" s="44"/>
    </row>
    <row r="533">
      <c r="H533" s="44"/>
    </row>
    <row r="534">
      <c r="H534" s="44"/>
    </row>
    <row r="535">
      <c r="H535" s="44"/>
    </row>
    <row r="536">
      <c r="H536" s="44"/>
    </row>
    <row r="537">
      <c r="H537" s="44"/>
    </row>
    <row r="538">
      <c r="H538" s="44"/>
    </row>
    <row r="539">
      <c r="H539" s="44"/>
    </row>
    <row r="540">
      <c r="H540" s="44"/>
    </row>
    <row r="541">
      <c r="H541" s="44"/>
    </row>
    <row r="542">
      <c r="H542" s="44"/>
    </row>
    <row r="543">
      <c r="H543" s="44"/>
    </row>
    <row r="544">
      <c r="H544" s="44"/>
    </row>
    <row r="545">
      <c r="H545" s="44"/>
    </row>
    <row r="546">
      <c r="H546" s="44"/>
    </row>
    <row r="547">
      <c r="H547" s="44"/>
    </row>
    <row r="548">
      <c r="H548" s="44"/>
    </row>
    <row r="549">
      <c r="H549" s="44"/>
    </row>
    <row r="550">
      <c r="H550" s="44"/>
    </row>
    <row r="551">
      <c r="H551" s="44"/>
    </row>
    <row r="552">
      <c r="H552" s="44"/>
    </row>
    <row r="553">
      <c r="H553" s="44"/>
    </row>
    <row r="554">
      <c r="H554" s="44"/>
    </row>
    <row r="555">
      <c r="H555" s="44"/>
    </row>
    <row r="556">
      <c r="H556" s="44"/>
    </row>
    <row r="557">
      <c r="H557" s="44"/>
    </row>
    <row r="558">
      <c r="H558" s="44"/>
    </row>
    <row r="559">
      <c r="H559" s="44"/>
    </row>
    <row r="560">
      <c r="H560" s="44"/>
    </row>
    <row r="561">
      <c r="H561" s="44"/>
    </row>
    <row r="562">
      <c r="H562" s="44"/>
    </row>
    <row r="563">
      <c r="H563" s="44"/>
    </row>
    <row r="564">
      <c r="H564" s="44"/>
    </row>
    <row r="565">
      <c r="H565" s="44"/>
    </row>
    <row r="566">
      <c r="H566" s="44"/>
    </row>
    <row r="567">
      <c r="H567" s="44"/>
    </row>
    <row r="568">
      <c r="H568" s="44"/>
    </row>
    <row r="569">
      <c r="H569" s="44"/>
    </row>
    <row r="570">
      <c r="H570" s="44"/>
    </row>
    <row r="571">
      <c r="H571" s="44"/>
    </row>
    <row r="572">
      <c r="H572" s="44"/>
    </row>
    <row r="573">
      <c r="H573" s="44"/>
    </row>
    <row r="574">
      <c r="H574" s="44"/>
    </row>
    <row r="575">
      <c r="H575" s="44"/>
    </row>
    <row r="576">
      <c r="H576" s="44"/>
    </row>
    <row r="577">
      <c r="H577" s="44"/>
    </row>
    <row r="578">
      <c r="H578" s="44"/>
    </row>
    <row r="579">
      <c r="H579" s="44"/>
    </row>
    <row r="580">
      <c r="H580" s="44"/>
    </row>
    <row r="581">
      <c r="H581" s="44"/>
    </row>
    <row r="582">
      <c r="H582" s="44"/>
    </row>
    <row r="583">
      <c r="H583" s="44"/>
    </row>
    <row r="584">
      <c r="H584" s="44"/>
    </row>
    <row r="585">
      <c r="H585" s="44"/>
    </row>
    <row r="586">
      <c r="H586" s="44"/>
    </row>
    <row r="587">
      <c r="H587" s="44"/>
    </row>
    <row r="588">
      <c r="H588" s="44"/>
    </row>
    <row r="589">
      <c r="H589" s="44"/>
    </row>
    <row r="590">
      <c r="H590" s="44"/>
    </row>
    <row r="591">
      <c r="H591" s="44"/>
    </row>
    <row r="592">
      <c r="H592" s="44"/>
    </row>
    <row r="593">
      <c r="H593" s="44"/>
    </row>
    <row r="594">
      <c r="H594" s="44"/>
    </row>
    <row r="595">
      <c r="H595" s="44"/>
    </row>
    <row r="596">
      <c r="H596" s="44"/>
    </row>
    <row r="597">
      <c r="H597" s="44"/>
    </row>
    <row r="598">
      <c r="H598" s="44"/>
    </row>
    <row r="599">
      <c r="H599" s="44"/>
    </row>
    <row r="600">
      <c r="H600" s="44"/>
    </row>
    <row r="601">
      <c r="H601" s="44"/>
    </row>
    <row r="602">
      <c r="H602" s="44"/>
    </row>
    <row r="603">
      <c r="H603" s="44"/>
    </row>
    <row r="604">
      <c r="H604" s="44"/>
    </row>
    <row r="605">
      <c r="H605" s="44"/>
    </row>
    <row r="606">
      <c r="H606" s="44"/>
    </row>
    <row r="607">
      <c r="H607" s="44"/>
    </row>
    <row r="608">
      <c r="H608" s="44"/>
    </row>
    <row r="609">
      <c r="H609" s="44"/>
    </row>
    <row r="610">
      <c r="H610" s="44"/>
    </row>
    <row r="611">
      <c r="H611" s="44"/>
    </row>
    <row r="612">
      <c r="H612" s="44"/>
    </row>
    <row r="613">
      <c r="H613" s="44"/>
    </row>
    <row r="614">
      <c r="H614" s="44"/>
    </row>
    <row r="615">
      <c r="H615" s="44"/>
    </row>
    <row r="616">
      <c r="H616" s="44"/>
    </row>
    <row r="617">
      <c r="H617" s="44"/>
    </row>
    <row r="618">
      <c r="H618" s="44"/>
    </row>
    <row r="619">
      <c r="H619" s="44"/>
    </row>
    <row r="620">
      <c r="H620" s="44"/>
    </row>
    <row r="621">
      <c r="H621" s="44"/>
    </row>
    <row r="622">
      <c r="H622" s="44"/>
    </row>
    <row r="623">
      <c r="H623" s="44"/>
    </row>
    <row r="624">
      <c r="H624" s="44"/>
    </row>
    <row r="625">
      <c r="H625" s="44"/>
    </row>
    <row r="626">
      <c r="H626" s="44"/>
    </row>
    <row r="627">
      <c r="H627" s="44"/>
    </row>
    <row r="628">
      <c r="H628" s="44"/>
    </row>
    <row r="629">
      <c r="H629" s="44"/>
    </row>
    <row r="630">
      <c r="H630" s="44"/>
    </row>
    <row r="631">
      <c r="H631" s="44"/>
    </row>
    <row r="632">
      <c r="H632" s="44"/>
    </row>
    <row r="633">
      <c r="H633" s="44"/>
    </row>
    <row r="634">
      <c r="H634" s="44"/>
    </row>
    <row r="635">
      <c r="H635" s="44"/>
    </row>
    <row r="636">
      <c r="H636" s="44"/>
    </row>
    <row r="637">
      <c r="H637" s="44"/>
    </row>
    <row r="638">
      <c r="H638" s="44"/>
    </row>
    <row r="639">
      <c r="H639" s="44"/>
    </row>
    <row r="640">
      <c r="H640" s="44"/>
    </row>
    <row r="641">
      <c r="H641" s="44"/>
    </row>
    <row r="642">
      <c r="H642" s="44"/>
    </row>
    <row r="643">
      <c r="H643" s="44"/>
    </row>
    <row r="644">
      <c r="H644" s="44"/>
    </row>
    <row r="645">
      <c r="H645" s="44"/>
    </row>
    <row r="646">
      <c r="H646" s="44"/>
    </row>
    <row r="647">
      <c r="H647" s="44"/>
    </row>
    <row r="648">
      <c r="H648" s="44"/>
    </row>
    <row r="649">
      <c r="H649" s="44"/>
    </row>
    <row r="650">
      <c r="H650" s="44"/>
    </row>
    <row r="651">
      <c r="H651" s="44"/>
    </row>
    <row r="652">
      <c r="H652" s="44"/>
    </row>
    <row r="653">
      <c r="H653" s="44"/>
    </row>
    <row r="654">
      <c r="H654" s="44"/>
    </row>
    <row r="655">
      <c r="H655" s="44"/>
    </row>
    <row r="656">
      <c r="H656" s="44"/>
    </row>
    <row r="657">
      <c r="H657" s="44"/>
    </row>
    <row r="658">
      <c r="H658" s="44"/>
    </row>
    <row r="659">
      <c r="H659" s="44"/>
    </row>
    <row r="660">
      <c r="H660" s="44"/>
    </row>
    <row r="661">
      <c r="H661" s="44"/>
    </row>
    <row r="662">
      <c r="H662" s="44"/>
    </row>
    <row r="663">
      <c r="H663" s="44"/>
    </row>
    <row r="664">
      <c r="H664" s="44"/>
    </row>
    <row r="665">
      <c r="H665" s="44"/>
    </row>
    <row r="666">
      <c r="H666" s="44"/>
    </row>
    <row r="667">
      <c r="H667" s="44"/>
    </row>
    <row r="668">
      <c r="H668" s="44"/>
    </row>
    <row r="669">
      <c r="H669" s="44"/>
    </row>
    <row r="670">
      <c r="H670" s="44"/>
    </row>
    <row r="671">
      <c r="H671" s="44"/>
    </row>
    <row r="672">
      <c r="H672" s="44"/>
    </row>
    <row r="673">
      <c r="H673" s="44"/>
    </row>
    <row r="674">
      <c r="H674" s="44"/>
    </row>
    <row r="675">
      <c r="H675" s="44"/>
    </row>
    <row r="676">
      <c r="H676" s="44"/>
    </row>
    <row r="677">
      <c r="H677" s="44"/>
    </row>
    <row r="678">
      <c r="H678" s="44"/>
    </row>
    <row r="679">
      <c r="H679" s="44"/>
    </row>
    <row r="680">
      <c r="H680" s="44"/>
    </row>
    <row r="681">
      <c r="H681" s="44"/>
    </row>
    <row r="682">
      <c r="H682" s="44"/>
    </row>
    <row r="683">
      <c r="H683" s="44"/>
    </row>
    <row r="684">
      <c r="H684" s="44"/>
    </row>
    <row r="685">
      <c r="H685" s="44"/>
    </row>
    <row r="686">
      <c r="H686" s="44"/>
    </row>
    <row r="687">
      <c r="H687" s="44"/>
    </row>
    <row r="688">
      <c r="H688" s="44"/>
    </row>
    <row r="689">
      <c r="H689" s="44"/>
    </row>
    <row r="690">
      <c r="H690" s="44"/>
    </row>
    <row r="691">
      <c r="H691" s="44"/>
    </row>
    <row r="692">
      <c r="H692" s="44"/>
    </row>
    <row r="693">
      <c r="H693" s="44"/>
    </row>
    <row r="694">
      <c r="H694" s="44"/>
    </row>
    <row r="695">
      <c r="H695" s="44"/>
    </row>
    <row r="696">
      <c r="H696" s="44"/>
    </row>
    <row r="697">
      <c r="H697" s="44"/>
    </row>
    <row r="698">
      <c r="H698" s="44"/>
    </row>
    <row r="699">
      <c r="H699" s="44"/>
    </row>
    <row r="700">
      <c r="H700" s="44"/>
    </row>
    <row r="701">
      <c r="H701" s="44"/>
    </row>
    <row r="702">
      <c r="H702" s="44"/>
    </row>
    <row r="703">
      <c r="H703" s="44"/>
    </row>
    <row r="704">
      <c r="H704" s="44"/>
    </row>
    <row r="705">
      <c r="H705" s="44"/>
    </row>
    <row r="706">
      <c r="H706" s="44"/>
    </row>
    <row r="707">
      <c r="H707" s="44"/>
    </row>
    <row r="708">
      <c r="H708" s="44"/>
    </row>
    <row r="709">
      <c r="H709" s="44"/>
    </row>
    <row r="710">
      <c r="H710" s="44"/>
    </row>
    <row r="711">
      <c r="H711" s="44"/>
    </row>
    <row r="712">
      <c r="H712" s="44"/>
    </row>
    <row r="713">
      <c r="H713" s="44"/>
    </row>
    <row r="714">
      <c r="H714" s="44"/>
    </row>
    <row r="715">
      <c r="H715" s="44"/>
    </row>
    <row r="716">
      <c r="H716" s="44"/>
    </row>
    <row r="717">
      <c r="H717" s="44"/>
    </row>
    <row r="718">
      <c r="H718" s="44"/>
    </row>
    <row r="719">
      <c r="H719" s="44"/>
    </row>
    <row r="720">
      <c r="H720" s="44"/>
    </row>
    <row r="721">
      <c r="H721" s="44"/>
    </row>
    <row r="722">
      <c r="H722" s="44"/>
    </row>
    <row r="723">
      <c r="H723" s="44"/>
    </row>
    <row r="724">
      <c r="H724" s="44"/>
    </row>
    <row r="725">
      <c r="H725" s="44"/>
    </row>
    <row r="726">
      <c r="H726" s="44"/>
    </row>
    <row r="727">
      <c r="H727" s="44"/>
    </row>
    <row r="728">
      <c r="H728" s="44"/>
    </row>
    <row r="729">
      <c r="H729" s="44"/>
    </row>
    <row r="730">
      <c r="H730" s="44"/>
    </row>
    <row r="731">
      <c r="H731" s="44"/>
    </row>
    <row r="732">
      <c r="H732" s="44"/>
    </row>
    <row r="733">
      <c r="H733" s="44"/>
    </row>
    <row r="734">
      <c r="H734" s="44"/>
    </row>
    <row r="735">
      <c r="H735" s="44"/>
    </row>
    <row r="736">
      <c r="H736" s="44"/>
    </row>
    <row r="737">
      <c r="H737" s="44"/>
    </row>
    <row r="738">
      <c r="H738" s="44"/>
    </row>
    <row r="739">
      <c r="H739" s="44"/>
    </row>
    <row r="740">
      <c r="H740" s="44"/>
    </row>
    <row r="741">
      <c r="H741" s="44"/>
    </row>
    <row r="742">
      <c r="H742" s="44"/>
    </row>
    <row r="743">
      <c r="H743" s="44"/>
    </row>
    <row r="744">
      <c r="H744" s="44"/>
    </row>
    <row r="745">
      <c r="H745" s="44"/>
    </row>
    <row r="746">
      <c r="H746" s="44"/>
    </row>
    <row r="747">
      <c r="H747" s="44"/>
    </row>
    <row r="748">
      <c r="H748" s="44"/>
    </row>
    <row r="749">
      <c r="H749" s="44"/>
    </row>
    <row r="750">
      <c r="H750" s="44"/>
    </row>
    <row r="751">
      <c r="H751" s="44"/>
    </row>
    <row r="752">
      <c r="H752" s="44"/>
    </row>
    <row r="753">
      <c r="H753" s="44"/>
    </row>
    <row r="754">
      <c r="H754" s="44"/>
    </row>
    <row r="755">
      <c r="H755" s="44"/>
    </row>
    <row r="756">
      <c r="H756" s="44"/>
    </row>
    <row r="757">
      <c r="H757" s="44"/>
    </row>
    <row r="758">
      <c r="H758" s="44"/>
    </row>
    <row r="759">
      <c r="H759" s="44"/>
    </row>
    <row r="760">
      <c r="H760" s="44"/>
    </row>
    <row r="761">
      <c r="H761" s="44"/>
    </row>
    <row r="762">
      <c r="H762" s="44"/>
    </row>
    <row r="763">
      <c r="H763" s="44"/>
    </row>
    <row r="764">
      <c r="H764" s="44"/>
    </row>
    <row r="765">
      <c r="H765" s="44"/>
    </row>
    <row r="766">
      <c r="H766" s="44"/>
    </row>
    <row r="767">
      <c r="H767" s="44"/>
    </row>
    <row r="768">
      <c r="H768" s="44"/>
    </row>
    <row r="769">
      <c r="H769" s="44"/>
    </row>
    <row r="770">
      <c r="H770" s="44"/>
    </row>
    <row r="771">
      <c r="H771" s="44"/>
    </row>
    <row r="772">
      <c r="H772" s="44"/>
    </row>
    <row r="773">
      <c r="H773" s="44"/>
    </row>
    <row r="774">
      <c r="H774" s="44"/>
    </row>
    <row r="775">
      <c r="H775" s="44"/>
    </row>
    <row r="776">
      <c r="H776" s="44"/>
    </row>
    <row r="777">
      <c r="H777" s="44"/>
    </row>
    <row r="778">
      <c r="H778" s="44"/>
    </row>
    <row r="779">
      <c r="H779" s="44"/>
    </row>
    <row r="780">
      <c r="H780" s="44"/>
    </row>
    <row r="781">
      <c r="H781" s="44"/>
    </row>
    <row r="782">
      <c r="H782" s="44"/>
    </row>
    <row r="783">
      <c r="H783" s="44"/>
    </row>
    <row r="784">
      <c r="H784" s="44"/>
    </row>
    <row r="785">
      <c r="H785" s="44"/>
    </row>
    <row r="786">
      <c r="H786" s="44"/>
    </row>
    <row r="787">
      <c r="H787" s="44"/>
    </row>
    <row r="788">
      <c r="H788" s="44"/>
    </row>
    <row r="789">
      <c r="H789" s="44"/>
    </row>
    <row r="790">
      <c r="H790" s="44"/>
    </row>
    <row r="791">
      <c r="H791" s="44"/>
    </row>
    <row r="792">
      <c r="H792" s="44"/>
    </row>
    <row r="793">
      <c r="H793" s="44"/>
    </row>
    <row r="794">
      <c r="H794" s="44"/>
    </row>
    <row r="795">
      <c r="H795" s="44"/>
    </row>
    <row r="796">
      <c r="H796" s="44"/>
    </row>
    <row r="797">
      <c r="H797" s="44"/>
    </row>
    <row r="798">
      <c r="H798" s="44"/>
    </row>
    <row r="799">
      <c r="H799" s="44"/>
    </row>
    <row r="800">
      <c r="H800" s="44"/>
    </row>
    <row r="801">
      <c r="H801" s="44"/>
    </row>
    <row r="802">
      <c r="H802" s="44"/>
    </row>
    <row r="803">
      <c r="H803" s="44"/>
    </row>
    <row r="804">
      <c r="H804" s="44"/>
    </row>
    <row r="805">
      <c r="H805" s="44"/>
    </row>
    <row r="806">
      <c r="H806" s="44"/>
    </row>
    <row r="807">
      <c r="H807" s="44"/>
    </row>
    <row r="808">
      <c r="H808" s="44"/>
    </row>
    <row r="809">
      <c r="H809" s="44"/>
    </row>
    <row r="810">
      <c r="H810" s="44"/>
    </row>
    <row r="811">
      <c r="H811" s="44"/>
    </row>
    <row r="812">
      <c r="H812" s="44"/>
    </row>
    <row r="813">
      <c r="H813" s="44"/>
    </row>
    <row r="814">
      <c r="H814" s="44"/>
    </row>
    <row r="815">
      <c r="H815" s="44"/>
    </row>
    <row r="816">
      <c r="H816" s="44"/>
    </row>
    <row r="817">
      <c r="H817" s="44"/>
    </row>
    <row r="818">
      <c r="H818" s="44"/>
    </row>
    <row r="819">
      <c r="H819" s="44"/>
    </row>
    <row r="820">
      <c r="H820" s="44"/>
    </row>
    <row r="821">
      <c r="H821" s="44"/>
    </row>
    <row r="822">
      <c r="H822" s="44"/>
    </row>
    <row r="823">
      <c r="H823" s="44"/>
    </row>
    <row r="824">
      <c r="H824" s="44"/>
    </row>
    <row r="825">
      <c r="H825" s="44"/>
    </row>
    <row r="826">
      <c r="H826" s="44"/>
    </row>
    <row r="827">
      <c r="H827" s="44"/>
    </row>
    <row r="828">
      <c r="H828" s="44"/>
    </row>
    <row r="829">
      <c r="H829" s="44"/>
    </row>
    <row r="830">
      <c r="H830" s="44"/>
    </row>
    <row r="831">
      <c r="H831" s="44"/>
    </row>
    <row r="832">
      <c r="H832" s="44"/>
    </row>
    <row r="833">
      <c r="H833" s="44"/>
    </row>
    <row r="834">
      <c r="H834" s="44"/>
    </row>
    <row r="835">
      <c r="H835" s="44"/>
    </row>
    <row r="836">
      <c r="H836" s="44"/>
    </row>
    <row r="837">
      <c r="H837" s="44"/>
    </row>
    <row r="838">
      <c r="H838" s="44"/>
    </row>
    <row r="839">
      <c r="H839" s="44"/>
    </row>
    <row r="840">
      <c r="H840" s="44"/>
    </row>
    <row r="841">
      <c r="H841" s="44"/>
    </row>
    <row r="842">
      <c r="H842" s="44"/>
    </row>
    <row r="843">
      <c r="H843" s="44"/>
    </row>
    <row r="844">
      <c r="H844" s="44"/>
    </row>
    <row r="845">
      <c r="H845" s="44"/>
    </row>
    <row r="846">
      <c r="H846" s="44"/>
    </row>
    <row r="847">
      <c r="H847" s="44"/>
    </row>
    <row r="848">
      <c r="H848" s="44"/>
    </row>
    <row r="849">
      <c r="H849" s="44"/>
    </row>
    <row r="850">
      <c r="H850" s="44"/>
    </row>
    <row r="851">
      <c r="H851" s="44"/>
    </row>
    <row r="852">
      <c r="H852" s="44"/>
    </row>
    <row r="853">
      <c r="H853" s="44"/>
    </row>
    <row r="854">
      <c r="H854" s="44"/>
    </row>
    <row r="855">
      <c r="H855" s="44"/>
    </row>
    <row r="856">
      <c r="H856" s="44"/>
    </row>
    <row r="857">
      <c r="H857" s="44"/>
    </row>
    <row r="858">
      <c r="H858" s="44"/>
    </row>
    <row r="859">
      <c r="H859" s="44"/>
    </row>
    <row r="860">
      <c r="H860" s="44"/>
    </row>
    <row r="861">
      <c r="H861" s="44"/>
    </row>
    <row r="862">
      <c r="H862" s="44"/>
    </row>
    <row r="863">
      <c r="H863" s="44"/>
    </row>
    <row r="864">
      <c r="H864" s="44"/>
    </row>
    <row r="865">
      <c r="H865" s="44"/>
    </row>
    <row r="866">
      <c r="H866" s="44"/>
    </row>
    <row r="867">
      <c r="H867" s="44"/>
    </row>
    <row r="868">
      <c r="H868" s="44"/>
    </row>
    <row r="869">
      <c r="H869" s="44"/>
    </row>
    <row r="870">
      <c r="H870" s="44"/>
    </row>
    <row r="871">
      <c r="H871" s="44"/>
    </row>
    <row r="872">
      <c r="H872" s="44"/>
    </row>
    <row r="873">
      <c r="H873" s="44"/>
    </row>
    <row r="874">
      <c r="H874" s="44"/>
    </row>
    <row r="875">
      <c r="H875" s="44"/>
    </row>
    <row r="876">
      <c r="H876" s="44"/>
    </row>
    <row r="877">
      <c r="H877" s="44"/>
    </row>
    <row r="878">
      <c r="H878" s="44"/>
    </row>
    <row r="879">
      <c r="H879" s="44"/>
    </row>
    <row r="880">
      <c r="H880" s="44"/>
    </row>
    <row r="881">
      <c r="H881" s="44"/>
    </row>
    <row r="882">
      <c r="H882" s="44"/>
    </row>
    <row r="883">
      <c r="H883" s="44"/>
    </row>
    <row r="884">
      <c r="H884" s="44"/>
    </row>
    <row r="885">
      <c r="H885" s="44"/>
    </row>
    <row r="886">
      <c r="H886" s="44"/>
    </row>
    <row r="887">
      <c r="H887" s="44"/>
    </row>
    <row r="888">
      <c r="H888" s="44"/>
    </row>
    <row r="889">
      <c r="H889" s="44"/>
    </row>
    <row r="890">
      <c r="H890" s="44"/>
    </row>
    <row r="891">
      <c r="H891" s="44"/>
    </row>
    <row r="892">
      <c r="H892" s="44"/>
    </row>
    <row r="893">
      <c r="H893" s="44"/>
    </row>
    <row r="894">
      <c r="H894" s="44"/>
    </row>
    <row r="895">
      <c r="H895" s="44"/>
    </row>
    <row r="896">
      <c r="H896" s="44"/>
    </row>
    <row r="897">
      <c r="H897" s="44"/>
    </row>
    <row r="898">
      <c r="H898" s="44"/>
    </row>
    <row r="899">
      <c r="H899" s="44"/>
    </row>
    <row r="900">
      <c r="H900" s="44"/>
    </row>
    <row r="901">
      <c r="H901" s="44"/>
    </row>
    <row r="902">
      <c r="H902" s="44"/>
    </row>
    <row r="903">
      <c r="H903" s="44"/>
    </row>
    <row r="904">
      <c r="H904" s="44"/>
    </row>
    <row r="905">
      <c r="H905" s="44"/>
    </row>
    <row r="906">
      <c r="H906" s="44"/>
    </row>
    <row r="907">
      <c r="H907" s="44"/>
    </row>
    <row r="908">
      <c r="H908" s="44"/>
    </row>
    <row r="909">
      <c r="H909" s="44"/>
    </row>
    <row r="910">
      <c r="H910" s="44"/>
    </row>
    <row r="911">
      <c r="H911" s="44"/>
    </row>
    <row r="912">
      <c r="H912" s="44"/>
    </row>
    <row r="913">
      <c r="H913" s="44"/>
    </row>
    <row r="914">
      <c r="H914" s="44"/>
    </row>
    <row r="915">
      <c r="H915" s="44"/>
    </row>
    <row r="916">
      <c r="H916" s="44"/>
    </row>
    <row r="917">
      <c r="H917" s="44"/>
    </row>
    <row r="918">
      <c r="H918" s="44"/>
    </row>
    <row r="919">
      <c r="H919" s="44"/>
    </row>
    <row r="920">
      <c r="H920" s="44"/>
    </row>
    <row r="921">
      <c r="H921" s="44"/>
    </row>
    <row r="922">
      <c r="H922" s="44"/>
    </row>
    <row r="923">
      <c r="H923" s="44"/>
    </row>
    <row r="924">
      <c r="H924" s="44"/>
    </row>
    <row r="925">
      <c r="H925" s="44"/>
    </row>
    <row r="926">
      <c r="H926" s="44"/>
    </row>
    <row r="927">
      <c r="H927" s="44"/>
    </row>
    <row r="928">
      <c r="H928" s="44"/>
    </row>
    <row r="929">
      <c r="H929" s="44"/>
    </row>
    <row r="930">
      <c r="H930" s="44"/>
    </row>
    <row r="931">
      <c r="H931" s="44"/>
    </row>
    <row r="932">
      <c r="H932" s="44"/>
    </row>
    <row r="933">
      <c r="H933" s="44"/>
    </row>
    <row r="934">
      <c r="H934" s="44"/>
    </row>
    <row r="935">
      <c r="H935" s="44"/>
    </row>
    <row r="936">
      <c r="H936" s="44"/>
    </row>
    <row r="937">
      <c r="H937" s="44"/>
    </row>
    <row r="938">
      <c r="H938" s="44"/>
    </row>
    <row r="939">
      <c r="H939" s="44"/>
    </row>
    <row r="940">
      <c r="H940" s="44"/>
    </row>
    <row r="941">
      <c r="H941" s="44"/>
    </row>
    <row r="942">
      <c r="H942" s="44"/>
    </row>
    <row r="943">
      <c r="H943" s="44"/>
    </row>
    <row r="944">
      <c r="H944" s="44"/>
    </row>
    <row r="945">
      <c r="H945" s="44"/>
    </row>
    <row r="946">
      <c r="H946" s="44"/>
    </row>
    <row r="947">
      <c r="H947" s="44"/>
    </row>
    <row r="948">
      <c r="H948" s="44"/>
    </row>
    <row r="949">
      <c r="H949" s="44"/>
    </row>
    <row r="950">
      <c r="H950" s="44"/>
    </row>
    <row r="951">
      <c r="H951" s="44"/>
    </row>
    <row r="952">
      <c r="H952" s="44"/>
    </row>
    <row r="953">
      <c r="H953" s="44"/>
    </row>
    <row r="954">
      <c r="H954" s="44"/>
    </row>
    <row r="955">
      <c r="H955" s="44"/>
    </row>
    <row r="956">
      <c r="H956" s="44"/>
    </row>
    <row r="957">
      <c r="H957" s="44"/>
    </row>
    <row r="958">
      <c r="H958" s="44"/>
    </row>
    <row r="959">
      <c r="H959" s="44"/>
    </row>
    <row r="960">
      <c r="H960" s="44"/>
    </row>
    <row r="961">
      <c r="H961" s="44"/>
    </row>
    <row r="962">
      <c r="H962" s="44"/>
    </row>
    <row r="963">
      <c r="H963" s="44"/>
    </row>
    <row r="964">
      <c r="H964" s="44"/>
    </row>
    <row r="965">
      <c r="H965" s="44"/>
    </row>
    <row r="966">
      <c r="H966" s="44"/>
    </row>
    <row r="967">
      <c r="H967" s="44"/>
    </row>
    <row r="968">
      <c r="H968" s="44"/>
    </row>
    <row r="969">
      <c r="H969" s="44"/>
    </row>
    <row r="970">
      <c r="H970" s="44"/>
    </row>
    <row r="971">
      <c r="H971" s="44"/>
    </row>
    <row r="972">
      <c r="H972" s="44"/>
    </row>
    <row r="973">
      <c r="H973" s="44"/>
    </row>
    <row r="974">
      <c r="H974" s="44"/>
    </row>
    <row r="975">
      <c r="H975" s="44"/>
    </row>
    <row r="976">
      <c r="H976" s="44"/>
    </row>
    <row r="977">
      <c r="H977" s="44"/>
    </row>
    <row r="978">
      <c r="H978" s="44"/>
    </row>
    <row r="979">
      <c r="H979" s="44"/>
    </row>
    <row r="980">
      <c r="H980" s="44"/>
    </row>
    <row r="981">
      <c r="H981" s="44"/>
    </row>
    <row r="982">
      <c r="H982" s="44"/>
    </row>
    <row r="983">
      <c r="H983" s="44"/>
    </row>
    <row r="984">
      <c r="H984" s="44"/>
    </row>
    <row r="985">
      <c r="H985" s="44"/>
    </row>
    <row r="986">
      <c r="H986" s="4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5.0"/>
  </cols>
  <sheetData>
    <row r="1">
      <c r="A1" s="43" t="s">
        <v>241</v>
      </c>
      <c r="D1" s="43" t="s">
        <v>242</v>
      </c>
    </row>
    <row r="2">
      <c r="A2" s="56" t="s">
        <v>112</v>
      </c>
      <c r="B2" s="56" t="s">
        <v>113</v>
      </c>
      <c r="D2" s="43" t="s">
        <v>243</v>
      </c>
      <c r="E2" s="43" t="s">
        <v>126</v>
      </c>
    </row>
    <row r="3">
      <c r="A3" s="57" t="s">
        <v>120</v>
      </c>
      <c r="B3" s="57" t="s">
        <v>121</v>
      </c>
      <c r="D3" s="43" t="s">
        <v>244</v>
      </c>
      <c r="E3" s="43" t="s">
        <v>180</v>
      </c>
    </row>
    <row r="4">
      <c r="A4" s="57" t="s">
        <v>127</v>
      </c>
      <c r="B4" s="57" t="s">
        <v>128</v>
      </c>
      <c r="D4" s="43" t="s">
        <v>245</v>
      </c>
      <c r="E4" s="43" t="s">
        <v>119</v>
      </c>
    </row>
    <row r="5">
      <c r="A5" s="57" t="s">
        <v>133</v>
      </c>
      <c r="B5" s="57" t="s">
        <v>128</v>
      </c>
      <c r="D5" s="43" t="s">
        <v>246</v>
      </c>
      <c r="E5" s="43" t="s">
        <v>172</v>
      </c>
    </row>
    <row r="6">
      <c r="A6" s="57" t="s">
        <v>139</v>
      </c>
      <c r="B6" s="57" t="s">
        <v>139</v>
      </c>
      <c r="D6" s="43" t="s">
        <v>247</v>
      </c>
      <c r="E6" s="43" t="s">
        <v>183</v>
      </c>
    </row>
    <row r="7">
      <c r="A7" s="57" t="s">
        <v>146</v>
      </c>
      <c r="B7" s="57" t="s">
        <v>159</v>
      </c>
      <c r="D7" s="43" t="s">
        <v>248</v>
      </c>
      <c r="E7" s="43" t="s">
        <v>190</v>
      </c>
    </row>
    <row r="8">
      <c r="A8" s="57" t="s">
        <v>152</v>
      </c>
      <c r="B8" s="57" t="s">
        <v>159</v>
      </c>
      <c r="D8" s="43" t="s">
        <v>249</v>
      </c>
      <c r="E8" s="43" t="s">
        <v>190</v>
      </c>
    </row>
    <row r="9">
      <c r="A9" s="57" t="s">
        <v>158</v>
      </c>
      <c r="B9" s="57" t="s">
        <v>178</v>
      </c>
      <c r="D9" s="43" t="s">
        <v>250</v>
      </c>
      <c r="E9" s="43" t="s">
        <v>199</v>
      </c>
    </row>
    <row r="10">
      <c r="A10" s="57" t="s">
        <v>153</v>
      </c>
      <c r="B10" s="57" t="s">
        <v>153</v>
      </c>
      <c r="D10" s="43" t="s">
        <v>251</v>
      </c>
      <c r="E10" s="43" t="s">
        <v>193</v>
      </c>
    </row>
    <row r="11">
      <c r="A11" s="57" t="s">
        <v>169</v>
      </c>
      <c r="B11" s="57" t="s">
        <v>147</v>
      </c>
      <c r="D11" s="43" t="s">
        <v>252</v>
      </c>
      <c r="E11" s="43" t="s">
        <v>202</v>
      </c>
    </row>
    <row r="12">
      <c r="A12" s="57" t="s">
        <v>173</v>
      </c>
      <c r="B12" s="57" t="s">
        <v>147</v>
      </c>
      <c r="D12" s="43" t="s">
        <v>253</v>
      </c>
      <c r="E12" s="43" t="s">
        <v>204</v>
      </c>
    </row>
    <row r="13">
      <c r="A13" s="57" t="s">
        <v>177</v>
      </c>
      <c r="B13" s="57" t="s">
        <v>147</v>
      </c>
      <c r="D13" s="43" t="s">
        <v>254</v>
      </c>
      <c r="E13" s="43" t="s">
        <v>132</v>
      </c>
    </row>
    <row r="14">
      <c r="A14" s="57" t="s">
        <v>181</v>
      </c>
      <c r="B14" s="58" t="s">
        <v>140</v>
      </c>
      <c r="D14" s="59" t="s">
        <v>255</v>
      </c>
      <c r="E14" s="43" t="s">
        <v>211</v>
      </c>
    </row>
    <row r="15">
      <c r="A15" s="57" t="s">
        <v>184</v>
      </c>
      <c r="B15" s="58" t="s">
        <v>140</v>
      </c>
      <c r="D15" s="43" t="s">
        <v>256</v>
      </c>
      <c r="E15" s="43" t="s">
        <v>209</v>
      </c>
    </row>
    <row r="16">
      <c r="A16" s="57" t="s">
        <v>187</v>
      </c>
      <c r="B16" s="58" t="s">
        <v>140</v>
      </c>
      <c r="D16" s="43" t="s">
        <v>257</v>
      </c>
      <c r="E16" s="43" t="s">
        <v>183</v>
      </c>
    </row>
    <row r="17">
      <c r="A17" s="57" t="s">
        <v>191</v>
      </c>
      <c r="B17" s="57" t="s">
        <v>178</v>
      </c>
    </row>
    <row r="18">
      <c r="A18" s="57" t="s">
        <v>194</v>
      </c>
      <c r="B18" s="57" t="s">
        <v>121</v>
      </c>
    </row>
    <row r="19">
      <c r="A19" s="57" t="s">
        <v>197</v>
      </c>
      <c r="B19" s="57" t="s">
        <v>121</v>
      </c>
    </row>
    <row r="20">
      <c r="A20" s="57" t="s">
        <v>200</v>
      </c>
      <c r="B20" s="57" t="s">
        <v>121</v>
      </c>
    </row>
    <row r="21">
      <c r="A21" s="57" t="s">
        <v>203</v>
      </c>
      <c r="B21" s="57" t="s">
        <v>121</v>
      </c>
    </row>
    <row r="22">
      <c r="A22" s="57" t="s">
        <v>205</v>
      </c>
      <c r="B22" s="57" t="s">
        <v>121</v>
      </c>
    </row>
    <row r="23">
      <c r="A23" s="57" t="s">
        <v>207</v>
      </c>
      <c r="B23" s="57" t="s">
        <v>121</v>
      </c>
    </row>
    <row r="24">
      <c r="A24" s="57" t="s">
        <v>87</v>
      </c>
      <c r="B24" s="57" t="s">
        <v>121</v>
      </c>
    </row>
    <row r="25">
      <c r="A25" s="57" t="s">
        <v>210</v>
      </c>
      <c r="B25" s="57" t="s">
        <v>121</v>
      </c>
    </row>
    <row r="26">
      <c r="A26" s="57" t="s">
        <v>212</v>
      </c>
      <c r="B26" s="57" t="s">
        <v>121</v>
      </c>
    </row>
    <row r="27">
      <c r="A27" s="57" t="s">
        <v>214</v>
      </c>
      <c r="B27" s="57" t="s">
        <v>121</v>
      </c>
    </row>
    <row r="28">
      <c r="A28" s="57" t="s">
        <v>216</v>
      </c>
      <c r="B28" s="57" t="s">
        <v>121</v>
      </c>
    </row>
    <row r="29">
      <c r="A29" s="57" t="s">
        <v>217</v>
      </c>
      <c r="B29" s="57" t="s">
        <v>121</v>
      </c>
    </row>
    <row r="30">
      <c r="A30" s="57" t="s">
        <v>218</v>
      </c>
      <c r="B30" s="57" t="s">
        <v>121</v>
      </c>
    </row>
    <row r="31">
      <c r="A31" s="57" t="s">
        <v>219</v>
      </c>
      <c r="B31" s="58" t="s">
        <v>140</v>
      </c>
    </row>
    <row r="32">
      <c r="A32" s="57" t="s">
        <v>220</v>
      </c>
      <c r="B32" s="57" t="s">
        <v>121</v>
      </c>
    </row>
    <row r="33">
      <c r="A33" s="57" t="s">
        <v>221</v>
      </c>
      <c r="B33" s="57" t="s">
        <v>121</v>
      </c>
    </row>
    <row r="34">
      <c r="A34" s="57" t="s">
        <v>222</v>
      </c>
      <c r="B34" s="57" t="s">
        <v>134</v>
      </c>
    </row>
    <row r="35">
      <c r="A35" s="57" t="s">
        <v>223</v>
      </c>
      <c r="B35" s="57" t="s">
        <v>170</v>
      </c>
    </row>
    <row r="36">
      <c r="A36" s="57" t="s">
        <v>224</v>
      </c>
      <c r="B36" s="58" t="s">
        <v>140</v>
      </c>
    </row>
    <row r="37">
      <c r="A37" s="42" t="s">
        <v>225</v>
      </c>
      <c r="B37" s="58" t="s">
        <v>140</v>
      </c>
    </row>
    <row r="38">
      <c r="A38" s="57" t="s">
        <v>226</v>
      </c>
      <c r="B38" s="57" t="s">
        <v>174</v>
      </c>
    </row>
    <row r="39">
      <c r="A39" s="57" t="s">
        <v>227</v>
      </c>
      <c r="B39" s="57" t="s">
        <v>174</v>
      </c>
    </row>
    <row r="40">
      <c r="A40" s="57" t="s">
        <v>164</v>
      </c>
      <c r="B40" s="58" t="s">
        <v>164</v>
      </c>
    </row>
    <row r="41">
      <c r="A41" s="57" t="s">
        <v>228</v>
      </c>
      <c r="B41" s="57" t="s">
        <v>121</v>
      </c>
    </row>
    <row r="42">
      <c r="A42" s="57" t="s">
        <v>229</v>
      </c>
      <c r="B42" s="57" t="s">
        <v>121</v>
      </c>
    </row>
    <row r="43">
      <c r="A43" s="60" t="s">
        <v>230</v>
      </c>
      <c r="B43" s="57" t="s">
        <v>121</v>
      </c>
    </row>
    <row r="44">
      <c r="A44" s="60" t="s">
        <v>185</v>
      </c>
      <c r="B44" s="60" t="s">
        <v>185</v>
      </c>
    </row>
    <row r="45">
      <c r="A45" s="60" t="s">
        <v>231</v>
      </c>
      <c r="B45" s="58" t="s">
        <v>140</v>
      </c>
    </row>
    <row r="46">
      <c r="A46" s="60" t="s">
        <v>258</v>
      </c>
      <c r="B46" s="57" t="s">
        <v>121</v>
      </c>
    </row>
    <row r="47">
      <c r="A47" s="43" t="s">
        <v>237</v>
      </c>
      <c r="B47" s="57" t="s">
        <v>170</v>
      </c>
    </row>
    <row r="48">
      <c r="A48" s="43" t="s">
        <v>236</v>
      </c>
      <c r="B48" s="57" t="s">
        <v>170</v>
      </c>
    </row>
    <row r="49">
      <c r="A49" s="43" t="s">
        <v>235</v>
      </c>
      <c r="B49" s="57" t="s">
        <v>170</v>
      </c>
    </row>
    <row r="50">
      <c r="A50" s="43" t="s">
        <v>234</v>
      </c>
      <c r="B50" s="57" t="s">
        <v>121</v>
      </c>
    </row>
    <row r="51">
      <c r="A51" s="43" t="s">
        <v>201</v>
      </c>
      <c r="B51" s="43" t="s">
        <v>201</v>
      </c>
    </row>
    <row r="52">
      <c r="A52" s="43" t="s">
        <v>233</v>
      </c>
      <c r="B52" s="57" t="s">
        <v>121</v>
      </c>
    </row>
    <row r="53">
      <c r="A53" s="43" t="s">
        <v>240</v>
      </c>
      <c r="B53" s="57" t="s">
        <v>121</v>
      </c>
    </row>
  </sheetData>
  <mergeCells count="2">
    <mergeCell ref="A1:B1"/>
    <mergeCell ref="D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4.0"/>
    <col customWidth="1" min="2" max="2" width="14.5"/>
    <col customWidth="1" min="9" max="9" width="14.38"/>
    <col customWidth="1" min="10" max="10" width="14.75"/>
  </cols>
  <sheetData>
    <row r="1">
      <c r="A1" s="1"/>
      <c r="B1" s="10" t="s">
        <v>259</v>
      </c>
      <c r="D1" s="10" t="s">
        <v>260</v>
      </c>
      <c r="F1" s="10" t="s">
        <v>261</v>
      </c>
      <c r="H1" s="10" t="s">
        <v>262</v>
      </c>
      <c r="J1" s="10" t="s">
        <v>263</v>
      </c>
    </row>
    <row r="2">
      <c r="A2" s="1"/>
      <c r="B2" s="1" t="s">
        <v>264</v>
      </c>
      <c r="C2" s="1" t="s">
        <v>265</v>
      </c>
      <c r="D2" s="1" t="s">
        <v>264</v>
      </c>
      <c r="E2" s="1" t="s">
        <v>265</v>
      </c>
      <c r="F2" s="1" t="s">
        <v>264</v>
      </c>
      <c r="G2" s="1" t="s">
        <v>265</v>
      </c>
      <c r="H2" s="1" t="s">
        <v>264</v>
      </c>
      <c r="I2" s="1" t="s">
        <v>265</v>
      </c>
      <c r="J2" s="1" t="s">
        <v>264</v>
      </c>
      <c r="K2" s="1" t="s">
        <v>265</v>
      </c>
    </row>
    <row r="3">
      <c r="A3" s="61" t="s">
        <v>266</v>
      </c>
      <c r="B3" s="62">
        <v>8204981.0</v>
      </c>
      <c r="C3" s="63">
        <v>1750.0</v>
      </c>
      <c r="D3" s="62">
        <v>8956556.0</v>
      </c>
      <c r="E3" s="63">
        <f>1750+7350</f>
        <v>9100</v>
      </c>
      <c r="F3" s="62">
        <v>9826556.0</v>
      </c>
      <c r="G3" s="63">
        <v>8450.0</v>
      </c>
      <c r="H3" s="63">
        <f>10551741-1441885</f>
        <v>9109856</v>
      </c>
      <c r="I3" s="64">
        <v>133570.0</v>
      </c>
      <c r="J3" s="63">
        <f>14705569-1114000</f>
        <v>13591569</v>
      </c>
      <c r="K3" s="64">
        <v>97420.0</v>
      </c>
      <c r="L3" s="63"/>
      <c r="M3" s="63"/>
    </row>
    <row r="4">
      <c r="A4" s="65" t="s">
        <v>267</v>
      </c>
      <c r="B4" s="66">
        <f>B3*21%</f>
        <v>1723046.01</v>
      </c>
      <c r="C4" s="64">
        <v>0.0</v>
      </c>
      <c r="D4" s="66">
        <f>D3*21%</f>
        <v>1880876.76</v>
      </c>
      <c r="E4" s="64">
        <v>0.0</v>
      </c>
      <c r="F4" s="66">
        <f>F3*21%</f>
        <v>2063576.76</v>
      </c>
      <c r="G4" s="64">
        <v>0.0</v>
      </c>
      <c r="H4" s="67">
        <v>1913069.76</v>
      </c>
      <c r="I4" s="68"/>
      <c r="J4" s="67">
        <f>J3*21%</f>
        <v>2854229.49</v>
      </c>
      <c r="K4" s="68"/>
      <c r="L4" s="69"/>
      <c r="M4" s="69"/>
    </row>
    <row r="5">
      <c r="A5" s="65" t="s">
        <v>268</v>
      </c>
      <c r="B5" s="66">
        <v>3.4213915E7</v>
      </c>
      <c r="C5" s="64">
        <f>15553+21000</f>
        <v>36553</v>
      </c>
      <c r="D5" s="66">
        <v>7918673.0</v>
      </c>
      <c r="E5" s="64">
        <v>46416.0</v>
      </c>
      <c r="F5" s="66">
        <v>4762446.0</v>
      </c>
      <c r="G5" s="70">
        <f>4523</f>
        <v>4523</v>
      </c>
      <c r="H5" s="64">
        <v>1.2853757E7</v>
      </c>
      <c r="I5" s="64">
        <v>40061.0</v>
      </c>
      <c r="J5" s="64">
        <v>1.0904521E7</v>
      </c>
      <c r="K5" s="64">
        <v>31766.0</v>
      </c>
      <c r="L5" s="64"/>
      <c r="M5" s="69"/>
    </row>
    <row r="6">
      <c r="A6" s="65" t="s">
        <v>269</v>
      </c>
      <c r="B6" s="66">
        <f>5490.08+20564.73+23205</f>
        <v>49259.81</v>
      </c>
      <c r="C6" s="68"/>
      <c r="D6" s="66">
        <f>24990+10338.3+5067.77+4560.99</f>
        <v>44957.06</v>
      </c>
      <c r="E6" s="68"/>
      <c r="F6" s="66">
        <v>50775.0</v>
      </c>
      <c r="G6" s="68"/>
      <c r="H6" s="64">
        <v>36275.0</v>
      </c>
      <c r="I6" s="68"/>
      <c r="J6" s="64">
        <v>42925.05</v>
      </c>
      <c r="K6" s="68"/>
      <c r="L6" s="69"/>
      <c r="M6" s="69"/>
    </row>
    <row r="7">
      <c r="A7" s="10" t="s">
        <v>152</v>
      </c>
      <c r="B7" s="71">
        <f>B4-B6</f>
        <v>1673786.2</v>
      </c>
      <c r="D7" s="72">
        <f>D4-D6</f>
        <v>1835919.7</v>
      </c>
      <c r="F7" s="72">
        <f>F4-F6</f>
        <v>2012801.76</v>
      </c>
      <c r="H7" s="73">
        <f>H4-H6</f>
        <v>1876794.76</v>
      </c>
      <c r="J7" s="73">
        <f>J4-J6</f>
        <v>2811304.44</v>
      </c>
    </row>
    <row r="8">
      <c r="A8" s="10" t="s">
        <v>270</v>
      </c>
      <c r="B8" s="74">
        <f>(B3*0.6175*0.03)+(B3*0.3825*0.05)</f>
        <v>308917.5347</v>
      </c>
      <c r="D8" s="75">
        <f>(D3*0.6175*0.03)+(D3*0.3825*0.05)</f>
        <v>337214.3334</v>
      </c>
      <c r="F8" s="75">
        <f>(F3*0.6175*0.03)+(F3*0.3825*0.05)</f>
        <v>369969.8334</v>
      </c>
      <c r="H8" s="76">
        <f>(H3*0.6175*0.03)+(H3*0.3825*0.05)</f>
        <v>342986.0784</v>
      </c>
      <c r="J8" s="76">
        <f>(J3*0.6175*0.03)+(J3*0.3825*0.05)</f>
        <v>511722.5729</v>
      </c>
    </row>
    <row r="9">
      <c r="A9" s="77" t="s">
        <v>271</v>
      </c>
      <c r="B9" s="74">
        <f>(B3*0.006)</f>
        <v>49229.886</v>
      </c>
      <c r="C9" s="78"/>
      <c r="D9" s="75">
        <f>D3*0.006</f>
        <v>53739.336</v>
      </c>
      <c r="E9" s="78"/>
      <c r="F9" s="75">
        <f>(F3*0.006)*1.21</f>
        <v>71340.79656</v>
      </c>
      <c r="G9" s="78"/>
      <c r="H9" s="76">
        <f>(H3*0.006)*1.21</f>
        <v>66137.55456</v>
      </c>
      <c r="J9" s="76">
        <f>(J3*0.006)*1.21</f>
        <v>98674.79094</v>
      </c>
    </row>
    <row r="10">
      <c r="A10" s="77" t="s">
        <v>272</v>
      </c>
      <c r="B10" s="79"/>
      <c r="C10" s="80">
        <f>(C3-C5)*12%+C3*3%</f>
        <v>-4123.86</v>
      </c>
      <c r="D10" s="79"/>
      <c r="E10" s="81">
        <f>(E3-E5)*12%+E3*3%</f>
        <v>-4204.92</v>
      </c>
      <c r="F10" s="79"/>
      <c r="G10" s="81">
        <f>(G3-G5)*12%+G3*3%</f>
        <v>724.74</v>
      </c>
      <c r="I10" s="81">
        <f>(I3-I5)*12%+I3*3%</f>
        <v>15228.18</v>
      </c>
      <c r="K10" s="81">
        <f>(K3-K5)*12%+K3*3%</f>
        <v>10801.08</v>
      </c>
    </row>
    <row r="13">
      <c r="A13" s="1"/>
    </row>
    <row r="15">
      <c r="A15" s="82"/>
      <c r="B15" s="83"/>
      <c r="C15" s="84"/>
    </row>
    <row r="16">
      <c r="A16" s="82"/>
      <c r="B16" s="83"/>
      <c r="C16" s="84"/>
    </row>
    <row r="17">
      <c r="A17" s="82"/>
      <c r="B17" s="83"/>
      <c r="C17" s="84"/>
      <c r="F17" s="85"/>
    </row>
    <row r="18">
      <c r="A18" s="82"/>
      <c r="B18" s="83"/>
      <c r="C18" s="84"/>
    </row>
    <row r="19">
      <c r="A19" s="82"/>
      <c r="B19" s="83"/>
      <c r="C19" s="84"/>
    </row>
    <row r="20">
      <c r="A20" s="82"/>
      <c r="B20" s="83"/>
      <c r="C20" s="84"/>
    </row>
  </sheetData>
  <mergeCells count="5">
    <mergeCell ref="B1:C1"/>
    <mergeCell ref="D1:E1"/>
    <mergeCell ref="F1:G1"/>
    <mergeCell ref="H1:I1"/>
    <mergeCell ref="J1:K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sheetData>
    <row r="1">
      <c r="B1" s="86" t="s">
        <v>273</v>
      </c>
      <c r="C1" s="86" t="s">
        <v>274</v>
      </c>
    </row>
    <row r="2">
      <c r="A2" s="87">
        <v>45838.0</v>
      </c>
      <c r="B2" s="43">
        <v>-91979.0</v>
      </c>
      <c r="C2" s="88">
        <f t="shared" ref="C2:C5" si="1">B2*1%</f>
        <v>-919.79</v>
      </c>
    </row>
    <row r="3">
      <c r="A3" s="87">
        <v>45869.0</v>
      </c>
      <c r="B3" s="43">
        <v>-68302.0</v>
      </c>
      <c r="C3" s="88">
        <f t="shared" si="1"/>
        <v>-683.02</v>
      </c>
    </row>
    <row r="4">
      <c r="A4" s="87">
        <v>45900.0</v>
      </c>
      <c r="B4" s="89">
        <v>-42553.0</v>
      </c>
      <c r="C4" s="88">
        <f t="shared" si="1"/>
        <v>-425.53</v>
      </c>
    </row>
    <row r="5">
      <c r="A5" s="90">
        <v>45930.0</v>
      </c>
      <c r="B5" s="91">
        <v>-74319.94</v>
      </c>
      <c r="C5" s="88">
        <f t="shared" si="1"/>
        <v>-743.1994</v>
      </c>
    </row>
    <row r="6">
      <c r="B6" s="92"/>
    </row>
    <row r="7">
      <c r="B7" s="9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25.0"/>
    <col customWidth="1" min="2" max="2" width="23.5"/>
    <col customWidth="1" min="3" max="3" width="23.13"/>
    <col customWidth="1" min="4" max="4" width="11.38"/>
    <col customWidth="1" min="5" max="5" width="12.25"/>
    <col customWidth="1" min="6" max="6" width="29.75"/>
    <col customWidth="1" min="7" max="7" width="12.38"/>
    <col customWidth="1" hidden="1" min="8" max="8" width="18.25"/>
    <col customWidth="1" min="9" max="9" width="18.25"/>
    <col customWidth="1" min="10" max="10" width="28.25"/>
    <col customWidth="1" min="11" max="11" width="23.0"/>
    <col customWidth="1" min="12" max="12" width="10.25"/>
    <col customWidth="1" min="13" max="13" width="18.38"/>
    <col customWidth="1" min="14" max="14" width="23.63"/>
    <col customWidth="1" min="15" max="15" width="17.75"/>
    <col customWidth="1" min="16" max="16" width="9.38"/>
    <col customWidth="1" min="17" max="17" width="14.25"/>
    <col customWidth="1" min="18" max="29" width="43.38"/>
  </cols>
  <sheetData>
    <row r="1">
      <c r="A1" s="10" t="s">
        <v>109</v>
      </c>
      <c r="B1" s="93" t="s">
        <v>110</v>
      </c>
      <c r="C1" s="93" t="s">
        <v>111</v>
      </c>
      <c r="D1" s="94" t="s">
        <v>116</v>
      </c>
      <c r="E1" s="95" t="s">
        <v>275</v>
      </c>
      <c r="F1" s="96" t="s">
        <v>276</v>
      </c>
      <c r="G1" s="96" t="s">
        <v>277</v>
      </c>
      <c r="H1" s="97" t="s">
        <v>278</v>
      </c>
      <c r="I1" s="96" t="s">
        <v>279</v>
      </c>
      <c r="J1" s="96" t="s">
        <v>280</v>
      </c>
      <c r="K1" s="96" t="s">
        <v>281</v>
      </c>
      <c r="L1" s="96" t="s">
        <v>112</v>
      </c>
      <c r="M1" s="98" t="s">
        <v>282</v>
      </c>
      <c r="N1" s="99" t="s">
        <v>283</v>
      </c>
      <c r="O1" s="99" t="s">
        <v>284</v>
      </c>
      <c r="P1" s="100" t="s">
        <v>285</v>
      </c>
      <c r="Q1" s="101" t="s">
        <v>286</v>
      </c>
    </row>
    <row r="2" hidden="1">
      <c r="A2" s="43" t="s">
        <v>130</v>
      </c>
      <c r="B2" s="43" t="str">
        <f t="shared" ref="B2:B72" si="1">IF(
  A2="",
  "",
  IF(
    OR(A2="Santander-Galicia-Nación", A2="Bank Of America", A2="Transferwise", A2="Custodia Socios", A2="Cheques en cartera", A2="Caja"),
    "Activo Liquido",
    IF(
      OR(A2="Otras Inversiones", A2="Santander Inversiones"),
      "Mediano Plazo",
      IF(
        A2="Clientes a cobrar",
        "Clientes a cobrar",
        "DATO NO CARGADO"
      )
    )
  )
)
</f>
        <v>Activo Liquido</v>
      </c>
      <c r="C2" s="102" t="str">
        <f>IF(K2="", "", IFERROR(VLOOKUP(K2, Clasificaciones!D:E, 2, FALSE), "DATO NO CARGADO"))
</f>
        <v/>
      </c>
      <c r="D2" s="51" t="s">
        <v>123</v>
      </c>
      <c r="E2" s="43">
        <v>2025.0</v>
      </c>
      <c r="F2" s="102"/>
      <c r="G2" s="103"/>
      <c r="H2" s="103" t="str">
        <f t="shared" ref="H2:H1022" si="2">IF(
   A2="",
   "",
   IF(
      AND(
        F2="No",
        OR(G2="",G2&gt;M2),
        M2&lt;TODAY()
      ),
      "Vencido",
      "A término"
   )
)
</f>
        <v>A término</v>
      </c>
      <c r="I2" s="103"/>
      <c r="M2" s="104"/>
      <c r="N2" s="89">
        <v>8217613.0</v>
      </c>
      <c r="O2" s="105"/>
      <c r="P2" s="106">
        <f>IF(ISBLANK(N2), "", VLOOKUP(D2&amp;" "&amp;E2, 'Info Tipo de Cambio y REM'!$A$24:$B$35, 2, FALSE))
</f>
        <v>1220</v>
      </c>
      <c r="Q2" s="107">
        <f t="shared" ref="Q2:Q1022" si="3">IF(NOT(ISBLANK(N2)), N2 / P2, IF(NOT(ISBLANK(O2)), O2, ""))</f>
        <v>6735.748361</v>
      </c>
    </row>
    <row r="3" hidden="1">
      <c r="A3" s="43" t="s">
        <v>144</v>
      </c>
      <c r="B3" s="43" t="str">
        <f t="shared" si="1"/>
        <v>Activo Liquido</v>
      </c>
      <c r="C3" s="102" t="str">
        <f>IF(K3="", "", IFERROR(VLOOKUP(K3, Clasificaciones!D:E, 2, FALSE), "DATO NO CARGADO"))
</f>
        <v/>
      </c>
      <c r="D3" s="51" t="s">
        <v>123</v>
      </c>
      <c r="E3" s="43">
        <v>2025.0</v>
      </c>
      <c r="F3" s="102"/>
      <c r="G3" s="103"/>
      <c r="H3" s="103" t="str">
        <f t="shared" si="2"/>
        <v>A término</v>
      </c>
      <c r="I3" s="103"/>
      <c r="M3" s="104"/>
      <c r="N3" s="89"/>
      <c r="O3" s="106">
        <v>-2840.0</v>
      </c>
      <c r="P3" s="106" t="str">
        <f>IF(ISBLANK(N3), "", VLOOKUP(D3&amp;" "&amp;E3, 'Info Tipo de Cambio y REM'!$A$24:$B$35, 2, FALSE))
</f>
        <v/>
      </c>
      <c r="Q3" s="107">
        <f t="shared" si="3"/>
        <v>-2840</v>
      </c>
    </row>
    <row r="4" hidden="1">
      <c r="A4" s="43" t="s">
        <v>150</v>
      </c>
      <c r="B4" s="43" t="str">
        <f t="shared" si="1"/>
        <v>Activo Liquido</v>
      </c>
      <c r="C4" s="102" t="str">
        <f>IF(K4="", "", IFERROR(VLOOKUP(K4, Clasificaciones!D:E, 2, FALSE), "DATO NO CARGADO"))
</f>
        <v/>
      </c>
      <c r="D4" s="51" t="s">
        <v>123</v>
      </c>
      <c r="E4" s="43">
        <v>2025.0</v>
      </c>
      <c r="F4" s="102"/>
      <c r="G4" s="103"/>
      <c r="H4" s="103" t="str">
        <f t="shared" si="2"/>
        <v>A término</v>
      </c>
      <c r="I4" s="103"/>
      <c r="M4" s="104"/>
      <c r="N4" s="89"/>
      <c r="O4" s="106">
        <v>230.0</v>
      </c>
      <c r="P4" s="106" t="str">
        <f>IF(ISBLANK(N4), "", VLOOKUP(D4&amp;" "&amp;E4, 'Info Tipo de Cambio y REM'!$A$24:$B$35, 2, FALSE))
</f>
        <v/>
      </c>
      <c r="Q4" s="107">
        <f t="shared" si="3"/>
        <v>230</v>
      </c>
    </row>
    <row r="5" hidden="1">
      <c r="A5" s="43" t="s">
        <v>167</v>
      </c>
      <c r="B5" s="43" t="str">
        <f t="shared" si="1"/>
        <v>Mediano Plazo</v>
      </c>
      <c r="C5" s="102" t="str">
        <f>IF(K5="", "", IFERROR(VLOOKUP(K5, Clasificaciones!D:E, 2, FALSE), "DATO NO CARGADO"))
</f>
        <v/>
      </c>
      <c r="D5" s="51" t="s">
        <v>123</v>
      </c>
      <c r="E5" s="43">
        <v>2025.0</v>
      </c>
      <c r="F5" s="102"/>
      <c r="G5" s="103"/>
      <c r="H5" s="103" t="str">
        <f t="shared" si="2"/>
        <v>A término</v>
      </c>
      <c r="I5" s="103"/>
      <c r="M5" s="104"/>
      <c r="N5" s="89"/>
      <c r="O5" s="106">
        <v>9200.0</v>
      </c>
      <c r="P5" s="106" t="str">
        <f>IF(ISBLANK(N5), "", VLOOKUP(D5&amp;" "&amp;E5, 'Info Tipo de Cambio y REM'!$A$24:$B$35, 2, FALSE))
</f>
        <v/>
      </c>
      <c r="Q5" s="107">
        <f t="shared" si="3"/>
        <v>9200</v>
      </c>
    </row>
    <row r="6" hidden="1">
      <c r="A6" s="43" t="s">
        <v>131</v>
      </c>
      <c r="B6" s="43" t="str">
        <f t="shared" si="1"/>
        <v>Clientes a cobrar</v>
      </c>
      <c r="C6" s="102" t="str">
        <f>IF(K6="", "", IFERROR(VLOOKUP(K6, Clasificaciones!D:E, 2, FALSE), "DATO NO CARGADO"))
</f>
        <v>Arcos Dorados</v>
      </c>
      <c r="D6" s="51" t="s">
        <v>123</v>
      </c>
      <c r="E6" s="43">
        <v>2025.0</v>
      </c>
      <c r="F6" s="102"/>
      <c r="H6" s="103" t="str">
        <f t="shared" si="2"/>
        <v>A término</v>
      </c>
      <c r="J6" s="43" t="s">
        <v>287</v>
      </c>
      <c r="K6" s="43" t="s">
        <v>243</v>
      </c>
      <c r="M6" s="104">
        <v>45680.0</v>
      </c>
      <c r="N6" s="89">
        <v>508200.0</v>
      </c>
      <c r="O6" s="105"/>
      <c r="P6" s="106">
        <f>IF(ISBLANK(N6), "", VLOOKUP(D6&amp;" "&amp;E6, 'Info Tipo de Cambio y REM'!$A$24:$B$35, 2, FALSE))
</f>
        <v>1220</v>
      </c>
      <c r="Q6" s="107">
        <f t="shared" si="3"/>
        <v>416.557377</v>
      </c>
    </row>
    <row r="7" hidden="1">
      <c r="A7" s="43" t="s">
        <v>131</v>
      </c>
      <c r="B7" s="43" t="str">
        <f t="shared" si="1"/>
        <v>Clientes a cobrar</v>
      </c>
      <c r="C7" s="102" t="str">
        <f>IF(K7="", "", IFERROR(VLOOKUP(K7, Clasificaciones!D:E, 2, FALSE), "DATO NO CARGADO"))
</f>
        <v>Play Digital S.A (Modo)</v>
      </c>
      <c r="D7" s="51" t="s">
        <v>123</v>
      </c>
      <c r="E7" s="43">
        <v>2025.0</v>
      </c>
      <c r="F7" s="102"/>
      <c r="H7" s="103" t="str">
        <f t="shared" si="2"/>
        <v>A término</v>
      </c>
      <c r="J7" s="43" t="s">
        <v>288</v>
      </c>
      <c r="K7" s="43" t="s">
        <v>244</v>
      </c>
      <c r="M7" s="104">
        <v>45688.0</v>
      </c>
      <c r="N7" s="89">
        <v>4744208.0</v>
      </c>
      <c r="O7" s="105"/>
      <c r="P7" s="106">
        <f>IF(ISBLANK(N7), "", VLOOKUP(D7&amp;" "&amp;E7, 'Info Tipo de Cambio y REM'!$A$24:$B$35, 2, FALSE))
</f>
        <v>1220</v>
      </c>
      <c r="Q7" s="107">
        <f t="shared" si="3"/>
        <v>3888.695082</v>
      </c>
    </row>
    <row r="8" hidden="1">
      <c r="A8" s="43" t="s">
        <v>131</v>
      </c>
      <c r="B8" s="43" t="str">
        <f t="shared" si="1"/>
        <v>Clientes a cobrar</v>
      </c>
      <c r="C8" s="102" t="str">
        <f>IF(K8="", "", IFERROR(VLOOKUP(K8, Clasificaciones!D:E, 2, FALSE), "DATO NO CARGADO"))
</f>
        <v>Coelsa</v>
      </c>
      <c r="D8" s="51" t="s">
        <v>123</v>
      </c>
      <c r="E8" s="43">
        <v>2025.0</v>
      </c>
      <c r="F8" s="102"/>
      <c r="H8" s="103" t="str">
        <f t="shared" si="2"/>
        <v>A término</v>
      </c>
      <c r="J8" s="43" t="s">
        <v>289</v>
      </c>
      <c r="K8" s="43" t="s">
        <v>245</v>
      </c>
      <c r="M8" s="104">
        <v>45659.0</v>
      </c>
      <c r="N8" s="89">
        <v>4499766.0</v>
      </c>
      <c r="O8" s="105"/>
      <c r="P8" s="106">
        <f>IF(ISBLANK(N8), "", VLOOKUP(D8&amp;" "&amp;E8, 'Info Tipo de Cambio y REM'!$A$24:$B$35, 2, FALSE))
</f>
        <v>1220</v>
      </c>
      <c r="Q8" s="107">
        <f t="shared" si="3"/>
        <v>3688.332787</v>
      </c>
    </row>
    <row r="9" hidden="1">
      <c r="A9" s="43" t="s">
        <v>131</v>
      </c>
      <c r="B9" s="43" t="str">
        <f t="shared" si="1"/>
        <v>Clientes a cobrar</v>
      </c>
      <c r="C9" s="102" t="str">
        <f>IF(K9="", "", IFERROR(VLOOKUP(K9, Clasificaciones!D:E, 2, FALSE), "DATO NO CARGADO"))
</f>
        <v>Moreno Ocampo</v>
      </c>
      <c r="D9" s="51" t="s">
        <v>123</v>
      </c>
      <c r="E9" s="43">
        <v>2025.0</v>
      </c>
      <c r="F9" s="102"/>
      <c r="H9" s="103" t="str">
        <f t="shared" si="2"/>
        <v>A término</v>
      </c>
      <c r="J9" s="43" t="s">
        <v>290</v>
      </c>
      <c r="K9" s="43" t="s">
        <v>246</v>
      </c>
      <c r="M9" s="104">
        <v>45678.0</v>
      </c>
      <c r="N9" s="89"/>
      <c r="O9" s="106">
        <v>250.0</v>
      </c>
      <c r="P9" s="106" t="str">
        <f>IF(ISBLANK(N9), "", VLOOKUP(D9&amp;" "&amp;E9, 'Info Tipo de Cambio y REM'!$A$24:$B$35, 2, FALSE))
</f>
        <v/>
      </c>
      <c r="Q9" s="107">
        <f t="shared" si="3"/>
        <v>250</v>
      </c>
    </row>
    <row r="10">
      <c r="A10" s="43" t="s">
        <v>131</v>
      </c>
      <c r="B10" s="43" t="str">
        <f t="shared" si="1"/>
        <v>Clientes a cobrar</v>
      </c>
      <c r="C10" s="102" t="str">
        <f>IF(K10="", "", IFERROR(VLOOKUP(K10, Clasificaciones!D:E, 2, FALSE), "DATO NO CARGADO"))
</f>
        <v>Warner</v>
      </c>
      <c r="D10" s="51" t="s">
        <v>123</v>
      </c>
      <c r="E10" s="43">
        <v>2025.0</v>
      </c>
      <c r="F10" s="102"/>
      <c r="H10" s="103" t="str">
        <f t="shared" si="2"/>
        <v>A término</v>
      </c>
      <c r="J10" s="43" t="s">
        <v>291</v>
      </c>
      <c r="K10" s="43" t="s">
        <v>247</v>
      </c>
      <c r="M10" s="104">
        <v>45714.0</v>
      </c>
      <c r="N10" s="89"/>
      <c r="O10" s="106">
        <v>13450.0</v>
      </c>
      <c r="P10" s="106" t="str">
        <f>IF(ISBLANK(N10), "", VLOOKUP(D10&amp;" "&amp;E10, 'Info Tipo de Cambio y REM'!$A$24:$B$35, 2, FALSE))
</f>
        <v/>
      </c>
      <c r="Q10" s="107">
        <f t="shared" si="3"/>
        <v>13450</v>
      </c>
    </row>
    <row r="11">
      <c r="A11" s="43" t="s">
        <v>131</v>
      </c>
      <c r="B11" s="43" t="str">
        <f t="shared" si="1"/>
        <v>Clientes a cobrar</v>
      </c>
      <c r="C11" s="102" t="str">
        <f>IF(K11="", "", IFERROR(VLOOKUP(K11, Clasificaciones!D:E, 2, FALSE), "DATO NO CARGADO"))
</f>
        <v>Warner</v>
      </c>
      <c r="D11" s="51" t="s">
        <v>123</v>
      </c>
      <c r="E11" s="43">
        <v>2025.0</v>
      </c>
      <c r="F11" s="102"/>
      <c r="H11" s="103" t="str">
        <f t="shared" si="2"/>
        <v>A término</v>
      </c>
      <c r="J11" s="43" t="s">
        <v>292</v>
      </c>
      <c r="K11" s="43" t="s">
        <v>247</v>
      </c>
      <c r="M11" s="104">
        <v>45726.0</v>
      </c>
      <c r="N11" s="89"/>
      <c r="O11" s="106">
        <v>13450.0</v>
      </c>
      <c r="P11" s="106" t="str">
        <f>IF(ISBLANK(N11), "", VLOOKUP(D11&amp;" "&amp;E11, 'Info Tipo de Cambio y REM'!$A$24:$B$35, 2, FALSE))
</f>
        <v/>
      </c>
      <c r="Q11" s="107">
        <f t="shared" si="3"/>
        <v>13450</v>
      </c>
    </row>
    <row r="12">
      <c r="A12" s="43" t="s">
        <v>131</v>
      </c>
      <c r="B12" s="43" t="str">
        <f t="shared" si="1"/>
        <v>Clientes a cobrar</v>
      </c>
      <c r="C12" s="102" t="str">
        <f>IF(K12="", "", IFERROR(VLOOKUP(K12, Clasificaciones!D:E, 2, FALSE), "DATO NO CARGADO"))
</f>
        <v>Warner</v>
      </c>
      <c r="D12" s="51" t="s">
        <v>123</v>
      </c>
      <c r="E12" s="43">
        <v>2025.0</v>
      </c>
      <c r="F12" s="102"/>
      <c r="H12" s="103" t="str">
        <f t="shared" si="2"/>
        <v>A término</v>
      </c>
      <c r="J12" s="43" t="s">
        <v>293</v>
      </c>
      <c r="K12" s="43" t="s">
        <v>247</v>
      </c>
      <c r="M12" s="104">
        <v>45750.0</v>
      </c>
      <c r="N12" s="89"/>
      <c r="O12" s="106">
        <v>13450.0</v>
      </c>
      <c r="P12" s="106" t="str">
        <f>IF(ISBLANK(N12), "", VLOOKUP(D12&amp;" "&amp;E12, 'Info Tipo de Cambio y REM'!$A$24:$B$35, 2, FALSE))
</f>
        <v/>
      </c>
      <c r="Q12" s="107">
        <f t="shared" si="3"/>
        <v>13450</v>
      </c>
    </row>
    <row r="13" hidden="1">
      <c r="A13" s="43" t="s">
        <v>131</v>
      </c>
      <c r="B13" s="43" t="str">
        <f t="shared" si="1"/>
        <v>Clientes a cobrar</v>
      </c>
      <c r="C13" s="102" t="str">
        <f>IF(K13="", "", IFERROR(VLOOKUP(K13, Clasificaciones!D:E, 2, FALSE), "DATO NO CARGADO"))
</f>
        <v>Vertical Media</v>
      </c>
      <c r="D13" s="51" t="s">
        <v>123</v>
      </c>
      <c r="E13" s="43">
        <v>2025.0</v>
      </c>
      <c r="F13" s="102"/>
      <c r="H13" s="103" t="str">
        <f t="shared" si="2"/>
        <v>A término</v>
      </c>
      <c r="J13" s="43" t="s">
        <v>294</v>
      </c>
      <c r="K13" s="43" t="s">
        <v>248</v>
      </c>
      <c r="M13" s="104">
        <v>45704.0</v>
      </c>
      <c r="N13" s="89"/>
      <c r="O13" s="106">
        <v>1750.0</v>
      </c>
      <c r="P13" s="106" t="str">
        <f>IF(ISBLANK(N13), "", VLOOKUP(D13&amp;" "&amp;E13, 'Info Tipo de Cambio y REM'!$A$24:$B$35, 2, FALSE))
</f>
        <v/>
      </c>
      <c r="Q13" s="107">
        <f t="shared" si="3"/>
        <v>1750</v>
      </c>
    </row>
    <row r="14" hidden="1">
      <c r="A14" s="43" t="s">
        <v>131</v>
      </c>
      <c r="B14" s="43" t="str">
        <f t="shared" si="1"/>
        <v>Clientes a cobrar</v>
      </c>
      <c r="C14" s="102" t="str">
        <f>IF(K14="", "", IFERROR(VLOOKUP(K14, Clasificaciones!D:E, 2, FALSE), "DATO NO CARGADO"))
</f>
        <v>Uber</v>
      </c>
      <c r="D14" s="51" t="s">
        <v>123</v>
      </c>
      <c r="E14" s="43">
        <v>2025.0</v>
      </c>
      <c r="F14" s="102"/>
      <c r="H14" s="103" t="str">
        <f t="shared" si="2"/>
        <v>A término</v>
      </c>
      <c r="J14" s="43" t="s">
        <v>295</v>
      </c>
      <c r="K14" s="43" t="s">
        <v>250</v>
      </c>
      <c r="M14" s="104">
        <v>45690.0</v>
      </c>
      <c r="N14" s="89"/>
      <c r="O14" s="106">
        <v>7150.0</v>
      </c>
      <c r="P14" s="106" t="str">
        <f>IF(ISBLANK(N14), "", VLOOKUP(D14&amp;" "&amp;E14, 'Info Tipo de Cambio y REM'!$A$24:$B$35, 2, FALSE))
</f>
        <v/>
      </c>
      <c r="Q14" s="107">
        <f t="shared" si="3"/>
        <v>7150</v>
      </c>
    </row>
    <row r="15" hidden="1">
      <c r="A15" s="43" t="s">
        <v>130</v>
      </c>
      <c r="B15" s="43" t="str">
        <f t="shared" si="1"/>
        <v>Activo Liquido</v>
      </c>
      <c r="C15" s="102" t="str">
        <f>IF(K15="", "", IFERROR(VLOOKUP(K15, Clasificaciones!D:E, 2, FALSE), "DATO NO CARGADO"))
</f>
        <v/>
      </c>
      <c r="D15" s="51" t="s">
        <v>129</v>
      </c>
      <c r="E15" s="43">
        <v>2025.0</v>
      </c>
      <c r="F15" s="102"/>
      <c r="H15" s="103" t="str">
        <f t="shared" si="2"/>
        <v>A término</v>
      </c>
      <c r="M15" s="104"/>
      <c r="N15" s="89">
        <v>29367.0</v>
      </c>
      <c r="O15" s="105"/>
      <c r="P15" s="106">
        <f>IF(ISBLANK(N15), "", VLOOKUP(D15&amp;" "&amp;E15, 'Info Tipo de Cambio y REM'!$A$24:$B$35, 2, FALSE))
</f>
        <v>1230</v>
      </c>
      <c r="Q15" s="107">
        <f t="shared" si="3"/>
        <v>23.87560976</v>
      </c>
    </row>
    <row r="16" hidden="1">
      <c r="A16" s="43" t="s">
        <v>144</v>
      </c>
      <c r="B16" s="43" t="str">
        <f t="shared" si="1"/>
        <v>Activo Liquido</v>
      </c>
      <c r="C16" s="102" t="str">
        <f>IF(K16="", "", IFERROR(VLOOKUP(K16, Clasificaciones!D:E, 2, FALSE), "DATO NO CARGADO"))
</f>
        <v/>
      </c>
      <c r="D16" s="51" t="s">
        <v>129</v>
      </c>
      <c r="E16" s="43">
        <v>2025.0</v>
      </c>
      <c r="F16" s="102"/>
      <c r="H16" s="103" t="str">
        <f t="shared" si="2"/>
        <v>A término</v>
      </c>
      <c r="M16" s="104"/>
      <c r="N16" s="89"/>
      <c r="O16" s="106">
        <v>-7604.0</v>
      </c>
      <c r="P16" s="106" t="str">
        <f>IF(ISBLANK(N16), "", VLOOKUP(D16&amp;" "&amp;E16, 'Info Tipo de Cambio y REM'!$A$24:$B$35, 2, FALSE))
</f>
        <v/>
      </c>
      <c r="Q16" s="107">
        <f t="shared" si="3"/>
        <v>-7604</v>
      </c>
    </row>
    <row r="17" hidden="1">
      <c r="A17" s="43" t="s">
        <v>150</v>
      </c>
      <c r="B17" s="43" t="str">
        <f t="shared" si="1"/>
        <v>Activo Liquido</v>
      </c>
      <c r="C17" s="102" t="str">
        <f>IF(K17="", "", IFERROR(VLOOKUP(K17, Clasificaciones!D:E, 2, FALSE), "DATO NO CARGADO"))
</f>
        <v/>
      </c>
      <c r="D17" s="51" t="s">
        <v>129</v>
      </c>
      <c r="E17" s="43">
        <v>2025.0</v>
      </c>
      <c r="F17" s="102"/>
      <c r="H17" s="103" t="str">
        <f t="shared" si="2"/>
        <v>A término</v>
      </c>
      <c r="M17" s="104"/>
      <c r="N17" s="89"/>
      <c r="O17" s="106">
        <v>230.0</v>
      </c>
      <c r="P17" s="106" t="str">
        <f>IF(ISBLANK(N17), "", VLOOKUP(D17&amp;" "&amp;E17, 'Info Tipo de Cambio y REM'!$A$24:$B$35, 2, FALSE))
</f>
        <v/>
      </c>
      <c r="Q17" s="107">
        <f t="shared" si="3"/>
        <v>230</v>
      </c>
    </row>
    <row r="18" hidden="1">
      <c r="A18" s="43" t="s">
        <v>167</v>
      </c>
      <c r="B18" s="43" t="str">
        <f t="shared" si="1"/>
        <v>Mediano Plazo</v>
      </c>
      <c r="C18" s="102" t="str">
        <f>IF(K18="", "", IFERROR(VLOOKUP(K18, Clasificaciones!D:E, 2, FALSE), "DATO NO CARGADO"))
</f>
        <v/>
      </c>
      <c r="D18" s="51" t="s">
        <v>129</v>
      </c>
      <c r="E18" s="43">
        <v>2025.0</v>
      </c>
      <c r="F18" s="102"/>
      <c r="H18" s="103" t="str">
        <f t="shared" si="2"/>
        <v>A término</v>
      </c>
      <c r="M18" s="104"/>
      <c r="N18" s="89"/>
      <c r="O18" s="106">
        <v>6983.0</v>
      </c>
      <c r="P18" s="106" t="str">
        <f>IF(ISBLANK(N18), "", VLOOKUP(D18&amp;" "&amp;E18, 'Info Tipo de Cambio y REM'!$A$24:$B$35, 2, FALSE))
</f>
        <v/>
      </c>
      <c r="Q18" s="107">
        <f t="shared" si="3"/>
        <v>6983</v>
      </c>
    </row>
    <row r="19" hidden="1">
      <c r="A19" s="43" t="s">
        <v>131</v>
      </c>
      <c r="B19" s="43" t="str">
        <f t="shared" si="1"/>
        <v>Clientes a cobrar</v>
      </c>
      <c r="C19" s="102" t="str">
        <f>IF(K19="", "", IFERROR(VLOOKUP(K19, Clasificaciones!D:E, 2, FALSE), "DATO NO CARGADO"))
</f>
        <v>Play Digital S.A (Modo)</v>
      </c>
      <c r="D19" s="51" t="s">
        <v>129</v>
      </c>
      <c r="E19" s="43">
        <v>2025.0</v>
      </c>
      <c r="F19" s="102"/>
      <c r="H19" s="103" t="str">
        <f t="shared" si="2"/>
        <v>A término</v>
      </c>
      <c r="J19" s="43" t="s">
        <v>296</v>
      </c>
      <c r="K19" s="43" t="s">
        <v>244</v>
      </c>
      <c r="M19" s="104">
        <v>45719.0</v>
      </c>
      <c r="N19" s="89">
        <v>4744208.0</v>
      </c>
      <c r="O19" s="105"/>
      <c r="P19" s="106">
        <f>IF(ISBLANK(N19), "", VLOOKUP(D19&amp;" "&amp;E19, 'Info Tipo de Cambio y REM'!$A$24:$B$35, 2, FALSE))
</f>
        <v>1230</v>
      </c>
      <c r="Q19" s="107">
        <f t="shared" si="3"/>
        <v>3857.079675</v>
      </c>
    </row>
    <row r="20" hidden="1">
      <c r="A20" s="43" t="s">
        <v>131</v>
      </c>
      <c r="B20" s="43" t="str">
        <f t="shared" si="1"/>
        <v>Clientes a cobrar</v>
      </c>
      <c r="C20" s="102" t="str">
        <f>IF(K20="", "", IFERROR(VLOOKUP(K20, Clasificaciones!D:E, 2, FALSE), "DATO NO CARGADO"))
</f>
        <v>Coelsa</v>
      </c>
      <c r="D20" s="51" t="s">
        <v>129</v>
      </c>
      <c r="E20" s="43">
        <v>2025.0</v>
      </c>
      <c r="F20" s="102"/>
      <c r="H20" s="103" t="str">
        <f t="shared" si="2"/>
        <v>A término</v>
      </c>
      <c r="J20" s="43" t="s">
        <v>297</v>
      </c>
      <c r="K20" s="43" t="s">
        <v>245</v>
      </c>
      <c r="M20" s="104">
        <v>45719.0</v>
      </c>
      <c r="N20" s="89">
        <v>4499766.0</v>
      </c>
      <c r="O20" s="105"/>
      <c r="P20" s="106">
        <f>IF(ISBLANK(N20), "", VLOOKUP(D20&amp;" "&amp;E20, 'Info Tipo de Cambio y REM'!$A$24:$B$35, 2, FALSE))
</f>
        <v>1230</v>
      </c>
      <c r="Q20" s="107">
        <f t="shared" si="3"/>
        <v>3658.346341</v>
      </c>
    </row>
    <row r="21" hidden="1">
      <c r="A21" s="43" t="s">
        <v>131</v>
      </c>
      <c r="B21" s="43" t="str">
        <f t="shared" si="1"/>
        <v>Clientes a cobrar</v>
      </c>
      <c r="C21" s="102" t="str">
        <f>IF(K21="", "", IFERROR(VLOOKUP(K21, Clasificaciones!D:E, 2, FALSE), "DATO NO CARGADO"))
</f>
        <v>Moreno Ocampo</v>
      </c>
      <c r="D21" s="51" t="s">
        <v>129</v>
      </c>
      <c r="E21" s="43">
        <v>2025.0</v>
      </c>
      <c r="F21" s="102"/>
      <c r="H21" s="103" t="str">
        <f t="shared" si="2"/>
        <v>A término</v>
      </c>
      <c r="J21" s="43" t="s">
        <v>290</v>
      </c>
      <c r="K21" s="43" t="s">
        <v>246</v>
      </c>
      <c r="M21" s="104">
        <v>45678.0</v>
      </c>
      <c r="N21" s="89"/>
      <c r="O21" s="106">
        <v>250.0</v>
      </c>
      <c r="P21" s="106" t="str">
        <f>IF(ISBLANK(N21), "", VLOOKUP(D21&amp;" "&amp;E21, 'Info Tipo de Cambio y REM'!$A$24:$B$35, 2, FALSE))
</f>
        <v/>
      </c>
      <c r="Q21" s="107">
        <f t="shared" si="3"/>
        <v>250</v>
      </c>
    </row>
    <row r="22">
      <c r="A22" s="43" t="s">
        <v>131</v>
      </c>
      <c r="B22" s="43" t="str">
        <f t="shared" si="1"/>
        <v>Clientes a cobrar</v>
      </c>
      <c r="C22" s="102" t="str">
        <f>IF(K22="", "", IFERROR(VLOOKUP(K22, Clasificaciones!D:E, 2, FALSE), "DATO NO CARGADO"))
</f>
        <v>Warner</v>
      </c>
      <c r="D22" s="51" t="s">
        <v>129</v>
      </c>
      <c r="E22" s="43">
        <v>2025.0</v>
      </c>
      <c r="F22" s="102"/>
      <c r="H22" s="103" t="str">
        <f t="shared" si="2"/>
        <v>A término</v>
      </c>
      <c r="J22" s="43" t="s">
        <v>292</v>
      </c>
      <c r="K22" s="43" t="s">
        <v>247</v>
      </c>
      <c r="M22" s="104">
        <v>45726.0</v>
      </c>
      <c r="N22" s="89"/>
      <c r="O22" s="106">
        <v>13450.0</v>
      </c>
      <c r="P22" s="106" t="str">
        <f>IF(ISBLANK(N22), "", VLOOKUP(D22&amp;" "&amp;E22, 'Info Tipo de Cambio y REM'!$A$24:$B$35, 2, FALSE))
</f>
        <v/>
      </c>
      <c r="Q22" s="107">
        <f t="shared" si="3"/>
        <v>13450</v>
      </c>
    </row>
    <row r="23">
      <c r="A23" s="43" t="s">
        <v>131</v>
      </c>
      <c r="B23" s="43" t="str">
        <f t="shared" si="1"/>
        <v>Clientes a cobrar</v>
      </c>
      <c r="C23" s="102" t="str">
        <f>IF(K23="", "", IFERROR(VLOOKUP(K23, Clasificaciones!D:E, 2, FALSE), "DATO NO CARGADO"))
</f>
        <v>Warner</v>
      </c>
      <c r="D23" s="51" t="s">
        <v>129</v>
      </c>
      <c r="E23" s="43">
        <v>2025.0</v>
      </c>
      <c r="F23" s="102"/>
      <c r="H23" s="103" t="str">
        <f t="shared" si="2"/>
        <v>A término</v>
      </c>
      <c r="J23" s="43" t="s">
        <v>293</v>
      </c>
      <c r="K23" s="43" t="s">
        <v>247</v>
      </c>
      <c r="M23" s="104">
        <v>45750.0</v>
      </c>
      <c r="N23" s="89"/>
      <c r="O23" s="106">
        <v>13450.0</v>
      </c>
      <c r="P23" s="106" t="str">
        <f>IF(ISBLANK(N23), "", VLOOKUP(D23&amp;" "&amp;E23, 'Info Tipo de Cambio y REM'!$A$24:$B$35, 2, FALSE))
</f>
        <v/>
      </c>
      <c r="Q23" s="107">
        <f t="shared" si="3"/>
        <v>13450</v>
      </c>
    </row>
    <row r="24">
      <c r="A24" s="43" t="s">
        <v>131</v>
      </c>
      <c r="B24" s="43" t="str">
        <f t="shared" si="1"/>
        <v>Clientes a cobrar</v>
      </c>
      <c r="C24" s="102" t="str">
        <f>IF(K24="", "", IFERROR(VLOOKUP(K24, Clasificaciones!D:E, 2, FALSE), "DATO NO CARGADO"))
</f>
        <v>Warner</v>
      </c>
      <c r="D24" s="51" t="s">
        <v>129</v>
      </c>
      <c r="E24" s="43">
        <v>2025.0</v>
      </c>
      <c r="F24" s="102"/>
      <c r="H24" s="103" t="str">
        <f t="shared" si="2"/>
        <v>A término</v>
      </c>
      <c r="J24" s="43" t="s">
        <v>298</v>
      </c>
      <c r="K24" s="43" t="s">
        <v>247</v>
      </c>
      <c r="M24" s="104">
        <v>45782.0</v>
      </c>
      <c r="N24" s="89"/>
      <c r="O24" s="106">
        <v>13450.0</v>
      </c>
      <c r="P24" s="106" t="str">
        <f>IF(ISBLANK(N24), "", VLOOKUP(D24&amp;" "&amp;E24, 'Info Tipo de Cambio y REM'!$A$24:$B$35, 2, FALSE))
</f>
        <v/>
      </c>
      <c r="Q24" s="107">
        <f t="shared" si="3"/>
        <v>13450</v>
      </c>
    </row>
    <row r="25" hidden="1">
      <c r="A25" s="43" t="s">
        <v>131</v>
      </c>
      <c r="B25" s="43" t="str">
        <f t="shared" si="1"/>
        <v>Clientes a cobrar</v>
      </c>
      <c r="C25" s="102" t="str">
        <f>IF(K25="", "", IFERROR(VLOOKUP(K25, Clasificaciones!D:E, 2, FALSE), "DATO NO CARGADO"))
</f>
        <v>Vertical Media</v>
      </c>
      <c r="D25" s="51" t="s">
        <v>129</v>
      </c>
      <c r="E25" s="43">
        <v>2025.0</v>
      </c>
      <c r="F25" s="102"/>
      <c r="H25" s="103" t="str">
        <f t="shared" si="2"/>
        <v>A término</v>
      </c>
      <c r="J25" s="43" t="s">
        <v>299</v>
      </c>
      <c r="K25" s="43" t="s">
        <v>248</v>
      </c>
      <c r="M25" s="104">
        <v>45719.0</v>
      </c>
      <c r="N25" s="89"/>
      <c r="O25" s="106">
        <v>1750.0</v>
      </c>
      <c r="P25" s="106" t="str">
        <f>IF(ISBLANK(N25), "", VLOOKUP(D25&amp;" "&amp;E25, 'Info Tipo de Cambio y REM'!$A$24:$B$35, 2, FALSE))
</f>
        <v/>
      </c>
      <c r="Q25" s="107">
        <f t="shared" si="3"/>
        <v>1750</v>
      </c>
    </row>
    <row r="26" hidden="1">
      <c r="A26" s="43" t="s">
        <v>130</v>
      </c>
      <c r="B26" s="43" t="str">
        <f t="shared" si="1"/>
        <v>Activo Liquido</v>
      </c>
      <c r="C26" s="102" t="str">
        <f>IF(K26="", "", IFERROR(VLOOKUP(K26, Clasificaciones!D:E, 2, FALSE), "DATO NO CARGADO"))
</f>
        <v/>
      </c>
      <c r="D26" s="51" t="s">
        <v>136</v>
      </c>
      <c r="E26" s="43">
        <v>2025.0</v>
      </c>
      <c r="F26" s="102"/>
      <c r="G26" s="103"/>
      <c r="H26" s="103" t="str">
        <f t="shared" si="2"/>
        <v>A término</v>
      </c>
      <c r="I26" s="103"/>
      <c r="M26" s="104"/>
      <c r="N26" s="89">
        <v>-429974.0</v>
      </c>
      <c r="O26" s="105"/>
      <c r="P26" s="106">
        <f>IF(ISBLANK(N26), "", VLOOKUP(D26&amp;" "&amp;E26, 'Info Tipo de Cambio y REM'!$A$24:$B$35, 2, FALSE))
</f>
        <v>1325</v>
      </c>
      <c r="Q26" s="107">
        <f t="shared" si="3"/>
        <v>-324.5086792</v>
      </c>
    </row>
    <row r="27" hidden="1">
      <c r="A27" s="43" t="s">
        <v>144</v>
      </c>
      <c r="B27" s="43" t="str">
        <f t="shared" si="1"/>
        <v>Activo Liquido</v>
      </c>
      <c r="C27" s="102" t="str">
        <f>IF(K27="", "", IFERROR(VLOOKUP(K27, Clasificaciones!D:E, 2, FALSE), "DATO NO CARGADO"))
</f>
        <v/>
      </c>
      <c r="D27" s="51" t="s">
        <v>136</v>
      </c>
      <c r="E27" s="43">
        <v>2025.0</v>
      </c>
      <c r="F27" s="102"/>
      <c r="G27" s="103"/>
      <c r="H27" s="103" t="str">
        <f t="shared" si="2"/>
        <v>A término</v>
      </c>
      <c r="I27" s="103"/>
      <c r="M27" s="104"/>
      <c r="N27" s="89"/>
      <c r="O27" s="106">
        <v>-26706.0</v>
      </c>
      <c r="P27" s="106" t="str">
        <f>IF(ISBLANK(N27), "", VLOOKUP(D27&amp;" "&amp;E27, 'Info Tipo de Cambio y REM'!$A$24:$B$35, 2, FALSE))
</f>
        <v/>
      </c>
      <c r="Q27" s="107">
        <f t="shared" si="3"/>
        <v>-26706</v>
      </c>
    </row>
    <row r="28" hidden="1">
      <c r="A28" s="43" t="s">
        <v>150</v>
      </c>
      <c r="B28" s="43" t="str">
        <f t="shared" si="1"/>
        <v>Activo Liquido</v>
      </c>
      <c r="C28" s="102" t="str">
        <f>IF(K28="", "", IFERROR(VLOOKUP(K28, Clasificaciones!D:E, 2, FALSE), "DATO NO CARGADO"))
</f>
        <v/>
      </c>
      <c r="D28" s="51" t="s">
        <v>136</v>
      </c>
      <c r="E28" s="43">
        <v>2025.0</v>
      </c>
      <c r="F28" s="102"/>
      <c r="G28" s="103"/>
      <c r="H28" s="103" t="str">
        <f t="shared" si="2"/>
        <v>A término</v>
      </c>
      <c r="I28" s="103"/>
      <c r="M28" s="104"/>
      <c r="N28" s="89"/>
      <c r="O28" s="106">
        <v>230.0</v>
      </c>
      <c r="P28" s="106" t="str">
        <f>IF(ISBLANK(N28), "", VLOOKUP(D28&amp;" "&amp;E28, 'Info Tipo de Cambio y REM'!$A$24:$B$35, 2, FALSE))
</f>
        <v/>
      </c>
      <c r="Q28" s="107">
        <f t="shared" si="3"/>
        <v>230</v>
      </c>
    </row>
    <row r="29" hidden="1">
      <c r="A29" s="43" t="s">
        <v>167</v>
      </c>
      <c r="B29" s="43" t="str">
        <f t="shared" si="1"/>
        <v>Mediano Plazo</v>
      </c>
      <c r="C29" s="102" t="str">
        <f>IF(K29="", "", IFERROR(VLOOKUP(K29, Clasificaciones!D:E, 2, FALSE), "DATO NO CARGADO"))
</f>
        <v/>
      </c>
      <c r="D29" s="51" t="s">
        <v>136</v>
      </c>
      <c r="E29" s="43">
        <v>2025.0</v>
      </c>
      <c r="F29" s="102"/>
      <c r="G29" s="103"/>
      <c r="H29" s="103" t="str">
        <f t="shared" si="2"/>
        <v>A término</v>
      </c>
      <c r="I29" s="103"/>
      <c r="M29" s="104"/>
      <c r="N29" s="89"/>
      <c r="O29" s="106">
        <v>2499.0</v>
      </c>
      <c r="P29" s="106" t="str">
        <f>IF(ISBLANK(N29), "", VLOOKUP(D29&amp;" "&amp;E29, 'Info Tipo de Cambio y REM'!$A$24:$B$35, 2, FALSE))
</f>
        <v/>
      </c>
      <c r="Q29" s="107">
        <f t="shared" si="3"/>
        <v>2499</v>
      </c>
    </row>
    <row r="30" hidden="1">
      <c r="A30" s="43" t="s">
        <v>131</v>
      </c>
      <c r="B30" s="43" t="str">
        <f t="shared" si="1"/>
        <v>Clientes a cobrar</v>
      </c>
      <c r="C30" s="102" t="str">
        <f>IF(K30="", "", IFERROR(VLOOKUP(K30, Clasificaciones!D:E, 2, FALSE), "DATO NO CARGADO"))
</f>
        <v>Play Digital S.A (Modo)</v>
      </c>
      <c r="D30" s="51" t="s">
        <v>136</v>
      </c>
      <c r="E30" s="43">
        <v>2025.0</v>
      </c>
      <c r="F30" s="102"/>
      <c r="G30" s="103"/>
      <c r="H30" s="103" t="str">
        <f t="shared" si="2"/>
        <v>A término</v>
      </c>
      <c r="I30" s="103"/>
      <c r="J30" s="43" t="s">
        <v>300</v>
      </c>
      <c r="K30" s="43" t="s">
        <v>244</v>
      </c>
      <c r="M30" s="104">
        <v>45752.0</v>
      </c>
      <c r="N30" s="89">
        <v>5095280.0</v>
      </c>
      <c r="O30" s="105"/>
      <c r="P30" s="106">
        <f>IF(ISBLANK(N30), "", VLOOKUP(D30&amp;" "&amp;E30, 'Info Tipo de Cambio y REM'!$A$24:$B$35, 2, FALSE))
</f>
        <v>1325</v>
      </c>
      <c r="Q30" s="107">
        <f t="shared" si="3"/>
        <v>3845.49434</v>
      </c>
    </row>
    <row r="31" hidden="1">
      <c r="A31" s="43" t="s">
        <v>131</v>
      </c>
      <c r="B31" s="43" t="str">
        <f t="shared" si="1"/>
        <v>Clientes a cobrar</v>
      </c>
      <c r="C31" s="102" t="str">
        <f>IF(K31="", "", IFERROR(VLOOKUP(K31, Clasificaciones!D:E, 2, FALSE), "DATO NO CARGADO"))
</f>
        <v>Coelsa</v>
      </c>
      <c r="D31" s="51" t="s">
        <v>136</v>
      </c>
      <c r="E31" s="43">
        <v>2025.0</v>
      </c>
      <c r="F31" s="102"/>
      <c r="G31" s="103"/>
      <c r="H31" s="103" t="str">
        <f t="shared" si="2"/>
        <v>A término</v>
      </c>
      <c r="I31" s="103"/>
      <c r="J31" s="43" t="s">
        <v>301</v>
      </c>
      <c r="K31" s="43" t="s">
        <v>245</v>
      </c>
      <c r="M31" s="104">
        <v>45752.0</v>
      </c>
      <c r="N31" s="89">
        <v>4832747.0</v>
      </c>
      <c r="O31" s="105"/>
      <c r="P31" s="106">
        <f>IF(ISBLANK(N31), "", VLOOKUP(D31&amp;" "&amp;E31, 'Info Tipo de Cambio y REM'!$A$24:$B$35, 2, FALSE))
</f>
        <v>1325</v>
      </c>
      <c r="Q31" s="107">
        <f t="shared" si="3"/>
        <v>3647.356226</v>
      </c>
    </row>
    <row r="32" hidden="1">
      <c r="A32" s="43" t="s">
        <v>131</v>
      </c>
      <c r="B32" s="43" t="str">
        <f t="shared" si="1"/>
        <v>Clientes a cobrar</v>
      </c>
      <c r="C32" s="102" t="str">
        <f>IF(K32="", "", IFERROR(VLOOKUP(K32, Clasificaciones!D:E, 2, FALSE), "DATO NO CARGADO"))
</f>
        <v>Arcos Dorados</v>
      </c>
      <c r="D32" s="51" t="s">
        <v>136</v>
      </c>
      <c r="E32" s="43">
        <v>2025.0</v>
      </c>
      <c r="F32" s="102"/>
      <c r="G32" s="103"/>
      <c r="H32" s="103" t="str">
        <f t="shared" si="2"/>
        <v>A término</v>
      </c>
      <c r="I32" s="103"/>
      <c r="J32" s="43" t="s">
        <v>302</v>
      </c>
      <c r="K32" s="43" t="s">
        <v>243</v>
      </c>
      <c r="M32" s="104">
        <v>45771.0</v>
      </c>
      <c r="N32" s="89">
        <v>4150300.0</v>
      </c>
      <c r="O32" s="105"/>
      <c r="P32" s="106">
        <f>IF(ISBLANK(N32), "", VLOOKUP(D32&amp;" "&amp;E32, 'Info Tipo de Cambio y REM'!$A$24:$B$35, 2, FALSE))
</f>
        <v>1325</v>
      </c>
      <c r="Q32" s="107">
        <f t="shared" si="3"/>
        <v>3132.301887</v>
      </c>
    </row>
    <row r="33" hidden="1">
      <c r="A33" s="43" t="s">
        <v>131</v>
      </c>
      <c r="B33" s="43" t="str">
        <f t="shared" si="1"/>
        <v>Clientes a cobrar</v>
      </c>
      <c r="C33" s="102" t="str">
        <f>IF(K33="", "", IFERROR(VLOOKUP(K33, Clasificaciones!D:E, 2, FALSE), "DATO NO CARGADO"))
</f>
        <v>Moreno Ocampo</v>
      </c>
      <c r="D33" s="51" t="s">
        <v>136</v>
      </c>
      <c r="E33" s="43">
        <v>2025.0</v>
      </c>
      <c r="F33" s="102"/>
      <c r="G33" s="103"/>
      <c r="H33" s="103" t="str">
        <f t="shared" si="2"/>
        <v>A término</v>
      </c>
      <c r="I33" s="103"/>
      <c r="J33" s="43" t="s">
        <v>290</v>
      </c>
      <c r="K33" s="43" t="s">
        <v>246</v>
      </c>
      <c r="M33" s="104">
        <v>45678.0</v>
      </c>
      <c r="N33" s="89"/>
      <c r="O33" s="106">
        <v>250.0</v>
      </c>
      <c r="P33" s="106" t="str">
        <f>IF(ISBLANK(N33), "", VLOOKUP(D33&amp;" "&amp;E33, 'Info Tipo de Cambio y REM'!$A$24:$B$35, 2, FALSE))
</f>
        <v/>
      </c>
      <c r="Q33" s="107">
        <f t="shared" si="3"/>
        <v>250</v>
      </c>
    </row>
    <row r="34">
      <c r="A34" s="43" t="s">
        <v>131</v>
      </c>
      <c r="B34" s="43" t="str">
        <f t="shared" si="1"/>
        <v>Clientes a cobrar</v>
      </c>
      <c r="C34" s="102" t="str">
        <f>IF(K34="", "", IFERROR(VLOOKUP(K34, Clasificaciones!D:E, 2, FALSE), "DATO NO CARGADO"))
</f>
        <v>Warner</v>
      </c>
      <c r="D34" s="51" t="s">
        <v>136</v>
      </c>
      <c r="E34" s="43">
        <v>2025.0</v>
      </c>
      <c r="F34" s="102"/>
      <c r="G34" s="103"/>
      <c r="H34" s="103" t="str">
        <f t="shared" si="2"/>
        <v>A término</v>
      </c>
      <c r="I34" s="103"/>
      <c r="J34" s="43" t="s">
        <v>292</v>
      </c>
      <c r="K34" s="43" t="s">
        <v>247</v>
      </c>
      <c r="M34" s="104">
        <v>45726.0</v>
      </c>
      <c r="N34" s="89"/>
      <c r="O34" s="106">
        <v>13450.0</v>
      </c>
      <c r="P34" s="106" t="str">
        <f>IF(ISBLANK(N34), "", VLOOKUP(D34&amp;" "&amp;E34, 'Info Tipo de Cambio y REM'!$A$24:$B$35, 2, FALSE))
</f>
        <v/>
      </c>
      <c r="Q34" s="107">
        <f t="shared" si="3"/>
        <v>13450</v>
      </c>
    </row>
    <row r="35">
      <c r="A35" s="43" t="s">
        <v>131</v>
      </c>
      <c r="B35" s="43" t="str">
        <f t="shared" si="1"/>
        <v>Clientes a cobrar</v>
      </c>
      <c r="C35" s="102" t="str">
        <f>IF(K35="", "", IFERROR(VLOOKUP(K35, Clasificaciones!D:E, 2, FALSE), "DATO NO CARGADO"))
</f>
        <v>Warner</v>
      </c>
      <c r="D35" s="51" t="s">
        <v>136</v>
      </c>
      <c r="E35" s="43">
        <v>2025.0</v>
      </c>
      <c r="F35" s="102"/>
      <c r="G35" s="103"/>
      <c r="H35" s="103" t="str">
        <f t="shared" si="2"/>
        <v>A término</v>
      </c>
      <c r="I35" s="103"/>
      <c r="J35" s="43" t="s">
        <v>293</v>
      </c>
      <c r="K35" s="43" t="s">
        <v>247</v>
      </c>
      <c r="M35" s="104">
        <v>45750.0</v>
      </c>
      <c r="N35" s="89"/>
      <c r="O35" s="106">
        <v>13450.0</v>
      </c>
      <c r="P35" s="106" t="str">
        <f>IF(ISBLANK(N35), "", VLOOKUP(D35&amp;" "&amp;E35, 'Info Tipo de Cambio y REM'!$A$24:$B$35, 2, FALSE))
</f>
        <v/>
      </c>
      <c r="Q35" s="107">
        <f t="shared" si="3"/>
        <v>13450</v>
      </c>
    </row>
    <row r="36">
      <c r="A36" s="43" t="s">
        <v>131</v>
      </c>
      <c r="B36" s="43" t="str">
        <f t="shared" si="1"/>
        <v>Clientes a cobrar</v>
      </c>
      <c r="C36" s="102" t="str">
        <f>IF(K36="", "", IFERROR(VLOOKUP(K36, Clasificaciones!D:E, 2, FALSE), "DATO NO CARGADO"))
</f>
        <v>Warner</v>
      </c>
      <c r="D36" s="51" t="s">
        <v>136</v>
      </c>
      <c r="E36" s="43">
        <v>2025.0</v>
      </c>
      <c r="F36" s="102"/>
      <c r="G36" s="103"/>
      <c r="H36" s="103" t="str">
        <f t="shared" si="2"/>
        <v>A término</v>
      </c>
      <c r="I36" s="103"/>
      <c r="J36" s="43" t="s">
        <v>298</v>
      </c>
      <c r="K36" s="43" t="s">
        <v>247</v>
      </c>
      <c r="M36" s="104">
        <v>45782.0</v>
      </c>
      <c r="N36" s="89"/>
      <c r="O36" s="106">
        <v>13450.0</v>
      </c>
      <c r="P36" s="106" t="str">
        <f>IF(ISBLANK(N36), "", VLOOKUP(D36&amp;" "&amp;E36, 'Info Tipo de Cambio y REM'!$A$24:$B$35, 2, FALSE))
</f>
        <v/>
      </c>
      <c r="Q36" s="107">
        <f t="shared" si="3"/>
        <v>13450</v>
      </c>
    </row>
    <row r="37">
      <c r="A37" s="43" t="s">
        <v>131</v>
      </c>
      <c r="B37" s="43" t="str">
        <f t="shared" si="1"/>
        <v>Clientes a cobrar</v>
      </c>
      <c r="C37" s="102" t="str">
        <f>IF(K37="", "", IFERROR(VLOOKUP(K37, Clasificaciones!D:E, 2, FALSE), "DATO NO CARGADO"))
</f>
        <v>Warner</v>
      </c>
      <c r="D37" s="51" t="s">
        <v>136</v>
      </c>
      <c r="E37" s="43">
        <v>2025.0</v>
      </c>
      <c r="F37" s="102"/>
      <c r="G37" s="103"/>
      <c r="H37" s="103" t="str">
        <f t="shared" si="2"/>
        <v>A término</v>
      </c>
      <c r="I37" s="103"/>
      <c r="J37" s="43" t="s">
        <v>303</v>
      </c>
      <c r="K37" s="43" t="s">
        <v>247</v>
      </c>
      <c r="M37" s="104">
        <v>45813.0</v>
      </c>
      <c r="N37" s="89"/>
      <c r="O37" s="106">
        <v>13450.0</v>
      </c>
      <c r="P37" s="106" t="str">
        <f>IF(ISBLANK(N37), "", VLOOKUP(D37&amp;" "&amp;E37, 'Info Tipo de Cambio y REM'!$A$24:$B$35, 2, FALSE))
</f>
        <v/>
      </c>
      <c r="Q37" s="107">
        <f t="shared" si="3"/>
        <v>13450</v>
      </c>
    </row>
    <row r="38" hidden="1">
      <c r="A38" s="43" t="s">
        <v>131</v>
      </c>
      <c r="B38" s="43" t="str">
        <f t="shared" si="1"/>
        <v>Clientes a cobrar</v>
      </c>
      <c r="C38" s="102" t="str">
        <f>IF(K38="", "", IFERROR(VLOOKUP(K38, Clasificaciones!D:E, 2, FALSE), "DATO NO CARGADO"))
</f>
        <v>Vertical Media</v>
      </c>
      <c r="D38" s="51" t="s">
        <v>136</v>
      </c>
      <c r="E38" s="43">
        <v>2025.0</v>
      </c>
      <c r="F38" s="102"/>
      <c r="G38" s="103"/>
      <c r="H38" s="103" t="str">
        <f t="shared" si="2"/>
        <v>A término</v>
      </c>
      <c r="I38" s="103"/>
      <c r="J38" s="43" t="s">
        <v>304</v>
      </c>
      <c r="K38" s="43" t="s">
        <v>248</v>
      </c>
      <c r="M38" s="104">
        <v>45757.0</v>
      </c>
      <c r="N38" s="89"/>
      <c r="O38" s="106">
        <v>1750.0</v>
      </c>
      <c r="P38" s="106" t="str">
        <f>IF(ISBLANK(N38), "", VLOOKUP(D38&amp;" "&amp;E38, 'Info Tipo de Cambio y REM'!$A$24:$B$35, 2, FALSE))
</f>
        <v/>
      </c>
      <c r="Q38" s="107">
        <f t="shared" si="3"/>
        <v>1750</v>
      </c>
    </row>
    <row r="39" hidden="1">
      <c r="A39" s="43" t="s">
        <v>130</v>
      </c>
      <c r="B39" s="43" t="str">
        <f t="shared" si="1"/>
        <v>Activo Liquido</v>
      </c>
      <c r="C39" s="102" t="str">
        <f>IF(K39="", "", IFERROR(VLOOKUP(K39, Clasificaciones!D:E, 2, FALSE), "DATO NO CARGADO"))
</f>
        <v/>
      </c>
      <c r="D39" s="51" t="s">
        <v>143</v>
      </c>
      <c r="E39" s="43">
        <v>2025.0</v>
      </c>
      <c r="F39" s="102"/>
      <c r="G39" s="103"/>
      <c r="H39" s="103" t="str">
        <f t="shared" si="2"/>
        <v>A término</v>
      </c>
      <c r="I39" s="103"/>
      <c r="M39" s="104"/>
      <c r="N39" s="89">
        <v>5365042.0</v>
      </c>
      <c r="O39" s="105"/>
      <c r="P39" s="106">
        <f>IF(ISBLANK(N39), "", VLOOKUP(D39&amp;" "&amp;E39, 'Info Tipo de Cambio y REM'!$A$24:$B$35, 2, FALSE))
</f>
        <v>1185</v>
      </c>
      <c r="Q39" s="107">
        <f t="shared" si="3"/>
        <v>4527.461603</v>
      </c>
    </row>
    <row r="40" hidden="1">
      <c r="A40" s="43" t="s">
        <v>144</v>
      </c>
      <c r="B40" s="43" t="str">
        <f t="shared" si="1"/>
        <v>Activo Liquido</v>
      </c>
      <c r="C40" s="102" t="str">
        <f>IF(K40="", "", IFERROR(VLOOKUP(K40, Clasificaciones!D:E, 2, FALSE), "DATO NO CARGADO"))
</f>
        <v/>
      </c>
      <c r="D40" s="51" t="s">
        <v>143</v>
      </c>
      <c r="E40" s="43">
        <v>2025.0</v>
      </c>
      <c r="F40" s="102"/>
      <c r="G40" s="103"/>
      <c r="H40" s="103" t="str">
        <f t="shared" si="2"/>
        <v>A término</v>
      </c>
      <c r="I40" s="103"/>
      <c r="M40" s="104"/>
      <c r="N40" s="89"/>
      <c r="O40" s="105">
        <v>-27709.0</v>
      </c>
      <c r="P40" s="106" t="str">
        <f>IF(ISBLANK(N40), "", VLOOKUP(D40&amp;" "&amp;E40, 'Info Tipo de Cambio y REM'!$A$24:$B$35, 2, FALSE))
</f>
        <v/>
      </c>
      <c r="Q40" s="107">
        <f t="shared" si="3"/>
        <v>-27709</v>
      </c>
    </row>
    <row r="41" hidden="1">
      <c r="A41" s="43" t="s">
        <v>150</v>
      </c>
      <c r="B41" s="43" t="str">
        <f t="shared" si="1"/>
        <v>Activo Liquido</v>
      </c>
      <c r="C41" s="102" t="str">
        <f>IF(K41="", "", IFERROR(VLOOKUP(K41, Clasificaciones!D:E, 2, FALSE), "DATO NO CARGADO"))
</f>
        <v/>
      </c>
      <c r="D41" s="51" t="s">
        <v>143</v>
      </c>
      <c r="E41" s="43">
        <v>2025.0</v>
      </c>
      <c r="F41" s="102"/>
      <c r="G41" s="103"/>
      <c r="H41" s="103" t="str">
        <f t="shared" si="2"/>
        <v>A término</v>
      </c>
      <c r="I41" s="103"/>
      <c r="M41" s="104"/>
      <c r="N41" s="89"/>
      <c r="O41" s="106">
        <v>230.0</v>
      </c>
      <c r="P41" s="106" t="str">
        <f>IF(ISBLANK(N41), "", VLOOKUP(D41&amp;" "&amp;E41, 'Info Tipo de Cambio y REM'!$A$24:$B$35, 2, FALSE))
</f>
        <v/>
      </c>
      <c r="Q41" s="107">
        <f t="shared" si="3"/>
        <v>230</v>
      </c>
      <c r="R41" s="108"/>
      <c r="S41" s="109"/>
    </row>
    <row r="42" hidden="1">
      <c r="A42" s="43" t="s">
        <v>167</v>
      </c>
      <c r="B42" s="43" t="str">
        <f t="shared" si="1"/>
        <v>Mediano Plazo</v>
      </c>
      <c r="C42" s="102" t="str">
        <f>IF(K42="", "", IFERROR(VLOOKUP(K42, Clasificaciones!D:E, 2, FALSE), "DATO NO CARGADO"))
</f>
        <v/>
      </c>
      <c r="D42" s="51" t="s">
        <v>143</v>
      </c>
      <c r="E42" s="43">
        <v>2025.0</v>
      </c>
      <c r="F42" s="102"/>
      <c r="G42" s="103"/>
      <c r="H42" s="103" t="str">
        <f t="shared" si="2"/>
        <v>A término</v>
      </c>
      <c r="I42" s="103"/>
      <c r="M42" s="104"/>
      <c r="N42" s="89"/>
      <c r="O42" s="106">
        <v>2517.0</v>
      </c>
      <c r="P42" s="106" t="str">
        <f>IF(ISBLANK(N42), "", VLOOKUP(D42&amp;" "&amp;E42, 'Info Tipo de Cambio y REM'!$A$24:$B$35, 2, FALSE))
</f>
        <v/>
      </c>
      <c r="Q42" s="107">
        <f t="shared" si="3"/>
        <v>2517</v>
      </c>
      <c r="R42" s="108"/>
      <c r="S42" s="109"/>
    </row>
    <row r="43">
      <c r="A43" s="43" t="s">
        <v>131</v>
      </c>
      <c r="B43" s="43" t="str">
        <f t="shared" si="1"/>
        <v>Clientes a cobrar</v>
      </c>
      <c r="C43" s="102" t="str">
        <f>IF(K43="", "", IFERROR(VLOOKUP(K43, Clasificaciones!D:E, 2, FALSE), "DATO NO CARGADO"))
</f>
        <v>Warner</v>
      </c>
      <c r="D43" s="51" t="s">
        <v>143</v>
      </c>
      <c r="E43" s="43">
        <v>2025.0</v>
      </c>
      <c r="F43" s="43" t="s">
        <v>305</v>
      </c>
      <c r="G43" s="110">
        <v>45779.0</v>
      </c>
      <c r="H43" s="103" t="str">
        <f t="shared" si="2"/>
        <v>A término</v>
      </c>
      <c r="I43" s="104">
        <v>45692.0</v>
      </c>
      <c r="J43" s="43" t="s">
        <v>298</v>
      </c>
      <c r="K43" s="43" t="s">
        <v>247</v>
      </c>
      <c r="M43" s="104">
        <v>45782.0</v>
      </c>
      <c r="N43" s="71"/>
      <c r="O43" s="106">
        <v>13450.0</v>
      </c>
      <c r="P43" s="106" t="str">
        <f>IF(ISBLANK(N43), "", VLOOKUP(D43&amp;" "&amp;E43, 'Info Tipo de Cambio y REM'!$A$24:$B$35, 2, FALSE))
</f>
        <v/>
      </c>
      <c r="Q43" s="107">
        <f t="shared" si="3"/>
        <v>13450</v>
      </c>
      <c r="R43" s="108"/>
      <c r="S43" s="109"/>
    </row>
    <row r="44">
      <c r="A44" s="43" t="s">
        <v>131</v>
      </c>
      <c r="B44" s="43" t="str">
        <f t="shared" si="1"/>
        <v>Clientes a cobrar</v>
      </c>
      <c r="C44" s="102" t="str">
        <f>IF(K44="", "", IFERROR(VLOOKUP(K44, Clasificaciones!D:E, 2, FALSE), "DATO NO CARGADO"))
</f>
        <v>Warner</v>
      </c>
      <c r="D44" s="51" t="s">
        <v>143</v>
      </c>
      <c r="E44" s="43">
        <v>2025.0</v>
      </c>
      <c r="F44" s="43" t="s">
        <v>305</v>
      </c>
      <c r="G44" s="110">
        <v>45840.0</v>
      </c>
      <c r="H44" s="103" t="str">
        <f t="shared" si="2"/>
        <v>Vencido</v>
      </c>
      <c r="I44" s="104">
        <v>45723.0</v>
      </c>
      <c r="J44" s="43" t="s">
        <v>303</v>
      </c>
      <c r="K44" s="43" t="s">
        <v>247</v>
      </c>
      <c r="M44" s="104">
        <v>45813.0</v>
      </c>
      <c r="N44" s="71"/>
      <c r="O44" s="106">
        <v>13450.0</v>
      </c>
      <c r="P44" s="106" t="str">
        <f>IF(ISBLANK(N44), "", VLOOKUP(D44&amp;" "&amp;E44, 'Info Tipo de Cambio y REM'!$A$24:$B$35, 2, FALSE))
</f>
        <v/>
      </c>
      <c r="Q44" s="107">
        <f t="shared" si="3"/>
        <v>13450</v>
      </c>
      <c r="R44" s="108"/>
      <c r="S44" s="109"/>
    </row>
    <row r="45">
      <c r="A45" s="43" t="s">
        <v>131</v>
      </c>
      <c r="B45" s="43" t="str">
        <f t="shared" si="1"/>
        <v>Clientes a cobrar</v>
      </c>
      <c r="C45" s="102" t="str">
        <f>IF(K45="", "", IFERROR(VLOOKUP(K45, Clasificaciones!D:E, 2, FALSE), "DATO NO CARGADO"))
</f>
        <v>Warner</v>
      </c>
      <c r="D45" s="51" t="s">
        <v>143</v>
      </c>
      <c r="E45" s="43">
        <v>2025.0</v>
      </c>
      <c r="F45" s="43" t="s">
        <v>305</v>
      </c>
      <c r="G45" s="110">
        <v>45845.0</v>
      </c>
      <c r="H45" s="103" t="str">
        <f t="shared" si="2"/>
        <v>Vencido</v>
      </c>
      <c r="I45" s="104">
        <v>45751.0</v>
      </c>
      <c r="J45" s="43" t="s">
        <v>306</v>
      </c>
      <c r="K45" s="43" t="s">
        <v>247</v>
      </c>
      <c r="M45" s="104">
        <v>45841.0</v>
      </c>
      <c r="N45" s="71"/>
      <c r="O45" s="106">
        <v>13450.0</v>
      </c>
      <c r="P45" s="106" t="str">
        <f>IF(ISBLANK(N45), "", VLOOKUP(D45&amp;" "&amp;E45, 'Info Tipo de Cambio y REM'!$A$24:$B$35, 2, FALSE))
</f>
        <v/>
      </c>
      <c r="Q45" s="107">
        <f t="shared" si="3"/>
        <v>13450</v>
      </c>
      <c r="R45" s="108"/>
      <c r="S45" s="109"/>
    </row>
    <row r="46">
      <c r="A46" s="43" t="s">
        <v>131</v>
      </c>
      <c r="B46" s="43" t="str">
        <f t="shared" si="1"/>
        <v>Clientes a cobrar</v>
      </c>
      <c r="C46" s="102" t="str">
        <f>IF(K46="", "", IFERROR(VLOOKUP(K46, Clasificaciones!D:E, 2, FALSE), "DATO NO CARGADO"))
</f>
        <v>Warner</v>
      </c>
      <c r="D46" s="51" t="s">
        <v>143</v>
      </c>
      <c r="E46" s="43">
        <v>2025.0</v>
      </c>
      <c r="F46" s="43" t="s">
        <v>305</v>
      </c>
      <c r="G46" s="104">
        <v>45861.0</v>
      </c>
      <c r="H46" s="103" t="str">
        <f t="shared" si="2"/>
        <v>A término</v>
      </c>
      <c r="I46" s="104">
        <v>45770.0</v>
      </c>
      <c r="J46" s="43" t="s">
        <v>307</v>
      </c>
      <c r="K46" s="43" t="s">
        <v>247</v>
      </c>
      <c r="M46" s="104">
        <v>45865.0</v>
      </c>
      <c r="N46" s="71"/>
      <c r="O46" s="106">
        <v>1300.0</v>
      </c>
      <c r="P46" s="106" t="str">
        <f>IF(ISBLANK(N46), "", VLOOKUP(D46&amp;" "&amp;E46, 'Info Tipo de Cambio y REM'!$A$24:$B$35, 2, FALSE))
</f>
        <v/>
      </c>
      <c r="Q46" s="107">
        <f t="shared" si="3"/>
        <v>1300</v>
      </c>
      <c r="R46" s="108"/>
      <c r="S46" s="109"/>
    </row>
    <row r="47" hidden="1">
      <c r="A47" s="43" t="s">
        <v>131</v>
      </c>
      <c r="B47" s="43" t="str">
        <f t="shared" si="1"/>
        <v>Clientes a cobrar</v>
      </c>
      <c r="C47" s="102" t="str">
        <f>IF(K47="", "", IFERROR(VLOOKUP(K47, Clasificaciones!D:E, 2, FALSE), "DATO NO CARGADO"))
</f>
        <v>Moreno Ocampo</v>
      </c>
      <c r="D47" s="51" t="s">
        <v>143</v>
      </c>
      <c r="E47" s="43">
        <v>2025.0</v>
      </c>
      <c r="F47" s="43" t="s">
        <v>305</v>
      </c>
      <c r="G47" s="104">
        <v>45894.0</v>
      </c>
      <c r="H47" s="103" t="str">
        <f t="shared" si="2"/>
        <v>Vencido</v>
      </c>
      <c r="I47" s="104">
        <v>45649.0</v>
      </c>
      <c r="J47" s="43" t="s">
        <v>290</v>
      </c>
      <c r="K47" s="43" t="s">
        <v>246</v>
      </c>
      <c r="M47" s="104">
        <v>45678.0</v>
      </c>
      <c r="N47" s="71"/>
      <c r="O47" s="106">
        <v>250.0</v>
      </c>
      <c r="P47" s="106" t="str">
        <f>IF(ISBLANK(N47), "", VLOOKUP(D47&amp;" "&amp;E47, 'Info Tipo de Cambio y REM'!$A$24:$B$35, 2, FALSE))
</f>
        <v/>
      </c>
      <c r="Q47" s="107">
        <f t="shared" si="3"/>
        <v>250</v>
      </c>
      <c r="R47" s="108"/>
      <c r="S47" s="109"/>
    </row>
    <row r="48" hidden="1">
      <c r="A48" s="43" t="s">
        <v>131</v>
      </c>
      <c r="B48" s="43" t="str">
        <f t="shared" si="1"/>
        <v>Clientes a cobrar</v>
      </c>
      <c r="C48" s="102" t="str">
        <f>IF(K48="", "", IFERROR(VLOOKUP(K48, Clasificaciones!D:E, 2, FALSE), "DATO NO CARGADO"))
</f>
        <v>Coelsa</v>
      </c>
      <c r="D48" s="51" t="s">
        <v>143</v>
      </c>
      <c r="E48" s="43">
        <v>2025.0</v>
      </c>
      <c r="F48" s="102"/>
      <c r="G48" s="104"/>
      <c r="H48" s="103" t="str">
        <f t="shared" si="2"/>
        <v>A término</v>
      </c>
      <c r="I48" s="104">
        <v>45748.0</v>
      </c>
      <c r="J48" s="43" t="s">
        <v>308</v>
      </c>
      <c r="K48" s="43" t="s">
        <v>245</v>
      </c>
      <c r="M48" s="104">
        <v>45778.0</v>
      </c>
      <c r="N48" s="89">
        <v>4832747.0</v>
      </c>
      <c r="O48" s="105"/>
      <c r="P48" s="106">
        <f>IF(ISBLANK(N48), "", VLOOKUP(D48&amp;" "&amp;E48, 'Info Tipo de Cambio y REM'!$A$24:$B$35, 2, FALSE))
</f>
        <v>1185</v>
      </c>
      <c r="Q48" s="107">
        <f t="shared" si="3"/>
        <v>4078.267511</v>
      </c>
    </row>
    <row r="49" hidden="1">
      <c r="A49" s="43" t="s">
        <v>131</v>
      </c>
      <c r="B49" s="43" t="str">
        <f t="shared" si="1"/>
        <v>Clientes a cobrar</v>
      </c>
      <c r="C49" s="102" t="str">
        <f>IF(K49="", "", IFERROR(VLOOKUP(K49, Clasificaciones!D:E, 2, FALSE), "DATO NO CARGADO"))
</f>
        <v>Coca-Cola</v>
      </c>
      <c r="D49" s="51" t="s">
        <v>143</v>
      </c>
      <c r="E49" s="43">
        <v>2025.0</v>
      </c>
      <c r="F49" s="43" t="s">
        <v>305</v>
      </c>
      <c r="G49" s="104"/>
      <c r="H49" s="103" t="str">
        <f t="shared" si="2"/>
        <v>Vencido</v>
      </c>
      <c r="I49" s="104">
        <v>45775.0</v>
      </c>
      <c r="J49" s="43" t="s">
        <v>309</v>
      </c>
      <c r="K49" s="43" t="s">
        <v>252</v>
      </c>
      <c r="M49" s="104">
        <v>45860.0</v>
      </c>
      <c r="N49" s="71"/>
      <c r="O49" s="106">
        <v>5568.0</v>
      </c>
      <c r="P49" s="106" t="str">
        <f>IF(ISBLANK(N49), "", VLOOKUP(D49&amp;" "&amp;E49, 'Info Tipo de Cambio y REM'!$A$24:$B$35, 2, FALSE))
</f>
        <v/>
      </c>
      <c r="Q49" s="107">
        <f t="shared" si="3"/>
        <v>5568</v>
      </c>
    </row>
    <row r="50" hidden="1">
      <c r="A50" s="43" t="s">
        <v>131</v>
      </c>
      <c r="B50" s="43" t="str">
        <f t="shared" si="1"/>
        <v>Clientes a cobrar</v>
      </c>
      <c r="C50" s="102" t="str">
        <f>IF(K50="", "", IFERROR(VLOOKUP(K50, Clasificaciones!D:E, 2, FALSE), "DATO NO CARGADO"))
</f>
        <v>Play Digital S.A (Modo)</v>
      </c>
      <c r="D50" s="51" t="s">
        <v>149</v>
      </c>
      <c r="E50" s="43">
        <v>2025.0</v>
      </c>
      <c r="F50" s="43" t="s">
        <v>305</v>
      </c>
      <c r="G50" s="104">
        <v>45811.0</v>
      </c>
      <c r="H50" s="103" t="str">
        <f t="shared" si="2"/>
        <v>A término</v>
      </c>
      <c r="I50" s="104">
        <v>45782.0</v>
      </c>
      <c r="J50" s="64" t="s">
        <v>310</v>
      </c>
      <c r="K50" s="111" t="s">
        <v>244</v>
      </c>
      <c r="M50" s="104">
        <v>45813.0</v>
      </c>
      <c r="N50" s="89">
        <v>5095279.7</v>
      </c>
      <c r="O50" s="105"/>
      <c r="P50" s="106">
        <f>IF(ISBLANK(N50), "", VLOOKUP(D50&amp;" "&amp;E50, 'Info Tipo de Cambio y REM'!$A$24:$B$35, 2, FALSE))
</f>
        <v>1180</v>
      </c>
      <c r="Q50" s="107">
        <f t="shared" si="3"/>
        <v>4318.033644</v>
      </c>
    </row>
    <row r="51" hidden="1">
      <c r="A51" s="43" t="s">
        <v>131</v>
      </c>
      <c r="B51" s="43" t="str">
        <f t="shared" si="1"/>
        <v>Clientes a cobrar</v>
      </c>
      <c r="C51" s="102" t="str">
        <f>IF(K51="", "", IFERROR(VLOOKUP(K51, Clasificaciones!D:E, 2, FALSE), "DATO NO CARGADO"))
</f>
        <v>Coelsa</v>
      </c>
      <c r="D51" s="51" t="s">
        <v>149</v>
      </c>
      <c r="E51" s="43">
        <v>2025.0</v>
      </c>
      <c r="F51" s="43" t="s">
        <v>311</v>
      </c>
      <c r="G51" s="104"/>
      <c r="H51" s="103" t="str">
        <f t="shared" si="2"/>
        <v>A término</v>
      </c>
      <c r="I51" s="104">
        <v>45782.0</v>
      </c>
      <c r="J51" s="64" t="s">
        <v>312</v>
      </c>
      <c r="K51" s="64" t="s">
        <v>245</v>
      </c>
      <c r="M51" s="104">
        <v>45813.0</v>
      </c>
      <c r="N51" s="89">
        <v>4832747.2</v>
      </c>
      <c r="O51" s="105"/>
      <c r="P51" s="106">
        <f>IF(ISBLANK(N51), "", VLOOKUP(D51&amp;" "&amp;E51, 'Info Tipo de Cambio y REM'!$A$24:$B$35, 2, FALSE))
</f>
        <v>1180</v>
      </c>
      <c r="Q51" s="107">
        <f t="shared" si="3"/>
        <v>4095.548475</v>
      </c>
    </row>
    <row r="52" hidden="1">
      <c r="A52" s="43" t="s">
        <v>131</v>
      </c>
      <c r="B52" s="43" t="str">
        <f t="shared" si="1"/>
        <v>Clientes a cobrar</v>
      </c>
      <c r="C52" s="102" t="str">
        <f>IF(K52="", "", IFERROR(VLOOKUP(K52, Clasificaciones!D:E, 2, FALSE), "DATO NO CARGADO"))
</f>
        <v>Vertical Media</v>
      </c>
      <c r="D52" s="51" t="s">
        <v>149</v>
      </c>
      <c r="E52" s="43">
        <v>2025.0</v>
      </c>
      <c r="F52" s="43" t="s">
        <v>311</v>
      </c>
      <c r="G52" s="104"/>
      <c r="H52" s="103" t="str">
        <f t="shared" si="2"/>
        <v>A término</v>
      </c>
      <c r="I52" s="104">
        <v>45782.0</v>
      </c>
      <c r="J52" s="43" t="s">
        <v>313</v>
      </c>
      <c r="K52" s="43" t="s">
        <v>249</v>
      </c>
      <c r="M52" s="104">
        <v>45814.0</v>
      </c>
      <c r="N52" s="71"/>
      <c r="O52" s="106">
        <v>1750.0</v>
      </c>
      <c r="P52" s="106" t="str">
        <f>IF(ISBLANK(N52), "", VLOOKUP(D52&amp;" "&amp;E52, 'Info Tipo de Cambio y REM'!$A$24:$B$35, 2, FALSE))
</f>
        <v/>
      </c>
      <c r="Q52" s="107">
        <f t="shared" si="3"/>
        <v>1750</v>
      </c>
    </row>
    <row r="53" hidden="1">
      <c r="A53" s="43" t="s">
        <v>131</v>
      </c>
      <c r="B53" s="43" t="str">
        <f t="shared" si="1"/>
        <v>Clientes a cobrar</v>
      </c>
      <c r="C53" s="102" t="str">
        <f>IF(K53="", "", IFERROR(VLOOKUP(K53, Clasificaciones!D:E, 2, FALSE), "DATO NO CARGADO"))
</f>
        <v>Detroit</v>
      </c>
      <c r="D53" s="51" t="s">
        <v>149</v>
      </c>
      <c r="E53" s="43">
        <v>2025.0</v>
      </c>
      <c r="F53" s="43" t="s">
        <v>311</v>
      </c>
      <c r="G53" s="104"/>
      <c r="H53" s="103" t="str">
        <f t="shared" si="2"/>
        <v>A término</v>
      </c>
      <c r="I53" s="104">
        <v>45779.0</v>
      </c>
      <c r="J53" s="43" t="s">
        <v>314</v>
      </c>
      <c r="K53" s="43" t="s">
        <v>251</v>
      </c>
      <c r="M53" s="104">
        <v>45809.0</v>
      </c>
      <c r="N53" s="89">
        <v>771250.0</v>
      </c>
      <c r="O53" s="105"/>
      <c r="P53" s="106">
        <f>IF(ISBLANK(N53), "", VLOOKUP(D53&amp;" "&amp;E53, 'Info Tipo de Cambio y REM'!$A$24:$B$35, 2, FALSE))
</f>
        <v>1180</v>
      </c>
      <c r="Q53" s="107">
        <f t="shared" si="3"/>
        <v>653.6016949</v>
      </c>
    </row>
    <row r="54" hidden="1">
      <c r="A54" s="43" t="s">
        <v>130</v>
      </c>
      <c r="B54" s="43" t="str">
        <f t="shared" si="1"/>
        <v>Activo Liquido</v>
      </c>
      <c r="C54" s="102" t="str">
        <f>IF(K54="", "", IFERROR(VLOOKUP(K54, Clasificaciones!D:E, 2, FALSE), "DATO NO CARGADO"))
</f>
        <v/>
      </c>
      <c r="D54" s="51" t="s">
        <v>149</v>
      </c>
      <c r="E54" s="43">
        <v>2025.0</v>
      </c>
      <c r="F54" s="102"/>
      <c r="H54" s="103" t="str">
        <f t="shared" si="2"/>
        <v>A término</v>
      </c>
      <c r="M54" s="103"/>
      <c r="N54" s="112">
        <v>7822062.0</v>
      </c>
      <c r="O54" s="107"/>
      <c r="P54" s="106">
        <f>IF(ISBLANK(N54), "", VLOOKUP(D54&amp;" "&amp;E54, 'Info Tipo de Cambio y REM'!$A$24:$B$35, 2, FALSE))
</f>
        <v>1180</v>
      </c>
      <c r="Q54" s="107">
        <f t="shared" si="3"/>
        <v>6628.866102</v>
      </c>
    </row>
    <row r="55" hidden="1">
      <c r="A55" s="43" t="s">
        <v>144</v>
      </c>
      <c r="B55" s="43" t="str">
        <f t="shared" si="1"/>
        <v>Activo Liquido</v>
      </c>
      <c r="C55" s="102" t="str">
        <f>IF(K55="", "", IFERROR(VLOOKUP(K55, Clasificaciones!D:E, 2, FALSE), "DATO NO CARGADO"))
</f>
        <v/>
      </c>
      <c r="D55" s="51" t="s">
        <v>149</v>
      </c>
      <c r="E55" s="43">
        <v>2025.0</v>
      </c>
      <c r="F55" s="102"/>
      <c r="H55" s="103" t="str">
        <f t="shared" si="2"/>
        <v>A término</v>
      </c>
      <c r="M55" s="103"/>
      <c r="N55" s="113"/>
      <c r="O55" s="114">
        <v>-49062.0</v>
      </c>
      <c r="P55" s="106" t="str">
        <f>IF(ISBLANK(N55), "", VLOOKUP(D55&amp;" "&amp;E55, 'Info Tipo de Cambio y REM'!$A$24:$B$35, 2, FALSE))
</f>
        <v/>
      </c>
      <c r="Q55" s="107">
        <f t="shared" si="3"/>
        <v>-49062</v>
      </c>
    </row>
    <row r="56" hidden="1">
      <c r="A56" s="43" t="s">
        <v>167</v>
      </c>
      <c r="B56" s="43" t="str">
        <f t="shared" si="1"/>
        <v>Mediano Plazo</v>
      </c>
      <c r="C56" s="102" t="str">
        <f>IF(K56="", "", IFERROR(VLOOKUP(K56, Clasificaciones!D:E, 2, FALSE), "DATO NO CARGADO"))
</f>
        <v/>
      </c>
      <c r="D56" s="51" t="s">
        <v>149</v>
      </c>
      <c r="E56" s="43">
        <v>2025.0</v>
      </c>
      <c r="F56" s="102"/>
      <c r="G56" s="103"/>
      <c r="H56" s="103" t="str">
        <f t="shared" si="2"/>
        <v>A término</v>
      </c>
      <c r="I56" s="103"/>
      <c r="M56" s="103"/>
      <c r="N56" s="113"/>
      <c r="O56" s="114">
        <v>2682.0</v>
      </c>
      <c r="P56" s="106" t="str">
        <f>IF(ISBLANK(N56), "", VLOOKUP(D56&amp;" "&amp;E56, 'Info Tipo de Cambio y REM'!$A$24:$B$35, 2, FALSE))
</f>
        <v/>
      </c>
      <c r="Q56" s="107">
        <f t="shared" si="3"/>
        <v>2682</v>
      </c>
    </row>
    <row r="57" hidden="1">
      <c r="A57" s="43" t="s">
        <v>131</v>
      </c>
      <c r="B57" s="43" t="str">
        <f t="shared" si="1"/>
        <v>Clientes a cobrar</v>
      </c>
      <c r="C57" s="102" t="str">
        <f>IF(K57="", "", IFERROR(VLOOKUP(K57, Clasificaciones!D:E, 2, FALSE), "DATO NO CARGADO"))
</f>
        <v>Play Digital S.A (Modo)</v>
      </c>
      <c r="D57" s="51" t="s">
        <v>155</v>
      </c>
      <c r="E57" s="43">
        <v>2025.0</v>
      </c>
      <c r="F57" s="43" t="s">
        <v>305</v>
      </c>
      <c r="G57" s="104">
        <v>45846.0</v>
      </c>
      <c r="H57" s="103" t="str">
        <f t="shared" si="2"/>
        <v>Vencido</v>
      </c>
      <c r="I57" s="104">
        <v>45810.0</v>
      </c>
      <c r="J57" s="64" t="s">
        <v>315</v>
      </c>
      <c r="K57" s="43" t="s">
        <v>244</v>
      </c>
      <c r="M57" s="104">
        <v>45840.0</v>
      </c>
      <c r="N57" s="112">
        <v>5562007.0</v>
      </c>
      <c r="O57" s="105"/>
      <c r="P57" s="106">
        <f>IF(ISBLANK(N57), "", VLOOKUP(D57&amp;" "&amp;E57, 'Info Tipo de Cambio y REM'!$A$24:$B$35, 2, FALSE))
</f>
        <v>1215</v>
      </c>
      <c r="Q57" s="107">
        <f t="shared" si="3"/>
        <v>4577.783539</v>
      </c>
    </row>
    <row r="58" hidden="1">
      <c r="A58" s="43" t="s">
        <v>131</v>
      </c>
      <c r="B58" s="43" t="str">
        <f t="shared" si="1"/>
        <v>Clientes a cobrar</v>
      </c>
      <c r="C58" s="102" t="str">
        <f>IF(K58="", "", IFERROR(VLOOKUP(K58, Clasificaciones!D:E, 2, FALSE), "DATO NO CARGADO"))
</f>
        <v>Coelsa</v>
      </c>
      <c r="D58" s="51" t="s">
        <v>155</v>
      </c>
      <c r="E58" s="43">
        <v>2025.0</v>
      </c>
      <c r="F58" s="43" t="s">
        <v>311</v>
      </c>
      <c r="G58" s="104"/>
      <c r="H58" s="103" t="str">
        <f t="shared" si="2"/>
        <v>A término</v>
      </c>
      <c r="I58" s="104">
        <v>45810.0</v>
      </c>
      <c r="J58" s="64" t="s">
        <v>316</v>
      </c>
      <c r="K58" s="43" t="s">
        <v>245</v>
      </c>
      <c r="M58" s="104">
        <v>45840.0</v>
      </c>
      <c r="N58" s="112">
        <v>5275425.76</v>
      </c>
      <c r="O58" s="105"/>
      <c r="P58" s="106">
        <f>IF(ISBLANK(N58), "", VLOOKUP(D58&amp;" "&amp;E58, 'Info Tipo de Cambio y REM'!$A$24:$B$35, 2, FALSE))
</f>
        <v>1215</v>
      </c>
      <c r="Q58" s="107">
        <f t="shared" si="3"/>
        <v>4341.914206</v>
      </c>
    </row>
    <row r="59" hidden="1">
      <c r="A59" s="43" t="s">
        <v>131</v>
      </c>
      <c r="B59" s="43" t="str">
        <f t="shared" si="1"/>
        <v>Clientes a cobrar</v>
      </c>
      <c r="C59" s="102" t="str">
        <f>IF(K59="", "", IFERROR(VLOOKUP(K59, Clasificaciones!D:E, 2, FALSE), "DATO NO CARGADO"))
</f>
        <v>Detroit</v>
      </c>
      <c r="D59" s="51" t="s">
        <v>155</v>
      </c>
      <c r="E59" s="43">
        <v>2025.0</v>
      </c>
      <c r="F59" s="43" t="s">
        <v>311</v>
      </c>
      <c r="G59" s="104"/>
      <c r="H59" s="103" t="str">
        <f t="shared" si="2"/>
        <v>A término</v>
      </c>
      <c r="I59" s="104">
        <v>45810.0</v>
      </c>
      <c r="J59" s="43" t="s">
        <v>317</v>
      </c>
      <c r="K59" s="43" t="s">
        <v>251</v>
      </c>
      <c r="M59" s="104">
        <v>45840.0</v>
      </c>
      <c r="N59" s="112">
        <v>1071885.0</v>
      </c>
      <c r="O59" s="105"/>
      <c r="P59" s="106">
        <f>IF(ISBLANK(N59), "", VLOOKUP(D59&amp;" "&amp;E59, 'Info Tipo de Cambio y REM'!$A$24:$B$35, 2, FALSE))
</f>
        <v>1215</v>
      </c>
      <c r="Q59" s="107">
        <f t="shared" si="3"/>
        <v>882.2098765</v>
      </c>
    </row>
    <row r="60" hidden="1">
      <c r="A60" s="43" t="s">
        <v>131</v>
      </c>
      <c r="B60" s="43" t="str">
        <f t="shared" si="1"/>
        <v>Clientes a cobrar</v>
      </c>
      <c r="C60" s="102" t="str">
        <f>IF(K60="", "", IFERROR(VLOOKUP(K60, Clasificaciones!D:E, 2, FALSE), "DATO NO CARGADO"))
</f>
        <v>Vertical Media</v>
      </c>
      <c r="D60" s="51" t="s">
        <v>155</v>
      </c>
      <c r="E60" s="43">
        <v>2025.0</v>
      </c>
      <c r="F60" s="43" t="s">
        <v>311</v>
      </c>
      <c r="G60" s="104"/>
      <c r="H60" s="103" t="str">
        <f t="shared" si="2"/>
        <v>A término</v>
      </c>
      <c r="I60" s="104">
        <v>45810.0</v>
      </c>
      <c r="J60" s="43" t="s">
        <v>318</v>
      </c>
      <c r="K60" s="43" t="s">
        <v>249</v>
      </c>
      <c r="M60" s="104">
        <v>45840.0</v>
      </c>
      <c r="N60" s="113"/>
      <c r="O60" s="114">
        <v>1750.0</v>
      </c>
      <c r="P60" s="106" t="str">
        <f>IF(ISBLANK(N60), "", VLOOKUP(D60&amp;" "&amp;E60, 'Info Tipo de Cambio y REM'!$A$24:$B$35, 2, FALSE))
</f>
        <v/>
      </c>
      <c r="Q60" s="107">
        <f t="shared" si="3"/>
        <v>1750</v>
      </c>
    </row>
    <row r="61" hidden="1">
      <c r="A61" s="43" t="s">
        <v>131</v>
      </c>
      <c r="B61" s="43" t="str">
        <f t="shared" si="1"/>
        <v>Clientes a cobrar</v>
      </c>
      <c r="C61" s="102" t="str">
        <f>IF(K61="", "", IFERROR(VLOOKUP(K61, Clasificaciones!D:E, 2, FALSE), "DATO NO CARGADO"))
</f>
        <v>Uber</v>
      </c>
      <c r="D61" s="51" t="s">
        <v>155</v>
      </c>
      <c r="E61" s="43">
        <v>2025.0</v>
      </c>
      <c r="F61" s="43" t="s">
        <v>305</v>
      </c>
      <c r="G61" s="104">
        <v>45884.0</v>
      </c>
      <c r="H61" s="103" t="str">
        <f t="shared" si="2"/>
        <v>A término</v>
      </c>
      <c r="I61" s="104">
        <v>45827.0</v>
      </c>
      <c r="J61" s="43" t="s">
        <v>319</v>
      </c>
      <c r="K61" s="43" t="s">
        <v>250</v>
      </c>
      <c r="M61" s="104">
        <v>45888.0</v>
      </c>
      <c r="N61" s="113"/>
      <c r="O61" s="114">
        <v>7350.0</v>
      </c>
      <c r="P61" s="106" t="str">
        <f>IF(ISBLANK(N61), "", VLOOKUP(D61&amp;" "&amp;E61, 'Info Tipo de Cambio y REM'!$A$24:$B$35, 2, FALSE))
</f>
        <v/>
      </c>
      <c r="Q61" s="107">
        <f t="shared" si="3"/>
        <v>7350</v>
      </c>
    </row>
    <row r="62" hidden="1">
      <c r="A62" s="43" t="s">
        <v>131</v>
      </c>
      <c r="B62" s="43" t="str">
        <f t="shared" si="1"/>
        <v>Clientes a cobrar</v>
      </c>
      <c r="C62" s="102" t="str">
        <f>IF(K62="", "", IFERROR(VLOOKUP(K62, Clasificaciones!D:E, 2, FALSE), "DATO NO CARGADO"))
</f>
        <v>Detroit</v>
      </c>
      <c r="D62" s="51" t="s">
        <v>155</v>
      </c>
      <c r="E62" s="43">
        <v>2025.0</v>
      </c>
      <c r="F62" s="43" t="s">
        <v>311</v>
      </c>
      <c r="G62" s="104"/>
      <c r="H62" s="103" t="str">
        <f t="shared" si="2"/>
        <v>A término</v>
      </c>
      <c r="I62" s="104">
        <v>45838.0</v>
      </c>
      <c r="J62" s="43" t="s">
        <v>320</v>
      </c>
      <c r="K62" s="43" t="s">
        <v>251</v>
      </c>
      <c r="M62" s="104">
        <v>45838.0</v>
      </c>
      <c r="N62" s="112">
        <v>-20734.0</v>
      </c>
      <c r="O62" s="107"/>
      <c r="P62" s="106">
        <f>IF(ISBLANK(N62), "", VLOOKUP(D62&amp;" "&amp;E62, 'Info Tipo de Cambio y REM'!$A$24:$B$35, 2, FALSE))
</f>
        <v>1215</v>
      </c>
      <c r="Q62" s="107">
        <f t="shared" si="3"/>
        <v>-17.06502058</v>
      </c>
    </row>
    <row r="63" hidden="1">
      <c r="A63" s="43" t="s">
        <v>144</v>
      </c>
      <c r="B63" s="43" t="str">
        <f t="shared" si="1"/>
        <v>Activo Liquido</v>
      </c>
      <c r="C63" s="102" t="str">
        <f>IF(K63="", "", IFERROR(VLOOKUP(K63, Clasificaciones!D:E, 2, FALSE), "DATO NO CARGADO"))
</f>
        <v/>
      </c>
      <c r="D63" s="51" t="s">
        <v>155</v>
      </c>
      <c r="E63" s="43">
        <v>2025.0</v>
      </c>
      <c r="F63" s="102"/>
      <c r="H63" s="103" t="str">
        <f t="shared" si="2"/>
        <v>A término</v>
      </c>
      <c r="M63" s="103"/>
      <c r="N63" s="112"/>
      <c r="O63" s="114">
        <v>-91979.0</v>
      </c>
      <c r="P63" s="106" t="str">
        <f>IF(ISBLANK(N63), "", VLOOKUP(D63&amp;" "&amp;E63, 'Info Tipo de Cambio y REM'!$A$24:$B$35, 2, FALSE))
</f>
        <v/>
      </c>
      <c r="Q63" s="107">
        <f t="shared" si="3"/>
        <v>-91979</v>
      </c>
    </row>
    <row r="64" hidden="1">
      <c r="A64" s="43" t="s">
        <v>130</v>
      </c>
      <c r="B64" s="43" t="str">
        <f t="shared" si="1"/>
        <v>Activo Liquido</v>
      </c>
      <c r="C64" s="102" t="str">
        <f>IF(K64="", "", IFERROR(VLOOKUP(K64, Clasificaciones!D:E, 2, FALSE), "DATO NO CARGADO"))
</f>
        <v/>
      </c>
      <c r="D64" s="51" t="s">
        <v>155</v>
      </c>
      <c r="E64" s="43">
        <v>2025.0</v>
      </c>
      <c r="F64" s="102"/>
      <c r="H64" s="103" t="str">
        <f t="shared" si="2"/>
        <v>A término</v>
      </c>
      <c r="M64" s="103"/>
      <c r="N64" s="112">
        <v>3432410.0</v>
      </c>
      <c r="O64" s="114"/>
      <c r="P64" s="106">
        <f>IF(ISBLANK(N64), "", VLOOKUP(D64&amp;" "&amp;E64, 'Info Tipo de Cambio y REM'!$A$24:$B$35, 2, FALSE))
</f>
        <v>1215</v>
      </c>
      <c r="Q64" s="107">
        <f t="shared" si="3"/>
        <v>2825.028807</v>
      </c>
    </row>
    <row r="65" hidden="1">
      <c r="A65" s="43" t="s">
        <v>167</v>
      </c>
      <c r="B65" s="43" t="str">
        <f t="shared" si="1"/>
        <v>Mediano Plazo</v>
      </c>
      <c r="C65" s="102" t="str">
        <f>IF(K65="", "", IFERROR(VLOOKUP(K65, Clasificaciones!D:E, 2, FALSE), "DATO NO CARGADO"))
</f>
        <v/>
      </c>
      <c r="D65" s="51" t="s">
        <v>155</v>
      </c>
      <c r="E65" s="43">
        <v>2025.0</v>
      </c>
      <c r="F65" s="102"/>
      <c r="G65" s="103"/>
      <c r="H65" s="103" t="str">
        <f t="shared" si="2"/>
        <v>A término</v>
      </c>
      <c r="I65" s="103"/>
      <c r="M65" s="103"/>
      <c r="N65" s="113"/>
      <c r="O65" s="112">
        <v>2682.0</v>
      </c>
      <c r="P65" s="106" t="str">
        <f>IF(ISBLANK(N65), "", VLOOKUP(D65&amp;" "&amp;E65, 'Info Tipo de Cambio y REM'!$A$24:$B$35, 2, FALSE))
</f>
        <v/>
      </c>
      <c r="Q65" s="107">
        <f t="shared" si="3"/>
        <v>2682</v>
      </c>
    </row>
    <row r="66" hidden="1">
      <c r="A66" s="43" t="s">
        <v>150</v>
      </c>
      <c r="B66" s="43" t="str">
        <f t="shared" si="1"/>
        <v>Activo Liquido</v>
      </c>
      <c r="C66" s="102" t="str">
        <f>IF(K66="", "", IFERROR(VLOOKUP(K66, Clasificaciones!D:E, 2, FALSE), "DATO NO CARGADO"))
</f>
        <v/>
      </c>
      <c r="D66" s="51" t="s">
        <v>155</v>
      </c>
      <c r="E66" s="43">
        <v>2025.0</v>
      </c>
      <c r="F66" s="43"/>
      <c r="G66" s="104"/>
      <c r="H66" s="103" t="str">
        <f t="shared" si="2"/>
        <v>A término</v>
      </c>
      <c r="I66" s="104"/>
      <c r="J66" s="115"/>
      <c r="K66" s="116"/>
      <c r="M66" s="104"/>
      <c r="N66" s="117"/>
      <c r="O66" s="114">
        <v>230.0</v>
      </c>
      <c r="P66" s="106" t="str">
        <f>IF(ISBLANK(N66), "", VLOOKUP(D66&amp;" "&amp;E66, 'Info Tipo de Cambio y REM'!$A$24:$B$35, 2, FALSE))
</f>
        <v/>
      </c>
      <c r="Q66" s="107">
        <f t="shared" si="3"/>
        <v>230</v>
      </c>
    </row>
    <row r="67" hidden="1">
      <c r="A67" s="43" t="s">
        <v>131</v>
      </c>
      <c r="B67" s="43" t="str">
        <f t="shared" si="1"/>
        <v>Clientes a cobrar</v>
      </c>
      <c r="C67" s="43" t="s">
        <v>119</v>
      </c>
      <c r="D67" s="51" t="s">
        <v>161</v>
      </c>
      <c r="E67" s="43">
        <v>2025.0</v>
      </c>
      <c r="F67" s="43" t="s">
        <v>311</v>
      </c>
      <c r="G67" s="104">
        <v>45863.0</v>
      </c>
      <c r="H67" s="103" t="str">
        <f t="shared" si="2"/>
        <v>A término</v>
      </c>
      <c r="I67" s="104">
        <v>45839.0</v>
      </c>
      <c r="J67" s="115" t="s">
        <v>321</v>
      </c>
      <c r="K67" s="116" t="s">
        <v>245</v>
      </c>
      <c r="M67" s="104">
        <v>45870.0</v>
      </c>
      <c r="N67" s="117">
        <v>5275425.76</v>
      </c>
      <c r="O67" s="107"/>
      <c r="P67" s="106">
        <f>IF(ISBLANK(N67), "", VLOOKUP(D67&amp;" "&amp;E67, 'Info Tipo de Cambio y REM'!$A$24:$B$35, 2, FALSE))
</f>
        <v>1320</v>
      </c>
      <c r="Q67" s="107">
        <f t="shared" si="3"/>
        <v>3996.534667</v>
      </c>
    </row>
    <row r="68" hidden="1">
      <c r="A68" s="43" t="s">
        <v>131</v>
      </c>
      <c r="B68" s="43" t="str">
        <f t="shared" si="1"/>
        <v>Clientes a cobrar</v>
      </c>
      <c r="C68" s="102" t="str">
        <f>IF(K68="", "", IFERROR(VLOOKUP(K68, Clasificaciones!D:E, 2, FALSE), "DATO NO CARGADO"))
</f>
        <v>Kimberly Clark</v>
      </c>
      <c r="D68" s="51" t="s">
        <v>161</v>
      </c>
      <c r="E68" s="43">
        <v>2025.0</v>
      </c>
      <c r="F68" s="43" t="s">
        <v>305</v>
      </c>
      <c r="G68" s="104"/>
      <c r="H68" s="103" t="str">
        <f t="shared" si="2"/>
        <v>A término</v>
      </c>
      <c r="I68" s="104">
        <v>45845.0</v>
      </c>
      <c r="J68" s="43" t="s">
        <v>322</v>
      </c>
      <c r="K68" s="43" t="s">
        <v>253</v>
      </c>
      <c r="M68" s="103">
        <f>I68+120</f>
        <v>45965</v>
      </c>
      <c r="N68" s="113"/>
      <c r="O68" s="114">
        <v>8450.0</v>
      </c>
      <c r="P68" s="106" t="str">
        <f>IF(ISBLANK(N68), "", VLOOKUP(D68&amp;" "&amp;E68, 'Info Tipo de Cambio y REM'!$A$24:$B$35, 2, FALSE))
</f>
        <v/>
      </c>
      <c r="Q68" s="107">
        <f t="shared" si="3"/>
        <v>8450</v>
      </c>
    </row>
    <row r="69" hidden="1">
      <c r="A69" s="43" t="s">
        <v>131</v>
      </c>
      <c r="B69" s="43" t="str">
        <f t="shared" si="1"/>
        <v>Clientes a cobrar</v>
      </c>
      <c r="C69" s="102" t="str">
        <f>IF(K69="", "", IFERROR(VLOOKUP(K69, Clasificaciones!D:E, 2, FALSE), "DATO NO CARGADO"))
</f>
        <v>Play Digital S.A (Modo)</v>
      </c>
      <c r="D69" s="51" t="s">
        <v>161</v>
      </c>
      <c r="E69" s="43">
        <v>2025.0</v>
      </c>
      <c r="F69" s="43" t="s">
        <v>305</v>
      </c>
      <c r="G69" s="104">
        <v>45876.0</v>
      </c>
      <c r="H69" s="103" t="str">
        <f t="shared" si="2"/>
        <v>Vencido</v>
      </c>
      <c r="I69" s="104">
        <v>45839.0</v>
      </c>
      <c r="J69" s="118" t="s">
        <v>323</v>
      </c>
      <c r="K69" s="43" t="s">
        <v>244</v>
      </c>
      <c r="M69" s="104">
        <v>45870.0</v>
      </c>
      <c r="N69" s="117">
        <v>5562007.0</v>
      </c>
      <c r="O69" s="107"/>
      <c r="P69" s="106">
        <f>IF(ISBLANK(N69), "", VLOOKUP(D69&amp;" "&amp;E69, 'Info Tipo de Cambio y REM'!$A$24:$B$35, 2, FALSE))
</f>
        <v>1320</v>
      </c>
      <c r="Q69" s="107">
        <f t="shared" si="3"/>
        <v>4213.641667</v>
      </c>
    </row>
    <row r="70" hidden="1">
      <c r="A70" s="43" t="s">
        <v>131</v>
      </c>
      <c r="B70" s="43" t="str">
        <f t="shared" si="1"/>
        <v>Clientes a cobrar</v>
      </c>
      <c r="C70" s="102" t="str">
        <f>IF(K70="", "", IFERROR(VLOOKUP(K70, Clasificaciones!D:E, 2, FALSE), "DATO NO CARGADO"))
</f>
        <v>Detroit</v>
      </c>
      <c r="D70" s="51" t="s">
        <v>161</v>
      </c>
      <c r="E70" s="43">
        <v>2025.0</v>
      </c>
      <c r="F70" s="43" t="s">
        <v>311</v>
      </c>
      <c r="G70" s="104"/>
      <c r="H70" s="103" t="str">
        <f t="shared" si="2"/>
        <v>A término</v>
      </c>
      <c r="I70" s="104">
        <v>45846.0</v>
      </c>
      <c r="J70" s="119" t="s">
        <v>324</v>
      </c>
      <c r="K70" s="43" t="s">
        <v>251</v>
      </c>
      <c r="M70" s="104">
        <v>45869.0</v>
      </c>
      <c r="N70" s="112">
        <v>130000.0</v>
      </c>
      <c r="O70" s="107"/>
      <c r="P70" s="106">
        <f>IF(ISBLANK(N70), "", VLOOKUP(D70&amp;" "&amp;E70, 'Info Tipo de Cambio y REM'!$A$24:$B$35, 2, FALSE))
</f>
        <v>1320</v>
      </c>
      <c r="Q70" s="107">
        <f t="shared" si="3"/>
        <v>98.48484848</v>
      </c>
    </row>
    <row r="71" hidden="1">
      <c r="A71" s="43" t="s">
        <v>131</v>
      </c>
      <c r="B71" s="43" t="str">
        <f t="shared" si="1"/>
        <v>Clientes a cobrar</v>
      </c>
      <c r="C71" s="102" t="str">
        <f>IF(K71="", "", IFERROR(VLOOKUP(K71, Clasificaciones!D:E, 2, FALSE), "DATO NO CARGADO"))
</f>
        <v>Detroit</v>
      </c>
      <c r="D71" s="51" t="s">
        <v>161</v>
      </c>
      <c r="E71" s="43">
        <v>2025.0</v>
      </c>
      <c r="F71" s="43" t="s">
        <v>311</v>
      </c>
      <c r="G71" s="104"/>
      <c r="H71" s="103" t="str">
        <f t="shared" si="2"/>
        <v>A término</v>
      </c>
      <c r="I71" s="104">
        <v>45846.0</v>
      </c>
      <c r="J71" s="43" t="s">
        <v>325</v>
      </c>
      <c r="K71" s="43" t="s">
        <v>251</v>
      </c>
      <c r="M71" s="104">
        <v>45870.0</v>
      </c>
      <c r="N71" s="112">
        <v>1071885.0</v>
      </c>
      <c r="O71" s="107"/>
      <c r="P71" s="106">
        <f>IF(ISBLANK(N71), "", VLOOKUP(D71&amp;" "&amp;E71, 'Info Tipo de Cambio y REM'!$A$24:$B$35, 2, FALSE))
</f>
        <v>1320</v>
      </c>
      <c r="Q71" s="107">
        <f t="shared" si="3"/>
        <v>812.0340909</v>
      </c>
    </row>
    <row r="72" hidden="1">
      <c r="A72" s="43" t="s">
        <v>131</v>
      </c>
      <c r="B72" s="43" t="str">
        <f t="shared" si="1"/>
        <v>Clientes a cobrar</v>
      </c>
      <c r="C72" s="102" t="str">
        <f>IF(K72="", "", IFERROR(VLOOKUP(K72, Clasificaciones!D:E, 2, FALSE), "DATO NO CARGADO"))
</f>
        <v>Animal Studio</v>
      </c>
      <c r="D72" s="51" t="s">
        <v>161</v>
      </c>
      <c r="E72" s="43">
        <v>2025.0</v>
      </c>
      <c r="F72" s="43" t="s">
        <v>305</v>
      </c>
      <c r="G72" s="104">
        <v>45870.0</v>
      </c>
      <c r="H72" s="103" t="str">
        <f t="shared" si="2"/>
        <v>A término</v>
      </c>
      <c r="I72" s="104">
        <v>45856.0</v>
      </c>
      <c r="J72" s="43" t="s">
        <v>326</v>
      </c>
      <c r="K72" s="43" t="s">
        <v>254</v>
      </c>
      <c r="M72" s="104">
        <v>45887.0</v>
      </c>
      <c r="N72" s="120">
        <v>1052700.0</v>
      </c>
      <c r="O72" s="107"/>
      <c r="P72" s="106">
        <f>IF(ISBLANK(N72), "", VLOOKUP(D72&amp;" "&amp;E72, 'Info Tipo de Cambio y REM'!$A$24:$B$35, 2, FALSE))
</f>
        <v>1320</v>
      </c>
      <c r="Q72" s="107">
        <f t="shared" si="3"/>
        <v>797.5</v>
      </c>
    </row>
    <row r="73" hidden="1">
      <c r="A73" s="43" t="s">
        <v>131</v>
      </c>
      <c r="B73" s="43" t="s">
        <v>131</v>
      </c>
      <c r="C73" s="43" t="s">
        <v>193</v>
      </c>
      <c r="D73" s="51" t="s">
        <v>161</v>
      </c>
      <c r="E73" s="43">
        <v>2025.0</v>
      </c>
      <c r="F73" s="43" t="s">
        <v>305</v>
      </c>
      <c r="G73" s="82">
        <v>45897.0</v>
      </c>
      <c r="H73" s="103" t="str">
        <f t="shared" si="2"/>
        <v>Vencido</v>
      </c>
      <c r="I73" s="82">
        <v>45839.0</v>
      </c>
      <c r="J73" s="121" t="s">
        <v>327</v>
      </c>
      <c r="K73" s="121" t="s">
        <v>251</v>
      </c>
      <c r="L73" s="43" t="s">
        <v>328</v>
      </c>
      <c r="M73" s="122">
        <v>45870.0</v>
      </c>
      <c r="N73" s="123">
        <v>364995.0</v>
      </c>
      <c r="O73" s="105"/>
      <c r="P73" s="106">
        <f>IF(ISBLANK(N73), "", VLOOKUP(D73&amp;" "&amp;E73, 'Info Tipo de Cambio y REM'!$A$24:$B$35, 2, FALSE))
</f>
        <v>1320</v>
      </c>
      <c r="Q73" s="107">
        <f t="shared" si="3"/>
        <v>276.5113636</v>
      </c>
    </row>
    <row r="74" hidden="1">
      <c r="A74" s="43" t="s">
        <v>130</v>
      </c>
      <c r="B74" s="43" t="str">
        <f t="shared" ref="B74:B77" si="4">IF(
  A74="",
  "",
  IF(
    OR(A74="Santander-Galicia-Nación", A74="Bank Of America", A74="Transferwise", A74="Custodia Socios", A74="Cheques en cartera", A74="Caja"),
    "Activo Liquido",
    IF(
      OR(A74="Otras Inversiones", A74="Santander Inversiones"),
      "Mediano Plazo",
      IF(
        A74="Clientes a cobrar",
        "Clientes a cobrar",
        "DATO NO CARGADO"
      )
    )
  )
)
</f>
        <v>Activo Liquido</v>
      </c>
      <c r="C74" s="102" t="str">
        <f>IF(K74="", "", IFERROR(VLOOKUP(K74, Clasificaciones!D:E, 2, FALSE), "DATO NO CARGADO"))
</f>
        <v/>
      </c>
      <c r="D74" s="51" t="s">
        <v>161</v>
      </c>
      <c r="E74" s="43">
        <v>2025.0</v>
      </c>
      <c r="F74" s="102"/>
      <c r="G74" s="103"/>
      <c r="H74" s="103" t="str">
        <f t="shared" si="2"/>
        <v>A término</v>
      </c>
      <c r="I74" s="103"/>
      <c r="M74" s="103"/>
      <c r="N74" s="112">
        <v>-579983.0</v>
      </c>
      <c r="O74" s="107"/>
      <c r="P74" s="106">
        <f>IF(ISBLANK(N74), "", VLOOKUP(D74&amp;" "&amp;E74, 'Info Tipo de Cambio y REM'!$A$24:$B$35, 2, FALSE))
</f>
        <v>1320</v>
      </c>
      <c r="Q74" s="107">
        <f t="shared" si="3"/>
        <v>-439.3810606</v>
      </c>
    </row>
    <row r="75" hidden="1">
      <c r="A75" s="43" t="s">
        <v>144</v>
      </c>
      <c r="B75" s="43" t="str">
        <f t="shared" si="4"/>
        <v>Activo Liquido</v>
      </c>
      <c r="C75" s="102" t="str">
        <f>IF(K75="", "", IFERROR(VLOOKUP(K75, Clasificaciones!D:E, 2, FALSE), "DATO NO CARGADO"))
</f>
        <v/>
      </c>
      <c r="D75" s="51" t="s">
        <v>161</v>
      </c>
      <c r="E75" s="43">
        <v>2025.0</v>
      </c>
      <c r="F75" s="102"/>
      <c r="G75" s="103"/>
      <c r="H75" s="103" t="str">
        <f t="shared" si="2"/>
        <v>A término</v>
      </c>
      <c r="I75" s="103"/>
      <c r="M75" s="103"/>
      <c r="N75" s="113"/>
      <c r="O75" s="114">
        <v>-68302.0</v>
      </c>
      <c r="P75" s="106" t="str">
        <f>IF(ISBLANK(N75), "", VLOOKUP(D75&amp;" "&amp;E75, 'Info Tipo de Cambio y REM'!$A$24:$B$35, 2, FALSE))
</f>
        <v/>
      </c>
      <c r="Q75" s="107">
        <f t="shared" si="3"/>
        <v>-68302</v>
      </c>
    </row>
    <row r="76" hidden="1">
      <c r="A76" s="43" t="s">
        <v>150</v>
      </c>
      <c r="B76" s="43" t="str">
        <f t="shared" si="4"/>
        <v>Activo Liquido</v>
      </c>
      <c r="C76" s="102" t="str">
        <f>IF(K76="", "", IFERROR(VLOOKUP(K76, Clasificaciones!D:E, 2, FALSE), "DATO NO CARGADO"))
</f>
        <v/>
      </c>
      <c r="D76" s="51" t="s">
        <v>161</v>
      </c>
      <c r="E76" s="43">
        <v>2025.0</v>
      </c>
      <c r="F76" s="102"/>
      <c r="G76" s="103"/>
      <c r="H76" s="103" t="str">
        <f t="shared" si="2"/>
        <v>A término</v>
      </c>
      <c r="I76" s="103"/>
      <c r="M76" s="103"/>
      <c r="N76" s="113"/>
      <c r="O76" s="114">
        <v>230.0</v>
      </c>
      <c r="P76" s="106" t="str">
        <f>IF(ISBLANK(N76), "", VLOOKUP(D76&amp;" "&amp;E76, 'Info Tipo de Cambio y REM'!$A$24:$B$35, 2, FALSE))
</f>
        <v/>
      </c>
      <c r="Q76" s="107">
        <f t="shared" si="3"/>
        <v>230</v>
      </c>
    </row>
    <row r="77" hidden="1">
      <c r="A77" s="43" t="s">
        <v>167</v>
      </c>
      <c r="B77" s="43" t="str">
        <f t="shared" si="4"/>
        <v>Mediano Plazo</v>
      </c>
      <c r="C77" s="102" t="str">
        <f>IF(K77="", "", IFERROR(VLOOKUP(K77, Clasificaciones!D:E, 2, FALSE), "DATO NO CARGADO"))
</f>
        <v/>
      </c>
      <c r="D77" s="51" t="s">
        <v>161</v>
      </c>
      <c r="E77" s="43">
        <v>2025.0</v>
      </c>
      <c r="F77" s="102"/>
      <c r="G77" s="103"/>
      <c r="H77" s="103" t="str">
        <f t="shared" si="2"/>
        <v>A término</v>
      </c>
      <c r="I77" s="103"/>
      <c r="M77" s="103"/>
      <c r="N77" s="113"/>
      <c r="O77" s="114">
        <v>2682.0</v>
      </c>
      <c r="P77" s="106" t="str">
        <f>IF(ISBLANK(N77), "", VLOOKUP(D77&amp;" "&amp;E77, 'Info Tipo de Cambio y REM'!$A$24:$B$35, 2, FALSE))
</f>
        <v/>
      </c>
      <c r="Q77" s="107">
        <f t="shared" si="3"/>
        <v>2682</v>
      </c>
    </row>
    <row r="78" hidden="1">
      <c r="A78" s="43" t="s">
        <v>131</v>
      </c>
      <c r="B78" s="43" t="s">
        <v>131</v>
      </c>
      <c r="C78" s="124" t="s">
        <v>119</v>
      </c>
      <c r="D78" s="51" t="s">
        <v>166</v>
      </c>
      <c r="E78" s="43">
        <v>2025.0</v>
      </c>
      <c r="F78" s="43" t="s">
        <v>305</v>
      </c>
      <c r="G78" s="104">
        <v>45904.0</v>
      </c>
      <c r="H78" s="103" t="str">
        <f t="shared" si="2"/>
        <v>A término</v>
      </c>
      <c r="I78" s="104">
        <v>45873.0</v>
      </c>
      <c r="J78" s="125" t="s">
        <v>329</v>
      </c>
      <c r="K78" s="125" t="s">
        <v>245</v>
      </c>
      <c r="M78" s="104">
        <v>45904.0</v>
      </c>
      <c r="N78" s="112">
        <v>5275426.0</v>
      </c>
      <c r="O78" s="107"/>
      <c r="P78" s="106">
        <f>IF(ISBLANK(N78), "", VLOOKUP(D78&amp;" "&amp;E78, 'Info Tipo de Cambio y REM'!$A$24:$B$35, 2, FALSE))
</f>
        <v>1345</v>
      </c>
      <c r="Q78" s="107">
        <f t="shared" si="3"/>
        <v>3922.249814</v>
      </c>
    </row>
    <row r="79" hidden="1">
      <c r="A79" s="43" t="s">
        <v>131</v>
      </c>
      <c r="B79" s="43" t="s">
        <v>131</v>
      </c>
      <c r="C79" s="126" t="s">
        <v>180</v>
      </c>
      <c r="D79" s="51" t="s">
        <v>166</v>
      </c>
      <c r="E79" s="43">
        <v>2025.0</v>
      </c>
      <c r="F79" s="43" t="s">
        <v>305</v>
      </c>
      <c r="G79" s="104">
        <v>45909.0</v>
      </c>
      <c r="H79" s="103" t="str">
        <f t="shared" si="2"/>
        <v>Vencido</v>
      </c>
      <c r="I79" s="104">
        <v>45873.0</v>
      </c>
      <c r="J79" s="125" t="s">
        <v>330</v>
      </c>
      <c r="K79" s="125" t="s">
        <v>244</v>
      </c>
      <c r="M79" s="104">
        <v>45904.0</v>
      </c>
      <c r="N79" s="112">
        <v>3720750.0</v>
      </c>
      <c r="O79" s="107"/>
      <c r="P79" s="106">
        <f>IF(ISBLANK(N79), "", VLOOKUP(D79&amp;" "&amp;E79, 'Info Tipo de Cambio y REM'!$A$24:$B$35, 2, FALSE))
</f>
        <v>1345</v>
      </c>
      <c r="Q79" s="107">
        <f t="shared" si="3"/>
        <v>2766.356877</v>
      </c>
    </row>
    <row r="80" hidden="1">
      <c r="A80" s="43" t="s">
        <v>131</v>
      </c>
      <c r="B80" s="43" t="s">
        <v>131</v>
      </c>
      <c r="C80" s="43" t="s">
        <v>193</v>
      </c>
      <c r="D80" s="51" t="s">
        <v>166</v>
      </c>
      <c r="E80" s="43">
        <v>2025.0</v>
      </c>
      <c r="F80" s="43" t="s">
        <v>311</v>
      </c>
      <c r="G80" s="104"/>
      <c r="H80" s="103" t="str">
        <f t="shared" si="2"/>
        <v>A término</v>
      </c>
      <c r="I80" s="104">
        <v>45873.0</v>
      </c>
      <c r="J80" s="43" t="s">
        <v>331</v>
      </c>
      <c r="K80" s="43" t="s">
        <v>251</v>
      </c>
      <c r="M80" s="104">
        <v>45904.0</v>
      </c>
      <c r="N80" s="112">
        <v>1071885.0</v>
      </c>
      <c r="O80" s="107"/>
      <c r="P80" s="106">
        <f>IF(ISBLANK(N80), "", VLOOKUP(D80&amp;" "&amp;E80, 'Info Tipo de Cambio y REM'!$A$24:$B$35, 2, FALSE))
</f>
        <v>1345</v>
      </c>
      <c r="Q80" s="107">
        <f t="shared" si="3"/>
        <v>796.9405204</v>
      </c>
    </row>
    <row r="81" hidden="1">
      <c r="A81" s="43" t="s">
        <v>131</v>
      </c>
      <c r="B81" s="43" t="s">
        <v>131</v>
      </c>
      <c r="C81" s="102" t="str">
        <f>IF(K81="", "", IFERROR(VLOOKUP(K81, Clasificaciones!D:E, 2, FALSE), "DATO NO CARGADO"))
</f>
        <v>Detroit</v>
      </c>
      <c r="D81" s="51" t="s">
        <v>166</v>
      </c>
      <c r="E81" s="43">
        <v>2025.0</v>
      </c>
      <c r="F81" s="43" t="s">
        <v>311</v>
      </c>
      <c r="G81" s="104"/>
      <c r="H81" s="103" t="str">
        <f t="shared" si="2"/>
        <v>A término</v>
      </c>
      <c r="I81" s="104">
        <v>45873.0</v>
      </c>
      <c r="J81" s="43" t="s">
        <v>332</v>
      </c>
      <c r="K81" s="43" t="s">
        <v>251</v>
      </c>
      <c r="M81" s="104">
        <v>45904.0</v>
      </c>
      <c r="N81" s="112">
        <v>370000.0</v>
      </c>
      <c r="O81" s="107"/>
      <c r="P81" s="106">
        <f>IF(ISBLANK(N81), "", VLOOKUP(D81&amp;" "&amp;E81, 'Info Tipo de Cambio y REM'!$A$24:$B$35, 2, FALSE))
</f>
        <v>1345</v>
      </c>
      <c r="Q81" s="107">
        <f t="shared" si="3"/>
        <v>275.0929368</v>
      </c>
    </row>
    <row r="82">
      <c r="A82" s="43" t="s">
        <v>131</v>
      </c>
      <c r="B82" s="43" t="s">
        <v>131</v>
      </c>
      <c r="C82" s="43" t="s">
        <v>183</v>
      </c>
      <c r="D82" s="51" t="s">
        <v>166</v>
      </c>
      <c r="E82" s="43">
        <v>2025.0</v>
      </c>
      <c r="F82" s="43" t="s">
        <v>311</v>
      </c>
      <c r="G82" s="104"/>
      <c r="H82" s="103" t="str">
        <f t="shared" si="2"/>
        <v>A término</v>
      </c>
      <c r="I82" s="104">
        <v>45870.0</v>
      </c>
      <c r="J82" s="43" t="s">
        <v>333</v>
      </c>
      <c r="K82" s="43" t="s">
        <v>334</v>
      </c>
      <c r="M82" s="104">
        <v>45868.0</v>
      </c>
      <c r="N82" s="113"/>
      <c r="O82" s="114">
        <v>29230.0</v>
      </c>
      <c r="P82" s="106" t="str">
        <f>IF(ISBLANK(N82), "", VLOOKUP(D82&amp;" "&amp;E82, 'Info Tipo de Cambio y REM'!$A$24:$B$35, 2, FALSE))
</f>
        <v/>
      </c>
      <c r="Q82" s="107">
        <f t="shared" si="3"/>
        <v>29230</v>
      </c>
    </row>
    <row r="83">
      <c r="A83" s="43" t="s">
        <v>131</v>
      </c>
      <c r="B83" s="43" t="s">
        <v>131</v>
      </c>
      <c r="C83" s="43" t="s">
        <v>183</v>
      </c>
      <c r="D83" s="51" t="s">
        <v>166</v>
      </c>
      <c r="E83" s="43">
        <v>2025.0</v>
      </c>
      <c r="F83" s="43" t="s">
        <v>311</v>
      </c>
      <c r="G83" s="104"/>
      <c r="H83" s="103" t="str">
        <f t="shared" si="2"/>
        <v>A término</v>
      </c>
      <c r="I83" s="104">
        <v>45870.0</v>
      </c>
      <c r="J83" s="43" t="s">
        <v>335</v>
      </c>
      <c r="K83" s="43" t="s">
        <v>334</v>
      </c>
      <c r="M83" s="104">
        <v>45899.0</v>
      </c>
      <c r="N83" s="113"/>
      <c r="O83" s="114">
        <v>29230.0</v>
      </c>
      <c r="P83" s="106" t="str">
        <f>IF(ISBLANK(N83), "", VLOOKUP(D83&amp;" "&amp;E83, 'Info Tipo de Cambio y REM'!$A$24:$B$35, 2, FALSE))
</f>
        <v/>
      </c>
      <c r="Q83" s="107">
        <f t="shared" si="3"/>
        <v>29230</v>
      </c>
    </row>
    <row r="84">
      <c r="A84" s="43" t="s">
        <v>131</v>
      </c>
      <c r="B84" s="43" t="s">
        <v>131</v>
      </c>
      <c r="C84" s="43" t="s">
        <v>183</v>
      </c>
      <c r="D84" s="51" t="s">
        <v>166</v>
      </c>
      <c r="E84" s="43">
        <v>2025.0</v>
      </c>
      <c r="F84" s="43" t="s">
        <v>305</v>
      </c>
      <c r="G84" s="127">
        <v>45933.0</v>
      </c>
      <c r="H84" s="103" t="str">
        <f t="shared" si="2"/>
        <v>Vencido</v>
      </c>
      <c r="I84" s="104">
        <v>45870.0</v>
      </c>
      <c r="J84" s="43" t="s">
        <v>336</v>
      </c>
      <c r="K84" s="43" t="s">
        <v>334</v>
      </c>
      <c r="M84" s="104">
        <v>45929.0</v>
      </c>
      <c r="N84" s="113"/>
      <c r="O84" s="114">
        <v>29230.0</v>
      </c>
      <c r="P84" s="106" t="str">
        <f>IF(ISBLANK(N84), "", VLOOKUP(D84&amp;" "&amp;E84, 'Info Tipo de Cambio y REM'!$A$24:$B$35, 2, FALSE))
</f>
        <v/>
      </c>
      <c r="Q84" s="107">
        <f t="shared" si="3"/>
        <v>29230</v>
      </c>
    </row>
    <row r="85">
      <c r="A85" s="43" t="s">
        <v>131</v>
      </c>
      <c r="B85" s="43" t="s">
        <v>131</v>
      </c>
      <c r="C85" s="43" t="s">
        <v>183</v>
      </c>
      <c r="D85" s="51" t="s">
        <v>166</v>
      </c>
      <c r="E85" s="43">
        <v>2025.0</v>
      </c>
      <c r="F85" s="43" t="s">
        <v>305</v>
      </c>
      <c r="G85" s="104"/>
      <c r="H85" s="103" t="str">
        <f t="shared" si="2"/>
        <v>A término</v>
      </c>
      <c r="I85" s="104">
        <v>45870.0</v>
      </c>
      <c r="J85" s="43" t="s">
        <v>337</v>
      </c>
      <c r="K85" s="43" t="s">
        <v>334</v>
      </c>
      <c r="M85" s="104">
        <v>45960.0</v>
      </c>
      <c r="N85" s="113"/>
      <c r="O85" s="114">
        <v>29230.0</v>
      </c>
      <c r="P85" s="106" t="str">
        <f>IF(ISBLANK(N85), "", VLOOKUP(D85&amp;" "&amp;E85, 'Info Tipo de Cambio y REM'!$A$24:$B$35, 2, FALSE))
</f>
        <v/>
      </c>
      <c r="Q85" s="107">
        <f t="shared" si="3"/>
        <v>29230</v>
      </c>
    </row>
    <row r="86" hidden="1">
      <c r="A86" s="43" t="s">
        <v>131</v>
      </c>
      <c r="B86" s="43" t="s">
        <v>131</v>
      </c>
      <c r="C86" s="43" t="s">
        <v>204</v>
      </c>
      <c r="D86" s="51" t="s">
        <v>166</v>
      </c>
      <c r="E86" s="43">
        <v>2025.0</v>
      </c>
      <c r="F86" s="43" t="s">
        <v>305</v>
      </c>
      <c r="G86" s="104"/>
      <c r="H86" s="103" t="str">
        <f t="shared" si="2"/>
        <v>A término</v>
      </c>
      <c r="I86" s="104">
        <v>45873.0</v>
      </c>
      <c r="J86" s="43" t="s">
        <v>338</v>
      </c>
      <c r="K86" s="43" t="s">
        <v>253</v>
      </c>
      <c r="M86" s="104">
        <v>45993.0</v>
      </c>
      <c r="N86" s="113"/>
      <c r="O86" s="114">
        <v>8450.0</v>
      </c>
      <c r="P86" s="106" t="str">
        <f>IF(ISBLANK(N86), "", VLOOKUP(D86&amp;" "&amp;E86, 'Info Tipo de Cambio y REM'!$A$24:$B$35, 2, FALSE))
</f>
        <v/>
      </c>
      <c r="Q86" s="107">
        <f t="shared" si="3"/>
        <v>8450</v>
      </c>
    </row>
    <row r="87" hidden="1">
      <c r="A87" s="43" t="s">
        <v>131</v>
      </c>
      <c r="B87" s="43" t="s">
        <v>131</v>
      </c>
      <c r="C87" s="43" t="s">
        <v>204</v>
      </c>
      <c r="D87" s="51" t="s">
        <v>166</v>
      </c>
      <c r="E87" s="43">
        <v>2025.0</v>
      </c>
      <c r="F87" s="43" t="s">
        <v>305</v>
      </c>
      <c r="G87" s="104"/>
      <c r="H87" s="103" t="str">
        <f t="shared" si="2"/>
        <v>A término</v>
      </c>
      <c r="I87" s="104">
        <v>45873.0</v>
      </c>
      <c r="J87" s="43" t="s">
        <v>339</v>
      </c>
      <c r="K87" s="43" t="s">
        <v>253</v>
      </c>
      <c r="M87" s="104">
        <v>45993.0</v>
      </c>
      <c r="N87" s="113"/>
      <c r="O87" s="114">
        <v>4224.0</v>
      </c>
      <c r="P87" s="106" t="str">
        <f>IF(ISBLANK(N87), "", VLOOKUP(D87&amp;" "&amp;E87, 'Info Tipo de Cambio y REM'!$A$24:$B$35, 2, FALSE))
</f>
        <v/>
      </c>
      <c r="Q87" s="107">
        <f t="shared" si="3"/>
        <v>4224</v>
      </c>
    </row>
    <row r="88" hidden="1">
      <c r="A88" s="43" t="s">
        <v>131</v>
      </c>
      <c r="B88" s="43" t="s">
        <v>131</v>
      </c>
      <c r="C88" s="43" t="s">
        <v>206</v>
      </c>
      <c r="D88" s="51" t="s">
        <v>166</v>
      </c>
      <c r="E88" s="43">
        <v>2025.0</v>
      </c>
      <c r="F88" s="43" t="s">
        <v>305</v>
      </c>
      <c r="G88" s="104">
        <v>45919.0</v>
      </c>
      <c r="H88" s="103" t="str">
        <f t="shared" si="2"/>
        <v>A término</v>
      </c>
      <c r="I88" s="104">
        <v>45890.0</v>
      </c>
      <c r="J88" s="43" t="s">
        <v>340</v>
      </c>
      <c r="K88" s="43" t="s">
        <v>341</v>
      </c>
      <c r="M88" s="104">
        <v>45921.0</v>
      </c>
      <c r="N88" s="112">
        <v>2026750.0</v>
      </c>
      <c r="O88" s="107"/>
      <c r="P88" s="106">
        <f>IF(ISBLANK(N88), "", VLOOKUP(D88&amp;" "&amp;E88, 'Info Tipo de Cambio y REM'!$A$24:$B$35, 2, FALSE))
</f>
        <v>1345</v>
      </c>
      <c r="Q88" s="107">
        <f t="shared" si="3"/>
        <v>1506.877323</v>
      </c>
    </row>
    <row r="89" hidden="1">
      <c r="A89" s="43" t="s">
        <v>131</v>
      </c>
      <c r="B89" s="43" t="s">
        <v>131</v>
      </c>
      <c r="C89" s="43" t="s">
        <v>204</v>
      </c>
      <c r="D89" s="51" t="s">
        <v>166</v>
      </c>
      <c r="E89" s="43">
        <v>2025.0</v>
      </c>
      <c r="F89" s="43" t="s">
        <v>305</v>
      </c>
      <c r="G89" s="104"/>
      <c r="H89" s="103" t="str">
        <f t="shared" si="2"/>
        <v>A término</v>
      </c>
      <c r="I89" s="104">
        <v>45889.0</v>
      </c>
      <c r="J89" s="43" t="s">
        <v>342</v>
      </c>
      <c r="K89" s="43" t="s">
        <v>253</v>
      </c>
      <c r="M89" s="104">
        <v>46009.0</v>
      </c>
      <c r="N89" s="113"/>
      <c r="O89" s="114">
        <v>4225.0</v>
      </c>
      <c r="P89" s="106" t="str">
        <f>IF(ISBLANK(N89), "", VLOOKUP(D89&amp;" "&amp;E89, 'Info Tipo de Cambio y REM'!$A$24:$B$35, 2, FALSE))
</f>
        <v/>
      </c>
      <c r="Q89" s="107">
        <f t="shared" si="3"/>
        <v>4225</v>
      </c>
    </row>
    <row r="90" hidden="1">
      <c r="A90" s="43" t="s">
        <v>131</v>
      </c>
      <c r="B90" s="43" t="s">
        <v>131</v>
      </c>
      <c r="C90" s="43" t="s">
        <v>172</v>
      </c>
      <c r="D90" s="51" t="s">
        <v>166</v>
      </c>
      <c r="E90" s="43">
        <v>2025.0</v>
      </c>
      <c r="F90" s="43" t="s">
        <v>311</v>
      </c>
      <c r="G90" s="104"/>
      <c r="H90" s="103" t="str">
        <f t="shared" si="2"/>
        <v>A término</v>
      </c>
      <c r="I90" s="104">
        <v>45894.0</v>
      </c>
      <c r="J90" s="43" t="s">
        <v>320</v>
      </c>
      <c r="K90" s="43" t="s">
        <v>246</v>
      </c>
      <c r="M90" s="104">
        <v>45894.0</v>
      </c>
      <c r="N90" s="113"/>
      <c r="O90" s="114">
        <v>-250.0</v>
      </c>
      <c r="P90" s="106" t="str">
        <f>IF(ISBLANK(N90), "", VLOOKUP(D90&amp;" "&amp;E90, 'Info Tipo de Cambio y REM'!$A$24:$B$35, 2, FALSE))
</f>
        <v/>
      </c>
      <c r="Q90" s="107">
        <f t="shared" si="3"/>
        <v>-250</v>
      </c>
    </row>
    <row r="91" hidden="1">
      <c r="A91" s="43" t="s">
        <v>130</v>
      </c>
      <c r="B91" s="43" t="str">
        <f t="shared" ref="B91:B467" si="5">IF(
  A91="",
  "",
  IF(
    OR(A91="Santander-Galicia-Nación", A91="Bank Of America", A91="Transferwise", A91="Custodia Socios", A91="Cheques en cartera", A91="Caja"),
    "Activo Liquido",
    IF(
      OR(A91="Otras Inversiones", A91="Santander Inversiones"),
      "Mediano Plazo",
      IF(
        A91="Clientes a cobrar",
        "Clientes a cobrar",
        "DATO NO CARGADO"
      )
    )
  )
)
</f>
        <v>Activo Liquido</v>
      </c>
      <c r="C91" s="102" t="str">
        <f>IF(K91="", "", IFERROR(VLOOKUP(K91, Clasificaciones!D:E, 2, FALSE), "DATO NO CARGADO"))
</f>
        <v/>
      </c>
      <c r="D91" s="51" t="s">
        <v>166</v>
      </c>
      <c r="E91" s="43">
        <v>2025.0</v>
      </c>
      <c r="F91" s="102"/>
      <c r="G91" s="103"/>
      <c r="H91" s="103" t="str">
        <f t="shared" si="2"/>
        <v>A término</v>
      </c>
      <c r="I91" s="103"/>
      <c r="M91" s="103"/>
      <c r="N91" s="112">
        <v>-7314769.0</v>
      </c>
      <c r="O91" s="107"/>
      <c r="P91" s="106">
        <f>IF(ISBLANK(N91), "", VLOOKUP(D91&amp;" "&amp;E91, 'Info Tipo de Cambio y REM'!$A$24:$B$35, 2, FALSE))
</f>
        <v>1345</v>
      </c>
      <c r="Q91" s="107">
        <f t="shared" si="3"/>
        <v>-5438.489963</v>
      </c>
    </row>
    <row r="92" hidden="1">
      <c r="A92" s="43" t="s">
        <v>144</v>
      </c>
      <c r="B92" s="43" t="str">
        <f t="shared" si="5"/>
        <v>Activo Liquido</v>
      </c>
      <c r="C92" s="102" t="str">
        <f>IF(K92="", "", IFERROR(VLOOKUP(K92, Clasificaciones!D:E, 2, FALSE), "DATO NO CARGADO"))
</f>
        <v/>
      </c>
      <c r="D92" s="51" t="s">
        <v>166</v>
      </c>
      <c r="E92" s="43">
        <v>2025.0</v>
      </c>
      <c r="F92" s="102"/>
      <c r="G92" s="103"/>
      <c r="H92" s="103" t="str">
        <f t="shared" si="2"/>
        <v>A término</v>
      </c>
      <c r="I92" s="103"/>
      <c r="M92" s="103"/>
      <c r="N92" s="113"/>
      <c r="O92" s="114">
        <v>-42553.0</v>
      </c>
      <c r="P92" s="106" t="str">
        <f>IF(ISBLANK(N92), "", VLOOKUP(D92&amp;" "&amp;E92, 'Info Tipo de Cambio y REM'!$A$24:$B$35, 2, FALSE))
</f>
        <v/>
      </c>
      <c r="Q92" s="107">
        <f t="shared" si="3"/>
        <v>-42553</v>
      </c>
    </row>
    <row r="93" hidden="1">
      <c r="A93" s="43" t="s">
        <v>150</v>
      </c>
      <c r="B93" s="43" t="str">
        <f t="shared" si="5"/>
        <v>Activo Liquido</v>
      </c>
      <c r="C93" s="102" t="str">
        <f>IF(K93="", "", IFERROR(VLOOKUP(K93, Clasificaciones!D:E, 2, FALSE), "DATO NO CARGADO"))
</f>
        <v/>
      </c>
      <c r="D93" s="51" t="s">
        <v>166</v>
      </c>
      <c r="E93" s="43">
        <v>2025.0</v>
      </c>
      <c r="F93" s="102"/>
      <c r="G93" s="103"/>
      <c r="H93" s="103" t="str">
        <f t="shared" si="2"/>
        <v>A término</v>
      </c>
      <c r="I93" s="103"/>
      <c r="M93" s="103"/>
      <c r="N93" s="113"/>
      <c r="O93" s="114">
        <v>230.0</v>
      </c>
      <c r="P93" s="106" t="str">
        <f>IF(ISBLANK(N93), "", VLOOKUP(D93&amp;" "&amp;E93, 'Info Tipo de Cambio y REM'!$A$24:$B$35, 2, FALSE))
</f>
        <v/>
      </c>
      <c r="Q93" s="107">
        <f t="shared" si="3"/>
        <v>230</v>
      </c>
    </row>
    <row r="94" hidden="1">
      <c r="A94" s="43" t="s">
        <v>167</v>
      </c>
      <c r="B94" s="43" t="str">
        <f t="shared" si="5"/>
        <v>Mediano Plazo</v>
      </c>
      <c r="C94" s="102" t="str">
        <f>IF(K94="", "", IFERROR(VLOOKUP(K94, Clasificaciones!D:E, 2, FALSE), "DATO NO CARGADO"))
</f>
        <v/>
      </c>
      <c r="D94" s="51" t="s">
        <v>166</v>
      </c>
      <c r="E94" s="43">
        <v>2025.0</v>
      </c>
      <c r="F94" s="102"/>
      <c r="G94" s="103"/>
      <c r="H94" s="103" t="str">
        <f t="shared" si="2"/>
        <v>A término</v>
      </c>
      <c r="I94" s="103"/>
      <c r="M94" s="103"/>
      <c r="N94" s="113"/>
      <c r="O94" s="114">
        <v>2417.0</v>
      </c>
      <c r="P94" s="106" t="str">
        <f>IF(ISBLANK(N94), "", VLOOKUP(D94&amp;" "&amp;E94, 'Info Tipo de Cambio y REM'!$A$24:$B$35, 2, FALSE))
</f>
        <v/>
      </c>
      <c r="Q94" s="107">
        <f t="shared" si="3"/>
        <v>2417</v>
      </c>
    </row>
    <row r="95" hidden="1">
      <c r="A95" s="43" t="s">
        <v>131</v>
      </c>
      <c r="B95" s="43" t="str">
        <f t="shared" si="5"/>
        <v>Clientes a cobrar</v>
      </c>
      <c r="C95" s="102" t="str">
        <f>IF(K95="", "", IFERROR(VLOOKUP(K95, Clasificaciones!D:E, 2, FALSE), "DATO NO CARGADO"))
</f>
        <v>Animal Studio</v>
      </c>
      <c r="D95" s="51" t="s">
        <v>171</v>
      </c>
      <c r="E95" s="43">
        <v>2025.0</v>
      </c>
      <c r="F95" s="43" t="s">
        <v>311</v>
      </c>
      <c r="G95" s="104">
        <v>45904.0</v>
      </c>
      <c r="H95" s="103" t="str">
        <f t="shared" si="2"/>
        <v>A término</v>
      </c>
      <c r="I95" s="104">
        <v>45903.0</v>
      </c>
      <c r="J95" s="59" t="s">
        <v>343</v>
      </c>
      <c r="K95" s="59" t="s">
        <v>254</v>
      </c>
      <c r="M95" s="104">
        <v>45933.0</v>
      </c>
      <c r="N95" s="128">
        <v>2042746.2</v>
      </c>
      <c r="O95" s="107"/>
      <c r="P95" s="106">
        <f>IF(ISBLANK(N95), "", VLOOKUP(D95&amp;" "&amp;E95, 'Info Tipo de Cambio y REM'!$A$24:$B$35, 2, FALSE))
</f>
        <v>1445</v>
      </c>
      <c r="Q95" s="107">
        <f t="shared" si="3"/>
        <v>1413.66519</v>
      </c>
    </row>
    <row r="96" hidden="1">
      <c r="A96" s="43" t="s">
        <v>131</v>
      </c>
      <c r="B96" s="43" t="str">
        <f t="shared" si="5"/>
        <v>Clientes a cobrar</v>
      </c>
      <c r="C96" s="102" t="str">
        <f>IF(K96="", "", IFERROR(VLOOKUP(K96, Clasificaciones!D:E, 2, FALSE), "DATO NO CARGADO"))
</f>
        <v>Coelsa</v>
      </c>
      <c r="D96" s="51" t="s">
        <v>171</v>
      </c>
      <c r="E96" s="43">
        <v>2025.0</v>
      </c>
      <c r="F96" s="43" t="s">
        <v>305</v>
      </c>
      <c r="G96" s="43"/>
      <c r="H96" s="103" t="str">
        <f t="shared" si="2"/>
        <v>Vencido</v>
      </c>
      <c r="I96" s="104">
        <v>45902.0</v>
      </c>
      <c r="J96" s="59" t="s">
        <v>344</v>
      </c>
      <c r="K96" s="59" t="s">
        <v>245</v>
      </c>
      <c r="M96" s="104">
        <v>45932.0</v>
      </c>
      <c r="N96" s="128">
        <v>5539197.29</v>
      </c>
      <c r="O96" s="107"/>
      <c r="P96" s="106">
        <f>IF(ISBLANK(N96), "", VLOOKUP(D96&amp;" "&amp;E96, 'Info Tipo de Cambio y REM'!$A$24:$B$35, 2, FALSE))
</f>
        <v>1445</v>
      </c>
      <c r="Q96" s="107">
        <f t="shared" si="3"/>
        <v>3833.354526</v>
      </c>
    </row>
    <row r="97" hidden="1">
      <c r="A97" s="43" t="s">
        <v>131</v>
      </c>
      <c r="B97" s="43" t="str">
        <f t="shared" si="5"/>
        <v>Clientes a cobrar</v>
      </c>
      <c r="C97" s="102" t="str">
        <f>IF(K97="", "", IFERROR(VLOOKUP(K97, Clasificaciones!D:E, 2, FALSE), "DATO NO CARGADO"))
</f>
        <v>PeYa</v>
      </c>
      <c r="D97" s="51" t="s">
        <v>171</v>
      </c>
      <c r="E97" s="43">
        <v>2025.0</v>
      </c>
      <c r="F97" s="43" t="s">
        <v>305</v>
      </c>
      <c r="G97" s="103"/>
      <c r="H97" s="103" t="str">
        <f t="shared" si="2"/>
        <v>Vencido</v>
      </c>
      <c r="I97" s="104">
        <v>45901.0</v>
      </c>
      <c r="J97" s="59" t="s">
        <v>345</v>
      </c>
      <c r="K97" s="59" t="s">
        <v>255</v>
      </c>
      <c r="M97" s="104">
        <v>45931.0</v>
      </c>
      <c r="N97" s="128">
        <v>5143105.0</v>
      </c>
      <c r="O97" s="107"/>
      <c r="P97" s="106">
        <f>IF(ISBLANK(N97), "", VLOOKUP(D97&amp;" "&amp;E97, 'Info Tipo de Cambio y REM'!$A$24:$B$35, 2, FALSE))
</f>
        <v>1445</v>
      </c>
      <c r="Q97" s="107">
        <f t="shared" si="3"/>
        <v>3559.242215</v>
      </c>
    </row>
    <row r="98" hidden="1">
      <c r="A98" s="43" t="s">
        <v>131</v>
      </c>
      <c r="B98" s="43" t="str">
        <f t="shared" si="5"/>
        <v>Clientes a cobrar</v>
      </c>
      <c r="C98" s="102" t="str">
        <f>IF(K98="", "", IFERROR(VLOOKUP(K98, Clasificaciones!D:E, 2, FALSE), "DATO NO CARGADO"))
</f>
        <v>Play Digital S.A (Modo)</v>
      </c>
      <c r="D98" s="51" t="s">
        <v>171</v>
      </c>
      <c r="E98" s="43">
        <v>2025.0</v>
      </c>
      <c r="F98" s="43" t="s">
        <v>305</v>
      </c>
      <c r="G98" s="103"/>
      <c r="H98" s="103" t="str">
        <f t="shared" si="2"/>
        <v>Vencido</v>
      </c>
      <c r="I98" s="104">
        <v>45902.0</v>
      </c>
      <c r="J98" s="59" t="s">
        <v>346</v>
      </c>
      <c r="K98" s="59" t="s">
        <v>244</v>
      </c>
      <c r="M98" s="104">
        <v>45932.0</v>
      </c>
      <c r="N98" s="128">
        <v>3720750.0</v>
      </c>
      <c r="O98" s="107"/>
      <c r="P98" s="106">
        <f>IF(ISBLANK(N98), "", VLOOKUP(D98&amp;" "&amp;E98, 'Info Tipo de Cambio y REM'!$A$24:$B$35, 2, FALSE))
</f>
        <v>1445</v>
      </c>
      <c r="Q98" s="107">
        <f t="shared" si="3"/>
        <v>2574.913495</v>
      </c>
    </row>
    <row r="99" hidden="1">
      <c r="A99" s="43" t="s">
        <v>131</v>
      </c>
      <c r="B99" s="43" t="str">
        <f t="shared" si="5"/>
        <v>Clientes a cobrar</v>
      </c>
      <c r="C99" s="102" t="str">
        <f>IF(K99="", "", IFERROR(VLOOKUP(K99, Clasificaciones!D:E, 2, FALSE), "DATO NO CARGADO"))
</f>
        <v>Detroit</v>
      </c>
      <c r="D99" s="51" t="s">
        <v>171</v>
      </c>
      <c r="E99" s="43">
        <v>2025.0</v>
      </c>
      <c r="F99" s="43" t="s">
        <v>311</v>
      </c>
      <c r="G99" s="104">
        <v>45912.0</v>
      </c>
      <c r="H99" s="103" t="str">
        <f t="shared" si="2"/>
        <v>A término</v>
      </c>
      <c r="I99" s="104">
        <v>45901.0</v>
      </c>
      <c r="J99" s="43" t="s">
        <v>347</v>
      </c>
      <c r="K99" s="43" t="s">
        <v>251</v>
      </c>
      <c r="M99" s="104">
        <v>45931.0</v>
      </c>
      <c r="N99" s="112">
        <v>1114000.0</v>
      </c>
      <c r="O99" s="107"/>
      <c r="P99" s="106">
        <f>IF(ISBLANK(N99), "", VLOOKUP(D99&amp;" "&amp;E99, 'Info Tipo de Cambio y REM'!$A$24:$B$35, 2, FALSE))
</f>
        <v>1445</v>
      </c>
      <c r="Q99" s="107">
        <f t="shared" si="3"/>
        <v>770.9342561</v>
      </c>
    </row>
    <row r="100" hidden="1">
      <c r="A100" s="43" t="s">
        <v>131</v>
      </c>
      <c r="B100" s="43" t="str">
        <f t="shared" si="5"/>
        <v>Clientes a cobrar</v>
      </c>
      <c r="C100" s="102" t="str">
        <f>IF(K100="", "", IFERROR(VLOOKUP(K100, Clasificaciones!D:E, 2, FALSE), "DATO NO CARGADO"))
</f>
        <v>Kimberly Clark</v>
      </c>
      <c r="D100" s="51" t="s">
        <v>171</v>
      </c>
      <c r="E100" s="43">
        <v>2025.0</v>
      </c>
      <c r="F100" s="43" t="s">
        <v>305</v>
      </c>
      <c r="G100" s="103"/>
      <c r="H100" s="103" t="str">
        <f t="shared" si="2"/>
        <v>Vencido</v>
      </c>
      <c r="I100" s="104">
        <v>45902.0</v>
      </c>
      <c r="J100" s="43" t="s">
        <v>348</v>
      </c>
      <c r="K100" s="43" t="s">
        <v>253</v>
      </c>
      <c r="M100" s="104">
        <v>45932.0</v>
      </c>
      <c r="N100" s="113"/>
      <c r="O100" s="114">
        <v>4225.0</v>
      </c>
      <c r="P100" s="106" t="str">
        <f>IF(ISBLANK(N100), "", VLOOKUP(D100&amp;" "&amp;E100, 'Info Tipo de Cambio y REM'!$A$24:$B$35, 2, FALSE))
</f>
        <v/>
      </c>
      <c r="Q100" s="107">
        <f t="shared" si="3"/>
        <v>4225</v>
      </c>
    </row>
    <row r="101" hidden="1">
      <c r="A101" s="43" t="s">
        <v>131</v>
      </c>
      <c r="B101" s="43" t="str">
        <f t="shared" si="5"/>
        <v>Clientes a cobrar</v>
      </c>
      <c r="C101" s="102" t="str">
        <f>IF(K101="", "", IFERROR(VLOOKUP(K101, Clasificaciones!D:E, 2, FALSE), "DATO NO CARGADO"))
</f>
        <v>Cami Criado</v>
      </c>
      <c r="D101" s="51" t="s">
        <v>171</v>
      </c>
      <c r="E101" s="43">
        <v>2025.0</v>
      </c>
      <c r="F101" s="43" t="s">
        <v>311</v>
      </c>
      <c r="G101" s="104">
        <v>45911.0</v>
      </c>
      <c r="H101" s="103" t="str">
        <f t="shared" si="2"/>
        <v>A término</v>
      </c>
      <c r="I101" s="104">
        <v>45902.0</v>
      </c>
      <c r="J101" s="43" t="s">
        <v>349</v>
      </c>
      <c r="K101" s="43" t="s">
        <v>256</v>
      </c>
      <c r="M101" s="104">
        <v>45932.0</v>
      </c>
      <c r="N101" s="112">
        <v>2000000.0</v>
      </c>
      <c r="O101" s="107"/>
      <c r="P101" s="106">
        <f>IF(ISBLANK(N101), "", VLOOKUP(D101&amp;" "&amp;E101, 'Info Tipo de Cambio y REM'!$A$24:$B$35, 2, FALSE))
</f>
        <v>1445</v>
      </c>
      <c r="Q101" s="107">
        <f t="shared" si="3"/>
        <v>1384.083045</v>
      </c>
    </row>
    <row r="102">
      <c r="A102" s="43" t="s">
        <v>131</v>
      </c>
      <c r="B102" s="43" t="str">
        <f t="shared" si="5"/>
        <v>Clientes a cobrar</v>
      </c>
      <c r="C102" s="43" t="s">
        <v>183</v>
      </c>
      <c r="D102" s="51" t="s">
        <v>171</v>
      </c>
      <c r="E102" s="43">
        <v>2025.0</v>
      </c>
      <c r="F102" s="43" t="s">
        <v>305</v>
      </c>
      <c r="G102" s="103"/>
      <c r="H102" s="103" t="str">
        <f t="shared" si="2"/>
        <v>A término</v>
      </c>
      <c r="I102" s="104">
        <v>45902.0</v>
      </c>
      <c r="J102" s="43" t="s">
        <v>350</v>
      </c>
      <c r="K102" s="43" t="s">
        <v>334</v>
      </c>
      <c r="M102" s="104">
        <v>45992.0</v>
      </c>
      <c r="N102" s="113"/>
      <c r="O102" s="114">
        <v>29230.0</v>
      </c>
      <c r="P102" s="106" t="str">
        <f>IF(ISBLANK(N102), "", VLOOKUP(D102&amp;" "&amp;E102, 'Info Tipo de Cambio y REM'!$A$24:$B$35, 2, FALSE))
</f>
        <v/>
      </c>
      <c r="Q102" s="107">
        <f t="shared" si="3"/>
        <v>29230</v>
      </c>
    </row>
    <row r="103">
      <c r="A103" s="43" t="s">
        <v>131</v>
      </c>
      <c r="B103" s="43" t="str">
        <f t="shared" si="5"/>
        <v>Clientes a cobrar</v>
      </c>
      <c r="C103" s="102" t="str">
        <f>IF(K103="", "", IFERROR(VLOOKUP(K103, Clasificaciones!D:E, 2, FALSE), "DATO NO CARGADO"))
</f>
        <v>Warner</v>
      </c>
      <c r="D103" s="51" t="s">
        <v>171</v>
      </c>
      <c r="E103" s="43">
        <v>2025.0</v>
      </c>
      <c r="F103" s="43" t="s">
        <v>305</v>
      </c>
      <c r="G103" s="103"/>
      <c r="H103" s="103" t="str">
        <f t="shared" si="2"/>
        <v>A término</v>
      </c>
      <c r="I103" s="104">
        <v>45915.0</v>
      </c>
      <c r="J103" s="43" t="s">
        <v>351</v>
      </c>
      <c r="K103" s="43" t="s">
        <v>257</v>
      </c>
      <c r="M103" s="103">
        <f>I103+90</f>
        <v>46005</v>
      </c>
      <c r="N103" s="113"/>
      <c r="O103" s="114">
        <v>60640.0</v>
      </c>
      <c r="P103" s="106" t="str">
        <f>IF(ISBLANK(N103), "", VLOOKUP(D103&amp;" "&amp;E103, 'Info Tipo de Cambio y REM'!$A$24:$B$35, 2, FALSE))
</f>
        <v/>
      </c>
      <c r="Q103" s="107">
        <f t="shared" si="3"/>
        <v>60640</v>
      </c>
    </row>
    <row r="104" hidden="1">
      <c r="A104" s="43" t="s">
        <v>131</v>
      </c>
      <c r="B104" s="43" t="str">
        <f t="shared" si="5"/>
        <v>Clientes a cobrar</v>
      </c>
      <c r="C104" s="102" t="str">
        <f>IF(K104="", "", IFERROR(VLOOKUP(K104, Clasificaciones!D:E, 2, FALSE), "DATO NO CARGADO"))
</f>
        <v>Kimberly Clark</v>
      </c>
      <c r="D104" s="51" t="s">
        <v>171</v>
      </c>
      <c r="E104" s="43">
        <v>2025.0</v>
      </c>
      <c r="F104" s="43" t="s">
        <v>305</v>
      </c>
      <c r="G104" s="103"/>
      <c r="H104" s="103" t="str">
        <f t="shared" si="2"/>
        <v>A término</v>
      </c>
      <c r="I104" s="104">
        <v>45919.0</v>
      </c>
      <c r="J104" s="43" t="s">
        <v>352</v>
      </c>
      <c r="K104" s="43" t="s">
        <v>253</v>
      </c>
      <c r="M104" s="104">
        <v>46039.0</v>
      </c>
      <c r="N104" s="113"/>
      <c r="O104" s="114">
        <v>3325.0</v>
      </c>
      <c r="P104" s="106" t="str">
        <f>IF(ISBLANK(N104), "", VLOOKUP(D104&amp;" "&amp;E104, 'Info Tipo de Cambio y REM'!$A$24:$B$35, 2, FALSE))
</f>
        <v/>
      </c>
      <c r="Q104" s="107">
        <f t="shared" si="3"/>
        <v>3325</v>
      </c>
    </row>
    <row r="105" hidden="1">
      <c r="A105" s="43" t="s">
        <v>130</v>
      </c>
      <c r="B105" s="43" t="str">
        <f t="shared" si="5"/>
        <v>Activo Liquido</v>
      </c>
      <c r="C105" s="102" t="str">
        <f>IF(K105="", "", IFERROR(VLOOKUP(K105, Clasificaciones!D:E, 2, FALSE), "DATO NO CARGADO"))
</f>
        <v/>
      </c>
      <c r="D105" s="51" t="s">
        <v>171</v>
      </c>
      <c r="E105" s="43">
        <v>2025.0</v>
      </c>
      <c r="F105" s="102"/>
      <c r="G105" s="103"/>
      <c r="H105" s="103" t="str">
        <f t="shared" si="2"/>
        <v>A término</v>
      </c>
      <c r="I105" s="103"/>
      <c r="M105" s="103"/>
      <c r="N105" s="112">
        <v>402928.0</v>
      </c>
      <c r="O105" s="107"/>
      <c r="P105" s="106">
        <f>IF(ISBLANK(N105), "", VLOOKUP(D105&amp;" "&amp;E105, 'Info Tipo de Cambio y REM'!$A$24:$B$35, 2, FALSE))
</f>
        <v>1445</v>
      </c>
      <c r="Q105" s="107">
        <f t="shared" si="3"/>
        <v>278.8429066</v>
      </c>
    </row>
    <row r="106" hidden="1">
      <c r="A106" s="43" t="s">
        <v>144</v>
      </c>
      <c r="B106" s="43" t="str">
        <f t="shared" si="5"/>
        <v>Activo Liquido</v>
      </c>
      <c r="C106" s="102" t="str">
        <f>IF(K106="", "", IFERROR(VLOOKUP(K106, Clasificaciones!D:E, 2, FALSE), "DATO NO CARGADO"))
</f>
        <v/>
      </c>
      <c r="D106" s="51" t="s">
        <v>171</v>
      </c>
      <c r="E106" s="43">
        <v>2025.0</v>
      </c>
      <c r="F106" s="102"/>
      <c r="G106" s="103"/>
      <c r="H106" s="103" t="str">
        <f t="shared" si="2"/>
        <v>A término</v>
      </c>
      <c r="I106" s="103"/>
      <c r="M106" s="103"/>
      <c r="N106" s="113"/>
      <c r="O106" s="114">
        <v>-74320.0</v>
      </c>
      <c r="P106" s="106" t="str">
        <f>IF(ISBLANK(N106), "", VLOOKUP(D106&amp;" "&amp;E106, 'Info Tipo de Cambio y REM'!$A$24:$B$35, 2, FALSE))
</f>
        <v/>
      </c>
      <c r="Q106" s="107">
        <f t="shared" si="3"/>
        <v>-74320</v>
      </c>
    </row>
    <row r="107" hidden="1">
      <c r="A107" s="43" t="s">
        <v>150</v>
      </c>
      <c r="B107" s="43" t="str">
        <f t="shared" si="5"/>
        <v>Activo Liquido</v>
      </c>
      <c r="C107" s="102" t="str">
        <f>IF(K107="", "", IFERROR(VLOOKUP(K107, Clasificaciones!D:E, 2, FALSE), "DATO NO CARGADO"))
</f>
        <v/>
      </c>
      <c r="D107" s="51" t="s">
        <v>171</v>
      </c>
      <c r="E107" s="43">
        <v>2025.0</v>
      </c>
      <c r="F107" s="102"/>
      <c r="G107" s="103"/>
      <c r="H107" s="103" t="str">
        <f t="shared" si="2"/>
        <v>A término</v>
      </c>
      <c r="I107" s="103"/>
      <c r="M107" s="103"/>
      <c r="N107" s="113"/>
      <c r="O107" s="114">
        <v>230.0</v>
      </c>
      <c r="P107" s="106" t="str">
        <f>IF(ISBLANK(N107), "", VLOOKUP(D107&amp;" "&amp;E107, 'Info Tipo de Cambio y REM'!$A$24:$B$35, 2, FALSE))
</f>
        <v/>
      </c>
      <c r="Q107" s="107">
        <f t="shared" si="3"/>
        <v>230</v>
      </c>
    </row>
    <row r="108" hidden="1">
      <c r="A108" s="43" t="s">
        <v>167</v>
      </c>
      <c r="B108" s="43" t="str">
        <f t="shared" si="5"/>
        <v>Mediano Plazo</v>
      </c>
      <c r="C108" s="102" t="str">
        <f>IF(K108="", "", IFERROR(VLOOKUP(K108, Clasificaciones!D:E, 2, FALSE), "DATO NO CARGADO"))
</f>
        <v/>
      </c>
      <c r="D108" s="51" t="s">
        <v>171</v>
      </c>
      <c r="E108" s="43">
        <v>2025.0</v>
      </c>
      <c r="F108" s="102"/>
      <c r="G108" s="103"/>
      <c r="H108" s="103" t="str">
        <f t="shared" si="2"/>
        <v>A término</v>
      </c>
      <c r="I108" s="103"/>
      <c r="M108" s="103"/>
      <c r="N108" s="113"/>
      <c r="O108" s="114">
        <v>2344.0</v>
      </c>
      <c r="P108" s="106" t="str">
        <f>IF(ISBLANK(N108), "", VLOOKUP(D108&amp;" "&amp;E108, 'Info Tipo de Cambio y REM'!$A$24:$B$35, 2, FALSE))
</f>
        <v/>
      </c>
      <c r="Q108" s="107">
        <f t="shared" si="3"/>
        <v>2344</v>
      </c>
    </row>
    <row r="109" hidden="1">
      <c r="A109" s="43" t="s">
        <v>131</v>
      </c>
      <c r="B109" s="43" t="str">
        <f t="shared" si="5"/>
        <v>Clientes a cobrar</v>
      </c>
      <c r="C109" s="102" t="str">
        <f>IF(K109="", "", IFERROR(VLOOKUP(K109, Clasificaciones!D:E, 2, FALSE), "DATO NO CARGADO"))
</f>
        <v>Coelsa</v>
      </c>
      <c r="D109" s="51" t="s">
        <v>175</v>
      </c>
      <c r="E109" s="43">
        <v>2025.0</v>
      </c>
      <c r="F109" s="43" t="s">
        <v>305</v>
      </c>
      <c r="G109" s="103"/>
      <c r="H109" s="103" t="str">
        <f t="shared" si="2"/>
        <v>A término</v>
      </c>
      <c r="I109" s="129">
        <v>45933.0</v>
      </c>
      <c r="J109" s="59" t="s">
        <v>353</v>
      </c>
      <c r="K109" s="59" t="s">
        <v>245</v>
      </c>
      <c r="M109" s="104">
        <v>45964.0</v>
      </c>
      <c r="N109" s="130">
        <v>5539197.29</v>
      </c>
      <c r="O109" s="107"/>
      <c r="P109" s="106">
        <f>IF(ISBLANK(N109), "", VLOOKUP(D109&amp;" "&amp;E109, 'Info Tipo de Cambio y REM'!$A$24:$B$35, 2, FALSE))
</f>
        <v>1440</v>
      </c>
      <c r="Q109" s="107">
        <f t="shared" si="3"/>
        <v>3846.664785</v>
      </c>
    </row>
    <row r="110" hidden="1">
      <c r="A110" s="43" t="s">
        <v>131</v>
      </c>
      <c r="B110" s="43" t="str">
        <f t="shared" si="5"/>
        <v>Clientes a cobrar</v>
      </c>
      <c r="C110" s="102" t="str">
        <f>IF(K110="", "", IFERROR(VLOOKUP(K110, Clasificaciones!D:E, 2, FALSE), "DATO NO CARGADO"))
</f>
        <v>Play Digital S.A (Modo)</v>
      </c>
      <c r="D110" s="51" t="s">
        <v>175</v>
      </c>
      <c r="E110" s="43">
        <v>2025.0</v>
      </c>
      <c r="F110" s="43" t="s">
        <v>305</v>
      </c>
      <c r="G110" s="103"/>
      <c r="H110" s="103" t="str">
        <f t="shared" si="2"/>
        <v>A término</v>
      </c>
      <c r="I110" s="129">
        <v>45933.0</v>
      </c>
      <c r="J110" s="59" t="s">
        <v>354</v>
      </c>
      <c r="K110" s="59" t="s">
        <v>244</v>
      </c>
      <c r="M110" s="104">
        <v>45964.0</v>
      </c>
      <c r="N110" s="130">
        <v>3720750.0</v>
      </c>
      <c r="O110" s="107"/>
      <c r="P110" s="106">
        <f>IF(ISBLANK(N110), "", VLOOKUP(D110&amp;" "&amp;E110, 'Info Tipo de Cambio y REM'!$A$24:$B$35, 2, FALSE))
</f>
        <v>1440</v>
      </c>
      <c r="Q110" s="107">
        <f t="shared" si="3"/>
        <v>2583.854167</v>
      </c>
    </row>
    <row r="111">
      <c r="A111" s="43" t="s">
        <v>131</v>
      </c>
      <c r="B111" s="43" t="str">
        <f t="shared" si="5"/>
        <v>Clientes a cobrar</v>
      </c>
      <c r="C111" s="102" t="str">
        <f>IF(K111="", "", IFERROR(VLOOKUP(K111, Clasificaciones!D:E, 2, FALSE), "DATO NO CARGADO"))
</f>
        <v>Animal Studio</v>
      </c>
      <c r="D111" s="51" t="s">
        <v>175</v>
      </c>
      <c r="E111" s="43">
        <v>2025.0</v>
      </c>
      <c r="F111" s="43" t="s">
        <v>305</v>
      </c>
      <c r="G111" s="103"/>
      <c r="H111" s="103" t="str">
        <f t="shared" si="2"/>
        <v>A término</v>
      </c>
      <c r="I111" s="129">
        <v>45933.0</v>
      </c>
      <c r="J111" s="59" t="s">
        <v>355</v>
      </c>
      <c r="K111" s="59" t="s">
        <v>254</v>
      </c>
      <c r="M111" s="104">
        <v>45964.0</v>
      </c>
      <c r="N111" s="130">
        <v>1645600.0</v>
      </c>
      <c r="O111" s="107"/>
      <c r="P111" s="106">
        <f>IF(ISBLANK(N111), "", VLOOKUP(D111&amp;" "&amp;E111, 'Info Tipo de Cambio y REM'!$A$24:$B$35, 2, FALSE))
</f>
        <v>1440</v>
      </c>
      <c r="Q111" s="107">
        <f t="shared" si="3"/>
        <v>1142.777778</v>
      </c>
    </row>
    <row r="112">
      <c r="A112" s="43" t="s">
        <v>131</v>
      </c>
      <c r="B112" s="43" t="str">
        <f t="shared" si="5"/>
        <v>Clientes a cobrar</v>
      </c>
      <c r="C112" s="102" t="str">
        <f>IF(K112="", "", IFERROR(VLOOKUP(K112, Clasificaciones!D:E, 2, FALSE), "DATO NO CARGADO"))
</f>
        <v>DATO NO CARGADO</v>
      </c>
      <c r="D112" s="51" t="s">
        <v>175</v>
      </c>
      <c r="E112" s="43">
        <v>2025.0</v>
      </c>
      <c r="F112" s="43" t="s">
        <v>305</v>
      </c>
      <c r="G112" s="103"/>
      <c r="H112" s="103" t="str">
        <f t="shared" si="2"/>
        <v>A término</v>
      </c>
      <c r="I112" s="129">
        <v>45932.0</v>
      </c>
      <c r="J112" s="59" t="s">
        <v>356</v>
      </c>
      <c r="K112" s="59" t="s">
        <v>357</v>
      </c>
      <c r="M112" s="104">
        <v>45963.0</v>
      </c>
      <c r="N112" s="130">
        <v>4144250.0</v>
      </c>
      <c r="O112" s="107"/>
      <c r="P112" s="106">
        <f>IF(ISBLANK(N112), "", VLOOKUP(D112&amp;" "&amp;E112, 'Info Tipo de Cambio y REM'!$A$24:$B$35, 2, FALSE))
</f>
        <v>1440</v>
      </c>
      <c r="Q112" s="107">
        <f t="shared" si="3"/>
        <v>2877.951389</v>
      </c>
    </row>
    <row r="113">
      <c r="A113" s="43" t="s">
        <v>131</v>
      </c>
      <c r="B113" s="43" t="str">
        <f t="shared" si="5"/>
        <v>Clientes a cobrar</v>
      </c>
      <c r="C113" s="102" t="str">
        <f>IF(K113="", "", IFERROR(VLOOKUP(K113, Clasificaciones!D:E, 2, FALSE), "DATO NO CARGADO"))
</f>
        <v>DATO NO CARGADO</v>
      </c>
      <c r="D113" s="51" t="s">
        <v>175</v>
      </c>
      <c r="E113" s="43">
        <v>2025.0</v>
      </c>
      <c r="F113" s="43" t="s">
        <v>305</v>
      </c>
      <c r="G113" s="103"/>
      <c r="H113" s="103" t="str">
        <f t="shared" si="2"/>
        <v>A término</v>
      </c>
      <c r="I113" s="104">
        <v>45936.0</v>
      </c>
      <c r="J113" s="43" t="s">
        <v>358</v>
      </c>
      <c r="K113" s="43" t="s">
        <v>334</v>
      </c>
      <c r="M113" s="104">
        <v>46026.0</v>
      </c>
      <c r="N113" s="113"/>
      <c r="O113" s="114">
        <v>29230.0</v>
      </c>
      <c r="P113" s="106" t="str">
        <f>IF(ISBLANK(N113), "", VLOOKUP(D113&amp;" "&amp;E113, 'Info Tipo de Cambio y REM'!$A$24:$B$35, 2, FALSE))
</f>
        <v/>
      </c>
      <c r="Q113" s="107">
        <f t="shared" si="3"/>
        <v>29230</v>
      </c>
    </row>
    <row r="114">
      <c r="A114" s="43" t="s">
        <v>131</v>
      </c>
      <c r="B114" s="43" t="str">
        <f t="shared" si="5"/>
        <v>Clientes a cobrar</v>
      </c>
      <c r="C114" s="102" t="str">
        <f>IF(K114="", "", IFERROR(VLOOKUP(K114, Clasificaciones!D:E, 2, FALSE), "DATO NO CARGADO"))
</f>
        <v>Detroit</v>
      </c>
      <c r="D114" s="51" t="s">
        <v>175</v>
      </c>
      <c r="E114" s="43">
        <v>2025.0</v>
      </c>
      <c r="F114" s="43" t="s">
        <v>305</v>
      </c>
      <c r="G114" s="103"/>
      <c r="H114" s="103" t="str">
        <f t="shared" si="2"/>
        <v>A término</v>
      </c>
      <c r="I114" s="104">
        <v>45933.0</v>
      </c>
      <c r="K114" s="43" t="s">
        <v>251</v>
      </c>
      <c r="M114" s="104">
        <v>45964.0</v>
      </c>
      <c r="N114" s="112">
        <v>1114000.0</v>
      </c>
      <c r="O114" s="107"/>
      <c r="P114" s="106">
        <f>IF(ISBLANK(N114), "", VLOOKUP(D114&amp;" "&amp;E114, 'Info Tipo de Cambio y REM'!$A$24:$B$35, 2, FALSE))
</f>
        <v>1440</v>
      </c>
      <c r="Q114" s="107">
        <f t="shared" si="3"/>
        <v>773.6111111</v>
      </c>
    </row>
    <row r="115">
      <c r="A115" s="102"/>
      <c r="B115" s="43" t="str">
        <f t="shared" si="5"/>
        <v/>
      </c>
      <c r="C115" s="102" t="str">
        <f>IF(K115="", "", IFERROR(VLOOKUP(K115, Clasificaciones!D:E, 2, FALSE), "DATO NO CARGADO"))
</f>
        <v/>
      </c>
      <c r="D115" s="51"/>
      <c r="E115" s="102"/>
      <c r="F115" s="102"/>
      <c r="G115" s="103"/>
      <c r="H115" s="103" t="str">
        <f t="shared" si="2"/>
        <v/>
      </c>
      <c r="I115" s="103"/>
      <c r="M115" s="103"/>
      <c r="N115" s="113"/>
      <c r="O115" s="107"/>
      <c r="P115" s="106" t="str">
        <f>IF(ISBLANK(N115), "", VLOOKUP(D115&amp;" "&amp;E115, 'Info Tipo de Cambio y REM'!$A$24:$B$35, 2, FALSE))
</f>
        <v/>
      </c>
      <c r="Q115" s="107" t="str">
        <f t="shared" si="3"/>
        <v/>
      </c>
    </row>
    <row r="116">
      <c r="A116" s="102"/>
      <c r="B116" s="43" t="str">
        <f t="shared" si="5"/>
        <v/>
      </c>
      <c r="C116" s="102" t="str">
        <f>IF(K116="", "", IFERROR(VLOOKUP(K116, Clasificaciones!D:E, 2, FALSE), "DATO NO CARGADO"))
</f>
        <v/>
      </c>
      <c r="D116" s="51"/>
      <c r="E116" s="102"/>
      <c r="F116" s="102"/>
      <c r="G116" s="103"/>
      <c r="H116" s="103" t="str">
        <f t="shared" si="2"/>
        <v/>
      </c>
      <c r="I116" s="103"/>
      <c r="M116" s="103"/>
      <c r="N116" s="113"/>
      <c r="O116" s="107"/>
      <c r="P116" s="106" t="str">
        <f>IF(ISBLANK(N116), "", VLOOKUP(D116&amp;" "&amp;E116, 'Info Tipo de Cambio y REM'!$A$24:$B$35, 2, FALSE))
</f>
        <v/>
      </c>
      <c r="Q116" s="107" t="str">
        <f t="shared" si="3"/>
        <v/>
      </c>
    </row>
    <row r="117">
      <c r="A117" s="102"/>
      <c r="B117" s="43" t="str">
        <f t="shared" si="5"/>
        <v/>
      </c>
      <c r="C117" s="102" t="str">
        <f>IF(K117="", "", IFERROR(VLOOKUP(K117, Clasificaciones!D:E, 2, FALSE), "DATO NO CARGADO"))
</f>
        <v/>
      </c>
      <c r="D117" s="51"/>
      <c r="E117" s="102"/>
      <c r="F117" s="102"/>
      <c r="G117" s="103"/>
      <c r="H117" s="103" t="str">
        <f t="shared" si="2"/>
        <v/>
      </c>
      <c r="I117" s="103"/>
      <c r="M117" s="103"/>
      <c r="N117" s="113"/>
      <c r="O117" s="107"/>
      <c r="P117" s="106" t="str">
        <f>IF(ISBLANK(N117), "", VLOOKUP(D117&amp;" "&amp;E117, 'Info Tipo de Cambio y REM'!$A$24:$B$35, 2, FALSE))
</f>
        <v/>
      </c>
      <c r="Q117" s="107" t="str">
        <f t="shared" si="3"/>
        <v/>
      </c>
    </row>
    <row r="118">
      <c r="A118" s="102"/>
      <c r="B118" s="43" t="str">
        <f t="shared" si="5"/>
        <v/>
      </c>
      <c r="C118" s="102" t="str">
        <f>IF(K118="", "", IFERROR(VLOOKUP(K118, Clasificaciones!D:E, 2, FALSE), "DATO NO CARGADO"))
</f>
        <v/>
      </c>
      <c r="D118" s="51"/>
      <c r="E118" s="102"/>
      <c r="F118" s="102"/>
      <c r="G118" s="103"/>
      <c r="H118" s="103" t="str">
        <f t="shared" si="2"/>
        <v/>
      </c>
      <c r="I118" s="103"/>
      <c r="M118" s="103"/>
      <c r="N118" s="113"/>
      <c r="O118" s="107"/>
      <c r="P118" s="106" t="str">
        <f>IF(ISBLANK(N118), "", VLOOKUP(D118&amp;" "&amp;E118, 'Info Tipo de Cambio y REM'!$A$24:$B$35, 2, FALSE))
</f>
        <v/>
      </c>
      <c r="Q118" s="107" t="str">
        <f t="shared" si="3"/>
        <v/>
      </c>
    </row>
    <row r="119">
      <c r="A119" s="102"/>
      <c r="B119" s="43" t="str">
        <f t="shared" si="5"/>
        <v/>
      </c>
      <c r="C119" s="102" t="str">
        <f>IF(K119="", "", IFERROR(VLOOKUP(K119, Clasificaciones!D:E, 2, FALSE), "DATO NO CARGADO"))
</f>
        <v/>
      </c>
      <c r="D119" s="51"/>
      <c r="E119" s="102"/>
      <c r="F119" s="102"/>
      <c r="G119" s="103"/>
      <c r="H119" s="103" t="str">
        <f t="shared" si="2"/>
        <v/>
      </c>
      <c r="I119" s="103"/>
      <c r="M119" s="103"/>
      <c r="N119" s="113"/>
      <c r="O119" s="107"/>
      <c r="P119" s="106" t="str">
        <f>IF(ISBLANK(N119), "", VLOOKUP(D119&amp;" "&amp;E119, 'Info Tipo de Cambio y REM'!$A$24:$B$35, 2, FALSE))
</f>
        <v/>
      </c>
      <c r="Q119" s="107" t="str">
        <f t="shared" si="3"/>
        <v/>
      </c>
    </row>
    <row r="120">
      <c r="A120" s="102"/>
      <c r="B120" s="43" t="str">
        <f t="shared" si="5"/>
        <v/>
      </c>
      <c r="C120" s="102" t="str">
        <f>IF(K120="", "", IFERROR(VLOOKUP(K120, Clasificaciones!D:E, 2, FALSE), "DATO NO CARGADO"))
</f>
        <v/>
      </c>
      <c r="D120" s="51"/>
      <c r="E120" s="102"/>
      <c r="F120" s="102"/>
      <c r="G120" s="103"/>
      <c r="H120" s="103" t="str">
        <f t="shared" si="2"/>
        <v/>
      </c>
      <c r="I120" s="103"/>
      <c r="M120" s="103"/>
      <c r="N120" s="113"/>
      <c r="O120" s="107"/>
      <c r="P120" s="106" t="str">
        <f>IF(ISBLANK(N120), "", VLOOKUP(D120&amp;" "&amp;E120, 'Info Tipo de Cambio y REM'!$A$24:$B$35, 2, FALSE))
</f>
        <v/>
      </c>
      <c r="Q120" s="107" t="str">
        <f t="shared" si="3"/>
        <v/>
      </c>
    </row>
    <row r="121">
      <c r="A121" s="102"/>
      <c r="B121" s="43" t="str">
        <f t="shared" si="5"/>
        <v/>
      </c>
      <c r="C121" s="102" t="str">
        <f>IF(K121="", "", IFERROR(VLOOKUP(K121, Clasificaciones!D:E, 2, FALSE), "DATO NO CARGADO"))
</f>
        <v/>
      </c>
      <c r="D121" s="51"/>
      <c r="E121" s="102"/>
      <c r="F121" s="102"/>
      <c r="G121" s="103"/>
      <c r="H121" s="103" t="str">
        <f t="shared" si="2"/>
        <v/>
      </c>
      <c r="I121" s="103"/>
      <c r="M121" s="103"/>
      <c r="N121" s="113"/>
      <c r="O121" s="107"/>
      <c r="P121" s="106" t="str">
        <f>IF(ISBLANK(N121), "", VLOOKUP(D121&amp;" "&amp;E121, 'Info Tipo de Cambio y REM'!$A$24:$B$35, 2, FALSE))
</f>
        <v/>
      </c>
      <c r="Q121" s="107" t="str">
        <f t="shared" si="3"/>
        <v/>
      </c>
    </row>
    <row r="122">
      <c r="A122" s="102"/>
      <c r="B122" s="43" t="str">
        <f t="shared" si="5"/>
        <v/>
      </c>
      <c r="C122" s="102" t="str">
        <f>IF(K122="", "", IFERROR(VLOOKUP(K122, Clasificaciones!D:E, 2, FALSE), "DATO NO CARGADO"))
</f>
        <v/>
      </c>
      <c r="D122" s="51"/>
      <c r="E122" s="102"/>
      <c r="F122" s="102"/>
      <c r="G122" s="103"/>
      <c r="H122" s="103" t="str">
        <f t="shared" si="2"/>
        <v/>
      </c>
      <c r="I122" s="103"/>
      <c r="M122" s="103"/>
      <c r="N122" s="113"/>
      <c r="O122" s="107"/>
      <c r="P122" s="106" t="str">
        <f>IF(ISBLANK(N122), "", VLOOKUP(D122&amp;" "&amp;E122, 'Info Tipo de Cambio y REM'!$A$24:$B$35, 2, FALSE))
</f>
        <v/>
      </c>
      <c r="Q122" s="107" t="str">
        <f t="shared" si="3"/>
        <v/>
      </c>
    </row>
    <row r="123">
      <c r="A123" s="102"/>
      <c r="B123" s="43" t="str">
        <f t="shared" si="5"/>
        <v/>
      </c>
      <c r="C123" s="102" t="str">
        <f>IF(K123="", "", IFERROR(VLOOKUP(K123, Clasificaciones!D:E, 2, FALSE), "DATO NO CARGADO"))
</f>
        <v/>
      </c>
      <c r="D123" s="51"/>
      <c r="E123" s="102"/>
      <c r="F123" s="102"/>
      <c r="G123" s="103"/>
      <c r="H123" s="103" t="str">
        <f t="shared" si="2"/>
        <v/>
      </c>
      <c r="I123" s="103"/>
      <c r="M123" s="103"/>
      <c r="N123" s="113"/>
      <c r="O123" s="107"/>
      <c r="P123" s="106" t="str">
        <f>IF(ISBLANK(N123), "", VLOOKUP(D123&amp;" "&amp;E123, 'Info Tipo de Cambio y REM'!$A$24:$B$35, 2, FALSE))
</f>
        <v/>
      </c>
      <c r="Q123" s="107" t="str">
        <f t="shared" si="3"/>
        <v/>
      </c>
    </row>
    <row r="124">
      <c r="A124" s="102"/>
      <c r="B124" s="43" t="str">
        <f t="shared" si="5"/>
        <v/>
      </c>
      <c r="C124" s="102" t="str">
        <f>IF(K124="", "", IFERROR(VLOOKUP(K124, Clasificaciones!D:E, 2, FALSE), "DATO NO CARGADO"))
</f>
        <v/>
      </c>
      <c r="D124" s="51"/>
      <c r="E124" s="102"/>
      <c r="F124" s="102"/>
      <c r="G124" s="103"/>
      <c r="H124" s="103" t="str">
        <f t="shared" si="2"/>
        <v/>
      </c>
      <c r="I124" s="103"/>
      <c r="M124" s="103"/>
      <c r="N124" s="113"/>
      <c r="O124" s="107"/>
      <c r="P124" s="106" t="str">
        <f>IF(ISBLANK(N124), "", VLOOKUP(D124&amp;" "&amp;E124, 'Info Tipo de Cambio y REM'!$A$24:$B$35, 2, FALSE))
</f>
        <v/>
      </c>
      <c r="Q124" s="107" t="str">
        <f t="shared" si="3"/>
        <v/>
      </c>
    </row>
    <row r="125">
      <c r="A125" s="102"/>
      <c r="B125" s="43" t="str">
        <f t="shared" si="5"/>
        <v/>
      </c>
      <c r="C125" s="102" t="str">
        <f>IF(K125="", "", IFERROR(VLOOKUP(K125, Clasificaciones!D:E, 2, FALSE), "DATO NO CARGADO"))
</f>
        <v/>
      </c>
      <c r="D125" s="51"/>
      <c r="E125" s="102"/>
      <c r="F125" s="102"/>
      <c r="G125" s="103"/>
      <c r="H125" s="103" t="str">
        <f t="shared" si="2"/>
        <v/>
      </c>
      <c r="I125" s="103"/>
      <c r="M125" s="103"/>
      <c r="N125" s="113"/>
      <c r="O125" s="107"/>
      <c r="P125" s="106" t="str">
        <f>IF(ISBLANK(N125), "", VLOOKUP(D125&amp;" "&amp;E125, 'Info Tipo de Cambio y REM'!$A$24:$B$35, 2, FALSE))
</f>
        <v/>
      </c>
      <c r="Q125" s="107" t="str">
        <f t="shared" si="3"/>
        <v/>
      </c>
    </row>
    <row r="126">
      <c r="A126" s="102"/>
      <c r="B126" s="43" t="str">
        <f t="shared" si="5"/>
        <v/>
      </c>
      <c r="C126" s="102" t="str">
        <f>IF(K126="", "", IFERROR(VLOOKUP(K126, Clasificaciones!D:E, 2, FALSE), "DATO NO CARGADO"))
</f>
        <v/>
      </c>
      <c r="D126" s="51"/>
      <c r="E126" s="102"/>
      <c r="F126" s="102"/>
      <c r="G126" s="103"/>
      <c r="H126" s="103" t="str">
        <f t="shared" si="2"/>
        <v/>
      </c>
      <c r="I126" s="103"/>
      <c r="M126" s="103"/>
      <c r="N126" s="113"/>
      <c r="O126" s="107"/>
      <c r="P126" s="106" t="str">
        <f>IF(ISBLANK(N126), "", VLOOKUP(D126&amp;" "&amp;E126, 'Info Tipo de Cambio y REM'!$A$24:$B$35, 2, FALSE))
</f>
        <v/>
      </c>
      <c r="Q126" s="107" t="str">
        <f t="shared" si="3"/>
        <v/>
      </c>
    </row>
    <row r="127">
      <c r="A127" s="102"/>
      <c r="B127" s="43" t="str">
        <f t="shared" si="5"/>
        <v/>
      </c>
      <c r="C127" s="102" t="str">
        <f>IF(K127="", "", IFERROR(VLOOKUP(K127, Clasificaciones!D:E, 2, FALSE), "DATO NO CARGADO"))
</f>
        <v/>
      </c>
      <c r="D127" s="51"/>
      <c r="E127" s="102"/>
      <c r="F127" s="102"/>
      <c r="G127" s="103"/>
      <c r="H127" s="103" t="str">
        <f t="shared" si="2"/>
        <v/>
      </c>
      <c r="I127" s="103"/>
      <c r="M127" s="103"/>
      <c r="N127" s="113"/>
      <c r="O127" s="107"/>
      <c r="P127" s="106" t="str">
        <f>IF(ISBLANK(N127), "", VLOOKUP(D127&amp;" "&amp;E127, 'Info Tipo de Cambio y REM'!$A$24:$B$35, 2, FALSE))
</f>
        <v/>
      </c>
      <c r="Q127" s="107" t="str">
        <f t="shared" si="3"/>
        <v/>
      </c>
    </row>
    <row r="128">
      <c r="A128" s="102"/>
      <c r="B128" s="43" t="str">
        <f t="shared" si="5"/>
        <v/>
      </c>
      <c r="C128" s="102" t="str">
        <f>IF(K128="", "", IFERROR(VLOOKUP(K128, Clasificaciones!D:E, 2, FALSE), "DATO NO CARGADO"))
</f>
        <v/>
      </c>
      <c r="D128" s="51"/>
      <c r="E128" s="102"/>
      <c r="F128" s="102"/>
      <c r="G128" s="103"/>
      <c r="H128" s="103" t="str">
        <f t="shared" si="2"/>
        <v/>
      </c>
      <c r="I128" s="103"/>
      <c r="M128" s="103"/>
      <c r="N128" s="113"/>
      <c r="O128" s="107"/>
      <c r="P128" s="106" t="str">
        <f>IF(ISBLANK(N128), "", VLOOKUP(D128&amp;" "&amp;E128, 'Info Tipo de Cambio y REM'!$A$24:$B$35, 2, FALSE))
</f>
        <v/>
      </c>
      <c r="Q128" s="107" t="str">
        <f t="shared" si="3"/>
        <v/>
      </c>
    </row>
    <row r="129">
      <c r="A129" s="102"/>
      <c r="B129" s="43" t="str">
        <f t="shared" si="5"/>
        <v/>
      </c>
      <c r="C129" s="102" t="str">
        <f>IF(K129="", "", IFERROR(VLOOKUP(K129, Clasificaciones!D:E, 2, FALSE), "DATO NO CARGADO"))
</f>
        <v/>
      </c>
      <c r="D129" s="51"/>
      <c r="E129" s="102"/>
      <c r="F129" s="102"/>
      <c r="G129" s="103"/>
      <c r="H129" s="103" t="str">
        <f t="shared" si="2"/>
        <v/>
      </c>
      <c r="I129" s="103"/>
      <c r="M129" s="103"/>
      <c r="N129" s="113"/>
      <c r="O129" s="107"/>
      <c r="P129" s="106" t="str">
        <f>IF(ISBLANK(N129), "", VLOOKUP(D129&amp;" "&amp;E129, 'Info Tipo de Cambio y REM'!$A$24:$B$35, 2, FALSE))
</f>
        <v/>
      </c>
      <c r="Q129" s="107" t="str">
        <f t="shared" si="3"/>
        <v/>
      </c>
    </row>
    <row r="130">
      <c r="A130" s="102"/>
      <c r="B130" s="43" t="str">
        <f t="shared" si="5"/>
        <v/>
      </c>
      <c r="C130" s="102" t="str">
        <f>IF(K130="", "", IFERROR(VLOOKUP(K130, Clasificaciones!D:E, 2, FALSE), "DATO NO CARGADO"))
</f>
        <v/>
      </c>
      <c r="D130" s="51"/>
      <c r="E130" s="102"/>
      <c r="F130" s="102"/>
      <c r="G130" s="103"/>
      <c r="H130" s="103" t="str">
        <f t="shared" si="2"/>
        <v/>
      </c>
      <c r="I130" s="103"/>
      <c r="M130" s="103"/>
      <c r="N130" s="113"/>
      <c r="O130" s="107"/>
      <c r="P130" s="106" t="str">
        <f>IF(ISBLANK(N130), "", VLOOKUP(D130&amp;" "&amp;E130, 'Info Tipo de Cambio y REM'!$A$24:$B$35, 2, FALSE))
</f>
        <v/>
      </c>
      <c r="Q130" s="107" t="str">
        <f t="shared" si="3"/>
        <v/>
      </c>
    </row>
    <row r="131">
      <c r="A131" s="102"/>
      <c r="B131" s="43" t="str">
        <f t="shared" si="5"/>
        <v/>
      </c>
      <c r="C131" s="102" t="str">
        <f>IF(K131="", "", IFERROR(VLOOKUP(K131, Clasificaciones!D:E, 2, FALSE), "DATO NO CARGADO"))
</f>
        <v/>
      </c>
      <c r="D131" s="51"/>
      <c r="E131" s="102"/>
      <c r="F131" s="102"/>
      <c r="G131" s="103"/>
      <c r="H131" s="103" t="str">
        <f t="shared" si="2"/>
        <v/>
      </c>
      <c r="I131" s="103"/>
      <c r="M131" s="103"/>
      <c r="N131" s="113"/>
      <c r="O131" s="107"/>
      <c r="P131" s="106" t="str">
        <f>IF(ISBLANK(N131), "", VLOOKUP(D131&amp;" "&amp;E131, 'Info Tipo de Cambio y REM'!$A$24:$B$35, 2, FALSE))
</f>
        <v/>
      </c>
      <c r="Q131" s="107" t="str">
        <f t="shared" si="3"/>
        <v/>
      </c>
    </row>
    <row r="132">
      <c r="A132" s="102"/>
      <c r="B132" s="43" t="str">
        <f t="shared" si="5"/>
        <v/>
      </c>
      <c r="C132" s="102" t="str">
        <f>IF(K132="", "", IFERROR(VLOOKUP(K132, Clasificaciones!D:E, 2, FALSE), "DATO NO CARGADO"))
</f>
        <v/>
      </c>
      <c r="D132" s="51"/>
      <c r="E132" s="102"/>
      <c r="F132" s="102"/>
      <c r="G132" s="103"/>
      <c r="H132" s="103" t="str">
        <f t="shared" si="2"/>
        <v/>
      </c>
      <c r="I132" s="103"/>
      <c r="M132" s="103"/>
      <c r="N132" s="113"/>
      <c r="O132" s="107"/>
      <c r="P132" s="106" t="str">
        <f>IF(ISBLANK(N132), "", VLOOKUP(D132&amp;" "&amp;E132, 'Info Tipo de Cambio y REM'!$A$24:$B$35, 2, FALSE))
</f>
        <v/>
      </c>
      <c r="Q132" s="107" t="str">
        <f t="shared" si="3"/>
        <v/>
      </c>
    </row>
    <row r="133">
      <c r="A133" s="102"/>
      <c r="B133" s="43" t="str">
        <f t="shared" si="5"/>
        <v/>
      </c>
      <c r="C133" s="102" t="str">
        <f>IF(K133="", "", IFERROR(VLOOKUP(K133, Clasificaciones!D:E, 2, FALSE), "DATO NO CARGADO"))
</f>
        <v/>
      </c>
      <c r="D133" s="51"/>
      <c r="E133" s="102"/>
      <c r="F133" s="102"/>
      <c r="G133" s="103"/>
      <c r="H133" s="103" t="str">
        <f t="shared" si="2"/>
        <v/>
      </c>
      <c r="I133" s="103"/>
      <c r="M133" s="103"/>
      <c r="N133" s="113"/>
      <c r="O133" s="107"/>
      <c r="P133" s="106" t="str">
        <f>IF(ISBLANK(N133), "", VLOOKUP(D133&amp;" "&amp;E133, 'Info Tipo de Cambio y REM'!$A$24:$B$35, 2, FALSE))
</f>
        <v/>
      </c>
      <c r="Q133" s="107" t="str">
        <f t="shared" si="3"/>
        <v/>
      </c>
    </row>
    <row r="134">
      <c r="A134" s="102"/>
      <c r="B134" s="43" t="str">
        <f t="shared" si="5"/>
        <v/>
      </c>
      <c r="C134" s="102" t="str">
        <f>IF(K134="", "", IFERROR(VLOOKUP(K134, Clasificaciones!D:E, 2, FALSE), "DATO NO CARGADO"))
</f>
        <v/>
      </c>
      <c r="D134" s="51"/>
      <c r="E134" s="102"/>
      <c r="F134" s="102"/>
      <c r="G134" s="103"/>
      <c r="H134" s="103" t="str">
        <f t="shared" si="2"/>
        <v/>
      </c>
      <c r="I134" s="103"/>
      <c r="M134" s="103"/>
      <c r="N134" s="113"/>
      <c r="O134" s="107"/>
      <c r="P134" s="106" t="str">
        <f>IF(ISBLANK(N134), "", VLOOKUP(D134&amp;" "&amp;E134, 'Info Tipo de Cambio y REM'!$A$24:$B$35, 2, FALSE))
</f>
        <v/>
      </c>
      <c r="Q134" s="107" t="str">
        <f t="shared" si="3"/>
        <v/>
      </c>
    </row>
    <row r="135">
      <c r="A135" s="102"/>
      <c r="B135" s="43" t="str">
        <f t="shared" si="5"/>
        <v/>
      </c>
      <c r="C135" s="102" t="str">
        <f>IF(K135="", "", IFERROR(VLOOKUP(K135, Clasificaciones!D:E, 2, FALSE), "DATO NO CARGADO"))
</f>
        <v/>
      </c>
      <c r="D135" s="51"/>
      <c r="E135" s="102"/>
      <c r="F135" s="102"/>
      <c r="G135" s="103"/>
      <c r="H135" s="103" t="str">
        <f t="shared" si="2"/>
        <v/>
      </c>
      <c r="I135" s="103"/>
      <c r="M135" s="103"/>
      <c r="N135" s="113"/>
      <c r="O135" s="107"/>
      <c r="P135" s="106" t="str">
        <f>IF(ISBLANK(N135), "", VLOOKUP(D135&amp;" "&amp;E135, 'Info Tipo de Cambio y REM'!$A$24:$B$35, 2, FALSE))
</f>
        <v/>
      </c>
      <c r="Q135" s="107" t="str">
        <f t="shared" si="3"/>
        <v/>
      </c>
    </row>
    <row r="136">
      <c r="A136" s="102"/>
      <c r="B136" s="43" t="str">
        <f t="shared" si="5"/>
        <v/>
      </c>
      <c r="C136" s="102" t="str">
        <f>IF(K136="", "", IFERROR(VLOOKUP(K136, Clasificaciones!D:E, 2, FALSE), "DATO NO CARGADO"))
</f>
        <v/>
      </c>
      <c r="D136" s="51"/>
      <c r="E136" s="102"/>
      <c r="F136" s="102"/>
      <c r="G136" s="103"/>
      <c r="H136" s="103" t="str">
        <f t="shared" si="2"/>
        <v/>
      </c>
      <c r="I136" s="103"/>
      <c r="M136" s="103"/>
      <c r="N136" s="113"/>
      <c r="O136" s="107"/>
      <c r="P136" s="106" t="str">
        <f>IF(ISBLANK(N136), "", VLOOKUP(D136&amp;" "&amp;E136, 'Info Tipo de Cambio y REM'!$A$24:$B$35, 2, FALSE))
</f>
        <v/>
      </c>
      <c r="Q136" s="107" t="str">
        <f t="shared" si="3"/>
        <v/>
      </c>
    </row>
    <row r="137">
      <c r="A137" s="102"/>
      <c r="B137" s="43" t="str">
        <f t="shared" si="5"/>
        <v/>
      </c>
      <c r="C137" s="102" t="str">
        <f>IF(K137="", "", IFERROR(VLOOKUP(K137, Clasificaciones!D:E, 2, FALSE), "DATO NO CARGADO"))
</f>
        <v/>
      </c>
      <c r="D137" s="51"/>
      <c r="E137" s="102"/>
      <c r="F137" s="102"/>
      <c r="G137" s="103"/>
      <c r="H137" s="103" t="str">
        <f t="shared" si="2"/>
        <v/>
      </c>
      <c r="I137" s="103"/>
      <c r="M137" s="103"/>
      <c r="N137" s="113"/>
      <c r="O137" s="107"/>
      <c r="P137" s="106" t="str">
        <f>IF(ISBLANK(N137), "", VLOOKUP(D137&amp;" "&amp;E137, 'Info Tipo de Cambio y REM'!$A$24:$B$35, 2, FALSE))
</f>
        <v/>
      </c>
      <c r="Q137" s="107" t="str">
        <f t="shared" si="3"/>
        <v/>
      </c>
    </row>
    <row r="138">
      <c r="A138" s="102"/>
      <c r="B138" s="43" t="str">
        <f t="shared" si="5"/>
        <v/>
      </c>
      <c r="C138" s="102" t="str">
        <f>IF(K138="", "", IFERROR(VLOOKUP(K138, Clasificaciones!D:E, 2, FALSE), "DATO NO CARGADO"))
</f>
        <v/>
      </c>
      <c r="D138" s="51"/>
      <c r="E138" s="102"/>
      <c r="F138" s="102"/>
      <c r="G138" s="103"/>
      <c r="H138" s="103" t="str">
        <f t="shared" si="2"/>
        <v/>
      </c>
      <c r="I138" s="103"/>
      <c r="M138" s="103"/>
      <c r="N138" s="113"/>
      <c r="O138" s="107"/>
      <c r="P138" s="106" t="str">
        <f>IF(ISBLANK(N138), "", VLOOKUP(D138&amp;" "&amp;E138, 'Info Tipo de Cambio y REM'!$A$24:$B$35, 2, FALSE))
</f>
        <v/>
      </c>
      <c r="Q138" s="107" t="str">
        <f t="shared" si="3"/>
        <v/>
      </c>
    </row>
    <row r="139">
      <c r="A139" s="102"/>
      <c r="B139" s="43" t="str">
        <f t="shared" si="5"/>
        <v/>
      </c>
      <c r="C139" s="102" t="str">
        <f>IF(K139="", "", IFERROR(VLOOKUP(K139, Clasificaciones!D:E, 2, FALSE), "DATO NO CARGADO"))
</f>
        <v/>
      </c>
      <c r="D139" s="51"/>
      <c r="E139" s="102"/>
      <c r="F139" s="102"/>
      <c r="G139" s="103"/>
      <c r="H139" s="103" t="str">
        <f t="shared" si="2"/>
        <v/>
      </c>
      <c r="I139" s="103"/>
      <c r="M139" s="103"/>
      <c r="N139" s="113"/>
      <c r="O139" s="107"/>
      <c r="P139" s="106" t="str">
        <f>IF(ISBLANK(N139), "", VLOOKUP(D139&amp;" "&amp;E139, 'Info Tipo de Cambio y REM'!$A$24:$B$35, 2, FALSE))
</f>
        <v/>
      </c>
      <c r="Q139" s="107" t="str">
        <f t="shared" si="3"/>
        <v/>
      </c>
    </row>
    <row r="140">
      <c r="A140" s="102"/>
      <c r="B140" s="43" t="str">
        <f t="shared" si="5"/>
        <v/>
      </c>
      <c r="C140" s="102" t="str">
        <f>IF(K140="", "", IFERROR(VLOOKUP(K140, Clasificaciones!D:E, 2, FALSE), "DATO NO CARGADO"))
</f>
        <v/>
      </c>
      <c r="D140" s="51"/>
      <c r="E140" s="102"/>
      <c r="F140" s="102"/>
      <c r="G140" s="103"/>
      <c r="H140" s="103" t="str">
        <f t="shared" si="2"/>
        <v/>
      </c>
      <c r="I140" s="103"/>
      <c r="M140" s="103"/>
      <c r="N140" s="113"/>
      <c r="O140" s="107"/>
      <c r="P140" s="106" t="str">
        <f>IF(ISBLANK(N140), "", VLOOKUP(D140&amp;" "&amp;E140, 'Info Tipo de Cambio y REM'!$A$24:$B$35, 2, FALSE))
</f>
        <v/>
      </c>
      <c r="Q140" s="107" t="str">
        <f t="shared" si="3"/>
        <v/>
      </c>
    </row>
    <row r="141">
      <c r="A141" s="102"/>
      <c r="B141" s="43" t="str">
        <f t="shared" si="5"/>
        <v/>
      </c>
      <c r="C141" s="102" t="str">
        <f>IF(K141="", "", IFERROR(VLOOKUP(K141, Clasificaciones!D:E, 2, FALSE), "DATO NO CARGADO"))
</f>
        <v/>
      </c>
      <c r="D141" s="51"/>
      <c r="E141" s="102"/>
      <c r="F141" s="102"/>
      <c r="G141" s="103"/>
      <c r="H141" s="103" t="str">
        <f t="shared" si="2"/>
        <v/>
      </c>
      <c r="I141" s="103"/>
      <c r="M141" s="103"/>
      <c r="N141" s="113"/>
      <c r="O141" s="107"/>
      <c r="P141" s="106" t="str">
        <f>IF(ISBLANK(N141), "", VLOOKUP(D141&amp;" "&amp;E141, 'Info Tipo de Cambio y REM'!$A$24:$B$35, 2, FALSE))
</f>
        <v/>
      </c>
      <c r="Q141" s="107" t="str">
        <f t="shared" si="3"/>
        <v/>
      </c>
    </row>
    <row r="142">
      <c r="A142" s="102"/>
      <c r="B142" s="43" t="str">
        <f t="shared" si="5"/>
        <v/>
      </c>
      <c r="C142" s="102" t="str">
        <f>IF(K142="", "", IFERROR(VLOOKUP(K142, Clasificaciones!D:E, 2, FALSE), "DATO NO CARGADO"))
</f>
        <v/>
      </c>
      <c r="D142" s="51"/>
      <c r="E142" s="102"/>
      <c r="F142" s="102"/>
      <c r="G142" s="103"/>
      <c r="H142" s="103" t="str">
        <f t="shared" si="2"/>
        <v/>
      </c>
      <c r="I142" s="103"/>
      <c r="M142" s="103"/>
      <c r="N142" s="113"/>
      <c r="O142" s="107"/>
      <c r="P142" s="106" t="str">
        <f>IF(ISBLANK(N142), "", VLOOKUP(D142&amp;" "&amp;E142, 'Info Tipo de Cambio y REM'!$A$24:$B$35, 2, FALSE))
</f>
        <v/>
      </c>
      <c r="Q142" s="107" t="str">
        <f t="shared" si="3"/>
        <v/>
      </c>
    </row>
    <row r="143">
      <c r="A143" s="102"/>
      <c r="B143" s="43" t="str">
        <f t="shared" si="5"/>
        <v/>
      </c>
      <c r="C143" s="102" t="str">
        <f>IF(K143="", "", IFERROR(VLOOKUP(K143, Clasificaciones!D:E, 2, FALSE), "DATO NO CARGADO"))
</f>
        <v/>
      </c>
      <c r="D143" s="51"/>
      <c r="E143" s="102"/>
      <c r="F143" s="102"/>
      <c r="G143" s="103"/>
      <c r="H143" s="103" t="str">
        <f t="shared" si="2"/>
        <v/>
      </c>
      <c r="I143" s="103"/>
      <c r="M143" s="103"/>
      <c r="N143" s="113"/>
      <c r="O143" s="107"/>
      <c r="P143" s="106" t="str">
        <f>IF(ISBLANK(N143), "", VLOOKUP(D143&amp;" "&amp;E143, 'Info Tipo de Cambio y REM'!$A$24:$B$35, 2, FALSE))
</f>
        <v/>
      </c>
      <c r="Q143" s="107" t="str">
        <f t="shared" si="3"/>
        <v/>
      </c>
    </row>
    <row r="144">
      <c r="A144" s="102"/>
      <c r="B144" s="43" t="str">
        <f t="shared" si="5"/>
        <v/>
      </c>
      <c r="C144" s="102" t="str">
        <f>IF(K144="", "", IFERROR(VLOOKUP(K144, Clasificaciones!D:E, 2, FALSE), "DATO NO CARGADO"))
</f>
        <v/>
      </c>
      <c r="D144" s="51"/>
      <c r="E144" s="102"/>
      <c r="F144" s="102"/>
      <c r="G144" s="103"/>
      <c r="H144" s="103" t="str">
        <f t="shared" si="2"/>
        <v/>
      </c>
      <c r="I144" s="103"/>
      <c r="M144" s="103"/>
      <c r="N144" s="113"/>
      <c r="O144" s="107"/>
      <c r="P144" s="106" t="str">
        <f>IF(ISBLANK(N144), "", VLOOKUP(D144&amp;" "&amp;E144, 'Info Tipo de Cambio y REM'!$A$24:$B$35, 2, FALSE))
</f>
        <v/>
      </c>
      <c r="Q144" s="107" t="str">
        <f t="shared" si="3"/>
        <v/>
      </c>
    </row>
    <row r="145">
      <c r="A145" s="102"/>
      <c r="B145" s="43" t="str">
        <f t="shared" si="5"/>
        <v/>
      </c>
      <c r="C145" s="102" t="str">
        <f>IF(K145="", "", IFERROR(VLOOKUP(K145, Clasificaciones!D:E, 2, FALSE), "DATO NO CARGADO"))
</f>
        <v/>
      </c>
      <c r="D145" s="51"/>
      <c r="E145" s="102"/>
      <c r="F145" s="102"/>
      <c r="G145" s="103"/>
      <c r="H145" s="103" t="str">
        <f t="shared" si="2"/>
        <v/>
      </c>
      <c r="I145" s="103"/>
      <c r="M145" s="103"/>
      <c r="N145" s="113"/>
      <c r="O145" s="107"/>
      <c r="P145" s="106" t="str">
        <f>IF(ISBLANK(N145), "", VLOOKUP(D145&amp;" "&amp;E145, 'Info Tipo de Cambio y REM'!$A$24:$B$35, 2, FALSE))
</f>
        <v/>
      </c>
      <c r="Q145" s="107" t="str">
        <f t="shared" si="3"/>
        <v/>
      </c>
    </row>
    <row r="146">
      <c r="A146" s="102"/>
      <c r="B146" s="43" t="str">
        <f t="shared" si="5"/>
        <v/>
      </c>
      <c r="C146" s="102" t="str">
        <f>IF(K146="", "", IFERROR(VLOOKUP(K146, Clasificaciones!D:E, 2, FALSE), "DATO NO CARGADO"))
</f>
        <v/>
      </c>
      <c r="D146" s="51"/>
      <c r="E146" s="102"/>
      <c r="F146" s="102"/>
      <c r="G146" s="103"/>
      <c r="H146" s="103" t="str">
        <f t="shared" si="2"/>
        <v/>
      </c>
      <c r="I146" s="103"/>
      <c r="M146" s="103"/>
      <c r="N146" s="113"/>
      <c r="O146" s="107"/>
      <c r="P146" s="106" t="str">
        <f>IF(ISBLANK(N146), "", VLOOKUP(D146&amp;" "&amp;E146, 'Info Tipo de Cambio y REM'!$A$24:$B$35, 2, FALSE))
</f>
        <v/>
      </c>
      <c r="Q146" s="107" t="str">
        <f t="shared" si="3"/>
        <v/>
      </c>
    </row>
    <row r="147">
      <c r="A147" s="102"/>
      <c r="B147" s="43" t="str">
        <f t="shared" si="5"/>
        <v/>
      </c>
      <c r="C147" s="102" t="str">
        <f>IF(K147="", "", IFERROR(VLOOKUP(K147, Clasificaciones!D:E, 2, FALSE), "DATO NO CARGADO"))
</f>
        <v/>
      </c>
      <c r="D147" s="51"/>
      <c r="E147" s="102"/>
      <c r="F147" s="102"/>
      <c r="G147" s="103"/>
      <c r="H147" s="103" t="str">
        <f t="shared" si="2"/>
        <v/>
      </c>
      <c r="I147" s="103"/>
      <c r="M147" s="103"/>
      <c r="N147" s="113"/>
      <c r="O147" s="107"/>
      <c r="P147" s="106" t="str">
        <f>IF(ISBLANK(N147), "", VLOOKUP(D147&amp;" "&amp;E147, 'Info Tipo de Cambio y REM'!$A$24:$B$35, 2, FALSE))
</f>
        <v/>
      </c>
      <c r="Q147" s="107" t="str">
        <f t="shared" si="3"/>
        <v/>
      </c>
    </row>
    <row r="148">
      <c r="A148" s="102"/>
      <c r="B148" s="43" t="str">
        <f t="shared" si="5"/>
        <v/>
      </c>
      <c r="C148" s="102" t="str">
        <f>IF(K148="", "", IFERROR(VLOOKUP(K148, Clasificaciones!D:E, 2, FALSE), "DATO NO CARGADO"))
</f>
        <v/>
      </c>
      <c r="D148" s="51"/>
      <c r="E148" s="102"/>
      <c r="F148" s="102"/>
      <c r="G148" s="103"/>
      <c r="H148" s="103" t="str">
        <f t="shared" si="2"/>
        <v/>
      </c>
      <c r="I148" s="103"/>
      <c r="M148" s="103"/>
      <c r="N148" s="113"/>
      <c r="O148" s="107"/>
      <c r="P148" s="106" t="str">
        <f>IF(ISBLANK(N148), "", VLOOKUP(D148&amp;" "&amp;E148, 'Info Tipo de Cambio y REM'!$A$24:$B$35, 2, FALSE))
</f>
        <v/>
      </c>
      <c r="Q148" s="107" t="str">
        <f t="shared" si="3"/>
        <v/>
      </c>
    </row>
    <row r="149">
      <c r="A149" s="102"/>
      <c r="B149" s="43" t="str">
        <f t="shared" si="5"/>
        <v/>
      </c>
      <c r="C149" s="102" t="str">
        <f>IF(K149="", "", IFERROR(VLOOKUP(K149, Clasificaciones!D:E, 2, FALSE), "DATO NO CARGADO"))
</f>
        <v/>
      </c>
      <c r="D149" s="51"/>
      <c r="E149" s="102"/>
      <c r="F149" s="102"/>
      <c r="G149" s="103"/>
      <c r="H149" s="103" t="str">
        <f t="shared" si="2"/>
        <v/>
      </c>
      <c r="I149" s="103"/>
      <c r="M149" s="103"/>
      <c r="N149" s="113"/>
      <c r="O149" s="107"/>
      <c r="P149" s="106" t="str">
        <f>IF(ISBLANK(N149), "", VLOOKUP(D149&amp;" "&amp;E149, 'Info Tipo de Cambio y REM'!$A$24:$B$35, 2, FALSE))
</f>
        <v/>
      </c>
      <c r="Q149" s="107" t="str">
        <f t="shared" si="3"/>
        <v/>
      </c>
    </row>
    <row r="150">
      <c r="A150" s="102"/>
      <c r="B150" s="43" t="str">
        <f t="shared" si="5"/>
        <v/>
      </c>
      <c r="C150" s="102" t="str">
        <f>IF(K150="", "", IFERROR(VLOOKUP(K150, Clasificaciones!D:E, 2, FALSE), "DATO NO CARGADO"))
</f>
        <v/>
      </c>
      <c r="D150" s="51"/>
      <c r="E150" s="102"/>
      <c r="F150" s="102"/>
      <c r="G150" s="103"/>
      <c r="H150" s="103" t="str">
        <f t="shared" si="2"/>
        <v/>
      </c>
      <c r="I150" s="103"/>
      <c r="M150" s="103"/>
      <c r="N150" s="113"/>
      <c r="O150" s="107"/>
      <c r="P150" s="106" t="str">
        <f>IF(ISBLANK(N150), "", VLOOKUP(D150&amp;" "&amp;E150, 'Info Tipo de Cambio y REM'!$A$24:$B$35, 2, FALSE))
</f>
        <v/>
      </c>
      <c r="Q150" s="107" t="str">
        <f t="shared" si="3"/>
        <v/>
      </c>
    </row>
    <row r="151">
      <c r="A151" s="102"/>
      <c r="B151" s="43" t="str">
        <f t="shared" si="5"/>
        <v/>
      </c>
      <c r="C151" s="102" t="str">
        <f>IF(K151="", "", IFERROR(VLOOKUP(K151, Clasificaciones!D:E, 2, FALSE), "DATO NO CARGADO"))
</f>
        <v/>
      </c>
      <c r="D151" s="51"/>
      <c r="E151" s="102"/>
      <c r="F151" s="102"/>
      <c r="G151" s="103"/>
      <c r="H151" s="103" t="str">
        <f t="shared" si="2"/>
        <v/>
      </c>
      <c r="I151" s="103"/>
      <c r="M151" s="103"/>
      <c r="N151" s="113"/>
      <c r="O151" s="107"/>
      <c r="P151" s="106" t="str">
        <f>IF(ISBLANK(N151), "", VLOOKUP(D151&amp;" "&amp;E151, 'Info Tipo de Cambio y REM'!$A$24:$B$35, 2, FALSE))
</f>
        <v/>
      </c>
      <c r="Q151" s="107" t="str">
        <f t="shared" si="3"/>
        <v/>
      </c>
    </row>
    <row r="152">
      <c r="A152" s="102"/>
      <c r="B152" s="43" t="str">
        <f t="shared" si="5"/>
        <v/>
      </c>
      <c r="C152" s="102" t="str">
        <f>IF(K152="", "", IFERROR(VLOOKUP(K152, Clasificaciones!D:E, 2, FALSE), "DATO NO CARGADO"))
</f>
        <v/>
      </c>
      <c r="D152" s="51"/>
      <c r="E152" s="102"/>
      <c r="F152" s="102"/>
      <c r="G152" s="103"/>
      <c r="H152" s="103" t="str">
        <f t="shared" si="2"/>
        <v/>
      </c>
      <c r="I152" s="103"/>
      <c r="M152" s="103"/>
      <c r="N152" s="113"/>
      <c r="O152" s="107"/>
      <c r="P152" s="106" t="str">
        <f>IF(ISBLANK(N152), "", VLOOKUP(D152&amp;" "&amp;E152, 'Info Tipo de Cambio y REM'!$A$24:$B$35, 2, FALSE))
</f>
        <v/>
      </c>
      <c r="Q152" s="107" t="str">
        <f t="shared" si="3"/>
        <v/>
      </c>
    </row>
    <row r="153">
      <c r="A153" s="102"/>
      <c r="B153" s="43" t="str">
        <f t="shared" si="5"/>
        <v/>
      </c>
      <c r="C153" s="102" t="str">
        <f>IF(K153="", "", IFERROR(VLOOKUP(K153, Clasificaciones!D:E, 2, FALSE), "DATO NO CARGADO"))
</f>
        <v/>
      </c>
      <c r="D153" s="51"/>
      <c r="E153" s="102"/>
      <c r="F153" s="102"/>
      <c r="G153" s="103"/>
      <c r="H153" s="103" t="str">
        <f t="shared" si="2"/>
        <v/>
      </c>
      <c r="I153" s="103"/>
      <c r="M153" s="103"/>
      <c r="N153" s="113"/>
      <c r="O153" s="107"/>
      <c r="P153" s="106" t="str">
        <f>IF(ISBLANK(N153), "", VLOOKUP(D153&amp;" "&amp;E153, 'Info Tipo de Cambio y REM'!$A$24:$B$35, 2, FALSE))
</f>
        <v/>
      </c>
      <c r="Q153" s="107" t="str">
        <f t="shared" si="3"/>
        <v/>
      </c>
    </row>
    <row r="154">
      <c r="A154" s="102"/>
      <c r="B154" s="43" t="str">
        <f t="shared" si="5"/>
        <v/>
      </c>
      <c r="C154" s="102" t="str">
        <f>IF(K154="", "", IFERROR(VLOOKUP(K154, Clasificaciones!D:E, 2, FALSE), "DATO NO CARGADO"))
</f>
        <v/>
      </c>
      <c r="D154" s="51"/>
      <c r="E154" s="102"/>
      <c r="F154" s="102"/>
      <c r="G154" s="103"/>
      <c r="H154" s="103" t="str">
        <f t="shared" si="2"/>
        <v/>
      </c>
      <c r="I154" s="103"/>
      <c r="M154" s="103"/>
      <c r="N154" s="113"/>
      <c r="O154" s="107"/>
      <c r="P154" s="106" t="str">
        <f>IF(ISBLANK(N154), "", VLOOKUP(D154&amp;" "&amp;E154, 'Info Tipo de Cambio y REM'!$A$24:$B$35, 2, FALSE))
</f>
        <v/>
      </c>
      <c r="Q154" s="107" t="str">
        <f t="shared" si="3"/>
        <v/>
      </c>
    </row>
    <row r="155">
      <c r="A155" s="102"/>
      <c r="B155" s="43" t="str">
        <f t="shared" si="5"/>
        <v/>
      </c>
      <c r="C155" s="102" t="str">
        <f>IF(K155="", "", IFERROR(VLOOKUP(K155, Clasificaciones!D:E, 2, FALSE), "DATO NO CARGADO"))
</f>
        <v/>
      </c>
      <c r="D155" s="51"/>
      <c r="E155" s="102"/>
      <c r="F155" s="102"/>
      <c r="G155" s="103"/>
      <c r="H155" s="103" t="str">
        <f t="shared" si="2"/>
        <v/>
      </c>
      <c r="I155" s="103"/>
      <c r="M155" s="103"/>
      <c r="N155" s="113"/>
      <c r="O155" s="107"/>
      <c r="P155" s="106" t="str">
        <f>IF(ISBLANK(N155), "", VLOOKUP(D155&amp;" "&amp;E155, 'Info Tipo de Cambio y REM'!$A$24:$B$35, 2, FALSE))
</f>
        <v/>
      </c>
      <c r="Q155" s="107" t="str">
        <f t="shared" si="3"/>
        <v/>
      </c>
    </row>
    <row r="156">
      <c r="A156" s="102"/>
      <c r="B156" s="43" t="str">
        <f t="shared" si="5"/>
        <v/>
      </c>
      <c r="C156" s="102" t="str">
        <f>IF(K156="", "", IFERROR(VLOOKUP(K156, Clasificaciones!D:E, 2, FALSE), "DATO NO CARGADO"))
</f>
        <v/>
      </c>
      <c r="D156" s="51"/>
      <c r="E156" s="102"/>
      <c r="F156" s="102"/>
      <c r="G156" s="103"/>
      <c r="H156" s="103" t="str">
        <f t="shared" si="2"/>
        <v/>
      </c>
      <c r="I156" s="103"/>
      <c r="M156" s="103"/>
      <c r="N156" s="113"/>
      <c r="O156" s="107"/>
      <c r="P156" s="106" t="str">
        <f>IF(ISBLANK(N156), "", VLOOKUP(D156&amp;" "&amp;E156, 'Info Tipo de Cambio y REM'!$A$24:$B$35, 2, FALSE))
</f>
        <v/>
      </c>
      <c r="Q156" s="107" t="str">
        <f t="shared" si="3"/>
        <v/>
      </c>
    </row>
    <row r="157">
      <c r="A157" s="102"/>
      <c r="B157" s="43" t="str">
        <f t="shared" si="5"/>
        <v/>
      </c>
      <c r="C157" s="102" t="str">
        <f>IF(K157="", "", IFERROR(VLOOKUP(K157, Clasificaciones!D:E, 2, FALSE), "DATO NO CARGADO"))
</f>
        <v/>
      </c>
      <c r="D157" s="51"/>
      <c r="E157" s="102"/>
      <c r="F157" s="102"/>
      <c r="G157" s="103"/>
      <c r="H157" s="103" t="str">
        <f t="shared" si="2"/>
        <v/>
      </c>
      <c r="I157" s="103"/>
      <c r="M157" s="103"/>
      <c r="N157" s="113"/>
      <c r="O157" s="107"/>
      <c r="P157" s="106" t="str">
        <f>IF(ISBLANK(N157), "", VLOOKUP(D157&amp;" "&amp;E157, 'Info Tipo de Cambio y REM'!$A$24:$B$35, 2, FALSE))
</f>
        <v/>
      </c>
      <c r="Q157" s="107" t="str">
        <f t="shared" si="3"/>
        <v/>
      </c>
    </row>
    <row r="158">
      <c r="A158" s="102"/>
      <c r="B158" s="43" t="str">
        <f t="shared" si="5"/>
        <v/>
      </c>
      <c r="C158" s="102" t="str">
        <f>IF(K158="", "", IFERROR(VLOOKUP(K158, Clasificaciones!D:E, 2, FALSE), "DATO NO CARGADO"))
</f>
        <v/>
      </c>
      <c r="D158" s="51"/>
      <c r="E158" s="102"/>
      <c r="F158" s="102"/>
      <c r="G158" s="103"/>
      <c r="H158" s="103" t="str">
        <f t="shared" si="2"/>
        <v/>
      </c>
      <c r="I158" s="103"/>
      <c r="M158" s="103"/>
      <c r="N158" s="113"/>
      <c r="O158" s="107"/>
      <c r="P158" s="106" t="str">
        <f>IF(ISBLANK(N158), "", VLOOKUP(D158&amp;" "&amp;E158, 'Info Tipo de Cambio y REM'!$A$24:$B$35, 2, FALSE))
</f>
        <v/>
      </c>
      <c r="Q158" s="107" t="str">
        <f t="shared" si="3"/>
        <v/>
      </c>
    </row>
    <row r="159">
      <c r="A159" s="102"/>
      <c r="B159" s="43" t="str">
        <f t="shared" si="5"/>
        <v/>
      </c>
      <c r="C159" s="102" t="str">
        <f>IF(K159="", "", IFERROR(VLOOKUP(K159, Clasificaciones!D:E, 2, FALSE), "DATO NO CARGADO"))
</f>
        <v/>
      </c>
      <c r="D159" s="51"/>
      <c r="E159" s="102"/>
      <c r="F159" s="102"/>
      <c r="G159" s="103"/>
      <c r="H159" s="103" t="str">
        <f t="shared" si="2"/>
        <v/>
      </c>
      <c r="I159" s="103"/>
      <c r="M159" s="103"/>
      <c r="N159" s="113"/>
      <c r="O159" s="107"/>
      <c r="P159" s="106" t="str">
        <f>IF(ISBLANK(N159), "", VLOOKUP(D159&amp;" "&amp;E159, 'Info Tipo de Cambio y REM'!$A$24:$B$35, 2, FALSE))
</f>
        <v/>
      </c>
      <c r="Q159" s="107" t="str">
        <f t="shared" si="3"/>
        <v/>
      </c>
    </row>
    <row r="160">
      <c r="A160" s="102"/>
      <c r="B160" s="43" t="str">
        <f t="shared" si="5"/>
        <v/>
      </c>
      <c r="C160" s="102" t="str">
        <f>IF(K160="", "", IFERROR(VLOOKUP(K160, Clasificaciones!D:E, 2, FALSE), "DATO NO CARGADO"))
</f>
        <v/>
      </c>
      <c r="D160" s="51"/>
      <c r="E160" s="102"/>
      <c r="F160" s="102"/>
      <c r="G160" s="103"/>
      <c r="H160" s="103" t="str">
        <f t="shared" si="2"/>
        <v/>
      </c>
      <c r="I160" s="103"/>
      <c r="M160" s="103"/>
      <c r="N160" s="113"/>
      <c r="O160" s="107"/>
      <c r="P160" s="106" t="str">
        <f>IF(ISBLANK(N160), "", VLOOKUP(D160&amp;" "&amp;E160, 'Info Tipo de Cambio y REM'!$A$24:$B$35, 2, FALSE))
</f>
        <v/>
      </c>
      <c r="Q160" s="107" t="str">
        <f t="shared" si="3"/>
        <v/>
      </c>
    </row>
    <row r="161">
      <c r="A161" s="102"/>
      <c r="B161" s="43" t="str">
        <f t="shared" si="5"/>
        <v/>
      </c>
      <c r="C161" s="102" t="str">
        <f>IF(K161="", "", IFERROR(VLOOKUP(K161, Clasificaciones!D:E, 2, FALSE), "DATO NO CARGADO"))
</f>
        <v/>
      </c>
      <c r="D161" s="51"/>
      <c r="E161" s="102"/>
      <c r="F161" s="102"/>
      <c r="G161" s="103"/>
      <c r="H161" s="103" t="str">
        <f t="shared" si="2"/>
        <v/>
      </c>
      <c r="I161" s="103"/>
      <c r="M161" s="103"/>
      <c r="N161" s="113"/>
      <c r="O161" s="107"/>
      <c r="P161" s="106" t="str">
        <f>IF(ISBLANK(N161), "", VLOOKUP(D161&amp;" "&amp;E161, 'Info Tipo de Cambio y REM'!$A$24:$B$35, 2, FALSE))
</f>
        <v/>
      </c>
      <c r="Q161" s="107" t="str">
        <f t="shared" si="3"/>
        <v/>
      </c>
    </row>
    <row r="162">
      <c r="A162" s="102"/>
      <c r="B162" s="43" t="str">
        <f t="shared" si="5"/>
        <v/>
      </c>
      <c r="C162" s="102" t="str">
        <f>IF(K162="", "", IFERROR(VLOOKUP(K162, Clasificaciones!D:E, 2, FALSE), "DATO NO CARGADO"))
</f>
        <v/>
      </c>
      <c r="D162" s="51"/>
      <c r="E162" s="102"/>
      <c r="F162" s="102"/>
      <c r="G162" s="103"/>
      <c r="H162" s="103" t="str">
        <f t="shared" si="2"/>
        <v/>
      </c>
      <c r="I162" s="103"/>
      <c r="M162" s="103"/>
      <c r="N162" s="113"/>
      <c r="O162" s="107"/>
      <c r="P162" s="106" t="str">
        <f>IF(ISBLANK(N162), "", VLOOKUP(D162&amp;" "&amp;E162, 'Info Tipo de Cambio y REM'!$A$24:$B$35, 2, FALSE))
</f>
        <v/>
      </c>
      <c r="Q162" s="107" t="str">
        <f t="shared" si="3"/>
        <v/>
      </c>
    </row>
    <row r="163">
      <c r="A163" s="102"/>
      <c r="B163" s="43" t="str">
        <f t="shared" si="5"/>
        <v/>
      </c>
      <c r="C163" s="102" t="str">
        <f>IF(K163="", "", IFERROR(VLOOKUP(K163, Clasificaciones!D:E, 2, FALSE), "DATO NO CARGADO"))
</f>
        <v/>
      </c>
      <c r="D163" s="51"/>
      <c r="E163" s="102"/>
      <c r="F163" s="102"/>
      <c r="G163" s="103"/>
      <c r="H163" s="103" t="str">
        <f t="shared" si="2"/>
        <v/>
      </c>
      <c r="I163" s="103"/>
      <c r="M163" s="103"/>
      <c r="N163" s="113"/>
      <c r="O163" s="107"/>
      <c r="P163" s="106" t="str">
        <f>IF(ISBLANK(N163), "", VLOOKUP(D163&amp;" "&amp;E163, 'Info Tipo de Cambio y REM'!$A$24:$B$35, 2, FALSE))
</f>
        <v/>
      </c>
      <c r="Q163" s="107" t="str">
        <f t="shared" si="3"/>
        <v/>
      </c>
    </row>
    <row r="164">
      <c r="A164" s="102"/>
      <c r="B164" s="43" t="str">
        <f t="shared" si="5"/>
        <v/>
      </c>
      <c r="C164" s="102" t="str">
        <f>IF(K164="", "", IFERROR(VLOOKUP(K164, Clasificaciones!D:E, 2, FALSE), "DATO NO CARGADO"))
</f>
        <v/>
      </c>
      <c r="D164" s="51"/>
      <c r="E164" s="102"/>
      <c r="F164" s="102"/>
      <c r="G164" s="103"/>
      <c r="H164" s="103" t="str">
        <f t="shared" si="2"/>
        <v/>
      </c>
      <c r="I164" s="103"/>
      <c r="M164" s="103"/>
      <c r="N164" s="113"/>
      <c r="O164" s="107"/>
      <c r="P164" s="106" t="str">
        <f>IF(ISBLANK(N164), "", VLOOKUP(D164&amp;" "&amp;E164, 'Info Tipo de Cambio y REM'!$A$24:$B$35, 2, FALSE))
</f>
        <v/>
      </c>
      <c r="Q164" s="107" t="str">
        <f t="shared" si="3"/>
        <v/>
      </c>
    </row>
    <row r="165">
      <c r="A165" s="102"/>
      <c r="B165" s="43" t="str">
        <f t="shared" si="5"/>
        <v/>
      </c>
      <c r="C165" s="102" t="str">
        <f>IF(K165="", "", IFERROR(VLOOKUP(K165, Clasificaciones!D:E, 2, FALSE), "DATO NO CARGADO"))
</f>
        <v/>
      </c>
      <c r="D165" s="51"/>
      <c r="E165" s="102"/>
      <c r="F165" s="102"/>
      <c r="G165" s="103"/>
      <c r="H165" s="103" t="str">
        <f t="shared" si="2"/>
        <v/>
      </c>
      <c r="I165" s="103"/>
      <c r="M165" s="103"/>
      <c r="N165" s="113"/>
      <c r="O165" s="107"/>
      <c r="P165" s="106" t="str">
        <f>IF(ISBLANK(N165), "", VLOOKUP(D165&amp;" "&amp;E165, 'Info Tipo de Cambio y REM'!$A$24:$B$35, 2, FALSE))
</f>
        <v/>
      </c>
      <c r="Q165" s="107" t="str">
        <f t="shared" si="3"/>
        <v/>
      </c>
    </row>
    <row r="166">
      <c r="A166" s="102"/>
      <c r="B166" s="43" t="str">
        <f t="shared" si="5"/>
        <v/>
      </c>
      <c r="C166" s="102" t="str">
        <f>IF(K166="", "", IFERROR(VLOOKUP(K166, Clasificaciones!D:E, 2, FALSE), "DATO NO CARGADO"))
</f>
        <v/>
      </c>
      <c r="D166" s="51"/>
      <c r="E166" s="102"/>
      <c r="F166" s="102"/>
      <c r="G166" s="103"/>
      <c r="H166" s="103" t="str">
        <f t="shared" si="2"/>
        <v/>
      </c>
      <c r="I166" s="103"/>
      <c r="M166" s="103"/>
      <c r="N166" s="113"/>
      <c r="O166" s="107"/>
      <c r="P166" s="106" t="str">
        <f>IF(ISBLANK(N166), "", VLOOKUP(D166&amp;" "&amp;E166, 'Info Tipo de Cambio y REM'!$A$24:$B$35, 2, FALSE))
</f>
        <v/>
      </c>
      <c r="Q166" s="107" t="str">
        <f t="shared" si="3"/>
        <v/>
      </c>
    </row>
    <row r="167">
      <c r="A167" s="102"/>
      <c r="B167" s="43" t="str">
        <f t="shared" si="5"/>
        <v/>
      </c>
      <c r="C167" s="102" t="str">
        <f>IF(K167="", "", IFERROR(VLOOKUP(K167, Clasificaciones!D:E, 2, FALSE), "DATO NO CARGADO"))
</f>
        <v/>
      </c>
      <c r="D167" s="51"/>
      <c r="E167" s="102"/>
      <c r="F167" s="102"/>
      <c r="G167" s="103"/>
      <c r="H167" s="103" t="str">
        <f t="shared" si="2"/>
        <v/>
      </c>
      <c r="I167" s="103"/>
      <c r="M167" s="103"/>
      <c r="N167" s="113"/>
      <c r="O167" s="107"/>
      <c r="P167" s="106" t="str">
        <f>IF(ISBLANK(N167), "", VLOOKUP(D167&amp;" "&amp;E167, 'Info Tipo de Cambio y REM'!$A$24:$B$35, 2, FALSE))
</f>
        <v/>
      </c>
      <c r="Q167" s="107" t="str">
        <f t="shared" si="3"/>
        <v/>
      </c>
    </row>
    <row r="168">
      <c r="A168" s="102"/>
      <c r="B168" s="43" t="str">
        <f t="shared" si="5"/>
        <v/>
      </c>
      <c r="C168" s="102" t="str">
        <f>IF(K168="", "", IFERROR(VLOOKUP(K168, Clasificaciones!D:E, 2, FALSE), "DATO NO CARGADO"))
</f>
        <v/>
      </c>
      <c r="D168" s="51"/>
      <c r="E168" s="102"/>
      <c r="F168" s="102"/>
      <c r="G168" s="103"/>
      <c r="H168" s="103" t="str">
        <f t="shared" si="2"/>
        <v/>
      </c>
      <c r="I168" s="103"/>
      <c r="M168" s="103"/>
      <c r="N168" s="113"/>
      <c r="O168" s="107"/>
      <c r="P168" s="106" t="str">
        <f>IF(ISBLANK(N168), "", VLOOKUP(D168&amp;" "&amp;E168, 'Info Tipo de Cambio y REM'!$A$24:$B$35, 2, FALSE))
</f>
        <v/>
      </c>
      <c r="Q168" s="107" t="str">
        <f t="shared" si="3"/>
        <v/>
      </c>
    </row>
    <row r="169">
      <c r="A169" s="102"/>
      <c r="B169" s="43" t="str">
        <f t="shared" si="5"/>
        <v/>
      </c>
      <c r="C169" s="102" t="str">
        <f>IF(K169="", "", IFERROR(VLOOKUP(K169, Clasificaciones!D:E, 2, FALSE), "DATO NO CARGADO"))
</f>
        <v/>
      </c>
      <c r="D169" s="51"/>
      <c r="E169" s="102"/>
      <c r="F169" s="102"/>
      <c r="G169" s="103"/>
      <c r="H169" s="103" t="str">
        <f t="shared" si="2"/>
        <v/>
      </c>
      <c r="I169" s="103"/>
      <c r="M169" s="103"/>
      <c r="N169" s="113"/>
      <c r="O169" s="107"/>
      <c r="P169" s="106" t="str">
        <f>IF(ISBLANK(N169), "", VLOOKUP(D169&amp;" "&amp;E169, 'Info Tipo de Cambio y REM'!$A$24:$B$35, 2, FALSE))
</f>
        <v/>
      </c>
      <c r="Q169" s="107" t="str">
        <f t="shared" si="3"/>
        <v/>
      </c>
    </row>
    <row r="170">
      <c r="A170" s="102"/>
      <c r="B170" s="43" t="str">
        <f t="shared" si="5"/>
        <v/>
      </c>
      <c r="C170" s="102" t="str">
        <f>IF(K170="", "", IFERROR(VLOOKUP(K170, Clasificaciones!D:E, 2, FALSE), "DATO NO CARGADO"))
</f>
        <v/>
      </c>
      <c r="D170" s="51"/>
      <c r="E170" s="102"/>
      <c r="F170" s="102"/>
      <c r="G170" s="103"/>
      <c r="H170" s="103" t="str">
        <f t="shared" si="2"/>
        <v/>
      </c>
      <c r="I170" s="103"/>
      <c r="M170" s="103"/>
      <c r="N170" s="113"/>
      <c r="O170" s="107"/>
      <c r="P170" s="106" t="str">
        <f>IF(ISBLANK(N170), "", VLOOKUP(D170&amp;" "&amp;E170, 'Info Tipo de Cambio y REM'!$A$24:$B$35, 2, FALSE))
</f>
        <v/>
      </c>
      <c r="Q170" s="107" t="str">
        <f t="shared" si="3"/>
        <v/>
      </c>
    </row>
    <row r="171">
      <c r="A171" s="102"/>
      <c r="B171" s="43" t="str">
        <f t="shared" si="5"/>
        <v/>
      </c>
      <c r="C171" s="102" t="str">
        <f>IF(K171="", "", IFERROR(VLOOKUP(K171, Clasificaciones!D:E, 2, FALSE), "DATO NO CARGADO"))
</f>
        <v/>
      </c>
      <c r="D171" s="51"/>
      <c r="E171" s="102"/>
      <c r="F171" s="102"/>
      <c r="G171" s="103"/>
      <c r="H171" s="103" t="str">
        <f t="shared" si="2"/>
        <v/>
      </c>
      <c r="I171" s="103"/>
      <c r="M171" s="103"/>
      <c r="N171" s="113"/>
      <c r="O171" s="107"/>
      <c r="P171" s="106" t="str">
        <f>IF(ISBLANK(N171), "", VLOOKUP(D171&amp;" "&amp;E171, 'Info Tipo de Cambio y REM'!$A$24:$B$35, 2, FALSE))
</f>
        <v/>
      </c>
      <c r="Q171" s="107" t="str">
        <f t="shared" si="3"/>
        <v/>
      </c>
    </row>
    <row r="172">
      <c r="A172" s="102"/>
      <c r="B172" s="43" t="str">
        <f t="shared" si="5"/>
        <v/>
      </c>
      <c r="C172" s="102" t="str">
        <f>IF(K172="", "", IFERROR(VLOOKUP(K172, Clasificaciones!D:E, 2, FALSE), "DATO NO CARGADO"))
</f>
        <v/>
      </c>
      <c r="D172" s="51"/>
      <c r="E172" s="102"/>
      <c r="F172" s="102"/>
      <c r="G172" s="103"/>
      <c r="H172" s="103" t="str">
        <f t="shared" si="2"/>
        <v/>
      </c>
      <c r="I172" s="103"/>
      <c r="M172" s="103"/>
      <c r="N172" s="113"/>
      <c r="O172" s="107"/>
      <c r="P172" s="106" t="str">
        <f>IF(ISBLANK(N172), "", VLOOKUP(D172&amp;" "&amp;E172, 'Info Tipo de Cambio y REM'!$A$24:$B$35, 2, FALSE))
</f>
        <v/>
      </c>
      <c r="Q172" s="107" t="str">
        <f t="shared" si="3"/>
        <v/>
      </c>
    </row>
    <row r="173">
      <c r="A173" s="102"/>
      <c r="B173" s="43" t="str">
        <f t="shared" si="5"/>
        <v/>
      </c>
      <c r="C173" s="102" t="str">
        <f>IF(K173="", "", IFERROR(VLOOKUP(K173, Clasificaciones!D:E, 2, FALSE), "DATO NO CARGADO"))
</f>
        <v/>
      </c>
      <c r="D173" s="51"/>
      <c r="E173" s="102"/>
      <c r="F173" s="102"/>
      <c r="G173" s="103"/>
      <c r="H173" s="103" t="str">
        <f t="shared" si="2"/>
        <v/>
      </c>
      <c r="I173" s="103"/>
      <c r="M173" s="103"/>
      <c r="N173" s="113"/>
      <c r="O173" s="107"/>
      <c r="P173" s="106" t="str">
        <f>IF(ISBLANK(N173), "", VLOOKUP(D173&amp;" "&amp;E173, 'Info Tipo de Cambio y REM'!$A$24:$B$35, 2, FALSE))
</f>
        <v/>
      </c>
      <c r="Q173" s="107" t="str">
        <f t="shared" si="3"/>
        <v/>
      </c>
    </row>
    <row r="174">
      <c r="A174" s="102"/>
      <c r="B174" s="43" t="str">
        <f t="shared" si="5"/>
        <v/>
      </c>
      <c r="C174" s="102" t="str">
        <f>IF(K174="", "", IFERROR(VLOOKUP(K174, Clasificaciones!D:E, 2, FALSE), "DATO NO CARGADO"))
</f>
        <v/>
      </c>
      <c r="D174" s="51"/>
      <c r="E174" s="102"/>
      <c r="F174" s="102"/>
      <c r="G174" s="103"/>
      <c r="H174" s="103" t="str">
        <f t="shared" si="2"/>
        <v/>
      </c>
      <c r="I174" s="103"/>
      <c r="M174" s="103"/>
      <c r="N174" s="113"/>
      <c r="O174" s="107"/>
      <c r="P174" s="106" t="str">
        <f>IF(ISBLANK(N174), "", VLOOKUP(D174&amp;" "&amp;E174, 'Info Tipo de Cambio y REM'!$A$24:$B$35, 2, FALSE))
</f>
        <v/>
      </c>
      <c r="Q174" s="107" t="str">
        <f t="shared" si="3"/>
        <v/>
      </c>
    </row>
    <row r="175">
      <c r="A175" s="102"/>
      <c r="B175" s="43" t="str">
        <f t="shared" si="5"/>
        <v/>
      </c>
      <c r="C175" s="102" t="str">
        <f>IF(K175="", "", IFERROR(VLOOKUP(K175, Clasificaciones!D:E, 2, FALSE), "DATO NO CARGADO"))
</f>
        <v/>
      </c>
      <c r="D175" s="51"/>
      <c r="E175" s="102"/>
      <c r="F175" s="102"/>
      <c r="G175" s="103"/>
      <c r="H175" s="103" t="str">
        <f t="shared" si="2"/>
        <v/>
      </c>
      <c r="I175" s="103"/>
      <c r="M175" s="103"/>
      <c r="N175" s="113"/>
      <c r="O175" s="107"/>
      <c r="P175" s="106" t="str">
        <f>IF(ISBLANK(N175), "", VLOOKUP(D175&amp;" "&amp;E175, 'Info Tipo de Cambio y REM'!$A$24:$B$35, 2, FALSE))
</f>
        <v/>
      </c>
      <c r="Q175" s="107" t="str">
        <f t="shared" si="3"/>
        <v/>
      </c>
    </row>
    <row r="176">
      <c r="A176" s="102"/>
      <c r="B176" s="43" t="str">
        <f t="shared" si="5"/>
        <v/>
      </c>
      <c r="C176" s="102" t="str">
        <f>IF(K176="", "", IFERROR(VLOOKUP(K176, Clasificaciones!D:E, 2, FALSE), "DATO NO CARGADO"))
</f>
        <v/>
      </c>
      <c r="D176" s="51"/>
      <c r="E176" s="102"/>
      <c r="F176" s="102"/>
      <c r="G176" s="103"/>
      <c r="H176" s="103" t="str">
        <f t="shared" si="2"/>
        <v/>
      </c>
      <c r="I176" s="103"/>
      <c r="M176" s="103"/>
      <c r="N176" s="113"/>
      <c r="O176" s="107"/>
      <c r="P176" s="106" t="str">
        <f>IF(ISBLANK(N176), "", VLOOKUP(D176&amp;" "&amp;E176, 'Info Tipo de Cambio y REM'!$A$24:$B$35, 2, FALSE))
</f>
        <v/>
      </c>
      <c r="Q176" s="107" t="str">
        <f t="shared" si="3"/>
        <v/>
      </c>
    </row>
    <row r="177">
      <c r="A177" s="102"/>
      <c r="B177" s="43" t="str">
        <f t="shared" si="5"/>
        <v/>
      </c>
      <c r="C177" s="102" t="str">
        <f>IF(K177="", "", IFERROR(VLOOKUP(K177, Clasificaciones!D:E, 2, FALSE), "DATO NO CARGADO"))
</f>
        <v/>
      </c>
      <c r="D177" s="51"/>
      <c r="E177" s="102"/>
      <c r="F177" s="102"/>
      <c r="G177" s="103"/>
      <c r="H177" s="103" t="str">
        <f t="shared" si="2"/>
        <v/>
      </c>
      <c r="I177" s="103"/>
      <c r="M177" s="103"/>
      <c r="N177" s="113"/>
      <c r="O177" s="107"/>
      <c r="P177" s="106" t="str">
        <f>IF(ISBLANK(N177), "", VLOOKUP(D177&amp;" "&amp;E177, 'Info Tipo de Cambio y REM'!$A$24:$B$35, 2, FALSE))
</f>
        <v/>
      </c>
      <c r="Q177" s="107" t="str">
        <f t="shared" si="3"/>
        <v/>
      </c>
    </row>
    <row r="178">
      <c r="A178" s="102"/>
      <c r="B178" s="43" t="str">
        <f t="shared" si="5"/>
        <v/>
      </c>
      <c r="C178" s="102" t="str">
        <f>IF(K178="", "", IFERROR(VLOOKUP(K178, Clasificaciones!D:E, 2, FALSE), "DATO NO CARGADO"))
</f>
        <v/>
      </c>
      <c r="D178" s="51"/>
      <c r="E178" s="102"/>
      <c r="F178" s="102"/>
      <c r="G178" s="103"/>
      <c r="H178" s="103" t="str">
        <f t="shared" si="2"/>
        <v/>
      </c>
      <c r="I178" s="103"/>
      <c r="M178" s="103"/>
      <c r="N178" s="113"/>
      <c r="O178" s="107"/>
      <c r="P178" s="106" t="str">
        <f>IF(ISBLANK(N178), "", VLOOKUP(D178&amp;" "&amp;E178, 'Info Tipo de Cambio y REM'!$A$24:$B$35, 2, FALSE))
</f>
        <v/>
      </c>
      <c r="Q178" s="107" t="str">
        <f t="shared" si="3"/>
        <v/>
      </c>
    </row>
    <row r="179">
      <c r="A179" s="102"/>
      <c r="B179" s="43" t="str">
        <f t="shared" si="5"/>
        <v/>
      </c>
      <c r="C179" s="102" t="str">
        <f>IF(K179="", "", IFERROR(VLOOKUP(K179, Clasificaciones!D:E, 2, FALSE), "DATO NO CARGADO"))
</f>
        <v/>
      </c>
      <c r="D179" s="51"/>
      <c r="E179" s="102"/>
      <c r="F179" s="102"/>
      <c r="G179" s="103"/>
      <c r="H179" s="103" t="str">
        <f t="shared" si="2"/>
        <v/>
      </c>
      <c r="I179" s="103"/>
      <c r="M179" s="103"/>
      <c r="N179" s="113"/>
      <c r="O179" s="107"/>
      <c r="P179" s="106" t="str">
        <f>IF(ISBLANK(N179), "", VLOOKUP(D179&amp;" "&amp;E179, 'Info Tipo de Cambio y REM'!$A$24:$B$35, 2, FALSE))
</f>
        <v/>
      </c>
      <c r="Q179" s="107" t="str">
        <f t="shared" si="3"/>
        <v/>
      </c>
    </row>
    <row r="180">
      <c r="A180" s="102"/>
      <c r="B180" s="43" t="str">
        <f t="shared" si="5"/>
        <v/>
      </c>
      <c r="C180" s="102" t="str">
        <f>IF(K180="", "", IFERROR(VLOOKUP(K180, Clasificaciones!D:E, 2, FALSE), "DATO NO CARGADO"))
</f>
        <v/>
      </c>
      <c r="D180" s="51"/>
      <c r="E180" s="102"/>
      <c r="F180" s="102"/>
      <c r="G180" s="103"/>
      <c r="H180" s="103" t="str">
        <f t="shared" si="2"/>
        <v/>
      </c>
      <c r="I180" s="103"/>
      <c r="M180" s="103"/>
      <c r="N180" s="113"/>
      <c r="O180" s="107"/>
      <c r="P180" s="106" t="str">
        <f>IF(ISBLANK(N180), "", VLOOKUP(D180&amp;" "&amp;E180, 'Info Tipo de Cambio y REM'!$A$24:$B$35, 2, FALSE))
</f>
        <v/>
      </c>
      <c r="Q180" s="107" t="str">
        <f t="shared" si="3"/>
        <v/>
      </c>
    </row>
    <row r="181">
      <c r="A181" s="102"/>
      <c r="B181" s="43" t="str">
        <f t="shared" si="5"/>
        <v/>
      </c>
      <c r="C181" s="102" t="str">
        <f>IF(K181="", "", IFERROR(VLOOKUP(K181, Clasificaciones!D:E, 2, FALSE), "DATO NO CARGADO"))
</f>
        <v/>
      </c>
      <c r="D181" s="51"/>
      <c r="E181" s="102"/>
      <c r="F181" s="102"/>
      <c r="G181" s="103"/>
      <c r="H181" s="103" t="str">
        <f t="shared" si="2"/>
        <v/>
      </c>
      <c r="I181" s="103"/>
      <c r="M181" s="103"/>
      <c r="N181" s="113"/>
      <c r="O181" s="107"/>
      <c r="P181" s="106" t="str">
        <f>IF(ISBLANK(N181), "", VLOOKUP(D181&amp;" "&amp;E181, 'Info Tipo de Cambio y REM'!$A$24:$B$35, 2, FALSE))
</f>
        <v/>
      </c>
      <c r="Q181" s="107" t="str">
        <f t="shared" si="3"/>
        <v/>
      </c>
    </row>
    <row r="182">
      <c r="A182" s="102"/>
      <c r="B182" s="43" t="str">
        <f t="shared" si="5"/>
        <v/>
      </c>
      <c r="C182" s="102" t="str">
        <f>IF(K182="", "", IFERROR(VLOOKUP(K182, Clasificaciones!D:E, 2, FALSE), "DATO NO CARGADO"))
</f>
        <v/>
      </c>
      <c r="D182" s="51"/>
      <c r="E182" s="102"/>
      <c r="F182" s="102"/>
      <c r="G182" s="103"/>
      <c r="H182" s="103" t="str">
        <f t="shared" si="2"/>
        <v/>
      </c>
      <c r="I182" s="103"/>
      <c r="M182" s="103"/>
      <c r="N182" s="113"/>
      <c r="O182" s="107"/>
      <c r="P182" s="106" t="str">
        <f>IF(ISBLANK(N182), "", VLOOKUP(D182&amp;" "&amp;E182, 'Info Tipo de Cambio y REM'!$A$24:$B$35, 2, FALSE))
</f>
        <v/>
      </c>
      <c r="Q182" s="107" t="str">
        <f t="shared" si="3"/>
        <v/>
      </c>
    </row>
    <row r="183">
      <c r="A183" s="102"/>
      <c r="B183" s="43" t="str">
        <f t="shared" si="5"/>
        <v/>
      </c>
      <c r="C183" s="102" t="str">
        <f>IF(K183="", "", IFERROR(VLOOKUP(K183, Clasificaciones!D:E, 2, FALSE), "DATO NO CARGADO"))
</f>
        <v/>
      </c>
      <c r="D183" s="51"/>
      <c r="E183" s="102"/>
      <c r="F183" s="102"/>
      <c r="G183" s="103"/>
      <c r="H183" s="103" t="str">
        <f t="shared" si="2"/>
        <v/>
      </c>
      <c r="I183" s="103"/>
      <c r="M183" s="103"/>
      <c r="N183" s="113"/>
      <c r="O183" s="107"/>
      <c r="P183" s="106" t="str">
        <f>IF(ISBLANK(N183), "", VLOOKUP(D183&amp;" "&amp;E183, 'Info Tipo de Cambio y REM'!$A$24:$B$35, 2, FALSE))
</f>
        <v/>
      </c>
      <c r="Q183" s="107" t="str">
        <f t="shared" si="3"/>
        <v/>
      </c>
    </row>
    <row r="184">
      <c r="A184" s="102"/>
      <c r="B184" s="43" t="str">
        <f t="shared" si="5"/>
        <v/>
      </c>
      <c r="C184" s="102" t="str">
        <f>IF(K184="", "", IFERROR(VLOOKUP(K184, Clasificaciones!D:E, 2, FALSE), "DATO NO CARGADO"))
</f>
        <v/>
      </c>
      <c r="D184" s="51"/>
      <c r="E184" s="102"/>
      <c r="F184" s="102"/>
      <c r="G184" s="103"/>
      <c r="H184" s="103" t="str">
        <f t="shared" si="2"/>
        <v/>
      </c>
      <c r="I184" s="103"/>
      <c r="M184" s="103"/>
      <c r="N184" s="113"/>
      <c r="O184" s="107"/>
      <c r="P184" s="106" t="str">
        <f>IF(ISBLANK(N184), "", VLOOKUP(D184&amp;" "&amp;E184, 'Info Tipo de Cambio y REM'!$A$24:$B$35, 2, FALSE))
</f>
        <v/>
      </c>
      <c r="Q184" s="107" t="str">
        <f t="shared" si="3"/>
        <v/>
      </c>
    </row>
    <row r="185">
      <c r="A185" s="102"/>
      <c r="B185" s="43" t="str">
        <f t="shared" si="5"/>
        <v/>
      </c>
      <c r="C185" s="102" t="str">
        <f>IF(K185="", "", IFERROR(VLOOKUP(K185, Clasificaciones!D:E, 2, FALSE), "DATO NO CARGADO"))
</f>
        <v/>
      </c>
      <c r="D185" s="51"/>
      <c r="E185" s="102"/>
      <c r="F185" s="102"/>
      <c r="G185" s="103"/>
      <c r="H185" s="103" t="str">
        <f t="shared" si="2"/>
        <v/>
      </c>
      <c r="I185" s="103"/>
      <c r="M185" s="103"/>
      <c r="N185" s="113"/>
      <c r="O185" s="107"/>
      <c r="P185" s="106" t="str">
        <f>IF(ISBLANK(N185), "", VLOOKUP(D185&amp;" "&amp;E185, 'Info Tipo de Cambio y REM'!$A$24:$B$35, 2, FALSE))
</f>
        <v/>
      </c>
      <c r="Q185" s="107" t="str">
        <f t="shared" si="3"/>
        <v/>
      </c>
    </row>
    <row r="186">
      <c r="A186" s="102"/>
      <c r="B186" s="43" t="str">
        <f t="shared" si="5"/>
        <v/>
      </c>
      <c r="C186" s="102" t="str">
        <f>IF(K186="", "", IFERROR(VLOOKUP(K186, Clasificaciones!D:E, 2, FALSE), "DATO NO CARGADO"))
</f>
        <v/>
      </c>
      <c r="D186" s="51"/>
      <c r="E186" s="102"/>
      <c r="F186" s="102"/>
      <c r="G186" s="103"/>
      <c r="H186" s="103" t="str">
        <f t="shared" si="2"/>
        <v/>
      </c>
      <c r="I186" s="103"/>
      <c r="M186" s="103"/>
      <c r="N186" s="113"/>
      <c r="O186" s="107"/>
      <c r="P186" s="106" t="str">
        <f>IF(ISBLANK(N186), "", VLOOKUP(D186&amp;" "&amp;E186, 'Info Tipo de Cambio y REM'!$A$24:$B$35, 2, FALSE))
</f>
        <v/>
      </c>
      <c r="Q186" s="107" t="str">
        <f t="shared" si="3"/>
        <v/>
      </c>
    </row>
    <row r="187">
      <c r="A187" s="102"/>
      <c r="B187" s="43" t="str">
        <f t="shared" si="5"/>
        <v/>
      </c>
      <c r="C187" s="102" t="str">
        <f>IF(K187="", "", IFERROR(VLOOKUP(K187, Clasificaciones!D:E, 2, FALSE), "DATO NO CARGADO"))
</f>
        <v/>
      </c>
      <c r="D187" s="51"/>
      <c r="E187" s="102"/>
      <c r="F187" s="102"/>
      <c r="G187" s="103"/>
      <c r="H187" s="103" t="str">
        <f t="shared" si="2"/>
        <v/>
      </c>
      <c r="I187" s="103"/>
      <c r="M187" s="103"/>
      <c r="N187" s="113"/>
      <c r="O187" s="107"/>
      <c r="P187" s="106" t="str">
        <f>IF(ISBLANK(N187), "", VLOOKUP(D187&amp;" "&amp;E187, 'Info Tipo de Cambio y REM'!$A$24:$B$35, 2, FALSE))
</f>
        <v/>
      </c>
      <c r="Q187" s="107" t="str">
        <f t="shared" si="3"/>
        <v/>
      </c>
    </row>
    <row r="188">
      <c r="A188" s="102"/>
      <c r="B188" s="43" t="str">
        <f t="shared" si="5"/>
        <v/>
      </c>
      <c r="C188" s="102" t="str">
        <f>IF(K188="", "", IFERROR(VLOOKUP(K188, Clasificaciones!D:E, 2, FALSE), "DATO NO CARGADO"))
</f>
        <v/>
      </c>
      <c r="D188" s="51"/>
      <c r="E188" s="102"/>
      <c r="F188" s="102"/>
      <c r="G188" s="103"/>
      <c r="H188" s="103" t="str">
        <f t="shared" si="2"/>
        <v/>
      </c>
      <c r="I188" s="103"/>
      <c r="M188" s="103"/>
      <c r="N188" s="113"/>
      <c r="O188" s="107"/>
      <c r="P188" s="106" t="str">
        <f>IF(ISBLANK(N188), "", VLOOKUP(D188&amp;" "&amp;E188, 'Info Tipo de Cambio y REM'!$A$24:$B$35, 2, FALSE))
</f>
        <v/>
      </c>
      <c r="Q188" s="107" t="str">
        <f t="shared" si="3"/>
        <v/>
      </c>
    </row>
    <row r="189">
      <c r="A189" s="102"/>
      <c r="B189" s="43" t="str">
        <f t="shared" si="5"/>
        <v/>
      </c>
      <c r="C189" s="102" t="str">
        <f>IF(K189="", "", IFERROR(VLOOKUP(K189, Clasificaciones!D:E, 2, FALSE), "DATO NO CARGADO"))
</f>
        <v/>
      </c>
      <c r="D189" s="51"/>
      <c r="E189" s="102"/>
      <c r="F189" s="102"/>
      <c r="G189" s="103"/>
      <c r="H189" s="103" t="str">
        <f t="shared" si="2"/>
        <v/>
      </c>
      <c r="I189" s="103"/>
      <c r="M189" s="103"/>
      <c r="N189" s="113"/>
      <c r="O189" s="107"/>
      <c r="P189" s="106" t="str">
        <f>IF(ISBLANK(N189), "", VLOOKUP(D189&amp;" "&amp;E189, 'Info Tipo de Cambio y REM'!$A$24:$B$35, 2, FALSE))
</f>
        <v/>
      </c>
      <c r="Q189" s="107" t="str">
        <f t="shared" si="3"/>
        <v/>
      </c>
    </row>
    <row r="190">
      <c r="A190" s="102"/>
      <c r="B190" s="43" t="str">
        <f t="shared" si="5"/>
        <v/>
      </c>
      <c r="C190" s="102" t="str">
        <f>IF(K190="", "", IFERROR(VLOOKUP(K190, Clasificaciones!D:E, 2, FALSE), "DATO NO CARGADO"))
</f>
        <v/>
      </c>
      <c r="D190" s="51"/>
      <c r="E190" s="102"/>
      <c r="F190" s="102"/>
      <c r="G190" s="103"/>
      <c r="H190" s="103" t="str">
        <f t="shared" si="2"/>
        <v/>
      </c>
      <c r="I190" s="103"/>
      <c r="M190" s="103"/>
      <c r="N190" s="113"/>
      <c r="O190" s="107"/>
      <c r="P190" s="106" t="str">
        <f>IF(ISBLANK(N190), "", VLOOKUP(D190&amp;" "&amp;E190, 'Info Tipo de Cambio y REM'!$A$24:$B$35, 2, FALSE))
</f>
        <v/>
      </c>
      <c r="Q190" s="107" t="str">
        <f t="shared" si="3"/>
        <v/>
      </c>
    </row>
    <row r="191">
      <c r="A191" s="102"/>
      <c r="B191" s="43" t="str">
        <f t="shared" si="5"/>
        <v/>
      </c>
      <c r="C191" s="102" t="str">
        <f>IF(K191="", "", IFERROR(VLOOKUP(K191, Clasificaciones!D:E, 2, FALSE), "DATO NO CARGADO"))
</f>
        <v/>
      </c>
      <c r="D191" s="51"/>
      <c r="E191" s="102"/>
      <c r="F191" s="102"/>
      <c r="G191" s="103"/>
      <c r="H191" s="103" t="str">
        <f t="shared" si="2"/>
        <v/>
      </c>
      <c r="I191" s="103"/>
      <c r="M191" s="103"/>
      <c r="N191" s="113"/>
      <c r="O191" s="107"/>
      <c r="P191" s="106" t="str">
        <f>IF(ISBLANK(N191), "", VLOOKUP(D191&amp;" "&amp;E191, 'Info Tipo de Cambio y REM'!$A$24:$B$35, 2, FALSE))
</f>
        <v/>
      </c>
      <c r="Q191" s="107" t="str">
        <f t="shared" si="3"/>
        <v/>
      </c>
    </row>
    <row r="192">
      <c r="A192" s="102"/>
      <c r="B192" s="43" t="str">
        <f t="shared" si="5"/>
        <v/>
      </c>
      <c r="C192" s="102" t="str">
        <f>IF(K192="", "", IFERROR(VLOOKUP(K192, Clasificaciones!D:E, 2, FALSE), "DATO NO CARGADO"))
</f>
        <v/>
      </c>
      <c r="D192" s="51"/>
      <c r="E192" s="102"/>
      <c r="F192" s="102"/>
      <c r="G192" s="103"/>
      <c r="H192" s="103" t="str">
        <f t="shared" si="2"/>
        <v/>
      </c>
      <c r="I192" s="103"/>
      <c r="M192" s="103"/>
      <c r="N192" s="113"/>
      <c r="O192" s="107"/>
      <c r="P192" s="106" t="str">
        <f>IF(ISBLANK(N192), "", VLOOKUP(D192&amp;" "&amp;E192, 'Info Tipo de Cambio y REM'!$A$24:$B$35, 2, FALSE))
</f>
        <v/>
      </c>
      <c r="Q192" s="107" t="str">
        <f t="shared" si="3"/>
        <v/>
      </c>
    </row>
    <row r="193">
      <c r="A193" s="102"/>
      <c r="B193" s="43" t="str">
        <f t="shared" si="5"/>
        <v/>
      </c>
      <c r="C193" s="102" t="str">
        <f>IF(K193="", "", IFERROR(VLOOKUP(K193, Clasificaciones!D:E, 2, FALSE), "DATO NO CARGADO"))
</f>
        <v/>
      </c>
      <c r="D193" s="51"/>
      <c r="E193" s="102"/>
      <c r="F193" s="102"/>
      <c r="G193" s="103"/>
      <c r="H193" s="103" t="str">
        <f t="shared" si="2"/>
        <v/>
      </c>
      <c r="I193" s="103"/>
      <c r="M193" s="103"/>
      <c r="N193" s="113"/>
      <c r="O193" s="107"/>
      <c r="P193" s="106" t="str">
        <f>IF(ISBLANK(N193), "", VLOOKUP(D193&amp;" "&amp;E193, 'Info Tipo de Cambio y REM'!$A$24:$B$35, 2, FALSE))
</f>
        <v/>
      </c>
      <c r="Q193" s="107" t="str">
        <f t="shared" si="3"/>
        <v/>
      </c>
    </row>
    <row r="194">
      <c r="A194" s="102"/>
      <c r="B194" s="43" t="str">
        <f t="shared" si="5"/>
        <v/>
      </c>
      <c r="C194" s="102" t="str">
        <f>IF(K194="", "", IFERROR(VLOOKUP(K194, Clasificaciones!D:E, 2, FALSE), "DATO NO CARGADO"))
</f>
        <v/>
      </c>
      <c r="D194" s="51"/>
      <c r="E194" s="102"/>
      <c r="F194" s="102"/>
      <c r="G194" s="103"/>
      <c r="H194" s="103" t="str">
        <f t="shared" si="2"/>
        <v/>
      </c>
      <c r="I194" s="103"/>
      <c r="M194" s="103"/>
      <c r="N194" s="113"/>
      <c r="O194" s="107"/>
      <c r="P194" s="106" t="str">
        <f>IF(ISBLANK(N194), "", VLOOKUP(D194&amp;" "&amp;E194, 'Info Tipo de Cambio y REM'!$A$24:$B$35, 2, FALSE))
</f>
        <v/>
      </c>
      <c r="Q194" s="107" t="str">
        <f t="shared" si="3"/>
        <v/>
      </c>
    </row>
    <row r="195">
      <c r="A195" s="102"/>
      <c r="B195" s="43" t="str">
        <f t="shared" si="5"/>
        <v/>
      </c>
      <c r="C195" s="102" t="str">
        <f>IF(K195="", "", IFERROR(VLOOKUP(K195, Clasificaciones!D:E, 2, FALSE), "DATO NO CARGADO"))
</f>
        <v/>
      </c>
      <c r="D195" s="51"/>
      <c r="E195" s="102"/>
      <c r="F195" s="102"/>
      <c r="G195" s="103"/>
      <c r="H195" s="103" t="str">
        <f t="shared" si="2"/>
        <v/>
      </c>
      <c r="I195" s="103"/>
      <c r="M195" s="103"/>
      <c r="N195" s="113"/>
      <c r="O195" s="107"/>
      <c r="P195" s="106" t="str">
        <f>IF(ISBLANK(N195), "", VLOOKUP(D195&amp;" "&amp;E195, 'Info Tipo de Cambio y REM'!$A$24:$B$35, 2, FALSE))
</f>
        <v/>
      </c>
      <c r="Q195" s="107" t="str">
        <f t="shared" si="3"/>
        <v/>
      </c>
    </row>
    <row r="196">
      <c r="A196" s="102"/>
      <c r="B196" s="43" t="str">
        <f t="shared" si="5"/>
        <v/>
      </c>
      <c r="C196" s="102" t="str">
        <f>IF(K196="", "", IFERROR(VLOOKUP(K196, Clasificaciones!D:E, 2, FALSE), "DATO NO CARGADO"))
</f>
        <v/>
      </c>
      <c r="D196" s="51"/>
      <c r="E196" s="102"/>
      <c r="F196" s="102"/>
      <c r="G196" s="103"/>
      <c r="H196" s="103" t="str">
        <f t="shared" si="2"/>
        <v/>
      </c>
      <c r="I196" s="103"/>
      <c r="M196" s="103"/>
      <c r="N196" s="113"/>
      <c r="O196" s="107"/>
      <c r="P196" s="106" t="str">
        <f>IF(ISBLANK(N196), "", VLOOKUP(D196&amp;" "&amp;E196, 'Info Tipo de Cambio y REM'!$A$24:$B$35, 2, FALSE))
</f>
        <v/>
      </c>
      <c r="Q196" s="107" t="str">
        <f t="shared" si="3"/>
        <v/>
      </c>
    </row>
    <row r="197">
      <c r="A197" s="102"/>
      <c r="B197" s="43" t="str">
        <f t="shared" si="5"/>
        <v/>
      </c>
      <c r="C197" s="102" t="str">
        <f>IF(K197="", "", IFERROR(VLOOKUP(K197, Clasificaciones!D:E, 2, FALSE), "DATO NO CARGADO"))
</f>
        <v/>
      </c>
      <c r="D197" s="51"/>
      <c r="E197" s="102"/>
      <c r="F197" s="102"/>
      <c r="G197" s="103"/>
      <c r="H197" s="103" t="str">
        <f t="shared" si="2"/>
        <v/>
      </c>
      <c r="I197" s="103"/>
      <c r="M197" s="103"/>
      <c r="N197" s="113"/>
      <c r="O197" s="107"/>
      <c r="P197" s="106" t="str">
        <f>IF(ISBLANK(N197), "", VLOOKUP(D197&amp;" "&amp;E197, 'Info Tipo de Cambio y REM'!$A$24:$B$35, 2, FALSE))
</f>
        <v/>
      </c>
      <c r="Q197" s="107" t="str">
        <f t="shared" si="3"/>
        <v/>
      </c>
    </row>
    <row r="198">
      <c r="A198" s="102"/>
      <c r="B198" s="43" t="str">
        <f t="shared" si="5"/>
        <v/>
      </c>
      <c r="C198" s="102" t="str">
        <f>IF(K198="", "", IFERROR(VLOOKUP(K198, Clasificaciones!D:E, 2, FALSE), "DATO NO CARGADO"))
</f>
        <v/>
      </c>
      <c r="D198" s="51"/>
      <c r="E198" s="102"/>
      <c r="F198" s="102"/>
      <c r="G198" s="103"/>
      <c r="H198" s="103" t="str">
        <f t="shared" si="2"/>
        <v/>
      </c>
      <c r="I198" s="103"/>
      <c r="M198" s="103"/>
      <c r="N198" s="113"/>
      <c r="O198" s="107"/>
      <c r="P198" s="106" t="str">
        <f>IF(ISBLANK(N198), "", VLOOKUP(D198&amp;" "&amp;E198, 'Info Tipo de Cambio y REM'!$A$24:$B$35, 2, FALSE))
</f>
        <v/>
      </c>
      <c r="Q198" s="107" t="str">
        <f t="shared" si="3"/>
        <v/>
      </c>
    </row>
    <row r="199">
      <c r="A199" s="102"/>
      <c r="B199" s="43" t="str">
        <f t="shared" si="5"/>
        <v/>
      </c>
      <c r="C199" s="102" t="str">
        <f>IF(K199="", "", IFERROR(VLOOKUP(K199, Clasificaciones!D:E, 2, FALSE), "DATO NO CARGADO"))
</f>
        <v/>
      </c>
      <c r="D199" s="51"/>
      <c r="E199" s="102"/>
      <c r="F199" s="102"/>
      <c r="G199" s="103"/>
      <c r="H199" s="103" t="str">
        <f t="shared" si="2"/>
        <v/>
      </c>
      <c r="I199" s="103"/>
      <c r="M199" s="103"/>
      <c r="N199" s="113"/>
      <c r="O199" s="107"/>
      <c r="P199" s="106" t="str">
        <f>IF(ISBLANK(N199), "", VLOOKUP(D199&amp;" "&amp;E199, 'Info Tipo de Cambio y REM'!$A$24:$B$35, 2, FALSE))
</f>
        <v/>
      </c>
      <c r="Q199" s="107" t="str">
        <f t="shared" si="3"/>
        <v/>
      </c>
    </row>
    <row r="200">
      <c r="A200" s="102"/>
      <c r="B200" s="43" t="str">
        <f t="shared" si="5"/>
        <v/>
      </c>
      <c r="C200" s="102" t="str">
        <f>IF(K200="", "", IFERROR(VLOOKUP(K200, Clasificaciones!D:E, 2, FALSE), "DATO NO CARGADO"))
</f>
        <v/>
      </c>
      <c r="D200" s="51"/>
      <c r="E200" s="102"/>
      <c r="F200" s="102"/>
      <c r="G200" s="103"/>
      <c r="H200" s="103" t="str">
        <f t="shared" si="2"/>
        <v/>
      </c>
      <c r="I200" s="103"/>
      <c r="M200" s="103"/>
      <c r="N200" s="113"/>
      <c r="O200" s="107"/>
      <c r="P200" s="106" t="str">
        <f>IF(ISBLANK(N200), "", VLOOKUP(D200&amp;" "&amp;E200, 'Info Tipo de Cambio y REM'!$A$24:$B$35, 2, FALSE))
</f>
        <v/>
      </c>
      <c r="Q200" s="107" t="str">
        <f t="shared" si="3"/>
        <v/>
      </c>
    </row>
    <row r="201">
      <c r="A201" s="102"/>
      <c r="B201" s="43" t="str">
        <f t="shared" si="5"/>
        <v/>
      </c>
      <c r="C201" s="102" t="str">
        <f>IF(K201="", "", IFERROR(VLOOKUP(K201, Clasificaciones!D:E, 2, FALSE), "DATO NO CARGADO"))
</f>
        <v/>
      </c>
      <c r="D201" s="51"/>
      <c r="E201" s="102"/>
      <c r="F201" s="102"/>
      <c r="G201" s="103"/>
      <c r="H201" s="103" t="str">
        <f t="shared" si="2"/>
        <v/>
      </c>
      <c r="I201" s="103"/>
      <c r="M201" s="103"/>
      <c r="N201" s="113"/>
      <c r="O201" s="107"/>
      <c r="P201" s="106" t="str">
        <f>IF(ISBLANK(N201), "", VLOOKUP(D201&amp;" "&amp;E201, 'Info Tipo de Cambio y REM'!$A$24:$B$35, 2, FALSE))
</f>
        <v/>
      </c>
      <c r="Q201" s="107" t="str">
        <f t="shared" si="3"/>
        <v/>
      </c>
    </row>
    <row r="202">
      <c r="A202" s="102"/>
      <c r="B202" s="43" t="str">
        <f t="shared" si="5"/>
        <v/>
      </c>
      <c r="C202" s="102" t="str">
        <f>IF(K202="", "", IFERROR(VLOOKUP(K202, Clasificaciones!D:E, 2, FALSE), "DATO NO CARGADO"))
</f>
        <v/>
      </c>
      <c r="D202" s="51"/>
      <c r="E202" s="102"/>
      <c r="F202" s="102"/>
      <c r="G202" s="103"/>
      <c r="H202" s="103" t="str">
        <f t="shared" si="2"/>
        <v/>
      </c>
      <c r="I202" s="103"/>
      <c r="M202" s="103"/>
      <c r="N202" s="113"/>
      <c r="O202" s="107"/>
      <c r="P202" s="106" t="str">
        <f>IF(ISBLANK(N202), "", VLOOKUP(D202&amp;" "&amp;E202, 'Info Tipo de Cambio y REM'!$A$24:$B$35, 2, FALSE))
</f>
        <v/>
      </c>
      <c r="Q202" s="107" t="str">
        <f t="shared" si="3"/>
        <v/>
      </c>
    </row>
    <row r="203">
      <c r="A203" s="102"/>
      <c r="B203" s="43" t="str">
        <f t="shared" si="5"/>
        <v/>
      </c>
      <c r="C203" s="102" t="str">
        <f>IF(K203="", "", IFERROR(VLOOKUP(K203, Clasificaciones!D:E, 2, FALSE), "DATO NO CARGADO"))
</f>
        <v/>
      </c>
      <c r="D203" s="51"/>
      <c r="E203" s="102"/>
      <c r="F203" s="102"/>
      <c r="G203" s="103"/>
      <c r="H203" s="103" t="str">
        <f t="shared" si="2"/>
        <v/>
      </c>
      <c r="I203" s="103"/>
      <c r="M203" s="103"/>
      <c r="N203" s="113"/>
      <c r="O203" s="107"/>
      <c r="P203" s="106" t="str">
        <f>IF(ISBLANK(N203), "", VLOOKUP(D203&amp;" "&amp;E203, 'Info Tipo de Cambio y REM'!$A$24:$B$35, 2, FALSE))
</f>
        <v/>
      </c>
      <c r="Q203" s="107" t="str">
        <f t="shared" si="3"/>
        <v/>
      </c>
    </row>
    <row r="204">
      <c r="A204" s="102"/>
      <c r="B204" s="43" t="str">
        <f t="shared" si="5"/>
        <v/>
      </c>
      <c r="C204" s="102" t="str">
        <f>IF(K204="", "", IFERROR(VLOOKUP(K204, Clasificaciones!D:E, 2, FALSE), "DATO NO CARGADO"))
</f>
        <v/>
      </c>
      <c r="D204" s="51"/>
      <c r="E204" s="102"/>
      <c r="F204" s="102"/>
      <c r="G204" s="103"/>
      <c r="H204" s="103" t="str">
        <f t="shared" si="2"/>
        <v/>
      </c>
      <c r="I204" s="103"/>
      <c r="M204" s="103"/>
      <c r="N204" s="113"/>
      <c r="O204" s="107"/>
      <c r="P204" s="106" t="str">
        <f>IF(ISBLANK(N204), "", VLOOKUP(D204&amp;" "&amp;E204, 'Info Tipo de Cambio y REM'!$A$24:$B$35, 2, FALSE))
</f>
        <v/>
      </c>
      <c r="Q204" s="107" t="str">
        <f t="shared" si="3"/>
        <v/>
      </c>
    </row>
    <row r="205">
      <c r="A205" s="102"/>
      <c r="B205" s="43" t="str">
        <f t="shared" si="5"/>
        <v/>
      </c>
      <c r="C205" s="102" t="str">
        <f>IF(K205="", "", IFERROR(VLOOKUP(K205, Clasificaciones!D:E, 2, FALSE), "DATO NO CARGADO"))
</f>
        <v/>
      </c>
      <c r="D205" s="51"/>
      <c r="E205" s="102"/>
      <c r="F205" s="102"/>
      <c r="G205" s="103"/>
      <c r="H205" s="103" t="str">
        <f t="shared" si="2"/>
        <v/>
      </c>
      <c r="I205" s="103"/>
      <c r="M205" s="103"/>
      <c r="N205" s="113"/>
      <c r="O205" s="107"/>
      <c r="P205" s="106" t="str">
        <f>IF(ISBLANK(N205), "", VLOOKUP(D205&amp;" "&amp;E205, 'Info Tipo de Cambio y REM'!$A$24:$B$35, 2, FALSE))
</f>
        <v/>
      </c>
      <c r="Q205" s="107" t="str">
        <f t="shared" si="3"/>
        <v/>
      </c>
    </row>
    <row r="206">
      <c r="A206" s="102"/>
      <c r="B206" s="43" t="str">
        <f t="shared" si="5"/>
        <v/>
      </c>
      <c r="C206" s="102" t="str">
        <f>IF(K206="", "", IFERROR(VLOOKUP(K206, Clasificaciones!D:E, 2, FALSE), "DATO NO CARGADO"))
</f>
        <v/>
      </c>
      <c r="D206" s="51"/>
      <c r="E206" s="102"/>
      <c r="F206" s="102"/>
      <c r="G206" s="103"/>
      <c r="H206" s="103" t="str">
        <f t="shared" si="2"/>
        <v/>
      </c>
      <c r="I206" s="103"/>
      <c r="M206" s="103"/>
      <c r="N206" s="113"/>
      <c r="O206" s="107"/>
      <c r="P206" s="106" t="str">
        <f>IF(ISBLANK(N206), "", VLOOKUP(D206&amp;" "&amp;E206, 'Info Tipo de Cambio y REM'!$A$24:$B$35, 2, FALSE))
</f>
        <v/>
      </c>
      <c r="Q206" s="107" t="str">
        <f t="shared" si="3"/>
        <v/>
      </c>
    </row>
    <row r="207">
      <c r="A207" s="102"/>
      <c r="B207" s="43" t="str">
        <f t="shared" si="5"/>
        <v/>
      </c>
      <c r="C207" s="102" t="str">
        <f>IF(K207="", "", IFERROR(VLOOKUP(K207, Clasificaciones!D:E, 2, FALSE), "DATO NO CARGADO"))
</f>
        <v/>
      </c>
      <c r="D207" s="51"/>
      <c r="E207" s="102"/>
      <c r="F207" s="102"/>
      <c r="G207" s="103"/>
      <c r="H207" s="103" t="str">
        <f t="shared" si="2"/>
        <v/>
      </c>
      <c r="I207" s="103"/>
      <c r="M207" s="103"/>
      <c r="N207" s="113"/>
      <c r="O207" s="107"/>
      <c r="P207" s="106" t="str">
        <f>IF(ISBLANK(N207), "", VLOOKUP(D207&amp;" "&amp;E207, 'Info Tipo de Cambio y REM'!$A$24:$B$35, 2, FALSE))
</f>
        <v/>
      </c>
      <c r="Q207" s="107" t="str">
        <f t="shared" si="3"/>
        <v/>
      </c>
    </row>
    <row r="208">
      <c r="A208" s="102"/>
      <c r="B208" s="43" t="str">
        <f t="shared" si="5"/>
        <v/>
      </c>
      <c r="C208" s="102" t="str">
        <f>IF(K208="", "", IFERROR(VLOOKUP(K208, Clasificaciones!D:E, 2, FALSE), "DATO NO CARGADO"))
</f>
        <v/>
      </c>
      <c r="D208" s="51"/>
      <c r="E208" s="102"/>
      <c r="F208" s="102"/>
      <c r="G208" s="103"/>
      <c r="H208" s="103" t="str">
        <f t="shared" si="2"/>
        <v/>
      </c>
      <c r="I208" s="103"/>
      <c r="M208" s="103"/>
      <c r="N208" s="113"/>
      <c r="O208" s="107"/>
      <c r="P208" s="106" t="str">
        <f>IF(ISBLANK(N208), "", VLOOKUP(D208&amp;" "&amp;E208, 'Info Tipo de Cambio y REM'!$A$24:$B$35, 2, FALSE))
</f>
        <v/>
      </c>
      <c r="Q208" s="107" t="str">
        <f t="shared" si="3"/>
        <v/>
      </c>
    </row>
    <row r="209">
      <c r="A209" s="102"/>
      <c r="B209" s="43" t="str">
        <f t="shared" si="5"/>
        <v/>
      </c>
      <c r="C209" s="102" t="str">
        <f>IF(K209="", "", IFERROR(VLOOKUP(K209, Clasificaciones!D:E, 2, FALSE), "DATO NO CARGADO"))
</f>
        <v/>
      </c>
      <c r="D209" s="51"/>
      <c r="E209" s="102"/>
      <c r="F209" s="102"/>
      <c r="G209" s="103"/>
      <c r="H209" s="103" t="str">
        <f t="shared" si="2"/>
        <v/>
      </c>
      <c r="I209" s="103"/>
      <c r="M209" s="103"/>
      <c r="N209" s="113"/>
      <c r="O209" s="107"/>
      <c r="P209" s="106" t="str">
        <f>IF(ISBLANK(N209), "", VLOOKUP(D209&amp;" "&amp;E209, 'Info Tipo de Cambio y REM'!$A$24:$B$35, 2, FALSE))
</f>
        <v/>
      </c>
      <c r="Q209" s="107" t="str">
        <f t="shared" si="3"/>
        <v/>
      </c>
    </row>
    <row r="210">
      <c r="A210" s="102"/>
      <c r="B210" s="43" t="str">
        <f t="shared" si="5"/>
        <v/>
      </c>
      <c r="C210" s="102" t="str">
        <f>IF(K210="", "", IFERROR(VLOOKUP(K210, Clasificaciones!D:E, 2, FALSE), "DATO NO CARGADO"))
</f>
        <v/>
      </c>
      <c r="D210" s="51"/>
      <c r="E210" s="102"/>
      <c r="F210" s="102"/>
      <c r="G210" s="103"/>
      <c r="H210" s="103" t="str">
        <f t="shared" si="2"/>
        <v/>
      </c>
      <c r="I210" s="103"/>
      <c r="M210" s="103"/>
      <c r="N210" s="113"/>
      <c r="O210" s="107"/>
      <c r="P210" s="106" t="str">
        <f>IF(ISBLANK(N210), "", VLOOKUP(D210&amp;" "&amp;E210, 'Info Tipo de Cambio y REM'!$A$24:$B$35, 2, FALSE))
</f>
        <v/>
      </c>
      <c r="Q210" s="107" t="str">
        <f t="shared" si="3"/>
        <v/>
      </c>
    </row>
    <row r="211">
      <c r="A211" s="102"/>
      <c r="B211" s="43" t="str">
        <f t="shared" si="5"/>
        <v/>
      </c>
      <c r="C211" s="102" t="str">
        <f>IF(K211="", "", IFERROR(VLOOKUP(K211, Clasificaciones!D:E, 2, FALSE), "DATO NO CARGADO"))
</f>
        <v/>
      </c>
      <c r="D211" s="51"/>
      <c r="E211" s="102"/>
      <c r="F211" s="102"/>
      <c r="G211" s="103"/>
      <c r="H211" s="103" t="str">
        <f t="shared" si="2"/>
        <v/>
      </c>
      <c r="I211" s="103"/>
      <c r="M211" s="103"/>
      <c r="N211" s="113"/>
      <c r="O211" s="107"/>
      <c r="P211" s="106" t="str">
        <f>IF(ISBLANK(N211), "", VLOOKUP(D211&amp;" "&amp;E211, 'Info Tipo de Cambio y REM'!$A$24:$B$35, 2, FALSE))
</f>
        <v/>
      </c>
      <c r="Q211" s="107" t="str">
        <f t="shared" si="3"/>
        <v/>
      </c>
    </row>
    <row r="212">
      <c r="A212" s="102"/>
      <c r="B212" s="43" t="str">
        <f t="shared" si="5"/>
        <v/>
      </c>
      <c r="C212" s="102" t="str">
        <f>IF(K212="", "", IFERROR(VLOOKUP(K212, Clasificaciones!D:E, 2, FALSE), "DATO NO CARGADO"))
</f>
        <v/>
      </c>
      <c r="D212" s="51"/>
      <c r="E212" s="102"/>
      <c r="F212" s="102"/>
      <c r="G212" s="103"/>
      <c r="H212" s="103" t="str">
        <f t="shared" si="2"/>
        <v/>
      </c>
      <c r="I212" s="103"/>
      <c r="M212" s="103"/>
      <c r="N212" s="113"/>
      <c r="O212" s="107"/>
      <c r="P212" s="106" t="str">
        <f>IF(ISBLANK(N212), "", VLOOKUP(D212&amp;" "&amp;E212, 'Info Tipo de Cambio y REM'!$A$24:$B$35, 2, FALSE))
</f>
        <v/>
      </c>
      <c r="Q212" s="107" t="str">
        <f t="shared" si="3"/>
        <v/>
      </c>
    </row>
    <row r="213">
      <c r="A213" s="102"/>
      <c r="B213" s="43" t="str">
        <f t="shared" si="5"/>
        <v/>
      </c>
      <c r="C213" s="102" t="str">
        <f>IF(K213="", "", IFERROR(VLOOKUP(K213, Clasificaciones!D:E, 2, FALSE), "DATO NO CARGADO"))
</f>
        <v/>
      </c>
      <c r="D213" s="51"/>
      <c r="E213" s="102"/>
      <c r="F213" s="102"/>
      <c r="G213" s="103"/>
      <c r="H213" s="103" t="str">
        <f t="shared" si="2"/>
        <v/>
      </c>
      <c r="I213" s="103"/>
      <c r="M213" s="103"/>
      <c r="N213" s="113"/>
      <c r="O213" s="107"/>
      <c r="P213" s="106" t="str">
        <f>IF(ISBLANK(N213), "", VLOOKUP(D213&amp;" "&amp;E213, 'Info Tipo de Cambio y REM'!$A$24:$B$35, 2, FALSE))
</f>
        <v/>
      </c>
      <c r="Q213" s="107" t="str">
        <f t="shared" si="3"/>
        <v/>
      </c>
    </row>
    <row r="214">
      <c r="A214" s="102"/>
      <c r="B214" s="43" t="str">
        <f t="shared" si="5"/>
        <v/>
      </c>
      <c r="C214" s="102" t="str">
        <f>IF(K214="", "", IFERROR(VLOOKUP(K214, Clasificaciones!D:E, 2, FALSE), "DATO NO CARGADO"))
</f>
        <v/>
      </c>
      <c r="D214" s="51"/>
      <c r="E214" s="102"/>
      <c r="F214" s="102"/>
      <c r="G214" s="103"/>
      <c r="H214" s="103" t="str">
        <f t="shared" si="2"/>
        <v/>
      </c>
      <c r="I214" s="103"/>
      <c r="M214" s="103"/>
      <c r="N214" s="113"/>
      <c r="O214" s="107"/>
      <c r="P214" s="106" t="str">
        <f>IF(ISBLANK(N214), "", VLOOKUP(D214&amp;" "&amp;E214, 'Info Tipo de Cambio y REM'!$A$24:$B$35, 2, FALSE))
</f>
        <v/>
      </c>
      <c r="Q214" s="107" t="str">
        <f t="shared" si="3"/>
        <v/>
      </c>
    </row>
    <row r="215">
      <c r="A215" s="102"/>
      <c r="B215" s="43" t="str">
        <f t="shared" si="5"/>
        <v/>
      </c>
      <c r="C215" s="102" t="str">
        <f>IF(K215="", "", IFERROR(VLOOKUP(K215, Clasificaciones!D:E, 2, FALSE), "DATO NO CARGADO"))
</f>
        <v/>
      </c>
      <c r="D215" s="51"/>
      <c r="E215" s="102"/>
      <c r="F215" s="102"/>
      <c r="G215" s="103"/>
      <c r="H215" s="103" t="str">
        <f t="shared" si="2"/>
        <v/>
      </c>
      <c r="I215" s="103"/>
      <c r="M215" s="103"/>
      <c r="N215" s="113"/>
      <c r="O215" s="107"/>
      <c r="P215" s="106" t="str">
        <f>IF(ISBLANK(N215), "", VLOOKUP(D215&amp;" "&amp;E215, 'Info Tipo de Cambio y REM'!$A$24:$B$35, 2, FALSE))
</f>
        <v/>
      </c>
      <c r="Q215" s="107" t="str">
        <f t="shared" si="3"/>
        <v/>
      </c>
    </row>
    <row r="216">
      <c r="A216" s="102"/>
      <c r="B216" s="43" t="str">
        <f t="shared" si="5"/>
        <v/>
      </c>
      <c r="C216" s="102" t="str">
        <f>IF(K216="", "", IFERROR(VLOOKUP(K216, Clasificaciones!D:E, 2, FALSE), "DATO NO CARGADO"))
</f>
        <v/>
      </c>
      <c r="D216" s="51"/>
      <c r="E216" s="102"/>
      <c r="F216" s="102"/>
      <c r="G216" s="103"/>
      <c r="H216" s="103" t="str">
        <f t="shared" si="2"/>
        <v/>
      </c>
      <c r="I216" s="103"/>
      <c r="M216" s="103"/>
      <c r="N216" s="113"/>
      <c r="O216" s="107"/>
      <c r="P216" s="106" t="str">
        <f>IF(ISBLANK(N216), "", VLOOKUP(D216&amp;" "&amp;E216, 'Info Tipo de Cambio y REM'!$A$24:$B$35, 2, FALSE))
</f>
        <v/>
      </c>
      <c r="Q216" s="107" t="str">
        <f t="shared" si="3"/>
        <v/>
      </c>
    </row>
    <row r="217">
      <c r="A217" s="102"/>
      <c r="B217" s="43" t="str">
        <f t="shared" si="5"/>
        <v/>
      </c>
      <c r="C217" s="102" t="str">
        <f>IF(K217="", "", IFERROR(VLOOKUP(K217, Clasificaciones!D:E, 2, FALSE), "DATO NO CARGADO"))
</f>
        <v/>
      </c>
      <c r="D217" s="51"/>
      <c r="E217" s="102"/>
      <c r="F217" s="102"/>
      <c r="G217" s="103"/>
      <c r="H217" s="103" t="str">
        <f t="shared" si="2"/>
        <v/>
      </c>
      <c r="I217" s="103"/>
      <c r="M217" s="103"/>
      <c r="N217" s="113"/>
      <c r="O217" s="107"/>
      <c r="P217" s="106" t="str">
        <f>IF(ISBLANK(N217), "", VLOOKUP(D217&amp;" "&amp;E217, 'Info Tipo de Cambio y REM'!$A$24:$B$35, 2, FALSE))
</f>
        <v/>
      </c>
      <c r="Q217" s="107" t="str">
        <f t="shared" si="3"/>
        <v/>
      </c>
    </row>
    <row r="218">
      <c r="A218" s="102"/>
      <c r="B218" s="43" t="str">
        <f t="shared" si="5"/>
        <v/>
      </c>
      <c r="C218" s="102" t="str">
        <f>IF(K218="", "", IFERROR(VLOOKUP(K218, Clasificaciones!D:E, 2, FALSE), "DATO NO CARGADO"))
</f>
        <v/>
      </c>
      <c r="D218" s="51"/>
      <c r="E218" s="102"/>
      <c r="F218" s="102"/>
      <c r="G218" s="103"/>
      <c r="H218" s="103" t="str">
        <f t="shared" si="2"/>
        <v/>
      </c>
      <c r="I218" s="103"/>
      <c r="M218" s="103"/>
      <c r="N218" s="113"/>
      <c r="O218" s="107"/>
      <c r="P218" s="106" t="str">
        <f>IF(ISBLANK(N218), "", VLOOKUP(D218&amp;" "&amp;E218, 'Info Tipo de Cambio y REM'!$A$24:$B$35, 2, FALSE))
</f>
        <v/>
      </c>
      <c r="Q218" s="107" t="str">
        <f t="shared" si="3"/>
        <v/>
      </c>
    </row>
    <row r="219">
      <c r="A219" s="102"/>
      <c r="B219" s="43" t="str">
        <f t="shared" si="5"/>
        <v/>
      </c>
      <c r="C219" s="102" t="str">
        <f>IF(K219="", "", IFERROR(VLOOKUP(K219, Clasificaciones!D:E, 2, FALSE), "DATO NO CARGADO"))
</f>
        <v/>
      </c>
      <c r="D219" s="51"/>
      <c r="E219" s="102"/>
      <c r="F219" s="102"/>
      <c r="G219" s="103"/>
      <c r="H219" s="103" t="str">
        <f t="shared" si="2"/>
        <v/>
      </c>
      <c r="I219" s="103"/>
      <c r="M219" s="103"/>
      <c r="N219" s="113"/>
      <c r="O219" s="107"/>
      <c r="P219" s="106" t="str">
        <f>IF(ISBLANK(N219), "", VLOOKUP(D219&amp;" "&amp;E219, 'Info Tipo de Cambio y REM'!$A$24:$B$35, 2, FALSE))
</f>
        <v/>
      </c>
      <c r="Q219" s="107" t="str">
        <f t="shared" si="3"/>
        <v/>
      </c>
    </row>
    <row r="220">
      <c r="A220" s="102"/>
      <c r="B220" s="43" t="str">
        <f t="shared" si="5"/>
        <v/>
      </c>
      <c r="C220" s="102" t="str">
        <f>IF(K220="", "", IFERROR(VLOOKUP(K220, Clasificaciones!D:E, 2, FALSE), "DATO NO CARGADO"))
</f>
        <v/>
      </c>
      <c r="D220" s="51"/>
      <c r="E220" s="102"/>
      <c r="F220" s="102"/>
      <c r="G220" s="103"/>
      <c r="H220" s="103" t="str">
        <f t="shared" si="2"/>
        <v/>
      </c>
      <c r="I220" s="103"/>
      <c r="M220" s="103"/>
      <c r="N220" s="113"/>
      <c r="O220" s="107"/>
      <c r="P220" s="106" t="str">
        <f>IF(ISBLANK(N220), "", VLOOKUP(D220&amp;" "&amp;E220, 'Info Tipo de Cambio y REM'!$A$24:$B$35, 2, FALSE))
</f>
        <v/>
      </c>
      <c r="Q220" s="107" t="str">
        <f t="shared" si="3"/>
        <v/>
      </c>
    </row>
    <row r="221">
      <c r="A221" s="102"/>
      <c r="B221" s="43" t="str">
        <f t="shared" si="5"/>
        <v/>
      </c>
      <c r="C221" s="102" t="str">
        <f>IF(K221="", "", IFERROR(VLOOKUP(K221, Clasificaciones!D:E, 2, FALSE), "DATO NO CARGADO"))
</f>
        <v/>
      </c>
      <c r="D221" s="51"/>
      <c r="E221" s="102"/>
      <c r="F221" s="102"/>
      <c r="G221" s="103"/>
      <c r="H221" s="103" t="str">
        <f t="shared" si="2"/>
        <v/>
      </c>
      <c r="I221" s="103"/>
      <c r="M221" s="103"/>
      <c r="N221" s="113"/>
      <c r="O221" s="107"/>
      <c r="P221" s="106" t="str">
        <f>IF(ISBLANK(N221), "", VLOOKUP(D221&amp;" "&amp;E221, 'Info Tipo de Cambio y REM'!$A$24:$B$35, 2, FALSE))
</f>
        <v/>
      </c>
      <c r="Q221" s="107" t="str">
        <f t="shared" si="3"/>
        <v/>
      </c>
    </row>
    <row r="222">
      <c r="A222" s="102"/>
      <c r="B222" s="43" t="str">
        <f t="shared" si="5"/>
        <v/>
      </c>
      <c r="C222" s="102" t="str">
        <f>IF(K222="", "", IFERROR(VLOOKUP(K222, Clasificaciones!D:E, 2, FALSE), "DATO NO CARGADO"))
</f>
        <v/>
      </c>
      <c r="D222" s="51"/>
      <c r="E222" s="102"/>
      <c r="F222" s="102"/>
      <c r="G222" s="103"/>
      <c r="H222" s="103" t="str">
        <f t="shared" si="2"/>
        <v/>
      </c>
      <c r="I222" s="103"/>
      <c r="M222" s="103"/>
      <c r="N222" s="113"/>
      <c r="O222" s="107"/>
      <c r="P222" s="106" t="str">
        <f>IF(ISBLANK(N222), "", VLOOKUP(D222&amp;" "&amp;E222, 'Info Tipo de Cambio y REM'!$A$24:$B$35, 2, FALSE))
</f>
        <v/>
      </c>
      <c r="Q222" s="107" t="str">
        <f t="shared" si="3"/>
        <v/>
      </c>
    </row>
    <row r="223">
      <c r="A223" s="102"/>
      <c r="B223" s="43" t="str">
        <f t="shared" si="5"/>
        <v/>
      </c>
      <c r="C223" s="102" t="str">
        <f>IF(K223="", "", IFERROR(VLOOKUP(K223, Clasificaciones!D:E, 2, FALSE), "DATO NO CARGADO"))
</f>
        <v/>
      </c>
      <c r="D223" s="51"/>
      <c r="E223" s="102"/>
      <c r="F223" s="102"/>
      <c r="G223" s="103"/>
      <c r="H223" s="103" t="str">
        <f t="shared" si="2"/>
        <v/>
      </c>
      <c r="I223" s="103"/>
      <c r="M223" s="103"/>
      <c r="N223" s="113"/>
      <c r="O223" s="107"/>
      <c r="P223" s="106" t="str">
        <f>IF(ISBLANK(N223), "", VLOOKUP(D223&amp;" "&amp;E223, 'Info Tipo de Cambio y REM'!$A$24:$B$35, 2, FALSE))
</f>
        <v/>
      </c>
      <c r="Q223" s="107" t="str">
        <f t="shared" si="3"/>
        <v/>
      </c>
    </row>
    <row r="224">
      <c r="A224" s="102"/>
      <c r="B224" s="43" t="str">
        <f t="shared" si="5"/>
        <v/>
      </c>
      <c r="C224" s="102" t="str">
        <f>IF(K224="", "", IFERROR(VLOOKUP(K224, Clasificaciones!D:E, 2, FALSE), "DATO NO CARGADO"))
</f>
        <v/>
      </c>
      <c r="D224" s="51"/>
      <c r="E224" s="102"/>
      <c r="F224" s="102"/>
      <c r="G224" s="103"/>
      <c r="H224" s="103" t="str">
        <f t="shared" si="2"/>
        <v/>
      </c>
      <c r="I224" s="103"/>
      <c r="M224" s="103"/>
      <c r="N224" s="113"/>
      <c r="O224" s="107"/>
      <c r="P224" s="106" t="str">
        <f>IF(ISBLANK(N224), "", VLOOKUP(D224&amp;" "&amp;E224, 'Info Tipo de Cambio y REM'!$A$24:$B$35, 2, FALSE))
</f>
        <v/>
      </c>
      <c r="Q224" s="107" t="str">
        <f t="shared" si="3"/>
        <v/>
      </c>
    </row>
    <row r="225">
      <c r="A225" s="102"/>
      <c r="B225" s="43" t="str">
        <f t="shared" si="5"/>
        <v/>
      </c>
      <c r="C225" s="102" t="str">
        <f>IF(K225="", "", IFERROR(VLOOKUP(K225, Clasificaciones!D:E, 2, FALSE), "DATO NO CARGADO"))
</f>
        <v/>
      </c>
      <c r="D225" s="51"/>
      <c r="E225" s="102"/>
      <c r="F225" s="102"/>
      <c r="G225" s="103"/>
      <c r="H225" s="103" t="str">
        <f t="shared" si="2"/>
        <v/>
      </c>
      <c r="I225" s="103"/>
      <c r="M225" s="103"/>
      <c r="N225" s="113"/>
      <c r="O225" s="107"/>
      <c r="P225" s="106" t="str">
        <f>IF(ISBLANK(N225), "", VLOOKUP(D225&amp;" "&amp;E225, 'Info Tipo de Cambio y REM'!$A$24:$B$35, 2, FALSE))
</f>
        <v/>
      </c>
      <c r="Q225" s="107" t="str">
        <f t="shared" si="3"/>
        <v/>
      </c>
    </row>
    <row r="226">
      <c r="A226" s="102"/>
      <c r="B226" s="43" t="str">
        <f t="shared" si="5"/>
        <v/>
      </c>
      <c r="C226" s="102" t="str">
        <f>IF(K226="", "", IFERROR(VLOOKUP(K226, Clasificaciones!D:E, 2, FALSE), "DATO NO CARGADO"))
</f>
        <v/>
      </c>
      <c r="D226" s="51"/>
      <c r="E226" s="102"/>
      <c r="F226" s="102"/>
      <c r="G226" s="103"/>
      <c r="H226" s="103" t="str">
        <f t="shared" si="2"/>
        <v/>
      </c>
      <c r="I226" s="103"/>
      <c r="M226" s="103"/>
      <c r="N226" s="113"/>
      <c r="O226" s="107"/>
      <c r="P226" s="106" t="str">
        <f>IF(ISBLANK(N226), "", VLOOKUP(D226&amp;" "&amp;E226, 'Info Tipo de Cambio y REM'!$A$24:$B$35, 2, FALSE))
</f>
        <v/>
      </c>
      <c r="Q226" s="107" t="str">
        <f t="shared" si="3"/>
        <v/>
      </c>
    </row>
    <row r="227">
      <c r="A227" s="102"/>
      <c r="B227" s="43" t="str">
        <f t="shared" si="5"/>
        <v/>
      </c>
      <c r="C227" s="102" t="str">
        <f>IF(K227="", "", IFERROR(VLOOKUP(K227, Clasificaciones!D:E, 2, FALSE), "DATO NO CARGADO"))
</f>
        <v/>
      </c>
      <c r="D227" s="51"/>
      <c r="E227" s="102"/>
      <c r="F227" s="102"/>
      <c r="G227" s="103"/>
      <c r="H227" s="103" t="str">
        <f t="shared" si="2"/>
        <v/>
      </c>
      <c r="I227" s="103"/>
      <c r="M227" s="103"/>
      <c r="N227" s="113"/>
      <c r="O227" s="107"/>
      <c r="P227" s="106" t="str">
        <f>IF(ISBLANK(N227), "", VLOOKUP(D227&amp;" "&amp;E227, 'Info Tipo de Cambio y REM'!$A$24:$B$35, 2, FALSE))
</f>
        <v/>
      </c>
      <c r="Q227" s="107" t="str">
        <f t="shared" si="3"/>
        <v/>
      </c>
    </row>
    <row r="228">
      <c r="A228" s="102"/>
      <c r="B228" s="43" t="str">
        <f t="shared" si="5"/>
        <v/>
      </c>
      <c r="C228" s="102" t="str">
        <f>IF(K228="", "", IFERROR(VLOOKUP(K228, Clasificaciones!D:E, 2, FALSE), "DATO NO CARGADO"))
</f>
        <v/>
      </c>
      <c r="D228" s="51"/>
      <c r="E228" s="102"/>
      <c r="F228" s="102"/>
      <c r="G228" s="103"/>
      <c r="H228" s="103" t="str">
        <f t="shared" si="2"/>
        <v/>
      </c>
      <c r="I228" s="103"/>
      <c r="M228" s="103"/>
      <c r="N228" s="113"/>
      <c r="O228" s="107"/>
      <c r="P228" s="106" t="str">
        <f>IF(ISBLANK(N228), "", VLOOKUP(D228&amp;" "&amp;E228, 'Info Tipo de Cambio y REM'!$A$24:$B$35, 2, FALSE))
</f>
        <v/>
      </c>
      <c r="Q228" s="107" t="str">
        <f t="shared" si="3"/>
        <v/>
      </c>
    </row>
    <row r="229">
      <c r="A229" s="102"/>
      <c r="B229" s="43" t="str">
        <f t="shared" si="5"/>
        <v/>
      </c>
      <c r="C229" s="102" t="str">
        <f>IF(K229="", "", IFERROR(VLOOKUP(K229, Clasificaciones!D:E, 2, FALSE), "DATO NO CARGADO"))
</f>
        <v/>
      </c>
      <c r="D229" s="51"/>
      <c r="E229" s="102"/>
      <c r="F229" s="102"/>
      <c r="G229" s="103"/>
      <c r="H229" s="103" t="str">
        <f t="shared" si="2"/>
        <v/>
      </c>
      <c r="I229" s="103"/>
      <c r="M229" s="103"/>
      <c r="N229" s="113"/>
      <c r="O229" s="107"/>
      <c r="P229" s="106" t="str">
        <f>IF(ISBLANK(N229), "", VLOOKUP(D229&amp;" "&amp;E229, 'Info Tipo de Cambio y REM'!$A$24:$B$35, 2, FALSE))
</f>
        <v/>
      </c>
      <c r="Q229" s="107" t="str">
        <f t="shared" si="3"/>
        <v/>
      </c>
    </row>
    <row r="230">
      <c r="A230" s="102"/>
      <c r="B230" s="43" t="str">
        <f t="shared" si="5"/>
        <v/>
      </c>
      <c r="C230" s="102" t="str">
        <f>IF(K230="", "", IFERROR(VLOOKUP(K230, Clasificaciones!D:E, 2, FALSE), "DATO NO CARGADO"))
</f>
        <v/>
      </c>
      <c r="D230" s="51"/>
      <c r="E230" s="102"/>
      <c r="F230" s="102"/>
      <c r="G230" s="103"/>
      <c r="H230" s="103" t="str">
        <f t="shared" si="2"/>
        <v/>
      </c>
      <c r="I230" s="103"/>
      <c r="M230" s="103"/>
      <c r="N230" s="113"/>
      <c r="O230" s="107"/>
      <c r="P230" s="106" t="str">
        <f>IF(ISBLANK(N230), "", VLOOKUP(D230&amp;" "&amp;E230, 'Info Tipo de Cambio y REM'!$A$24:$B$35, 2, FALSE))
</f>
        <v/>
      </c>
      <c r="Q230" s="107" t="str">
        <f t="shared" si="3"/>
        <v/>
      </c>
    </row>
    <row r="231">
      <c r="A231" s="102"/>
      <c r="B231" s="43" t="str">
        <f t="shared" si="5"/>
        <v/>
      </c>
      <c r="C231" s="102" t="str">
        <f>IF(K231="", "", IFERROR(VLOOKUP(K231, Clasificaciones!D:E, 2, FALSE), "DATO NO CARGADO"))
</f>
        <v/>
      </c>
      <c r="D231" s="51"/>
      <c r="E231" s="102"/>
      <c r="F231" s="102"/>
      <c r="G231" s="103"/>
      <c r="H231" s="103" t="str">
        <f t="shared" si="2"/>
        <v/>
      </c>
      <c r="I231" s="103"/>
      <c r="M231" s="103"/>
      <c r="N231" s="113"/>
      <c r="O231" s="107"/>
      <c r="P231" s="106" t="str">
        <f>IF(ISBLANK(N231), "", VLOOKUP(D231&amp;" "&amp;E231, 'Info Tipo de Cambio y REM'!$A$24:$B$35, 2, FALSE))
</f>
        <v/>
      </c>
      <c r="Q231" s="107" t="str">
        <f t="shared" si="3"/>
        <v/>
      </c>
    </row>
    <row r="232">
      <c r="A232" s="102"/>
      <c r="B232" s="43" t="str">
        <f t="shared" si="5"/>
        <v/>
      </c>
      <c r="C232" s="102" t="str">
        <f>IF(K232="", "", IFERROR(VLOOKUP(K232, Clasificaciones!D:E, 2, FALSE), "DATO NO CARGADO"))
</f>
        <v/>
      </c>
      <c r="D232" s="51"/>
      <c r="E232" s="102"/>
      <c r="F232" s="102"/>
      <c r="G232" s="103"/>
      <c r="H232" s="103" t="str">
        <f t="shared" si="2"/>
        <v/>
      </c>
      <c r="I232" s="103"/>
      <c r="M232" s="103"/>
      <c r="N232" s="113"/>
      <c r="O232" s="107"/>
      <c r="P232" s="106" t="str">
        <f>IF(ISBLANK(N232), "", VLOOKUP(D232&amp;" "&amp;E232, 'Info Tipo de Cambio y REM'!$A$24:$B$35, 2, FALSE))
</f>
        <v/>
      </c>
      <c r="Q232" s="107" t="str">
        <f t="shared" si="3"/>
        <v/>
      </c>
    </row>
    <row r="233">
      <c r="A233" s="102"/>
      <c r="B233" s="43" t="str">
        <f t="shared" si="5"/>
        <v/>
      </c>
      <c r="C233" s="102" t="str">
        <f>IF(K233="", "", IFERROR(VLOOKUP(K233, Clasificaciones!D:E, 2, FALSE), "DATO NO CARGADO"))
</f>
        <v/>
      </c>
      <c r="D233" s="51"/>
      <c r="E233" s="102"/>
      <c r="F233" s="102"/>
      <c r="G233" s="103"/>
      <c r="H233" s="103" t="str">
        <f t="shared" si="2"/>
        <v/>
      </c>
      <c r="I233" s="103"/>
      <c r="M233" s="103"/>
      <c r="N233" s="113"/>
      <c r="O233" s="107"/>
      <c r="P233" s="106" t="str">
        <f>IF(ISBLANK(N233), "", VLOOKUP(D233&amp;" "&amp;E233, 'Info Tipo de Cambio y REM'!$A$24:$B$35, 2, FALSE))
</f>
        <v/>
      </c>
      <c r="Q233" s="107" t="str">
        <f t="shared" si="3"/>
        <v/>
      </c>
    </row>
    <row r="234">
      <c r="A234" s="102"/>
      <c r="B234" s="43" t="str">
        <f t="shared" si="5"/>
        <v/>
      </c>
      <c r="C234" s="102" t="str">
        <f>IF(K234="", "", IFERROR(VLOOKUP(K234, Clasificaciones!D:E, 2, FALSE), "DATO NO CARGADO"))
</f>
        <v/>
      </c>
      <c r="D234" s="51"/>
      <c r="E234" s="102"/>
      <c r="F234" s="102"/>
      <c r="G234" s="103"/>
      <c r="H234" s="103" t="str">
        <f t="shared" si="2"/>
        <v/>
      </c>
      <c r="I234" s="103"/>
      <c r="M234" s="103"/>
      <c r="N234" s="113"/>
      <c r="O234" s="107"/>
      <c r="P234" s="106" t="str">
        <f>IF(ISBLANK(N234), "", VLOOKUP(D234&amp;" "&amp;E234, 'Info Tipo de Cambio y REM'!$A$24:$B$35, 2, FALSE))
</f>
        <v/>
      </c>
      <c r="Q234" s="107" t="str">
        <f t="shared" si="3"/>
        <v/>
      </c>
    </row>
    <row r="235">
      <c r="A235" s="102"/>
      <c r="B235" s="43" t="str">
        <f t="shared" si="5"/>
        <v/>
      </c>
      <c r="C235" s="102" t="str">
        <f>IF(K235="", "", IFERROR(VLOOKUP(K235, Clasificaciones!D:E, 2, FALSE), "DATO NO CARGADO"))
</f>
        <v/>
      </c>
      <c r="D235" s="51"/>
      <c r="E235" s="102"/>
      <c r="F235" s="102"/>
      <c r="G235" s="103"/>
      <c r="H235" s="103" t="str">
        <f t="shared" si="2"/>
        <v/>
      </c>
      <c r="I235" s="103"/>
      <c r="M235" s="103"/>
      <c r="N235" s="113"/>
      <c r="O235" s="107"/>
      <c r="P235" s="106" t="str">
        <f>IF(ISBLANK(N235), "", VLOOKUP(D235&amp;" "&amp;E235, 'Info Tipo de Cambio y REM'!$A$24:$B$35, 2, FALSE))
</f>
        <v/>
      </c>
      <c r="Q235" s="107" t="str">
        <f t="shared" si="3"/>
        <v/>
      </c>
    </row>
    <row r="236">
      <c r="A236" s="102"/>
      <c r="B236" s="43" t="str">
        <f t="shared" si="5"/>
        <v/>
      </c>
      <c r="C236" s="102" t="str">
        <f>IF(K236="", "", IFERROR(VLOOKUP(K236, Clasificaciones!D:E, 2, FALSE), "DATO NO CARGADO"))
</f>
        <v/>
      </c>
      <c r="D236" s="51"/>
      <c r="E236" s="102"/>
      <c r="F236" s="102"/>
      <c r="G236" s="103"/>
      <c r="H236" s="103" t="str">
        <f t="shared" si="2"/>
        <v/>
      </c>
      <c r="I236" s="103"/>
      <c r="M236" s="103"/>
      <c r="N236" s="113"/>
      <c r="O236" s="107"/>
      <c r="P236" s="106" t="str">
        <f>IF(ISBLANK(N236), "", VLOOKUP(D236&amp;" "&amp;E236, 'Info Tipo de Cambio y REM'!$A$24:$B$35, 2, FALSE))
</f>
        <v/>
      </c>
      <c r="Q236" s="107" t="str">
        <f t="shared" si="3"/>
        <v/>
      </c>
    </row>
    <row r="237">
      <c r="A237" s="102"/>
      <c r="B237" s="43" t="str">
        <f t="shared" si="5"/>
        <v/>
      </c>
      <c r="C237" s="102" t="str">
        <f>IF(K237="", "", IFERROR(VLOOKUP(K237, Clasificaciones!D:E, 2, FALSE), "DATO NO CARGADO"))
</f>
        <v/>
      </c>
      <c r="D237" s="51"/>
      <c r="E237" s="102"/>
      <c r="F237" s="102"/>
      <c r="G237" s="103"/>
      <c r="H237" s="103" t="str">
        <f t="shared" si="2"/>
        <v/>
      </c>
      <c r="I237" s="103"/>
      <c r="M237" s="103"/>
      <c r="N237" s="113"/>
      <c r="O237" s="107"/>
      <c r="P237" s="106" t="str">
        <f>IF(ISBLANK(N237), "", VLOOKUP(D237&amp;" "&amp;E237, 'Info Tipo de Cambio y REM'!$A$24:$B$35, 2, FALSE))
</f>
        <v/>
      </c>
      <c r="Q237" s="107" t="str">
        <f t="shared" si="3"/>
        <v/>
      </c>
    </row>
    <row r="238">
      <c r="A238" s="102"/>
      <c r="B238" s="43" t="str">
        <f t="shared" si="5"/>
        <v/>
      </c>
      <c r="C238" s="102" t="str">
        <f>IF(K238="", "", IFERROR(VLOOKUP(K238, Clasificaciones!D:E, 2, FALSE), "DATO NO CARGADO"))
</f>
        <v/>
      </c>
      <c r="D238" s="51"/>
      <c r="E238" s="102"/>
      <c r="F238" s="102"/>
      <c r="G238" s="103"/>
      <c r="H238" s="103" t="str">
        <f t="shared" si="2"/>
        <v/>
      </c>
      <c r="I238" s="103"/>
      <c r="M238" s="103"/>
      <c r="N238" s="113"/>
      <c r="O238" s="107"/>
      <c r="P238" s="106" t="str">
        <f>IF(ISBLANK(N238), "", VLOOKUP(D238&amp;" "&amp;E238, 'Info Tipo de Cambio y REM'!$A$24:$B$35, 2, FALSE))
</f>
        <v/>
      </c>
      <c r="Q238" s="107" t="str">
        <f t="shared" si="3"/>
        <v/>
      </c>
    </row>
    <row r="239">
      <c r="A239" s="102"/>
      <c r="B239" s="43" t="str">
        <f t="shared" si="5"/>
        <v/>
      </c>
      <c r="C239" s="102" t="str">
        <f>IF(K239="", "", IFERROR(VLOOKUP(K239, Clasificaciones!D:E, 2, FALSE), "DATO NO CARGADO"))
</f>
        <v/>
      </c>
      <c r="D239" s="51"/>
      <c r="E239" s="102"/>
      <c r="F239" s="102"/>
      <c r="G239" s="103"/>
      <c r="H239" s="103" t="str">
        <f t="shared" si="2"/>
        <v/>
      </c>
      <c r="I239" s="103"/>
      <c r="M239" s="103"/>
      <c r="N239" s="113"/>
      <c r="O239" s="107"/>
      <c r="P239" s="106" t="str">
        <f>IF(ISBLANK(N239), "", VLOOKUP(D239&amp;" "&amp;E239, 'Info Tipo de Cambio y REM'!$A$24:$B$35, 2, FALSE))
</f>
        <v/>
      </c>
      <c r="Q239" s="107" t="str">
        <f t="shared" si="3"/>
        <v/>
      </c>
    </row>
    <row r="240">
      <c r="A240" s="102"/>
      <c r="B240" s="43" t="str">
        <f t="shared" si="5"/>
        <v/>
      </c>
      <c r="C240" s="102" t="str">
        <f>IF(K240="", "", IFERROR(VLOOKUP(K240, Clasificaciones!D:E, 2, FALSE), "DATO NO CARGADO"))
</f>
        <v/>
      </c>
      <c r="D240" s="51"/>
      <c r="E240" s="102"/>
      <c r="F240" s="102"/>
      <c r="G240" s="103"/>
      <c r="H240" s="103" t="str">
        <f t="shared" si="2"/>
        <v/>
      </c>
      <c r="I240" s="103"/>
      <c r="M240" s="103"/>
      <c r="N240" s="113"/>
      <c r="O240" s="107"/>
      <c r="P240" s="106" t="str">
        <f>IF(ISBLANK(N240), "", VLOOKUP(D240&amp;" "&amp;E240, 'Info Tipo de Cambio y REM'!$A$24:$B$35, 2, FALSE))
</f>
        <v/>
      </c>
      <c r="Q240" s="107" t="str">
        <f t="shared" si="3"/>
        <v/>
      </c>
    </row>
    <row r="241">
      <c r="A241" s="102"/>
      <c r="B241" s="43" t="str">
        <f t="shared" si="5"/>
        <v/>
      </c>
      <c r="C241" s="102" t="str">
        <f>IF(K241="", "", IFERROR(VLOOKUP(K241, Clasificaciones!D:E, 2, FALSE), "DATO NO CARGADO"))
</f>
        <v/>
      </c>
      <c r="D241" s="51"/>
      <c r="E241" s="102"/>
      <c r="F241" s="102"/>
      <c r="G241" s="103"/>
      <c r="H241" s="103" t="str">
        <f t="shared" si="2"/>
        <v/>
      </c>
      <c r="I241" s="103"/>
      <c r="M241" s="103"/>
      <c r="N241" s="113"/>
      <c r="O241" s="107"/>
      <c r="P241" s="106" t="str">
        <f>IF(ISBLANK(N241), "", VLOOKUP(D241&amp;" "&amp;E241, 'Info Tipo de Cambio y REM'!$A$24:$B$35, 2, FALSE))
</f>
        <v/>
      </c>
      <c r="Q241" s="107" t="str">
        <f t="shared" si="3"/>
        <v/>
      </c>
    </row>
    <row r="242">
      <c r="A242" s="102"/>
      <c r="B242" s="43" t="str">
        <f t="shared" si="5"/>
        <v/>
      </c>
      <c r="C242" s="102" t="str">
        <f>IF(K242="", "", IFERROR(VLOOKUP(K242, Clasificaciones!D:E, 2, FALSE), "DATO NO CARGADO"))
</f>
        <v/>
      </c>
      <c r="D242" s="51"/>
      <c r="E242" s="102"/>
      <c r="F242" s="102"/>
      <c r="G242" s="103"/>
      <c r="H242" s="103" t="str">
        <f t="shared" si="2"/>
        <v/>
      </c>
      <c r="I242" s="103"/>
      <c r="M242" s="103"/>
      <c r="N242" s="113"/>
      <c r="O242" s="107"/>
      <c r="P242" s="106" t="str">
        <f>IF(ISBLANK(N242), "", VLOOKUP(D242&amp;" "&amp;E242, 'Info Tipo de Cambio y REM'!$A$24:$B$35, 2, FALSE))
</f>
        <v/>
      </c>
      <c r="Q242" s="107" t="str">
        <f t="shared" si="3"/>
        <v/>
      </c>
    </row>
    <row r="243">
      <c r="A243" s="102"/>
      <c r="B243" s="43" t="str">
        <f t="shared" si="5"/>
        <v/>
      </c>
      <c r="C243" s="102" t="str">
        <f>IF(K243="", "", IFERROR(VLOOKUP(K243, Clasificaciones!D:E, 2, FALSE), "DATO NO CARGADO"))
</f>
        <v/>
      </c>
      <c r="D243" s="51"/>
      <c r="E243" s="102"/>
      <c r="F243" s="102"/>
      <c r="G243" s="103"/>
      <c r="H243" s="103" t="str">
        <f t="shared" si="2"/>
        <v/>
      </c>
      <c r="I243" s="103"/>
      <c r="M243" s="103"/>
      <c r="N243" s="113"/>
      <c r="O243" s="107"/>
      <c r="P243" s="106" t="str">
        <f>IF(ISBLANK(N243), "", VLOOKUP(D243&amp;" "&amp;E243, 'Info Tipo de Cambio y REM'!$A$24:$B$35, 2, FALSE))
</f>
        <v/>
      </c>
      <c r="Q243" s="107" t="str">
        <f t="shared" si="3"/>
        <v/>
      </c>
    </row>
    <row r="244">
      <c r="A244" s="102"/>
      <c r="B244" s="43" t="str">
        <f t="shared" si="5"/>
        <v/>
      </c>
      <c r="C244" s="102" t="str">
        <f>IF(K244="", "", IFERROR(VLOOKUP(K244, Clasificaciones!D:E, 2, FALSE), "DATO NO CARGADO"))
</f>
        <v/>
      </c>
      <c r="D244" s="51"/>
      <c r="E244" s="102"/>
      <c r="F244" s="102"/>
      <c r="G244" s="103"/>
      <c r="H244" s="103" t="str">
        <f t="shared" si="2"/>
        <v/>
      </c>
      <c r="I244" s="103"/>
      <c r="M244" s="103"/>
      <c r="N244" s="113"/>
      <c r="O244" s="107"/>
      <c r="P244" s="106" t="str">
        <f>IF(ISBLANK(N244), "", VLOOKUP(D244&amp;" "&amp;E244, 'Info Tipo de Cambio y REM'!$A$24:$B$35, 2, FALSE))
</f>
        <v/>
      </c>
      <c r="Q244" s="107" t="str">
        <f t="shared" si="3"/>
        <v/>
      </c>
    </row>
    <row r="245">
      <c r="A245" s="102"/>
      <c r="B245" s="43" t="str">
        <f t="shared" si="5"/>
        <v/>
      </c>
      <c r="C245" s="102" t="str">
        <f>IF(K245="", "", IFERROR(VLOOKUP(K245, Clasificaciones!D:E, 2, FALSE), "DATO NO CARGADO"))
</f>
        <v/>
      </c>
      <c r="D245" s="51"/>
      <c r="E245" s="102"/>
      <c r="F245" s="102"/>
      <c r="G245" s="103"/>
      <c r="H245" s="103" t="str">
        <f t="shared" si="2"/>
        <v/>
      </c>
      <c r="I245" s="103"/>
      <c r="M245" s="103"/>
      <c r="N245" s="113"/>
      <c r="O245" s="107"/>
      <c r="P245" s="106" t="str">
        <f>IF(ISBLANK(N245), "", VLOOKUP(D245&amp;" "&amp;E245, 'Info Tipo de Cambio y REM'!$A$24:$B$35, 2, FALSE))
</f>
        <v/>
      </c>
      <c r="Q245" s="107" t="str">
        <f t="shared" si="3"/>
        <v/>
      </c>
    </row>
    <row r="246">
      <c r="A246" s="102"/>
      <c r="B246" s="43" t="str">
        <f t="shared" si="5"/>
        <v/>
      </c>
      <c r="C246" s="102" t="str">
        <f>IF(K246="", "", IFERROR(VLOOKUP(K246, Clasificaciones!D:E, 2, FALSE), "DATO NO CARGADO"))
</f>
        <v/>
      </c>
      <c r="D246" s="51"/>
      <c r="E246" s="102"/>
      <c r="F246" s="102"/>
      <c r="G246" s="103"/>
      <c r="H246" s="103" t="str">
        <f t="shared" si="2"/>
        <v/>
      </c>
      <c r="I246" s="103"/>
      <c r="M246" s="103"/>
      <c r="N246" s="113"/>
      <c r="O246" s="107"/>
      <c r="P246" s="106" t="str">
        <f>IF(ISBLANK(N246), "", VLOOKUP(D246&amp;" "&amp;E246, 'Info Tipo de Cambio y REM'!$A$24:$B$35, 2, FALSE))
</f>
        <v/>
      </c>
      <c r="Q246" s="107" t="str">
        <f t="shared" si="3"/>
        <v/>
      </c>
    </row>
    <row r="247">
      <c r="A247" s="102"/>
      <c r="B247" s="43" t="str">
        <f t="shared" si="5"/>
        <v/>
      </c>
      <c r="C247" s="102" t="str">
        <f>IF(K247="", "", IFERROR(VLOOKUP(K247, Clasificaciones!D:E, 2, FALSE), "DATO NO CARGADO"))
</f>
        <v/>
      </c>
      <c r="D247" s="51"/>
      <c r="E247" s="102"/>
      <c r="F247" s="102"/>
      <c r="G247" s="103"/>
      <c r="H247" s="103" t="str">
        <f t="shared" si="2"/>
        <v/>
      </c>
      <c r="I247" s="103"/>
      <c r="M247" s="103"/>
      <c r="N247" s="113"/>
      <c r="O247" s="107"/>
      <c r="P247" s="106" t="str">
        <f>IF(ISBLANK(N247), "", VLOOKUP(D247&amp;" "&amp;E247, 'Info Tipo de Cambio y REM'!$A$24:$B$35, 2, FALSE))
</f>
        <v/>
      </c>
      <c r="Q247" s="107" t="str">
        <f t="shared" si="3"/>
        <v/>
      </c>
    </row>
    <row r="248">
      <c r="A248" s="102"/>
      <c r="B248" s="43" t="str">
        <f t="shared" si="5"/>
        <v/>
      </c>
      <c r="C248" s="102" t="str">
        <f>IF(K248="", "", IFERROR(VLOOKUP(K248, Clasificaciones!D:E, 2, FALSE), "DATO NO CARGADO"))
</f>
        <v/>
      </c>
      <c r="D248" s="51"/>
      <c r="E248" s="102"/>
      <c r="F248" s="102"/>
      <c r="G248" s="103"/>
      <c r="H248" s="103" t="str">
        <f t="shared" si="2"/>
        <v/>
      </c>
      <c r="I248" s="103"/>
      <c r="M248" s="103"/>
      <c r="N248" s="113"/>
      <c r="O248" s="107"/>
      <c r="P248" s="106" t="str">
        <f>IF(ISBLANK(N248), "", VLOOKUP(D248&amp;" "&amp;E248, 'Info Tipo de Cambio y REM'!$A$24:$B$35, 2, FALSE))
</f>
        <v/>
      </c>
      <c r="Q248" s="107" t="str">
        <f t="shared" si="3"/>
        <v/>
      </c>
    </row>
    <row r="249">
      <c r="A249" s="102"/>
      <c r="B249" s="43" t="str">
        <f t="shared" si="5"/>
        <v/>
      </c>
      <c r="C249" s="102" t="str">
        <f>IF(K249="", "", IFERROR(VLOOKUP(K249, Clasificaciones!D:E, 2, FALSE), "DATO NO CARGADO"))
</f>
        <v/>
      </c>
      <c r="D249" s="51"/>
      <c r="E249" s="102"/>
      <c r="F249" s="102"/>
      <c r="G249" s="103"/>
      <c r="H249" s="103" t="str">
        <f t="shared" si="2"/>
        <v/>
      </c>
      <c r="I249" s="103"/>
      <c r="M249" s="103"/>
      <c r="N249" s="113"/>
      <c r="O249" s="107"/>
      <c r="P249" s="106" t="str">
        <f>IF(ISBLANK(N249), "", VLOOKUP(D249&amp;" "&amp;E249, 'Info Tipo de Cambio y REM'!$A$24:$B$35, 2, FALSE))
</f>
        <v/>
      </c>
      <c r="Q249" s="107" t="str">
        <f t="shared" si="3"/>
        <v/>
      </c>
    </row>
    <row r="250">
      <c r="A250" s="102"/>
      <c r="B250" s="43" t="str">
        <f t="shared" si="5"/>
        <v/>
      </c>
      <c r="C250" s="102" t="str">
        <f>IF(K250="", "", IFERROR(VLOOKUP(K250, Clasificaciones!D:E, 2, FALSE), "DATO NO CARGADO"))
</f>
        <v/>
      </c>
      <c r="D250" s="51"/>
      <c r="E250" s="102"/>
      <c r="F250" s="102"/>
      <c r="G250" s="103"/>
      <c r="H250" s="103" t="str">
        <f t="shared" si="2"/>
        <v/>
      </c>
      <c r="I250" s="103"/>
      <c r="M250" s="103"/>
      <c r="N250" s="113"/>
      <c r="O250" s="107"/>
      <c r="P250" s="106" t="str">
        <f>IF(ISBLANK(N250), "", VLOOKUP(D250&amp;" "&amp;E250, 'Info Tipo de Cambio y REM'!$A$24:$B$35, 2, FALSE))
</f>
        <v/>
      </c>
      <c r="Q250" s="107" t="str">
        <f t="shared" si="3"/>
        <v/>
      </c>
    </row>
    <row r="251">
      <c r="A251" s="102"/>
      <c r="B251" s="43" t="str">
        <f t="shared" si="5"/>
        <v/>
      </c>
      <c r="C251" s="102" t="str">
        <f>IF(K251="", "", IFERROR(VLOOKUP(K251, Clasificaciones!D:E, 2, FALSE), "DATO NO CARGADO"))
</f>
        <v/>
      </c>
      <c r="D251" s="51"/>
      <c r="E251" s="102"/>
      <c r="F251" s="102"/>
      <c r="G251" s="103"/>
      <c r="H251" s="103" t="str">
        <f t="shared" si="2"/>
        <v/>
      </c>
      <c r="I251" s="103"/>
      <c r="M251" s="103"/>
      <c r="N251" s="113"/>
      <c r="O251" s="107"/>
      <c r="P251" s="106" t="str">
        <f>IF(ISBLANK(N251), "", VLOOKUP(D251&amp;" "&amp;E251, 'Info Tipo de Cambio y REM'!$A$24:$B$35, 2, FALSE))
</f>
        <v/>
      </c>
      <c r="Q251" s="107" t="str">
        <f t="shared" si="3"/>
        <v/>
      </c>
    </row>
    <row r="252">
      <c r="A252" s="102"/>
      <c r="B252" s="43" t="str">
        <f t="shared" si="5"/>
        <v/>
      </c>
      <c r="C252" s="102" t="str">
        <f>IF(K252="", "", IFERROR(VLOOKUP(K252, Clasificaciones!D:E, 2, FALSE), "DATO NO CARGADO"))
</f>
        <v/>
      </c>
      <c r="D252" s="51"/>
      <c r="E252" s="102"/>
      <c r="F252" s="102"/>
      <c r="G252" s="103"/>
      <c r="H252" s="103" t="str">
        <f t="shared" si="2"/>
        <v/>
      </c>
      <c r="I252" s="103"/>
      <c r="M252" s="103"/>
      <c r="N252" s="113"/>
      <c r="O252" s="107"/>
      <c r="P252" s="106" t="str">
        <f>IF(ISBLANK(N252), "", VLOOKUP(D252&amp;" "&amp;E252, 'Info Tipo de Cambio y REM'!$A$24:$B$35, 2, FALSE))
</f>
        <v/>
      </c>
      <c r="Q252" s="107" t="str">
        <f t="shared" si="3"/>
        <v/>
      </c>
    </row>
    <row r="253">
      <c r="A253" s="102"/>
      <c r="B253" s="43" t="str">
        <f t="shared" si="5"/>
        <v/>
      </c>
      <c r="C253" s="102" t="str">
        <f>IF(K253="", "", IFERROR(VLOOKUP(K253, Clasificaciones!D:E, 2, FALSE), "DATO NO CARGADO"))
</f>
        <v/>
      </c>
      <c r="D253" s="51"/>
      <c r="E253" s="102"/>
      <c r="F253" s="102"/>
      <c r="G253" s="103"/>
      <c r="H253" s="103" t="str">
        <f t="shared" si="2"/>
        <v/>
      </c>
      <c r="I253" s="103"/>
      <c r="M253" s="103"/>
      <c r="N253" s="113"/>
      <c r="O253" s="107"/>
      <c r="P253" s="106" t="str">
        <f>IF(ISBLANK(N253), "", VLOOKUP(D253&amp;" "&amp;E253, 'Info Tipo de Cambio y REM'!$A$24:$B$35, 2, FALSE))
</f>
        <v/>
      </c>
      <c r="Q253" s="107" t="str">
        <f t="shared" si="3"/>
        <v/>
      </c>
    </row>
    <row r="254">
      <c r="A254" s="102"/>
      <c r="B254" s="43" t="str">
        <f t="shared" si="5"/>
        <v/>
      </c>
      <c r="C254" s="102" t="str">
        <f>IF(K254="", "", IFERROR(VLOOKUP(K254, Clasificaciones!D:E, 2, FALSE), "DATO NO CARGADO"))
</f>
        <v/>
      </c>
      <c r="D254" s="51"/>
      <c r="E254" s="102"/>
      <c r="F254" s="102"/>
      <c r="G254" s="103"/>
      <c r="H254" s="103" t="str">
        <f t="shared" si="2"/>
        <v/>
      </c>
      <c r="I254" s="103"/>
      <c r="M254" s="103"/>
      <c r="N254" s="113"/>
      <c r="O254" s="107"/>
      <c r="P254" s="106" t="str">
        <f>IF(ISBLANK(N254), "", VLOOKUP(D254&amp;" "&amp;E254, 'Info Tipo de Cambio y REM'!$A$24:$B$35, 2, FALSE))
</f>
        <v/>
      </c>
      <c r="Q254" s="107" t="str">
        <f t="shared" si="3"/>
        <v/>
      </c>
    </row>
    <row r="255">
      <c r="A255" s="102"/>
      <c r="B255" s="43" t="str">
        <f t="shared" si="5"/>
        <v/>
      </c>
      <c r="C255" s="102" t="str">
        <f>IF(K255="", "", IFERROR(VLOOKUP(K255, Clasificaciones!D:E, 2, FALSE), "DATO NO CARGADO"))
</f>
        <v/>
      </c>
      <c r="D255" s="51"/>
      <c r="E255" s="102"/>
      <c r="F255" s="102"/>
      <c r="G255" s="103"/>
      <c r="H255" s="103" t="str">
        <f t="shared" si="2"/>
        <v/>
      </c>
      <c r="I255" s="103"/>
      <c r="M255" s="103"/>
      <c r="N255" s="113"/>
      <c r="O255" s="107"/>
      <c r="P255" s="106" t="str">
        <f>IF(ISBLANK(N255), "", VLOOKUP(D255&amp;" "&amp;E255, 'Info Tipo de Cambio y REM'!$A$24:$B$35, 2, FALSE))
</f>
        <v/>
      </c>
      <c r="Q255" s="107" t="str">
        <f t="shared" si="3"/>
        <v/>
      </c>
    </row>
    <row r="256">
      <c r="A256" s="102"/>
      <c r="B256" s="43" t="str">
        <f t="shared" si="5"/>
        <v/>
      </c>
      <c r="C256" s="102" t="str">
        <f>IF(K256="", "", IFERROR(VLOOKUP(K256, Clasificaciones!D:E, 2, FALSE), "DATO NO CARGADO"))
</f>
        <v/>
      </c>
      <c r="D256" s="51"/>
      <c r="E256" s="102"/>
      <c r="F256" s="102"/>
      <c r="G256" s="103"/>
      <c r="H256" s="103" t="str">
        <f t="shared" si="2"/>
        <v/>
      </c>
      <c r="I256" s="103"/>
      <c r="M256" s="103"/>
      <c r="N256" s="113"/>
      <c r="O256" s="107"/>
      <c r="P256" s="106" t="str">
        <f>IF(ISBLANK(N256), "", VLOOKUP(D256&amp;" "&amp;E256, 'Info Tipo de Cambio y REM'!$A$24:$B$35, 2, FALSE))
</f>
        <v/>
      </c>
      <c r="Q256" s="107" t="str">
        <f t="shared" si="3"/>
        <v/>
      </c>
    </row>
    <row r="257">
      <c r="A257" s="102"/>
      <c r="B257" s="43" t="str">
        <f t="shared" si="5"/>
        <v/>
      </c>
      <c r="C257" s="102" t="str">
        <f>IF(K257="", "", IFERROR(VLOOKUP(K257, Clasificaciones!D:E, 2, FALSE), "DATO NO CARGADO"))
</f>
        <v/>
      </c>
      <c r="D257" s="51"/>
      <c r="E257" s="102"/>
      <c r="F257" s="102"/>
      <c r="G257" s="103"/>
      <c r="H257" s="103" t="str">
        <f t="shared" si="2"/>
        <v/>
      </c>
      <c r="I257" s="103"/>
      <c r="M257" s="103"/>
      <c r="N257" s="113"/>
      <c r="O257" s="107"/>
      <c r="P257" s="106" t="str">
        <f>IF(ISBLANK(N257), "", VLOOKUP(D257&amp;" "&amp;E257, 'Info Tipo de Cambio y REM'!$A$24:$B$35, 2, FALSE))
</f>
        <v/>
      </c>
      <c r="Q257" s="107" t="str">
        <f t="shared" si="3"/>
        <v/>
      </c>
    </row>
    <row r="258">
      <c r="A258" s="102"/>
      <c r="B258" s="43" t="str">
        <f t="shared" si="5"/>
        <v/>
      </c>
      <c r="C258" s="102" t="str">
        <f>IF(K258="", "", IFERROR(VLOOKUP(K258, Clasificaciones!D:E, 2, FALSE), "DATO NO CARGADO"))
</f>
        <v/>
      </c>
      <c r="D258" s="51"/>
      <c r="E258" s="102"/>
      <c r="F258" s="102"/>
      <c r="G258" s="103"/>
      <c r="H258" s="103" t="str">
        <f t="shared" si="2"/>
        <v/>
      </c>
      <c r="I258" s="103"/>
      <c r="M258" s="103"/>
      <c r="N258" s="113"/>
      <c r="O258" s="107"/>
      <c r="P258" s="106" t="str">
        <f>IF(ISBLANK(N258), "", VLOOKUP(D258&amp;" "&amp;E258, 'Info Tipo de Cambio y REM'!$A$24:$B$35, 2, FALSE))
</f>
        <v/>
      </c>
      <c r="Q258" s="107" t="str">
        <f t="shared" si="3"/>
        <v/>
      </c>
    </row>
    <row r="259">
      <c r="A259" s="102"/>
      <c r="B259" s="43" t="str">
        <f t="shared" si="5"/>
        <v/>
      </c>
      <c r="C259" s="102" t="str">
        <f>IF(K259="", "", IFERROR(VLOOKUP(K259, Clasificaciones!D:E, 2, FALSE), "DATO NO CARGADO"))
</f>
        <v/>
      </c>
      <c r="D259" s="51"/>
      <c r="E259" s="102"/>
      <c r="F259" s="102"/>
      <c r="G259" s="103"/>
      <c r="H259" s="103" t="str">
        <f t="shared" si="2"/>
        <v/>
      </c>
      <c r="I259" s="103"/>
      <c r="M259" s="103"/>
      <c r="N259" s="113"/>
      <c r="O259" s="107"/>
      <c r="P259" s="106" t="str">
        <f>IF(ISBLANK(N259), "", VLOOKUP(D259&amp;" "&amp;E259, 'Info Tipo de Cambio y REM'!$A$24:$B$35, 2, FALSE))
</f>
        <v/>
      </c>
      <c r="Q259" s="107" t="str">
        <f t="shared" si="3"/>
        <v/>
      </c>
    </row>
    <row r="260">
      <c r="A260" s="102"/>
      <c r="B260" s="43" t="str">
        <f t="shared" si="5"/>
        <v/>
      </c>
      <c r="C260" s="102" t="str">
        <f>IF(K260="", "", IFERROR(VLOOKUP(K260, Clasificaciones!D:E, 2, FALSE), "DATO NO CARGADO"))
</f>
        <v/>
      </c>
      <c r="D260" s="51"/>
      <c r="E260" s="102"/>
      <c r="F260" s="102"/>
      <c r="G260" s="103"/>
      <c r="H260" s="103" t="str">
        <f t="shared" si="2"/>
        <v/>
      </c>
      <c r="I260" s="103"/>
      <c r="M260" s="103"/>
      <c r="N260" s="113"/>
      <c r="O260" s="107"/>
      <c r="P260" s="106" t="str">
        <f>IF(ISBLANK(N260), "", VLOOKUP(D260&amp;" "&amp;E260, 'Info Tipo de Cambio y REM'!$A$24:$B$35, 2, FALSE))
</f>
        <v/>
      </c>
      <c r="Q260" s="107" t="str">
        <f t="shared" si="3"/>
        <v/>
      </c>
    </row>
    <row r="261">
      <c r="A261" s="102"/>
      <c r="B261" s="43" t="str">
        <f t="shared" si="5"/>
        <v/>
      </c>
      <c r="C261" s="102" t="str">
        <f>IF(K261="", "", IFERROR(VLOOKUP(K261, Clasificaciones!D:E, 2, FALSE), "DATO NO CARGADO"))
</f>
        <v/>
      </c>
      <c r="D261" s="51"/>
      <c r="E261" s="102"/>
      <c r="F261" s="102"/>
      <c r="G261" s="103"/>
      <c r="H261" s="103" t="str">
        <f t="shared" si="2"/>
        <v/>
      </c>
      <c r="I261" s="103"/>
      <c r="M261" s="103"/>
      <c r="N261" s="113"/>
      <c r="O261" s="107"/>
      <c r="P261" s="106" t="str">
        <f>IF(ISBLANK(N261), "", VLOOKUP(D261&amp;" "&amp;E261, 'Info Tipo de Cambio y REM'!$A$24:$B$35, 2, FALSE))
</f>
        <v/>
      </c>
      <c r="Q261" s="107" t="str">
        <f t="shared" si="3"/>
        <v/>
      </c>
    </row>
    <row r="262">
      <c r="A262" s="102"/>
      <c r="B262" s="43" t="str">
        <f t="shared" si="5"/>
        <v/>
      </c>
      <c r="C262" s="102" t="str">
        <f>IF(K262="", "", IFERROR(VLOOKUP(K262, Clasificaciones!D:E, 2, FALSE), "DATO NO CARGADO"))
</f>
        <v/>
      </c>
      <c r="D262" s="51"/>
      <c r="E262" s="102"/>
      <c r="F262" s="102"/>
      <c r="G262" s="103"/>
      <c r="H262" s="103" t="str">
        <f t="shared" si="2"/>
        <v/>
      </c>
      <c r="I262" s="103"/>
      <c r="M262" s="103"/>
      <c r="N262" s="113"/>
      <c r="O262" s="107"/>
      <c r="P262" s="106" t="str">
        <f>IF(ISBLANK(N262), "", VLOOKUP(D262&amp;" "&amp;E262, 'Info Tipo de Cambio y REM'!$A$24:$B$35, 2, FALSE))
</f>
        <v/>
      </c>
      <c r="Q262" s="107" t="str">
        <f t="shared" si="3"/>
        <v/>
      </c>
    </row>
    <row r="263">
      <c r="A263" s="102"/>
      <c r="B263" s="43" t="str">
        <f t="shared" si="5"/>
        <v/>
      </c>
      <c r="C263" s="102" t="str">
        <f>IF(K263="", "", IFERROR(VLOOKUP(K263, Clasificaciones!D:E, 2, FALSE), "DATO NO CARGADO"))
</f>
        <v/>
      </c>
      <c r="D263" s="51"/>
      <c r="E263" s="102"/>
      <c r="F263" s="102"/>
      <c r="G263" s="103"/>
      <c r="H263" s="103" t="str">
        <f t="shared" si="2"/>
        <v/>
      </c>
      <c r="I263" s="103"/>
      <c r="M263" s="103"/>
      <c r="N263" s="113"/>
      <c r="O263" s="107"/>
      <c r="P263" s="106" t="str">
        <f>IF(ISBLANK(N263), "", VLOOKUP(D263&amp;" "&amp;E263, 'Info Tipo de Cambio y REM'!$A$24:$B$35, 2, FALSE))
</f>
        <v/>
      </c>
      <c r="Q263" s="107" t="str">
        <f t="shared" si="3"/>
        <v/>
      </c>
    </row>
    <row r="264">
      <c r="A264" s="102"/>
      <c r="B264" s="43" t="str">
        <f t="shared" si="5"/>
        <v/>
      </c>
      <c r="C264" s="102" t="str">
        <f>IF(K264="", "", IFERROR(VLOOKUP(K264, Clasificaciones!D:E, 2, FALSE), "DATO NO CARGADO"))
</f>
        <v/>
      </c>
      <c r="D264" s="51"/>
      <c r="E264" s="102"/>
      <c r="F264" s="102"/>
      <c r="G264" s="103"/>
      <c r="H264" s="103" t="str">
        <f t="shared" si="2"/>
        <v/>
      </c>
      <c r="I264" s="103"/>
      <c r="M264" s="103"/>
      <c r="N264" s="113"/>
      <c r="O264" s="107"/>
      <c r="P264" s="106" t="str">
        <f>IF(ISBLANK(N264), "", VLOOKUP(D264&amp;" "&amp;E264, 'Info Tipo de Cambio y REM'!$A$24:$B$35, 2, FALSE))
</f>
        <v/>
      </c>
      <c r="Q264" s="107" t="str">
        <f t="shared" si="3"/>
        <v/>
      </c>
    </row>
    <row r="265">
      <c r="A265" s="102"/>
      <c r="B265" s="43" t="str">
        <f t="shared" si="5"/>
        <v/>
      </c>
      <c r="C265" s="102" t="str">
        <f>IF(K265="", "", IFERROR(VLOOKUP(K265, Clasificaciones!D:E, 2, FALSE), "DATO NO CARGADO"))
</f>
        <v/>
      </c>
      <c r="D265" s="51"/>
      <c r="E265" s="102"/>
      <c r="F265" s="102"/>
      <c r="G265" s="103"/>
      <c r="H265" s="103" t="str">
        <f t="shared" si="2"/>
        <v/>
      </c>
      <c r="I265" s="103"/>
      <c r="M265" s="103"/>
      <c r="N265" s="113"/>
      <c r="O265" s="107"/>
      <c r="P265" s="106" t="str">
        <f>IF(ISBLANK(N265), "", VLOOKUP(D265&amp;" "&amp;E265, 'Info Tipo de Cambio y REM'!$A$24:$B$35, 2, FALSE))
</f>
        <v/>
      </c>
      <c r="Q265" s="107" t="str">
        <f t="shared" si="3"/>
        <v/>
      </c>
    </row>
    <row r="266">
      <c r="A266" s="102"/>
      <c r="B266" s="43" t="str">
        <f t="shared" si="5"/>
        <v/>
      </c>
      <c r="C266" s="102" t="str">
        <f>IF(K266="", "", IFERROR(VLOOKUP(K266, Clasificaciones!D:E, 2, FALSE), "DATO NO CARGADO"))
</f>
        <v/>
      </c>
      <c r="D266" s="51"/>
      <c r="E266" s="102"/>
      <c r="F266" s="102"/>
      <c r="G266" s="103"/>
      <c r="H266" s="103" t="str">
        <f t="shared" si="2"/>
        <v/>
      </c>
      <c r="I266" s="103"/>
      <c r="M266" s="103"/>
      <c r="N266" s="113"/>
      <c r="O266" s="107"/>
      <c r="P266" s="106" t="str">
        <f>IF(ISBLANK(N266), "", VLOOKUP(D266&amp;" "&amp;E266, 'Info Tipo de Cambio y REM'!$A$24:$B$35, 2, FALSE))
</f>
        <v/>
      </c>
      <c r="Q266" s="107" t="str">
        <f t="shared" si="3"/>
        <v/>
      </c>
    </row>
    <row r="267">
      <c r="A267" s="102"/>
      <c r="B267" s="43" t="str">
        <f t="shared" si="5"/>
        <v/>
      </c>
      <c r="C267" s="102" t="str">
        <f>IF(K267="", "", IFERROR(VLOOKUP(K267, Clasificaciones!D:E, 2, FALSE), "DATO NO CARGADO"))
</f>
        <v/>
      </c>
      <c r="D267" s="51"/>
      <c r="E267" s="102"/>
      <c r="F267" s="102"/>
      <c r="G267" s="103"/>
      <c r="H267" s="103" t="str">
        <f t="shared" si="2"/>
        <v/>
      </c>
      <c r="I267" s="103"/>
      <c r="M267" s="103"/>
      <c r="N267" s="113"/>
      <c r="O267" s="107"/>
      <c r="P267" s="106" t="str">
        <f>IF(ISBLANK(N267), "", VLOOKUP(D267&amp;" "&amp;E267, 'Info Tipo de Cambio y REM'!$A$24:$B$35, 2, FALSE))
</f>
        <v/>
      </c>
      <c r="Q267" s="107" t="str">
        <f t="shared" si="3"/>
        <v/>
      </c>
    </row>
    <row r="268">
      <c r="A268" s="102"/>
      <c r="B268" s="43" t="str">
        <f t="shared" si="5"/>
        <v/>
      </c>
      <c r="C268" s="102" t="str">
        <f>IF(K268="", "", IFERROR(VLOOKUP(K268, Clasificaciones!D:E, 2, FALSE), "DATO NO CARGADO"))
</f>
        <v/>
      </c>
      <c r="D268" s="51"/>
      <c r="E268" s="102"/>
      <c r="F268" s="102"/>
      <c r="G268" s="103"/>
      <c r="H268" s="103" t="str">
        <f t="shared" si="2"/>
        <v/>
      </c>
      <c r="I268" s="103"/>
      <c r="M268" s="103"/>
      <c r="N268" s="113"/>
      <c r="O268" s="107"/>
      <c r="P268" s="106" t="str">
        <f>IF(ISBLANK(N268), "", VLOOKUP(D268&amp;" "&amp;E268, 'Info Tipo de Cambio y REM'!$A$24:$B$35, 2, FALSE))
</f>
        <v/>
      </c>
      <c r="Q268" s="107" t="str">
        <f t="shared" si="3"/>
        <v/>
      </c>
    </row>
    <row r="269">
      <c r="A269" s="102"/>
      <c r="B269" s="43" t="str">
        <f t="shared" si="5"/>
        <v/>
      </c>
      <c r="C269" s="102" t="str">
        <f>IF(K269="", "", IFERROR(VLOOKUP(K269, Clasificaciones!D:E, 2, FALSE), "DATO NO CARGADO"))
</f>
        <v/>
      </c>
      <c r="D269" s="51"/>
      <c r="E269" s="102"/>
      <c r="F269" s="102"/>
      <c r="G269" s="103"/>
      <c r="H269" s="103" t="str">
        <f t="shared" si="2"/>
        <v/>
      </c>
      <c r="I269" s="103"/>
      <c r="M269" s="103"/>
      <c r="N269" s="113"/>
      <c r="O269" s="107"/>
      <c r="P269" s="106" t="str">
        <f>IF(ISBLANK(N269), "", VLOOKUP(D269&amp;" "&amp;E269, 'Info Tipo de Cambio y REM'!$A$24:$B$35, 2, FALSE))
</f>
        <v/>
      </c>
      <c r="Q269" s="107" t="str">
        <f t="shared" si="3"/>
        <v/>
      </c>
    </row>
    <row r="270">
      <c r="A270" s="102"/>
      <c r="B270" s="43" t="str">
        <f t="shared" si="5"/>
        <v/>
      </c>
      <c r="C270" s="102" t="str">
        <f>IF(K270="", "", IFERROR(VLOOKUP(K270, Clasificaciones!D:E, 2, FALSE), "DATO NO CARGADO"))
</f>
        <v/>
      </c>
      <c r="D270" s="51"/>
      <c r="E270" s="102"/>
      <c r="F270" s="102"/>
      <c r="G270" s="103"/>
      <c r="H270" s="103" t="str">
        <f t="shared" si="2"/>
        <v/>
      </c>
      <c r="I270" s="103"/>
      <c r="M270" s="103"/>
      <c r="N270" s="113"/>
      <c r="O270" s="107"/>
      <c r="P270" s="106" t="str">
        <f>IF(ISBLANK(N270), "", VLOOKUP(D270&amp;" "&amp;E270, 'Info Tipo de Cambio y REM'!$A$24:$B$35, 2, FALSE))
</f>
        <v/>
      </c>
      <c r="Q270" s="107" t="str">
        <f t="shared" si="3"/>
        <v/>
      </c>
    </row>
    <row r="271">
      <c r="A271" s="102"/>
      <c r="B271" s="43" t="str">
        <f t="shared" si="5"/>
        <v/>
      </c>
      <c r="C271" s="102" t="str">
        <f>IF(K271="", "", IFERROR(VLOOKUP(K271, Clasificaciones!D:E, 2, FALSE), "DATO NO CARGADO"))
</f>
        <v/>
      </c>
      <c r="D271" s="51"/>
      <c r="E271" s="102"/>
      <c r="F271" s="102"/>
      <c r="G271" s="103"/>
      <c r="H271" s="103" t="str">
        <f t="shared" si="2"/>
        <v/>
      </c>
      <c r="I271" s="103"/>
      <c r="M271" s="103"/>
      <c r="N271" s="113"/>
      <c r="O271" s="107"/>
      <c r="P271" s="106" t="str">
        <f>IF(ISBLANK(N271), "", VLOOKUP(D271&amp;" "&amp;E271, 'Info Tipo de Cambio y REM'!$A$24:$B$35, 2, FALSE))
</f>
        <v/>
      </c>
      <c r="Q271" s="107" t="str">
        <f t="shared" si="3"/>
        <v/>
      </c>
    </row>
    <row r="272">
      <c r="A272" s="102"/>
      <c r="B272" s="43" t="str">
        <f t="shared" si="5"/>
        <v/>
      </c>
      <c r="C272" s="102" t="str">
        <f>IF(K272="", "", IFERROR(VLOOKUP(K272, Clasificaciones!D:E, 2, FALSE), "DATO NO CARGADO"))
</f>
        <v/>
      </c>
      <c r="D272" s="51"/>
      <c r="E272" s="102"/>
      <c r="F272" s="102"/>
      <c r="G272" s="103"/>
      <c r="H272" s="103" t="str">
        <f t="shared" si="2"/>
        <v/>
      </c>
      <c r="I272" s="103"/>
      <c r="M272" s="103"/>
      <c r="N272" s="113"/>
      <c r="O272" s="107"/>
      <c r="P272" s="106" t="str">
        <f>IF(ISBLANK(N272), "", VLOOKUP(D272&amp;" "&amp;E272, 'Info Tipo de Cambio y REM'!$A$24:$B$35, 2, FALSE))
</f>
        <v/>
      </c>
      <c r="Q272" s="107" t="str">
        <f t="shared" si="3"/>
        <v/>
      </c>
    </row>
    <row r="273">
      <c r="A273" s="102"/>
      <c r="B273" s="43" t="str">
        <f t="shared" si="5"/>
        <v/>
      </c>
      <c r="C273" s="102" t="str">
        <f>IF(K273="", "", IFERROR(VLOOKUP(K273, Clasificaciones!D:E, 2, FALSE), "DATO NO CARGADO"))
</f>
        <v/>
      </c>
      <c r="D273" s="51"/>
      <c r="E273" s="102"/>
      <c r="F273" s="102"/>
      <c r="G273" s="103"/>
      <c r="H273" s="103" t="str">
        <f t="shared" si="2"/>
        <v/>
      </c>
      <c r="I273" s="103"/>
      <c r="M273" s="103"/>
      <c r="N273" s="113"/>
      <c r="O273" s="107"/>
      <c r="P273" s="106" t="str">
        <f>IF(ISBLANK(N273), "", VLOOKUP(D273&amp;" "&amp;E273, 'Info Tipo de Cambio y REM'!$A$24:$B$35, 2, FALSE))
</f>
        <v/>
      </c>
      <c r="Q273" s="107" t="str">
        <f t="shared" si="3"/>
        <v/>
      </c>
    </row>
    <row r="274">
      <c r="A274" s="102"/>
      <c r="B274" s="43" t="str">
        <f t="shared" si="5"/>
        <v/>
      </c>
      <c r="C274" s="102" t="str">
        <f>IF(K274="", "", IFERROR(VLOOKUP(K274, Clasificaciones!D:E, 2, FALSE), "DATO NO CARGADO"))
</f>
        <v/>
      </c>
      <c r="D274" s="51"/>
      <c r="E274" s="102"/>
      <c r="F274" s="102"/>
      <c r="G274" s="103"/>
      <c r="H274" s="103" t="str">
        <f t="shared" si="2"/>
        <v/>
      </c>
      <c r="I274" s="103"/>
      <c r="M274" s="103"/>
      <c r="N274" s="113"/>
      <c r="O274" s="107"/>
      <c r="P274" s="106" t="str">
        <f>IF(ISBLANK(N274), "", VLOOKUP(D274&amp;" "&amp;E274, 'Info Tipo de Cambio y REM'!$A$24:$B$35, 2, FALSE))
</f>
        <v/>
      </c>
      <c r="Q274" s="107" t="str">
        <f t="shared" si="3"/>
        <v/>
      </c>
    </row>
    <row r="275">
      <c r="A275" s="102"/>
      <c r="B275" s="43" t="str">
        <f t="shared" si="5"/>
        <v/>
      </c>
      <c r="C275" s="102" t="str">
        <f>IF(K275="", "", IFERROR(VLOOKUP(K275, Clasificaciones!D:E, 2, FALSE), "DATO NO CARGADO"))
</f>
        <v/>
      </c>
      <c r="D275" s="51"/>
      <c r="E275" s="102"/>
      <c r="F275" s="102"/>
      <c r="G275" s="103"/>
      <c r="H275" s="103" t="str">
        <f t="shared" si="2"/>
        <v/>
      </c>
      <c r="I275" s="103"/>
      <c r="M275" s="103"/>
      <c r="N275" s="113"/>
      <c r="O275" s="107"/>
      <c r="P275" s="106" t="str">
        <f>IF(ISBLANK(N275), "", VLOOKUP(D275&amp;" "&amp;E275, 'Info Tipo de Cambio y REM'!$A$24:$B$35, 2, FALSE))
</f>
        <v/>
      </c>
      <c r="Q275" s="107" t="str">
        <f t="shared" si="3"/>
        <v/>
      </c>
    </row>
    <row r="276">
      <c r="A276" s="102"/>
      <c r="B276" s="43" t="str">
        <f t="shared" si="5"/>
        <v/>
      </c>
      <c r="C276" s="102" t="str">
        <f>IF(K276="", "", IFERROR(VLOOKUP(K276, Clasificaciones!D:E, 2, FALSE), "DATO NO CARGADO"))
</f>
        <v/>
      </c>
      <c r="D276" s="51"/>
      <c r="E276" s="102"/>
      <c r="F276" s="102"/>
      <c r="G276" s="103"/>
      <c r="H276" s="103" t="str">
        <f t="shared" si="2"/>
        <v/>
      </c>
      <c r="I276" s="103"/>
      <c r="M276" s="103"/>
      <c r="N276" s="113"/>
      <c r="O276" s="107"/>
      <c r="P276" s="106" t="str">
        <f>IF(ISBLANK(N276), "", VLOOKUP(D276&amp;" "&amp;E276, 'Info Tipo de Cambio y REM'!$A$24:$B$35, 2, FALSE))
</f>
        <v/>
      </c>
      <c r="Q276" s="107" t="str">
        <f t="shared" si="3"/>
        <v/>
      </c>
    </row>
    <row r="277">
      <c r="A277" s="102"/>
      <c r="B277" s="43" t="str">
        <f t="shared" si="5"/>
        <v/>
      </c>
      <c r="C277" s="102" t="str">
        <f>IF(K277="", "", IFERROR(VLOOKUP(K277, Clasificaciones!D:E, 2, FALSE), "DATO NO CARGADO"))
</f>
        <v/>
      </c>
      <c r="D277" s="51"/>
      <c r="E277" s="102"/>
      <c r="F277" s="102"/>
      <c r="G277" s="103"/>
      <c r="H277" s="103" t="str">
        <f t="shared" si="2"/>
        <v/>
      </c>
      <c r="I277" s="103"/>
      <c r="M277" s="103"/>
      <c r="N277" s="113"/>
      <c r="O277" s="107"/>
      <c r="P277" s="106" t="str">
        <f>IF(ISBLANK(N277), "", VLOOKUP(D277&amp;" "&amp;E277, 'Info Tipo de Cambio y REM'!$A$24:$B$35, 2, FALSE))
</f>
        <v/>
      </c>
      <c r="Q277" s="107" t="str">
        <f t="shared" si="3"/>
        <v/>
      </c>
    </row>
    <row r="278">
      <c r="A278" s="102"/>
      <c r="B278" s="43" t="str">
        <f t="shared" si="5"/>
        <v/>
      </c>
      <c r="C278" s="102" t="str">
        <f>IF(K278="", "", IFERROR(VLOOKUP(K278, Clasificaciones!D:E, 2, FALSE), "DATO NO CARGADO"))
</f>
        <v/>
      </c>
      <c r="D278" s="51"/>
      <c r="E278" s="102"/>
      <c r="F278" s="102"/>
      <c r="G278" s="103"/>
      <c r="H278" s="103" t="str">
        <f t="shared" si="2"/>
        <v/>
      </c>
      <c r="I278" s="103"/>
      <c r="M278" s="103"/>
      <c r="N278" s="113"/>
      <c r="O278" s="107"/>
      <c r="P278" s="106" t="str">
        <f>IF(ISBLANK(N278), "", VLOOKUP(D278&amp;" "&amp;E278, 'Info Tipo de Cambio y REM'!$A$24:$B$35, 2, FALSE))
</f>
        <v/>
      </c>
      <c r="Q278" s="107" t="str">
        <f t="shared" si="3"/>
        <v/>
      </c>
    </row>
    <row r="279">
      <c r="A279" s="102"/>
      <c r="B279" s="43" t="str">
        <f t="shared" si="5"/>
        <v/>
      </c>
      <c r="C279" s="102" t="str">
        <f>IF(K279="", "", IFERROR(VLOOKUP(K279, Clasificaciones!D:E, 2, FALSE), "DATO NO CARGADO"))
</f>
        <v/>
      </c>
      <c r="D279" s="51"/>
      <c r="E279" s="102"/>
      <c r="F279" s="102"/>
      <c r="G279" s="103"/>
      <c r="H279" s="103" t="str">
        <f t="shared" si="2"/>
        <v/>
      </c>
      <c r="I279" s="103"/>
      <c r="M279" s="103"/>
      <c r="N279" s="113"/>
      <c r="O279" s="107"/>
      <c r="P279" s="106" t="str">
        <f>IF(ISBLANK(N279), "", VLOOKUP(D279&amp;" "&amp;E279, 'Info Tipo de Cambio y REM'!$A$24:$B$35, 2, FALSE))
</f>
        <v/>
      </c>
      <c r="Q279" s="107" t="str">
        <f t="shared" si="3"/>
        <v/>
      </c>
    </row>
    <row r="280">
      <c r="A280" s="102"/>
      <c r="B280" s="43" t="str">
        <f t="shared" si="5"/>
        <v/>
      </c>
      <c r="C280" s="102" t="str">
        <f>IF(K280="", "", IFERROR(VLOOKUP(K280, Clasificaciones!D:E, 2, FALSE), "DATO NO CARGADO"))
</f>
        <v/>
      </c>
      <c r="D280" s="51"/>
      <c r="E280" s="102"/>
      <c r="F280" s="102"/>
      <c r="G280" s="103"/>
      <c r="H280" s="103" t="str">
        <f t="shared" si="2"/>
        <v/>
      </c>
      <c r="I280" s="103"/>
      <c r="M280" s="103"/>
      <c r="N280" s="113"/>
      <c r="O280" s="107"/>
      <c r="P280" s="106" t="str">
        <f>IF(ISBLANK(N280), "", VLOOKUP(D280&amp;" "&amp;E280, 'Info Tipo de Cambio y REM'!$A$24:$B$35, 2, FALSE))
</f>
        <v/>
      </c>
      <c r="Q280" s="107" t="str">
        <f t="shared" si="3"/>
        <v/>
      </c>
    </row>
    <row r="281">
      <c r="A281" s="102"/>
      <c r="B281" s="43" t="str">
        <f t="shared" si="5"/>
        <v/>
      </c>
      <c r="C281" s="102" t="str">
        <f>IF(K281="", "", IFERROR(VLOOKUP(K281, Clasificaciones!D:E, 2, FALSE), "DATO NO CARGADO"))
</f>
        <v/>
      </c>
      <c r="D281" s="51"/>
      <c r="E281" s="102"/>
      <c r="F281" s="102"/>
      <c r="G281" s="103"/>
      <c r="H281" s="103" t="str">
        <f t="shared" si="2"/>
        <v/>
      </c>
      <c r="I281" s="103"/>
      <c r="M281" s="103"/>
      <c r="N281" s="113"/>
      <c r="O281" s="107"/>
      <c r="P281" s="106" t="str">
        <f>IF(ISBLANK(N281), "", VLOOKUP(D281&amp;" "&amp;E281, 'Info Tipo de Cambio y REM'!$A$24:$B$35, 2, FALSE))
</f>
        <v/>
      </c>
      <c r="Q281" s="107" t="str">
        <f t="shared" si="3"/>
        <v/>
      </c>
    </row>
    <row r="282">
      <c r="A282" s="102"/>
      <c r="B282" s="43" t="str">
        <f t="shared" si="5"/>
        <v/>
      </c>
      <c r="C282" s="102" t="str">
        <f>IF(K282="", "", IFERROR(VLOOKUP(K282, Clasificaciones!D:E, 2, FALSE), "DATO NO CARGADO"))
</f>
        <v/>
      </c>
      <c r="D282" s="51"/>
      <c r="E282" s="102"/>
      <c r="F282" s="102"/>
      <c r="G282" s="103"/>
      <c r="H282" s="103" t="str">
        <f t="shared" si="2"/>
        <v/>
      </c>
      <c r="I282" s="103"/>
      <c r="M282" s="103"/>
      <c r="N282" s="113"/>
      <c r="O282" s="107"/>
      <c r="P282" s="106" t="str">
        <f>IF(ISBLANK(N282), "", VLOOKUP(D282&amp;" "&amp;E282, 'Info Tipo de Cambio y REM'!$A$24:$B$35, 2, FALSE))
</f>
        <v/>
      </c>
      <c r="Q282" s="107" t="str">
        <f t="shared" si="3"/>
        <v/>
      </c>
    </row>
    <row r="283">
      <c r="A283" s="102"/>
      <c r="B283" s="43" t="str">
        <f t="shared" si="5"/>
        <v/>
      </c>
      <c r="C283" s="102" t="str">
        <f>IF(K283="", "", IFERROR(VLOOKUP(K283, Clasificaciones!D:E, 2, FALSE), "DATO NO CARGADO"))
</f>
        <v/>
      </c>
      <c r="D283" s="51"/>
      <c r="E283" s="102"/>
      <c r="F283" s="102"/>
      <c r="G283" s="103"/>
      <c r="H283" s="103" t="str">
        <f t="shared" si="2"/>
        <v/>
      </c>
      <c r="I283" s="103"/>
      <c r="M283" s="103"/>
      <c r="N283" s="113"/>
      <c r="O283" s="107"/>
      <c r="P283" s="106" t="str">
        <f>IF(ISBLANK(N283), "", VLOOKUP(D283&amp;" "&amp;E283, 'Info Tipo de Cambio y REM'!$A$24:$B$35, 2, FALSE))
</f>
        <v/>
      </c>
      <c r="Q283" s="107" t="str">
        <f t="shared" si="3"/>
        <v/>
      </c>
    </row>
    <row r="284">
      <c r="A284" s="102"/>
      <c r="B284" s="43" t="str">
        <f t="shared" si="5"/>
        <v/>
      </c>
      <c r="C284" s="102" t="str">
        <f>IF(K284="", "", IFERROR(VLOOKUP(K284, Clasificaciones!D:E, 2, FALSE), "DATO NO CARGADO"))
</f>
        <v/>
      </c>
      <c r="D284" s="51"/>
      <c r="E284" s="102"/>
      <c r="F284" s="102"/>
      <c r="G284" s="103"/>
      <c r="H284" s="103" t="str">
        <f t="shared" si="2"/>
        <v/>
      </c>
      <c r="I284" s="103"/>
      <c r="M284" s="103"/>
      <c r="N284" s="113"/>
      <c r="O284" s="107"/>
      <c r="P284" s="106" t="str">
        <f>IF(ISBLANK(N284), "", VLOOKUP(D284&amp;" "&amp;E284, 'Info Tipo de Cambio y REM'!$A$24:$B$35, 2, FALSE))
</f>
        <v/>
      </c>
      <c r="Q284" s="107" t="str">
        <f t="shared" si="3"/>
        <v/>
      </c>
    </row>
    <row r="285">
      <c r="A285" s="102"/>
      <c r="B285" s="43" t="str">
        <f t="shared" si="5"/>
        <v/>
      </c>
      <c r="C285" s="102" t="str">
        <f>IF(K285="", "", IFERROR(VLOOKUP(K285, Clasificaciones!D:E, 2, FALSE), "DATO NO CARGADO"))
</f>
        <v/>
      </c>
      <c r="D285" s="51"/>
      <c r="E285" s="102"/>
      <c r="F285" s="102"/>
      <c r="G285" s="103"/>
      <c r="H285" s="103" t="str">
        <f t="shared" si="2"/>
        <v/>
      </c>
      <c r="I285" s="103"/>
      <c r="M285" s="103"/>
      <c r="N285" s="113"/>
      <c r="O285" s="107"/>
      <c r="P285" s="106" t="str">
        <f>IF(ISBLANK(N285), "", VLOOKUP(D285&amp;" "&amp;E285, 'Info Tipo de Cambio y REM'!$A$24:$B$35, 2, FALSE))
</f>
        <v/>
      </c>
      <c r="Q285" s="107" t="str">
        <f t="shared" si="3"/>
        <v/>
      </c>
    </row>
    <row r="286">
      <c r="A286" s="102"/>
      <c r="B286" s="43" t="str">
        <f t="shared" si="5"/>
        <v/>
      </c>
      <c r="C286" s="102" t="str">
        <f>IF(K286="", "", IFERROR(VLOOKUP(K286, Clasificaciones!D:E, 2, FALSE), "DATO NO CARGADO"))
</f>
        <v/>
      </c>
      <c r="D286" s="51"/>
      <c r="E286" s="102"/>
      <c r="F286" s="102"/>
      <c r="G286" s="103"/>
      <c r="H286" s="103" t="str">
        <f t="shared" si="2"/>
        <v/>
      </c>
      <c r="I286" s="103"/>
      <c r="M286" s="103"/>
      <c r="N286" s="113"/>
      <c r="O286" s="107"/>
      <c r="P286" s="106" t="str">
        <f>IF(ISBLANK(N286), "", VLOOKUP(D286&amp;" "&amp;E286, 'Info Tipo de Cambio y REM'!$A$24:$B$35, 2, FALSE))
</f>
        <v/>
      </c>
      <c r="Q286" s="107" t="str">
        <f t="shared" si="3"/>
        <v/>
      </c>
    </row>
    <row r="287">
      <c r="A287" s="102"/>
      <c r="B287" s="43" t="str">
        <f t="shared" si="5"/>
        <v/>
      </c>
      <c r="C287" s="102" t="str">
        <f>IF(K287="", "", IFERROR(VLOOKUP(K287, Clasificaciones!D:E, 2, FALSE), "DATO NO CARGADO"))
</f>
        <v/>
      </c>
      <c r="D287" s="51"/>
      <c r="E287" s="102"/>
      <c r="F287" s="102"/>
      <c r="G287" s="103"/>
      <c r="H287" s="103" t="str">
        <f t="shared" si="2"/>
        <v/>
      </c>
      <c r="I287" s="103"/>
      <c r="M287" s="103"/>
      <c r="N287" s="113"/>
      <c r="O287" s="107"/>
      <c r="P287" s="106" t="str">
        <f>IF(ISBLANK(N287), "", VLOOKUP(D287&amp;" "&amp;E287, 'Info Tipo de Cambio y REM'!$A$24:$B$35, 2, FALSE))
</f>
        <v/>
      </c>
      <c r="Q287" s="107" t="str">
        <f t="shared" si="3"/>
        <v/>
      </c>
    </row>
    <row r="288">
      <c r="A288" s="102"/>
      <c r="B288" s="43" t="str">
        <f t="shared" si="5"/>
        <v/>
      </c>
      <c r="C288" s="102" t="str">
        <f>IF(K288="", "", IFERROR(VLOOKUP(K288, Clasificaciones!D:E, 2, FALSE), "DATO NO CARGADO"))
</f>
        <v/>
      </c>
      <c r="D288" s="51"/>
      <c r="E288" s="102"/>
      <c r="F288" s="102"/>
      <c r="G288" s="103"/>
      <c r="H288" s="103" t="str">
        <f t="shared" si="2"/>
        <v/>
      </c>
      <c r="I288" s="103"/>
      <c r="M288" s="103"/>
      <c r="N288" s="113"/>
      <c r="O288" s="107"/>
      <c r="P288" s="106" t="str">
        <f>IF(ISBLANK(N288), "", VLOOKUP(D288&amp;" "&amp;E288, 'Info Tipo de Cambio y REM'!$A$24:$B$35, 2, FALSE))
</f>
        <v/>
      </c>
      <c r="Q288" s="107" t="str">
        <f t="shared" si="3"/>
        <v/>
      </c>
    </row>
    <row r="289">
      <c r="A289" s="102"/>
      <c r="B289" s="43" t="str">
        <f t="shared" si="5"/>
        <v/>
      </c>
      <c r="C289" s="102" t="str">
        <f>IF(K289="", "", IFERROR(VLOOKUP(K289, Clasificaciones!D:E, 2, FALSE), "DATO NO CARGADO"))
</f>
        <v/>
      </c>
      <c r="D289" s="51"/>
      <c r="E289" s="102"/>
      <c r="F289" s="102"/>
      <c r="G289" s="103"/>
      <c r="H289" s="103" t="str">
        <f t="shared" si="2"/>
        <v/>
      </c>
      <c r="I289" s="103"/>
      <c r="M289" s="103"/>
      <c r="N289" s="113"/>
      <c r="O289" s="107"/>
      <c r="P289" s="106" t="str">
        <f>IF(ISBLANK(N289), "", VLOOKUP(D289&amp;" "&amp;E289, 'Info Tipo de Cambio y REM'!$A$24:$B$35, 2, FALSE))
</f>
        <v/>
      </c>
      <c r="Q289" s="107" t="str">
        <f t="shared" si="3"/>
        <v/>
      </c>
    </row>
    <row r="290">
      <c r="A290" s="102"/>
      <c r="B290" s="43" t="str">
        <f t="shared" si="5"/>
        <v/>
      </c>
      <c r="C290" s="102" t="str">
        <f>IF(K290="", "", IFERROR(VLOOKUP(K290, Clasificaciones!D:E, 2, FALSE), "DATO NO CARGADO"))
</f>
        <v/>
      </c>
      <c r="D290" s="51"/>
      <c r="E290" s="102"/>
      <c r="F290" s="102"/>
      <c r="G290" s="103"/>
      <c r="H290" s="103" t="str">
        <f t="shared" si="2"/>
        <v/>
      </c>
      <c r="I290" s="103"/>
      <c r="M290" s="103"/>
      <c r="N290" s="113"/>
      <c r="O290" s="107"/>
      <c r="P290" s="106" t="str">
        <f>IF(ISBLANK(N290), "", VLOOKUP(D290&amp;" "&amp;E290, 'Info Tipo de Cambio y REM'!$A$24:$B$35, 2, FALSE))
</f>
        <v/>
      </c>
      <c r="Q290" s="107" t="str">
        <f t="shared" si="3"/>
        <v/>
      </c>
    </row>
    <row r="291">
      <c r="A291" s="102"/>
      <c r="B291" s="43" t="str">
        <f t="shared" si="5"/>
        <v/>
      </c>
      <c r="C291" s="102" t="str">
        <f>IF(K291="", "", IFERROR(VLOOKUP(K291, Clasificaciones!D:E, 2, FALSE), "DATO NO CARGADO"))
</f>
        <v/>
      </c>
      <c r="D291" s="51"/>
      <c r="E291" s="102"/>
      <c r="F291" s="102"/>
      <c r="G291" s="103"/>
      <c r="H291" s="103" t="str">
        <f t="shared" si="2"/>
        <v/>
      </c>
      <c r="I291" s="103"/>
      <c r="M291" s="103"/>
      <c r="N291" s="113"/>
      <c r="O291" s="107"/>
      <c r="P291" s="106" t="str">
        <f>IF(ISBLANK(N291), "", VLOOKUP(D291&amp;" "&amp;E291, 'Info Tipo de Cambio y REM'!$A$24:$B$35, 2, FALSE))
</f>
        <v/>
      </c>
      <c r="Q291" s="107" t="str">
        <f t="shared" si="3"/>
        <v/>
      </c>
    </row>
    <row r="292">
      <c r="A292" s="102"/>
      <c r="B292" s="43" t="str">
        <f t="shared" si="5"/>
        <v/>
      </c>
      <c r="C292" s="102" t="str">
        <f>IF(K292="", "", IFERROR(VLOOKUP(K292, Clasificaciones!D:E, 2, FALSE), "DATO NO CARGADO"))
</f>
        <v/>
      </c>
      <c r="D292" s="51"/>
      <c r="E292" s="102"/>
      <c r="F292" s="102"/>
      <c r="G292" s="103"/>
      <c r="H292" s="103" t="str">
        <f t="shared" si="2"/>
        <v/>
      </c>
      <c r="I292" s="103"/>
      <c r="M292" s="103"/>
      <c r="N292" s="113"/>
      <c r="O292" s="107"/>
      <c r="P292" s="106" t="str">
        <f>IF(ISBLANK(N292), "", VLOOKUP(D292&amp;" "&amp;E292, 'Info Tipo de Cambio y REM'!$A$24:$B$35, 2, FALSE))
</f>
        <v/>
      </c>
      <c r="Q292" s="107" t="str">
        <f t="shared" si="3"/>
        <v/>
      </c>
    </row>
    <row r="293">
      <c r="A293" s="102"/>
      <c r="B293" s="43" t="str">
        <f t="shared" si="5"/>
        <v/>
      </c>
      <c r="C293" s="102" t="str">
        <f>IF(K293="", "", IFERROR(VLOOKUP(K293, Clasificaciones!D:E, 2, FALSE), "DATO NO CARGADO"))
</f>
        <v/>
      </c>
      <c r="D293" s="51"/>
      <c r="E293" s="102"/>
      <c r="F293" s="102"/>
      <c r="G293" s="103"/>
      <c r="H293" s="103" t="str">
        <f t="shared" si="2"/>
        <v/>
      </c>
      <c r="I293" s="103"/>
      <c r="M293" s="103"/>
      <c r="N293" s="113"/>
      <c r="O293" s="107"/>
      <c r="P293" s="106" t="str">
        <f>IF(ISBLANK(N293), "", VLOOKUP(D293&amp;" "&amp;E293, 'Info Tipo de Cambio y REM'!$A$24:$B$35, 2, FALSE))
</f>
        <v/>
      </c>
      <c r="Q293" s="107" t="str">
        <f t="shared" si="3"/>
        <v/>
      </c>
    </row>
    <row r="294">
      <c r="A294" s="102"/>
      <c r="B294" s="43" t="str">
        <f t="shared" si="5"/>
        <v/>
      </c>
      <c r="C294" s="102" t="str">
        <f>IF(K294="", "", IFERROR(VLOOKUP(K294, Clasificaciones!D:E, 2, FALSE), "DATO NO CARGADO"))
</f>
        <v/>
      </c>
      <c r="D294" s="51"/>
      <c r="E294" s="102"/>
      <c r="F294" s="102"/>
      <c r="G294" s="103"/>
      <c r="H294" s="103" t="str">
        <f t="shared" si="2"/>
        <v/>
      </c>
      <c r="I294" s="103"/>
      <c r="M294" s="103"/>
      <c r="N294" s="113"/>
      <c r="O294" s="107"/>
      <c r="P294" s="106" t="str">
        <f>IF(ISBLANK(N294), "", VLOOKUP(D294&amp;" "&amp;E294, 'Info Tipo de Cambio y REM'!$A$24:$B$35, 2, FALSE))
</f>
        <v/>
      </c>
      <c r="Q294" s="107" t="str">
        <f t="shared" si="3"/>
        <v/>
      </c>
    </row>
    <row r="295">
      <c r="A295" s="102"/>
      <c r="B295" s="43" t="str">
        <f t="shared" si="5"/>
        <v/>
      </c>
      <c r="C295" s="102" t="str">
        <f>IF(K295="", "", IFERROR(VLOOKUP(K295, Clasificaciones!D:E, 2, FALSE), "DATO NO CARGADO"))
</f>
        <v/>
      </c>
      <c r="D295" s="51"/>
      <c r="E295" s="102"/>
      <c r="F295" s="102"/>
      <c r="G295" s="103"/>
      <c r="H295" s="103" t="str">
        <f t="shared" si="2"/>
        <v/>
      </c>
      <c r="I295" s="103"/>
      <c r="M295" s="103"/>
      <c r="N295" s="113"/>
      <c r="O295" s="107"/>
      <c r="P295" s="106" t="str">
        <f>IF(ISBLANK(N295), "", VLOOKUP(D295&amp;" "&amp;E295, 'Info Tipo de Cambio y REM'!$A$24:$B$35, 2, FALSE))
</f>
        <v/>
      </c>
      <c r="Q295" s="107" t="str">
        <f t="shared" si="3"/>
        <v/>
      </c>
    </row>
    <row r="296">
      <c r="A296" s="102"/>
      <c r="B296" s="43" t="str">
        <f t="shared" si="5"/>
        <v/>
      </c>
      <c r="C296" s="102" t="str">
        <f>IF(K296="", "", IFERROR(VLOOKUP(K296, Clasificaciones!D:E, 2, FALSE), "DATO NO CARGADO"))
</f>
        <v/>
      </c>
      <c r="D296" s="51"/>
      <c r="E296" s="102"/>
      <c r="F296" s="102"/>
      <c r="G296" s="103"/>
      <c r="H296" s="103" t="str">
        <f t="shared" si="2"/>
        <v/>
      </c>
      <c r="I296" s="103"/>
      <c r="M296" s="103"/>
      <c r="N296" s="113"/>
      <c r="O296" s="107"/>
      <c r="P296" s="106" t="str">
        <f>IF(ISBLANK(N296), "", VLOOKUP(D296&amp;" "&amp;E296, 'Info Tipo de Cambio y REM'!$A$24:$B$35, 2, FALSE))
</f>
        <v/>
      </c>
      <c r="Q296" s="107" t="str">
        <f t="shared" si="3"/>
        <v/>
      </c>
    </row>
    <row r="297">
      <c r="A297" s="102"/>
      <c r="B297" s="43" t="str">
        <f t="shared" si="5"/>
        <v/>
      </c>
      <c r="C297" s="102" t="str">
        <f>IF(K297="", "", IFERROR(VLOOKUP(K297, Clasificaciones!D:E, 2, FALSE), "DATO NO CARGADO"))
</f>
        <v/>
      </c>
      <c r="D297" s="51"/>
      <c r="E297" s="102"/>
      <c r="F297" s="102"/>
      <c r="G297" s="103"/>
      <c r="H297" s="103" t="str">
        <f t="shared" si="2"/>
        <v/>
      </c>
      <c r="I297" s="103"/>
      <c r="M297" s="103"/>
      <c r="N297" s="113"/>
      <c r="O297" s="107"/>
      <c r="P297" s="106" t="str">
        <f>IF(ISBLANK(N297), "", VLOOKUP(D297&amp;" "&amp;E297, 'Info Tipo de Cambio y REM'!$A$24:$B$35, 2, FALSE))
</f>
        <v/>
      </c>
      <c r="Q297" s="107" t="str">
        <f t="shared" si="3"/>
        <v/>
      </c>
    </row>
    <row r="298">
      <c r="A298" s="102"/>
      <c r="B298" s="43" t="str">
        <f t="shared" si="5"/>
        <v/>
      </c>
      <c r="C298" s="102" t="str">
        <f>IF(K298="", "", IFERROR(VLOOKUP(K298, Clasificaciones!D:E, 2, FALSE), "DATO NO CARGADO"))
</f>
        <v/>
      </c>
      <c r="D298" s="51"/>
      <c r="E298" s="102"/>
      <c r="F298" s="102"/>
      <c r="G298" s="103"/>
      <c r="H298" s="103" t="str">
        <f t="shared" si="2"/>
        <v/>
      </c>
      <c r="I298" s="103"/>
      <c r="M298" s="103"/>
      <c r="N298" s="113"/>
      <c r="O298" s="107"/>
      <c r="P298" s="106" t="str">
        <f>IF(ISBLANK(N298), "", VLOOKUP(D298&amp;" "&amp;E298, 'Info Tipo de Cambio y REM'!$A$24:$B$35, 2, FALSE))
</f>
        <v/>
      </c>
      <c r="Q298" s="107" t="str">
        <f t="shared" si="3"/>
        <v/>
      </c>
    </row>
    <row r="299">
      <c r="A299" s="102"/>
      <c r="B299" s="43" t="str">
        <f t="shared" si="5"/>
        <v/>
      </c>
      <c r="C299" s="102" t="str">
        <f>IF(K299="", "", IFERROR(VLOOKUP(K299, Clasificaciones!D:E, 2, FALSE), "DATO NO CARGADO"))
</f>
        <v/>
      </c>
      <c r="D299" s="51"/>
      <c r="E299" s="102"/>
      <c r="F299" s="102"/>
      <c r="G299" s="103"/>
      <c r="H299" s="103" t="str">
        <f t="shared" si="2"/>
        <v/>
      </c>
      <c r="I299" s="103"/>
      <c r="M299" s="103"/>
      <c r="N299" s="113"/>
      <c r="O299" s="107"/>
      <c r="P299" s="106" t="str">
        <f>IF(ISBLANK(N299), "", VLOOKUP(D299&amp;" "&amp;E299, 'Info Tipo de Cambio y REM'!$A$24:$B$35, 2, FALSE))
</f>
        <v/>
      </c>
      <c r="Q299" s="107" t="str">
        <f t="shared" si="3"/>
        <v/>
      </c>
    </row>
    <row r="300">
      <c r="A300" s="102"/>
      <c r="B300" s="43" t="str">
        <f t="shared" si="5"/>
        <v/>
      </c>
      <c r="C300" s="102" t="str">
        <f>IF(K300="", "", IFERROR(VLOOKUP(K300, Clasificaciones!D:E, 2, FALSE), "DATO NO CARGADO"))
</f>
        <v/>
      </c>
      <c r="D300" s="51"/>
      <c r="E300" s="102"/>
      <c r="F300" s="102"/>
      <c r="G300" s="103"/>
      <c r="H300" s="103" t="str">
        <f t="shared" si="2"/>
        <v/>
      </c>
      <c r="I300" s="103"/>
      <c r="M300" s="103"/>
      <c r="N300" s="113"/>
      <c r="O300" s="107"/>
      <c r="P300" s="106" t="str">
        <f>IF(ISBLANK(N300), "", VLOOKUP(D300&amp;" "&amp;E300, 'Info Tipo de Cambio y REM'!$A$24:$B$35, 2, FALSE))
</f>
        <v/>
      </c>
      <c r="Q300" s="107" t="str">
        <f t="shared" si="3"/>
        <v/>
      </c>
    </row>
    <row r="301">
      <c r="A301" s="102"/>
      <c r="B301" s="43" t="str">
        <f t="shared" si="5"/>
        <v/>
      </c>
      <c r="C301" s="102" t="str">
        <f>IF(K301="", "", IFERROR(VLOOKUP(K301, Clasificaciones!D:E, 2, FALSE), "DATO NO CARGADO"))
</f>
        <v/>
      </c>
      <c r="D301" s="51"/>
      <c r="E301" s="102"/>
      <c r="F301" s="102"/>
      <c r="G301" s="103"/>
      <c r="H301" s="103" t="str">
        <f t="shared" si="2"/>
        <v/>
      </c>
      <c r="I301" s="103"/>
      <c r="M301" s="103"/>
      <c r="N301" s="113"/>
      <c r="O301" s="107"/>
      <c r="P301" s="106" t="str">
        <f>IF(ISBLANK(N301), "", VLOOKUP(D301&amp;" "&amp;E301, 'Info Tipo de Cambio y REM'!$A$24:$B$35, 2, FALSE))
</f>
        <v/>
      </c>
      <c r="Q301" s="107" t="str">
        <f t="shared" si="3"/>
        <v/>
      </c>
    </row>
    <row r="302">
      <c r="A302" s="102"/>
      <c r="B302" s="43" t="str">
        <f t="shared" si="5"/>
        <v/>
      </c>
      <c r="C302" s="102" t="str">
        <f>IF(K302="", "", IFERROR(VLOOKUP(K302, Clasificaciones!D:E, 2, FALSE), "DATO NO CARGADO"))
</f>
        <v/>
      </c>
      <c r="D302" s="51"/>
      <c r="E302" s="102"/>
      <c r="F302" s="102"/>
      <c r="G302" s="103"/>
      <c r="H302" s="103" t="str">
        <f t="shared" si="2"/>
        <v/>
      </c>
      <c r="I302" s="103"/>
      <c r="M302" s="103"/>
      <c r="N302" s="113"/>
      <c r="O302" s="107"/>
      <c r="P302" s="106" t="str">
        <f>IF(ISBLANK(N302), "", VLOOKUP(D302&amp;" "&amp;E302, 'Info Tipo de Cambio y REM'!$A$24:$B$35, 2, FALSE))
</f>
        <v/>
      </c>
      <c r="Q302" s="107" t="str">
        <f t="shared" si="3"/>
        <v/>
      </c>
    </row>
    <row r="303">
      <c r="A303" s="102"/>
      <c r="B303" s="43" t="str">
        <f t="shared" si="5"/>
        <v/>
      </c>
      <c r="C303" s="102" t="str">
        <f>IF(K303="", "", IFERROR(VLOOKUP(K303, Clasificaciones!D:E, 2, FALSE), "DATO NO CARGADO"))
</f>
        <v/>
      </c>
      <c r="D303" s="51"/>
      <c r="E303" s="102"/>
      <c r="F303" s="102"/>
      <c r="G303" s="103"/>
      <c r="H303" s="103" t="str">
        <f t="shared" si="2"/>
        <v/>
      </c>
      <c r="I303" s="103"/>
      <c r="M303" s="103"/>
      <c r="N303" s="113"/>
      <c r="O303" s="107"/>
      <c r="P303" s="106" t="str">
        <f>IF(ISBLANK(N303), "", VLOOKUP(D303&amp;" "&amp;E303, 'Info Tipo de Cambio y REM'!$A$24:$B$35, 2, FALSE))
</f>
        <v/>
      </c>
      <c r="Q303" s="107" t="str">
        <f t="shared" si="3"/>
        <v/>
      </c>
    </row>
    <row r="304">
      <c r="A304" s="102"/>
      <c r="B304" s="43" t="str">
        <f t="shared" si="5"/>
        <v/>
      </c>
      <c r="C304" s="102" t="str">
        <f>IF(K304="", "", IFERROR(VLOOKUP(K304, Clasificaciones!D:E, 2, FALSE), "DATO NO CARGADO"))
</f>
        <v/>
      </c>
      <c r="D304" s="51"/>
      <c r="E304" s="102"/>
      <c r="F304" s="102"/>
      <c r="G304" s="103"/>
      <c r="H304" s="103" t="str">
        <f t="shared" si="2"/>
        <v/>
      </c>
      <c r="I304" s="103"/>
      <c r="M304" s="103"/>
      <c r="N304" s="113"/>
      <c r="O304" s="107"/>
      <c r="P304" s="106" t="str">
        <f>IF(ISBLANK(N304), "", VLOOKUP(D304&amp;" "&amp;E304, 'Info Tipo de Cambio y REM'!$A$24:$B$35, 2, FALSE))
</f>
        <v/>
      </c>
      <c r="Q304" s="107" t="str">
        <f t="shared" si="3"/>
        <v/>
      </c>
    </row>
    <row r="305">
      <c r="A305" s="102"/>
      <c r="B305" s="43" t="str">
        <f t="shared" si="5"/>
        <v/>
      </c>
      <c r="C305" s="102" t="str">
        <f>IF(K305="", "", IFERROR(VLOOKUP(K305, Clasificaciones!D:E, 2, FALSE), "DATO NO CARGADO"))
</f>
        <v/>
      </c>
      <c r="D305" s="51"/>
      <c r="E305" s="102"/>
      <c r="F305" s="102"/>
      <c r="G305" s="103"/>
      <c r="H305" s="103" t="str">
        <f t="shared" si="2"/>
        <v/>
      </c>
      <c r="I305" s="103"/>
      <c r="M305" s="103"/>
      <c r="N305" s="113"/>
      <c r="O305" s="107"/>
      <c r="P305" s="106" t="str">
        <f>IF(ISBLANK(N305), "", VLOOKUP(D305&amp;" "&amp;E305, 'Info Tipo de Cambio y REM'!$A$24:$B$35, 2, FALSE))
</f>
        <v/>
      </c>
      <c r="Q305" s="107" t="str">
        <f t="shared" si="3"/>
        <v/>
      </c>
    </row>
    <row r="306">
      <c r="A306" s="102"/>
      <c r="B306" s="43" t="str">
        <f t="shared" si="5"/>
        <v/>
      </c>
      <c r="C306" s="102" t="str">
        <f>IF(K306="", "", IFERROR(VLOOKUP(K306, Clasificaciones!D:E, 2, FALSE), "DATO NO CARGADO"))
</f>
        <v/>
      </c>
      <c r="D306" s="51"/>
      <c r="E306" s="102"/>
      <c r="F306" s="102"/>
      <c r="G306" s="103"/>
      <c r="H306" s="103" t="str">
        <f t="shared" si="2"/>
        <v/>
      </c>
      <c r="I306" s="103"/>
      <c r="M306" s="103"/>
      <c r="N306" s="113"/>
      <c r="O306" s="107"/>
      <c r="P306" s="106" t="str">
        <f>IF(ISBLANK(N306), "", VLOOKUP(D306&amp;" "&amp;E306, 'Info Tipo de Cambio y REM'!$A$24:$B$35, 2, FALSE))
</f>
        <v/>
      </c>
      <c r="Q306" s="107" t="str">
        <f t="shared" si="3"/>
        <v/>
      </c>
    </row>
    <row r="307">
      <c r="A307" s="102"/>
      <c r="B307" s="43" t="str">
        <f t="shared" si="5"/>
        <v/>
      </c>
      <c r="C307" s="102" t="str">
        <f>IF(K307="", "", IFERROR(VLOOKUP(K307, Clasificaciones!D:E, 2, FALSE), "DATO NO CARGADO"))
</f>
        <v/>
      </c>
      <c r="D307" s="51"/>
      <c r="E307" s="102"/>
      <c r="F307" s="102"/>
      <c r="G307" s="103"/>
      <c r="H307" s="103" t="str">
        <f t="shared" si="2"/>
        <v/>
      </c>
      <c r="I307" s="103"/>
      <c r="M307" s="103"/>
      <c r="N307" s="113"/>
      <c r="O307" s="107"/>
      <c r="P307" s="106" t="str">
        <f>IF(ISBLANK(N307), "", VLOOKUP(D307&amp;" "&amp;E307, 'Info Tipo de Cambio y REM'!$A$24:$B$35, 2, FALSE))
</f>
        <v/>
      </c>
      <c r="Q307" s="107" t="str">
        <f t="shared" si="3"/>
        <v/>
      </c>
    </row>
    <row r="308">
      <c r="A308" s="102"/>
      <c r="B308" s="43" t="str">
        <f t="shared" si="5"/>
        <v/>
      </c>
      <c r="C308" s="102" t="str">
        <f>IF(K308="", "", IFERROR(VLOOKUP(K308, Clasificaciones!D:E, 2, FALSE), "DATO NO CARGADO"))
</f>
        <v/>
      </c>
      <c r="D308" s="51"/>
      <c r="E308" s="102"/>
      <c r="F308" s="102"/>
      <c r="G308" s="103"/>
      <c r="H308" s="103" t="str">
        <f t="shared" si="2"/>
        <v/>
      </c>
      <c r="I308" s="103"/>
      <c r="M308" s="103"/>
      <c r="N308" s="113"/>
      <c r="O308" s="107"/>
      <c r="P308" s="106" t="str">
        <f>IF(ISBLANK(N308), "", VLOOKUP(D308&amp;" "&amp;E308, 'Info Tipo de Cambio y REM'!$A$24:$B$35, 2, FALSE))
</f>
        <v/>
      </c>
      <c r="Q308" s="107" t="str">
        <f t="shared" si="3"/>
        <v/>
      </c>
    </row>
    <row r="309">
      <c r="A309" s="102"/>
      <c r="B309" s="43" t="str">
        <f t="shared" si="5"/>
        <v/>
      </c>
      <c r="C309" s="102" t="str">
        <f>IF(K309="", "", IFERROR(VLOOKUP(K309, Clasificaciones!D:E, 2, FALSE), "DATO NO CARGADO"))
</f>
        <v/>
      </c>
      <c r="D309" s="51"/>
      <c r="E309" s="102"/>
      <c r="F309" s="102"/>
      <c r="G309" s="103"/>
      <c r="H309" s="103" t="str">
        <f t="shared" si="2"/>
        <v/>
      </c>
      <c r="I309" s="103"/>
      <c r="M309" s="103"/>
      <c r="N309" s="113"/>
      <c r="O309" s="107"/>
      <c r="P309" s="106" t="str">
        <f>IF(ISBLANK(N309), "", VLOOKUP(D309&amp;" "&amp;E309, 'Info Tipo de Cambio y REM'!$A$24:$B$35, 2, FALSE))
</f>
        <v/>
      </c>
      <c r="Q309" s="107" t="str">
        <f t="shared" si="3"/>
        <v/>
      </c>
    </row>
    <row r="310">
      <c r="A310" s="102"/>
      <c r="B310" s="43" t="str">
        <f t="shared" si="5"/>
        <v/>
      </c>
      <c r="C310" s="102" t="str">
        <f>IF(K310="", "", IFERROR(VLOOKUP(K310, Clasificaciones!D:E, 2, FALSE), "DATO NO CARGADO"))
</f>
        <v/>
      </c>
      <c r="D310" s="51"/>
      <c r="E310" s="102"/>
      <c r="F310" s="102"/>
      <c r="G310" s="103"/>
      <c r="H310" s="103" t="str">
        <f t="shared" si="2"/>
        <v/>
      </c>
      <c r="I310" s="103"/>
      <c r="M310" s="103"/>
      <c r="N310" s="113"/>
      <c r="O310" s="107"/>
      <c r="P310" s="106" t="str">
        <f>IF(ISBLANK(N310), "", VLOOKUP(D310&amp;" "&amp;E310, 'Info Tipo de Cambio y REM'!$A$24:$B$35, 2, FALSE))
</f>
        <v/>
      </c>
      <c r="Q310" s="107" t="str">
        <f t="shared" si="3"/>
        <v/>
      </c>
    </row>
    <row r="311">
      <c r="A311" s="102"/>
      <c r="B311" s="43" t="str">
        <f t="shared" si="5"/>
        <v/>
      </c>
      <c r="C311" s="102" t="str">
        <f>IF(K311="", "", IFERROR(VLOOKUP(K311, Clasificaciones!D:E, 2, FALSE), "DATO NO CARGADO"))
</f>
        <v/>
      </c>
      <c r="D311" s="51"/>
      <c r="E311" s="102"/>
      <c r="F311" s="102"/>
      <c r="G311" s="103"/>
      <c r="H311" s="103" t="str">
        <f t="shared" si="2"/>
        <v/>
      </c>
      <c r="I311" s="103"/>
      <c r="M311" s="103"/>
      <c r="N311" s="113"/>
      <c r="O311" s="107"/>
      <c r="P311" s="106" t="str">
        <f>IF(ISBLANK(N311), "", VLOOKUP(D311&amp;" "&amp;E311, 'Info Tipo de Cambio y REM'!$A$24:$B$35, 2, FALSE))
</f>
        <v/>
      </c>
      <c r="Q311" s="107" t="str">
        <f t="shared" si="3"/>
        <v/>
      </c>
    </row>
    <row r="312">
      <c r="A312" s="102"/>
      <c r="B312" s="43" t="str">
        <f t="shared" si="5"/>
        <v/>
      </c>
      <c r="C312" s="102" t="str">
        <f>IF(K312="", "", IFERROR(VLOOKUP(K312, Clasificaciones!D:E, 2, FALSE), "DATO NO CARGADO"))
</f>
        <v/>
      </c>
      <c r="D312" s="51"/>
      <c r="E312" s="102"/>
      <c r="F312" s="102"/>
      <c r="G312" s="103"/>
      <c r="H312" s="103" t="str">
        <f t="shared" si="2"/>
        <v/>
      </c>
      <c r="I312" s="103"/>
      <c r="M312" s="103"/>
      <c r="N312" s="113"/>
      <c r="O312" s="107"/>
      <c r="P312" s="106" t="str">
        <f>IF(ISBLANK(N312), "", VLOOKUP(D312&amp;" "&amp;E312, 'Info Tipo de Cambio y REM'!$A$24:$B$35, 2, FALSE))
</f>
        <v/>
      </c>
      <c r="Q312" s="107" t="str">
        <f t="shared" si="3"/>
        <v/>
      </c>
    </row>
    <row r="313">
      <c r="A313" s="102"/>
      <c r="B313" s="43" t="str">
        <f t="shared" si="5"/>
        <v/>
      </c>
      <c r="C313" s="102" t="str">
        <f>IF(K313="", "", IFERROR(VLOOKUP(K313, Clasificaciones!D:E, 2, FALSE), "DATO NO CARGADO"))
</f>
        <v/>
      </c>
      <c r="D313" s="51"/>
      <c r="E313" s="102"/>
      <c r="F313" s="102"/>
      <c r="G313" s="103"/>
      <c r="H313" s="103" t="str">
        <f t="shared" si="2"/>
        <v/>
      </c>
      <c r="I313" s="103"/>
      <c r="M313" s="103"/>
      <c r="N313" s="113"/>
      <c r="O313" s="107"/>
      <c r="P313" s="106" t="str">
        <f>IF(ISBLANK(N313), "", VLOOKUP(D313&amp;" "&amp;E313, 'Info Tipo de Cambio y REM'!$A$24:$B$35, 2, FALSE))
</f>
        <v/>
      </c>
      <c r="Q313" s="107" t="str">
        <f t="shared" si="3"/>
        <v/>
      </c>
    </row>
    <row r="314">
      <c r="A314" s="102"/>
      <c r="B314" s="43" t="str">
        <f t="shared" si="5"/>
        <v/>
      </c>
      <c r="C314" s="102" t="str">
        <f>IF(K314="", "", IFERROR(VLOOKUP(K314, Clasificaciones!D:E, 2, FALSE), "DATO NO CARGADO"))
</f>
        <v/>
      </c>
      <c r="D314" s="51"/>
      <c r="E314" s="102"/>
      <c r="F314" s="102"/>
      <c r="G314" s="103"/>
      <c r="H314" s="103" t="str">
        <f t="shared" si="2"/>
        <v/>
      </c>
      <c r="I314" s="103"/>
      <c r="M314" s="103"/>
      <c r="N314" s="113"/>
      <c r="O314" s="107"/>
      <c r="P314" s="106" t="str">
        <f>IF(ISBLANK(N314), "", VLOOKUP(D314&amp;" "&amp;E314, 'Info Tipo de Cambio y REM'!$A$24:$B$35, 2, FALSE))
</f>
        <v/>
      </c>
      <c r="Q314" s="107" t="str">
        <f t="shared" si="3"/>
        <v/>
      </c>
    </row>
    <row r="315">
      <c r="A315" s="102"/>
      <c r="B315" s="43" t="str">
        <f t="shared" si="5"/>
        <v/>
      </c>
      <c r="C315" s="102" t="str">
        <f>IF(K315="", "", IFERROR(VLOOKUP(K315, Clasificaciones!D:E, 2, FALSE), "DATO NO CARGADO"))
</f>
        <v/>
      </c>
      <c r="D315" s="51"/>
      <c r="E315" s="102"/>
      <c r="F315" s="102"/>
      <c r="G315" s="103"/>
      <c r="H315" s="103" t="str">
        <f t="shared" si="2"/>
        <v/>
      </c>
      <c r="I315" s="103"/>
      <c r="M315" s="103"/>
      <c r="N315" s="113"/>
      <c r="O315" s="107"/>
      <c r="P315" s="106" t="str">
        <f>IF(ISBLANK(N315), "", VLOOKUP(D315&amp;" "&amp;E315, 'Info Tipo de Cambio y REM'!$A$24:$B$35, 2, FALSE))
</f>
        <v/>
      </c>
      <c r="Q315" s="107" t="str">
        <f t="shared" si="3"/>
        <v/>
      </c>
    </row>
    <row r="316">
      <c r="A316" s="102"/>
      <c r="B316" s="43" t="str">
        <f t="shared" si="5"/>
        <v/>
      </c>
      <c r="C316" s="102" t="str">
        <f>IF(K316="", "", IFERROR(VLOOKUP(K316, Clasificaciones!D:E, 2, FALSE), "DATO NO CARGADO"))
</f>
        <v/>
      </c>
      <c r="D316" s="51"/>
      <c r="E316" s="102"/>
      <c r="F316" s="102"/>
      <c r="G316" s="103"/>
      <c r="H316" s="103" t="str">
        <f t="shared" si="2"/>
        <v/>
      </c>
      <c r="I316" s="103"/>
      <c r="M316" s="103"/>
      <c r="N316" s="113"/>
      <c r="O316" s="107"/>
      <c r="P316" s="106" t="str">
        <f>IF(ISBLANK(N316), "", VLOOKUP(D316&amp;" "&amp;E316, 'Info Tipo de Cambio y REM'!$A$24:$B$35, 2, FALSE))
</f>
        <v/>
      </c>
      <c r="Q316" s="107" t="str">
        <f t="shared" si="3"/>
        <v/>
      </c>
    </row>
    <row r="317">
      <c r="A317" s="102"/>
      <c r="B317" s="43" t="str">
        <f t="shared" si="5"/>
        <v/>
      </c>
      <c r="C317" s="102" t="str">
        <f>IF(K317="", "", IFERROR(VLOOKUP(K317, Clasificaciones!D:E, 2, FALSE), "DATO NO CARGADO"))
</f>
        <v/>
      </c>
      <c r="D317" s="51"/>
      <c r="E317" s="102"/>
      <c r="F317" s="102"/>
      <c r="G317" s="103"/>
      <c r="H317" s="103" t="str">
        <f t="shared" si="2"/>
        <v/>
      </c>
      <c r="I317" s="103"/>
      <c r="M317" s="103"/>
      <c r="N317" s="113"/>
      <c r="O317" s="107"/>
      <c r="P317" s="106" t="str">
        <f>IF(ISBLANK(N317), "", VLOOKUP(D317&amp;" "&amp;E317, 'Info Tipo de Cambio y REM'!$A$24:$B$35, 2, FALSE))
</f>
        <v/>
      </c>
      <c r="Q317" s="107" t="str">
        <f t="shared" si="3"/>
        <v/>
      </c>
    </row>
    <row r="318">
      <c r="A318" s="102"/>
      <c r="B318" s="43" t="str">
        <f t="shared" si="5"/>
        <v/>
      </c>
      <c r="C318" s="102"/>
      <c r="D318" s="51"/>
      <c r="E318" s="102"/>
      <c r="F318" s="102"/>
      <c r="G318" s="103"/>
      <c r="H318" s="103" t="str">
        <f t="shared" si="2"/>
        <v/>
      </c>
      <c r="I318" s="103"/>
      <c r="M318" s="103"/>
      <c r="N318" s="113"/>
      <c r="O318" s="107"/>
      <c r="P318" s="106" t="str">
        <f>IF(ISBLANK(N318), "", VLOOKUP(D318&amp;" "&amp;E318, 'Info Tipo de Cambio y REM'!$A$24:$B$35, 2, FALSE))
</f>
        <v/>
      </c>
      <c r="Q318" s="107" t="str">
        <f t="shared" si="3"/>
        <v/>
      </c>
    </row>
    <row r="319">
      <c r="A319" s="102"/>
      <c r="B319" s="43" t="str">
        <f t="shared" si="5"/>
        <v/>
      </c>
      <c r="C319" s="102"/>
      <c r="D319" s="51"/>
      <c r="E319" s="102"/>
      <c r="F319" s="102"/>
      <c r="G319" s="103"/>
      <c r="H319" s="103" t="str">
        <f t="shared" si="2"/>
        <v/>
      </c>
      <c r="I319" s="103"/>
      <c r="M319" s="103"/>
      <c r="N319" s="113"/>
      <c r="O319" s="107"/>
      <c r="P319" s="106" t="str">
        <f>IF(ISBLANK(N319), "", VLOOKUP(D319&amp;" "&amp;E319, 'Info Tipo de Cambio y REM'!$A$24:$B$35, 2, FALSE))
</f>
        <v/>
      </c>
      <c r="Q319" s="107" t="str">
        <f t="shared" si="3"/>
        <v/>
      </c>
    </row>
    <row r="320">
      <c r="A320" s="102"/>
      <c r="B320" s="43" t="str">
        <f t="shared" si="5"/>
        <v/>
      </c>
      <c r="C320" s="102"/>
      <c r="D320" s="51"/>
      <c r="E320" s="102"/>
      <c r="F320" s="102"/>
      <c r="G320" s="103"/>
      <c r="H320" s="103" t="str">
        <f t="shared" si="2"/>
        <v/>
      </c>
      <c r="I320" s="103"/>
      <c r="M320" s="103"/>
      <c r="N320" s="113"/>
      <c r="O320" s="107"/>
      <c r="P320" s="106" t="str">
        <f>IF(ISBLANK(N320), "", VLOOKUP(D320&amp;" "&amp;E320, 'Info Tipo de Cambio y REM'!$A$24:$B$35, 2, FALSE))
</f>
        <v/>
      </c>
      <c r="Q320" s="107" t="str">
        <f t="shared" si="3"/>
        <v/>
      </c>
    </row>
    <row r="321">
      <c r="A321" s="102"/>
      <c r="B321" s="43" t="str">
        <f t="shared" si="5"/>
        <v/>
      </c>
      <c r="C321" s="102"/>
      <c r="D321" s="51"/>
      <c r="E321" s="102"/>
      <c r="F321" s="102"/>
      <c r="G321" s="103"/>
      <c r="H321" s="103" t="str">
        <f t="shared" si="2"/>
        <v/>
      </c>
      <c r="I321" s="103"/>
      <c r="M321" s="103"/>
      <c r="N321" s="113"/>
      <c r="O321" s="107"/>
      <c r="P321" s="106" t="str">
        <f>IF(ISBLANK(N321), "", VLOOKUP(D321&amp;" "&amp;E321, 'Info Tipo de Cambio y REM'!$A$24:$B$35, 2, FALSE))
</f>
        <v/>
      </c>
      <c r="Q321" s="107" t="str">
        <f t="shared" si="3"/>
        <v/>
      </c>
    </row>
    <row r="322">
      <c r="A322" s="102"/>
      <c r="B322" s="43" t="str">
        <f t="shared" si="5"/>
        <v/>
      </c>
      <c r="C322" s="102"/>
      <c r="D322" s="51"/>
      <c r="E322" s="102"/>
      <c r="F322" s="102"/>
      <c r="G322" s="103"/>
      <c r="H322" s="103" t="str">
        <f t="shared" si="2"/>
        <v/>
      </c>
      <c r="I322" s="103"/>
      <c r="M322" s="103"/>
      <c r="N322" s="113"/>
      <c r="O322" s="107"/>
      <c r="P322" s="106" t="str">
        <f>IF(ISBLANK(N322), "", VLOOKUP(D322&amp;" "&amp;E322, 'Info Tipo de Cambio y REM'!$A$24:$B$35, 2, FALSE))
</f>
        <v/>
      </c>
      <c r="Q322" s="107" t="str">
        <f t="shared" si="3"/>
        <v/>
      </c>
    </row>
    <row r="323">
      <c r="A323" s="102"/>
      <c r="B323" s="43" t="str">
        <f t="shared" si="5"/>
        <v/>
      </c>
      <c r="C323" s="102"/>
      <c r="D323" s="51"/>
      <c r="E323" s="102"/>
      <c r="F323" s="102"/>
      <c r="G323" s="103"/>
      <c r="H323" s="103" t="str">
        <f t="shared" si="2"/>
        <v/>
      </c>
      <c r="I323" s="103"/>
      <c r="M323" s="103"/>
      <c r="N323" s="113"/>
      <c r="O323" s="107"/>
      <c r="P323" s="106" t="str">
        <f>IF(ISBLANK(N323), "", VLOOKUP(D323&amp;" "&amp;E323, 'Info Tipo de Cambio y REM'!$A$24:$B$35, 2, FALSE))
</f>
        <v/>
      </c>
      <c r="Q323" s="107" t="str">
        <f t="shared" si="3"/>
        <v/>
      </c>
    </row>
    <row r="324">
      <c r="A324" s="102"/>
      <c r="B324" s="43" t="str">
        <f t="shared" si="5"/>
        <v/>
      </c>
      <c r="C324" s="102"/>
      <c r="D324" s="51"/>
      <c r="E324" s="102"/>
      <c r="F324" s="102"/>
      <c r="G324" s="103"/>
      <c r="H324" s="103" t="str">
        <f t="shared" si="2"/>
        <v/>
      </c>
      <c r="I324" s="103"/>
      <c r="M324" s="103"/>
      <c r="N324" s="113"/>
      <c r="O324" s="107"/>
      <c r="P324" s="106" t="str">
        <f>IF(ISBLANK(N324), "", VLOOKUP(D324&amp;" "&amp;E324, 'Info Tipo de Cambio y REM'!$A$24:$B$35, 2, FALSE))
</f>
        <v/>
      </c>
      <c r="Q324" s="107" t="str">
        <f t="shared" si="3"/>
        <v/>
      </c>
    </row>
    <row r="325">
      <c r="A325" s="102"/>
      <c r="B325" s="43" t="str">
        <f t="shared" si="5"/>
        <v/>
      </c>
      <c r="C325" s="102"/>
      <c r="D325" s="51"/>
      <c r="E325" s="102"/>
      <c r="F325" s="102"/>
      <c r="G325" s="103"/>
      <c r="H325" s="103" t="str">
        <f t="shared" si="2"/>
        <v/>
      </c>
      <c r="I325" s="103"/>
      <c r="M325" s="103"/>
      <c r="N325" s="113"/>
      <c r="O325" s="107"/>
      <c r="P325" s="106" t="str">
        <f>IF(ISBLANK(N325), "", VLOOKUP(D325&amp;" "&amp;E325, 'Info Tipo de Cambio y REM'!$A$24:$B$35, 2, FALSE))
</f>
        <v/>
      </c>
      <c r="Q325" s="107" t="str">
        <f t="shared" si="3"/>
        <v/>
      </c>
    </row>
    <row r="326">
      <c r="A326" s="102"/>
      <c r="B326" s="43" t="str">
        <f t="shared" si="5"/>
        <v/>
      </c>
      <c r="C326" s="102"/>
      <c r="D326" s="51"/>
      <c r="E326" s="102"/>
      <c r="F326" s="102"/>
      <c r="G326" s="103"/>
      <c r="H326" s="103" t="str">
        <f t="shared" si="2"/>
        <v/>
      </c>
      <c r="I326" s="103"/>
      <c r="M326" s="103"/>
      <c r="N326" s="113"/>
      <c r="O326" s="107"/>
      <c r="P326" s="106" t="str">
        <f>IF(ISBLANK(N326), "", VLOOKUP(D326&amp;" "&amp;E326, 'Info Tipo de Cambio y REM'!$A$24:$B$35, 2, FALSE))
</f>
        <v/>
      </c>
      <c r="Q326" s="107" t="str">
        <f t="shared" si="3"/>
        <v/>
      </c>
    </row>
    <row r="327">
      <c r="A327" s="102"/>
      <c r="B327" s="43" t="str">
        <f t="shared" si="5"/>
        <v/>
      </c>
      <c r="C327" s="102"/>
      <c r="D327" s="51"/>
      <c r="E327" s="102"/>
      <c r="F327" s="102"/>
      <c r="G327" s="103"/>
      <c r="H327" s="103" t="str">
        <f t="shared" si="2"/>
        <v/>
      </c>
      <c r="I327" s="103"/>
      <c r="M327" s="103"/>
      <c r="N327" s="113"/>
      <c r="O327" s="107"/>
      <c r="P327" s="106" t="str">
        <f>IF(ISBLANK(N327), "", VLOOKUP(D327&amp;" "&amp;E327, 'Info Tipo de Cambio y REM'!$A$24:$B$35, 2, FALSE))
</f>
        <v/>
      </c>
      <c r="Q327" s="107" t="str">
        <f t="shared" si="3"/>
        <v/>
      </c>
    </row>
    <row r="328">
      <c r="A328" s="102"/>
      <c r="B328" s="43" t="str">
        <f t="shared" si="5"/>
        <v/>
      </c>
      <c r="C328" s="102"/>
      <c r="D328" s="51"/>
      <c r="E328" s="102"/>
      <c r="F328" s="102"/>
      <c r="G328" s="103"/>
      <c r="H328" s="103" t="str">
        <f t="shared" si="2"/>
        <v/>
      </c>
      <c r="I328" s="103"/>
      <c r="M328" s="103"/>
      <c r="N328" s="113"/>
      <c r="O328" s="107"/>
      <c r="P328" s="106" t="str">
        <f>IF(ISBLANK(N328), "", VLOOKUP(D328&amp;" "&amp;E328, 'Info Tipo de Cambio y REM'!$A$24:$B$35, 2, FALSE))
</f>
        <v/>
      </c>
      <c r="Q328" s="107" t="str">
        <f t="shared" si="3"/>
        <v/>
      </c>
    </row>
    <row r="329">
      <c r="A329" s="102"/>
      <c r="B329" s="43" t="str">
        <f t="shared" si="5"/>
        <v/>
      </c>
      <c r="C329" s="102"/>
      <c r="D329" s="51"/>
      <c r="E329" s="102"/>
      <c r="F329" s="102"/>
      <c r="G329" s="103"/>
      <c r="H329" s="103" t="str">
        <f t="shared" si="2"/>
        <v/>
      </c>
      <c r="I329" s="103"/>
      <c r="M329" s="103"/>
      <c r="N329" s="113"/>
      <c r="O329" s="107"/>
      <c r="P329" s="106" t="str">
        <f>IF(ISBLANK(N329), "", VLOOKUP(D329&amp;" "&amp;E329, 'Info Tipo de Cambio y REM'!$A$24:$B$35, 2, FALSE))
</f>
        <v/>
      </c>
      <c r="Q329" s="107" t="str">
        <f t="shared" si="3"/>
        <v/>
      </c>
    </row>
    <row r="330">
      <c r="A330" s="102"/>
      <c r="B330" s="43" t="str">
        <f t="shared" si="5"/>
        <v/>
      </c>
      <c r="C330" s="102"/>
      <c r="D330" s="51"/>
      <c r="E330" s="102"/>
      <c r="F330" s="102"/>
      <c r="G330" s="103"/>
      <c r="H330" s="103" t="str">
        <f t="shared" si="2"/>
        <v/>
      </c>
      <c r="I330" s="103"/>
      <c r="M330" s="103"/>
      <c r="N330" s="113"/>
      <c r="O330" s="107"/>
      <c r="P330" s="106" t="str">
        <f>IF(ISBLANK(N330), "", VLOOKUP(D330&amp;" "&amp;E330, 'Info Tipo de Cambio y REM'!$A$24:$B$35, 2, FALSE))
</f>
        <v/>
      </c>
      <c r="Q330" s="107" t="str">
        <f t="shared" si="3"/>
        <v/>
      </c>
    </row>
    <row r="331">
      <c r="A331" s="102"/>
      <c r="B331" s="43" t="str">
        <f t="shared" si="5"/>
        <v/>
      </c>
      <c r="C331" s="102"/>
      <c r="D331" s="51"/>
      <c r="E331" s="102"/>
      <c r="F331" s="102"/>
      <c r="G331" s="103"/>
      <c r="H331" s="103" t="str">
        <f t="shared" si="2"/>
        <v/>
      </c>
      <c r="I331" s="103"/>
      <c r="M331" s="103"/>
      <c r="N331" s="113"/>
      <c r="O331" s="107"/>
      <c r="P331" s="106" t="str">
        <f>IF(ISBLANK(N331), "", VLOOKUP(D331&amp;" "&amp;E331, 'Info Tipo de Cambio y REM'!$A$24:$B$35, 2, FALSE))
</f>
        <v/>
      </c>
      <c r="Q331" s="107" t="str">
        <f t="shared" si="3"/>
        <v/>
      </c>
    </row>
    <row r="332">
      <c r="A332" s="102"/>
      <c r="B332" s="43" t="str">
        <f t="shared" si="5"/>
        <v/>
      </c>
      <c r="C332" s="102"/>
      <c r="D332" s="51"/>
      <c r="E332" s="102"/>
      <c r="F332" s="102"/>
      <c r="G332" s="103"/>
      <c r="H332" s="103" t="str">
        <f t="shared" si="2"/>
        <v/>
      </c>
      <c r="I332" s="103"/>
      <c r="M332" s="103"/>
      <c r="N332" s="113"/>
      <c r="O332" s="107"/>
      <c r="P332" s="106" t="str">
        <f>IF(ISBLANK(N332), "", VLOOKUP(D332&amp;" "&amp;E332, 'Info Tipo de Cambio y REM'!$A$24:$B$35, 2, FALSE))
</f>
        <v/>
      </c>
      <c r="Q332" s="107" t="str">
        <f t="shared" si="3"/>
        <v/>
      </c>
    </row>
    <row r="333">
      <c r="A333" s="102"/>
      <c r="B333" s="43" t="str">
        <f t="shared" si="5"/>
        <v/>
      </c>
      <c r="C333" s="102"/>
      <c r="D333" s="51"/>
      <c r="E333" s="102"/>
      <c r="F333" s="102"/>
      <c r="G333" s="103"/>
      <c r="H333" s="103" t="str">
        <f t="shared" si="2"/>
        <v/>
      </c>
      <c r="I333" s="103"/>
      <c r="M333" s="103"/>
      <c r="N333" s="113"/>
      <c r="O333" s="107"/>
      <c r="P333" s="106" t="str">
        <f>IF(ISBLANK(N333), "", VLOOKUP(D333&amp;" "&amp;E333, 'Info Tipo de Cambio y REM'!$A$24:$B$35, 2, FALSE))
</f>
        <v/>
      </c>
      <c r="Q333" s="107" t="str">
        <f t="shared" si="3"/>
        <v/>
      </c>
    </row>
    <row r="334">
      <c r="A334" s="102"/>
      <c r="B334" s="43" t="str">
        <f t="shared" si="5"/>
        <v/>
      </c>
      <c r="C334" s="102"/>
      <c r="D334" s="51"/>
      <c r="E334" s="102"/>
      <c r="F334" s="102"/>
      <c r="G334" s="103"/>
      <c r="H334" s="103" t="str">
        <f t="shared" si="2"/>
        <v/>
      </c>
      <c r="I334" s="103"/>
      <c r="M334" s="103"/>
      <c r="N334" s="113"/>
      <c r="O334" s="107"/>
      <c r="P334" s="106" t="str">
        <f>IF(ISBLANK(N334), "", VLOOKUP(D334&amp;" "&amp;E334, 'Info Tipo de Cambio y REM'!$A$24:$B$35, 2, FALSE))
</f>
        <v/>
      </c>
      <c r="Q334" s="107" t="str">
        <f t="shared" si="3"/>
        <v/>
      </c>
    </row>
    <row r="335">
      <c r="A335" s="102"/>
      <c r="B335" s="43" t="str">
        <f t="shared" si="5"/>
        <v/>
      </c>
      <c r="C335" s="102"/>
      <c r="D335" s="51"/>
      <c r="E335" s="102"/>
      <c r="F335" s="102"/>
      <c r="G335" s="103"/>
      <c r="H335" s="103" t="str">
        <f t="shared" si="2"/>
        <v/>
      </c>
      <c r="I335" s="103"/>
      <c r="M335" s="103"/>
      <c r="N335" s="113"/>
      <c r="O335" s="107"/>
      <c r="P335" s="106" t="str">
        <f>IF(ISBLANK(N335), "", VLOOKUP(D335&amp;" "&amp;E335, 'Info Tipo de Cambio y REM'!$A$24:$B$35, 2, FALSE))
</f>
        <v/>
      </c>
      <c r="Q335" s="107" t="str">
        <f t="shared" si="3"/>
        <v/>
      </c>
    </row>
    <row r="336">
      <c r="A336" s="102"/>
      <c r="B336" s="43" t="str">
        <f t="shared" si="5"/>
        <v/>
      </c>
      <c r="C336" s="102"/>
      <c r="D336" s="51"/>
      <c r="E336" s="102"/>
      <c r="F336" s="102"/>
      <c r="G336" s="103"/>
      <c r="H336" s="103" t="str">
        <f t="shared" si="2"/>
        <v/>
      </c>
      <c r="I336" s="103"/>
      <c r="M336" s="103"/>
      <c r="N336" s="113"/>
      <c r="O336" s="107"/>
      <c r="P336" s="106" t="str">
        <f>IF(ISBLANK(N336), "", VLOOKUP(D336&amp;" "&amp;E336, 'Info Tipo de Cambio y REM'!$A$24:$B$35, 2, FALSE))
</f>
        <v/>
      </c>
      <c r="Q336" s="107" t="str">
        <f t="shared" si="3"/>
        <v/>
      </c>
    </row>
    <row r="337">
      <c r="A337" s="102"/>
      <c r="B337" s="43" t="str">
        <f t="shared" si="5"/>
        <v/>
      </c>
      <c r="C337" s="102"/>
      <c r="D337" s="51"/>
      <c r="E337" s="102"/>
      <c r="F337" s="102"/>
      <c r="G337" s="103"/>
      <c r="H337" s="103" t="str">
        <f t="shared" si="2"/>
        <v/>
      </c>
      <c r="I337" s="103"/>
      <c r="M337" s="103"/>
      <c r="N337" s="113"/>
      <c r="O337" s="107"/>
      <c r="P337" s="106" t="str">
        <f>IF(ISBLANK(N337), "", VLOOKUP(D337&amp;" "&amp;E337, 'Info Tipo de Cambio y REM'!$A$24:$B$35, 2, FALSE))
</f>
        <v/>
      </c>
      <c r="Q337" s="107" t="str">
        <f t="shared" si="3"/>
        <v/>
      </c>
    </row>
    <row r="338">
      <c r="A338" s="102"/>
      <c r="B338" s="43" t="str">
        <f t="shared" si="5"/>
        <v/>
      </c>
      <c r="C338" s="102"/>
      <c r="D338" s="51"/>
      <c r="E338" s="102"/>
      <c r="F338" s="102"/>
      <c r="G338" s="103"/>
      <c r="H338" s="103" t="str">
        <f t="shared" si="2"/>
        <v/>
      </c>
      <c r="I338" s="103"/>
      <c r="M338" s="103"/>
      <c r="N338" s="113"/>
      <c r="O338" s="107"/>
      <c r="P338" s="106" t="str">
        <f>IF(ISBLANK(N338), "", VLOOKUP(D338&amp;" "&amp;E338, 'Info Tipo de Cambio y REM'!$A$24:$B$35, 2, FALSE))
</f>
        <v/>
      </c>
      <c r="Q338" s="107" t="str">
        <f t="shared" si="3"/>
        <v/>
      </c>
    </row>
    <row r="339">
      <c r="A339" s="102"/>
      <c r="B339" s="43" t="str">
        <f t="shared" si="5"/>
        <v/>
      </c>
      <c r="C339" s="102"/>
      <c r="D339" s="51"/>
      <c r="E339" s="102"/>
      <c r="F339" s="102"/>
      <c r="G339" s="103"/>
      <c r="H339" s="103" t="str">
        <f t="shared" si="2"/>
        <v/>
      </c>
      <c r="I339" s="103"/>
      <c r="M339" s="103"/>
      <c r="N339" s="113"/>
      <c r="O339" s="107"/>
      <c r="P339" s="106" t="str">
        <f>IF(ISBLANK(N339), "", VLOOKUP(D339&amp;" "&amp;E339, 'Info Tipo de Cambio y REM'!$A$24:$B$35, 2, FALSE))
</f>
        <v/>
      </c>
      <c r="Q339" s="107" t="str">
        <f t="shared" si="3"/>
        <v/>
      </c>
    </row>
    <row r="340">
      <c r="A340" s="102"/>
      <c r="B340" s="43" t="str">
        <f t="shared" si="5"/>
        <v/>
      </c>
      <c r="C340" s="102"/>
      <c r="D340" s="51"/>
      <c r="E340" s="102"/>
      <c r="F340" s="102"/>
      <c r="G340" s="103"/>
      <c r="H340" s="103" t="str">
        <f t="shared" si="2"/>
        <v/>
      </c>
      <c r="I340" s="103"/>
      <c r="M340" s="103"/>
      <c r="N340" s="113"/>
      <c r="O340" s="107"/>
      <c r="P340" s="106" t="str">
        <f>IF(ISBLANK(N340), "", VLOOKUP(D340&amp;" "&amp;E340, 'Info Tipo de Cambio y REM'!$A$24:$B$35, 2, FALSE))
</f>
        <v/>
      </c>
      <c r="Q340" s="107" t="str">
        <f t="shared" si="3"/>
        <v/>
      </c>
    </row>
    <row r="341">
      <c r="A341" s="102"/>
      <c r="B341" s="43" t="str">
        <f t="shared" si="5"/>
        <v/>
      </c>
      <c r="C341" s="102"/>
      <c r="D341" s="51"/>
      <c r="E341" s="102"/>
      <c r="F341" s="102"/>
      <c r="G341" s="103"/>
      <c r="H341" s="103" t="str">
        <f t="shared" si="2"/>
        <v/>
      </c>
      <c r="I341" s="103"/>
      <c r="M341" s="103"/>
      <c r="N341" s="113"/>
      <c r="O341" s="107"/>
      <c r="P341" s="106" t="str">
        <f>IF(ISBLANK(N341), "", VLOOKUP(D341&amp;" "&amp;E341, 'Info Tipo de Cambio y REM'!$A$24:$B$35, 2, FALSE))
</f>
        <v/>
      </c>
      <c r="Q341" s="107" t="str">
        <f t="shared" si="3"/>
        <v/>
      </c>
    </row>
    <row r="342">
      <c r="A342" s="102"/>
      <c r="B342" s="43" t="str">
        <f t="shared" si="5"/>
        <v/>
      </c>
      <c r="C342" s="102"/>
      <c r="D342" s="51"/>
      <c r="E342" s="102"/>
      <c r="F342" s="102"/>
      <c r="G342" s="103"/>
      <c r="H342" s="103" t="str">
        <f t="shared" si="2"/>
        <v/>
      </c>
      <c r="I342" s="103"/>
      <c r="M342" s="103"/>
      <c r="N342" s="113"/>
      <c r="O342" s="107"/>
      <c r="P342" s="106" t="str">
        <f>IF(ISBLANK(N342), "", VLOOKUP(D342&amp;" "&amp;E342, 'Info Tipo de Cambio y REM'!$A$24:$B$35, 2, FALSE))
</f>
        <v/>
      </c>
      <c r="Q342" s="107" t="str">
        <f t="shared" si="3"/>
        <v/>
      </c>
    </row>
    <row r="343">
      <c r="A343" s="102"/>
      <c r="B343" s="43" t="str">
        <f t="shared" si="5"/>
        <v/>
      </c>
      <c r="C343" s="102"/>
      <c r="D343" s="51"/>
      <c r="E343" s="102"/>
      <c r="F343" s="102"/>
      <c r="G343" s="103"/>
      <c r="H343" s="103" t="str">
        <f t="shared" si="2"/>
        <v/>
      </c>
      <c r="I343" s="103"/>
      <c r="M343" s="103"/>
      <c r="N343" s="113"/>
      <c r="O343" s="107"/>
      <c r="P343" s="106" t="str">
        <f>IF(ISBLANK(N343), "", VLOOKUP(D343&amp;" "&amp;E343, 'Info Tipo de Cambio y REM'!$A$24:$B$35, 2, FALSE))
</f>
        <v/>
      </c>
      <c r="Q343" s="107" t="str">
        <f t="shared" si="3"/>
        <v/>
      </c>
    </row>
    <row r="344">
      <c r="A344" s="102"/>
      <c r="B344" s="43" t="str">
        <f t="shared" si="5"/>
        <v/>
      </c>
      <c r="C344" s="102"/>
      <c r="D344" s="51"/>
      <c r="E344" s="102"/>
      <c r="F344" s="102"/>
      <c r="G344" s="103"/>
      <c r="H344" s="103" t="str">
        <f t="shared" si="2"/>
        <v/>
      </c>
      <c r="I344" s="103"/>
      <c r="M344" s="103"/>
      <c r="N344" s="113"/>
      <c r="O344" s="107"/>
      <c r="P344" s="106" t="str">
        <f>IF(ISBLANK(N344), "", VLOOKUP(D344&amp;" "&amp;E344, 'Info Tipo de Cambio y REM'!$A$24:$B$35, 2, FALSE))
</f>
        <v/>
      </c>
      <c r="Q344" s="107" t="str">
        <f t="shared" si="3"/>
        <v/>
      </c>
    </row>
    <row r="345">
      <c r="A345" s="102"/>
      <c r="B345" s="43" t="str">
        <f t="shared" si="5"/>
        <v/>
      </c>
      <c r="C345" s="102"/>
      <c r="D345" s="51"/>
      <c r="E345" s="102"/>
      <c r="F345" s="102"/>
      <c r="G345" s="103"/>
      <c r="H345" s="103" t="str">
        <f t="shared" si="2"/>
        <v/>
      </c>
      <c r="I345" s="103"/>
      <c r="M345" s="103"/>
      <c r="N345" s="113"/>
      <c r="O345" s="107"/>
      <c r="P345" s="106" t="str">
        <f>IF(ISBLANK(N345), "", VLOOKUP(D345&amp;" "&amp;E345, 'Info Tipo de Cambio y REM'!$A$24:$B$35, 2, FALSE))
</f>
        <v/>
      </c>
      <c r="Q345" s="107" t="str">
        <f t="shared" si="3"/>
        <v/>
      </c>
    </row>
    <row r="346">
      <c r="A346" s="102"/>
      <c r="B346" s="43" t="str">
        <f t="shared" si="5"/>
        <v/>
      </c>
      <c r="C346" s="102"/>
      <c r="D346" s="51"/>
      <c r="E346" s="102"/>
      <c r="F346" s="102"/>
      <c r="G346" s="103"/>
      <c r="H346" s="103" t="str">
        <f t="shared" si="2"/>
        <v/>
      </c>
      <c r="I346" s="103"/>
      <c r="M346" s="103"/>
      <c r="N346" s="113"/>
      <c r="O346" s="107"/>
      <c r="P346" s="106" t="str">
        <f>IF(ISBLANK(N346), "", VLOOKUP(D346&amp;" "&amp;E346, 'Info Tipo de Cambio y REM'!$A$24:$B$35, 2, FALSE))
</f>
        <v/>
      </c>
      <c r="Q346" s="107" t="str">
        <f t="shared" si="3"/>
        <v/>
      </c>
    </row>
    <row r="347">
      <c r="A347" s="102"/>
      <c r="B347" s="43" t="str">
        <f t="shared" si="5"/>
        <v/>
      </c>
      <c r="C347" s="102"/>
      <c r="D347" s="51"/>
      <c r="E347" s="102"/>
      <c r="F347" s="102"/>
      <c r="G347" s="103"/>
      <c r="H347" s="103" t="str">
        <f t="shared" si="2"/>
        <v/>
      </c>
      <c r="I347" s="103"/>
      <c r="M347" s="103"/>
      <c r="N347" s="113"/>
      <c r="O347" s="107"/>
      <c r="P347" s="106" t="str">
        <f>IF(ISBLANK(N347), "", VLOOKUP(D347&amp;" "&amp;E347, 'Info Tipo de Cambio y REM'!$A$24:$B$35, 2, FALSE))
</f>
        <v/>
      </c>
      <c r="Q347" s="107" t="str">
        <f t="shared" si="3"/>
        <v/>
      </c>
    </row>
    <row r="348">
      <c r="A348" s="102"/>
      <c r="B348" s="43" t="str">
        <f t="shared" si="5"/>
        <v/>
      </c>
      <c r="C348" s="102"/>
      <c r="D348" s="51"/>
      <c r="E348" s="102"/>
      <c r="F348" s="102"/>
      <c r="G348" s="103"/>
      <c r="H348" s="103" t="str">
        <f t="shared" si="2"/>
        <v/>
      </c>
      <c r="I348" s="103"/>
      <c r="M348" s="103"/>
      <c r="N348" s="113"/>
      <c r="O348" s="107"/>
      <c r="P348" s="106" t="str">
        <f>IF(ISBLANK(N348), "", VLOOKUP(D348&amp;" "&amp;E348, 'Info Tipo de Cambio y REM'!$A$24:$B$35, 2, FALSE))
</f>
        <v/>
      </c>
      <c r="Q348" s="107" t="str">
        <f t="shared" si="3"/>
        <v/>
      </c>
    </row>
    <row r="349">
      <c r="A349" s="102"/>
      <c r="B349" s="43" t="str">
        <f t="shared" si="5"/>
        <v/>
      </c>
      <c r="C349" s="102"/>
      <c r="D349" s="51"/>
      <c r="E349" s="102"/>
      <c r="F349" s="102"/>
      <c r="G349" s="103"/>
      <c r="H349" s="103" t="str">
        <f t="shared" si="2"/>
        <v/>
      </c>
      <c r="I349" s="103"/>
      <c r="M349" s="103"/>
      <c r="N349" s="113"/>
      <c r="O349" s="107"/>
      <c r="P349" s="106" t="str">
        <f>IF(ISBLANK(N349), "", VLOOKUP(D349&amp;" "&amp;E349, 'Info Tipo de Cambio y REM'!$A$24:$B$35, 2, FALSE))
</f>
        <v/>
      </c>
      <c r="Q349" s="107" t="str">
        <f t="shared" si="3"/>
        <v/>
      </c>
    </row>
    <row r="350">
      <c r="A350" s="102"/>
      <c r="B350" s="43" t="str">
        <f t="shared" si="5"/>
        <v/>
      </c>
      <c r="C350" s="102"/>
      <c r="D350" s="51"/>
      <c r="E350" s="102"/>
      <c r="F350" s="102"/>
      <c r="G350" s="103"/>
      <c r="H350" s="103" t="str">
        <f t="shared" si="2"/>
        <v/>
      </c>
      <c r="I350" s="103"/>
      <c r="M350" s="103"/>
      <c r="N350" s="113"/>
      <c r="O350" s="107"/>
      <c r="P350" s="106" t="str">
        <f>IF(ISBLANK(N350), "", VLOOKUP(D350&amp;" "&amp;E350, 'Info Tipo de Cambio y REM'!$A$24:$B$35, 2, FALSE))
</f>
        <v/>
      </c>
      <c r="Q350" s="107" t="str">
        <f t="shared" si="3"/>
        <v/>
      </c>
    </row>
    <row r="351">
      <c r="A351" s="102"/>
      <c r="B351" s="43" t="str">
        <f t="shared" si="5"/>
        <v/>
      </c>
      <c r="C351" s="102"/>
      <c r="D351" s="51"/>
      <c r="E351" s="102"/>
      <c r="F351" s="102"/>
      <c r="G351" s="103"/>
      <c r="H351" s="103" t="str">
        <f t="shared" si="2"/>
        <v/>
      </c>
      <c r="I351" s="103"/>
      <c r="M351" s="103"/>
      <c r="N351" s="113"/>
      <c r="O351" s="107"/>
      <c r="P351" s="106" t="str">
        <f>IF(ISBLANK(N351), "", VLOOKUP(D351&amp;" "&amp;E351, 'Info Tipo de Cambio y REM'!$A$24:$B$35, 2, FALSE))
</f>
        <v/>
      </c>
      <c r="Q351" s="107" t="str">
        <f t="shared" si="3"/>
        <v/>
      </c>
    </row>
    <row r="352">
      <c r="A352" s="102"/>
      <c r="B352" s="43" t="str">
        <f t="shared" si="5"/>
        <v/>
      </c>
      <c r="C352" s="102"/>
      <c r="D352" s="51"/>
      <c r="E352" s="102"/>
      <c r="F352" s="102"/>
      <c r="G352" s="103"/>
      <c r="H352" s="103" t="str">
        <f t="shared" si="2"/>
        <v/>
      </c>
      <c r="I352" s="103"/>
      <c r="M352" s="103"/>
      <c r="N352" s="113"/>
      <c r="O352" s="107"/>
      <c r="P352" s="106" t="str">
        <f>IF(ISBLANK(N352), "", VLOOKUP(D352&amp;" "&amp;E352, 'Info Tipo de Cambio y REM'!$A$24:$B$35, 2, FALSE))
</f>
        <v/>
      </c>
      <c r="Q352" s="107" t="str">
        <f t="shared" si="3"/>
        <v/>
      </c>
    </row>
    <row r="353">
      <c r="A353" s="102"/>
      <c r="B353" s="43" t="str">
        <f t="shared" si="5"/>
        <v/>
      </c>
      <c r="C353" s="102"/>
      <c r="D353" s="51"/>
      <c r="E353" s="102"/>
      <c r="F353" s="102"/>
      <c r="G353" s="103"/>
      <c r="H353" s="103" t="str">
        <f t="shared" si="2"/>
        <v/>
      </c>
      <c r="I353" s="103"/>
      <c r="M353" s="103"/>
      <c r="N353" s="113"/>
      <c r="O353" s="107"/>
      <c r="P353" s="106" t="str">
        <f>IF(ISBLANK(N353), "", VLOOKUP(D353&amp;" "&amp;E353, 'Info Tipo de Cambio y REM'!$A$24:$B$35, 2, FALSE))
</f>
        <v/>
      </c>
      <c r="Q353" s="107" t="str">
        <f t="shared" si="3"/>
        <v/>
      </c>
    </row>
    <row r="354">
      <c r="A354" s="102"/>
      <c r="B354" s="43" t="str">
        <f t="shared" si="5"/>
        <v/>
      </c>
      <c r="C354" s="102"/>
      <c r="D354" s="51"/>
      <c r="E354" s="102"/>
      <c r="F354" s="102"/>
      <c r="G354" s="103"/>
      <c r="H354" s="103" t="str">
        <f t="shared" si="2"/>
        <v/>
      </c>
      <c r="I354" s="103"/>
      <c r="M354" s="103"/>
      <c r="N354" s="113"/>
      <c r="O354" s="107"/>
      <c r="P354" s="106" t="str">
        <f>IF(ISBLANK(N354), "", VLOOKUP(D354&amp;" "&amp;E354, 'Info Tipo de Cambio y REM'!$A$24:$B$35, 2, FALSE))
</f>
        <v/>
      </c>
      <c r="Q354" s="107" t="str">
        <f t="shared" si="3"/>
        <v/>
      </c>
    </row>
    <row r="355">
      <c r="A355" s="102"/>
      <c r="B355" s="43" t="str">
        <f t="shared" si="5"/>
        <v/>
      </c>
      <c r="C355" s="102"/>
      <c r="D355" s="51"/>
      <c r="E355" s="102"/>
      <c r="F355" s="102"/>
      <c r="G355" s="103"/>
      <c r="H355" s="103" t="str">
        <f t="shared" si="2"/>
        <v/>
      </c>
      <c r="I355" s="103"/>
      <c r="M355" s="103"/>
      <c r="N355" s="113"/>
      <c r="O355" s="107"/>
      <c r="P355" s="106" t="str">
        <f>IF(ISBLANK(N355), "", VLOOKUP(D355&amp;" "&amp;E355, 'Info Tipo de Cambio y REM'!$A$24:$B$35, 2, FALSE))
</f>
        <v/>
      </c>
      <c r="Q355" s="107" t="str">
        <f t="shared" si="3"/>
        <v/>
      </c>
    </row>
    <row r="356">
      <c r="A356" s="102"/>
      <c r="B356" s="43" t="str">
        <f t="shared" si="5"/>
        <v/>
      </c>
      <c r="C356" s="102"/>
      <c r="D356" s="51"/>
      <c r="E356" s="102"/>
      <c r="F356" s="102"/>
      <c r="G356" s="103"/>
      <c r="H356" s="103" t="str">
        <f t="shared" si="2"/>
        <v/>
      </c>
      <c r="I356" s="103"/>
      <c r="M356" s="103"/>
      <c r="N356" s="113"/>
      <c r="O356" s="107"/>
      <c r="P356" s="106" t="str">
        <f>IF(ISBLANK(N356), "", VLOOKUP(D356&amp;" "&amp;E356, 'Info Tipo de Cambio y REM'!$A$24:$B$35, 2, FALSE))
</f>
        <v/>
      </c>
      <c r="Q356" s="107" t="str">
        <f t="shared" si="3"/>
        <v/>
      </c>
    </row>
    <row r="357">
      <c r="A357" s="102"/>
      <c r="B357" s="43" t="str">
        <f t="shared" si="5"/>
        <v/>
      </c>
      <c r="C357" s="102"/>
      <c r="D357" s="51"/>
      <c r="E357" s="102"/>
      <c r="F357" s="102"/>
      <c r="G357" s="103"/>
      <c r="H357" s="103" t="str">
        <f t="shared" si="2"/>
        <v/>
      </c>
      <c r="I357" s="103"/>
      <c r="M357" s="103"/>
      <c r="N357" s="113"/>
      <c r="O357" s="107"/>
      <c r="P357" s="106" t="str">
        <f>IF(ISBLANK(N357), "", VLOOKUP(D357&amp;" "&amp;E357, 'Info Tipo de Cambio y REM'!$A$24:$B$35, 2, FALSE))
</f>
        <v/>
      </c>
      <c r="Q357" s="107" t="str">
        <f t="shared" si="3"/>
        <v/>
      </c>
    </row>
    <row r="358">
      <c r="A358" s="102"/>
      <c r="B358" s="43" t="str">
        <f t="shared" si="5"/>
        <v/>
      </c>
      <c r="C358" s="102"/>
      <c r="D358" s="51"/>
      <c r="E358" s="102"/>
      <c r="F358" s="102"/>
      <c r="G358" s="103"/>
      <c r="H358" s="103" t="str">
        <f t="shared" si="2"/>
        <v/>
      </c>
      <c r="I358" s="103"/>
      <c r="M358" s="103"/>
      <c r="N358" s="113"/>
      <c r="O358" s="107"/>
      <c r="P358" s="106" t="str">
        <f>IF(ISBLANK(N358), "", VLOOKUP(D358&amp;" "&amp;E358, 'Info Tipo de Cambio y REM'!$A$24:$B$35, 2, FALSE))
</f>
        <v/>
      </c>
      <c r="Q358" s="107" t="str">
        <f t="shared" si="3"/>
        <v/>
      </c>
    </row>
    <row r="359">
      <c r="A359" s="102"/>
      <c r="B359" s="43" t="str">
        <f t="shared" si="5"/>
        <v/>
      </c>
      <c r="C359" s="102"/>
      <c r="D359" s="51"/>
      <c r="E359" s="102"/>
      <c r="F359" s="102"/>
      <c r="G359" s="103"/>
      <c r="H359" s="103" t="str">
        <f t="shared" si="2"/>
        <v/>
      </c>
      <c r="I359" s="103"/>
      <c r="M359" s="103"/>
      <c r="N359" s="113"/>
      <c r="O359" s="107"/>
      <c r="P359" s="106" t="str">
        <f>IF(ISBLANK(N359), "", VLOOKUP(D359&amp;" "&amp;E359, 'Info Tipo de Cambio y REM'!$A$24:$B$35, 2, FALSE))
</f>
        <v/>
      </c>
      <c r="Q359" s="107" t="str">
        <f t="shared" si="3"/>
        <v/>
      </c>
    </row>
    <row r="360">
      <c r="A360" s="102"/>
      <c r="B360" s="43" t="str">
        <f t="shared" si="5"/>
        <v/>
      </c>
      <c r="C360" s="102"/>
      <c r="D360" s="51"/>
      <c r="E360" s="102"/>
      <c r="F360" s="102"/>
      <c r="G360" s="103"/>
      <c r="H360" s="103" t="str">
        <f t="shared" si="2"/>
        <v/>
      </c>
      <c r="I360" s="103"/>
      <c r="M360" s="103"/>
      <c r="N360" s="113"/>
      <c r="O360" s="107"/>
      <c r="P360" s="106" t="str">
        <f>IF(ISBLANK(N360), "", VLOOKUP(D360&amp;" "&amp;E360, 'Info Tipo de Cambio y REM'!$A$24:$B$35, 2, FALSE))
</f>
        <v/>
      </c>
      <c r="Q360" s="107" t="str">
        <f t="shared" si="3"/>
        <v/>
      </c>
    </row>
    <row r="361">
      <c r="A361" s="102"/>
      <c r="B361" s="43" t="str">
        <f t="shared" si="5"/>
        <v/>
      </c>
      <c r="C361" s="102"/>
      <c r="D361" s="51"/>
      <c r="E361" s="102"/>
      <c r="F361" s="102"/>
      <c r="G361" s="103"/>
      <c r="H361" s="103" t="str">
        <f t="shared" si="2"/>
        <v/>
      </c>
      <c r="I361" s="103"/>
      <c r="M361" s="103"/>
      <c r="N361" s="113"/>
      <c r="O361" s="107"/>
      <c r="P361" s="106" t="str">
        <f>IF(ISBLANK(N361), "", VLOOKUP(D361&amp;" "&amp;E361, 'Info Tipo de Cambio y REM'!$A$24:$B$35, 2, FALSE))
</f>
        <v/>
      </c>
      <c r="Q361" s="107" t="str">
        <f t="shared" si="3"/>
        <v/>
      </c>
    </row>
    <row r="362">
      <c r="A362" s="102"/>
      <c r="B362" s="43" t="str">
        <f t="shared" si="5"/>
        <v/>
      </c>
      <c r="C362" s="102"/>
      <c r="D362" s="51"/>
      <c r="E362" s="102"/>
      <c r="F362" s="102"/>
      <c r="G362" s="103"/>
      <c r="H362" s="103" t="str">
        <f t="shared" si="2"/>
        <v/>
      </c>
      <c r="I362" s="103"/>
      <c r="M362" s="103"/>
      <c r="N362" s="113"/>
      <c r="O362" s="107"/>
      <c r="P362" s="106" t="str">
        <f>IF(ISBLANK(N362), "", VLOOKUP(D362&amp;" "&amp;E362, 'Info Tipo de Cambio y REM'!$A$24:$B$35, 2, FALSE))
</f>
        <v/>
      </c>
      <c r="Q362" s="107" t="str">
        <f t="shared" si="3"/>
        <v/>
      </c>
    </row>
    <row r="363">
      <c r="A363" s="102"/>
      <c r="B363" s="43" t="str">
        <f t="shared" si="5"/>
        <v/>
      </c>
      <c r="C363" s="102"/>
      <c r="D363" s="51"/>
      <c r="E363" s="102"/>
      <c r="F363" s="102"/>
      <c r="G363" s="103"/>
      <c r="H363" s="103" t="str">
        <f t="shared" si="2"/>
        <v/>
      </c>
      <c r="I363" s="103"/>
      <c r="M363" s="103"/>
      <c r="N363" s="113"/>
      <c r="O363" s="107"/>
      <c r="P363" s="106" t="str">
        <f>IF(ISBLANK(N363), "", VLOOKUP(D363&amp;" "&amp;E363, 'Info Tipo de Cambio y REM'!$A$24:$B$35, 2, FALSE))
</f>
        <v/>
      </c>
      <c r="Q363" s="107" t="str">
        <f t="shared" si="3"/>
        <v/>
      </c>
    </row>
    <row r="364">
      <c r="A364" s="102"/>
      <c r="B364" s="43" t="str">
        <f t="shared" si="5"/>
        <v/>
      </c>
      <c r="C364" s="102"/>
      <c r="D364" s="51"/>
      <c r="E364" s="102"/>
      <c r="F364" s="102"/>
      <c r="G364" s="103"/>
      <c r="H364" s="103" t="str">
        <f t="shared" si="2"/>
        <v/>
      </c>
      <c r="I364" s="103"/>
      <c r="M364" s="103"/>
      <c r="N364" s="113"/>
      <c r="O364" s="107"/>
      <c r="P364" s="106" t="str">
        <f>IF(ISBLANK(N364), "", VLOOKUP(D364&amp;" "&amp;E364, 'Info Tipo de Cambio y REM'!$A$24:$B$35, 2, FALSE))
</f>
        <v/>
      </c>
      <c r="Q364" s="107" t="str">
        <f t="shared" si="3"/>
        <v/>
      </c>
    </row>
    <row r="365">
      <c r="A365" s="102"/>
      <c r="B365" s="43" t="str">
        <f t="shared" si="5"/>
        <v/>
      </c>
      <c r="C365" s="102"/>
      <c r="D365" s="51"/>
      <c r="E365" s="102"/>
      <c r="F365" s="102"/>
      <c r="G365" s="103"/>
      <c r="H365" s="103" t="str">
        <f t="shared" si="2"/>
        <v/>
      </c>
      <c r="I365" s="103"/>
      <c r="M365" s="103"/>
      <c r="N365" s="113"/>
      <c r="O365" s="107"/>
      <c r="P365" s="106" t="str">
        <f>IF(ISBLANK(N365), "", VLOOKUP(D365&amp;" "&amp;E365, 'Info Tipo de Cambio y REM'!$A$24:$B$35, 2, FALSE))
</f>
        <v/>
      </c>
      <c r="Q365" s="107" t="str">
        <f t="shared" si="3"/>
        <v/>
      </c>
    </row>
    <row r="366">
      <c r="A366" s="102"/>
      <c r="B366" s="43" t="str">
        <f t="shared" si="5"/>
        <v/>
      </c>
      <c r="C366" s="102"/>
      <c r="D366" s="51"/>
      <c r="E366" s="102"/>
      <c r="F366" s="102"/>
      <c r="G366" s="103"/>
      <c r="H366" s="103" t="str">
        <f t="shared" si="2"/>
        <v/>
      </c>
      <c r="I366" s="103"/>
      <c r="M366" s="103"/>
      <c r="N366" s="113"/>
      <c r="O366" s="107"/>
      <c r="P366" s="106" t="str">
        <f>IF(ISBLANK(N366), "", VLOOKUP(D366&amp;" "&amp;E366, 'Info Tipo de Cambio y REM'!$A$24:$B$35, 2, FALSE))
</f>
        <v/>
      </c>
      <c r="Q366" s="107" t="str">
        <f t="shared" si="3"/>
        <v/>
      </c>
    </row>
    <row r="367">
      <c r="A367" s="102"/>
      <c r="B367" s="43" t="str">
        <f t="shared" si="5"/>
        <v/>
      </c>
      <c r="C367" s="102"/>
      <c r="D367" s="51"/>
      <c r="E367" s="102"/>
      <c r="F367" s="102"/>
      <c r="G367" s="103"/>
      <c r="H367" s="103" t="str">
        <f t="shared" si="2"/>
        <v/>
      </c>
      <c r="I367" s="103"/>
      <c r="M367" s="103"/>
      <c r="N367" s="113"/>
      <c r="O367" s="107"/>
      <c r="P367" s="106" t="str">
        <f>IF(ISBLANK(N367), "", VLOOKUP(D367&amp;" "&amp;E367, 'Info Tipo de Cambio y REM'!$A$24:$B$35, 2, FALSE))
</f>
        <v/>
      </c>
      <c r="Q367" s="107" t="str">
        <f t="shared" si="3"/>
        <v/>
      </c>
    </row>
    <row r="368">
      <c r="A368" s="102"/>
      <c r="B368" s="43" t="str">
        <f t="shared" si="5"/>
        <v/>
      </c>
      <c r="C368" s="102"/>
      <c r="D368" s="51"/>
      <c r="E368" s="102"/>
      <c r="F368" s="102"/>
      <c r="G368" s="103"/>
      <c r="H368" s="103" t="str">
        <f t="shared" si="2"/>
        <v/>
      </c>
      <c r="I368" s="103"/>
      <c r="M368" s="103"/>
      <c r="N368" s="113"/>
      <c r="O368" s="107"/>
      <c r="P368" s="106" t="str">
        <f>IF(ISBLANK(N368), "", VLOOKUP(D368&amp;" "&amp;E368, 'Info Tipo de Cambio y REM'!$A$24:$B$35, 2, FALSE))
</f>
        <v/>
      </c>
      <c r="Q368" s="107" t="str">
        <f t="shared" si="3"/>
        <v/>
      </c>
    </row>
    <row r="369">
      <c r="A369" s="102"/>
      <c r="B369" s="43" t="str">
        <f t="shared" si="5"/>
        <v/>
      </c>
      <c r="C369" s="102"/>
      <c r="D369" s="51"/>
      <c r="E369" s="102"/>
      <c r="F369" s="102"/>
      <c r="G369" s="103"/>
      <c r="H369" s="103" t="str">
        <f t="shared" si="2"/>
        <v/>
      </c>
      <c r="I369" s="103"/>
      <c r="M369" s="103"/>
      <c r="N369" s="113"/>
      <c r="O369" s="107"/>
      <c r="P369" s="106" t="str">
        <f>IF(ISBLANK(N369), "", VLOOKUP(D369&amp;" "&amp;E369, 'Info Tipo de Cambio y REM'!$A$24:$B$35, 2, FALSE))
</f>
        <v/>
      </c>
      <c r="Q369" s="107" t="str">
        <f t="shared" si="3"/>
        <v/>
      </c>
    </row>
    <row r="370">
      <c r="A370" s="102"/>
      <c r="B370" s="43" t="str">
        <f t="shared" si="5"/>
        <v/>
      </c>
      <c r="C370" s="102"/>
      <c r="D370" s="51"/>
      <c r="E370" s="102"/>
      <c r="F370" s="102"/>
      <c r="G370" s="103"/>
      <c r="H370" s="103" t="str">
        <f t="shared" si="2"/>
        <v/>
      </c>
      <c r="I370" s="103"/>
      <c r="M370" s="103"/>
      <c r="N370" s="113"/>
      <c r="O370" s="107"/>
      <c r="P370" s="106" t="str">
        <f>IF(ISBLANK(N370), "", VLOOKUP(D370&amp;" "&amp;E370, 'Info Tipo de Cambio y REM'!$A$24:$B$35, 2, FALSE))
</f>
        <v/>
      </c>
      <c r="Q370" s="107" t="str">
        <f t="shared" si="3"/>
        <v/>
      </c>
    </row>
    <row r="371">
      <c r="A371" s="102"/>
      <c r="B371" s="43" t="str">
        <f t="shared" si="5"/>
        <v/>
      </c>
      <c r="C371" s="102"/>
      <c r="D371" s="51"/>
      <c r="E371" s="102"/>
      <c r="F371" s="102"/>
      <c r="G371" s="103"/>
      <c r="H371" s="103" t="str">
        <f t="shared" si="2"/>
        <v/>
      </c>
      <c r="I371" s="103"/>
      <c r="M371" s="103"/>
      <c r="N371" s="113"/>
      <c r="O371" s="107"/>
      <c r="P371" s="106" t="str">
        <f>IF(ISBLANK(N371), "", VLOOKUP(D371&amp;" "&amp;E371, 'Info Tipo de Cambio y REM'!$A$24:$B$35, 2, FALSE))
</f>
        <v/>
      </c>
      <c r="Q371" s="107" t="str">
        <f t="shared" si="3"/>
        <v/>
      </c>
    </row>
    <row r="372">
      <c r="A372" s="102"/>
      <c r="B372" s="43" t="str">
        <f t="shared" si="5"/>
        <v/>
      </c>
      <c r="C372" s="102"/>
      <c r="D372" s="51"/>
      <c r="E372" s="102"/>
      <c r="F372" s="102"/>
      <c r="G372" s="103"/>
      <c r="H372" s="103" t="str">
        <f t="shared" si="2"/>
        <v/>
      </c>
      <c r="I372" s="103"/>
      <c r="M372" s="103"/>
      <c r="N372" s="113"/>
      <c r="O372" s="107"/>
      <c r="P372" s="106" t="str">
        <f>IF(ISBLANK(N372), "", VLOOKUP(D372&amp;" "&amp;E372, 'Info Tipo de Cambio y REM'!$A$24:$B$35, 2, FALSE))
</f>
        <v/>
      </c>
      <c r="Q372" s="107" t="str">
        <f t="shared" si="3"/>
        <v/>
      </c>
    </row>
    <row r="373">
      <c r="A373" s="102"/>
      <c r="B373" s="43" t="str">
        <f t="shared" si="5"/>
        <v/>
      </c>
      <c r="C373" s="102"/>
      <c r="D373" s="51"/>
      <c r="E373" s="102"/>
      <c r="F373" s="102"/>
      <c r="G373" s="103"/>
      <c r="H373" s="103" t="str">
        <f t="shared" si="2"/>
        <v/>
      </c>
      <c r="I373" s="103"/>
      <c r="M373" s="103"/>
      <c r="N373" s="113"/>
      <c r="O373" s="107"/>
      <c r="P373" s="106" t="str">
        <f>IF(ISBLANK(N373), "", VLOOKUP(D373&amp;" "&amp;E373, 'Info Tipo de Cambio y REM'!$A$24:$B$35, 2, FALSE))
</f>
        <v/>
      </c>
      <c r="Q373" s="107" t="str">
        <f t="shared" si="3"/>
        <v/>
      </c>
    </row>
    <row r="374">
      <c r="A374" s="102"/>
      <c r="B374" s="43" t="str">
        <f t="shared" si="5"/>
        <v/>
      </c>
      <c r="C374" s="102"/>
      <c r="D374" s="51"/>
      <c r="E374" s="102"/>
      <c r="F374" s="102"/>
      <c r="G374" s="103"/>
      <c r="H374" s="103" t="str">
        <f t="shared" si="2"/>
        <v/>
      </c>
      <c r="I374" s="103"/>
      <c r="M374" s="103"/>
      <c r="N374" s="113"/>
      <c r="O374" s="107"/>
      <c r="P374" s="106" t="str">
        <f>IF(ISBLANK(N374), "", VLOOKUP(D374&amp;" "&amp;E374, 'Info Tipo de Cambio y REM'!$A$24:$B$35, 2, FALSE))
</f>
        <v/>
      </c>
      <c r="Q374" s="107" t="str">
        <f t="shared" si="3"/>
        <v/>
      </c>
    </row>
    <row r="375">
      <c r="A375" s="102"/>
      <c r="B375" s="43" t="str">
        <f t="shared" si="5"/>
        <v/>
      </c>
      <c r="C375" s="102"/>
      <c r="D375" s="51"/>
      <c r="E375" s="102"/>
      <c r="F375" s="102"/>
      <c r="G375" s="103"/>
      <c r="H375" s="103" t="str">
        <f t="shared" si="2"/>
        <v/>
      </c>
      <c r="I375" s="103"/>
      <c r="M375" s="103"/>
      <c r="N375" s="113"/>
      <c r="O375" s="107"/>
      <c r="P375" s="106" t="str">
        <f>IF(ISBLANK(N375), "", VLOOKUP(D375&amp;" "&amp;E375, 'Info Tipo de Cambio y REM'!$A$24:$B$35, 2, FALSE))
</f>
        <v/>
      </c>
      <c r="Q375" s="107" t="str">
        <f t="shared" si="3"/>
        <v/>
      </c>
    </row>
    <row r="376">
      <c r="A376" s="102"/>
      <c r="B376" s="43" t="str">
        <f t="shared" si="5"/>
        <v/>
      </c>
      <c r="C376" s="102"/>
      <c r="D376" s="51"/>
      <c r="E376" s="102"/>
      <c r="F376" s="102"/>
      <c r="G376" s="103"/>
      <c r="H376" s="103" t="str">
        <f t="shared" si="2"/>
        <v/>
      </c>
      <c r="I376" s="103"/>
      <c r="M376" s="103"/>
      <c r="N376" s="113"/>
      <c r="O376" s="107"/>
      <c r="P376" s="106" t="str">
        <f>IF(ISBLANK(N376), "", VLOOKUP(D376&amp;" "&amp;E376, 'Info Tipo de Cambio y REM'!$A$24:$B$35, 2, FALSE))
</f>
        <v/>
      </c>
      <c r="Q376" s="107" t="str">
        <f t="shared" si="3"/>
        <v/>
      </c>
    </row>
    <row r="377">
      <c r="A377" s="102"/>
      <c r="B377" s="43" t="str">
        <f t="shared" si="5"/>
        <v/>
      </c>
      <c r="C377" s="102"/>
      <c r="D377" s="51"/>
      <c r="E377" s="102"/>
      <c r="F377" s="102"/>
      <c r="G377" s="103"/>
      <c r="H377" s="103" t="str">
        <f t="shared" si="2"/>
        <v/>
      </c>
      <c r="I377" s="103"/>
      <c r="M377" s="103"/>
      <c r="N377" s="113"/>
      <c r="O377" s="107"/>
      <c r="P377" s="106" t="str">
        <f>IF(ISBLANK(N377), "", VLOOKUP(D377&amp;" "&amp;E377, 'Info Tipo de Cambio y REM'!$A$24:$B$35, 2, FALSE))
</f>
        <v/>
      </c>
      <c r="Q377" s="107" t="str">
        <f t="shared" si="3"/>
        <v/>
      </c>
    </row>
    <row r="378">
      <c r="A378" s="102"/>
      <c r="B378" s="43" t="str">
        <f t="shared" si="5"/>
        <v/>
      </c>
      <c r="C378" s="102"/>
      <c r="D378" s="51"/>
      <c r="E378" s="102"/>
      <c r="F378" s="102"/>
      <c r="G378" s="103"/>
      <c r="H378" s="103" t="str">
        <f t="shared" si="2"/>
        <v/>
      </c>
      <c r="I378" s="103"/>
      <c r="M378" s="103"/>
      <c r="N378" s="113"/>
      <c r="O378" s="107"/>
      <c r="P378" s="106" t="str">
        <f>IF(ISBLANK(N378), "", VLOOKUP(D378&amp;" "&amp;E378, 'Info Tipo de Cambio y REM'!$A$24:$B$35, 2, FALSE))
</f>
        <v/>
      </c>
      <c r="Q378" s="107" t="str">
        <f t="shared" si="3"/>
        <v/>
      </c>
    </row>
    <row r="379">
      <c r="A379" s="102"/>
      <c r="B379" s="43" t="str">
        <f t="shared" si="5"/>
        <v/>
      </c>
      <c r="C379" s="102"/>
      <c r="D379" s="51"/>
      <c r="E379" s="102"/>
      <c r="F379" s="102"/>
      <c r="G379" s="103"/>
      <c r="H379" s="103" t="str">
        <f t="shared" si="2"/>
        <v/>
      </c>
      <c r="I379" s="103"/>
      <c r="M379" s="103"/>
      <c r="N379" s="113"/>
      <c r="O379" s="107"/>
      <c r="P379" s="106" t="str">
        <f>IF(ISBLANK(N379), "", VLOOKUP(D379&amp;" "&amp;E379, 'Info Tipo de Cambio y REM'!$A$24:$B$35, 2, FALSE))
</f>
        <v/>
      </c>
      <c r="Q379" s="107" t="str">
        <f t="shared" si="3"/>
        <v/>
      </c>
    </row>
    <row r="380">
      <c r="A380" s="102"/>
      <c r="B380" s="43" t="str">
        <f t="shared" si="5"/>
        <v/>
      </c>
      <c r="C380" s="102"/>
      <c r="D380" s="51"/>
      <c r="E380" s="102"/>
      <c r="F380" s="102"/>
      <c r="G380" s="103"/>
      <c r="H380" s="103" t="str">
        <f t="shared" si="2"/>
        <v/>
      </c>
      <c r="I380" s="103"/>
      <c r="M380" s="103"/>
      <c r="N380" s="113"/>
      <c r="O380" s="107"/>
      <c r="P380" s="106" t="str">
        <f>IF(ISBLANK(N380), "", VLOOKUP(D380&amp;" "&amp;E380, 'Info Tipo de Cambio y REM'!$A$24:$B$35, 2, FALSE))
</f>
        <v/>
      </c>
      <c r="Q380" s="107" t="str">
        <f t="shared" si="3"/>
        <v/>
      </c>
    </row>
    <row r="381">
      <c r="A381" s="102"/>
      <c r="B381" s="43" t="str">
        <f t="shared" si="5"/>
        <v/>
      </c>
      <c r="C381" s="102"/>
      <c r="D381" s="51"/>
      <c r="E381" s="102"/>
      <c r="F381" s="102"/>
      <c r="G381" s="103"/>
      <c r="H381" s="103" t="str">
        <f t="shared" si="2"/>
        <v/>
      </c>
      <c r="I381" s="103"/>
      <c r="M381" s="103"/>
      <c r="N381" s="113"/>
      <c r="O381" s="107"/>
      <c r="P381" s="106" t="str">
        <f>IF(ISBLANK(N381), "", VLOOKUP(D381&amp;" "&amp;E381, 'Info Tipo de Cambio y REM'!$A$24:$B$35, 2, FALSE))
</f>
        <v/>
      </c>
      <c r="Q381" s="107" t="str">
        <f t="shared" si="3"/>
        <v/>
      </c>
    </row>
    <row r="382">
      <c r="A382" s="102"/>
      <c r="B382" s="43" t="str">
        <f t="shared" si="5"/>
        <v/>
      </c>
      <c r="C382" s="102"/>
      <c r="D382" s="51"/>
      <c r="E382" s="102"/>
      <c r="F382" s="102"/>
      <c r="G382" s="103"/>
      <c r="H382" s="103" t="str">
        <f t="shared" si="2"/>
        <v/>
      </c>
      <c r="I382" s="103"/>
      <c r="M382" s="103"/>
      <c r="N382" s="113"/>
      <c r="O382" s="107"/>
      <c r="P382" s="106" t="str">
        <f>IF(ISBLANK(N382), "", VLOOKUP(D382&amp;" "&amp;E382, 'Info Tipo de Cambio y REM'!$A$24:$B$35, 2, FALSE))
</f>
        <v/>
      </c>
      <c r="Q382" s="107" t="str">
        <f t="shared" si="3"/>
        <v/>
      </c>
    </row>
    <row r="383">
      <c r="A383" s="102"/>
      <c r="B383" s="43" t="str">
        <f t="shared" si="5"/>
        <v/>
      </c>
      <c r="C383" s="102"/>
      <c r="D383" s="51"/>
      <c r="E383" s="102"/>
      <c r="F383" s="102"/>
      <c r="G383" s="103"/>
      <c r="H383" s="103" t="str">
        <f t="shared" si="2"/>
        <v/>
      </c>
      <c r="I383" s="103"/>
      <c r="M383" s="103"/>
      <c r="N383" s="113"/>
      <c r="O383" s="107"/>
      <c r="P383" s="106" t="str">
        <f>IF(ISBLANK(N383), "", VLOOKUP(D383&amp;" "&amp;E383, 'Info Tipo de Cambio y REM'!$A$24:$B$35, 2, FALSE))
</f>
        <v/>
      </c>
      <c r="Q383" s="107" t="str">
        <f t="shared" si="3"/>
        <v/>
      </c>
    </row>
    <row r="384">
      <c r="A384" s="102"/>
      <c r="B384" s="43" t="str">
        <f t="shared" si="5"/>
        <v/>
      </c>
      <c r="C384" s="102"/>
      <c r="D384" s="51"/>
      <c r="E384" s="102"/>
      <c r="F384" s="102"/>
      <c r="G384" s="103"/>
      <c r="H384" s="103" t="str">
        <f t="shared" si="2"/>
        <v/>
      </c>
      <c r="I384" s="103"/>
      <c r="M384" s="103"/>
      <c r="N384" s="113"/>
      <c r="O384" s="107"/>
      <c r="P384" s="106" t="str">
        <f>IF(ISBLANK(N384), "", VLOOKUP(D384&amp;" "&amp;E384, 'Info Tipo de Cambio y REM'!$A$24:$B$35, 2, FALSE))
</f>
        <v/>
      </c>
      <c r="Q384" s="107" t="str">
        <f t="shared" si="3"/>
        <v/>
      </c>
    </row>
    <row r="385">
      <c r="A385" s="102"/>
      <c r="B385" s="43" t="str">
        <f t="shared" si="5"/>
        <v/>
      </c>
      <c r="C385" s="102"/>
      <c r="D385" s="51"/>
      <c r="E385" s="102"/>
      <c r="F385" s="102"/>
      <c r="G385" s="103"/>
      <c r="H385" s="103" t="str">
        <f t="shared" si="2"/>
        <v/>
      </c>
      <c r="I385" s="103"/>
      <c r="M385" s="103"/>
      <c r="N385" s="113"/>
      <c r="O385" s="107"/>
      <c r="P385" s="106" t="str">
        <f>IF(ISBLANK(N385), "", VLOOKUP(D385&amp;" "&amp;E385, 'Info Tipo de Cambio y REM'!$A$24:$B$35, 2, FALSE))
</f>
        <v/>
      </c>
      <c r="Q385" s="107" t="str">
        <f t="shared" si="3"/>
        <v/>
      </c>
    </row>
    <row r="386">
      <c r="A386" s="102"/>
      <c r="B386" s="43" t="str">
        <f t="shared" si="5"/>
        <v/>
      </c>
      <c r="C386" s="102"/>
      <c r="D386" s="51"/>
      <c r="E386" s="102"/>
      <c r="F386" s="102"/>
      <c r="G386" s="103"/>
      <c r="H386" s="103" t="str">
        <f t="shared" si="2"/>
        <v/>
      </c>
      <c r="I386" s="103"/>
      <c r="M386" s="103"/>
      <c r="N386" s="113"/>
      <c r="O386" s="107"/>
      <c r="P386" s="106" t="str">
        <f>IF(ISBLANK(N386), "", VLOOKUP(D386&amp;" "&amp;E386, 'Info Tipo de Cambio y REM'!$A$24:$B$35, 2, FALSE))
</f>
        <v/>
      </c>
      <c r="Q386" s="107" t="str">
        <f t="shared" si="3"/>
        <v/>
      </c>
    </row>
    <row r="387">
      <c r="A387" s="102"/>
      <c r="B387" s="43" t="str">
        <f t="shared" si="5"/>
        <v/>
      </c>
      <c r="C387" s="102"/>
      <c r="D387" s="51"/>
      <c r="E387" s="102"/>
      <c r="F387" s="102"/>
      <c r="G387" s="103"/>
      <c r="H387" s="103" t="str">
        <f t="shared" si="2"/>
        <v/>
      </c>
      <c r="I387" s="103"/>
      <c r="M387" s="103"/>
      <c r="N387" s="113"/>
      <c r="O387" s="107"/>
      <c r="P387" s="106" t="str">
        <f>IF(ISBLANK(N387), "", VLOOKUP(D387&amp;" "&amp;E387, 'Info Tipo de Cambio y REM'!$A$24:$B$35, 2, FALSE))
</f>
        <v/>
      </c>
      <c r="Q387" s="107" t="str">
        <f t="shared" si="3"/>
        <v/>
      </c>
    </row>
    <row r="388">
      <c r="A388" s="102"/>
      <c r="B388" s="43" t="str">
        <f t="shared" si="5"/>
        <v/>
      </c>
      <c r="C388" s="102"/>
      <c r="D388" s="51"/>
      <c r="E388" s="102"/>
      <c r="F388" s="102"/>
      <c r="G388" s="103"/>
      <c r="H388" s="103" t="str">
        <f t="shared" si="2"/>
        <v/>
      </c>
      <c r="I388" s="103"/>
      <c r="M388" s="103"/>
      <c r="N388" s="113"/>
      <c r="O388" s="107"/>
      <c r="P388" s="106" t="str">
        <f>IF(ISBLANK(N388), "", VLOOKUP(D388&amp;" "&amp;E388, 'Info Tipo de Cambio y REM'!$A$24:$B$35, 2, FALSE))
</f>
        <v/>
      </c>
      <c r="Q388" s="107" t="str">
        <f t="shared" si="3"/>
        <v/>
      </c>
    </row>
    <row r="389">
      <c r="A389" s="102"/>
      <c r="B389" s="43" t="str">
        <f t="shared" si="5"/>
        <v/>
      </c>
      <c r="C389" s="102"/>
      <c r="D389" s="51"/>
      <c r="E389" s="102"/>
      <c r="F389" s="102"/>
      <c r="G389" s="103"/>
      <c r="H389" s="103" t="str">
        <f t="shared" si="2"/>
        <v/>
      </c>
      <c r="I389" s="103"/>
      <c r="M389" s="103"/>
      <c r="N389" s="113"/>
      <c r="O389" s="107"/>
      <c r="P389" s="106" t="str">
        <f>IF(ISBLANK(N389), "", VLOOKUP(D389&amp;" "&amp;E389, 'Info Tipo de Cambio y REM'!$A$24:$B$35, 2, FALSE))
</f>
        <v/>
      </c>
      <c r="Q389" s="107" t="str">
        <f t="shared" si="3"/>
        <v/>
      </c>
    </row>
    <row r="390">
      <c r="A390" s="102"/>
      <c r="B390" s="43" t="str">
        <f t="shared" si="5"/>
        <v/>
      </c>
      <c r="C390" s="102"/>
      <c r="D390" s="51"/>
      <c r="E390" s="102"/>
      <c r="F390" s="102"/>
      <c r="G390" s="103"/>
      <c r="H390" s="103" t="str">
        <f t="shared" si="2"/>
        <v/>
      </c>
      <c r="I390" s="103"/>
      <c r="M390" s="103"/>
      <c r="N390" s="113"/>
      <c r="O390" s="107"/>
      <c r="P390" s="106" t="str">
        <f>IF(ISBLANK(N390), "", VLOOKUP(D390&amp;" "&amp;E390, 'Info Tipo de Cambio y REM'!$A$24:$B$35, 2, FALSE))
</f>
        <v/>
      </c>
      <c r="Q390" s="107" t="str">
        <f t="shared" si="3"/>
        <v/>
      </c>
    </row>
    <row r="391">
      <c r="A391" s="102"/>
      <c r="B391" s="43" t="str">
        <f t="shared" si="5"/>
        <v/>
      </c>
      <c r="C391" s="102"/>
      <c r="D391" s="51"/>
      <c r="E391" s="102"/>
      <c r="F391" s="102"/>
      <c r="G391" s="103"/>
      <c r="H391" s="103" t="str">
        <f t="shared" si="2"/>
        <v/>
      </c>
      <c r="I391" s="103"/>
      <c r="M391" s="103"/>
      <c r="N391" s="113"/>
      <c r="O391" s="107"/>
      <c r="P391" s="106" t="str">
        <f>IF(ISBLANK(N391), "", VLOOKUP(D391&amp;" "&amp;E391, 'Info Tipo de Cambio y REM'!$A$24:$B$35, 2, FALSE))
</f>
        <v/>
      </c>
      <c r="Q391" s="107" t="str">
        <f t="shared" si="3"/>
        <v/>
      </c>
    </row>
    <row r="392">
      <c r="A392" s="102"/>
      <c r="B392" s="43" t="str">
        <f t="shared" si="5"/>
        <v/>
      </c>
      <c r="C392" s="102"/>
      <c r="D392" s="51"/>
      <c r="E392" s="102"/>
      <c r="F392" s="102"/>
      <c r="G392" s="103"/>
      <c r="H392" s="103" t="str">
        <f t="shared" si="2"/>
        <v/>
      </c>
      <c r="I392" s="103"/>
      <c r="M392" s="103"/>
      <c r="N392" s="113"/>
      <c r="O392" s="107"/>
      <c r="P392" s="106" t="str">
        <f>IF(ISBLANK(N392), "", VLOOKUP(D392&amp;" "&amp;E392, 'Info Tipo de Cambio y REM'!$A$24:$B$35, 2, FALSE))
</f>
        <v/>
      </c>
      <c r="Q392" s="107" t="str">
        <f t="shared" si="3"/>
        <v/>
      </c>
    </row>
    <row r="393">
      <c r="A393" s="102"/>
      <c r="B393" s="43" t="str">
        <f t="shared" si="5"/>
        <v/>
      </c>
      <c r="C393" s="102"/>
      <c r="D393" s="51"/>
      <c r="E393" s="102"/>
      <c r="F393" s="102"/>
      <c r="G393" s="103"/>
      <c r="H393" s="103" t="str">
        <f t="shared" si="2"/>
        <v/>
      </c>
      <c r="I393" s="103"/>
      <c r="M393" s="103"/>
      <c r="N393" s="113"/>
      <c r="O393" s="107"/>
      <c r="P393" s="106" t="str">
        <f>IF(ISBLANK(N393), "", VLOOKUP(D393&amp;" "&amp;E393, 'Info Tipo de Cambio y REM'!$A$24:$B$35, 2, FALSE))
</f>
        <v/>
      </c>
      <c r="Q393" s="107" t="str">
        <f t="shared" si="3"/>
        <v/>
      </c>
    </row>
    <row r="394">
      <c r="A394" s="102"/>
      <c r="B394" s="43" t="str">
        <f t="shared" si="5"/>
        <v/>
      </c>
      <c r="C394" s="102"/>
      <c r="D394" s="51"/>
      <c r="E394" s="102"/>
      <c r="F394" s="102"/>
      <c r="G394" s="103"/>
      <c r="H394" s="103" t="str">
        <f t="shared" si="2"/>
        <v/>
      </c>
      <c r="I394" s="103"/>
      <c r="M394" s="103"/>
      <c r="N394" s="113"/>
      <c r="O394" s="107"/>
      <c r="P394" s="106" t="str">
        <f>IF(ISBLANK(N394), "", VLOOKUP(D394&amp;" "&amp;E394, 'Info Tipo de Cambio y REM'!$A$24:$B$35, 2, FALSE))
</f>
        <v/>
      </c>
      <c r="Q394" s="107" t="str">
        <f t="shared" si="3"/>
        <v/>
      </c>
    </row>
    <row r="395">
      <c r="A395" s="102"/>
      <c r="B395" s="43" t="str">
        <f t="shared" si="5"/>
        <v/>
      </c>
      <c r="C395" s="102"/>
      <c r="D395" s="51"/>
      <c r="E395" s="102"/>
      <c r="F395" s="102"/>
      <c r="G395" s="103"/>
      <c r="H395" s="103" t="str">
        <f t="shared" si="2"/>
        <v/>
      </c>
      <c r="I395" s="103"/>
      <c r="M395" s="103"/>
      <c r="N395" s="113"/>
      <c r="O395" s="107"/>
      <c r="P395" s="106" t="str">
        <f>IF(ISBLANK(N395), "", VLOOKUP(D395&amp;" "&amp;E395, 'Info Tipo de Cambio y REM'!$A$24:$B$35, 2, FALSE))
</f>
        <v/>
      </c>
      <c r="Q395" s="107" t="str">
        <f t="shared" si="3"/>
        <v/>
      </c>
    </row>
    <row r="396">
      <c r="A396" s="102"/>
      <c r="B396" s="43" t="str">
        <f t="shared" si="5"/>
        <v/>
      </c>
      <c r="C396" s="102"/>
      <c r="D396" s="51"/>
      <c r="E396" s="102"/>
      <c r="F396" s="102"/>
      <c r="G396" s="103"/>
      <c r="H396" s="103" t="str">
        <f t="shared" si="2"/>
        <v/>
      </c>
      <c r="I396" s="103"/>
      <c r="M396" s="103"/>
      <c r="N396" s="113"/>
      <c r="O396" s="107"/>
      <c r="P396" s="106" t="str">
        <f>IF(ISBLANK(N396), "", VLOOKUP(D396&amp;" "&amp;E396, 'Info Tipo de Cambio y REM'!$A$24:$B$35, 2, FALSE))
</f>
        <v/>
      </c>
      <c r="Q396" s="107" t="str">
        <f t="shared" si="3"/>
        <v/>
      </c>
    </row>
    <row r="397">
      <c r="A397" s="102"/>
      <c r="B397" s="43" t="str">
        <f t="shared" si="5"/>
        <v/>
      </c>
      <c r="C397" s="102"/>
      <c r="D397" s="51"/>
      <c r="E397" s="102"/>
      <c r="F397" s="102"/>
      <c r="G397" s="103"/>
      <c r="H397" s="103" t="str">
        <f t="shared" si="2"/>
        <v/>
      </c>
      <c r="I397" s="103"/>
      <c r="M397" s="103"/>
      <c r="N397" s="113"/>
      <c r="O397" s="107"/>
      <c r="P397" s="106" t="str">
        <f>IF(ISBLANK(N397), "", VLOOKUP(D397&amp;" "&amp;E397, 'Info Tipo de Cambio y REM'!$A$24:$B$35, 2, FALSE))
</f>
        <v/>
      </c>
      <c r="Q397" s="107" t="str">
        <f t="shared" si="3"/>
        <v/>
      </c>
    </row>
    <row r="398">
      <c r="A398" s="102"/>
      <c r="B398" s="43" t="str">
        <f t="shared" si="5"/>
        <v/>
      </c>
      <c r="C398" s="102"/>
      <c r="D398" s="51"/>
      <c r="E398" s="102"/>
      <c r="F398" s="102"/>
      <c r="G398" s="103"/>
      <c r="H398" s="103" t="str">
        <f t="shared" si="2"/>
        <v/>
      </c>
      <c r="I398" s="103"/>
      <c r="M398" s="103"/>
      <c r="N398" s="113"/>
      <c r="O398" s="107"/>
      <c r="P398" s="106" t="str">
        <f>IF(ISBLANK(N398), "", VLOOKUP(D398&amp;" "&amp;E398, 'Info Tipo de Cambio y REM'!$A$24:$B$35, 2, FALSE))
</f>
        <v/>
      </c>
      <c r="Q398" s="107" t="str">
        <f t="shared" si="3"/>
        <v/>
      </c>
    </row>
    <row r="399">
      <c r="A399" s="102"/>
      <c r="B399" s="43" t="str">
        <f t="shared" si="5"/>
        <v/>
      </c>
      <c r="C399" s="102"/>
      <c r="D399" s="51"/>
      <c r="E399" s="102"/>
      <c r="F399" s="102"/>
      <c r="G399" s="103"/>
      <c r="H399" s="103" t="str">
        <f t="shared" si="2"/>
        <v/>
      </c>
      <c r="I399" s="103"/>
      <c r="M399" s="103"/>
      <c r="N399" s="113"/>
      <c r="O399" s="107"/>
      <c r="P399" s="106" t="str">
        <f>IF(ISBLANK(N399), "", VLOOKUP(D399&amp;" "&amp;E399, 'Info Tipo de Cambio y REM'!$A$24:$B$35, 2, FALSE))
</f>
        <v/>
      </c>
      <c r="Q399" s="107" t="str">
        <f t="shared" si="3"/>
        <v/>
      </c>
    </row>
    <row r="400">
      <c r="A400" s="102"/>
      <c r="B400" s="43" t="str">
        <f t="shared" si="5"/>
        <v/>
      </c>
      <c r="C400" s="102"/>
      <c r="D400" s="51"/>
      <c r="E400" s="102"/>
      <c r="F400" s="102"/>
      <c r="G400" s="103"/>
      <c r="H400" s="103" t="str">
        <f t="shared" si="2"/>
        <v/>
      </c>
      <c r="I400" s="103"/>
      <c r="M400" s="103"/>
      <c r="N400" s="113"/>
      <c r="O400" s="107"/>
      <c r="P400" s="106" t="str">
        <f>IF(ISBLANK(N400), "", VLOOKUP(D400&amp;" "&amp;E400, 'Info Tipo de Cambio y REM'!$A$24:$B$35, 2, FALSE))
</f>
        <v/>
      </c>
      <c r="Q400" s="107" t="str">
        <f t="shared" si="3"/>
        <v/>
      </c>
    </row>
    <row r="401">
      <c r="A401" s="102"/>
      <c r="B401" s="43" t="str">
        <f t="shared" si="5"/>
        <v/>
      </c>
      <c r="C401" s="102"/>
      <c r="D401" s="51"/>
      <c r="E401" s="102"/>
      <c r="F401" s="102"/>
      <c r="G401" s="103"/>
      <c r="H401" s="103" t="str">
        <f t="shared" si="2"/>
        <v/>
      </c>
      <c r="I401" s="103"/>
      <c r="M401" s="103"/>
      <c r="N401" s="113"/>
      <c r="O401" s="107"/>
      <c r="P401" s="106" t="str">
        <f>IF(ISBLANK(N401), "", VLOOKUP(D401&amp;" "&amp;E401, 'Info Tipo de Cambio y REM'!$A$24:$B$35, 2, FALSE))
</f>
        <v/>
      </c>
      <c r="Q401" s="107" t="str">
        <f t="shared" si="3"/>
        <v/>
      </c>
    </row>
    <row r="402">
      <c r="A402" s="102"/>
      <c r="B402" s="43" t="str">
        <f t="shared" si="5"/>
        <v/>
      </c>
      <c r="C402" s="102"/>
      <c r="D402" s="51"/>
      <c r="E402" s="102"/>
      <c r="F402" s="102"/>
      <c r="G402" s="103"/>
      <c r="H402" s="103" t="str">
        <f t="shared" si="2"/>
        <v/>
      </c>
      <c r="I402" s="103"/>
      <c r="M402" s="103"/>
      <c r="N402" s="113"/>
      <c r="O402" s="107"/>
      <c r="P402" s="106" t="str">
        <f>IF(ISBLANK(N402), "", VLOOKUP(D402&amp;" "&amp;E402, 'Info Tipo de Cambio y REM'!$A$24:$B$35, 2, FALSE))
</f>
        <v/>
      </c>
      <c r="Q402" s="107" t="str">
        <f t="shared" si="3"/>
        <v/>
      </c>
    </row>
    <row r="403">
      <c r="A403" s="102"/>
      <c r="B403" s="43" t="str">
        <f t="shared" si="5"/>
        <v/>
      </c>
      <c r="C403" s="102"/>
      <c r="D403" s="51"/>
      <c r="E403" s="102"/>
      <c r="F403" s="102"/>
      <c r="G403" s="103"/>
      <c r="H403" s="103" t="str">
        <f t="shared" si="2"/>
        <v/>
      </c>
      <c r="I403" s="103"/>
      <c r="M403" s="103"/>
      <c r="N403" s="113"/>
      <c r="O403" s="107"/>
      <c r="P403" s="106" t="str">
        <f>IF(ISBLANK(N403), "", VLOOKUP(D403&amp;" "&amp;E403, 'Info Tipo de Cambio y REM'!$A$24:$B$35, 2, FALSE))
</f>
        <v/>
      </c>
      <c r="Q403" s="107" t="str">
        <f t="shared" si="3"/>
        <v/>
      </c>
    </row>
    <row r="404">
      <c r="A404" s="102"/>
      <c r="B404" s="43" t="str">
        <f t="shared" si="5"/>
        <v/>
      </c>
      <c r="C404" s="102"/>
      <c r="D404" s="51"/>
      <c r="E404" s="102"/>
      <c r="F404" s="102"/>
      <c r="G404" s="103"/>
      <c r="H404" s="103" t="str">
        <f t="shared" si="2"/>
        <v/>
      </c>
      <c r="I404" s="103"/>
      <c r="M404" s="103"/>
      <c r="N404" s="113"/>
      <c r="O404" s="107"/>
      <c r="P404" s="106" t="str">
        <f>IF(ISBLANK(N404), "", VLOOKUP(D404&amp;" "&amp;E404, 'Info Tipo de Cambio y REM'!$A$24:$B$35, 2, FALSE))
</f>
        <v/>
      </c>
      <c r="Q404" s="107" t="str">
        <f t="shared" si="3"/>
        <v/>
      </c>
    </row>
    <row r="405">
      <c r="A405" s="102"/>
      <c r="B405" s="43" t="str">
        <f t="shared" si="5"/>
        <v/>
      </c>
      <c r="C405" s="102"/>
      <c r="D405" s="51"/>
      <c r="E405" s="102"/>
      <c r="F405" s="102"/>
      <c r="G405" s="103"/>
      <c r="H405" s="103" t="str">
        <f t="shared" si="2"/>
        <v/>
      </c>
      <c r="I405" s="103"/>
      <c r="M405" s="103"/>
      <c r="N405" s="113"/>
      <c r="O405" s="107"/>
      <c r="P405" s="106" t="str">
        <f>IF(ISBLANK(N405), "", VLOOKUP(D405&amp;" "&amp;E405, 'Info Tipo de Cambio y REM'!$A$24:$B$35, 2, FALSE))
</f>
        <v/>
      </c>
      <c r="Q405" s="107" t="str">
        <f t="shared" si="3"/>
        <v/>
      </c>
    </row>
    <row r="406">
      <c r="A406" s="102"/>
      <c r="B406" s="43" t="str">
        <f t="shared" si="5"/>
        <v/>
      </c>
      <c r="C406" s="102"/>
      <c r="D406" s="51"/>
      <c r="E406" s="102"/>
      <c r="F406" s="102"/>
      <c r="G406" s="103"/>
      <c r="H406" s="103" t="str">
        <f t="shared" si="2"/>
        <v/>
      </c>
      <c r="I406" s="103"/>
      <c r="M406" s="103"/>
      <c r="N406" s="113"/>
      <c r="O406" s="107"/>
      <c r="P406" s="106" t="str">
        <f>IF(ISBLANK(N406), "", VLOOKUP(D406&amp;" "&amp;E406, 'Info Tipo de Cambio y REM'!$A$24:$B$35, 2, FALSE))
</f>
        <v/>
      </c>
      <c r="Q406" s="107" t="str">
        <f t="shared" si="3"/>
        <v/>
      </c>
    </row>
    <row r="407">
      <c r="A407" s="102"/>
      <c r="B407" s="43" t="str">
        <f t="shared" si="5"/>
        <v/>
      </c>
      <c r="C407" s="102"/>
      <c r="D407" s="51"/>
      <c r="E407" s="102"/>
      <c r="F407" s="102"/>
      <c r="G407" s="103"/>
      <c r="H407" s="103" t="str">
        <f t="shared" si="2"/>
        <v/>
      </c>
      <c r="I407" s="103"/>
      <c r="M407" s="103"/>
      <c r="N407" s="113"/>
      <c r="O407" s="107"/>
      <c r="P407" s="106" t="str">
        <f>IF(ISBLANK(N407), "", VLOOKUP(D407&amp;" "&amp;E407, 'Info Tipo de Cambio y REM'!$A$24:$B$35, 2, FALSE))
</f>
        <v/>
      </c>
      <c r="Q407" s="107" t="str">
        <f t="shared" si="3"/>
        <v/>
      </c>
    </row>
    <row r="408">
      <c r="A408" s="102"/>
      <c r="B408" s="43" t="str">
        <f t="shared" si="5"/>
        <v/>
      </c>
      <c r="C408" s="102"/>
      <c r="D408" s="51"/>
      <c r="E408" s="102"/>
      <c r="F408" s="102"/>
      <c r="G408" s="103"/>
      <c r="H408" s="103" t="str">
        <f t="shared" si="2"/>
        <v/>
      </c>
      <c r="I408" s="103"/>
      <c r="M408" s="103"/>
      <c r="N408" s="113"/>
      <c r="O408" s="107"/>
      <c r="P408" s="106" t="str">
        <f>IF(ISBLANK(N408), "", VLOOKUP(D408&amp;" "&amp;E408, 'Info Tipo de Cambio y REM'!$A$24:$B$35, 2, FALSE))
</f>
        <v/>
      </c>
      <c r="Q408" s="107" t="str">
        <f t="shared" si="3"/>
        <v/>
      </c>
    </row>
    <row r="409">
      <c r="A409" s="102"/>
      <c r="B409" s="43" t="str">
        <f t="shared" si="5"/>
        <v/>
      </c>
      <c r="C409" s="102"/>
      <c r="D409" s="51"/>
      <c r="E409" s="102"/>
      <c r="F409" s="102"/>
      <c r="G409" s="103"/>
      <c r="H409" s="103" t="str">
        <f t="shared" si="2"/>
        <v/>
      </c>
      <c r="I409" s="103"/>
      <c r="M409" s="103"/>
      <c r="N409" s="113"/>
      <c r="O409" s="107"/>
      <c r="P409" s="106" t="str">
        <f>IF(ISBLANK(N409), "", VLOOKUP(D409&amp;" "&amp;E409, 'Info Tipo de Cambio y REM'!$A$24:$B$35, 2, FALSE))
</f>
        <v/>
      </c>
      <c r="Q409" s="107" t="str">
        <f t="shared" si="3"/>
        <v/>
      </c>
    </row>
    <row r="410">
      <c r="A410" s="102"/>
      <c r="B410" s="43" t="str">
        <f t="shared" si="5"/>
        <v/>
      </c>
      <c r="C410" s="102"/>
      <c r="D410" s="51"/>
      <c r="E410" s="102"/>
      <c r="F410" s="102"/>
      <c r="G410" s="103"/>
      <c r="H410" s="103" t="str">
        <f t="shared" si="2"/>
        <v/>
      </c>
      <c r="I410" s="103"/>
      <c r="M410" s="103"/>
      <c r="N410" s="113"/>
      <c r="O410" s="107"/>
      <c r="P410" s="106" t="str">
        <f>IF(ISBLANK(N410), "", VLOOKUP(D410&amp;" "&amp;E410, 'Info Tipo de Cambio y REM'!$A$24:$B$35, 2, FALSE))
</f>
        <v/>
      </c>
      <c r="Q410" s="107" t="str">
        <f t="shared" si="3"/>
        <v/>
      </c>
    </row>
    <row r="411">
      <c r="A411" s="102"/>
      <c r="B411" s="43" t="str">
        <f t="shared" si="5"/>
        <v/>
      </c>
      <c r="C411" s="102"/>
      <c r="D411" s="51"/>
      <c r="E411" s="102"/>
      <c r="F411" s="102"/>
      <c r="G411" s="103"/>
      <c r="H411" s="103" t="str">
        <f t="shared" si="2"/>
        <v/>
      </c>
      <c r="I411" s="103"/>
      <c r="M411" s="103"/>
      <c r="N411" s="113"/>
      <c r="O411" s="107"/>
      <c r="P411" s="106" t="str">
        <f>IF(ISBLANK(N411), "", VLOOKUP(D411&amp;" "&amp;E411, 'Info Tipo de Cambio y REM'!$A$24:$B$35, 2, FALSE))
</f>
        <v/>
      </c>
      <c r="Q411" s="107" t="str">
        <f t="shared" si="3"/>
        <v/>
      </c>
    </row>
    <row r="412">
      <c r="A412" s="102"/>
      <c r="B412" s="43" t="str">
        <f t="shared" si="5"/>
        <v/>
      </c>
      <c r="C412" s="102"/>
      <c r="D412" s="51"/>
      <c r="E412" s="102"/>
      <c r="F412" s="102"/>
      <c r="G412" s="103"/>
      <c r="H412" s="103" t="str">
        <f t="shared" si="2"/>
        <v/>
      </c>
      <c r="I412" s="103"/>
      <c r="M412" s="103"/>
      <c r="N412" s="113"/>
      <c r="O412" s="107"/>
      <c r="P412" s="106" t="str">
        <f>IF(ISBLANK(N412), "", VLOOKUP(D412&amp;" "&amp;E412, 'Info Tipo de Cambio y REM'!$A$24:$B$35, 2, FALSE))
</f>
        <v/>
      </c>
      <c r="Q412" s="107" t="str">
        <f t="shared" si="3"/>
        <v/>
      </c>
    </row>
    <row r="413">
      <c r="A413" s="102"/>
      <c r="B413" s="43" t="str">
        <f t="shared" si="5"/>
        <v/>
      </c>
      <c r="C413" s="102"/>
      <c r="D413" s="51"/>
      <c r="E413" s="102"/>
      <c r="F413" s="102"/>
      <c r="G413" s="103"/>
      <c r="H413" s="103" t="str">
        <f t="shared" si="2"/>
        <v/>
      </c>
      <c r="I413" s="103"/>
      <c r="M413" s="103"/>
      <c r="N413" s="113"/>
      <c r="O413" s="107"/>
      <c r="P413" s="106" t="str">
        <f>IF(ISBLANK(N413), "", VLOOKUP(D413&amp;" "&amp;E413, 'Info Tipo de Cambio y REM'!$A$24:$B$35, 2, FALSE))
</f>
        <v/>
      </c>
      <c r="Q413" s="107" t="str">
        <f t="shared" si="3"/>
        <v/>
      </c>
    </row>
    <row r="414">
      <c r="A414" s="102"/>
      <c r="B414" s="43" t="str">
        <f t="shared" si="5"/>
        <v/>
      </c>
      <c r="C414" s="102"/>
      <c r="D414" s="51"/>
      <c r="E414" s="102"/>
      <c r="F414" s="102"/>
      <c r="G414" s="103"/>
      <c r="H414" s="103" t="str">
        <f t="shared" si="2"/>
        <v/>
      </c>
      <c r="I414" s="103"/>
      <c r="M414" s="103"/>
      <c r="N414" s="113"/>
      <c r="O414" s="107"/>
      <c r="P414" s="106" t="str">
        <f>IF(ISBLANK(N414), "", VLOOKUP(D414&amp;" "&amp;E414, 'Info Tipo de Cambio y REM'!$A$24:$B$35, 2, FALSE))
</f>
        <v/>
      </c>
      <c r="Q414" s="107" t="str">
        <f t="shared" si="3"/>
        <v/>
      </c>
    </row>
    <row r="415">
      <c r="A415" s="102"/>
      <c r="B415" s="43" t="str">
        <f t="shared" si="5"/>
        <v/>
      </c>
      <c r="C415" s="102"/>
      <c r="D415" s="51"/>
      <c r="E415" s="102"/>
      <c r="F415" s="102"/>
      <c r="G415" s="103"/>
      <c r="H415" s="103" t="str">
        <f t="shared" si="2"/>
        <v/>
      </c>
      <c r="I415" s="103"/>
      <c r="M415" s="103"/>
      <c r="N415" s="113"/>
      <c r="O415" s="107"/>
      <c r="P415" s="106" t="str">
        <f>IF(ISBLANK(N415), "", VLOOKUP(D415&amp;" "&amp;E415, 'Info Tipo de Cambio y REM'!$A$24:$B$35, 2, FALSE))
</f>
        <v/>
      </c>
      <c r="Q415" s="107" t="str">
        <f t="shared" si="3"/>
        <v/>
      </c>
    </row>
    <row r="416">
      <c r="A416" s="102"/>
      <c r="B416" s="43" t="str">
        <f t="shared" si="5"/>
        <v/>
      </c>
      <c r="C416" s="102"/>
      <c r="D416" s="51"/>
      <c r="E416" s="102"/>
      <c r="F416" s="102"/>
      <c r="G416" s="103"/>
      <c r="H416" s="103" t="str">
        <f t="shared" si="2"/>
        <v/>
      </c>
      <c r="I416" s="103"/>
      <c r="M416" s="103"/>
      <c r="N416" s="113"/>
      <c r="O416" s="107"/>
      <c r="P416" s="106" t="str">
        <f>IF(ISBLANK(N416), "", VLOOKUP(D416&amp;" "&amp;E416, 'Info Tipo de Cambio y REM'!$A$24:$B$35, 2, FALSE))
</f>
        <v/>
      </c>
      <c r="Q416" s="107" t="str">
        <f t="shared" si="3"/>
        <v/>
      </c>
    </row>
    <row r="417">
      <c r="A417" s="102"/>
      <c r="B417" s="43" t="str">
        <f t="shared" si="5"/>
        <v/>
      </c>
      <c r="C417" s="102"/>
      <c r="D417" s="51"/>
      <c r="E417" s="102"/>
      <c r="F417" s="102"/>
      <c r="G417" s="103"/>
      <c r="H417" s="103" t="str">
        <f t="shared" si="2"/>
        <v/>
      </c>
      <c r="I417" s="103"/>
      <c r="M417" s="103"/>
      <c r="N417" s="113"/>
      <c r="O417" s="107"/>
      <c r="P417" s="106" t="str">
        <f>IF(ISBLANK(N417), "", VLOOKUP(D417&amp;" "&amp;E417, 'Info Tipo de Cambio y REM'!$A$24:$B$35, 2, FALSE))
</f>
        <v/>
      </c>
      <c r="Q417" s="107" t="str">
        <f t="shared" si="3"/>
        <v/>
      </c>
    </row>
    <row r="418">
      <c r="A418" s="102"/>
      <c r="B418" s="43" t="str">
        <f t="shared" si="5"/>
        <v/>
      </c>
      <c r="C418" s="102"/>
      <c r="D418" s="51"/>
      <c r="E418" s="102"/>
      <c r="F418" s="102"/>
      <c r="G418" s="103"/>
      <c r="H418" s="103" t="str">
        <f t="shared" si="2"/>
        <v/>
      </c>
      <c r="I418" s="103"/>
      <c r="M418" s="103"/>
      <c r="N418" s="113"/>
      <c r="O418" s="107"/>
      <c r="P418" s="106" t="str">
        <f>IF(ISBLANK(N418), "", VLOOKUP(D418&amp;" "&amp;E418, 'Info Tipo de Cambio y REM'!$A$24:$B$35, 2, FALSE))
</f>
        <v/>
      </c>
      <c r="Q418" s="107" t="str">
        <f t="shared" si="3"/>
        <v/>
      </c>
    </row>
    <row r="419">
      <c r="A419" s="102"/>
      <c r="B419" s="43" t="str">
        <f t="shared" si="5"/>
        <v/>
      </c>
      <c r="C419" s="102"/>
      <c r="D419" s="51"/>
      <c r="E419" s="102"/>
      <c r="F419" s="102"/>
      <c r="G419" s="103"/>
      <c r="H419" s="103" t="str">
        <f t="shared" si="2"/>
        <v/>
      </c>
      <c r="I419" s="103"/>
      <c r="M419" s="103"/>
      <c r="N419" s="113"/>
      <c r="O419" s="107"/>
      <c r="P419" s="106" t="str">
        <f>IF(ISBLANK(N419), "", VLOOKUP(D419&amp;" "&amp;E419, 'Info Tipo de Cambio y REM'!$A$24:$B$35, 2, FALSE))
</f>
        <v/>
      </c>
      <c r="Q419" s="107" t="str">
        <f t="shared" si="3"/>
        <v/>
      </c>
    </row>
    <row r="420">
      <c r="A420" s="102"/>
      <c r="B420" s="43" t="str">
        <f t="shared" si="5"/>
        <v/>
      </c>
      <c r="C420" s="102"/>
      <c r="D420" s="51"/>
      <c r="E420" s="102"/>
      <c r="F420" s="102"/>
      <c r="G420" s="103"/>
      <c r="H420" s="103" t="str">
        <f t="shared" si="2"/>
        <v/>
      </c>
      <c r="I420" s="103"/>
      <c r="M420" s="103"/>
      <c r="N420" s="113"/>
      <c r="O420" s="107"/>
      <c r="P420" s="106" t="str">
        <f>IF(ISBLANK(N420), "", VLOOKUP(D420&amp;" "&amp;E420, 'Info Tipo de Cambio y REM'!$A$24:$B$35, 2, FALSE))
</f>
        <v/>
      </c>
      <c r="Q420" s="107" t="str">
        <f t="shared" si="3"/>
        <v/>
      </c>
    </row>
    <row r="421">
      <c r="A421" s="102"/>
      <c r="B421" s="43" t="str">
        <f t="shared" si="5"/>
        <v/>
      </c>
      <c r="C421" s="102"/>
      <c r="D421" s="51"/>
      <c r="E421" s="102"/>
      <c r="F421" s="102"/>
      <c r="G421" s="103"/>
      <c r="H421" s="103" t="str">
        <f t="shared" si="2"/>
        <v/>
      </c>
      <c r="I421" s="103"/>
      <c r="M421" s="103"/>
      <c r="N421" s="113"/>
      <c r="O421" s="107"/>
      <c r="P421" s="106" t="str">
        <f>IF(ISBLANK(N421), "", VLOOKUP(D421&amp;" "&amp;E421, 'Info Tipo de Cambio y REM'!$A$24:$B$35, 2, FALSE))
</f>
        <v/>
      </c>
      <c r="Q421" s="107" t="str">
        <f t="shared" si="3"/>
        <v/>
      </c>
    </row>
    <row r="422">
      <c r="A422" s="102"/>
      <c r="B422" s="43" t="str">
        <f t="shared" si="5"/>
        <v/>
      </c>
      <c r="C422" s="102"/>
      <c r="D422" s="51"/>
      <c r="E422" s="102"/>
      <c r="F422" s="102"/>
      <c r="G422" s="103"/>
      <c r="H422" s="103" t="str">
        <f t="shared" si="2"/>
        <v/>
      </c>
      <c r="I422" s="103"/>
      <c r="M422" s="103"/>
      <c r="N422" s="113"/>
      <c r="O422" s="107"/>
      <c r="P422" s="106" t="str">
        <f>IF(ISBLANK(N422), "", VLOOKUP(D422&amp;" "&amp;E422, 'Info Tipo de Cambio y REM'!$A$24:$B$35, 2, FALSE))
</f>
        <v/>
      </c>
      <c r="Q422" s="107" t="str">
        <f t="shared" si="3"/>
        <v/>
      </c>
    </row>
    <row r="423">
      <c r="A423" s="102"/>
      <c r="B423" s="43" t="str">
        <f t="shared" si="5"/>
        <v/>
      </c>
      <c r="C423" s="102"/>
      <c r="D423" s="51"/>
      <c r="E423" s="102"/>
      <c r="F423" s="102"/>
      <c r="G423" s="103"/>
      <c r="H423" s="103" t="str">
        <f t="shared" si="2"/>
        <v/>
      </c>
      <c r="I423" s="103"/>
      <c r="M423" s="103"/>
      <c r="N423" s="113"/>
      <c r="O423" s="107"/>
      <c r="P423" s="106" t="str">
        <f>IF(ISBLANK(N423), "", VLOOKUP(D423&amp;" "&amp;E423, 'Info Tipo de Cambio y REM'!$A$24:$B$35, 2, FALSE))
</f>
        <v/>
      </c>
      <c r="Q423" s="107" t="str">
        <f t="shared" si="3"/>
        <v/>
      </c>
    </row>
    <row r="424">
      <c r="A424" s="102"/>
      <c r="B424" s="43" t="str">
        <f t="shared" si="5"/>
        <v/>
      </c>
      <c r="C424" s="102"/>
      <c r="D424" s="51"/>
      <c r="E424" s="102"/>
      <c r="F424" s="102"/>
      <c r="G424" s="103"/>
      <c r="H424" s="103" t="str">
        <f t="shared" si="2"/>
        <v/>
      </c>
      <c r="I424" s="103"/>
      <c r="M424" s="103"/>
      <c r="N424" s="113"/>
      <c r="O424" s="107"/>
      <c r="P424" s="106" t="str">
        <f>IF(ISBLANK(N424), "", VLOOKUP(D424&amp;" "&amp;E424, 'Info Tipo de Cambio y REM'!$A$24:$B$35, 2, FALSE))
</f>
        <v/>
      </c>
      <c r="Q424" s="107" t="str">
        <f t="shared" si="3"/>
        <v/>
      </c>
    </row>
    <row r="425">
      <c r="A425" s="102"/>
      <c r="B425" s="43" t="str">
        <f t="shared" si="5"/>
        <v/>
      </c>
      <c r="C425" s="102"/>
      <c r="D425" s="51"/>
      <c r="E425" s="102"/>
      <c r="F425" s="102"/>
      <c r="G425" s="103"/>
      <c r="H425" s="103" t="str">
        <f t="shared" si="2"/>
        <v/>
      </c>
      <c r="I425" s="103"/>
      <c r="M425" s="103"/>
      <c r="N425" s="113"/>
      <c r="O425" s="107"/>
      <c r="P425" s="106" t="str">
        <f>IF(ISBLANK(N425), "", VLOOKUP(D425&amp;" "&amp;E425, 'Info Tipo de Cambio y REM'!$A$24:$B$35, 2, FALSE))
</f>
        <v/>
      </c>
      <c r="Q425" s="107" t="str">
        <f t="shared" si="3"/>
        <v/>
      </c>
    </row>
    <row r="426">
      <c r="A426" s="102"/>
      <c r="B426" s="43" t="str">
        <f t="shared" si="5"/>
        <v/>
      </c>
      <c r="C426" s="102"/>
      <c r="D426" s="51"/>
      <c r="E426" s="102"/>
      <c r="F426" s="102"/>
      <c r="G426" s="103"/>
      <c r="H426" s="103" t="str">
        <f t="shared" si="2"/>
        <v/>
      </c>
      <c r="I426" s="103"/>
      <c r="M426" s="103"/>
      <c r="N426" s="113"/>
      <c r="O426" s="107"/>
      <c r="P426" s="106" t="str">
        <f>IF(ISBLANK(N426), "", VLOOKUP(D426&amp;" "&amp;E426, 'Info Tipo de Cambio y REM'!$A$24:$B$35, 2, FALSE))
</f>
        <v/>
      </c>
      <c r="Q426" s="107" t="str">
        <f t="shared" si="3"/>
        <v/>
      </c>
    </row>
    <row r="427">
      <c r="A427" s="102"/>
      <c r="B427" s="43" t="str">
        <f t="shared" si="5"/>
        <v/>
      </c>
      <c r="C427" s="102"/>
      <c r="D427" s="51"/>
      <c r="E427" s="102"/>
      <c r="F427" s="102"/>
      <c r="G427" s="103"/>
      <c r="H427" s="103" t="str">
        <f t="shared" si="2"/>
        <v/>
      </c>
      <c r="I427" s="103"/>
      <c r="M427" s="103"/>
      <c r="N427" s="113"/>
      <c r="O427" s="107"/>
      <c r="P427" s="106" t="str">
        <f>IF(ISBLANK(N427), "", VLOOKUP(D427&amp;" "&amp;E427, 'Info Tipo de Cambio y REM'!$A$24:$B$35, 2, FALSE))
</f>
        <v/>
      </c>
      <c r="Q427" s="107" t="str">
        <f t="shared" si="3"/>
        <v/>
      </c>
    </row>
    <row r="428">
      <c r="A428" s="102"/>
      <c r="B428" s="43" t="str">
        <f t="shared" si="5"/>
        <v/>
      </c>
      <c r="C428" s="102"/>
      <c r="D428" s="51"/>
      <c r="E428" s="102"/>
      <c r="F428" s="102"/>
      <c r="G428" s="103"/>
      <c r="H428" s="103" t="str">
        <f t="shared" si="2"/>
        <v/>
      </c>
      <c r="I428" s="103"/>
      <c r="M428" s="103"/>
      <c r="N428" s="113"/>
      <c r="O428" s="107"/>
      <c r="P428" s="106" t="str">
        <f>IF(ISBLANK(N428), "", VLOOKUP(D428&amp;" "&amp;E428, 'Info Tipo de Cambio y REM'!$A$24:$B$35, 2, FALSE))
</f>
        <v/>
      </c>
      <c r="Q428" s="107" t="str">
        <f t="shared" si="3"/>
        <v/>
      </c>
    </row>
    <row r="429">
      <c r="A429" s="102"/>
      <c r="B429" s="43" t="str">
        <f t="shared" si="5"/>
        <v/>
      </c>
      <c r="C429" s="102"/>
      <c r="D429" s="51"/>
      <c r="E429" s="102"/>
      <c r="F429" s="102"/>
      <c r="G429" s="103"/>
      <c r="H429" s="103" t="str">
        <f t="shared" si="2"/>
        <v/>
      </c>
      <c r="I429" s="103"/>
      <c r="M429" s="103"/>
      <c r="N429" s="113"/>
      <c r="O429" s="107"/>
      <c r="P429" s="106" t="str">
        <f>IF(ISBLANK(N429), "", VLOOKUP(D429&amp;" "&amp;E429, 'Info Tipo de Cambio y REM'!$A$24:$B$35, 2, FALSE))
</f>
        <v/>
      </c>
      <c r="Q429" s="107" t="str">
        <f t="shared" si="3"/>
        <v/>
      </c>
    </row>
    <row r="430">
      <c r="A430" s="102"/>
      <c r="B430" s="43" t="str">
        <f t="shared" si="5"/>
        <v/>
      </c>
      <c r="C430" s="102"/>
      <c r="D430" s="51"/>
      <c r="E430" s="102"/>
      <c r="F430" s="102"/>
      <c r="G430" s="103"/>
      <c r="H430" s="103" t="str">
        <f t="shared" si="2"/>
        <v/>
      </c>
      <c r="I430" s="103"/>
      <c r="M430" s="103"/>
      <c r="N430" s="113"/>
      <c r="O430" s="107"/>
      <c r="P430" s="106" t="str">
        <f>IF(ISBLANK(N430), "", VLOOKUP(D430&amp;" "&amp;E430, 'Info Tipo de Cambio y REM'!$A$24:$B$35, 2, FALSE))
</f>
        <v/>
      </c>
      <c r="Q430" s="107" t="str">
        <f t="shared" si="3"/>
        <v/>
      </c>
    </row>
    <row r="431">
      <c r="A431" s="102"/>
      <c r="B431" s="43" t="str">
        <f t="shared" si="5"/>
        <v/>
      </c>
      <c r="C431" s="102"/>
      <c r="D431" s="51"/>
      <c r="E431" s="102"/>
      <c r="F431" s="102"/>
      <c r="G431" s="103"/>
      <c r="H431" s="103" t="str">
        <f t="shared" si="2"/>
        <v/>
      </c>
      <c r="I431" s="103"/>
      <c r="M431" s="103"/>
      <c r="N431" s="113"/>
      <c r="O431" s="107"/>
      <c r="P431" s="106" t="str">
        <f>IF(ISBLANK(N431), "", VLOOKUP(D431&amp;" "&amp;E431, 'Info Tipo de Cambio y REM'!$A$24:$B$35, 2, FALSE))
</f>
        <v/>
      </c>
      <c r="Q431" s="107" t="str">
        <f t="shared" si="3"/>
        <v/>
      </c>
    </row>
    <row r="432">
      <c r="A432" s="102"/>
      <c r="B432" s="43" t="str">
        <f t="shared" si="5"/>
        <v/>
      </c>
      <c r="C432" s="102"/>
      <c r="D432" s="51"/>
      <c r="E432" s="102"/>
      <c r="F432" s="102"/>
      <c r="G432" s="103"/>
      <c r="H432" s="103" t="str">
        <f t="shared" si="2"/>
        <v/>
      </c>
      <c r="I432" s="103"/>
      <c r="M432" s="103"/>
      <c r="N432" s="113"/>
      <c r="O432" s="107"/>
      <c r="P432" s="106" t="str">
        <f>IF(ISBLANK(N432), "", VLOOKUP(D432&amp;" "&amp;E432, 'Info Tipo de Cambio y REM'!$A$24:$B$35, 2, FALSE))
</f>
        <v/>
      </c>
      <c r="Q432" s="107" t="str">
        <f t="shared" si="3"/>
        <v/>
      </c>
    </row>
    <row r="433">
      <c r="A433" s="102"/>
      <c r="B433" s="43" t="str">
        <f t="shared" si="5"/>
        <v/>
      </c>
      <c r="C433" s="102"/>
      <c r="D433" s="51"/>
      <c r="E433" s="102"/>
      <c r="F433" s="102"/>
      <c r="G433" s="103"/>
      <c r="H433" s="103" t="str">
        <f t="shared" si="2"/>
        <v/>
      </c>
      <c r="I433" s="103"/>
      <c r="M433" s="103"/>
      <c r="N433" s="113"/>
      <c r="O433" s="107"/>
      <c r="P433" s="106" t="str">
        <f>IF(ISBLANK(N433), "", VLOOKUP(D433&amp;" "&amp;E433, 'Info Tipo de Cambio y REM'!$A$24:$B$35, 2, FALSE))
</f>
        <v/>
      </c>
      <c r="Q433" s="107" t="str">
        <f t="shared" si="3"/>
        <v/>
      </c>
    </row>
    <row r="434">
      <c r="A434" s="102"/>
      <c r="B434" s="43" t="str">
        <f t="shared" si="5"/>
        <v/>
      </c>
      <c r="C434" s="102"/>
      <c r="D434" s="51"/>
      <c r="E434" s="102"/>
      <c r="F434" s="102"/>
      <c r="G434" s="103"/>
      <c r="H434" s="103" t="str">
        <f t="shared" si="2"/>
        <v/>
      </c>
      <c r="I434" s="103"/>
      <c r="M434" s="103"/>
      <c r="N434" s="113"/>
      <c r="O434" s="107"/>
      <c r="P434" s="106" t="str">
        <f>IF(ISBLANK(N434), "", VLOOKUP(D434&amp;" "&amp;E434, 'Info Tipo de Cambio y REM'!$A$24:$B$35, 2, FALSE))
</f>
        <v/>
      </c>
      <c r="Q434" s="107" t="str">
        <f t="shared" si="3"/>
        <v/>
      </c>
    </row>
    <row r="435">
      <c r="A435" s="102"/>
      <c r="B435" s="43" t="str">
        <f t="shared" si="5"/>
        <v/>
      </c>
      <c r="C435" s="102"/>
      <c r="D435" s="51"/>
      <c r="E435" s="102"/>
      <c r="F435" s="102"/>
      <c r="G435" s="103"/>
      <c r="H435" s="103" t="str">
        <f t="shared" si="2"/>
        <v/>
      </c>
      <c r="I435" s="103"/>
      <c r="M435" s="103"/>
      <c r="N435" s="113"/>
      <c r="O435" s="107"/>
      <c r="P435" s="106" t="str">
        <f>IF(ISBLANK(N435), "", VLOOKUP(D435&amp;" "&amp;E435, 'Info Tipo de Cambio y REM'!$A$24:$B$35, 2, FALSE))
</f>
        <v/>
      </c>
      <c r="Q435" s="107" t="str">
        <f t="shared" si="3"/>
        <v/>
      </c>
    </row>
    <row r="436">
      <c r="A436" s="102"/>
      <c r="B436" s="43" t="str">
        <f t="shared" si="5"/>
        <v/>
      </c>
      <c r="C436" s="102"/>
      <c r="D436" s="51"/>
      <c r="E436" s="102"/>
      <c r="F436" s="102"/>
      <c r="G436" s="103"/>
      <c r="H436" s="103" t="str">
        <f t="shared" si="2"/>
        <v/>
      </c>
      <c r="I436" s="103"/>
      <c r="M436" s="103"/>
      <c r="N436" s="113"/>
      <c r="O436" s="107"/>
      <c r="P436" s="106" t="str">
        <f>IF(ISBLANK(N436), "", VLOOKUP(D436&amp;" "&amp;E436, 'Info Tipo de Cambio y REM'!$A$24:$B$35, 2, FALSE))
</f>
        <v/>
      </c>
      <c r="Q436" s="107" t="str">
        <f t="shared" si="3"/>
        <v/>
      </c>
    </row>
    <row r="437">
      <c r="A437" s="102"/>
      <c r="B437" s="43" t="str">
        <f t="shared" si="5"/>
        <v/>
      </c>
      <c r="C437" s="102"/>
      <c r="D437" s="51"/>
      <c r="E437" s="102"/>
      <c r="F437" s="102"/>
      <c r="G437" s="103"/>
      <c r="H437" s="103" t="str">
        <f t="shared" si="2"/>
        <v/>
      </c>
      <c r="I437" s="103"/>
      <c r="M437" s="103"/>
      <c r="N437" s="113"/>
      <c r="O437" s="107"/>
      <c r="P437" s="106" t="str">
        <f>IF(ISBLANK(N437), "", VLOOKUP(D437&amp;" "&amp;E437, 'Info Tipo de Cambio y REM'!$A$24:$B$35, 2, FALSE))
</f>
        <v/>
      </c>
      <c r="Q437" s="107" t="str">
        <f t="shared" si="3"/>
        <v/>
      </c>
    </row>
    <row r="438">
      <c r="A438" s="102"/>
      <c r="B438" s="43" t="str">
        <f t="shared" si="5"/>
        <v/>
      </c>
      <c r="C438" s="102"/>
      <c r="D438" s="51"/>
      <c r="E438" s="102"/>
      <c r="F438" s="102"/>
      <c r="G438" s="103"/>
      <c r="H438" s="103" t="str">
        <f t="shared" si="2"/>
        <v/>
      </c>
      <c r="I438" s="103"/>
      <c r="M438" s="103"/>
      <c r="N438" s="113"/>
      <c r="O438" s="107"/>
      <c r="P438" s="106" t="str">
        <f>IF(ISBLANK(N438), "", VLOOKUP(D438&amp;" "&amp;E438, 'Info Tipo de Cambio y REM'!$A$24:$B$35, 2, FALSE))
</f>
        <v/>
      </c>
      <c r="Q438" s="107" t="str">
        <f t="shared" si="3"/>
        <v/>
      </c>
    </row>
    <row r="439">
      <c r="A439" s="102"/>
      <c r="B439" s="43" t="str">
        <f t="shared" si="5"/>
        <v/>
      </c>
      <c r="C439" s="102"/>
      <c r="D439" s="51"/>
      <c r="E439" s="102"/>
      <c r="F439" s="102"/>
      <c r="G439" s="103"/>
      <c r="H439" s="103" t="str">
        <f t="shared" si="2"/>
        <v/>
      </c>
      <c r="I439" s="103"/>
      <c r="M439" s="103"/>
      <c r="N439" s="113"/>
      <c r="O439" s="107"/>
      <c r="P439" s="106" t="str">
        <f>IF(ISBLANK(N439), "", VLOOKUP(D439&amp;" "&amp;E439, 'Info Tipo de Cambio y REM'!$A$24:$B$35, 2, FALSE))
</f>
        <v/>
      </c>
      <c r="Q439" s="107" t="str">
        <f t="shared" si="3"/>
        <v/>
      </c>
    </row>
    <row r="440">
      <c r="A440" s="102"/>
      <c r="B440" s="43" t="str">
        <f t="shared" si="5"/>
        <v/>
      </c>
      <c r="C440" s="102"/>
      <c r="D440" s="51"/>
      <c r="E440" s="102"/>
      <c r="F440" s="102"/>
      <c r="G440" s="103"/>
      <c r="H440" s="103" t="str">
        <f t="shared" si="2"/>
        <v/>
      </c>
      <c r="I440" s="103"/>
      <c r="M440" s="103"/>
      <c r="N440" s="113"/>
      <c r="O440" s="107"/>
      <c r="P440" s="106" t="str">
        <f>IF(ISBLANK(N440), "", VLOOKUP(D440&amp;" "&amp;E440, 'Info Tipo de Cambio y REM'!$A$24:$B$35, 2, FALSE))
</f>
        <v/>
      </c>
      <c r="Q440" s="107" t="str">
        <f t="shared" si="3"/>
        <v/>
      </c>
    </row>
    <row r="441">
      <c r="A441" s="102"/>
      <c r="B441" s="43" t="str">
        <f t="shared" si="5"/>
        <v/>
      </c>
      <c r="C441" s="102"/>
      <c r="D441" s="51"/>
      <c r="E441" s="102"/>
      <c r="F441" s="102"/>
      <c r="G441" s="103"/>
      <c r="H441" s="103" t="str">
        <f t="shared" si="2"/>
        <v/>
      </c>
      <c r="I441" s="103"/>
      <c r="M441" s="103"/>
      <c r="N441" s="113"/>
      <c r="O441" s="107"/>
      <c r="P441" s="106" t="str">
        <f>IF(ISBLANK(N441), "", VLOOKUP(D441&amp;" "&amp;E441, 'Info Tipo de Cambio y REM'!$A$24:$B$35, 2, FALSE))
</f>
        <v/>
      </c>
      <c r="Q441" s="107" t="str">
        <f t="shared" si="3"/>
        <v/>
      </c>
    </row>
    <row r="442">
      <c r="A442" s="102"/>
      <c r="B442" s="43" t="str">
        <f t="shared" si="5"/>
        <v/>
      </c>
      <c r="C442" s="102"/>
      <c r="D442" s="51"/>
      <c r="E442" s="102"/>
      <c r="F442" s="102"/>
      <c r="G442" s="103"/>
      <c r="H442" s="103" t="str">
        <f t="shared" si="2"/>
        <v/>
      </c>
      <c r="I442" s="103"/>
      <c r="M442" s="103"/>
      <c r="N442" s="113"/>
      <c r="O442" s="107"/>
      <c r="P442" s="106" t="str">
        <f>IF(ISBLANK(N442), "", VLOOKUP(D442&amp;" "&amp;E442, 'Info Tipo de Cambio y REM'!$A$24:$B$35, 2, FALSE))
</f>
        <v/>
      </c>
      <c r="Q442" s="107" t="str">
        <f t="shared" si="3"/>
        <v/>
      </c>
    </row>
    <row r="443">
      <c r="A443" s="102"/>
      <c r="B443" s="43" t="str">
        <f t="shared" si="5"/>
        <v/>
      </c>
      <c r="C443" s="102"/>
      <c r="D443" s="51"/>
      <c r="E443" s="102"/>
      <c r="F443" s="102"/>
      <c r="G443" s="103"/>
      <c r="H443" s="103" t="str">
        <f t="shared" si="2"/>
        <v/>
      </c>
      <c r="I443" s="103"/>
      <c r="M443" s="103"/>
      <c r="N443" s="113"/>
      <c r="O443" s="107"/>
      <c r="P443" s="106" t="str">
        <f>IF(ISBLANK(N443), "", VLOOKUP(D443&amp;" "&amp;E443, 'Info Tipo de Cambio y REM'!$A$24:$B$35, 2, FALSE))
</f>
        <v/>
      </c>
      <c r="Q443" s="107" t="str">
        <f t="shared" si="3"/>
        <v/>
      </c>
    </row>
    <row r="444">
      <c r="A444" s="102"/>
      <c r="B444" s="43" t="str">
        <f t="shared" si="5"/>
        <v/>
      </c>
      <c r="C444" s="102"/>
      <c r="D444" s="51"/>
      <c r="E444" s="102"/>
      <c r="F444" s="102"/>
      <c r="G444" s="103"/>
      <c r="H444" s="103" t="str">
        <f t="shared" si="2"/>
        <v/>
      </c>
      <c r="I444" s="103"/>
      <c r="M444" s="103"/>
      <c r="N444" s="113"/>
      <c r="O444" s="107"/>
      <c r="P444" s="106" t="str">
        <f>IF(ISBLANK(N444), "", VLOOKUP(D444&amp;" "&amp;E444, 'Info Tipo de Cambio y REM'!$A$24:$B$35, 2, FALSE))
</f>
        <v/>
      </c>
      <c r="Q444" s="107" t="str">
        <f t="shared" si="3"/>
        <v/>
      </c>
    </row>
    <row r="445">
      <c r="A445" s="102"/>
      <c r="B445" s="43" t="str">
        <f t="shared" si="5"/>
        <v/>
      </c>
      <c r="C445" s="102"/>
      <c r="D445" s="51"/>
      <c r="E445" s="102"/>
      <c r="F445" s="102"/>
      <c r="G445" s="103"/>
      <c r="H445" s="103" t="str">
        <f t="shared" si="2"/>
        <v/>
      </c>
      <c r="I445" s="103"/>
      <c r="M445" s="103"/>
      <c r="N445" s="113"/>
      <c r="O445" s="107"/>
      <c r="P445" s="106" t="str">
        <f>IF(ISBLANK(N445), "", VLOOKUP(D445&amp;" "&amp;E445, 'Info Tipo de Cambio y REM'!$A$24:$B$35, 2, FALSE))
</f>
        <v/>
      </c>
      <c r="Q445" s="107" t="str">
        <f t="shared" si="3"/>
        <v/>
      </c>
    </row>
    <row r="446">
      <c r="A446" s="102"/>
      <c r="B446" s="43" t="str">
        <f t="shared" si="5"/>
        <v/>
      </c>
      <c r="C446" s="102"/>
      <c r="D446" s="51"/>
      <c r="E446" s="102"/>
      <c r="F446" s="102"/>
      <c r="G446" s="103"/>
      <c r="H446" s="103" t="str">
        <f t="shared" si="2"/>
        <v/>
      </c>
      <c r="I446" s="103"/>
      <c r="M446" s="103"/>
      <c r="N446" s="113"/>
      <c r="O446" s="107"/>
      <c r="P446" s="106" t="str">
        <f>IF(ISBLANK(N446), "", VLOOKUP(D446&amp;" "&amp;E446, 'Info Tipo de Cambio y REM'!$A$24:$B$35, 2, FALSE))
</f>
        <v/>
      </c>
      <c r="Q446" s="107" t="str">
        <f t="shared" si="3"/>
        <v/>
      </c>
    </row>
    <row r="447">
      <c r="A447" s="102"/>
      <c r="B447" s="43" t="str">
        <f t="shared" si="5"/>
        <v/>
      </c>
      <c r="C447" s="102"/>
      <c r="D447" s="51"/>
      <c r="E447" s="102"/>
      <c r="F447" s="102"/>
      <c r="G447" s="103"/>
      <c r="H447" s="103" t="str">
        <f t="shared" si="2"/>
        <v/>
      </c>
      <c r="I447" s="103"/>
      <c r="M447" s="103"/>
      <c r="N447" s="113"/>
      <c r="O447" s="107"/>
      <c r="P447" s="106" t="str">
        <f>IF(ISBLANK(N447), "", VLOOKUP(D447&amp;" "&amp;E447, 'Info Tipo de Cambio y REM'!$A$24:$B$35, 2, FALSE))
</f>
        <v/>
      </c>
      <c r="Q447" s="107" t="str">
        <f t="shared" si="3"/>
        <v/>
      </c>
    </row>
    <row r="448">
      <c r="A448" s="102"/>
      <c r="B448" s="43" t="str">
        <f t="shared" si="5"/>
        <v/>
      </c>
      <c r="C448" s="102"/>
      <c r="D448" s="51"/>
      <c r="E448" s="102"/>
      <c r="F448" s="102"/>
      <c r="G448" s="103"/>
      <c r="H448" s="103" t="str">
        <f t="shared" si="2"/>
        <v/>
      </c>
      <c r="I448" s="103"/>
      <c r="M448" s="103"/>
      <c r="N448" s="113"/>
      <c r="O448" s="107"/>
      <c r="P448" s="106" t="str">
        <f>IF(ISBLANK(N448), "", VLOOKUP(D448&amp;" "&amp;E448, 'Info Tipo de Cambio y REM'!$A$24:$B$35, 2, FALSE))
</f>
        <v/>
      </c>
      <c r="Q448" s="107" t="str">
        <f t="shared" si="3"/>
        <v/>
      </c>
    </row>
    <row r="449">
      <c r="A449" s="102"/>
      <c r="B449" s="43" t="str">
        <f t="shared" si="5"/>
        <v/>
      </c>
      <c r="C449" s="102"/>
      <c r="D449" s="51"/>
      <c r="E449" s="102"/>
      <c r="F449" s="102"/>
      <c r="G449" s="103"/>
      <c r="H449" s="103" t="str">
        <f t="shared" si="2"/>
        <v/>
      </c>
      <c r="I449" s="103"/>
      <c r="M449" s="103"/>
      <c r="N449" s="113"/>
      <c r="O449" s="107"/>
      <c r="P449" s="106" t="str">
        <f>IF(ISBLANK(N449), "", VLOOKUP(D449&amp;" "&amp;E449, 'Info Tipo de Cambio y REM'!$A$24:$B$35, 2, FALSE))
</f>
        <v/>
      </c>
      <c r="Q449" s="107" t="str">
        <f t="shared" si="3"/>
        <v/>
      </c>
    </row>
    <row r="450">
      <c r="A450" s="102"/>
      <c r="B450" s="43" t="str">
        <f t="shared" si="5"/>
        <v/>
      </c>
      <c r="C450" s="102"/>
      <c r="D450" s="51"/>
      <c r="E450" s="102"/>
      <c r="F450" s="102"/>
      <c r="G450" s="103"/>
      <c r="H450" s="103" t="str">
        <f t="shared" si="2"/>
        <v/>
      </c>
      <c r="I450" s="103"/>
      <c r="M450" s="103"/>
      <c r="N450" s="113"/>
      <c r="O450" s="107"/>
      <c r="P450" s="106" t="str">
        <f>IF(ISBLANK(N450), "", VLOOKUP(D450&amp;" "&amp;E450, 'Info Tipo de Cambio y REM'!$A$24:$B$35, 2, FALSE))
</f>
        <v/>
      </c>
      <c r="Q450" s="107" t="str">
        <f t="shared" si="3"/>
        <v/>
      </c>
    </row>
    <row r="451">
      <c r="A451" s="102"/>
      <c r="B451" s="43" t="str">
        <f t="shared" si="5"/>
        <v/>
      </c>
      <c r="C451" s="102"/>
      <c r="D451" s="51"/>
      <c r="E451" s="102"/>
      <c r="F451" s="102"/>
      <c r="G451" s="103"/>
      <c r="H451" s="103" t="str">
        <f t="shared" si="2"/>
        <v/>
      </c>
      <c r="I451" s="103"/>
      <c r="M451" s="103"/>
      <c r="N451" s="113"/>
      <c r="O451" s="107"/>
      <c r="P451" s="106" t="str">
        <f>IF(ISBLANK(N451), "", VLOOKUP(D451&amp;" "&amp;E451, 'Info Tipo de Cambio y REM'!$A$24:$B$35, 2, FALSE))
</f>
        <v/>
      </c>
      <c r="Q451" s="107" t="str">
        <f t="shared" si="3"/>
        <v/>
      </c>
    </row>
    <row r="452">
      <c r="A452" s="102"/>
      <c r="B452" s="43" t="str">
        <f t="shared" si="5"/>
        <v/>
      </c>
      <c r="C452" s="102"/>
      <c r="D452" s="51"/>
      <c r="E452" s="102"/>
      <c r="F452" s="102"/>
      <c r="G452" s="103"/>
      <c r="H452" s="103" t="str">
        <f t="shared" si="2"/>
        <v/>
      </c>
      <c r="I452" s="103"/>
      <c r="M452" s="103"/>
      <c r="N452" s="113"/>
      <c r="O452" s="107"/>
      <c r="P452" s="106" t="str">
        <f>IF(ISBLANK(N452), "", VLOOKUP(D452&amp;" "&amp;E452, 'Info Tipo de Cambio y REM'!$A$24:$B$35, 2, FALSE))
</f>
        <v/>
      </c>
      <c r="Q452" s="107" t="str">
        <f t="shared" si="3"/>
        <v/>
      </c>
    </row>
    <row r="453">
      <c r="A453" s="102"/>
      <c r="B453" s="43" t="str">
        <f t="shared" si="5"/>
        <v/>
      </c>
      <c r="C453" s="102"/>
      <c r="D453" s="51"/>
      <c r="E453" s="102"/>
      <c r="F453" s="102"/>
      <c r="G453" s="103"/>
      <c r="H453" s="103" t="str">
        <f t="shared" si="2"/>
        <v/>
      </c>
      <c r="I453" s="103"/>
      <c r="M453" s="103"/>
      <c r="N453" s="113"/>
      <c r="O453" s="107"/>
      <c r="P453" s="106" t="str">
        <f>IF(ISBLANK(N453), "", VLOOKUP(D453&amp;" "&amp;E453, 'Info Tipo de Cambio y REM'!$A$24:$B$35, 2, FALSE))
</f>
        <v/>
      </c>
      <c r="Q453" s="107" t="str">
        <f t="shared" si="3"/>
        <v/>
      </c>
    </row>
    <row r="454">
      <c r="A454" s="102"/>
      <c r="B454" s="43" t="str">
        <f t="shared" si="5"/>
        <v/>
      </c>
      <c r="C454" s="102"/>
      <c r="D454" s="51"/>
      <c r="E454" s="102"/>
      <c r="F454" s="102"/>
      <c r="G454" s="103"/>
      <c r="H454" s="103" t="str">
        <f t="shared" si="2"/>
        <v/>
      </c>
      <c r="I454" s="103"/>
      <c r="M454" s="103"/>
      <c r="N454" s="113"/>
      <c r="O454" s="107"/>
      <c r="P454" s="106" t="str">
        <f>IF(ISBLANK(N454), "", VLOOKUP(D454&amp;" "&amp;E454, 'Info Tipo de Cambio y REM'!$A$24:$B$35, 2, FALSE))
</f>
        <v/>
      </c>
      <c r="Q454" s="107" t="str">
        <f t="shared" si="3"/>
        <v/>
      </c>
    </row>
    <row r="455">
      <c r="A455" s="102"/>
      <c r="B455" s="43" t="str">
        <f t="shared" si="5"/>
        <v/>
      </c>
      <c r="C455" s="102"/>
      <c r="D455" s="51"/>
      <c r="E455" s="102"/>
      <c r="F455" s="102"/>
      <c r="G455" s="103"/>
      <c r="H455" s="103" t="str">
        <f t="shared" si="2"/>
        <v/>
      </c>
      <c r="I455" s="103"/>
      <c r="M455" s="103"/>
      <c r="N455" s="113"/>
      <c r="O455" s="107"/>
      <c r="P455" s="106" t="str">
        <f>IF(ISBLANK(N455), "", VLOOKUP(D455&amp;" "&amp;E455, 'Info Tipo de Cambio y REM'!$A$24:$B$35, 2, FALSE))
</f>
        <v/>
      </c>
      <c r="Q455" s="107" t="str">
        <f t="shared" si="3"/>
        <v/>
      </c>
    </row>
    <row r="456">
      <c r="A456" s="102"/>
      <c r="B456" s="43" t="str">
        <f t="shared" si="5"/>
        <v/>
      </c>
      <c r="C456" s="102"/>
      <c r="D456" s="51"/>
      <c r="E456" s="102"/>
      <c r="F456" s="102"/>
      <c r="G456" s="103"/>
      <c r="H456" s="103" t="str">
        <f t="shared" si="2"/>
        <v/>
      </c>
      <c r="I456" s="103"/>
      <c r="M456" s="103"/>
      <c r="N456" s="113"/>
      <c r="O456" s="107"/>
      <c r="P456" s="106" t="str">
        <f>IF(ISBLANK(N456), "", VLOOKUP(D456&amp;" "&amp;E456, 'Info Tipo de Cambio y REM'!$A$24:$B$35, 2, FALSE))
</f>
        <v/>
      </c>
      <c r="Q456" s="107" t="str">
        <f t="shared" si="3"/>
        <v/>
      </c>
    </row>
    <row r="457">
      <c r="A457" s="102"/>
      <c r="B457" s="43" t="str">
        <f t="shared" si="5"/>
        <v/>
      </c>
      <c r="C457" s="102"/>
      <c r="D457" s="51"/>
      <c r="E457" s="102"/>
      <c r="F457" s="102"/>
      <c r="G457" s="103"/>
      <c r="H457" s="103" t="str">
        <f t="shared" si="2"/>
        <v/>
      </c>
      <c r="I457" s="103"/>
      <c r="M457" s="103"/>
      <c r="N457" s="113"/>
      <c r="O457" s="107"/>
      <c r="P457" s="106" t="str">
        <f>IF(ISBLANK(N457), "", VLOOKUP(D457&amp;" "&amp;E457, 'Info Tipo de Cambio y REM'!$A$24:$B$35, 2, FALSE))
</f>
        <v/>
      </c>
      <c r="Q457" s="107" t="str">
        <f t="shared" si="3"/>
        <v/>
      </c>
    </row>
    <row r="458">
      <c r="A458" s="102"/>
      <c r="B458" s="43" t="str">
        <f t="shared" si="5"/>
        <v/>
      </c>
      <c r="C458" s="102"/>
      <c r="D458" s="51"/>
      <c r="E458" s="102"/>
      <c r="F458" s="102"/>
      <c r="G458" s="103"/>
      <c r="H458" s="103" t="str">
        <f t="shared" si="2"/>
        <v/>
      </c>
      <c r="I458" s="103"/>
      <c r="M458" s="103"/>
      <c r="N458" s="113"/>
      <c r="O458" s="107"/>
      <c r="P458" s="106" t="str">
        <f>IF(ISBLANK(N458), "", VLOOKUP(D458&amp;" "&amp;E458, 'Info Tipo de Cambio y REM'!$A$24:$B$35, 2, FALSE))
</f>
        <v/>
      </c>
      <c r="Q458" s="107" t="str">
        <f t="shared" si="3"/>
        <v/>
      </c>
    </row>
    <row r="459">
      <c r="A459" s="102"/>
      <c r="B459" s="43" t="str">
        <f t="shared" si="5"/>
        <v/>
      </c>
      <c r="C459" s="102"/>
      <c r="D459" s="51"/>
      <c r="E459" s="102"/>
      <c r="F459" s="102"/>
      <c r="G459" s="103"/>
      <c r="H459" s="103" t="str">
        <f t="shared" si="2"/>
        <v/>
      </c>
      <c r="I459" s="103"/>
      <c r="M459" s="103"/>
      <c r="N459" s="113"/>
      <c r="O459" s="107"/>
      <c r="P459" s="106" t="str">
        <f>IF(ISBLANK(N459), "", VLOOKUP(D459&amp;" "&amp;E459, 'Info Tipo de Cambio y REM'!$A$24:$B$35, 2, FALSE))
</f>
        <v/>
      </c>
      <c r="Q459" s="107" t="str">
        <f t="shared" si="3"/>
        <v/>
      </c>
    </row>
    <row r="460">
      <c r="A460" s="102"/>
      <c r="B460" s="43" t="str">
        <f t="shared" si="5"/>
        <v/>
      </c>
      <c r="C460" s="102"/>
      <c r="D460" s="51"/>
      <c r="E460" s="102"/>
      <c r="F460" s="102"/>
      <c r="G460" s="103"/>
      <c r="H460" s="103" t="str">
        <f t="shared" si="2"/>
        <v/>
      </c>
      <c r="I460" s="103"/>
      <c r="M460" s="103"/>
      <c r="N460" s="113"/>
      <c r="O460" s="107"/>
      <c r="P460" s="106" t="str">
        <f>IF(ISBLANK(N460), "", VLOOKUP(D460&amp;" "&amp;E460, 'Info Tipo de Cambio y REM'!$A$24:$B$35, 2, FALSE))
</f>
        <v/>
      </c>
      <c r="Q460" s="107" t="str">
        <f t="shared" si="3"/>
        <v/>
      </c>
    </row>
    <row r="461">
      <c r="A461" s="102"/>
      <c r="B461" s="43" t="str">
        <f t="shared" si="5"/>
        <v/>
      </c>
      <c r="C461" s="102"/>
      <c r="D461" s="51"/>
      <c r="E461" s="102"/>
      <c r="F461" s="102"/>
      <c r="G461" s="103"/>
      <c r="H461" s="103" t="str">
        <f t="shared" si="2"/>
        <v/>
      </c>
      <c r="I461" s="103"/>
      <c r="M461" s="103"/>
      <c r="N461" s="113"/>
      <c r="O461" s="107"/>
      <c r="P461" s="106" t="str">
        <f>IF(ISBLANK(N461), "", VLOOKUP(D461&amp;" "&amp;E461, 'Info Tipo de Cambio y REM'!$A$24:$B$35, 2, FALSE))
</f>
        <v/>
      </c>
      <c r="Q461" s="107" t="str">
        <f t="shared" si="3"/>
        <v/>
      </c>
    </row>
    <row r="462">
      <c r="A462" s="102"/>
      <c r="B462" s="43" t="str">
        <f t="shared" si="5"/>
        <v/>
      </c>
      <c r="C462" s="102"/>
      <c r="D462" s="51"/>
      <c r="E462" s="102"/>
      <c r="F462" s="102"/>
      <c r="G462" s="103"/>
      <c r="H462" s="103" t="str">
        <f t="shared" si="2"/>
        <v/>
      </c>
      <c r="I462" s="103"/>
      <c r="M462" s="103"/>
      <c r="N462" s="113"/>
      <c r="O462" s="107"/>
      <c r="P462" s="106" t="str">
        <f>IF(ISBLANK(N462), "", VLOOKUP(D462&amp;" "&amp;E462, 'Info Tipo de Cambio y REM'!$A$24:$B$35, 2, FALSE))
</f>
        <v/>
      </c>
      <c r="Q462" s="107" t="str">
        <f t="shared" si="3"/>
        <v/>
      </c>
    </row>
    <row r="463">
      <c r="A463" s="102"/>
      <c r="B463" s="43" t="str">
        <f t="shared" si="5"/>
        <v/>
      </c>
      <c r="C463" s="102"/>
      <c r="D463" s="51"/>
      <c r="E463" s="102"/>
      <c r="F463" s="102"/>
      <c r="G463" s="103"/>
      <c r="H463" s="103" t="str">
        <f t="shared" si="2"/>
        <v/>
      </c>
      <c r="I463" s="103"/>
      <c r="M463" s="103"/>
      <c r="N463" s="113"/>
      <c r="O463" s="107"/>
      <c r="P463" s="106" t="str">
        <f>IF(ISBLANK(N463), "", VLOOKUP(D463&amp;" "&amp;E463, 'Info Tipo de Cambio y REM'!$A$24:$B$35, 2, FALSE))
</f>
        <v/>
      </c>
      <c r="Q463" s="107" t="str">
        <f t="shared" si="3"/>
        <v/>
      </c>
    </row>
    <row r="464">
      <c r="A464" s="102"/>
      <c r="B464" s="43" t="str">
        <f t="shared" si="5"/>
        <v/>
      </c>
      <c r="C464" s="102"/>
      <c r="D464" s="51"/>
      <c r="E464" s="102"/>
      <c r="F464" s="102"/>
      <c r="G464" s="103"/>
      <c r="H464" s="103" t="str">
        <f t="shared" si="2"/>
        <v/>
      </c>
      <c r="I464" s="103"/>
      <c r="M464" s="103"/>
      <c r="N464" s="113"/>
      <c r="O464" s="107"/>
      <c r="P464" s="106" t="str">
        <f>IF(ISBLANK(N464), "", VLOOKUP(D464&amp;" "&amp;E464, 'Info Tipo de Cambio y REM'!$A$24:$B$35, 2, FALSE))
</f>
        <v/>
      </c>
      <c r="Q464" s="107" t="str">
        <f t="shared" si="3"/>
        <v/>
      </c>
    </row>
    <row r="465">
      <c r="A465" s="102"/>
      <c r="B465" s="43" t="str">
        <f t="shared" si="5"/>
        <v/>
      </c>
      <c r="C465" s="102"/>
      <c r="D465" s="51"/>
      <c r="E465" s="102"/>
      <c r="F465" s="102"/>
      <c r="G465" s="103"/>
      <c r="H465" s="103" t="str">
        <f t="shared" si="2"/>
        <v/>
      </c>
      <c r="I465" s="103"/>
      <c r="M465" s="103"/>
      <c r="N465" s="113"/>
      <c r="O465" s="107"/>
      <c r="P465" s="106" t="str">
        <f>IF(ISBLANK(N465), "", VLOOKUP(D465&amp;" "&amp;E465, 'Info Tipo de Cambio y REM'!$A$24:$B$35, 2, FALSE))
</f>
        <v/>
      </c>
      <c r="Q465" s="107" t="str">
        <f t="shared" si="3"/>
        <v/>
      </c>
    </row>
    <row r="466">
      <c r="A466" s="102"/>
      <c r="B466" s="43" t="str">
        <f t="shared" si="5"/>
        <v/>
      </c>
      <c r="C466" s="102"/>
      <c r="D466" s="51"/>
      <c r="E466" s="102"/>
      <c r="F466" s="102"/>
      <c r="G466" s="103"/>
      <c r="H466" s="103" t="str">
        <f t="shared" si="2"/>
        <v/>
      </c>
      <c r="I466" s="103"/>
      <c r="M466" s="103"/>
      <c r="N466" s="113"/>
      <c r="O466" s="107"/>
      <c r="P466" s="106" t="str">
        <f>IF(ISBLANK(N466), "", VLOOKUP(D466&amp;" "&amp;E466, 'Info Tipo de Cambio y REM'!$A$24:$B$35, 2, FALSE))
</f>
        <v/>
      </c>
      <c r="Q466" s="107" t="str">
        <f t="shared" si="3"/>
        <v/>
      </c>
    </row>
    <row r="467">
      <c r="A467" s="102"/>
      <c r="B467" s="43" t="str">
        <f t="shared" si="5"/>
        <v/>
      </c>
      <c r="C467" s="102"/>
      <c r="D467" s="51"/>
      <c r="E467" s="102"/>
      <c r="F467" s="102"/>
      <c r="G467" s="103"/>
      <c r="H467" s="103" t="str">
        <f t="shared" si="2"/>
        <v/>
      </c>
      <c r="I467" s="103"/>
      <c r="M467" s="103"/>
      <c r="N467" s="113"/>
      <c r="O467" s="107"/>
      <c r="P467" s="106" t="str">
        <f>IF(ISBLANK(N467), "", VLOOKUP(D467&amp;" "&amp;E467, 'Info Tipo de Cambio y REM'!$A$24:$B$35, 2, FALSE))
</f>
        <v/>
      </c>
      <c r="Q467" s="107" t="str">
        <f t="shared" si="3"/>
        <v/>
      </c>
    </row>
    <row r="468">
      <c r="A468" s="102"/>
      <c r="B468" s="102"/>
      <c r="C468" s="102"/>
      <c r="D468" s="51"/>
      <c r="E468" s="102"/>
      <c r="F468" s="102"/>
      <c r="G468" s="103"/>
      <c r="H468" s="103" t="str">
        <f t="shared" si="2"/>
        <v/>
      </c>
      <c r="I468" s="103"/>
      <c r="M468" s="103"/>
      <c r="N468" s="113"/>
      <c r="O468" s="107"/>
      <c r="P468" s="106" t="str">
        <f>IF(ISBLANK(N468), "", VLOOKUP(D468&amp;" "&amp;E468, 'Info Tipo de Cambio y REM'!$A$24:$B$35, 2, FALSE))
</f>
        <v/>
      </c>
      <c r="Q468" s="107" t="str">
        <f t="shared" si="3"/>
        <v/>
      </c>
    </row>
    <row r="469">
      <c r="A469" s="102"/>
      <c r="B469" s="102"/>
      <c r="C469" s="102"/>
      <c r="D469" s="51"/>
      <c r="E469" s="102"/>
      <c r="F469" s="102"/>
      <c r="G469" s="103"/>
      <c r="H469" s="103" t="str">
        <f t="shared" si="2"/>
        <v/>
      </c>
      <c r="I469" s="103"/>
      <c r="M469" s="103"/>
      <c r="N469" s="113"/>
      <c r="O469" s="107"/>
      <c r="P469" s="106" t="str">
        <f>IF(ISBLANK(N469), "", VLOOKUP(D469&amp;" "&amp;E469, 'Info Tipo de Cambio y REM'!$A$24:$B$35, 2, FALSE))
</f>
        <v/>
      </c>
      <c r="Q469" s="107" t="str">
        <f t="shared" si="3"/>
        <v/>
      </c>
    </row>
    <row r="470">
      <c r="A470" s="102"/>
      <c r="B470" s="102"/>
      <c r="C470" s="102"/>
      <c r="D470" s="51"/>
      <c r="E470" s="102"/>
      <c r="F470" s="102"/>
      <c r="G470" s="103"/>
      <c r="H470" s="103" t="str">
        <f t="shared" si="2"/>
        <v/>
      </c>
      <c r="I470" s="103"/>
      <c r="M470" s="103"/>
      <c r="N470" s="113"/>
      <c r="O470" s="107"/>
      <c r="P470" s="106" t="str">
        <f>IF(ISBLANK(N470), "", VLOOKUP(D470&amp;" "&amp;E470, 'Info Tipo de Cambio y REM'!$A$24:$B$35, 2, FALSE))
</f>
        <v/>
      </c>
      <c r="Q470" s="107" t="str">
        <f t="shared" si="3"/>
        <v/>
      </c>
    </row>
    <row r="471">
      <c r="A471" s="102"/>
      <c r="B471" s="102"/>
      <c r="C471" s="102"/>
      <c r="D471" s="51"/>
      <c r="E471" s="102"/>
      <c r="F471" s="102"/>
      <c r="G471" s="103"/>
      <c r="H471" s="103" t="str">
        <f t="shared" si="2"/>
        <v/>
      </c>
      <c r="I471" s="103"/>
      <c r="M471" s="103"/>
      <c r="N471" s="113"/>
      <c r="O471" s="107"/>
      <c r="P471" s="106" t="str">
        <f>IF(ISBLANK(N471), "", VLOOKUP(D471&amp;" "&amp;E471, 'Info Tipo de Cambio y REM'!$A$24:$B$35, 2, FALSE))
</f>
        <v/>
      </c>
      <c r="Q471" s="107" t="str">
        <f t="shared" si="3"/>
        <v/>
      </c>
    </row>
    <row r="472">
      <c r="A472" s="102"/>
      <c r="B472" s="102"/>
      <c r="C472" s="102"/>
      <c r="D472" s="51"/>
      <c r="E472" s="102"/>
      <c r="F472" s="102"/>
      <c r="G472" s="103"/>
      <c r="H472" s="103" t="str">
        <f t="shared" si="2"/>
        <v/>
      </c>
      <c r="I472" s="103"/>
      <c r="M472" s="103"/>
      <c r="N472" s="113"/>
      <c r="O472" s="107"/>
      <c r="P472" s="106" t="str">
        <f>IF(ISBLANK(N472), "", VLOOKUP(D472&amp;" "&amp;E472, 'Info Tipo de Cambio y REM'!$A$24:$B$35, 2, FALSE))
</f>
        <v/>
      </c>
      <c r="Q472" s="107" t="str">
        <f t="shared" si="3"/>
        <v/>
      </c>
    </row>
    <row r="473">
      <c r="A473" s="102"/>
      <c r="B473" s="102"/>
      <c r="C473" s="102"/>
      <c r="D473" s="51"/>
      <c r="E473" s="102"/>
      <c r="F473" s="102"/>
      <c r="G473" s="103"/>
      <c r="H473" s="103" t="str">
        <f t="shared" si="2"/>
        <v/>
      </c>
      <c r="I473" s="103"/>
      <c r="M473" s="103"/>
      <c r="N473" s="113"/>
      <c r="O473" s="107"/>
      <c r="P473" s="106" t="str">
        <f>IF(ISBLANK(N473), "", VLOOKUP(D473&amp;" "&amp;E473, 'Info Tipo de Cambio y REM'!$A$24:$B$35, 2, FALSE))
</f>
        <v/>
      </c>
      <c r="Q473" s="107" t="str">
        <f t="shared" si="3"/>
        <v/>
      </c>
    </row>
    <row r="474">
      <c r="A474" s="102"/>
      <c r="B474" s="102"/>
      <c r="C474" s="102"/>
      <c r="D474" s="51"/>
      <c r="E474" s="102"/>
      <c r="F474" s="102"/>
      <c r="G474" s="103"/>
      <c r="H474" s="103" t="str">
        <f t="shared" si="2"/>
        <v/>
      </c>
      <c r="I474" s="103"/>
      <c r="M474" s="103"/>
      <c r="N474" s="113"/>
      <c r="O474" s="107"/>
      <c r="P474" s="106" t="str">
        <f>IF(ISBLANK(N474), "", VLOOKUP(D474&amp;" "&amp;E474, 'Info Tipo de Cambio y REM'!$A$24:$B$35, 2, FALSE))
</f>
        <v/>
      </c>
      <c r="Q474" s="107" t="str">
        <f t="shared" si="3"/>
        <v/>
      </c>
    </row>
    <row r="475">
      <c r="A475" s="102"/>
      <c r="B475" s="102"/>
      <c r="C475" s="102"/>
      <c r="D475" s="51"/>
      <c r="E475" s="102"/>
      <c r="F475" s="102"/>
      <c r="G475" s="103"/>
      <c r="H475" s="103" t="str">
        <f t="shared" si="2"/>
        <v/>
      </c>
      <c r="I475" s="103"/>
      <c r="M475" s="103"/>
      <c r="N475" s="113"/>
      <c r="O475" s="107"/>
      <c r="P475" s="106" t="str">
        <f>IF(ISBLANK(N475), "", VLOOKUP(D475&amp;" "&amp;E475, 'Info Tipo de Cambio y REM'!$A$24:$B$35, 2, FALSE))
</f>
        <v/>
      </c>
      <c r="Q475" s="107" t="str">
        <f t="shared" si="3"/>
        <v/>
      </c>
    </row>
    <row r="476">
      <c r="A476" s="102"/>
      <c r="B476" s="102"/>
      <c r="C476" s="102"/>
      <c r="D476" s="51"/>
      <c r="E476" s="102"/>
      <c r="F476" s="102"/>
      <c r="G476" s="103"/>
      <c r="H476" s="103" t="str">
        <f t="shared" si="2"/>
        <v/>
      </c>
      <c r="I476" s="103"/>
      <c r="M476" s="103"/>
      <c r="N476" s="113"/>
      <c r="O476" s="107"/>
      <c r="P476" s="106" t="str">
        <f>IF(ISBLANK(N476), "", VLOOKUP(D476&amp;" "&amp;E476, 'Info Tipo de Cambio y REM'!$A$24:$B$35, 2, FALSE))
</f>
        <v/>
      </c>
      <c r="Q476" s="107" t="str">
        <f t="shared" si="3"/>
        <v/>
      </c>
    </row>
    <row r="477">
      <c r="A477" s="102"/>
      <c r="B477" s="102"/>
      <c r="C477" s="102"/>
      <c r="D477" s="51"/>
      <c r="E477" s="102"/>
      <c r="F477" s="102"/>
      <c r="G477" s="103"/>
      <c r="H477" s="103" t="str">
        <f t="shared" si="2"/>
        <v/>
      </c>
      <c r="I477" s="103"/>
      <c r="M477" s="103"/>
      <c r="N477" s="113"/>
      <c r="O477" s="107"/>
      <c r="P477" s="106" t="str">
        <f>IF(ISBLANK(N477), "", VLOOKUP(D477&amp;" "&amp;E477, 'Info Tipo de Cambio y REM'!$A$24:$B$35, 2, FALSE))
</f>
        <v/>
      </c>
      <c r="Q477" s="107" t="str">
        <f t="shared" si="3"/>
        <v/>
      </c>
    </row>
    <row r="478">
      <c r="A478" s="102"/>
      <c r="B478" s="102"/>
      <c r="C478" s="102"/>
      <c r="D478" s="51"/>
      <c r="E478" s="102"/>
      <c r="F478" s="102"/>
      <c r="G478" s="103"/>
      <c r="H478" s="103" t="str">
        <f t="shared" si="2"/>
        <v/>
      </c>
      <c r="I478" s="103"/>
      <c r="M478" s="103"/>
      <c r="N478" s="113"/>
      <c r="O478" s="107"/>
      <c r="P478" s="106" t="str">
        <f>IF(ISBLANK(N478), "", VLOOKUP(D478&amp;" "&amp;E478, 'Info Tipo de Cambio y REM'!$A$24:$B$35, 2, FALSE))
</f>
        <v/>
      </c>
      <c r="Q478" s="107" t="str">
        <f t="shared" si="3"/>
        <v/>
      </c>
    </row>
    <row r="479">
      <c r="A479" s="102"/>
      <c r="B479" s="102"/>
      <c r="C479" s="102"/>
      <c r="D479" s="51"/>
      <c r="E479" s="102"/>
      <c r="F479" s="102"/>
      <c r="G479" s="103"/>
      <c r="H479" s="103" t="str">
        <f t="shared" si="2"/>
        <v/>
      </c>
      <c r="I479" s="103"/>
      <c r="M479" s="103"/>
      <c r="N479" s="113"/>
      <c r="O479" s="107"/>
      <c r="P479" s="106" t="str">
        <f>IF(ISBLANK(N479), "", VLOOKUP(D479&amp;" "&amp;E479, 'Info Tipo de Cambio y REM'!$A$24:$B$35, 2, FALSE))
</f>
        <v/>
      </c>
      <c r="Q479" s="107" t="str">
        <f t="shared" si="3"/>
        <v/>
      </c>
    </row>
    <row r="480">
      <c r="A480" s="102"/>
      <c r="B480" s="102"/>
      <c r="C480" s="102"/>
      <c r="D480" s="51"/>
      <c r="E480" s="102"/>
      <c r="F480" s="102"/>
      <c r="G480" s="103"/>
      <c r="H480" s="103" t="str">
        <f t="shared" si="2"/>
        <v/>
      </c>
      <c r="I480" s="103"/>
      <c r="M480" s="103"/>
      <c r="N480" s="113"/>
      <c r="O480" s="107"/>
      <c r="P480" s="106" t="str">
        <f>IF(ISBLANK(N480), "", VLOOKUP(D480&amp;" "&amp;E480, 'Info Tipo de Cambio y REM'!$A$24:$B$35, 2, FALSE))
</f>
        <v/>
      </c>
      <c r="Q480" s="107" t="str">
        <f t="shared" si="3"/>
        <v/>
      </c>
    </row>
    <row r="481">
      <c r="A481" s="102"/>
      <c r="B481" s="102"/>
      <c r="C481" s="102"/>
      <c r="D481" s="51"/>
      <c r="E481" s="102"/>
      <c r="F481" s="102"/>
      <c r="G481" s="103"/>
      <c r="H481" s="103" t="str">
        <f t="shared" si="2"/>
        <v/>
      </c>
      <c r="I481" s="103"/>
      <c r="M481" s="103"/>
      <c r="N481" s="113"/>
      <c r="O481" s="107"/>
      <c r="P481" s="106" t="str">
        <f>IF(ISBLANK(N481), "", VLOOKUP(D481&amp;" "&amp;E481, 'Info Tipo de Cambio y REM'!$A$24:$B$35, 2, FALSE))
</f>
        <v/>
      </c>
      <c r="Q481" s="107" t="str">
        <f t="shared" si="3"/>
        <v/>
      </c>
    </row>
    <row r="482">
      <c r="A482" s="102"/>
      <c r="B482" s="102"/>
      <c r="C482" s="102"/>
      <c r="D482" s="51"/>
      <c r="E482" s="102"/>
      <c r="F482" s="102"/>
      <c r="G482" s="103"/>
      <c r="H482" s="103" t="str">
        <f t="shared" si="2"/>
        <v/>
      </c>
      <c r="I482" s="103"/>
      <c r="M482" s="103"/>
      <c r="N482" s="113"/>
      <c r="O482" s="107"/>
      <c r="P482" s="106" t="str">
        <f>IF(ISBLANK(N482), "", VLOOKUP(D482&amp;" "&amp;E482, 'Info Tipo de Cambio y REM'!$A$24:$B$35, 2, FALSE))
</f>
        <v/>
      </c>
      <c r="Q482" s="107" t="str">
        <f t="shared" si="3"/>
        <v/>
      </c>
    </row>
    <row r="483">
      <c r="A483" s="102"/>
      <c r="B483" s="102"/>
      <c r="C483" s="102"/>
      <c r="D483" s="51"/>
      <c r="E483" s="102"/>
      <c r="F483" s="102"/>
      <c r="G483" s="103"/>
      <c r="H483" s="103" t="str">
        <f t="shared" si="2"/>
        <v/>
      </c>
      <c r="I483" s="103"/>
      <c r="M483" s="103"/>
      <c r="N483" s="113"/>
      <c r="O483" s="107"/>
      <c r="P483" s="106" t="str">
        <f>IF(ISBLANK(N483), "", VLOOKUP(D483&amp;" "&amp;E483, 'Info Tipo de Cambio y REM'!$A$24:$B$35, 2, FALSE))
</f>
        <v/>
      </c>
      <c r="Q483" s="107" t="str">
        <f t="shared" si="3"/>
        <v/>
      </c>
    </row>
    <row r="484">
      <c r="A484" s="102"/>
      <c r="B484" s="102"/>
      <c r="C484" s="102"/>
      <c r="D484" s="51"/>
      <c r="E484" s="102"/>
      <c r="F484" s="102"/>
      <c r="G484" s="103"/>
      <c r="H484" s="103" t="str">
        <f t="shared" si="2"/>
        <v/>
      </c>
      <c r="I484" s="103"/>
      <c r="M484" s="103"/>
      <c r="N484" s="113"/>
      <c r="O484" s="107"/>
      <c r="P484" s="106" t="str">
        <f>IF(ISBLANK(N484), "", VLOOKUP(D484&amp;" "&amp;E484, 'Info Tipo de Cambio y REM'!$A$24:$B$35, 2, FALSE))
</f>
        <v/>
      </c>
      <c r="Q484" s="107" t="str">
        <f t="shared" si="3"/>
        <v/>
      </c>
    </row>
    <row r="485">
      <c r="A485" s="102"/>
      <c r="B485" s="102"/>
      <c r="C485" s="102"/>
      <c r="D485" s="51"/>
      <c r="E485" s="102"/>
      <c r="F485" s="102"/>
      <c r="G485" s="103"/>
      <c r="H485" s="103" t="str">
        <f t="shared" si="2"/>
        <v/>
      </c>
      <c r="I485" s="103"/>
      <c r="M485" s="103"/>
      <c r="N485" s="113"/>
      <c r="O485" s="107"/>
      <c r="P485" s="106" t="str">
        <f>IF(ISBLANK(N485), "", VLOOKUP(D485&amp;" "&amp;E485, 'Info Tipo de Cambio y REM'!$A$24:$B$35, 2, FALSE))
</f>
        <v/>
      </c>
      <c r="Q485" s="107" t="str">
        <f t="shared" si="3"/>
        <v/>
      </c>
    </row>
    <row r="486">
      <c r="A486" s="102"/>
      <c r="B486" s="102"/>
      <c r="C486" s="102"/>
      <c r="D486" s="51"/>
      <c r="E486" s="102"/>
      <c r="F486" s="102"/>
      <c r="G486" s="103"/>
      <c r="H486" s="103" t="str">
        <f t="shared" si="2"/>
        <v/>
      </c>
      <c r="I486" s="103"/>
      <c r="M486" s="103"/>
      <c r="N486" s="113"/>
      <c r="O486" s="107"/>
      <c r="P486" s="106" t="str">
        <f>IF(ISBLANK(N486), "", VLOOKUP(D486&amp;" "&amp;E486, 'Info Tipo de Cambio y REM'!$A$24:$B$35, 2, FALSE))
</f>
        <v/>
      </c>
      <c r="Q486" s="107" t="str">
        <f t="shared" si="3"/>
        <v/>
      </c>
    </row>
    <row r="487">
      <c r="A487" s="102"/>
      <c r="B487" s="102"/>
      <c r="C487" s="102"/>
      <c r="D487" s="51"/>
      <c r="E487" s="102"/>
      <c r="F487" s="102"/>
      <c r="G487" s="103"/>
      <c r="H487" s="103" t="str">
        <f t="shared" si="2"/>
        <v/>
      </c>
      <c r="I487" s="103"/>
      <c r="M487" s="103"/>
      <c r="N487" s="113"/>
      <c r="O487" s="107"/>
      <c r="P487" s="106" t="str">
        <f>IF(ISBLANK(N487), "", VLOOKUP(D487&amp;" "&amp;E487, 'Info Tipo de Cambio y REM'!$A$24:$B$35, 2, FALSE))
</f>
        <v/>
      </c>
      <c r="Q487" s="107" t="str">
        <f t="shared" si="3"/>
        <v/>
      </c>
    </row>
    <row r="488">
      <c r="A488" s="102"/>
      <c r="B488" s="102"/>
      <c r="C488" s="102"/>
      <c r="D488" s="51"/>
      <c r="E488" s="102"/>
      <c r="F488" s="102"/>
      <c r="G488" s="103"/>
      <c r="H488" s="103" t="str">
        <f t="shared" si="2"/>
        <v/>
      </c>
      <c r="I488" s="103"/>
      <c r="M488" s="103"/>
      <c r="N488" s="113"/>
      <c r="O488" s="107"/>
      <c r="P488" s="106" t="str">
        <f>IF(ISBLANK(N488), "", VLOOKUP(D488&amp;" "&amp;E488, 'Info Tipo de Cambio y REM'!$A$24:$B$35, 2, FALSE))
</f>
        <v/>
      </c>
      <c r="Q488" s="107" t="str">
        <f t="shared" si="3"/>
        <v/>
      </c>
    </row>
    <row r="489">
      <c r="A489" s="102"/>
      <c r="B489" s="102"/>
      <c r="C489" s="102"/>
      <c r="D489" s="51"/>
      <c r="E489" s="102"/>
      <c r="F489" s="102"/>
      <c r="G489" s="103"/>
      <c r="H489" s="103" t="str">
        <f t="shared" si="2"/>
        <v/>
      </c>
      <c r="I489" s="103"/>
      <c r="M489" s="103"/>
      <c r="N489" s="113"/>
      <c r="O489" s="107"/>
      <c r="P489" s="106" t="str">
        <f>IF(ISBLANK(N489), "", VLOOKUP(D489&amp;" "&amp;E489, 'Info Tipo de Cambio y REM'!$A$24:$B$35, 2, FALSE))
</f>
        <v/>
      </c>
      <c r="Q489" s="107" t="str">
        <f t="shared" si="3"/>
        <v/>
      </c>
    </row>
    <row r="490">
      <c r="A490" s="102"/>
      <c r="B490" s="102"/>
      <c r="C490" s="102"/>
      <c r="D490" s="51"/>
      <c r="E490" s="102"/>
      <c r="F490" s="102"/>
      <c r="G490" s="103"/>
      <c r="H490" s="103" t="str">
        <f t="shared" si="2"/>
        <v/>
      </c>
      <c r="I490" s="103"/>
      <c r="M490" s="103"/>
      <c r="N490" s="113"/>
      <c r="O490" s="107"/>
      <c r="P490" s="106" t="str">
        <f>IF(ISBLANK(N490), "", VLOOKUP(D490&amp;" "&amp;E490, 'Info Tipo de Cambio y REM'!$A$24:$B$35, 2, FALSE))
</f>
        <v/>
      </c>
      <c r="Q490" s="107" t="str">
        <f t="shared" si="3"/>
        <v/>
      </c>
    </row>
    <row r="491">
      <c r="A491" s="102"/>
      <c r="B491" s="102"/>
      <c r="C491" s="102"/>
      <c r="D491" s="51"/>
      <c r="E491" s="102"/>
      <c r="F491" s="102"/>
      <c r="G491" s="103"/>
      <c r="H491" s="103" t="str">
        <f t="shared" si="2"/>
        <v/>
      </c>
      <c r="I491" s="103"/>
      <c r="M491" s="103"/>
      <c r="N491" s="113"/>
      <c r="O491" s="107"/>
      <c r="P491" s="106" t="str">
        <f>IF(ISBLANK(N491), "", VLOOKUP(D491&amp;" "&amp;E491, 'Info Tipo de Cambio y REM'!$A$24:$B$35, 2, FALSE))
</f>
        <v/>
      </c>
      <c r="Q491" s="107" t="str">
        <f t="shared" si="3"/>
        <v/>
      </c>
    </row>
    <row r="492">
      <c r="A492" s="102"/>
      <c r="B492" s="102"/>
      <c r="C492" s="102"/>
      <c r="D492" s="51"/>
      <c r="E492" s="102"/>
      <c r="F492" s="102"/>
      <c r="G492" s="103"/>
      <c r="H492" s="103" t="str">
        <f t="shared" si="2"/>
        <v/>
      </c>
      <c r="I492" s="103"/>
      <c r="M492" s="103"/>
      <c r="N492" s="113"/>
      <c r="O492" s="107"/>
      <c r="P492" s="106" t="str">
        <f>IF(ISBLANK(N492), "", VLOOKUP(D492&amp;" "&amp;E492, 'Info Tipo de Cambio y REM'!$A$24:$B$35, 2, FALSE))
</f>
        <v/>
      </c>
      <c r="Q492" s="107" t="str">
        <f t="shared" si="3"/>
        <v/>
      </c>
    </row>
    <row r="493">
      <c r="A493" s="102"/>
      <c r="B493" s="102"/>
      <c r="C493" s="102"/>
      <c r="D493" s="51"/>
      <c r="E493" s="102"/>
      <c r="F493" s="102"/>
      <c r="G493" s="103"/>
      <c r="H493" s="103" t="str">
        <f t="shared" si="2"/>
        <v/>
      </c>
      <c r="I493" s="103"/>
      <c r="M493" s="103"/>
      <c r="N493" s="113"/>
      <c r="O493" s="107"/>
      <c r="P493" s="106" t="str">
        <f>IF(ISBLANK(N493), "", VLOOKUP(D493&amp;" "&amp;E493, 'Info Tipo de Cambio y REM'!$A$24:$B$35, 2, FALSE))
</f>
        <v/>
      </c>
      <c r="Q493" s="107" t="str">
        <f t="shared" si="3"/>
        <v/>
      </c>
    </row>
    <row r="494">
      <c r="A494" s="102"/>
      <c r="B494" s="102"/>
      <c r="C494" s="102"/>
      <c r="D494" s="51"/>
      <c r="E494" s="102"/>
      <c r="F494" s="102"/>
      <c r="G494" s="103"/>
      <c r="H494" s="103" t="str">
        <f t="shared" si="2"/>
        <v/>
      </c>
      <c r="I494" s="103"/>
      <c r="M494" s="103"/>
      <c r="N494" s="113"/>
      <c r="O494" s="107"/>
      <c r="P494" s="106" t="str">
        <f>IF(ISBLANK(N494), "", VLOOKUP(D494&amp;" "&amp;E494, 'Info Tipo de Cambio y REM'!$A$24:$B$35, 2, FALSE))
</f>
        <v/>
      </c>
      <c r="Q494" s="107" t="str">
        <f t="shared" si="3"/>
        <v/>
      </c>
    </row>
    <row r="495">
      <c r="A495" s="102"/>
      <c r="B495" s="102"/>
      <c r="C495" s="102"/>
      <c r="D495" s="51"/>
      <c r="E495" s="102"/>
      <c r="F495" s="102"/>
      <c r="G495" s="103"/>
      <c r="H495" s="103" t="str">
        <f t="shared" si="2"/>
        <v/>
      </c>
      <c r="I495" s="103"/>
      <c r="M495" s="103"/>
      <c r="N495" s="113"/>
      <c r="O495" s="107"/>
      <c r="P495" s="106" t="str">
        <f>IF(ISBLANK(N495), "", VLOOKUP(D495&amp;" "&amp;E495, 'Info Tipo de Cambio y REM'!$A$24:$B$35, 2, FALSE))
</f>
        <v/>
      </c>
      <c r="Q495" s="107" t="str">
        <f t="shared" si="3"/>
        <v/>
      </c>
    </row>
    <row r="496">
      <c r="A496" s="102"/>
      <c r="B496" s="102"/>
      <c r="C496" s="102"/>
      <c r="D496" s="51"/>
      <c r="E496" s="102"/>
      <c r="F496" s="102"/>
      <c r="G496" s="103"/>
      <c r="H496" s="103" t="str">
        <f t="shared" si="2"/>
        <v/>
      </c>
      <c r="I496" s="103"/>
      <c r="M496" s="103"/>
      <c r="N496" s="113"/>
      <c r="O496" s="107"/>
      <c r="P496" s="106" t="str">
        <f>IF(ISBLANK(N496), "", VLOOKUP(D496&amp;" "&amp;E496, 'Info Tipo de Cambio y REM'!$A$24:$B$35, 2, FALSE))
</f>
        <v/>
      </c>
      <c r="Q496" s="107" t="str">
        <f t="shared" si="3"/>
        <v/>
      </c>
    </row>
    <row r="497">
      <c r="A497" s="102"/>
      <c r="B497" s="102"/>
      <c r="C497" s="102"/>
      <c r="D497" s="51"/>
      <c r="E497" s="102"/>
      <c r="F497" s="102"/>
      <c r="G497" s="103"/>
      <c r="H497" s="103" t="str">
        <f t="shared" si="2"/>
        <v/>
      </c>
      <c r="I497" s="103"/>
      <c r="M497" s="103"/>
      <c r="N497" s="113"/>
      <c r="O497" s="107"/>
      <c r="P497" s="106" t="str">
        <f>IF(ISBLANK(N497), "", VLOOKUP(D497&amp;" "&amp;E497, 'Info Tipo de Cambio y REM'!$A$24:$B$35, 2, FALSE))
</f>
        <v/>
      </c>
      <c r="Q497" s="107" t="str">
        <f t="shared" si="3"/>
        <v/>
      </c>
    </row>
    <row r="498">
      <c r="A498" s="102"/>
      <c r="B498" s="102"/>
      <c r="C498" s="102"/>
      <c r="D498" s="51"/>
      <c r="E498" s="102"/>
      <c r="F498" s="102"/>
      <c r="G498" s="103"/>
      <c r="H498" s="103" t="str">
        <f t="shared" si="2"/>
        <v/>
      </c>
      <c r="I498" s="103"/>
      <c r="M498" s="103"/>
      <c r="N498" s="113"/>
      <c r="O498" s="107"/>
      <c r="P498" s="106" t="str">
        <f>IF(ISBLANK(N498), "", VLOOKUP(D498&amp;" "&amp;E498, 'Info Tipo de Cambio y REM'!$A$24:$B$35, 2, FALSE))
</f>
        <v/>
      </c>
      <c r="Q498" s="107" t="str">
        <f t="shared" si="3"/>
        <v/>
      </c>
    </row>
    <row r="499">
      <c r="A499" s="102"/>
      <c r="B499" s="102"/>
      <c r="C499" s="102"/>
      <c r="D499" s="51"/>
      <c r="E499" s="102"/>
      <c r="F499" s="102"/>
      <c r="G499" s="103"/>
      <c r="H499" s="103" t="str">
        <f t="shared" si="2"/>
        <v/>
      </c>
      <c r="I499" s="103"/>
      <c r="M499" s="103"/>
      <c r="N499" s="113"/>
      <c r="O499" s="107"/>
      <c r="P499" s="106" t="str">
        <f>IF(ISBLANK(N499), "", VLOOKUP(D499&amp;" "&amp;E499, 'Info Tipo de Cambio y REM'!$A$24:$B$35, 2, FALSE))
</f>
        <v/>
      </c>
      <c r="Q499" s="107" t="str">
        <f t="shared" si="3"/>
        <v/>
      </c>
    </row>
    <row r="500">
      <c r="A500" s="102"/>
      <c r="B500" s="102"/>
      <c r="C500" s="102"/>
      <c r="D500" s="51"/>
      <c r="E500" s="102"/>
      <c r="F500" s="102"/>
      <c r="G500" s="103"/>
      <c r="H500" s="103" t="str">
        <f t="shared" si="2"/>
        <v/>
      </c>
      <c r="I500" s="103"/>
      <c r="M500" s="103"/>
      <c r="N500" s="113"/>
      <c r="O500" s="107"/>
      <c r="P500" s="106" t="str">
        <f>IF(ISBLANK(N500), "", VLOOKUP(D500&amp;" "&amp;E500, 'Info Tipo de Cambio y REM'!$A$24:$B$35, 2, FALSE))
</f>
        <v/>
      </c>
      <c r="Q500" s="107" t="str">
        <f t="shared" si="3"/>
        <v/>
      </c>
    </row>
    <row r="501">
      <c r="A501" s="102"/>
      <c r="B501" s="102"/>
      <c r="C501" s="102"/>
      <c r="D501" s="51"/>
      <c r="E501" s="102"/>
      <c r="F501" s="102"/>
      <c r="G501" s="103"/>
      <c r="H501" s="103" t="str">
        <f t="shared" si="2"/>
        <v/>
      </c>
      <c r="I501" s="103"/>
      <c r="M501" s="103"/>
      <c r="N501" s="113"/>
      <c r="O501" s="107"/>
      <c r="P501" s="106" t="str">
        <f>IF(ISBLANK(N501), "", VLOOKUP(D501&amp;" "&amp;E501, 'Info Tipo de Cambio y REM'!$A$24:$B$35, 2, FALSE))
</f>
        <v/>
      </c>
      <c r="Q501" s="107" t="str">
        <f t="shared" si="3"/>
        <v/>
      </c>
    </row>
    <row r="502">
      <c r="A502" s="102"/>
      <c r="B502" s="102"/>
      <c r="C502" s="102"/>
      <c r="D502" s="51"/>
      <c r="E502" s="102"/>
      <c r="F502" s="102"/>
      <c r="G502" s="103"/>
      <c r="H502" s="103" t="str">
        <f t="shared" si="2"/>
        <v/>
      </c>
      <c r="I502" s="103"/>
      <c r="M502" s="103"/>
      <c r="N502" s="113"/>
      <c r="O502" s="107"/>
      <c r="P502" s="106" t="str">
        <f>IF(ISBLANK(N502), "", VLOOKUP(D502&amp;" "&amp;E502, 'Info Tipo de Cambio y REM'!$A$24:$B$35, 2, FALSE))
</f>
        <v/>
      </c>
      <c r="Q502" s="107" t="str">
        <f t="shared" si="3"/>
        <v/>
      </c>
    </row>
    <row r="503">
      <c r="A503" s="102"/>
      <c r="B503" s="102"/>
      <c r="C503" s="102"/>
      <c r="D503" s="51"/>
      <c r="E503" s="102"/>
      <c r="F503" s="102"/>
      <c r="G503" s="103"/>
      <c r="H503" s="103" t="str">
        <f t="shared" si="2"/>
        <v/>
      </c>
      <c r="I503" s="103"/>
      <c r="M503" s="103"/>
      <c r="N503" s="113"/>
      <c r="O503" s="107"/>
      <c r="P503" s="106" t="str">
        <f>IF(ISBLANK(N503), "", VLOOKUP(D503&amp;" "&amp;E503, 'Info Tipo de Cambio y REM'!$A$24:$B$35, 2, FALSE))
</f>
        <v/>
      </c>
      <c r="Q503" s="107" t="str">
        <f t="shared" si="3"/>
        <v/>
      </c>
    </row>
    <row r="504">
      <c r="A504" s="102"/>
      <c r="B504" s="102"/>
      <c r="C504" s="102"/>
      <c r="D504" s="51"/>
      <c r="E504" s="102"/>
      <c r="F504" s="102"/>
      <c r="G504" s="103"/>
      <c r="H504" s="103" t="str">
        <f t="shared" si="2"/>
        <v/>
      </c>
      <c r="I504" s="103"/>
      <c r="M504" s="103"/>
      <c r="N504" s="113"/>
      <c r="O504" s="107"/>
      <c r="P504" s="106" t="str">
        <f>IF(ISBLANK(N504), "", VLOOKUP(D504&amp;" "&amp;E504, 'Info Tipo de Cambio y REM'!$A$24:$B$35, 2, FALSE))
</f>
        <v/>
      </c>
      <c r="Q504" s="107" t="str">
        <f t="shared" si="3"/>
        <v/>
      </c>
    </row>
    <row r="505">
      <c r="A505" s="102"/>
      <c r="B505" s="102"/>
      <c r="C505" s="102"/>
      <c r="D505" s="51"/>
      <c r="E505" s="102"/>
      <c r="F505" s="102"/>
      <c r="G505" s="103"/>
      <c r="H505" s="103" t="str">
        <f t="shared" si="2"/>
        <v/>
      </c>
      <c r="I505" s="103"/>
      <c r="M505" s="103"/>
      <c r="N505" s="113"/>
      <c r="O505" s="107"/>
      <c r="P505" s="106" t="str">
        <f>IF(ISBLANK(N505), "", VLOOKUP(D505&amp;" "&amp;E505, 'Info Tipo de Cambio y REM'!$A$24:$B$35, 2, FALSE))
</f>
        <v/>
      </c>
      <c r="Q505" s="107" t="str">
        <f t="shared" si="3"/>
        <v/>
      </c>
    </row>
    <row r="506">
      <c r="A506" s="102"/>
      <c r="B506" s="102"/>
      <c r="C506" s="102"/>
      <c r="D506" s="51"/>
      <c r="E506" s="102"/>
      <c r="F506" s="102"/>
      <c r="G506" s="103"/>
      <c r="H506" s="103" t="str">
        <f t="shared" si="2"/>
        <v/>
      </c>
      <c r="I506" s="103"/>
      <c r="M506" s="103"/>
      <c r="N506" s="113"/>
      <c r="O506" s="107"/>
      <c r="P506" s="106" t="str">
        <f>IF(ISBLANK(N506), "", VLOOKUP(D506&amp;" "&amp;E506, 'Info Tipo de Cambio y REM'!$A$24:$B$35, 2, FALSE))
</f>
        <v/>
      </c>
      <c r="Q506" s="107" t="str">
        <f t="shared" si="3"/>
        <v/>
      </c>
    </row>
    <row r="507">
      <c r="A507" s="102"/>
      <c r="B507" s="102"/>
      <c r="C507" s="102"/>
      <c r="D507" s="51"/>
      <c r="E507" s="102"/>
      <c r="F507" s="102"/>
      <c r="G507" s="103"/>
      <c r="H507" s="103" t="str">
        <f t="shared" si="2"/>
        <v/>
      </c>
      <c r="I507" s="103"/>
      <c r="M507" s="103"/>
      <c r="N507" s="113"/>
      <c r="O507" s="107"/>
      <c r="P507" s="106" t="str">
        <f>IF(ISBLANK(N507), "", VLOOKUP(D507&amp;" "&amp;E507, 'Info Tipo de Cambio y REM'!$A$24:$B$35, 2, FALSE))
</f>
        <v/>
      </c>
      <c r="Q507" s="107" t="str">
        <f t="shared" si="3"/>
        <v/>
      </c>
    </row>
    <row r="508">
      <c r="A508" s="102"/>
      <c r="B508" s="102"/>
      <c r="C508" s="102"/>
      <c r="D508" s="51"/>
      <c r="E508" s="102"/>
      <c r="F508" s="102"/>
      <c r="G508" s="103"/>
      <c r="H508" s="103" t="str">
        <f t="shared" si="2"/>
        <v/>
      </c>
      <c r="I508" s="103"/>
      <c r="M508" s="103"/>
      <c r="N508" s="113"/>
      <c r="O508" s="107"/>
      <c r="P508" s="106" t="str">
        <f>IF(ISBLANK(N508), "", VLOOKUP(D508&amp;" "&amp;E508, 'Info Tipo de Cambio y REM'!$A$24:$B$35, 2, FALSE))
</f>
        <v/>
      </c>
      <c r="Q508" s="107" t="str">
        <f t="shared" si="3"/>
        <v/>
      </c>
    </row>
    <row r="509">
      <c r="A509" s="102"/>
      <c r="B509" s="102"/>
      <c r="C509" s="102"/>
      <c r="D509" s="51"/>
      <c r="E509" s="102"/>
      <c r="F509" s="102"/>
      <c r="G509" s="103"/>
      <c r="H509" s="103" t="str">
        <f t="shared" si="2"/>
        <v/>
      </c>
      <c r="I509" s="103"/>
      <c r="M509" s="103"/>
      <c r="N509" s="113"/>
      <c r="O509" s="107"/>
      <c r="P509" s="106" t="str">
        <f>IF(ISBLANK(N509), "", VLOOKUP(D509&amp;" "&amp;E509, 'Info Tipo de Cambio y REM'!$A$24:$B$35, 2, FALSE))
</f>
        <v/>
      </c>
      <c r="Q509" s="107" t="str">
        <f t="shared" si="3"/>
        <v/>
      </c>
    </row>
    <row r="510">
      <c r="A510" s="102"/>
      <c r="B510" s="102"/>
      <c r="C510" s="102"/>
      <c r="D510" s="51"/>
      <c r="E510" s="102"/>
      <c r="F510" s="102"/>
      <c r="G510" s="103"/>
      <c r="H510" s="103" t="str">
        <f t="shared" si="2"/>
        <v/>
      </c>
      <c r="I510" s="103"/>
      <c r="M510" s="103"/>
      <c r="N510" s="113"/>
      <c r="O510" s="107"/>
      <c r="P510" s="106" t="str">
        <f>IF(ISBLANK(N510), "", VLOOKUP(D510&amp;" "&amp;E510, 'Info Tipo de Cambio y REM'!$A$24:$B$35, 2, FALSE))
</f>
        <v/>
      </c>
      <c r="Q510" s="107" t="str">
        <f t="shared" si="3"/>
        <v/>
      </c>
    </row>
    <row r="511">
      <c r="A511" s="102"/>
      <c r="B511" s="102"/>
      <c r="C511" s="102"/>
      <c r="D511" s="51"/>
      <c r="E511" s="102"/>
      <c r="F511" s="102"/>
      <c r="G511" s="103"/>
      <c r="H511" s="103" t="str">
        <f t="shared" si="2"/>
        <v/>
      </c>
      <c r="I511" s="103"/>
      <c r="M511" s="103"/>
      <c r="N511" s="113"/>
      <c r="O511" s="107"/>
      <c r="P511" s="106" t="str">
        <f>IF(ISBLANK(N511), "", VLOOKUP(D511&amp;" "&amp;E511, 'Info Tipo de Cambio y REM'!$A$24:$B$35, 2, FALSE))
</f>
        <v/>
      </c>
      <c r="Q511" s="107" t="str">
        <f t="shared" si="3"/>
        <v/>
      </c>
    </row>
    <row r="512">
      <c r="A512" s="102"/>
      <c r="B512" s="102"/>
      <c r="C512" s="102"/>
      <c r="D512" s="51"/>
      <c r="E512" s="102"/>
      <c r="F512" s="102"/>
      <c r="G512" s="103"/>
      <c r="H512" s="103" t="str">
        <f t="shared" si="2"/>
        <v/>
      </c>
      <c r="I512" s="103"/>
      <c r="M512" s="103"/>
      <c r="N512" s="113"/>
      <c r="O512" s="107"/>
      <c r="P512" s="106" t="str">
        <f>IF(ISBLANK(N512), "", VLOOKUP(D512&amp;" "&amp;E512, 'Info Tipo de Cambio y REM'!$A$24:$B$35, 2, FALSE))
</f>
        <v/>
      </c>
      <c r="Q512" s="107" t="str">
        <f t="shared" si="3"/>
        <v/>
      </c>
    </row>
    <row r="513">
      <c r="A513" s="102"/>
      <c r="B513" s="102"/>
      <c r="C513" s="102"/>
      <c r="D513" s="51"/>
      <c r="E513" s="102"/>
      <c r="F513" s="102"/>
      <c r="G513" s="103"/>
      <c r="H513" s="103" t="str">
        <f t="shared" si="2"/>
        <v/>
      </c>
      <c r="I513" s="103"/>
      <c r="M513" s="103"/>
      <c r="N513" s="113"/>
      <c r="O513" s="107"/>
      <c r="P513" s="106" t="str">
        <f>IF(ISBLANK(N513), "", VLOOKUP(D513&amp;" "&amp;E513, 'Info Tipo de Cambio y REM'!$A$24:$B$35, 2, FALSE))
</f>
        <v/>
      </c>
      <c r="Q513" s="107" t="str">
        <f t="shared" si="3"/>
        <v/>
      </c>
    </row>
    <row r="514">
      <c r="A514" s="102"/>
      <c r="B514" s="102"/>
      <c r="C514" s="102"/>
      <c r="D514" s="51"/>
      <c r="E514" s="102"/>
      <c r="F514" s="102"/>
      <c r="G514" s="103"/>
      <c r="H514" s="103" t="str">
        <f t="shared" si="2"/>
        <v/>
      </c>
      <c r="I514" s="103"/>
      <c r="M514" s="103"/>
      <c r="N514" s="113"/>
      <c r="O514" s="107"/>
      <c r="P514" s="106" t="str">
        <f>IF(ISBLANK(N514), "", VLOOKUP(D514&amp;" "&amp;E514, 'Info Tipo de Cambio y REM'!$A$24:$B$35, 2, FALSE))
</f>
        <v/>
      </c>
      <c r="Q514" s="107" t="str">
        <f t="shared" si="3"/>
        <v/>
      </c>
    </row>
    <row r="515">
      <c r="A515" s="102"/>
      <c r="B515" s="102"/>
      <c r="C515" s="102"/>
      <c r="D515" s="51"/>
      <c r="E515" s="102"/>
      <c r="F515" s="102"/>
      <c r="G515" s="103"/>
      <c r="H515" s="103" t="str">
        <f t="shared" si="2"/>
        <v/>
      </c>
      <c r="I515" s="103"/>
      <c r="M515" s="103"/>
      <c r="N515" s="113"/>
      <c r="O515" s="107"/>
      <c r="P515" s="106" t="str">
        <f>IF(ISBLANK(N515), "", VLOOKUP(D515&amp;" "&amp;E515, 'Info Tipo de Cambio y REM'!$A$24:$B$35, 2, FALSE))
</f>
        <v/>
      </c>
      <c r="Q515" s="107" t="str">
        <f t="shared" si="3"/>
        <v/>
      </c>
    </row>
    <row r="516">
      <c r="A516" s="102"/>
      <c r="B516" s="102"/>
      <c r="C516" s="102"/>
      <c r="D516" s="51"/>
      <c r="E516" s="102"/>
      <c r="F516" s="102"/>
      <c r="G516" s="103"/>
      <c r="H516" s="103" t="str">
        <f t="shared" si="2"/>
        <v/>
      </c>
      <c r="I516" s="103"/>
      <c r="M516" s="103"/>
      <c r="N516" s="113"/>
      <c r="O516" s="107"/>
      <c r="P516" s="106" t="str">
        <f>IF(ISBLANK(N516), "", VLOOKUP(D516&amp;" "&amp;E516, 'Info Tipo de Cambio y REM'!$A$24:$B$35, 2, FALSE))
</f>
        <v/>
      </c>
      <c r="Q516" s="107" t="str">
        <f t="shared" si="3"/>
        <v/>
      </c>
    </row>
    <row r="517">
      <c r="A517" s="102"/>
      <c r="B517" s="102"/>
      <c r="C517" s="102"/>
      <c r="D517" s="51"/>
      <c r="E517" s="102"/>
      <c r="F517" s="102"/>
      <c r="G517" s="103"/>
      <c r="H517" s="103" t="str">
        <f t="shared" si="2"/>
        <v/>
      </c>
      <c r="I517" s="103"/>
      <c r="M517" s="103"/>
      <c r="N517" s="113"/>
      <c r="O517" s="107"/>
      <c r="P517" s="106" t="str">
        <f>IF(ISBLANK(N517), "", VLOOKUP(D517&amp;" "&amp;E517, 'Info Tipo de Cambio y REM'!$A$24:$B$35, 2, FALSE))
</f>
        <v/>
      </c>
      <c r="Q517" s="107" t="str">
        <f t="shared" si="3"/>
        <v/>
      </c>
    </row>
    <row r="518">
      <c r="A518" s="102"/>
      <c r="B518" s="102"/>
      <c r="C518" s="102"/>
      <c r="D518" s="51"/>
      <c r="E518" s="102"/>
      <c r="F518" s="102"/>
      <c r="G518" s="103"/>
      <c r="H518" s="103" t="str">
        <f t="shared" si="2"/>
        <v/>
      </c>
      <c r="I518" s="103"/>
      <c r="M518" s="103"/>
      <c r="N518" s="113"/>
      <c r="O518" s="107"/>
      <c r="P518" s="106" t="str">
        <f>IF(ISBLANK(N518), "", VLOOKUP(D518&amp;" "&amp;E518, 'Info Tipo de Cambio y REM'!$A$24:$B$35, 2, FALSE))
</f>
        <v/>
      </c>
      <c r="Q518" s="107" t="str">
        <f t="shared" si="3"/>
        <v/>
      </c>
    </row>
    <row r="519">
      <c r="A519" s="102"/>
      <c r="B519" s="102"/>
      <c r="C519" s="102"/>
      <c r="D519" s="51"/>
      <c r="E519" s="102"/>
      <c r="F519" s="102"/>
      <c r="G519" s="103"/>
      <c r="H519" s="103" t="str">
        <f t="shared" si="2"/>
        <v/>
      </c>
      <c r="I519" s="103"/>
      <c r="M519" s="103"/>
      <c r="N519" s="113"/>
      <c r="O519" s="107"/>
      <c r="P519" s="106" t="str">
        <f>IF(ISBLANK(N519), "", VLOOKUP(D519&amp;" "&amp;E519, 'Info Tipo de Cambio y REM'!$A$24:$B$35, 2, FALSE))
</f>
        <v/>
      </c>
      <c r="Q519" s="107" t="str">
        <f t="shared" si="3"/>
        <v/>
      </c>
    </row>
    <row r="520">
      <c r="A520" s="102"/>
      <c r="B520" s="102"/>
      <c r="C520" s="102"/>
      <c r="D520" s="51"/>
      <c r="E520" s="102"/>
      <c r="F520" s="102"/>
      <c r="G520" s="103"/>
      <c r="H520" s="103" t="str">
        <f t="shared" si="2"/>
        <v/>
      </c>
      <c r="I520" s="103"/>
      <c r="M520" s="103"/>
      <c r="N520" s="113"/>
      <c r="O520" s="107"/>
      <c r="P520" s="106" t="str">
        <f>IF(ISBLANK(N520), "", VLOOKUP(D520&amp;" "&amp;E520, 'Info Tipo de Cambio y REM'!$A$24:$B$35, 2, FALSE))
</f>
        <v/>
      </c>
      <c r="Q520" s="107" t="str">
        <f t="shared" si="3"/>
        <v/>
      </c>
    </row>
    <row r="521">
      <c r="A521" s="102"/>
      <c r="B521" s="102"/>
      <c r="C521" s="102"/>
      <c r="D521" s="51"/>
      <c r="E521" s="102"/>
      <c r="F521" s="102"/>
      <c r="G521" s="103"/>
      <c r="H521" s="103" t="str">
        <f t="shared" si="2"/>
        <v/>
      </c>
      <c r="I521" s="103"/>
      <c r="M521" s="103"/>
      <c r="N521" s="113"/>
      <c r="O521" s="107"/>
      <c r="P521" s="106" t="str">
        <f>IF(ISBLANK(N521), "", VLOOKUP(D521&amp;" "&amp;E521, 'Info Tipo de Cambio y REM'!$A$24:$B$35, 2, FALSE))
</f>
        <v/>
      </c>
      <c r="Q521" s="107" t="str">
        <f t="shared" si="3"/>
        <v/>
      </c>
    </row>
    <row r="522">
      <c r="A522" s="102"/>
      <c r="B522" s="102"/>
      <c r="C522" s="102"/>
      <c r="D522" s="51"/>
      <c r="E522" s="102"/>
      <c r="F522" s="102"/>
      <c r="G522" s="103"/>
      <c r="H522" s="103" t="str">
        <f t="shared" si="2"/>
        <v/>
      </c>
      <c r="I522" s="103"/>
      <c r="M522" s="103"/>
      <c r="N522" s="113"/>
      <c r="O522" s="107"/>
      <c r="P522" s="106" t="str">
        <f>IF(ISBLANK(N522), "", VLOOKUP(D522&amp;" "&amp;E522, 'Info Tipo de Cambio y REM'!$A$24:$B$35, 2, FALSE))
</f>
        <v/>
      </c>
      <c r="Q522" s="107" t="str">
        <f t="shared" si="3"/>
        <v/>
      </c>
    </row>
    <row r="523">
      <c r="A523" s="102"/>
      <c r="B523" s="102"/>
      <c r="C523" s="102"/>
      <c r="D523" s="51"/>
      <c r="E523" s="102"/>
      <c r="F523" s="102"/>
      <c r="G523" s="103"/>
      <c r="H523" s="103" t="str">
        <f t="shared" si="2"/>
        <v/>
      </c>
      <c r="I523" s="103"/>
      <c r="M523" s="103"/>
      <c r="N523" s="113"/>
      <c r="O523" s="107"/>
      <c r="P523" s="106" t="str">
        <f>IF(ISBLANK(N523), "", VLOOKUP(D523&amp;" "&amp;E523, 'Info Tipo de Cambio y REM'!$A$24:$B$35, 2, FALSE))
</f>
        <v/>
      </c>
      <c r="Q523" s="107" t="str">
        <f t="shared" si="3"/>
        <v/>
      </c>
    </row>
    <row r="524">
      <c r="A524" s="102"/>
      <c r="B524" s="102"/>
      <c r="C524" s="102"/>
      <c r="D524" s="51"/>
      <c r="E524" s="102"/>
      <c r="F524" s="102"/>
      <c r="G524" s="103"/>
      <c r="H524" s="103" t="str">
        <f t="shared" si="2"/>
        <v/>
      </c>
      <c r="I524" s="103"/>
      <c r="M524" s="103"/>
      <c r="N524" s="113"/>
      <c r="O524" s="107"/>
      <c r="P524" s="106" t="str">
        <f>IF(ISBLANK(N524), "", VLOOKUP(D524&amp;" "&amp;E524, 'Info Tipo de Cambio y REM'!$A$24:$B$35, 2, FALSE))
</f>
        <v/>
      </c>
      <c r="Q524" s="107" t="str">
        <f t="shared" si="3"/>
        <v/>
      </c>
    </row>
    <row r="525">
      <c r="A525" s="102"/>
      <c r="B525" s="102"/>
      <c r="C525" s="102"/>
      <c r="D525" s="51"/>
      <c r="E525" s="102"/>
      <c r="F525" s="102"/>
      <c r="G525" s="103"/>
      <c r="H525" s="103" t="str">
        <f t="shared" si="2"/>
        <v/>
      </c>
      <c r="I525" s="103"/>
      <c r="M525" s="103"/>
      <c r="N525" s="113"/>
      <c r="O525" s="107"/>
      <c r="P525" s="106" t="str">
        <f>IF(ISBLANK(N525), "", VLOOKUP(D525&amp;" "&amp;E525, 'Info Tipo de Cambio y REM'!$A$24:$B$35, 2, FALSE))
</f>
        <v/>
      </c>
      <c r="Q525" s="107" t="str">
        <f t="shared" si="3"/>
        <v/>
      </c>
    </row>
    <row r="526">
      <c r="A526" s="102"/>
      <c r="B526" s="102"/>
      <c r="C526" s="102"/>
      <c r="D526" s="51"/>
      <c r="E526" s="102"/>
      <c r="F526" s="102"/>
      <c r="G526" s="103"/>
      <c r="H526" s="103" t="str">
        <f t="shared" si="2"/>
        <v/>
      </c>
      <c r="I526" s="103"/>
      <c r="M526" s="103"/>
      <c r="N526" s="113"/>
      <c r="O526" s="107"/>
      <c r="P526" s="106" t="str">
        <f>IF(ISBLANK(N526), "", VLOOKUP(D526&amp;" "&amp;E526, 'Info Tipo de Cambio y REM'!$A$24:$B$35, 2, FALSE))
</f>
        <v/>
      </c>
      <c r="Q526" s="107" t="str">
        <f t="shared" si="3"/>
        <v/>
      </c>
    </row>
    <row r="527">
      <c r="A527" s="102"/>
      <c r="B527" s="102"/>
      <c r="C527" s="102"/>
      <c r="D527" s="51"/>
      <c r="E527" s="102"/>
      <c r="F527" s="102"/>
      <c r="G527" s="103"/>
      <c r="H527" s="103" t="str">
        <f t="shared" si="2"/>
        <v/>
      </c>
      <c r="I527" s="103"/>
      <c r="M527" s="103"/>
      <c r="N527" s="113"/>
      <c r="O527" s="107"/>
      <c r="P527" s="106" t="str">
        <f>IF(ISBLANK(N527), "", VLOOKUP(D527&amp;" "&amp;E527, 'Info Tipo de Cambio y REM'!$A$24:$B$35, 2, FALSE))
</f>
        <v/>
      </c>
      <c r="Q527" s="107" t="str">
        <f t="shared" si="3"/>
        <v/>
      </c>
    </row>
    <row r="528">
      <c r="A528" s="102"/>
      <c r="B528" s="102"/>
      <c r="C528" s="102"/>
      <c r="D528" s="51"/>
      <c r="E528" s="102"/>
      <c r="F528" s="102"/>
      <c r="G528" s="103"/>
      <c r="H528" s="103" t="str">
        <f t="shared" si="2"/>
        <v/>
      </c>
      <c r="I528" s="103"/>
      <c r="M528" s="103"/>
      <c r="N528" s="113"/>
      <c r="O528" s="107"/>
      <c r="P528" s="106" t="str">
        <f>IF(ISBLANK(N528), "", VLOOKUP(D528&amp;" "&amp;E528, 'Info Tipo de Cambio y REM'!$A$24:$B$35, 2, FALSE))
</f>
        <v/>
      </c>
      <c r="Q528" s="107" t="str">
        <f t="shared" si="3"/>
        <v/>
      </c>
    </row>
    <row r="529">
      <c r="A529" s="102"/>
      <c r="B529" s="102"/>
      <c r="C529" s="102"/>
      <c r="D529" s="51"/>
      <c r="E529" s="102"/>
      <c r="F529" s="102"/>
      <c r="G529" s="103"/>
      <c r="H529" s="103" t="str">
        <f t="shared" si="2"/>
        <v/>
      </c>
      <c r="I529" s="103"/>
      <c r="M529" s="103"/>
      <c r="N529" s="113"/>
      <c r="O529" s="107"/>
      <c r="P529" s="106" t="str">
        <f>IF(ISBLANK(N529), "", VLOOKUP(D529&amp;" "&amp;E529, 'Info Tipo de Cambio y REM'!$A$24:$B$35, 2, FALSE))
</f>
        <v/>
      </c>
      <c r="Q529" s="107" t="str">
        <f t="shared" si="3"/>
        <v/>
      </c>
    </row>
    <row r="530">
      <c r="A530" s="102"/>
      <c r="B530" s="102"/>
      <c r="C530" s="102"/>
      <c r="D530" s="51"/>
      <c r="E530" s="102"/>
      <c r="F530" s="102"/>
      <c r="G530" s="103"/>
      <c r="H530" s="103" t="str">
        <f t="shared" si="2"/>
        <v/>
      </c>
      <c r="I530" s="103"/>
      <c r="M530" s="103"/>
      <c r="N530" s="113"/>
      <c r="O530" s="107"/>
      <c r="P530" s="106" t="str">
        <f>IF(ISBLANK(N530), "", VLOOKUP(D530&amp;" "&amp;E530, 'Info Tipo de Cambio y REM'!$A$24:$B$35, 2, FALSE))
</f>
        <v/>
      </c>
      <c r="Q530" s="107" t="str">
        <f t="shared" si="3"/>
        <v/>
      </c>
    </row>
    <row r="531">
      <c r="A531" s="102"/>
      <c r="B531" s="102"/>
      <c r="C531" s="102"/>
      <c r="D531" s="51"/>
      <c r="E531" s="102"/>
      <c r="F531" s="102"/>
      <c r="G531" s="103"/>
      <c r="H531" s="103" t="str">
        <f t="shared" si="2"/>
        <v/>
      </c>
      <c r="I531" s="103"/>
      <c r="M531" s="103"/>
      <c r="N531" s="113"/>
      <c r="O531" s="107"/>
      <c r="P531" s="106" t="str">
        <f>IF(ISBLANK(N531), "", VLOOKUP(D531&amp;" "&amp;E531, 'Info Tipo de Cambio y REM'!$A$24:$B$35, 2, FALSE))
</f>
        <v/>
      </c>
      <c r="Q531" s="107" t="str">
        <f t="shared" si="3"/>
        <v/>
      </c>
    </row>
    <row r="532">
      <c r="A532" s="102"/>
      <c r="B532" s="102"/>
      <c r="C532" s="102"/>
      <c r="D532" s="51"/>
      <c r="E532" s="102"/>
      <c r="F532" s="102"/>
      <c r="G532" s="103"/>
      <c r="H532" s="103" t="str">
        <f t="shared" si="2"/>
        <v/>
      </c>
      <c r="I532" s="103"/>
      <c r="M532" s="103"/>
      <c r="N532" s="113"/>
      <c r="O532" s="107"/>
      <c r="P532" s="106" t="str">
        <f>IF(ISBLANK(N532), "", VLOOKUP(D532&amp;" "&amp;E532, 'Info Tipo de Cambio y REM'!$A$24:$B$35, 2, FALSE))
</f>
        <v/>
      </c>
      <c r="Q532" s="107" t="str">
        <f t="shared" si="3"/>
        <v/>
      </c>
    </row>
    <row r="533">
      <c r="A533" s="102"/>
      <c r="B533" s="102"/>
      <c r="C533" s="102"/>
      <c r="D533" s="51"/>
      <c r="E533" s="102"/>
      <c r="F533" s="102"/>
      <c r="G533" s="103"/>
      <c r="H533" s="103" t="str">
        <f t="shared" si="2"/>
        <v/>
      </c>
      <c r="I533" s="103"/>
      <c r="M533" s="103"/>
      <c r="N533" s="113"/>
      <c r="O533" s="107"/>
      <c r="P533" s="106" t="str">
        <f>IF(ISBLANK(N533), "", VLOOKUP(D533&amp;" "&amp;E533, 'Info Tipo de Cambio y REM'!$A$24:$B$35, 2, FALSE))
</f>
        <v/>
      </c>
      <c r="Q533" s="107" t="str">
        <f t="shared" si="3"/>
        <v/>
      </c>
    </row>
    <row r="534">
      <c r="A534" s="102"/>
      <c r="B534" s="102"/>
      <c r="C534" s="102"/>
      <c r="D534" s="51"/>
      <c r="E534" s="102"/>
      <c r="F534" s="102"/>
      <c r="G534" s="103"/>
      <c r="H534" s="103" t="str">
        <f t="shared" si="2"/>
        <v/>
      </c>
      <c r="I534" s="103"/>
      <c r="M534" s="103"/>
      <c r="N534" s="113"/>
      <c r="O534" s="107"/>
      <c r="P534" s="106" t="str">
        <f>IF(ISBLANK(N534), "", VLOOKUP(D534&amp;" "&amp;E534, 'Info Tipo de Cambio y REM'!$A$24:$B$35, 2, FALSE))
</f>
        <v/>
      </c>
      <c r="Q534" s="107" t="str">
        <f t="shared" si="3"/>
        <v/>
      </c>
    </row>
    <row r="535">
      <c r="A535" s="102"/>
      <c r="B535" s="102"/>
      <c r="C535" s="102"/>
      <c r="D535" s="51"/>
      <c r="E535" s="102"/>
      <c r="F535" s="102"/>
      <c r="G535" s="103"/>
      <c r="H535" s="103" t="str">
        <f t="shared" si="2"/>
        <v/>
      </c>
      <c r="I535" s="103"/>
      <c r="M535" s="103"/>
      <c r="N535" s="113"/>
      <c r="O535" s="107"/>
      <c r="P535" s="106" t="str">
        <f>IF(ISBLANK(N535), "", VLOOKUP(D535&amp;" "&amp;E535, 'Info Tipo de Cambio y REM'!$A$24:$B$35, 2, FALSE))
</f>
        <v/>
      </c>
      <c r="Q535" s="107" t="str">
        <f t="shared" si="3"/>
        <v/>
      </c>
    </row>
    <row r="536">
      <c r="A536" s="102"/>
      <c r="B536" s="102"/>
      <c r="C536" s="102"/>
      <c r="D536" s="51"/>
      <c r="E536" s="102"/>
      <c r="F536" s="102"/>
      <c r="G536" s="103"/>
      <c r="H536" s="103" t="str">
        <f t="shared" si="2"/>
        <v/>
      </c>
      <c r="I536" s="103"/>
      <c r="M536" s="103"/>
      <c r="N536" s="113"/>
      <c r="O536" s="107"/>
      <c r="P536" s="106" t="str">
        <f>IF(ISBLANK(N536), "", VLOOKUP(D536&amp;" "&amp;E536, 'Info Tipo de Cambio y REM'!$A$24:$B$35, 2, FALSE))
</f>
        <v/>
      </c>
      <c r="Q536" s="107" t="str">
        <f t="shared" si="3"/>
        <v/>
      </c>
    </row>
    <row r="537">
      <c r="A537" s="102"/>
      <c r="B537" s="102"/>
      <c r="C537" s="102"/>
      <c r="D537" s="51"/>
      <c r="E537" s="102"/>
      <c r="F537" s="102"/>
      <c r="G537" s="103"/>
      <c r="H537" s="103" t="str">
        <f t="shared" si="2"/>
        <v/>
      </c>
      <c r="I537" s="103"/>
      <c r="M537" s="103"/>
      <c r="N537" s="113"/>
      <c r="O537" s="107"/>
      <c r="P537" s="106" t="str">
        <f>IF(ISBLANK(N537), "", VLOOKUP(D537&amp;" "&amp;E537, 'Info Tipo de Cambio y REM'!$A$24:$B$35, 2, FALSE))
</f>
        <v/>
      </c>
      <c r="Q537" s="107" t="str">
        <f t="shared" si="3"/>
        <v/>
      </c>
    </row>
    <row r="538">
      <c r="A538" s="102"/>
      <c r="B538" s="102"/>
      <c r="C538" s="102"/>
      <c r="D538" s="51"/>
      <c r="E538" s="102"/>
      <c r="F538" s="102"/>
      <c r="G538" s="103"/>
      <c r="H538" s="103" t="str">
        <f t="shared" si="2"/>
        <v/>
      </c>
      <c r="I538" s="103"/>
      <c r="M538" s="103"/>
      <c r="N538" s="113"/>
      <c r="O538" s="107"/>
      <c r="P538" s="106" t="str">
        <f>IF(ISBLANK(N538), "", VLOOKUP(D538&amp;" "&amp;E538, 'Info Tipo de Cambio y REM'!$A$24:$B$35, 2, FALSE))
</f>
        <v/>
      </c>
      <c r="Q538" s="107" t="str">
        <f t="shared" si="3"/>
        <v/>
      </c>
    </row>
    <row r="539">
      <c r="A539" s="102"/>
      <c r="B539" s="102"/>
      <c r="C539" s="102"/>
      <c r="D539" s="51"/>
      <c r="E539" s="102"/>
      <c r="F539" s="102"/>
      <c r="G539" s="103"/>
      <c r="H539" s="103" t="str">
        <f t="shared" si="2"/>
        <v/>
      </c>
      <c r="I539" s="103"/>
      <c r="M539" s="103"/>
      <c r="N539" s="113"/>
      <c r="O539" s="107"/>
      <c r="P539" s="106" t="str">
        <f>IF(ISBLANK(N539), "", VLOOKUP(D539&amp;" "&amp;E539, 'Info Tipo de Cambio y REM'!$A$24:$B$35, 2, FALSE))
</f>
        <v/>
      </c>
      <c r="Q539" s="107" t="str">
        <f t="shared" si="3"/>
        <v/>
      </c>
    </row>
    <row r="540">
      <c r="A540" s="102"/>
      <c r="B540" s="102"/>
      <c r="C540" s="102"/>
      <c r="D540" s="51"/>
      <c r="E540" s="102"/>
      <c r="F540" s="102"/>
      <c r="G540" s="103"/>
      <c r="H540" s="103" t="str">
        <f t="shared" si="2"/>
        <v/>
      </c>
      <c r="I540" s="103"/>
      <c r="M540" s="103"/>
      <c r="N540" s="113"/>
      <c r="O540" s="107"/>
      <c r="P540" s="106" t="str">
        <f>IF(ISBLANK(N540), "", VLOOKUP(D540&amp;" "&amp;E540, 'Info Tipo de Cambio y REM'!$A$24:$B$35, 2, FALSE))
</f>
        <v/>
      </c>
      <c r="Q540" s="107" t="str">
        <f t="shared" si="3"/>
        <v/>
      </c>
    </row>
    <row r="541">
      <c r="A541" s="102"/>
      <c r="B541" s="102"/>
      <c r="C541" s="102"/>
      <c r="D541" s="51"/>
      <c r="E541" s="102"/>
      <c r="F541" s="102"/>
      <c r="G541" s="103"/>
      <c r="H541" s="103" t="str">
        <f t="shared" si="2"/>
        <v/>
      </c>
      <c r="I541" s="103"/>
      <c r="M541" s="103"/>
      <c r="N541" s="113"/>
      <c r="O541" s="107"/>
      <c r="P541" s="106" t="str">
        <f>IF(ISBLANK(N541), "", VLOOKUP(D541&amp;" "&amp;E541, 'Info Tipo de Cambio y REM'!$A$24:$B$35, 2, FALSE))
</f>
        <v/>
      </c>
      <c r="Q541" s="107" t="str">
        <f t="shared" si="3"/>
        <v/>
      </c>
    </row>
    <row r="542">
      <c r="A542" s="102"/>
      <c r="B542" s="102"/>
      <c r="C542" s="102"/>
      <c r="D542" s="51"/>
      <c r="E542" s="102"/>
      <c r="F542" s="102"/>
      <c r="G542" s="103"/>
      <c r="H542" s="103" t="str">
        <f t="shared" si="2"/>
        <v/>
      </c>
      <c r="I542" s="103"/>
      <c r="M542" s="103"/>
      <c r="N542" s="113"/>
      <c r="O542" s="107"/>
      <c r="P542" s="106" t="str">
        <f>IF(ISBLANK(N542), "", VLOOKUP(D542&amp;" "&amp;E542, 'Info Tipo de Cambio y REM'!$A$24:$B$35, 2, FALSE))
</f>
        <v/>
      </c>
      <c r="Q542" s="107" t="str">
        <f t="shared" si="3"/>
        <v/>
      </c>
    </row>
    <row r="543">
      <c r="A543" s="102"/>
      <c r="B543" s="102"/>
      <c r="C543" s="102"/>
      <c r="D543" s="51"/>
      <c r="E543" s="102"/>
      <c r="F543" s="102"/>
      <c r="G543" s="103"/>
      <c r="H543" s="103" t="str">
        <f t="shared" si="2"/>
        <v/>
      </c>
      <c r="I543" s="103"/>
      <c r="M543" s="103"/>
      <c r="N543" s="113"/>
      <c r="O543" s="107"/>
      <c r="P543" s="106" t="str">
        <f>IF(ISBLANK(N543), "", VLOOKUP(D543&amp;" "&amp;E543, 'Info Tipo de Cambio y REM'!$A$24:$B$35, 2, FALSE))
</f>
        <v/>
      </c>
      <c r="Q543" s="107" t="str">
        <f t="shared" si="3"/>
        <v/>
      </c>
    </row>
    <row r="544">
      <c r="A544" s="102"/>
      <c r="B544" s="102"/>
      <c r="C544" s="102"/>
      <c r="D544" s="51"/>
      <c r="E544" s="102"/>
      <c r="F544" s="102"/>
      <c r="G544" s="103"/>
      <c r="H544" s="103" t="str">
        <f t="shared" si="2"/>
        <v/>
      </c>
      <c r="I544" s="103"/>
      <c r="M544" s="103"/>
      <c r="N544" s="113"/>
      <c r="O544" s="107"/>
      <c r="P544" s="106" t="str">
        <f>IF(ISBLANK(N544), "", VLOOKUP(D544&amp;" "&amp;E544, 'Info Tipo de Cambio y REM'!$A$24:$B$35, 2, FALSE))
</f>
        <v/>
      </c>
      <c r="Q544" s="107" t="str">
        <f t="shared" si="3"/>
        <v/>
      </c>
    </row>
    <row r="545">
      <c r="A545" s="102"/>
      <c r="B545" s="102"/>
      <c r="C545" s="102"/>
      <c r="D545" s="51"/>
      <c r="E545" s="102"/>
      <c r="F545" s="102"/>
      <c r="G545" s="103"/>
      <c r="H545" s="103" t="str">
        <f t="shared" si="2"/>
        <v/>
      </c>
      <c r="I545" s="103"/>
      <c r="M545" s="103"/>
      <c r="N545" s="113"/>
      <c r="O545" s="107"/>
      <c r="P545" s="106" t="str">
        <f>IF(ISBLANK(N545), "", VLOOKUP(D545&amp;" "&amp;E545, 'Info Tipo de Cambio y REM'!$A$24:$B$35, 2, FALSE))
</f>
        <v/>
      </c>
      <c r="Q545" s="107" t="str">
        <f t="shared" si="3"/>
        <v/>
      </c>
    </row>
    <row r="546">
      <c r="A546" s="102"/>
      <c r="B546" s="102"/>
      <c r="C546" s="102"/>
      <c r="D546" s="51"/>
      <c r="E546" s="102"/>
      <c r="F546" s="102"/>
      <c r="G546" s="103"/>
      <c r="H546" s="103" t="str">
        <f t="shared" si="2"/>
        <v/>
      </c>
      <c r="I546" s="103"/>
      <c r="M546" s="103"/>
      <c r="N546" s="113"/>
      <c r="O546" s="107"/>
      <c r="P546" s="106" t="str">
        <f>IF(ISBLANK(N546), "", VLOOKUP(D546&amp;" "&amp;E546, 'Info Tipo de Cambio y REM'!$A$24:$B$35, 2, FALSE))
</f>
        <v/>
      </c>
      <c r="Q546" s="107" t="str">
        <f t="shared" si="3"/>
        <v/>
      </c>
    </row>
    <row r="547">
      <c r="A547" s="102"/>
      <c r="B547" s="102"/>
      <c r="C547" s="102"/>
      <c r="D547" s="51"/>
      <c r="E547" s="102"/>
      <c r="F547" s="102"/>
      <c r="G547" s="103"/>
      <c r="H547" s="103" t="str">
        <f t="shared" si="2"/>
        <v/>
      </c>
      <c r="I547" s="103"/>
      <c r="M547" s="103"/>
      <c r="N547" s="113"/>
      <c r="O547" s="107"/>
      <c r="P547" s="106" t="str">
        <f>IF(ISBLANK(N547), "", VLOOKUP(D547&amp;" "&amp;E547, 'Info Tipo de Cambio y REM'!$A$24:$B$35, 2, FALSE))
</f>
        <v/>
      </c>
      <c r="Q547" s="107" t="str">
        <f t="shared" si="3"/>
        <v/>
      </c>
    </row>
    <row r="548">
      <c r="A548" s="102"/>
      <c r="B548" s="102"/>
      <c r="C548" s="102"/>
      <c r="D548" s="51"/>
      <c r="E548" s="102"/>
      <c r="F548" s="102"/>
      <c r="G548" s="103"/>
      <c r="H548" s="103" t="str">
        <f t="shared" si="2"/>
        <v/>
      </c>
      <c r="I548" s="103"/>
      <c r="M548" s="103"/>
      <c r="N548" s="113"/>
      <c r="O548" s="107"/>
      <c r="P548" s="106" t="str">
        <f>IF(ISBLANK(N548), "", VLOOKUP(D548&amp;" "&amp;E548, 'Info Tipo de Cambio y REM'!$A$24:$B$35, 2, FALSE))
</f>
        <v/>
      </c>
      <c r="Q548" s="107" t="str">
        <f t="shared" si="3"/>
        <v/>
      </c>
    </row>
    <row r="549">
      <c r="A549" s="102"/>
      <c r="B549" s="102"/>
      <c r="C549" s="102"/>
      <c r="D549" s="51"/>
      <c r="E549" s="102"/>
      <c r="F549" s="102"/>
      <c r="G549" s="103"/>
      <c r="H549" s="103" t="str">
        <f t="shared" si="2"/>
        <v/>
      </c>
      <c r="I549" s="103"/>
      <c r="M549" s="103"/>
      <c r="N549" s="113"/>
      <c r="O549" s="107"/>
      <c r="P549" s="106" t="str">
        <f>IF(ISBLANK(N549), "", VLOOKUP(D549&amp;" "&amp;E549, 'Info Tipo de Cambio y REM'!$A$24:$B$35, 2, FALSE))
</f>
        <v/>
      </c>
      <c r="Q549" s="107" t="str">
        <f t="shared" si="3"/>
        <v/>
      </c>
    </row>
    <row r="550">
      <c r="A550" s="102"/>
      <c r="B550" s="102"/>
      <c r="C550" s="102"/>
      <c r="D550" s="51"/>
      <c r="E550" s="102"/>
      <c r="F550" s="102"/>
      <c r="G550" s="103"/>
      <c r="H550" s="103" t="str">
        <f t="shared" si="2"/>
        <v/>
      </c>
      <c r="I550" s="103"/>
      <c r="M550" s="103"/>
      <c r="N550" s="113"/>
      <c r="O550" s="107"/>
      <c r="P550" s="106" t="str">
        <f>IF(ISBLANK(N550), "", VLOOKUP(D550&amp;" "&amp;E550, 'Info Tipo de Cambio y REM'!$A$24:$B$35, 2, FALSE))
</f>
        <v/>
      </c>
      <c r="Q550" s="107" t="str">
        <f t="shared" si="3"/>
        <v/>
      </c>
    </row>
    <row r="551">
      <c r="A551" s="102"/>
      <c r="B551" s="102"/>
      <c r="C551" s="102"/>
      <c r="D551" s="51"/>
      <c r="E551" s="102"/>
      <c r="F551" s="102"/>
      <c r="G551" s="103"/>
      <c r="H551" s="103" t="str">
        <f t="shared" si="2"/>
        <v/>
      </c>
      <c r="I551" s="103"/>
      <c r="M551" s="103"/>
      <c r="N551" s="113"/>
      <c r="O551" s="107"/>
      <c r="P551" s="106" t="str">
        <f>IF(ISBLANK(N551), "", VLOOKUP(D551&amp;" "&amp;E551, 'Info Tipo de Cambio y REM'!$A$24:$B$35, 2, FALSE))
</f>
        <v/>
      </c>
      <c r="Q551" s="107" t="str">
        <f t="shared" si="3"/>
        <v/>
      </c>
    </row>
    <row r="552">
      <c r="A552" s="102"/>
      <c r="B552" s="102"/>
      <c r="C552" s="102"/>
      <c r="D552" s="51"/>
      <c r="E552" s="102"/>
      <c r="F552" s="102"/>
      <c r="G552" s="103"/>
      <c r="H552" s="103" t="str">
        <f t="shared" si="2"/>
        <v/>
      </c>
      <c r="I552" s="103"/>
      <c r="M552" s="103"/>
      <c r="N552" s="113"/>
      <c r="O552" s="107"/>
      <c r="P552" s="106" t="str">
        <f>IF(ISBLANK(N552), "", VLOOKUP(D552&amp;" "&amp;E552, 'Info Tipo de Cambio y REM'!$A$24:$B$35, 2, FALSE))
</f>
        <v/>
      </c>
      <c r="Q552" s="107" t="str">
        <f t="shared" si="3"/>
        <v/>
      </c>
    </row>
    <row r="553">
      <c r="A553" s="102"/>
      <c r="B553" s="102"/>
      <c r="C553" s="102"/>
      <c r="D553" s="51"/>
      <c r="E553" s="102"/>
      <c r="F553" s="102"/>
      <c r="G553" s="103"/>
      <c r="H553" s="103" t="str">
        <f t="shared" si="2"/>
        <v/>
      </c>
      <c r="I553" s="103"/>
      <c r="M553" s="103"/>
      <c r="N553" s="113"/>
      <c r="O553" s="107"/>
      <c r="P553" s="106" t="str">
        <f>IF(ISBLANK(N553), "", VLOOKUP(D553&amp;" "&amp;E553, 'Info Tipo de Cambio y REM'!$A$24:$B$35, 2, FALSE))
</f>
        <v/>
      </c>
      <c r="Q553" s="107" t="str">
        <f t="shared" si="3"/>
        <v/>
      </c>
    </row>
    <row r="554">
      <c r="A554" s="102"/>
      <c r="B554" s="102"/>
      <c r="C554" s="102"/>
      <c r="D554" s="51"/>
      <c r="E554" s="102"/>
      <c r="F554" s="102"/>
      <c r="G554" s="103"/>
      <c r="H554" s="103" t="str">
        <f t="shared" si="2"/>
        <v/>
      </c>
      <c r="I554" s="103"/>
      <c r="M554" s="103"/>
      <c r="N554" s="113"/>
      <c r="O554" s="107"/>
      <c r="P554" s="106" t="str">
        <f>IF(ISBLANK(N554), "", VLOOKUP(D554&amp;" "&amp;E554, 'Info Tipo de Cambio y REM'!$A$24:$B$35, 2, FALSE))
</f>
        <v/>
      </c>
      <c r="Q554" s="107" t="str">
        <f t="shared" si="3"/>
        <v/>
      </c>
    </row>
    <row r="555">
      <c r="A555" s="102"/>
      <c r="B555" s="102"/>
      <c r="C555" s="102"/>
      <c r="D555" s="51"/>
      <c r="E555" s="102"/>
      <c r="F555" s="102"/>
      <c r="G555" s="103"/>
      <c r="H555" s="103" t="str">
        <f t="shared" si="2"/>
        <v/>
      </c>
      <c r="I555" s="103"/>
      <c r="M555" s="103"/>
      <c r="N555" s="113"/>
      <c r="O555" s="107"/>
      <c r="P555" s="106" t="str">
        <f>IF(ISBLANK(N555), "", VLOOKUP(D555&amp;" "&amp;E555, 'Info Tipo de Cambio y REM'!$A$24:$B$35, 2, FALSE))
</f>
        <v/>
      </c>
      <c r="Q555" s="107" t="str">
        <f t="shared" si="3"/>
        <v/>
      </c>
    </row>
    <row r="556">
      <c r="A556" s="102"/>
      <c r="B556" s="102"/>
      <c r="C556" s="102"/>
      <c r="D556" s="51"/>
      <c r="E556" s="102"/>
      <c r="F556" s="102"/>
      <c r="G556" s="103"/>
      <c r="H556" s="103" t="str">
        <f t="shared" si="2"/>
        <v/>
      </c>
      <c r="I556" s="103"/>
      <c r="M556" s="103"/>
      <c r="N556" s="113"/>
      <c r="O556" s="107"/>
      <c r="P556" s="106" t="str">
        <f>IF(ISBLANK(N556), "", VLOOKUP(D556&amp;" "&amp;E556, 'Info Tipo de Cambio y REM'!$A$24:$B$35, 2, FALSE))
</f>
        <v/>
      </c>
      <c r="Q556" s="107" t="str">
        <f t="shared" si="3"/>
        <v/>
      </c>
    </row>
    <row r="557">
      <c r="A557" s="102"/>
      <c r="B557" s="102"/>
      <c r="C557" s="102"/>
      <c r="D557" s="51"/>
      <c r="E557" s="102"/>
      <c r="F557" s="102"/>
      <c r="G557" s="103"/>
      <c r="H557" s="103" t="str">
        <f t="shared" si="2"/>
        <v/>
      </c>
      <c r="I557" s="103"/>
      <c r="M557" s="103"/>
      <c r="N557" s="113"/>
      <c r="O557" s="107"/>
      <c r="P557" s="106" t="str">
        <f>IF(ISBLANK(N557), "", VLOOKUP(D557&amp;" "&amp;E557, 'Info Tipo de Cambio y REM'!$A$24:$B$35, 2, FALSE))
</f>
        <v/>
      </c>
      <c r="Q557" s="107" t="str">
        <f t="shared" si="3"/>
        <v/>
      </c>
    </row>
    <row r="558">
      <c r="A558" s="102"/>
      <c r="B558" s="102"/>
      <c r="C558" s="102"/>
      <c r="D558" s="51"/>
      <c r="E558" s="102"/>
      <c r="F558" s="102"/>
      <c r="G558" s="103"/>
      <c r="H558" s="103" t="str">
        <f t="shared" si="2"/>
        <v/>
      </c>
      <c r="I558" s="103"/>
      <c r="M558" s="103"/>
      <c r="N558" s="113"/>
      <c r="O558" s="107"/>
      <c r="P558" s="106" t="str">
        <f>IF(ISBLANK(N558), "", VLOOKUP(D558&amp;" "&amp;E558, 'Info Tipo de Cambio y REM'!$A$24:$B$35, 2, FALSE))
</f>
        <v/>
      </c>
      <c r="Q558" s="107" t="str">
        <f t="shared" si="3"/>
        <v/>
      </c>
    </row>
    <row r="559">
      <c r="A559" s="102"/>
      <c r="B559" s="102"/>
      <c r="C559" s="102"/>
      <c r="D559" s="51"/>
      <c r="E559" s="102"/>
      <c r="F559" s="102"/>
      <c r="G559" s="103"/>
      <c r="H559" s="103" t="str">
        <f t="shared" si="2"/>
        <v/>
      </c>
      <c r="I559" s="103"/>
      <c r="M559" s="103"/>
      <c r="N559" s="113"/>
      <c r="O559" s="107"/>
      <c r="P559" s="106" t="str">
        <f>IF(ISBLANK(N559), "", VLOOKUP(D559&amp;" "&amp;E559, 'Info Tipo de Cambio y REM'!$A$24:$B$35, 2, FALSE))
</f>
        <v/>
      </c>
      <c r="Q559" s="107" t="str">
        <f t="shared" si="3"/>
        <v/>
      </c>
    </row>
    <row r="560">
      <c r="A560" s="102"/>
      <c r="B560" s="102"/>
      <c r="C560" s="102"/>
      <c r="D560" s="51"/>
      <c r="E560" s="102"/>
      <c r="F560" s="102"/>
      <c r="G560" s="103"/>
      <c r="H560" s="103" t="str">
        <f t="shared" si="2"/>
        <v/>
      </c>
      <c r="I560" s="103"/>
      <c r="M560" s="103"/>
      <c r="N560" s="113"/>
      <c r="O560" s="107"/>
      <c r="P560" s="106" t="str">
        <f>IF(ISBLANK(N560), "", VLOOKUP(D560&amp;" "&amp;E560, 'Info Tipo de Cambio y REM'!$A$24:$B$35, 2, FALSE))
</f>
        <v/>
      </c>
      <c r="Q560" s="107" t="str">
        <f t="shared" si="3"/>
        <v/>
      </c>
    </row>
    <row r="561">
      <c r="A561" s="102"/>
      <c r="B561" s="102"/>
      <c r="C561" s="102"/>
      <c r="D561" s="51"/>
      <c r="E561" s="102"/>
      <c r="F561" s="102"/>
      <c r="G561" s="103"/>
      <c r="H561" s="103" t="str">
        <f t="shared" si="2"/>
        <v/>
      </c>
      <c r="I561" s="103"/>
      <c r="M561" s="103"/>
      <c r="N561" s="113"/>
      <c r="O561" s="107"/>
      <c r="P561" s="106" t="str">
        <f>IF(ISBLANK(N561), "", VLOOKUP(D561&amp;" "&amp;E561, 'Info Tipo de Cambio y REM'!$A$24:$B$35, 2, FALSE))
</f>
        <v/>
      </c>
      <c r="Q561" s="107" t="str">
        <f t="shared" si="3"/>
        <v/>
      </c>
    </row>
    <row r="562">
      <c r="A562" s="102"/>
      <c r="B562" s="102"/>
      <c r="C562" s="102"/>
      <c r="D562" s="51"/>
      <c r="E562" s="102"/>
      <c r="F562" s="102"/>
      <c r="G562" s="103"/>
      <c r="H562" s="103" t="str">
        <f t="shared" si="2"/>
        <v/>
      </c>
      <c r="I562" s="103"/>
      <c r="M562" s="103"/>
      <c r="N562" s="113"/>
      <c r="O562" s="107"/>
      <c r="P562" s="106" t="str">
        <f>IF(ISBLANK(N562), "", VLOOKUP(D562&amp;" "&amp;E562, 'Info Tipo de Cambio y REM'!$A$24:$B$35, 2, FALSE))
</f>
        <v/>
      </c>
      <c r="Q562" s="107" t="str">
        <f t="shared" si="3"/>
        <v/>
      </c>
    </row>
    <row r="563">
      <c r="A563" s="102"/>
      <c r="B563" s="102"/>
      <c r="C563" s="102"/>
      <c r="D563" s="51"/>
      <c r="E563" s="102"/>
      <c r="F563" s="102"/>
      <c r="G563" s="103"/>
      <c r="H563" s="103" t="str">
        <f t="shared" si="2"/>
        <v/>
      </c>
      <c r="I563" s="103"/>
      <c r="M563" s="103"/>
      <c r="N563" s="113"/>
      <c r="O563" s="107"/>
      <c r="P563" s="106" t="str">
        <f>IF(ISBLANK(N563), "", VLOOKUP(D563&amp;" "&amp;E563, 'Info Tipo de Cambio y REM'!$A$24:$B$35, 2, FALSE))
</f>
        <v/>
      </c>
      <c r="Q563" s="107" t="str">
        <f t="shared" si="3"/>
        <v/>
      </c>
    </row>
    <row r="564">
      <c r="A564" s="102"/>
      <c r="B564" s="102"/>
      <c r="C564" s="102"/>
      <c r="D564" s="51"/>
      <c r="E564" s="102"/>
      <c r="F564" s="102"/>
      <c r="G564" s="103"/>
      <c r="H564" s="103" t="str">
        <f t="shared" si="2"/>
        <v/>
      </c>
      <c r="I564" s="103"/>
      <c r="M564" s="103"/>
      <c r="N564" s="113"/>
      <c r="O564" s="107"/>
      <c r="P564" s="106" t="str">
        <f>IF(ISBLANK(N564), "", VLOOKUP(D564&amp;" "&amp;E564, 'Info Tipo de Cambio y REM'!$A$24:$B$35, 2, FALSE))
</f>
        <v/>
      </c>
      <c r="Q564" s="107" t="str">
        <f t="shared" si="3"/>
        <v/>
      </c>
    </row>
    <row r="565">
      <c r="A565" s="102"/>
      <c r="B565" s="102"/>
      <c r="C565" s="102"/>
      <c r="D565" s="51"/>
      <c r="E565" s="102"/>
      <c r="F565" s="102"/>
      <c r="G565" s="103"/>
      <c r="H565" s="103" t="str">
        <f t="shared" si="2"/>
        <v/>
      </c>
      <c r="I565" s="103"/>
      <c r="M565" s="103"/>
      <c r="N565" s="113"/>
      <c r="O565" s="107"/>
      <c r="P565" s="106" t="str">
        <f>IF(ISBLANK(N565), "", VLOOKUP(D565&amp;" "&amp;E565, 'Info Tipo de Cambio y REM'!$A$24:$B$35, 2, FALSE))
</f>
        <v/>
      </c>
      <c r="Q565" s="107" t="str">
        <f t="shared" si="3"/>
        <v/>
      </c>
    </row>
    <row r="566">
      <c r="A566" s="102"/>
      <c r="B566" s="102"/>
      <c r="C566" s="102"/>
      <c r="D566" s="51"/>
      <c r="E566" s="102"/>
      <c r="F566" s="102"/>
      <c r="G566" s="103"/>
      <c r="H566" s="103" t="str">
        <f t="shared" si="2"/>
        <v/>
      </c>
      <c r="I566" s="103"/>
      <c r="M566" s="103"/>
      <c r="N566" s="113"/>
      <c r="O566" s="107"/>
      <c r="P566" s="106" t="str">
        <f>IF(ISBLANK(N566), "", VLOOKUP(D566&amp;" "&amp;E566, 'Info Tipo de Cambio y REM'!$A$24:$B$35, 2, FALSE))
</f>
        <v/>
      </c>
      <c r="Q566" s="107" t="str">
        <f t="shared" si="3"/>
        <v/>
      </c>
    </row>
    <row r="567">
      <c r="A567" s="102"/>
      <c r="B567" s="102"/>
      <c r="C567" s="102"/>
      <c r="D567" s="51"/>
      <c r="E567" s="102"/>
      <c r="F567" s="102"/>
      <c r="G567" s="103"/>
      <c r="H567" s="103" t="str">
        <f t="shared" si="2"/>
        <v/>
      </c>
      <c r="I567" s="103"/>
      <c r="M567" s="103"/>
      <c r="N567" s="113"/>
      <c r="O567" s="107"/>
      <c r="P567" s="106" t="str">
        <f>IF(ISBLANK(N567), "", VLOOKUP(D567&amp;" "&amp;E567, 'Info Tipo de Cambio y REM'!$A$24:$B$35, 2, FALSE))
</f>
        <v/>
      </c>
      <c r="Q567" s="107" t="str">
        <f t="shared" si="3"/>
        <v/>
      </c>
    </row>
    <row r="568">
      <c r="A568" s="102"/>
      <c r="B568" s="102"/>
      <c r="C568" s="102"/>
      <c r="D568" s="51"/>
      <c r="E568" s="102"/>
      <c r="F568" s="102"/>
      <c r="G568" s="103"/>
      <c r="H568" s="103" t="str">
        <f t="shared" si="2"/>
        <v/>
      </c>
      <c r="I568" s="103"/>
      <c r="M568" s="103"/>
      <c r="N568" s="113"/>
      <c r="O568" s="107"/>
      <c r="P568" s="106" t="str">
        <f>IF(ISBLANK(N568), "", VLOOKUP(D568&amp;" "&amp;E568, 'Info Tipo de Cambio y REM'!$A$24:$B$35, 2, FALSE))
</f>
        <v/>
      </c>
      <c r="Q568" s="107" t="str">
        <f t="shared" si="3"/>
        <v/>
      </c>
    </row>
    <row r="569">
      <c r="A569" s="102"/>
      <c r="B569" s="102"/>
      <c r="C569" s="102"/>
      <c r="D569" s="51"/>
      <c r="E569" s="102"/>
      <c r="F569" s="102"/>
      <c r="G569" s="103"/>
      <c r="H569" s="103" t="str">
        <f t="shared" si="2"/>
        <v/>
      </c>
      <c r="I569" s="103"/>
      <c r="M569" s="103"/>
      <c r="N569" s="113"/>
      <c r="O569" s="107"/>
      <c r="P569" s="106" t="str">
        <f>IF(ISBLANK(N569), "", VLOOKUP(D569&amp;" "&amp;E569, 'Info Tipo de Cambio y REM'!$A$24:$B$35, 2, FALSE))
</f>
        <v/>
      </c>
      <c r="Q569" s="107" t="str">
        <f t="shared" si="3"/>
        <v/>
      </c>
    </row>
    <row r="570">
      <c r="A570" s="102"/>
      <c r="B570" s="102"/>
      <c r="C570" s="102"/>
      <c r="D570" s="51"/>
      <c r="E570" s="102"/>
      <c r="F570" s="102"/>
      <c r="G570" s="103"/>
      <c r="H570" s="103" t="str">
        <f t="shared" si="2"/>
        <v/>
      </c>
      <c r="I570" s="103"/>
      <c r="M570" s="103"/>
      <c r="N570" s="113"/>
      <c r="O570" s="107"/>
      <c r="P570" s="106" t="str">
        <f>IF(ISBLANK(N570), "", VLOOKUP(D570&amp;" "&amp;E570, 'Info Tipo de Cambio y REM'!$A$24:$B$35, 2, FALSE))
</f>
        <v/>
      </c>
      <c r="Q570" s="107" t="str">
        <f t="shared" si="3"/>
        <v/>
      </c>
    </row>
    <row r="571">
      <c r="A571" s="102"/>
      <c r="B571" s="102"/>
      <c r="C571" s="102"/>
      <c r="D571" s="51"/>
      <c r="E571" s="102"/>
      <c r="F571" s="102"/>
      <c r="G571" s="103"/>
      <c r="H571" s="103" t="str">
        <f t="shared" si="2"/>
        <v/>
      </c>
      <c r="I571" s="103"/>
      <c r="M571" s="103"/>
      <c r="N571" s="113"/>
      <c r="O571" s="107"/>
      <c r="P571" s="106" t="str">
        <f>IF(ISBLANK(N571), "", VLOOKUP(D571&amp;" "&amp;E571, 'Info Tipo de Cambio y REM'!$A$24:$B$35, 2, FALSE))
</f>
        <v/>
      </c>
      <c r="Q571" s="107" t="str">
        <f t="shared" si="3"/>
        <v/>
      </c>
    </row>
    <row r="572">
      <c r="A572" s="102"/>
      <c r="B572" s="102"/>
      <c r="C572" s="102"/>
      <c r="D572" s="51"/>
      <c r="E572" s="102"/>
      <c r="F572" s="102"/>
      <c r="G572" s="103"/>
      <c r="H572" s="103" t="str">
        <f t="shared" si="2"/>
        <v/>
      </c>
      <c r="I572" s="103"/>
      <c r="M572" s="103"/>
      <c r="N572" s="113"/>
      <c r="O572" s="107"/>
      <c r="P572" s="106" t="str">
        <f>IF(ISBLANK(N572), "", VLOOKUP(D572&amp;" "&amp;E572, 'Info Tipo de Cambio y REM'!$A$24:$B$35, 2, FALSE))
</f>
        <v/>
      </c>
      <c r="Q572" s="107" t="str">
        <f t="shared" si="3"/>
        <v/>
      </c>
    </row>
    <row r="573">
      <c r="A573" s="102"/>
      <c r="B573" s="102"/>
      <c r="C573" s="102"/>
      <c r="D573" s="51"/>
      <c r="E573" s="102"/>
      <c r="F573" s="102"/>
      <c r="G573" s="103"/>
      <c r="H573" s="103" t="str">
        <f t="shared" si="2"/>
        <v/>
      </c>
      <c r="I573" s="103"/>
      <c r="M573" s="103"/>
      <c r="N573" s="113"/>
      <c r="O573" s="107"/>
      <c r="P573" s="106" t="str">
        <f>IF(ISBLANK(N573), "", VLOOKUP(D573&amp;" "&amp;E573, 'Info Tipo de Cambio y REM'!$A$24:$B$35, 2, FALSE))
</f>
        <v/>
      </c>
      <c r="Q573" s="107" t="str">
        <f t="shared" si="3"/>
        <v/>
      </c>
    </row>
    <row r="574">
      <c r="A574" s="102"/>
      <c r="B574" s="102"/>
      <c r="C574" s="102"/>
      <c r="D574" s="51"/>
      <c r="E574" s="102"/>
      <c r="F574" s="102"/>
      <c r="G574" s="103"/>
      <c r="H574" s="103" t="str">
        <f t="shared" si="2"/>
        <v/>
      </c>
      <c r="I574" s="103"/>
      <c r="M574" s="103"/>
      <c r="N574" s="113"/>
      <c r="O574" s="107"/>
      <c r="P574" s="106" t="str">
        <f>IF(ISBLANK(N574), "", VLOOKUP(D574&amp;" "&amp;E574, 'Info Tipo de Cambio y REM'!$A$24:$B$35, 2, FALSE))
</f>
        <v/>
      </c>
      <c r="Q574" s="107" t="str">
        <f t="shared" si="3"/>
        <v/>
      </c>
    </row>
    <row r="575">
      <c r="A575" s="102"/>
      <c r="B575" s="102"/>
      <c r="C575" s="102"/>
      <c r="D575" s="51"/>
      <c r="E575" s="102"/>
      <c r="F575" s="102"/>
      <c r="G575" s="103"/>
      <c r="H575" s="103" t="str">
        <f t="shared" si="2"/>
        <v/>
      </c>
      <c r="I575" s="103"/>
      <c r="M575" s="103"/>
      <c r="N575" s="113"/>
      <c r="O575" s="107"/>
      <c r="P575" s="106" t="str">
        <f>IF(ISBLANK(N575), "", VLOOKUP(D575&amp;" "&amp;E575, 'Info Tipo de Cambio y REM'!$A$24:$B$35, 2, FALSE))
</f>
        <v/>
      </c>
      <c r="Q575" s="107" t="str">
        <f t="shared" si="3"/>
        <v/>
      </c>
    </row>
    <row r="576">
      <c r="A576" s="102"/>
      <c r="B576" s="102"/>
      <c r="C576" s="102"/>
      <c r="D576" s="51"/>
      <c r="E576" s="102"/>
      <c r="F576" s="102"/>
      <c r="G576" s="103"/>
      <c r="H576" s="103" t="str">
        <f t="shared" si="2"/>
        <v/>
      </c>
      <c r="I576" s="103"/>
      <c r="M576" s="103"/>
      <c r="N576" s="113"/>
      <c r="O576" s="107"/>
      <c r="P576" s="106" t="str">
        <f>IF(ISBLANK(N576), "", VLOOKUP(D576&amp;" "&amp;E576, 'Info Tipo de Cambio y REM'!$A$24:$B$35, 2, FALSE))
</f>
        <v/>
      </c>
      <c r="Q576" s="107" t="str">
        <f t="shared" si="3"/>
        <v/>
      </c>
    </row>
    <row r="577">
      <c r="A577" s="102"/>
      <c r="B577" s="102"/>
      <c r="C577" s="102"/>
      <c r="D577" s="51"/>
      <c r="E577" s="102"/>
      <c r="F577" s="102"/>
      <c r="G577" s="103"/>
      <c r="H577" s="103" t="str">
        <f t="shared" si="2"/>
        <v/>
      </c>
      <c r="I577" s="103"/>
      <c r="M577" s="103"/>
      <c r="N577" s="113"/>
      <c r="O577" s="107"/>
      <c r="P577" s="106" t="str">
        <f>IF(ISBLANK(N577), "", VLOOKUP(D577&amp;" "&amp;E577, 'Info Tipo de Cambio y REM'!$A$24:$B$35, 2, FALSE))
</f>
        <v/>
      </c>
      <c r="Q577" s="107" t="str">
        <f t="shared" si="3"/>
        <v/>
      </c>
    </row>
    <row r="578">
      <c r="A578" s="102"/>
      <c r="B578" s="102"/>
      <c r="C578" s="102"/>
      <c r="D578" s="51"/>
      <c r="E578" s="102"/>
      <c r="F578" s="102"/>
      <c r="G578" s="103"/>
      <c r="H578" s="103" t="str">
        <f t="shared" si="2"/>
        <v/>
      </c>
      <c r="I578" s="103"/>
      <c r="M578" s="103"/>
      <c r="N578" s="113"/>
      <c r="O578" s="107"/>
      <c r="P578" s="106" t="str">
        <f>IF(ISBLANK(N578), "", VLOOKUP(D578&amp;" "&amp;E578, 'Info Tipo de Cambio y REM'!$A$24:$B$35, 2, FALSE))
</f>
        <v/>
      </c>
      <c r="Q578" s="107" t="str">
        <f t="shared" si="3"/>
        <v/>
      </c>
    </row>
    <row r="579">
      <c r="A579" s="102"/>
      <c r="B579" s="102"/>
      <c r="C579" s="102"/>
      <c r="D579" s="51"/>
      <c r="E579" s="102"/>
      <c r="F579" s="102"/>
      <c r="G579" s="103"/>
      <c r="H579" s="103" t="str">
        <f t="shared" si="2"/>
        <v/>
      </c>
      <c r="I579" s="103"/>
      <c r="M579" s="103"/>
      <c r="N579" s="113"/>
      <c r="O579" s="107"/>
      <c r="P579" s="106" t="str">
        <f>IF(ISBLANK(N579), "", VLOOKUP(D579&amp;" "&amp;E579, 'Info Tipo de Cambio y REM'!$A$24:$B$35, 2, FALSE))
</f>
        <v/>
      </c>
      <c r="Q579" s="107" t="str">
        <f t="shared" si="3"/>
        <v/>
      </c>
    </row>
    <row r="580">
      <c r="A580" s="102"/>
      <c r="B580" s="102"/>
      <c r="C580" s="102"/>
      <c r="D580" s="51"/>
      <c r="E580" s="102"/>
      <c r="F580" s="102"/>
      <c r="G580" s="103"/>
      <c r="H580" s="103" t="str">
        <f t="shared" si="2"/>
        <v/>
      </c>
      <c r="I580" s="103"/>
      <c r="M580" s="103"/>
      <c r="N580" s="113"/>
      <c r="O580" s="107"/>
      <c r="P580" s="106" t="str">
        <f>IF(ISBLANK(N580), "", VLOOKUP(D580&amp;" "&amp;E580, 'Info Tipo de Cambio y REM'!$A$24:$B$35, 2, FALSE))
</f>
        <v/>
      </c>
      <c r="Q580" s="107" t="str">
        <f t="shared" si="3"/>
        <v/>
      </c>
    </row>
    <row r="581">
      <c r="A581" s="102"/>
      <c r="B581" s="102"/>
      <c r="C581" s="102"/>
      <c r="D581" s="51"/>
      <c r="E581" s="102"/>
      <c r="F581" s="102"/>
      <c r="G581" s="103"/>
      <c r="H581" s="103" t="str">
        <f t="shared" si="2"/>
        <v/>
      </c>
      <c r="I581" s="103"/>
      <c r="M581" s="103"/>
      <c r="N581" s="113"/>
      <c r="O581" s="107"/>
      <c r="P581" s="106" t="str">
        <f>IF(ISBLANK(N581), "", VLOOKUP(D581&amp;" "&amp;E581, 'Info Tipo de Cambio y REM'!$A$24:$B$35, 2, FALSE))
</f>
        <v/>
      </c>
      <c r="Q581" s="107" t="str">
        <f t="shared" si="3"/>
        <v/>
      </c>
    </row>
    <row r="582">
      <c r="A582" s="102"/>
      <c r="B582" s="102"/>
      <c r="C582" s="102"/>
      <c r="D582" s="51"/>
      <c r="E582" s="102"/>
      <c r="F582" s="102"/>
      <c r="G582" s="103"/>
      <c r="H582" s="103" t="str">
        <f t="shared" si="2"/>
        <v/>
      </c>
      <c r="I582" s="103"/>
      <c r="M582" s="103"/>
      <c r="N582" s="113"/>
      <c r="O582" s="107"/>
      <c r="P582" s="106" t="str">
        <f>IF(ISBLANK(N582), "", VLOOKUP(D582&amp;" "&amp;E582, 'Info Tipo de Cambio y REM'!$A$24:$B$35, 2, FALSE))
</f>
        <v/>
      </c>
      <c r="Q582" s="107" t="str">
        <f t="shared" si="3"/>
        <v/>
      </c>
    </row>
    <row r="583">
      <c r="A583" s="102"/>
      <c r="B583" s="102"/>
      <c r="C583" s="102"/>
      <c r="D583" s="51"/>
      <c r="E583" s="102"/>
      <c r="F583" s="102"/>
      <c r="G583" s="103"/>
      <c r="H583" s="103" t="str">
        <f t="shared" si="2"/>
        <v/>
      </c>
      <c r="I583" s="103"/>
      <c r="M583" s="103"/>
      <c r="N583" s="113"/>
      <c r="O583" s="107"/>
      <c r="P583" s="106" t="str">
        <f>IF(ISBLANK(N583), "", VLOOKUP(D583&amp;" "&amp;E583, 'Info Tipo de Cambio y REM'!$A$24:$B$35, 2, FALSE))
</f>
        <v/>
      </c>
      <c r="Q583" s="107" t="str">
        <f t="shared" si="3"/>
        <v/>
      </c>
    </row>
    <row r="584">
      <c r="A584" s="102"/>
      <c r="B584" s="102"/>
      <c r="C584" s="102"/>
      <c r="D584" s="51"/>
      <c r="E584" s="102"/>
      <c r="F584" s="102"/>
      <c r="G584" s="103"/>
      <c r="H584" s="103" t="str">
        <f t="shared" si="2"/>
        <v/>
      </c>
      <c r="I584" s="103"/>
      <c r="M584" s="103"/>
      <c r="N584" s="113"/>
      <c r="O584" s="107"/>
      <c r="P584" s="106" t="str">
        <f>IF(ISBLANK(N584), "", VLOOKUP(D584&amp;" "&amp;E584, 'Info Tipo de Cambio y REM'!$A$24:$B$35, 2, FALSE))
</f>
        <v/>
      </c>
      <c r="Q584" s="107" t="str">
        <f t="shared" si="3"/>
        <v/>
      </c>
    </row>
    <row r="585">
      <c r="A585" s="102"/>
      <c r="B585" s="102"/>
      <c r="C585" s="102"/>
      <c r="D585" s="51"/>
      <c r="E585" s="102"/>
      <c r="F585" s="102"/>
      <c r="G585" s="103"/>
      <c r="H585" s="103" t="str">
        <f t="shared" si="2"/>
        <v/>
      </c>
      <c r="I585" s="103"/>
      <c r="M585" s="103"/>
      <c r="N585" s="113"/>
      <c r="O585" s="107"/>
      <c r="P585" s="106" t="str">
        <f>IF(ISBLANK(N585), "", VLOOKUP(D585&amp;" "&amp;E585, 'Info Tipo de Cambio y REM'!$A$24:$B$35, 2, FALSE))
</f>
        <v/>
      </c>
      <c r="Q585" s="107" t="str">
        <f t="shared" si="3"/>
        <v/>
      </c>
    </row>
    <row r="586">
      <c r="A586" s="102"/>
      <c r="B586" s="102"/>
      <c r="C586" s="102"/>
      <c r="D586" s="51"/>
      <c r="E586" s="102"/>
      <c r="F586" s="102"/>
      <c r="G586" s="103"/>
      <c r="H586" s="103" t="str">
        <f t="shared" si="2"/>
        <v/>
      </c>
      <c r="I586" s="103"/>
      <c r="M586" s="103"/>
      <c r="N586" s="113"/>
      <c r="O586" s="107"/>
      <c r="P586" s="106" t="str">
        <f>IF(ISBLANK(N586), "", VLOOKUP(D586&amp;" "&amp;E586, 'Info Tipo de Cambio y REM'!$A$24:$B$35, 2, FALSE))
</f>
        <v/>
      </c>
      <c r="Q586" s="107" t="str">
        <f t="shared" si="3"/>
        <v/>
      </c>
    </row>
    <row r="587">
      <c r="A587" s="102"/>
      <c r="B587" s="102"/>
      <c r="C587" s="102"/>
      <c r="D587" s="51"/>
      <c r="E587" s="102"/>
      <c r="F587" s="102"/>
      <c r="G587" s="103"/>
      <c r="H587" s="103" t="str">
        <f t="shared" si="2"/>
        <v/>
      </c>
      <c r="I587" s="103"/>
      <c r="M587" s="103"/>
      <c r="N587" s="113"/>
      <c r="O587" s="107"/>
      <c r="P587" s="106" t="str">
        <f>IF(ISBLANK(N587), "", VLOOKUP(D587&amp;" "&amp;E587, 'Info Tipo de Cambio y REM'!$A$24:$B$35, 2, FALSE))
</f>
        <v/>
      </c>
      <c r="Q587" s="107" t="str">
        <f t="shared" si="3"/>
        <v/>
      </c>
    </row>
    <row r="588">
      <c r="A588" s="102"/>
      <c r="B588" s="102"/>
      <c r="C588" s="102"/>
      <c r="D588" s="51"/>
      <c r="E588" s="102"/>
      <c r="F588" s="102"/>
      <c r="G588" s="103"/>
      <c r="H588" s="103" t="str">
        <f t="shared" si="2"/>
        <v/>
      </c>
      <c r="I588" s="103"/>
      <c r="M588" s="103"/>
      <c r="N588" s="113"/>
      <c r="O588" s="107"/>
      <c r="P588" s="106" t="str">
        <f>IF(ISBLANK(N588), "", VLOOKUP(D588&amp;" "&amp;E588, 'Info Tipo de Cambio y REM'!$A$24:$B$35, 2, FALSE))
</f>
        <v/>
      </c>
      <c r="Q588" s="107" t="str">
        <f t="shared" si="3"/>
        <v/>
      </c>
    </row>
    <row r="589">
      <c r="A589" s="102"/>
      <c r="B589" s="102"/>
      <c r="C589" s="102"/>
      <c r="D589" s="51"/>
      <c r="E589" s="102"/>
      <c r="F589" s="102"/>
      <c r="G589" s="103"/>
      <c r="H589" s="103" t="str">
        <f t="shared" si="2"/>
        <v/>
      </c>
      <c r="I589" s="103"/>
      <c r="M589" s="103"/>
      <c r="N589" s="113"/>
      <c r="O589" s="107"/>
      <c r="P589" s="106" t="str">
        <f>IF(ISBLANK(N589), "", VLOOKUP(D589&amp;" "&amp;E589, 'Info Tipo de Cambio y REM'!$A$24:$B$35, 2, FALSE))
</f>
        <v/>
      </c>
      <c r="Q589" s="107" t="str">
        <f t="shared" si="3"/>
        <v/>
      </c>
    </row>
    <row r="590">
      <c r="A590" s="102"/>
      <c r="B590" s="102"/>
      <c r="C590" s="102"/>
      <c r="D590" s="51"/>
      <c r="E590" s="102"/>
      <c r="F590" s="102"/>
      <c r="G590" s="103"/>
      <c r="H590" s="103" t="str">
        <f t="shared" si="2"/>
        <v/>
      </c>
      <c r="I590" s="103"/>
      <c r="M590" s="103"/>
      <c r="N590" s="113"/>
      <c r="O590" s="107"/>
      <c r="P590" s="106" t="str">
        <f>IF(ISBLANK(N590), "", VLOOKUP(D590&amp;" "&amp;E590, 'Info Tipo de Cambio y REM'!$A$24:$B$35, 2, FALSE))
</f>
        <v/>
      </c>
      <c r="Q590" s="107" t="str">
        <f t="shared" si="3"/>
        <v/>
      </c>
    </row>
    <row r="591">
      <c r="A591" s="102"/>
      <c r="B591" s="102"/>
      <c r="C591" s="102"/>
      <c r="D591" s="51"/>
      <c r="E591" s="102"/>
      <c r="F591" s="102"/>
      <c r="G591" s="103"/>
      <c r="H591" s="103" t="str">
        <f t="shared" si="2"/>
        <v/>
      </c>
      <c r="I591" s="103"/>
      <c r="M591" s="103"/>
      <c r="N591" s="113"/>
      <c r="O591" s="107"/>
      <c r="P591" s="106" t="str">
        <f>IF(ISBLANK(N591), "", VLOOKUP(D591&amp;" "&amp;E591, 'Info Tipo de Cambio y REM'!$A$24:$B$35, 2, FALSE))
</f>
        <v/>
      </c>
      <c r="Q591" s="107" t="str">
        <f t="shared" si="3"/>
        <v/>
      </c>
    </row>
    <row r="592">
      <c r="A592" s="102"/>
      <c r="B592" s="102"/>
      <c r="C592" s="102"/>
      <c r="D592" s="51"/>
      <c r="E592" s="102"/>
      <c r="F592" s="102"/>
      <c r="G592" s="103"/>
      <c r="H592" s="103" t="str">
        <f t="shared" si="2"/>
        <v/>
      </c>
      <c r="I592" s="103"/>
      <c r="M592" s="103"/>
      <c r="N592" s="113"/>
      <c r="O592" s="107"/>
      <c r="P592" s="106" t="str">
        <f>IF(ISBLANK(N592), "", VLOOKUP(D592&amp;" "&amp;E592, 'Info Tipo de Cambio y REM'!$A$24:$B$35, 2, FALSE))
</f>
        <v/>
      </c>
      <c r="Q592" s="107" t="str">
        <f t="shared" si="3"/>
        <v/>
      </c>
    </row>
    <row r="593">
      <c r="A593" s="102"/>
      <c r="B593" s="102"/>
      <c r="C593" s="102"/>
      <c r="D593" s="51"/>
      <c r="E593" s="102"/>
      <c r="F593" s="102"/>
      <c r="G593" s="103"/>
      <c r="H593" s="103" t="str">
        <f t="shared" si="2"/>
        <v/>
      </c>
      <c r="I593" s="103"/>
      <c r="M593" s="103"/>
      <c r="N593" s="113"/>
      <c r="O593" s="107"/>
      <c r="P593" s="106" t="str">
        <f>IF(ISBLANK(N593), "", VLOOKUP(D593&amp;" "&amp;E593, 'Info Tipo de Cambio y REM'!$A$24:$B$35, 2, FALSE))
</f>
        <v/>
      </c>
      <c r="Q593" s="107" t="str">
        <f t="shared" si="3"/>
        <v/>
      </c>
    </row>
    <row r="594">
      <c r="A594" s="102"/>
      <c r="B594" s="102"/>
      <c r="C594" s="102"/>
      <c r="D594" s="51"/>
      <c r="E594" s="102"/>
      <c r="F594" s="102"/>
      <c r="G594" s="103"/>
      <c r="H594" s="103" t="str">
        <f t="shared" si="2"/>
        <v/>
      </c>
      <c r="I594" s="103"/>
      <c r="M594" s="103"/>
      <c r="N594" s="113"/>
      <c r="O594" s="107"/>
      <c r="P594" s="106" t="str">
        <f>IF(ISBLANK(N594), "", VLOOKUP(D594&amp;" "&amp;E594, 'Info Tipo de Cambio y REM'!$A$24:$B$35, 2, FALSE))
</f>
        <v/>
      </c>
      <c r="Q594" s="107" t="str">
        <f t="shared" si="3"/>
        <v/>
      </c>
    </row>
    <row r="595">
      <c r="A595" s="102"/>
      <c r="B595" s="102"/>
      <c r="C595" s="102"/>
      <c r="D595" s="51"/>
      <c r="E595" s="102"/>
      <c r="F595" s="102"/>
      <c r="G595" s="103"/>
      <c r="H595" s="103" t="str">
        <f t="shared" si="2"/>
        <v/>
      </c>
      <c r="I595" s="103"/>
      <c r="M595" s="103"/>
      <c r="N595" s="113"/>
      <c r="O595" s="107"/>
      <c r="P595" s="106" t="str">
        <f>IF(ISBLANK(N595), "", VLOOKUP(D595&amp;" "&amp;E595, 'Info Tipo de Cambio y REM'!$A$24:$B$35, 2, FALSE))
</f>
        <v/>
      </c>
      <c r="Q595" s="107" t="str">
        <f t="shared" si="3"/>
        <v/>
      </c>
    </row>
    <row r="596">
      <c r="A596" s="102"/>
      <c r="B596" s="102"/>
      <c r="C596" s="102"/>
      <c r="D596" s="51"/>
      <c r="E596" s="102"/>
      <c r="F596" s="102"/>
      <c r="G596" s="103"/>
      <c r="H596" s="103" t="str">
        <f t="shared" si="2"/>
        <v/>
      </c>
      <c r="I596" s="103"/>
      <c r="M596" s="103"/>
      <c r="N596" s="113"/>
      <c r="O596" s="107"/>
      <c r="P596" s="106" t="str">
        <f>IF(ISBLANK(N596), "", VLOOKUP(D596&amp;" "&amp;E596, 'Info Tipo de Cambio y REM'!$A$24:$B$35, 2, FALSE))
</f>
        <v/>
      </c>
      <c r="Q596" s="107" t="str">
        <f t="shared" si="3"/>
        <v/>
      </c>
    </row>
    <row r="597">
      <c r="A597" s="102"/>
      <c r="B597" s="102"/>
      <c r="C597" s="102"/>
      <c r="D597" s="51"/>
      <c r="E597" s="102"/>
      <c r="F597" s="102"/>
      <c r="G597" s="103"/>
      <c r="H597" s="103" t="str">
        <f t="shared" si="2"/>
        <v/>
      </c>
      <c r="I597" s="103"/>
      <c r="M597" s="103"/>
      <c r="N597" s="113"/>
      <c r="O597" s="107"/>
      <c r="P597" s="106" t="str">
        <f>IF(ISBLANK(N597), "", VLOOKUP(D597&amp;" "&amp;E597, 'Info Tipo de Cambio y REM'!$A$24:$B$35, 2, FALSE))
</f>
        <v/>
      </c>
      <c r="Q597" s="107" t="str">
        <f t="shared" si="3"/>
        <v/>
      </c>
    </row>
    <row r="598">
      <c r="A598" s="102"/>
      <c r="B598" s="102"/>
      <c r="C598" s="102"/>
      <c r="D598" s="51"/>
      <c r="E598" s="102"/>
      <c r="F598" s="102"/>
      <c r="G598" s="103"/>
      <c r="H598" s="103" t="str">
        <f t="shared" si="2"/>
        <v/>
      </c>
      <c r="I598" s="103"/>
      <c r="M598" s="103"/>
      <c r="N598" s="113"/>
      <c r="O598" s="107"/>
      <c r="P598" s="106" t="str">
        <f>IF(ISBLANK(N598), "", VLOOKUP(D598&amp;" "&amp;E598, 'Info Tipo de Cambio y REM'!$A$24:$B$35, 2, FALSE))
</f>
        <v/>
      </c>
      <c r="Q598" s="107" t="str">
        <f t="shared" si="3"/>
        <v/>
      </c>
    </row>
    <row r="599">
      <c r="A599" s="102"/>
      <c r="B599" s="102"/>
      <c r="C599" s="102"/>
      <c r="D599" s="51"/>
      <c r="E599" s="102"/>
      <c r="F599" s="102"/>
      <c r="G599" s="103"/>
      <c r="H599" s="103" t="str">
        <f t="shared" si="2"/>
        <v/>
      </c>
      <c r="I599" s="103"/>
      <c r="M599" s="103"/>
      <c r="N599" s="113"/>
      <c r="O599" s="107"/>
      <c r="P599" s="106" t="str">
        <f>IF(ISBLANK(N599), "", VLOOKUP(D599&amp;" "&amp;E599, 'Info Tipo de Cambio y REM'!$A$24:$B$35, 2, FALSE))
</f>
        <v/>
      </c>
      <c r="Q599" s="107" t="str">
        <f t="shared" si="3"/>
        <v/>
      </c>
    </row>
    <row r="600">
      <c r="A600" s="102"/>
      <c r="B600" s="102"/>
      <c r="C600" s="102"/>
      <c r="D600" s="51"/>
      <c r="E600" s="102"/>
      <c r="F600" s="102"/>
      <c r="G600" s="103"/>
      <c r="H600" s="103" t="str">
        <f t="shared" si="2"/>
        <v/>
      </c>
      <c r="I600" s="103"/>
      <c r="M600" s="103"/>
      <c r="N600" s="113"/>
      <c r="O600" s="107"/>
      <c r="P600" s="106" t="str">
        <f>IF(ISBLANK(N600), "", VLOOKUP(D600&amp;" "&amp;E600, 'Info Tipo de Cambio y REM'!$A$24:$B$35, 2, FALSE))
</f>
        <v/>
      </c>
      <c r="Q600" s="107" t="str">
        <f t="shared" si="3"/>
        <v/>
      </c>
    </row>
    <row r="601">
      <c r="A601" s="102"/>
      <c r="B601" s="102"/>
      <c r="C601" s="102"/>
      <c r="D601" s="51"/>
      <c r="E601" s="102"/>
      <c r="F601" s="102"/>
      <c r="G601" s="103"/>
      <c r="H601" s="103" t="str">
        <f t="shared" si="2"/>
        <v/>
      </c>
      <c r="I601" s="103"/>
      <c r="M601" s="103"/>
      <c r="N601" s="113"/>
      <c r="O601" s="107"/>
      <c r="P601" s="106" t="str">
        <f>IF(ISBLANK(N601), "", VLOOKUP(D601&amp;" "&amp;E601, 'Info Tipo de Cambio y REM'!$A$24:$B$35, 2, FALSE))
</f>
        <v/>
      </c>
      <c r="Q601" s="107" t="str">
        <f t="shared" si="3"/>
        <v/>
      </c>
    </row>
    <row r="602">
      <c r="A602" s="102"/>
      <c r="B602" s="102"/>
      <c r="C602" s="102"/>
      <c r="D602" s="51"/>
      <c r="E602" s="102"/>
      <c r="F602" s="102"/>
      <c r="G602" s="103"/>
      <c r="H602" s="103" t="str">
        <f t="shared" si="2"/>
        <v/>
      </c>
      <c r="I602" s="103"/>
      <c r="M602" s="103"/>
      <c r="N602" s="113"/>
      <c r="O602" s="107"/>
      <c r="P602" s="106" t="str">
        <f>IF(ISBLANK(N602), "", VLOOKUP(D602&amp;" "&amp;E602, 'Info Tipo de Cambio y REM'!$A$24:$B$35, 2, FALSE))
</f>
        <v/>
      </c>
      <c r="Q602" s="107" t="str">
        <f t="shared" si="3"/>
        <v/>
      </c>
    </row>
    <row r="603">
      <c r="A603" s="102"/>
      <c r="B603" s="102"/>
      <c r="C603" s="102"/>
      <c r="D603" s="51"/>
      <c r="E603" s="102"/>
      <c r="F603" s="102"/>
      <c r="G603" s="103"/>
      <c r="H603" s="103" t="str">
        <f t="shared" si="2"/>
        <v/>
      </c>
      <c r="I603" s="103"/>
      <c r="M603" s="103"/>
      <c r="N603" s="113"/>
      <c r="O603" s="107"/>
      <c r="P603" s="106" t="str">
        <f>IF(ISBLANK(N603), "", VLOOKUP(D603&amp;" "&amp;E603, 'Info Tipo de Cambio y REM'!$A$24:$B$35, 2, FALSE))
</f>
        <v/>
      </c>
      <c r="Q603" s="107" t="str">
        <f t="shared" si="3"/>
        <v/>
      </c>
    </row>
    <row r="604">
      <c r="A604" s="102"/>
      <c r="B604" s="102"/>
      <c r="C604" s="102"/>
      <c r="D604" s="51"/>
      <c r="E604" s="102"/>
      <c r="F604" s="102"/>
      <c r="G604" s="103"/>
      <c r="H604" s="103" t="str">
        <f t="shared" si="2"/>
        <v/>
      </c>
      <c r="I604" s="103"/>
      <c r="M604" s="103"/>
      <c r="N604" s="113"/>
      <c r="O604" s="107"/>
      <c r="P604" s="106" t="str">
        <f>IF(ISBLANK(N604), "", VLOOKUP(D604&amp;" "&amp;E604, 'Info Tipo de Cambio y REM'!$A$24:$B$35, 2, FALSE))
</f>
        <v/>
      </c>
      <c r="Q604" s="107" t="str">
        <f t="shared" si="3"/>
        <v/>
      </c>
    </row>
    <row r="605">
      <c r="A605" s="102"/>
      <c r="B605" s="102"/>
      <c r="C605" s="102"/>
      <c r="D605" s="51"/>
      <c r="E605" s="102"/>
      <c r="F605" s="102"/>
      <c r="G605" s="103"/>
      <c r="H605" s="103" t="str">
        <f t="shared" si="2"/>
        <v/>
      </c>
      <c r="I605" s="103"/>
      <c r="M605" s="103"/>
      <c r="N605" s="113"/>
      <c r="O605" s="107"/>
      <c r="P605" s="106" t="str">
        <f>IF(ISBLANK(N605), "", VLOOKUP(D605&amp;" "&amp;E605, 'Info Tipo de Cambio y REM'!$A$24:$B$35, 2, FALSE))
</f>
        <v/>
      </c>
      <c r="Q605" s="107" t="str">
        <f t="shared" si="3"/>
        <v/>
      </c>
    </row>
    <row r="606">
      <c r="A606" s="102"/>
      <c r="B606" s="102"/>
      <c r="C606" s="102"/>
      <c r="D606" s="51"/>
      <c r="E606" s="102"/>
      <c r="F606" s="102"/>
      <c r="G606" s="103"/>
      <c r="H606" s="103" t="str">
        <f t="shared" si="2"/>
        <v/>
      </c>
      <c r="I606" s="103"/>
      <c r="M606" s="103"/>
      <c r="N606" s="113"/>
      <c r="O606" s="107"/>
      <c r="P606" s="106" t="str">
        <f>IF(ISBLANK(N606), "", VLOOKUP(D606&amp;" "&amp;E606, 'Info Tipo de Cambio y REM'!$A$24:$B$35, 2, FALSE))
</f>
        <v/>
      </c>
      <c r="Q606" s="107" t="str">
        <f t="shared" si="3"/>
        <v/>
      </c>
    </row>
    <row r="607">
      <c r="A607" s="102"/>
      <c r="B607" s="102"/>
      <c r="C607" s="102"/>
      <c r="D607" s="51"/>
      <c r="E607" s="102"/>
      <c r="F607" s="102"/>
      <c r="G607" s="103"/>
      <c r="H607" s="103" t="str">
        <f t="shared" si="2"/>
        <v/>
      </c>
      <c r="I607" s="103"/>
      <c r="M607" s="103"/>
      <c r="N607" s="113"/>
      <c r="O607" s="107"/>
      <c r="P607" s="106" t="str">
        <f>IF(ISBLANK(N607), "", VLOOKUP(D607&amp;" "&amp;E607, 'Info Tipo de Cambio y REM'!$A$24:$B$35, 2, FALSE))
</f>
        <v/>
      </c>
      <c r="Q607" s="107" t="str">
        <f t="shared" si="3"/>
        <v/>
      </c>
    </row>
    <row r="608">
      <c r="A608" s="102"/>
      <c r="B608" s="102"/>
      <c r="C608" s="102"/>
      <c r="D608" s="51"/>
      <c r="E608" s="102"/>
      <c r="F608" s="102"/>
      <c r="G608" s="103"/>
      <c r="H608" s="103" t="str">
        <f t="shared" si="2"/>
        <v/>
      </c>
      <c r="I608" s="103"/>
      <c r="M608" s="103"/>
      <c r="N608" s="113"/>
      <c r="O608" s="107"/>
      <c r="P608" s="106" t="str">
        <f>IF(ISBLANK(N608), "", VLOOKUP(D608&amp;" "&amp;E608, 'Info Tipo de Cambio y REM'!$A$24:$B$35, 2, FALSE))
</f>
        <v/>
      </c>
      <c r="Q608" s="107" t="str">
        <f t="shared" si="3"/>
        <v/>
      </c>
    </row>
    <row r="609">
      <c r="A609" s="102"/>
      <c r="B609" s="102"/>
      <c r="C609" s="102"/>
      <c r="D609" s="51"/>
      <c r="E609" s="102"/>
      <c r="F609" s="102"/>
      <c r="G609" s="103"/>
      <c r="H609" s="103" t="str">
        <f t="shared" si="2"/>
        <v/>
      </c>
      <c r="I609" s="103"/>
      <c r="M609" s="103"/>
      <c r="N609" s="113"/>
      <c r="O609" s="107"/>
      <c r="P609" s="106" t="str">
        <f>IF(ISBLANK(N609), "", VLOOKUP(D609&amp;" "&amp;E609, 'Info Tipo de Cambio y REM'!$A$24:$B$35, 2, FALSE))
</f>
        <v/>
      </c>
      <c r="Q609" s="107" t="str">
        <f t="shared" si="3"/>
        <v/>
      </c>
    </row>
    <row r="610">
      <c r="A610" s="102"/>
      <c r="B610" s="102"/>
      <c r="C610" s="102"/>
      <c r="D610" s="51"/>
      <c r="E610" s="102"/>
      <c r="F610" s="102"/>
      <c r="G610" s="103"/>
      <c r="H610" s="103" t="str">
        <f t="shared" si="2"/>
        <v/>
      </c>
      <c r="I610" s="103"/>
      <c r="M610" s="103"/>
      <c r="N610" s="113"/>
      <c r="O610" s="107"/>
      <c r="P610" s="106" t="str">
        <f>IF(ISBLANK(N610), "", VLOOKUP(D610&amp;" "&amp;E610, 'Info Tipo de Cambio y REM'!$A$24:$B$35, 2, FALSE))
</f>
        <v/>
      </c>
      <c r="Q610" s="107" t="str">
        <f t="shared" si="3"/>
        <v/>
      </c>
    </row>
    <row r="611">
      <c r="A611" s="102"/>
      <c r="B611" s="102"/>
      <c r="C611" s="102"/>
      <c r="D611" s="51"/>
      <c r="E611" s="102"/>
      <c r="F611" s="102"/>
      <c r="G611" s="103"/>
      <c r="H611" s="103" t="str">
        <f t="shared" si="2"/>
        <v/>
      </c>
      <c r="I611" s="103"/>
      <c r="M611" s="103"/>
      <c r="N611" s="113"/>
      <c r="O611" s="107"/>
      <c r="P611" s="106" t="str">
        <f>IF(ISBLANK(N611), "", VLOOKUP(D611&amp;" "&amp;E611, 'Info Tipo de Cambio y REM'!$A$24:$B$35, 2, FALSE))
</f>
        <v/>
      </c>
      <c r="Q611" s="107" t="str">
        <f t="shared" si="3"/>
        <v/>
      </c>
    </row>
    <row r="612">
      <c r="A612" s="102"/>
      <c r="B612" s="102"/>
      <c r="C612" s="102"/>
      <c r="D612" s="51"/>
      <c r="E612" s="102"/>
      <c r="F612" s="102"/>
      <c r="G612" s="103"/>
      <c r="H612" s="103" t="str">
        <f t="shared" si="2"/>
        <v/>
      </c>
      <c r="I612" s="103"/>
      <c r="M612" s="103"/>
      <c r="N612" s="113"/>
      <c r="O612" s="107"/>
      <c r="P612" s="106" t="str">
        <f>IF(ISBLANK(N612), "", VLOOKUP(D612&amp;" "&amp;E612, 'Info Tipo de Cambio y REM'!$A$24:$B$35, 2, FALSE))
</f>
        <v/>
      </c>
      <c r="Q612" s="107" t="str">
        <f t="shared" si="3"/>
        <v/>
      </c>
    </row>
    <row r="613">
      <c r="A613" s="102"/>
      <c r="B613" s="102"/>
      <c r="C613" s="102"/>
      <c r="D613" s="51"/>
      <c r="E613" s="102"/>
      <c r="F613" s="102"/>
      <c r="G613" s="103"/>
      <c r="H613" s="103" t="str">
        <f t="shared" si="2"/>
        <v/>
      </c>
      <c r="I613" s="103"/>
      <c r="M613" s="103"/>
      <c r="N613" s="113"/>
      <c r="O613" s="107"/>
      <c r="P613" s="106" t="str">
        <f>IF(ISBLANK(N613), "", VLOOKUP(D613&amp;" "&amp;E613, 'Info Tipo de Cambio y REM'!$A$24:$B$35, 2, FALSE))
</f>
        <v/>
      </c>
      <c r="Q613" s="107" t="str">
        <f t="shared" si="3"/>
        <v/>
      </c>
    </row>
    <row r="614">
      <c r="A614" s="102"/>
      <c r="B614" s="102"/>
      <c r="C614" s="102"/>
      <c r="D614" s="51"/>
      <c r="E614" s="102"/>
      <c r="F614" s="102"/>
      <c r="G614" s="103"/>
      <c r="H614" s="103" t="str">
        <f t="shared" si="2"/>
        <v/>
      </c>
      <c r="I614" s="103"/>
      <c r="M614" s="103"/>
      <c r="N614" s="113"/>
      <c r="O614" s="107"/>
      <c r="P614" s="106" t="str">
        <f>IF(ISBLANK(N614), "", VLOOKUP(D614&amp;" "&amp;E614, 'Info Tipo de Cambio y REM'!$A$24:$B$35, 2, FALSE))
</f>
        <v/>
      </c>
      <c r="Q614" s="107" t="str">
        <f t="shared" si="3"/>
        <v/>
      </c>
    </row>
    <row r="615">
      <c r="A615" s="102"/>
      <c r="B615" s="102"/>
      <c r="C615" s="102"/>
      <c r="D615" s="51"/>
      <c r="E615" s="102"/>
      <c r="F615" s="102"/>
      <c r="G615" s="103"/>
      <c r="H615" s="103" t="str">
        <f t="shared" si="2"/>
        <v/>
      </c>
      <c r="I615" s="103"/>
      <c r="M615" s="103"/>
      <c r="N615" s="113"/>
      <c r="O615" s="107"/>
      <c r="P615" s="106" t="str">
        <f>IF(ISBLANK(N615), "", VLOOKUP(D615&amp;" "&amp;E615, 'Info Tipo de Cambio y REM'!$A$24:$B$35, 2, FALSE))
</f>
        <v/>
      </c>
      <c r="Q615" s="107" t="str">
        <f t="shared" si="3"/>
        <v/>
      </c>
    </row>
    <row r="616">
      <c r="A616" s="102"/>
      <c r="B616" s="102"/>
      <c r="C616" s="102"/>
      <c r="D616" s="51"/>
      <c r="E616" s="102"/>
      <c r="F616" s="102"/>
      <c r="G616" s="103"/>
      <c r="H616" s="103" t="str">
        <f t="shared" si="2"/>
        <v/>
      </c>
      <c r="I616" s="103"/>
      <c r="M616" s="103"/>
      <c r="N616" s="113"/>
      <c r="O616" s="107"/>
      <c r="P616" s="106" t="str">
        <f>IF(ISBLANK(N616), "", VLOOKUP(D616&amp;" "&amp;E616, 'Info Tipo de Cambio y REM'!$A$24:$B$35, 2, FALSE))
</f>
        <v/>
      </c>
      <c r="Q616" s="107" t="str">
        <f t="shared" si="3"/>
        <v/>
      </c>
    </row>
    <row r="617">
      <c r="A617" s="102"/>
      <c r="B617" s="102"/>
      <c r="C617" s="102"/>
      <c r="D617" s="51"/>
      <c r="E617" s="102"/>
      <c r="F617" s="102"/>
      <c r="G617" s="103"/>
      <c r="H617" s="103" t="str">
        <f t="shared" si="2"/>
        <v/>
      </c>
      <c r="I617" s="103"/>
      <c r="M617" s="103"/>
      <c r="N617" s="113"/>
      <c r="O617" s="107"/>
      <c r="P617" s="106" t="str">
        <f>IF(ISBLANK(N617), "", VLOOKUP(D617&amp;" "&amp;E617, 'Info Tipo de Cambio y REM'!$A$24:$B$35, 2, FALSE))
</f>
        <v/>
      </c>
      <c r="Q617" s="107" t="str">
        <f t="shared" si="3"/>
        <v/>
      </c>
    </row>
    <row r="618">
      <c r="A618" s="102"/>
      <c r="B618" s="102"/>
      <c r="C618" s="102"/>
      <c r="D618" s="51"/>
      <c r="E618" s="102"/>
      <c r="F618" s="102"/>
      <c r="G618" s="103"/>
      <c r="H618" s="103" t="str">
        <f t="shared" si="2"/>
        <v/>
      </c>
      <c r="I618" s="103"/>
      <c r="M618" s="103"/>
      <c r="N618" s="113"/>
      <c r="O618" s="107"/>
      <c r="P618" s="106" t="str">
        <f>IF(ISBLANK(N618), "", VLOOKUP(D618&amp;" "&amp;E618, 'Info Tipo de Cambio y REM'!$A$24:$B$35, 2, FALSE))
</f>
        <v/>
      </c>
      <c r="Q618" s="107" t="str">
        <f t="shared" si="3"/>
        <v/>
      </c>
    </row>
    <row r="619">
      <c r="A619" s="102"/>
      <c r="B619" s="102"/>
      <c r="C619" s="102"/>
      <c r="D619" s="51"/>
      <c r="E619" s="102"/>
      <c r="F619" s="102"/>
      <c r="G619" s="103"/>
      <c r="H619" s="103" t="str">
        <f t="shared" si="2"/>
        <v/>
      </c>
      <c r="I619" s="103"/>
      <c r="M619" s="103"/>
      <c r="N619" s="113"/>
      <c r="O619" s="107"/>
      <c r="P619" s="106" t="str">
        <f>IF(ISBLANK(N619), "", VLOOKUP(D619&amp;" "&amp;E619, 'Info Tipo de Cambio y REM'!$A$24:$B$35, 2, FALSE))
</f>
        <v/>
      </c>
      <c r="Q619" s="107" t="str">
        <f t="shared" si="3"/>
        <v/>
      </c>
    </row>
    <row r="620">
      <c r="A620" s="102"/>
      <c r="B620" s="102"/>
      <c r="C620" s="102"/>
      <c r="D620" s="51"/>
      <c r="E620" s="102"/>
      <c r="F620" s="102"/>
      <c r="G620" s="103"/>
      <c r="H620" s="103" t="str">
        <f t="shared" si="2"/>
        <v/>
      </c>
      <c r="I620" s="103"/>
      <c r="M620" s="103"/>
      <c r="N620" s="113"/>
      <c r="O620" s="107"/>
      <c r="P620" s="106" t="str">
        <f>IF(ISBLANK(N620), "", VLOOKUP(D620&amp;" "&amp;E620, 'Info Tipo de Cambio y REM'!$A$24:$B$35, 2, FALSE))
</f>
        <v/>
      </c>
      <c r="Q620" s="107" t="str">
        <f t="shared" si="3"/>
        <v/>
      </c>
    </row>
    <row r="621">
      <c r="A621" s="102"/>
      <c r="B621" s="102"/>
      <c r="C621" s="102"/>
      <c r="D621" s="51"/>
      <c r="E621" s="102"/>
      <c r="F621" s="102"/>
      <c r="G621" s="103"/>
      <c r="H621" s="103" t="str">
        <f t="shared" si="2"/>
        <v/>
      </c>
      <c r="I621" s="103"/>
      <c r="M621" s="103"/>
      <c r="N621" s="113"/>
      <c r="O621" s="107"/>
      <c r="P621" s="106" t="str">
        <f>IF(ISBLANK(N621), "", VLOOKUP(D621&amp;" "&amp;E621, 'Info Tipo de Cambio y REM'!$A$24:$B$35, 2, FALSE))
</f>
        <v/>
      </c>
      <c r="Q621" s="107" t="str">
        <f t="shared" si="3"/>
        <v/>
      </c>
    </row>
    <row r="622">
      <c r="A622" s="102"/>
      <c r="B622" s="102"/>
      <c r="C622" s="102"/>
      <c r="D622" s="51"/>
      <c r="E622" s="102"/>
      <c r="F622" s="102"/>
      <c r="G622" s="103"/>
      <c r="H622" s="103" t="str">
        <f t="shared" si="2"/>
        <v/>
      </c>
      <c r="I622" s="103"/>
      <c r="M622" s="103"/>
      <c r="N622" s="113"/>
      <c r="O622" s="107"/>
      <c r="P622" s="106" t="str">
        <f>IF(ISBLANK(N622), "", VLOOKUP(D622&amp;" "&amp;E622, 'Info Tipo de Cambio y REM'!$A$24:$B$35, 2, FALSE))
</f>
        <v/>
      </c>
      <c r="Q622" s="107" t="str">
        <f t="shared" si="3"/>
        <v/>
      </c>
    </row>
    <row r="623">
      <c r="A623" s="102"/>
      <c r="B623" s="102"/>
      <c r="C623" s="102"/>
      <c r="D623" s="51"/>
      <c r="E623" s="102"/>
      <c r="F623" s="102"/>
      <c r="G623" s="103"/>
      <c r="H623" s="103" t="str">
        <f t="shared" si="2"/>
        <v/>
      </c>
      <c r="I623" s="103"/>
      <c r="M623" s="103"/>
      <c r="N623" s="113"/>
      <c r="O623" s="107"/>
      <c r="P623" s="106" t="str">
        <f>IF(ISBLANK(N623), "", VLOOKUP(D623&amp;" "&amp;E623, 'Info Tipo de Cambio y REM'!$A$24:$B$35, 2, FALSE))
</f>
        <v/>
      </c>
      <c r="Q623" s="107" t="str">
        <f t="shared" si="3"/>
        <v/>
      </c>
    </row>
    <row r="624">
      <c r="A624" s="102"/>
      <c r="B624" s="102"/>
      <c r="C624" s="102"/>
      <c r="D624" s="51"/>
      <c r="E624" s="102"/>
      <c r="F624" s="102"/>
      <c r="G624" s="103"/>
      <c r="H624" s="103" t="str">
        <f t="shared" si="2"/>
        <v/>
      </c>
      <c r="I624" s="103"/>
      <c r="M624" s="103"/>
      <c r="N624" s="113"/>
      <c r="O624" s="107"/>
      <c r="P624" s="106" t="str">
        <f>IF(ISBLANK(N624), "", VLOOKUP(D624&amp;" "&amp;E624, 'Info Tipo de Cambio y REM'!$A$24:$B$35, 2, FALSE))
</f>
        <v/>
      </c>
      <c r="Q624" s="107" t="str">
        <f t="shared" si="3"/>
        <v/>
      </c>
    </row>
    <row r="625">
      <c r="A625" s="102"/>
      <c r="B625" s="102"/>
      <c r="C625" s="102"/>
      <c r="D625" s="51"/>
      <c r="E625" s="102"/>
      <c r="F625" s="102"/>
      <c r="G625" s="103"/>
      <c r="H625" s="103" t="str">
        <f t="shared" si="2"/>
        <v/>
      </c>
      <c r="I625" s="103"/>
      <c r="M625" s="103"/>
      <c r="N625" s="113"/>
      <c r="O625" s="107"/>
      <c r="P625" s="106" t="str">
        <f>IF(ISBLANK(N625), "", VLOOKUP(D625&amp;" "&amp;E625, 'Info Tipo de Cambio y REM'!$A$24:$B$35, 2, FALSE))
</f>
        <v/>
      </c>
      <c r="Q625" s="107" t="str">
        <f t="shared" si="3"/>
        <v/>
      </c>
    </row>
    <row r="626">
      <c r="A626" s="102"/>
      <c r="B626" s="102"/>
      <c r="C626" s="102"/>
      <c r="D626" s="51"/>
      <c r="E626" s="102"/>
      <c r="F626" s="102"/>
      <c r="G626" s="103"/>
      <c r="H626" s="103" t="str">
        <f t="shared" si="2"/>
        <v/>
      </c>
      <c r="I626" s="103"/>
      <c r="M626" s="103"/>
      <c r="N626" s="113"/>
      <c r="O626" s="107"/>
      <c r="P626" s="106" t="str">
        <f>IF(ISBLANK(N626), "", VLOOKUP(D626&amp;" "&amp;E626, 'Info Tipo de Cambio y REM'!$A$24:$B$35, 2, FALSE))
</f>
        <v/>
      </c>
      <c r="Q626" s="107" t="str">
        <f t="shared" si="3"/>
        <v/>
      </c>
    </row>
    <row r="627">
      <c r="A627" s="102"/>
      <c r="B627" s="102"/>
      <c r="C627" s="102"/>
      <c r="D627" s="51"/>
      <c r="E627" s="102"/>
      <c r="F627" s="102"/>
      <c r="G627" s="103"/>
      <c r="H627" s="103" t="str">
        <f t="shared" si="2"/>
        <v/>
      </c>
      <c r="I627" s="103"/>
      <c r="M627" s="103"/>
      <c r="N627" s="113"/>
      <c r="O627" s="107"/>
      <c r="P627" s="106" t="str">
        <f>IF(ISBLANK(N627), "", VLOOKUP(D627&amp;" "&amp;E627, 'Info Tipo de Cambio y REM'!$A$24:$B$35, 2, FALSE))
</f>
        <v/>
      </c>
      <c r="Q627" s="107" t="str">
        <f t="shared" si="3"/>
        <v/>
      </c>
    </row>
    <row r="628">
      <c r="A628" s="102"/>
      <c r="B628" s="102"/>
      <c r="C628" s="102"/>
      <c r="D628" s="51"/>
      <c r="E628" s="102"/>
      <c r="F628" s="102"/>
      <c r="G628" s="103"/>
      <c r="H628" s="103" t="str">
        <f t="shared" si="2"/>
        <v/>
      </c>
      <c r="I628" s="103"/>
      <c r="M628" s="103"/>
      <c r="N628" s="113"/>
      <c r="O628" s="107"/>
      <c r="P628" s="106" t="str">
        <f>IF(ISBLANK(N628), "", VLOOKUP(D628&amp;" "&amp;E628, 'Info Tipo de Cambio y REM'!$A$24:$B$35, 2, FALSE))
</f>
        <v/>
      </c>
      <c r="Q628" s="107" t="str">
        <f t="shared" si="3"/>
        <v/>
      </c>
    </row>
    <row r="629">
      <c r="A629" s="102"/>
      <c r="B629" s="102"/>
      <c r="C629" s="102"/>
      <c r="D629" s="51"/>
      <c r="E629" s="102"/>
      <c r="F629" s="102"/>
      <c r="G629" s="103"/>
      <c r="H629" s="103" t="str">
        <f t="shared" si="2"/>
        <v/>
      </c>
      <c r="I629" s="103"/>
      <c r="M629" s="103"/>
      <c r="N629" s="113"/>
      <c r="O629" s="107"/>
      <c r="P629" s="106" t="str">
        <f>IF(ISBLANK(N629), "", VLOOKUP(D629&amp;" "&amp;E629, 'Info Tipo de Cambio y REM'!$A$24:$B$35, 2, FALSE))
</f>
        <v/>
      </c>
      <c r="Q629" s="107" t="str">
        <f t="shared" si="3"/>
        <v/>
      </c>
    </row>
    <row r="630">
      <c r="A630" s="102"/>
      <c r="B630" s="102"/>
      <c r="C630" s="102"/>
      <c r="D630" s="51"/>
      <c r="E630" s="102"/>
      <c r="F630" s="102"/>
      <c r="G630" s="103"/>
      <c r="H630" s="103" t="str">
        <f t="shared" si="2"/>
        <v/>
      </c>
      <c r="I630" s="103"/>
      <c r="M630" s="103"/>
      <c r="N630" s="113"/>
      <c r="O630" s="107"/>
      <c r="P630" s="106" t="str">
        <f>IF(ISBLANK(N630), "", VLOOKUP(D630&amp;" "&amp;E630, 'Info Tipo de Cambio y REM'!$A$24:$B$35, 2, FALSE))
</f>
        <v/>
      </c>
      <c r="Q630" s="107" t="str">
        <f t="shared" si="3"/>
        <v/>
      </c>
    </row>
    <row r="631">
      <c r="A631" s="102"/>
      <c r="B631" s="102"/>
      <c r="C631" s="102"/>
      <c r="D631" s="51"/>
      <c r="E631" s="102"/>
      <c r="F631" s="102"/>
      <c r="G631" s="103"/>
      <c r="H631" s="103" t="str">
        <f t="shared" si="2"/>
        <v/>
      </c>
      <c r="I631" s="103"/>
      <c r="M631" s="103"/>
      <c r="N631" s="113"/>
      <c r="O631" s="107"/>
      <c r="P631" s="106" t="str">
        <f>IF(ISBLANK(N631), "", VLOOKUP(D631&amp;" "&amp;E631, 'Info Tipo de Cambio y REM'!$A$24:$B$35, 2, FALSE))
</f>
        <v/>
      </c>
      <c r="Q631" s="107" t="str">
        <f t="shared" si="3"/>
        <v/>
      </c>
    </row>
    <row r="632">
      <c r="A632" s="102"/>
      <c r="B632" s="102"/>
      <c r="C632" s="102"/>
      <c r="D632" s="51"/>
      <c r="E632" s="102"/>
      <c r="F632" s="102"/>
      <c r="G632" s="103"/>
      <c r="H632" s="103" t="str">
        <f t="shared" si="2"/>
        <v/>
      </c>
      <c r="I632" s="103"/>
      <c r="M632" s="103"/>
      <c r="N632" s="113"/>
      <c r="O632" s="107"/>
      <c r="P632" s="106" t="str">
        <f>IF(ISBLANK(N632), "", VLOOKUP(D632&amp;" "&amp;E632, 'Info Tipo de Cambio y REM'!$A$24:$B$35, 2, FALSE))
</f>
        <v/>
      </c>
      <c r="Q632" s="107" t="str">
        <f t="shared" si="3"/>
        <v/>
      </c>
    </row>
    <row r="633">
      <c r="A633" s="102"/>
      <c r="B633" s="102"/>
      <c r="C633" s="102"/>
      <c r="D633" s="51"/>
      <c r="E633" s="102"/>
      <c r="F633" s="102"/>
      <c r="G633" s="103"/>
      <c r="H633" s="103" t="str">
        <f t="shared" si="2"/>
        <v/>
      </c>
      <c r="I633" s="103"/>
      <c r="M633" s="103"/>
      <c r="N633" s="113"/>
      <c r="O633" s="107"/>
      <c r="P633" s="106" t="str">
        <f>IF(ISBLANK(N633), "", VLOOKUP(D633&amp;" "&amp;E633, 'Info Tipo de Cambio y REM'!$A$24:$B$35, 2, FALSE))
</f>
        <v/>
      </c>
      <c r="Q633" s="107" t="str">
        <f t="shared" si="3"/>
        <v/>
      </c>
    </row>
    <row r="634">
      <c r="A634" s="102"/>
      <c r="B634" s="102"/>
      <c r="C634" s="102"/>
      <c r="D634" s="51"/>
      <c r="E634" s="102"/>
      <c r="F634" s="102"/>
      <c r="G634" s="103"/>
      <c r="H634" s="103" t="str">
        <f t="shared" si="2"/>
        <v/>
      </c>
      <c r="I634" s="103"/>
      <c r="M634" s="103"/>
      <c r="N634" s="113"/>
      <c r="O634" s="107"/>
      <c r="P634" s="106" t="str">
        <f>IF(ISBLANK(N634), "", VLOOKUP(D634&amp;" "&amp;E634, 'Info Tipo de Cambio y REM'!$A$24:$B$35, 2, FALSE))
</f>
        <v/>
      </c>
      <c r="Q634" s="107" t="str">
        <f t="shared" si="3"/>
        <v/>
      </c>
    </row>
    <row r="635">
      <c r="A635" s="102"/>
      <c r="B635" s="102"/>
      <c r="C635" s="102"/>
      <c r="D635" s="51"/>
      <c r="E635" s="102"/>
      <c r="F635" s="102"/>
      <c r="G635" s="103"/>
      <c r="H635" s="103" t="str">
        <f t="shared" si="2"/>
        <v/>
      </c>
      <c r="I635" s="103"/>
      <c r="M635" s="103"/>
      <c r="N635" s="113"/>
      <c r="O635" s="107"/>
      <c r="P635" s="106" t="str">
        <f>IF(ISBLANK(N635), "", VLOOKUP(D635&amp;" "&amp;E635, 'Info Tipo de Cambio y REM'!$A$24:$B$35, 2, FALSE))
</f>
        <v/>
      </c>
      <c r="Q635" s="107" t="str">
        <f t="shared" si="3"/>
        <v/>
      </c>
    </row>
    <row r="636">
      <c r="A636" s="102"/>
      <c r="B636" s="102"/>
      <c r="C636" s="102"/>
      <c r="D636" s="51"/>
      <c r="E636" s="102"/>
      <c r="F636" s="102"/>
      <c r="G636" s="103"/>
      <c r="H636" s="103" t="str">
        <f t="shared" si="2"/>
        <v/>
      </c>
      <c r="I636" s="103"/>
      <c r="M636" s="103"/>
      <c r="N636" s="113"/>
      <c r="O636" s="107"/>
      <c r="P636" s="106" t="str">
        <f>IF(ISBLANK(N636), "", VLOOKUP(D636&amp;" "&amp;E636, 'Info Tipo de Cambio y REM'!$A$24:$B$35, 2, FALSE))
</f>
        <v/>
      </c>
      <c r="Q636" s="107" t="str">
        <f t="shared" si="3"/>
        <v/>
      </c>
    </row>
    <row r="637">
      <c r="A637" s="102"/>
      <c r="B637" s="102"/>
      <c r="C637" s="102"/>
      <c r="D637" s="51"/>
      <c r="E637" s="102"/>
      <c r="F637" s="102"/>
      <c r="G637" s="103"/>
      <c r="H637" s="103" t="str">
        <f t="shared" si="2"/>
        <v/>
      </c>
      <c r="I637" s="103"/>
      <c r="M637" s="103"/>
      <c r="N637" s="113"/>
      <c r="O637" s="107"/>
      <c r="P637" s="106" t="str">
        <f>IF(ISBLANK(N637), "", VLOOKUP(D637&amp;" "&amp;E637, 'Info Tipo de Cambio y REM'!$A$24:$B$35, 2, FALSE))
</f>
        <v/>
      </c>
      <c r="Q637" s="107" t="str">
        <f t="shared" si="3"/>
        <v/>
      </c>
    </row>
    <row r="638">
      <c r="A638" s="102"/>
      <c r="B638" s="102"/>
      <c r="C638" s="102"/>
      <c r="D638" s="51"/>
      <c r="E638" s="102"/>
      <c r="F638" s="102"/>
      <c r="G638" s="103"/>
      <c r="H638" s="103" t="str">
        <f t="shared" si="2"/>
        <v/>
      </c>
      <c r="I638" s="103"/>
      <c r="M638" s="103"/>
      <c r="N638" s="113"/>
      <c r="O638" s="107"/>
      <c r="P638" s="106" t="str">
        <f>IF(ISBLANK(N638), "", VLOOKUP(D638&amp;" "&amp;E638, 'Info Tipo de Cambio y REM'!$A$24:$B$35, 2, FALSE))
</f>
        <v/>
      </c>
      <c r="Q638" s="107" t="str">
        <f t="shared" si="3"/>
        <v/>
      </c>
    </row>
    <row r="639">
      <c r="A639" s="102"/>
      <c r="B639" s="102"/>
      <c r="C639" s="102"/>
      <c r="D639" s="51"/>
      <c r="E639" s="102"/>
      <c r="F639" s="102"/>
      <c r="G639" s="103"/>
      <c r="H639" s="103" t="str">
        <f t="shared" si="2"/>
        <v/>
      </c>
      <c r="I639" s="103"/>
      <c r="M639" s="103"/>
      <c r="N639" s="113"/>
      <c r="O639" s="107"/>
      <c r="P639" s="106" t="str">
        <f>IF(ISBLANK(N639), "", VLOOKUP(D639&amp;" "&amp;E639, 'Info Tipo de Cambio y REM'!$A$24:$B$35, 2, FALSE))
</f>
        <v/>
      </c>
      <c r="Q639" s="107" t="str">
        <f t="shared" si="3"/>
        <v/>
      </c>
    </row>
    <row r="640">
      <c r="A640" s="102"/>
      <c r="B640" s="102"/>
      <c r="C640" s="102"/>
      <c r="D640" s="51"/>
      <c r="E640" s="102"/>
      <c r="F640" s="102"/>
      <c r="G640" s="103"/>
      <c r="H640" s="103" t="str">
        <f t="shared" si="2"/>
        <v/>
      </c>
      <c r="I640" s="103"/>
      <c r="M640" s="103"/>
      <c r="N640" s="113"/>
      <c r="O640" s="107"/>
      <c r="P640" s="106" t="str">
        <f>IF(ISBLANK(N640), "", VLOOKUP(D640&amp;" "&amp;E640, 'Info Tipo de Cambio y REM'!$A$24:$B$35, 2, FALSE))
</f>
        <v/>
      </c>
      <c r="Q640" s="107" t="str">
        <f t="shared" si="3"/>
        <v/>
      </c>
    </row>
    <row r="641">
      <c r="A641" s="102"/>
      <c r="B641" s="102"/>
      <c r="C641" s="102"/>
      <c r="D641" s="51"/>
      <c r="E641" s="102"/>
      <c r="F641" s="102"/>
      <c r="G641" s="103"/>
      <c r="H641" s="103" t="str">
        <f t="shared" si="2"/>
        <v/>
      </c>
      <c r="I641" s="103"/>
      <c r="M641" s="103"/>
      <c r="N641" s="113"/>
      <c r="O641" s="107"/>
      <c r="P641" s="106" t="str">
        <f>IF(ISBLANK(N641), "", VLOOKUP(D641&amp;" "&amp;E641, 'Info Tipo de Cambio y REM'!$A$24:$B$35, 2, FALSE))
</f>
        <v/>
      </c>
      <c r="Q641" s="107" t="str">
        <f t="shared" si="3"/>
        <v/>
      </c>
    </row>
    <row r="642">
      <c r="A642" s="102"/>
      <c r="B642" s="102"/>
      <c r="C642" s="102"/>
      <c r="D642" s="51"/>
      <c r="E642" s="102"/>
      <c r="F642" s="102"/>
      <c r="G642" s="103"/>
      <c r="H642" s="103" t="str">
        <f t="shared" si="2"/>
        <v/>
      </c>
      <c r="I642" s="103"/>
      <c r="M642" s="103"/>
      <c r="N642" s="113"/>
      <c r="O642" s="107"/>
      <c r="P642" s="106" t="str">
        <f>IF(ISBLANK(N642), "", VLOOKUP(D642&amp;" "&amp;E642, 'Info Tipo de Cambio y REM'!$A$24:$B$35, 2, FALSE))
</f>
        <v/>
      </c>
      <c r="Q642" s="107" t="str">
        <f t="shared" si="3"/>
        <v/>
      </c>
    </row>
    <row r="643">
      <c r="A643" s="102"/>
      <c r="B643" s="102"/>
      <c r="C643" s="102"/>
      <c r="D643" s="51"/>
      <c r="E643" s="102"/>
      <c r="F643" s="102"/>
      <c r="G643" s="103"/>
      <c r="H643" s="103" t="str">
        <f t="shared" si="2"/>
        <v/>
      </c>
      <c r="I643" s="103"/>
      <c r="M643" s="103"/>
      <c r="N643" s="113"/>
      <c r="O643" s="107"/>
      <c r="P643" s="106" t="str">
        <f>IF(ISBLANK(N643), "", VLOOKUP(D643&amp;" "&amp;E643, 'Info Tipo de Cambio y REM'!$A$24:$B$35, 2, FALSE))
</f>
        <v/>
      </c>
      <c r="Q643" s="107" t="str">
        <f t="shared" si="3"/>
        <v/>
      </c>
    </row>
    <row r="644">
      <c r="A644" s="102"/>
      <c r="B644" s="102"/>
      <c r="C644" s="102"/>
      <c r="D644" s="51"/>
      <c r="E644" s="102"/>
      <c r="F644" s="102"/>
      <c r="G644" s="103"/>
      <c r="H644" s="103" t="str">
        <f t="shared" si="2"/>
        <v/>
      </c>
      <c r="I644" s="103"/>
      <c r="M644" s="103"/>
      <c r="N644" s="113"/>
      <c r="O644" s="107"/>
      <c r="P644" s="106" t="str">
        <f>IF(ISBLANK(N644), "", VLOOKUP(D644&amp;" "&amp;E644, 'Info Tipo de Cambio y REM'!$A$24:$B$35, 2, FALSE))
</f>
        <v/>
      </c>
      <c r="Q644" s="107" t="str">
        <f t="shared" si="3"/>
        <v/>
      </c>
    </row>
    <row r="645">
      <c r="A645" s="102"/>
      <c r="B645" s="102"/>
      <c r="C645" s="102"/>
      <c r="D645" s="51"/>
      <c r="E645" s="102"/>
      <c r="F645" s="102"/>
      <c r="G645" s="103"/>
      <c r="H645" s="103" t="str">
        <f t="shared" si="2"/>
        <v/>
      </c>
      <c r="I645" s="103"/>
      <c r="M645" s="103"/>
      <c r="N645" s="113"/>
      <c r="O645" s="107"/>
      <c r="P645" s="106" t="str">
        <f>IF(ISBLANK(N645), "", VLOOKUP(D645&amp;" "&amp;E645, 'Info Tipo de Cambio y REM'!$A$24:$B$35, 2, FALSE))
</f>
        <v/>
      </c>
      <c r="Q645" s="107" t="str">
        <f t="shared" si="3"/>
        <v/>
      </c>
    </row>
    <row r="646">
      <c r="A646" s="102"/>
      <c r="B646" s="102"/>
      <c r="C646" s="102"/>
      <c r="D646" s="51"/>
      <c r="E646" s="102"/>
      <c r="F646" s="102"/>
      <c r="G646" s="103"/>
      <c r="H646" s="103" t="str">
        <f t="shared" si="2"/>
        <v/>
      </c>
      <c r="I646" s="103"/>
      <c r="M646" s="103"/>
      <c r="N646" s="113"/>
      <c r="O646" s="107"/>
      <c r="P646" s="106" t="str">
        <f>IF(ISBLANK(N646), "", VLOOKUP(D646&amp;" "&amp;E646, 'Info Tipo de Cambio y REM'!$A$24:$B$35, 2, FALSE))
</f>
        <v/>
      </c>
      <c r="Q646" s="107" t="str">
        <f t="shared" si="3"/>
        <v/>
      </c>
    </row>
    <row r="647">
      <c r="A647" s="102"/>
      <c r="B647" s="102"/>
      <c r="C647" s="102"/>
      <c r="D647" s="51"/>
      <c r="E647" s="102"/>
      <c r="F647" s="102"/>
      <c r="G647" s="103"/>
      <c r="H647" s="103" t="str">
        <f t="shared" si="2"/>
        <v/>
      </c>
      <c r="I647" s="103"/>
      <c r="M647" s="103"/>
      <c r="N647" s="113"/>
      <c r="O647" s="107"/>
      <c r="P647" s="106" t="str">
        <f>IF(ISBLANK(N647), "", VLOOKUP(D647&amp;" "&amp;E647, 'Info Tipo de Cambio y REM'!$A$24:$B$35, 2, FALSE))
</f>
        <v/>
      </c>
      <c r="Q647" s="107" t="str">
        <f t="shared" si="3"/>
        <v/>
      </c>
    </row>
    <row r="648">
      <c r="A648" s="102"/>
      <c r="B648" s="102"/>
      <c r="C648" s="102"/>
      <c r="D648" s="51"/>
      <c r="E648" s="102"/>
      <c r="F648" s="102"/>
      <c r="G648" s="103"/>
      <c r="H648" s="103" t="str">
        <f t="shared" si="2"/>
        <v/>
      </c>
      <c r="I648" s="103"/>
      <c r="M648" s="103"/>
      <c r="N648" s="113"/>
      <c r="O648" s="107"/>
      <c r="P648" s="106" t="str">
        <f>IF(ISBLANK(N648), "", VLOOKUP(D648&amp;" "&amp;E648, 'Info Tipo de Cambio y REM'!$A$24:$B$35, 2, FALSE))
</f>
        <v/>
      </c>
      <c r="Q648" s="107" t="str">
        <f t="shared" si="3"/>
        <v/>
      </c>
    </row>
    <row r="649">
      <c r="A649" s="102"/>
      <c r="B649" s="102"/>
      <c r="C649" s="102"/>
      <c r="D649" s="51"/>
      <c r="E649" s="102"/>
      <c r="F649" s="102"/>
      <c r="G649" s="103"/>
      <c r="H649" s="103" t="str">
        <f t="shared" si="2"/>
        <v/>
      </c>
      <c r="I649" s="103"/>
      <c r="M649" s="103"/>
      <c r="N649" s="113"/>
      <c r="O649" s="107"/>
      <c r="P649" s="106" t="str">
        <f>IF(ISBLANK(N649), "", VLOOKUP(D649&amp;" "&amp;E649, 'Info Tipo de Cambio y REM'!$A$24:$B$35, 2, FALSE))
</f>
        <v/>
      </c>
      <c r="Q649" s="107" t="str">
        <f t="shared" si="3"/>
        <v/>
      </c>
    </row>
    <row r="650">
      <c r="A650" s="102"/>
      <c r="B650" s="102"/>
      <c r="C650" s="102"/>
      <c r="D650" s="51"/>
      <c r="E650" s="102"/>
      <c r="F650" s="102"/>
      <c r="G650" s="103"/>
      <c r="H650" s="103" t="str">
        <f t="shared" si="2"/>
        <v/>
      </c>
      <c r="I650" s="103"/>
      <c r="M650" s="103"/>
      <c r="N650" s="113"/>
      <c r="O650" s="107"/>
      <c r="P650" s="106" t="str">
        <f>IF(ISBLANK(N650), "", VLOOKUP(D650&amp;" "&amp;E650, 'Info Tipo de Cambio y REM'!$A$24:$B$35, 2, FALSE))
</f>
        <v/>
      </c>
      <c r="Q650" s="107" t="str">
        <f t="shared" si="3"/>
        <v/>
      </c>
    </row>
    <row r="651">
      <c r="A651" s="102"/>
      <c r="B651" s="102"/>
      <c r="C651" s="102"/>
      <c r="D651" s="51"/>
      <c r="E651" s="102"/>
      <c r="F651" s="102"/>
      <c r="G651" s="103"/>
      <c r="H651" s="103" t="str">
        <f t="shared" si="2"/>
        <v/>
      </c>
      <c r="I651" s="103"/>
      <c r="M651" s="103"/>
      <c r="N651" s="113"/>
      <c r="O651" s="107"/>
      <c r="P651" s="106" t="str">
        <f>IF(ISBLANK(N651), "", VLOOKUP(D651&amp;" "&amp;E651, 'Info Tipo de Cambio y REM'!$A$24:$B$35, 2, FALSE))
</f>
        <v/>
      </c>
      <c r="Q651" s="107" t="str">
        <f t="shared" si="3"/>
        <v/>
      </c>
    </row>
    <row r="652">
      <c r="A652" s="102"/>
      <c r="B652" s="102"/>
      <c r="C652" s="102"/>
      <c r="D652" s="51"/>
      <c r="E652" s="102"/>
      <c r="F652" s="102"/>
      <c r="G652" s="103"/>
      <c r="H652" s="103" t="str">
        <f t="shared" si="2"/>
        <v/>
      </c>
      <c r="I652" s="103"/>
      <c r="M652" s="103"/>
      <c r="N652" s="113"/>
      <c r="O652" s="107"/>
      <c r="P652" s="106" t="str">
        <f>IF(ISBLANK(N652), "", VLOOKUP(D652&amp;" "&amp;E652, 'Info Tipo de Cambio y REM'!$A$24:$B$35, 2, FALSE))
</f>
        <v/>
      </c>
      <c r="Q652" s="107" t="str">
        <f t="shared" si="3"/>
        <v/>
      </c>
    </row>
    <row r="653">
      <c r="A653" s="102"/>
      <c r="B653" s="102"/>
      <c r="C653" s="102"/>
      <c r="D653" s="51"/>
      <c r="E653" s="102"/>
      <c r="F653" s="102"/>
      <c r="G653" s="103"/>
      <c r="H653" s="103" t="str">
        <f t="shared" si="2"/>
        <v/>
      </c>
      <c r="I653" s="103"/>
      <c r="M653" s="103"/>
      <c r="N653" s="113"/>
      <c r="O653" s="107"/>
      <c r="P653" s="106" t="str">
        <f>IF(ISBLANK(N653), "", VLOOKUP(D653&amp;" "&amp;E653, 'Info Tipo de Cambio y REM'!$A$24:$B$35, 2, FALSE))
</f>
        <v/>
      </c>
      <c r="Q653" s="107" t="str">
        <f t="shared" si="3"/>
        <v/>
      </c>
    </row>
    <row r="654">
      <c r="A654" s="102"/>
      <c r="B654" s="102"/>
      <c r="C654" s="102"/>
      <c r="D654" s="51"/>
      <c r="E654" s="102"/>
      <c r="F654" s="102"/>
      <c r="G654" s="103"/>
      <c r="H654" s="103" t="str">
        <f t="shared" si="2"/>
        <v/>
      </c>
      <c r="I654" s="103"/>
      <c r="M654" s="103"/>
      <c r="N654" s="113"/>
      <c r="O654" s="107"/>
      <c r="P654" s="106" t="str">
        <f>IF(ISBLANK(N654), "", VLOOKUP(D654&amp;" "&amp;E654, 'Info Tipo de Cambio y REM'!$A$24:$B$35, 2, FALSE))
</f>
        <v/>
      </c>
      <c r="Q654" s="107" t="str">
        <f t="shared" si="3"/>
        <v/>
      </c>
    </row>
    <row r="655">
      <c r="A655" s="102"/>
      <c r="B655" s="102"/>
      <c r="C655" s="102"/>
      <c r="D655" s="51"/>
      <c r="E655" s="102"/>
      <c r="F655" s="102"/>
      <c r="G655" s="103"/>
      <c r="H655" s="103" t="str">
        <f t="shared" si="2"/>
        <v/>
      </c>
      <c r="I655" s="103"/>
      <c r="M655" s="103"/>
      <c r="N655" s="113"/>
      <c r="O655" s="107"/>
      <c r="P655" s="106" t="str">
        <f>IF(ISBLANK(N655), "", VLOOKUP(D655&amp;" "&amp;E655, 'Info Tipo de Cambio y REM'!$A$24:$B$35, 2, FALSE))
</f>
        <v/>
      </c>
      <c r="Q655" s="107" t="str">
        <f t="shared" si="3"/>
        <v/>
      </c>
    </row>
    <row r="656">
      <c r="A656" s="102"/>
      <c r="B656" s="102"/>
      <c r="C656" s="102"/>
      <c r="D656" s="51"/>
      <c r="E656" s="102"/>
      <c r="F656" s="102"/>
      <c r="G656" s="103"/>
      <c r="H656" s="103" t="str">
        <f t="shared" si="2"/>
        <v/>
      </c>
      <c r="I656" s="103"/>
      <c r="M656" s="103"/>
      <c r="N656" s="113"/>
      <c r="O656" s="107"/>
      <c r="P656" s="106" t="str">
        <f>IF(ISBLANK(N656), "", VLOOKUP(D656&amp;" "&amp;E656, 'Info Tipo de Cambio y REM'!$A$24:$B$35, 2, FALSE))
</f>
        <v/>
      </c>
      <c r="Q656" s="107" t="str">
        <f t="shared" si="3"/>
        <v/>
      </c>
    </row>
    <row r="657">
      <c r="A657" s="102"/>
      <c r="B657" s="102"/>
      <c r="C657" s="102"/>
      <c r="D657" s="51"/>
      <c r="E657" s="102"/>
      <c r="F657" s="102"/>
      <c r="G657" s="103"/>
      <c r="H657" s="103" t="str">
        <f t="shared" si="2"/>
        <v/>
      </c>
      <c r="I657" s="103"/>
      <c r="M657" s="103"/>
      <c r="N657" s="113"/>
      <c r="O657" s="107"/>
      <c r="P657" s="106" t="str">
        <f>IF(ISBLANK(N657), "", VLOOKUP(D657&amp;" "&amp;E657, 'Info Tipo de Cambio y REM'!$A$24:$B$35, 2, FALSE))
</f>
        <v/>
      </c>
      <c r="Q657" s="107" t="str">
        <f t="shared" si="3"/>
        <v/>
      </c>
    </row>
    <row r="658">
      <c r="A658" s="102"/>
      <c r="B658" s="102"/>
      <c r="C658" s="102"/>
      <c r="D658" s="51"/>
      <c r="E658" s="102"/>
      <c r="F658" s="102"/>
      <c r="G658" s="103"/>
      <c r="H658" s="103" t="str">
        <f t="shared" si="2"/>
        <v/>
      </c>
      <c r="I658" s="103"/>
      <c r="M658" s="103"/>
      <c r="N658" s="113"/>
      <c r="O658" s="107"/>
      <c r="P658" s="106" t="str">
        <f>IF(ISBLANK(N658), "", VLOOKUP(D658&amp;" "&amp;E658, 'Info Tipo de Cambio y REM'!$A$24:$B$35, 2, FALSE))
</f>
        <v/>
      </c>
      <c r="Q658" s="107" t="str">
        <f t="shared" si="3"/>
        <v/>
      </c>
    </row>
    <row r="659">
      <c r="A659" s="102"/>
      <c r="B659" s="102"/>
      <c r="C659" s="102"/>
      <c r="D659" s="51"/>
      <c r="E659" s="102"/>
      <c r="F659" s="102"/>
      <c r="G659" s="103"/>
      <c r="H659" s="103" t="str">
        <f t="shared" si="2"/>
        <v/>
      </c>
      <c r="I659" s="103"/>
      <c r="M659" s="103"/>
      <c r="N659" s="113"/>
      <c r="O659" s="107"/>
      <c r="P659" s="106" t="str">
        <f>IF(ISBLANK(N659), "", VLOOKUP(D659&amp;" "&amp;E659, 'Info Tipo de Cambio y REM'!$A$24:$B$35, 2, FALSE))
</f>
        <v/>
      </c>
      <c r="Q659" s="107" t="str">
        <f t="shared" si="3"/>
        <v/>
      </c>
    </row>
    <row r="660">
      <c r="A660" s="102"/>
      <c r="B660" s="102"/>
      <c r="C660" s="102"/>
      <c r="D660" s="51"/>
      <c r="E660" s="102"/>
      <c r="F660" s="102"/>
      <c r="G660" s="103"/>
      <c r="H660" s="103" t="str">
        <f t="shared" si="2"/>
        <v/>
      </c>
      <c r="I660" s="103"/>
      <c r="M660" s="103"/>
      <c r="N660" s="113"/>
      <c r="O660" s="107"/>
      <c r="P660" s="106" t="str">
        <f>IF(ISBLANK(N660), "", VLOOKUP(D660&amp;" "&amp;E660, 'Info Tipo de Cambio y REM'!$A$24:$B$35, 2, FALSE))
</f>
        <v/>
      </c>
      <c r="Q660" s="107" t="str">
        <f t="shared" si="3"/>
        <v/>
      </c>
    </row>
    <row r="661">
      <c r="A661" s="102"/>
      <c r="B661" s="102"/>
      <c r="C661" s="102"/>
      <c r="D661" s="51"/>
      <c r="E661" s="102"/>
      <c r="F661" s="102"/>
      <c r="G661" s="103"/>
      <c r="H661" s="103" t="str">
        <f t="shared" si="2"/>
        <v/>
      </c>
      <c r="I661" s="103"/>
      <c r="M661" s="103"/>
      <c r="N661" s="113"/>
      <c r="O661" s="107"/>
      <c r="P661" s="106" t="str">
        <f>IF(ISBLANK(N661), "", VLOOKUP(D661&amp;" "&amp;E661, 'Info Tipo de Cambio y REM'!$A$24:$B$35, 2, FALSE))
</f>
        <v/>
      </c>
      <c r="Q661" s="107" t="str">
        <f t="shared" si="3"/>
        <v/>
      </c>
    </row>
    <row r="662">
      <c r="A662" s="102"/>
      <c r="B662" s="102"/>
      <c r="C662" s="102"/>
      <c r="D662" s="51"/>
      <c r="E662" s="102"/>
      <c r="F662" s="102"/>
      <c r="G662" s="103"/>
      <c r="H662" s="103" t="str">
        <f t="shared" si="2"/>
        <v/>
      </c>
      <c r="I662" s="103"/>
      <c r="M662" s="103"/>
      <c r="N662" s="113"/>
      <c r="O662" s="107"/>
      <c r="P662" s="106" t="str">
        <f>IF(ISBLANK(N662), "", VLOOKUP(D662&amp;" "&amp;E662, 'Info Tipo de Cambio y REM'!$A$24:$B$35, 2, FALSE))
</f>
        <v/>
      </c>
      <c r="Q662" s="107" t="str">
        <f t="shared" si="3"/>
        <v/>
      </c>
    </row>
    <row r="663">
      <c r="A663" s="102"/>
      <c r="B663" s="102"/>
      <c r="C663" s="102"/>
      <c r="D663" s="51"/>
      <c r="E663" s="102"/>
      <c r="F663" s="102"/>
      <c r="G663" s="103"/>
      <c r="H663" s="103" t="str">
        <f t="shared" si="2"/>
        <v/>
      </c>
      <c r="I663" s="103"/>
      <c r="M663" s="103"/>
      <c r="N663" s="113"/>
      <c r="O663" s="107"/>
      <c r="P663" s="106" t="str">
        <f>IF(ISBLANK(N663), "", VLOOKUP(D663&amp;" "&amp;E663, 'Info Tipo de Cambio y REM'!$A$24:$B$35, 2, FALSE))
</f>
        <v/>
      </c>
      <c r="Q663" s="107" t="str">
        <f t="shared" si="3"/>
        <v/>
      </c>
    </row>
    <row r="664">
      <c r="A664" s="102"/>
      <c r="B664" s="102"/>
      <c r="C664" s="102"/>
      <c r="D664" s="51"/>
      <c r="E664" s="102"/>
      <c r="F664" s="102"/>
      <c r="G664" s="103"/>
      <c r="H664" s="103" t="str">
        <f t="shared" si="2"/>
        <v/>
      </c>
      <c r="I664" s="103"/>
      <c r="M664" s="103"/>
      <c r="N664" s="113"/>
      <c r="O664" s="107"/>
      <c r="P664" s="106" t="str">
        <f>IF(ISBLANK(N664), "", VLOOKUP(D664&amp;" "&amp;E664, 'Info Tipo de Cambio y REM'!$A$24:$B$35, 2, FALSE))
</f>
        <v/>
      </c>
      <c r="Q664" s="107" t="str">
        <f t="shared" si="3"/>
        <v/>
      </c>
    </row>
    <row r="665">
      <c r="A665" s="102"/>
      <c r="B665" s="102"/>
      <c r="C665" s="102"/>
      <c r="D665" s="51"/>
      <c r="E665" s="102"/>
      <c r="F665" s="102"/>
      <c r="G665" s="103"/>
      <c r="H665" s="103" t="str">
        <f t="shared" si="2"/>
        <v/>
      </c>
      <c r="I665" s="103"/>
      <c r="M665" s="103"/>
      <c r="N665" s="113"/>
      <c r="O665" s="107"/>
      <c r="P665" s="106" t="str">
        <f>IF(ISBLANK(N665), "", VLOOKUP(D665&amp;" "&amp;E665, 'Info Tipo de Cambio y REM'!$A$24:$B$35, 2, FALSE))
</f>
        <v/>
      </c>
      <c r="Q665" s="107" t="str">
        <f t="shared" si="3"/>
        <v/>
      </c>
    </row>
    <row r="666">
      <c r="A666" s="102"/>
      <c r="B666" s="102"/>
      <c r="C666" s="102"/>
      <c r="D666" s="51"/>
      <c r="E666" s="102"/>
      <c r="F666" s="102"/>
      <c r="G666" s="103"/>
      <c r="H666" s="103" t="str">
        <f t="shared" si="2"/>
        <v/>
      </c>
      <c r="I666" s="103"/>
      <c r="M666" s="103"/>
      <c r="N666" s="113"/>
      <c r="O666" s="107"/>
      <c r="P666" s="106" t="str">
        <f>IF(ISBLANK(N666), "", VLOOKUP(D666&amp;" "&amp;E666, 'Info Tipo de Cambio y REM'!$A$24:$B$35, 2, FALSE))
</f>
        <v/>
      </c>
      <c r="Q666" s="107" t="str">
        <f t="shared" si="3"/>
        <v/>
      </c>
    </row>
    <row r="667">
      <c r="A667" s="102"/>
      <c r="B667" s="102"/>
      <c r="C667" s="102"/>
      <c r="D667" s="51"/>
      <c r="E667" s="102"/>
      <c r="F667" s="102"/>
      <c r="G667" s="103"/>
      <c r="H667" s="103" t="str">
        <f t="shared" si="2"/>
        <v/>
      </c>
      <c r="I667" s="103"/>
      <c r="M667" s="103"/>
      <c r="N667" s="113"/>
      <c r="O667" s="107"/>
      <c r="P667" s="106" t="str">
        <f>IF(ISBLANK(N667), "", VLOOKUP(D667&amp;" "&amp;E667, 'Info Tipo de Cambio y REM'!$A$24:$B$35, 2, FALSE))
</f>
        <v/>
      </c>
      <c r="Q667" s="107" t="str">
        <f t="shared" si="3"/>
        <v/>
      </c>
    </row>
    <row r="668">
      <c r="A668" s="102"/>
      <c r="B668" s="102"/>
      <c r="C668" s="102"/>
      <c r="D668" s="51"/>
      <c r="E668" s="102"/>
      <c r="F668" s="102"/>
      <c r="G668" s="103"/>
      <c r="H668" s="103" t="str">
        <f t="shared" si="2"/>
        <v/>
      </c>
      <c r="I668" s="103"/>
      <c r="M668" s="103"/>
      <c r="N668" s="113"/>
      <c r="O668" s="107"/>
      <c r="P668" s="106" t="str">
        <f>IF(ISBLANK(N668), "", VLOOKUP(D668&amp;" "&amp;E668, 'Info Tipo de Cambio y REM'!$A$24:$B$35, 2, FALSE))
</f>
        <v/>
      </c>
      <c r="Q668" s="107" t="str">
        <f t="shared" si="3"/>
        <v/>
      </c>
    </row>
    <row r="669">
      <c r="A669" s="102"/>
      <c r="B669" s="102"/>
      <c r="C669" s="102"/>
      <c r="D669" s="51"/>
      <c r="E669" s="102"/>
      <c r="F669" s="102"/>
      <c r="G669" s="103"/>
      <c r="H669" s="103" t="str">
        <f t="shared" si="2"/>
        <v/>
      </c>
      <c r="I669" s="103"/>
      <c r="M669" s="103"/>
      <c r="N669" s="113"/>
      <c r="O669" s="107"/>
      <c r="P669" s="106" t="str">
        <f>IF(ISBLANK(N669), "", VLOOKUP(D669&amp;" "&amp;E669, 'Info Tipo de Cambio y REM'!$A$24:$B$35, 2, FALSE))
</f>
        <v/>
      </c>
      <c r="Q669" s="107" t="str">
        <f t="shared" si="3"/>
        <v/>
      </c>
    </row>
    <row r="670">
      <c r="A670" s="102"/>
      <c r="B670" s="102"/>
      <c r="C670" s="102"/>
      <c r="D670" s="51"/>
      <c r="E670" s="102"/>
      <c r="F670" s="102"/>
      <c r="G670" s="103"/>
      <c r="H670" s="103" t="str">
        <f t="shared" si="2"/>
        <v/>
      </c>
      <c r="I670" s="103"/>
      <c r="M670" s="103"/>
      <c r="N670" s="113"/>
      <c r="O670" s="107"/>
      <c r="P670" s="106" t="str">
        <f>IF(ISBLANK(N670), "", VLOOKUP(D670&amp;" "&amp;E670, 'Info Tipo de Cambio y REM'!$A$24:$B$35, 2, FALSE))
</f>
        <v/>
      </c>
      <c r="Q670" s="107" t="str">
        <f t="shared" si="3"/>
        <v/>
      </c>
    </row>
    <row r="671">
      <c r="A671" s="102"/>
      <c r="B671" s="102"/>
      <c r="C671" s="102"/>
      <c r="D671" s="51"/>
      <c r="E671" s="102"/>
      <c r="F671" s="102"/>
      <c r="G671" s="103"/>
      <c r="H671" s="103" t="str">
        <f t="shared" si="2"/>
        <v/>
      </c>
      <c r="I671" s="103"/>
      <c r="M671" s="103"/>
      <c r="N671" s="113"/>
      <c r="O671" s="107"/>
      <c r="P671" s="106" t="str">
        <f>IF(ISBLANK(N671), "", VLOOKUP(D671&amp;" "&amp;E671, 'Info Tipo de Cambio y REM'!$A$24:$B$35, 2, FALSE))
</f>
        <v/>
      </c>
      <c r="Q671" s="107" t="str">
        <f t="shared" si="3"/>
        <v/>
      </c>
    </row>
    <row r="672">
      <c r="A672" s="102"/>
      <c r="B672" s="102"/>
      <c r="C672" s="102"/>
      <c r="D672" s="51"/>
      <c r="E672" s="102"/>
      <c r="F672" s="102"/>
      <c r="G672" s="103"/>
      <c r="H672" s="103" t="str">
        <f t="shared" si="2"/>
        <v/>
      </c>
      <c r="I672" s="103"/>
      <c r="M672" s="103"/>
      <c r="N672" s="113"/>
      <c r="O672" s="107"/>
      <c r="P672" s="106" t="str">
        <f>IF(ISBLANK(N672), "", VLOOKUP(D672&amp;" "&amp;E672, 'Info Tipo de Cambio y REM'!$A$24:$B$35, 2, FALSE))
</f>
        <v/>
      </c>
      <c r="Q672" s="107" t="str">
        <f t="shared" si="3"/>
        <v/>
      </c>
    </row>
    <row r="673">
      <c r="A673" s="102"/>
      <c r="B673" s="102"/>
      <c r="C673" s="102"/>
      <c r="D673" s="51"/>
      <c r="E673" s="102"/>
      <c r="F673" s="102"/>
      <c r="G673" s="103"/>
      <c r="H673" s="103" t="str">
        <f t="shared" si="2"/>
        <v/>
      </c>
      <c r="I673" s="103"/>
      <c r="M673" s="103"/>
      <c r="N673" s="113"/>
      <c r="O673" s="107"/>
      <c r="P673" s="106" t="str">
        <f>IF(ISBLANK(N673), "", VLOOKUP(D673&amp;" "&amp;E673, 'Info Tipo de Cambio y REM'!$A$24:$B$35, 2, FALSE))
</f>
        <v/>
      </c>
      <c r="Q673" s="107" t="str">
        <f t="shared" si="3"/>
        <v/>
      </c>
    </row>
    <row r="674">
      <c r="A674" s="102"/>
      <c r="B674" s="102"/>
      <c r="C674" s="102"/>
      <c r="D674" s="51"/>
      <c r="E674" s="102"/>
      <c r="F674" s="102"/>
      <c r="G674" s="103"/>
      <c r="H674" s="103" t="str">
        <f t="shared" si="2"/>
        <v/>
      </c>
      <c r="I674" s="103"/>
      <c r="M674" s="103"/>
      <c r="N674" s="113"/>
      <c r="O674" s="107"/>
      <c r="P674" s="106" t="str">
        <f>IF(ISBLANK(N674), "", VLOOKUP(D674&amp;" "&amp;E674, 'Info Tipo de Cambio y REM'!$A$24:$B$35, 2, FALSE))
</f>
        <v/>
      </c>
      <c r="Q674" s="107" t="str">
        <f t="shared" si="3"/>
        <v/>
      </c>
    </row>
    <row r="675">
      <c r="A675" s="102"/>
      <c r="B675" s="102"/>
      <c r="C675" s="102"/>
      <c r="D675" s="51"/>
      <c r="E675" s="102"/>
      <c r="F675" s="102"/>
      <c r="G675" s="103"/>
      <c r="H675" s="103" t="str">
        <f t="shared" si="2"/>
        <v/>
      </c>
      <c r="I675" s="103"/>
      <c r="M675" s="103"/>
      <c r="N675" s="113"/>
      <c r="O675" s="107"/>
      <c r="P675" s="106" t="str">
        <f>IF(ISBLANK(N675), "", VLOOKUP(D675&amp;" "&amp;E675, 'Info Tipo de Cambio y REM'!$A$24:$B$35, 2, FALSE))
</f>
        <v/>
      </c>
      <c r="Q675" s="107" t="str">
        <f t="shared" si="3"/>
        <v/>
      </c>
    </row>
    <row r="676">
      <c r="A676" s="102"/>
      <c r="B676" s="102"/>
      <c r="C676" s="102"/>
      <c r="D676" s="51"/>
      <c r="E676" s="102"/>
      <c r="F676" s="102"/>
      <c r="G676" s="103"/>
      <c r="H676" s="103" t="str">
        <f t="shared" si="2"/>
        <v/>
      </c>
      <c r="I676" s="103"/>
      <c r="M676" s="103"/>
      <c r="N676" s="113"/>
      <c r="O676" s="107"/>
      <c r="P676" s="106" t="str">
        <f>IF(ISBLANK(N676), "", VLOOKUP(D676&amp;" "&amp;E676, 'Info Tipo de Cambio y REM'!$A$24:$B$35, 2, FALSE))
</f>
        <v/>
      </c>
      <c r="Q676" s="107" t="str">
        <f t="shared" si="3"/>
        <v/>
      </c>
    </row>
    <row r="677">
      <c r="A677" s="102"/>
      <c r="B677" s="102"/>
      <c r="C677" s="102"/>
      <c r="D677" s="51"/>
      <c r="E677" s="102"/>
      <c r="F677" s="102"/>
      <c r="G677" s="103"/>
      <c r="H677" s="103" t="str">
        <f t="shared" si="2"/>
        <v/>
      </c>
      <c r="I677" s="103"/>
      <c r="M677" s="103"/>
      <c r="N677" s="113"/>
      <c r="O677" s="107"/>
      <c r="P677" s="106" t="str">
        <f>IF(ISBLANK(N677), "", VLOOKUP(D677&amp;" "&amp;E677, 'Info Tipo de Cambio y REM'!$A$24:$B$35, 2, FALSE))
</f>
        <v/>
      </c>
      <c r="Q677" s="107" t="str">
        <f t="shared" si="3"/>
        <v/>
      </c>
    </row>
    <row r="678">
      <c r="A678" s="102"/>
      <c r="B678" s="102"/>
      <c r="C678" s="102"/>
      <c r="D678" s="51"/>
      <c r="E678" s="102"/>
      <c r="F678" s="102"/>
      <c r="G678" s="103"/>
      <c r="H678" s="103" t="str">
        <f t="shared" si="2"/>
        <v/>
      </c>
      <c r="I678" s="103"/>
      <c r="M678" s="103"/>
      <c r="N678" s="113"/>
      <c r="O678" s="107"/>
      <c r="P678" s="106" t="str">
        <f>IF(ISBLANK(N678), "", VLOOKUP(D678&amp;" "&amp;E678, 'Info Tipo de Cambio y REM'!$A$24:$B$35, 2, FALSE))
</f>
        <v/>
      </c>
      <c r="Q678" s="107" t="str">
        <f t="shared" si="3"/>
        <v/>
      </c>
    </row>
    <row r="679">
      <c r="A679" s="102"/>
      <c r="B679" s="102"/>
      <c r="C679" s="102"/>
      <c r="D679" s="51"/>
      <c r="E679" s="102"/>
      <c r="F679" s="102"/>
      <c r="G679" s="103"/>
      <c r="H679" s="103" t="str">
        <f t="shared" si="2"/>
        <v/>
      </c>
      <c r="I679" s="103"/>
      <c r="M679" s="103"/>
      <c r="N679" s="113"/>
      <c r="O679" s="107"/>
      <c r="P679" s="106" t="str">
        <f>IF(ISBLANK(N679), "", VLOOKUP(D679&amp;" "&amp;E679, 'Info Tipo de Cambio y REM'!$A$24:$B$35, 2, FALSE))
</f>
        <v/>
      </c>
      <c r="Q679" s="107" t="str">
        <f t="shared" si="3"/>
        <v/>
      </c>
    </row>
    <row r="680">
      <c r="A680" s="102"/>
      <c r="B680" s="102"/>
      <c r="C680" s="102"/>
      <c r="D680" s="51"/>
      <c r="E680" s="102"/>
      <c r="F680" s="102"/>
      <c r="G680" s="103"/>
      <c r="H680" s="103" t="str">
        <f t="shared" si="2"/>
        <v/>
      </c>
      <c r="I680" s="103"/>
      <c r="M680" s="103"/>
      <c r="N680" s="113"/>
      <c r="O680" s="107"/>
      <c r="P680" s="106" t="str">
        <f>IF(ISBLANK(N680), "", VLOOKUP(D680&amp;" "&amp;E680, 'Info Tipo de Cambio y REM'!$A$24:$B$35, 2, FALSE))
</f>
        <v/>
      </c>
      <c r="Q680" s="107" t="str">
        <f t="shared" si="3"/>
        <v/>
      </c>
    </row>
    <row r="681">
      <c r="A681" s="102"/>
      <c r="B681" s="102"/>
      <c r="C681" s="102"/>
      <c r="D681" s="51"/>
      <c r="E681" s="102"/>
      <c r="F681" s="102"/>
      <c r="G681" s="103"/>
      <c r="H681" s="103" t="str">
        <f t="shared" si="2"/>
        <v/>
      </c>
      <c r="I681" s="103"/>
      <c r="M681" s="103"/>
      <c r="N681" s="113"/>
      <c r="O681" s="107"/>
      <c r="P681" s="106" t="str">
        <f>IF(ISBLANK(N681), "", VLOOKUP(D681&amp;" "&amp;E681, 'Info Tipo de Cambio y REM'!$A$24:$B$35, 2, FALSE))
</f>
        <v/>
      </c>
      <c r="Q681" s="107" t="str">
        <f t="shared" si="3"/>
        <v/>
      </c>
    </row>
    <row r="682">
      <c r="A682" s="102"/>
      <c r="B682" s="102"/>
      <c r="C682" s="102"/>
      <c r="D682" s="51"/>
      <c r="E682" s="102"/>
      <c r="F682" s="102"/>
      <c r="G682" s="103"/>
      <c r="H682" s="103" t="str">
        <f t="shared" si="2"/>
        <v/>
      </c>
      <c r="I682" s="103"/>
      <c r="M682" s="103"/>
      <c r="N682" s="113"/>
      <c r="O682" s="107"/>
      <c r="P682" s="106" t="str">
        <f>IF(ISBLANK(N682), "", VLOOKUP(D682&amp;" "&amp;E682, 'Info Tipo de Cambio y REM'!$A$24:$B$35, 2, FALSE))
</f>
        <v/>
      </c>
      <c r="Q682" s="107" t="str">
        <f t="shared" si="3"/>
        <v/>
      </c>
    </row>
    <row r="683">
      <c r="A683" s="102"/>
      <c r="B683" s="102"/>
      <c r="C683" s="102"/>
      <c r="D683" s="51"/>
      <c r="E683" s="102"/>
      <c r="F683" s="102"/>
      <c r="G683" s="103"/>
      <c r="H683" s="103" t="str">
        <f t="shared" si="2"/>
        <v/>
      </c>
      <c r="I683" s="103"/>
      <c r="M683" s="103"/>
      <c r="N683" s="113"/>
      <c r="O683" s="107"/>
      <c r="P683" s="106" t="str">
        <f>IF(ISBLANK(N683), "", VLOOKUP(D683&amp;" "&amp;E683, 'Info Tipo de Cambio y REM'!$A$24:$B$35, 2, FALSE))
</f>
        <v/>
      </c>
      <c r="Q683" s="107" t="str">
        <f t="shared" si="3"/>
        <v/>
      </c>
    </row>
    <row r="684">
      <c r="A684" s="102"/>
      <c r="B684" s="102"/>
      <c r="C684" s="102"/>
      <c r="D684" s="51"/>
      <c r="E684" s="102"/>
      <c r="F684" s="102"/>
      <c r="G684" s="103"/>
      <c r="H684" s="103" t="str">
        <f t="shared" si="2"/>
        <v/>
      </c>
      <c r="I684" s="103"/>
      <c r="M684" s="103"/>
      <c r="N684" s="113"/>
      <c r="O684" s="107"/>
      <c r="P684" s="106" t="str">
        <f>IF(ISBLANK(N684), "", VLOOKUP(D684&amp;" "&amp;E684, 'Info Tipo de Cambio y REM'!$A$24:$B$35, 2, FALSE))
</f>
        <v/>
      </c>
      <c r="Q684" s="107" t="str">
        <f t="shared" si="3"/>
        <v/>
      </c>
    </row>
    <row r="685">
      <c r="A685" s="102"/>
      <c r="B685" s="102"/>
      <c r="C685" s="102"/>
      <c r="D685" s="51"/>
      <c r="E685" s="102"/>
      <c r="F685" s="102"/>
      <c r="G685" s="103"/>
      <c r="H685" s="103" t="str">
        <f t="shared" si="2"/>
        <v/>
      </c>
      <c r="I685" s="103"/>
      <c r="M685" s="103"/>
      <c r="N685" s="113"/>
      <c r="O685" s="107"/>
      <c r="P685" s="106" t="str">
        <f>IF(ISBLANK(N685), "", VLOOKUP(D685&amp;" "&amp;E685, 'Info Tipo de Cambio y REM'!$A$24:$B$35, 2, FALSE))
</f>
        <v/>
      </c>
      <c r="Q685" s="107" t="str">
        <f t="shared" si="3"/>
        <v/>
      </c>
    </row>
    <row r="686">
      <c r="A686" s="102"/>
      <c r="B686" s="102"/>
      <c r="C686" s="102"/>
      <c r="D686" s="51"/>
      <c r="E686" s="102"/>
      <c r="F686" s="102"/>
      <c r="G686" s="103"/>
      <c r="H686" s="103" t="str">
        <f t="shared" si="2"/>
        <v/>
      </c>
      <c r="I686" s="103"/>
      <c r="M686" s="103"/>
      <c r="N686" s="113"/>
      <c r="O686" s="107"/>
      <c r="P686" s="106" t="str">
        <f>IF(ISBLANK(N686), "", VLOOKUP(D686&amp;" "&amp;E686, 'Info Tipo de Cambio y REM'!$A$24:$B$35, 2, FALSE))
</f>
        <v/>
      </c>
      <c r="Q686" s="107" t="str">
        <f t="shared" si="3"/>
        <v/>
      </c>
    </row>
    <row r="687">
      <c r="A687" s="102"/>
      <c r="B687" s="102"/>
      <c r="C687" s="102"/>
      <c r="D687" s="51"/>
      <c r="E687" s="102"/>
      <c r="F687" s="102"/>
      <c r="G687" s="103"/>
      <c r="H687" s="103" t="str">
        <f t="shared" si="2"/>
        <v/>
      </c>
      <c r="I687" s="103"/>
      <c r="M687" s="103"/>
      <c r="N687" s="113"/>
      <c r="O687" s="107"/>
      <c r="P687" s="106" t="str">
        <f>IF(ISBLANK(N687), "", VLOOKUP(D687&amp;" "&amp;E687, 'Info Tipo de Cambio y REM'!$A$24:$B$35, 2, FALSE))
</f>
        <v/>
      </c>
      <c r="Q687" s="107" t="str">
        <f t="shared" si="3"/>
        <v/>
      </c>
    </row>
    <row r="688">
      <c r="A688" s="102"/>
      <c r="B688" s="102"/>
      <c r="C688" s="102"/>
      <c r="D688" s="51"/>
      <c r="E688" s="102"/>
      <c r="F688" s="102"/>
      <c r="G688" s="103"/>
      <c r="H688" s="103" t="str">
        <f t="shared" si="2"/>
        <v/>
      </c>
      <c r="I688" s="103"/>
      <c r="M688" s="103"/>
      <c r="N688" s="113"/>
      <c r="O688" s="107"/>
      <c r="P688" s="106" t="str">
        <f>IF(ISBLANK(N688), "", VLOOKUP(D688&amp;" "&amp;E688, 'Info Tipo de Cambio y REM'!$A$24:$B$35, 2, FALSE))
</f>
        <v/>
      </c>
      <c r="Q688" s="107" t="str">
        <f t="shared" si="3"/>
        <v/>
      </c>
    </row>
    <row r="689">
      <c r="A689" s="102"/>
      <c r="B689" s="102"/>
      <c r="C689" s="102"/>
      <c r="D689" s="51"/>
      <c r="E689" s="102"/>
      <c r="F689" s="102"/>
      <c r="G689" s="103"/>
      <c r="H689" s="103" t="str">
        <f t="shared" si="2"/>
        <v/>
      </c>
      <c r="I689" s="103"/>
      <c r="M689" s="103"/>
      <c r="N689" s="113"/>
      <c r="O689" s="107"/>
      <c r="P689" s="106" t="str">
        <f>IF(ISBLANK(N689), "", VLOOKUP(D689&amp;" "&amp;E689, 'Info Tipo de Cambio y REM'!$A$24:$B$35, 2, FALSE))
</f>
        <v/>
      </c>
      <c r="Q689" s="107" t="str">
        <f t="shared" si="3"/>
        <v/>
      </c>
    </row>
    <row r="690">
      <c r="A690" s="102"/>
      <c r="B690" s="102"/>
      <c r="C690" s="102"/>
      <c r="D690" s="51"/>
      <c r="E690" s="102"/>
      <c r="F690" s="102"/>
      <c r="G690" s="103"/>
      <c r="H690" s="103" t="str">
        <f t="shared" si="2"/>
        <v/>
      </c>
      <c r="I690" s="103"/>
      <c r="M690" s="103"/>
      <c r="N690" s="113"/>
      <c r="O690" s="107"/>
      <c r="P690" s="106" t="str">
        <f>IF(ISBLANK(N690), "", VLOOKUP(D690&amp;" "&amp;E690, 'Info Tipo de Cambio y REM'!$A$24:$B$35, 2, FALSE))
</f>
        <v/>
      </c>
      <c r="Q690" s="107" t="str">
        <f t="shared" si="3"/>
        <v/>
      </c>
    </row>
    <row r="691">
      <c r="A691" s="102"/>
      <c r="B691" s="102"/>
      <c r="C691" s="102"/>
      <c r="D691" s="51"/>
      <c r="E691" s="102"/>
      <c r="F691" s="102"/>
      <c r="G691" s="103"/>
      <c r="H691" s="103" t="str">
        <f t="shared" si="2"/>
        <v/>
      </c>
      <c r="I691" s="103"/>
      <c r="M691" s="103"/>
      <c r="N691" s="113"/>
      <c r="O691" s="107"/>
      <c r="P691" s="106" t="str">
        <f>IF(ISBLANK(N691), "", VLOOKUP(D691&amp;" "&amp;E691, 'Info Tipo de Cambio y REM'!$A$24:$B$35, 2, FALSE))
</f>
        <v/>
      </c>
      <c r="Q691" s="107" t="str">
        <f t="shared" si="3"/>
        <v/>
      </c>
    </row>
    <row r="692">
      <c r="A692" s="102"/>
      <c r="B692" s="102"/>
      <c r="C692" s="102"/>
      <c r="D692" s="51"/>
      <c r="E692" s="102"/>
      <c r="F692" s="102"/>
      <c r="G692" s="103"/>
      <c r="H692" s="103" t="str">
        <f t="shared" si="2"/>
        <v/>
      </c>
      <c r="I692" s="103"/>
      <c r="M692" s="103"/>
      <c r="N692" s="113"/>
      <c r="O692" s="107"/>
      <c r="P692" s="106" t="str">
        <f>IF(ISBLANK(N692), "", VLOOKUP(D692&amp;" "&amp;E692, 'Info Tipo de Cambio y REM'!$A$24:$B$35, 2, FALSE))
</f>
        <v/>
      </c>
      <c r="Q692" s="107" t="str">
        <f t="shared" si="3"/>
        <v/>
      </c>
    </row>
    <row r="693">
      <c r="A693" s="102"/>
      <c r="B693" s="102"/>
      <c r="C693" s="102"/>
      <c r="D693" s="51"/>
      <c r="E693" s="102"/>
      <c r="F693" s="102"/>
      <c r="G693" s="103"/>
      <c r="H693" s="103" t="str">
        <f t="shared" si="2"/>
        <v/>
      </c>
      <c r="I693" s="103"/>
      <c r="M693" s="103"/>
      <c r="N693" s="113"/>
      <c r="O693" s="107"/>
      <c r="P693" s="106" t="str">
        <f>IF(ISBLANK(N693), "", VLOOKUP(D693&amp;" "&amp;E693, 'Info Tipo de Cambio y REM'!$A$24:$B$35, 2, FALSE))
</f>
        <v/>
      </c>
      <c r="Q693" s="107" t="str">
        <f t="shared" si="3"/>
        <v/>
      </c>
    </row>
    <row r="694">
      <c r="A694" s="102"/>
      <c r="B694" s="102"/>
      <c r="C694" s="102"/>
      <c r="D694" s="51"/>
      <c r="E694" s="102"/>
      <c r="F694" s="102"/>
      <c r="G694" s="103"/>
      <c r="H694" s="103" t="str">
        <f t="shared" si="2"/>
        <v/>
      </c>
      <c r="I694" s="103"/>
      <c r="M694" s="103"/>
      <c r="N694" s="113"/>
      <c r="O694" s="107"/>
      <c r="P694" s="106" t="str">
        <f>IF(ISBLANK(N694), "", VLOOKUP(D694&amp;" "&amp;E694, 'Info Tipo de Cambio y REM'!$A$24:$B$35, 2, FALSE))
</f>
        <v/>
      </c>
      <c r="Q694" s="107" t="str">
        <f t="shared" si="3"/>
        <v/>
      </c>
    </row>
    <row r="695">
      <c r="A695" s="102"/>
      <c r="B695" s="102"/>
      <c r="C695" s="102"/>
      <c r="D695" s="51"/>
      <c r="E695" s="102"/>
      <c r="F695" s="102"/>
      <c r="G695" s="103"/>
      <c r="H695" s="103" t="str">
        <f t="shared" si="2"/>
        <v/>
      </c>
      <c r="I695" s="103"/>
      <c r="M695" s="103"/>
      <c r="N695" s="113"/>
      <c r="O695" s="107"/>
      <c r="P695" s="106" t="str">
        <f>IF(ISBLANK(N695), "", VLOOKUP(D695&amp;" "&amp;E695, 'Info Tipo de Cambio y REM'!$A$24:$B$35, 2, FALSE))
</f>
        <v/>
      </c>
      <c r="Q695" s="107" t="str">
        <f t="shared" si="3"/>
        <v/>
      </c>
    </row>
    <row r="696">
      <c r="A696" s="102"/>
      <c r="B696" s="102"/>
      <c r="C696" s="102"/>
      <c r="D696" s="51"/>
      <c r="E696" s="102"/>
      <c r="F696" s="102"/>
      <c r="G696" s="103"/>
      <c r="H696" s="103" t="str">
        <f t="shared" si="2"/>
        <v/>
      </c>
      <c r="I696" s="103"/>
      <c r="M696" s="103"/>
      <c r="N696" s="113"/>
      <c r="O696" s="107"/>
      <c r="P696" s="106" t="str">
        <f>IF(ISBLANK(N696), "", VLOOKUP(D696&amp;" "&amp;E696, 'Info Tipo de Cambio y REM'!$A$24:$B$35, 2, FALSE))
</f>
        <v/>
      </c>
      <c r="Q696" s="107" t="str">
        <f t="shared" si="3"/>
        <v/>
      </c>
    </row>
    <row r="697">
      <c r="A697" s="102"/>
      <c r="B697" s="102"/>
      <c r="C697" s="102"/>
      <c r="D697" s="51"/>
      <c r="E697" s="102"/>
      <c r="F697" s="102"/>
      <c r="G697" s="103"/>
      <c r="H697" s="103" t="str">
        <f t="shared" si="2"/>
        <v/>
      </c>
      <c r="I697" s="103"/>
      <c r="M697" s="103"/>
      <c r="N697" s="113"/>
      <c r="O697" s="107"/>
      <c r="P697" s="106" t="str">
        <f>IF(ISBLANK(N697), "", VLOOKUP(D697&amp;" "&amp;E697, 'Info Tipo de Cambio y REM'!$A$24:$B$35, 2, FALSE))
</f>
        <v/>
      </c>
      <c r="Q697" s="107" t="str">
        <f t="shared" si="3"/>
        <v/>
      </c>
    </row>
    <row r="698">
      <c r="A698" s="102"/>
      <c r="B698" s="102"/>
      <c r="C698" s="102"/>
      <c r="D698" s="51"/>
      <c r="E698" s="102"/>
      <c r="F698" s="102"/>
      <c r="G698" s="103"/>
      <c r="H698" s="103" t="str">
        <f t="shared" si="2"/>
        <v/>
      </c>
      <c r="I698" s="103"/>
      <c r="M698" s="103"/>
      <c r="N698" s="113"/>
      <c r="O698" s="107"/>
      <c r="P698" s="106" t="str">
        <f>IF(ISBLANK(N698), "", VLOOKUP(D698&amp;" "&amp;E698, 'Info Tipo de Cambio y REM'!$A$24:$B$35, 2, FALSE))
</f>
        <v/>
      </c>
      <c r="Q698" s="107" t="str">
        <f t="shared" si="3"/>
        <v/>
      </c>
    </row>
    <row r="699">
      <c r="A699" s="102"/>
      <c r="B699" s="102"/>
      <c r="C699" s="102"/>
      <c r="D699" s="51"/>
      <c r="E699" s="102"/>
      <c r="F699" s="102"/>
      <c r="G699" s="103"/>
      <c r="H699" s="103" t="str">
        <f t="shared" si="2"/>
        <v/>
      </c>
      <c r="I699" s="103"/>
      <c r="M699" s="103"/>
      <c r="N699" s="113"/>
      <c r="O699" s="107"/>
      <c r="P699" s="106" t="str">
        <f>IF(ISBLANK(N699), "", VLOOKUP(D699&amp;" "&amp;E699, 'Info Tipo de Cambio y REM'!$A$24:$B$35, 2, FALSE))
</f>
        <v/>
      </c>
      <c r="Q699" s="107" t="str">
        <f t="shared" si="3"/>
        <v/>
      </c>
    </row>
    <row r="700">
      <c r="A700" s="102"/>
      <c r="B700" s="102"/>
      <c r="C700" s="102"/>
      <c r="D700" s="51"/>
      <c r="E700" s="102"/>
      <c r="F700" s="102"/>
      <c r="G700" s="103"/>
      <c r="H700" s="103" t="str">
        <f t="shared" si="2"/>
        <v/>
      </c>
      <c r="I700" s="103"/>
      <c r="M700" s="103"/>
      <c r="N700" s="113"/>
      <c r="O700" s="107"/>
      <c r="P700" s="106" t="str">
        <f>IF(ISBLANK(N700), "", VLOOKUP(D700&amp;" "&amp;E700, 'Info Tipo de Cambio y REM'!$A$24:$B$35, 2, FALSE))
</f>
        <v/>
      </c>
      <c r="Q700" s="107" t="str">
        <f t="shared" si="3"/>
        <v/>
      </c>
    </row>
    <row r="701">
      <c r="A701" s="102"/>
      <c r="B701" s="102"/>
      <c r="C701" s="102"/>
      <c r="D701" s="51"/>
      <c r="E701" s="102"/>
      <c r="F701" s="102"/>
      <c r="G701" s="103"/>
      <c r="H701" s="103" t="str">
        <f t="shared" si="2"/>
        <v/>
      </c>
      <c r="I701" s="103"/>
      <c r="M701" s="103"/>
      <c r="N701" s="113"/>
      <c r="O701" s="107"/>
      <c r="P701" s="106" t="str">
        <f>IF(ISBLANK(N701), "", VLOOKUP(D701&amp;" "&amp;E701, 'Info Tipo de Cambio y REM'!$A$24:$B$35, 2, FALSE))
</f>
        <v/>
      </c>
      <c r="Q701" s="107" t="str">
        <f t="shared" si="3"/>
        <v/>
      </c>
    </row>
    <row r="702">
      <c r="A702" s="102"/>
      <c r="B702" s="102"/>
      <c r="C702" s="102"/>
      <c r="D702" s="51"/>
      <c r="E702" s="102"/>
      <c r="F702" s="102"/>
      <c r="G702" s="103"/>
      <c r="H702" s="103" t="str">
        <f t="shared" si="2"/>
        <v/>
      </c>
      <c r="I702" s="103"/>
      <c r="M702" s="103"/>
      <c r="N702" s="113"/>
      <c r="O702" s="107"/>
      <c r="P702" s="106" t="str">
        <f>IF(ISBLANK(N702), "", VLOOKUP(D702&amp;" "&amp;E702, 'Info Tipo de Cambio y REM'!$A$24:$B$35, 2, FALSE))
</f>
        <v/>
      </c>
      <c r="Q702" s="107" t="str">
        <f t="shared" si="3"/>
        <v/>
      </c>
    </row>
    <row r="703">
      <c r="A703" s="102"/>
      <c r="B703" s="102"/>
      <c r="C703" s="102"/>
      <c r="D703" s="51"/>
      <c r="E703" s="102"/>
      <c r="F703" s="102"/>
      <c r="G703" s="103"/>
      <c r="H703" s="103" t="str">
        <f t="shared" si="2"/>
        <v/>
      </c>
      <c r="I703" s="103"/>
      <c r="M703" s="103"/>
      <c r="N703" s="113"/>
      <c r="O703" s="107"/>
      <c r="P703" s="106" t="str">
        <f>IF(ISBLANK(N703), "", VLOOKUP(D703&amp;" "&amp;E703, 'Info Tipo de Cambio y REM'!$A$24:$B$35, 2, FALSE))
</f>
        <v/>
      </c>
      <c r="Q703" s="107" t="str">
        <f t="shared" si="3"/>
        <v/>
      </c>
    </row>
    <row r="704">
      <c r="A704" s="102"/>
      <c r="B704" s="102"/>
      <c r="C704" s="102"/>
      <c r="D704" s="51"/>
      <c r="E704" s="102"/>
      <c r="F704" s="102"/>
      <c r="G704" s="103"/>
      <c r="H704" s="103" t="str">
        <f t="shared" si="2"/>
        <v/>
      </c>
      <c r="I704" s="103"/>
      <c r="M704" s="103"/>
      <c r="N704" s="113"/>
      <c r="O704" s="107"/>
      <c r="P704" s="106" t="str">
        <f>IF(ISBLANK(N704), "", VLOOKUP(D704&amp;" "&amp;E704, 'Info Tipo de Cambio y REM'!$A$24:$B$35, 2, FALSE))
</f>
        <v/>
      </c>
      <c r="Q704" s="107" t="str">
        <f t="shared" si="3"/>
        <v/>
      </c>
    </row>
    <row r="705">
      <c r="A705" s="102"/>
      <c r="B705" s="102"/>
      <c r="C705" s="102"/>
      <c r="D705" s="51"/>
      <c r="E705" s="102"/>
      <c r="F705" s="102"/>
      <c r="G705" s="103"/>
      <c r="H705" s="103" t="str">
        <f t="shared" si="2"/>
        <v/>
      </c>
      <c r="I705" s="103"/>
      <c r="M705" s="103"/>
      <c r="N705" s="113"/>
      <c r="O705" s="107"/>
      <c r="P705" s="106" t="str">
        <f>IF(ISBLANK(N705), "", VLOOKUP(D705&amp;" "&amp;E705, 'Info Tipo de Cambio y REM'!$A$24:$B$35, 2, FALSE))
</f>
        <v/>
      </c>
      <c r="Q705" s="107" t="str">
        <f t="shared" si="3"/>
        <v/>
      </c>
    </row>
    <row r="706">
      <c r="A706" s="102"/>
      <c r="B706" s="102"/>
      <c r="C706" s="102"/>
      <c r="D706" s="51"/>
      <c r="E706" s="102"/>
      <c r="F706" s="102"/>
      <c r="G706" s="103"/>
      <c r="H706" s="103" t="str">
        <f t="shared" si="2"/>
        <v/>
      </c>
      <c r="I706" s="103"/>
      <c r="M706" s="103"/>
      <c r="N706" s="113"/>
      <c r="O706" s="107"/>
      <c r="P706" s="106" t="str">
        <f>IF(ISBLANK(N706), "", VLOOKUP(D706&amp;" "&amp;E706, 'Info Tipo de Cambio y REM'!$A$24:$B$35, 2, FALSE))
</f>
        <v/>
      </c>
      <c r="Q706" s="107" t="str">
        <f t="shared" si="3"/>
        <v/>
      </c>
    </row>
    <row r="707">
      <c r="A707" s="102"/>
      <c r="B707" s="102"/>
      <c r="C707" s="102"/>
      <c r="D707" s="51"/>
      <c r="E707" s="102"/>
      <c r="F707" s="102"/>
      <c r="G707" s="103"/>
      <c r="H707" s="103" t="str">
        <f t="shared" si="2"/>
        <v/>
      </c>
      <c r="I707" s="103"/>
      <c r="M707" s="103"/>
      <c r="N707" s="113"/>
      <c r="O707" s="107"/>
      <c r="P707" s="106" t="str">
        <f>IF(ISBLANK(N707), "", VLOOKUP(D707&amp;" "&amp;E707, 'Info Tipo de Cambio y REM'!$A$24:$B$35, 2, FALSE))
</f>
        <v/>
      </c>
      <c r="Q707" s="107" t="str">
        <f t="shared" si="3"/>
        <v/>
      </c>
    </row>
    <row r="708">
      <c r="A708" s="102"/>
      <c r="B708" s="102"/>
      <c r="C708" s="102"/>
      <c r="D708" s="51"/>
      <c r="E708" s="102"/>
      <c r="F708" s="102"/>
      <c r="G708" s="103"/>
      <c r="H708" s="103" t="str">
        <f t="shared" si="2"/>
        <v/>
      </c>
      <c r="I708" s="103"/>
      <c r="M708" s="103"/>
      <c r="N708" s="113"/>
      <c r="O708" s="107"/>
      <c r="P708" s="106" t="str">
        <f>IF(ISBLANK(N708), "", VLOOKUP(D708&amp;" "&amp;E708, 'Info Tipo de Cambio y REM'!$A$24:$B$35, 2, FALSE))
</f>
        <v/>
      </c>
      <c r="Q708" s="107" t="str">
        <f t="shared" si="3"/>
        <v/>
      </c>
    </row>
    <row r="709">
      <c r="A709" s="102"/>
      <c r="B709" s="102"/>
      <c r="C709" s="102"/>
      <c r="D709" s="51"/>
      <c r="E709" s="102"/>
      <c r="F709" s="102"/>
      <c r="G709" s="103"/>
      <c r="H709" s="103" t="str">
        <f t="shared" si="2"/>
        <v/>
      </c>
      <c r="I709" s="103"/>
      <c r="M709" s="103"/>
      <c r="N709" s="113"/>
      <c r="O709" s="107"/>
      <c r="P709" s="106" t="str">
        <f>IF(ISBLANK(N709), "", VLOOKUP(D709&amp;" "&amp;E709, 'Info Tipo de Cambio y REM'!$A$24:$B$35, 2, FALSE))
</f>
        <v/>
      </c>
      <c r="Q709" s="107" t="str">
        <f t="shared" si="3"/>
        <v/>
      </c>
    </row>
    <row r="710">
      <c r="A710" s="102"/>
      <c r="B710" s="102"/>
      <c r="C710" s="102"/>
      <c r="D710" s="51"/>
      <c r="E710" s="102"/>
      <c r="F710" s="102"/>
      <c r="G710" s="103"/>
      <c r="H710" s="103" t="str">
        <f t="shared" si="2"/>
        <v/>
      </c>
      <c r="I710" s="103"/>
      <c r="M710" s="103"/>
      <c r="N710" s="113"/>
      <c r="O710" s="107"/>
      <c r="P710" s="106" t="str">
        <f>IF(ISBLANK(N710), "", VLOOKUP(D710&amp;" "&amp;E710, 'Info Tipo de Cambio y REM'!$A$24:$B$35, 2, FALSE))
</f>
        <v/>
      </c>
      <c r="Q710" s="107" t="str">
        <f t="shared" si="3"/>
        <v/>
      </c>
    </row>
    <row r="711">
      <c r="A711" s="102"/>
      <c r="B711" s="102"/>
      <c r="C711" s="102"/>
      <c r="D711" s="51"/>
      <c r="E711" s="102"/>
      <c r="F711" s="102"/>
      <c r="G711" s="103"/>
      <c r="H711" s="103" t="str">
        <f t="shared" si="2"/>
        <v/>
      </c>
      <c r="I711" s="103"/>
      <c r="M711" s="103"/>
      <c r="N711" s="113"/>
      <c r="O711" s="107"/>
      <c r="P711" s="106" t="str">
        <f>IF(ISBLANK(N711), "", VLOOKUP(D711&amp;" "&amp;E711, 'Info Tipo de Cambio y REM'!$A$24:$B$35, 2, FALSE))
</f>
        <v/>
      </c>
      <c r="Q711" s="107" t="str">
        <f t="shared" si="3"/>
        <v/>
      </c>
    </row>
    <row r="712">
      <c r="A712" s="102"/>
      <c r="B712" s="102"/>
      <c r="C712" s="102"/>
      <c r="D712" s="51"/>
      <c r="E712" s="102"/>
      <c r="F712" s="102"/>
      <c r="G712" s="103"/>
      <c r="H712" s="103" t="str">
        <f t="shared" si="2"/>
        <v/>
      </c>
      <c r="I712" s="103"/>
      <c r="M712" s="103"/>
      <c r="N712" s="113"/>
      <c r="O712" s="107"/>
      <c r="P712" s="106" t="str">
        <f>IF(ISBLANK(N712), "", VLOOKUP(D712&amp;" "&amp;E712, 'Info Tipo de Cambio y REM'!$A$24:$B$35, 2, FALSE))
</f>
        <v/>
      </c>
      <c r="Q712" s="107" t="str">
        <f t="shared" si="3"/>
        <v/>
      </c>
    </row>
    <row r="713">
      <c r="A713" s="102"/>
      <c r="B713" s="102"/>
      <c r="C713" s="102"/>
      <c r="D713" s="51"/>
      <c r="E713" s="102"/>
      <c r="F713" s="102"/>
      <c r="G713" s="103"/>
      <c r="H713" s="103" t="str">
        <f t="shared" si="2"/>
        <v/>
      </c>
      <c r="I713" s="103"/>
      <c r="M713" s="103"/>
      <c r="N713" s="113"/>
      <c r="O713" s="107"/>
      <c r="P713" s="106" t="str">
        <f>IF(ISBLANK(N713), "", VLOOKUP(D713&amp;" "&amp;E713, 'Info Tipo de Cambio y REM'!$A$24:$B$35, 2, FALSE))
</f>
        <v/>
      </c>
      <c r="Q713" s="107" t="str">
        <f t="shared" si="3"/>
        <v/>
      </c>
    </row>
    <row r="714">
      <c r="A714" s="102"/>
      <c r="B714" s="102"/>
      <c r="C714" s="102"/>
      <c r="D714" s="51"/>
      <c r="E714" s="102"/>
      <c r="F714" s="102"/>
      <c r="G714" s="103"/>
      <c r="H714" s="103" t="str">
        <f t="shared" si="2"/>
        <v/>
      </c>
      <c r="I714" s="103"/>
      <c r="M714" s="103"/>
      <c r="N714" s="113"/>
      <c r="O714" s="107"/>
      <c r="P714" s="106" t="str">
        <f>IF(ISBLANK(N714), "", VLOOKUP(D714&amp;" "&amp;E714, 'Info Tipo de Cambio y REM'!$A$24:$B$35, 2, FALSE))
</f>
        <v/>
      </c>
      <c r="Q714" s="107" t="str">
        <f t="shared" si="3"/>
        <v/>
      </c>
    </row>
    <row r="715">
      <c r="A715" s="102"/>
      <c r="B715" s="102"/>
      <c r="C715" s="102"/>
      <c r="D715" s="51"/>
      <c r="E715" s="102"/>
      <c r="F715" s="102"/>
      <c r="G715" s="103"/>
      <c r="H715" s="103" t="str">
        <f t="shared" si="2"/>
        <v/>
      </c>
      <c r="I715" s="103"/>
      <c r="M715" s="103"/>
      <c r="N715" s="113"/>
      <c r="O715" s="107"/>
      <c r="P715" s="106" t="str">
        <f>IF(ISBLANK(N715), "", VLOOKUP(D715&amp;" "&amp;E715, 'Info Tipo de Cambio y REM'!$A$24:$B$35, 2, FALSE))
</f>
        <v/>
      </c>
      <c r="Q715" s="107" t="str">
        <f t="shared" si="3"/>
        <v/>
      </c>
    </row>
    <row r="716">
      <c r="A716" s="102"/>
      <c r="B716" s="102"/>
      <c r="C716" s="102"/>
      <c r="D716" s="51"/>
      <c r="E716" s="102"/>
      <c r="F716" s="102"/>
      <c r="G716" s="103"/>
      <c r="H716" s="103" t="str">
        <f t="shared" si="2"/>
        <v/>
      </c>
      <c r="I716" s="103"/>
      <c r="M716" s="103"/>
      <c r="N716" s="113"/>
      <c r="O716" s="107"/>
      <c r="P716" s="106" t="str">
        <f>IF(ISBLANK(N716), "", VLOOKUP(D716&amp;" "&amp;E716, 'Info Tipo de Cambio y REM'!$A$24:$B$35, 2, FALSE))
</f>
        <v/>
      </c>
      <c r="Q716" s="107" t="str">
        <f t="shared" si="3"/>
        <v/>
      </c>
    </row>
    <row r="717">
      <c r="A717" s="102"/>
      <c r="B717" s="102"/>
      <c r="C717" s="102"/>
      <c r="D717" s="51"/>
      <c r="E717" s="102"/>
      <c r="F717" s="102"/>
      <c r="G717" s="103"/>
      <c r="H717" s="103" t="str">
        <f t="shared" si="2"/>
        <v/>
      </c>
      <c r="I717" s="103"/>
      <c r="M717" s="103"/>
      <c r="N717" s="113"/>
      <c r="O717" s="107"/>
      <c r="P717" s="106" t="str">
        <f>IF(ISBLANK(N717), "", VLOOKUP(D717&amp;" "&amp;E717, 'Info Tipo de Cambio y REM'!$A$24:$B$35, 2, FALSE))
</f>
        <v/>
      </c>
      <c r="Q717" s="107" t="str">
        <f t="shared" si="3"/>
        <v/>
      </c>
    </row>
    <row r="718">
      <c r="A718" s="102"/>
      <c r="B718" s="102"/>
      <c r="C718" s="102"/>
      <c r="D718" s="51"/>
      <c r="E718" s="102"/>
      <c r="F718" s="102"/>
      <c r="G718" s="103"/>
      <c r="H718" s="103" t="str">
        <f t="shared" si="2"/>
        <v/>
      </c>
      <c r="I718" s="103"/>
      <c r="M718" s="103"/>
      <c r="N718" s="113"/>
      <c r="O718" s="107"/>
      <c r="P718" s="106" t="str">
        <f>IF(ISBLANK(N718), "", VLOOKUP(D718&amp;" "&amp;E718, 'Info Tipo de Cambio y REM'!$A$24:$B$35, 2, FALSE))
</f>
        <v/>
      </c>
      <c r="Q718" s="107" t="str">
        <f t="shared" si="3"/>
        <v/>
      </c>
    </row>
    <row r="719">
      <c r="A719" s="102"/>
      <c r="B719" s="102"/>
      <c r="C719" s="102"/>
      <c r="D719" s="51"/>
      <c r="E719" s="102"/>
      <c r="F719" s="102"/>
      <c r="G719" s="103"/>
      <c r="H719" s="103" t="str">
        <f t="shared" si="2"/>
        <v/>
      </c>
      <c r="I719" s="103"/>
      <c r="M719" s="103"/>
      <c r="N719" s="113"/>
      <c r="O719" s="107"/>
      <c r="P719" s="106" t="str">
        <f>IF(ISBLANK(N719), "", VLOOKUP(D719&amp;" "&amp;E719, 'Info Tipo de Cambio y REM'!$A$24:$B$35, 2, FALSE))
</f>
        <v/>
      </c>
      <c r="Q719" s="107" t="str">
        <f t="shared" si="3"/>
        <v/>
      </c>
    </row>
    <row r="720">
      <c r="A720" s="102"/>
      <c r="B720" s="102"/>
      <c r="C720" s="102"/>
      <c r="D720" s="51"/>
      <c r="E720" s="102"/>
      <c r="F720" s="102"/>
      <c r="G720" s="103"/>
      <c r="H720" s="103" t="str">
        <f t="shared" si="2"/>
        <v/>
      </c>
      <c r="I720" s="103"/>
      <c r="M720" s="103"/>
      <c r="N720" s="113"/>
      <c r="O720" s="107"/>
      <c r="P720" s="106" t="str">
        <f>IF(ISBLANK(N720), "", VLOOKUP(D720&amp;" "&amp;E720, 'Info Tipo de Cambio y REM'!$A$24:$B$35, 2, FALSE))
</f>
        <v/>
      </c>
      <c r="Q720" s="107" t="str">
        <f t="shared" si="3"/>
        <v/>
      </c>
    </row>
    <row r="721">
      <c r="A721" s="102"/>
      <c r="B721" s="102"/>
      <c r="C721" s="102"/>
      <c r="D721" s="51"/>
      <c r="E721" s="102"/>
      <c r="F721" s="102"/>
      <c r="G721" s="103"/>
      <c r="H721" s="103" t="str">
        <f t="shared" si="2"/>
        <v/>
      </c>
      <c r="I721" s="103"/>
      <c r="M721" s="103"/>
      <c r="N721" s="113"/>
      <c r="O721" s="107"/>
      <c r="P721" s="106" t="str">
        <f>IF(ISBLANK(N721), "", VLOOKUP(D721&amp;" "&amp;E721, 'Info Tipo de Cambio y REM'!$A$24:$B$35, 2, FALSE))
</f>
        <v/>
      </c>
      <c r="Q721" s="107" t="str">
        <f t="shared" si="3"/>
        <v/>
      </c>
    </row>
    <row r="722">
      <c r="A722" s="102"/>
      <c r="B722" s="102"/>
      <c r="C722" s="102"/>
      <c r="D722" s="51"/>
      <c r="E722" s="102"/>
      <c r="F722" s="102"/>
      <c r="G722" s="103"/>
      <c r="H722" s="103" t="str">
        <f t="shared" si="2"/>
        <v/>
      </c>
      <c r="I722" s="103"/>
      <c r="M722" s="103"/>
      <c r="N722" s="113"/>
      <c r="O722" s="107"/>
      <c r="P722" s="106" t="str">
        <f>IF(ISBLANK(N722), "", VLOOKUP(D722&amp;" "&amp;E722, 'Info Tipo de Cambio y REM'!$A$24:$B$35, 2, FALSE))
</f>
        <v/>
      </c>
      <c r="Q722" s="107" t="str">
        <f t="shared" si="3"/>
        <v/>
      </c>
    </row>
    <row r="723">
      <c r="A723" s="102"/>
      <c r="B723" s="102"/>
      <c r="C723" s="102"/>
      <c r="D723" s="51"/>
      <c r="E723" s="102"/>
      <c r="F723" s="102"/>
      <c r="G723" s="103"/>
      <c r="H723" s="103" t="str">
        <f t="shared" si="2"/>
        <v/>
      </c>
      <c r="I723" s="103"/>
      <c r="M723" s="103"/>
      <c r="N723" s="113"/>
      <c r="O723" s="107"/>
      <c r="P723" s="106" t="str">
        <f>IF(ISBLANK(N723), "", VLOOKUP(D723&amp;" "&amp;E723, 'Info Tipo de Cambio y REM'!$A$24:$B$35, 2, FALSE))
</f>
        <v/>
      </c>
      <c r="Q723" s="107" t="str">
        <f t="shared" si="3"/>
        <v/>
      </c>
    </row>
    <row r="724">
      <c r="A724" s="102"/>
      <c r="B724" s="102"/>
      <c r="C724" s="102"/>
      <c r="D724" s="51"/>
      <c r="E724" s="102"/>
      <c r="F724" s="102"/>
      <c r="G724" s="103"/>
      <c r="H724" s="103" t="str">
        <f t="shared" si="2"/>
        <v/>
      </c>
      <c r="I724" s="103"/>
      <c r="M724" s="103"/>
      <c r="N724" s="113"/>
      <c r="O724" s="107"/>
      <c r="P724" s="106" t="str">
        <f>IF(ISBLANK(N724), "", VLOOKUP(D724&amp;" "&amp;E724, 'Info Tipo de Cambio y REM'!$A$24:$B$35, 2, FALSE))
</f>
        <v/>
      </c>
      <c r="Q724" s="107" t="str">
        <f t="shared" si="3"/>
        <v/>
      </c>
    </row>
    <row r="725">
      <c r="A725" s="102"/>
      <c r="B725" s="102"/>
      <c r="C725" s="102"/>
      <c r="D725" s="51"/>
      <c r="E725" s="102"/>
      <c r="F725" s="102"/>
      <c r="G725" s="103"/>
      <c r="H725" s="103" t="str">
        <f t="shared" si="2"/>
        <v/>
      </c>
      <c r="I725" s="103"/>
      <c r="M725" s="103"/>
      <c r="N725" s="113"/>
      <c r="O725" s="107"/>
      <c r="P725" s="106" t="str">
        <f>IF(ISBLANK(N725), "", VLOOKUP(D725&amp;" "&amp;E725, 'Info Tipo de Cambio y REM'!$A$24:$B$35, 2, FALSE))
</f>
        <v/>
      </c>
      <c r="Q725" s="107" t="str">
        <f t="shared" si="3"/>
        <v/>
      </c>
    </row>
    <row r="726">
      <c r="A726" s="102"/>
      <c r="B726" s="102"/>
      <c r="C726" s="102"/>
      <c r="D726" s="51"/>
      <c r="E726" s="102"/>
      <c r="F726" s="102"/>
      <c r="G726" s="103"/>
      <c r="H726" s="103" t="str">
        <f t="shared" si="2"/>
        <v/>
      </c>
      <c r="I726" s="103"/>
      <c r="M726" s="103"/>
      <c r="N726" s="113"/>
      <c r="O726" s="107"/>
      <c r="P726" s="106" t="str">
        <f>IF(ISBLANK(N726), "", VLOOKUP(D726&amp;" "&amp;E726, 'Info Tipo de Cambio y REM'!$A$24:$B$35, 2, FALSE))
</f>
        <v/>
      </c>
      <c r="Q726" s="107" t="str">
        <f t="shared" si="3"/>
        <v/>
      </c>
    </row>
    <row r="727">
      <c r="A727" s="102"/>
      <c r="B727" s="102"/>
      <c r="C727" s="102"/>
      <c r="D727" s="51"/>
      <c r="E727" s="102"/>
      <c r="F727" s="102"/>
      <c r="G727" s="103"/>
      <c r="H727" s="103" t="str">
        <f t="shared" si="2"/>
        <v/>
      </c>
      <c r="I727" s="103"/>
      <c r="M727" s="103"/>
      <c r="N727" s="113"/>
      <c r="O727" s="107"/>
      <c r="P727" s="106" t="str">
        <f>IF(ISBLANK(N727), "", VLOOKUP(D727&amp;" "&amp;E727, 'Info Tipo de Cambio y REM'!$A$24:$B$35, 2, FALSE))
</f>
        <v/>
      </c>
      <c r="Q727" s="107" t="str">
        <f t="shared" si="3"/>
        <v/>
      </c>
    </row>
    <row r="728">
      <c r="A728" s="102"/>
      <c r="B728" s="102"/>
      <c r="C728" s="102"/>
      <c r="D728" s="51"/>
      <c r="E728" s="102"/>
      <c r="F728" s="102"/>
      <c r="G728" s="103"/>
      <c r="H728" s="103" t="str">
        <f t="shared" si="2"/>
        <v/>
      </c>
      <c r="I728" s="103"/>
      <c r="M728" s="103"/>
      <c r="N728" s="113"/>
      <c r="O728" s="107"/>
      <c r="P728" s="106" t="str">
        <f>IF(ISBLANK(N728), "", VLOOKUP(D728&amp;" "&amp;E728, 'Info Tipo de Cambio y REM'!$A$24:$B$35, 2, FALSE))
</f>
        <v/>
      </c>
      <c r="Q728" s="107" t="str">
        <f t="shared" si="3"/>
        <v/>
      </c>
    </row>
    <row r="729">
      <c r="A729" s="102"/>
      <c r="B729" s="102"/>
      <c r="C729" s="102"/>
      <c r="D729" s="51"/>
      <c r="E729" s="102"/>
      <c r="F729" s="102"/>
      <c r="G729" s="103"/>
      <c r="H729" s="103" t="str">
        <f t="shared" si="2"/>
        <v/>
      </c>
      <c r="I729" s="103"/>
      <c r="M729" s="103"/>
      <c r="N729" s="113"/>
      <c r="O729" s="107"/>
      <c r="P729" s="106" t="str">
        <f>IF(ISBLANK(N729), "", VLOOKUP(D729&amp;" "&amp;E729, 'Info Tipo de Cambio y REM'!$A$24:$B$35, 2, FALSE))
</f>
        <v/>
      </c>
      <c r="Q729" s="107" t="str">
        <f t="shared" si="3"/>
        <v/>
      </c>
    </row>
    <row r="730">
      <c r="A730" s="102"/>
      <c r="B730" s="102"/>
      <c r="C730" s="102"/>
      <c r="D730" s="51"/>
      <c r="E730" s="102"/>
      <c r="F730" s="102"/>
      <c r="G730" s="103"/>
      <c r="H730" s="103" t="str">
        <f t="shared" si="2"/>
        <v/>
      </c>
      <c r="I730" s="103"/>
      <c r="M730" s="103"/>
      <c r="N730" s="113"/>
      <c r="O730" s="107"/>
      <c r="P730" s="106" t="str">
        <f>IF(ISBLANK(N730), "", VLOOKUP(D730&amp;" "&amp;E730, 'Info Tipo de Cambio y REM'!$A$24:$B$35, 2, FALSE))
</f>
        <v/>
      </c>
      <c r="Q730" s="107" t="str">
        <f t="shared" si="3"/>
        <v/>
      </c>
    </row>
    <row r="731">
      <c r="A731" s="102"/>
      <c r="B731" s="102"/>
      <c r="C731" s="102"/>
      <c r="D731" s="51"/>
      <c r="E731" s="102"/>
      <c r="F731" s="102"/>
      <c r="G731" s="103"/>
      <c r="H731" s="103" t="str">
        <f t="shared" si="2"/>
        <v/>
      </c>
      <c r="I731" s="103"/>
      <c r="M731" s="103"/>
      <c r="N731" s="113"/>
      <c r="O731" s="107"/>
      <c r="P731" s="106" t="str">
        <f>IF(ISBLANK(N731), "", VLOOKUP(D731&amp;" "&amp;E731, 'Info Tipo de Cambio y REM'!$A$24:$B$35, 2, FALSE))
</f>
        <v/>
      </c>
      <c r="Q731" s="107" t="str">
        <f t="shared" si="3"/>
        <v/>
      </c>
    </row>
    <row r="732">
      <c r="A732" s="102"/>
      <c r="B732" s="102"/>
      <c r="C732" s="102"/>
      <c r="D732" s="51"/>
      <c r="E732" s="102"/>
      <c r="F732" s="102"/>
      <c r="G732" s="103"/>
      <c r="H732" s="103" t="str">
        <f t="shared" si="2"/>
        <v/>
      </c>
      <c r="I732" s="103"/>
      <c r="M732" s="103"/>
      <c r="N732" s="113"/>
      <c r="O732" s="107"/>
      <c r="P732" s="106" t="str">
        <f>IF(ISBLANK(N732), "", VLOOKUP(D732&amp;" "&amp;E732, 'Info Tipo de Cambio y REM'!$A$24:$B$35, 2, FALSE))
</f>
        <v/>
      </c>
      <c r="Q732" s="107" t="str">
        <f t="shared" si="3"/>
        <v/>
      </c>
    </row>
    <row r="733">
      <c r="A733" s="102"/>
      <c r="B733" s="102"/>
      <c r="C733" s="102"/>
      <c r="D733" s="51"/>
      <c r="E733" s="102"/>
      <c r="F733" s="102"/>
      <c r="G733" s="103"/>
      <c r="H733" s="103" t="str">
        <f t="shared" si="2"/>
        <v/>
      </c>
      <c r="I733" s="103"/>
      <c r="M733" s="103"/>
      <c r="N733" s="113"/>
      <c r="O733" s="107"/>
      <c r="P733" s="106" t="str">
        <f>IF(ISBLANK(N733), "", VLOOKUP(D733&amp;" "&amp;E733, 'Info Tipo de Cambio y REM'!$A$24:$B$35, 2, FALSE))
</f>
        <v/>
      </c>
      <c r="Q733" s="107" t="str">
        <f t="shared" si="3"/>
        <v/>
      </c>
    </row>
    <row r="734">
      <c r="A734" s="102"/>
      <c r="B734" s="102"/>
      <c r="C734" s="102"/>
      <c r="D734" s="51"/>
      <c r="E734" s="102"/>
      <c r="F734" s="102"/>
      <c r="G734" s="103"/>
      <c r="H734" s="103" t="str">
        <f t="shared" si="2"/>
        <v/>
      </c>
      <c r="I734" s="103"/>
      <c r="M734" s="103"/>
      <c r="N734" s="113"/>
      <c r="O734" s="107"/>
      <c r="P734" s="106" t="str">
        <f>IF(ISBLANK(N734), "", VLOOKUP(D734&amp;" "&amp;E734, 'Info Tipo de Cambio y REM'!$A$24:$B$35, 2, FALSE))
</f>
        <v/>
      </c>
      <c r="Q734" s="107" t="str">
        <f t="shared" si="3"/>
        <v/>
      </c>
    </row>
    <row r="735">
      <c r="A735" s="102"/>
      <c r="B735" s="102"/>
      <c r="C735" s="102"/>
      <c r="D735" s="51"/>
      <c r="E735" s="102"/>
      <c r="F735" s="102"/>
      <c r="G735" s="103"/>
      <c r="H735" s="103" t="str">
        <f t="shared" si="2"/>
        <v/>
      </c>
      <c r="I735" s="103"/>
      <c r="M735" s="103"/>
      <c r="N735" s="113"/>
      <c r="O735" s="107"/>
      <c r="P735" s="106" t="str">
        <f>IF(ISBLANK(N735), "", VLOOKUP(D735&amp;" "&amp;E735, 'Info Tipo de Cambio y REM'!$A$24:$B$35, 2, FALSE))
</f>
        <v/>
      </c>
      <c r="Q735" s="107" t="str">
        <f t="shared" si="3"/>
        <v/>
      </c>
    </row>
    <row r="736">
      <c r="A736" s="102"/>
      <c r="B736" s="102"/>
      <c r="C736" s="102"/>
      <c r="D736" s="51"/>
      <c r="E736" s="102"/>
      <c r="F736" s="102"/>
      <c r="G736" s="103"/>
      <c r="H736" s="103" t="str">
        <f t="shared" si="2"/>
        <v/>
      </c>
      <c r="I736" s="103"/>
      <c r="M736" s="103"/>
      <c r="N736" s="113"/>
      <c r="O736" s="107"/>
      <c r="P736" s="106" t="str">
        <f>IF(ISBLANK(N736), "", VLOOKUP(D736&amp;" "&amp;E736, 'Info Tipo de Cambio y REM'!$A$24:$B$35, 2, FALSE))
</f>
        <v/>
      </c>
      <c r="Q736" s="107" t="str">
        <f t="shared" si="3"/>
        <v/>
      </c>
    </row>
    <row r="737">
      <c r="A737" s="102"/>
      <c r="B737" s="102"/>
      <c r="C737" s="102"/>
      <c r="D737" s="51"/>
      <c r="E737" s="102"/>
      <c r="F737" s="102"/>
      <c r="G737" s="103"/>
      <c r="H737" s="103" t="str">
        <f t="shared" si="2"/>
        <v/>
      </c>
      <c r="I737" s="103"/>
      <c r="M737" s="103"/>
      <c r="N737" s="113"/>
      <c r="O737" s="107"/>
      <c r="P737" s="106" t="str">
        <f>IF(ISBLANK(N737), "", VLOOKUP(D737&amp;" "&amp;E737, 'Info Tipo de Cambio y REM'!$A$24:$B$35, 2, FALSE))
</f>
        <v/>
      </c>
      <c r="Q737" s="107" t="str">
        <f t="shared" si="3"/>
        <v/>
      </c>
    </row>
    <row r="738">
      <c r="A738" s="102"/>
      <c r="B738" s="102"/>
      <c r="C738" s="102"/>
      <c r="D738" s="51"/>
      <c r="E738" s="102"/>
      <c r="F738" s="102"/>
      <c r="G738" s="103"/>
      <c r="H738" s="103" t="str">
        <f t="shared" si="2"/>
        <v/>
      </c>
      <c r="I738" s="103"/>
      <c r="M738" s="103"/>
      <c r="N738" s="113"/>
      <c r="O738" s="107"/>
      <c r="P738" s="106" t="str">
        <f>IF(ISBLANK(N738), "", VLOOKUP(D738&amp;" "&amp;E738, 'Info Tipo de Cambio y REM'!$A$24:$B$35, 2, FALSE))
</f>
        <v/>
      </c>
      <c r="Q738" s="107" t="str">
        <f t="shared" si="3"/>
        <v/>
      </c>
    </row>
    <row r="739">
      <c r="A739" s="102"/>
      <c r="B739" s="102"/>
      <c r="C739" s="102"/>
      <c r="D739" s="51"/>
      <c r="E739" s="102"/>
      <c r="F739" s="102"/>
      <c r="G739" s="103"/>
      <c r="H739" s="103" t="str">
        <f t="shared" si="2"/>
        <v/>
      </c>
      <c r="I739" s="103"/>
      <c r="M739" s="103"/>
      <c r="N739" s="113"/>
      <c r="O739" s="107"/>
      <c r="P739" s="106" t="str">
        <f>IF(ISBLANK(N739), "", VLOOKUP(D739&amp;" "&amp;E739, 'Info Tipo de Cambio y REM'!$A$24:$B$35, 2, FALSE))
</f>
        <v/>
      </c>
      <c r="Q739" s="107" t="str">
        <f t="shared" si="3"/>
        <v/>
      </c>
    </row>
    <row r="740">
      <c r="A740" s="102"/>
      <c r="B740" s="102"/>
      <c r="C740" s="102"/>
      <c r="D740" s="51"/>
      <c r="E740" s="102"/>
      <c r="F740" s="102"/>
      <c r="G740" s="103"/>
      <c r="H740" s="103" t="str">
        <f t="shared" si="2"/>
        <v/>
      </c>
      <c r="I740" s="103"/>
      <c r="M740" s="103"/>
      <c r="N740" s="113"/>
      <c r="O740" s="107"/>
      <c r="P740" s="106" t="str">
        <f>IF(ISBLANK(N740), "", VLOOKUP(D740&amp;" "&amp;E740, 'Info Tipo de Cambio y REM'!$A$24:$B$35, 2, FALSE))
</f>
        <v/>
      </c>
      <c r="Q740" s="107" t="str">
        <f t="shared" si="3"/>
        <v/>
      </c>
    </row>
    <row r="741">
      <c r="A741" s="102"/>
      <c r="B741" s="102"/>
      <c r="C741" s="102"/>
      <c r="D741" s="51"/>
      <c r="E741" s="102"/>
      <c r="F741" s="102"/>
      <c r="G741" s="103"/>
      <c r="H741" s="103" t="str">
        <f t="shared" si="2"/>
        <v/>
      </c>
      <c r="I741" s="103"/>
      <c r="M741" s="103"/>
      <c r="N741" s="113"/>
      <c r="O741" s="107"/>
      <c r="P741" s="106" t="str">
        <f>IF(ISBLANK(N741), "", VLOOKUP(D741&amp;" "&amp;E741, 'Info Tipo de Cambio y REM'!$A$24:$B$35, 2, FALSE))
</f>
        <v/>
      </c>
      <c r="Q741" s="107" t="str">
        <f t="shared" si="3"/>
        <v/>
      </c>
    </row>
    <row r="742">
      <c r="A742" s="102"/>
      <c r="B742" s="102"/>
      <c r="C742" s="102"/>
      <c r="D742" s="51"/>
      <c r="E742" s="102"/>
      <c r="F742" s="102"/>
      <c r="G742" s="103"/>
      <c r="H742" s="103" t="str">
        <f t="shared" si="2"/>
        <v/>
      </c>
      <c r="I742" s="103"/>
      <c r="M742" s="103"/>
      <c r="N742" s="113"/>
      <c r="O742" s="107"/>
      <c r="P742" s="106" t="str">
        <f>IF(ISBLANK(N742), "", VLOOKUP(D742&amp;" "&amp;E742, 'Info Tipo de Cambio y REM'!$A$24:$B$35, 2, FALSE))
</f>
        <v/>
      </c>
      <c r="Q742" s="107" t="str">
        <f t="shared" si="3"/>
        <v/>
      </c>
    </row>
    <row r="743">
      <c r="A743" s="102"/>
      <c r="B743" s="102"/>
      <c r="C743" s="102"/>
      <c r="D743" s="51"/>
      <c r="E743" s="102"/>
      <c r="F743" s="102"/>
      <c r="G743" s="103"/>
      <c r="H743" s="103" t="str">
        <f t="shared" si="2"/>
        <v/>
      </c>
      <c r="I743" s="103"/>
      <c r="M743" s="103"/>
      <c r="N743" s="113"/>
      <c r="O743" s="107"/>
      <c r="P743" s="106" t="str">
        <f>IF(ISBLANK(N743), "", VLOOKUP(D743&amp;" "&amp;E743, 'Info Tipo de Cambio y REM'!$A$24:$B$35, 2, FALSE))
</f>
        <v/>
      </c>
      <c r="Q743" s="107" t="str">
        <f t="shared" si="3"/>
        <v/>
      </c>
    </row>
    <row r="744">
      <c r="A744" s="102"/>
      <c r="B744" s="102"/>
      <c r="C744" s="102"/>
      <c r="D744" s="51"/>
      <c r="E744" s="102"/>
      <c r="F744" s="102"/>
      <c r="G744" s="103"/>
      <c r="H744" s="103" t="str">
        <f t="shared" si="2"/>
        <v/>
      </c>
      <c r="I744" s="103"/>
      <c r="M744" s="103"/>
      <c r="N744" s="113"/>
      <c r="O744" s="107"/>
      <c r="P744" s="106" t="str">
        <f>IF(ISBLANK(N744), "", VLOOKUP(D744&amp;" "&amp;E744, 'Info Tipo de Cambio y REM'!$A$24:$B$35, 2, FALSE))
</f>
        <v/>
      </c>
      <c r="Q744" s="107" t="str">
        <f t="shared" si="3"/>
        <v/>
      </c>
    </row>
    <row r="745">
      <c r="A745" s="102"/>
      <c r="B745" s="102"/>
      <c r="C745" s="102"/>
      <c r="D745" s="51"/>
      <c r="E745" s="102"/>
      <c r="F745" s="102"/>
      <c r="G745" s="103"/>
      <c r="H745" s="103" t="str">
        <f t="shared" si="2"/>
        <v/>
      </c>
      <c r="I745" s="103"/>
      <c r="M745" s="103"/>
      <c r="N745" s="113"/>
      <c r="O745" s="107"/>
      <c r="P745" s="106" t="str">
        <f>IF(ISBLANK(N745), "", VLOOKUP(D745&amp;" "&amp;E745, 'Info Tipo de Cambio y REM'!$A$24:$B$35, 2, FALSE))
</f>
        <v/>
      </c>
      <c r="Q745" s="107" t="str">
        <f t="shared" si="3"/>
        <v/>
      </c>
    </row>
    <row r="746">
      <c r="A746" s="102"/>
      <c r="B746" s="102"/>
      <c r="C746" s="102"/>
      <c r="D746" s="51"/>
      <c r="E746" s="102"/>
      <c r="F746" s="102"/>
      <c r="G746" s="103"/>
      <c r="H746" s="103" t="str">
        <f t="shared" si="2"/>
        <v/>
      </c>
      <c r="I746" s="103"/>
      <c r="M746" s="103"/>
      <c r="N746" s="113"/>
      <c r="O746" s="107"/>
      <c r="P746" s="106" t="str">
        <f>IF(ISBLANK(N746), "", VLOOKUP(D746&amp;" "&amp;E746, 'Info Tipo de Cambio y REM'!$A$24:$B$35, 2, FALSE))
</f>
        <v/>
      </c>
      <c r="Q746" s="107" t="str">
        <f t="shared" si="3"/>
        <v/>
      </c>
    </row>
    <row r="747">
      <c r="A747" s="102"/>
      <c r="B747" s="102"/>
      <c r="C747" s="102"/>
      <c r="D747" s="51"/>
      <c r="E747" s="102"/>
      <c r="F747" s="102"/>
      <c r="G747" s="103"/>
      <c r="H747" s="103" t="str">
        <f t="shared" si="2"/>
        <v/>
      </c>
      <c r="I747" s="103"/>
      <c r="M747" s="103"/>
      <c r="N747" s="113"/>
      <c r="O747" s="107"/>
      <c r="P747" s="106" t="str">
        <f>IF(ISBLANK(N747), "", VLOOKUP(D747&amp;" "&amp;E747, 'Info Tipo de Cambio y REM'!$A$24:$B$35, 2, FALSE))
</f>
        <v/>
      </c>
      <c r="Q747" s="107" t="str">
        <f t="shared" si="3"/>
        <v/>
      </c>
    </row>
    <row r="748">
      <c r="A748" s="102"/>
      <c r="B748" s="102"/>
      <c r="C748" s="102"/>
      <c r="D748" s="51"/>
      <c r="E748" s="102"/>
      <c r="F748" s="102"/>
      <c r="G748" s="103"/>
      <c r="H748" s="103" t="str">
        <f t="shared" si="2"/>
        <v/>
      </c>
      <c r="I748" s="103"/>
      <c r="M748" s="103"/>
      <c r="N748" s="113"/>
      <c r="O748" s="107"/>
      <c r="P748" s="106" t="str">
        <f>IF(ISBLANK(N748), "", VLOOKUP(D748&amp;" "&amp;E748, 'Info Tipo de Cambio y REM'!$A$24:$B$35, 2, FALSE))
</f>
        <v/>
      </c>
      <c r="Q748" s="107" t="str">
        <f t="shared" si="3"/>
        <v/>
      </c>
    </row>
    <row r="749">
      <c r="A749" s="102"/>
      <c r="B749" s="102"/>
      <c r="C749" s="102"/>
      <c r="D749" s="51"/>
      <c r="E749" s="102"/>
      <c r="F749" s="102"/>
      <c r="G749" s="103"/>
      <c r="H749" s="103" t="str">
        <f t="shared" si="2"/>
        <v/>
      </c>
      <c r="I749" s="103"/>
      <c r="M749" s="103"/>
      <c r="N749" s="113"/>
      <c r="O749" s="107"/>
      <c r="P749" s="106" t="str">
        <f>IF(ISBLANK(N749), "", VLOOKUP(D749&amp;" "&amp;E749, 'Info Tipo de Cambio y REM'!$A$24:$B$35, 2, FALSE))
</f>
        <v/>
      </c>
      <c r="Q749" s="107" t="str">
        <f t="shared" si="3"/>
        <v/>
      </c>
    </row>
    <row r="750">
      <c r="A750" s="102"/>
      <c r="B750" s="102"/>
      <c r="C750" s="102"/>
      <c r="D750" s="51"/>
      <c r="E750" s="102"/>
      <c r="F750" s="102"/>
      <c r="G750" s="103"/>
      <c r="H750" s="103" t="str">
        <f t="shared" si="2"/>
        <v/>
      </c>
      <c r="I750" s="103"/>
      <c r="M750" s="103"/>
      <c r="N750" s="113"/>
      <c r="O750" s="107"/>
      <c r="P750" s="106" t="str">
        <f>IF(ISBLANK(N750), "", VLOOKUP(D750&amp;" "&amp;E750, 'Info Tipo de Cambio y REM'!$A$24:$B$35, 2, FALSE))
</f>
        <v/>
      </c>
      <c r="Q750" s="107" t="str">
        <f t="shared" si="3"/>
        <v/>
      </c>
    </row>
    <row r="751">
      <c r="A751" s="102"/>
      <c r="B751" s="102"/>
      <c r="C751" s="102"/>
      <c r="D751" s="51"/>
      <c r="E751" s="102"/>
      <c r="F751" s="102"/>
      <c r="G751" s="103"/>
      <c r="H751" s="103" t="str">
        <f t="shared" si="2"/>
        <v/>
      </c>
      <c r="I751" s="103"/>
      <c r="M751" s="103"/>
      <c r="N751" s="113"/>
      <c r="O751" s="107"/>
      <c r="P751" s="106" t="str">
        <f>IF(ISBLANK(N751), "", VLOOKUP(D751&amp;" "&amp;E751, 'Info Tipo de Cambio y REM'!$A$24:$B$35, 2, FALSE))
</f>
        <v/>
      </c>
      <c r="Q751" s="107" t="str">
        <f t="shared" si="3"/>
        <v/>
      </c>
    </row>
    <row r="752">
      <c r="A752" s="102"/>
      <c r="B752" s="102"/>
      <c r="C752" s="102"/>
      <c r="D752" s="51"/>
      <c r="E752" s="102"/>
      <c r="F752" s="102"/>
      <c r="G752" s="103"/>
      <c r="H752" s="103" t="str">
        <f t="shared" si="2"/>
        <v/>
      </c>
      <c r="I752" s="103"/>
      <c r="M752" s="103"/>
      <c r="N752" s="113"/>
      <c r="O752" s="107"/>
      <c r="P752" s="106" t="str">
        <f>IF(ISBLANK(N752), "", VLOOKUP(D752&amp;" "&amp;E752, 'Info Tipo de Cambio y REM'!$A$24:$B$35, 2, FALSE))
</f>
        <v/>
      </c>
      <c r="Q752" s="107" t="str">
        <f t="shared" si="3"/>
        <v/>
      </c>
    </row>
    <row r="753">
      <c r="A753" s="102"/>
      <c r="B753" s="102"/>
      <c r="C753" s="102"/>
      <c r="D753" s="51"/>
      <c r="E753" s="102"/>
      <c r="F753" s="102"/>
      <c r="G753" s="103"/>
      <c r="H753" s="103" t="str">
        <f t="shared" si="2"/>
        <v/>
      </c>
      <c r="I753" s="103"/>
      <c r="M753" s="103"/>
      <c r="N753" s="113"/>
      <c r="O753" s="107"/>
      <c r="P753" s="106" t="str">
        <f>IF(ISBLANK(N753), "", VLOOKUP(D753&amp;" "&amp;E753, 'Info Tipo de Cambio y REM'!$A$24:$B$35, 2, FALSE))
</f>
        <v/>
      </c>
      <c r="Q753" s="107" t="str">
        <f t="shared" si="3"/>
        <v/>
      </c>
    </row>
    <row r="754">
      <c r="A754" s="102"/>
      <c r="B754" s="102"/>
      <c r="C754" s="102"/>
      <c r="D754" s="51"/>
      <c r="E754" s="102"/>
      <c r="F754" s="102"/>
      <c r="G754" s="103"/>
      <c r="H754" s="103" t="str">
        <f t="shared" si="2"/>
        <v/>
      </c>
      <c r="I754" s="103"/>
      <c r="M754" s="103"/>
      <c r="N754" s="113"/>
      <c r="O754" s="107"/>
      <c r="P754" s="106" t="str">
        <f>IF(ISBLANK(N754), "", VLOOKUP(D754&amp;" "&amp;E754, 'Info Tipo de Cambio y REM'!$A$24:$B$35, 2, FALSE))
</f>
        <v/>
      </c>
      <c r="Q754" s="107" t="str">
        <f t="shared" si="3"/>
        <v/>
      </c>
    </row>
    <row r="755">
      <c r="A755" s="102"/>
      <c r="B755" s="102"/>
      <c r="C755" s="102"/>
      <c r="D755" s="51"/>
      <c r="E755" s="102"/>
      <c r="F755" s="102"/>
      <c r="G755" s="103"/>
      <c r="H755" s="103" t="str">
        <f t="shared" si="2"/>
        <v/>
      </c>
      <c r="I755" s="103"/>
      <c r="M755" s="103"/>
      <c r="N755" s="113"/>
      <c r="O755" s="107"/>
      <c r="P755" s="106" t="str">
        <f>IF(ISBLANK(N755), "", VLOOKUP(D755&amp;" "&amp;E755, 'Info Tipo de Cambio y REM'!$A$24:$B$35, 2, FALSE))
</f>
        <v/>
      </c>
      <c r="Q755" s="107" t="str">
        <f t="shared" si="3"/>
        <v/>
      </c>
    </row>
    <row r="756">
      <c r="A756" s="102"/>
      <c r="B756" s="102"/>
      <c r="C756" s="102"/>
      <c r="D756" s="51"/>
      <c r="E756" s="102"/>
      <c r="F756" s="102"/>
      <c r="G756" s="103"/>
      <c r="H756" s="103" t="str">
        <f t="shared" si="2"/>
        <v/>
      </c>
      <c r="I756" s="103"/>
      <c r="M756" s="103"/>
      <c r="N756" s="113"/>
      <c r="O756" s="107"/>
      <c r="P756" s="106" t="str">
        <f>IF(ISBLANK(N756), "", VLOOKUP(D756&amp;" "&amp;E756, 'Info Tipo de Cambio y REM'!$A$24:$B$35, 2, FALSE))
</f>
        <v/>
      </c>
      <c r="Q756" s="107" t="str">
        <f t="shared" si="3"/>
        <v/>
      </c>
    </row>
    <row r="757">
      <c r="A757" s="102"/>
      <c r="B757" s="102"/>
      <c r="C757" s="102"/>
      <c r="D757" s="51"/>
      <c r="E757" s="102"/>
      <c r="F757" s="102"/>
      <c r="G757" s="103"/>
      <c r="H757" s="103" t="str">
        <f t="shared" si="2"/>
        <v/>
      </c>
      <c r="I757" s="103"/>
      <c r="M757" s="103"/>
      <c r="N757" s="113"/>
      <c r="O757" s="107"/>
      <c r="P757" s="106" t="str">
        <f>IF(ISBLANK(N757), "", VLOOKUP(D757&amp;" "&amp;E757, 'Info Tipo de Cambio y REM'!$A$24:$B$35, 2, FALSE))
</f>
        <v/>
      </c>
      <c r="Q757" s="107" t="str">
        <f t="shared" si="3"/>
        <v/>
      </c>
    </row>
    <row r="758">
      <c r="A758" s="102"/>
      <c r="B758" s="102"/>
      <c r="C758" s="102"/>
      <c r="D758" s="51"/>
      <c r="E758" s="102"/>
      <c r="F758" s="102"/>
      <c r="G758" s="103"/>
      <c r="H758" s="103" t="str">
        <f t="shared" si="2"/>
        <v/>
      </c>
      <c r="I758" s="103"/>
      <c r="M758" s="103"/>
      <c r="N758" s="113"/>
      <c r="O758" s="107"/>
      <c r="P758" s="106" t="str">
        <f>IF(ISBLANK(N758), "", VLOOKUP(D758&amp;" "&amp;E758, 'Info Tipo de Cambio y REM'!$A$24:$B$35, 2, FALSE))
</f>
        <v/>
      </c>
      <c r="Q758" s="107" t="str">
        <f t="shared" si="3"/>
        <v/>
      </c>
    </row>
    <row r="759">
      <c r="A759" s="102"/>
      <c r="B759" s="102"/>
      <c r="C759" s="102"/>
      <c r="D759" s="51"/>
      <c r="E759" s="102"/>
      <c r="F759" s="102"/>
      <c r="G759" s="103"/>
      <c r="H759" s="103" t="str">
        <f t="shared" si="2"/>
        <v/>
      </c>
      <c r="I759" s="103"/>
      <c r="M759" s="103"/>
      <c r="N759" s="113"/>
      <c r="O759" s="107"/>
      <c r="P759" s="106" t="str">
        <f>IF(ISBLANK(N759), "", VLOOKUP(D759&amp;" "&amp;E759, 'Info Tipo de Cambio y REM'!$A$24:$B$35, 2, FALSE))
</f>
        <v/>
      </c>
      <c r="Q759" s="107" t="str">
        <f t="shared" si="3"/>
        <v/>
      </c>
    </row>
    <row r="760">
      <c r="A760" s="102"/>
      <c r="B760" s="102"/>
      <c r="C760" s="102"/>
      <c r="D760" s="51"/>
      <c r="E760" s="102"/>
      <c r="F760" s="102"/>
      <c r="G760" s="103"/>
      <c r="H760" s="103" t="str">
        <f t="shared" si="2"/>
        <v/>
      </c>
      <c r="I760" s="103"/>
      <c r="M760" s="103"/>
      <c r="N760" s="113"/>
      <c r="O760" s="107"/>
      <c r="P760" s="106" t="str">
        <f>IF(ISBLANK(N760), "", VLOOKUP(D760&amp;" "&amp;E760, 'Info Tipo de Cambio y REM'!$A$24:$B$35, 2, FALSE))
</f>
        <v/>
      </c>
      <c r="Q760" s="107" t="str">
        <f t="shared" si="3"/>
        <v/>
      </c>
    </row>
    <row r="761">
      <c r="A761" s="102"/>
      <c r="B761" s="102"/>
      <c r="C761" s="102"/>
      <c r="D761" s="51"/>
      <c r="E761" s="102"/>
      <c r="F761" s="102"/>
      <c r="G761" s="103"/>
      <c r="H761" s="103" t="str">
        <f t="shared" si="2"/>
        <v/>
      </c>
      <c r="I761" s="103"/>
      <c r="M761" s="103"/>
      <c r="N761" s="113"/>
      <c r="O761" s="107"/>
      <c r="P761" s="106" t="str">
        <f>IF(ISBLANK(N761), "", VLOOKUP(D761&amp;" "&amp;E761, 'Info Tipo de Cambio y REM'!$A$24:$B$35, 2, FALSE))
</f>
        <v/>
      </c>
      <c r="Q761" s="107" t="str">
        <f t="shared" si="3"/>
        <v/>
      </c>
    </row>
    <row r="762">
      <c r="A762" s="102"/>
      <c r="B762" s="102"/>
      <c r="C762" s="102"/>
      <c r="D762" s="51"/>
      <c r="E762" s="102"/>
      <c r="F762" s="102"/>
      <c r="G762" s="103"/>
      <c r="H762" s="103" t="str">
        <f t="shared" si="2"/>
        <v/>
      </c>
      <c r="I762" s="103"/>
      <c r="M762" s="103"/>
      <c r="N762" s="113"/>
      <c r="O762" s="107"/>
      <c r="P762" s="106" t="str">
        <f>IF(ISBLANK(N762), "", VLOOKUP(D762&amp;" "&amp;E762, 'Info Tipo de Cambio y REM'!$A$24:$B$35, 2, FALSE))
</f>
        <v/>
      </c>
      <c r="Q762" s="107" t="str">
        <f t="shared" si="3"/>
        <v/>
      </c>
    </row>
    <row r="763">
      <c r="A763" s="102"/>
      <c r="B763" s="102"/>
      <c r="C763" s="102"/>
      <c r="D763" s="51"/>
      <c r="E763" s="102"/>
      <c r="F763" s="102"/>
      <c r="G763" s="103"/>
      <c r="H763" s="103" t="str">
        <f t="shared" si="2"/>
        <v/>
      </c>
      <c r="I763" s="103"/>
      <c r="M763" s="103"/>
      <c r="N763" s="113"/>
      <c r="O763" s="107"/>
      <c r="P763" s="106" t="str">
        <f>IF(ISBLANK(N763), "", VLOOKUP(D763&amp;" "&amp;E763, 'Info Tipo de Cambio y REM'!$A$24:$B$35, 2, FALSE))
</f>
        <v/>
      </c>
      <c r="Q763" s="107" t="str">
        <f t="shared" si="3"/>
        <v/>
      </c>
    </row>
    <row r="764">
      <c r="A764" s="102"/>
      <c r="B764" s="102"/>
      <c r="C764" s="102"/>
      <c r="D764" s="51"/>
      <c r="E764" s="102"/>
      <c r="F764" s="102"/>
      <c r="G764" s="103"/>
      <c r="H764" s="103" t="str">
        <f t="shared" si="2"/>
        <v/>
      </c>
      <c r="I764" s="103"/>
      <c r="M764" s="103"/>
      <c r="N764" s="113"/>
      <c r="O764" s="107"/>
      <c r="P764" s="106" t="str">
        <f>IF(ISBLANK(N764), "", VLOOKUP(D764&amp;" "&amp;E764, 'Info Tipo de Cambio y REM'!$A$24:$B$35, 2, FALSE))
</f>
        <v/>
      </c>
      <c r="Q764" s="107" t="str">
        <f t="shared" si="3"/>
        <v/>
      </c>
    </row>
    <row r="765">
      <c r="A765" s="102"/>
      <c r="B765" s="102"/>
      <c r="C765" s="102"/>
      <c r="D765" s="51"/>
      <c r="E765" s="102"/>
      <c r="F765" s="102"/>
      <c r="G765" s="103"/>
      <c r="H765" s="103" t="str">
        <f t="shared" si="2"/>
        <v/>
      </c>
      <c r="I765" s="103"/>
      <c r="M765" s="103"/>
      <c r="N765" s="113"/>
      <c r="O765" s="107"/>
      <c r="P765" s="106" t="str">
        <f>IF(ISBLANK(N765), "", VLOOKUP(D765&amp;" "&amp;E765, 'Info Tipo de Cambio y REM'!$A$24:$B$35, 2, FALSE))
</f>
        <v/>
      </c>
      <c r="Q765" s="107" t="str">
        <f t="shared" si="3"/>
        <v/>
      </c>
    </row>
    <row r="766">
      <c r="A766" s="102"/>
      <c r="B766" s="102"/>
      <c r="C766" s="102"/>
      <c r="D766" s="51"/>
      <c r="E766" s="102"/>
      <c r="F766" s="102"/>
      <c r="G766" s="103"/>
      <c r="H766" s="103" t="str">
        <f t="shared" si="2"/>
        <v/>
      </c>
      <c r="I766" s="103"/>
      <c r="M766" s="103"/>
      <c r="N766" s="113"/>
      <c r="O766" s="107"/>
      <c r="P766" s="106" t="str">
        <f>IF(ISBLANK(N766), "", VLOOKUP(D766&amp;" "&amp;E766, 'Info Tipo de Cambio y REM'!$A$24:$B$35, 2, FALSE))
</f>
        <v/>
      </c>
      <c r="Q766" s="107" t="str">
        <f t="shared" si="3"/>
        <v/>
      </c>
    </row>
    <row r="767">
      <c r="A767" s="102"/>
      <c r="B767" s="102"/>
      <c r="C767" s="102"/>
      <c r="D767" s="51"/>
      <c r="E767" s="102"/>
      <c r="F767" s="102"/>
      <c r="G767" s="103"/>
      <c r="H767" s="103" t="str">
        <f t="shared" si="2"/>
        <v/>
      </c>
      <c r="I767" s="103"/>
      <c r="M767" s="103"/>
      <c r="N767" s="113"/>
      <c r="O767" s="107"/>
      <c r="P767" s="106" t="str">
        <f>IF(ISBLANK(N767), "", VLOOKUP(D767&amp;" "&amp;E767, 'Info Tipo de Cambio y REM'!$A$24:$B$35, 2, FALSE))
</f>
        <v/>
      </c>
      <c r="Q767" s="107" t="str">
        <f t="shared" si="3"/>
        <v/>
      </c>
    </row>
    <row r="768">
      <c r="A768" s="102"/>
      <c r="B768" s="102"/>
      <c r="C768" s="102"/>
      <c r="D768" s="51"/>
      <c r="E768" s="102"/>
      <c r="F768" s="102"/>
      <c r="G768" s="103"/>
      <c r="H768" s="103" t="str">
        <f t="shared" si="2"/>
        <v/>
      </c>
      <c r="I768" s="103"/>
      <c r="M768" s="103"/>
      <c r="N768" s="113"/>
      <c r="O768" s="107"/>
      <c r="P768" s="106" t="str">
        <f>IF(ISBLANK(N768), "", VLOOKUP(D768&amp;" "&amp;E768, 'Info Tipo de Cambio y REM'!$A$24:$B$35, 2, FALSE))
</f>
        <v/>
      </c>
      <c r="Q768" s="107" t="str">
        <f t="shared" si="3"/>
        <v/>
      </c>
    </row>
    <row r="769">
      <c r="A769" s="102"/>
      <c r="B769" s="102"/>
      <c r="C769" s="102"/>
      <c r="D769" s="51"/>
      <c r="E769" s="102"/>
      <c r="F769" s="102"/>
      <c r="G769" s="103"/>
      <c r="H769" s="103" t="str">
        <f t="shared" si="2"/>
        <v/>
      </c>
      <c r="I769" s="103"/>
      <c r="M769" s="103"/>
      <c r="N769" s="113"/>
      <c r="O769" s="107"/>
      <c r="P769" s="106" t="str">
        <f>IF(ISBLANK(N769), "", VLOOKUP(D769&amp;" "&amp;E769, 'Info Tipo de Cambio y REM'!$A$24:$B$35, 2, FALSE))
</f>
        <v/>
      </c>
      <c r="Q769" s="107" t="str">
        <f t="shared" si="3"/>
        <v/>
      </c>
    </row>
    <row r="770">
      <c r="A770" s="102"/>
      <c r="B770" s="102"/>
      <c r="C770" s="102"/>
      <c r="D770" s="51"/>
      <c r="E770" s="102"/>
      <c r="F770" s="102"/>
      <c r="G770" s="103"/>
      <c r="H770" s="103" t="str">
        <f t="shared" si="2"/>
        <v/>
      </c>
      <c r="I770" s="103"/>
      <c r="M770" s="103"/>
      <c r="N770" s="113"/>
      <c r="O770" s="107"/>
      <c r="P770" s="106" t="str">
        <f>IF(ISBLANK(N770), "", VLOOKUP(D770&amp;" "&amp;E770, 'Info Tipo de Cambio y REM'!$A$24:$B$35, 2, FALSE))
</f>
        <v/>
      </c>
      <c r="Q770" s="107" t="str">
        <f t="shared" si="3"/>
        <v/>
      </c>
    </row>
    <row r="771">
      <c r="A771" s="102"/>
      <c r="B771" s="102"/>
      <c r="C771" s="102"/>
      <c r="D771" s="51"/>
      <c r="E771" s="102"/>
      <c r="F771" s="102"/>
      <c r="G771" s="103"/>
      <c r="H771" s="103" t="str">
        <f t="shared" si="2"/>
        <v/>
      </c>
      <c r="I771" s="103"/>
      <c r="M771" s="103"/>
      <c r="N771" s="113"/>
      <c r="O771" s="107"/>
      <c r="P771" s="106" t="str">
        <f>IF(ISBLANK(N771), "", VLOOKUP(D771&amp;" "&amp;E771, 'Info Tipo de Cambio y REM'!$A$24:$B$35, 2, FALSE))
</f>
        <v/>
      </c>
      <c r="Q771" s="107" t="str">
        <f t="shared" si="3"/>
        <v/>
      </c>
    </row>
    <row r="772">
      <c r="A772" s="102"/>
      <c r="B772" s="102"/>
      <c r="C772" s="102"/>
      <c r="D772" s="51"/>
      <c r="E772" s="102"/>
      <c r="F772" s="102"/>
      <c r="G772" s="103"/>
      <c r="H772" s="103" t="str">
        <f t="shared" si="2"/>
        <v/>
      </c>
      <c r="I772" s="103"/>
      <c r="M772" s="103"/>
      <c r="N772" s="113"/>
      <c r="O772" s="107"/>
      <c r="P772" s="106" t="str">
        <f>IF(ISBLANK(N772), "", VLOOKUP(D772&amp;" "&amp;E772, 'Info Tipo de Cambio y REM'!$A$24:$B$35, 2, FALSE))
</f>
        <v/>
      </c>
      <c r="Q772" s="107" t="str">
        <f t="shared" si="3"/>
        <v/>
      </c>
    </row>
    <row r="773">
      <c r="A773" s="102"/>
      <c r="B773" s="102"/>
      <c r="C773" s="102"/>
      <c r="D773" s="51"/>
      <c r="E773" s="102"/>
      <c r="F773" s="102"/>
      <c r="G773" s="103"/>
      <c r="H773" s="103" t="str">
        <f t="shared" si="2"/>
        <v/>
      </c>
      <c r="I773" s="103"/>
      <c r="M773" s="103"/>
      <c r="N773" s="113"/>
      <c r="O773" s="107"/>
      <c r="P773" s="106" t="str">
        <f>IF(ISBLANK(N773), "", VLOOKUP(D773&amp;" "&amp;E773, 'Info Tipo de Cambio y REM'!$A$24:$B$35, 2, FALSE))
</f>
        <v/>
      </c>
      <c r="Q773" s="107" t="str">
        <f t="shared" si="3"/>
        <v/>
      </c>
    </row>
    <row r="774">
      <c r="A774" s="102"/>
      <c r="B774" s="102"/>
      <c r="C774" s="102"/>
      <c r="D774" s="51"/>
      <c r="E774" s="102"/>
      <c r="F774" s="102"/>
      <c r="G774" s="103"/>
      <c r="H774" s="103" t="str">
        <f t="shared" si="2"/>
        <v/>
      </c>
      <c r="I774" s="103"/>
      <c r="M774" s="103"/>
      <c r="N774" s="113"/>
      <c r="O774" s="107"/>
      <c r="P774" s="106" t="str">
        <f>IF(ISBLANK(N774), "", VLOOKUP(D774&amp;" "&amp;E774, 'Info Tipo de Cambio y REM'!$A$24:$B$35, 2, FALSE))
</f>
        <v/>
      </c>
      <c r="Q774" s="107" t="str">
        <f t="shared" si="3"/>
        <v/>
      </c>
    </row>
    <row r="775">
      <c r="A775" s="102"/>
      <c r="B775" s="102"/>
      <c r="C775" s="102"/>
      <c r="D775" s="51"/>
      <c r="E775" s="102"/>
      <c r="F775" s="102"/>
      <c r="G775" s="103"/>
      <c r="H775" s="103" t="str">
        <f t="shared" si="2"/>
        <v/>
      </c>
      <c r="I775" s="103"/>
      <c r="M775" s="103"/>
      <c r="N775" s="113"/>
      <c r="O775" s="107"/>
      <c r="P775" s="106" t="str">
        <f>IF(ISBLANK(N775), "", VLOOKUP(D775&amp;" "&amp;E775, 'Info Tipo de Cambio y REM'!$A$24:$B$35, 2, FALSE))
</f>
        <v/>
      </c>
      <c r="Q775" s="107" t="str">
        <f t="shared" si="3"/>
        <v/>
      </c>
    </row>
    <row r="776">
      <c r="A776" s="102"/>
      <c r="B776" s="102"/>
      <c r="C776" s="102"/>
      <c r="D776" s="51"/>
      <c r="E776" s="102"/>
      <c r="F776" s="102"/>
      <c r="G776" s="103"/>
      <c r="H776" s="103" t="str">
        <f t="shared" si="2"/>
        <v/>
      </c>
      <c r="I776" s="103"/>
      <c r="M776" s="103"/>
      <c r="N776" s="113"/>
      <c r="O776" s="107"/>
      <c r="P776" s="106" t="str">
        <f>IF(ISBLANK(N776), "", VLOOKUP(D776&amp;" "&amp;E776, 'Info Tipo de Cambio y REM'!$A$24:$B$35, 2, FALSE))
</f>
        <v/>
      </c>
      <c r="Q776" s="107" t="str">
        <f t="shared" si="3"/>
        <v/>
      </c>
    </row>
    <row r="777">
      <c r="A777" s="102"/>
      <c r="B777" s="102"/>
      <c r="C777" s="102"/>
      <c r="D777" s="51"/>
      <c r="E777" s="102"/>
      <c r="F777" s="102"/>
      <c r="G777" s="103"/>
      <c r="H777" s="103" t="str">
        <f t="shared" si="2"/>
        <v/>
      </c>
      <c r="I777" s="103"/>
      <c r="M777" s="103"/>
      <c r="N777" s="113"/>
      <c r="O777" s="107"/>
      <c r="P777" s="106" t="str">
        <f>IF(ISBLANK(N777), "", VLOOKUP(D777&amp;" "&amp;E777, 'Info Tipo de Cambio y REM'!$A$24:$B$35, 2, FALSE))
</f>
        <v/>
      </c>
      <c r="Q777" s="107" t="str">
        <f t="shared" si="3"/>
        <v/>
      </c>
    </row>
    <row r="778">
      <c r="A778" s="102"/>
      <c r="B778" s="102"/>
      <c r="C778" s="102"/>
      <c r="D778" s="51"/>
      <c r="E778" s="102"/>
      <c r="F778" s="102"/>
      <c r="G778" s="103"/>
      <c r="H778" s="103" t="str">
        <f t="shared" si="2"/>
        <v/>
      </c>
      <c r="I778" s="103"/>
      <c r="M778" s="103"/>
      <c r="N778" s="113"/>
      <c r="O778" s="107"/>
      <c r="P778" s="106" t="str">
        <f>IF(ISBLANK(N778), "", VLOOKUP(D778&amp;" "&amp;E778, 'Info Tipo de Cambio y REM'!$A$24:$B$35, 2, FALSE))
</f>
        <v/>
      </c>
      <c r="Q778" s="107" t="str">
        <f t="shared" si="3"/>
        <v/>
      </c>
    </row>
    <row r="779">
      <c r="A779" s="102"/>
      <c r="B779" s="102"/>
      <c r="C779" s="102"/>
      <c r="D779" s="51"/>
      <c r="E779" s="102"/>
      <c r="F779" s="102"/>
      <c r="G779" s="103"/>
      <c r="H779" s="103" t="str">
        <f t="shared" si="2"/>
        <v/>
      </c>
      <c r="I779" s="103"/>
      <c r="M779" s="103"/>
      <c r="N779" s="113"/>
      <c r="O779" s="107"/>
      <c r="P779" s="106" t="str">
        <f>IF(ISBLANK(N779), "", VLOOKUP(D779&amp;" "&amp;E779, 'Info Tipo de Cambio y REM'!$A$24:$B$35, 2, FALSE))
</f>
        <v/>
      </c>
      <c r="Q779" s="107" t="str">
        <f t="shared" si="3"/>
        <v/>
      </c>
    </row>
    <row r="780">
      <c r="A780" s="102"/>
      <c r="B780" s="102"/>
      <c r="C780" s="102"/>
      <c r="D780" s="51"/>
      <c r="E780" s="102"/>
      <c r="F780" s="102"/>
      <c r="G780" s="103"/>
      <c r="H780" s="103" t="str">
        <f t="shared" si="2"/>
        <v/>
      </c>
      <c r="I780" s="103"/>
      <c r="M780" s="103"/>
      <c r="N780" s="113"/>
      <c r="O780" s="107"/>
      <c r="P780" s="106" t="str">
        <f>IF(ISBLANK(N780), "", VLOOKUP(D780&amp;" "&amp;E780, 'Info Tipo de Cambio y REM'!$A$24:$B$35, 2, FALSE))
</f>
        <v/>
      </c>
      <c r="Q780" s="107" t="str">
        <f t="shared" si="3"/>
        <v/>
      </c>
    </row>
    <row r="781">
      <c r="A781" s="102"/>
      <c r="B781" s="102"/>
      <c r="C781" s="102"/>
      <c r="D781" s="51"/>
      <c r="E781" s="102"/>
      <c r="F781" s="102"/>
      <c r="G781" s="103"/>
      <c r="H781" s="103" t="str">
        <f t="shared" si="2"/>
        <v/>
      </c>
      <c r="I781" s="103"/>
      <c r="M781" s="103"/>
      <c r="N781" s="113"/>
      <c r="O781" s="107"/>
      <c r="P781" s="106" t="str">
        <f>IF(ISBLANK(N781), "", VLOOKUP(D781&amp;" "&amp;E781, 'Info Tipo de Cambio y REM'!$A$24:$B$35, 2, FALSE))
</f>
        <v/>
      </c>
      <c r="Q781" s="107" t="str">
        <f t="shared" si="3"/>
        <v/>
      </c>
    </row>
    <row r="782">
      <c r="A782" s="102"/>
      <c r="B782" s="102"/>
      <c r="C782" s="102"/>
      <c r="D782" s="51"/>
      <c r="E782" s="102"/>
      <c r="F782" s="102"/>
      <c r="G782" s="103"/>
      <c r="H782" s="103" t="str">
        <f t="shared" si="2"/>
        <v/>
      </c>
      <c r="I782" s="103"/>
      <c r="M782" s="103"/>
      <c r="N782" s="113"/>
      <c r="O782" s="107"/>
      <c r="P782" s="106" t="str">
        <f>IF(ISBLANK(N782), "", VLOOKUP(D782&amp;" "&amp;E782, 'Info Tipo de Cambio y REM'!$A$24:$B$35, 2, FALSE))
</f>
        <v/>
      </c>
      <c r="Q782" s="107" t="str">
        <f t="shared" si="3"/>
        <v/>
      </c>
    </row>
    <row r="783">
      <c r="A783" s="102"/>
      <c r="B783" s="102"/>
      <c r="C783" s="102"/>
      <c r="D783" s="51"/>
      <c r="E783" s="102"/>
      <c r="F783" s="102"/>
      <c r="G783" s="103"/>
      <c r="H783" s="103" t="str">
        <f t="shared" si="2"/>
        <v/>
      </c>
      <c r="I783" s="103"/>
      <c r="M783" s="103"/>
      <c r="N783" s="113"/>
      <c r="O783" s="107"/>
      <c r="P783" s="106" t="str">
        <f>IF(ISBLANK(N783), "", VLOOKUP(D783&amp;" "&amp;E783, 'Info Tipo de Cambio y REM'!$A$24:$B$35, 2, FALSE))
</f>
        <v/>
      </c>
      <c r="Q783" s="107" t="str">
        <f t="shared" si="3"/>
        <v/>
      </c>
    </row>
    <row r="784">
      <c r="A784" s="102"/>
      <c r="B784" s="102"/>
      <c r="C784" s="102"/>
      <c r="D784" s="51"/>
      <c r="E784" s="102"/>
      <c r="F784" s="102"/>
      <c r="G784" s="103"/>
      <c r="H784" s="103" t="str">
        <f t="shared" si="2"/>
        <v/>
      </c>
      <c r="I784" s="103"/>
      <c r="M784" s="103"/>
      <c r="N784" s="113"/>
      <c r="O784" s="107"/>
      <c r="P784" s="106" t="str">
        <f>IF(ISBLANK(N784), "", VLOOKUP(D784&amp;" "&amp;E784, 'Info Tipo de Cambio y REM'!$A$24:$B$35, 2, FALSE))
</f>
        <v/>
      </c>
      <c r="Q784" s="107" t="str">
        <f t="shared" si="3"/>
        <v/>
      </c>
    </row>
    <row r="785">
      <c r="A785" s="102"/>
      <c r="B785" s="102"/>
      <c r="C785" s="102"/>
      <c r="D785" s="51"/>
      <c r="E785" s="102"/>
      <c r="F785" s="102"/>
      <c r="G785" s="103"/>
      <c r="H785" s="103" t="str">
        <f t="shared" si="2"/>
        <v/>
      </c>
      <c r="I785" s="103"/>
      <c r="M785" s="103"/>
      <c r="N785" s="113"/>
      <c r="O785" s="107"/>
      <c r="P785" s="106" t="str">
        <f>IF(ISBLANK(N785), "", VLOOKUP(D785&amp;" "&amp;E785, 'Info Tipo de Cambio y REM'!$A$24:$B$35, 2, FALSE))
</f>
        <v/>
      </c>
      <c r="Q785" s="107" t="str">
        <f t="shared" si="3"/>
        <v/>
      </c>
    </row>
    <row r="786">
      <c r="A786" s="102"/>
      <c r="B786" s="102"/>
      <c r="C786" s="102"/>
      <c r="D786" s="51"/>
      <c r="E786" s="102"/>
      <c r="F786" s="102"/>
      <c r="G786" s="103"/>
      <c r="H786" s="103" t="str">
        <f t="shared" si="2"/>
        <v/>
      </c>
      <c r="I786" s="103"/>
      <c r="M786" s="103"/>
      <c r="N786" s="113"/>
      <c r="O786" s="107"/>
      <c r="P786" s="106" t="str">
        <f>IF(ISBLANK(N786), "", VLOOKUP(D786&amp;" "&amp;E786, 'Info Tipo de Cambio y REM'!$A$24:$B$35, 2, FALSE))
</f>
        <v/>
      </c>
      <c r="Q786" s="107" t="str">
        <f t="shared" si="3"/>
        <v/>
      </c>
    </row>
    <row r="787">
      <c r="A787" s="102"/>
      <c r="B787" s="102"/>
      <c r="C787" s="102"/>
      <c r="D787" s="51"/>
      <c r="E787" s="102"/>
      <c r="F787" s="102"/>
      <c r="G787" s="103"/>
      <c r="H787" s="103" t="str">
        <f t="shared" si="2"/>
        <v/>
      </c>
      <c r="I787" s="103"/>
      <c r="M787" s="103"/>
      <c r="N787" s="113"/>
      <c r="O787" s="107"/>
      <c r="P787" s="106" t="str">
        <f>IF(ISBLANK(N787), "", VLOOKUP(D787&amp;" "&amp;E787, 'Info Tipo de Cambio y REM'!$A$24:$B$35, 2, FALSE))
</f>
        <v/>
      </c>
      <c r="Q787" s="107" t="str">
        <f t="shared" si="3"/>
        <v/>
      </c>
    </row>
    <row r="788">
      <c r="A788" s="102"/>
      <c r="B788" s="102"/>
      <c r="C788" s="102"/>
      <c r="D788" s="51"/>
      <c r="E788" s="102"/>
      <c r="F788" s="102"/>
      <c r="G788" s="103"/>
      <c r="H788" s="103" t="str">
        <f t="shared" si="2"/>
        <v/>
      </c>
      <c r="I788" s="103"/>
      <c r="M788" s="103"/>
      <c r="N788" s="113"/>
      <c r="O788" s="107"/>
      <c r="P788" s="106" t="str">
        <f>IF(ISBLANK(N788), "", VLOOKUP(D788&amp;" "&amp;E788, 'Info Tipo de Cambio y REM'!$A$24:$B$35, 2, FALSE))
</f>
        <v/>
      </c>
      <c r="Q788" s="107" t="str">
        <f t="shared" si="3"/>
        <v/>
      </c>
    </row>
    <row r="789">
      <c r="A789" s="102"/>
      <c r="B789" s="102"/>
      <c r="C789" s="102"/>
      <c r="D789" s="51"/>
      <c r="E789" s="102"/>
      <c r="F789" s="102"/>
      <c r="G789" s="103"/>
      <c r="H789" s="103" t="str">
        <f t="shared" si="2"/>
        <v/>
      </c>
      <c r="I789" s="103"/>
      <c r="M789" s="103"/>
      <c r="N789" s="113"/>
      <c r="O789" s="107"/>
      <c r="P789" s="106" t="str">
        <f>IF(ISBLANK(N789), "", VLOOKUP(D789&amp;" "&amp;E789, 'Info Tipo de Cambio y REM'!$A$24:$B$35, 2, FALSE))
</f>
        <v/>
      </c>
      <c r="Q789" s="107" t="str">
        <f t="shared" si="3"/>
        <v/>
      </c>
    </row>
    <row r="790">
      <c r="A790" s="102"/>
      <c r="B790" s="102"/>
      <c r="C790" s="102"/>
      <c r="D790" s="51"/>
      <c r="E790" s="102"/>
      <c r="F790" s="102"/>
      <c r="G790" s="103"/>
      <c r="H790" s="103" t="str">
        <f t="shared" si="2"/>
        <v/>
      </c>
      <c r="I790" s="103"/>
      <c r="M790" s="103"/>
      <c r="N790" s="113"/>
      <c r="O790" s="107"/>
      <c r="P790" s="106" t="str">
        <f>IF(ISBLANK(N790), "", VLOOKUP(D790&amp;" "&amp;E790, 'Info Tipo de Cambio y REM'!$A$24:$B$35, 2, FALSE))
</f>
        <v/>
      </c>
      <c r="Q790" s="107" t="str">
        <f t="shared" si="3"/>
        <v/>
      </c>
    </row>
    <row r="791">
      <c r="A791" s="102"/>
      <c r="B791" s="102"/>
      <c r="C791" s="102"/>
      <c r="D791" s="51"/>
      <c r="E791" s="102"/>
      <c r="F791" s="102"/>
      <c r="G791" s="103"/>
      <c r="H791" s="103" t="str">
        <f t="shared" si="2"/>
        <v/>
      </c>
      <c r="I791" s="103"/>
      <c r="M791" s="103"/>
      <c r="N791" s="113"/>
      <c r="O791" s="107"/>
      <c r="P791" s="106" t="str">
        <f>IF(ISBLANK(N791), "", VLOOKUP(D791&amp;" "&amp;E791, 'Info Tipo de Cambio y REM'!$A$24:$B$35, 2, FALSE))
</f>
        <v/>
      </c>
      <c r="Q791" s="107" t="str">
        <f t="shared" si="3"/>
        <v/>
      </c>
    </row>
    <row r="792">
      <c r="A792" s="102"/>
      <c r="B792" s="102"/>
      <c r="C792" s="102"/>
      <c r="D792" s="51"/>
      <c r="E792" s="102"/>
      <c r="F792" s="102"/>
      <c r="G792" s="103"/>
      <c r="H792" s="103" t="str">
        <f t="shared" si="2"/>
        <v/>
      </c>
      <c r="I792" s="103"/>
      <c r="M792" s="103"/>
      <c r="N792" s="113"/>
      <c r="O792" s="107"/>
      <c r="P792" s="106" t="str">
        <f>IF(ISBLANK(N792), "", VLOOKUP(D792&amp;" "&amp;E792, 'Info Tipo de Cambio y REM'!$A$24:$B$35, 2, FALSE))
</f>
        <v/>
      </c>
      <c r="Q792" s="107" t="str">
        <f t="shared" si="3"/>
        <v/>
      </c>
    </row>
    <row r="793">
      <c r="A793" s="102"/>
      <c r="B793" s="102"/>
      <c r="C793" s="102"/>
      <c r="D793" s="51"/>
      <c r="E793" s="102"/>
      <c r="F793" s="102"/>
      <c r="G793" s="103"/>
      <c r="H793" s="103" t="str">
        <f t="shared" si="2"/>
        <v/>
      </c>
      <c r="I793" s="103"/>
      <c r="M793" s="103"/>
      <c r="N793" s="113"/>
      <c r="O793" s="107"/>
      <c r="P793" s="106" t="str">
        <f>IF(ISBLANK(N793), "", VLOOKUP(D793&amp;" "&amp;E793, 'Info Tipo de Cambio y REM'!$A$24:$B$35, 2, FALSE))
</f>
        <v/>
      </c>
      <c r="Q793" s="107" t="str">
        <f t="shared" si="3"/>
        <v/>
      </c>
    </row>
    <row r="794">
      <c r="A794" s="102"/>
      <c r="B794" s="102"/>
      <c r="C794" s="102"/>
      <c r="D794" s="51"/>
      <c r="E794" s="102"/>
      <c r="F794" s="102"/>
      <c r="G794" s="103"/>
      <c r="H794" s="103" t="str">
        <f t="shared" si="2"/>
        <v/>
      </c>
      <c r="I794" s="103"/>
      <c r="M794" s="103"/>
      <c r="N794" s="113"/>
      <c r="O794" s="107"/>
      <c r="P794" s="106" t="str">
        <f>IF(ISBLANK(N794), "", VLOOKUP(D794&amp;" "&amp;E794, 'Info Tipo de Cambio y REM'!$A$24:$B$35, 2, FALSE))
</f>
        <v/>
      </c>
      <c r="Q794" s="107" t="str">
        <f t="shared" si="3"/>
        <v/>
      </c>
    </row>
    <row r="795">
      <c r="A795" s="102"/>
      <c r="B795" s="102"/>
      <c r="C795" s="102"/>
      <c r="D795" s="51"/>
      <c r="E795" s="102"/>
      <c r="F795" s="102"/>
      <c r="G795" s="103"/>
      <c r="H795" s="103" t="str">
        <f t="shared" si="2"/>
        <v/>
      </c>
      <c r="I795" s="103"/>
      <c r="M795" s="103"/>
      <c r="N795" s="113"/>
      <c r="O795" s="107"/>
      <c r="P795" s="106" t="str">
        <f>IF(ISBLANK(N795), "", VLOOKUP(D795&amp;" "&amp;E795, 'Info Tipo de Cambio y REM'!$A$24:$B$35, 2, FALSE))
</f>
        <v/>
      </c>
      <c r="Q795" s="107" t="str">
        <f t="shared" si="3"/>
        <v/>
      </c>
    </row>
    <row r="796">
      <c r="A796" s="102"/>
      <c r="B796" s="102"/>
      <c r="C796" s="102"/>
      <c r="D796" s="51"/>
      <c r="E796" s="102"/>
      <c r="F796" s="102"/>
      <c r="G796" s="103"/>
      <c r="H796" s="103" t="str">
        <f t="shared" si="2"/>
        <v/>
      </c>
      <c r="I796" s="103"/>
      <c r="M796" s="103"/>
      <c r="N796" s="113"/>
      <c r="O796" s="107"/>
      <c r="P796" s="106" t="str">
        <f>IF(ISBLANK(N796), "", VLOOKUP(D796&amp;" "&amp;E796, 'Info Tipo de Cambio y REM'!$A$24:$B$35, 2, FALSE))
</f>
        <v/>
      </c>
      <c r="Q796" s="107" t="str">
        <f t="shared" si="3"/>
        <v/>
      </c>
    </row>
    <row r="797">
      <c r="A797" s="102"/>
      <c r="B797" s="102"/>
      <c r="C797" s="102"/>
      <c r="D797" s="51"/>
      <c r="E797" s="102"/>
      <c r="F797" s="102"/>
      <c r="G797" s="103"/>
      <c r="H797" s="103" t="str">
        <f t="shared" si="2"/>
        <v/>
      </c>
      <c r="I797" s="103"/>
      <c r="M797" s="103"/>
      <c r="N797" s="113"/>
      <c r="O797" s="107"/>
      <c r="P797" s="106" t="str">
        <f>IF(ISBLANK(N797), "", VLOOKUP(D797&amp;" "&amp;E797, 'Info Tipo de Cambio y REM'!$A$24:$B$35, 2, FALSE))
</f>
        <v/>
      </c>
      <c r="Q797" s="107" t="str">
        <f t="shared" si="3"/>
        <v/>
      </c>
    </row>
    <row r="798">
      <c r="A798" s="102"/>
      <c r="B798" s="102"/>
      <c r="C798" s="102"/>
      <c r="D798" s="51"/>
      <c r="E798" s="102"/>
      <c r="F798" s="102"/>
      <c r="G798" s="103"/>
      <c r="H798" s="103" t="str">
        <f t="shared" si="2"/>
        <v/>
      </c>
      <c r="I798" s="103"/>
      <c r="M798" s="103"/>
      <c r="N798" s="113"/>
      <c r="O798" s="107"/>
      <c r="P798" s="106" t="str">
        <f>IF(ISBLANK(N798), "", VLOOKUP(D798&amp;" "&amp;E798, 'Info Tipo de Cambio y REM'!$A$24:$B$35, 2, FALSE))
</f>
        <v/>
      </c>
      <c r="Q798" s="107" t="str">
        <f t="shared" si="3"/>
        <v/>
      </c>
    </row>
    <row r="799">
      <c r="A799" s="102"/>
      <c r="B799" s="102"/>
      <c r="C799" s="102"/>
      <c r="D799" s="51"/>
      <c r="E799" s="102"/>
      <c r="F799" s="102"/>
      <c r="G799" s="103"/>
      <c r="H799" s="103" t="str">
        <f t="shared" si="2"/>
        <v/>
      </c>
      <c r="I799" s="103"/>
      <c r="M799" s="103"/>
      <c r="N799" s="113"/>
      <c r="O799" s="107"/>
      <c r="P799" s="106" t="str">
        <f>IF(ISBLANK(N799), "", VLOOKUP(D799&amp;" "&amp;E799, 'Info Tipo de Cambio y REM'!$A$24:$B$35, 2, FALSE))
</f>
        <v/>
      </c>
      <c r="Q799" s="107" t="str">
        <f t="shared" si="3"/>
        <v/>
      </c>
    </row>
    <row r="800">
      <c r="A800" s="102"/>
      <c r="B800" s="102"/>
      <c r="C800" s="102"/>
      <c r="D800" s="51"/>
      <c r="E800" s="102"/>
      <c r="F800" s="102"/>
      <c r="G800" s="103"/>
      <c r="H800" s="103" t="str">
        <f t="shared" si="2"/>
        <v/>
      </c>
      <c r="I800" s="103"/>
      <c r="M800" s="103"/>
      <c r="N800" s="113"/>
      <c r="O800" s="107"/>
      <c r="P800" s="106" t="str">
        <f>IF(ISBLANK(N800), "", VLOOKUP(D800&amp;" "&amp;E800, 'Info Tipo de Cambio y REM'!$A$24:$B$35, 2, FALSE))
</f>
        <v/>
      </c>
      <c r="Q800" s="107" t="str">
        <f t="shared" si="3"/>
        <v/>
      </c>
    </row>
    <row r="801">
      <c r="A801" s="102"/>
      <c r="B801" s="102"/>
      <c r="C801" s="102"/>
      <c r="D801" s="51"/>
      <c r="E801" s="102"/>
      <c r="F801" s="102"/>
      <c r="G801" s="103"/>
      <c r="H801" s="103" t="str">
        <f t="shared" si="2"/>
        <v/>
      </c>
      <c r="I801" s="103"/>
      <c r="M801" s="103"/>
      <c r="N801" s="113"/>
      <c r="O801" s="107"/>
      <c r="P801" s="106" t="str">
        <f>IF(ISBLANK(N801), "", VLOOKUP(D801&amp;" "&amp;E801, 'Info Tipo de Cambio y REM'!$A$24:$B$35, 2, FALSE))
</f>
        <v/>
      </c>
      <c r="Q801" s="107" t="str">
        <f t="shared" si="3"/>
        <v/>
      </c>
    </row>
    <row r="802">
      <c r="A802" s="102"/>
      <c r="B802" s="102"/>
      <c r="C802" s="102"/>
      <c r="D802" s="51"/>
      <c r="E802" s="102"/>
      <c r="F802" s="102"/>
      <c r="G802" s="103"/>
      <c r="H802" s="103" t="str">
        <f t="shared" si="2"/>
        <v/>
      </c>
      <c r="I802" s="103"/>
      <c r="M802" s="103"/>
      <c r="N802" s="113"/>
      <c r="O802" s="107"/>
      <c r="P802" s="106" t="str">
        <f>IF(ISBLANK(N802), "", VLOOKUP(D802&amp;" "&amp;E802, 'Info Tipo de Cambio y REM'!$A$24:$B$35, 2, FALSE))
</f>
        <v/>
      </c>
      <c r="Q802" s="107" t="str">
        <f t="shared" si="3"/>
        <v/>
      </c>
    </row>
    <row r="803">
      <c r="A803" s="102"/>
      <c r="B803" s="102"/>
      <c r="C803" s="102"/>
      <c r="D803" s="51"/>
      <c r="E803" s="102"/>
      <c r="F803" s="102"/>
      <c r="G803" s="103"/>
      <c r="H803" s="103" t="str">
        <f t="shared" si="2"/>
        <v/>
      </c>
      <c r="I803" s="103"/>
      <c r="M803" s="103"/>
      <c r="N803" s="113"/>
      <c r="O803" s="107"/>
      <c r="P803" s="106" t="str">
        <f>IF(ISBLANK(N803), "", VLOOKUP(D803&amp;" "&amp;E803, 'Info Tipo de Cambio y REM'!$A$24:$B$35, 2, FALSE))
</f>
        <v/>
      </c>
      <c r="Q803" s="107" t="str">
        <f t="shared" si="3"/>
        <v/>
      </c>
    </row>
    <row r="804">
      <c r="A804" s="102"/>
      <c r="B804" s="102"/>
      <c r="C804" s="102"/>
      <c r="D804" s="51"/>
      <c r="E804" s="102"/>
      <c r="F804" s="102"/>
      <c r="G804" s="103"/>
      <c r="H804" s="103" t="str">
        <f t="shared" si="2"/>
        <v/>
      </c>
      <c r="I804" s="103"/>
      <c r="M804" s="103"/>
      <c r="N804" s="113"/>
      <c r="O804" s="107"/>
      <c r="P804" s="106" t="str">
        <f>IF(ISBLANK(N804), "", VLOOKUP(D804&amp;" "&amp;E804, 'Info Tipo de Cambio y REM'!$A$24:$B$35, 2, FALSE))
</f>
        <v/>
      </c>
      <c r="Q804" s="107" t="str">
        <f t="shared" si="3"/>
        <v/>
      </c>
    </row>
    <row r="805">
      <c r="A805" s="102"/>
      <c r="B805" s="102"/>
      <c r="C805" s="102"/>
      <c r="D805" s="51"/>
      <c r="E805" s="102"/>
      <c r="F805" s="102"/>
      <c r="G805" s="103"/>
      <c r="H805" s="103" t="str">
        <f t="shared" si="2"/>
        <v/>
      </c>
      <c r="I805" s="103"/>
      <c r="M805" s="103"/>
      <c r="N805" s="113"/>
      <c r="O805" s="107"/>
      <c r="P805" s="106" t="str">
        <f>IF(ISBLANK(N805), "", VLOOKUP(D805&amp;" "&amp;E805, 'Info Tipo de Cambio y REM'!$A$24:$B$35, 2, FALSE))
</f>
        <v/>
      </c>
      <c r="Q805" s="107" t="str">
        <f t="shared" si="3"/>
        <v/>
      </c>
    </row>
    <row r="806">
      <c r="A806" s="102"/>
      <c r="B806" s="102"/>
      <c r="C806" s="102"/>
      <c r="D806" s="51"/>
      <c r="E806" s="102"/>
      <c r="F806" s="102"/>
      <c r="G806" s="103"/>
      <c r="H806" s="103" t="str">
        <f t="shared" si="2"/>
        <v/>
      </c>
      <c r="I806" s="103"/>
      <c r="M806" s="103"/>
      <c r="N806" s="113"/>
      <c r="O806" s="107"/>
      <c r="P806" s="106" t="str">
        <f>IF(ISBLANK(N806), "", VLOOKUP(D806&amp;" "&amp;E806, 'Info Tipo de Cambio y REM'!$A$24:$B$35, 2, FALSE))
</f>
        <v/>
      </c>
      <c r="Q806" s="107" t="str">
        <f t="shared" si="3"/>
        <v/>
      </c>
    </row>
    <row r="807">
      <c r="A807" s="102"/>
      <c r="B807" s="102"/>
      <c r="C807" s="102"/>
      <c r="D807" s="51"/>
      <c r="E807" s="102"/>
      <c r="F807" s="102"/>
      <c r="G807" s="103"/>
      <c r="H807" s="103" t="str">
        <f t="shared" si="2"/>
        <v/>
      </c>
      <c r="I807" s="103"/>
      <c r="M807" s="103"/>
      <c r="N807" s="113"/>
      <c r="O807" s="107"/>
      <c r="P807" s="106" t="str">
        <f>IF(ISBLANK(N807), "", VLOOKUP(D807&amp;" "&amp;E807, 'Info Tipo de Cambio y REM'!$A$24:$B$35, 2, FALSE))
</f>
        <v/>
      </c>
      <c r="Q807" s="107" t="str">
        <f t="shared" si="3"/>
        <v/>
      </c>
    </row>
    <row r="808">
      <c r="A808" s="102"/>
      <c r="B808" s="102"/>
      <c r="C808" s="102"/>
      <c r="D808" s="51"/>
      <c r="E808" s="102"/>
      <c r="F808" s="102"/>
      <c r="G808" s="103"/>
      <c r="H808" s="103" t="str">
        <f t="shared" si="2"/>
        <v/>
      </c>
      <c r="I808" s="103"/>
      <c r="M808" s="103"/>
      <c r="N808" s="113"/>
      <c r="O808" s="107"/>
      <c r="P808" s="106" t="str">
        <f>IF(ISBLANK(N808), "", VLOOKUP(D808&amp;" "&amp;E808, 'Info Tipo de Cambio y REM'!$A$24:$B$35, 2, FALSE))
</f>
        <v/>
      </c>
      <c r="Q808" s="107" t="str">
        <f t="shared" si="3"/>
        <v/>
      </c>
    </row>
    <row r="809">
      <c r="A809" s="102"/>
      <c r="B809" s="102"/>
      <c r="C809" s="102"/>
      <c r="D809" s="51"/>
      <c r="E809" s="102"/>
      <c r="F809" s="102"/>
      <c r="G809" s="103"/>
      <c r="H809" s="103" t="str">
        <f t="shared" si="2"/>
        <v/>
      </c>
      <c r="I809" s="103"/>
      <c r="M809" s="103"/>
      <c r="N809" s="113"/>
      <c r="O809" s="107"/>
      <c r="P809" s="106" t="str">
        <f>IF(ISBLANK(N809), "", VLOOKUP(D809&amp;" "&amp;E809, 'Info Tipo de Cambio y REM'!$A$24:$B$35, 2, FALSE))
</f>
        <v/>
      </c>
      <c r="Q809" s="107" t="str">
        <f t="shared" si="3"/>
        <v/>
      </c>
    </row>
    <row r="810">
      <c r="A810" s="102"/>
      <c r="B810" s="102"/>
      <c r="C810" s="102"/>
      <c r="D810" s="51"/>
      <c r="E810" s="102"/>
      <c r="F810" s="102"/>
      <c r="G810" s="103"/>
      <c r="H810" s="103" t="str">
        <f t="shared" si="2"/>
        <v/>
      </c>
      <c r="I810" s="103"/>
      <c r="M810" s="103"/>
      <c r="N810" s="113"/>
      <c r="O810" s="107"/>
      <c r="P810" s="106" t="str">
        <f>IF(ISBLANK(N810), "", VLOOKUP(D810&amp;" "&amp;E810, 'Info Tipo de Cambio y REM'!$A$24:$B$35, 2, FALSE))
</f>
        <v/>
      </c>
      <c r="Q810" s="107" t="str">
        <f t="shared" si="3"/>
        <v/>
      </c>
    </row>
    <row r="811">
      <c r="A811" s="102"/>
      <c r="B811" s="102"/>
      <c r="C811" s="102"/>
      <c r="D811" s="51"/>
      <c r="E811" s="102"/>
      <c r="F811" s="102"/>
      <c r="G811" s="103"/>
      <c r="H811" s="103" t="str">
        <f t="shared" si="2"/>
        <v/>
      </c>
      <c r="I811" s="103"/>
      <c r="M811" s="103"/>
      <c r="N811" s="113"/>
      <c r="O811" s="107"/>
      <c r="P811" s="106" t="str">
        <f>IF(ISBLANK(N811), "", VLOOKUP(D811&amp;" "&amp;E811, 'Info Tipo de Cambio y REM'!$A$24:$B$35, 2, FALSE))
</f>
        <v/>
      </c>
      <c r="Q811" s="107" t="str">
        <f t="shared" si="3"/>
        <v/>
      </c>
    </row>
    <row r="812">
      <c r="A812" s="102"/>
      <c r="B812" s="102"/>
      <c r="C812" s="102"/>
      <c r="D812" s="51"/>
      <c r="E812" s="102"/>
      <c r="F812" s="102"/>
      <c r="G812" s="103"/>
      <c r="H812" s="103" t="str">
        <f t="shared" si="2"/>
        <v/>
      </c>
      <c r="I812" s="103"/>
      <c r="M812" s="103"/>
      <c r="N812" s="113"/>
      <c r="O812" s="107"/>
      <c r="P812" s="106" t="str">
        <f>IF(ISBLANK(N812), "", VLOOKUP(D812&amp;" "&amp;E812, 'Info Tipo de Cambio y REM'!$A$24:$B$35, 2, FALSE))
</f>
        <v/>
      </c>
      <c r="Q812" s="107" t="str">
        <f t="shared" si="3"/>
        <v/>
      </c>
    </row>
    <row r="813">
      <c r="A813" s="102"/>
      <c r="B813" s="102"/>
      <c r="C813" s="102"/>
      <c r="D813" s="51"/>
      <c r="E813" s="102"/>
      <c r="F813" s="102"/>
      <c r="G813" s="103"/>
      <c r="H813" s="103" t="str">
        <f t="shared" si="2"/>
        <v/>
      </c>
      <c r="I813" s="103"/>
      <c r="M813" s="103"/>
      <c r="N813" s="113"/>
      <c r="O813" s="107"/>
      <c r="P813" s="106" t="str">
        <f>IF(ISBLANK(N813), "", VLOOKUP(D813&amp;" "&amp;E813, 'Info Tipo de Cambio y REM'!$A$24:$B$35, 2, FALSE))
</f>
        <v/>
      </c>
      <c r="Q813" s="107" t="str">
        <f t="shared" si="3"/>
        <v/>
      </c>
    </row>
    <row r="814">
      <c r="A814" s="102"/>
      <c r="B814" s="102"/>
      <c r="C814" s="102"/>
      <c r="D814" s="51"/>
      <c r="E814" s="102"/>
      <c r="F814" s="102"/>
      <c r="G814" s="103"/>
      <c r="H814" s="103" t="str">
        <f t="shared" si="2"/>
        <v/>
      </c>
      <c r="I814" s="103"/>
      <c r="M814" s="103"/>
      <c r="N814" s="113"/>
      <c r="O814" s="107"/>
      <c r="P814" s="106" t="str">
        <f>IF(ISBLANK(N814), "", VLOOKUP(D814&amp;" "&amp;E814, 'Info Tipo de Cambio y REM'!$A$24:$B$35, 2, FALSE))
</f>
        <v/>
      </c>
      <c r="Q814" s="107" t="str">
        <f t="shared" si="3"/>
        <v/>
      </c>
    </row>
    <row r="815">
      <c r="A815" s="102"/>
      <c r="B815" s="102"/>
      <c r="C815" s="102"/>
      <c r="D815" s="51"/>
      <c r="E815" s="102"/>
      <c r="F815" s="102"/>
      <c r="G815" s="103"/>
      <c r="H815" s="103" t="str">
        <f t="shared" si="2"/>
        <v/>
      </c>
      <c r="I815" s="103"/>
      <c r="M815" s="103"/>
      <c r="N815" s="113"/>
      <c r="O815" s="107"/>
      <c r="P815" s="106" t="str">
        <f>IF(ISBLANK(N815), "", VLOOKUP(D815&amp;" "&amp;E815, 'Info Tipo de Cambio y REM'!$A$24:$B$35, 2, FALSE))
</f>
        <v/>
      </c>
      <c r="Q815" s="107" t="str">
        <f t="shared" si="3"/>
        <v/>
      </c>
    </row>
    <row r="816">
      <c r="A816" s="102"/>
      <c r="B816" s="102"/>
      <c r="C816" s="102"/>
      <c r="D816" s="51"/>
      <c r="E816" s="102"/>
      <c r="F816" s="102"/>
      <c r="G816" s="103"/>
      <c r="H816" s="103" t="str">
        <f t="shared" si="2"/>
        <v/>
      </c>
      <c r="I816" s="103"/>
      <c r="M816" s="103"/>
      <c r="N816" s="113"/>
      <c r="O816" s="107"/>
      <c r="P816" s="106" t="str">
        <f>IF(ISBLANK(N816), "", VLOOKUP(D816&amp;" "&amp;E816, 'Info Tipo de Cambio y REM'!$A$24:$B$35, 2, FALSE))
</f>
        <v/>
      </c>
      <c r="Q816" s="107" t="str">
        <f t="shared" si="3"/>
        <v/>
      </c>
    </row>
    <row r="817">
      <c r="A817" s="102"/>
      <c r="B817" s="102"/>
      <c r="C817" s="102"/>
      <c r="D817" s="51"/>
      <c r="E817" s="102"/>
      <c r="F817" s="102"/>
      <c r="G817" s="103"/>
      <c r="H817" s="103" t="str">
        <f t="shared" si="2"/>
        <v/>
      </c>
      <c r="I817" s="103"/>
      <c r="M817" s="103"/>
      <c r="N817" s="113"/>
      <c r="O817" s="107"/>
      <c r="P817" s="106" t="str">
        <f>IF(ISBLANK(N817), "", VLOOKUP(D817&amp;" "&amp;E817, 'Info Tipo de Cambio y REM'!$A$24:$B$35, 2, FALSE))
</f>
        <v/>
      </c>
      <c r="Q817" s="107" t="str">
        <f t="shared" si="3"/>
        <v/>
      </c>
    </row>
    <row r="818">
      <c r="A818" s="102"/>
      <c r="B818" s="102"/>
      <c r="C818" s="102"/>
      <c r="D818" s="51"/>
      <c r="E818" s="102"/>
      <c r="F818" s="102"/>
      <c r="G818" s="103"/>
      <c r="H818" s="103" t="str">
        <f t="shared" si="2"/>
        <v/>
      </c>
      <c r="I818" s="103"/>
      <c r="M818" s="103"/>
      <c r="N818" s="113"/>
      <c r="O818" s="107"/>
      <c r="P818" s="106" t="str">
        <f>IF(ISBLANK(N818), "", VLOOKUP(D818&amp;" "&amp;E818, 'Info Tipo de Cambio y REM'!$A$24:$B$35, 2, FALSE))
</f>
        <v/>
      </c>
      <c r="Q818" s="107" t="str">
        <f t="shared" si="3"/>
        <v/>
      </c>
    </row>
    <row r="819">
      <c r="A819" s="102"/>
      <c r="B819" s="102"/>
      <c r="C819" s="102"/>
      <c r="D819" s="51"/>
      <c r="E819" s="102"/>
      <c r="F819" s="102"/>
      <c r="G819" s="103"/>
      <c r="H819" s="103" t="str">
        <f t="shared" si="2"/>
        <v/>
      </c>
      <c r="I819" s="103"/>
      <c r="M819" s="103"/>
      <c r="N819" s="113"/>
      <c r="O819" s="107"/>
      <c r="P819" s="106" t="str">
        <f>IF(ISBLANK(N819), "", VLOOKUP(D819&amp;" "&amp;E819, 'Info Tipo de Cambio y REM'!$A$24:$B$35, 2, FALSE))
</f>
        <v/>
      </c>
      <c r="Q819" s="107" t="str">
        <f t="shared" si="3"/>
        <v/>
      </c>
    </row>
    <row r="820">
      <c r="A820" s="102"/>
      <c r="B820" s="102"/>
      <c r="C820" s="102"/>
      <c r="D820" s="51"/>
      <c r="E820" s="102"/>
      <c r="F820" s="102"/>
      <c r="G820" s="103"/>
      <c r="H820" s="103" t="str">
        <f t="shared" si="2"/>
        <v/>
      </c>
      <c r="I820" s="103"/>
      <c r="M820" s="103"/>
      <c r="N820" s="113"/>
      <c r="O820" s="107"/>
      <c r="P820" s="106" t="str">
        <f>IF(ISBLANK(N820), "", VLOOKUP(D820&amp;" "&amp;E820, 'Info Tipo de Cambio y REM'!$A$24:$B$35, 2, FALSE))
</f>
        <v/>
      </c>
      <c r="Q820" s="107" t="str">
        <f t="shared" si="3"/>
        <v/>
      </c>
    </row>
    <row r="821">
      <c r="A821" s="102"/>
      <c r="B821" s="102"/>
      <c r="C821" s="102"/>
      <c r="D821" s="51"/>
      <c r="E821" s="102"/>
      <c r="F821" s="102"/>
      <c r="G821" s="103"/>
      <c r="H821" s="103" t="str">
        <f t="shared" si="2"/>
        <v/>
      </c>
      <c r="I821" s="103"/>
      <c r="M821" s="103"/>
      <c r="N821" s="113"/>
      <c r="O821" s="107"/>
      <c r="P821" s="106" t="str">
        <f>IF(ISBLANK(N821), "", VLOOKUP(D821&amp;" "&amp;E821, 'Info Tipo de Cambio y REM'!$A$24:$B$35, 2, FALSE))
</f>
        <v/>
      </c>
      <c r="Q821" s="107" t="str">
        <f t="shared" si="3"/>
        <v/>
      </c>
    </row>
    <row r="822">
      <c r="A822" s="102"/>
      <c r="B822" s="102"/>
      <c r="C822" s="102"/>
      <c r="D822" s="51"/>
      <c r="E822" s="102"/>
      <c r="F822" s="102"/>
      <c r="G822" s="103"/>
      <c r="H822" s="103" t="str">
        <f t="shared" si="2"/>
        <v/>
      </c>
      <c r="I822" s="103"/>
      <c r="M822" s="103"/>
      <c r="N822" s="113"/>
      <c r="O822" s="107"/>
      <c r="P822" s="106" t="str">
        <f>IF(ISBLANK(N822), "", VLOOKUP(D822&amp;" "&amp;E822, 'Info Tipo de Cambio y REM'!$A$24:$B$35, 2, FALSE))
</f>
        <v/>
      </c>
      <c r="Q822" s="107" t="str">
        <f t="shared" si="3"/>
        <v/>
      </c>
    </row>
    <row r="823">
      <c r="A823" s="102"/>
      <c r="B823" s="102"/>
      <c r="C823" s="102"/>
      <c r="D823" s="51"/>
      <c r="E823" s="102"/>
      <c r="F823" s="102"/>
      <c r="G823" s="103"/>
      <c r="H823" s="103" t="str">
        <f t="shared" si="2"/>
        <v/>
      </c>
      <c r="I823" s="103"/>
      <c r="M823" s="103"/>
      <c r="N823" s="113"/>
      <c r="O823" s="107"/>
      <c r="P823" s="106" t="str">
        <f>IF(ISBLANK(N823), "", VLOOKUP(D823&amp;" "&amp;E823, 'Info Tipo de Cambio y REM'!$A$24:$B$35, 2, FALSE))
</f>
        <v/>
      </c>
      <c r="Q823" s="107" t="str">
        <f t="shared" si="3"/>
        <v/>
      </c>
    </row>
    <row r="824">
      <c r="A824" s="102"/>
      <c r="B824" s="102"/>
      <c r="C824" s="102"/>
      <c r="D824" s="51"/>
      <c r="E824" s="102"/>
      <c r="F824" s="102"/>
      <c r="G824" s="103"/>
      <c r="H824" s="103" t="str">
        <f t="shared" si="2"/>
        <v/>
      </c>
      <c r="I824" s="103"/>
      <c r="M824" s="103"/>
      <c r="N824" s="113"/>
      <c r="O824" s="107"/>
      <c r="P824" s="106" t="str">
        <f>IF(ISBLANK(N824), "", VLOOKUP(D824&amp;" "&amp;E824, 'Info Tipo de Cambio y REM'!$A$24:$B$35, 2, FALSE))
</f>
        <v/>
      </c>
      <c r="Q824" s="107" t="str">
        <f t="shared" si="3"/>
        <v/>
      </c>
    </row>
    <row r="825">
      <c r="A825" s="102"/>
      <c r="B825" s="102"/>
      <c r="C825" s="102"/>
      <c r="D825" s="51"/>
      <c r="E825" s="102"/>
      <c r="F825" s="102"/>
      <c r="G825" s="103"/>
      <c r="H825" s="103" t="str">
        <f t="shared" si="2"/>
        <v/>
      </c>
      <c r="I825" s="103"/>
      <c r="M825" s="103"/>
      <c r="N825" s="113"/>
      <c r="O825" s="107"/>
      <c r="P825" s="106" t="str">
        <f>IF(ISBLANK(N825), "", VLOOKUP(D825&amp;" "&amp;E825, 'Info Tipo de Cambio y REM'!$A$24:$B$35, 2, FALSE))
</f>
        <v/>
      </c>
      <c r="Q825" s="107" t="str">
        <f t="shared" si="3"/>
        <v/>
      </c>
    </row>
    <row r="826">
      <c r="A826" s="102"/>
      <c r="B826" s="102"/>
      <c r="C826" s="102"/>
      <c r="D826" s="51"/>
      <c r="E826" s="102"/>
      <c r="F826" s="102"/>
      <c r="G826" s="103"/>
      <c r="H826" s="103" t="str">
        <f t="shared" si="2"/>
        <v/>
      </c>
      <c r="I826" s="103"/>
      <c r="M826" s="103"/>
      <c r="N826" s="113"/>
      <c r="O826" s="107"/>
      <c r="P826" s="106" t="str">
        <f>IF(ISBLANK(N826), "", VLOOKUP(D826&amp;" "&amp;E826, 'Info Tipo de Cambio y REM'!$A$24:$B$35, 2, FALSE))
</f>
        <v/>
      </c>
      <c r="Q826" s="107" t="str">
        <f t="shared" si="3"/>
        <v/>
      </c>
    </row>
    <row r="827">
      <c r="A827" s="102"/>
      <c r="B827" s="102"/>
      <c r="C827" s="102"/>
      <c r="D827" s="51"/>
      <c r="E827" s="102"/>
      <c r="F827" s="102"/>
      <c r="G827" s="103"/>
      <c r="H827" s="103" t="str">
        <f t="shared" si="2"/>
        <v/>
      </c>
      <c r="I827" s="103"/>
      <c r="M827" s="103"/>
      <c r="N827" s="113"/>
      <c r="O827" s="107"/>
      <c r="P827" s="106" t="str">
        <f>IF(ISBLANK(N827), "", VLOOKUP(D827&amp;" "&amp;E827, 'Info Tipo de Cambio y REM'!$A$24:$B$35, 2, FALSE))
</f>
        <v/>
      </c>
      <c r="Q827" s="107" t="str">
        <f t="shared" si="3"/>
        <v/>
      </c>
    </row>
    <row r="828">
      <c r="A828" s="102"/>
      <c r="B828" s="102"/>
      <c r="C828" s="102"/>
      <c r="D828" s="51"/>
      <c r="E828" s="102"/>
      <c r="F828" s="102"/>
      <c r="G828" s="103"/>
      <c r="H828" s="103" t="str">
        <f t="shared" si="2"/>
        <v/>
      </c>
      <c r="I828" s="103"/>
      <c r="M828" s="103"/>
      <c r="N828" s="113"/>
      <c r="O828" s="107"/>
      <c r="P828" s="106" t="str">
        <f>IF(ISBLANK(N828), "", VLOOKUP(D828&amp;" "&amp;E828, 'Info Tipo de Cambio y REM'!$A$24:$B$35, 2, FALSE))
</f>
        <v/>
      </c>
      <c r="Q828" s="107" t="str">
        <f t="shared" si="3"/>
        <v/>
      </c>
    </row>
    <row r="829">
      <c r="A829" s="102"/>
      <c r="B829" s="102"/>
      <c r="C829" s="102"/>
      <c r="D829" s="51"/>
      <c r="E829" s="102"/>
      <c r="F829" s="102"/>
      <c r="G829" s="103"/>
      <c r="H829" s="103" t="str">
        <f t="shared" si="2"/>
        <v/>
      </c>
      <c r="I829" s="103"/>
      <c r="M829" s="103"/>
      <c r="N829" s="113"/>
      <c r="O829" s="107"/>
      <c r="P829" s="106" t="str">
        <f>IF(ISBLANK(N829), "", VLOOKUP(D829&amp;" "&amp;E829, 'Info Tipo de Cambio y REM'!$A$24:$B$35, 2, FALSE))
</f>
        <v/>
      </c>
      <c r="Q829" s="107" t="str">
        <f t="shared" si="3"/>
        <v/>
      </c>
    </row>
    <row r="830">
      <c r="A830" s="102"/>
      <c r="B830" s="102"/>
      <c r="C830" s="102"/>
      <c r="D830" s="51"/>
      <c r="E830" s="102"/>
      <c r="F830" s="102"/>
      <c r="G830" s="103"/>
      <c r="H830" s="103" t="str">
        <f t="shared" si="2"/>
        <v/>
      </c>
      <c r="I830" s="103"/>
      <c r="M830" s="103"/>
      <c r="N830" s="113"/>
      <c r="O830" s="107"/>
      <c r="P830" s="106" t="str">
        <f>IF(ISBLANK(N830), "", VLOOKUP(D830&amp;" "&amp;E830, 'Info Tipo de Cambio y REM'!$A$24:$B$35, 2, FALSE))
</f>
        <v/>
      </c>
      <c r="Q830" s="107" t="str">
        <f t="shared" si="3"/>
        <v/>
      </c>
    </row>
    <row r="831">
      <c r="A831" s="102"/>
      <c r="B831" s="102"/>
      <c r="C831" s="102"/>
      <c r="D831" s="51"/>
      <c r="E831" s="102"/>
      <c r="F831" s="102"/>
      <c r="G831" s="103"/>
      <c r="H831" s="103" t="str">
        <f t="shared" si="2"/>
        <v/>
      </c>
      <c r="I831" s="103"/>
      <c r="M831" s="103"/>
      <c r="N831" s="113"/>
      <c r="O831" s="107"/>
      <c r="P831" s="106" t="str">
        <f>IF(ISBLANK(N831), "", VLOOKUP(D831&amp;" "&amp;E831, 'Info Tipo de Cambio y REM'!$A$24:$B$35, 2, FALSE))
</f>
        <v/>
      </c>
      <c r="Q831" s="107" t="str">
        <f t="shared" si="3"/>
        <v/>
      </c>
    </row>
    <row r="832">
      <c r="A832" s="102"/>
      <c r="B832" s="102"/>
      <c r="C832" s="102"/>
      <c r="D832" s="51"/>
      <c r="E832" s="102"/>
      <c r="F832" s="102"/>
      <c r="G832" s="103"/>
      <c r="H832" s="103" t="str">
        <f t="shared" si="2"/>
        <v/>
      </c>
      <c r="I832" s="103"/>
      <c r="M832" s="103"/>
      <c r="N832" s="113"/>
      <c r="O832" s="107"/>
      <c r="P832" s="106" t="str">
        <f>IF(ISBLANK(N832), "", VLOOKUP(D832&amp;" "&amp;E832, 'Info Tipo de Cambio y REM'!$A$24:$B$35, 2, FALSE))
</f>
        <v/>
      </c>
      <c r="Q832" s="107" t="str">
        <f t="shared" si="3"/>
        <v/>
      </c>
    </row>
    <row r="833">
      <c r="A833" s="102"/>
      <c r="B833" s="102"/>
      <c r="C833" s="102"/>
      <c r="D833" s="51"/>
      <c r="E833" s="102"/>
      <c r="F833" s="102"/>
      <c r="G833" s="103"/>
      <c r="H833" s="103" t="str">
        <f t="shared" si="2"/>
        <v/>
      </c>
      <c r="I833" s="103"/>
      <c r="M833" s="103"/>
      <c r="N833" s="113"/>
      <c r="O833" s="107"/>
      <c r="P833" s="106" t="str">
        <f>IF(ISBLANK(N833), "", VLOOKUP(D833&amp;" "&amp;E833, 'Info Tipo de Cambio y REM'!$A$24:$B$35, 2, FALSE))
</f>
        <v/>
      </c>
      <c r="Q833" s="107" t="str">
        <f t="shared" si="3"/>
        <v/>
      </c>
    </row>
    <row r="834">
      <c r="A834" s="102"/>
      <c r="B834" s="102"/>
      <c r="C834" s="102"/>
      <c r="D834" s="51"/>
      <c r="E834" s="102"/>
      <c r="F834" s="102"/>
      <c r="G834" s="103"/>
      <c r="H834" s="103" t="str">
        <f t="shared" si="2"/>
        <v/>
      </c>
      <c r="I834" s="103"/>
      <c r="M834" s="103"/>
      <c r="N834" s="113"/>
      <c r="O834" s="107"/>
      <c r="P834" s="106" t="str">
        <f>IF(ISBLANK(N834), "", VLOOKUP(D834&amp;" "&amp;E834, 'Info Tipo de Cambio y REM'!$A$24:$B$35, 2, FALSE))
</f>
        <v/>
      </c>
      <c r="Q834" s="107" t="str">
        <f t="shared" si="3"/>
        <v/>
      </c>
    </row>
    <row r="835">
      <c r="A835" s="102"/>
      <c r="B835" s="102"/>
      <c r="C835" s="102"/>
      <c r="D835" s="51"/>
      <c r="E835" s="102"/>
      <c r="F835" s="102"/>
      <c r="G835" s="103"/>
      <c r="H835" s="103" t="str">
        <f t="shared" si="2"/>
        <v/>
      </c>
      <c r="I835" s="103"/>
      <c r="M835" s="103"/>
      <c r="N835" s="113"/>
      <c r="O835" s="107"/>
      <c r="P835" s="106" t="str">
        <f>IF(ISBLANK(N835), "", VLOOKUP(D835&amp;" "&amp;E835, 'Info Tipo de Cambio y REM'!$A$24:$B$35, 2, FALSE))
</f>
        <v/>
      </c>
      <c r="Q835" s="107" t="str">
        <f t="shared" si="3"/>
        <v/>
      </c>
    </row>
    <row r="836">
      <c r="A836" s="102"/>
      <c r="B836" s="102"/>
      <c r="C836" s="102"/>
      <c r="D836" s="51"/>
      <c r="E836" s="102"/>
      <c r="F836" s="102"/>
      <c r="G836" s="103"/>
      <c r="H836" s="103" t="str">
        <f t="shared" si="2"/>
        <v/>
      </c>
      <c r="I836" s="103"/>
      <c r="M836" s="103"/>
      <c r="N836" s="113"/>
      <c r="O836" s="107"/>
      <c r="P836" s="106" t="str">
        <f>IF(ISBLANK(N836), "", VLOOKUP(D836&amp;" "&amp;E836, 'Info Tipo de Cambio y REM'!$A$24:$B$35, 2, FALSE))
</f>
        <v/>
      </c>
      <c r="Q836" s="107" t="str">
        <f t="shared" si="3"/>
        <v/>
      </c>
    </row>
    <row r="837">
      <c r="A837" s="102"/>
      <c r="B837" s="102"/>
      <c r="C837" s="102"/>
      <c r="D837" s="51"/>
      <c r="E837" s="102"/>
      <c r="F837" s="102"/>
      <c r="G837" s="103"/>
      <c r="H837" s="103" t="str">
        <f t="shared" si="2"/>
        <v/>
      </c>
      <c r="I837" s="103"/>
      <c r="M837" s="103"/>
      <c r="N837" s="113"/>
      <c r="O837" s="107"/>
      <c r="P837" s="106" t="str">
        <f>IF(ISBLANK(N837), "", VLOOKUP(D837&amp;" "&amp;E837, 'Info Tipo de Cambio y REM'!$A$24:$B$35, 2, FALSE))
</f>
        <v/>
      </c>
      <c r="Q837" s="107" t="str">
        <f t="shared" si="3"/>
        <v/>
      </c>
    </row>
    <row r="838">
      <c r="A838" s="102"/>
      <c r="B838" s="102"/>
      <c r="C838" s="102"/>
      <c r="D838" s="51"/>
      <c r="E838" s="102"/>
      <c r="F838" s="102"/>
      <c r="G838" s="103"/>
      <c r="H838" s="103" t="str">
        <f t="shared" si="2"/>
        <v/>
      </c>
      <c r="I838" s="103"/>
      <c r="M838" s="103"/>
      <c r="N838" s="113"/>
      <c r="O838" s="107"/>
      <c r="P838" s="106" t="str">
        <f>IF(ISBLANK(N838), "", VLOOKUP(D838&amp;" "&amp;E838, 'Info Tipo de Cambio y REM'!$A$24:$B$35, 2, FALSE))
</f>
        <v/>
      </c>
      <c r="Q838" s="107" t="str">
        <f t="shared" si="3"/>
        <v/>
      </c>
    </row>
    <row r="839">
      <c r="A839" s="102"/>
      <c r="B839" s="102"/>
      <c r="C839" s="102"/>
      <c r="D839" s="51"/>
      <c r="E839" s="102"/>
      <c r="F839" s="102"/>
      <c r="G839" s="103"/>
      <c r="H839" s="103" t="str">
        <f t="shared" si="2"/>
        <v/>
      </c>
      <c r="I839" s="103"/>
      <c r="M839" s="103"/>
      <c r="N839" s="113"/>
      <c r="O839" s="107"/>
      <c r="P839" s="106" t="str">
        <f>IF(ISBLANK(N839), "", VLOOKUP(D839&amp;" "&amp;E839, 'Info Tipo de Cambio y REM'!$A$24:$B$35, 2, FALSE))
</f>
        <v/>
      </c>
      <c r="Q839" s="107" t="str">
        <f t="shared" si="3"/>
        <v/>
      </c>
    </row>
    <row r="840">
      <c r="A840" s="102"/>
      <c r="B840" s="102"/>
      <c r="C840" s="102"/>
      <c r="D840" s="51"/>
      <c r="E840" s="102"/>
      <c r="F840" s="102"/>
      <c r="G840" s="103"/>
      <c r="H840" s="103" t="str">
        <f t="shared" si="2"/>
        <v/>
      </c>
      <c r="I840" s="103"/>
      <c r="M840" s="103"/>
      <c r="N840" s="113"/>
      <c r="O840" s="107"/>
      <c r="P840" s="106" t="str">
        <f>IF(ISBLANK(N840), "", VLOOKUP(D840&amp;" "&amp;E840, 'Info Tipo de Cambio y REM'!$A$24:$B$35, 2, FALSE))
</f>
        <v/>
      </c>
      <c r="Q840" s="107" t="str">
        <f t="shared" si="3"/>
        <v/>
      </c>
    </row>
    <row r="841">
      <c r="A841" s="102"/>
      <c r="B841" s="102"/>
      <c r="C841" s="102"/>
      <c r="D841" s="51"/>
      <c r="E841" s="102"/>
      <c r="F841" s="102"/>
      <c r="G841" s="103"/>
      <c r="H841" s="103" t="str">
        <f t="shared" si="2"/>
        <v/>
      </c>
      <c r="I841" s="103"/>
      <c r="M841" s="103"/>
      <c r="N841" s="113"/>
      <c r="O841" s="107"/>
      <c r="P841" s="106" t="str">
        <f>IF(ISBLANK(N841), "", VLOOKUP(D841&amp;" "&amp;E841, 'Info Tipo de Cambio y REM'!$A$24:$B$35, 2, FALSE))
</f>
        <v/>
      </c>
      <c r="Q841" s="107" t="str">
        <f t="shared" si="3"/>
        <v/>
      </c>
    </row>
    <row r="842">
      <c r="A842" s="102"/>
      <c r="B842" s="102"/>
      <c r="C842" s="102"/>
      <c r="D842" s="51"/>
      <c r="E842" s="102"/>
      <c r="F842" s="102"/>
      <c r="G842" s="103"/>
      <c r="H842" s="103" t="str">
        <f t="shared" si="2"/>
        <v/>
      </c>
      <c r="I842" s="103"/>
      <c r="M842" s="103"/>
      <c r="N842" s="113"/>
      <c r="O842" s="107"/>
      <c r="P842" s="106" t="str">
        <f>IF(ISBLANK(N842), "", VLOOKUP(D842&amp;" "&amp;E842, 'Info Tipo de Cambio y REM'!$A$24:$B$35, 2, FALSE))
</f>
        <v/>
      </c>
      <c r="Q842" s="107" t="str">
        <f t="shared" si="3"/>
        <v/>
      </c>
    </row>
    <row r="843">
      <c r="A843" s="102"/>
      <c r="B843" s="102"/>
      <c r="C843" s="102"/>
      <c r="D843" s="51"/>
      <c r="E843" s="102"/>
      <c r="F843" s="102"/>
      <c r="G843" s="103"/>
      <c r="H843" s="103" t="str">
        <f t="shared" si="2"/>
        <v/>
      </c>
      <c r="I843" s="103"/>
      <c r="M843" s="103"/>
      <c r="N843" s="113"/>
      <c r="O843" s="107"/>
      <c r="P843" s="106" t="str">
        <f>IF(ISBLANK(N843), "", VLOOKUP(D843&amp;" "&amp;E843, 'Info Tipo de Cambio y REM'!$A$24:$B$35, 2, FALSE))
</f>
        <v/>
      </c>
      <c r="Q843" s="107" t="str">
        <f t="shared" si="3"/>
        <v/>
      </c>
    </row>
    <row r="844">
      <c r="A844" s="102"/>
      <c r="B844" s="102"/>
      <c r="C844" s="102"/>
      <c r="D844" s="51"/>
      <c r="E844" s="102"/>
      <c r="F844" s="102"/>
      <c r="G844" s="103"/>
      <c r="H844" s="103" t="str">
        <f t="shared" si="2"/>
        <v/>
      </c>
      <c r="I844" s="103"/>
      <c r="M844" s="103"/>
      <c r="N844" s="113"/>
      <c r="O844" s="107"/>
      <c r="P844" s="106" t="str">
        <f>IF(ISBLANK(N844), "", VLOOKUP(D844&amp;" "&amp;E844, 'Info Tipo de Cambio y REM'!$A$24:$B$35, 2, FALSE))
</f>
        <v/>
      </c>
      <c r="Q844" s="107" t="str">
        <f t="shared" si="3"/>
        <v/>
      </c>
    </row>
    <row r="845">
      <c r="A845" s="102"/>
      <c r="B845" s="102"/>
      <c r="C845" s="102"/>
      <c r="D845" s="51"/>
      <c r="E845" s="102"/>
      <c r="F845" s="102"/>
      <c r="G845" s="103"/>
      <c r="H845" s="103" t="str">
        <f t="shared" si="2"/>
        <v/>
      </c>
      <c r="I845" s="103"/>
      <c r="M845" s="103"/>
      <c r="N845" s="113"/>
      <c r="O845" s="107"/>
      <c r="P845" s="106" t="str">
        <f>IF(ISBLANK(N845), "", VLOOKUP(D845&amp;" "&amp;E845, 'Info Tipo de Cambio y REM'!$A$24:$B$35, 2, FALSE))
</f>
        <v/>
      </c>
      <c r="Q845" s="107" t="str">
        <f t="shared" si="3"/>
        <v/>
      </c>
    </row>
    <row r="846">
      <c r="A846" s="102"/>
      <c r="B846" s="102"/>
      <c r="C846" s="102"/>
      <c r="D846" s="51"/>
      <c r="E846" s="102"/>
      <c r="F846" s="102"/>
      <c r="G846" s="103"/>
      <c r="H846" s="103" t="str">
        <f t="shared" si="2"/>
        <v/>
      </c>
      <c r="I846" s="103"/>
      <c r="M846" s="103"/>
      <c r="N846" s="113"/>
      <c r="O846" s="107"/>
      <c r="P846" s="106" t="str">
        <f>IF(ISBLANK(N846), "", VLOOKUP(D846&amp;" "&amp;E846, 'Info Tipo de Cambio y REM'!$A$24:$B$35, 2, FALSE))
</f>
        <v/>
      </c>
      <c r="Q846" s="107" t="str">
        <f t="shared" si="3"/>
        <v/>
      </c>
    </row>
    <row r="847">
      <c r="A847" s="102"/>
      <c r="B847" s="102"/>
      <c r="C847" s="102"/>
      <c r="D847" s="51"/>
      <c r="E847" s="102"/>
      <c r="F847" s="102"/>
      <c r="G847" s="103"/>
      <c r="H847" s="103" t="str">
        <f t="shared" si="2"/>
        <v/>
      </c>
      <c r="I847" s="103"/>
      <c r="M847" s="103"/>
      <c r="N847" s="113"/>
      <c r="O847" s="107"/>
      <c r="P847" s="106" t="str">
        <f>IF(ISBLANK(N847), "", VLOOKUP(D847&amp;" "&amp;E847, 'Info Tipo de Cambio y REM'!$A$24:$B$35, 2, FALSE))
</f>
        <v/>
      </c>
      <c r="Q847" s="107" t="str">
        <f t="shared" si="3"/>
        <v/>
      </c>
    </row>
    <row r="848">
      <c r="A848" s="102"/>
      <c r="B848" s="102"/>
      <c r="C848" s="102"/>
      <c r="D848" s="51"/>
      <c r="E848" s="102"/>
      <c r="F848" s="102"/>
      <c r="G848" s="103"/>
      <c r="H848" s="103" t="str">
        <f t="shared" si="2"/>
        <v/>
      </c>
      <c r="I848" s="103"/>
      <c r="M848" s="103"/>
      <c r="N848" s="113"/>
      <c r="O848" s="107"/>
      <c r="P848" s="106" t="str">
        <f>IF(ISBLANK(N848), "", VLOOKUP(D848&amp;" "&amp;E848, 'Info Tipo de Cambio y REM'!$A$24:$B$35, 2, FALSE))
</f>
        <v/>
      </c>
      <c r="Q848" s="107" t="str">
        <f t="shared" si="3"/>
        <v/>
      </c>
    </row>
    <row r="849">
      <c r="A849" s="102"/>
      <c r="B849" s="102"/>
      <c r="C849" s="102"/>
      <c r="D849" s="51"/>
      <c r="E849" s="102"/>
      <c r="F849" s="102"/>
      <c r="G849" s="103"/>
      <c r="H849" s="103" t="str">
        <f t="shared" si="2"/>
        <v/>
      </c>
      <c r="I849" s="103"/>
      <c r="M849" s="103"/>
      <c r="N849" s="113"/>
      <c r="O849" s="107"/>
      <c r="P849" s="106" t="str">
        <f>IF(ISBLANK(N849), "", VLOOKUP(D849&amp;" "&amp;E849, 'Info Tipo de Cambio y REM'!$A$24:$B$35, 2, FALSE))
</f>
        <v/>
      </c>
      <c r="Q849" s="107" t="str">
        <f t="shared" si="3"/>
        <v/>
      </c>
    </row>
    <row r="850">
      <c r="A850" s="102"/>
      <c r="B850" s="102"/>
      <c r="C850" s="102"/>
      <c r="D850" s="51"/>
      <c r="E850" s="102"/>
      <c r="F850" s="102"/>
      <c r="G850" s="103"/>
      <c r="H850" s="103" t="str">
        <f t="shared" si="2"/>
        <v/>
      </c>
      <c r="I850" s="103"/>
      <c r="M850" s="103"/>
      <c r="N850" s="113"/>
      <c r="O850" s="107"/>
      <c r="P850" s="106" t="str">
        <f>IF(ISBLANK(N850), "", VLOOKUP(D850&amp;" "&amp;E850, 'Info Tipo de Cambio y REM'!$A$24:$B$35, 2, FALSE))
</f>
        <v/>
      </c>
      <c r="Q850" s="107" t="str">
        <f t="shared" si="3"/>
        <v/>
      </c>
    </row>
    <row r="851">
      <c r="A851" s="102"/>
      <c r="B851" s="102"/>
      <c r="C851" s="102"/>
      <c r="D851" s="51"/>
      <c r="E851" s="102"/>
      <c r="F851" s="102"/>
      <c r="G851" s="103"/>
      <c r="H851" s="103" t="str">
        <f t="shared" si="2"/>
        <v/>
      </c>
      <c r="I851" s="103"/>
      <c r="M851" s="103"/>
      <c r="N851" s="113"/>
      <c r="O851" s="107"/>
      <c r="P851" s="106" t="str">
        <f>IF(ISBLANK(N851), "", VLOOKUP(D851&amp;" "&amp;E851, 'Info Tipo de Cambio y REM'!$A$24:$B$35, 2, FALSE))
</f>
        <v/>
      </c>
      <c r="Q851" s="107" t="str">
        <f t="shared" si="3"/>
        <v/>
      </c>
    </row>
    <row r="852">
      <c r="A852" s="102"/>
      <c r="B852" s="102"/>
      <c r="C852" s="102"/>
      <c r="D852" s="51"/>
      <c r="E852" s="102"/>
      <c r="F852" s="102"/>
      <c r="G852" s="103"/>
      <c r="H852" s="103" t="str">
        <f t="shared" si="2"/>
        <v/>
      </c>
      <c r="I852" s="103"/>
      <c r="M852" s="103"/>
      <c r="N852" s="113"/>
      <c r="O852" s="107"/>
      <c r="P852" s="106" t="str">
        <f>IF(ISBLANK(N852), "", VLOOKUP(D852&amp;" "&amp;E852, 'Info Tipo de Cambio y REM'!$A$24:$B$35, 2, FALSE))
</f>
        <v/>
      </c>
      <c r="Q852" s="107" t="str">
        <f t="shared" si="3"/>
        <v/>
      </c>
    </row>
    <row r="853">
      <c r="A853" s="102"/>
      <c r="B853" s="102"/>
      <c r="C853" s="102"/>
      <c r="D853" s="51"/>
      <c r="E853" s="102"/>
      <c r="F853" s="102"/>
      <c r="G853" s="103"/>
      <c r="H853" s="103" t="str">
        <f t="shared" si="2"/>
        <v/>
      </c>
      <c r="I853" s="103"/>
      <c r="M853" s="103"/>
      <c r="N853" s="113"/>
      <c r="O853" s="107"/>
      <c r="P853" s="106" t="str">
        <f>IF(ISBLANK(N853), "", VLOOKUP(D853&amp;" "&amp;E853, 'Info Tipo de Cambio y REM'!$A$24:$B$35, 2, FALSE))
</f>
        <v/>
      </c>
      <c r="Q853" s="107" t="str">
        <f t="shared" si="3"/>
        <v/>
      </c>
    </row>
    <row r="854">
      <c r="A854" s="102"/>
      <c r="B854" s="102"/>
      <c r="C854" s="102"/>
      <c r="D854" s="51"/>
      <c r="E854" s="102"/>
      <c r="F854" s="102"/>
      <c r="G854" s="103"/>
      <c r="H854" s="103" t="str">
        <f t="shared" si="2"/>
        <v/>
      </c>
      <c r="I854" s="103"/>
      <c r="M854" s="103"/>
      <c r="N854" s="113"/>
      <c r="O854" s="107"/>
      <c r="P854" s="106" t="str">
        <f>IF(ISBLANK(N854), "", VLOOKUP(D854&amp;" "&amp;E854, 'Info Tipo de Cambio y REM'!$A$24:$B$35, 2, FALSE))
</f>
        <v/>
      </c>
      <c r="Q854" s="107" t="str">
        <f t="shared" si="3"/>
        <v/>
      </c>
    </row>
    <row r="855">
      <c r="A855" s="102"/>
      <c r="B855" s="102"/>
      <c r="C855" s="102"/>
      <c r="D855" s="51"/>
      <c r="E855" s="102"/>
      <c r="F855" s="102"/>
      <c r="G855" s="103"/>
      <c r="H855" s="103" t="str">
        <f t="shared" si="2"/>
        <v/>
      </c>
      <c r="I855" s="103"/>
      <c r="M855" s="103"/>
      <c r="N855" s="113"/>
      <c r="O855" s="107"/>
      <c r="P855" s="106" t="str">
        <f>IF(ISBLANK(N855), "", VLOOKUP(D855&amp;" "&amp;E855, 'Info Tipo de Cambio y REM'!$A$24:$B$35, 2, FALSE))
</f>
        <v/>
      </c>
      <c r="Q855" s="107" t="str">
        <f t="shared" si="3"/>
        <v/>
      </c>
    </row>
    <row r="856">
      <c r="A856" s="102"/>
      <c r="B856" s="102"/>
      <c r="C856" s="102"/>
      <c r="D856" s="51"/>
      <c r="E856" s="102"/>
      <c r="F856" s="102"/>
      <c r="G856" s="103"/>
      <c r="H856" s="103" t="str">
        <f t="shared" si="2"/>
        <v/>
      </c>
      <c r="I856" s="103"/>
      <c r="M856" s="103"/>
      <c r="N856" s="113"/>
      <c r="O856" s="107"/>
      <c r="P856" s="106" t="str">
        <f>IF(ISBLANK(N856), "", VLOOKUP(D856&amp;" "&amp;E856, 'Info Tipo de Cambio y REM'!$A$24:$B$35, 2, FALSE))
</f>
        <v/>
      </c>
      <c r="Q856" s="107" t="str">
        <f t="shared" si="3"/>
        <v/>
      </c>
    </row>
    <row r="857">
      <c r="A857" s="102"/>
      <c r="B857" s="102"/>
      <c r="C857" s="102"/>
      <c r="D857" s="51"/>
      <c r="E857" s="102"/>
      <c r="F857" s="102"/>
      <c r="G857" s="103"/>
      <c r="H857" s="103" t="str">
        <f t="shared" si="2"/>
        <v/>
      </c>
      <c r="I857" s="103"/>
      <c r="M857" s="103"/>
      <c r="N857" s="113"/>
      <c r="O857" s="107"/>
      <c r="P857" s="106" t="str">
        <f>IF(ISBLANK(N857), "", VLOOKUP(D857&amp;" "&amp;E857, 'Info Tipo de Cambio y REM'!$A$24:$B$35, 2, FALSE))
</f>
        <v/>
      </c>
      <c r="Q857" s="107" t="str">
        <f t="shared" si="3"/>
        <v/>
      </c>
    </row>
    <row r="858">
      <c r="A858" s="102"/>
      <c r="B858" s="102"/>
      <c r="C858" s="102"/>
      <c r="D858" s="51"/>
      <c r="E858" s="102"/>
      <c r="F858" s="102"/>
      <c r="G858" s="103"/>
      <c r="H858" s="103" t="str">
        <f t="shared" si="2"/>
        <v/>
      </c>
      <c r="I858" s="103"/>
      <c r="M858" s="103"/>
      <c r="N858" s="113"/>
      <c r="O858" s="107"/>
      <c r="P858" s="106" t="str">
        <f>IF(ISBLANK(N858), "", VLOOKUP(D858&amp;" "&amp;E858, 'Info Tipo de Cambio y REM'!$A$24:$B$35, 2, FALSE))
</f>
        <v/>
      </c>
      <c r="Q858" s="107" t="str">
        <f t="shared" si="3"/>
        <v/>
      </c>
    </row>
    <row r="859">
      <c r="A859" s="102"/>
      <c r="B859" s="102"/>
      <c r="C859" s="102"/>
      <c r="D859" s="51"/>
      <c r="E859" s="102"/>
      <c r="F859" s="102"/>
      <c r="G859" s="103"/>
      <c r="H859" s="103" t="str">
        <f t="shared" si="2"/>
        <v/>
      </c>
      <c r="I859" s="103"/>
      <c r="M859" s="103"/>
      <c r="N859" s="113"/>
      <c r="O859" s="107"/>
      <c r="P859" s="106" t="str">
        <f>IF(ISBLANK(N859), "", VLOOKUP(D859&amp;" "&amp;E859, 'Info Tipo de Cambio y REM'!$A$24:$B$35, 2, FALSE))
</f>
        <v/>
      </c>
      <c r="Q859" s="107" t="str">
        <f t="shared" si="3"/>
        <v/>
      </c>
    </row>
    <row r="860">
      <c r="A860" s="102"/>
      <c r="B860" s="102"/>
      <c r="C860" s="102"/>
      <c r="D860" s="51"/>
      <c r="E860" s="102"/>
      <c r="F860" s="102"/>
      <c r="G860" s="103"/>
      <c r="H860" s="103" t="str">
        <f t="shared" si="2"/>
        <v/>
      </c>
      <c r="I860" s="103"/>
      <c r="M860" s="103"/>
      <c r="N860" s="113"/>
      <c r="O860" s="107"/>
      <c r="P860" s="106" t="str">
        <f>IF(ISBLANK(N860), "", VLOOKUP(D860&amp;" "&amp;E860, 'Info Tipo de Cambio y REM'!$A$24:$B$35, 2, FALSE))
</f>
        <v/>
      </c>
      <c r="Q860" s="107" t="str">
        <f t="shared" si="3"/>
        <v/>
      </c>
    </row>
    <row r="861">
      <c r="A861" s="102"/>
      <c r="B861" s="102"/>
      <c r="C861" s="102"/>
      <c r="D861" s="51"/>
      <c r="E861" s="102"/>
      <c r="F861" s="102"/>
      <c r="G861" s="103"/>
      <c r="H861" s="103" t="str">
        <f t="shared" si="2"/>
        <v/>
      </c>
      <c r="I861" s="103"/>
      <c r="M861" s="103"/>
      <c r="N861" s="113"/>
      <c r="O861" s="107"/>
      <c r="P861" s="106" t="str">
        <f>IF(ISBLANK(N861), "", VLOOKUP(D861&amp;" "&amp;E861, 'Info Tipo de Cambio y REM'!$A$24:$B$35, 2, FALSE))
</f>
        <v/>
      </c>
      <c r="Q861" s="107" t="str">
        <f t="shared" si="3"/>
        <v/>
      </c>
    </row>
    <row r="862">
      <c r="A862" s="102"/>
      <c r="B862" s="102"/>
      <c r="C862" s="102"/>
      <c r="D862" s="51"/>
      <c r="E862" s="102"/>
      <c r="F862" s="102"/>
      <c r="G862" s="103"/>
      <c r="H862" s="103" t="str">
        <f t="shared" si="2"/>
        <v/>
      </c>
      <c r="I862" s="103"/>
      <c r="M862" s="103"/>
      <c r="N862" s="113"/>
      <c r="O862" s="107"/>
      <c r="P862" s="106" t="str">
        <f>IF(ISBLANK(N862), "", VLOOKUP(D862&amp;" "&amp;E862, 'Info Tipo de Cambio y REM'!$A$24:$B$35, 2, FALSE))
</f>
        <v/>
      </c>
      <c r="Q862" s="107" t="str">
        <f t="shared" si="3"/>
        <v/>
      </c>
    </row>
    <row r="863">
      <c r="A863" s="102"/>
      <c r="B863" s="102"/>
      <c r="C863" s="102"/>
      <c r="D863" s="51"/>
      <c r="E863" s="102"/>
      <c r="F863" s="102"/>
      <c r="G863" s="103"/>
      <c r="H863" s="103" t="str">
        <f t="shared" si="2"/>
        <v/>
      </c>
      <c r="I863" s="103"/>
      <c r="M863" s="103"/>
      <c r="N863" s="113"/>
      <c r="O863" s="107"/>
      <c r="P863" s="106" t="str">
        <f>IF(ISBLANK(N863), "", VLOOKUP(D863&amp;" "&amp;E863, 'Info Tipo de Cambio y REM'!$A$24:$B$35, 2, FALSE))
</f>
        <v/>
      </c>
      <c r="Q863" s="107" t="str">
        <f t="shared" si="3"/>
        <v/>
      </c>
    </row>
    <row r="864">
      <c r="A864" s="102"/>
      <c r="B864" s="102"/>
      <c r="C864" s="102"/>
      <c r="D864" s="51"/>
      <c r="E864" s="102"/>
      <c r="F864" s="102"/>
      <c r="G864" s="103"/>
      <c r="H864" s="103" t="str">
        <f t="shared" si="2"/>
        <v/>
      </c>
      <c r="I864" s="103"/>
      <c r="M864" s="103"/>
      <c r="N864" s="113"/>
      <c r="O864" s="107"/>
      <c r="P864" s="106" t="str">
        <f>IF(ISBLANK(N864), "", VLOOKUP(D864&amp;" "&amp;E864, 'Info Tipo de Cambio y REM'!$A$24:$B$35, 2, FALSE))
</f>
        <v/>
      </c>
      <c r="Q864" s="107" t="str">
        <f t="shared" si="3"/>
        <v/>
      </c>
    </row>
    <row r="865">
      <c r="A865" s="102"/>
      <c r="B865" s="102"/>
      <c r="C865" s="102"/>
      <c r="D865" s="51"/>
      <c r="E865" s="102"/>
      <c r="F865" s="102"/>
      <c r="G865" s="103"/>
      <c r="H865" s="103" t="str">
        <f t="shared" si="2"/>
        <v/>
      </c>
      <c r="I865" s="103"/>
      <c r="M865" s="103"/>
      <c r="N865" s="113"/>
      <c r="O865" s="107"/>
      <c r="P865" s="106" t="str">
        <f>IF(ISBLANK(N865), "", VLOOKUP(D865&amp;" "&amp;E865, 'Info Tipo de Cambio y REM'!$A$24:$B$35, 2, FALSE))
</f>
        <v/>
      </c>
      <c r="Q865" s="107" t="str">
        <f t="shared" si="3"/>
        <v/>
      </c>
    </row>
    <row r="866">
      <c r="A866" s="102"/>
      <c r="B866" s="102"/>
      <c r="C866" s="102"/>
      <c r="D866" s="51"/>
      <c r="E866" s="102"/>
      <c r="F866" s="102"/>
      <c r="G866" s="103"/>
      <c r="H866" s="103" t="str">
        <f t="shared" si="2"/>
        <v/>
      </c>
      <c r="I866" s="103"/>
      <c r="M866" s="103"/>
      <c r="N866" s="113"/>
      <c r="O866" s="107"/>
      <c r="P866" s="106" t="str">
        <f>IF(ISBLANK(N866), "", VLOOKUP(D866&amp;" "&amp;E866, 'Info Tipo de Cambio y REM'!$A$24:$B$35, 2, FALSE))
</f>
        <v/>
      </c>
      <c r="Q866" s="107" t="str">
        <f t="shared" si="3"/>
        <v/>
      </c>
    </row>
    <row r="867">
      <c r="A867" s="102"/>
      <c r="B867" s="102"/>
      <c r="C867" s="102"/>
      <c r="D867" s="51"/>
      <c r="E867" s="102"/>
      <c r="F867" s="102"/>
      <c r="G867" s="103"/>
      <c r="H867" s="103" t="str">
        <f t="shared" si="2"/>
        <v/>
      </c>
      <c r="I867" s="103"/>
      <c r="M867" s="103"/>
      <c r="N867" s="113"/>
      <c r="O867" s="107"/>
      <c r="P867" s="106" t="str">
        <f>IF(ISBLANK(N867), "", VLOOKUP(D867&amp;" "&amp;E867, 'Info Tipo de Cambio y REM'!$A$24:$B$35, 2, FALSE))
</f>
        <v/>
      </c>
      <c r="Q867" s="107" t="str">
        <f t="shared" si="3"/>
        <v/>
      </c>
    </row>
    <row r="868">
      <c r="A868" s="102"/>
      <c r="B868" s="102"/>
      <c r="C868" s="102"/>
      <c r="D868" s="51"/>
      <c r="E868" s="102"/>
      <c r="F868" s="102"/>
      <c r="G868" s="103"/>
      <c r="H868" s="103" t="str">
        <f t="shared" si="2"/>
        <v/>
      </c>
      <c r="I868" s="103"/>
      <c r="M868" s="103"/>
      <c r="N868" s="113"/>
      <c r="O868" s="107"/>
      <c r="P868" s="106" t="str">
        <f>IF(ISBLANK(N868), "", VLOOKUP(D868&amp;" "&amp;E868, 'Info Tipo de Cambio y REM'!$A$24:$B$35, 2, FALSE))
</f>
        <v/>
      </c>
      <c r="Q868" s="107" t="str">
        <f t="shared" si="3"/>
        <v/>
      </c>
    </row>
    <row r="869">
      <c r="A869" s="102"/>
      <c r="B869" s="102"/>
      <c r="C869" s="102"/>
      <c r="D869" s="51"/>
      <c r="E869" s="102"/>
      <c r="F869" s="102"/>
      <c r="G869" s="103"/>
      <c r="H869" s="103" t="str">
        <f t="shared" si="2"/>
        <v/>
      </c>
      <c r="I869" s="103"/>
      <c r="M869" s="103"/>
      <c r="N869" s="113"/>
      <c r="O869" s="107"/>
      <c r="P869" s="106" t="str">
        <f>IF(ISBLANK(N869), "", VLOOKUP(D869&amp;" "&amp;E869, 'Info Tipo de Cambio y REM'!$A$24:$B$35, 2, FALSE))
</f>
        <v/>
      </c>
      <c r="Q869" s="107" t="str">
        <f t="shared" si="3"/>
        <v/>
      </c>
    </row>
    <row r="870">
      <c r="A870" s="102"/>
      <c r="B870" s="102"/>
      <c r="C870" s="102"/>
      <c r="D870" s="51"/>
      <c r="E870" s="102"/>
      <c r="F870" s="102"/>
      <c r="G870" s="103"/>
      <c r="H870" s="103" t="str">
        <f t="shared" si="2"/>
        <v/>
      </c>
      <c r="I870" s="103"/>
      <c r="M870" s="103"/>
      <c r="N870" s="113"/>
      <c r="O870" s="107"/>
      <c r="P870" s="106" t="str">
        <f>IF(ISBLANK(N870), "", VLOOKUP(D870&amp;" "&amp;E870, 'Info Tipo de Cambio y REM'!$A$24:$B$35, 2, FALSE))
</f>
        <v/>
      </c>
      <c r="Q870" s="107" t="str">
        <f t="shared" si="3"/>
        <v/>
      </c>
    </row>
    <row r="871">
      <c r="A871" s="102"/>
      <c r="B871" s="102"/>
      <c r="C871" s="102"/>
      <c r="D871" s="51"/>
      <c r="E871" s="102"/>
      <c r="F871" s="102"/>
      <c r="G871" s="103"/>
      <c r="H871" s="103" t="str">
        <f t="shared" si="2"/>
        <v/>
      </c>
      <c r="I871" s="103"/>
      <c r="M871" s="103"/>
      <c r="N871" s="113"/>
      <c r="O871" s="107"/>
      <c r="P871" s="106" t="str">
        <f>IF(ISBLANK(N871), "", VLOOKUP(D871&amp;" "&amp;E871, 'Info Tipo de Cambio y REM'!$A$24:$B$35, 2, FALSE))
</f>
        <v/>
      </c>
      <c r="Q871" s="107" t="str">
        <f t="shared" si="3"/>
        <v/>
      </c>
    </row>
    <row r="872">
      <c r="A872" s="102"/>
      <c r="B872" s="102"/>
      <c r="C872" s="102"/>
      <c r="D872" s="51"/>
      <c r="E872" s="102"/>
      <c r="F872" s="102"/>
      <c r="G872" s="103"/>
      <c r="H872" s="103" t="str">
        <f t="shared" si="2"/>
        <v/>
      </c>
      <c r="I872" s="103"/>
      <c r="M872" s="103"/>
      <c r="N872" s="113"/>
      <c r="O872" s="107"/>
      <c r="P872" s="106" t="str">
        <f>IF(ISBLANK(N872), "", VLOOKUP(D872&amp;" "&amp;E872, 'Info Tipo de Cambio y REM'!$A$24:$B$35, 2, FALSE))
</f>
        <v/>
      </c>
      <c r="Q872" s="107" t="str">
        <f t="shared" si="3"/>
        <v/>
      </c>
    </row>
    <row r="873">
      <c r="A873" s="102"/>
      <c r="B873" s="102"/>
      <c r="C873" s="102"/>
      <c r="D873" s="51"/>
      <c r="E873" s="102"/>
      <c r="F873" s="102"/>
      <c r="G873" s="103"/>
      <c r="H873" s="103" t="str">
        <f t="shared" si="2"/>
        <v/>
      </c>
      <c r="I873" s="103"/>
      <c r="M873" s="103"/>
      <c r="N873" s="113"/>
      <c r="O873" s="107"/>
      <c r="P873" s="106" t="str">
        <f>IF(ISBLANK(N873), "", VLOOKUP(D873&amp;" "&amp;E873, 'Info Tipo de Cambio y REM'!$A$24:$B$35, 2, FALSE))
</f>
        <v/>
      </c>
      <c r="Q873" s="107" t="str">
        <f t="shared" si="3"/>
        <v/>
      </c>
    </row>
    <row r="874">
      <c r="A874" s="102"/>
      <c r="B874" s="102"/>
      <c r="C874" s="102"/>
      <c r="D874" s="51"/>
      <c r="E874" s="102"/>
      <c r="F874" s="102"/>
      <c r="G874" s="103"/>
      <c r="H874" s="103" t="str">
        <f t="shared" si="2"/>
        <v/>
      </c>
      <c r="I874" s="103"/>
      <c r="M874" s="103"/>
      <c r="N874" s="113"/>
      <c r="O874" s="107"/>
      <c r="P874" s="106" t="str">
        <f>IF(ISBLANK(N874), "", VLOOKUP(D874&amp;" "&amp;E874, 'Info Tipo de Cambio y REM'!$A$24:$B$35, 2, FALSE))
</f>
        <v/>
      </c>
      <c r="Q874" s="107" t="str">
        <f t="shared" si="3"/>
        <v/>
      </c>
    </row>
    <row r="875">
      <c r="A875" s="102"/>
      <c r="B875" s="102"/>
      <c r="C875" s="102"/>
      <c r="D875" s="51"/>
      <c r="E875" s="102"/>
      <c r="F875" s="102"/>
      <c r="G875" s="103"/>
      <c r="H875" s="103" t="str">
        <f t="shared" si="2"/>
        <v/>
      </c>
      <c r="I875" s="103"/>
      <c r="M875" s="103"/>
      <c r="N875" s="113"/>
      <c r="O875" s="107"/>
      <c r="P875" s="106" t="str">
        <f>IF(ISBLANK(N875), "", VLOOKUP(D875&amp;" "&amp;E875, 'Info Tipo de Cambio y REM'!$A$24:$B$35, 2, FALSE))
</f>
        <v/>
      </c>
      <c r="Q875" s="107" t="str">
        <f t="shared" si="3"/>
        <v/>
      </c>
    </row>
    <row r="876">
      <c r="A876" s="102"/>
      <c r="B876" s="102"/>
      <c r="C876" s="102"/>
      <c r="D876" s="51"/>
      <c r="E876" s="102"/>
      <c r="F876" s="102"/>
      <c r="G876" s="103"/>
      <c r="H876" s="103" t="str">
        <f t="shared" si="2"/>
        <v/>
      </c>
      <c r="I876" s="103"/>
      <c r="M876" s="103"/>
      <c r="N876" s="113"/>
      <c r="O876" s="107"/>
      <c r="P876" s="106" t="str">
        <f>IF(ISBLANK(N876), "", VLOOKUP(D876&amp;" "&amp;E876, 'Info Tipo de Cambio y REM'!$A$24:$B$35, 2, FALSE))
</f>
        <v/>
      </c>
      <c r="Q876" s="107" t="str">
        <f t="shared" si="3"/>
        <v/>
      </c>
    </row>
    <row r="877">
      <c r="A877" s="102"/>
      <c r="B877" s="102"/>
      <c r="C877" s="102"/>
      <c r="D877" s="51"/>
      <c r="E877" s="102"/>
      <c r="F877" s="102"/>
      <c r="G877" s="103"/>
      <c r="H877" s="103" t="str">
        <f t="shared" si="2"/>
        <v/>
      </c>
      <c r="I877" s="103"/>
      <c r="M877" s="103"/>
      <c r="N877" s="113"/>
      <c r="O877" s="107"/>
      <c r="P877" s="106" t="str">
        <f>IF(ISBLANK(N877), "", VLOOKUP(D877&amp;" "&amp;E877, 'Info Tipo de Cambio y REM'!$A$24:$B$35, 2, FALSE))
</f>
        <v/>
      </c>
      <c r="Q877" s="107" t="str">
        <f t="shared" si="3"/>
        <v/>
      </c>
    </row>
    <row r="878">
      <c r="A878" s="102"/>
      <c r="B878" s="102"/>
      <c r="C878" s="102"/>
      <c r="D878" s="51"/>
      <c r="E878" s="102"/>
      <c r="F878" s="102"/>
      <c r="G878" s="103"/>
      <c r="H878" s="103" t="str">
        <f t="shared" si="2"/>
        <v/>
      </c>
      <c r="I878" s="103"/>
      <c r="M878" s="103"/>
      <c r="N878" s="113"/>
      <c r="O878" s="107"/>
      <c r="P878" s="106" t="str">
        <f>IF(ISBLANK(N878), "", VLOOKUP(D878&amp;" "&amp;E878, 'Info Tipo de Cambio y REM'!$A$24:$B$35, 2, FALSE))
</f>
        <v/>
      </c>
      <c r="Q878" s="107" t="str">
        <f t="shared" si="3"/>
        <v/>
      </c>
    </row>
    <row r="879">
      <c r="A879" s="102"/>
      <c r="B879" s="102"/>
      <c r="C879" s="102"/>
      <c r="D879" s="51"/>
      <c r="E879" s="102"/>
      <c r="F879" s="102"/>
      <c r="G879" s="103"/>
      <c r="H879" s="103" t="str">
        <f t="shared" si="2"/>
        <v/>
      </c>
      <c r="I879" s="103"/>
      <c r="M879" s="103"/>
      <c r="N879" s="113"/>
      <c r="O879" s="107"/>
      <c r="P879" s="106" t="str">
        <f>IF(ISBLANK(N879), "", VLOOKUP(D879&amp;" "&amp;E879, 'Info Tipo de Cambio y REM'!$A$24:$B$35, 2, FALSE))
</f>
        <v/>
      </c>
      <c r="Q879" s="107" t="str">
        <f t="shared" si="3"/>
        <v/>
      </c>
    </row>
    <row r="880">
      <c r="A880" s="102"/>
      <c r="B880" s="102"/>
      <c r="C880" s="102"/>
      <c r="D880" s="51"/>
      <c r="E880" s="102"/>
      <c r="F880" s="102"/>
      <c r="G880" s="103"/>
      <c r="H880" s="103" t="str">
        <f t="shared" si="2"/>
        <v/>
      </c>
      <c r="I880" s="103"/>
      <c r="M880" s="103"/>
      <c r="N880" s="113"/>
      <c r="O880" s="107"/>
      <c r="P880" s="106" t="str">
        <f>IF(ISBLANK(N880), "", VLOOKUP(D880&amp;" "&amp;E880, 'Info Tipo de Cambio y REM'!$A$24:$B$35, 2, FALSE))
</f>
        <v/>
      </c>
      <c r="Q880" s="107" t="str">
        <f t="shared" si="3"/>
        <v/>
      </c>
    </row>
    <row r="881">
      <c r="A881" s="102"/>
      <c r="B881" s="102"/>
      <c r="C881" s="102"/>
      <c r="D881" s="51"/>
      <c r="E881" s="102"/>
      <c r="F881" s="102"/>
      <c r="G881" s="103"/>
      <c r="H881" s="103" t="str">
        <f t="shared" si="2"/>
        <v/>
      </c>
      <c r="I881" s="103"/>
      <c r="M881" s="103"/>
      <c r="N881" s="113"/>
      <c r="O881" s="107"/>
      <c r="P881" s="106" t="str">
        <f>IF(ISBLANK(N881), "", VLOOKUP(D881&amp;" "&amp;E881, 'Info Tipo de Cambio y REM'!$A$24:$B$35, 2, FALSE))
</f>
        <v/>
      </c>
      <c r="Q881" s="107" t="str">
        <f t="shared" si="3"/>
        <v/>
      </c>
    </row>
    <row r="882">
      <c r="A882" s="102"/>
      <c r="B882" s="102"/>
      <c r="C882" s="102"/>
      <c r="D882" s="51"/>
      <c r="E882" s="102"/>
      <c r="F882" s="102"/>
      <c r="G882" s="103"/>
      <c r="H882" s="103" t="str">
        <f t="shared" si="2"/>
        <v/>
      </c>
      <c r="I882" s="103"/>
      <c r="M882" s="103"/>
      <c r="N882" s="113"/>
      <c r="O882" s="107"/>
      <c r="P882" s="106" t="str">
        <f>IF(ISBLANK(N882), "", VLOOKUP(D882&amp;" "&amp;E882, 'Info Tipo de Cambio y REM'!$A$24:$B$35, 2, FALSE))
</f>
        <v/>
      </c>
      <c r="Q882" s="107" t="str">
        <f t="shared" si="3"/>
        <v/>
      </c>
    </row>
    <row r="883">
      <c r="A883" s="102"/>
      <c r="B883" s="102"/>
      <c r="C883" s="102"/>
      <c r="D883" s="51"/>
      <c r="E883" s="102"/>
      <c r="F883" s="102"/>
      <c r="G883" s="103"/>
      <c r="H883" s="103" t="str">
        <f t="shared" si="2"/>
        <v/>
      </c>
      <c r="I883" s="103"/>
      <c r="M883" s="103"/>
      <c r="N883" s="113"/>
      <c r="O883" s="107"/>
      <c r="P883" s="106" t="str">
        <f>IF(ISBLANK(N883), "", VLOOKUP(D883&amp;" "&amp;E883, 'Info Tipo de Cambio y REM'!$A$24:$B$35, 2, FALSE))
</f>
        <v/>
      </c>
      <c r="Q883" s="107" t="str">
        <f t="shared" si="3"/>
        <v/>
      </c>
    </row>
    <row r="884">
      <c r="A884" s="102"/>
      <c r="B884" s="102"/>
      <c r="C884" s="102"/>
      <c r="D884" s="51"/>
      <c r="E884" s="102"/>
      <c r="F884" s="102"/>
      <c r="G884" s="103"/>
      <c r="H884" s="103" t="str">
        <f t="shared" si="2"/>
        <v/>
      </c>
      <c r="I884" s="103"/>
      <c r="M884" s="103"/>
      <c r="N884" s="113"/>
      <c r="O884" s="107"/>
      <c r="P884" s="106" t="str">
        <f>IF(ISBLANK(N884), "", VLOOKUP(D884&amp;" "&amp;E884, 'Info Tipo de Cambio y REM'!$A$24:$B$35, 2, FALSE))
</f>
        <v/>
      </c>
      <c r="Q884" s="107" t="str">
        <f t="shared" si="3"/>
        <v/>
      </c>
    </row>
    <row r="885">
      <c r="A885" s="102"/>
      <c r="B885" s="102"/>
      <c r="C885" s="102"/>
      <c r="D885" s="51"/>
      <c r="E885" s="102"/>
      <c r="F885" s="102"/>
      <c r="G885" s="103"/>
      <c r="H885" s="103" t="str">
        <f t="shared" si="2"/>
        <v/>
      </c>
      <c r="I885" s="103"/>
      <c r="M885" s="103"/>
      <c r="N885" s="113"/>
      <c r="O885" s="107"/>
      <c r="P885" s="106" t="str">
        <f>IF(ISBLANK(N885), "", VLOOKUP(D885&amp;" "&amp;E885, 'Info Tipo de Cambio y REM'!$A$24:$B$35, 2, FALSE))
</f>
        <v/>
      </c>
      <c r="Q885" s="107" t="str">
        <f t="shared" si="3"/>
        <v/>
      </c>
    </row>
    <row r="886">
      <c r="A886" s="102"/>
      <c r="B886" s="102"/>
      <c r="C886" s="102"/>
      <c r="D886" s="51"/>
      <c r="E886" s="102"/>
      <c r="F886" s="102"/>
      <c r="G886" s="103"/>
      <c r="H886" s="103" t="str">
        <f t="shared" si="2"/>
        <v/>
      </c>
      <c r="I886" s="103"/>
      <c r="M886" s="103"/>
      <c r="N886" s="113"/>
      <c r="O886" s="107"/>
      <c r="P886" s="106" t="str">
        <f>IF(ISBLANK(N886), "", VLOOKUP(D886&amp;" "&amp;E886, 'Info Tipo de Cambio y REM'!$A$24:$B$35, 2, FALSE))
</f>
        <v/>
      </c>
      <c r="Q886" s="107" t="str">
        <f t="shared" si="3"/>
        <v/>
      </c>
    </row>
    <row r="887">
      <c r="A887" s="102"/>
      <c r="B887" s="102"/>
      <c r="C887" s="102"/>
      <c r="D887" s="51"/>
      <c r="E887" s="102"/>
      <c r="F887" s="102"/>
      <c r="G887" s="103"/>
      <c r="H887" s="103" t="str">
        <f t="shared" si="2"/>
        <v/>
      </c>
      <c r="I887" s="103"/>
      <c r="M887" s="103"/>
      <c r="N887" s="113"/>
      <c r="O887" s="107"/>
      <c r="P887" s="106" t="str">
        <f>IF(ISBLANK(N887), "", VLOOKUP(D887&amp;" "&amp;E887, 'Info Tipo de Cambio y REM'!$A$24:$B$35, 2, FALSE))
</f>
        <v/>
      </c>
      <c r="Q887" s="107" t="str">
        <f t="shared" si="3"/>
        <v/>
      </c>
    </row>
    <row r="888">
      <c r="A888" s="102"/>
      <c r="B888" s="102"/>
      <c r="C888" s="102"/>
      <c r="D888" s="51"/>
      <c r="E888" s="102"/>
      <c r="F888" s="102"/>
      <c r="G888" s="103"/>
      <c r="H888" s="103" t="str">
        <f t="shared" si="2"/>
        <v/>
      </c>
      <c r="I888" s="103"/>
      <c r="M888" s="103"/>
      <c r="N888" s="113"/>
      <c r="O888" s="107"/>
      <c r="P888" s="106" t="str">
        <f>IF(ISBLANK(N888), "", VLOOKUP(D888&amp;" "&amp;E888, 'Info Tipo de Cambio y REM'!$A$24:$B$35, 2, FALSE))
</f>
        <v/>
      </c>
      <c r="Q888" s="107" t="str">
        <f t="shared" si="3"/>
        <v/>
      </c>
    </row>
    <row r="889">
      <c r="A889" s="102"/>
      <c r="B889" s="102"/>
      <c r="C889" s="102"/>
      <c r="D889" s="51"/>
      <c r="E889" s="102"/>
      <c r="F889" s="102"/>
      <c r="G889" s="103"/>
      <c r="H889" s="103" t="str">
        <f t="shared" si="2"/>
        <v/>
      </c>
      <c r="I889" s="103"/>
      <c r="M889" s="103"/>
      <c r="N889" s="113"/>
      <c r="O889" s="107"/>
      <c r="P889" s="106" t="str">
        <f>IF(ISBLANK(N889), "", VLOOKUP(D889&amp;" "&amp;E889, 'Info Tipo de Cambio y REM'!$A$24:$B$35, 2, FALSE))
</f>
        <v/>
      </c>
      <c r="Q889" s="107" t="str">
        <f t="shared" si="3"/>
        <v/>
      </c>
    </row>
    <row r="890">
      <c r="A890" s="102"/>
      <c r="B890" s="102"/>
      <c r="C890" s="102"/>
      <c r="D890" s="51"/>
      <c r="E890" s="102"/>
      <c r="F890" s="102"/>
      <c r="G890" s="103"/>
      <c r="H890" s="103" t="str">
        <f t="shared" si="2"/>
        <v/>
      </c>
      <c r="I890" s="103"/>
      <c r="M890" s="103"/>
      <c r="N890" s="113"/>
      <c r="O890" s="107"/>
      <c r="P890" s="106" t="str">
        <f>IF(ISBLANK(N890), "", VLOOKUP(D890&amp;" "&amp;E890, 'Info Tipo de Cambio y REM'!$A$24:$B$35, 2, FALSE))
</f>
        <v/>
      </c>
      <c r="Q890" s="107" t="str">
        <f t="shared" si="3"/>
        <v/>
      </c>
    </row>
    <row r="891">
      <c r="A891" s="102"/>
      <c r="B891" s="102"/>
      <c r="C891" s="102"/>
      <c r="D891" s="51"/>
      <c r="E891" s="102"/>
      <c r="F891" s="102"/>
      <c r="G891" s="103"/>
      <c r="H891" s="103" t="str">
        <f t="shared" si="2"/>
        <v/>
      </c>
      <c r="I891" s="103"/>
      <c r="M891" s="103"/>
      <c r="N891" s="113"/>
      <c r="O891" s="107"/>
      <c r="P891" s="106" t="str">
        <f>IF(ISBLANK(N891), "", VLOOKUP(D891&amp;" "&amp;E891, 'Info Tipo de Cambio y REM'!$A$24:$B$35, 2, FALSE))
</f>
        <v/>
      </c>
      <c r="Q891" s="107" t="str">
        <f t="shared" si="3"/>
        <v/>
      </c>
    </row>
    <row r="892">
      <c r="A892" s="102"/>
      <c r="B892" s="102"/>
      <c r="C892" s="102"/>
      <c r="D892" s="51"/>
      <c r="E892" s="102"/>
      <c r="F892" s="102"/>
      <c r="G892" s="103"/>
      <c r="H892" s="103" t="str">
        <f t="shared" si="2"/>
        <v/>
      </c>
      <c r="I892" s="103"/>
      <c r="M892" s="103"/>
      <c r="N892" s="113"/>
      <c r="O892" s="107"/>
      <c r="P892" s="106" t="str">
        <f>IF(ISBLANK(N892), "", VLOOKUP(D892&amp;" "&amp;E892, 'Info Tipo de Cambio y REM'!$A$24:$B$35, 2, FALSE))
</f>
        <v/>
      </c>
      <c r="Q892" s="107" t="str">
        <f t="shared" si="3"/>
        <v/>
      </c>
    </row>
    <row r="893">
      <c r="A893" s="102"/>
      <c r="B893" s="102"/>
      <c r="C893" s="102"/>
      <c r="D893" s="51"/>
      <c r="E893" s="102"/>
      <c r="F893" s="102"/>
      <c r="G893" s="103"/>
      <c r="H893" s="103" t="str">
        <f t="shared" si="2"/>
        <v/>
      </c>
      <c r="I893" s="103"/>
      <c r="M893" s="103"/>
      <c r="N893" s="113"/>
      <c r="O893" s="107"/>
      <c r="P893" s="106" t="str">
        <f>IF(ISBLANK(N893), "", VLOOKUP(D893&amp;" "&amp;E893, 'Info Tipo de Cambio y REM'!$A$24:$B$35, 2, FALSE))
</f>
        <v/>
      </c>
      <c r="Q893" s="107" t="str">
        <f t="shared" si="3"/>
        <v/>
      </c>
    </row>
    <row r="894">
      <c r="A894" s="102"/>
      <c r="B894" s="102"/>
      <c r="C894" s="102"/>
      <c r="D894" s="51"/>
      <c r="E894" s="102"/>
      <c r="F894" s="102"/>
      <c r="G894" s="103"/>
      <c r="H894" s="103" t="str">
        <f t="shared" si="2"/>
        <v/>
      </c>
      <c r="I894" s="103"/>
      <c r="M894" s="103"/>
      <c r="N894" s="113"/>
      <c r="O894" s="107"/>
      <c r="P894" s="106" t="str">
        <f>IF(ISBLANK(N894), "", VLOOKUP(D894&amp;" "&amp;E894, 'Info Tipo de Cambio y REM'!$A$24:$B$35, 2, FALSE))
</f>
        <v/>
      </c>
      <c r="Q894" s="107" t="str">
        <f t="shared" si="3"/>
        <v/>
      </c>
    </row>
    <row r="895">
      <c r="A895" s="102"/>
      <c r="B895" s="102"/>
      <c r="C895" s="102"/>
      <c r="D895" s="51"/>
      <c r="E895" s="102"/>
      <c r="F895" s="102"/>
      <c r="G895" s="103"/>
      <c r="H895" s="103" t="str">
        <f t="shared" si="2"/>
        <v/>
      </c>
      <c r="I895" s="103"/>
      <c r="M895" s="103"/>
      <c r="N895" s="113"/>
      <c r="O895" s="107"/>
      <c r="P895" s="106" t="str">
        <f>IF(ISBLANK(N895), "", VLOOKUP(D895&amp;" "&amp;E895, 'Info Tipo de Cambio y REM'!$A$24:$B$35, 2, FALSE))
</f>
        <v/>
      </c>
      <c r="Q895" s="107" t="str">
        <f t="shared" si="3"/>
        <v/>
      </c>
    </row>
    <row r="896">
      <c r="A896" s="102"/>
      <c r="B896" s="102"/>
      <c r="C896" s="102"/>
      <c r="D896" s="51"/>
      <c r="E896" s="102"/>
      <c r="F896" s="102"/>
      <c r="G896" s="103"/>
      <c r="H896" s="103" t="str">
        <f t="shared" si="2"/>
        <v/>
      </c>
      <c r="I896" s="103"/>
      <c r="M896" s="103"/>
      <c r="N896" s="113"/>
      <c r="O896" s="107"/>
      <c r="P896" s="106" t="str">
        <f>IF(ISBLANK(N896), "", VLOOKUP(D896&amp;" "&amp;E896, 'Info Tipo de Cambio y REM'!$A$24:$B$35, 2, FALSE))
</f>
        <v/>
      </c>
      <c r="Q896" s="107" t="str">
        <f t="shared" si="3"/>
        <v/>
      </c>
    </row>
    <row r="897">
      <c r="A897" s="102"/>
      <c r="B897" s="102"/>
      <c r="C897" s="102"/>
      <c r="D897" s="51"/>
      <c r="E897" s="102"/>
      <c r="F897" s="102"/>
      <c r="G897" s="103"/>
      <c r="H897" s="103" t="str">
        <f t="shared" si="2"/>
        <v/>
      </c>
      <c r="I897" s="103"/>
      <c r="M897" s="103"/>
      <c r="N897" s="113"/>
      <c r="O897" s="107"/>
      <c r="P897" s="106" t="str">
        <f>IF(ISBLANK(N897), "", VLOOKUP(D897&amp;" "&amp;E897, 'Info Tipo de Cambio y REM'!$A$24:$B$35, 2, FALSE))
</f>
        <v/>
      </c>
      <c r="Q897" s="107" t="str">
        <f t="shared" si="3"/>
        <v/>
      </c>
    </row>
    <row r="898">
      <c r="A898" s="102"/>
      <c r="B898" s="102"/>
      <c r="C898" s="102"/>
      <c r="D898" s="51"/>
      <c r="E898" s="102"/>
      <c r="F898" s="102"/>
      <c r="G898" s="103"/>
      <c r="H898" s="103" t="str">
        <f t="shared" si="2"/>
        <v/>
      </c>
      <c r="I898" s="103"/>
      <c r="M898" s="103"/>
      <c r="N898" s="113"/>
      <c r="O898" s="107"/>
      <c r="P898" s="106" t="str">
        <f>IF(ISBLANK(N898), "", VLOOKUP(D898&amp;" "&amp;E898, 'Info Tipo de Cambio y REM'!$A$24:$B$35, 2, FALSE))
</f>
        <v/>
      </c>
      <c r="Q898" s="107" t="str">
        <f t="shared" si="3"/>
        <v/>
      </c>
    </row>
    <row r="899">
      <c r="A899" s="102"/>
      <c r="B899" s="102"/>
      <c r="C899" s="102"/>
      <c r="D899" s="51"/>
      <c r="E899" s="102"/>
      <c r="F899" s="102"/>
      <c r="G899" s="103"/>
      <c r="H899" s="103" t="str">
        <f t="shared" si="2"/>
        <v/>
      </c>
      <c r="I899" s="103"/>
      <c r="M899" s="103"/>
      <c r="N899" s="113"/>
      <c r="O899" s="107"/>
      <c r="P899" s="106" t="str">
        <f>IF(ISBLANK(N899), "", VLOOKUP(D899&amp;" "&amp;E899, 'Info Tipo de Cambio y REM'!$A$24:$B$35, 2, FALSE))
</f>
        <v/>
      </c>
      <c r="Q899" s="107" t="str">
        <f t="shared" si="3"/>
        <v/>
      </c>
    </row>
    <row r="900">
      <c r="A900" s="102"/>
      <c r="B900" s="102"/>
      <c r="C900" s="102"/>
      <c r="D900" s="51"/>
      <c r="E900" s="102"/>
      <c r="F900" s="102"/>
      <c r="G900" s="103"/>
      <c r="H900" s="103" t="str">
        <f t="shared" si="2"/>
        <v/>
      </c>
      <c r="I900" s="103"/>
      <c r="M900" s="103"/>
      <c r="N900" s="113"/>
      <c r="O900" s="107"/>
      <c r="P900" s="106" t="str">
        <f>IF(ISBLANK(N900), "", VLOOKUP(D900&amp;" "&amp;E900, 'Info Tipo de Cambio y REM'!$A$24:$B$35, 2, FALSE))
</f>
        <v/>
      </c>
      <c r="Q900" s="107" t="str">
        <f t="shared" si="3"/>
        <v/>
      </c>
    </row>
    <row r="901">
      <c r="A901" s="102"/>
      <c r="B901" s="102"/>
      <c r="C901" s="102"/>
      <c r="D901" s="51"/>
      <c r="E901" s="102"/>
      <c r="F901" s="102"/>
      <c r="G901" s="103"/>
      <c r="H901" s="103" t="str">
        <f t="shared" si="2"/>
        <v/>
      </c>
      <c r="I901" s="103"/>
      <c r="M901" s="103"/>
      <c r="N901" s="113"/>
      <c r="O901" s="107"/>
      <c r="P901" s="106" t="str">
        <f>IF(ISBLANK(N901), "", VLOOKUP(D901&amp;" "&amp;E901, 'Info Tipo de Cambio y REM'!$A$24:$B$35, 2, FALSE))
</f>
        <v/>
      </c>
      <c r="Q901" s="107" t="str">
        <f t="shared" si="3"/>
        <v/>
      </c>
    </row>
    <row r="902">
      <c r="A902" s="102"/>
      <c r="B902" s="102"/>
      <c r="C902" s="102"/>
      <c r="D902" s="51"/>
      <c r="E902" s="102"/>
      <c r="F902" s="102"/>
      <c r="G902" s="103"/>
      <c r="H902" s="103" t="str">
        <f t="shared" si="2"/>
        <v/>
      </c>
      <c r="I902" s="103"/>
      <c r="M902" s="103"/>
      <c r="N902" s="113"/>
      <c r="O902" s="107"/>
      <c r="P902" s="106" t="str">
        <f>IF(ISBLANK(N902), "", VLOOKUP(D902&amp;" "&amp;E902, 'Info Tipo de Cambio y REM'!$A$24:$B$35, 2, FALSE))
</f>
        <v/>
      </c>
      <c r="Q902" s="107" t="str">
        <f t="shared" si="3"/>
        <v/>
      </c>
    </row>
    <row r="903">
      <c r="A903" s="102"/>
      <c r="B903" s="102"/>
      <c r="C903" s="102"/>
      <c r="D903" s="51"/>
      <c r="E903" s="102"/>
      <c r="F903" s="102"/>
      <c r="G903" s="103"/>
      <c r="H903" s="103" t="str">
        <f t="shared" si="2"/>
        <v/>
      </c>
      <c r="I903" s="103"/>
      <c r="M903" s="103"/>
      <c r="N903" s="113"/>
      <c r="O903" s="107"/>
      <c r="P903" s="106" t="str">
        <f>IF(ISBLANK(N903), "", VLOOKUP(D903&amp;" "&amp;E903, 'Info Tipo de Cambio y REM'!$A$24:$B$35, 2, FALSE))
</f>
        <v/>
      </c>
      <c r="Q903" s="107" t="str">
        <f t="shared" si="3"/>
        <v/>
      </c>
    </row>
    <row r="904">
      <c r="A904" s="102"/>
      <c r="B904" s="102"/>
      <c r="C904" s="102"/>
      <c r="D904" s="51"/>
      <c r="E904" s="102"/>
      <c r="F904" s="102"/>
      <c r="G904" s="103"/>
      <c r="H904" s="103" t="str">
        <f t="shared" si="2"/>
        <v/>
      </c>
      <c r="I904" s="103"/>
      <c r="M904" s="103"/>
      <c r="N904" s="113"/>
      <c r="O904" s="107"/>
      <c r="P904" s="106" t="str">
        <f>IF(ISBLANK(N904), "", VLOOKUP(D904&amp;" "&amp;E904, 'Info Tipo de Cambio y REM'!$A$24:$B$35, 2, FALSE))
</f>
        <v/>
      </c>
      <c r="Q904" s="107" t="str">
        <f t="shared" si="3"/>
        <v/>
      </c>
    </row>
    <row r="905">
      <c r="A905" s="102"/>
      <c r="B905" s="102"/>
      <c r="C905" s="102"/>
      <c r="D905" s="51"/>
      <c r="E905" s="102"/>
      <c r="F905" s="102"/>
      <c r="G905" s="103"/>
      <c r="H905" s="103" t="str">
        <f t="shared" si="2"/>
        <v/>
      </c>
      <c r="I905" s="103"/>
      <c r="M905" s="103"/>
      <c r="N905" s="113"/>
      <c r="O905" s="107"/>
      <c r="P905" s="106" t="str">
        <f>IF(ISBLANK(N905), "", VLOOKUP(D905&amp;" "&amp;E905, 'Info Tipo de Cambio y REM'!$A$24:$B$35, 2, FALSE))
</f>
        <v/>
      </c>
      <c r="Q905" s="107" t="str">
        <f t="shared" si="3"/>
        <v/>
      </c>
    </row>
    <row r="906">
      <c r="A906" s="102"/>
      <c r="B906" s="102"/>
      <c r="C906" s="102"/>
      <c r="D906" s="51"/>
      <c r="E906" s="102"/>
      <c r="F906" s="102"/>
      <c r="G906" s="103"/>
      <c r="H906" s="103" t="str">
        <f t="shared" si="2"/>
        <v/>
      </c>
      <c r="I906" s="103"/>
      <c r="M906" s="103"/>
      <c r="N906" s="113"/>
      <c r="O906" s="107"/>
      <c r="P906" s="106" t="str">
        <f>IF(ISBLANK(N906), "", VLOOKUP(D906&amp;" "&amp;E906, 'Info Tipo de Cambio y REM'!$A$24:$B$35, 2, FALSE))
</f>
        <v/>
      </c>
      <c r="Q906" s="107" t="str">
        <f t="shared" si="3"/>
        <v/>
      </c>
    </row>
    <row r="907">
      <c r="A907" s="102"/>
      <c r="B907" s="102"/>
      <c r="C907" s="102"/>
      <c r="D907" s="51"/>
      <c r="E907" s="102"/>
      <c r="F907" s="102"/>
      <c r="G907" s="103"/>
      <c r="H907" s="103" t="str">
        <f t="shared" si="2"/>
        <v/>
      </c>
      <c r="I907" s="103"/>
      <c r="M907" s="103"/>
      <c r="N907" s="113"/>
      <c r="O907" s="107"/>
      <c r="P907" s="106" t="str">
        <f>IF(ISBLANK(N907), "", VLOOKUP(D907&amp;" "&amp;E907, 'Info Tipo de Cambio y REM'!$A$24:$B$35, 2, FALSE))
</f>
        <v/>
      </c>
      <c r="Q907" s="107" t="str">
        <f t="shared" si="3"/>
        <v/>
      </c>
    </row>
    <row r="908">
      <c r="A908" s="102"/>
      <c r="B908" s="102"/>
      <c r="C908" s="102"/>
      <c r="D908" s="51"/>
      <c r="E908" s="102"/>
      <c r="F908" s="102"/>
      <c r="G908" s="103"/>
      <c r="H908" s="103" t="str">
        <f t="shared" si="2"/>
        <v/>
      </c>
      <c r="I908" s="103"/>
      <c r="M908" s="103"/>
      <c r="N908" s="113"/>
      <c r="O908" s="107"/>
      <c r="P908" s="106" t="str">
        <f>IF(ISBLANK(N908), "", VLOOKUP(D908&amp;" "&amp;E908, 'Info Tipo de Cambio y REM'!$A$24:$B$35, 2, FALSE))
</f>
        <v/>
      </c>
      <c r="Q908" s="107" t="str">
        <f t="shared" si="3"/>
        <v/>
      </c>
    </row>
    <row r="909">
      <c r="A909" s="102"/>
      <c r="B909" s="102"/>
      <c r="C909" s="102"/>
      <c r="D909" s="51"/>
      <c r="E909" s="102"/>
      <c r="F909" s="102"/>
      <c r="G909" s="103"/>
      <c r="H909" s="103" t="str">
        <f t="shared" si="2"/>
        <v/>
      </c>
      <c r="I909" s="103"/>
      <c r="M909" s="103"/>
      <c r="N909" s="113"/>
      <c r="O909" s="107"/>
      <c r="P909" s="106" t="str">
        <f>IF(ISBLANK(N909), "", VLOOKUP(D909&amp;" "&amp;E909, 'Info Tipo de Cambio y REM'!$A$24:$B$35, 2, FALSE))
</f>
        <v/>
      </c>
      <c r="Q909" s="107" t="str">
        <f t="shared" si="3"/>
        <v/>
      </c>
    </row>
    <row r="910">
      <c r="A910" s="102"/>
      <c r="B910" s="102"/>
      <c r="C910" s="102"/>
      <c r="D910" s="51"/>
      <c r="E910" s="102"/>
      <c r="F910" s="102"/>
      <c r="G910" s="103"/>
      <c r="H910" s="103" t="str">
        <f t="shared" si="2"/>
        <v/>
      </c>
      <c r="I910" s="103"/>
      <c r="M910" s="103"/>
      <c r="N910" s="113"/>
      <c r="O910" s="107"/>
      <c r="P910" s="106" t="str">
        <f>IF(ISBLANK(N910), "", VLOOKUP(D910&amp;" "&amp;E910, 'Info Tipo de Cambio y REM'!$A$24:$B$35, 2, FALSE))
</f>
        <v/>
      </c>
      <c r="Q910" s="107" t="str">
        <f t="shared" si="3"/>
        <v/>
      </c>
    </row>
    <row r="911">
      <c r="A911" s="102"/>
      <c r="B911" s="102"/>
      <c r="C911" s="102"/>
      <c r="D911" s="51"/>
      <c r="E911" s="102"/>
      <c r="F911" s="102"/>
      <c r="G911" s="103"/>
      <c r="H911" s="103" t="str">
        <f t="shared" si="2"/>
        <v/>
      </c>
      <c r="I911" s="103"/>
      <c r="M911" s="103"/>
      <c r="N911" s="113"/>
      <c r="O911" s="107"/>
      <c r="P911" s="106" t="str">
        <f>IF(ISBLANK(N911), "", VLOOKUP(D911&amp;" "&amp;E911, 'Info Tipo de Cambio y REM'!$A$24:$B$35, 2, FALSE))
</f>
        <v/>
      </c>
      <c r="Q911" s="107" t="str">
        <f t="shared" si="3"/>
        <v/>
      </c>
    </row>
    <row r="912">
      <c r="A912" s="102"/>
      <c r="B912" s="102"/>
      <c r="C912" s="102"/>
      <c r="D912" s="51"/>
      <c r="E912" s="102"/>
      <c r="F912" s="102"/>
      <c r="G912" s="103"/>
      <c r="H912" s="103" t="str">
        <f t="shared" si="2"/>
        <v/>
      </c>
      <c r="I912" s="103"/>
      <c r="M912" s="103"/>
      <c r="N912" s="113"/>
      <c r="O912" s="107"/>
      <c r="P912" s="106" t="str">
        <f>IF(ISBLANK(N912), "", VLOOKUP(D912&amp;" "&amp;E912, 'Info Tipo de Cambio y REM'!$A$24:$B$35, 2, FALSE))
</f>
        <v/>
      </c>
      <c r="Q912" s="107" t="str">
        <f t="shared" si="3"/>
        <v/>
      </c>
    </row>
    <row r="913">
      <c r="A913" s="102"/>
      <c r="B913" s="102"/>
      <c r="C913" s="102"/>
      <c r="D913" s="51"/>
      <c r="E913" s="102"/>
      <c r="F913" s="102"/>
      <c r="G913" s="103"/>
      <c r="H913" s="103" t="str">
        <f t="shared" si="2"/>
        <v/>
      </c>
      <c r="I913" s="103"/>
      <c r="M913" s="103"/>
      <c r="N913" s="113"/>
      <c r="O913" s="107"/>
      <c r="P913" s="106" t="str">
        <f>IF(ISBLANK(N913), "", VLOOKUP(D913&amp;" "&amp;E913, 'Info Tipo de Cambio y REM'!$A$24:$B$35, 2, FALSE))
</f>
        <v/>
      </c>
      <c r="Q913" s="107" t="str">
        <f t="shared" si="3"/>
        <v/>
      </c>
    </row>
    <row r="914">
      <c r="A914" s="102"/>
      <c r="B914" s="102"/>
      <c r="C914" s="102"/>
      <c r="D914" s="51"/>
      <c r="E914" s="102"/>
      <c r="F914" s="102"/>
      <c r="G914" s="103"/>
      <c r="H914" s="103" t="str">
        <f t="shared" si="2"/>
        <v/>
      </c>
      <c r="I914" s="103"/>
      <c r="M914" s="103"/>
      <c r="N914" s="113"/>
      <c r="O914" s="107"/>
      <c r="P914" s="106" t="str">
        <f>IF(ISBLANK(N914), "", VLOOKUP(D914&amp;" "&amp;E914, 'Info Tipo de Cambio y REM'!$A$24:$B$35, 2, FALSE))
</f>
        <v/>
      </c>
      <c r="Q914" s="107" t="str">
        <f t="shared" si="3"/>
        <v/>
      </c>
    </row>
    <row r="915">
      <c r="A915" s="102"/>
      <c r="B915" s="102"/>
      <c r="C915" s="102"/>
      <c r="D915" s="51"/>
      <c r="E915" s="102"/>
      <c r="F915" s="102"/>
      <c r="G915" s="103"/>
      <c r="H915" s="103" t="str">
        <f t="shared" si="2"/>
        <v/>
      </c>
      <c r="I915" s="103"/>
      <c r="M915" s="103"/>
      <c r="N915" s="113"/>
      <c r="O915" s="107"/>
      <c r="P915" s="106" t="str">
        <f>IF(ISBLANK(N915), "", VLOOKUP(D915&amp;" "&amp;E915, 'Info Tipo de Cambio y REM'!$A$24:$B$35, 2, FALSE))
</f>
        <v/>
      </c>
      <c r="Q915" s="107" t="str">
        <f t="shared" si="3"/>
        <v/>
      </c>
    </row>
    <row r="916">
      <c r="A916" s="102"/>
      <c r="B916" s="102"/>
      <c r="C916" s="102"/>
      <c r="D916" s="51"/>
      <c r="E916" s="102"/>
      <c r="F916" s="102"/>
      <c r="G916" s="103"/>
      <c r="H916" s="103" t="str">
        <f t="shared" si="2"/>
        <v/>
      </c>
      <c r="I916" s="103"/>
      <c r="M916" s="103"/>
      <c r="N916" s="113"/>
      <c r="O916" s="107"/>
      <c r="P916" s="106" t="str">
        <f>IF(ISBLANK(N916), "", VLOOKUP(D916&amp;" "&amp;E916, 'Info Tipo de Cambio y REM'!$A$24:$B$35, 2, FALSE))
</f>
        <v/>
      </c>
      <c r="Q916" s="107" t="str">
        <f t="shared" si="3"/>
        <v/>
      </c>
    </row>
    <row r="917">
      <c r="A917" s="102"/>
      <c r="B917" s="102"/>
      <c r="C917" s="102"/>
      <c r="D917" s="51"/>
      <c r="E917" s="102"/>
      <c r="F917" s="102"/>
      <c r="G917" s="103"/>
      <c r="H917" s="103" t="str">
        <f t="shared" si="2"/>
        <v/>
      </c>
      <c r="I917" s="103"/>
      <c r="M917" s="103"/>
      <c r="N917" s="113"/>
      <c r="O917" s="107"/>
      <c r="P917" s="106" t="str">
        <f>IF(ISBLANK(N917), "", VLOOKUP(D917&amp;" "&amp;E917, 'Info Tipo de Cambio y REM'!$A$24:$B$35, 2, FALSE))
</f>
        <v/>
      </c>
      <c r="Q917" s="107" t="str">
        <f t="shared" si="3"/>
        <v/>
      </c>
    </row>
    <row r="918">
      <c r="A918" s="102"/>
      <c r="B918" s="102"/>
      <c r="C918" s="102"/>
      <c r="D918" s="51"/>
      <c r="E918" s="102"/>
      <c r="F918" s="102"/>
      <c r="G918" s="103"/>
      <c r="H918" s="103" t="str">
        <f t="shared" si="2"/>
        <v/>
      </c>
      <c r="I918" s="103"/>
      <c r="M918" s="103"/>
      <c r="N918" s="113"/>
      <c r="O918" s="107"/>
      <c r="P918" s="106" t="str">
        <f>IF(ISBLANK(N918), "", VLOOKUP(D918&amp;" "&amp;E918, 'Info Tipo de Cambio y REM'!$A$24:$B$35, 2, FALSE))
</f>
        <v/>
      </c>
      <c r="Q918" s="107" t="str">
        <f t="shared" si="3"/>
        <v/>
      </c>
    </row>
    <row r="919">
      <c r="A919" s="102"/>
      <c r="B919" s="102"/>
      <c r="C919" s="102"/>
      <c r="D919" s="51"/>
      <c r="E919" s="102"/>
      <c r="F919" s="102"/>
      <c r="G919" s="103"/>
      <c r="H919" s="103" t="str">
        <f t="shared" si="2"/>
        <v/>
      </c>
      <c r="I919" s="103"/>
      <c r="M919" s="103"/>
      <c r="N919" s="113"/>
      <c r="O919" s="107"/>
      <c r="P919" s="106" t="str">
        <f>IF(ISBLANK(N919), "", VLOOKUP(D919&amp;" "&amp;E919, 'Info Tipo de Cambio y REM'!$A$24:$B$35, 2, FALSE))
</f>
        <v/>
      </c>
      <c r="Q919" s="107" t="str">
        <f t="shared" si="3"/>
        <v/>
      </c>
    </row>
    <row r="920">
      <c r="A920" s="102"/>
      <c r="B920" s="102"/>
      <c r="C920" s="102"/>
      <c r="D920" s="51"/>
      <c r="E920" s="102"/>
      <c r="F920" s="102"/>
      <c r="G920" s="103"/>
      <c r="H920" s="103" t="str">
        <f t="shared" si="2"/>
        <v/>
      </c>
      <c r="I920" s="103"/>
      <c r="M920" s="103"/>
      <c r="N920" s="113"/>
      <c r="O920" s="107"/>
      <c r="P920" s="106" t="str">
        <f>IF(ISBLANK(N920), "", VLOOKUP(D920&amp;" "&amp;E920, 'Info Tipo de Cambio y REM'!$A$24:$B$35, 2, FALSE))
</f>
        <v/>
      </c>
      <c r="Q920" s="107" t="str">
        <f t="shared" si="3"/>
        <v/>
      </c>
    </row>
    <row r="921">
      <c r="A921" s="102"/>
      <c r="B921" s="102"/>
      <c r="C921" s="102"/>
      <c r="D921" s="51"/>
      <c r="E921" s="102"/>
      <c r="F921" s="102"/>
      <c r="G921" s="103"/>
      <c r="H921" s="103" t="str">
        <f t="shared" si="2"/>
        <v/>
      </c>
      <c r="I921" s="103"/>
      <c r="M921" s="103"/>
      <c r="N921" s="113"/>
      <c r="O921" s="107"/>
      <c r="P921" s="106" t="str">
        <f>IF(ISBLANK(N921), "", VLOOKUP(D921&amp;" "&amp;E921, 'Info Tipo de Cambio y REM'!$A$24:$B$35, 2, FALSE))
</f>
        <v/>
      </c>
      <c r="Q921" s="107" t="str">
        <f t="shared" si="3"/>
        <v/>
      </c>
    </row>
    <row r="922">
      <c r="A922" s="102"/>
      <c r="B922" s="102"/>
      <c r="C922" s="102"/>
      <c r="D922" s="51"/>
      <c r="E922" s="102"/>
      <c r="F922" s="102"/>
      <c r="G922" s="103"/>
      <c r="H922" s="103" t="str">
        <f t="shared" si="2"/>
        <v/>
      </c>
      <c r="I922" s="103"/>
      <c r="M922" s="103"/>
      <c r="N922" s="113"/>
      <c r="O922" s="107"/>
      <c r="P922" s="106" t="str">
        <f>IF(ISBLANK(N922), "", VLOOKUP(D922&amp;" "&amp;E922, 'Info Tipo de Cambio y REM'!$A$24:$B$35, 2, FALSE))
</f>
        <v/>
      </c>
      <c r="Q922" s="107" t="str">
        <f t="shared" si="3"/>
        <v/>
      </c>
    </row>
    <row r="923">
      <c r="A923" s="102"/>
      <c r="B923" s="102"/>
      <c r="C923" s="102"/>
      <c r="D923" s="51"/>
      <c r="E923" s="102"/>
      <c r="F923" s="102"/>
      <c r="G923" s="103"/>
      <c r="H923" s="103" t="str">
        <f t="shared" si="2"/>
        <v/>
      </c>
      <c r="I923" s="103"/>
      <c r="M923" s="103"/>
      <c r="N923" s="113"/>
      <c r="O923" s="107"/>
      <c r="P923" s="106" t="str">
        <f>IF(ISBLANK(N923), "", VLOOKUP(D923&amp;" "&amp;E923, 'Info Tipo de Cambio y REM'!$A$24:$B$35, 2, FALSE))
</f>
        <v/>
      </c>
      <c r="Q923" s="107" t="str">
        <f t="shared" si="3"/>
        <v/>
      </c>
    </row>
    <row r="924">
      <c r="A924" s="102"/>
      <c r="B924" s="102"/>
      <c r="C924" s="102"/>
      <c r="D924" s="51"/>
      <c r="E924" s="102"/>
      <c r="F924" s="102"/>
      <c r="G924" s="103"/>
      <c r="H924" s="103" t="str">
        <f t="shared" si="2"/>
        <v/>
      </c>
      <c r="I924" s="103"/>
      <c r="M924" s="103"/>
      <c r="N924" s="113"/>
      <c r="O924" s="107"/>
      <c r="P924" s="106" t="str">
        <f>IF(ISBLANK(N924), "", VLOOKUP(D924&amp;" "&amp;E924, 'Info Tipo de Cambio y REM'!$A$24:$B$35, 2, FALSE))
</f>
        <v/>
      </c>
      <c r="Q924" s="107" t="str">
        <f t="shared" si="3"/>
        <v/>
      </c>
    </row>
    <row r="925">
      <c r="A925" s="102"/>
      <c r="B925" s="102"/>
      <c r="C925" s="102"/>
      <c r="D925" s="51"/>
      <c r="E925" s="102"/>
      <c r="F925" s="102"/>
      <c r="G925" s="103"/>
      <c r="H925" s="103" t="str">
        <f t="shared" si="2"/>
        <v/>
      </c>
      <c r="I925" s="103"/>
      <c r="M925" s="103"/>
      <c r="N925" s="113"/>
      <c r="O925" s="107"/>
      <c r="P925" s="106" t="str">
        <f>IF(ISBLANK(N925), "", VLOOKUP(D925&amp;" "&amp;E925, 'Info Tipo de Cambio y REM'!$A$24:$B$35, 2, FALSE))
</f>
        <v/>
      </c>
      <c r="Q925" s="107" t="str">
        <f t="shared" si="3"/>
        <v/>
      </c>
    </row>
    <row r="926">
      <c r="A926" s="102"/>
      <c r="B926" s="102"/>
      <c r="C926" s="102"/>
      <c r="D926" s="51"/>
      <c r="E926" s="102"/>
      <c r="F926" s="102"/>
      <c r="G926" s="103"/>
      <c r="H926" s="103" t="str">
        <f t="shared" si="2"/>
        <v/>
      </c>
      <c r="I926" s="103"/>
      <c r="M926" s="103"/>
      <c r="N926" s="113"/>
      <c r="O926" s="107"/>
      <c r="P926" s="106" t="str">
        <f>IF(ISBLANK(N926), "", VLOOKUP(D926&amp;" "&amp;E926, 'Info Tipo de Cambio y REM'!$A$24:$B$35, 2, FALSE))
</f>
        <v/>
      </c>
      <c r="Q926" s="107" t="str">
        <f t="shared" si="3"/>
        <v/>
      </c>
    </row>
    <row r="927">
      <c r="A927" s="102"/>
      <c r="B927" s="102"/>
      <c r="C927" s="102"/>
      <c r="D927" s="51"/>
      <c r="E927" s="102"/>
      <c r="F927" s="102"/>
      <c r="G927" s="103"/>
      <c r="H927" s="103" t="str">
        <f t="shared" si="2"/>
        <v/>
      </c>
      <c r="I927" s="103"/>
      <c r="M927" s="103"/>
      <c r="N927" s="113"/>
      <c r="O927" s="107"/>
      <c r="P927" s="106" t="str">
        <f>IF(ISBLANK(N927), "", VLOOKUP(D927&amp;" "&amp;E927, 'Info Tipo de Cambio y REM'!$A$24:$B$35, 2, FALSE))
</f>
        <v/>
      </c>
      <c r="Q927" s="107" t="str">
        <f t="shared" si="3"/>
        <v/>
      </c>
    </row>
    <row r="928">
      <c r="A928" s="102"/>
      <c r="B928" s="102"/>
      <c r="C928" s="102"/>
      <c r="D928" s="51"/>
      <c r="E928" s="102"/>
      <c r="F928" s="102"/>
      <c r="G928" s="103"/>
      <c r="H928" s="103" t="str">
        <f t="shared" si="2"/>
        <v/>
      </c>
      <c r="I928" s="103"/>
      <c r="M928" s="103"/>
      <c r="N928" s="113"/>
      <c r="O928" s="107"/>
      <c r="P928" s="106" t="str">
        <f>IF(ISBLANK(N928), "", VLOOKUP(D928&amp;" "&amp;E928, 'Info Tipo de Cambio y REM'!$A$24:$B$35, 2, FALSE))
</f>
        <v/>
      </c>
      <c r="Q928" s="107" t="str">
        <f t="shared" si="3"/>
        <v/>
      </c>
    </row>
    <row r="929">
      <c r="A929" s="102"/>
      <c r="B929" s="102"/>
      <c r="C929" s="102"/>
      <c r="D929" s="51"/>
      <c r="E929" s="102"/>
      <c r="F929" s="102"/>
      <c r="G929" s="103"/>
      <c r="H929" s="103" t="str">
        <f t="shared" si="2"/>
        <v/>
      </c>
      <c r="I929" s="103"/>
      <c r="M929" s="103"/>
      <c r="N929" s="113"/>
      <c r="O929" s="107"/>
      <c r="P929" s="106" t="str">
        <f>IF(ISBLANK(N929), "", VLOOKUP(D929&amp;" "&amp;E929, 'Info Tipo de Cambio y REM'!$A$24:$B$35, 2, FALSE))
</f>
        <v/>
      </c>
      <c r="Q929" s="107" t="str">
        <f t="shared" si="3"/>
        <v/>
      </c>
    </row>
    <row r="930">
      <c r="A930" s="102"/>
      <c r="B930" s="102"/>
      <c r="C930" s="102"/>
      <c r="D930" s="51"/>
      <c r="E930" s="102"/>
      <c r="F930" s="102"/>
      <c r="G930" s="103"/>
      <c r="H930" s="103" t="str">
        <f t="shared" si="2"/>
        <v/>
      </c>
      <c r="I930" s="103"/>
      <c r="M930" s="103"/>
      <c r="N930" s="113"/>
      <c r="O930" s="107"/>
      <c r="P930" s="106" t="str">
        <f>IF(ISBLANK(N930), "", VLOOKUP(D930&amp;" "&amp;E930, 'Info Tipo de Cambio y REM'!$A$24:$B$35, 2, FALSE))
</f>
        <v/>
      </c>
      <c r="Q930" s="107" t="str">
        <f t="shared" si="3"/>
        <v/>
      </c>
    </row>
    <row r="931">
      <c r="A931" s="102"/>
      <c r="B931" s="102"/>
      <c r="C931" s="102"/>
      <c r="D931" s="51"/>
      <c r="E931" s="102"/>
      <c r="F931" s="102"/>
      <c r="G931" s="103"/>
      <c r="H931" s="103" t="str">
        <f t="shared" si="2"/>
        <v/>
      </c>
      <c r="I931" s="103"/>
      <c r="M931" s="103"/>
      <c r="N931" s="113"/>
      <c r="O931" s="107"/>
      <c r="P931" s="106" t="str">
        <f>IF(ISBLANK(N931), "", VLOOKUP(D931&amp;" "&amp;E931, 'Info Tipo de Cambio y REM'!$A$24:$B$35, 2, FALSE))
</f>
        <v/>
      </c>
      <c r="Q931" s="107" t="str">
        <f t="shared" si="3"/>
        <v/>
      </c>
    </row>
    <row r="932">
      <c r="A932" s="102"/>
      <c r="B932" s="102"/>
      <c r="C932" s="102"/>
      <c r="D932" s="51"/>
      <c r="E932" s="102"/>
      <c r="F932" s="102"/>
      <c r="G932" s="103"/>
      <c r="H932" s="103" t="str">
        <f t="shared" si="2"/>
        <v/>
      </c>
      <c r="I932" s="103"/>
      <c r="M932" s="103"/>
      <c r="N932" s="113"/>
      <c r="O932" s="107"/>
      <c r="P932" s="106" t="str">
        <f>IF(ISBLANK(N932), "", VLOOKUP(D932&amp;" "&amp;E932, 'Info Tipo de Cambio y REM'!$A$24:$B$35, 2, FALSE))
</f>
        <v/>
      </c>
      <c r="Q932" s="107" t="str">
        <f t="shared" si="3"/>
        <v/>
      </c>
    </row>
    <row r="933">
      <c r="A933" s="102"/>
      <c r="B933" s="102"/>
      <c r="C933" s="102"/>
      <c r="D933" s="51"/>
      <c r="E933" s="102"/>
      <c r="F933" s="102"/>
      <c r="G933" s="103"/>
      <c r="H933" s="103" t="str">
        <f t="shared" si="2"/>
        <v/>
      </c>
      <c r="I933" s="103"/>
      <c r="M933" s="103"/>
      <c r="N933" s="113"/>
      <c r="O933" s="107"/>
      <c r="P933" s="106" t="str">
        <f>IF(ISBLANK(N933), "", VLOOKUP(D933&amp;" "&amp;E933, 'Info Tipo de Cambio y REM'!$A$24:$B$35, 2, FALSE))
</f>
        <v/>
      </c>
      <c r="Q933" s="107" t="str">
        <f t="shared" si="3"/>
        <v/>
      </c>
    </row>
    <row r="934">
      <c r="A934" s="102"/>
      <c r="B934" s="102"/>
      <c r="C934" s="102"/>
      <c r="D934" s="51"/>
      <c r="E934" s="102"/>
      <c r="F934" s="102"/>
      <c r="G934" s="103"/>
      <c r="H934" s="103" t="str">
        <f t="shared" si="2"/>
        <v/>
      </c>
      <c r="I934" s="103"/>
      <c r="M934" s="103"/>
      <c r="N934" s="113"/>
      <c r="O934" s="107"/>
      <c r="P934" s="106" t="str">
        <f>IF(ISBLANK(N934), "", VLOOKUP(D934&amp;" "&amp;E934, 'Info Tipo de Cambio y REM'!$A$24:$B$35, 2, FALSE))
</f>
        <v/>
      </c>
      <c r="Q934" s="107" t="str">
        <f t="shared" si="3"/>
        <v/>
      </c>
    </row>
    <row r="935">
      <c r="A935" s="102"/>
      <c r="B935" s="102"/>
      <c r="C935" s="102"/>
      <c r="D935" s="51"/>
      <c r="E935" s="102"/>
      <c r="F935" s="102"/>
      <c r="G935" s="103"/>
      <c r="H935" s="103" t="str">
        <f t="shared" si="2"/>
        <v/>
      </c>
      <c r="I935" s="103"/>
      <c r="M935" s="103"/>
      <c r="N935" s="113"/>
      <c r="O935" s="107"/>
      <c r="P935" s="106" t="str">
        <f>IF(ISBLANK(N935), "", VLOOKUP(D935&amp;" "&amp;E935, 'Info Tipo de Cambio y REM'!$A$24:$B$35, 2, FALSE))
</f>
        <v/>
      </c>
      <c r="Q935" s="107" t="str">
        <f t="shared" si="3"/>
        <v/>
      </c>
    </row>
    <row r="936">
      <c r="A936" s="102"/>
      <c r="B936" s="102"/>
      <c r="C936" s="102"/>
      <c r="D936" s="51"/>
      <c r="E936" s="102"/>
      <c r="F936" s="102"/>
      <c r="G936" s="103"/>
      <c r="H936" s="103" t="str">
        <f t="shared" si="2"/>
        <v/>
      </c>
      <c r="I936" s="103"/>
      <c r="M936" s="103"/>
      <c r="N936" s="113"/>
      <c r="O936" s="107"/>
      <c r="P936" s="106" t="str">
        <f>IF(ISBLANK(N936), "", VLOOKUP(D936&amp;" "&amp;E936, 'Info Tipo de Cambio y REM'!$A$24:$B$35, 2, FALSE))
</f>
        <v/>
      </c>
      <c r="Q936" s="107" t="str">
        <f t="shared" si="3"/>
        <v/>
      </c>
    </row>
    <row r="937">
      <c r="A937" s="102"/>
      <c r="B937" s="102"/>
      <c r="C937" s="102"/>
      <c r="D937" s="51"/>
      <c r="E937" s="102"/>
      <c r="F937" s="102"/>
      <c r="G937" s="103"/>
      <c r="H937" s="103" t="str">
        <f t="shared" si="2"/>
        <v/>
      </c>
      <c r="I937" s="103"/>
      <c r="M937" s="103"/>
      <c r="N937" s="113"/>
      <c r="O937" s="107"/>
      <c r="P937" s="106" t="str">
        <f>IF(ISBLANK(N937), "", VLOOKUP(D937&amp;" "&amp;E937, 'Info Tipo de Cambio y REM'!$A$24:$B$35, 2, FALSE))
</f>
        <v/>
      </c>
      <c r="Q937" s="107" t="str">
        <f t="shared" si="3"/>
        <v/>
      </c>
    </row>
    <row r="938">
      <c r="A938" s="102"/>
      <c r="B938" s="102"/>
      <c r="C938" s="102"/>
      <c r="D938" s="51"/>
      <c r="E938" s="102"/>
      <c r="F938" s="102"/>
      <c r="G938" s="103"/>
      <c r="H938" s="103" t="str">
        <f t="shared" si="2"/>
        <v/>
      </c>
      <c r="I938" s="103"/>
      <c r="M938" s="103"/>
      <c r="N938" s="113"/>
      <c r="O938" s="107"/>
      <c r="P938" s="106" t="str">
        <f>IF(ISBLANK(N938), "", VLOOKUP(D938&amp;" "&amp;E938, 'Info Tipo de Cambio y REM'!$A$24:$B$35, 2, FALSE))
</f>
        <v/>
      </c>
      <c r="Q938" s="107" t="str">
        <f t="shared" si="3"/>
        <v/>
      </c>
    </row>
    <row r="939">
      <c r="A939" s="102"/>
      <c r="B939" s="102"/>
      <c r="C939" s="102"/>
      <c r="D939" s="51"/>
      <c r="E939" s="102"/>
      <c r="F939" s="102"/>
      <c r="G939" s="103"/>
      <c r="H939" s="103" t="str">
        <f t="shared" si="2"/>
        <v/>
      </c>
      <c r="I939" s="103"/>
      <c r="M939" s="103"/>
      <c r="N939" s="113"/>
      <c r="O939" s="107"/>
      <c r="P939" s="106" t="str">
        <f>IF(ISBLANK(N939), "", VLOOKUP(D939&amp;" "&amp;E939, 'Info Tipo de Cambio y REM'!$A$24:$B$35, 2, FALSE))
</f>
        <v/>
      </c>
      <c r="Q939" s="107" t="str">
        <f t="shared" si="3"/>
        <v/>
      </c>
    </row>
    <row r="940">
      <c r="A940" s="102"/>
      <c r="B940" s="102"/>
      <c r="C940" s="102"/>
      <c r="D940" s="51"/>
      <c r="E940" s="102"/>
      <c r="F940" s="102"/>
      <c r="G940" s="103"/>
      <c r="H940" s="103" t="str">
        <f t="shared" si="2"/>
        <v/>
      </c>
      <c r="I940" s="103"/>
      <c r="M940" s="103"/>
      <c r="N940" s="113"/>
      <c r="O940" s="107"/>
      <c r="P940" s="106" t="str">
        <f>IF(ISBLANK(N940), "", VLOOKUP(D940&amp;" "&amp;E940, 'Info Tipo de Cambio y REM'!$A$24:$B$35, 2, FALSE))
</f>
        <v/>
      </c>
      <c r="Q940" s="107" t="str">
        <f t="shared" si="3"/>
        <v/>
      </c>
    </row>
    <row r="941">
      <c r="A941" s="102"/>
      <c r="B941" s="102"/>
      <c r="C941" s="102"/>
      <c r="D941" s="51"/>
      <c r="E941" s="102"/>
      <c r="F941" s="102"/>
      <c r="G941" s="103"/>
      <c r="H941" s="103" t="str">
        <f t="shared" si="2"/>
        <v/>
      </c>
      <c r="I941" s="103"/>
      <c r="M941" s="103"/>
      <c r="N941" s="113"/>
      <c r="O941" s="107"/>
      <c r="P941" s="106" t="str">
        <f>IF(ISBLANK(N941), "", VLOOKUP(D941&amp;" "&amp;E941, 'Info Tipo de Cambio y REM'!$A$24:$B$35, 2, FALSE))
</f>
        <v/>
      </c>
      <c r="Q941" s="107" t="str">
        <f t="shared" si="3"/>
        <v/>
      </c>
    </row>
    <row r="942">
      <c r="A942" s="102"/>
      <c r="B942" s="102"/>
      <c r="C942" s="102"/>
      <c r="D942" s="51"/>
      <c r="E942" s="102"/>
      <c r="F942" s="102"/>
      <c r="G942" s="103"/>
      <c r="H942" s="103" t="str">
        <f t="shared" si="2"/>
        <v/>
      </c>
      <c r="I942" s="103"/>
      <c r="M942" s="103"/>
      <c r="N942" s="113"/>
      <c r="O942" s="107"/>
      <c r="P942" s="106" t="str">
        <f>IF(ISBLANK(N942), "", VLOOKUP(D942&amp;" "&amp;E942, 'Info Tipo de Cambio y REM'!$A$24:$B$35, 2, FALSE))
</f>
        <v/>
      </c>
      <c r="Q942" s="107" t="str">
        <f t="shared" si="3"/>
        <v/>
      </c>
    </row>
    <row r="943">
      <c r="A943" s="102"/>
      <c r="B943" s="102"/>
      <c r="C943" s="102"/>
      <c r="D943" s="51"/>
      <c r="E943" s="102"/>
      <c r="F943" s="102"/>
      <c r="G943" s="103"/>
      <c r="H943" s="103" t="str">
        <f t="shared" si="2"/>
        <v/>
      </c>
      <c r="I943" s="103"/>
      <c r="M943" s="103"/>
      <c r="N943" s="113"/>
      <c r="O943" s="107"/>
      <c r="P943" s="106" t="str">
        <f>IF(ISBLANK(N943), "", VLOOKUP(D943&amp;" "&amp;E943, 'Info Tipo de Cambio y REM'!$A$24:$B$35, 2, FALSE))
</f>
        <v/>
      </c>
      <c r="Q943" s="107" t="str">
        <f t="shared" si="3"/>
        <v/>
      </c>
    </row>
    <row r="944">
      <c r="A944" s="102"/>
      <c r="B944" s="102"/>
      <c r="C944" s="102"/>
      <c r="D944" s="51"/>
      <c r="E944" s="102"/>
      <c r="F944" s="102"/>
      <c r="G944" s="103"/>
      <c r="H944" s="103" t="str">
        <f t="shared" si="2"/>
        <v/>
      </c>
      <c r="I944" s="103"/>
      <c r="M944" s="103"/>
      <c r="N944" s="113"/>
      <c r="O944" s="107"/>
      <c r="P944" s="106" t="str">
        <f>IF(ISBLANK(N944), "", VLOOKUP(D944&amp;" "&amp;E944, 'Info Tipo de Cambio y REM'!$A$24:$B$35, 2, FALSE))
</f>
        <v/>
      </c>
      <c r="Q944" s="107" t="str">
        <f t="shared" si="3"/>
        <v/>
      </c>
    </row>
    <row r="945">
      <c r="A945" s="102"/>
      <c r="B945" s="102"/>
      <c r="C945" s="102"/>
      <c r="D945" s="51"/>
      <c r="E945" s="102"/>
      <c r="F945" s="102"/>
      <c r="G945" s="103"/>
      <c r="H945" s="103" t="str">
        <f t="shared" si="2"/>
        <v/>
      </c>
      <c r="I945" s="103"/>
      <c r="M945" s="103"/>
      <c r="N945" s="113"/>
      <c r="O945" s="107"/>
      <c r="P945" s="106" t="str">
        <f>IF(ISBLANK(N945), "", VLOOKUP(D945&amp;" "&amp;E945, 'Info Tipo de Cambio y REM'!$A$24:$B$35, 2, FALSE))
</f>
        <v/>
      </c>
      <c r="Q945" s="107" t="str">
        <f t="shared" si="3"/>
        <v/>
      </c>
    </row>
    <row r="946">
      <c r="A946" s="102"/>
      <c r="B946" s="102"/>
      <c r="C946" s="102"/>
      <c r="D946" s="51"/>
      <c r="E946" s="102"/>
      <c r="F946" s="102"/>
      <c r="G946" s="103"/>
      <c r="H946" s="103" t="str">
        <f t="shared" si="2"/>
        <v/>
      </c>
      <c r="I946" s="103"/>
      <c r="M946" s="103"/>
      <c r="N946" s="113"/>
      <c r="O946" s="107"/>
      <c r="P946" s="106" t="str">
        <f>IF(ISBLANK(N946), "", VLOOKUP(D946&amp;" "&amp;E946, 'Info Tipo de Cambio y REM'!$A$24:$B$35, 2, FALSE))
</f>
        <v/>
      </c>
      <c r="Q946" s="107" t="str">
        <f t="shared" si="3"/>
        <v/>
      </c>
    </row>
    <row r="947">
      <c r="A947" s="102"/>
      <c r="B947" s="102"/>
      <c r="C947" s="102"/>
      <c r="D947" s="51"/>
      <c r="E947" s="102"/>
      <c r="F947" s="102"/>
      <c r="G947" s="103"/>
      <c r="H947" s="103" t="str">
        <f t="shared" si="2"/>
        <v/>
      </c>
      <c r="I947" s="103"/>
      <c r="M947" s="103"/>
      <c r="N947" s="113"/>
      <c r="O947" s="107"/>
      <c r="P947" s="106" t="str">
        <f>IF(ISBLANK(N947), "", VLOOKUP(D947&amp;" "&amp;E947, 'Info Tipo de Cambio y REM'!$A$24:$B$35, 2, FALSE))
</f>
        <v/>
      </c>
      <c r="Q947" s="107" t="str">
        <f t="shared" si="3"/>
        <v/>
      </c>
    </row>
    <row r="948">
      <c r="A948" s="102"/>
      <c r="B948" s="102"/>
      <c r="C948" s="102"/>
      <c r="D948" s="51"/>
      <c r="E948" s="102"/>
      <c r="F948" s="102"/>
      <c r="G948" s="103"/>
      <c r="H948" s="103" t="str">
        <f t="shared" si="2"/>
        <v/>
      </c>
      <c r="I948" s="103"/>
      <c r="M948" s="103"/>
      <c r="N948" s="113"/>
      <c r="O948" s="107"/>
      <c r="P948" s="106" t="str">
        <f>IF(ISBLANK(N948), "", VLOOKUP(D948&amp;" "&amp;E948, 'Info Tipo de Cambio y REM'!$A$24:$B$35, 2, FALSE))
</f>
        <v/>
      </c>
      <c r="Q948" s="107" t="str">
        <f t="shared" si="3"/>
        <v/>
      </c>
    </row>
    <row r="949">
      <c r="A949" s="102"/>
      <c r="B949" s="102"/>
      <c r="C949" s="102"/>
      <c r="D949" s="51"/>
      <c r="E949" s="102"/>
      <c r="F949" s="102"/>
      <c r="G949" s="103"/>
      <c r="H949" s="103" t="str">
        <f t="shared" si="2"/>
        <v/>
      </c>
      <c r="I949" s="103"/>
      <c r="M949" s="103"/>
      <c r="N949" s="113"/>
      <c r="O949" s="107"/>
      <c r="P949" s="106" t="str">
        <f>IF(ISBLANK(N949), "", VLOOKUP(D949&amp;" "&amp;E949, 'Info Tipo de Cambio y REM'!$A$24:$B$35, 2, FALSE))
</f>
        <v/>
      </c>
      <c r="Q949" s="107" t="str">
        <f t="shared" si="3"/>
        <v/>
      </c>
    </row>
    <row r="950">
      <c r="A950" s="102"/>
      <c r="B950" s="102"/>
      <c r="C950" s="102"/>
      <c r="D950" s="51"/>
      <c r="E950" s="102"/>
      <c r="F950" s="102"/>
      <c r="G950" s="103"/>
      <c r="H950" s="103" t="str">
        <f t="shared" si="2"/>
        <v/>
      </c>
      <c r="I950" s="103"/>
      <c r="M950" s="103"/>
      <c r="N950" s="113"/>
      <c r="O950" s="107"/>
      <c r="P950" s="106" t="str">
        <f>IF(ISBLANK(N950), "", VLOOKUP(D950&amp;" "&amp;E950, 'Info Tipo de Cambio y REM'!$A$24:$B$35, 2, FALSE))
</f>
        <v/>
      </c>
      <c r="Q950" s="107" t="str">
        <f t="shared" si="3"/>
        <v/>
      </c>
    </row>
    <row r="951">
      <c r="A951" s="102"/>
      <c r="B951" s="102"/>
      <c r="C951" s="102"/>
      <c r="D951" s="51"/>
      <c r="E951" s="102"/>
      <c r="F951" s="102"/>
      <c r="G951" s="103"/>
      <c r="H951" s="103" t="str">
        <f t="shared" si="2"/>
        <v/>
      </c>
      <c r="I951" s="103"/>
      <c r="M951" s="103"/>
      <c r="N951" s="113"/>
      <c r="O951" s="107"/>
      <c r="P951" s="106" t="str">
        <f>IF(ISBLANK(N951), "", VLOOKUP(D951&amp;" "&amp;E951, 'Info Tipo de Cambio y REM'!$A$24:$B$35, 2, FALSE))
</f>
        <v/>
      </c>
      <c r="Q951" s="107" t="str">
        <f t="shared" si="3"/>
        <v/>
      </c>
    </row>
    <row r="952">
      <c r="A952" s="102"/>
      <c r="B952" s="102"/>
      <c r="C952" s="102"/>
      <c r="D952" s="51"/>
      <c r="E952" s="102"/>
      <c r="F952" s="102"/>
      <c r="G952" s="103"/>
      <c r="H952" s="103" t="str">
        <f t="shared" si="2"/>
        <v/>
      </c>
      <c r="I952" s="103"/>
      <c r="M952" s="103"/>
      <c r="N952" s="113"/>
      <c r="O952" s="107"/>
      <c r="P952" s="106" t="str">
        <f>IF(ISBLANK(N952), "", VLOOKUP(D952&amp;" "&amp;E952, 'Info Tipo de Cambio y REM'!$A$24:$B$35, 2, FALSE))
</f>
        <v/>
      </c>
      <c r="Q952" s="107" t="str">
        <f t="shared" si="3"/>
        <v/>
      </c>
    </row>
    <row r="953">
      <c r="A953" s="102"/>
      <c r="B953" s="102"/>
      <c r="C953" s="102"/>
      <c r="D953" s="51"/>
      <c r="E953" s="102"/>
      <c r="F953" s="102"/>
      <c r="G953" s="103"/>
      <c r="H953" s="103" t="str">
        <f t="shared" si="2"/>
        <v/>
      </c>
      <c r="I953" s="103"/>
      <c r="M953" s="103"/>
      <c r="N953" s="113"/>
      <c r="O953" s="107"/>
      <c r="P953" s="106" t="str">
        <f>IF(ISBLANK(N953), "", VLOOKUP(D953&amp;" "&amp;E953, 'Info Tipo de Cambio y REM'!$A$24:$B$35, 2, FALSE))
</f>
        <v/>
      </c>
      <c r="Q953" s="107" t="str">
        <f t="shared" si="3"/>
        <v/>
      </c>
    </row>
    <row r="954">
      <c r="A954" s="102"/>
      <c r="B954" s="102"/>
      <c r="C954" s="102"/>
      <c r="D954" s="51"/>
      <c r="E954" s="102"/>
      <c r="F954" s="102"/>
      <c r="G954" s="103"/>
      <c r="H954" s="103" t="str">
        <f t="shared" si="2"/>
        <v/>
      </c>
      <c r="I954" s="103"/>
      <c r="M954" s="103"/>
      <c r="N954" s="113"/>
      <c r="O954" s="107"/>
      <c r="P954" s="106" t="str">
        <f>IF(ISBLANK(N954), "", VLOOKUP(D954&amp;" "&amp;E954, 'Info Tipo de Cambio y REM'!$A$24:$B$35, 2, FALSE))
</f>
        <v/>
      </c>
      <c r="Q954" s="107" t="str">
        <f t="shared" si="3"/>
        <v/>
      </c>
    </row>
    <row r="955">
      <c r="A955" s="102"/>
      <c r="B955" s="102"/>
      <c r="C955" s="102"/>
      <c r="D955" s="51"/>
      <c r="E955" s="102"/>
      <c r="F955" s="102"/>
      <c r="G955" s="103"/>
      <c r="H955" s="103" t="str">
        <f t="shared" si="2"/>
        <v/>
      </c>
      <c r="I955" s="103"/>
      <c r="M955" s="103"/>
      <c r="N955" s="113"/>
      <c r="O955" s="107"/>
      <c r="P955" s="106" t="str">
        <f>IF(ISBLANK(N955), "", VLOOKUP(D955&amp;" "&amp;E955, 'Info Tipo de Cambio y REM'!$A$24:$B$35, 2, FALSE))
</f>
        <v/>
      </c>
      <c r="Q955" s="107" t="str">
        <f t="shared" si="3"/>
        <v/>
      </c>
    </row>
    <row r="956">
      <c r="A956" s="102"/>
      <c r="B956" s="102"/>
      <c r="C956" s="102"/>
      <c r="D956" s="51"/>
      <c r="E956" s="102"/>
      <c r="F956" s="102"/>
      <c r="G956" s="103"/>
      <c r="H956" s="103" t="str">
        <f t="shared" si="2"/>
        <v/>
      </c>
      <c r="I956" s="103"/>
      <c r="M956" s="103"/>
      <c r="N956" s="113"/>
      <c r="O956" s="107"/>
      <c r="P956" s="106" t="str">
        <f>IF(ISBLANK(N956), "", VLOOKUP(D956&amp;" "&amp;E956, 'Info Tipo de Cambio y REM'!$A$24:$B$35, 2, FALSE))
</f>
        <v/>
      </c>
      <c r="Q956" s="107" t="str">
        <f t="shared" si="3"/>
        <v/>
      </c>
    </row>
    <row r="957">
      <c r="A957" s="102"/>
      <c r="B957" s="102"/>
      <c r="C957" s="102"/>
      <c r="D957" s="51"/>
      <c r="E957" s="102"/>
      <c r="F957" s="102"/>
      <c r="G957" s="103"/>
      <c r="H957" s="103" t="str">
        <f t="shared" si="2"/>
        <v/>
      </c>
      <c r="I957" s="103"/>
      <c r="M957" s="103"/>
      <c r="N957" s="113"/>
      <c r="O957" s="107"/>
      <c r="P957" s="106" t="str">
        <f>IF(ISBLANK(N957), "", VLOOKUP(D957&amp;" "&amp;E957, 'Info Tipo de Cambio y REM'!$A$24:$B$35, 2, FALSE))
</f>
        <v/>
      </c>
      <c r="Q957" s="107" t="str">
        <f t="shared" si="3"/>
        <v/>
      </c>
    </row>
    <row r="958">
      <c r="A958" s="102"/>
      <c r="B958" s="102"/>
      <c r="C958" s="102"/>
      <c r="D958" s="51"/>
      <c r="E958" s="102"/>
      <c r="F958" s="102"/>
      <c r="G958" s="103"/>
      <c r="H958" s="103" t="str">
        <f t="shared" si="2"/>
        <v/>
      </c>
      <c r="I958" s="103"/>
      <c r="M958" s="103"/>
      <c r="N958" s="113"/>
      <c r="O958" s="107"/>
      <c r="P958" s="106" t="str">
        <f>IF(ISBLANK(N958), "", VLOOKUP(D958&amp;" "&amp;E958, 'Info Tipo de Cambio y REM'!$A$24:$B$35, 2, FALSE))
</f>
        <v/>
      </c>
      <c r="Q958" s="107" t="str">
        <f t="shared" si="3"/>
        <v/>
      </c>
    </row>
    <row r="959">
      <c r="A959" s="102"/>
      <c r="B959" s="102"/>
      <c r="C959" s="102"/>
      <c r="D959" s="51"/>
      <c r="E959" s="102"/>
      <c r="F959" s="102"/>
      <c r="G959" s="103"/>
      <c r="H959" s="103" t="str">
        <f t="shared" si="2"/>
        <v/>
      </c>
      <c r="I959" s="103"/>
      <c r="M959" s="103"/>
      <c r="N959" s="113"/>
      <c r="O959" s="107"/>
      <c r="P959" s="106" t="str">
        <f>IF(ISBLANK(N959), "", VLOOKUP(D959&amp;" "&amp;E959, 'Info Tipo de Cambio y REM'!$A$24:$B$35, 2, FALSE))
</f>
        <v/>
      </c>
      <c r="Q959" s="107" t="str">
        <f t="shared" si="3"/>
        <v/>
      </c>
    </row>
    <row r="960">
      <c r="A960" s="102"/>
      <c r="B960" s="102"/>
      <c r="C960" s="102"/>
      <c r="D960" s="51"/>
      <c r="E960" s="102"/>
      <c r="F960" s="102"/>
      <c r="G960" s="103"/>
      <c r="H960" s="103" t="str">
        <f t="shared" si="2"/>
        <v/>
      </c>
      <c r="I960" s="103"/>
      <c r="M960" s="103"/>
      <c r="N960" s="113"/>
      <c r="O960" s="107"/>
      <c r="P960" s="106" t="str">
        <f>IF(ISBLANK(N960), "", VLOOKUP(D960&amp;" "&amp;E960, 'Info Tipo de Cambio y REM'!$A$24:$B$35, 2, FALSE))
</f>
        <v/>
      </c>
      <c r="Q960" s="107" t="str">
        <f t="shared" si="3"/>
        <v/>
      </c>
    </row>
    <row r="961">
      <c r="A961" s="102"/>
      <c r="B961" s="102"/>
      <c r="C961" s="102"/>
      <c r="D961" s="51"/>
      <c r="E961" s="102"/>
      <c r="F961" s="102"/>
      <c r="G961" s="103"/>
      <c r="H961" s="103" t="str">
        <f t="shared" si="2"/>
        <v/>
      </c>
      <c r="I961" s="103"/>
      <c r="M961" s="103"/>
      <c r="N961" s="113"/>
      <c r="O961" s="107"/>
      <c r="P961" s="106" t="str">
        <f>IF(ISBLANK(N961), "", VLOOKUP(D961&amp;" "&amp;E961, 'Info Tipo de Cambio y REM'!$A$24:$B$35, 2, FALSE))
</f>
        <v/>
      </c>
      <c r="Q961" s="107" t="str">
        <f t="shared" si="3"/>
        <v/>
      </c>
    </row>
    <row r="962">
      <c r="A962" s="102"/>
      <c r="B962" s="102"/>
      <c r="C962" s="102"/>
      <c r="D962" s="51"/>
      <c r="E962" s="102"/>
      <c r="F962" s="102"/>
      <c r="G962" s="103"/>
      <c r="H962" s="103" t="str">
        <f t="shared" si="2"/>
        <v/>
      </c>
      <c r="I962" s="103"/>
      <c r="M962" s="103"/>
      <c r="N962" s="113"/>
      <c r="O962" s="107"/>
      <c r="P962" s="106" t="str">
        <f>IF(ISBLANK(N962), "", VLOOKUP(D962&amp;" "&amp;E962, 'Info Tipo de Cambio y REM'!$A$24:$B$35, 2, FALSE))
</f>
        <v/>
      </c>
      <c r="Q962" s="107" t="str">
        <f t="shared" si="3"/>
        <v/>
      </c>
    </row>
    <row r="963">
      <c r="A963" s="102"/>
      <c r="B963" s="102"/>
      <c r="C963" s="102"/>
      <c r="D963" s="51"/>
      <c r="E963" s="102"/>
      <c r="F963" s="102"/>
      <c r="G963" s="103"/>
      <c r="H963" s="103" t="str">
        <f t="shared" si="2"/>
        <v/>
      </c>
      <c r="I963" s="103"/>
      <c r="M963" s="103"/>
      <c r="N963" s="113"/>
      <c r="O963" s="107"/>
      <c r="P963" s="106" t="str">
        <f>IF(ISBLANK(N963), "", VLOOKUP(D963&amp;" "&amp;E963, 'Info Tipo de Cambio y REM'!$A$24:$B$35, 2, FALSE))
</f>
        <v/>
      </c>
      <c r="Q963" s="107" t="str">
        <f t="shared" si="3"/>
        <v/>
      </c>
    </row>
    <row r="964">
      <c r="A964" s="102"/>
      <c r="B964" s="102"/>
      <c r="C964" s="102"/>
      <c r="D964" s="51"/>
      <c r="E964" s="102"/>
      <c r="F964" s="102"/>
      <c r="G964" s="103"/>
      <c r="H964" s="103" t="str">
        <f t="shared" si="2"/>
        <v/>
      </c>
      <c r="I964" s="103"/>
      <c r="M964" s="103"/>
      <c r="N964" s="113"/>
      <c r="O964" s="107"/>
      <c r="P964" s="106" t="str">
        <f>IF(ISBLANK(N964), "", VLOOKUP(D964&amp;" "&amp;E964, 'Info Tipo de Cambio y REM'!$A$24:$B$35, 2, FALSE))
</f>
        <v/>
      </c>
      <c r="Q964" s="107" t="str">
        <f t="shared" si="3"/>
        <v/>
      </c>
    </row>
    <row r="965">
      <c r="A965" s="102"/>
      <c r="B965" s="102"/>
      <c r="C965" s="102"/>
      <c r="D965" s="51"/>
      <c r="E965" s="102"/>
      <c r="F965" s="102"/>
      <c r="G965" s="103"/>
      <c r="H965" s="103" t="str">
        <f t="shared" si="2"/>
        <v/>
      </c>
      <c r="I965" s="103"/>
      <c r="M965" s="103"/>
      <c r="N965" s="113"/>
      <c r="O965" s="107"/>
      <c r="P965" s="106" t="str">
        <f>IF(ISBLANK(N965), "", VLOOKUP(D965&amp;" "&amp;E965, 'Info Tipo de Cambio y REM'!$A$24:$B$35, 2, FALSE))
</f>
        <v/>
      </c>
      <c r="Q965" s="107" t="str">
        <f t="shared" si="3"/>
        <v/>
      </c>
    </row>
    <row r="966">
      <c r="A966" s="102"/>
      <c r="B966" s="102"/>
      <c r="C966" s="102"/>
      <c r="D966" s="51"/>
      <c r="E966" s="102"/>
      <c r="F966" s="102"/>
      <c r="G966" s="103"/>
      <c r="H966" s="103" t="str">
        <f t="shared" si="2"/>
        <v/>
      </c>
      <c r="I966" s="103"/>
      <c r="M966" s="103"/>
      <c r="N966" s="113"/>
      <c r="O966" s="107"/>
      <c r="P966" s="106" t="str">
        <f>IF(ISBLANK(N966), "", VLOOKUP(D966&amp;" "&amp;E966, 'Info Tipo de Cambio y REM'!$A$24:$B$35, 2, FALSE))
</f>
        <v/>
      </c>
      <c r="Q966" s="107" t="str">
        <f t="shared" si="3"/>
        <v/>
      </c>
    </row>
    <row r="967">
      <c r="A967" s="102"/>
      <c r="B967" s="102"/>
      <c r="C967" s="102"/>
      <c r="D967" s="51"/>
      <c r="E967" s="102"/>
      <c r="F967" s="102"/>
      <c r="G967" s="103"/>
      <c r="H967" s="103" t="str">
        <f t="shared" si="2"/>
        <v/>
      </c>
      <c r="I967" s="103"/>
      <c r="M967" s="103"/>
      <c r="N967" s="113"/>
      <c r="O967" s="107"/>
      <c r="P967" s="106" t="str">
        <f>IF(ISBLANK(N967), "", VLOOKUP(D967&amp;" "&amp;E967, 'Info Tipo de Cambio y REM'!$A$24:$B$35, 2, FALSE))
</f>
        <v/>
      </c>
      <c r="Q967" s="107" t="str">
        <f t="shared" si="3"/>
        <v/>
      </c>
    </row>
    <row r="968">
      <c r="A968" s="102"/>
      <c r="B968" s="102"/>
      <c r="C968" s="102"/>
      <c r="D968" s="51"/>
      <c r="E968" s="102"/>
      <c r="F968" s="102"/>
      <c r="G968" s="103"/>
      <c r="H968" s="103" t="str">
        <f t="shared" si="2"/>
        <v/>
      </c>
      <c r="I968" s="103"/>
      <c r="M968" s="103"/>
      <c r="N968" s="113"/>
      <c r="O968" s="107"/>
      <c r="P968" s="106" t="str">
        <f>IF(ISBLANK(N968), "", VLOOKUP(D968&amp;" "&amp;E968, 'Info Tipo de Cambio y REM'!$A$24:$B$35, 2, FALSE))
</f>
        <v/>
      </c>
      <c r="Q968" s="107" t="str">
        <f t="shared" si="3"/>
        <v/>
      </c>
    </row>
    <row r="969">
      <c r="A969" s="102"/>
      <c r="B969" s="102"/>
      <c r="C969" s="102"/>
      <c r="D969" s="51"/>
      <c r="E969" s="102"/>
      <c r="F969" s="102"/>
      <c r="G969" s="103"/>
      <c r="H969" s="103" t="str">
        <f t="shared" si="2"/>
        <v/>
      </c>
      <c r="I969" s="103"/>
      <c r="M969" s="103"/>
      <c r="N969" s="113"/>
      <c r="O969" s="107"/>
      <c r="P969" s="106" t="str">
        <f>IF(ISBLANK(N969), "", VLOOKUP(D969&amp;" "&amp;E969, 'Info Tipo de Cambio y REM'!$A$24:$B$35, 2, FALSE))
</f>
        <v/>
      </c>
      <c r="Q969" s="107" t="str">
        <f t="shared" si="3"/>
        <v/>
      </c>
    </row>
    <row r="970">
      <c r="A970" s="102"/>
      <c r="B970" s="102"/>
      <c r="C970" s="102"/>
      <c r="D970" s="51"/>
      <c r="E970" s="102"/>
      <c r="F970" s="102"/>
      <c r="G970" s="103"/>
      <c r="H970" s="103" t="str">
        <f t="shared" si="2"/>
        <v/>
      </c>
      <c r="I970" s="103"/>
      <c r="M970" s="103"/>
      <c r="N970" s="113"/>
      <c r="O970" s="107"/>
      <c r="P970" s="106" t="str">
        <f>IF(ISBLANK(N970), "", VLOOKUP(D970&amp;" "&amp;E970, 'Info Tipo de Cambio y REM'!$A$24:$B$35, 2, FALSE))
</f>
        <v/>
      </c>
      <c r="Q970" s="107" t="str">
        <f t="shared" si="3"/>
        <v/>
      </c>
    </row>
    <row r="971">
      <c r="A971" s="102"/>
      <c r="B971" s="102"/>
      <c r="C971" s="102"/>
      <c r="D971" s="51"/>
      <c r="E971" s="102"/>
      <c r="F971" s="102"/>
      <c r="G971" s="103"/>
      <c r="H971" s="103" t="str">
        <f t="shared" si="2"/>
        <v/>
      </c>
      <c r="I971" s="103"/>
      <c r="M971" s="103"/>
      <c r="N971" s="113"/>
      <c r="O971" s="107"/>
      <c r="P971" s="106" t="str">
        <f>IF(ISBLANK(N971), "", VLOOKUP(D971&amp;" "&amp;E971, 'Info Tipo de Cambio y REM'!$A$24:$B$35, 2, FALSE))
</f>
        <v/>
      </c>
      <c r="Q971" s="107" t="str">
        <f t="shared" si="3"/>
        <v/>
      </c>
    </row>
    <row r="972">
      <c r="A972" s="102"/>
      <c r="B972" s="102"/>
      <c r="C972" s="102"/>
      <c r="D972" s="51"/>
      <c r="E972" s="102"/>
      <c r="F972" s="102"/>
      <c r="G972" s="103"/>
      <c r="H972" s="103" t="str">
        <f t="shared" si="2"/>
        <v/>
      </c>
      <c r="I972" s="103"/>
      <c r="M972" s="103"/>
      <c r="N972" s="113"/>
      <c r="O972" s="107"/>
      <c r="P972" s="106" t="str">
        <f>IF(ISBLANK(N972), "", VLOOKUP(D972&amp;" "&amp;E972, 'Info Tipo de Cambio y REM'!$A$24:$B$35, 2, FALSE))
</f>
        <v/>
      </c>
      <c r="Q972" s="107" t="str">
        <f t="shared" si="3"/>
        <v/>
      </c>
    </row>
    <row r="973">
      <c r="A973" s="102"/>
      <c r="B973" s="102"/>
      <c r="C973" s="102"/>
      <c r="D973" s="51"/>
      <c r="E973" s="102"/>
      <c r="F973" s="102"/>
      <c r="G973" s="103"/>
      <c r="H973" s="103" t="str">
        <f t="shared" si="2"/>
        <v/>
      </c>
      <c r="I973" s="103"/>
      <c r="M973" s="103"/>
      <c r="N973" s="113"/>
      <c r="O973" s="107"/>
      <c r="P973" s="106" t="str">
        <f>IF(ISBLANK(N973), "", VLOOKUP(D973&amp;" "&amp;E973, 'Info Tipo de Cambio y REM'!$A$24:$B$35, 2, FALSE))
</f>
        <v/>
      </c>
      <c r="Q973" s="107" t="str">
        <f t="shared" si="3"/>
        <v/>
      </c>
    </row>
    <row r="974">
      <c r="A974" s="102"/>
      <c r="B974" s="102"/>
      <c r="C974" s="102"/>
      <c r="D974" s="51"/>
      <c r="E974" s="102"/>
      <c r="F974" s="102"/>
      <c r="G974" s="103"/>
      <c r="H974" s="103" t="str">
        <f t="shared" si="2"/>
        <v/>
      </c>
      <c r="I974" s="103"/>
      <c r="M974" s="103"/>
      <c r="N974" s="113"/>
      <c r="O974" s="107"/>
      <c r="P974" s="106" t="str">
        <f>IF(ISBLANK(N974), "", VLOOKUP(D974&amp;" "&amp;E974, 'Info Tipo de Cambio y REM'!$A$24:$B$35, 2, FALSE))
</f>
        <v/>
      </c>
      <c r="Q974" s="107" t="str">
        <f t="shared" si="3"/>
        <v/>
      </c>
    </row>
    <row r="975">
      <c r="A975" s="102"/>
      <c r="B975" s="102"/>
      <c r="C975" s="102"/>
      <c r="D975" s="51"/>
      <c r="E975" s="102"/>
      <c r="F975" s="102"/>
      <c r="G975" s="103"/>
      <c r="H975" s="103" t="str">
        <f t="shared" si="2"/>
        <v/>
      </c>
      <c r="I975" s="103"/>
      <c r="M975" s="103"/>
      <c r="N975" s="113"/>
      <c r="O975" s="107"/>
      <c r="P975" s="106" t="str">
        <f>IF(ISBLANK(N975), "", VLOOKUP(D975&amp;" "&amp;E975, 'Info Tipo de Cambio y REM'!$A$24:$B$35, 2, FALSE))
</f>
        <v/>
      </c>
      <c r="Q975" s="107" t="str">
        <f t="shared" si="3"/>
        <v/>
      </c>
    </row>
    <row r="976">
      <c r="A976" s="102"/>
      <c r="B976" s="102"/>
      <c r="C976" s="102"/>
      <c r="D976" s="51"/>
      <c r="E976" s="102"/>
      <c r="F976" s="102"/>
      <c r="G976" s="103"/>
      <c r="H976" s="103" t="str">
        <f t="shared" si="2"/>
        <v/>
      </c>
      <c r="I976" s="103"/>
      <c r="M976" s="103"/>
      <c r="N976" s="113"/>
      <c r="O976" s="107"/>
      <c r="P976" s="106" t="str">
        <f>IF(ISBLANK(N976), "", VLOOKUP(D976&amp;" "&amp;E976, 'Info Tipo de Cambio y REM'!$A$24:$B$35, 2, FALSE))
</f>
        <v/>
      </c>
      <c r="Q976" s="107" t="str">
        <f t="shared" si="3"/>
        <v/>
      </c>
    </row>
    <row r="977">
      <c r="A977" s="102"/>
      <c r="B977" s="102"/>
      <c r="C977" s="102"/>
      <c r="D977" s="51"/>
      <c r="E977" s="102"/>
      <c r="F977" s="102"/>
      <c r="G977" s="103"/>
      <c r="H977" s="103" t="str">
        <f t="shared" si="2"/>
        <v/>
      </c>
      <c r="I977" s="103"/>
      <c r="M977" s="103"/>
      <c r="N977" s="113"/>
      <c r="O977" s="107"/>
      <c r="P977" s="106" t="str">
        <f>IF(ISBLANK(N977), "", VLOOKUP(D977&amp;" "&amp;E977, 'Info Tipo de Cambio y REM'!$A$24:$B$35, 2, FALSE))
</f>
        <v/>
      </c>
      <c r="Q977" s="107" t="str">
        <f t="shared" si="3"/>
        <v/>
      </c>
    </row>
    <row r="978">
      <c r="A978" s="102"/>
      <c r="B978" s="102"/>
      <c r="C978" s="102"/>
      <c r="D978" s="51"/>
      <c r="E978" s="102"/>
      <c r="F978" s="102"/>
      <c r="G978" s="103"/>
      <c r="H978" s="103" t="str">
        <f t="shared" si="2"/>
        <v/>
      </c>
      <c r="I978" s="103"/>
      <c r="M978" s="103"/>
      <c r="N978" s="113"/>
      <c r="O978" s="107"/>
      <c r="P978" s="106" t="str">
        <f>IF(ISBLANK(N978), "", VLOOKUP(D978&amp;" "&amp;E978, 'Info Tipo de Cambio y REM'!$A$24:$B$35, 2, FALSE))
</f>
        <v/>
      </c>
      <c r="Q978" s="107" t="str">
        <f t="shared" si="3"/>
        <v/>
      </c>
    </row>
    <row r="979">
      <c r="A979" s="102"/>
      <c r="B979" s="102"/>
      <c r="C979" s="102"/>
      <c r="D979" s="51"/>
      <c r="E979" s="102"/>
      <c r="F979" s="102"/>
      <c r="G979" s="103"/>
      <c r="H979" s="103" t="str">
        <f t="shared" si="2"/>
        <v/>
      </c>
      <c r="I979" s="103"/>
      <c r="M979" s="103"/>
      <c r="N979" s="113"/>
      <c r="O979" s="107"/>
      <c r="P979" s="106" t="str">
        <f>IF(ISBLANK(N979), "", VLOOKUP(D979&amp;" "&amp;E979, 'Info Tipo de Cambio y REM'!$A$24:$B$35, 2, FALSE))
</f>
        <v/>
      </c>
      <c r="Q979" s="107" t="str">
        <f t="shared" si="3"/>
        <v/>
      </c>
    </row>
    <row r="980">
      <c r="A980" s="102"/>
      <c r="B980" s="102"/>
      <c r="C980" s="102"/>
      <c r="D980" s="51"/>
      <c r="E980" s="102"/>
      <c r="F980" s="102"/>
      <c r="G980" s="103"/>
      <c r="H980" s="103" t="str">
        <f t="shared" si="2"/>
        <v/>
      </c>
      <c r="I980" s="103"/>
      <c r="M980" s="103"/>
      <c r="N980" s="113"/>
      <c r="O980" s="107"/>
      <c r="P980" s="106" t="str">
        <f>IF(ISBLANK(N980), "", VLOOKUP(D980&amp;" "&amp;E980, 'Info Tipo de Cambio y REM'!$A$24:$B$35, 2, FALSE))
</f>
        <v/>
      </c>
      <c r="Q980" s="107" t="str">
        <f t="shared" si="3"/>
        <v/>
      </c>
    </row>
    <row r="981">
      <c r="A981" s="102"/>
      <c r="B981" s="102"/>
      <c r="C981" s="102"/>
      <c r="D981" s="51"/>
      <c r="E981" s="102"/>
      <c r="F981" s="102"/>
      <c r="G981" s="103"/>
      <c r="H981" s="103" t="str">
        <f t="shared" si="2"/>
        <v/>
      </c>
      <c r="I981" s="103"/>
      <c r="M981" s="103"/>
      <c r="N981" s="113"/>
      <c r="O981" s="107"/>
      <c r="P981" s="106" t="str">
        <f>IF(ISBLANK(N981), "", VLOOKUP(D981&amp;" "&amp;E981, 'Info Tipo de Cambio y REM'!$A$24:$B$35, 2, FALSE))
</f>
        <v/>
      </c>
      <c r="Q981" s="107" t="str">
        <f t="shared" si="3"/>
        <v/>
      </c>
    </row>
    <row r="982">
      <c r="A982" s="102"/>
      <c r="B982" s="102"/>
      <c r="C982" s="102"/>
      <c r="D982" s="51"/>
      <c r="E982" s="102"/>
      <c r="F982" s="102"/>
      <c r="G982" s="103"/>
      <c r="H982" s="103" t="str">
        <f t="shared" si="2"/>
        <v/>
      </c>
      <c r="I982" s="103"/>
      <c r="M982" s="103"/>
      <c r="N982" s="113"/>
      <c r="O982" s="107"/>
      <c r="P982" s="106" t="str">
        <f>IF(ISBLANK(N982), "", VLOOKUP(D982&amp;" "&amp;E982, 'Info Tipo de Cambio y REM'!$A$24:$B$35, 2, FALSE))
</f>
        <v/>
      </c>
      <c r="Q982" s="107" t="str">
        <f t="shared" si="3"/>
        <v/>
      </c>
    </row>
    <row r="983">
      <c r="A983" s="102"/>
      <c r="B983" s="102"/>
      <c r="C983" s="102"/>
      <c r="D983" s="51"/>
      <c r="E983" s="102"/>
      <c r="F983" s="102"/>
      <c r="G983" s="103"/>
      <c r="H983" s="103" t="str">
        <f t="shared" si="2"/>
        <v/>
      </c>
      <c r="I983" s="103"/>
      <c r="M983" s="103"/>
      <c r="N983" s="113"/>
      <c r="O983" s="107"/>
      <c r="P983" s="106" t="str">
        <f>IF(ISBLANK(N983), "", VLOOKUP(D983&amp;" "&amp;E983, 'Info Tipo de Cambio y REM'!$A$24:$B$35, 2, FALSE))
</f>
        <v/>
      </c>
      <c r="Q983" s="107" t="str">
        <f t="shared" si="3"/>
        <v/>
      </c>
    </row>
    <row r="984">
      <c r="A984" s="102"/>
      <c r="B984" s="102"/>
      <c r="C984" s="102"/>
      <c r="D984" s="51"/>
      <c r="E984" s="102"/>
      <c r="F984" s="102"/>
      <c r="G984" s="103"/>
      <c r="H984" s="103" t="str">
        <f t="shared" si="2"/>
        <v/>
      </c>
      <c r="I984" s="103"/>
      <c r="M984" s="103"/>
      <c r="N984" s="113"/>
      <c r="O984" s="107"/>
      <c r="P984" s="106" t="str">
        <f>IF(ISBLANK(N984), "", VLOOKUP(D984&amp;" "&amp;E984, 'Info Tipo de Cambio y REM'!$A$24:$B$35, 2, FALSE))
</f>
        <v/>
      </c>
      <c r="Q984" s="107" t="str">
        <f t="shared" si="3"/>
        <v/>
      </c>
    </row>
    <row r="985">
      <c r="A985" s="102"/>
      <c r="B985" s="102"/>
      <c r="C985" s="102"/>
      <c r="D985" s="51"/>
      <c r="E985" s="102"/>
      <c r="F985" s="102"/>
      <c r="G985" s="103"/>
      <c r="H985" s="103" t="str">
        <f t="shared" si="2"/>
        <v/>
      </c>
      <c r="I985" s="103"/>
      <c r="M985" s="103"/>
      <c r="N985" s="113"/>
      <c r="O985" s="107"/>
      <c r="P985" s="106" t="str">
        <f>IF(ISBLANK(N985), "", VLOOKUP(D985&amp;" "&amp;E985, 'Info Tipo de Cambio y REM'!$A$24:$B$35, 2, FALSE))
</f>
        <v/>
      </c>
      <c r="Q985" s="107" t="str">
        <f t="shared" si="3"/>
        <v/>
      </c>
    </row>
    <row r="986">
      <c r="A986" s="102"/>
      <c r="B986" s="102"/>
      <c r="C986" s="102"/>
      <c r="D986" s="51"/>
      <c r="E986" s="102"/>
      <c r="F986" s="102"/>
      <c r="G986" s="103"/>
      <c r="H986" s="103" t="str">
        <f t="shared" si="2"/>
        <v/>
      </c>
      <c r="I986" s="103"/>
      <c r="M986" s="103"/>
      <c r="N986" s="113"/>
      <c r="O986" s="107"/>
      <c r="P986" s="106" t="str">
        <f>IF(ISBLANK(N986), "", VLOOKUP(D986&amp;" "&amp;E986, 'Info Tipo de Cambio y REM'!$A$24:$B$35, 2, FALSE))
</f>
        <v/>
      </c>
      <c r="Q986" s="107" t="str">
        <f t="shared" si="3"/>
        <v/>
      </c>
    </row>
    <row r="987">
      <c r="A987" s="102"/>
      <c r="B987" s="102"/>
      <c r="C987" s="102"/>
      <c r="D987" s="51"/>
      <c r="E987" s="102"/>
      <c r="F987" s="102"/>
      <c r="G987" s="103"/>
      <c r="H987" s="103" t="str">
        <f t="shared" si="2"/>
        <v/>
      </c>
      <c r="I987" s="103"/>
      <c r="M987" s="103"/>
      <c r="N987" s="113"/>
      <c r="O987" s="107"/>
      <c r="P987" s="106" t="str">
        <f>IF(ISBLANK(N987), "", VLOOKUP(D987&amp;" "&amp;E987, 'Info Tipo de Cambio y REM'!$A$24:$B$35, 2, FALSE))
</f>
        <v/>
      </c>
      <c r="Q987" s="107" t="str">
        <f t="shared" si="3"/>
        <v/>
      </c>
    </row>
    <row r="988">
      <c r="A988" s="102"/>
      <c r="B988" s="102"/>
      <c r="C988" s="102"/>
      <c r="D988" s="51"/>
      <c r="E988" s="102"/>
      <c r="F988" s="102"/>
      <c r="G988" s="103"/>
      <c r="H988" s="103" t="str">
        <f t="shared" si="2"/>
        <v/>
      </c>
      <c r="I988" s="103"/>
      <c r="M988" s="103"/>
      <c r="N988" s="113"/>
      <c r="O988" s="107"/>
      <c r="P988" s="106" t="str">
        <f>IF(ISBLANK(N988), "", VLOOKUP(D988&amp;" "&amp;E988, 'Info Tipo de Cambio y REM'!$A$24:$B$35, 2, FALSE))
</f>
        <v/>
      </c>
      <c r="Q988" s="107" t="str">
        <f t="shared" si="3"/>
        <v/>
      </c>
    </row>
    <row r="989">
      <c r="A989" s="102"/>
      <c r="B989" s="102"/>
      <c r="C989" s="102"/>
      <c r="D989" s="51"/>
      <c r="E989" s="102"/>
      <c r="F989" s="102"/>
      <c r="G989" s="103"/>
      <c r="H989" s="103" t="str">
        <f t="shared" si="2"/>
        <v/>
      </c>
      <c r="I989" s="103"/>
      <c r="M989" s="103"/>
      <c r="N989" s="113"/>
      <c r="O989" s="107"/>
      <c r="P989" s="106" t="str">
        <f>IF(ISBLANK(N989), "", VLOOKUP(D989&amp;" "&amp;E989, 'Info Tipo de Cambio y REM'!$A$24:$B$35, 2, FALSE))
</f>
        <v/>
      </c>
      <c r="Q989" s="107" t="str">
        <f t="shared" si="3"/>
        <v/>
      </c>
    </row>
    <row r="990">
      <c r="A990" s="102"/>
      <c r="B990" s="102"/>
      <c r="C990" s="102"/>
      <c r="D990" s="51"/>
      <c r="E990" s="102"/>
      <c r="F990" s="102"/>
      <c r="G990" s="103"/>
      <c r="H990" s="103" t="str">
        <f t="shared" si="2"/>
        <v/>
      </c>
      <c r="I990" s="103"/>
      <c r="M990" s="103"/>
      <c r="N990" s="113"/>
      <c r="O990" s="107"/>
      <c r="P990" s="106" t="str">
        <f>IF(ISBLANK(N990), "", VLOOKUP(D990&amp;" "&amp;E990, 'Info Tipo de Cambio y REM'!$A$24:$B$35, 2, FALSE))
</f>
        <v/>
      </c>
      <c r="Q990" s="107" t="str">
        <f t="shared" si="3"/>
        <v/>
      </c>
    </row>
    <row r="991">
      <c r="A991" s="102"/>
      <c r="B991" s="102"/>
      <c r="C991" s="102"/>
      <c r="D991" s="51"/>
      <c r="E991" s="102"/>
      <c r="F991" s="102"/>
      <c r="G991" s="103"/>
      <c r="H991" s="103" t="str">
        <f t="shared" si="2"/>
        <v/>
      </c>
      <c r="I991" s="103"/>
      <c r="M991" s="103"/>
      <c r="N991" s="113"/>
      <c r="O991" s="107"/>
      <c r="P991" s="106" t="str">
        <f>IF(ISBLANK(N991), "", VLOOKUP(D991&amp;" "&amp;E991, 'Info Tipo de Cambio y REM'!$A$24:$B$35, 2, FALSE))
</f>
        <v/>
      </c>
      <c r="Q991" s="107" t="str">
        <f t="shared" si="3"/>
        <v/>
      </c>
    </row>
    <row r="992">
      <c r="A992" s="102"/>
      <c r="B992" s="102"/>
      <c r="C992" s="102"/>
      <c r="D992" s="51"/>
      <c r="E992" s="102"/>
      <c r="F992" s="102"/>
      <c r="G992" s="103"/>
      <c r="H992" s="103" t="str">
        <f t="shared" si="2"/>
        <v/>
      </c>
      <c r="I992" s="103"/>
      <c r="M992" s="103"/>
      <c r="N992" s="113"/>
      <c r="O992" s="107"/>
      <c r="P992" s="106" t="str">
        <f>IF(ISBLANK(N992), "", VLOOKUP(D992&amp;" "&amp;E992, 'Info Tipo de Cambio y REM'!$A$24:$B$35, 2, FALSE))
</f>
        <v/>
      </c>
      <c r="Q992" s="107" t="str">
        <f t="shared" si="3"/>
        <v/>
      </c>
    </row>
    <row r="993">
      <c r="A993" s="102"/>
      <c r="B993" s="102"/>
      <c r="C993" s="102"/>
      <c r="D993" s="51"/>
      <c r="E993" s="102"/>
      <c r="F993" s="102"/>
      <c r="G993" s="103"/>
      <c r="H993" s="103" t="str">
        <f t="shared" si="2"/>
        <v/>
      </c>
      <c r="I993" s="103"/>
      <c r="M993" s="103"/>
      <c r="N993" s="113"/>
      <c r="O993" s="107"/>
      <c r="P993" s="106" t="str">
        <f>IF(ISBLANK(N993), "", VLOOKUP(D993&amp;" "&amp;E993, 'Info Tipo de Cambio y REM'!$A$24:$B$35, 2, FALSE))
</f>
        <v/>
      </c>
      <c r="Q993" s="107" t="str">
        <f t="shared" si="3"/>
        <v/>
      </c>
    </row>
    <row r="994">
      <c r="A994" s="102"/>
      <c r="B994" s="102"/>
      <c r="C994" s="102"/>
      <c r="D994" s="51"/>
      <c r="E994" s="102"/>
      <c r="F994" s="102"/>
      <c r="G994" s="103"/>
      <c r="H994" s="103" t="str">
        <f t="shared" si="2"/>
        <v/>
      </c>
      <c r="I994" s="103"/>
      <c r="M994" s="103"/>
      <c r="N994" s="113"/>
      <c r="O994" s="107"/>
      <c r="P994" s="106" t="str">
        <f>IF(ISBLANK(N994), "", VLOOKUP(D994&amp;" "&amp;E994, 'Info Tipo de Cambio y REM'!$A$24:$B$35, 2, FALSE))
</f>
        <v/>
      </c>
      <c r="Q994" s="107" t="str">
        <f t="shared" si="3"/>
        <v/>
      </c>
    </row>
    <row r="995">
      <c r="A995" s="102"/>
      <c r="B995" s="102"/>
      <c r="C995" s="102"/>
      <c r="D995" s="51"/>
      <c r="E995" s="102"/>
      <c r="F995" s="102"/>
      <c r="G995" s="103"/>
      <c r="H995" s="103" t="str">
        <f t="shared" si="2"/>
        <v/>
      </c>
      <c r="I995" s="103"/>
      <c r="M995" s="103"/>
      <c r="N995" s="113"/>
      <c r="O995" s="107"/>
      <c r="P995" s="106" t="str">
        <f>IF(ISBLANK(N995), "", VLOOKUP(D995&amp;" "&amp;E995, 'Info Tipo de Cambio y REM'!$A$24:$B$35, 2, FALSE))
</f>
        <v/>
      </c>
      <c r="Q995" s="107" t="str">
        <f t="shared" si="3"/>
        <v/>
      </c>
    </row>
    <row r="996">
      <c r="A996" s="102"/>
      <c r="B996" s="102"/>
      <c r="C996" s="102"/>
      <c r="D996" s="51"/>
      <c r="E996" s="102"/>
      <c r="F996" s="102"/>
      <c r="G996" s="103"/>
      <c r="H996" s="103" t="str">
        <f t="shared" si="2"/>
        <v/>
      </c>
      <c r="I996" s="103"/>
      <c r="M996" s="103"/>
      <c r="N996" s="113"/>
      <c r="O996" s="107"/>
      <c r="P996" s="106" t="str">
        <f>IF(ISBLANK(N996), "", VLOOKUP(D996&amp;" "&amp;E996, 'Info Tipo de Cambio y REM'!$A$24:$B$35, 2, FALSE))
</f>
        <v/>
      </c>
      <c r="Q996" s="107" t="str">
        <f t="shared" si="3"/>
        <v/>
      </c>
    </row>
    <row r="997">
      <c r="A997" s="102"/>
      <c r="B997" s="102"/>
      <c r="C997" s="102"/>
      <c r="D997" s="51"/>
      <c r="E997" s="102"/>
      <c r="F997" s="102"/>
      <c r="G997" s="103"/>
      <c r="H997" s="103" t="str">
        <f t="shared" si="2"/>
        <v/>
      </c>
      <c r="I997" s="103"/>
      <c r="M997" s="103"/>
      <c r="N997" s="113"/>
      <c r="O997" s="107"/>
      <c r="P997" s="106" t="str">
        <f>IF(ISBLANK(N997), "", VLOOKUP(D997&amp;" "&amp;E997, 'Info Tipo de Cambio y REM'!$A$24:$B$35, 2, FALSE))
</f>
        <v/>
      </c>
      <c r="Q997" s="107" t="str">
        <f t="shared" si="3"/>
        <v/>
      </c>
    </row>
    <row r="998">
      <c r="A998" s="102"/>
      <c r="B998" s="102"/>
      <c r="C998" s="102"/>
      <c r="D998" s="51"/>
      <c r="E998" s="102"/>
      <c r="F998" s="102"/>
      <c r="G998" s="103"/>
      <c r="H998" s="103" t="str">
        <f t="shared" si="2"/>
        <v/>
      </c>
      <c r="I998" s="103"/>
      <c r="M998" s="103"/>
      <c r="N998" s="113"/>
      <c r="O998" s="107"/>
      <c r="P998" s="106" t="str">
        <f>IF(ISBLANK(N998), "", VLOOKUP(D998&amp;" "&amp;E998, 'Info Tipo de Cambio y REM'!$A$24:$B$35, 2, FALSE))
</f>
        <v/>
      </c>
      <c r="Q998" s="107" t="str">
        <f t="shared" si="3"/>
        <v/>
      </c>
    </row>
    <row r="999">
      <c r="A999" s="102"/>
      <c r="B999" s="102"/>
      <c r="C999" s="102"/>
      <c r="D999" s="51"/>
      <c r="E999" s="102"/>
      <c r="F999" s="102"/>
      <c r="G999" s="103"/>
      <c r="H999" s="103" t="str">
        <f t="shared" si="2"/>
        <v/>
      </c>
      <c r="I999" s="103"/>
      <c r="M999" s="103"/>
      <c r="N999" s="113"/>
      <c r="O999" s="107"/>
      <c r="P999" s="106" t="str">
        <f>IF(ISBLANK(N999), "", VLOOKUP(D999&amp;" "&amp;E999, 'Info Tipo de Cambio y REM'!$A$24:$B$35, 2, FALSE))
</f>
        <v/>
      </c>
      <c r="Q999" s="107" t="str">
        <f t="shared" si="3"/>
        <v/>
      </c>
    </row>
    <row r="1000">
      <c r="A1000" s="102"/>
      <c r="B1000" s="102"/>
      <c r="C1000" s="102"/>
      <c r="D1000" s="51"/>
      <c r="E1000" s="102"/>
      <c r="F1000" s="102"/>
      <c r="G1000" s="103"/>
      <c r="H1000" s="103" t="str">
        <f t="shared" si="2"/>
        <v/>
      </c>
      <c r="I1000" s="103"/>
      <c r="M1000" s="103"/>
      <c r="N1000" s="113"/>
      <c r="O1000" s="107"/>
      <c r="P1000" s="106" t="str">
        <f>IF(ISBLANK(N1000), "", VLOOKUP(D1000&amp;" "&amp;E1000, 'Info Tipo de Cambio y REM'!$A$24:$B$35, 2, FALSE))
</f>
        <v/>
      </c>
      <c r="Q1000" s="107" t="str">
        <f t="shared" si="3"/>
        <v/>
      </c>
    </row>
    <row r="1001">
      <c r="A1001" s="102"/>
      <c r="B1001" s="102"/>
      <c r="C1001" s="102"/>
      <c r="D1001" s="51"/>
      <c r="E1001" s="102"/>
      <c r="F1001" s="102"/>
      <c r="G1001" s="103"/>
      <c r="H1001" s="103" t="str">
        <f t="shared" si="2"/>
        <v/>
      </c>
      <c r="I1001" s="103"/>
      <c r="M1001" s="103"/>
      <c r="N1001" s="113"/>
      <c r="O1001" s="107"/>
      <c r="P1001" s="106" t="str">
        <f>IF(ISBLANK(N1001), "", VLOOKUP(D1001&amp;" "&amp;E1001, 'Info Tipo de Cambio y REM'!$A$24:$B$35, 2, FALSE))
</f>
        <v/>
      </c>
      <c r="Q1001" s="107" t="str">
        <f t="shared" si="3"/>
        <v/>
      </c>
    </row>
    <row r="1002">
      <c r="A1002" s="102"/>
      <c r="B1002" s="102"/>
      <c r="C1002" s="102"/>
      <c r="D1002" s="51"/>
      <c r="E1002" s="102"/>
      <c r="F1002" s="102"/>
      <c r="G1002" s="103"/>
      <c r="H1002" s="103" t="str">
        <f t="shared" si="2"/>
        <v/>
      </c>
      <c r="I1002" s="103"/>
      <c r="M1002" s="103"/>
      <c r="N1002" s="113"/>
      <c r="O1002" s="107"/>
      <c r="P1002" s="106" t="str">
        <f>IF(ISBLANK(N1002), "", VLOOKUP(D1002&amp;" "&amp;E1002, 'Info Tipo de Cambio y REM'!$A$24:$B$35, 2, FALSE))
</f>
        <v/>
      </c>
      <c r="Q1002" s="107" t="str">
        <f t="shared" si="3"/>
        <v/>
      </c>
    </row>
    <row r="1003">
      <c r="A1003" s="102"/>
      <c r="B1003" s="102"/>
      <c r="C1003" s="102"/>
      <c r="D1003" s="51"/>
      <c r="E1003" s="102"/>
      <c r="F1003" s="102"/>
      <c r="G1003" s="103"/>
      <c r="H1003" s="103" t="str">
        <f t="shared" si="2"/>
        <v/>
      </c>
      <c r="I1003" s="103"/>
      <c r="M1003" s="103"/>
      <c r="N1003" s="113"/>
      <c r="O1003" s="107"/>
      <c r="P1003" s="106" t="str">
        <f>IF(ISBLANK(N1003), "", VLOOKUP(D1003&amp;" "&amp;E1003, 'Info Tipo de Cambio y REM'!$A$24:$B$35, 2, FALSE))
</f>
        <v/>
      </c>
      <c r="Q1003" s="107" t="str">
        <f t="shared" si="3"/>
        <v/>
      </c>
    </row>
    <row r="1004">
      <c r="A1004" s="102"/>
      <c r="B1004" s="102"/>
      <c r="C1004" s="102"/>
      <c r="D1004" s="51"/>
      <c r="E1004" s="102"/>
      <c r="F1004" s="102"/>
      <c r="G1004" s="103"/>
      <c r="H1004" s="103" t="str">
        <f t="shared" si="2"/>
        <v/>
      </c>
      <c r="I1004" s="103"/>
      <c r="M1004" s="103"/>
      <c r="N1004" s="113"/>
      <c r="O1004" s="107"/>
      <c r="P1004" s="106" t="str">
        <f>IF(ISBLANK(N1004), "", VLOOKUP(D1004&amp;" "&amp;E1004, 'Info Tipo de Cambio y REM'!$A$24:$B$35, 2, FALSE))
</f>
        <v/>
      </c>
      <c r="Q1004" s="107" t="str">
        <f t="shared" si="3"/>
        <v/>
      </c>
    </row>
    <row r="1005">
      <c r="A1005" s="102"/>
      <c r="B1005" s="102"/>
      <c r="C1005" s="102"/>
      <c r="D1005" s="51"/>
      <c r="E1005" s="102"/>
      <c r="F1005" s="102"/>
      <c r="G1005" s="103"/>
      <c r="H1005" s="103" t="str">
        <f t="shared" si="2"/>
        <v/>
      </c>
      <c r="I1005" s="103"/>
      <c r="M1005" s="103"/>
      <c r="N1005" s="113"/>
      <c r="O1005" s="107"/>
      <c r="P1005" s="106" t="str">
        <f>IF(ISBLANK(N1005), "", VLOOKUP(D1005&amp;" "&amp;E1005, 'Info Tipo de Cambio y REM'!$A$24:$B$35, 2, FALSE))
</f>
        <v/>
      </c>
      <c r="Q1005" s="107" t="str">
        <f t="shared" si="3"/>
        <v/>
      </c>
    </row>
    <row r="1006">
      <c r="A1006" s="102"/>
      <c r="B1006" s="102"/>
      <c r="C1006" s="102"/>
      <c r="D1006" s="51"/>
      <c r="E1006" s="102"/>
      <c r="F1006" s="102"/>
      <c r="G1006" s="103"/>
      <c r="H1006" s="103" t="str">
        <f t="shared" si="2"/>
        <v/>
      </c>
      <c r="I1006" s="103"/>
      <c r="M1006" s="103"/>
      <c r="N1006" s="113"/>
      <c r="O1006" s="107"/>
      <c r="P1006" s="106" t="str">
        <f>IF(ISBLANK(N1006), "", VLOOKUP(D1006&amp;" "&amp;E1006, 'Info Tipo de Cambio y REM'!$A$24:$B$35, 2, FALSE))
</f>
        <v/>
      </c>
      <c r="Q1006" s="107" t="str">
        <f t="shared" si="3"/>
        <v/>
      </c>
    </row>
    <row r="1007">
      <c r="A1007" s="102"/>
      <c r="B1007" s="102"/>
      <c r="C1007" s="102"/>
      <c r="D1007" s="51"/>
      <c r="E1007" s="102"/>
      <c r="F1007" s="102"/>
      <c r="G1007" s="103"/>
      <c r="H1007" s="103" t="str">
        <f t="shared" si="2"/>
        <v/>
      </c>
      <c r="I1007" s="103"/>
      <c r="M1007" s="103"/>
      <c r="N1007" s="113"/>
      <c r="O1007" s="107"/>
      <c r="P1007" s="106" t="str">
        <f>IF(ISBLANK(N1007), "", VLOOKUP(D1007&amp;" "&amp;E1007, 'Info Tipo de Cambio y REM'!$A$24:$B$35, 2, FALSE))
</f>
        <v/>
      </c>
      <c r="Q1007" s="107" t="str">
        <f t="shared" si="3"/>
        <v/>
      </c>
    </row>
    <row r="1008">
      <c r="A1008" s="102"/>
      <c r="B1008" s="102"/>
      <c r="C1008" s="102"/>
      <c r="D1008" s="51"/>
      <c r="E1008" s="102"/>
      <c r="F1008" s="102"/>
      <c r="G1008" s="103"/>
      <c r="H1008" s="103" t="str">
        <f t="shared" si="2"/>
        <v/>
      </c>
      <c r="I1008" s="103"/>
      <c r="M1008" s="103"/>
      <c r="N1008" s="113"/>
      <c r="O1008" s="107"/>
      <c r="P1008" s="106" t="str">
        <f>IF(ISBLANK(N1008), "", VLOOKUP(D1008&amp;" "&amp;E1008, 'Info Tipo de Cambio y REM'!$A$24:$B$35, 2, FALSE))
</f>
        <v/>
      </c>
      <c r="Q1008" s="107" t="str">
        <f t="shared" si="3"/>
        <v/>
      </c>
    </row>
    <row r="1009">
      <c r="A1009" s="102"/>
      <c r="B1009" s="102"/>
      <c r="C1009" s="102"/>
      <c r="D1009" s="51"/>
      <c r="E1009" s="102"/>
      <c r="F1009" s="102"/>
      <c r="G1009" s="103"/>
      <c r="H1009" s="103" t="str">
        <f t="shared" si="2"/>
        <v/>
      </c>
      <c r="I1009" s="103"/>
      <c r="M1009" s="103"/>
      <c r="N1009" s="113"/>
      <c r="O1009" s="107"/>
      <c r="P1009" s="106" t="str">
        <f>IF(ISBLANK(N1009), "", VLOOKUP(D1009&amp;" "&amp;E1009, 'Info Tipo de Cambio y REM'!$A$24:$B$35, 2, FALSE))
</f>
        <v/>
      </c>
      <c r="Q1009" s="107" t="str">
        <f t="shared" si="3"/>
        <v/>
      </c>
    </row>
    <row r="1010">
      <c r="A1010" s="102"/>
      <c r="B1010" s="102"/>
      <c r="C1010" s="102"/>
      <c r="D1010" s="51"/>
      <c r="E1010" s="102"/>
      <c r="F1010" s="102"/>
      <c r="G1010" s="103"/>
      <c r="H1010" s="103" t="str">
        <f t="shared" si="2"/>
        <v/>
      </c>
      <c r="I1010" s="103"/>
      <c r="M1010" s="103"/>
      <c r="N1010" s="113"/>
      <c r="O1010" s="107"/>
      <c r="P1010" s="106" t="str">
        <f>IF(ISBLANK(N1010), "", VLOOKUP(D1010&amp;" "&amp;E1010, 'Info Tipo de Cambio y REM'!$A$24:$B$35, 2, FALSE))
</f>
        <v/>
      </c>
      <c r="Q1010" s="107" t="str">
        <f t="shared" si="3"/>
        <v/>
      </c>
    </row>
    <row r="1011">
      <c r="A1011" s="102"/>
      <c r="B1011" s="102"/>
      <c r="C1011" s="102"/>
      <c r="D1011" s="51"/>
      <c r="E1011" s="102"/>
      <c r="F1011" s="102"/>
      <c r="G1011" s="103"/>
      <c r="H1011" s="103" t="str">
        <f t="shared" si="2"/>
        <v/>
      </c>
      <c r="I1011" s="103"/>
      <c r="M1011" s="103"/>
      <c r="N1011" s="113"/>
      <c r="O1011" s="107"/>
      <c r="P1011" s="106" t="str">
        <f>IF(ISBLANK(N1011), "", VLOOKUP(D1011&amp;" "&amp;E1011, 'Info Tipo de Cambio y REM'!$A$24:$B$35, 2, FALSE))
</f>
        <v/>
      </c>
      <c r="Q1011" s="107" t="str">
        <f t="shared" si="3"/>
        <v/>
      </c>
    </row>
    <row r="1012">
      <c r="A1012" s="102"/>
      <c r="B1012" s="102"/>
      <c r="C1012" s="102"/>
      <c r="D1012" s="51"/>
      <c r="E1012" s="102"/>
      <c r="F1012" s="102"/>
      <c r="G1012" s="103"/>
      <c r="H1012" s="103" t="str">
        <f t="shared" si="2"/>
        <v/>
      </c>
      <c r="I1012" s="103"/>
      <c r="M1012" s="103"/>
      <c r="N1012" s="113"/>
      <c r="O1012" s="107"/>
      <c r="P1012" s="106" t="str">
        <f>IF(ISBLANK(N1012), "", VLOOKUP(D1012&amp;" "&amp;E1012, 'Info Tipo de Cambio y REM'!$A$24:$B$35, 2, FALSE))
</f>
        <v/>
      </c>
      <c r="Q1012" s="107" t="str">
        <f t="shared" si="3"/>
        <v/>
      </c>
    </row>
    <row r="1013">
      <c r="A1013" s="102"/>
      <c r="B1013" s="102"/>
      <c r="C1013" s="102"/>
      <c r="D1013" s="51"/>
      <c r="E1013" s="102"/>
      <c r="F1013" s="102"/>
      <c r="G1013" s="103"/>
      <c r="H1013" s="103" t="str">
        <f t="shared" si="2"/>
        <v/>
      </c>
      <c r="I1013" s="103"/>
      <c r="M1013" s="103"/>
      <c r="N1013" s="113"/>
      <c r="O1013" s="107"/>
      <c r="P1013" s="106" t="str">
        <f>IF(ISBLANK(N1013), "", VLOOKUP(D1013&amp;" "&amp;E1013, 'Info Tipo de Cambio y REM'!$A$24:$B$35, 2, FALSE))
</f>
        <v/>
      </c>
      <c r="Q1013" s="107" t="str">
        <f t="shared" si="3"/>
        <v/>
      </c>
    </row>
    <row r="1014">
      <c r="A1014" s="102"/>
      <c r="B1014" s="102"/>
      <c r="C1014" s="102"/>
      <c r="D1014" s="51"/>
      <c r="E1014" s="102"/>
      <c r="F1014" s="102"/>
      <c r="G1014" s="103"/>
      <c r="H1014" s="103" t="str">
        <f t="shared" si="2"/>
        <v/>
      </c>
      <c r="I1014" s="103"/>
      <c r="M1014" s="103"/>
      <c r="N1014" s="113"/>
      <c r="O1014" s="107"/>
      <c r="P1014" s="106" t="str">
        <f>IF(ISBLANK(N1014), "", VLOOKUP(D1014&amp;" "&amp;E1014, 'Info Tipo de Cambio y REM'!$A$24:$B$35, 2, FALSE))
</f>
        <v/>
      </c>
      <c r="Q1014" s="107" t="str">
        <f t="shared" si="3"/>
        <v/>
      </c>
    </row>
    <row r="1015">
      <c r="A1015" s="102"/>
      <c r="B1015" s="102"/>
      <c r="C1015" s="102"/>
      <c r="D1015" s="51"/>
      <c r="E1015" s="102"/>
      <c r="F1015" s="102"/>
      <c r="G1015" s="103"/>
      <c r="H1015" s="103" t="str">
        <f t="shared" si="2"/>
        <v/>
      </c>
      <c r="I1015" s="103"/>
      <c r="M1015" s="103"/>
      <c r="N1015" s="113"/>
      <c r="O1015" s="107"/>
      <c r="P1015" s="106" t="str">
        <f>IF(ISBLANK(N1015), "", VLOOKUP(D1015&amp;" "&amp;E1015, 'Info Tipo de Cambio y REM'!$A$24:$B$35, 2, FALSE))
</f>
        <v/>
      </c>
      <c r="Q1015" s="107" t="str">
        <f t="shared" si="3"/>
        <v/>
      </c>
    </row>
    <row r="1016">
      <c r="A1016" s="102"/>
      <c r="B1016" s="102"/>
      <c r="C1016" s="102"/>
      <c r="D1016" s="51"/>
      <c r="E1016" s="102"/>
      <c r="F1016" s="102"/>
      <c r="G1016" s="103"/>
      <c r="H1016" s="103" t="str">
        <f t="shared" si="2"/>
        <v/>
      </c>
      <c r="I1016" s="103"/>
      <c r="M1016" s="103"/>
      <c r="N1016" s="113"/>
      <c r="O1016" s="107"/>
      <c r="P1016" s="106" t="str">
        <f>IF(ISBLANK(N1016), "", VLOOKUP(D1016&amp;" "&amp;E1016, 'Info Tipo de Cambio y REM'!$A$24:$B$35, 2, FALSE))
</f>
        <v/>
      </c>
      <c r="Q1016" s="107" t="str">
        <f t="shared" si="3"/>
        <v/>
      </c>
    </row>
    <row r="1017">
      <c r="A1017" s="102"/>
      <c r="B1017" s="102"/>
      <c r="C1017" s="102"/>
      <c r="D1017" s="51"/>
      <c r="E1017" s="102"/>
      <c r="F1017" s="102"/>
      <c r="G1017" s="103"/>
      <c r="H1017" s="103" t="str">
        <f t="shared" si="2"/>
        <v/>
      </c>
      <c r="I1017" s="103"/>
      <c r="M1017" s="103"/>
      <c r="N1017" s="113"/>
      <c r="O1017" s="107"/>
      <c r="P1017" s="106" t="str">
        <f>IF(ISBLANK(N1017), "", VLOOKUP(D1017&amp;" "&amp;E1017, 'Info Tipo de Cambio y REM'!$A$24:$B$35, 2, FALSE))
</f>
        <v/>
      </c>
      <c r="Q1017" s="107" t="str">
        <f t="shared" si="3"/>
        <v/>
      </c>
    </row>
    <row r="1018">
      <c r="A1018" s="102"/>
      <c r="B1018" s="102"/>
      <c r="C1018" s="102"/>
      <c r="D1018" s="51"/>
      <c r="E1018" s="102"/>
      <c r="F1018" s="102"/>
      <c r="G1018" s="103"/>
      <c r="H1018" s="103" t="str">
        <f t="shared" si="2"/>
        <v/>
      </c>
      <c r="I1018" s="103"/>
      <c r="M1018" s="103"/>
      <c r="N1018" s="113"/>
      <c r="O1018" s="107"/>
      <c r="P1018" s="106" t="str">
        <f>IF(ISBLANK(N1018), "", VLOOKUP(D1018&amp;" "&amp;E1018, 'Info Tipo de Cambio y REM'!$A$24:$B$35, 2, FALSE))
</f>
        <v/>
      </c>
      <c r="Q1018" s="107" t="str">
        <f t="shared" si="3"/>
        <v/>
      </c>
    </row>
    <row r="1019">
      <c r="A1019" s="102"/>
      <c r="B1019" s="102"/>
      <c r="C1019" s="102"/>
      <c r="D1019" s="51"/>
      <c r="E1019" s="102"/>
      <c r="F1019" s="102"/>
      <c r="G1019" s="103"/>
      <c r="H1019" s="103" t="str">
        <f t="shared" si="2"/>
        <v/>
      </c>
      <c r="I1019" s="103"/>
      <c r="M1019" s="103"/>
      <c r="N1019" s="113"/>
      <c r="O1019" s="107"/>
      <c r="P1019" s="106" t="str">
        <f>IF(ISBLANK(N1019), "", VLOOKUP(D1019&amp;" "&amp;E1019, 'Info Tipo de Cambio y REM'!$A$24:$B$35, 2, FALSE))
</f>
        <v/>
      </c>
      <c r="Q1019" s="107" t="str">
        <f t="shared" si="3"/>
        <v/>
      </c>
    </row>
    <row r="1020">
      <c r="A1020" s="102"/>
      <c r="B1020" s="102"/>
      <c r="C1020" s="102"/>
      <c r="D1020" s="51"/>
      <c r="E1020" s="102"/>
      <c r="F1020" s="102"/>
      <c r="G1020" s="103"/>
      <c r="H1020" s="103" t="str">
        <f t="shared" si="2"/>
        <v/>
      </c>
      <c r="I1020" s="103"/>
      <c r="M1020" s="103"/>
      <c r="N1020" s="113"/>
      <c r="O1020" s="107"/>
      <c r="P1020" s="106" t="str">
        <f>IF(ISBLANK(N1020), "", VLOOKUP(D1020&amp;" "&amp;E1020, 'Info Tipo de Cambio y REM'!$A$24:$B$35, 2, FALSE))
</f>
        <v/>
      </c>
      <c r="Q1020" s="107" t="str">
        <f t="shared" si="3"/>
        <v/>
      </c>
    </row>
    <row r="1021">
      <c r="A1021" s="102"/>
      <c r="B1021" s="102"/>
      <c r="C1021" s="102"/>
      <c r="D1021" s="51"/>
      <c r="E1021" s="102"/>
      <c r="F1021" s="102"/>
      <c r="G1021" s="103"/>
      <c r="H1021" s="103" t="str">
        <f t="shared" si="2"/>
        <v/>
      </c>
      <c r="I1021" s="103"/>
      <c r="M1021" s="103"/>
      <c r="N1021" s="113"/>
      <c r="O1021" s="107"/>
      <c r="P1021" s="106" t="str">
        <f>IF(ISBLANK(N1021), "", VLOOKUP(D1021&amp;" "&amp;E1021, 'Info Tipo de Cambio y REM'!$A$24:$B$35, 2, FALSE))
</f>
        <v/>
      </c>
      <c r="Q1021" s="107" t="str">
        <f t="shared" si="3"/>
        <v/>
      </c>
    </row>
    <row r="1022">
      <c r="A1022" s="102"/>
      <c r="B1022" s="102"/>
      <c r="C1022" s="102"/>
      <c r="D1022" s="51"/>
      <c r="E1022" s="102"/>
      <c r="F1022" s="102"/>
      <c r="G1022" s="103"/>
      <c r="H1022" s="103" t="str">
        <f t="shared" si="2"/>
        <v/>
      </c>
      <c r="I1022" s="103"/>
      <c r="M1022" s="103"/>
      <c r="N1022" s="113"/>
      <c r="O1022" s="107"/>
      <c r="P1022" s="106" t="str">
        <f>IF(ISBLANK(N1022), "", VLOOKUP(D1022&amp;" "&amp;E1022, 'Info Tipo de Cambio y REM'!$A$24:$B$35, 2, FALSE))
</f>
        <v/>
      </c>
      <c r="Q1022" s="107" t="str">
        <f t="shared" si="3"/>
        <v/>
      </c>
    </row>
  </sheetData>
  <autoFilter ref="$A$1:$Q$110">
    <filterColumn colId="2">
      <filters>
        <filter val="Warner"/>
      </filters>
    </filterColumn>
  </autoFilter>
  <conditionalFormatting sqref="M2:M1022">
    <cfRule type="expression" dxfId="0" priority="1">
      <formula>AND(M2&lt;=TODAY(), M2&lt;&gt;"")</formula>
    </cfRule>
  </conditionalFormatting>
  <conditionalFormatting sqref="M2:M1022">
    <cfRule type="expression" dxfId="1" priority="2">
      <formula>AND(M2&gt;TODAY(), M2&lt;&gt;"")</formula>
    </cfRule>
  </conditionalFormatting>
  <dataValidations>
    <dataValidation type="list" allowBlank="1" showErrorMessage="1" sqref="D2:D1022">
      <formula1>Listas!$H$3:$H$14</formula1>
    </dataValidation>
    <dataValidation type="list" allowBlank="1" showErrorMessage="1" sqref="B2:B1022">
      <formula1>"Activo Liquido,Mediano Plazo,Clientes a cobrar"</formula1>
    </dataValidation>
    <dataValidation type="list" allowBlank="1" showErrorMessage="1" sqref="E2:E1022">
      <formula1>"2025,2026,2027,2028"</formula1>
    </dataValidation>
    <dataValidation type="list" allowBlank="1" showErrorMessage="1" sqref="C2:C1022">
      <formula1>Listas!$C$3:$C$356</formula1>
    </dataValidation>
    <dataValidation type="list" allowBlank="1" showErrorMessage="1" sqref="A2:A1022">
      <formula1>"Caja,Custodia Socios,Santander-Galicia-Nación,Santander Inversiones,Bank Of America,Transferwise,Cheques en cartera,Clientes a cobrar,Otras Inversiones"</formula1>
    </dataValidation>
    <dataValidation type="list" allowBlank="1" showErrorMessage="1" sqref="F2:F1022">
      <formula1>"Si,No"</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25.0"/>
    <col customWidth="1" min="2" max="2" width="23.5"/>
    <col customWidth="1" min="3" max="3" width="23.13"/>
    <col customWidth="1" min="4" max="4" width="11.38"/>
    <col customWidth="1" min="5" max="5" width="12.25"/>
    <col customWidth="1" min="6" max="6" width="29.75"/>
    <col customWidth="1" min="7" max="8" width="18.25"/>
    <col customWidth="1" min="9" max="9" width="16.5"/>
    <col customWidth="1" min="10" max="10" width="23.0"/>
    <col customWidth="1" min="11" max="11" width="10.25"/>
    <col customWidth="1" min="12" max="12" width="18.38"/>
    <col customWidth="1" min="13" max="13" width="23.63"/>
    <col customWidth="1" min="14" max="14" width="17.75"/>
    <col customWidth="1" min="15" max="15" width="9.38"/>
    <col customWidth="1" min="16" max="16" width="14.25"/>
    <col customWidth="1" min="17" max="28" width="43.38"/>
  </cols>
  <sheetData>
    <row r="1">
      <c r="A1" s="10" t="s">
        <v>109</v>
      </c>
      <c r="B1" s="93" t="s">
        <v>110</v>
      </c>
      <c r="C1" s="93" t="s">
        <v>111</v>
      </c>
      <c r="D1" s="94" t="s">
        <v>116</v>
      </c>
      <c r="E1" s="95" t="s">
        <v>275</v>
      </c>
      <c r="F1" s="96" t="s">
        <v>276</v>
      </c>
      <c r="G1" s="96" t="s">
        <v>359</v>
      </c>
      <c r="H1" s="96" t="s">
        <v>279</v>
      </c>
      <c r="I1" s="96" t="s">
        <v>280</v>
      </c>
      <c r="J1" s="96" t="s">
        <v>281</v>
      </c>
      <c r="K1" s="96" t="s">
        <v>112</v>
      </c>
      <c r="L1" s="98" t="s">
        <v>282</v>
      </c>
      <c r="M1" s="99" t="s">
        <v>283</v>
      </c>
      <c r="N1" s="99" t="s">
        <v>284</v>
      </c>
      <c r="O1" s="100" t="s">
        <v>285</v>
      </c>
      <c r="P1" s="101" t="s">
        <v>286</v>
      </c>
    </row>
    <row r="2">
      <c r="A2" s="43" t="s">
        <v>130</v>
      </c>
      <c r="B2" s="43" t="str">
        <f t="shared" ref="B2:B63" si="1">IF(
  A2="",
  "",
  IF(
    OR(A2="Santander-Galicia-Nación", A2="Bank Of America", A2="Transferwise", A2="Custodia Socios", A2="Cheques en cartera", A2="Caja"),
    "Activo Liquido",
    IF(
      OR(A2="Otras Inversiones", A2="Santander Inversiones"),
      "Mediano Plazo",
      IF(
        A2="Clientes a cobrar",
        "Clientes a cobrar",
        "DATO NO CARGADO"
      )
    )
  )
)
</f>
        <v>Activo Liquido</v>
      </c>
      <c r="C2" s="102" t="str">
        <f>IF(J2="", "", IFERROR(VLOOKUP(J2, Clasificaciones!D:E, 2, FALSE), "DATO NO CARGADO"))
</f>
        <v/>
      </c>
      <c r="D2" s="51" t="s">
        <v>123</v>
      </c>
      <c r="E2" s="43">
        <v>2025.0</v>
      </c>
      <c r="F2" s="102"/>
      <c r="G2" s="103"/>
      <c r="H2" s="103"/>
      <c r="L2" s="104"/>
      <c r="M2" s="89">
        <v>8217613.0</v>
      </c>
      <c r="N2" s="105"/>
      <c r="O2" s="106" t="str">
        <f>IF(ISBLANK(M2), "", VLOOKUP(D2, 'Info Tipo de Cambio y REM'!$A$24:$B$35, 2, FALSE))</f>
        <v>#N/A</v>
      </c>
      <c r="P2" s="107" t="str">
        <f t="shared" ref="P2:P1045" si="2">IF(NOT(ISBLANK(M2)), M2 / O2, IF(NOT(ISBLANK(N2)), N2, ""))</f>
        <v>#N/A</v>
      </c>
    </row>
    <row r="3">
      <c r="A3" s="43" t="s">
        <v>144</v>
      </c>
      <c r="B3" s="43" t="str">
        <f t="shared" si="1"/>
        <v>Activo Liquido</v>
      </c>
      <c r="C3" s="102" t="str">
        <f>IF(J3="", "", IFERROR(VLOOKUP(J3, Clasificaciones!D:E, 2, FALSE), "DATO NO CARGADO"))
</f>
        <v/>
      </c>
      <c r="D3" s="51" t="s">
        <v>123</v>
      </c>
      <c r="E3" s="43">
        <v>2025.0</v>
      </c>
      <c r="F3" s="102"/>
      <c r="G3" s="103"/>
      <c r="H3" s="103"/>
      <c r="L3" s="104"/>
      <c r="M3" s="89"/>
      <c r="N3" s="106">
        <v>-2840.0</v>
      </c>
      <c r="O3" s="106" t="str">
        <f>IF(ISBLANK(M3), "", VLOOKUP(D3, 'Info Tipo de Cambio y REM'!$A$24:$B$35, 2, FALSE))</f>
        <v/>
      </c>
      <c r="P3" s="107">
        <f t="shared" si="2"/>
        <v>-2840</v>
      </c>
    </row>
    <row r="4">
      <c r="A4" s="43" t="s">
        <v>150</v>
      </c>
      <c r="B4" s="43" t="str">
        <f t="shared" si="1"/>
        <v>Activo Liquido</v>
      </c>
      <c r="C4" s="102" t="str">
        <f>IF(J4="", "", IFERROR(VLOOKUP(J4, Clasificaciones!D:E, 2, FALSE), "DATO NO CARGADO"))
</f>
        <v/>
      </c>
      <c r="D4" s="51" t="s">
        <v>123</v>
      </c>
      <c r="E4" s="43">
        <v>2025.0</v>
      </c>
      <c r="F4" s="102"/>
      <c r="G4" s="103"/>
      <c r="H4" s="103"/>
      <c r="L4" s="104"/>
      <c r="M4" s="89"/>
      <c r="N4" s="106">
        <v>230.0</v>
      </c>
      <c r="O4" s="106" t="str">
        <f>IF(ISBLANK(M4), "", VLOOKUP(D4, 'Info Tipo de Cambio y REM'!$A$24:$B$35, 2, FALSE))</f>
        <v/>
      </c>
      <c r="P4" s="107">
        <f t="shared" si="2"/>
        <v>230</v>
      </c>
    </row>
    <row r="5">
      <c r="A5" s="43" t="s">
        <v>167</v>
      </c>
      <c r="B5" s="43" t="str">
        <f t="shared" si="1"/>
        <v>Mediano Plazo</v>
      </c>
      <c r="C5" s="102" t="str">
        <f>IF(J5="", "", IFERROR(VLOOKUP(J5, Clasificaciones!D:E, 2, FALSE), "DATO NO CARGADO"))
</f>
        <v/>
      </c>
      <c r="D5" s="51" t="s">
        <v>123</v>
      </c>
      <c r="E5" s="43">
        <v>2025.0</v>
      </c>
      <c r="F5" s="102"/>
      <c r="G5" s="103"/>
      <c r="H5" s="103"/>
      <c r="L5" s="104"/>
      <c r="M5" s="89"/>
      <c r="N5" s="106">
        <v>9200.0</v>
      </c>
      <c r="O5" s="106" t="str">
        <f>IF(ISBLANK(M5), "", VLOOKUP(D5, 'Info Tipo de Cambio y REM'!$A$24:$B$35, 2, FALSE))</f>
        <v/>
      </c>
      <c r="P5" s="107">
        <f t="shared" si="2"/>
        <v>9200</v>
      </c>
    </row>
    <row r="6">
      <c r="A6" s="43" t="s">
        <v>131</v>
      </c>
      <c r="B6" s="43" t="str">
        <f t="shared" si="1"/>
        <v>Clientes a cobrar</v>
      </c>
      <c r="C6" s="102" t="str">
        <f>IF(J6="", "", IFERROR(VLOOKUP(J6, Clasificaciones!D:E, 2, FALSE), "DATO NO CARGADO"))
</f>
        <v>Arcos Dorados</v>
      </c>
      <c r="D6" s="51" t="s">
        <v>123</v>
      </c>
      <c r="E6" s="43">
        <v>2025.0</v>
      </c>
      <c r="F6" s="102"/>
      <c r="I6" s="43" t="s">
        <v>287</v>
      </c>
      <c r="J6" s="43" t="s">
        <v>243</v>
      </c>
      <c r="L6" s="104">
        <v>45680.0</v>
      </c>
      <c r="M6" s="89">
        <v>508200.0</v>
      </c>
      <c r="N6" s="105"/>
      <c r="O6" s="106" t="str">
        <f>IF(ISBLANK(M6), "", VLOOKUP(D6, 'Info Tipo de Cambio y REM'!$A$24:$B$35, 2, FALSE))</f>
        <v>#N/A</v>
      </c>
      <c r="P6" s="107" t="str">
        <f t="shared" si="2"/>
        <v>#N/A</v>
      </c>
    </row>
    <row r="7">
      <c r="A7" s="43" t="s">
        <v>131</v>
      </c>
      <c r="B7" s="43" t="str">
        <f t="shared" si="1"/>
        <v>Clientes a cobrar</v>
      </c>
      <c r="C7" s="102" t="str">
        <f>IF(J7="", "", IFERROR(VLOOKUP(J7, Clasificaciones!D:E, 2, FALSE), "DATO NO CARGADO"))
</f>
        <v>Play Digital S.A (Modo)</v>
      </c>
      <c r="D7" s="51" t="s">
        <v>123</v>
      </c>
      <c r="E7" s="43">
        <v>2025.0</v>
      </c>
      <c r="F7" s="102"/>
      <c r="I7" s="43" t="s">
        <v>288</v>
      </c>
      <c r="J7" s="43" t="s">
        <v>244</v>
      </c>
      <c r="L7" s="104">
        <v>45688.0</v>
      </c>
      <c r="M7" s="89">
        <v>4744208.0</v>
      </c>
      <c r="N7" s="105"/>
      <c r="O7" s="106" t="str">
        <f>IF(ISBLANK(M7), "", VLOOKUP(D7, 'Info Tipo de Cambio y REM'!$A$24:$B$35, 2, FALSE))</f>
        <v>#N/A</v>
      </c>
      <c r="P7" s="107" t="str">
        <f t="shared" si="2"/>
        <v>#N/A</v>
      </c>
    </row>
    <row r="8">
      <c r="A8" s="43" t="s">
        <v>131</v>
      </c>
      <c r="B8" s="43" t="str">
        <f t="shared" si="1"/>
        <v>Clientes a cobrar</v>
      </c>
      <c r="C8" s="102" t="str">
        <f>IF(J8="", "", IFERROR(VLOOKUP(J8, Clasificaciones!D:E, 2, FALSE), "DATO NO CARGADO"))
</f>
        <v>Coelsa</v>
      </c>
      <c r="D8" s="51" t="s">
        <v>123</v>
      </c>
      <c r="E8" s="43">
        <v>2025.0</v>
      </c>
      <c r="F8" s="102"/>
      <c r="I8" s="43" t="s">
        <v>289</v>
      </c>
      <c r="J8" s="43" t="s">
        <v>245</v>
      </c>
      <c r="L8" s="104">
        <v>45659.0</v>
      </c>
      <c r="M8" s="89">
        <v>4499766.0</v>
      </c>
      <c r="N8" s="105"/>
      <c r="O8" s="106" t="str">
        <f>IF(ISBLANK(M8), "", VLOOKUP(D8, 'Info Tipo de Cambio y REM'!$A$24:$B$35, 2, FALSE))</f>
        <v>#N/A</v>
      </c>
      <c r="P8" s="107" t="str">
        <f t="shared" si="2"/>
        <v>#N/A</v>
      </c>
    </row>
    <row r="9">
      <c r="A9" s="43" t="s">
        <v>131</v>
      </c>
      <c r="B9" s="43" t="str">
        <f t="shared" si="1"/>
        <v>Clientes a cobrar</v>
      </c>
      <c r="C9" s="102" t="str">
        <f>IF(J9="", "", IFERROR(VLOOKUP(J9, Clasificaciones!D:E, 2, FALSE), "DATO NO CARGADO"))
</f>
        <v>Moreno Ocampo</v>
      </c>
      <c r="D9" s="51" t="s">
        <v>123</v>
      </c>
      <c r="E9" s="43">
        <v>2025.0</v>
      </c>
      <c r="F9" s="102"/>
      <c r="I9" s="43" t="s">
        <v>290</v>
      </c>
      <c r="J9" s="43" t="s">
        <v>246</v>
      </c>
      <c r="L9" s="104">
        <v>45678.0</v>
      </c>
      <c r="M9" s="89"/>
      <c r="N9" s="106">
        <v>250.0</v>
      </c>
      <c r="O9" s="106" t="str">
        <f>IF(ISBLANK(M9), "", VLOOKUP(D9, 'Info Tipo de Cambio y REM'!$A$24:$B$35, 2, FALSE))</f>
        <v/>
      </c>
      <c r="P9" s="107">
        <f t="shared" si="2"/>
        <v>250</v>
      </c>
    </row>
    <row r="10">
      <c r="A10" s="43" t="s">
        <v>131</v>
      </c>
      <c r="B10" s="43" t="str">
        <f t="shared" si="1"/>
        <v>Clientes a cobrar</v>
      </c>
      <c r="C10" s="102" t="str">
        <f>IF(J10="", "", IFERROR(VLOOKUP(J10, Clasificaciones!D:E, 2, FALSE), "DATO NO CARGADO"))
</f>
        <v>Warner</v>
      </c>
      <c r="D10" s="51" t="s">
        <v>123</v>
      </c>
      <c r="E10" s="43">
        <v>2025.0</v>
      </c>
      <c r="F10" s="102"/>
      <c r="I10" s="43" t="s">
        <v>291</v>
      </c>
      <c r="J10" s="43" t="s">
        <v>247</v>
      </c>
      <c r="L10" s="104">
        <v>45714.0</v>
      </c>
      <c r="M10" s="89"/>
      <c r="N10" s="106">
        <v>13450.0</v>
      </c>
      <c r="O10" s="106" t="str">
        <f>IF(ISBLANK(M10), "", VLOOKUP(D10, 'Info Tipo de Cambio y REM'!$A$24:$B$35, 2, FALSE))</f>
        <v/>
      </c>
      <c r="P10" s="107">
        <f t="shared" si="2"/>
        <v>13450</v>
      </c>
    </row>
    <row r="11">
      <c r="A11" s="43" t="s">
        <v>131</v>
      </c>
      <c r="B11" s="43" t="str">
        <f t="shared" si="1"/>
        <v>Clientes a cobrar</v>
      </c>
      <c r="C11" s="102" t="str">
        <f>IF(J11="", "", IFERROR(VLOOKUP(J11, Clasificaciones!D:E, 2, FALSE), "DATO NO CARGADO"))
</f>
        <v>Warner</v>
      </c>
      <c r="D11" s="51" t="s">
        <v>123</v>
      </c>
      <c r="E11" s="43">
        <v>2025.0</v>
      </c>
      <c r="F11" s="102"/>
      <c r="I11" s="43" t="s">
        <v>292</v>
      </c>
      <c r="J11" s="43" t="s">
        <v>247</v>
      </c>
      <c r="L11" s="104">
        <v>45726.0</v>
      </c>
      <c r="M11" s="89"/>
      <c r="N11" s="106">
        <v>13450.0</v>
      </c>
      <c r="O11" s="106" t="str">
        <f>IF(ISBLANK(M11), "", VLOOKUP(D11, 'Info Tipo de Cambio y REM'!$A$24:$B$35, 2, FALSE))</f>
        <v/>
      </c>
      <c r="P11" s="107">
        <f t="shared" si="2"/>
        <v>13450</v>
      </c>
    </row>
    <row r="12">
      <c r="A12" s="43" t="s">
        <v>131</v>
      </c>
      <c r="B12" s="43" t="str">
        <f t="shared" si="1"/>
        <v>Clientes a cobrar</v>
      </c>
      <c r="C12" s="102" t="str">
        <f>IF(J12="", "", IFERROR(VLOOKUP(J12, Clasificaciones!D:E, 2, FALSE), "DATO NO CARGADO"))
</f>
        <v>Warner</v>
      </c>
      <c r="D12" s="51" t="s">
        <v>123</v>
      </c>
      <c r="E12" s="43">
        <v>2025.0</v>
      </c>
      <c r="F12" s="102"/>
      <c r="I12" s="43" t="s">
        <v>293</v>
      </c>
      <c r="J12" s="43" t="s">
        <v>247</v>
      </c>
      <c r="L12" s="104">
        <v>45750.0</v>
      </c>
      <c r="M12" s="89"/>
      <c r="N12" s="106">
        <v>13450.0</v>
      </c>
      <c r="O12" s="106" t="str">
        <f>IF(ISBLANK(M12), "", VLOOKUP(D12, 'Info Tipo de Cambio y REM'!$A$24:$B$35, 2, FALSE))</f>
        <v/>
      </c>
      <c r="P12" s="107">
        <f t="shared" si="2"/>
        <v>13450</v>
      </c>
    </row>
    <row r="13">
      <c r="A13" s="43" t="s">
        <v>131</v>
      </c>
      <c r="B13" s="43" t="str">
        <f t="shared" si="1"/>
        <v>Clientes a cobrar</v>
      </c>
      <c r="C13" s="102" t="str">
        <f>IF(J13="", "", IFERROR(VLOOKUP(J13, Clasificaciones!D:E, 2, FALSE), "DATO NO CARGADO"))
</f>
        <v>Vertical Media</v>
      </c>
      <c r="D13" s="51" t="s">
        <v>123</v>
      </c>
      <c r="E13" s="43">
        <v>2025.0</v>
      </c>
      <c r="F13" s="102"/>
      <c r="I13" s="43" t="s">
        <v>294</v>
      </c>
      <c r="J13" s="43" t="s">
        <v>248</v>
      </c>
      <c r="L13" s="104">
        <v>45704.0</v>
      </c>
      <c r="M13" s="89"/>
      <c r="N13" s="106">
        <v>1750.0</v>
      </c>
      <c r="O13" s="106" t="str">
        <f>IF(ISBLANK(M13), "", VLOOKUP(D13, 'Info Tipo de Cambio y REM'!$A$24:$B$35, 2, FALSE))</f>
        <v/>
      </c>
      <c r="P13" s="107">
        <f t="shared" si="2"/>
        <v>1750</v>
      </c>
    </row>
    <row r="14">
      <c r="A14" s="43" t="s">
        <v>131</v>
      </c>
      <c r="B14" s="43" t="str">
        <f t="shared" si="1"/>
        <v>Clientes a cobrar</v>
      </c>
      <c r="C14" s="102" t="str">
        <f>IF(J14="", "", IFERROR(VLOOKUP(J14, Clasificaciones!D:E, 2, FALSE), "DATO NO CARGADO"))
</f>
        <v>Uber</v>
      </c>
      <c r="D14" s="51" t="s">
        <v>123</v>
      </c>
      <c r="E14" s="43">
        <v>2025.0</v>
      </c>
      <c r="F14" s="102"/>
      <c r="I14" s="43" t="s">
        <v>295</v>
      </c>
      <c r="J14" s="43" t="s">
        <v>250</v>
      </c>
      <c r="L14" s="104">
        <v>45690.0</v>
      </c>
      <c r="M14" s="89"/>
      <c r="N14" s="106">
        <v>7150.0</v>
      </c>
      <c r="O14" s="106" t="str">
        <f>IF(ISBLANK(M14), "", VLOOKUP(D14, 'Info Tipo de Cambio y REM'!$A$24:$B$35, 2, FALSE))</f>
        <v/>
      </c>
      <c r="P14" s="107">
        <f t="shared" si="2"/>
        <v>7150</v>
      </c>
    </row>
    <row r="15">
      <c r="A15" s="43" t="s">
        <v>131</v>
      </c>
      <c r="B15" s="43" t="str">
        <f t="shared" si="1"/>
        <v>Clientes a cobrar</v>
      </c>
      <c r="C15" s="43" t="s">
        <v>193</v>
      </c>
      <c r="D15" s="51" t="s">
        <v>123</v>
      </c>
      <c r="E15" s="43">
        <v>2025.0</v>
      </c>
      <c r="F15" s="102"/>
      <c r="L15" s="104"/>
      <c r="M15" s="89">
        <v>718100.0</v>
      </c>
      <c r="N15" s="106"/>
      <c r="O15" s="106" t="str">
        <f>IF(ISBLANK(M15), "", VLOOKUP(D15, 'Info Tipo de Cambio y REM'!$A$24:$B$35, 2, FALSE))</f>
        <v>#N/A</v>
      </c>
      <c r="P15" s="107" t="str">
        <f t="shared" si="2"/>
        <v>#N/A</v>
      </c>
    </row>
    <row r="16">
      <c r="A16" s="43" t="s">
        <v>130</v>
      </c>
      <c r="B16" s="43" t="str">
        <f t="shared" si="1"/>
        <v>Activo Liquido</v>
      </c>
      <c r="C16" s="102" t="str">
        <f>IF(J16="", "", IFERROR(VLOOKUP(J16, Clasificaciones!D:E, 2, FALSE), "DATO NO CARGADO"))
</f>
        <v/>
      </c>
      <c r="D16" s="51" t="s">
        <v>129</v>
      </c>
      <c r="E16" s="43">
        <v>2025.0</v>
      </c>
      <c r="F16" s="102"/>
      <c r="L16" s="104"/>
      <c r="M16" s="89">
        <v>29367.0</v>
      </c>
      <c r="N16" s="105"/>
      <c r="O16" s="106" t="str">
        <f>IF(ISBLANK(M16), "", VLOOKUP(D16, 'Info Tipo de Cambio y REM'!$A$24:$B$35, 2, FALSE))</f>
        <v>#N/A</v>
      </c>
      <c r="P16" s="107" t="str">
        <f t="shared" si="2"/>
        <v>#N/A</v>
      </c>
    </row>
    <row r="17">
      <c r="A17" s="43" t="s">
        <v>144</v>
      </c>
      <c r="B17" s="43" t="str">
        <f t="shared" si="1"/>
        <v>Activo Liquido</v>
      </c>
      <c r="C17" s="102" t="str">
        <f>IF(J17="", "", IFERROR(VLOOKUP(J17, Clasificaciones!D:E, 2, FALSE), "DATO NO CARGADO"))
</f>
        <v/>
      </c>
      <c r="D17" s="51" t="s">
        <v>129</v>
      </c>
      <c r="E17" s="43">
        <v>2025.0</v>
      </c>
      <c r="F17" s="102"/>
      <c r="L17" s="104"/>
      <c r="M17" s="89"/>
      <c r="N17" s="106">
        <v>-7604.0</v>
      </c>
      <c r="O17" s="106" t="str">
        <f>IF(ISBLANK(M17), "", VLOOKUP(D17, 'Info Tipo de Cambio y REM'!$A$24:$B$35, 2, FALSE))</f>
        <v/>
      </c>
      <c r="P17" s="107">
        <f t="shared" si="2"/>
        <v>-7604</v>
      </c>
    </row>
    <row r="18">
      <c r="A18" s="43" t="s">
        <v>150</v>
      </c>
      <c r="B18" s="43" t="str">
        <f t="shared" si="1"/>
        <v>Activo Liquido</v>
      </c>
      <c r="C18" s="102" t="str">
        <f>IF(J18="", "", IFERROR(VLOOKUP(J18, Clasificaciones!D:E, 2, FALSE), "DATO NO CARGADO"))
</f>
        <v/>
      </c>
      <c r="D18" s="51" t="s">
        <v>129</v>
      </c>
      <c r="E18" s="43">
        <v>2025.0</v>
      </c>
      <c r="F18" s="102"/>
      <c r="L18" s="104"/>
      <c r="M18" s="89"/>
      <c r="N18" s="106">
        <v>230.0</v>
      </c>
      <c r="O18" s="106" t="str">
        <f>IF(ISBLANK(M18), "", VLOOKUP(D18, 'Info Tipo de Cambio y REM'!$A$24:$B$35, 2, FALSE))</f>
        <v/>
      </c>
      <c r="P18" s="107">
        <f t="shared" si="2"/>
        <v>230</v>
      </c>
    </row>
    <row r="19">
      <c r="A19" s="43" t="s">
        <v>167</v>
      </c>
      <c r="B19" s="43" t="str">
        <f t="shared" si="1"/>
        <v>Mediano Plazo</v>
      </c>
      <c r="C19" s="102" t="str">
        <f>IF(J19="", "", IFERROR(VLOOKUP(J19, Clasificaciones!D:E, 2, FALSE), "DATO NO CARGADO"))
</f>
        <v/>
      </c>
      <c r="D19" s="51" t="s">
        <v>129</v>
      </c>
      <c r="E19" s="43">
        <v>2025.0</v>
      </c>
      <c r="F19" s="102"/>
      <c r="L19" s="104"/>
      <c r="M19" s="89"/>
      <c r="N19" s="106">
        <v>6983.0</v>
      </c>
      <c r="O19" s="106" t="str">
        <f>IF(ISBLANK(M19), "", VLOOKUP(D19, 'Info Tipo de Cambio y REM'!$A$24:$B$35, 2, FALSE))</f>
        <v/>
      </c>
      <c r="P19" s="107">
        <f t="shared" si="2"/>
        <v>6983</v>
      </c>
    </row>
    <row r="20">
      <c r="A20" s="43" t="s">
        <v>131</v>
      </c>
      <c r="B20" s="43" t="str">
        <f t="shared" si="1"/>
        <v>Clientes a cobrar</v>
      </c>
      <c r="C20" s="102" t="str">
        <f>IF(J20="", "", IFERROR(VLOOKUP(J20, Clasificaciones!D:E, 2, FALSE), "DATO NO CARGADO"))
</f>
        <v>Play Digital S.A (Modo)</v>
      </c>
      <c r="D20" s="51" t="s">
        <v>129</v>
      </c>
      <c r="E20" s="43">
        <v>2025.0</v>
      </c>
      <c r="F20" s="102"/>
      <c r="I20" s="43" t="s">
        <v>296</v>
      </c>
      <c r="J20" s="43" t="s">
        <v>244</v>
      </c>
      <c r="L20" s="104">
        <v>45719.0</v>
      </c>
      <c r="M20" s="89">
        <v>4744208.0</v>
      </c>
      <c r="N20" s="105"/>
      <c r="O20" s="106" t="str">
        <f>IF(ISBLANK(M20), "", VLOOKUP(D20, 'Info Tipo de Cambio y REM'!$A$24:$B$35, 2, FALSE))</f>
        <v>#N/A</v>
      </c>
      <c r="P20" s="107" t="str">
        <f t="shared" si="2"/>
        <v>#N/A</v>
      </c>
    </row>
    <row r="21">
      <c r="A21" s="43" t="s">
        <v>131</v>
      </c>
      <c r="B21" s="43" t="str">
        <f t="shared" si="1"/>
        <v>Clientes a cobrar</v>
      </c>
      <c r="C21" s="102" t="str">
        <f>IF(J21="", "", IFERROR(VLOOKUP(J21, Clasificaciones!D:E, 2, FALSE), "DATO NO CARGADO"))
</f>
        <v>Coelsa</v>
      </c>
      <c r="D21" s="51" t="s">
        <v>129</v>
      </c>
      <c r="E21" s="43">
        <v>2025.0</v>
      </c>
      <c r="F21" s="102"/>
      <c r="I21" s="43" t="s">
        <v>297</v>
      </c>
      <c r="J21" s="43" t="s">
        <v>245</v>
      </c>
      <c r="L21" s="104">
        <v>45719.0</v>
      </c>
      <c r="M21" s="89">
        <v>4499766.0</v>
      </c>
      <c r="N21" s="105"/>
      <c r="O21" s="106" t="str">
        <f>IF(ISBLANK(M21), "", VLOOKUP(D21, 'Info Tipo de Cambio y REM'!$A$24:$B$35, 2, FALSE))</f>
        <v>#N/A</v>
      </c>
      <c r="P21" s="107" t="str">
        <f t="shared" si="2"/>
        <v>#N/A</v>
      </c>
    </row>
    <row r="22">
      <c r="A22" s="43" t="s">
        <v>131</v>
      </c>
      <c r="B22" s="43" t="str">
        <f t="shared" si="1"/>
        <v>Clientes a cobrar</v>
      </c>
      <c r="C22" s="102" t="str">
        <f>IF(J22="", "", IFERROR(VLOOKUP(J22, Clasificaciones!D:E, 2, FALSE), "DATO NO CARGADO"))
</f>
        <v>Moreno Ocampo</v>
      </c>
      <c r="D22" s="51" t="s">
        <v>129</v>
      </c>
      <c r="E22" s="43">
        <v>2025.0</v>
      </c>
      <c r="F22" s="102"/>
      <c r="I22" s="43" t="s">
        <v>290</v>
      </c>
      <c r="J22" s="43" t="s">
        <v>246</v>
      </c>
      <c r="L22" s="104">
        <v>45678.0</v>
      </c>
      <c r="M22" s="89"/>
      <c r="N22" s="106">
        <v>250.0</v>
      </c>
      <c r="O22" s="106" t="str">
        <f>IF(ISBLANK(M22), "", VLOOKUP(D22, 'Info Tipo de Cambio y REM'!$A$24:$B$35, 2, FALSE))</f>
        <v/>
      </c>
      <c r="P22" s="107">
        <f t="shared" si="2"/>
        <v>250</v>
      </c>
    </row>
    <row r="23">
      <c r="A23" s="43" t="s">
        <v>131</v>
      </c>
      <c r="B23" s="43" t="str">
        <f t="shared" si="1"/>
        <v>Clientes a cobrar</v>
      </c>
      <c r="C23" s="102" t="str">
        <f>IF(J23="", "", IFERROR(VLOOKUP(J23, Clasificaciones!D:E, 2, FALSE), "DATO NO CARGADO"))
</f>
        <v>Warner</v>
      </c>
      <c r="D23" s="51" t="s">
        <v>129</v>
      </c>
      <c r="E23" s="43">
        <v>2025.0</v>
      </c>
      <c r="F23" s="102"/>
      <c r="I23" s="43" t="s">
        <v>292</v>
      </c>
      <c r="J23" s="43" t="s">
        <v>247</v>
      </c>
      <c r="L23" s="104">
        <v>45726.0</v>
      </c>
      <c r="M23" s="89"/>
      <c r="N23" s="106">
        <v>13450.0</v>
      </c>
      <c r="O23" s="106" t="str">
        <f>IF(ISBLANK(M23), "", VLOOKUP(D23, 'Info Tipo de Cambio y REM'!$A$24:$B$35, 2, FALSE))</f>
        <v/>
      </c>
      <c r="P23" s="107">
        <f t="shared" si="2"/>
        <v>13450</v>
      </c>
    </row>
    <row r="24">
      <c r="A24" s="43" t="s">
        <v>131</v>
      </c>
      <c r="B24" s="43" t="str">
        <f t="shared" si="1"/>
        <v>Clientes a cobrar</v>
      </c>
      <c r="C24" s="102" t="str">
        <f>IF(J24="", "", IFERROR(VLOOKUP(J24, Clasificaciones!D:E, 2, FALSE), "DATO NO CARGADO"))
</f>
        <v>Warner</v>
      </c>
      <c r="D24" s="51" t="s">
        <v>129</v>
      </c>
      <c r="E24" s="43">
        <v>2025.0</v>
      </c>
      <c r="F24" s="102"/>
      <c r="I24" s="43" t="s">
        <v>293</v>
      </c>
      <c r="J24" s="43" t="s">
        <v>247</v>
      </c>
      <c r="L24" s="104">
        <v>45750.0</v>
      </c>
      <c r="M24" s="89"/>
      <c r="N24" s="106">
        <v>13450.0</v>
      </c>
      <c r="O24" s="106" t="str">
        <f>IF(ISBLANK(M24), "", VLOOKUP(D24, 'Info Tipo de Cambio y REM'!$A$24:$B$35, 2, FALSE))</f>
        <v/>
      </c>
      <c r="P24" s="107">
        <f t="shared" si="2"/>
        <v>13450</v>
      </c>
    </row>
    <row r="25">
      <c r="A25" s="43" t="s">
        <v>131</v>
      </c>
      <c r="B25" s="43" t="str">
        <f t="shared" si="1"/>
        <v>Clientes a cobrar</v>
      </c>
      <c r="C25" s="102" t="str">
        <f>IF(J25="", "", IFERROR(VLOOKUP(J25, Clasificaciones!D:E, 2, FALSE), "DATO NO CARGADO"))
</f>
        <v>Warner</v>
      </c>
      <c r="D25" s="51" t="s">
        <v>129</v>
      </c>
      <c r="E25" s="43">
        <v>2025.0</v>
      </c>
      <c r="F25" s="102"/>
      <c r="I25" s="43" t="s">
        <v>298</v>
      </c>
      <c r="J25" s="43" t="s">
        <v>247</v>
      </c>
      <c r="L25" s="104">
        <v>45782.0</v>
      </c>
      <c r="M25" s="89"/>
      <c r="N25" s="106">
        <v>13450.0</v>
      </c>
      <c r="O25" s="106" t="str">
        <f>IF(ISBLANK(M25), "", VLOOKUP(D25, 'Info Tipo de Cambio y REM'!$A$24:$B$35, 2, FALSE))</f>
        <v/>
      </c>
      <c r="P25" s="107">
        <f t="shared" si="2"/>
        <v>13450</v>
      </c>
    </row>
    <row r="26">
      <c r="A26" s="43" t="s">
        <v>131</v>
      </c>
      <c r="B26" s="43" t="str">
        <f t="shared" si="1"/>
        <v>Clientes a cobrar</v>
      </c>
      <c r="C26" s="102" t="str">
        <f>IF(J26="", "", IFERROR(VLOOKUP(J26, Clasificaciones!D:E, 2, FALSE), "DATO NO CARGADO"))
</f>
        <v>Vertical Media</v>
      </c>
      <c r="D26" s="51" t="s">
        <v>129</v>
      </c>
      <c r="E26" s="43">
        <v>2025.0</v>
      </c>
      <c r="F26" s="102"/>
      <c r="I26" s="43" t="s">
        <v>299</v>
      </c>
      <c r="J26" s="43" t="s">
        <v>248</v>
      </c>
      <c r="L26" s="104">
        <v>45719.0</v>
      </c>
      <c r="M26" s="89"/>
      <c r="N26" s="106">
        <v>1750.0</v>
      </c>
      <c r="O26" s="106" t="str">
        <f>IF(ISBLANK(M26), "", VLOOKUP(D26, 'Info Tipo de Cambio y REM'!$A$24:$B$35, 2, FALSE))</f>
        <v/>
      </c>
      <c r="P26" s="107">
        <f t="shared" si="2"/>
        <v>1750</v>
      </c>
    </row>
    <row r="27">
      <c r="A27" s="43" t="s">
        <v>131</v>
      </c>
      <c r="B27" s="43" t="str">
        <f t="shared" si="1"/>
        <v>Clientes a cobrar</v>
      </c>
      <c r="C27" s="43" t="s">
        <v>193</v>
      </c>
      <c r="D27" s="51" t="s">
        <v>129</v>
      </c>
      <c r="E27" s="43">
        <v>2025.0</v>
      </c>
      <c r="F27" s="102"/>
      <c r="G27" s="103"/>
      <c r="H27" s="103"/>
      <c r="L27" s="104"/>
      <c r="M27" s="89">
        <v>144000.0</v>
      </c>
      <c r="N27" s="106"/>
      <c r="O27" s="106" t="str">
        <f>IF(ISBLANK(M27), "", VLOOKUP(D27, 'Info Tipo de Cambio y REM'!$A$24:$B$35, 2, FALSE))</f>
        <v>#N/A</v>
      </c>
      <c r="P27" s="107" t="str">
        <f t="shared" si="2"/>
        <v>#N/A</v>
      </c>
    </row>
    <row r="28">
      <c r="A28" s="43" t="s">
        <v>131</v>
      </c>
      <c r="B28" s="43" t="str">
        <f t="shared" si="1"/>
        <v>Clientes a cobrar</v>
      </c>
      <c r="C28" s="43" t="s">
        <v>193</v>
      </c>
      <c r="D28" s="51" t="s">
        <v>129</v>
      </c>
      <c r="E28" s="43">
        <v>2025.0</v>
      </c>
      <c r="F28" s="102"/>
      <c r="G28" s="103"/>
      <c r="H28" s="103"/>
      <c r="L28" s="104"/>
      <c r="M28" s="89">
        <v>718000.0</v>
      </c>
      <c r="N28" s="106"/>
      <c r="O28" s="106" t="str">
        <f>IF(ISBLANK(M28), "", VLOOKUP(D28, 'Info Tipo de Cambio y REM'!$A$24:$B$35, 2, FALSE))</f>
        <v>#N/A</v>
      </c>
      <c r="P28" s="107" t="str">
        <f t="shared" si="2"/>
        <v>#N/A</v>
      </c>
    </row>
    <row r="29">
      <c r="A29" s="43" t="s">
        <v>130</v>
      </c>
      <c r="B29" s="43" t="str">
        <f t="shared" si="1"/>
        <v>Activo Liquido</v>
      </c>
      <c r="C29" s="102" t="str">
        <f>IF(J29="", "", IFERROR(VLOOKUP(J29, Clasificaciones!D:E, 2, FALSE), "DATO NO CARGADO"))
</f>
        <v/>
      </c>
      <c r="D29" s="51" t="s">
        <v>136</v>
      </c>
      <c r="E29" s="43">
        <v>2025.0</v>
      </c>
      <c r="F29" s="102"/>
      <c r="G29" s="103"/>
      <c r="H29" s="103"/>
      <c r="L29" s="104"/>
      <c r="M29" s="89">
        <v>-429974.0</v>
      </c>
      <c r="N29" s="105"/>
      <c r="O29" s="106" t="str">
        <f>IF(ISBLANK(M29), "", VLOOKUP(D29, 'Info Tipo de Cambio y REM'!$A$24:$B$35, 2, FALSE))</f>
        <v>#N/A</v>
      </c>
      <c r="P29" s="107" t="str">
        <f t="shared" si="2"/>
        <v>#N/A</v>
      </c>
    </row>
    <row r="30">
      <c r="A30" s="43" t="s">
        <v>144</v>
      </c>
      <c r="B30" s="43" t="str">
        <f t="shared" si="1"/>
        <v>Activo Liquido</v>
      </c>
      <c r="C30" s="102" t="str">
        <f>IF(J30="", "", IFERROR(VLOOKUP(J30, Clasificaciones!D:E, 2, FALSE), "DATO NO CARGADO"))
</f>
        <v/>
      </c>
      <c r="D30" s="51" t="s">
        <v>136</v>
      </c>
      <c r="E30" s="43">
        <v>2025.0</v>
      </c>
      <c r="F30" s="102"/>
      <c r="G30" s="103"/>
      <c r="H30" s="103"/>
      <c r="L30" s="104"/>
      <c r="M30" s="89"/>
      <c r="N30" s="106">
        <v>-26706.0</v>
      </c>
      <c r="O30" s="106" t="str">
        <f>IF(ISBLANK(M30), "", VLOOKUP(D30, 'Info Tipo de Cambio y REM'!$A$24:$B$35, 2, FALSE))</f>
        <v/>
      </c>
      <c r="P30" s="107">
        <f t="shared" si="2"/>
        <v>-26706</v>
      </c>
    </row>
    <row r="31">
      <c r="A31" s="43" t="s">
        <v>150</v>
      </c>
      <c r="B31" s="43" t="str">
        <f t="shared" si="1"/>
        <v>Activo Liquido</v>
      </c>
      <c r="C31" s="102" t="str">
        <f>IF(J31="", "", IFERROR(VLOOKUP(J31, Clasificaciones!D:E, 2, FALSE), "DATO NO CARGADO"))
</f>
        <v/>
      </c>
      <c r="D31" s="51" t="s">
        <v>136</v>
      </c>
      <c r="E31" s="43">
        <v>2025.0</v>
      </c>
      <c r="F31" s="102"/>
      <c r="G31" s="103"/>
      <c r="H31" s="103"/>
      <c r="L31" s="104"/>
      <c r="M31" s="89"/>
      <c r="N31" s="106">
        <v>230.0</v>
      </c>
      <c r="O31" s="106" t="str">
        <f>IF(ISBLANK(M31), "", VLOOKUP(D31, 'Info Tipo de Cambio y REM'!$A$24:$B$35, 2, FALSE))</f>
        <v/>
      </c>
      <c r="P31" s="107">
        <f t="shared" si="2"/>
        <v>230</v>
      </c>
    </row>
    <row r="32">
      <c r="A32" s="43" t="s">
        <v>167</v>
      </c>
      <c r="B32" s="43" t="str">
        <f t="shared" si="1"/>
        <v>Mediano Plazo</v>
      </c>
      <c r="C32" s="102" t="str">
        <f>IF(J32="", "", IFERROR(VLOOKUP(J32, Clasificaciones!D:E, 2, FALSE), "DATO NO CARGADO"))
</f>
        <v/>
      </c>
      <c r="D32" s="51" t="s">
        <v>136</v>
      </c>
      <c r="E32" s="43">
        <v>2025.0</v>
      </c>
      <c r="F32" s="102"/>
      <c r="G32" s="103"/>
      <c r="H32" s="103"/>
      <c r="L32" s="104"/>
      <c r="M32" s="89"/>
      <c r="N32" s="106">
        <v>2499.0</v>
      </c>
      <c r="O32" s="106" t="str">
        <f>IF(ISBLANK(M32), "", VLOOKUP(D32, 'Info Tipo de Cambio y REM'!$A$24:$B$35, 2, FALSE))</f>
        <v/>
      </c>
      <c r="P32" s="107">
        <f t="shared" si="2"/>
        <v>2499</v>
      </c>
    </row>
    <row r="33">
      <c r="A33" s="43" t="s">
        <v>131</v>
      </c>
      <c r="B33" s="43" t="str">
        <f t="shared" si="1"/>
        <v>Clientes a cobrar</v>
      </c>
      <c r="C33" s="102" t="str">
        <f>IF(J33="", "", IFERROR(VLOOKUP(J33, Clasificaciones!D:E, 2, FALSE), "DATO NO CARGADO"))
</f>
        <v>Play Digital S.A (Modo)</v>
      </c>
      <c r="D33" s="51" t="s">
        <v>136</v>
      </c>
      <c r="E33" s="43">
        <v>2025.0</v>
      </c>
      <c r="F33" s="102"/>
      <c r="G33" s="103"/>
      <c r="H33" s="103"/>
      <c r="I33" s="43" t="s">
        <v>300</v>
      </c>
      <c r="J33" s="43" t="s">
        <v>244</v>
      </c>
      <c r="L33" s="104">
        <v>45752.0</v>
      </c>
      <c r="M33" s="89">
        <v>5095280.0</v>
      </c>
      <c r="N33" s="105"/>
      <c r="O33" s="106" t="str">
        <f>IF(ISBLANK(M33), "", VLOOKUP(D33, 'Info Tipo de Cambio y REM'!$A$24:$B$35, 2, FALSE))</f>
        <v>#N/A</v>
      </c>
      <c r="P33" s="107" t="str">
        <f t="shared" si="2"/>
        <v>#N/A</v>
      </c>
    </row>
    <row r="34">
      <c r="A34" s="43" t="s">
        <v>131</v>
      </c>
      <c r="B34" s="43" t="str">
        <f t="shared" si="1"/>
        <v>Clientes a cobrar</v>
      </c>
      <c r="C34" s="102" t="str">
        <f>IF(J34="", "", IFERROR(VLOOKUP(J34, Clasificaciones!D:E, 2, FALSE), "DATO NO CARGADO"))
</f>
        <v>Coelsa</v>
      </c>
      <c r="D34" s="51" t="s">
        <v>136</v>
      </c>
      <c r="E34" s="43">
        <v>2025.0</v>
      </c>
      <c r="F34" s="102"/>
      <c r="G34" s="103"/>
      <c r="H34" s="103"/>
      <c r="I34" s="43" t="s">
        <v>301</v>
      </c>
      <c r="J34" s="43" t="s">
        <v>245</v>
      </c>
      <c r="L34" s="104">
        <v>45752.0</v>
      </c>
      <c r="M34" s="89">
        <v>4832747.0</v>
      </c>
      <c r="N34" s="105"/>
      <c r="O34" s="106" t="str">
        <f>IF(ISBLANK(M34), "", VLOOKUP(D34, 'Info Tipo de Cambio y REM'!$A$24:$B$35, 2, FALSE))</f>
        <v>#N/A</v>
      </c>
      <c r="P34" s="107" t="str">
        <f t="shared" si="2"/>
        <v>#N/A</v>
      </c>
    </row>
    <row r="35">
      <c r="A35" s="43" t="s">
        <v>131</v>
      </c>
      <c r="B35" s="43" t="str">
        <f t="shared" si="1"/>
        <v>Clientes a cobrar</v>
      </c>
      <c r="C35" s="102" t="str">
        <f>IF(J35="", "", IFERROR(VLOOKUP(J35, Clasificaciones!D:E, 2, FALSE), "DATO NO CARGADO"))
</f>
        <v>Arcos Dorados</v>
      </c>
      <c r="D35" s="51" t="s">
        <v>136</v>
      </c>
      <c r="E35" s="43">
        <v>2025.0</v>
      </c>
      <c r="F35" s="102"/>
      <c r="G35" s="103"/>
      <c r="H35" s="103"/>
      <c r="I35" s="43" t="s">
        <v>302</v>
      </c>
      <c r="J35" s="43" t="s">
        <v>243</v>
      </c>
      <c r="L35" s="104">
        <v>45771.0</v>
      </c>
      <c r="M35" s="89">
        <v>4150300.0</v>
      </c>
      <c r="N35" s="105"/>
      <c r="O35" s="106" t="str">
        <f>IF(ISBLANK(M35), "", VLOOKUP(D35, 'Info Tipo de Cambio y REM'!$A$24:$B$35, 2, FALSE))</f>
        <v>#N/A</v>
      </c>
      <c r="P35" s="107" t="str">
        <f t="shared" si="2"/>
        <v>#N/A</v>
      </c>
    </row>
    <row r="36">
      <c r="A36" s="43" t="s">
        <v>131</v>
      </c>
      <c r="B36" s="43" t="str">
        <f t="shared" si="1"/>
        <v>Clientes a cobrar</v>
      </c>
      <c r="C36" s="102" t="str">
        <f>IF(J36="", "", IFERROR(VLOOKUP(J36, Clasificaciones!D:E, 2, FALSE), "DATO NO CARGADO"))
</f>
        <v>Moreno Ocampo</v>
      </c>
      <c r="D36" s="51" t="s">
        <v>136</v>
      </c>
      <c r="E36" s="43">
        <v>2025.0</v>
      </c>
      <c r="F36" s="102"/>
      <c r="G36" s="103"/>
      <c r="H36" s="103"/>
      <c r="I36" s="43" t="s">
        <v>290</v>
      </c>
      <c r="J36" s="43" t="s">
        <v>246</v>
      </c>
      <c r="L36" s="104">
        <v>45678.0</v>
      </c>
      <c r="M36" s="89"/>
      <c r="N36" s="106">
        <v>250.0</v>
      </c>
      <c r="O36" s="106" t="str">
        <f>IF(ISBLANK(M36), "", VLOOKUP(D36, 'Info Tipo de Cambio y REM'!$A$24:$B$35, 2, FALSE))</f>
        <v/>
      </c>
      <c r="P36" s="107">
        <f t="shared" si="2"/>
        <v>250</v>
      </c>
    </row>
    <row r="37">
      <c r="A37" s="43" t="s">
        <v>131</v>
      </c>
      <c r="B37" s="43" t="str">
        <f t="shared" si="1"/>
        <v>Clientes a cobrar</v>
      </c>
      <c r="C37" s="102" t="str">
        <f>IF(J37="", "", IFERROR(VLOOKUP(J37, Clasificaciones!D:E, 2, FALSE), "DATO NO CARGADO"))
</f>
        <v>Warner</v>
      </c>
      <c r="D37" s="51" t="s">
        <v>136</v>
      </c>
      <c r="E37" s="43">
        <v>2025.0</v>
      </c>
      <c r="F37" s="102"/>
      <c r="G37" s="103"/>
      <c r="H37" s="103"/>
      <c r="I37" s="43" t="s">
        <v>292</v>
      </c>
      <c r="J37" s="43" t="s">
        <v>247</v>
      </c>
      <c r="L37" s="104">
        <v>45726.0</v>
      </c>
      <c r="M37" s="89"/>
      <c r="N37" s="106">
        <v>13450.0</v>
      </c>
      <c r="O37" s="106" t="str">
        <f>IF(ISBLANK(M37), "", VLOOKUP(D37, 'Info Tipo de Cambio y REM'!$A$24:$B$35, 2, FALSE))</f>
        <v/>
      </c>
      <c r="P37" s="107">
        <f t="shared" si="2"/>
        <v>13450</v>
      </c>
    </row>
    <row r="38">
      <c r="A38" s="43" t="s">
        <v>131</v>
      </c>
      <c r="B38" s="43" t="str">
        <f t="shared" si="1"/>
        <v>Clientes a cobrar</v>
      </c>
      <c r="C38" s="102" t="str">
        <f>IF(J38="", "", IFERROR(VLOOKUP(J38, Clasificaciones!D:E, 2, FALSE), "DATO NO CARGADO"))
</f>
        <v>Warner</v>
      </c>
      <c r="D38" s="51" t="s">
        <v>136</v>
      </c>
      <c r="E38" s="43">
        <v>2025.0</v>
      </c>
      <c r="F38" s="102"/>
      <c r="G38" s="103"/>
      <c r="H38" s="103"/>
      <c r="I38" s="43" t="s">
        <v>293</v>
      </c>
      <c r="J38" s="43" t="s">
        <v>247</v>
      </c>
      <c r="L38" s="104">
        <v>45750.0</v>
      </c>
      <c r="M38" s="89"/>
      <c r="N38" s="106">
        <v>13450.0</v>
      </c>
      <c r="O38" s="106" t="str">
        <f>IF(ISBLANK(M38), "", VLOOKUP(D38, 'Info Tipo de Cambio y REM'!$A$24:$B$35, 2, FALSE))</f>
        <v/>
      </c>
      <c r="P38" s="107">
        <f t="shared" si="2"/>
        <v>13450</v>
      </c>
    </row>
    <row r="39">
      <c r="A39" s="43" t="s">
        <v>131</v>
      </c>
      <c r="B39" s="43" t="str">
        <f t="shared" si="1"/>
        <v>Clientes a cobrar</v>
      </c>
      <c r="C39" s="102" t="str">
        <f>IF(J39="", "", IFERROR(VLOOKUP(J39, Clasificaciones!D:E, 2, FALSE), "DATO NO CARGADO"))
</f>
        <v>Warner</v>
      </c>
      <c r="D39" s="51" t="s">
        <v>136</v>
      </c>
      <c r="E39" s="43">
        <v>2025.0</v>
      </c>
      <c r="F39" s="102"/>
      <c r="G39" s="103"/>
      <c r="H39" s="103"/>
      <c r="I39" s="43" t="s">
        <v>298</v>
      </c>
      <c r="J39" s="43" t="s">
        <v>247</v>
      </c>
      <c r="L39" s="104">
        <v>45782.0</v>
      </c>
      <c r="M39" s="89"/>
      <c r="N39" s="106">
        <v>13450.0</v>
      </c>
      <c r="O39" s="106" t="str">
        <f>IF(ISBLANK(M39), "", VLOOKUP(D39, 'Info Tipo de Cambio y REM'!$A$24:$B$35, 2, FALSE))</f>
        <v/>
      </c>
      <c r="P39" s="107">
        <f t="shared" si="2"/>
        <v>13450</v>
      </c>
    </row>
    <row r="40">
      <c r="A40" s="43" t="s">
        <v>131</v>
      </c>
      <c r="B40" s="43" t="str">
        <f t="shared" si="1"/>
        <v>Clientes a cobrar</v>
      </c>
      <c r="C40" s="102" t="str">
        <f>IF(J40="", "", IFERROR(VLOOKUP(J40, Clasificaciones!D:E, 2, FALSE), "DATO NO CARGADO"))
</f>
        <v>Warner</v>
      </c>
      <c r="D40" s="51" t="s">
        <v>136</v>
      </c>
      <c r="E40" s="43">
        <v>2025.0</v>
      </c>
      <c r="F40" s="102"/>
      <c r="G40" s="103"/>
      <c r="H40" s="103"/>
      <c r="I40" s="43" t="s">
        <v>303</v>
      </c>
      <c r="J40" s="43" t="s">
        <v>247</v>
      </c>
      <c r="L40" s="104">
        <v>45813.0</v>
      </c>
      <c r="M40" s="89"/>
      <c r="N40" s="106">
        <v>13450.0</v>
      </c>
      <c r="O40" s="106" t="str">
        <f>IF(ISBLANK(M40), "", VLOOKUP(D40, 'Info Tipo de Cambio y REM'!$A$24:$B$35, 2, FALSE))</f>
        <v/>
      </c>
      <c r="P40" s="107">
        <f t="shared" si="2"/>
        <v>13450</v>
      </c>
    </row>
    <row r="41">
      <c r="A41" s="43" t="s">
        <v>131</v>
      </c>
      <c r="B41" s="43" t="str">
        <f t="shared" si="1"/>
        <v>Clientes a cobrar</v>
      </c>
      <c r="C41" s="102" t="str">
        <f>IF(J41="", "", IFERROR(VLOOKUP(J41, Clasificaciones!D:E, 2, FALSE), "DATO NO CARGADO"))
</f>
        <v>Vertical Media</v>
      </c>
      <c r="D41" s="51" t="s">
        <v>136</v>
      </c>
      <c r="E41" s="43">
        <v>2025.0</v>
      </c>
      <c r="F41" s="102"/>
      <c r="G41" s="103"/>
      <c r="H41" s="103"/>
      <c r="I41" s="43" t="s">
        <v>304</v>
      </c>
      <c r="J41" s="43" t="s">
        <v>248</v>
      </c>
      <c r="L41" s="104">
        <v>45757.0</v>
      </c>
      <c r="M41" s="89"/>
      <c r="N41" s="106">
        <v>1750.0</v>
      </c>
      <c r="O41" s="106" t="str">
        <f>IF(ISBLANK(M41), "", VLOOKUP(D41, 'Info Tipo de Cambio y REM'!$A$24:$B$35, 2, FALSE))</f>
        <v/>
      </c>
      <c r="P41" s="107">
        <f t="shared" si="2"/>
        <v>1750</v>
      </c>
    </row>
    <row r="42">
      <c r="A42" s="43" t="s">
        <v>131</v>
      </c>
      <c r="B42" s="43" t="str">
        <f t="shared" si="1"/>
        <v>Clientes a cobrar</v>
      </c>
      <c r="C42" s="43" t="s">
        <v>193</v>
      </c>
      <c r="D42" s="51" t="s">
        <v>136</v>
      </c>
      <c r="E42" s="43">
        <v>2025.0</v>
      </c>
      <c r="F42" s="102"/>
      <c r="G42" s="104"/>
      <c r="H42" s="104">
        <v>45748.0</v>
      </c>
      <c r="L42" s="104"/>
      <c r="M42" s="89">
        <v>771250.0</v>
      </c>
      <c r="N42" s="106"/>
      <c r="O42" s="106" t="str">
        <f>IF(ISBLANK(M42), "", VLOOKUP(D42, 'Info Tipo de Cambio y REM'!$A$24:$B$35, 2, FALSE))</f>
        <v>#N/A</v>
      </c>
      <c r="P42" s="107" t="str">
        <f t="shared" si="2"/>
        <v>#N/A</v>
      </c>
    </row>
    <row r="43">
      <c r="A43" s="43" t="s">
        <v>130</v>
      </c>
      <c r="B43" s="43" t="str">
        <f t="shared" si="1"/>
        <v>Activo Liquido</v>
      </c>
      <c r="C43" s="102" t="str">
        <f>IF(J43="", "", IFERROR(VLOOKUP(J43, Clasificaciones!D:E, 2, FALSE), "DATO NO CARGADO"))
</f>
        <v/>
      </c>
      <c r="D43" s="51" t="s">
        <v>143</v>
      </c>
      <c r="E43" s="43">
        <v>2025.0</v>
      </c>
      <c r="F43" s="102"/>
      <c r="G43" s="103"/>
      <c r="H43" s="103"/>
      <c r="L43" s="104"/>
      <c r="M43" s="89">
        <v>5365042.0</v>
      </c>
      <c r="N43" s="105"/>
      <c r="O43" s="106" t="str">
        <f>IF(ISBLANK(M43), "", VLOOKUP(D43, 'Info Tipo de Cambio y REM'!$A$24:$B$35, 2, FALSE))</f>
        <v>#N/A</v>
      </c>
      <c r="P43" s="107" t="str">
        <f t="shared" si="2"/>
        <v>#N/A</v>
      </c>
    </row>
    <row r="44">
      <c r="A44" s="43" t="s">
        <v>144</v>
      </c>
      <c r="B44" s="43" t="str">
        <f t="shared" si="1"/>
        <v>Activo Liquido</v>
      </c>
      <c r="C44" s="102" t="str">
        <f>IF(J44="", "", IFERROR(VLOOKUP(J44, Clasificaciones!D:E, 2, FALSE), "DATO NO CARGADO"))
</f>
        <v/>
      </c>
      <c r="D44" s="51" t="s">
        <v>143</v>
      </c>
      <c r="E44" s="43">
        <v>2025.0</v>
      </c>
      <c r="F44" s="102"/>
      <c r="G44" s="103"/>
      <c r="H44" s="103"/>
      <c r="L44" s="104"/>
      <c r="M44" s="89"/>
      <c r="N44" s="105">
        <v>-27709.0</v>
      </c>
      <c r="O44" s="106" t="str">
        <f>IF(ISBLANK(M44), "", VLOOKUP(D44, 'Info Tipo de Cambio y REM'!$A$24:$B$35, 2, FALSE))</f>
        <v/>
      </c>
      <c r="P44" s="107">
        <f t="shared" si="2"/>
        <v>-27709</v>
      </c>
    </row>
    <row r="45">
      <c r="A45" s="43" t="s">
        <v>150</v>
      </c>
      <c r="B45" s="43" t="str">
        <f t="shared" si="1"/>
        <v>Activo Liquido</v>
      </c>
      <c r="C45" s="102" t="str">
        <f>IF(J45="", "", IFERROR(VLOOKUP(J45, Clasificaciones!D:E, 2, FALSE), "DATO NO CARGADO"))
</f>
        <v/>
      </c>
      <c r="D45" s="51" t="s">
        <v>143</v>
      </c>
      <c r="E45" s="43">
        <v>2025.0</v>
      </c>
      <c r="F45" s="102"/>
      <c r="G45" s="103"/>
      <c r="H45" s="103"/>
      <c r="L45" s="104"/>
      <c r="M45" s="89"/>
      <c r="N45" s="106">
        <v>230.0</v>
      </c>
      <c r="O45" s="106" t="str">
        <f>IF(ISBLANK(M45), "", VLOOKUP(D45, 'Info Tipo de Cambio y REM'!$A$24:$B$35, 2, FALSE))</f>
        <v/>
      </c>
      <c r="P45" s="107">
        <f t="shared" si="2"/>
        <v>230</v>
      </c>
      <c r="Q45" s="108"/>
      <c r="R45" s="109"/>
    </row>
    <row r="46">
      <c r="A46" s="43" t="s">
        <v>167</v>
      </c>
      <c r="B46" s="43" t="str">
        <f t="shared" si="1"/>
        <v>Mediano Plazo</v>
      </c>
      <c r="C46" s="102" t="str">
        <f>IF(J46="", "", IFERROR(VLOOKUP(J46, Clasificaciones!D:E, 2, FALSE), "DATO NO CARGADO"))
</f>
        <v/>
      </c>
      <c r="D46" s="51" t="s">
        <v>143</v>
      </c>
      <c r="E46" s="43">
        <v>2025.0</v>
      </c>
      <c r="F46" s="102"/>
      <c r="G46" s="103"/>
      <c r="H46" s="103"/>
      <c r="L46" s="104"/>
      <c r="M46" s="89"/>
      <c r="N46" s="106">
        <v>2517.0</v>
      </c>
      <c r="O46" s="106" t="str">
        <f>IF(ISBLANK(M46), "", VLOOKUP(D46, 'Info Tipo de Cambio y REM'!$A$24:$B$35, 2, FALSE))</f>
        <v/>
      </c>
      <c r="P46" s="107">
        <f t="shared" si="2"/>
        <v>2517</v>
      </c>
      <c r="Q46" s="108"/>
      <c r="R46" s="109"/>
    </row>
    <row r="47">
      <c r="A47" s="43" t="s">
        <v>131</v>
      </c>
      <c r="B47" s="43" t="str">
        <f t="shared" si="1"/>
        <v>Clientes a cobrar</v>
      </c>
      <c r="C47" s="102" t="str">
        <f>IF(J47="", "", IFERROR(VLOOKUP(J47, Clasificaciones!D:E, 2, FALSE), "DATO NO CARGADO"))
</f>
        <v>Warner</v>
      </c>
      <c r="D47" s="51" t="s">
        <v>143</v>
      </c>
      <c r="E47" s="43">
        <v>2025.0</v>
      </c>
      <c r="F47" s="102"/>
      <c r="G47" s="104"/>
      <c r="H47" s="104">
        <v>45692.0</v>
      </c>
      <c r="I47" s="43" t="s">
        <v>298</v>
      </c>
      <c r="J47" s="43" t="s">
        <v>247</v>
      </c>
      <c r="L47" s="104">
        <v>45782.0</v>
      </c>
      <c r="M47" s="71"/>
      <c r="N47" s="106">
        <v>13450.0</v>
      </c>
      <c r="O47" s="106" t="str">
        <f>IF(ISBLANK(M47), "", VLOOKUP(D47, 'Info Tipo de Cambio y REM'!$A$24:$B$35, 2, FALSE))</f>
        <v/>
      </c>
      <c r="P47" s="107">
        <f t="shared" si="2"/>
        <v>13450</v>
      </c>
      <c r="Q47" s="108"/>
      <c r="R47" s="109"/>
    </row>
    <row r="48">
      <c r="A48" s="43" t="s">
        <v>131</v>
      </c>
      <c r="B48" s="43" t="str">
        <f t="shared" si="1"/>
        <v>Clientes a cobrar</v>
      </c>
      <c r="C48" s="102" t="str">
        <f>IF(J48="", "", IFERROR(VLOOKUP(J48, Clasificaciones!D:E, 2, FALSE), "DATO NO CARGADO"))
</f>
        <v>Warner</v>
      </c>
      <c r="D48" s="51" t="s">
        <v>143</v>
      </c>
      <c r="E48" s="43">
        <v>2025.0</v>
      </c>
      <c r="F48" s="102"/>
      <c r="G48" s="104"/>
      <c r="H48" s="104">
        <v>45723.0</v>
      </c>
      <c r="I48" s="43" t="s">
        <v>303</v>
      </c>
      <c r="J48" s="43" t="s">
        <v>247</v>
      </c>
      <c r="L48" s="104">
        <v>45813.0</v>
      </c>
      <c r="M48" s="71"/>
      <c r="N48" s="106">
        <v>13450.0</v>
      </c>
      <c r="O48" s="106" t="str">
        <f>IF(ISBLANK(M48), "", VLOOKUP(D48, 'Info Tipo de Cambio y REM'!$A$24:$B$35, 2, FALSE))</f>
        <v/>
      </c>
      <c r="P48" s="107">
        <f t="shared" si="2"/>
        <v>13450</v>
      </c>
      <c r="Q48" s="108"/>
      <c r="R48" s="109"/>
    </row>
    <row r="49">
      <c r="A49" s="43" t="s">
        <v>131</v>
      </c>
      <c r="B49" s="43" t="str">
        <f t="shared" si="1"/>
        <v>Clientes a cobrar</v>
      </c>
      <c r="C49" s="102" t="str">
        <f>IF(J49="", "", IFERROR(VLOOKUP(J49, Clasificaciones!D:E, 2, FALSE), "DATO NO CARGADO"))
</f>
        <v>Warner</v>
      </c>
      <c r="D49" s="51" t="s">
        <v>143</v>
      </c>
      <c r="E49" s="43">
        <v>2025.0</v>
      </c>
      <c r="F49" s="102"/>
      <c r="G49" s="104"/>
      <c r="H49" s="104">
        <v>45751.0</v>
      </c>
      <c r="I49" s="43" t="s">
        <v>306</v>
      </c>
      <c r="J49" s="43" t="s">
        <v>247</v>
      </c>
      <c r="L49" s="104">
        <v>45841.0</v>
      </c>
      <c r="M49" s="71"/>
      <c r="N49" s="106">
        <v>13450.0</v>
      </c>
      <c r="O49" s="106" t="str">
        <f>IF(ISBLANK(M49), "", VLOOKUP(D49, 'Info Tipo de Cambio y REM'!$A$24:$B$35, 2, FALSE))</f>
        <v/>
      </c>
      <c r="P49" s="107">
        <f t="shared" si="2"/>
        <v>13450</v>
      </c>
      <c r="Q49" s="108"/>
      <c r="R49" s="109"/>
    </row>
    <row r="50">
      <c r="A50" s="43" t="s">
        <v>131</v>
      </c>
      <c r="B50" s="43" t="str">
        <f t="shared" si="1"/>
        <v>Clientes a cobrar</v>
      </c>
      <c r="C50" s="102" t="str">
        <f>IF(J50="", "", IFERROR(VLOOKUP(J50, Clasificaciones!D:E, 2, FALSE), "DATO NO CARGADO"))
</f>
        <v>Warner</v>
      </c>
      <c r="D50" s="51" t="s">
        <v>143</v>
      </c>
      <c r="E50" s="43">
        <v>2025.0</v>
      </c>
      <c r="F50" s="102"/>
      <c r="G50" s="104"/>
      <c r="H50" s="104">
        <v>45770.0</v>
      </c>
      <c r="I50" s="43" t="s">
        <v>307</v>
      </c>
      <c r="J50" s="43" t="s">
        <v>247</v>
      </c>
      <c r="L50" s="104">
        <v>45865.0</v>
      </c>
      <c r="M50" s="71"/>
      <c r="N50" s="106">
        <v>1300.0</v>
      </c>
      <c r="O50" s="106" t="str">
        <f>IF(ISBLANK(M50), "", VLOOKUP(D50, 'Info Tipo de Cambio y REM'!$A$24:$B$35, 2, FALSE))</f>
        <v/>
      </c>
      <c r="P50" s="107">
        <f t="shared" si="2"/>
        <v>1300</v>
      </c>
      <c r="Q50" s="108"/>
      <c r="R50" s="109"/>
    </row>
    <row r="51">
      <c r="A51" s="43" t="s">
        <v>131</v>
      </c>
      <c r="B51" s="43" t="str">
        <f t="shared" si="1"/>
        <v>Clientes a cobrar</v>
      </c>
      <c r="C51" s="102" t="str">
        <f>IF(J51="", "", IFERROR(VLOOKUP(J51, Clasificaciones!D:E, 2, FALSE), "DATO NO CARGADO"))
</f>
        <v>Moreno Ocampo</v>
      </c>
      <c r="D51" s="51" t="s">
        <v>143</v>
      </c>
      <c r="E51" s="43">
        <v>2025.0</v>
      </c>
      <c r="F51" s="102"/>
      <c r="G51" s="104"/>
      <c r="H51" s="104">
        <v>45649.0</v>
      </c>
      <c r="I51" s="43" t="s">
        <v>290</v>
      </c>
      <c r="J51" s="43" t="s">
        <v>246</v>
      </c>
      <c r="L51" s="104">
        <v>45678.0</v>
      </c>
      <c r="M51" s="71"/>
      <c r="N51" s="106">
        <v>250.0</v>
      </c>
      <c r="O51" s="106" t="str">
        <f>IF(ISBLANK(M51), "", VLOOKUP(D51, 'Info Tipo de Cambio y REM'!$A$24:$B$35, 2, FALSE))</f>
        <v/>
      </c>
      <c r="P51" s="107">
        <f t="shared" si="2"/>
        <v>250</v>
      </c>
      <c r="Q51" s="108"/>
      <c r="R51" s="109"/>
    </row>
    <row r="52">
      <c r="A52" s="43" t="s">
        <v>131</v>
      </c>
      <c r="B52" s="43" t="str">
        <f t="shared" si="1"/>
        <v>Clientes a cobrar</v>
      </c>
      <c r="C52" s="102" t="str">
        <f>IF(J52="", "", IFERROR(VLOOKUP(J52, Clasificaciones!D:E, 2, FALSE), "DATO NO CARGADO"))
</f>
        <v>Coelsa</v>
      </c>
      <c r="D52" s="51" t="s">
        <v>143</v>
      </c>
      <c r="E52" s="43">
        <v>2025.0</v>
      </c>
      <c r="F52" s="102"/>
      <c r="G52" s="104"/>
      <c r="H52" s="104">
        <v>45748.0</v>
      </c>
      <c r="I52" s="43" t="s">
        <v>308</v>
      </c>
      <c r="J52" s="43" t="s">
        <v>245</v>
      </c>
      <c r="L52" s="104">
        <v>45778.0</v>
      </c>
      <c r="M52" s="89">
        <v>4832747.0</v>
      </c>
      <c r="N52" s="105"/>
      <c r="O52" s="106" t="str">
        <f>IF(ISBLANK(M52), "", VLOOKUP(D52, 'Info Tipo de Cambio y REM'!$A$24:$B$35, 2, FALSE))</f>
        <v>#N/A</v>
      </c>
      <c r="P52" s="107" t="str">
        <f t="shared" si="2"/>
        <v>#N/A</v>
      </c>
    </row>
    <row r="53">
      <c r="A53" s="43" t="s">
        <v>131</v>
      </c>
      <c r="B53" s="43" t="str">
        <f t="shared" si="1"/>
        <v>Clientes a cobrar</v>
      </c>
      <c r="C53" s="102" t="str">
        <f>IF(J53="", "", IFERROR(VLOOKUP(J53, Clasificaciones!D:E, 2, FALSE), "DATO NO CARGADO"))
</f>
        <v>Coca-Cola</v>
      </c>
      <c r="D53" s="51" t="s">
        <v>143</v>
      </c>
      <c r="E53" s="43">
        <v>2025.0</v>
      </c>
      <c r="F53" s="102"/>
      <c r="G53" s="104"/>
      <c r="H53" s="104">
        <v>45775.0</v>
      </c>
      <c r="I53" s="43" t="s">
        <v>309</v>
      </c>
      <c r="J53" s="43" t="s">
        <v>252</v>
      </c>
      <c r="L53" s="104">
        <v>45860.0</v>
      </c>
      <c r="M53" s="71"/>
      <c r="N53" s="106">
        <v>5568.0</v>
      </c>
      <c r="O53" s="106" t="str">
        <f>IF(ISBLANK(M53), "", VLOOKUP(D53, 'Info Tipo de Cambio y REM'!$A$24:$B$35, 2, FALSE))</f>
        <v/>
      </c>
      <c r="P53" s="107">
        <f t="shared" si="2"/>
        <v>5568</v>
      </c>
    </row>
    <row r="54">
      <c r="A54" s="43" t="s">
        <v>131</v>
      </c>
      <c r="B54" s="43" t="str">
        <f t="shared" si="1"/>
        <v>Clientes a cobrar</v>
      </c>
      <c r="C54" s="43" t="s">
        <v>193</v>
      </c>
      <c r="D54" s="51" t="s">
        <v>143</v>
      </c>
      <c r="E54" s="43">
        <v>2025.0</v>
      </c>
      <c r="F54" s="102"/>
      <c r="G54" s="104"/>
      <c r="H54" s="104">
        <v>45748.0</v>
      </c>
      <c r="L54" s="104"/>
      <c r="M54" s="89">
        <v>792000.0</v>
      </c>
      <c r="N54" s="106"/>
      <c r="O54" s="106" t="str">
        <f>IF(ISBLANK(M54), "", VLOOKUP(D54, 'Info Tipo de Cambio y REM'!$A$24:$B$35, 2, FALSE))</f>
        <v>#N/A</v>
      </c>
      <c r="P54" s="107" t="str">
        <f t="shared" si="2"/>
        <v>#N/A</v>
      </c>
    </row>
    <row r="55">
      <c r="A55" s="43" t="s">
        <v>131</v>
      </c>
      <c r="B55" s="43" t="str">
        <f t="shared" si="1"/>
        <v>Clientes a cobrar</v>
      </c>
      <c r="C55" s="43" t="s">
        <v>193</v>
      </c>
      <c r="D55" s="51" t="s">
        <v>143</v>
      </c>
      <c r="E55" s="43">
        <v>2025.0</v>
      </c>
      <c r="F55" s="102"/>
      <c r="G55" s="104"/>
      <c r="H55" s="104">
        <v>45748.0</v>
      </c>
      <c r="L55" s="104"/>
      <c r="M55" s="89">
        <v>144000.0</v>
      </c>
      <c r="N55" s="106"/>
      <c r="O55" s="106" t="str">
        <f>IF(ISBLANK(M55), "", VLOOKUP(D55, 'Info Tipo de Cambio y REM'!$A$24:$B$35, 2, FALSE))</f>
        <v>#N/A</v>
      </c>
      <c r="P55" s="107" t="str">
        <f t="shared" si="2"/>
        <v>#N/A</v>
      </c>
    </row>
    <row r="56">
      <c r="A56" s="43" t="s">
        <v>131</v>
      </c>
      <c r="B56" s="43" t="str">
        <f t="shared" si="1"/>
        <v>Clientes a cobrar</v>
      </c>
      <c r="C56" s="43" t="s">
        <v>180</v>
      </c>
      <c r="D56" s="51" t="s">
        <v>143</v>
      </c>
      <c r="E56" s="43">
        <v>2025.0</v>
      </c>
      <c r="F56" s="102"/>
      <c r="G56" s="104"/>
      <c r="H56" s="104">
        <v>45748.0</v>
      </c>
      <c r="I56" s="64"/>
      <c r="J56" s="111"/>
      <c r="L56" s="104"/>
      <c r="M56" s="89">
        <v>5095279.7</v>
      </c>
      <c r="N56" s="106"/>
      <c r="O56" s="106" t="str">
        <f>IF(ISBLANK(M56), "", VLOOKUP(D56, 'Info Tipo de Cambio y REM'!$A$24:$B$35, 2, FALSE))</f>
        <v>#N/A</v>
      </c>
      <c r="P56" s="107" t="str">
        <f t="shared" si="2"/>
        <v>#N/A</v>
      </c>
    </row>
    <row r="57">
      <c r="A57" s="43" t="s">
        <v>131</v>
      </c>
      <c r="B57" s="43" t="str">
        <f t="shared" si="1"/>
        <v>Clientes a cobrar</v>
      </c>
      <c r="C57" s="102" t="str">
        <f>IF(J57="", "", IFERROR(VLOOKUP(J57, Clasificaciones!D:E, 2, FALSE), "DATO NO CARGADO"))
</f>
        <v>Play Digital S.A (Modo)</v>
      </c>
      <c r="D57" s="51" t="s">
        <v>149</v>
      </c>
      <c r="E57" s="43">
        <v>2025.0</v>
      </c>
      <c r="F57" s="43" t="s">
        <v>311</v>
      </c>
      <c r="G57" s="104"/>
      <c r="H57" s="104">
        <v>45782.0</v>
      </c>
      <c r="I57" s="64" t="s">
        <v>310</v>
      </c>
      <c r="J57" s="111" t="s">
        <v>244</v>
      </c>
      <c r="L57" s="104">
        <v>45813.0</v>
      </c>
      <c r="M57" s="89">
        <v>5095279.7</v>
      </c>
      <c r="N57" s="105"/>
      <c r="O57" s="106" t="str">
        <f>IF(ISBLANK(M57), "", VLOOKUP(D57, 'Info Tipo de Cambio y REM'!$A$24:$B$35, 2, FALSE))</f>
        <v>#N/A</v>
      </c>
      <c r="P57" s="107" t="str">
        <f t="shared" si="2"/>
        <v>#N/A</v>
      </c>
    </row>
    <row r="58">
      <c r="A58" s="43" t="s">
        <v>131</v>
      </c>
      <c r="B58" s="43" t="str">
        <f t="shared" si="1"/>
        <v>Clientes a cobrar</v>
      </c>
      <c r="C58" s="102" t="str">
        <f>IF(J58="", "", IFERROR(VLOOKUP(J58, Clasificaciones!D:E, 2, FALSE), "DATO NO CARGADO"))
</f>
        <v>Coelsa</v>
      </c>
      <c r="D58" s="51" t="s">
        <v>149</v>
      </c>
      <c r="E58" s="43">
        <v>2025.0</v>
      </c>
      <c r="F58" s="43" t="s">
        <v>311</v>
      </c>
      <c r="G58" s="104"/>
      <c r="H58" s="104">
        <v>45782.0</v>
      </c>
      <c r="I58" s="64" t="s">
        <v>312</v>
      </c>
      <c r="J58" s="64" t="s">
        <v>245</v>
      </c>
      <c r="L58" s="104">
        <v>45813.0</v>
      </c>
      <c r="M58" s="89">
        <v>4832747.2</v>
      </c>
      <c r="N58" s="105"/>
      <c r="O58" s="106" t="str">
        <f>IF(ISBLANK(M58), "", VLOOKUP(D58, 'Info Tipo de Cambio y REM'!$A$24:$B$35, 2, FALSE))</f>
        <v>#N/A</v>
      </c>
      <c r="P58" s="107" t="str">
        <f t="shared" si="2"/>
        <v>#N/A</v>
      </c>
    </row>
    <row r="59">
      <c r="A59" s="43" t="s">
        <v>131</v>
      </c>
      <c r="B59" s="43" t="str">
        <f t="shared" si="1"/>
        <v>Clientes a cobrar</v>
      </c>
      <c r="C59" s="102" t="str">
        <f>IF(J59="", "", IFERROR(VLOOKUP(J59, Clasificaciones!D:E, 2, FALSE), "DATO NO CARGADO"))
</f>
        <v>Vertical Media</v>
      </c>
      <c r="D59" s="51" t="s">
        <v>149</v>
      </c>
      <c r="E59" s="43">
        <v>2025.0</v>
      </c>
      <c r="F59" s="43" t="s">
        <v>311</v>
      </c>
      <c r="G59" s="104"/>
      <c r="H59" s="104">
        <v>45782.0</v>
      </c>
      <c r="I59" s="43" t="s">
        <v>313</v>
      </c>
      <c r="J59" s="43" t="s">
        <v>249</v>
      </c>
      <c r="L59" s="104">
        <v>45814.0</v>
      </c>
      <c r="M59" s="71"/>
      <c r="N59" s="106">
        <v>1750.0</v>
      </c>
      <c r="O59" s="106" t="str">
        <f>IF(ISBLANK(M59), "", VLOOKUP(D59, 'Info Tipo de Cambio y REM'!$A$24:$B$35, 2, FALSE))</f>
        <v/>
      </c>
      <c r="P59" s="107">
        <f t="shared" si="2"/>
        <v>1750</v>
      </c>
    </row>
    <row r="60">
      <c r="A60" s="43" t="s">
        <v>131</v>
      </c>
      <c r="B60" s="43" t="str">
        <f t="shared" si="1"/>
        <v>Clientes a cobrar</v>
      </c>
      <c r="C60" s="102" t="str">
        <f>IF(J60="", "", IFERROR(VLOOKUP(J60, Clasificaciones!D:E, 2, FALSE), "DATO NO CARGADO"))
</f>
        <v>Detroit</v>
      </c>
      <c r="D60" s="51" t="s">
        <v>149</v>
      </c>
      <c r="E60" s="43">
        <v>2025.0</v>
      </c>
      <c r="F60" s="43" t="s">
        <v>311</v>
      </c>
      <c r="G60" s="104"/>
      <c r="H60" s="104">
        <v>45779.0</v>
      </c>
      <c r="I60" s="43" t="s">
        <v>314</v>
      </c>
      <c r="J60" s="43" t="s">
        <v>251</v>
      </c>
      <c r="L60" s="104">
        <v>45809.0</v>
      </c>
      <c r="M60" s="89">
        <v>771250.0</v>
      </c>
      <c r="N60" s="105"/>
      <c r="O60" s="106" t="str">
        <f>IF(ISBLANK(M60), "", VLOOKUP(D60, 'Info Tipo de Cambio y REM'!$A$24:$B$35, 2, FALSE))</f>
        <v>#N/A</v>
      </c>
      <c r="P60" s="107" t="str">
        <f t="shared" si="2"/>
        <v>#N/A</v>
      </c>
    </row>
    <row r="61">
      <c r="A61" s="43" t="s">
        <v>130</v>
      </c>
      <c r="B61" s="43" t="str">
        <f t="shared" si="1"/>
        <v>Activo Liquido</v>
      </c>
      <c r="C61" s="102" t="str">
        <f>IF(J61="", "", IFERROR(VLOOKUP(J61, Clasificaciones!D:E, 2, FALSE), "DATO NO CARGADO"))
</f>
        <v/>
      </c>
      <c r="D61" s="51" t="s">
        <v>149</v>
      </c>
      <c r="E61" s="43">
        <v>2025.0</v>
      </c>
      <c r="F61" s="102"/>
      <c r="L61" s="103"/>
      <c r="M61" s="112">
        <v>7822062.0</v>
      </c>
      <c r="N61" s="107"/>
      <c r="O61" s="106" t="str">
        <f>IF(ISBLANK(M61), "", VLOOKUP(D61, 'Info Tipo de Cambio y REM'!$A$24:$B$35, 2, FALSE))</f>
        <v>#N/A</v>
      </c>
      <c r="P61" s="107" t="str">
        <f t="shared" si="2"/>
        <v>#N/A</v>
      </c>
    </row>
    <row r="62">
      <c r="A62" s="43" t="s">
        <v>144</v>
      </c>
      <c r="B62" s="43" t="str">
        <f t="shared" si="1"/>
        <v>Activo Liquido</v>
      </c>
      <c r="C62" s="102" t="str">
        <f>IF(J62="", "", IFERROR(VLOOKUP(J62, Clasificaciones!D:E, 2, FALSE), "DATO NO CARGADO"))
</f>
        <v/>
      </c>
      <c r="D62" s="51" t="s">
        <v>149</v>
      </c>
      <c r="E62" s="43">
        <v>2025.0</v>
      </c>
      <c r="F62" s="102"/>
      <c r="L62" s="103"/>
      <c r="M62" s="113"/>
      <c r="N62" s="114">
        <v>-49062.0</v>
      </c>
      <c r="O62" s="106" t="str">
        <f>IF(ISBLANK(M62), "", VLOOKUP(D62, 'Info Tipo de Cambio y REM'!$A$24:$B$35, 2, FALSE))</f>
        <v/>
      </c>
      <c r="P62" s="107">
        <f t="shared" si="2"/>
        <v>-49062</v>
      </c>
    </row>
    <row r="63">
      <c r="A63" s="43" t="s">
        <v>167</v>
      </c>
      <c r="B63" s="43" t="str">
        <f t="shared" si="1"/>
        <v>Mediano Plazo</v>
      </c>
      <c r="C63" s="102" t="str">
        <f>IF(J63="", "", IFERROR(VLOOKUP(J63, Clasificaciones!D:E, 2, FALSE), "DATO NO CARGADO"))
</f>
        <v/>
      </c>
      <c r="D63" s="51" t="s">
        <v>149</v>
      </c>
      <c r="E63" s="43">
        <v>2025.0</v>
      </c>
      <c r="F63" s="102"/>
      <c r="G63" s="103"/>
      <c r="H63" s="103"/>
      <c r="L63" s="103"/>
      <c r="M63" s="113"/>
      <c r="N63" s="114">
        <v>2682.0</v>
      </c>
      <c r="O63" s="106" t="str">
        <f>IF(ISBLANK(M63), "", VLOOKUP(D63, 'Info Tipo de Cambio y REM'!$A$24:$B$35, 2, FALSE))</f>
        <v/>
      </c>
      <c r="P63" s="107">
        <f t="shared" si="2"/>
        <v>2682</v>
      </c>
    </row>
    <row r="64">
      <c r="A64" s="43" t="s">
        <v>131</v>
      </c>
      <c r="B64" s="43" t="s">
        <v>131</v>
      </c>
      <c r="C64" s="43" t="s">
        <v>172</v>
      </c>
      <c r="D64" s="51" t="s">
        <v>149</v>
      </c>
      <c r="E64" s="43">
        <v>2025.0</v>
      </c>
      <c r="F64" s="43" t="s">
        <v>305</v>
      </c>
      <c r="G64" s="122"/>
      <c r="H64" s="122">
        <v>45649.0</v>
      </c>
      <c r="I64" s="121" t="s">
        <v>360</v>
      </c>
      <c r="J64" s="121" t="s">
        <v>246</v>
      </c>
      <c r="K64" s="121"/>
      <c r="L64" s="122">
        <v>45649.0</v>
      </c>
      <c r="M64" s="89"/>
      <c r="N64" s="131">
        <v>250.0</v>
      </c>
      <c r="O64" s="106" t="str">
        <f>IF(ISBLANK(M64), "", VLOOKUP(D64, 'Info Tipo de Cambio y REM'!$A$24:$B$35, 2, FALSE))</f>
        <v/>
      </c>
      <c r="P64" s="107">
        <f t="shared" si="2"/>
        <v>250</v>
      </c>
    </row>
    <row r="65">
      <c r="A65" s="43" t="s">
        <v>131</v>
      </c>
      <c r="B65" s="43" t="s">
        <v>131</v>
      </c>
      <c r="C65" s="43" t="s">
        <v>183</v>
      </c>
      <c r="D65" s="51" t="s">
        <v>149</v>
      </c>
      <c r="E65" s="43">
        <v>2025.0</v>
      </c>
      <c r="F65" s="43" t="s">
        <v>305</v>
      </c>
      <c r="G65" s="122"/>
      <c r="H65" s="122">
        <v>45723.0</v>
      </c>
      <c r="I65" s="121" t="s">
        <v>361</v>
      </c>
      <c r="J65" s="121" t="s">
        <v>334</v>
      </c>
      <c r="K65" s="121"/>
      <c r="L65" s="122">
        <v>45813.0</v>
      </c>
      <c r="M65" s="89"/>
      <c r="N65" s="131">
        <v>13450.0</v>
      </c>
      <c r="O65" s="106" t="str">
        <f>IF(ISBLANK(M65), "", VLOOKUP(D65, 'Info Tipo de Cambio y REM'!$A$24:$B$35, 2, FALSE))</f>
        <v/>
      </c>
      <c r="P65" s="107">
        <f t="shared" si="2"/>
        <v>13450</v>
      </c>
    </row>
    <row r="66">
      <c r="A66" s="43" t="s">
        <v>131</v>
      </c>
      <c r="B66" s="43" t="s">
        <v>131</v>
      </c>
      <c r="C66" s="43" t="s">
        <v>183</v>
      </c>
      <c r="D66" s="51" t="s">
        <v>149</v>
      </c>
      <c r="E66" s="43">
        <v>2025.0</v>
      </c>
      <c r="F66" s="43" t="s">
        <v>305</v>
      </c>
      <c r="G66" s="122"/>
      <c r="H66" s="122">
        <v>45751.0</v>
      </c>
      <c r="I66" s="121" t="s">
        <v>362</v>
      </c>
      <c r="J66" s="121" t="s">
        <v>334</v>
      </c>
      <c r="K66" s="121"/>
      <c r="L66" s="122">
        <v>45841.0</v>
      </c>
      <c r="M66" s="89"/>
      <c r="N66" s="131">
        <v>13450.0</v>
      </c>
      <c r="O66" s="106" t="str">
        <f>IF(ISBLANK(M66), "", VLOOKUP(D66, 'Info Tipo de Cambio y REM'!$A$24:$B$35, 2, FALSE))</f>
        <v/>
      </c>
      <c r="P66" s="107">
        <f t="shared" si="2"/>
        <v>13450</v>
      </c>
    </row>
    <row r="67">
      <c r="A67" s="43" t="s">
        <v>131</v>
      </c>
      <c r="B67" s="43" t="s">
        <v>131</v>
      </c>
      <c r="C67" s="43" t="s">
        <v>183</v>
      </c>
      <c r="D67" s="51" t="s">
        <v>149</v>
      </c>
      <c r="E67" s="43">
        <v>2025.0</v>
      </c>
      <c r="F67" s="43" t="s">
        <v>305</v>
      </c>
      <c r="G67" s="82"/>
      <c r="H67" s="82">
        <v>45770.0</v>
      </c>
      <c r="I67" s="121" t="s">
        <v>363</v>
      </c>
      <c r="J67" s="121" t="s">
        <v>334</v>
      </c>
      <c r="K67" s="121"/>
      <c r="L67" s="122">
        <v>45860.0</v>
      </c>
      <c r="M67" s="89"/>
      <c r="N67" s="131">
        <v>1300.0</v>
      </c>
      <c r="O67" s="106" t="str">
        <f>IF(ISBLANK(M67), "", VLOOKUP(D67, 'Info Tipo de Cambio y REM'!$A$24:$B$35, 2, FALSE))</f>
        <v/>
      </c>
      <c r="P67" s="107">
        <f t="shared" si="2"/>
        <v>1300</v>
      </c>
    </row>
    <row r="68">
      <c r="A68" s="43" t="s">
        <v>131</v>
      </c>
      <c r="B68" s="43" t="s">
        <v>131</v>
      </c>
      <c r="C68" s="43" t="s">
        <v>202</v>
      </c>
      <c r="D68" s="51" t="s">
        <v>149</v>
      </c>
      <c r="E68" s="43">
        <v>2025.0</v>
      </c>
      <c r="F68" s="43" t="s">
        <v>305</v>
      </c>
      <c r="G68" s="82"/>
      <c r="H68" s="82">
        <v>45775.0</v>
      </c>
      <c r="I68" s="121" t="s">
        <v>364</v>
      </c>
      <c r="J68" s="121" t="s">
        <v>252</v>
      </c>
      <c r="K68" s="121"/>
      <c r="L68" s="122">
        <v>45865.0</v>
      </c>
      <c r="M68" s="89"/>
      <c r="N68" s="131">
        <v>5568.0</v>
      </c>
      <c r="O68" s="106" t="str">
        <f>IF(ISBLANK(M68), "", VLOOKUP(D68, 'Info Tipo de Cambio y REM'!$A$24:$B$35, 2, FALSE))</f>
        <v/>
      </c>
      <c r="P68" s="107">
        <f t="shared" si="2"/>
        <v>5568</v>
      </c>
    </row>
    <row r="69">
      <c r="A69" s="43" t="s">
        <v>131</v>
      </c>
      <c r="B69" s="43" t="str">
        <f t="shared" ref="B69:B78" si="3">IF(
  A69="",
  "",
  IF(
    OR(A69="Santander-Galicia-Nación", A69="Bank Of America", A69="Transferwise", A69="Custodia Socios", A69="Cheques en cartera", A69="Caja"),
    "Activo Liquido",
    IF(
      OR(A69="Otras Inversiones", A69="Santander Inversiones"),
      "Mediano Plazo",
      IF(
        A69="Clientes a cobrar",
        "Clientes a cobrar",
        "DATO NO CARGADO"
      )
    )
  )
)
</f>
        <v>Clientes a cobrar</v>
      </c>
      <c r="C69" s="102" t="str">
        <f>IF(J69="", "", IFERROR(VLOOKUP(J69, Clasificaciones!D:E, 2, FALSE), "DATO NO CARGADO"))
</f>
        <v>Play Digital S.A (Modo)</v>
      </c>
      <c r="D69" s="51" t="s">
        <v>155</v>
      </c>
      <c r="E69" s="43">
        <v>2025.0</v>
      </c>
      <c r="F69" s="43" t="s">
        <v>311</v>
      </c>
      <c r="G69" s="104"/>
      <c r="H69" s="104">
        <v>45810.0</v>
      </c>
      <c r="I69" s="64" t="s">
        <v>315</v>
      </c>
      <c r="J69" s="43" t="s">
        <v>244</v>
      </c>
      <c r="L69" s="104">
        <v>45840.0</v>
      </c>
      <c r="M69" s="112">
        <v>5562007.0</v>
      </c>
      <c r="N69" s="105"/>
      <c r="O69" s="106" t="str">
        <f>IF(ISBLANK(M69), "", VLOOKUP(D69, 'Info Tipo de Cambio y REM'!$A$24:$B$35, 2, FALSE))</f>
        <v>#N/A</v>
      </c>
      <c r="P69" s="107" t="str">
        <f t="shared" si="2"/>
        <v>#N/A</v>
      </c>
    </row>
    <row r="70">
      <c r="A70" s="43" t="s">
        <v>131</v>
      </c>
      <c r="B70" s="43" t="str">
        <f t="shared" si="3"/>
        <v>Clientes a cobrar</v>
      </c>
      <c r="C70" s="102" t="str">
        <f>IF(J70="", "", IFERROR(VLOOKUP(J70, Clasificaciones!D:E, 2, FALSE), "DATO NO CARGADO"))
</f>
        <v>Coelsa</v>
      </c>
      <c r="D70" s="51" t="s">
        <v>155</v>
      </c>
      <c r="E70" s="43">
        <v>2025.0</v>
      </c>
      <c r="F70" s="43" t="s">
        <v>311</v>
      </c>
      <c r="G70" s="104"/>
      <c r="H70" s="104">
        <v>45810.0</v>
      </c>
      <c r="I70" s="64" t="s">
        <v>316</v>
      </c>
      <c r="J70" s="43" t="s">
        <v>245</v>
      </c>
      <c r="L70" s="104">
        <v>45840.0</v>
      </c>
      <c r="M70" s="112">
        <v>5275425.76</v>
      </c>
      <c r="N70" s="105"/>
      <c r="O70" s="106" t="str">
        <f>IF(ISBLANK(M70), "", VLOOKUP(D70, 'Info Tipo de Cambio y REM'!$A$24:$B$35, 2, FALSE))</f>
        <v>#N/A</v>
      </c>
      <c r="P70" s="107" t="str">
        <f t="shared" si="2"/>
        <v>#N/A</v>
      </c>
    </row>
    <row r="71">
      <c r="A71" s="43" t="s">
        <v>131</v>
      </c>
      <c r="B71" s="43" t="str">
        <f t="shared" si="3"/>
        <v>Clientes a cobrar</v>
      </c>
      <c r="C71" s="102" t="str">
        <f>IF(J71="", "", IFERROR(VLOOKUP(J71, Clasificaciones!D:E, 2, FALSE), "DATO NO CARGADO"))
</f>
        <v>Detroit</v>
      </c>
      <c r="D71" s="51" t="s">
        <v>155</v>
      </c>
      <c r="E71" s="43">
        <v>2025.0</v>
      </c>
      <c r="F71" s="43" t="s">
        <v>311</v>
      </c>
      <c r="G71" s="104"/>
      <c r="H71" s="104">
        <v>45810.0</v>
      </c>
      <c r="I71" s="43" t="s">
        <v>317</v>
      </c>
      <c r="J71" s="43" t="s">
        <v>251</v>
      </c>
      <c r="L71" s="104">
        <v>45840.0</v>
      </c>
      <c r="M71" s="112">
        <v>1071885.0</v>
      </c>
      <c r="N71" s="105"/>
      <c r="O71" s="106" t="str">
        <f>IF(ISBLANK(M71), "", VLOOKUP(D71, 'Info Tipo de Cambio y REM'!$A$24:$B$35, 2, FALSE))</f>
        <v>#N/A</v>
      </c>
      <c r="P71" s="107" t="str">
        <f t="shared" si="2"/>
        <v>#N/A</v>
      </c>
    </row>
    <row r="72">
      <c r="A72" s="43" t="s">
        <v>131</v>
      </c>
      <c r="B72" s="43" t="str">
        <f t="shared" si="3"/>
        <v>Clientes a cobrar</v>
      </c>
      <c r="C72" s="102" t="str">
        <f>IF(J72="", "", IFERROR(VLOOKUP(J72, Clasificaciones!D:E, 2, FALSE), "DATO NO CARGADO"))
</f>
        <v>Vertical Media</v>
      </c>
      <c r="D72" s="51" t="s">
        <v>155</v>
      </c>
      <c r="E72" s="43">
        <v>2025.0</v>
      </c>
      <c r="F72" s="43" t="s">
        <v>311</v>
      </c>
      <c r="G72" s="104"/>
      <c r="H72" s="104">
        <v>45810.0</v>
      </c>
      <c r="I72" s="43" t="s">
        <v>318</v>
      </c>
      <c r="J72" s="43" t="s">
        <v>249</v>
      </c>
      <c r="L72" s="104">
        <v>45840.0</v>
      </c>
      <c r="M72" s="113"/>
      <c r="N72" s="114">
        <v>1750.0</v>
      </c>
      <c r="O72" s="106" t="str">
        <f>IF(ISBLANK(M72), "", VLOOKUP(D72, 'Info Tipo de Cambio y REM'!$A$24:$B$35, 2, FALSE))</f>
        <v/>
      </c>
      <c r="P72" s="107">
        <f t="shared" si="2"/>
        <v>1750</v>
      </c>
    </row>
    <row r="73">
      <c r="A73" s="43" t="s">
        <v>131</v>
      </c>
      <c r="B73" s="43" t="str">
        <f t="shared" si="3"/>
        <v>Clientes a cobrar</v>
      </c>
      <c r="C73" s="102" t="str">
        <f>IF(J73="", "", IFERROR(VLOOKUP(J73, Clasificaciones!D:E, 2, FALSE), "DATO NO CARGADO"))
</f>
        <v>Uber</v>
      </c>
      <c r="D73" s="51" t="s">
        <v>155</v>
      </c>
      <c r="E73" s="43">
        <v>2025.0</v>
      </c>
      <c r="F73" s="43" t="s">
        <v>305</v>
      </c>
      <c r="G73" s="104"/>
      <c r="H73" s="104">
        <v>45827.0</v>
      </c>
      <c r="I73" s="43" t="s">
        <v>319</v>
      </c>
      <c r="J73" s="43" t="s">
        <v>250</v>
      </c>
      <c r="L73" s="104">
        <v>45888.0</v>
      </c>
      <c r="M73" s="113"/>
      <c r="N73" s="114">
        <v>7350.0</v>
      </c>
      <c r="O73" s="106" t="str">
        <f>IF(ISBLANK(M73), "", VLOOKUP(D73, 'Info Tipo de Cambio y REM'!$A$24:$B$35, 2, FALSE))</f>
        <v/>
      </c>
      <c r="P73" s="107">
        <f t="shared" si="2"/>
        <v>7350</v>
      </c>
    </row>
    <row r="74">
      <c r="A74" s="43" t="s">
        <v>131</v>
      </c>
      <c r="B74" s="43" t="str">
        <f t="shared" si="3"/>
        <v>Clientes a cobrar</v>
      </c>
      <c r="C74" s="102" t="str">
        <f>IF(J74="", "", IFERROR(VLOOKUP(J74, Clasificaciones!D:E, 2, FALSE), "DATO NO CARGADO"))
</f>
        <v>Detroit</v>
      </c>
      <c r="D74" s="51" t="s">
        <v>155</v>
      </c>
      <c r="E74" s="43">
        <v>2025.0</v>
      </c>
      <c r="F74" s="43" t="s">
        <v>311</v>
      </c>
      <c r="G74" s="104"/>
      <c r="H74" s="104">
        <v>45838.0</v>
      </c>
      <c r="I74" s="43" t="s">
        <v>320</v>
      </c>
      <c r="J74" s="43" t="s">
        <v>251</v>
      </c>
      <c r="L74" s="104">
        <v>45838.0</v>
      </c>
      <c r="M74" s="112">
        <v>-20734.0</v>
      </c>
      <c r="N74" s="107"/>
      <c r="O74" s="106" t="str">
        <f>IF(ISBLANK(M74), "", VLOOKUP(D74, 'Info Tipo de Cambio y REM'!$A$24:$B$35, 2, FALSE))</f>
        <v>#N/A</v>
      </c>
      <c r="P74" s="107" t="str">
        <f t="shared" si="2"/>
        <v>#N/A</v>
      </c>
    </row>
    <row r="75">
      <c r="A75" s="43" t="s">
        <v>144</v>
      </c>
      <c r="B75" s="43" t="str">
        <f t="shared" si="3"/>
        <v>Activo Liquido</v>
      </c>
      <c r="C75" s="102" t="str">
        <f>IF(J75="", "", IFERROR(VLOOKUP(J75, Clasificaciones!D:E, 2, FALSE), "DATO NO CARGADO"))
</f>
        <v/>
      </c>
      <c r="D75" s="51" t="s">
        <v>155</v>
      </c>
      <c r="E75" s="43">
        <v>2025.0</v>
      </c>
      <c r="F75" s="102"/>
      <c r="L75" s="103"/>
      <c r="M75" s="112"/>
      <c r="N75" s="114">
        <v>-91979.0</v>
      </c>
      <c r="O75" s="106" t="str">
        <f>IF(ISBLANK(M75), "", VLOOKUP(D75, 'Info Tipo de Cambio y REM'!$A$24:$B$35, 2, FALSE))</f>
        <v/>
      </c>
      <c r="P75" s="107">
        <f t="shared" si="2"/>
        <v>-91979</v>
      </c>
    </row>
    <row r="76">
      <c r="A76" s="43" t="s">
        <v>130</v>
      </c>
      <c r="B76" s="43" t="str">
        <f t="shared" si="3"/>
        <v>Activo Liquido</v>
      </c>
      <c r="C76" s="102" t="str">
        <f>IF(J76="", "", IFERROR(VLOOKUP(J76, Clasificaciones!D:E, 2, FALSE), "DATO NO CARGADO"))
</f>
        <v/>
      </c>
      <c r="D76" s="51" t="s">
        <v>155</v>
      </c>
      <c r="E76" s="43">
        <v>2025.0</v>
      </c>
      <c r="F76" s="102"/>
      <c r="L76" s="103"/>
      <c r="M76" s="112">
        <v>3432410.0</v>
      </c>
      <c r="N76" s="114"/>
      <c r="O76" s="106" t="str">
        <f>IF(ISBLANK(M76), "", VLOOKUP(D76, 'Info Tipo de Cambio y REM'!$A$24:$B$35, 2, FALSE))</f>
        <v>#N/A</v>
      </c>
      <c r="P76" s="107" t="str">
        <f t="shared" si="2"/>
        <v>#N/A</v>
      </c>
    </row>
    <row r="77">
      <c r="A77" s="43" t="s">
        <v>167</v>
      </c>
      <c r="B77" s="43" t="str">
        <f t="shared" si="3"/>
        <v>Mediano Plazo</v>
      </c>
      <c r="C77" s="102" t="str">
        <f>IF(J77="", "", IFERROR(VLOOKUP(J77, Clasificaciones!D:E, 2, FALSE), "DATO NO CARGADO"))
</f>
        <v/>
      </c>
      <c r="D77" s="51" t="s">
        <v>155</v>
      </c>
      <c r="E77" s="43">
        <v>2025.0</v>
      </c>
      <c r="F77" s="102"/>
      <c r="G77" s="103"/>
      <c r="H77" s="103"/>
      <c r="L77" s="103"/>
      <c r="M77" s="113"/>
      <c r="N77" s="112">
        <v>2682.0</v>
      </c>
      <c r="O77" s="106" t="str">
        <f>IF(ISBLANK(M77), "", VLOOKUP(D77, 'Info Tipo de Cambio y REM'!$A$24:$B$35, 2, FALSE))</f>
        <v/>
      </c>
      <c r="P77" s="107">
        <f t="shared" si="2"/>
        <v>2682</v>
      </c>
    </row>
    <row r="78">
      <c r="A78" s="43" t="s">
        <v>150</v>
      </c>
      <c r="B78" s="43" t="str">
        <f t="shared" si="3"/>
        <v>Activo Liquido</v>
      </c>
      <c r="C78" s="102" t="str">
        <f>IF(J78="", "", IFERROR(VLOOKUP(J78, Clasificaciones!D:E, 2, FALSE), "DATO NO CARGADO"))
</f>
        <v/>
      </c>
      <c r="D78" s="51" t="s">
        <v>155</v>
      </c>
      <c r="E78" s="43">
        <v>2025.0</v>
      </c>
      <c r="F78" s="43"/>
      <c r="G78" s="104"/>
      <c r="H78" s="104"/>
      <c r="I78" s="115"/>
      <c r="J78" s="116"/>
      <c r="L78" s="104"/>
      <c r="M78" s="117"/>
      <c r="N78" s="114">
        <v>230.0</v>
      </c>
      <c r="O78" s="106"/>
      <c r="P78" s="107">
        <f t="shared" si="2"/>
        <v>230</v>
      </c>
    </row>
    <row r="79">
      <c r="A79" s="43" t="s">
        <v>131</v>
      </c>
      <c r="B79" s="43" t="s">
        <v>131</v>
      </c>
      <c r="C79" s="43" t="s">
        <v>172</v>
      </c>
      <c r="D79" s="51" t="s">
        <v>155</v>
      </c>
      <c r="E79" s="43">
        <v>2025.0</v>
      </c>
      <c r="F79" s="43" t="s">
        <v>305</v>
      </c>
      <c r="G79" s="122"/>
      <c r="H79" s="122">
        <v>45649.0</v>
      </c>
      <c r="I79" s="121" t="s">
        <v>290</v>
      </c>
      <c r="J79" s="121" t="s">
        <v>246</v>
      </c>
      <c r="L79" s="122">
        <v>45678.0</v>
      </c>
      <c r="M79" s="89"/>
      <c r="N79" s="131">
        <v>250.0</v>
      </c>
      <c r="O79" s="106" t="str">
        <f>IF(ISBLANK(M79), "", VLOOKUP(D79, 'Info Tipo de Cambio y REM'!$A$24:$B$35, 2, FALSE))</f>
        <v/>
      </c>
      <c r="P79" s="107">
        <f t="shared" si="2"/>
        <v>250</v>
      </c>
    </row>
    <row r="80">
      <c r="A80" s="43" t="s">
        <v>131</v>
      </c>
      <c r="B80" s="43" t="s">
        <v>131</v>
      </c>
      <c r="C80" s="43" t="s">
        <v>183</v>
      </c>
      <c r="D80" s="51" t="s">
        <v>155</v>
      </c>
      <c r="E80" s="43">
        <v>2025.0</v>
      </c>
      <c r="F80" s="43" t="s">
        <v>305</v>
      </c>
      <c r="G80" s="122"/>
      <c r="H80" s="122">
        <v>45723.0</v>
      </c>
      <c r="I80" s="121" t="s">
        <v>361</v>
      </c>
      <c r="J80" s="121" t="s">
        <v>247</v>
      </c>
      <c r="L80" s="122">
        <v>45813.0</v>
      </c>
      <c r="M80" s="89"/>
      <c r="N80" s="131">
        <v>13450.0</v>
      </c>
      <c r="O80" s="106" t="str">
        <f>IF(ISBLANK(M80), "", VLOOKUP(D80, 'Info Tipo de Cambio y REM'!$A$24:$B$35, 2, FALSE))</f>
        <v/>
      </c>
      <c r="P80" s="107">
        <f t="shared" si="2"/>
        <v>13450</v>
      </c>
    </row>
    <row r="81">
      <c r="A81" s="43" t="s">
        <v>131</v>
      </c>
      <c r="B81" s="43" t="s">
        <v>131</v>
      </c>
      <c r="C81" s="43" t="s">
        <v>183</v>
      </c>
      <c r="D81" s="51" t="s">
        <v>155</v>
      </c>
      <c r="E81" s="43">
        <v>2025.0</v>
      </c>
      <c r="F81" s="43" t="s">
        <v>305</v>
      </c>
      <c r="G81" s="122"/>
      <c r="H81" s="122">
        <v>45751.0</v>
      </c>
      <c r="I81" s="121" t="s">
        <v>362</v>
      </c>
      <c r="J81" s="121" t="s">
        <v>247</v>
      </c>
      <c r="L81" s="122">
        <v>45841.0</v>
      </c>
      <c r="M81" s="89"/>
      <c r="N81" s="131">
        <v>13450.0</v>
      </c>
      <c r="O81" s="106" t="str">
        <f>IF(ISBLANK(M81), "", VLOOKUP(D81, 'Info Tipo de Cambio y REM'!$A$24:$B$35, 2, FALSE))</f>
        <v/>
      </c>
      <c r="P81" s="107">
        <f t="shared" si="2"/>
        <v>13450</v>
      </c>
    </row>
    <row r="82">
      <c r="A82" s="43" t="s">
        <v>131</v>
      </c>
      <c r="B82" s="43" t="s">
        <v>131</v>
      </c>
      <c r="C82" s="43" t="s">
        <v>183</v>
      </c>
      <c r="D82" s="51" t="s">
        <v>155</v>
      </c>
      <c r="E82" s="43">
        <v>2025.0</v>
      </c>
      <c r="F82" s="43" t="s">
        <v>305</v>
      </c>
      <c r="G82" s="82"/>
      <c r="H82" s="82">
        <v>45770.0</v>
      </c>
      <c r="I82" s="121" t="s">
        <v>363</v>
      </c>
      <c r="J82" s="121" t="s">
        <v>247</v>
      </c>
      <c r="L82" s="122">
        <v>45860.0</v>
      </c>
      <c r="M82" s="89"/>
      <c r="N82" s="131">
        <v>1300.0</v>
      </c>
      <c r="O82" s="106" t="str">
        <f>IF(ISBLANK(M82), "", VLOOKUP(D82, 'Info Tipo de Cambio y REM'!$A$24:$B$35, 2, FALSE))</f>
        <v/>
      </c>
      <c r="P82" s="107">
        <f t="shared" si="2"/>
        <v>1300</v>
      </c>
    </row>
    <row r="83">
      <c r="A83" s="43" t="s">
        <v>131</v>
      </c>
      <c r="B83" s="43" t="s">
        <v>131</v>
      </c>
      <c r="C83" s="43" t="s">
        <v>202</v>
      </c>
      <c r="D83" s="51" t="s">
        <v>155</v>
      </c>
      <c r="E83" s="43">
        <v>2025.0</v>
      </c>
      <c r="F83" s="43" t="s">
        <v>305</v>
      </c>
      <c r="G83" s="82"/>
      <c r="H83" s="82">
        <v>45775.0</v>
      </c>
      <c r="I83" s="121" t="s">
        <v>364</v>
      </c>
      <c r="J83" s="121" t="s">
        <v>252</v>
      </c>
      <c r="L83" s="122">
        <v>45865.0</v>
      </c>
      <c r="M83" s="89"/>
      <c r="N83" s="131">
        <v>5568.0</v>
      </c>
      <c r="O83" s="106" t="str">
        <f>IF(ISBLANK(M83), "", VLOOKUP(D83, 'Info Tipo de Cambio y REM'!$A$24:$B$35, 2, FALSE))</f>
        <v/>
      </c>
      <c r="P83" s="107">
        <f t="shared" si="2"/>
        <v>5568</v>
      </c>
    </row>
    <row r="84">
      <c r="A84" s="43" t="s">
        <v>131</v>
      </c>
      <c r="B84" s="43" t="str">
        <f t="shared" ref="B84:B89" si="4">IF(
  A84="",
  "",
  IF(
    OR(A84="Santander-Galicia-Nación", A84="Bank Of America", A84="Transferwise", A84="Custodia Socios", A84="Cheques en cartera", A84="Caja"),
    "Activo Liquido",
    IF(
      OR(A84="Otras Inversiones", A84="Santander Inversiones"),
      "Mediano Plazo",
      IF(
        A84="Clientes a cobrar",
        "Clientes a cobrar",
        "DATO NO CARGADO"
      )
    )
  )
)
</f>
        <v>Clientes a cobrar</v>
      </c>
      <c r="C84" s="43" t="s">
        <v>119</v>
      </c>
      <c r="D84" s="51" t="s">
        <v>161</v>
      </c>
      <c r="E84" s="43">
        <v>2025.0</v>
      </c>
      <c r="F84" s="43" t="s">
        <v>311</v>
      </c>
      <c r="G84" s="104"/>
      <c r="H84" s="104">
        <v>45839.0</v>
      </c>
      <c r="I84" s="115" t="s">
        <v>321</v>
      </c>
      <c r="J84" s="116" t="s">
        <v>245</v>
      </c>
      <c r="L84" s="104">
        <v>45870.0</v>
      </c>
      <c r="M84" s="117">
        <v>5275425.76</v>
      </c>
      <c r="N84" s="107"/>
      <c r="O84" s="106" t="str">
        <f>IF(ISBLANK(M84), "", VLOOKUP(D84, 'Info Tipo de Cambio y REM'!$A$24:$B$35, 2, FALSE))</f>
        <v>#N/A</v>
      </c>
      <c r="P84" s="107" t="str">
        <f t="shared" si="2"/>
        <v>#N/A</v>
      </c>
    </row>
    <row r="85">
      <c r="A85" s="43" t="s">
        <v>131</v>
      </c>
      <c r="B85" s="43" t="str">
        <f t="shared" si="4"/>
        <v>Clientes a cobrar</v>
      </c>
      <c r="C85" s="102" t="str">
        <f>IF(J85="", "", IFERROR(VLOOKUP(J85, Clasificaciones!D:E, 2, FALSE), "DATO NO CARGADO"))
</f>
        <v>Kimberly Clark</v>
      </c>
      <c r="D85" s="51" t="s">
        <v>161</v>
      </c>
      <c r="E85" s="43">
        <v>2025.0</v>
      </c>
      <c r="F85" s="43" t="s">
        <v>305</v>
      </c>
      <c r="G85" s="104"/>
      <c r="H85" s="104">
        <v>45845.0</v>
      </c>
      <c r="I85" s="43" t="s">
        <v>365</v>
      </c>
      <c r="J85" s="43" t="s">
        <v>253</v>
      </c>
      <c r="L85" s="103">
        <f>H85+120</f>
        <v>45965</v>
      </c>
      <c r="M85" s="113"/>
      <c r="N85" s="114">
        <v>8450.0</v>
      </c>
      <c r="O85" s="106" t="str">
        <f>IF(ISBLANK(M85), "", VLOOKUP(D85, 'Info Tipo de Cambio y REM'!$A$24:$B$35, 2, FALSE))</f>
        <v/>
      </c>
      <c r="P85" s="107">
        <f t="shared" si="2"/>
        <v>8450</v>
      </c>
    </row>
    <row r="86">
      <c r="A86" s="1" t="s">
        <v>131</v>
      </c>
      <c r="B86" s="1" t="str">
        <f t="shared" si="4"/>
        <v>Clientes a cobrar</v>
      </c>
      <c r="C86" s="132" t="str">
        <f>IF(J86="", "", IFERROR(VLOOKUP(J86, Clasificaciones!D:E, 2, FALSE), "DATO NO CARGADO"))
</f>
        <v>Play Digital S.A (Modo)</v>
      </c>
      <c r="D86" s="48" t="s">
        <v>161</v>
      </c>
      <c r="E86" s="1">
        <v>2025.0</v>
      </c>
      <c r="F86" s="133" t="s">
        <v>311</v>
      </c>
      <c r="G86" s="134"/>
      <c r="H86" s="134">
        <v>45839.0</v>
      </c>
      <c r="I86" s="135" t="s">
        <v>323</v>
      </c>
      <c r="J86" s="1" t="s">
        <v>244</v>
      </c>
      <c r="K86" s="132"/>
      <c r="L86" s="134">
        <v>45870.0</v>
      </c>
      <c r="M86" s="136">
        <v>5562007.0</v>
      </c>
      <c r="N86" s="137"/>
      <c r="O86" s="138" t="str">
        <f>IF(ISBLANK(M86), "", VLOOKUP(D86, 'Info Tipo de Cambio y REM'!$A$24:$B$35, 2, FALSE))</f>
        <v>#N/A</v>
      </c>
      <c r="P86" s="137" t="str">
        <f t="shared" si="2"/>
        <v>#N/A</v>
      </c>
      <c r="Q86" s="132"/>
      <c r="R86" s="132"/>
      <c r="S86" s="132"/>
      <c r="T86" s="132"/>
      <c r="U86" s="132"/>
      <c r="V86" s="132"/>
      <c r="W86" s="132"/>
      <c r="X86" s="132"/>
      <c r="Y86" s="132"/>
      <c r="Z86" s="132"/>
      <c r="AA86" s="132"/>
      <c r="AB86" s="132"/>
    </row>
    <row r="87">
      <c r="A87" s="43" t="s">
        <v>131</v>
      </c>
      <c r="B87" s="43" t="str">
        <f t="shared" si="4"/>
        <v>Clientes a cobrar</v>
      </c>
      <c r="C87" s="102" t="str">
        <f>IF(J87="", "", IFERROR(VLOOKUP(J87, Clasificaciones!D:E, 2, FALSE), "DATO NO CARGADO"))
</f>
        <v>Detroit</v>
      </c>
      <c r="D87" s="51" t="s">
        <v>161</v>
      </c>
      <c r="E87" s="43">
        <v>2025.0</v>
      </c>
      <c r="F87" s="43" t="s">
        <v>311</v>
      </c>
      <c r="G87" s="104"/>
      <c r="H87" s="104">
        <v>45846.0</v>
      </c>
      <c r="I87" s="119" t="s">
        <v>324</v>
      </c>
      <c r="J87" s="43" t="s">
        <v>251</v>
      </c>
      <c r="L87" s="104">
        <v>45869.0</v>
      </c>
      <c r="M87" s="112">
        <v>130000.0</v>
      </c>
      <c r="N87" s="107"/>
      <c r="O87" s="106" t="str">
        <f>IF(ISBLANK(M87), "", VLOOKUP(D87, 'Info Tipo de Cambio y REM'!$A$24:$B$35, 2, FALSE))</f>
        <v>#N/A</v>
      </c>
      <c r="P87" s="107" t="str">
        <f t="shared" si="2"/>
        <v>#N/A</v>
      </c>
    </row>
    <row r="88">
      <c r="A88" s="43" t="s">
        <v>131</v>
      </c>
      <c r="B88" s="43" t="str">
        <f t="shared" si="4"/>
        <v>Clientes a cobrar</v>
      </c>
      <c r="C88" s="102" t="str">
        <f>IF(J88="", "", IFERROR(VLOOKUP(J88, Clasificaciones!D:E, 2, FALSE), "DATO NO CARGADO"))
</f>
        <v>Detroit</v>
      </c>
      <c r="D88" s="51" t="s">
        <v>161</v>
      </c>
      <c r="E88" s="43">
        <v>2025.0</v>
      </c>
      <c r="F88" s="43" t="s">
        <v>311</v>
      </c>
      <c r="G88" s="104"/>
      <c r="H88" s="104">
        <v>45846.0</v>
      </c>
      <c r="I88" s="43" t="s">
        <v>325</v>
      </c>
      <c r="J88" s="43" t="s">
        <v>251</v>
      </c>
      <c r="L88" s="104">
        <v>45870.0</v>
      </c>
      <c r="M88" s="112">
        <v>1071885.0</v>
      </c>
      <c r="N88" s="107"/>
      <c r="O88" s="106" t="str">
        <f>IF(ISBLANK(M88), "", VLOOKUP(D88, 'Info Tipo de Cambio y REM'!$A$24:$B$35, 2, FALSE))</f>
        <v>#N/A</v>
      </c>
      <c r="P88" s="107" t="str">
        <f t="shared" si="2"/>
        <v>#N/A</v>
      </c>
    </row>
    <row r="89">
      <c r="A89" s="1" t="s">
        <v>131</v>
      </c>
      <c r="B89" s="1" t="str">
        <f t="shared" si="4"/>
        <v>Clientes a cobrar</v>
      </c>
      <c r="C89" s="132" t="str">
        <f>IF(J89="", "", IFERROR(VLOOKUP(J89, Clasificaciones!D:E, 2, FALSE), "DATO NO CARGADO"))
</f>
        <v>Animal Studio</v>
      </c>
      <c r="D89" s="48" t="s">
        <v>161</v>
      </c>
      <c r="E89" s="1">
        <v>2025.0</v>
      </c>
      <c r="F89" s="139" t="s">
        <v>311</v>
      </c>
      <c r="G89" s="134"/>
      <c r="H89" s="134">
        <v>45856.0</v>
      </c>
      <c r="I89" s="1" t="s">
        <v>326</v>
      </c>
      <c r="J89" s="1" t="s">
        <v>254</v>
      </c>
      <c r="K89" s="132"/>
      <c r="L89" s="134">
        <v>45887.0</v>
      </c>
      <c r="M89" s="140">
        <v>1052700.0</v>
      </c>
      <c r="N89" s="137"/>
      <c r="O89" s="138" t="str">
        <f>IF(ISBLANK(M89), "", VLOOKUP(D89, 'Info Tipo de Cambio y REM'!$A$24:$B$35, 2, FALSE))</f>
        <v>#N/A</v>
      </c>
      <c r="P89" s="137" t="str">
        <f t="shared" si="2"/>
        <v>#N/A</v>
      </c>
      <c r="Q89" s="132"/>
      <c r="R89" s="132"/>
      <c r="S89" s="132"/>
      <c r="T89" s="132"/>
      <c r="U89" s="132"/>
      <c r="V89" s="132"/>
      <c r="W89" s="132"/>
      <c r="X89" s="132"/>
      <c r="Y89" s="132"/>
      <c r="Z89" s="132"/>
      <c r="AA89" s="132"/>
      <c r="AB89" s="132"/>
    </row>
    <row r="90">
      <c r="A90" s="133" t="s">
        <v>131</v>
      </c>
      <c r="B90" s="133" t="s">
        <v>131</v>
      </c>
      <c r="C90" s="133" t="s">
        <v>193</v>
      </c>
      <c r="D90" s="141" t="s">
        <v>161</v>
      </c>
      <c r="E90" s="133">
        <v>2025.0</v>
      </c>
      <c r="F90" s="133" t="s">
        <v>305</v>
      </c>
      <c r="G90" s="142"/>
      <c r="H90" s="142">
        <v>45839.0</v>
      </c>
      <c r="I90" s="143" t="s">
        <v>327</v>
      </c>
      <c r="J90" s="143" t="s">
        <v>251</v>
      </c>
      <c r="K90" s="133" t="s">
        <v>328</v>
      </c>
      <c r="L90" s="144">
        <v>45870.0</v>
      </c>
      <c r="M90" s="145"/>
      <c r="N90" s="146"/>
      <c r="O90" s="147" t="str">
        <f>IF(ISBLANK(M90), "", VLOOKUP(D90, 'Info Tipo de Cambio y REM'!$A$24:$B$35, 2, FALSE))</f>
        <v/>
      </c>
      <c r="P90" s="148" t="str">
        <f t="shared" si="2"/>
        <v/>
      </c>
      <c r="Q90" s="149"/>
      <c r="R90" s="149"/>
      <c r="S90" s="149"/>
      <c r="T90" s="149"/>
      <c r="U90" s="149"/>
      <c r="V90" s="149"/>
      <c r="W90" s="149"/>
      <c r="X90" s="149"/>
      <c r="Y90" s="149"/>
      <c r="Z90" s="149"/>
      <c r="AA90" s="149"/>
      <c r="AB90" s="149"/>
    </row>
    <row r="91">
      <c r="A91" s="43" t="s">
        <v>131</v>
      </c>
      <c r="B91" s="43" t="s">
        <v>131</v>
      </c>
      <c r="C91" s="43" t="s">
        <v>172</v>
      </c>
      <c r="D91" s="51" t="s">
        <v>161</v>
      </c>
      <c r="E91" s="43">
        <v>2025.0</v>
      </c>
      <c r="F91" s="43" t="s">
        <v>311</v>
      </c>
      <c r="G91" s="122"/>
      <c r="H91" s="122">
        <v>45649.0</v>
      </c>
      <c r="I91" s="121" t="s">
        <v>290</v>
      </c>
      <c r="J91" s="121" t="s">
        <v>246</v>
      </c>
      <c r="L91" s="122">
        <v>45678.0</v>
      </c>
      <c r="M91" s="89"/>
      <c r="N91" s="131">
        <v>250.0</v>
      </c>
      <c r="O91" s="106" t="str">
        <f>IF(ISBLANK(M91), "", VLOOKUP(D91, 'Info Tipo de Cambio y REM'!$A$24:$B$35, 2, FALSE))</f>
        <v/>
      </c>
      <c r="P91" s="107">
        <f t="shared" si="2"/>
        <v>250</v>
      </c>
    </row>
    <row r="92">
      <c r="A92" s="43" t="s">
        <v>131</v>
      </c>
      <c r="B92" s="43" t="s">
        <v>131</v>
      </c>
      <c r="C92" s="43" t="s">
        <v>202</v>
      </c>
      <c r="D92" s="51" t="s">
        <v>161</v>
      </c>
      <c r="E92" s="43">
        <v>2025.0</v>
      </c>
      <c r="F92" s="43" t="s">
        <v>305</v>
      </c>
      <c r="G92" s="82"/>
      <c r="H92" s="82">
        <v>45775.0</v>
      </c>
      <c r="I92" s="121" t="s">
        <v>364</v>
      </c>
      <c r="J92" s="121" t="s">
        <v>252</v>
      </c>
      <c r="L92" s="122">
        <v>45865.0</v>
      </c>
      <c r="M92" s="89"/>
      <c r="N92" s="131">
        <v>5568.0</v>
      </c>
      <c r="O92" s="106" t="str">
        <f>IF(ISBLANK(M92), "", VLOOKUP(D92, 'Info Tipo de Cambio y REM'!$A$24:$B$35, 2, FALSE))</f>
        <v/>
      </c>
      <c r="P92" s="107">
        <f t="shared" si="2"/>
        <v>5568</v>
      </c>
    </row>
    <row r="93">
      <c r="A93" s="43" t="s">
        <v>131</v>
      </c>
      <c r="B93" s="43" t="s">
        <v>131</v>
      </c>
      <c r="C93" s="43" t="s">
        <v>199</v>
      </c>
      <c r="D93" s="51" t="s">
        <v>161</v>
      </c>
      <c r="E93" s="43">
        <v>2025.0</v>
      </c>
      <c r="F93" s="43" t="s">
        <v>311</v>
      </c>
      <c r="G93" s="82"/>
      <c r="H93" s="82">
        <v>45827.0</v>
      </c>
      <c r="I93" s="121" t="s">
        <v>319</v>
      </c>
      <c r="J93" s="121" t="s">
        <v>250</v>
      </c>
      <c r="L93" s="122">
        <v>45887.0</v>
      </c>
      <c r="M93" s="89"/>
      <c r="N93" s="131">
        <v>7350.0</v>
      </c>
      <c r="O93" s="106" t="str">
        <f>IF(ISBLANK(M93), "", VLOOKUP(D93, 'Info Tipo de Cambio y REM'!$A$24:$B$35, 2, FALSE))</f>
        <v/>
      </c>
      <c r="P93" s="107">
        <f t="shared" si="2"/>
        <v>7350</v>
      </c>
    </row>
    <row r="94">
      <c r="A94" s="43" t="s">
        <v>130</v>
      </c>
      <c r="B94" s="43" t="str">
        <f t="shared" ref="B94:B97" si="5">IF(
  A94="",
  "",
  IF(
    OR(A94="Santander-Galicia-Nación", A94="Bank Of America", A94="Transferwise", A94="Custodia Socios", A94="Cheques en cartera", A94="Caja"),
    "Activo Liquido",
    IF(
      OR(A94="Otras Inversiones", A94="Santander Inversiones"),
      "Mediano Plazo",
      IF(
        A94="Clientes a cobrar",
        "Clientes a cobrar",
        "DATO NO CARGADO"
      )
    )
  )
)
</f>
        <v>Activo Liquido</v>
      </c>
      <c r="C94" s="102" t="str">
        <f>IF(J94="", "", IFERROR(VLOOKUP(J94, Clasificaciones!D:E, 2, FALSE), "DATO NO CARGADO"))
</f>
        <v/>
      </c>
      <c r="D94" s="51" t="s">
        <v>161</v>
      </c>
      <c r="E94" s="43">
        <v>2025.0</v>
      </c>
      <c r="F94" s="102"/>
      <c r="G94" s="103"/>
      <c r="H94" s="103"/>
      <c r="L94" s="103"/>
      <c r="M94" s="112">
        <v>-579983.0</v>
      </c>
      <c r="N94" s="107"/>
      <c r="O94" s="106" t="str">
        <f>IF(ISBLANK(M94), "", VLOOKUP(D94, 'Info Tipo de Cambio y REM'!$A$24:$B$35, 2, FALSE))</f>
        <v>#N/A</v>
      </c>
      <c r="P94" s="107" t="str">
        <f t="shared" si="2"/>
        <v>#N/A</v>
      </c>
    </row>
    <row r="95">
      <c r="A95" s="43" t="s">
        <v>144</v>
      </c>
      <c r="B95" s="43" t="str">
        <f t="shared" si="5"/>
        <v>Activo Liquido</v>
      </c>
      <c r="C95" s="102" t="str">
        <f>IF(J95="", "", IFERROR(VLOOKUP(J95, Clasificaciones!D:E, 2, FALSE), "DATO NO CARGADO"))
</f>
        <v/>
      </c>
      <c r="D95" s="51" t="s">
        <v>161</v>
      </c>
      <c r="E95" s="43">
        <v>2025.0</v>
      </c>
      <c r="F95" s="102"/>
      <c r="G95" s="103"/>
      <c r="H95" s="103"/>
      <c r="L95" s="103"/>
      <c r="M95" s="113"/>
      <c r="N95" s="114">
        <v>-68302.0</v>
      </c>
      <c r="O95" s="106" t="str">
        <f>IF(ISBLANK(M95), "", VLOOKUP(D95, 'Info Tipo de Cambio y REM'!$A$24:$B$35, 2, FALSE))</f>
        <v/>
      </c>
      <c r="P95" s="107">
        <f t="shared" si="2"/>
        <v>-68302</v>
      </c>
    </row>
    <row r="96">
      <c r="A96" s="43" t="s">
        <v>150</v>
      </c>
      <c r="B96" s="43" t="str">
        <f t="shared" si="5"/>
        <v>Activo Liquido</v>
      </c>
      <c r="C96" s="102" t="str">
        <f>IF(J96="", "", IFERROR(VLOOKUP(J96, Clasificaciones!D:E, 2, FALSE), "DATO NO CARGADO"))
</f>
        <v/>
      </c>
      <c r="D96" s="51" t="s">
        <v>161</v>
      </c>
      <c r="E96" s="43">
        <v>2025.0</v>
      </c>
      <c r="F96" s="102"/>
      <c r="G96" s="103"/>
      <c r="H96" s="103"/>
      <c r="L96" s="103"/>
      <c r="M96" s="113"/>
      <c r="N96" s="114">
        <v>230.0</v>
      </c>
      <c r="O96" s="106" t="str">
        <f>IF(ISBLANK(M96), "", VLOOKUP(D96, 'Info Tipo de Cambio y REM'!$A$24:$B$35, 2, FALSE))</f>
        <v/>
      </c>
      <c r="P96" s="107">
        <f t="shared" si="2"/>
        <v>230</v>
      </c>
    </row>
    <row r="97">
      <c r="A97" s="43" t="s">
        <v>167</v>
      </c>
      <c r="B97" s="43" t="str">
        <f t="shared" si="5"/>
        <v>Mediano Plazo</v>
      </c>
      <c r="C97" s="102" t="str">
        <f>IF(J97="", "", IFERROR(VLOOKUP(J97, Clasificaciones!D:E, 2, FALSE), "DATO NO CARGADO"))
</f>
        <v/>
      </c>
      <c r="D97" s="51" t="s">
        <v>161</v>
      </c>
      <c r="E97" s="43">
        <v>2025.0</v>
      </c>
      <c r="F97" s="102"/>
      <c r="G97" s="103"/>
      <c r="H97" s="103"/>
      <c r="L97" s="103"/>
      <c r="M97" s="113"/>
      <c r="N97" s="114">
        <v>2540.0</v>
      </c>
      <c r="O97" s="106" t="str">
        <f>IF(ISBLANK(M97), "", VLOOKUP(D97, 'Info Tipo de Cambio y REM'!$A$24:$B$35, 2, FALSE))</f>
        <v/>
      </c>
      <c r="P97" s="107">
        <f t="shared" si="2"/>
        <v>2540</v>
      </c>
    </row>
    <row r="98">
      <c r="A98" s="43" t="s">
        <v>131</v>
      </c>
      <c r="B98" s="43" t="s">
        <v>131</v>
      </c>
      <c r="C98" s="126" t="s">
        <v>119</v>
      </c>
      <c r="D98" s="51" t="s">
        <v>166</v>
      </c>
      <c r="E98" s="43">
        <v>2025.0</v>
      </c>
      <c r="F98" s="43" t="s">
        <v>305</v>
      </c>
      <c r="G98" s="104"/>
      <c r="H98" s="104">
        <v>45873.0</v>
      </c>
      <c r="I98" s="150" t="s">
        <v>329</v>
      </c>
      <c r="J98" s="125" t="s">
        <v>245</v>
      </c>
      <c r="L98" s="104">
        <v>45904.0</v>
      </c>
      <c r="M98" s="112">
        <v>5275426.0</v>
      </c>
      <c r="N98" s="107"/>
      <c r="O98" s="106" t="str">
        <f>IF(ISBLANK(M98), "", VLOOKUP(D98, 'Info Tipo de Cambio y REM'!$A$24:$B$35, 2, FALSE))</f>
        <v>#N/A</v>
      </c>
      <c r="P98" s="107" t="str">
        <f t="shared" si="2"/>
        <v>#N/A</v>
      </c>
    </row>
    <row r="99">
      <c r="A99" s="43" t="s">
        <v>131</v>
      </c>
      <c r="B99" s="43" t="s">
        <v>131</v>
      </c>
      <c r="C99" s="126" t="s">
        <v>180</v>
      </c>
      <c r="D99" s="51" t="s">
        <v>166</v>
      </c>
      <c r="E99" s="43">
        <v>2025.0</v>
      </c>
      <c r="F99" s="43" t="s">
        <v>305</v>
      </c>
      <c r="G99" s="104"/>
      <c r="H99" s="104">
        <v>45873.0</v>
      </c>
      <c r="I99" s="150" t="s">
        <v>330</v>
      </c>
      <c r="J99" s="125" t="s">
        <v>244</v>
      </c>
      <c r="L99" s="104">
        <v>45904.0</v>
      </c>
      <c r="M99" s="112">
        <v>3720750.0</v>
      </c>
      <c r="N99" s="107"/>
      <c r="O99" s="106" t="str">
        <f>IF(ISBLANK(M99), "", VLOOKUP(D99, 'Info Tipo de Cambio y REM'!$A$24:$B$35, 2, FALSE))</f>
        <v>#N/A</v>
      </c>
      <c r="P99" s="107" t="str">
        <f t="shared" si="2"/>
        <v>#N/A</v>
      </c>
    </row>
    <row r="100">
      <c r="A100" s="43" t="s">
        <v>131</v>
      </c>
      <c r="B100" s="43" t="s">
        <v>131</v>
      </c>
      <c r="C100" s="43" t="s">
        <v>193</v>
      </c>
      <c r="D100" s="51" t="s">
        <v>166</v>
      </c>
      <c r="E100" s="43">
        <v>2025.0</v>
      </c>
      <c r="F100" s="43" t="s">
        <v>311</v>
      </c>
      <c r="G100" s="104"/>
      <c r="H100" s="104">
        <v>45873.0</v>
      </c>
      <c r="I100" s="43" t="s">
        <v>331</v>
      </c>
      <c r="J100" s="43" t="s">
        <v>251</v>
      </c>
      <c r="L100" s="104">
        <v>45904.0</v>
      </c>
      <c r="M100" s="112">
        <v>1071885.0</v>
      </c>
      <c r="N100" s="107"/>
      <c r="O100" s="106" t="str">
        <f>IF(ISBLANK(M100), "", VLOOKUP(D100, 'Info Tipo de Cambio y REM'!$A$24:$B$35, 2, FALSE))</f>
        <v>#N/A</v>
      </c>
      <c r="P100" s="107" t="str">
        <f t="shared" si="2"/>
        <v>#N/A</v>
      </c>
    </row>
    <row r="101">
      <c r="A101" s="43" t="s">
        <v>131</v>
      </c>
      <c r="B101" s="43" t="s">
        <v>131</v>
      </c>
      <c r="C101" s="102" t="str">
        <f>IF(J101="", "", IFERROR(VLOOKUP(J101, Clasificaciones!D:E, 2, FALSE), "DATO NO CARGADO"))
</f>
        <v>Detroit</v>
      </c>
      <c r="D101" s="51" t="s">
        <v>166</v>
      </c>
      <c r="E101" s="43">
        <v>2025.0</v>
      </c>
      <c r="F101" s="43" t="s">
        <v>311</v>
      </c>
      <c r="G101" s="104"/>
      <c r="H101" s="104">
        <v>45873.0</v>
      </c>
      <c r="I101" s="43" t="s">
        <v>332</v>
      </c>
      <c r="J101" s="43" t="s">
        <v>251</v>
      </c>
      <c r="L101" s="104">
        <v>45904.0</v>
      </c>
      <c r="M101" s="112">
        <v>370000.0</v>
      </c>
      <c r="N101" s="107"/>
      <c r="O101" s="106" t="str">
        <f>IF(ISBLANK(M101), "", VLOOKUP(D101, 'Info Tipo de Cambio y REM'!$A$24:$B$35, 2, FALSE))</f>
        <v>#N/A</v>
      </c>
      <c r="P101" s="107" t="str">
        <f t="shared" si="2"/>
        <v>#N/A</v>
      </c>
    </row>
    <row r="102">
      <c r="A102" s="43" t="s">
        <v>131</v>
      </c>
      <c r="B102" s="43" t="s">
        <v>131</v>
      </c>
      <c r="C102" s="43" t="s">
        <v>183</v>
      </c>
      <c r="D102" s="51" t="s">
        <v>166</v>
      </c>
      <c r="E102" s="43">
        <v>2025.0</v>
      </c>
      <c r="F102" s="43" t="s">
        <v>311</v>
      </c>
      <c r="G102" s="104"/>
      <c r="H102" s="104">
        <v>45870.0</v>
      </c>
      <c r="I102" s="43" t="s">
        <v>333</v>
      </c>
      <c r="J102" s="43" t="s">
        <v>334</v>
      </c>
      <c r="L102" s="104">
        <v>45868.0</v>
      </c>
      <c r="M102" s="113"/>
      <c r="N102" s="114">
        <v>29230.0</v>
      </c>
      <c r="O102" s="106" t="str">
        <f>IF(ISBLANK(M102), "", VLOOKUP(D102, 'Info Tipo de Cambio y REM'!$A$24:$B$35, 2, FALSE))</f>
        <v/>
      </c>
      <c r="P102" s="107">
        <f t="shared" si="2"/>
        <v>29230</v>
      </c>
    </row>
    <row r="103">
      <c r="A103" s="43" t="s">
        <v>131</v>
      </c>
      <c r="B103" s="43" t="s">
        <v>131</v>
      </c>
      <c r="C103" s="43" t="s">
        <v>183</v>
      </c>
      <c r="D103" s="51" t="s">
        <v>166</v>
      </c>
      <c r="E103" s="43">
        <v>2025.0</v>
      </c>
      <c r="F103" s="43" t="s">
        <v>311</v>
      </c>
      <c r="G103" s="104"/>
      <c r="H103" s="104">
        <v>45870.0</v>
      </c>
      <c r="I103" s="43" t="s">
        <v>335</v>
      </c>
      <c r="J103" s="43" t="s">
        <v>334</v>
      </c>
      <c r="L103" s="104">
        <v>45899.0</v>
      </c>
      <c r="M103" s="113"/>
      <c r="N103" s="114">
        <v>29230.0</v>
      </c>
      <c r="O103" s="106" t="str">
        <f>IF(ISBLANK(M103), "", VLOOKUP(D103, 'Info Tipo de Cambio y REM'!$A$24:$B$35, 2, FALSE))</f>
        <v/>
      </c>
      <c r="P103" s="107">
        <f t="shared" si="2"/>
        <v>29230</v>
      </c>
    </row>
    <row r="104">
      <c r="A104" s="43" t="s">
        <v>131</v>
      </c>
      <c r="B104" s="43" t="s">
        <v>131</v>
      </c>
      <c r="C104" s="43" t="s">
        <v>183</v>
      </c>
      <c r="D104" s="51" t="s">
        <v>166</v>
      </c>
      <c r="E104" s="43">
        <v>2025.0</v>
      </c>
      <c r="F104" s="43" t="s">
        <v>305</v>
      </c>
      <c r="G104" s="104"/>
      <c r="H104" s="104">
        <v>45870.0</v>
      </c>
      <c r="I104" s="43" t="s">
        <v>336</v>
      </c>
      <c r="J104" s="43" t="s">
        <v>334</v>
      </c>
      <c r="L104" s="104">
        <v>45929.0</v>
      </c>
      <c r="M104" s="113"/>
      <c r="N104" s="114">
        <v>29230.0</v>
      </c>
      <c r="O104" s="106" t="str">
        <f>IF(ISBLANK(M104), "", VLOOKUP(D104, 'Info Tipo de Cambio y REM'!$A$24:$B$35, 2, FALSE))</f>
        <v/>
      </c>
      <c r="P104" s="107">
        <f t="shared" si="2"/>
        <v>29230</v>
      </c>
    </row>
    <row r="105">
      <c r="A105" s="43" t="s">
        <v>131</v>
      </c>
      <c r="B105" s="43" t="s">
        <v>131</v>
      </c>
      <c r="C105" s="43" t="s">
        <v>183</v>
      </c>
      <c r="D105" s="51" t="s">
        <v>166</v>
      </c>
      <c r="E105" s="43">
        <v>2025.0</v>
      </c>
      <c r="F105" s="43" t="s">
        <v>305</v>
      </c>
      <c r="G105" s="104"/>
      <c r="H105" s="104">
        <v>45870.0</v>
      </c>
      <c r="I105" s="43" t="s">
        <v>337</v>
      </c>
      <c r="J105" s="43" t="s">
        <v>334</v>
      </c>
      <c r="L105" s="104">
        <v>45960.0</v>
      </c>
      <c r="M105" s="113"/>
      <c r="N105" s="114">
        <v>29230.0</v>
      </c>
      <c r="O105" s="106" t="str">
        <f>IF(ISBLANK(M105), "", VLOOKUP(D105, 'Info Tipo de Cambio y REM'!$A$24:$B$35, 2, FALSE))</f>
        <v/>
      </c>
      <c r="P105" s="107">
        <f t="shared" si="2"/>
        <v>29230</v>
      </c>
    </row>
    <row r="106">
      <c r="A106" s="43" t="s">
        <v>131</v>
      </c>
      <c r="B106" s="43" t="s">
        <v>131</v>
      </c>
      <c r="C106" s="43" t="s">
        <v>204</v>
      </c>
      <c r="D106" s="51" t="s">
        <v>166</v>
      </c>
      <c r="E106" s="43">
        <v>2025.0</v>
      </c>
      <c r="F106" s="43" t="s">
        <v>305</v>
      </c>
      <c r="G106" s="104"/>
      <c r="H106" s="104">
        <v>45873.0</v>
      </c>
      <c r="I106" s="43" t="s">
        <v>338</v>
      </c>
      <c r="J106" s="43" t="s">
        <v>253</v>
      </c>
      <c r="L106" s="104">
        <v>45993.0</v>
      </c>
      <c r="M106" s="113"/>
      <c r="N106" s="114">
        <v>8450.0</v>
      </c>
      <c r="O106" s="106" t="str">
        <f>IF(ISBLANK(M106), "", VLOOKUP(D106, 'Info Tipo de Cambio y REM'!$A$24:$B$35, 2, FALSE))</f>
        <v/>
      </c>
      <c r="P106" s="107">
        <f t="shared" si="2"/>
        <v>8450</v>
      </c>
    </row>
    <row r="107">
      <c r="A107" s="43" t="s">
        <v>131</v>
      </c>
      <c r="B107" s="43" t="s">
        <v>131</v>
      </c>
      <c r="C107" s="43" t="s">
        <v>204</v>
      </c>
      <c r="D107" s="51" t="s">
        <v>166</v>
      </c>
      <c r="E107" s="43">
        <v>2025.0</v>
      </c>
      <c r="F107" s="43" t="s">
        <v>305</v>
      </c>
      <c r="G107" s="104"/>
      <c r="H107" s="104">
        <v>45873.0</v>
      </c>
      <c r="I107" s="43" t="s">
        <v>339</v>
      </c>
      <c r="J107" s="43" t="s">
        <v>253</v>
      </c>
      <c r="L107" s="104">
        <v>45993.0</v>
      </c>
      <c r="M107" s="113"/>
      <c r="N107" s="114">
        <v>4224.0</v>
      </c>
      <c r="O107" s="106" t="str">
        <f>IF(ISBLANK(M107), "", VLOOKUP(D107, 'Info Tipo de Cambio y REM'!$A$24:$B$35, 2, FALSE))</f>
        <v/>
      </c>
      <c r="P107" s="107">
        <f t="shared" si="2"/>
        <v>4224</v>
      </c>
    </row>
    <row r="108">
      <c r="A108" s="43" t="s">
        <v>131</v>
      </c>
      <c r="B108" s="43" t="s">
        <v>131</v>
      </c>
      <c r="C108" s="43" t="s">
        <v>206</v>
      </c>
      <c r="D108" s="51" t="s">
        <v>166</v>
      </c>
      <c r="E108" s="43">
        <v>2025.0</v>
      </c>
      <c r="F108" s="43" t="s">
        <v>305</v>
      </c>
      <c r="G108" s="104"/>
      <c r="H108" s="104">
        <v>45890.0</v>
      </c>
      <c r="I108" s="5" t="s">
        <v>340</v>
      </c>
      <c r="J108" s="43" t="s">
        <v>341</v>
      </c>
      <c r="L108" s="104">
        <v>45921.0</v>
      </c>
      <c r="M108" s="112">
        <v>2026750.0</v>
      </c>
      <c r="N108" s="107"/>
      <c r="O108" s="106" t="str">
        <f>IF(ISBLANK(M108), "", VLOOKUP(D108, 'Info Tipo de Cambio y REM'!$A$24:$B$35, 2, FALSE))</f>
        <v>#N/A</v>
      </c>
      <c r="P108" s="107" t="str">
        <f t="shared" si="2"/>
        <v>#N/A</v>
      </c>
    </row>
    <row r="109">
      <c r="A109" s="43" t="s">
        <v>131</v>
      </c>
      <c r="B109" s="43" t="s">
        <v>131</v>
      </c>
      <c r="C109" s="43" t="s">
        <v>204</v>
      </c>
      <c r="D109" s="51" t="s">
        <v>166</v>
      </c>
      <c r="E109" s="43">
        <v>2025.0</v>
      </c>
      <c r="F109" s="43" t="s">
        <v>305</v>
      </c>
      <c r="G109" s="104"/>
      <c r="H109" s="104">
        <v>45889.0</v>
      </c>
      <c r="I109" s="43" t="s">
        <v>342</v>
      </c>
      <c r="J109" s="43" t="s">
        <v>253</v>
      </c>
      <c r="L109" s="104">
        <v>46009.0</v>
      </c>
      <c r="M109" s="113"/>
      <c r="N109" s="114">
        <v>4225.0</v>
      </c>
      <c r="O109" s="106" t="str">
        <f>IF(ISBLANK(M109), "", VLOOKUP(D109, 'Info Tipo de Cambio y REM'!$A$24:$B$35, 2, FALSE))</f>
        <v/>
      </c>
      <c r="P109" s="107">
        <f t="shared" si="2"/>
        <v>4225</v>
      </c>
    </row>
    <row r="110">
      <c r="A110" s="43" t="s">
        <v>131</v>
      </c>
      <c r="B110" s="43" t="s">
        <v>131</v>
      </c>
      <c r="C110" s="43" t="s">
        <v>172</v>
      </c>
      <c r="D110" s="51" t="s">
        <v>166</v>
      </c>
      <c r="E110" s="43">
        <v>2025.0</v>
      </c>
      <c r="F110" s="43" t="s">
        <v>311</v>
      </c>
      <c r="G110" s="104"/>
      <c r="H110" s="104">
        <v>45894.0</v>
      </c>
      <c r="I110" s="43" t="s">
        <v>320</v>
      </c>
      <c r="J110" s="43" t="s">
        <v>246</v>
      </c>
      <c r="L110" s="104">
        <v>45894.0</v>
      </c>
      <c r="M110" s="113"/>
      <c r="N110" s="114">
        <v>-250.0</v>
      </c>
      <c r="O110" s="106" t="str">
        <f>IF(ISBLANK(M110), "", VLOOKUP(D110, 'Info Tipo de Cambio y REM'!$A$24:$B$35, 2, FALSE))</f>
        <v/>
      </c>
      <c r="P110" s="107">
        <f t="shared" si="2"/>
        <v>-250</v>
      </c>
    </row>
    <row r="111">
      <c r="A111" s="102"/>
      <c r="B111" s="43" t="str">
        <f t="shared" ref="B111:B115" si="6">IF(
  A111="",
  "",
  IF(
    OR(A111="Santander-Galicia-Nación", A111="Bank Of America", A111="Transferwise", A111="Custodia Socios", A111="Cheques en cartera", A111="Caja"),
    "Activo Liquido",
    IF(
      OR(A111="Otras Inversiones", A111="Santander Inversiones"),
      "Mediano Plazo",
      IF(
        A111="Clientes a cobrar",
        "Clientes a cobrar",
        "DATO NO CARGADO"
      )
    )
  )
)
</f>
        <v/>
      </c>
      <c r="C111" s="102" t="str">
        <f>IF(J111="", "", IFERROR(VLOOKUP(J111, Clasificaciones!D:E, 2, FALSE), "DATO NO CARGADO"))
</f>
        <v/>
      </c>
      <c r="D111" s="51"/>
      <c r="E111" s="102"/>
      <c r="F111" s="102"/>
      <c r="G111" s="151"/>
      <c r="H111" s="151" t="s">
        <v>366</v>
      </c>
      <c r="L111" s="103"/>
      <c r="M111" s="113"/>
      <c r="N111" s="107"/>
      <c r="O111" s="106" t="str">
        <f>IF(ISBLANK(M111), "", VLOOKUP(D111, 'Info Tipo de Cambio y REM'!$A$24:$B$35, 2, FALSE))</f>
        <v/>
      </c>
      <c r="P111" s="107" t="str">
        <f t="shared" si="2"/>
        <v/>
      </c>
    </row>
    <row r="112">
      <c r="A112" s="43" t="s">
        <v>130</v>
      </c>
      <c r="B112" s="43" t="str">
        <f t="shared" si="6"/>
        <v>Activo Liquido</v>
      </c>
      <c r="C112" s="102" t="str">
        <f>IF(J112="", "", IFERROR(VLOOKUP(J112, Clasificaciones!D:E, 2, FALSE), "DATO NO CARGADO"))
</f>
        <v/>
      </c>
      <c r="D112" s="51" t="s">
        <v>166</v>
      </c>
      <c r="E112" s="43">
        <v>2025.0</v>
      </c>
      <c r="F112" s="102"/>
      <c r="G112" s="103"/>
      <c r="H112" s="103"/>
      <c r="L112" s="103"/>
      <c r="M112" s="112">
        <v>-7314769.0</v>
      </c>
      <c r="N112" s="107"/>
      <c r="O112" s="106" t="str">
        <f>IF(ISBLANK(M112), "", VLOOKUP(D112, 'Info Tipo de Cambio y REM'!$A$24:$B$35, 2, FALSE))</f>
        <v>#N/A</v>
      </c>
      <c r="P112" s="107" t="str">
        <f t="shared" si="2"/>
        <v>#N/A</v>
      </c>
    </row>
    <row r="113">
      <c r="A113" s="43" t="s">
        <v>144</v>
      </c>
      <c r="B113" s="43" t="str">
        <f t="shared" si="6"/>
        <v>Activo Liquido</v>
      </c>
      <c r="C113" s="102" t="str">
        <f>IF(J113="", "", IFERROR(VLOOKUP(J113, Clasificaciones!D:E, 2, FALSE), "DATO NO CARGADO"))
</f>
        <v/>
      </c>
      <c r="D113" s="51" t="s">
        <v>166</v>
      </c>
      <c r="E113" s="43">
        <v>2025.0</v>
      </c>
      <c r="F113" s="102"/>
      <c r="G113" s="103"/>
      <c r="H113" s="103"/>
      <c r="L113" s="103"/>
      <c r="M113" s="113"/>
      <c r="N113" s="114">
        <v>-42553.0</v>
      </c>
      <c r="O113" s="106" t="str">
        <f>IF(ISBLANK(M113), "", VLOOKUP(D113, 'Info Tipo de Cambio y REM'!$A$24:$B$35, 2, FALSE))</f>
        <v/>
      </c>
      <c r="P113" s="107">
        <f t="shared" si="2"/>
        <v>-42553</v>
      </c>
    </row>
    <row r="114">
      <c r="A114" s="43" t="s">
        <v>150</v>
      </c>
      <c r="B114" s="43" t="str">
        <f t="shared" si="6"/>
        <v>Activo Liquido</v>
      </c>
      <c r="C114" s="102" t="str">
        <f>IF(J114="", "", IFERROR(VLOOKUP(J114, Clasificaciones!D:E, 2, FALSE), "DATO NO CARGADO"))
</f>
        <v/>
      </c>
      <c r="D114" s="51" t="s">
        <v>166</v>
      </c>
      <c r="E114" s="43">
        <v>2025.0</v>
      </c>
      <c r="F114" s="102"/>
      <c r="G114" s="103"/>
      <c r="H114" s="103"/>
      <c r="L114" s="103"/>
      <c r="M114" s="113"/>
      <c r="N114" s="114">
        <v>230.0</v>
      </c>
      <c r="O114" s="106" t="str">
        <f>IF(ISBLANK(M114), "", VLOOKUP(D114, 'Info Tipo de Cambio y REM'!$A$24:$B$35, 2, FALSE))</f>
        <v/>
      </c>
      <c r="P114" s="107">
        <f t="shared" si="2"/>
        <v>230</v>
      </c>
    </row>
    <row r="115">
      <c r="A115" s="43" t="s">
        <v>167</v>
      </c>
      <c r="B115" s="43" t="str">
        <f t="shared" si="6"/>
        <v>Mediano Plazo</v>
      </c>
      <c r="C115" s="102" t="str">
        <f>IF(J115="", "", IFERROR(VLOOKUP(J115, Clasificaciones!D:E, 2, FALSE), "DATO NO CARGADO"))
</f>
        <v/>
      </c>
      <c r="D115" s="51" t="s">
        <v>166</v>
      </c>
      <c r="E115" s="43">
        <v>2025.0</v>
      </c>
      <c r="F115" s="102"/>
      <c r="G115" s="103"/>
      <c r="H115" s="103"/>
      <c r="L115" s="103"/>
      <c r="M115" s="113"/>
      <c r="N115" s="114">
        <v>2417.0</v>
      </c>
      <c r="O115" s="106" t="str">
        <f>IF(ISBLANK(M115), "", VLOOKUP(D115, 'Info Tipo de Cambio y REM'!$A$24:$B$35, 2, FALSE))</f>
        <v/>
      </c>
      <c r="P115" s="107">
        <f t="shared" si="2"/>
        <v>2417</v>
      </c>
    </row>
    <row r="116">
      <c r="A116" s="102"/>
      <c r="B116" s="102"/>
      <c r="C116" s="102" t="str">
        <f>IF(J116="", "", IFERROR(VLOOKUP(J116, Clasificaciones!D:E, 2, FALSE), "DATO NO CARGADO"))
</f>
        <v/>
      </c>
      <c r="D116" s="51"/>
      <c r="E116" s="102"/>
      <c r="F116" s="102"/>
      <c r="G116" s="103"/>
      <c r="H116" s="103"/>
      <c r="L116" s="103"/>
      <c r="M116" s="113"/>
      <c r="N116" s="107"/>
      <c r="O116" s="106" t="str">
        <f>IF(ISBLANK(M116), "", VLOOKUP(D116, 'Info Tipo de Cambio y REM'!$A$24:$B$35, 2, FALSE))</f>
        <v/>
      </c>
      <c r="P116" s="107" t="str">
        <f t="shared" si="2"/>
        <v/>
      </c>
    </row>
    <row r="117">
      <c r="A117" s="102"/>
      <c r="B117" s="43" t="str">
        <f t="shared" ref="B117:B490" si="7">IF(
  A117="",
  "",
  IF(
    OR(A117="Santander-Galicia-Nación", A117="Bank Of America", A117="Transferwise", A117="Custodia Socios", A117="Cheques en cartera", A117="Caja"),
    "Activo Liquido",
    IF(
      OR(A117="Otras Inversiones", A117="Santander Inversiones"),
      "Mediano Plazo",
      IF(
        A117="Clientes a cobrar",
        "Clientes a cobrar",
        "DATO NO CARGADO"
      )
    )
  )
)
</f>
        <v/>
      </c>
      <c r="C117" s="102" t="str">
        <f>IF(J117="", "", IFERROR(VLOOKUP(J117, Clasificaciones!D:E, 2, FALSE), "DATO NO CARGADO"))
</f>
        <v/>
      </c>
      <c r="D117" s="51"/>
      <c r="E117" s="102"/>
      <c r="F117" s="102"/>
      <c r="G117" s="43"/>
      <c r="L117" s="103"/>
      <c r="M117" s="113"/>
      <c r="N117" s="107"/>
      <c r="O117" s="106" t="str">
        <f>IF(ISBLANK(M117), "", VLOOKUP(D117, 'Info Tipo de Cambio y REM'!$A$24:$B$35, 2, FALSE))</f>
        <v/>
      </c>
      <c r="P117" s="107" t="str">
        <f t="shared" si="2"/>
        <v/>
      </c>
    </row>
    <row r="118">
      <c r="A118" s="102"/>
      <c r="B118" s="43" t="str">
        <f t="shared" si="7"/>
        <v/>
      </c>
      <c r="C118" s="102" t="str">
        <f>IF(J118="", "", IFERROR(VLOOKUP(J118, Clasificaciones!D:E, 2, FALSE), "DATO NO CARGADO"))
</f>
        <v/>
      </c>
      <c r="D118" s="51"/>
      <c r="E118" s="102"/>
      <c r="F118" s="102"/>
      <c r="G118" s="103"/>
      <c r="H118" s="103"/>
      <c r="L118" s="103"/>
      <c r="M118" s="113"/>
      <c r="N118" s="107"/>
      <c r="O118" s="106" t="str">
        <f>IF(ISBLANK(M118), "", VLOOKUP(D118, 'Info Tipo de Cambio y REM'!$A$24:$B$35, 2, FALSE))</f>
        <v/>
      </c>
      <c r="P118" s="107" t="str">
        <f t="shared" si="2"/>
        <v/>
      </c>
    </row>
    <row r="119">
      <c r="A119" s="102"/>
      <c r="B119" s="43" t="str">
        <f t="shared" si="7"/>
        <v/>
      </c>
      <c r="C119" s="102" t="str">
        <f>IF(J119="", "", IFERROR(VLOOKUP(J119, Clasificaciones!D:E, 2, FALSE), "DATO NO CARGADO"))
</f>
        <v/>
      </c>
      <c r="D119" s="51"/>
      <c r="E119" s="102"/>
      <c r="F119" s="102"/>
      <c r="G119" s="103"/>
      <c r="H119" s="103"/>
      <c r="L119" s="103"/>
      <c r="M119" s="113"/>
      <c r="N119" s="107"/>
      <c r="O119" s="106" t="str">
        <f>IF(ISBLANK(M119), "", VLOOKUP(D119, 'Info Tipo de Cambio y REM'!$A$24:$B$35, 2, FALSE))</f>
        <v/>
      </c>
      <c r="P119" s="107" t="str">
        <f t="shared" si="2"/>
        <v/>
      </c>
    </row>
    <row r="120">
      <c r="A120" s="102"/>
      <c r="B120" s="43" t="str">
        <f t="shared" si="7"/>
        <v/>
      </c>
      <c r="C120" s="102" t="str">
        <f>IF(J120="", "", IFERROR(VLOOKUP(J120, Clasificaciones!D:E, 2, FALSE), "DATO NO CARGADO"))
</f>
        <v/>
      </c>
      <c r="D120" s="51"/>
      <c r="E120" s="102"/>
      <c r="F120" s="102"/>
      <c r="G120" s="103"/>
      <c r="H120" s="103"/>
      <c r="L120" s="103"/>
      <c r="M120" s="113"/>
      <c r="N120" s="107"/>
      <c r="O120" s="106" t="str">
        <f>IF(ISBLANK(M120), "", VLOOKUP(D120, 'Info Tipo de Cambio y REM'!$A$24:$B$35, 2, FALSE))</f>
        <v/>
      </c>
      <c r="P120" s="107" t="str">
        <f t="shared" si="2"/>
        <v/>
      </c>
    </row>
    <row r="121">
      <c r="A121" s="102"/>
      <c r="B121" s="43" t="str">
        <f t="shared" si="7"/>
        <v/>
      </c>
      <c r="C121" s="102" t="str">
        <f>IF(J121="", "", IFERROR(VLOOKUP(J121, Clasificaciones!D:E, 2, FALSE), "DATO NO CARGADO"))
</f>
        <v/>
      </c>
      <c r="D121" s="51"/>
      <c r="E121" s="102"/>
      <c r="F121" s="102"/>
      <c r="G121" s="103"/>
      <c r="H121" s="103"/>
      <c r="L121" s="103"/>
      <c r="M121" s="113"/>
      <c r="N121" s="107"/>
      <c r="O121" s="106" t="str">
        <f>IF(ISBLANK(M121), "", VLOOKUP(D121, 'Info Tipo de Cambio y REM'!$A$24:$B$35, 2, FALSE))</f>
        <v/>
      </c>
      <c r="P121" s="107" t="str">
        <f t="shared" si="2"/>
        <v/>
      </c>
    </row>
    <row r="122">
      <c r="A122" s="102"/>
      <c r="B122" s="43" t="str">
        <f t="shared" si="7"/>
        <v/>
      </c>
      <c r="C122" s="102" t="str">
        <f>IF(J122="", "", IFERROR(VLOOKUP(J122, Clasificaciones!D:E, 2, FALSE), "DATO NO CARGADO"))
</f>
        <v/>
      </c>
      <c r="D122" s="51"/>
      <c r="E122" s="102"/>
      <c r="F122" s="102"/>
      <c r="G122" s="103"/>
      <c r="H122" s="103"/>
      <c r="L122" s="103"/>
      <c r="M122" s="113"/>
      <c r="N122" s="107"/>
      <c r="O122" s="106" t="str">
        <f>IF(ISBLANK(M122), "", VLOOKUP(D122, 'Info Tipo de Cambio y REM'!$A$24:$B$35, 2, FALSE))</f>
        <v/>
      </c>
      <c r="P122" s="107" t="str">
        <f t="shared" si="2"/>
        <v/>
      </c>
    </row>
    <row r="123">
      <c r="A123" s="102"/>
      <c r="B123" s="43" t="str">
        <f t="shared" si="7"/>
        <v/>
      </c>
      <c r="C123" s="102" t="str">
        <f>IF(J123="", "", IFERROR(VLOOKUP(J123, Clasificaciones!D:E, 2, FALSE), "DATO NO CARGADO"))
</f>
        <v/>
      </c>
      <c r="D123" s="51"/>
      <c r="E123" s="102"/>
      <c r="F123" s="102"/>
      <c r="G123" s="103"/>
      <c r="H123" s="103"/>
      <c r="L123" s="103"/>
      <c r="M123" s="113"/>
      <c r="N123" s="107"/>
      <c r="O123" s="106" t="str">
        <f>IF(ISBLANK(M123), "", VLOOKUP(D123, 'Info Tipo de Cambio y REM'!$A$24:$B$35, 2, FALSE))</f>
        <v/>
      </c>
      <c r="P123" s="107" t="str">
        <f t="shared" si="2"/>
        <v/>
      </c>
    </row>
    <row r="124">
      <c r="A124" s="102"/>
      <c r="B124" s="43" t="str">
        <f t="shared" si="7"/>
        <v/>
      </c>
      <c r="C124" s="102" t="str">
        <f>IF(J124="", "", IFERROR(VLOOKUP(J124, Clasificaciones!D:E, 2, FALSE), "DATO NO CARGADO"))
</f>
        <v/>
      </c>
      <c r="D124" s="51"/>
      <c r="E124" s="102"/>
      <c r="F124" s="102"/>
      <c r="G124" s="103"/>
      <c r="H124" s="103"/>
      <c r="L124" s="103"/>
      <c r="M124" s="113"/>
      <c r="N124" s="107"/>
      <c r="O124" s="106" t="str">
        <f>IF(ISBLANK(M124), "", VLOOKUP(D124, 'Info Tipo de Cambio y REM'!$A$24:$B$35, 2, FALSE))</f>
        <v/>
      </c>
      <c r="P124" s="107" t="str">
        <f t="shared" si="2"/>
        <v/>
      </c>
    </row>
    <row r="125">
      <c r="A125" s="102"/>
      <c r="B125" s="43" t="str">
        <f t="shared" si="7"/>
        <v/>
      </c>
      <c r="C125" s="102" t="str">
        <f>IF(J125="", "", IFERROR(VLOOKUP(J125, Clasificaciones!D:E, 2, FALSE), "DATO NO CARGADO"))
</f>
        <v/>
      </c>
      <c r="D125" s="51"/>
      <c r="E125" s="102"/>
      <c r="F125" s="102"/>
      <c r="G125" s="103"/>
      <c r="H125" s="103"/>
      <c r="L125" s="103"/>
      <c r="M125" s="113"/>
      <c r="N125" s="107"/>
      <c r="O125" s="106" t="str">
        <f>IF(ISBLANK(M125), "", VLOOKUP(D125, 'Info Tipo de Cambio y REM'!$A$24:$B$35, 2, FALSE))</f>
        <v/>
      </c>
      <c r="P125" s="107" t="str">
        <f t="shared" si="2"/>
        <v/>
      </c>
    </row>
    <row r="126">
      <c r="A126" s="102"/>
      <c r="B126" s="43" t="str">
        <f t="shared" si="7"/>
        <v/>
      </c>
      <c r="C126" s="102" t="str">
        <f>IF(J126="", "", IFERROR(VLOOKUP(J126, Clasificaciones!D:E, 2, FALSE), "DATO NO CARGADO"))
</f>
        <v/>
      </c>
      <c r="D126" s="51"/>
      <c r="E126" s="102"/>
      <c r="F126" s="102"/>
      <c r="G126" s="103"/>
      <c r="H126" s="103"/>
      <c r="L126" s="103"/>
      <c r="M126" s="113"/>
      <c r="N126" s="107"/>
      <c r="O126" s="106" t="str">
        <f>IF(ISBLANK(M126), "", VLOOKUP(D126, 'Info Tipo de Cambio y REM'!$A$24:$B$35, 2, FALSE))</f>
        <v/>
      </c>
      <c r="P126" s="107" t="str">
        <f t="shared" si="2"/>
        <v/>
      </c>
    </row>
    <row r="127">
      <c r="A127" s="102"/>
      <c r="B127" s="43" t="str">
        <f t="shared" si="7"/>
        <v/>
      </c>
      <c r="C127" s="102" t="str">
        <f>IF(J127="", "", IFERROR(VLOOKUP(J127, Clasificaciones!D:E, 2, FALSE), "DATO NO CARGADO"))
</f>
        <v/>
      </c>
      <c r="D127" s="51"/>
      <c r="E127" s="102"/>
      <c r="F127" s="102"/>
      <c r="G127" s="103"/>
      <c r="H127" s="103"/>
      <c r="L127" s="103"/>
      <c r="M127" s="113"/>
      <c r="N127" s="107"/>
      <c r="O127" s="106" t="str">
        <f>IF(ISBLANK(M127), "", VLOOKUP(D127, 'Info Tipo de Cambio y REM'!$A$24:$B$35, 2, FALSE))</f>
        <v/>
      </c>
      <c r="P127" s="107" t="str">
        <f t="shared" si="2"/>
        <v/>
      </c>
    </row>
    <row r="128">
      <c r="A128" s="102"/>
      <c r="B128" s="43" t="str">
        <f t="shared" si="7"/>
        <v/>
      </c>
      <c r="C128" s="102" t="str">
        <f>IF(J128="", "", IFERROR(VLOOKUP(J128, Clasificaciones!D:E, 2, FALSE), "DATO NO CARGADO"))
</f>
        <v/>
      </c>
      <c r="D128" s="51"/>
      <c r="E128" s="102"/>
      <c r="F128" s="102"/>
      <c r="G128" s="103"/>
      <c r="H128" s="103"/>
      <c r="L128" s="103"/>
      <c r="M128" s="113"/>
      <c r="N128" s="107"/>
      <c r="O128" s="106" t="str">
        <f>IF(ISBLANK(M128), "", VLOOKUP(D128, 'Info Tipo de Cambio y REM'!$A$24:$B$35, 2, FALSE))</f>
        <v/>
      </c>
      <c r="P128" s="107" t="str">
        <f t="shared" si="2"/>
        <v/>
      </c>
    </row>
    <row r="129">
      <c r="A129" s="102"/>
      <c r="B129" s="43" t="str">
        <f t="shared" si="7"/>
        <v/>
      </c>
      <c r="C129" s="102" t="str">
        <f>IF(J129="", "", IFERROR(VLOOKUP(J129, Clasificaciones!D:E, 2, FALSE), "DATO NO CARGADO"))
</f>
        <v/>
      </c>
      <c r="D129" s="51"/>
      <c r="E129" s="102"/>
      <c r="F129" s="102"/>
      <c r="G129" s="103"/>
      <c r="H129" s="103"/>
      <c r="L129" s="103"/>
      <c r="M129" s="113"/>
      <c r="N129" s="107"/>
      <c r="O129" s="106" t="str">
        <f>IF(ISBLANK(M129), "", VLOOKUP(D129, 'Info Tipo de Cambio y REM'!$A$24:$B$35, 2, FALSE))</f>
        <v/>
      </c>
      <c r="P129" s="107" t="str">
        <f t="shared" si="2"/>
        <v/>
      </c>
    </row>
    <row r="130">
      <c r="A130" s="102"/>
      <c r="B130" s="43" t="str">
        <f t="shared" si="7"/>
        <v/>
      </c>
      <c r="C130" s="102" t="str">
        <f>IF(J130="", "", IFERROR(VLOOKUP(J130, Clasificaciones!D:E, 2, FALSE), "DATO NO CARGADO"))
</f>
        <v/>
      </c>
      <c r="D130" s="51"/>
      <c r="E130" s="102"/>
      <c r="F130" s="102"/>
      <c r="G130" s="103"/>
      <c r="H130" s="103"/>
      <c r="L130" s="103"/>
      <c r="M130" s="113"/>
      <c r="N130" s="107"/>
      <c r="O130" s="106" t="str">
        <f>IF(ISBLANK(M130), "", VLOOKUP(D130, 'Info Tipo de Cambio y REM'!$A$24:$B$35, 2, FALSE))</f>
        <v/>
      </c>
      <c r="P130" s="107" t="str">
        <f t="shared" si="2"/>
        <v/>
      </c>
    </row>
    <row r="131">
      <c r="A131" s="102"/>
      <c r="B131" s="43" t="str">
        <f t="shared" si="7"/>
        <v/>
      </c>
      <c r="C131" s="102" t="str">
        <f>IF(J131="", "", IFERROR(VLOOKUP(J131, Clasificaciones!D:E, 2, FALSE), "DATO NO CARGADO"))
</f>
        <v/>
      </c>
      <c r="D131" s="51"/>
      <c r="E131" s="102"/>
      <c r="F131" s="102"/>
      <c r="G131" s="103"/>
      <c r="H131" s="103"/>
      <c r="L131" s="103"/>
      <c r="M131" s="113"/>
      <c r="N131" s="107"/>
      <c r="O131" s="106" t="str">
        <f>IF(ISBLANK(M131), "", VLOOKUP(D131, 'Info Tipo de Cambio y REM'!$A$24:$B$35, 2, FALSE))</f>
        <v/>
      </c>
      <c r="P131" s="107" t="str">
        <f t="shared" si="2"/>
        <v/>
      </c>
    </row>
    <row r="132">
      <c r="A132" s="102"/>
      <c r="B132" s="43" t="str">
        <f t="shared" si="7"/>
        <v/>
      </c>
      <c r="C132" s="102" t="str">
        <f>IF(J132="", "", IFERROR(VLOOKUP(J132, Clasificaciones!D:E, 2, FALSE), "DATO NO CARGADO"))
</f>
        <v/>
      </c>
      <c r="D132" s="51"/>
      <c r="E132" s="102"/>
      <c r="F132" s="102"/>
      <c r="G132" s="103"/>
      <c r="H132" s="103"/>
      <c r="L132" s="103"/>
      <c r="M132" s="113"/>
      <c r="N132" s="107"/>
      <c r="O132" s="106" t="str">
        <f>IF(ISBLANK(M132), "", VLOOKUP(D132, 'Info Tipo de Cambio y REM'!$A$24:$B$35, 2, FALSE))</f>
        <v/>
      </c>
      <c r="P132" s="107" t="str">
        <f t="shared" si="2"/>
        <v/>
      </c>
    </row>
    <row r="133">
      <c r="A133" s="102"/>
      <c r="B133" s="43" t="str">
        <f t="shared" si="7"/>
        <v/>
      </c>
      <c r="C133" s="102" t="str">
        <f>IF(J133="", "", IFERROR(VLOOKUP(J133, Clasificaciones!D:E, 2, FALSE), "DATO NO CARGADO"))
</f>
        <v/>
      </c>
      <c r="D133" s="51"/>
      <c r="E133" s="102"/>
      <c r="F133" s="102"/>
      <c r="G133" s="103"/>
      <c r="H133" s="103"/>
      <c r="L133" s="103"/>
      <c r="M133" s="113"/>
      <c r="N133" s="107"/>
      <c r="O133" s="106" t="str">
        <f>IF(ISBLANK(M133), "", VLOOKUP(D133, 'Info Tipo de Cambio y REM'!$A$24:$B$35, 2, FALSE))</f>
        <v/>
      </c>
      <c r="P133" s="107" t="str">
        <f t="shared" si="2"/>
        <v/>
      </c>
    </row>
    <row r="134">
      <c r="A134" s="102"/>
      <c r="B134" s="43" t="str">
        <f t="shared" si="7"/>
        <v/>
      </c>
      <c r="C134" s="102" t="str">
        <f>IF(J134="", "", IFERROR(VLOOKUP(J134, Clasificaciones!D:E, 2, FALSE), "DATO NO CARGADO"))
</f>
        <v/>
      </c>
      <c r="D134" s="51"/>
      <c r="E134" s="102"/>
      <c r="F134" s="102"/>
      <c r="G134" s="103"/>
      <c r="H134" s="103"/>
      <c r="L134" s="103"/>
      <c r="M134" s="113"/>
      <c r="N134" s="107"/>
      <c r="O134" s="106" t="str">
        <f>IF(ISBLANK(M134), "", VLOOKUP(D134, 'Info Tipo de Cambio y REM'!$A$24:$B$35, 2, FALSE))</f>
        <v/>
      </c>
      <c r="P134" s="107" t="str">
        <f t="shared" si="2"/>
        <v/>
      </c>
    </row>
    <row r="135">
      <c r="A135" s="102"/>
      <c r="B135" s="43" t="str">
        <f t="shared" si="7"/>
        <v/>
      </c>
      <c r="C135" s="102" t="str">
        <f>IF(J135="", "", IFERROR(VLOOKUP(J135, Clasificaciones!D:E, 2, FALSE), "DATO NO CARGADO"))
</f>
        <v/>
      </c>
      <c r="D135" s="51"/>
      <c r="E135" s="102"/>
      <c r="F135" s="102"/>
      <c r="G135" s="103"/>
      <c r="H135" s="103"/>
      <c r="L135" s="103"/>
      <c r="M135" s="113"/>
      <c r="N135" s="107"/>
      <c r="O135" s="106" t="str">
        <f>IF(ISBLANK(M135), "", VLOOKUP(D135, 'Info Tipo de Cambio y REM'!$A$24:$B$35, 2, FALSE))</f>
        <v/>
      </c>
      <c r="P135" s="107" t="str">
        <f t="shared" si="2"/>
        <v/>
      </c>
    </row>
    <row r="136">
      <c r="A136" s="102"/>
      <c r="B136" s="43" t="str">
        <f t="shared" si="7"/>
        <v/>
      </c>
      <c r="C136" s="102" t="str">
        <f>IF(J136="", "", IFERROR(VLOOKUP(J136, Clasificaciones!D:E, 2, FALSE), "DATO NO CARGADO"))
</f>
        <v/>
      </c>
      <c r="D136" s="51"/>
      <c r="E136" s="102"/>
      <c r="F136" s="102"/>
      <c r="G136" s="103"/>
      <c r="H136" s="103"/>
      <c r="L136" s="103"/>
      <c r="M136" s="113"/>
      <c r="N136" s="107"/>
      <c r="O136" s="106" t="str">
        <f>IF(ISBLANK(M136), "", VLOOKUP(D136, 'Info Tipo de Cambio y REM'!$A$24:$B$35, 2, FALSE))</f>
        <v/>
      </c>
      <c r="P136" s="107" t="str">
        <f t="shared" si="2"/>
        <v/>
      </c>
    </row>
    <row r="137">
      <c r="A137" s="102"/>
      <c r="B137" s="43" t="str">
        <f t="shared" si="7"/>
        <v/>
      </c>
      <c r="C137" s="102" t="str">
        <f>IF(J137="", "", IFERROR(VLOOKUP(J137, Clasificaciones!D:E, 2, FALSE), "DATO NO CARGADO"))
</f>
        <v/>
      </c>
      <c r="D137" s="51"/>
      <c r="E137" s="102"/>
      <c r="F137" s="102"/>
      <c r="G137" s="103"/>
      <c r="H137" s="103"/>
      <c r="L137" s="103"/>
      <c r="M137" s="113"/>
      <c r="N137" s="107"/>
      <c r="O137" s="106" t="str">
        <f>IF(ISBLANK(M137), "", VLOOKUP(D137, 'Info Tipo de Cambio y REM'!$A$24:$B$35, 2, FALSE))</f>
        <v/>
      </c>
      <c r="P137" s="107" t="str">
        <f t="shared" si="2"/>
        <v/>
      </c>
    </row>
    <row r="138">
      <c r="A138" s="102"/>
      <c r="B138" s="43" t="str">
        <f t="shared" si="7"/>
        <v/>
      </c>
      <c r="C138" s="102" t="str">
        <f>IF(J138="", "", IFERROR(VLOOKUP(J138, Clasificaciones!D:E, 2, FALSE), "DATO NO CARGADO"))
</f>
        <v/>
      </c>
      <c r="D138" s="51"/>
      <c r="E138" s="102"/>
      <c r="F138" s="102"/>
      <c r="G138" s="103"/>
      <c r="H138" s="103"/>
      <c r="L138" s="103"/>
      <c r="M138" s="113"/>
      <c r="N138" s="107"/>
      <c r="O138" s="106" t="str">
        <f>IF(ISBLANK(M138), "", VLOOKUP(D138, 'Info Tipo de Cambio y REM'!$A$24:$B$35, 2, FALSE))</f>
        <v/>
      </c>
      <c r="P138" s="107" t="str">
        <f t="shared" si="2"/>
        <v/>
      </c>
    </row>
    <row r="139">
      <c r="A139" s="102"/>
      <c r="B139" s="43" t="str">
        <f t="shared" si="7"/>
        <v/>
      </c>
      <c r="C139" s="102" t="str">
        <f>IF(J139="", "", IFERROR(VLOOKUP(J139, Clasificaciones!D:E, 2, FALSE), "DATO NO CARGADO"))
</f>
        <v/>
      </c>
      <c r="D139" s="51"/>
      <c r="E139" s="102"/>
      <c r="F139" s="102"/>
      <c r="G139" s="103"/>
      <c r="H139" s="103"/>
      <c r="L139" s="103"/>
      <c r="M139" s="113"/>
      <c r="N139" s="107"/>
      <c r="O139" s="106" t="str">
        <f>IF(ISBLANK(M139), "", VLOOKUP(D139, 'Info Tipo de Cambio y REM'!$A$24:$B$35, 2, FALSE))</f>
        <v/>
      </c>
      <c r="P139" s="107" t="str">
        <f t="shared" si="2"/>
        <v/>
      </c>
    </row>
    <row r="140">
      <c r="A140" s="102"/>
      <c r="B140" s="43" t="str">
        <f t="shared" si="7"/>
        <v/>
      </c>
      <c r="C140" s="102" t="str">
        <f>IF(J140="", "", IFERROR(VLOOKUP(J140, Clasificaciones!D:E, 2, FALSE), "DATO NO CARGADO"))
</f>
        <v/>
      </c>
      <c r="D140" s="51"/>
      <c r="E140" s="102"/>
      <c r="F140" s="102"/>
      <c r="G140" s="103"/>
      <c r="H140" s="103"/>
      <c r="L140" s="103"/>
      <c r="M140" s="113"/>
      <c r="N140" s="107"/>
      <c r="O140" s="106" t="str">
        <f>IF(ISBLANK(M140), "", VLOOKUP(D140, 'Info Tipo de Cambio y REM'!$A$24:$B$35, 2, FALSE))</f>
        <v/>
      </c>
      <c r="P140" s="107" t="str">
        <f t="shared" si="2"/>
        <v/>
      </c>
    </row>
    <row r="141">
      <c r="A141" s="102"/>
      <c r="B141" s="43" t="str">
        <f t="shared" si="7"/>
        <v/>
      </c>
      <c r="C141" s="102" t="str">
        <f>IF(J141="", "", IFERROR(VLOOKUP(J141, Clasificaciones!D:E, 2, FALSE), "DATO NO CARGADO"))
</f>
        <v/>
      </c>
      <c r="D141" s="51"/>
      <c r="E141" s="102"/>
      <c r="F141" s="102"/>
      <c r="G141" s="103"/>
      <c r="H141" s="103"/>
      <c r="L141" s="103"/>
      <c r="M141" s="113"/>
      <c r="N141" s="107"/>
      <c r="O141" s="106" t="str">
        <f>IF(ISBLANK(M141), "", VLOOKUP(D141, 'Info Tipo de Cambio y REM'!$A$24:$B$35, 2, FALSE))</f>
        <v/>
      </c>
      <c r="P141" s="107" t="str">
        <f t="shared" si="2"/>
        <v/>
      </c>
    </row>
    <row r="142">
      <c r="A142" s="102"/>
      <c r="B142" s="43" t="str">
        <f t="shared" si="7"/>
        <v/>
      </c>
      <c r="C142" s="102" t="str">
        <f>IF(J142="", "", IFERROR(VLOOKUP(J142, Clasificaciones!D:E, 2, FALSE), "DATO NO CARGADO"))
</f>
        <v/>
      </c>
      <c r="D142" s="51"/>
      <c r="E142" s="102"/>
      <c r="F142" s="102"/>
      <c r="G142" s="103"/>
      <c r="H142" s="103"/>
      <c r="L142" s="103"/>
      <c r="M142" s="113"/>
      <c r="N142" s="107"/>
      <c r="O142" s="106" t="str">
        <f>IF(ISBLANK(M142), "", VLOOKUP(D142, 'Info Tipo de Cambio y REM'!$A$24:$B$35, 2, FALSE))</f>
        <v/>
      </c>
      <c r="P142" s="107" t="str">
        <f t="shared" si="2"/>
        <v/>
      </c>
    </row>
    <row r="143">
      <c r="A143" s="102"/>
      <c r="B143" s="43" t="str">
        <f t="shared" si="7"/>
        <v/>
      </c>
      <c r="C143" s="102" t="str">
        <f>IF(J143="", "", IFERROR(VLOOKUP(J143, Clasificaciones!D:E, 2, FALSE), "DATO NO CARGADO"))
</f>
        <v/>
      </c>
      <c r="D143" s="51"/>
      <c r="E143" s="102"/>
      <c r="F143" s="102"/>
      <c r="G143" s="103"/>
      <c r="H143" s="103"/>
      <c r="L143" s="103"/>
      <c r="M143" s="113"/>
      <c r="N143" s="107"/>
      <c r="O143" s="106" t="str">
        <f>IF(ISBLANK(M143), "", VLOOKUP(D143, 'Info Tipo de Cambio y REM'!$A$24:$B$35, 2, FALSE))</f>
        <v/>
      </c>
      <c r="P143" s="107" t="str">
        <f t="shared" si="2"/>
        <v/>
      </c>
    </row>
    <row r="144">
      <c r="A144" s="102"/>
      <c r="B144" s="43" t="str">
        <f t="shared" si="7"/>
        <v/>
      </c>
      <c r="C144" s="102" t="str">
        <f>IF(J144="", "", IFERROR(VLOOKUP(J144, Clasificaciones!D:E, 2, FALSE), "DATO NO CARGADO"))
</f>
        <v/>
      </c>
      <c r="D144" s="51"/>
      <c r="E144" s="102"/>
      <c r="F144" s="102"/>
      <c r="G144" s="103"/>
      <c r="H144" s="103"/>
      <c r="L144" s="103"/>
      <c r="M144" s="113"/>
      <c r="N144" s="107"/>
      <c r="O144" s="106" t="str">
        <f>IF(ISBLANK(M144), "", VLOOKUP(D144, 'Info Tipo de Cambio y REM'!$A$24:$B$35, 2, FALSE))</f>
        <v/>
      </c>
      <c r="P144" s="107" t="str">
        <f t="shared" si="2"/>
        <v/>
      </c>
    </row>
    <row r="145">
      <c r="A145" s="102"/>
      <c r="B145" s="43" t="str">
        <f t="shared" si="7"/>
        <v/>
      </c>
      <c r="C145" s="102" t="str">
        <f>IF(J145="", "", IFERROR(VLOOKUP(J145, Clasificaciones!D:E, 2, FALSE), "DATO NO CARGADO"))
</f>
        <v/>
      </c>
      <c r="D145" s="51"/>
      <c r="E145" s="102"/>
      <c r="F145" s="102"/>
      <c r="G145" s="103"/>
      <c r="H145" s="103"/>
      <c r="L145" s="103"/>
      <c r="M145" s="113"/>
      <c r="N145" s="107"/>
      <c r="O145" s="106" t="str">
        <f>IF(ISBLANK(M145), "", VLOOKUP(D145, 'Info Tipo de Cambio y REM'!$A$24:$B$35, 2, FALSE))</f>
        <v/>
      </c>
      <c r="P145" s="107" t="str">
        <f t="shared" si="2"/>
        <v/>
      </c>
    </row>
    <row r="146">
      <c r="A146" s="102"/>
      <c r="B146" s="43" t="str">
        <f t="shared" si="7"/>
        <v/>
      </c>
      <c r="C146" s="102" t="str">
        <f>IF(J146="", "", IFERROR(VLOOKUP(J146, Clasificaciones!D:E, 2, FALSE), "DATO NO CARGADO"))
</f>
        <v/>
      </c>
      <c r="D146" s="51"/>
      <c r="E146" s="102"/>
      <c r="F146" s="102"/>
      <c r="G146" s="103"/>
      <c r="H146" s="103"/>
      <c r="L146" s="103"/>
      <c r="M146" s="113"/>
      <c r="N146" s="107"/>
      <c r="O146" s="106" t="str">
        <f>IF(ISBLANK(M146), "", VLOOKUP(D146, 'Info Tipo de Cambio y REM'!$A$24:$B$35, 2, FALSE))</f>
        <v/>
      </c>
      <c r="P146" s="107" t="str">
        <f t="shared" si="2"/>
        <v/>
      </c>
    </row>
    <row r="147">
      <c r="A147" s="102"/>
      <c r="B147" s="43" t="str">
        <f t="shared" si="7"/>
        <v/>
      </c>
      <c r="C147" s="102" t="str">
        <f>IF(J147="", "", IFERROR(VLOOKUP(J147, Clasificaciones!D:E, 2, FALSE), "DATO NO CARGADO"))
</f>
        <v/>
      </c>
      <c r="D147" s="51"/>
      <c r="E147" s="102"/>
      <c r="F147" s="102"/>
      <c r="G147" s="103"/>
      <c r="H147" s="103"/>
      <c r="L147" s="103"/>
      <c r="M147" s="113"/>
      <c r="N147" s="107"/>
      <c r="O147" s="106" t="str">
        <f>IF(ISBLANK(M147), "", VLOOKUP(D147, 'Info Tipo de Cambio y REM'!$A$24:$B$35, 2, FALSE))</f>
        <v/>
      </c>
      <c r="P147" s="107" t="str">
        <f t="shared" si="2"/>
        <v/>
      </c>
    </row>
    <row r="148">
      <c r="A148" s="102"/>
      <c r="B148" s="43" t="str">
        <f t="shared" si="7"/>
        <v/>
      </c>
      <c r="C148" s="102" t="str">
        <f>IF(J148="", "", IFERROR(VLOOKUP(J148, Clasificaciones!D:E, 2, FALSE), "DATO NO CARGADO"))
</f>
        <v/>
      </c>
      <c r="D148" s="51"/>
      <c r="E148" s="102"/>
      <c r="F148" s="102"/>
      <c r="G148" s="103"/>
      <c r="H148" s="103"/>
      <c r="L148" s="103"/>
      <c r="M148" s="113"/>
      <c r="N148" s="107"/>
      <c r="O148" s="106" t="str">
        <f>IF(ISBLANK(M148), "", VLOOKUP(D148, 'Info Tipo de Cambio y REM'!$A$24:$B$35, 2, FALSE))</f>
        <v/>
      </c>
      <c r="P148" s="107" t="str">
        <f t="shared" si="2"/>
        <v/>
      </c>
    </row>
    <row r="149">
      <c r="A149" s="102"/>
      <c r="B149" s="43" t="str">
        <f t="shared" si="7"/>
        <v/>
      </c>
      <c r="C149" s="102" t="str">
        <f>IF(J149="", "", IFERROR(VLOOKUP(J149, Clasificaciones!D:E, 2, FALSE), "DATO NO CARGADO"))
</f>
        <v/>
      </c>
      <c r="D149" s="51"/>
      <c r="E149" s="102"/>
      <c r="F149" s="102"/>
      <c r="G149" s="103"/>
      <c r="H149" s="103"/>
      <c r="L149" s="103"/>
      <c r="M149" s="113"/>
      <c r="N149" s="107"/>
      <c r="O149" s="106" t="str">
        <f>IF(ISBLANK(M149), "", VLOOKUP(D149, 'Info Tipo de Cambio y REM'!$A$24:$B$35, 2, FALSE))</f>
        <v/>
      </c>
      <c r="P149" s="107" t="str">
        <f t="shared" si="2"/>
        <v/>
      </c>
    </row>
    <row r="150">
      <c r="A150" s="102"/>
      <c r="B150" s="43" t="str">
        <f t="shared" si="7"/>
        <v/>
      </c>
      <c r="C150" s="102" t="str">
        <f>IF(J150="", "", IFERROR(VLOOKUP(J150, Clasificaciones!D:E, 2, FALSE), "DATO NO CARGADO"))
</f>
        <v/>
      </c>
      <c r="D150" s="51"/>
      <c r="E150" s="102"/>
      <c r="F150" s="102"/>
      <c r="G150" s="103"/>
      <c r="H150" s="103"/>
      <c r="L150" s="103"/>
      <c r="M150" s="113"/>
      <c r="N150" s="107"/>
      <c r="O150" s="106" t="str">
        <f>IF(ISBLANK(M150), "", VLOOKUP(D150, 'Info Tipo de Cambio y REM'!$A$24:$B$35, 2, FALSE))</f>
        <v/>
      </c>
      <c r="P150" s="107" t="str">
        <f t="shared" si="2"/>
        <v/>
      </c>
    </row>
    <row r="151">
      <c r="A151" s="102"/>
      <c r="B151" s="43" t="str">
        <f t="shared" si="7"/>
        <v/>
      </c>
      <c r="C151" s="102" t="str">
        <f>IF(J151="", "", IFERROR(VLOOKUP(J151, Clasificaciones!D:E, 2, FALSE), "DATO NO CARGADO"))
</f>
        <v/>
      </c>
      <c r="D151" s="51"/>
      <c r="E151" s="102"/>
      <c r="F151" s="102"/>
      <c r="G151" s="103"/>
      <c r="H151" s="103"/>
      <c r="L151" s="103"/>
      <c r="M151" s="113"/>
      <c r="N151" s="107"/>
      <c r="O151" s="106" t="str">
        <f>IF(ISBLANK(M151), "", VLOOKUP(D151, 'Info Tipo de Cambio y REM'!$A$24:$B$35, 2, FALSE))</f>
        <v/>
      </c>
      <c r="P151" s="107" t="str">
        <f t="shared" si="2"/>
        <v/>
      </c>
    </row>
    <row r="152">
      <c r="A152" s="102"/>
      <c r="B152" s="43" t="str">
        <f t="shared" si="7"/>
        <v/>
      </c>
      <c r="C152" s="102" t="str">
        <f>IF(J152="", "", IFERROR(VLOOKUP(J152, Clasificaciones!D:E, 2, FALSE), "DATO NO CARGADO"))
</f>
        <v/>
      </c>
      <c r="D152" s="51"/>
      <c r="E152" s="102"/>
      <c r="F152" s="102"/>
      <c r="G152" s="103"/>
      <c r="H152" s="103"/>
      <c r="L152" s="103"/>
      <c r="M152" s="113"/>
      <c r="N152" s="107"/>
      <c r="O152" s="106" t="str">
        <f>IF(ISBLANK(M152), "", VLOOKUP(D152, 'Info Tipo de Cambio y REM'!$A$24:$B$35, 2, FALSE))</f>
        <v/>
      </c>
      <c r="P152" s="107" t="str">
        <f t="shared" si="2"/>
        <v/>
      </c>
    </row>
    <row r="153">
      <c r="A153" s="102"/>
      <c r="B153" s="43" t="str">
        <f t="shared" si="7"/>
        <v/>
      </c>
      <c r="C153" s="102" t="str">
        <f>IF(J153="", "", IFERROR(VLOOKUP(J153, Clasificaciones!D:E, 2, FALSE), "DATO NO CARGADO"))
</f>
        <v/>
      </c>
      <c r="D153" s="51"/>
      <c r="E153" s="102"/>
      <c r="F153" s="102"/>
      <c r="G153" s="103"/>
      <c r="H153" s="103"/>
      <c r="L153" s="103"/>
      <c r="M153" s="113"/>
      <c r="N153" s="107"/>
      <c r="O153" s="106" t="str">
        <f>IF(ISBLANK(M153), "", VLOOKUP(D153, 'Info Tipo de Cambio y REM'!$A$24:$B$35, 2, FALSE))</f>
        <v/>
      </c>
      <c r="P153" s="107" t="str">
        <f t="shared" si="2"/>
        <v/>
      </c>
    </row>
    <row r="154">
      <c r="A154" s="102"/>
      <c r="B154" s="43" t="str">
        <f t="shared" si="7"/>
        <v/>
      </c>
      <c r="C154" s="102" t="str">
        <f>IF(J154="", "", IFERROR(VLOOKUP(J154, Clasificaciones!D:E, 2, FALSE), "DATO NO CARGADO"))
</f>
        <v/>
      </c>
      <c r="D154" s="51"/>
      <c r="E154" s="102"/>
      <c r="F154" s="102"/>
      <c r="G154" s="103"/>
      <c r="H154" s="103"/>
      <c r="L154" s="103"/>
      <c r="M154" s="113"/>
      <c r="N154" s="107"/>
      <c r="O154" s="106" t="str">
        <f>IF(ISBLANK(M154), "", VLOOKUP(D154, 'Info Tipo de Cambio y REM'!$A$24:$B$35, 2, FALSE))</f>
        <v/>
      </c>
      <c r="P154" s="107" t="str">
        <f t="shared" si="2"/>
        <v/>
      </c>
    </row>
    <row r="155">
      <c r="A155" s="102"/>
      <c r="B155" s="43" t="str">
        <f t="shared" si="7"/>
        <v/>
      </c>
      <c r="C155" s="102" t="str">
        <f>IF(J155="", "", IFERROR(VLOOKUP(J155, Clasificaciones!D:E, 2, FALSE), "DATO NO CARGADO"))
</f>
        <v/>
      </c>
      <c r="D155" s="51"/>
      <c r="E155" s="102"/>
      <c r="F155" s="102"/>
      <c r="G155" s="103"/>
      <c r="H155" s="103"/>
      <c r="L155" s="103"/>
      <c r="M155" s="113"/>
      <c r="N155" s="107"/>
      <c r="O155" s="106" t="str">
        <f>IF(ISBLANK(M155), "", VLOOKUP(D155, 'Info Tipo de Cambio y REM'!$A$24:$B$35, 2, FALSE))</f>
        <v/>
      </c>
      <c r="P155" s="107" t="str">
        <f t="shared" si="2"/>
        <v/>
      </c>
    </row>
    <row r="156">
      <c r="A156" s="102"/>
      <c r="B156" s="43" t="str">
        <f t="shared" si="7"/>
        <v/>
      </c>
      <c r="C156" s="102" t="str">
        <f>IF(J156="", "", IFERROR(VLOOKUP(J156, Clasificaciones!D:E, 2, FALSE), "DATO NO CARGADO"))
</f>
        <v/>
      </c>
      <c r="D156" s="51"/>
      <c r="E156" s="102"/>
      <c r="F156" s="102"/>
      <c r="G156" s="103"/>
      <c r="H156" s="103"/>
      <c r="L156" s="103"/>
      <c r="M156" s="113"/>
      <c r="N156" s="107"/>
      <c r="O156" s="106" t="str">
        <f>IF(ISBLANK(M156), "", VLOOKUP(D156, 'Info Tipo de Cambio y REM'!$A$24:$B$35, 2, FALSE))</f>
        <v/>
      </c>
      <c r="P156" s="107" t="str">
        <f t="shared" si="2"/>
        <v/>
      </c>
    </row>
    <row r="157">
      <c r="A157" s="102"/>
      <c r="B157" s="43" t="str">
        <f t="shared" si="7"/>
        <v/>
      </c>
      <c r="C157" s="102" t="str">
        <f>IF(J157="", "", IFERROR(VLOOKUP(J157, Clasificaciones!D:E, 2, FALSE), "DATO NO CARGADO"))
</f>
        <v/>
      </c>
      <c r="D157" s="51"/>
      <c r="E157" s="102"/>
      <c r="F157" s="102"/>
      <c r="G157" s="103"/>
      <c r="H157" s="103"/>
      <c r="L157" s="103"/>
      <c r="M157" s="113"/>
      <c r="N157" s="107"/>
      <c r="O157" s="106" t="str">
        <f>IF(ISBLANK(M157), "", VLOOKUP(D157, 'Info Tipo de Cambio y REM'!$A$24:$B$35, 2, FALSE))</f>
        <v/>
      </c>
      <c r="P157" s="107" t="str">
        <f t="shared" si="2"/>
        <v/>
      </c>
    </row>
    <row r="158">
      <c r="A158" s="102"/>
      <c r="B158" s="43" t="str">
        <f t="shared" si="7"/>
        <v/>
      </c>
      <c r="C158" s="102" t="str">
        <f>IF(J158="", "", IFERROR(VLOOKUP(J158, Clasificaciones!D:E, 2, FALSE), "DATO NO CARGADO"))
</f>
        <v/>
      </c>
      <c r="D158" s="51"/>
      <c r="E158" s="102"/>
      <c r="F158" s="102"/>
      <c r="G158" s="103"/>
      <c r="H158" s="103"/>
      <c r="L158" s="103"/>
      <c r="M158" s="113"/>
      <c r="N158" s="107"/>
      <c r="O158" s="106" t="str">
        <f>IF(ISBLANK(M158), "", VLOOKUP(D158, 'Info Tipo de Cambio y REM'!$A$24:$B$35, 2, FALSE))</f>
        <v/>
      </c>
      <c r="P158" s="107" t="str">
        <f t="shared" si="2"/>
        <v/>
      </c>
    </row>
    <row r="159">
      <c r="A159" s="102"/>
      <c r="B159" s="43" t="str">
        <f t="shared" si="7"/>
        <v/>
      </c>
      <c r="C159" s="102" t="str">
        <f>IF(J159="", "", IFERROR(VLOOKUP(J159, Clasificaciones!D:E, 2, FALSE), "DATO NO CARGADO"))
</f>
        <v/>
      </c>
      <c r="D159" s="51"/>
      <c r="E159" s="102"/>
      <c r="F159" s="102"/>
      <c r="G159" s="103"/>
      <c r="H159" s="103"/>
      <c r="L159" s="103"/>
      <c r="M159" s="113"/>
      <c r="N159" s="107"/>
      <c r="O159" s="106" t="str">
        <f>IF(ISBLANK(M159), "", VLOOKUP(D159, 'Info Tipo de Cambio y REM'!$A$24:$B$35, 2, FALSE))</f>
        <v/>
      </c>
      <c r="P159" s="107" t="str">
        <f t="shared" si="2"/>
        <v/>
      </c>
    </row>
    <row r="160">
      <c r="A160" s="102"/>
      <c r="B160" s="43" t="str">
        <f t="shared" si="7"/>
        <v/>
      </c>
      <c r="C160" s="102" t="str">
        <f>IF(J160="", "", IFERROR(VLOOKUP(J160, Clasificaciones!D:E, 2, FALSE), "DATO NO CARGADO"))
</f>
        <v/>
      </c>
      <c r="D160" s="51"/>
      <c r="E160" s="102"/>
      <c r="F160" s="102"/>
      <c r="G160" s="103"/>
      <c r="H160" s="103"/>
      <c r="L160" s="103"/>
      <c r="M160" s="113"/>
      <c r="N160" s="107"/>
      <c r="O160" s="106" t="str">
        <f>IF(ISBLANK(M160), "", VLOOKUP(D160, 'Info Tipo de Cambio y REM'!$A$24:$B$35, 2, FALSE))</f>
        <v/>
      </c>
      <c r="P160" s="107" t="str">
        <f t="shared" si="2"/>
        <v/>
      </c>
    </row>
    <row r="161">
      <c r="A161" s="102"/>
      <c r="B161" s="43" t="str">
        <f t="shared" si="7"/>
        <v/>
      </c>
      <c r="C161" s="102" t="str">
        <f>IF(J161="", "", IFERROR(VLOOKUP(J161, Clasificaciones!D:E, 2, FALSE), "DATO NO CARGADO"))
</f>
        <v/>
      </c>
      <c r="D161" s="51"/>
      <c r="E161" s="102"/>
      <c r="F161" s="102"/>
      <c r="G161" s="103"/>
      <c r="H161" s="103"/>
      <c r="L161" s="103"/>
      <c r="M161" s="113"/>
      <c r="N161" s="107"/>
      <c r="O161" s="106" t="str">
        <f>IF(ISBLANK(M161), "", VLOOKUP(D161, 'Info Tipo de Cambio y REM'!$A$24:$B$35, 2, FALSE))</f>
        <v/>
      </c>
      <c r="P161" s="107" t="str">
        <f t="shared" si="2"/>
        <v/>
      </c>
    </row>
    <row r="162">
      <c r="A162" s="102"/>
      <c r="B162" s="43" t="str">
        <f t="shared" si="7"/>
        <v/>
      </c>
      <c r="C162" s="102" t="str">
        <f>IF(J162="", "", IFERROR(VLOOKUP(J162, Clasificaciones!D:E, 2, FALSE), "DATO NO CARGADO"))
</f>
        <v/>
      </c>
      <c r="D162" s="51"/>
      <c r="E162" s="102"/>
      <c r="F162" s="102"/>
      <c r="G162" s="103"/>
      <c r="H162" s="103"/>
      <c r="L162" s="103"/>
      <c r="M162" s="113"/>
      <c r="N162" s="107"/>
      <c r="O162" s="106" t="str">
        <f>IF(ISBLANK(M162), "", VLOOKUP(D162, 'Info Tipo de Cambio y REM'!$A$24:$B$35, 2, FALSE))</f>
        <v/>
      </c>
      <c r="P162" s="107" t="str">
        <f t="shared" si="2"/>
        <v/>
      </c>
    </row>
    <row r="163">
      <c r="A163" s="102"/>
      <c r="B163" s="43" t="str">
        <f t="shared" si="7"/>
        <v/>
      </c>
      <c r="C163" s="102" t="str">
        <f>IF(J163="", "", IFERROR(VLOOKUP(J163, Clasificaciones!D:E, 2, FALSE), "DATO NO CARGADO"))
</f>
        <v/>
      </c>
      <c r="D163" s="51"/>
      <c r="E163" s="102"/>
      <c r="F163" s="102"/>
      <c r="G163" s="103"/>
      <c r="H163" s="103"/>
      <c r="L163" s="103"/>
      <c r="M163" s="113"/>
      <c r="N163" s="107"/>
      <c r="O163" s="106" t="str">
        <f>IF(ISBLANK(M163), "", VLOOKUP(D163, 'Info Tipo de Cambio y REM'!$A$24:$B$35, 2, FALSE))</f>
        <v/>
      </c>
      <c r="P163" s="107" t="str">
        <f t="shared" si="2"/>
        <v/>
      </c>
    </row>
    <row r="164">
      <c r="A164" s="102"/>
      <c r="B164" s="43" t="str">
        <f t="shared" si="7"/>
        <v/>
      </c>
      <c r="C164" s="102" t="str">
        <f>IF(J164="", "", IFERROR(VLOOKUP(J164, Clasificaciones!D:E, 2, FALSE), "DATO NO CARGADO"))
</f>
        <v/>
      </c>
      <c r="D164" s="51"/>
      <c r="E164" s="102"/>
      <c r="F164" s="102"/>
      <c r="G164" s="103"/>
      <c r="H164" s="103"/>
      <c r="L164" s="103"/>
      <c r="M164" s="113"/>
      <c r="N164" s="107"/>
      <c r="O164" s="106" t="str">
        <f>IF(ISBLANK(M164), "", VLOOKUP(D164, 'Info Tipo de Cambio y REM'!$A$24:$B$35, 2, FALSE))</f>
        <v/>
      </c>
      <c r="P164" s="107" t="str">
        <f t="shared" si="2"/>
        <v/>
      </c>
    </row>
    <row r="165">
      <c r="A165" s="102"/>
      <c r="B165" s="43" t="str">
        <f t="shared" si="7"/>
        <v/>
      </c>
      <c r="C165" s="102" t="str">
        <f>IF(J165="", "", IFERROR(VLOOKUP(J165, Clasificaciones!D:E, 2, FALSE), "DATO NO CARGADO"))
</f>
        <v/>
      </c>
      <c r="D165" s="51"/>
      <c r="E165" s="102"/>
      <c r="F165" s="102"/>
      <c r="G165" s="103"/>
      <c r="H165" s="103"/>
      <c r="L165" s="103"/>
      <c r="M165" s="113"/>
      <c r="N165" s="107"/>
      <c r="O165" s="106" t="str">
        <f>IF(ISBLANK(M165), "", VLOOKUP(D165, 'Info Tipo de Cambio y REM'!$A$24:$B$35, 2, FALSE))</f>
        <v/>
      </c>
      <c r="P165" s="107" t="str">
        <f t="shared" si="2"/>
        <v/>
      </c>
    </row>
    <row r="166">
      <c r="A166" s="102"/>
      <c r="B166" s="43" t="str">
        <f t="shared" si="7"/>
        <v/>
      </c>
      <c r="C166" s="102" t="str">
        <f>IF(J166="", "", IFERROR(VLOOKUP(J166, Clasificaciones!D:E, 2, FALSE), "DATO NO CARGADO"))
</f>
        <v/>
      </c>
      <c r="D166" s="51"/>
      <c r="E166" s="102"/>
      <c r="F166" s="102"/>
      <c r="G166" s="103"/>
      <c r="H166" s="103"/>
      <c r="L166" s="103"/>
      <c r="M166" s="113"/>
      <c r="N166" s="107"/>
      <c r="O166" s="106" t="str">
        <f>IF(ISBLANK(M166), "", VLOOKUP(D166, 'Info Tipo de Cambio y REM'!$A$24:$B$35, 2, FALSE))</f>
        <v/>
      </c>
      <c r="P166" s="107" t="str">
        <f t="shared" si="2"/>
        <v/>
      </c>
    </row>
    <row r="167">
      <c r="A167" s="102"/>
      <c r="B167" s="43" t="str">
        <f t="shared" si="7"/>
        <v/>
      </c>
      <c r="C167" s="102" t="str">
        <f>IF(J167="", "", IFERROR(VLOOKUP(J167, Clasificaciones!D:E, 2, FALSE), "DATO NO CARGADO"))
</f>
        <v/>
      </c>
      <c r="D167" s="51"/>
      <c r="E167" s="102"/>
      <c r="F167" s="102"/>
      <c r="G167" s="103"/>
      <c r="H167" s="103"/>
      <c r="L167" s="103"/>
      <c r="M167" s="113"/>
      <c r="N167" s="107"/>
      <c r="O167" s="106" t="str">
        <f>IF(ISBLANK(M167), "", VLOOKUP(D167, 'Info Tipo de Cambio y REM'!$A$24:$B$35, 2, FALSE))</f>
        <v/>
      </c>
      <c r="P167" s="107" t="str">
        <f t="shared" si="2"/>
        <v/>
      </c>
    </row>
    <row r="168">
      <c r="A168" s="102"/>
      <c r="B168" s="43" t="str">
        <f t="shared" si="7"/>
        <v/>
      </c>
      <c r="C168" s="102" t="str">
        <f>IF(J168="", "", IFERROR(VLOOKUP(J168, Clasificaciones!D:E, 2, FALSE), "DATO NO CARGADO"))
</f>
        <v/>
      </c>
      <c r="D168" s="51"/>
      <c r="E168" s="102"/>
      <c r="F168" s="102"/>
      <c r="G168" s="103"/>
      <c r="H168" s="103"/>
      <c r="L168" s="103"/>
      <c r="M168" s="113"/>
      <c r="N168" s="107"/>
      <c r="O168" s="106" t="str">
        <f>IF(ISBLANK(M168), "", VLOOKUP(D168, 'Info Tipo de Cambio y REM'!$A$24:$B$35, 2, FALSE))</f>
        <v/>
      </c>
      <c r="P168" s="107" t="str">
        <f t="shared" si="2"/>
        <v/>
      </c>
    </row>
    <row r="169">
      <c r="A169" s="102"/>
      <c r="B169" s="43" t="str">
        <f t="shared" si="7"/>
        <v/>
      </c>
      <c r="C169" s="102" t="str">
        <f>IF(J169="", "", IFERROR(VLOOKUP(J169, Clasificaciones!D:E, 2, FALSE), "DATO NO CARGADO"))
</f>
        <v/>
      </c>
      <c r="D169" s="51"/>
      <c r="E169" s="102"/>
      <c r="F169" s="102"/>
      <c r="G169" s="103"/>
      <c r="H169" s="103"/>
      <c r="L169" s="103"/>
      <c r="M169" s="113"/>
      <c r="N169" s="107"/>
      <c r="O169" s="106" t="str">
        <f>IF(ISBLANK(M169), "", VLOOKUP(D169, 'Info Tipo de Cambio y REM'!$A$24:$B$35, 2, FALSE))</f>
        <v/>
      </c>
      <c r="P169" s="107" t="str">
        <f t="shared" si="2"/>
        <v/>
      </c>
    </row>
    <row r="170">
      <c r="A170" s="102"/>
      <c r="B170" s="43" t="str">
        <f t="shared" si="7"/>
        <v/>
      </c>
      <c r="C170" s="102" t="str">
        <f>IF(J170="", "", IFERROR(VLOOKUP(J170, Clasificaciones!D:E, 2, FALSE), "DATO NO CARGADO"))
</f>
        <v/>
      </c>
      <c r="D170" s="51"/>
      <c r="E170" s="102"/>
      <c r="F170" s="102"/>
      <c r="G170" s="103"/>
      <c r="H170" s="103"/>
      <c r="L170" s="103"/>
      <c r="M170" s="113"/>
      <c r="N170" s="107"/>
      <c r="O170" s="106" t="str">
        <f>IF(ISBLANK(M170), "", VLOOKUP(D170, 'Info Tipo de Cambio y REM'!$A$24:$B$35, 2, FALSE))</f>
        <v/>
      </c>
      <c r="P170" s="107" t="str">
        <f t="shared" si="2"/>
        <v/>
      </c>
    </row>
    <row r="171">
      <c r="A171" s="102"/>
      <c r="B171" s="43" t="str">
        <f t="shared" si="7"/>
        <v/>
      </c>
      <c r="C171" s="102" t="str">
        <f>IF(J171="", "", IFERROR(VLOOKUP(J171, Clasificaciones!D:E, 2, FALSE), "DATO NO CARGADO"))
</f>
        <v/>
      </c>
      <c r="D171" s="51"/>
      <c r="E171" s="102"/>
      <c r="F171" s="102"/>
      <c r="G171" s="103"/>
      <c r="H171" s="103"/>
      <c r="L171" s="103"/>
      <c r="M171" s="113"/>
      <c r="N171" s="107"/>
      <c r="O171" s="106" t="str">
        <f>IF(ISBLANK(M171), "", VLOOKUP(D171, 'Info Tipo de Cambio y REM'!$A$24:$B$35, 2, FALSE))</f>
        <v/>
      </c>
      <c r="P171" s="107" t="str">
        <f t="shared" si="2"/>
        <v/>
      </c>
    </row>
    <row r="172">
      <c r="A172" s="102"/>
      <c r="B172" s="43" t="str">
        <f t="shared" si="7"/>
        <v/>
      </c>
      <c r="C172" s="102" t="str">
        <f>IF(J172="", "", IFERROR(VLOOKUP(J172, Clasificaciones!D:E, 2, FALSE), "DATO NO CARGADO"))
</f>
        <v/>
      </c>
      <c r="D172" s="51"/>
      <c r="E172" s="102"/>
      <c r="F172" s="102"/>
      <c r="G172" s="103"/>
      <c r="H172" s="103"/>
      <c r="L172" s="103"/>
      <c r="M172" s="113"/>
      <c r="N172" s="107"/>
      <c r="O172" s="106" t="str">
        <f>IF(ISBLANK(M172), "", VLOOKUP(D172, 'Info Tipo de Cambio y REM'!$A$24:$B$35, 2, FALSE))</f>
        <v/>
      </c>
      <c r="P172" s="107" t="str">
        <f t="shared" si="2"/>
        <v/>
      </c>
    </row>
    <row r="173">
      <c r="A173" s="102"/>
      <c r="B173" s="43" t="str">
        <f t="shared" si="7"/>
        <v/>
      </c>
      <c r="C173" s="102" t="str">
        <f>IF(J173="", "", IFERROR(VLOOKUP(J173, Clasificaciones!D:E, 2, FALSE), "DATO NO CARGADO"))
</f>
        <v/>
      </c>
      <c r="D173" s="51"/>
      <c r="E173" s="102"/>
      <c r="F173" s="102"/>
      <c r="G173" s="103"/>
      <c r="H173" s="103"/>
      <c r="L173" s="103"/>
      <c r="M173" s="113"/>
      <c r="N173" s="107"/>
      <c r="O173" s="106" t="str">
        <f>IF(ISBLANK(M173), "", VLOOKUP(D173, 'Info Tipo de Cambio y REM'!$A$24:$B$35, 2, FALSE))</f>
        <v/>
      </c>
      <c r="P173" s="107" t="str">
        <f t="shared" si="2"/>
        <v/>
      </c>
    </row>
    <row r="174">
      <c r="A174" s="102"/>
      <c r="B174" s="43" t="str">
        <f t="shared" si="7"/>
        <v/>
      </c>
      <c r="C174" s="102" t="str">
        <f>IF(J174="", "", IFERROR(VLOOKUP(J174, Clasificaciones!D:E, 2, FALSE), "DATO NO CARGADO"))
</f>
        <v/>
      </c>
      <c r="D174" s="51"/>
      <c r="E174" s="102"/>
      <c r="F174" s="102"/>
      <c r="G174" s="103"/>
      <c r="H174" s="103"/>
      <c r="L174" s="103"/>
      <c r="M174" s="113"/>
      <c r="N174" s="107"/>
      <c r="O174" s="106" t="str">
        <f>IF(ISBLANK(M174), "", VLOOKUP(D174, 'Info Tipo de Cambio y REM'!$A$24:$B$35, 2, FALSE))</f>
        <v/>
      </c>
      <c r="P174" s="107" t="str">
        <f t="shared" si="2"/>
        <v/>
      </c>
    </row>
    <row r="175">
      <c r="A175" s="102"/>
      <c r="B175" s="43" t="str">
        <f t="shared" si="7"/>
        <v/>
      </c>
      <c r="C175" s="102" t="str">
        <f>IF(J175="", "", IFERROR(VLOOKUP(J175, Clasificaciones!D:E, 2, FALSE), "DATO NO CARGADO"))
</f>
        <v/>
      </c>
      <c r="D175" s="51"/>
      <c r="E175" s="102"/>
      <c r="F175" s="102"/>
      <c r="G175" s="103"/>
      <c r="H175" s="103"/>
      <c r="L175" s="103"/>
      <c r="M175" s="113"/>
      <c r="N175" s="107"/>
      <c r="O175" s="106" t="str">
        <f>IF(ISBLANK(M175), "", VLOOKUP(D175, 'Info Tipo de Cambio y REM'!$A$24:$B$35, 2, FALSE))</f>
        <v/>
      </c>
      <c r="P175" s="107" t="str">
        <f t="shared" si="2"/>
        <v/>
      </c>
    </row>
    <row r="176">
      <c r="A176" s="102"/>
      <c r="B176" s="43" t="str">
        <f t="shared" si="7"/>
        <v/>
      </c>
      <c r="C176" s="102" t="str">
        <f>IF(J176="", "", IFERROR(VLOOKUP(J176, Clasificaciones!D:E, 2, FALSE), "DATO NO CARGADO"))
</f>
        <v/>
      </c>
      <c r="D176" s="51"/>
      <c r="E176" s="102"/>
      <c r="F176" s="102"/>
      <c r="G176" s="103"/>
      <c r="H176" s="103"/>
      <c r="L176" s="103"/>
      <c r="M176" s="113"/>
      <c r="N176" s="107"/>
      <c r="O176" s="106" t="str">
        <f>IF(ISBLANK(M176), "", VLOOKUP(D176, 'Info Tipo de Cambio y REM'!$A$24:$B$35, 2, FALSE))</f>
        <v/>
      </c>
      <c r="P176" s="107" t="str">
        <f t="shared" si="2"/>
        <v/>
      </c>
    </row>
    <row r="177">
      <c r="A177" s="102"/>
      <c r="B177" s="43" t="str">
        <f t="shared" si="7"/>
        <v/>
      </c>
      <c r="C177" s="102" t="str">
        <f>IF(J177="", "", IFERROR(VLOOKUP(J177, Clasificaciones!D:E, 2, FALSE), "DATO NO CARGADO"))
</f>
        <v/>
      </c>
      <c r="D177" s="51"/>
      <c r="E177" s="102"/>
      <c r="F177" s="102"/>
      <c r="G177" s="103"/>
      <c r="H177" s="103"/>
      <c r="L177" s="103"/>
      <c r="M177" s="113"/>
      <c r="N177" s="107"/>
      <c r="O177" s="106" t="str">
        <f>IF(ISBLANK(M177), "", VLOOKUP(D177, 'Info Tipo de Cambio y REM'!$A$24:$B$35, 2, FALSE))</f>
        <v/>
      </c>
      <c r="P177" s="107" t="str">
        <f t="shared" si="2"/>
        <v/>
      </c>
    </row>
    <row r="178">
      <c r="A178" s="102"/>
      <c r="B178" s="43" t="str">
        <f t="shared" si="7"/>
        <v/>
      </c>
      <c r="C178" s="102" t="str">
        <f>IF(J178="", "", IFERROR(VLOOKUP(J178, Clasificaciones!D:E, 2, FALSE), "DATO NO CARGADO"))
</f>
        <v/>
      </c>
      <c r="D178" s="51"/>
      <c r="E178" s="102"/>
      <c r="F178" s="102"/>
      <c r="G178" s="103"/>
      <c r="H178" s="103"/>
      <c r="L178" s="103"/>
      <c r="M178" s="113"/>
      <c r="N178" s="107"/>
      <c r="O178" s="106" t="str">
        <f>IF(ISBLANK(M178), "", VLOOKUP(D178, 'Info Tipo de Cambio y REM'!$A$24:$B$35, 2, FALSE))</f>
        <v/>
      </c>
      <c r="P178" s="107" t="str">
        <f t="shared" si="2"/>
        <v/>
      </c>
    </row>
    <row r="179">
      <c r="A179" s="102"/>
      <c r="B179" s="43" t="str">
        <f t="shared" si="7"/>
        <v/>
      </c>
      <c r="C179" s="102" t="str">
        <f>IF(J179="", "", IFERROR(VLOOKUP(J179, Clasificaciones!D:E, 2, FALSE), "DATO NO CARGADO"))
</f>
        <v/>
      </c>
      <c r="D179" s="51"/>
      <c r="E179" s="102"/>
      <c r="F179" s="102"/>
      <c r="G179" s="103"/>
      <c r="H179" s="103"/>
      <c r="L179" s="103"/>
      <c r="M179" s="113"/>
      <c r="N179" s="107"/>
      <c r="O179" s="106" t="str">
        <f>IF(ISBLANK(M179), "", VLOOKUP(D179, 'Info Tipo de Cambio y REM'!$A$24:$B$35, 2, FALSE))</f>
        <v/>
      </c>
      <c r="P179" s="107" t="str">
        <f t="shared" si="2"/>
        <v/>
      </c>
    </row>
    <row r="180">
      <c r="A180" s="102"/>
      <c r="B180" s="43" t="str">
        <f t="shared" si="7"/>
        <v/>
      </c>
      <c r="C180" s="102" t="str">
        <f>IF(J180="", "", IFERROR(VLOOKUP(J180, Clasificaciones!D:E, 2, FALSE), "DATO NO CARGADO"))
</f>
        <v/>
      </c>
      <c r="D180" s="51"/>
      <c r="E180" s="102"/>
      <c r="F180" s="102"/>
      <c r="G180" s="103"/>
      <c r="H180" s="103"/>
      <c r="L180" s="103"/>
      <c r="M180" s="113"/>
      <c r="N180" s="107"/>
      <c r="O180" s="106" t="str">
        <f>IF(ISBLANK(M180), "", VLOOKUP(D180, 'Info Tipo de Cambio y REM'!$A$24:$B$35, 2, FALSE))</f>
        <v/>
      </c>
      <c r="P180" s="107" t="str">
        <f t="shared" si="2"/>
        <v/>
      </c>
    </row>
    <row r="181">
      <c r="A181" s="102"/>
      <c r="B181" s="43" t="str">
        <f t="shared" si="7"/>
        <v/>
      </c>
      <c r="C181" s="102" t="str">
        <f>IF(J181="", "", IFERROR(VLOOKUP(J181, Clasificaciones!D:E, 2, FALSE), "DATO NO CARGADO"))
</f>
        <v/>
      </c>
      <c r="D181" s="51"/>
      <c r="E181" s="102"/>
      <c r="F181" s="102"/>
      <c r="G181" s="103"/>
      <c r="H181" s="103"/>
      <c r="L181" s="103"/>
      <c r="M181" s="113"/>
      <c r="N181" s="107"/>
      <c r="O181" s="106" t="str">
        <f>IF(ISBLANK(M181), "", VLOOKUP(D181, 'Info Tipo de Cambio y REM'!$A$24:$B$35, 2, FALSE))</f>
        <v/>
      </c>
      <c r="P181" s="107" t="str">
        <f t="shared" si="2"/>
        <v/>
      </c>
    </row>
    <row r="182">
      <c r="A182" s="102"/>
      <c r="B182" s="43" t="str">
        <f t="shared" si="7"/>
        <v/>
      </c>
      <c r="C182" s="102" t="str">
        <f>IF(J182="", "", IFERROR(VLOOKUP(J182, Clasificaciones!D:E, 2, FALSE), "DATO NO CARGADO"))
</f>
        <v/>
      </c>
      <c r="D182" s="51"/>
      <c r="E182" s="102"/>
      <c r="F182" s="102"/>
      <c r="G182" s="103"/>
      <c r="H182" s="103"/>
      <c r="L182" s="103"/>
      <c r="M182" s="113"/>
      <c r="N182" s="107"/>
      <c r="O182" s="106" t="str">
        <f>IF(ISBLANK(M182), "", VLOOKUP(D182, 'Info Tipo de Cambio y REM'!$A$24:$B$35, 2, FALSE))</f>
        <v/>
      </c>
      <c r="P182" s="107" t="str">
        <f t="shared" si="2"/>
        <v/>
      </c>
    </row>
    <row r="183">
      <c r="A183" s="102"/>
      <c r="B183" s="43" t="str">
        <f t="shared" si="7"/>
        <v/>
      </c>
      <c r="C183" s="102" t="str">
        <f>IF(J183="", "", IFERROR(VLOOKUP(J183, Clasificaciones!D:E, 2, FALSE), "DATO NO CARGADO"))
</f>
        <v/>
      </c>
      <c r="D183" s="51"/>
      <c r="E183" s="102"/>
      <c r="F183" s="102"/>
      <c r="G183" s="103"/>
      <c r="H183" s="103"/>
      <c r="L183" s="103"/>
      <c r="M183" s="113"/>
      <c r="N183" s="107"/>
      <c r="O183" s="106" t="str">
        <f>IF(ISBLANK(M183), "", VLOOKUP(D183, 'Info Tipo de Cambio y REM'!$A$24:$B$35, 2, FALSE))</f>
        <v/>
      </c>
      <c r="P183" s="107" t="str">
        <f t="shared" si="2"/>
        <v/>
      </c>
    </row>
    <row r="184">
      <c r="A184" s="102"/>
      <c r="B184" s="43" t="str">
        <f t="shared" si="7"/>
        <v/>
      </c>
      <c r="C184" s="102" t="str">
        <f>IF(J184="", "", IFERROR(VLOOKUP(J184, Clasificaciones!D:E, 2, FALSE), "DATO NO CARGADO"))
</f>
        <v/>
      </c>
      <c r="D184" s="51"/>
      <c r="E184" s="102"/>
      <c r="F184" s="102"/>
      <c r="G184" s="103"/>
      <c r="H184" s="103"/>
      <c r="L184" s="103"/>
      <c r="M184" s="113"/>
      <c r="N184" s="107"/>
      <c r="O184" s="106" t="str">
        <f>IF(ISBLANK(M184), "", VLOOKUP(D184, 'Info Tipo de Cambio y REM'!$A$24:$B$35, 2, FALSE))</f>
        <v/>
      </c>
      <c r="P184" s="107" t="str">
        <f t="shared" si="2"/>
        <v/>
      </c>
    </row>
    <row r="185">
      <c r="A185" s="102"/>
      <c r="B185" s="43" t="str">
        <f t="shared" si="7"/>
        <v/>
      </c>
      <c r="C185" s="102" t="str">
        <f>IF(J185="", "", IFERROR(VLOOKUP(J185, Clasificaciones!D:E, 2, FALSE), "DATO NO CARGADO"))
</f>
        <v/>
      </c>
      <c r="D185" s="51"/>
      <c r="E185" s="102"/>
      <c r="F185" s="102"/>
      <c r="G185" s="103"/>
      <c r="H185" s="103"/>
      <c r="L185" s="103"/>
      <c r="M185" s="113"/>
      <c r="N185" s="107"/>
      <c r="O185" s="106" t="str">
        <f>IF(ISBLANK(M185), "", VLOOKUP(D185, 'Info Tipo de Cambio y REM'!$A$24:$B$35, 2, FALSE))</f>
        <v/>
      </c>
      <c r="P185" s="107" t="str">
        <f t="shared" si="2"/>
        <v/>
      </c>
    </row>
    <row r="186">
      <c r="A186" s="102"/>
      <c r="B186" s="43" t="str">
        <f t="shared" si="7"/>
        <v/>
      </c>
      <c r="C186" s="102" t="str">
        <f>IF(J186="", "", IFERROR(VLOOKUP(J186, Clasificaciones!D:E, 2, FALSE), "DATO NO CARGADO"))
</f>
        <v/>
      </c>
      <c r="D186" s="51"/>
      <c r="E186" s="102"/>
      <c r="F186" s="102"/>
      <c r="G186" s="103"/>
      <c r="H186" s="103"/>
      <c r="L186" s="103"/>
      <c r="M186" s="113"/>
      <c r="N186" s="107"/>
      <c r="O186" s="106" t="str">
        <f>IF(ISBLANK(M186), "", VLOOKUP(D186, 'Info Tipo de Cambio y REM'!$A$24:$B$35, 2, FALSE))</f>
        <v/>
      </c>
      <c r="P186" s="107" t="str">
        <f t="shared" si="2"/>
        <v/>
      </c>
    </row>
    <row r="187">
      <c r="A187" s="102"/>
      <c r="B187" s="43" t="str">
        <f t="shared" si="7"/>
        <v/>
      </c>
      <c r="C187" s="102" t="str">
        <f>IF(J187="", "", IFERROR(VLOOKUP(J187, Clasificaciones!D:E, 2, FALSE), "DATO NO CARGADO"))
</f>
        <v/>
      </c>
      <c r="D187" s="51"/>
      <c r="E187" s="102"/>
      <c r="F187" s="102"/>
      <c r="G187" s="103"/>
      <c r="H187" s="103"/>
      <c r="L187" s="103"/>
      <c r="M187" s="113"/>
      <c r="N187" s="107"/>
      <c r="O187" s="106" t="str">
        <f>IF(ISBLANK(M187), "", VLOOKUP(D187, 'Info Tipo de Cambio y REM'!$A$24:$B$35, 2, FALSE))</f>
        <v/>
      </c>
      <c r="P187" s="107" t="str">
        <f t="shared" si="2"/>
        <v/>
      </c>
    </row>
    <row r="188">
      <c r="A188" s="102"/>
      <c r="B188" s="43" t="str">
        <f t="shared" si="7"/>
        <v/>
      </c>
      <c r="C188" s="102" t="str">
        <f>IF(J188="", "", IFERROR(VLOOKUP(J188, Clasificaciones!D:E, 2, FALSE), "DATO NO CARGADO"))
</f>
        <v/>
      </c>
      <c r="D188" s="51"/>
      <c r="E188" s="102"/>
      <c r="F188" s="102"/>
      <c r="G188" s="103"/>
      <c r="H188" s="103"/>
      <c r="L188" s="103"/>
      <c r="M188" s="113"/>
      <c r="N188" s="107"/>
      <c r="O188" s="106" t="str">
        <f>IF(ISBLANK(M188), "", VLOOKUP(D188, 'Info Tipo de Cambio y REM'!$A$24:$B$35, 2, FALSE))</f>
        <v/>
      </c>
      <c r="P188" s="107" t="str">
        <f t="shared" si="2"/>
        <v/>
      </c>
    </row>
    <row r="189">
      <c r="A189" s="102"/>
      <c r="B189" s="43" t="str">
        <f t="shared" si="7"/>
        <v/>
      </c>
      <c r="C189" s="102" t="str">
        <f>IF(J189="", "", IFERROR(VLOOKUP(J189, Clasificaciones!D:E, 2, FALSE), "DATO NO CARGADO"))
</f>
        <v/>
      </c>
      <c r="D189" s="51"/>
      <c r="E189" s="102"/>
      <c r="F189" s="102"/>
      <c r="G189" s="103"/>
      <c r="H189" s="103"/>
      <c r="L189" s="103"/>
      <c r="M189" s="113"/>
      <c r="N189" s="107"/>
      <c r="O189" s="106" t="str">
        <f>IF(ISBLANK(M189), "", VLOOKUP(D189, 'Info Tipo de Cambio y REM'!$A$24:$B$35, 2, FALSE))</f>
        <v/>
      </c>
      <c r="P189" s="107" t="str">
        <f t="shared" si="2"/>
        <v/>
      </c>
    </row>
    <row r="190">
      <c r="A190" s="102"/>
      <c r="B190" s="43" t="str">
        <f t="shared" si="7"/>
        <v/>
      </c>
      <c r="C190" s="102" t="str">
        <f>IF(J190="", "", IFERROR(VLOOKUP(J190, Clasificaciones!D:E, 2, FALSE), "DATO NO CARGADO"))
</f>
        <v/>
      </c>
      <c r="D190" s="51"/>
      <c r="E190" s="102"/>
      <c r="F190" s="102"/>
      <c r="G190" s="103"/>
      <c r="H190" s="103"/>
      <c r="L190" s="103"/>
      <c r="M190" s="113"/>
      <c r="N190" s="107"/>
      <c r="O190" s="106" t="str">
        <f>IF(ISBLANK(M190), "", VLOOKUP(D190, 'Info Tipo de Cambio y REM'!$A$24:$B$35, 2, FALSE))</f>
        <v/>
      </c>
      <c r="P190" s="107" t="str">
        <f t="shared" si="2"/>
        <v/>
      </c>
    </row>
    <row r="191">
      <c r="A191" s="102"/>
      <c r="B191" s="43" t="str">
        <f t="shared" si="7"/>
        <v/>
      </c>
      <c r="C191" s="102" t="str">
        <f>IF(J191="", "", IFERROR(VLOOKUP(J191, Clasificaciones!D:E, 2, FALSE), "DATO NO CARGADO"))
</f>
        <v/>
      </c>
      <c r="D191" s="51"/>
      <c r="E191" s="102"/>
      <c r="F191" s="102"/>
      <c r="G191" s="103"/>
      <c r="H191" s="103"/>
      <c r="L191" s="103"/>
      <c r="M191" s="113"/>
      <c r="N191" s="107"/>
      <c r="O191" s="106" t="str">
        <f>IF(ISBLANK(M191), "", VLOOKUP(D191, 'Info Tipo de Cambio y REM'!$A$24:$B$35, 2, FALSE))</f>
        <v/>
      </c>
      <c r="P191" s="107" t="str">
        <f t="shared" si="2"/>
        <v/>
      </c>
    </row>
    <row r="192">
      <c r="A192" s="102"/>
      <c r="B192" s="43" t="str">
        <f t="shared" si="7"/>
        <v/>
      </c>
      <c r="C192" s="102" t="str">
        <f>IF(J192="", "", IFERROR(VLOOKUP(J192, Clasificaciones!D:E, 2, FALSE), "DATO NO CARGADO"))
</f>
        <v/>
      </c>
      <c r="D192" s="51"/>
      <c r="E192" s="102"/>
      <c r="F192" s="102"/>
      <c r="G192" s="103"/>
      <c r="H192" s="103"/>
      <c r="L192" s="103"/>
      <c r="M192" s="113"/>
      <c r="N192" s="107"/>
      <c r="O192" s="106" t="str">
        <f>IF(ISBLANK(M192), "", VLOOKUP(D192, 'Info Tipo de Cambio y REM'!$A$24:$B$35, 2, FALSE))</f>
        <v/>
      </c>
      <c r="P192" s="107" t="str">
        <f t="shared" si="2"/>
        <v/>
      </c>
    </row>
    <row r="193">
      <c r="A193" s="102"/>
      <c r="B193" s="43" t="str">
        <f t="shared" si="7"/>
        <v/>
      </c>
      <c r="C193" s="102" t="str">
        <f>IF(J193="", "", IFERROR(VLOOKUP(J193, Clasificaciones!D:E, 2, FALSE), "DATO NO CARGADO"))
</f>
        <v/>
      </c>
      <c r="D193" s="51"/>
      <c r="E193" s="102"/>
      <c r="F193" s="102"/>
      <c r="G193" s="103"/>
      <c r="H193" s="103"/>
      <c r="L193" s="103"/>
      <c r="M193" s="113"/>
      <c r="N193" s="107"/>
      <c r="O193" s="106" t="str">
        <f>IF(ISBLANK(M193), "", VLOOKUP(D193, 'Info Tipo de Cambio y REM'!$A$24:$B$35, 2, FALSE))</f>
        <v/>
      </c>
      <c r="P193" s="107" t="str">
        <f t="shared" si="2"/>
        <v/>
      </c>
    </row>
    <row r="194">
      <c r="A194" s="102"/>
      <c r="B194" s="43" t="str">
        <f t="shared" si="7"/>
        <v/>
      </c>
      <c r="C194" s="102" t="str">
        <f>IF(J194="", "", IFERROR(VLOOKUP(J194, Clasificaciones!D:E, 2, FALSE), "DATO NO CARGADO"))
</f>
        <v/>
      </c>
      <c r="D194" s="51"/>
      <c r="E194" s="102"/>
      <c r="F194" s="102"/>
      <c r="G194" s="103"/>
      <c r="H194" s="103"/>
      <c r="L194" s="103"/>
      <c r="M194" s="113"/>
      <c r="N194" s="107"/>
      <c r="O194" s="106" t="str">
        <f>IF(ISBLANK(M194), "", VLOOKUP(D194, 'Info Tipo de Cambio y REM'!$A$24:$B$35, 2, FALSE))</f>
        <v/>
      </c>
      <c r="P194" s="107" t="str">
        <f t="shared" si="2"/>
        <v/>
      </c>
    </row>
    <row r="195">
      <c r="A195" s="102"/>
      <c r="B195" s="43" t="str">
        <f t="shared" si="7"/>
        <v/>
      </c>
      <c r="C195" s="102" t="str">
        <f>IF(J195="", "", IFERROR(VLOOKUP(J195, Clasificaciones!D:E, 2, FALSE), "DATO NO CARGADO"))
</f>
        <v/>
      </c>
      <c r="D195" s="51"/>
      <c r="E195" s="102"/>
      <c r="F195" s="102"/>
      <c r="G195" s="103"/>
      <c r="H195" s="103"/>
      <c r="L195" s="103"/>
      <c r="M195" s="113"/>
      <c r="N195" s="107"/>
      <c r="O195" s="106" t="str">
        <f>IF(ISBLANK(M195), "", VLOOKUP(D195, 'Info Tipo de Cambio y REM'!$A$24:$B$35, 2, FALSE))</f>
        <v/>
      </c>
      <c r="P195" s="107" t="str">
        <f t="shared" si="2"/>
        <v/>
      </c>
    </row>
    <row r="196">
      <c r="A196" s="102"/>
      <c r="B196" s="43" t="str">
        <f t="shared" si="7"/>
        <v/>
      </c>
      <c r="C196" s="102" t="str">
        <f>IF(J196="", "", IFERROR(VLOOKUP(J196, Clasificaciones!D:E, 2, FALSE), "DATO NO CARGADO"))
</f>
        <v/>
      </c>
      <c r="D196" s="51"/>
      <c r="E196" s="102"/>
      <c r="F196" s="102"/>
      <c r="G196" s="103"/>
      <c r="H196" s="103"/>
      <c r="L196" s="103"/>
      <c r="M196" s="113"/>
      <c r="N196" s="107"/>
      <c r="O196" s="106" t="str">
        <f>IF(ISBLANK(M196), "", VLOOKUP(D196, 'Info Tipo de Cambio y REM'!$A$24:$B$35, 2, FALSE))</f>
        <v/>
      </c>
      <c r="P196" s="107" t="str">
        <f t="shared" si="2"/>
        <v/>
      </c>
    </row>
    <row r="197">
      <c r="A197" s="102"/>
      <c r="B197" s="43" t="str">
        <f t="shared" si="7"/>
        <v/>
      </c>
      <c r="C197" s="102" t="str">
        <f>IF(J197="", "", IFERROR(VLOOKUP(J197, Clasificaciones!D:E, 2, FALSE), "DATO NO CARGADO"))
</f>
        <v/>
      </c>
      <c r="D197" s="51"/>
      <c r="E197" s="102"/>
      <c r="F197" s="102"/>
      <c r="G197" s="103"/>
      <c r="H197" s="103"/>
      <c r="L197" s="103"/>
      <c r="M197" s="113"/>
      <c r="N197" s="107"/>
      <c r="O197" s="106" t="str">
        <f>IF(ISBLANK(M197), "", VLOOKUP(D197, 'Info Tipo de Cambio y REM'!$A$24:$B$35, 2, FALSE))</f>
        <v/>
      </c>
      <c r="P197" s="107" t="str">
        <f t="shared" si="2"/>
        <v/>
      </c>
    </row>
    <row r="198">
      <c r="A198" s="102"/>
      <c r="B198" s="43" t="str">
        <f t="shared" si="7"/>
        <v/>
      </c>
      <c r="C198" s="102" t="str">
        <f>IF(J198="", "", IFERROR(VLOOKUP(J198, Clasificaciones!D:E, 2, FALSE), "DATO NO CARGADO"))
</f>
        <v/>
      </c>
      <c r="D198" s="51"/>
      <c r="E198" s="102"/>
      <c r="F198" s="102"/>
      <c r="G198" s="103"/>
      <c r="H198" s="103"/>
      <c r="L198" s="103"/>
      <c r="M198" s="113"/>
      <c r="N198" s="107"/>
      <c r="O198" s="106" t="str">
        <f>IF(ISBLANK(M198), "", VLOOKUP(D198, 'Info Tipo de Cambio y REM'!$A$24:$B$35, 2, FALSE))</f>
        <v/>
      </c>
      <c r="P198" s="107" t="str">
        <f t="shared" si="2"/>
        <v/>
      </c>
    </row>
    <row r="199">
      <c r="A199" s="102"/>
      <c r="B199" s="43" t="str">
        <f t="shared" si="7"/>
        <v/>
      </c>
      <c r="C199" s="102" t="str">
        <f>IF(J199="", "", IFERROR(VLOOKUP(J199, Clasificaciones!D:E, 2, FALSE), "DATO NO CARGADO"))
</f>
        <v/>
      </c>
      <c r="D199" s="51"/>
      <c r="E199" s="102"/>
      <c r="F199" s="102"/>
      <c r="G199" s="103"/>
      <c r="H199" s="103"/>
      <c r="L199" s="103"/>
      <c r="M199" s="113"/>
      <c r="N199" s="107"/>
      <c r="O199" s="106" t="str">
        <f>IF(ISBLANK(M199), "", VLOOKUP(D199, 'Info Tipo de Cambio y REM'!$A$24:$B$35, 2, FALSE))</f>
        <v/>
      </c>
      <c r="P199" s="107" t="str">
        <f t="shared" si="2"/>
        <v/>
      </c>
    </row>
    <row r="200">
      <c r="A200" s="102"/>
      <c r="B200" s="43" t="str">
        <f t="shared" si="7"/>
        <v/>
      </c>
      <c r="C200" s="102" t="str">
        <f>IF(J200="", "", IFERROR(VLOOKUP(J200, Clasificaciones!D:E, 2, FALSE), "DATO NO CARGADO"))
</f>
        <v/>
      </c>
      <c r="D200" s="51"/>
      <c r="E200" s="102"/>
      <c r="F200" s="102"/>
      <c r="G200" s="103"/>
      <c r="H200" s="103"/>
      <c r="L200" s="103"/>
      <c r="M200" s="113"/>
      <c r="N200" s="107"/>
      <c r="O200" s="106" t="str">
        <f>IF(ISBLANK(M200), "", VLOOKUP(D200, 'Info Tipo de Cambio y REM'!$A$24:$B$35, 2, FALSE))</f>
        <v/>
      </c>
      <c r="P200" s="107" t="str">
        <f t="shared" si="2"/>
        <v/>
      </c>
    </row>
    <row r="201">
      <c r="A201" s="102"/>
      <c r="B201" s="43" t="str">
        <f t="shared" si="7"/>
        <v/>
      </c>
      <c r="C201" s="102" t="str">
        <f>IF(J201="", "", IFERROR(VLOOKUP(J201, Clasificaciones!D:E, 2, FALSE), "DATO NO CARGADO"))
</f>
        <v/>
      </c>
      <c r="D201" s="51"/>
      <c r="E201" s="102"/>
      <c r="F201" s="102"/>
      <c r="G201" s="103"/>
      <c r="H201" s="103"/>
      <c r="L201" s="103"/>
      <c r="M201" s="113"/>
      <c r="N201" s="107"/>
      <c r="O201" s="106" t="str">
        <f>IF(ISBLANK(M201), "", VLOOKUP(D201, 'Info Tipo de Cambio y REM'!$A$24:$B$35, 2, FALSE))</f>
        <v/>
      </c>
      <c r="P201" s="107" t="str">
        <f t="shared" si="2"/>
        <v/>
      </c>
    </row>
    <row r="202">
      <c r="A202" s="102"/>
      <c r="B202" s="43" t="str">
        <f t="shared" si="7"/>
        <v/>
      </c>
      <c r="C202" s="102" t="str">
        <f>IF(J202="", "", IFERROR(VLOOKUP(J202, Clasificaciones!D:E, 2, FALSE), "DATO NO CARGADO"))
</f>
        <v/>
      </c>
      <c r="D202" s="51"/>
      <c r="E202" s="102"/>
      <c r="F202" s="102"/>
      <c r="G202" s="103"/>
      <c r="H202" s="103"/>
      <c r="L202" s="103"/>
      <c r="M202" s="113"/>
      <c r="N202" s="107"/>
      <c r="O202" s="106" t="str">
        <f>IF(ISBLANK(M202), "", VLOOKUP(D202, 'Info Tipo de Cambio y REM'!$A$24:$B$35, 2, FALSE))</f>
        <v/>
      </c>
      <c r="P202" s="107" t="str">
        <f t="shared" si="2"/>
        <v/>
      </c>
    </row>
    <row r="203">
      <c r="A203" s="102"/>
      <c r="B203" s="43" t="str">
        <f t="shared" si="7"/>
        <v/>
      </c>
      <c r="C203" s="102" t="str">
        <f>IF(J203="", "", IFERROR(VLOOKUP(J203, Clasificaciones!D:E, 2, FALSE), "DATO NO CARGADO"))
</f>
        <v/>
      </c>
      <c r="D203" s="51"/>
      <c r="E203" s="102"/>
      <c r="F203" s="102"/>
      <c r="G203" s="103"/>
      <c r="H203" s="103"/>
      <c r="L203" s="103"/>
      <c r="M203" s="113"/>
      <c r="N203" s="107"/>
      <c r="O203" s="106" t="str">
        <f>IF(ISBLANK(M203), "", VLOOKUP(D203, 'Info Tipo de Cambio y REM'!$A$24:$B$35, 2, FALSE))</f>
        <v/>
      </c>
      <c r="P203" s="107" t="str">
        <f t="shared" si="2"/>
        <v/>
      </c>
    </row>
    <row r="204">
      <c r="A204" s="102"/>
      <c r="B204" s="43" t="str">
        <f t="shared" si="7"/>
        <v/>
      </c>
      <c r="C204" s="102" t="str">
        <f>IF(J204="", "", IFERROR(VLOOKUP(J204, Clasificaciones!D:E, 2, FALSE), "DATO NO CARGADO"))
</f>
        <v/>
      </c>
      <c r="D204" s="51"/>
      <c r="E204" s="102"/>
      <c r="F204" s="102"/>
      <c r="G204" s="103"/>
      <c r="H204" s="103"/>
      <c r="L204" s="103"/>
      <c r="M204" s="113"/>
      <c r="N204" s="107"/>
      <c r="O204" s="106" t="str">
        <f>IF(ISBLANK(M204), "", VLOOKUP(D204, 'Info Tipo de Cambio y REM'!$A$24:$B$35, 2, FALSE))</f>
        <v/>
      </c>
      <c r="P204" s="107" t="str">
        <f t="shared" si="2"/>
        <v/>
      </c>
    </row>
    <row r="205">
      <c r="A205" s="102"/>
      <c r="B205" s="43" t="str">
        <f t="shared" si="7"/>
        <v/>
      </c>
      <c r="C205" s="102" t="str">
        <f>IF(J205="", "", IFERROR(VLOOKUP(J205, Clasificaciones!D:E, 2, FALSE), "DATO NO CARGADO"))
</f>
        <v/>
      </c>
      <c r="D205" s="51"/>
      <c r="E205" s="102"/>
      <c r="F205" s="102"/>
      <c r="G205" s="103"/>
      <c r="H205" s="103"/>
      <c r="L205" s="103"/>
      <c r="M205" s="113"/>
      <c r="N205" s="107"/>
      <c r="O205" s="106" t="str">
        <f>IF(ISBLANK(M205), "", VLOOKUP(D205, 'Info Tipo de Cambio y REM'!$A$24:$B$35, 2, FALSE))</f>
        <v/>
      </c>
      <c r="P205" s="107" t="str">
        <f t="shared" si="2"/>
        <v/>
      </c>
    </row>
    <row r="206">
      <c r="A206" s="102"/>
      <c r="B206" s="43" t="str">
        <f t="shared" si="7"/>
        <v/>
      </c>
      <c r="C206" s="102" t="str">
        <f>IF(J206="", "", IFERROR(VLOOKUP(J206, Clasificaciones!D:E, 2, FALSE), "DATO NO CARGADO"))
</f>
        <v/>
      </c>
      <c r="D206" s="51"/>
      <c r="E206" s="102"/>
      <c r="F206" s="102"/>
      <c r="G206" s="103"/>
      <c r="H206" s="103"/>
      <c r="L206" s="103"/>
      <c r="M206" s="113"/>
      <c r="N206" s="107"/>
      <c r="O206" s="106" t="str">
        <f>IF(ISBLANK(M206), "", VLOOKUP(D206, 'Info Tipo de Cambio y REM'!$A$24:$B$35, 2, FALSE))</f>
        <v/>
      </c>
      <c r="P206" s="107" t="str">
        <f t="shared" si="2"/>
        <v/>
      </c>
    </row>
    <row r="207">
      <c r="A207" s="102"/>
      <c r="B207" s="43" t="str">
        <f t="shared" si="7"/>
        <v/>
      </c>
      <c r="C207" s="102" t="str">
        <f>IF(J207="", "", IFERROR(VLOOKUP(J207, Clasificaciones!D:E, 2, FALSE), "DATO NO CARGADO"))
</f>
        <v/>
      </c>
      <c r="D207" s="51"/>
      <c r="E207" s="102"/>
      <c r="F207" s="102"/>
      <c r="G207" s="103"/>
      <c r="H207" s="103"/>
      <c r="L207" s="103"/>
      <c r="M207" s="113"/>
      <c r="N207" s="107"/>
      <c r="O207" s="106" t="str">
        <f>IF(ISBLANK(M207), "", VLOOKUP(D207, 'Info Tipo de Cambio y REM'!$A$24:$B$35, 2, FALSE))</f>
        <v/>
      </c>
      <c r="P207" s="107" t="str">
        <f t="shared" si="2"/>
        <v/>
      </c>
    </row>
    <row r="208">
      <c r="A208" s="102"/>
      <c r="B208" s="43" t="str">
        <f t="shared" si="7"/>
        <v/>
      </c>
      <c r="C208" s="102" t="str">
        <f>IF(J208="", "", IFERROR(VLOOKUP(J208, Clasificaciones!D:E, 2, FALSE), "DATO NO CARGADO"))
</f>
        <v/>
      </c>
      <c r="D208" s="51"/>
      <c r="E208" s="102"/>
      <c r="F208" s="102"/>
      <c r="G208" s="103"/>
      <c r="H208" s="103"/>
      <c r="L208" s="103"/>
      <c r="M208" s="113"/>
      <c r="N208" s="107"/>
      <c r="O208" s="106" t="str">
        <f>IF(ISBLANK(M208), "", VLOOKUP(D208, 'Info Tipo de Cambio y REM'!$A$24:$B$35, 2, FALSE))</f>
        <v/>
      </c>
      <c r="P208" s="107" t="str">
        <f t="shared" si="2"/>
        <v/>
      </c>
    </row>
    <row r="209">
      <c r="A209" s="102"/>
      <c r="B209" s="43" t="str">
        <f t="shared" si="7"/>
        <v/>
      </c>
      <c r="C209" s="102" t="str">
        <f>IF(J209="", "", IFERROR(VLOOKUP(J209, Clasificaciones!D:E, 2, FALSE), "DATO NO CARGADO"))
</f>
        <v/>
      </c>
      <c r="D209" s="51"/>
      <c r="E209" s="102"/>
      <c r="F209" s="102"/>
      <c r="G209" s="103"/>
      <c r="H209" s="103"/>
      <c r="L209" s="103"/>
      <c r="M209" s="113"/>
      <c r="N209" s="107"/>
      <c r="O209" s="106" t="str">
        <f>IF(ISBLANK(M209), "", VLOOKUP(D209, 'Info Tipo de Cambio y REM'!$A$24:$B$35, 2, FALSE))</f>
        <v/>
      </c>
      <c r="P209" s="107" t="str">
        <f t="shared" si="2"/>
        <v/>
      </c>
    </row>
    <row r="210">
      <c r="A210" s="102"/>
      <c r="B210" s="43" t="str">
        <f t="shared" si="7"/>
        <v/>
      </c>
      <c r="C210" s="102" t="str">
        <f>IF(J210="", "", IFERROR(VLOOKUP(J210, Clasificaciones!D:E, 2, FALSE), "DATO NO CARGADO"))
</f>
        <v/>
      </c>
      <c r="D210" s="51"/>
      <c r="E210" s="102"/>
      <c r="F210" s="102"/>
      <c r="G210" s="103"/>
      <c r="H210" s="103"/>
      <c r="L210" s="103"/>
      <c r="M210" s="113"/>
      <c r="N210" s="107"/>
      <c r="O210" s="106" t="str">
        <f>IF(ISBLANK(M210), "", VLOOKUP(D210, 'Info Tipo de Cambio y REM'!$A$24:$B$35, 2, FALSE))</f>
        <v/>
      </c>
      <c r="P210" s="107" t="str">
        <f t="shared" si="2"/>
        <v/>
      </c>
    </row>
    <row r="211">
      <c r="A211" s="102"/>
      <c r="B211" s="43" t="str">
        <f t="shared" si="7"/>
        <v/>
      </c>
      <c r="C211" s="102" t="str">
        <f>IF(J211="", "", IFERROR(VLOOKUP(J211, Clasificaciones!D:E, 2, FALSE), "DATO NO CARGADO"))
</f>
        <v/>
      </c>
      <c r="D211" s="51"/>
      <c r="E211" s="102"/>
      <c r="F211" s="102"/>
      <c r="G211" s="103"/>
      <c r="H211" s="103"/>
      <c r="L211" s="103"/>
      <c r="M211" s="113"/>
      <c r="N211" s="107"/>
      <c r="O211" s="106" t="str">
        <f>IF(ISBLANK(M211), "", VLOOKUP(D211, 'Info Tipo de Cambio y REM'!$A$24:$B$35, 2, FALSE))</f>
        <v/>
      </c>
      <c r="P211" s="107" t="str">
        <f t="shared" si="2"/>
        <v/>
      </c>
    </row>
    <row r="212">
      <c r="A212" s="102"/>
      <c r="B212" s="43" t="str">
        <f t="shared" si="7"/>
        <v/>
      </c>
      <c r="C212" s="102" t="str">
        <f>IF(J212="", "", IFERROR(VLOOKUP(J212, Clasificaciones!D:E, 2, FALSE), "DATO NO CARGADO"))
</f>
        <v/>
      </c>
      <c r="D212" s="51"/>
      <c r="E212" s="102"/>
      <c r="F212" s="102"/>
      <c r="G212" s="103"/>
      <c r="H212" s="103"/>
      <c r="L212" s="103"/>
      <c r="M212" s="113"/>
      <c r="N212" s="107"/>
      <c r="O212" s="106" t="str">
        <f>IF(ISBLANK(M212), "", VLOOKUP(D212, 'Info Tipo de Cambio y REM'!$A$24:$B$35, 2, FALSE))</f>
        <v/>
      </c>
      <c r="P212" s="107" t="str">
        <f t="shared" si="2"/>
        <v/>
      </c>
    </row>
    <row r="213">
      <c r="A213" s="102"/>
      <c r="B213" s="43" t="str">
        <f t="shared" si="7"/>
        <v/>
      </c>
      <c r="C213" s="102" t="str">
        <f>IF(J213="", "", IFERROR(VLOOKUP(J213, Clasificaciones!D:E, 2, FALSE), "DATO NO CARGADO"))
</f>
        <v/>
      </c>
      <c r="D213" s="51"/>
      <c r="E213" s="102"/>
      <c r="F213" s="102"/>
      <c r="G213" s="103"/>
      <c r="H213" s="103"/>
      <c r="L213" s="103"/>
      <c r="M213" s="113"/>
      <c r="N213" s="107"/>
      <c r="O213" s="106" t="str">
        <f>IF(ISBLANK(M213), "", VLOOKUP(D213, 'Info Tipo de Cambio y REM'!$A$24:$B$35, 2, FALSE))</f>
        <v/>
      </c>
      <c r="P213" s="107" t="str">
        <f t="shared" si="2"/>
        <v/>
      </c>
    </row>
    <row r="214">
      <c r="A214" s="102"/>
      <c r="B214" s="43" t="str">
        <f t="shared" si="7"/>
        <v/>
      </c>
      <c r="C214" s="102" t="str">
        <f>IF(J214="", "", IFERROR(VLOOKUP(J214, Clasificaciones!D:E, 2, FALSE), "DATO NO CARGADO"))
</f>
        <v/>
      </c>
      <c r="D214" s="51"/>
      <c r="E214" s="102"/>
      <c r="F214" s="102"/>
      <c r="G214" s="103"/>
      <c r="H214" s="103"/>
      <c r="L214" s="103"/>
      <c r="M214" s="113"/>
      <c r="N214" s="107"/>
      <c r="O214" s="106" t="str">
        <f>IF(ISBLANK(M214), "", VLOOKUP(D214, 'Info Tipo de Cambio y REM'!$A$24:$B$35, 2, FALSE))</f>
        <v/>
      </c>
      <c r="P214" s="107" t="str">
        <f t="shared" si="2"/>
        <v/>
      </c>
    </row>
    <row r="215">
      <c r="A215" s="102"/>
      <c r="B215" s="43" t="str">
        <f t="shared" si="7"/>
        <v/>
      </c>
      <c r="C215" s="102" t="str">
        <f>IF(J215="", "", IFERROR(VLOOKUP(J215, Clasificaciones!D:E, 2, FALSE), "DATO NO CARGADO"))
</f>
        <v/>
      </c>
      <c r="D215" s="51"/>
      <c r="E215" s="102"/>
      <c r="F215" s="102"/>
      <c r="G215" s="103"/>
      <c r="H215" s="103"/>
      <c r="L215" s="103"/>
      <c r="M215" s="113"/>
      <c r="N215" s="107"/>
      <c r="O215" s="106" t="str">
        <f>IF(ISBLANK(M215), "", VLOOKUP(D215, 'Info Tipo de Cambio y REM'!$A$24:$B$35, 2, FALSE))</f>
        <v/>
      </c>
      <c r="P215" s="107" t="str">
        <f t="shared" si="2"/>
        <v/>
      </c>
    </row>
    <row r="216">
      <c r="A216" s="102"/>
      <c r="B216" s="43" t="str">
        <f t="shared" si="7"/>
        <v/>
      </c>
      <c r="C216" s="102" t="str">
        <f>IF(J216="", "", IFERROR(VLOOKUP(J216, Clasificaciones!D:E, 2, FALSE), "DATO NO CARGADO"))
</f>
        <v/>
      </c>
      <c r="D216" s="51"/>
      <c r="E216" s="102"/>
      <c r="F216" s="102"/>
      <c r="G216" s="103"/>
      <c r="H216" s="103"/>
      <c r="L216" s="103"/>
      <c r="M216" s="113"/>
      <c r="N216" s="107"/>
      <c r="O216" s="106" t="str">
        <f>IF(ISBLANK(M216), "", VLOOKUP(D216, 'Info Tipo de Cambio y REM'!$A$24:$B$35, 2, FALSE))</f>
        <v/>
      </c>
      <c r="P216" s="107" t="str">
        <f t="shared" si="2"/>
        <v/>
      </c>
    </row>
    <row r="217">
      <c r="A217" s="102"/>
      <c r="B217" s="43" t="str">
        <f t="shared" si="7"/>
        <v/>
      </c>
      <c r="C217" s="102" t="str">
        <f>IF(J217="", "", IFERROR(VLOOKUP(J217, Clasificaciones!D:E, 2, FALSE), "DATO NO CARGADO"))
</f>
        <v/>
      </c>
      <c r="D217" s="51"/>
      <c r="E217" s="102"/>
      <c r="F217" s="102"/>
      <c r="G217" s="103"/>
      <c r="H217" s="103"/>
      <c r="L217" s="103"/>
      <c r="M217" s="113"/>
      <c r="N217" s="107"/>
      <c r="O217" s="106" t="str">
        <f>IF(ISBLANK(M217), "", VLOOKUP(D217, 'Info Tipo de Cambio y REM'!$A$24:$B$35, 2, FALSE))</f>
        <v/>
      </c>
      <c r="P217" s="107" t="str">
        <f t="shared" si="2"/>
        <v/>
      </c>
    </row>
    <row r="218">
      <c r="A218" s="102"/>
      <c r="B218" s="43" t="str">
        <f t="shared" si="7"/>
        <v/>
      </c>
      <c r="C218" s="102" t="str">
        <f>IF(J218="", "", IFERROR(VLOOKUP(J218, Clasificaciones!D:E, 2, FALSE), "DATO NO CARGADO"))
</f>
        <v/>
      </c>
      <c r="D218" s="51"/>
      <c r="E218" s="102"/>
      <c r="F218" s="102"/>
      <c r="G218" s="103"/>
      <c r="H218" s="103"/>
      <c r="L218" s="103"/>
      <c r="M218" s="113"/>
      <c r="N218" s="107"/>
      <c r="O218" s="106" t="str">
        <f>IF(ISBLANK(M218), "", VLOOKUP(D218, 'Info Tipo de Cambio y REM'!$A$24:$B$35, 2, FALSE))</f>
        <v/>
      </c>
      <c r="P218" s="107" t="str">
        <f t="shared" si="2"/>
        <v/>
      </c>
    </row>
    <row r="219">
      <c r="A219" s="102"/>
      <c r="B219" s="43" t="str">
        <f t="shared" si="7"/>
        <v/>
      </c>
      <c r="C219" s="102" t="str">
        <f>IF(J219="", "", IFERROR(VLOOKUP(J219, Clasificaciones!D:E, 2, FALSE), "DATO NO CARGADO"))
</f>
        <v/>
      </c>
      <c r="D219" s="51"/>
      <c r="E219" s="102"/>
      <c r="F219" s="102"/>
      <c r="G219" s="103"/>
      <c r="H219" s="103"/>
      <c r="L219" s="103"/>
      <c r="M219" s="113"/>
      <c r="N219" s="107"/>
      <c r="O219" s="106" t="str">
        <f>IF(ISBLANK(M219), "", VLOOKUP(D219, 'Info Tipo de Cambio y REM'!$A$24:$B$35, 2, FALSE))</f>
        <v/>
      </c>
      <c r="P219" s="107" t="str">
        <f t="shared" si="2"/>
        <v/>
      </c>
    </row>
    <row r="220">
      <c r="A220" s="102"/>
      <c r="B220" s="43" t="str">
        <f t="shared" si="7"/>
        <v/>
      </c>
      <c r="C220" s="102" t="str">
        <f>IF(J220="", "", IFERROR(VLOOKUP(J220, Clasificaciones!D:E, 2, FALSE), "DATO NO CARGADO"))
</f>
        <v/>
      </c>
      <c r="D220" s="51"/>
      <c r="E220" s="102"/>
      <c r="F220" s="102"/>
      <c r="G220" s="103"/>
      <c r="H220" s="103"/>
      <c r="L220" s="103"/>
      <c r="M220" s="113"/>
      <c r="N220" s="107"/>
      <c r="O220" s="106" t="str">
        <f>IF(ISBLANK(M220), "", VLOOKUP(D220, 'Info Tipo de Cambio y REM'!$A$24:$B$35, 2, FALSE))</f>
        <v/>
      </c>
      <c r="P220" s="107" t="str">
        <f t="shared" si="2"/>
        <v/>
      </c>
    </row>
    <row r="221">
      <c r="A221" s="102"/>
      <c r="B221" s="43" t="str">
        <f t="shared" si="7"/>
        <v/>
      </c>
      <c r="C221" s="102" t="str">
        <f>IF(J221="", "", IFERROR(VLOOKUP(J221, Clasificaciones!D:E, 2, FALSE), "DATO NO CARGADO"))
</f>
        <v/>
      </c>
      <c r="D221" s="51"/>
      <c r="E221" s="102"/>
      <c r="F221" s="102"/>
      <c r="G221" s="103"/>
      <c r="H221" s="103"/>
      <c r="L221" s="103"/>
      <c r="M221" s="113"/>
      <c r="N221" s="107"/>
      <c r="O221" s="106" t="str">
        <f>IF(ISBLANK(M221), "", VLOOKUP(D221, 'Info Tipo de Cambio y REM'!$A$24:$B$35, 2, FALSE))</f>
        <v/>
      </c>
      <c r="P221" s="107" t="str">
        <f t="shared" si="2"/>
        <v/>
      </c>
    </row>
    <row r="222">
      <c r="A222" s="102"/>
      <c r="B222" s="43" t="str">
        <f t="shared" si="7"/>
        <v/>
      </c>
      <c r="C222" s="102" t="str">
        <f>IF(J222="", "", IFERROR(VLOOKUP(J222, Clasificaciones!D:E, 2, FALSE), "DATO NO CARGADO"))
</f>
        <v/>
      </c>
      <c r="D222" s="51"/>
      <c r="E222" s="102"/>
      <c r="F222" s="102"/>
      <c r="G222" s="103"/>
      <c r="H222" s="103"/>
      <c r="L222" s="103"/>
      <c r="M222" s="113"/>
      <c r="N222" s="107"/>
      <c r="O222" s="106" t="str">
        <f>IF(ISBLANK(M222), "", VLOOKUP(D222, 'Info Tipo de Cambio y REM'!$A$24:$B$35, 2, FALSE))</f>
        <v/>
      </c>
      <c r="P222" s="107" t="str">
        <f t="shared" si="2"/>
        <v/>
      </c>
    </row>
    <row r="223">
      <c r="A223" s="102"/>
      <c r="B223" s="43" t="str">
        <f t="shared" si="7"/>
        <v/>
      </c>
      <c r="C223" s="102" t="str">
        <f>IF(J223="", "", IFERROR(VLOOKUP(J223, Clasificaciones!D:E, 2, FALSE), "DATO NO CARGADO"))
</f>
        <v/>
      </c>
      <c r="D223" s="51"/>
      <c r="E223" s="102"/>
      <c r="F223" s="102"/>
      <c r="G223" s="103"/>
      <c r="H223" s="103"/>
      <c r="L223" s="103"/>
      <c r="M223" s="113"/>
      <c r="N223" s="107"/>
      <c r="O223" s="106" t="str">
        <f>IF(ISBLANK(M223), "", VLOOKUP(D223, 'Info Tipo de Cambio y REM'!$A$24:$B$35, 2, FALSE))</f>
        <v/>
      </c>
      <c r="P223" s="107" t="str">
        <f t="shared" si="2"/>
        <v/>
      </c>
    </row>
    <row r="224">
      <c r="A224" s="102"/>
      <c r="B224" s="43" t="str">
        <f t="shared" si="7"/>
        <v/>
      </c>
      <c r="C224" s="102" t="str">
        <f>IF(J224="", "", IFERROR(VLOOKUP(J224, Clasificaciones!D:E, 2, FALSE), "DATO NO CARGADO"))
</f>
        <v/>
      </c>
      <c r="D224" s="51"/>
      <c r="E224" s="102"/>
      <c r="F224" s="102"/>
      <c r="G224" s="103"/>
      <c r="H224" s="103"/>
      <c r="L224" s="103"/>
      <c r="M224" s="113"/>
      <c r="N224" s="107"/>
      <c r="O224" s="106" t="str">
        <f>IF(ISBLANK(M224), "", VLOOKUP(D224, 'Info Tipo de Cambio y REM'!$A$24:$B$35, 2, FALSE))</f>
        <v/>
      </c>
      <c r="P224" s="107" t="str">
        <f t="shared" si="2"/>
        <v/>
      </c>
    </row>
    <row r="225">
      <c r="A225" s="102"/>
      <c r="B225" s="43" t="str">
        <f t="shared" si="7"/>
        <v/>
      </c>
      <c r="C225" s="102" t="str">
        <f>IF(J225="", "", IFERROR(VLOOKUP(J225, Clasificaciones!D:E, 2, FALSE), "DATO NO CARGADO"))
</f>
        <v/>
      </c>
      <c r="D225" s="51"/>
      <c r="E225" s="102"/>
      <c r="F225" s="102"/>
      <c r="G225" s="103"/>
      <c r="H225" s="103"/>
      <c r="L225" s="103"/>
      <c r="M225" s="113"/>
      <c r="N225" s="107"/>
      <c r="O225" s="106" t="str">
        <f>IF(ISBLANK(M225), "", VLOOKUP(D225, 'Info Tipo de Cambio y REM'!$A$24:$B$35, 2, FALSE))</f>
        <v/>
      </c>
      <c r="P225" s="107" t="str">
        <f t="shared" si="2"/>
        <v/>
      </c>
    </row>
    <row r="226">
      <c r="A226" s="102"/>
      <c r="B226" s="43" t="str">
        <f t="shared" si="7"/>
        <v/>
      </c>
      <c r="C226" s="102" t="str">
        <f>IF(J226="", "", IFERROR(VLOOKUP(J226, Clasificaciones!D:E, 2, FALSE), "DATO NO CARGADO"))
</f>
        <v/>
      </c>
      <c r="D226" s="51"/>
      <c r="E226" s="102"/>
      <c r="F226" s="102"/>
      <c r="G226" s="103"/>
      <c r="H226" s="103"/>
      <c r="L226" s="103"/>
      <c r="M226" s="113"/>
      <c r="N226" s="107"/>
      <c r="O226" s="106" t="str">
        <f>IF(ISBLANK(M226), "", VLOOKUP(D226, 'Info Tipo de Cambio y REM'!$A$24:$B$35, 2, FALSE))</f>
        <v/>
      </c>
      <c r="P226" s="107" t="str">
        <f t="shared" si="2"/>
        <v/>
      </c>
    </row>
    <row r="227">
      <c r="A227" s="102"/>
      <c r="B227" s="43" t="str">
        <f t="shared" si="7"/>
        <v/>
      </c>
      <c r="C227" s="102" t="str">
        <f>IF(J227="", "", IFERROR(VLOOKUP(J227, Clasificaciones!D:E, 2, FALSE), "DATO NO CARGADO"))
</f>
        <v/>
      </c>
      <c r="D227" s="51"/>
      <c r="E227" s="102"/>
      <c r="F227" s="102"/>
      <c r="G227" s="103"/>
      <c r="H227" s="103"/>
      <c r="L227" s="103"/>
      <c r="M227" s="113"/>
      <c r="N227" s="107"/>
      <c r="O227" s="106" t="str">
        <f>IF(ISBLANK(M227), "", VLOOKUP(D227, 'Info Tipo de Cambio y REM'!$A$24:$B$35, 2, FALSE))</f>
        <v/>
      </c>
      <c r="P227" s="107" t="str">
        <f t="shared" si="2"/>
        <v/>
      </c>
    </row>
    <row r="228">
      <c r="A228" s="102"/>
      <c r="B228" s="43" t="str">
        <f t="shared" si="7"/>
        <v/>
      </c>
      <c r="C228" s="102" t="str">
        <f>IF(J228="", "", IFERROR(VLOOKUP(J228, Clasificaciones!D:E, 2, FALSE), "DATO NO CARGADO"))
</f>
        <v/>
      </c>
      <c r="D228" s="51"/>
      <c r="E228" s="102"/>
      <c r="F228" s="102"/>
      <c r="G228" s="103"/>
      <c r="H228" s="103"/>
      <c r="L228" s="103"/>
      <c r="M228" s="113"/>
      <c r="N228" s="107"/>
      <c r="O228" s="106" t="str">
        <f>IF(ISBLANK(M228), "", VLOOKUP(D228, 'Info Tipo de Cambio y REM'!$A$24:$B$35, 2, FALSE))</f>
        <v/>
      </c>
      <c r="P228" s="107" t="str">
        <f t="shared" si="2"/>
        <v/>
      </c>
    </row>
    <row r="229">
      <c r="A229" s="102"/>
      <c r="B229" s="43" t="str">
        <f t="shared" si="7"/>
        <v/>
      </c>
      <c r="C229" s="102" t="str">
        <f>IF(J229="", "", IFERROR(VLOOKUP(J229, Clasificaciones!D:E, 2, FALSE), "DATO NO CARGADO"))
</f>
        <v/>
      </c>
      <c r="D229" s="51"/>
      <c r="E229" s="102"/>
      <c r="F229" s="102"/>
      <c r="G229" s="103"/>
      <c r="H229" s="103"/>
      <c r="L229" s="103"/>
      <c r="M229" s="113"/>
      <c r="N229" s="107"/>
      <c r="O229" s="106" t="str">
        <f>IF(ISBLANK(M229), "", VLOOKUP(D229, 'Info Tipo de Cambio y REM'!$A$24:$B$35, 2, FALSE))</f>
        <v/>
      </c>
      <c r="P229" s="107" t="str">
        <f t="shared" si="2"/>
        <v/>
      </c>
    </row>
    <row r="230">
      <c r="A230" s="102"/>
      <c r="B230" s="43" t="str">
        <f t="shared" si="7"/>
        <v/>
      </c>
      <c r="C230" s="102" t="str">
        <f>IF(J230="", "", IFERROR(VLOOKUP(J230, Clasificaciones!D:E, 2, FALSE), "DATO NO CARGADO"))
</f>
        <v/>
      </c>
      <c r="D230" s="51"/>
      <c r="E230" s="102"/>
      <c r="F230" s="102"/>
      <c r="G230" s="103"/>
      <c r="H230" s="103"/>
      <c r="L230" s="103"/>
      <c r="M230" s="113"/>
      <c r="N230" s="107"/>
      <c r="O230" s="106" t="str">
        <f>IF(ISBLANK(M230), "", VLOOKUP(D230, 'Info Tipo de Cambio y REM'!$A$24:$B$35, 2, FALSE))</f>
        <v/>
      </c>
      <c r="P230" s="107" t="str">
        <f t="shared" si="2"/>
        <v/>
      </c>
    </row>
    <row r="231">
      <c r="A231" s="102"/>
      <c r="B231" s="43" t="str">
        <f t="shared" si="7"/>
        <v/>
      </c>
      <c r="C231" s="102" t="str">
        <f>IF(J231="", "", IFERROR(VLOOKUP(J231, Clasificaciones!D:E, 2, FALSE), "DATO NO CARGADO"))
</f>
        <v/>
      </c>
      <c r="D231" s="51"/>
      <c r="E231" s="102"/>
      <c r="F231" s="102"/>
      <c r="G231" s="103"/>
      <c r="H231" s="103"/>
      <c r="L231" s="103"/>
      <c r="M231" s="113"/>
      <c r="N231" s="107"/>
      <c r="O231" s="106" t="str">
        <f>IF(ISBLANK(M231), "", VLOOKUP(D231, 'Info Tipo de Cambio y REM'!$A$24:$B$35, 2, FALSE))</f>
        <v/>
      </c>
      <c r="P231" s="107" t="str">
        <f t="shared" si="2"/>
        <v/>
      </c>
    </row>
    <row r="232">
      <c r="A232" s="102"/>
      <c r="B232" s="43" t="str">
        <f t="shared" si="7"/>
        <v/>
      </c>
      <c r="C232" s="102" t="str">
        <f>IF(J232="", "", IFERROR(VLOOKUP(J232, Clasificaciones!D:E, 2, FALSE), "DATO NO CARGADO"))
</f>
        <v/>
      </c>
      <c r="D232" s="51"/>
      <c r="E232" s="102"/>
      <c r="F232" s="102"/>
      <c r="G232" s="103"/>
      <c r="H232" s="103"/>
      <c r="L232" s="103"/>
      <c r="M232" s="113"/>
      <c r="N232" s="107"/>
      <c r="O232" s="106" t="str">
        <f>IF(ISBLANK(M232), "", VLOOKUP(D232, 'Info Tipo de Cambio y REM'!$A$24:$B$35, 2, FALSE))</f>
        <v/>
      </c>
      <c r="P232" s="107" t="str">
        <f t="shared" si="2"/>
        <v/>
      </c>
    </row>
    <row r="233">
      <c r="A233" s="102"/>
      <c r="B233" s="43" t="str">
        <f t="shared" si="7"/>
        <v/>
      </c>
      <c r="C233" s="102" t="str">
        <f>IF(J233="", "", IFERROR(VLOOKUP(J233, Clasificaciones!D:E, 2, FALSE), "DATO NO CARGADO"))
</f>
        <v/>
      </c>
      <c r="D233" s="51"/>
      <c r="E233" s="102"/>
      <c r="F233" s="102"/>
      <c r="G233" s="103"/>
      <c r="H233" s="103"/>
      <c r="L233" s="103"/>
      <c r="M233" s="113"/>
      <c r="N233" s="107"/>
      <c r="O233" s="106" t="str">
        <f>IF(ISBLANK(M233), "", VLOOKUP(D233, 'Info Tipo de Cambio y REM'!$A$24:$B$35, 2, FALSE))</f>
        <v/>
      </c>
      <c r="P233" s="107" t="str">
        <f t="shared" si="2"/>
        <v/>
      </c>
    </row>
    <row r="234">
      <c r="A234" s="102"/>
      <c r="B234" s="43" t="str">
        <f t="shared" si="7"/>
        <v/>
      </c>
      <c r="C234" s="102" t="str">
        <f>IF(J234="", "", IFERROR(VLOOKUP(J234, Clasificaciones!D:E, 2, FALSE), "DATO NO CARGADO"))
</f>
        <v/>
      </c>
      <c r="D234" s="51"/>
      <c r="E234" s="102"/>
      <c r="F234" s="102"/>
      <c r="G234" s="103"/>
      <c r="H234" s="103"/>
      <c r="L234" s="103"/>
      <c r="M234" s="113"/>
      <c r="N234" s="107"/>
      <c r="O234" s="106" t="str">
        <f>IF(ISBLANK(M234), "", VLOOKUP(D234, 'Info Tipo de Cambio y REM'!$A$24:$B$35, 2, FALSE))</f>
        <v/>
      </c>
      <c r="P234" s="107" t="str">
        <f t="shared" si="2"/>
        <v/>
      </c>
    </row>
    <row r="235">
      <c r="A235" s="102"/>
      <c r="B235" s="43" t="str">
        <f t="shared" si="7"/>
        <v/>
      </c>
      <c r="C235" s="102" t="str">
        <f>IF(J235="", "", IFERROR(VLOOKUP(J235, Clasificaciones!D:E, 2, FALSE), "DATO NO CARGADO"))
</f>
        <v/>
      </c>
      <c r="D235" s="51"/>
      <c r="E235" s="102"/>
      <c r="F235" s="102"/>
      <c r="G235" s="103"/>
      <c r="H235" s="103"/>
      <c r="L235" s="103"/>
      <c r="M235" s="113"/>
      <c r="N235" s="107"/>
      <c r="O235" s="106" t="str">
        <f>IF(ISBLANK(M235), "", VLOOKUP(D235, 'Info Tipo de Cambio y REM'!$A$24:$B$35, 2, FALSE))</f>
        <v/>
      </c>
      <c r="P235" s="107" t="str">
        <f t="shared" si="2"/>
        <v/>
      </c>
    </row>
    <row r="236">
      <c r="A236" s="102"/>
      <c r="B236" s="43" t="str">
        <f t="shared" si="7"/>
        <v/>
      </c>
      <c r="C236" s="102" t="str">
        <f>IF(J236="", "", IFERROR(VLOOKUP(J236, Clasificaciones!D:E, 2, FALSE), "DATO NO CARGADO"))
</f>
        <v/>
      </c>
      <c r="D236" s="51"/>
      <c r="E236" s="102"/>
      <c r="F236" s="102"/>
      <c r="G236" s="103"/>
      <c r="H236" s="103"/>
      <c r="L236" s="103"/>
      <c r="M236" s="113"/>
      <c r="N236" s="107"/>
      <c r="O236" s="106" t="str">
        <f>IF(ISBLANK(M236), "", VLOOKUP(D236, 'Info Tipo de Cambio y REM'!$A$24:$B$35, 2, FALSE))</f>
        <v/>
      </c>
      <c r="P236" s="107" t="str">
        <f t="shared" si="2"/>
        <v/>
      </c>
    </row>
    <row r="237">
      <c r="A237" s="102"/>
      <c r="B237" s="43" t="str">
        <f t="shared" si="7"/>
        <v/>
      </c>
      <c r="C237" s="102" t="str">
        <f>IF(J237="", "", IFERROR(VLOOKUP(J237, Clasificaciones!D:E, 2, FALSE), "DATO NO CARGADO"))
</f>
        <v/>
      </c>
      <c r="D237" s="51"/>
      <c r="E237" s="102"/>
      <c r="F237" s="102"/>
      <c r="G237" s="103"/>
      <c r="H237" s="103"/>
      <c r="L237" s="103"/>
      <c r="M237" s="113"/>
      <c r="N237" s="107"/>
      <c r="O237" s="106" t="str">
        <f>IF(ISBLANK(M237), "", VLOOKUP(D237, 'Info Tipo de Cambio y REM'!$A$24:$B$35, 2, FALSE))</f>
        <v/>
      </c>
      <c r="P237" s="107" t="str">
        <f t="shared" si="2"/>
        <v/>
      </c>
    </row>
    <row r="238">
      <c r="A238" s="102"/>
      <c r="B238" s="43" t="str">
        <f t="shared" si="7"/>
        <v/>
      </c>
      <c r="C238" s="102" t="str">
        <f>IF(J238="", "", IFERROR(VLOOKUP(J238, Clasificaciones!D:E, 2, FALSE), "DATO NO CARGADO"))
</f>
        <v/>
      </c>
      <c r="D238" s="51"/>
      <c r="E238" s="102"/>
      <c r="F238" s="102"/>
      <c r="G238" s="103"/>
      <c r="H238" s="103"/>
      <c r="L238" s="103"/>
      <c r="M238" s="113"/>
      <c r="N238" s="107"/>
      <c r="O238" s="106" t="str">
        <f>IF(ISBLANK(M238), "", VLOOKUP(D238, 'Info Tipo de Cambio y REM'!$A$24:$B$35, 2, FALSE))</f>
        <v/>
      </c>
      <c r="P238" s="107" t="str">
        <f t="shared" si="2"/>
        <v/>
      </c>
    </row>
    <row r="239">
      <c r="A239" s="102"/>
      <c r="B239" s="43" t="str">
        <f t="shared" si="7"/>
        <v/>
      </c>
      <c r="C239" s="102" t="str">
        <f>IF(J239="", "", IFERROR(VLOOKUP(J239, Clasificaciones!D:E, 2, FALSE), "DATO NO CARGADO"))
</f>
        <v/>
      </c>
      <c r="D239" s="51"/>
      <c r="E239" s="102"/>
      <c r="F239" s="102"/>
      <c r="G239" s="103"/>
      <c r="H239" s="103"/>
      <c r="L239" s="103"/>
      <c r="M239" s="113"/>
      <c r="N239" s="107"/>
      <c r="O239" s="106" t="str">
        <f>IF(ISBLANK(M239), "", VLOOKUP(D239, 'Info Tipo de Cambio y REM'!$A$24:$B$35, 2, FALSE))</f>
        <v/>
      </c>
      <c r="P239" s="107" t="str">
        <f t="shared" si="2"/>
        <v/>
      </c>
    </row>
    <row r="240">
      <c r="A240" s="102"/>
      <c r="B240" s="43" t="str">
        <f t="shared" si="7"/>
        <v/>
      </c>
      <c r="C240" s="102" t="str">
        <f>IF(J240="", "", IFERROR(VLOOKUP(J240, Clasificaciones!D:E, 2, FALSE), "DATO NO CARGADO"))
</f>
        <v/>
      </c>
      <c r="D240" s="51"/>
      <c r="E240" s="102"/>
      <c r="F240" s="102"/>
      <c r="G240" s="103"/>
      <c r="H240" s="103"/>
      <c r="L240" s="103"/>
      <c r="M240" s="113"/>
      <c r="N240" s="107"/>
      <c r="O240" s="106" t="str">
        <f>IF(ISBLANK(M240), "", VLOOKUP(D240, 'Info Tipo de Cambio y REM'!$A$24:$B$35, 2, FALSE))</f>
        <v/>
      </c>
      <c r="P240" s="107" t="str">
        <f t="shared" si="2"/>
        <v/>
      </c>
    </row>
    <row r="241">
      <c r="A241" s="102"/>
      <c r="B241" s="43" t="str">
        <f t="shared" si="7"/>
        <v/>
      </c>
      <c r="C241" s="102" t="str">
        <f>IF(J241="", "", IFERROR(VLOOKUP(J241, Clasificaciones!D:E, 2, FALSE), "DATO NO CARGADO"))
</f>
        <v/>
      </c>
      <c r="D241" s="51"/>
      <c r="E241" s="102"/>
      <c r="F241" s="102"/>
      <c r="G241" s="103"/>
      <c r="H241" s="103"/>
      <c r="L241" s="103"/>
      <c r="M241" s="113"/>
      <c r="N241" s="107"/>
      <c r="O241" s="106" t="str">
        <f>IF(ISBLANK(M241), "", VLOOKUP(D241, 'Info Tipo de Cambio y REM'!$A$24:$B$35, 2, FALSE))</f>
        <v/>
      </c>
      <c r="P241" s="107" t="str">
        <f t="shared" si="2"/>
        <v/>
      </c>
    </row>
    <row r="242">
      <c r="A242" s="102"/>
      <c r="B242" s="43" t="str">
        <f t="shared" si="7"/>
        <v/>
      </c>
      <c r="C242" s="102" t="str">
        <f>IF(J242="", "", IFERROR(VLOOKUP(J242, Clasificaciones!D:E, 2, FALSE), "DATO NO CARGADO"))
</f>
        <v/>
      </c>
      <c r="D242" s="51"/>
      <c r="E242" s="102"/>
      <c r="F242" s="102"/>
      <c r="G242" s="103"/>
      <c r="H242" s="103"/>
      <c r="L242" s="103"/>
      <c r="M242" s="113"/>
      <c r="N242" s="107"/>
      <c r="O242" s="106" t="str">
        <f>IF(ISBLANK(M242), "", VLOOKUP(D242, 'Info Tipo de Cambio y REM'!$A$24:$B$35, 2, FALSE))</f>
        <v/>
      </c>
      <c r="P242" s="107" t="str">
        <f t="shared" si="2"/>
        <v/>
      </c>
    </row>
    <row r="243">
      <c r="A243" s="102"/>
      <c r="B243" s="43" t="str">
        <f t="shared" si="7"/>
        <v/>
      </c>
      <c r="C243" s="102" t="str">
        <f>IF(J243="", "", IFERROR(VLOOKUP(J243, Clasificaciones!D:E, 2, FALSE), "DATO NO CARGADO"))
</f>
        <v/>
      </c>
      <c r="D243" s="51"/>
      <c r="E243" s="102"/>
      <c r="F243" s="102"/>
      <c r="G243" s="103"/>
      <c r="H243" s="103"/>
      <c r="L243" s="103"/>
      <c r="M243" s="113"/>
      <c r="N243" s="107"/>
      <c r="O243" s="106" t="str">
        <f>IF(ISBLANK(M243), "", VLOOKUP(D243, 'Info Tipo de Cambio y REM'!$A$24:$B$35, 2, FALSE))</f>
        <v/>
      </c>
      <c r="P243" s="107" t="str">
        <f t="shared" si="2"/>
        <v/>
      </c>
    </row>
    <row r="244">
      <c r="A244" s="102"/>
      <c r="B244" s="43" t="str">
        <f t="shared" si="7"/>
        <v/>
      </c>
      <c r="C244" s="102" t="str">
        <f>IF(J244="", "", IFERROR(VLOOKUP(J244, Clasificaciones!D:E, 2, FALSE), "DATO NO CARGADO"))
</f>
        <v/>
      </c>
      <c r="D244" s="51"/>
      <c r="E244" s="102"/>
      <c r="F244" s="102"/>
      <c r="G244" s="103"/>
      <c r="H244" s="103"/>
      <c r="L244" s="103"/>
      <c r="M244" s="113"/>
      <c r="N244" s="107"/>
      <c r="O244" s="106" t="str">
        <f>IF(ISBLANK(M244), "", VLOOKUP(D244, 'Info Tipo de Cambio y REM'!$A$24:$B$35, 2, FALSE))</f>
        <v/>
      </c>
      <c r="P244" s="107" t="str">
        <f t="shared" si="2"/>
        <v/>
      </c>
    </row>
    <row r="245">
      <c r="A245" s="102"/>
      <c r="B245" s="43" t="str">
        <f t="shared" si="7"/>
        <v/>
      </c>
      <c r="C245" s="102" t="str">
        <f>IF(J245="", "", IFERROR(VLOOKUP(J245, Clasificaciones!D:E, 2, FALSE), "DATO NO CARGADO"))
</f>
        <v/>
      </c>
      <c r="D245" s="51"/>
      <c r="E245" s="102"/>
      <c r="F245" s="102"/>
      <c r="G245" s="103"/>
      <c r="H245" s="103"/>
      <c r="L245" s="103"/>
      <c r="M245" s="113"/>
      <c r="N245" s="107"/>
      <c r="O245" s="106" t="str">
        <f>IF(ISBLANK(M245), "", VLOOKUP(D245, 'Info Tipo de Cambio y REM'!$A$24:$B$35, 2, FALSE))</f>
        <v/>
      </c>
      <c r="P245" s="107" t="str">
        <f t="shared" si="2"/>
        <v/>
      </c>
    </row>
    <row r="246">
      <c r="A246" s="102"/>
      <c r="B246" s="43" t="str">
        <f t="shared" si="7"/>
        <v/>
      </c>
      <c r="C246" s="102" t="str">
        <f>IF(J246="", "", IFERROR(VLOOKUP(J246, Clasificaciones!D:E, 2, FALSE), "DATO NO CARGADO"))
</f>
        <v/>
      </c>
      <c r="D246" s="51"/>
      <c r="E246" s="102"/>
      <c r="F246" s="102"/>
      <c r="G246" s="103"/>
      <c r="H246" s="103"/>
      <c r="L246" s="103"/>
      <c r="M246" s="113"/>
      <c r="N246" s="107"/>
      <c r="O246" s="106" t="str">
        <f>IF(ISBLANK(M246), "", VLOOKUP(D246, 'Info Tipo de Cambio y REM'!$A$24:$B$35, 2, FALSE))</f>
        <v/>
      </c>
      <c r="P246" s="107" t="str">
        <f t="shared" si="2"/>
        <v/>
      </c>
    </row>
    <row r="247">
      <c r="A247" s="102"/>
      <c r="B247" s="43" t="str">
        <f t="shared" si="7"/>
        <v/>
      </c>
      <c r="C247" s="102" t="str">
        <f>IF(J247="", "", IFERROR(VLOOKUP(J247, Clasificaciones!D:E, 2, FALSE), "DATO NO CARGADO"))
</f>
        <v/>
      </c>
      <c r="D247" s="51"/>
      <c r="E247" s="102"/>
      <c r="F247" s="102"/>
      <c r="G247" s="103"/>
      <c r="H247" s="103"/>
      <c r="L247" s="103"/>
      <c r="M247" s="113"/>
      <c r="N247" s="107"/>
      <c r="O247" s="106" t="str">
        <f>IF(ISBLANK(M247), "", VLOOKUP(D247, 'Info Tipo de Cambio y REM'!$A$24:$B$35, 2, FALSE))</f>
        <v/>
      </c>
      <c r="P247" s="107" t="str">
        <f t="shared" si="2"/>
        <v/>
      </c>
    </row>
    <row r="248">
      <c r="A248" s="102"/>
      <c r="B248" s="43" t="str">
        <f t="shared" si="7"/>
        <v/>
      </c>
      <c r="C248" s="102" t="str">
        <f>IF(J248="", "", IFERROR(VLOOKUP(J248, Clasificaciones!D:E, 2, FALSE), "DATO NO CARGADO"))
</f>
        <v/>
      </c>
      <c r="D248" s="51"/>
      <c r="E248" s="102"/>
      <c r="F248" s="102"/>
      <c r="G248" s="103"/>
      <c r="H248" s="103"/>
      <c r="L248" s="103"/>
      <c r="M248" s="113"/>
      <c r="N248" s="107"/>
      <c r="O248" s="106" t="str">
        <f>IF(ISBLANK(M248), "", VLOOKUP(D248, 'Info Tipo de Cambio y REM'!$A$24:$B$35, 2, FALSE))</f>
        <v/>
      </c>
      <c r="P248" s="107" t="str">
        <f t="shared" si="2"/>
        <v/>
      </c>
    </row>
    <row r="249">
      <c r="A249" s="102"/>
      <c r="B249" s="43" t="str">
        <f t="shared" si="7"/>
        <v/>
      </c>
      <c r="C249" s="102" t="str">
        <f>IF(J249="", "", IFERROR(VLOOKUP(J249, Clasificaciones!D:E, 2, FALSE), "DATO NO CARGADO"))
</f>
        <v/>
      </c>
      <c r="D249" s="51"/>
      <c r="E249" s="102"/>
      <c r="F249" s="102"/>
      <c r="G249" s="103"/>
      <c r="H249" s="103"/>
      <c r="L249" s="103"/>
      <c r="M249" s="113"/>
      <c r="N249" s="107"/>
      <c r="O249" s="106" t="str">
        <f>IF(ISBLANK(M249), "", VLOOKUP(D249, 'Info Tipo de Cambio y REM'!$A$24:$B$35, 2, FALSE))</f>
        <v/>
      </c>
      <c r="P249" s="107" t="str">
        <f t="shared" si="2"/>
        <v/>
      </c>
    </row>
    <row r="250">
      <c r="A250" s="102"/>
      <c r="B250" s="43" t="str">
        <f t="shared" si="7"/>
        <v/>
      </c>
      <c r="C250" s="102" t="str">
        <f>IF(J250="", "", IFERROR(VLOOKUP(J250, Clasificaciones!D:E, 2, FALSE), "DATO NO CARGADO"))
</f>
        <v/>
      </c>
      <c r="D250" s="51"/>
      <c r="E250" s="102"/>
      <c r="F250" s="102"/>
      <c r="G250" s="103"/>
      <c r="H250" s="103"/>
      <c r="L250" s="103"/>
      <c r="M250" s="113"/>
      <c r="N250" s="107"/>
      <c r="O250" s="106" t="str">
        <f>IF(ISBLANK(M250), "", VLOOKUP(D250, 'Info Tipo de Cambio y REM'!$A$24:$B$35, 2, FALSE))</f>
        <v/>
      </c>
      <c r="P250" s="107" t="str">
        <f t="shared" si="2"/>
        <v/>
      </c>
    </row>
    <row r="251">
      <c r="A251" s="102"/>
      <c r="B251" s="43" t="str">
        <f t="shared" si="7"/>
        <v/>
      </c>
      <c r="C251" s="102" t="str">
        <f>IF(J251="", "", IFERROR(VLOOKUP(J251, Clasificaciones!D:E, 2, FALSE), "DATO NO CARGADO"))
</f>
        <v/>
      </c>
      <c r="D251" s="51"/>
      <c r="E251" s="102"/>
      <c r="F251" s="102"/>
      <c r="G251" s="103"/>
      <c r="H251" s="103"/>
      <c r="L251" s="103"/>
      <c r="M251" s="113"/>
      <c r="N251" s="107"/>
      <c r="O251" s="106" t="str">
        <f>IF(ISBLANK(M251), "", VLOOKUP(D251, 'Info Tipo de Cambio y REM'!$A$24:$B$35, 2, FALSE))</f>
        <v/>
      </c>
      <c r="P251" s="107" t="str">
        <f t="shared" si="2"/>
        <v/>
      </c>
    </row>
    <row r="252">
      <c r="A252" s="102"/>
      <c r="B252" s="43" t="str">
        <f t="shared" si="7"/>
        <v/>
      </c>
      <c r="C252" s="102" t="str">
        <f>IF(J252="", "", IFERROR(VLOOKUP(J252, Clasificaciones!D:E, 2, FALSE), "DATO NO CARGADO"))
</f>
        <v/>
      </c>
      <c r="D252" s="51"/>
      <c r="E252" s="102"/>
      <c r="F252" s="102"/>
      <c r="G252" s="103"/>
      <c r="H252" s="103"/>
      <c r="L252" s="103"/>
      <c r="M252" s="113"/>
      <c r="N252" s="107"/>
      <c r="O252" s="106" t="str">
        <f>IF(ISBLANK(M252), "", VLOOKUP(D252, 'Info Tipo de Cambio y REM'!$A$24:$B$35, 2, FALSE))</f>
        <v/>
      </c>
      <c r="P252" s="107" t="str">
        <f t="shared" si="2"/>
        <v/>
      </c>
    </row>
    <row r="253">
      <c r="A253" s="102"/>
      <c r="B253" s="43" t="str">
        <f t="shared" si="7"/>
        <v/>
      </c>
      <c r="C253" s="102" t="str">
        <f>IF(J253="", "", IFERROR(VLOOKUP(J253, Clasificaciones!D:E, 2, FALSE), "DATO NO CARGADO"))
</f>
        <v/>
      </c>
      <c r="D253" s="51"/>
      <c r="E253" s="102"/>
      <c r="F253" s="102"/>
      <c r="G253" s="103"/>
      <c r="H253" s="103"/>
      <c r="L253" s="103"/>
      <c r="M253" s="113"/>
      <c r="N253" s="107"/>
      <c r="O253" s="106" t="str">
        <f>IF(ISBLANK(M253), "", VLOOKUP(D253, 'Info Tipo de Cambio y REM'!$A$24:$B$35, 2, FALSE))</f>
        <v/>
      </c>
      <c r="P253" s="107" t="str">
        <f t="shared" si="2"/>
        <v/>
      </c>
    </row>
    <row r="254">
      <c r="A254" s="102"/>
      <c r="B254" s="43" t="str">
        <f t="shared" si="7"/>
        <v/>
      </c>
      <c r="C254" s="102" t="str">
        <f>IF(J254="", "", IFERROR(VLOOKUP(J254, Clasificaciones!D:E, 2, FALSE), "DATO NO CARGADO"))
</f>
        <v/>
      </c>
      <c r="D254" s="51"/>
      <c r="E254" s="102"/>
      <c r="F254" s="102"/>
      <c r="G254" s="103"/>
      <c r="H254" s="103"/>
      <c r="L254" s="103"/>
      <c r="M254" s="113"/>
      <c r="N254" s="107"/>
      <c r="O254" s="106" t="str">
        <f>IF(ISBLANK(M254), "", VLOOKUP(D254, 'Info Tipo de Cambio y REM'!$A$24:$B$35, 2, FALSE))</f>
        <v/>
      </c>
      <c r="P254" s="107" t="str">
        <f t="shared" si="2"/>
        <v/>
      </c>
    </row>
    <row r="255">
      <c r="A255" s="102"/>
      <c r="B255" s="43" t="str">
        <f t="shared" si="7"/>
        <v/>
      </c>
      <c r="C255" s="102" t="str">
        <f>IF(J255="", "", IFERROR(VLOOKUP(J255, Clasificaciones!D:E, 2, FALSE), "DATO NO CARGADO"))
</f>
        <v/>
      </c>
      <c r="D255" s="51"/>
      <c r="E255" s="102"/>
      <c r="F255" s="102"/>
      <c r="G255" s="103"/>
      <c r="H255" s="103"/>
      <c r="L255" s="103"/>
      <c r="M255" s="113"/>
      <c r="N255" s="107"/>
      <c r="O255" s="106" t="str">
        <f>IF(ISBLANK(M255), "", VLOOKUP(D255, 'Info Tipo de Cambio y REM'!$A$24:$B$35, 2, FALSE))</f>
        <v/>
      </c>
      <c r="P255" s="107" t="str">
        <f t="shared" si="2"/>
        <v/>
      </c>
    </row>
    <row r="256">
      <c r="A256" s="102"/>
      <c r="B256" s="43" t="str">
        <f t="shared" si="7"/>
        <v/>
      </c>
      <c r="C256" s="102" t="str">
        <f>IF(J256="", "", IFERROR(VLOOKUP(J256, Clasificaciones!D:E, 2, FALSE), "DATO NO CARGADO"))
</f>
        <v/>
      </c>
      <c r="D256" s="51"/>
      <c r="E256" s="102"/>
      <c r="F256" s="102"/>
      <c r="G256" s="103"/>
      <c r="H256" s="103"/>
      <c r="L256" s="103"/>
      <c r="M256" s="113"/>
      <c r="N256" s="107"/>
      <c r="O256" s="106" t="str">
        <f>IF(ISBLANK(M256), "", VLOOKUP(D256, 'Info Tipo de Cambio y REM'!$A$24:$B$35, 2, FALSE))</f>
        <v/>
      </c>
      <c r="P256" s="107" t="str">
        <f t="shared" si="2"/>
        <v/>
      </c>
    </row>
    <row r="257">
      <c r="A257" s="102"/>
      <c r="B257" s="43" t="str">
        <f t="shared" si="7"/>
        <v/>
      </c>
      <c r="C257" s="102" t="str">
        <f>IF(J257="", "", IFERROR(VLOOKUP(J257, Clasificaciones!D:E, 2, FALSE), "DATO NO CARGADO"))
</f>
        <v/>
      </c>
      <c r="D257" s="51"/>
      <c r="E257" s="102"/>
      <c r="F257" s="102"/>
      <c r="G257" s="103"/>
      <c r="H257" s="103"/>
      <c r="L257" s="103"/>
      <c r="M257" s="113"/>
      <c r="N257" s="107"/>
      <c r="O257" s="106" t="str">
        <f>IF(ISBLANK(M257), "", VLOOKUP(D257, 'Info Tipo de Cambio y REM'!$A$24:$B$35, 2, FALSE))</f>
        <v/>
      </c>
      <c r="P257" s="107" t="str">
        <f t="shared" si="2"/>
        <v/>
      </c>
    </row>
    <row r="258">
      <c r="A258" s="102"/>
      <c r="B258" s="43" t="str">
        <f t="shared" si="7"/>
        <v/>
      </c>
      <c r="C258" s="102" t="str">
        <f>IF(J258="", "", IFERROR(VLOOKUP(J258, Clasificaciones!D:E, 2, FALSE), "DATO NO CARGADO"))
</f>
        <v/>
      </c>
      <c r="D258" s="51"/>
      <c r="E258" s="102"/>
      <c r="F258" s="102"/>
      <c r="G258" s="103"/>
      <c r="H258" s="103"/>
      <c r="L258" s="103"/>
      <c r="M258" s="113"/>
      <c r="N258" s="107"/>
      <c r="O258" s="106" t="str">
        <f>IF(ISBLANK(M258), "", VLOOKUP(D258, 'Info Tipo de Cambio y REM'!$A$24:$B$35, 2, FALSE))</f>
        <v/>
      </c>
      <c r="P258" s="107" t="str">
        <f t="shared" si="2"/>
        <v/>
      </c>
    </row>
    <row r="259">
      <c r="A259" s="102"/>
      <c r="B259" s="43" t="str">
        <f t="shared" si="7"/>
        <v/>
      </c>
      <c r="C259" s="102" t="str">
        <f>IF(J259="", "", IFERROR(VLOOKUP(J259, Clasificaciones!D:E, 2, FALSE), "DATO NO CARGADO"))
</f>
        <v/>
      </c>
      <c r="D259" s="51"/>
      <c r="E259" s="102"/>
      <c r="F259" s="102"/>
      <c r="G259" s="103"/>
      <c r="H259" s="103"/>
      <c r="L259" s="103"/>
      <c r="M259" s="113"/>
      <c r="N259" s="107"/>
      <c r="O259" s="106" t="str">
        <f>IF(ISBLANK(M259), "", VLOOKUP(D259, 'Info Tipo de Cambio y REM'!$A$24:$B$35, 2, FALSE))</f>
        <v/>
      </c>
      <c r="P259" s="107" t="str">
        <f t="shared" si="2"/>
        <v/>
      </c>
    </row>
    <row r="260">
      <c r="A260" s="102"/>
      <c r="B260" s="43" t="str">
        <f t="shared" si="7"/>
        <v/>
      </c>
      <c r="C260" s="102" t="str">
        <f>IF(J260="", "", IFERROR(VLOOKUP(J260, Clasificaciones!D:E, 2, FALSE), "DATO NO CARGADO"))
</f>
        <v/>
      </c>
      <c r="D260" s="51"/>
      <c r="E260" s="102"/>
      <c r="F260" s="102"/>
      <c r="G260" s="103"/>
      <c r="H260" s="103"/>
      <c r="L260" s="103"/>
      <c r="M260" s="113"/>
      <c r="N260" s="107"/>
      <c r="O260" s="106" t="str">
        <f>IF(ISBLANK(M260), "", VLOOKUP(D260, 'Info Tipo de Cambio y REM'!$A$24:$B$35, 2, FALSE))</f>
        <v/>
      </c>
      <c r="P260" s="107" t="str">
        <f t="shared" si="2"/>
        <v/>
      </c>
    </row>
    <row r="261">
      <c r="A261" s="102"/>
      <c r="B261" s="43" t="str">
        <f t="shared" si="7"/>
        <v/>
      </c>
      <c r="C261" s="102" t="str">
        <f>IF(J261="", "", IFERROR(VLOOKUP(J261, Clasificaciones!D:E, 2, FALSE), "DATO NO CARGADO"))
</f>
        <v/>
      </c>
      <c r="D261" s="51"/>
      <c r="E261" s="102"/>
      <c r="F261" s="102"/>
      <c r="G261" s="103"/>
      <c r="H261" s="103"/>
      <c r="L261" s="103"/>
      <c r="M261" s="113"/>
      <c r="N261" s="107"/>
      <c r="O261" s="106" t="str">
        <f>IF(ISBLANK(M261), "", VLOOKUP(D261, 'Info Tipo de Cambio y REM'!$A$24:$B$35, 2, FALSE))</f>
        <v/>
      </c>
      <c r="P261" s="107" t="str">
        <f t="shared" si="2"/>
        <v/>
      </c>
    </row>
    <row r="262">
      <c r="A262" s="102"/>
      <c r="B262" s="43" t="str">
        <f t="shared" si="7"/>
        <v/>
      </c>
      <c r="C262" s="102" t="str">
        <f>IF(J262="", "", IFERROR(VLOOKUP(J262, Clasificaciones!D:E, 2, FALSE), "DATO NO CARGADO"))
</f>
        <v/>
      </c>
      <c r="D262" s="51"/>
      <c r="E262" s="102"/>
      <c r="F262" s="102"/>
      <c r="G262" s="103"/>
      <c r="H262" s="103"/>
      <c r="L262" s="103"/>
      <c r="M262" s="113"/>
      <c r="N262" s="107"/>
      <c r="O262" s="106" t="str">
        <f>IF(ISBLANK(M262), "", VLOOKUP(D262, 'Info Tipo de Cambio y REM'!$A$24:$B$35, 2, FALSE))</f>
        <v/>
      </c>
      <c r="P262" s="107" t="str">
        <f t="shared" si="2"/>
        <v/>
      </c>
    </row>
    <row r="263">
      <c r="A263" s="102"/>
      <c r="B263" s="43" t="str">
        <f t="shared" si="7"/>
        <v/>
      </c>
      <c r="C263" s="102" t="str">
        <f>IF(J263="", "", IFERROR(VLOOKUP(J263, Clasificaciones!D:E, 2, FALSE), "DATO NO CARGADO"))
</f>
        <v/>
      </c>
      <c r="D263" s="51"/>
      <c r="E263" s="102"/>
      <c r="F263" s="102"/>
      <c r="G263" s="103"/>
      <c r="H263" s="103"/>
      <c r="L263" s="103"/>
      <c r="M263" s="113"/>
      <c r="N263" s="107"/>
      <c r="O263" s="106" t="str">
        <f>IF(ISBLANK(M263), "", VLOOKUP(D263, 'Info Tipo de Cambio y REM'!$A$24:$B$35, 2, FALSE))</f>
        <v/>
      </c>
      <c r="P263" s="107" t="str">
        <f t="shared" si="2"/>
        <v/>
      </c>
    </row>
    <row r="264">
      <c r="A264" s="102"/>
      <c r="B264" s="43" t="str">
        <f t="shared" si="7"/>
        <v/>
      </c>
      <c r="C264" s="102" t="str">
        <f>IF(J264="", "", IFERROR(VLOOKUP(J264, Clasificaciones!D:E, 2, FALSE), "DATO NO CARGADO"))
</f>
        <v/>
      </c>
      <c r="D264" s="51"/>
      <c r="E264" s="102"/>
      <c r="F264" s="102"/>
      <c r="G264" s="103"/>
      <c r="H264" s="103"/>
      <c r="L264" s="103"/>
      <c r="M264" s="113"/>
      <c r="N264" s="107"/>
      <c r="O264" s="106" t="str">
        <f>IF(ISBLANK(M264), "", VLOOKUP(D264, 'Info Tipo de Cambio y REM'!$A$24:$B$35, 2, FALSE))</f>
        <v/>
      </c>
      <c r="P264" s="107" t="str">
        <f t="shared" si="2"/>
        <v/>
      </c>
    </row>
    <row r="265">
      <c r="A265" s="102"/>
      <c r="B265" s="43" t="str">
        <f t="shared" si="7"/>
        <v/>
      </c>
      <c r="C265" s="102" t="str">
        <f>IF(J265="", "", IFERROR(VLOOKUP(J265, Clasificaciones!D:E, 2, FALSE), "DATO NO CARGADO"))
</f>
        <v/>
      </c>
      <c r="D265" s="51"/>
      <c r="E265" s="102"/>
      <c r="F265" s="102"/>
      <c r="G265" s="103"/>
      <c r="H265" s="103"/>
      <c r="L265" s="103"/>
      <c r="M265" s="113"/>
      <c r="N265" s="107"/>
      <c r="O265" s="106" t="str">
        <f>IF(ISBLANK(M265), "", VLOOKUP(D265, 'Info Tipo de Cambio y REM'!$A$24:$B$35, 2, FALSE))</f>
        <v/>
      </c>
      <c r="P265" s="107" t="str">
        <f t="shared" si="2"/>
        <v/>
      </c>
    </row>
    <row r="266">
      <c r="A266" s="102"/>
      <c r="B266" s="43" t="str">
        <f t="shared" si="7"/>
        <v/>
      </c>
      <c r="C266" s="102" t="str">
        <f>IF(J266="", "", IFERROR(VLOOKUP(J266, Clasificaciones!D:E, 2, FALSE), "DATO NO CARGADO"))
</f>
        <v/>
      </c>
      <c r="D266" s="51"/>
      <c r="E266" s="102"/>
      <c r="F266" s="102"/>
      <c r="G266" s="103"/>
      <c r="H266" s="103"/>
      <c r="L266" s="103"/>
      <c r="M266" s="113"/>
      <c r="N266" s="107"/>
      <c r="O266" s="106" t="str">
        <f>IF(ISBLANK(M266), "", VLOOKUP(D266, 'Info Tipo de Cambio y REM'!$A$24:$B$35, 2, FALSE))</f>
        <v/>
      </c>
      <c r="P266" s="107" t="str">
        <f t="shared" si="2"/>
        <v/>
      </c>
    </row>
    <row r="267">
      <c r="A267" s="102"/>
      <c r="B267" s="43" t="str">
        <f t="shared" si="7"/>
        <v/>
      </c>
      <c r="C267" s="102" t="str">
        <f>IF(J267="", "", IFERROR(VLOOKUP(J267, Clasificaciones!D:E, 2, FALSE), "DATO NO CARGADO"))
</f>
        <v/>
      </c>
      <c r="D267" s="51"/>
      <c r="E267" s="102"/>
      <c r="F267" s="102"/>
      <c r="G267" s="103"/>
      <c r="H267" s="103"/>
      <c r="L267" s="103"/>
      <c r="M267" s="113"/>
      <c r="N267" s="107"/>
      <c r="O267" s="106" t="str">
        <f>IF(ISBLANK(M267), "", VLOOKUP(D267, 'Info Tipo de Cambio y REM'!$A$24:$B$35, 2, FALSE))</f>
        <v/>
      </c>
      <c r="P267" s="107" t="str">
        <f t="shared" si="2"/>
        <v/>
      </c>
    </row>
    <row r="268">
      <c r="A268" s="102"/>
      <c r="B268" s="43" t="str">
        <f t="shared" si="7"/>
        <v/>
      </c>
      <c r="C268" s="102" t="str">
        <f>IF(J268="", "", IFERROR(VLOOKUP(J268, Clasificaciones!D:E, 2, FALSE), "DATO NO CARGADO"))
</f>
        <v/>
      </c>
      <c r="D268" s="51"/>
      <c r="E268" s="102"/>
      <c r="F268" s="102"/>
      <c r="G268" s="103"/>
      <c r="H268" s="103"/>
      <c r="L268" s="103"/>
      <c r="M268" s="113"/>
      <c r="N268" s="107"/>
      <c r="O268" s="106" t="str">
        <f>IF(ISBLANK(M268), "", VLOOKUP(D268, 'Info Tipo de Cambio y REM'!$A$24:$B$35, 2, FALSE))</f>
        <v/>
      </c>
      <c r="P268" s="107" t="str">
        <f t="shared" si="2"/>
        <v/>
      </c>
    </row>
    <row r="269">
      <c r="A269" s="102"/>
      <c r="B269" s="43" t="str">
        <f t="shared" si="7"/>
        <v/>
      </c>
      <c r="C269" s="102" t="str">
        <f>IF(J269="", "", IFERROR(VLOOKUP(J269, Clasificaciones!D:E, 2, FALSE), "DATO NO CARGADO"))
</f>
        <v/>
      </c>
      <c r="D269" s="51"/>
      <c r="E269" s="102"/>
      <c r="F269" s="102"/>
      <c r="G269" s="103"/>
      <c r="H269" s="103"/>
      <c r="L269" s="103"/>
      <c r="M269" s="113"/>
      <c r="N269" s="107"/>
      <c r="O269" s="106" t="str">
        <f>IF(ISBLANK(M269), "", VLOOKUP(D269, 'Info Tipo de Cambio y REM'!$A$24:$B$35, 2, FALSE))</f>
        <v/>
      </c>
      <c r="P269" s="107" t="str">
        <f t="shared" si="2"/>
        <v/>
      </c>
    </row>
    <row r="270">
      <c r="A270" s="102"/>
      <c r="B270" s="43" t="str">
        <f t="shared" si="7"/>
        <v/>
      </c>
      <c r="C270" s="102" t="str">
        <f>IF(J270="", "", IFERROR(VLOOKUP(J270, Clasificaciones!D:E, 2, FALSE), "DATO NO CARGADO"))
</f>
        <v/>
      </c>
      <c r="D270" s="51"/>
      <c r="E270" s="102"/>
      <c r="F270" s="102"/>
      <c r="G270" s="103"/>
      <c r="H270" s="103"/>
      <c r="L270" s="103"/>
      <c r="M270" s="113"/>
      <c r="N270" s="107"/>
      <c r="O270" s="106" t="str">
        <f>IF(ISBLANK(M270), "", VLOOKUP(D270, 'Info Tipo de Cambio y REM'!$A$24:$B$35, 2, FALSE))</f>
        <v/>
      </c>
      <c r="P270" s="107" t="str">
        <f t="shared" si="2"/>
        <v/>
      </c>
    </row>
    <row r="271">
      <c r="A271" s="102"/>
      <c r="B271" s="43" t="str">
        <f t="shared" si="7"/>
        <v/>
      </c>
      <c r="C271" s="102" t="str">
        <f>IF(J271="", "", IFERROR(VLOOKUP(J271, Clasificaciones!D:E, 2, FALSE), "DATO NO CARGADO"))
</f>
        <v/>
      </c>
      <c r="D271" s="51"/>
      <c r="E271" s="102"/>
      <c r="F271" s="102"/>
      <c r="G271" s="103"/>
      <c r="H271" s="103"/>
      <c r="L271" s="103"/>
      <c r="M271" s="113"/>
      <c r="N271" s="107"/>
      <c r="O271" s="106" t="str">
        <f>IF(ISBLANK(M271), "", VLOOKUP(D271, 'Info Tipo de Cambio y REM'!$A$24:$B$35, 2, FALSE))</f>
        <v/>
      </c>
      <c r="P271" s="107" t="str">
        <f t="shared" si="2"/>
        <v/>
      </c>
    </row>
    <row r="272">
      <c r="A272" s="102"/>
      <c r="B272" s="43" t="str">
        <f t="shared" si="7"/>
        <v/>
      </c>
      <c r="C272" s="102" t="str">
        <f>IF(J272="", "", IFERROR(VLOOKUP(J272, Clasificaciones!D:E, 2, FALSE), "DATO NO CARGADO"))
</f>
        <v/>
      </c>
      <c r="D272" s="51"/>
      <c r="E272" s="102"/>
      <c r="F272" s="102"/>
      <c r="G272" s="103"/>
      <c r="H272" s="103"/>
      <c r="L272" s="103"/>
      <c r="M272" s="113"/>
      <c r="N272" s="107"/>
      <c r="O272" s="106" t="str">
        <f>IF(ISBLANK(M272), "", VLOOKUP(D272, 'Info Tipo de Cambio y REM'!$A$24:$B$35, 2, FALSE))</f>
        <v/>
      </c>
      <c r="P272" s="107" t="str">
        <f t="shared" si="2"/>
        <v/>
      </c>
    </row>
    <row r="273">
      <c r="A273" s="102"/>
      <c r="B273" s="43" t="str">
        <f t="shared" si="7"/>
        <v/>
      </c>
      <c r="C273" s="102" t="str">
        <f>IF(J273="", "", IFERROR(VLOOKUP(J273, Clasificaciones!D:E, 2, FALSE), "DATO NO CARGADO"))
</f>
        <v/>
      </c>
      <c r="D273" s="51"/>
      <c r="E273" s="102"/>
      <c r="F273" s="102"/>
      <c r="G273" s="103"/>
      <c r="H273" s="103"/>
      <c r="L273" s="103"/>
      <c r="M273" s="113"/>
      <c r="N273" s="107"/>
      <c r="O273" s="106" t="str">
        <f>IF(ISBLANK(M273), "", VLOOKUP(D273, 'Info Tipo de Cambio y REM'!$A$24:$B$35, 2, FALSE))</f>
        <v/>
      </c>
      <c r="P273" s="107" t="str">
        <f t="shared" si="2"/>
        <v/>
      </c>
    </row>
    <row r="274">
      <c r="A274" s="102"/>
      <c r="B274" s="43" t="str">
        <f t="shared" si="7"/>
        <v/>
      </c>
      <c r="C274" s="102" t="str">
        <f>IF(J274="", "", IFERROR(VLOOKUP(J274, Clasificaciones!D:E, 2, FALSE), "DATO NO CARGADO"))
</f>
        <v/>
      </c>
      <c r="D274" s="51"/>
      <c r="E274" s="102"/>
      <c r="F274" s="102"/>
      <c r="G274" s="103"/>
      <c r="H274" s="103"/>
      <c r="L274" s="103"/>
      <c r="M274" s="113"/>
      <c r="N274" s="107"/>
      <c r="O274" s="106" t="str">
        <f>IF(ISBLANK(M274), "", VLOOKUP(D274, 'Info Tipo de Cambio y REM'!$A$24:$B$35, 2, FALSE))</f>
        <v/>
      </c>
      <c r="P274" s="107" t="str">
        <f t="shared" si="2"/>
        <v/>
      </c>
    </row>
    <row r="275">
      <c r="A275" s="102"/>
      <c r="B275" s="43" t="str">
        <f t="shared" si="7"/>
        <v/>
      </c>
      <c r="C275" s="102" t="str">
        <f>IF(J275="", "", IFERROR(VLOOKUP(J275, Clasificaciones!D:E, 2, FALSE), "DATO NO CARGADO"))
</f>
        <v/>
      </c>
      <c r="D275" s="51"/>
      <c r="E275" s="102"/>
      <c r="F275" s="102"/>
      <c r="G275" s="103"/>
      <c r="H275" s="103"/>
      <c r="L275" s="103"/>
      <c r="M275" s="113"/>
      <c r="N275" s="107"/>
      <c r="O275" s="106" t="str">
        <f>IF(ISBLANK(M275), "", VLOOKUP(D275, 'Info Tipo de Cambio y REM'!$A$24:$B$35, 2, FALSE))</f>
        <v/>
      </c>
      <c r="P275" s="107" t="str">
        <f t="shared" si="2"/>
        <v/>
      </c>
    </row>
    <row r="276">
      <c r="A276" s="102"/>
      <c r="B276" s="43" t="str">
        <f t="shared" si="7"/>
        <v/>
      </c>
      <c r="C276" s="102" t="str">
        <f>IF(J276="", "", IFERROR(VLOOKUP(J276, Clasificaciones!D:E, 2, FALSE), "DATO NO CARGADO"))
</f>
        <v/>
      </c>
      <c r="D276" s="51"/>
      <c r="E276" s="102"/>
      <c r="F276" s="102"/>
      <c r="G276" s="103"/>
      <c r="H276" s="103"/>
      <c r="L276" s="103"/>
      <c r="M276" s="113"/>
      <c r="N276" s="107"/>
      <c r="O276" s="106" t="str">
        <f>IF(ISBLANK(M276), "", VLOOKUP(D276, 'Info Tipo de Cambio y REM'!$A$24:$B$35, 2, FALSE))</f>
        <v/>
      </c>
      <c r="P276" s="107" t="str">
        <f t="shared" si="2"/>
        <v/>
      </c>
    </row>
    <row r="277">
      <c r="A277" s="102"/>
      <c r="B277" s="43" t="str">
        <f t="shared" si="7"/>
        <v/>
      </c>
      <c r="C277" s="102" t="str">
        <f>IF(J277="", "", IFERROR(VLOOKUP(J277, Clasificaciones!D:E, 2, FALSE), "DATO NO CARGADO"))
</f>
        <v/>
      </c>
      <c r="D277" s="51"/>
      <c r="E277" s="102"/>
      <c r="F277" s="102"/>
      <c r="G277" s="103"/>
      <c r="H277" s="103"/>
      <c r="L277" s="103"/>
      <c r="M277" s="113"/>
      <c r="N277" s="107"/>
      <c r="O277" s="106" t="str">
        <f>IF(ISBLANK(M277), "", VLOOKUP(D277, 'Info Tipo de Cambio y REM'!$A$24:$B$35, 2, FALSE))</f>
        <v/>
      </c>
      <c r="P277" s="107" t="str">
        <f t="shared" si="2"/>
        <v/>
      </c>
    </row>
    <row r="278">
      <c r="A278" s="102"/>
      <c r="B278" s="43" t="str">
        <f t="shared" si="7"/>
        <v/>
      </c>
      <c r="C278" s="102" t="str">
        <f>IF(J278="", "", IFERROR(VLOOKUP(J278, Clasificaciones!D:E, 2, FALSE), "DATO NO CARGADO"))
</f>
        <v/>
      </c>
      <c r="D278" s="51"/>
      <c r="E278" s="102"/>
      <c r="F278" s="102"/>
      <c r="G278" s="103"/>
      <c r="H278" s="103"/>
      <c r="L278" s="103"/>
      <c r="M278" s="113"/>
      <c r="N278" s="107"/>
      <c r="O278" s="106" t="str">
        <f>IF(ISBLANK(M278), "", VLOOKUP(D278, 'Info Tipo de Cambio y REM'!$A$24:$B$35, 2, FALSE))</f>
        <v/>
      </c>
      <c r="P278" s="107" t="str">
        <f t="shared" si="2"/>
        <v/>
      </c>
    </row>
    <row r="279">
      <c r="A279" s="102"/>
      <c r="B279" s="43" t="str">
        <f t="shared" si="7"/>
        <v/>
      </c>
      <c r="C279" s="102" t="str">
        <f>IF(J279="", "", IFERROR(VLOOKUP(J279, Clasificaciones!D:E, 2, FALSE), "DATO NO CARGADO"))
</f>
        <v/>
      </c>
      <c r="D279" s="51"/>
      <c r="E279" s="102"/>
      <c r="F279" s="102"/>
      <c r="G279" s="103"/>
      <c r="H279" s="103"/>
      <c r="L279" s="103"/>
      <c r="M279" s="113"/>
      <c r="N279" s="107"/>
      <c r="O279" s="106" t="str">
        <f>IF(ISBLANK(M279), "", VLOOKUP(D279, 'Info Tipo de Cambio y REM'!$A$24:$B$35, 2, FALSE))</f>
        <v/>
      </c>
      <c r="P279" s="107" t="str">
        <f t="shared" si="2"/>
        <v/>
      </c>
    </row>
    <row r="280">
      <c r="A280" s="102"/>
      <c r="B280" s="43" t="str">
        <f t="shared" si="7"/>
        <v/>
      </c>
      <c r="C280" s="102" t="str">
        <f>IF(J280="", "", IFERROR(VLOOKUP(J280, Clasificaciones!D:E, 2, FALSE), "DATO NO CARGADO"))
</f>
        <v/>
      </c>
      <c r="D280" s="51"/>
      <c r="E280" s="102"/>
      <c r="F280" s="102"/>
      <c r="G280" s="103"/>
      <c r="H280" s="103"/>
      <c r="L280" s="103"/>
      <c r="M280" s="113"/>
      <c r="N280" s="107"/>
      <c r="O280" s="106" t="str">
        <f>IF(ISBLANK(M280), "", VLOOKUP(D280, 'Info Tipo de Cambio y REM'!$A$24:$B$35, 2, FALSE))</f>
        <v/>
      </c>
      <c r="P280" s="107" t="str">
        <f t="shared" si="2"/>
        <v/>
      </c>
    </row>
    <row r="281">
      <c r="A281" s="102"/>
      <c r="B281" s="43" t="str">
        <f t="shared" si="7"/>
        <v/>
      </c>
      <c r="C281" s="102" t="str">
        <f>IF(J281="", "", IFERROR(VLOOKUP(J281, Clasificaciones!D:E, 2, FALSE), "DATO NO CARGADO"))
</f>
        <v/>
      </c>
      <c r="D281" s="51"/>
      <c r="E281" s="102"/>
      <c r="F281" s="102"/>
      <c r="G281" s="103"/>
      <c r="H281" s="103"/>
      <c r="L281" s="103"/>
      <c r="M281" s="113"/>
      <c r="N281" s="107"/>
      <c r="O281" s="106" t="str">
        <f>IF(ISBLANK(M281), "", VLOOKUP(D281, 'Info Tipo de Cambio y REM'!$A$24:$B$35, 2, FALSE))</f>
        <v/>
      </c>
      <c r="P281" s="107" t="str">
        <f t="shared" si="2"/>
        <v/>
      </c>
    </row>
    <row r="282">
      <c r="A282" s="102"/>
      <c r="B282" s="43" t="str">
        <f t="shared" si="7"/>
        <v/>
      </c>
      <c r="C282" s="102" t="str">
        <f>IF(J282="", "", IFERROR(VLOOKUP(J282, Clasificaciones!D:E, 2, FALSE), "DATO NO CARGADO"))
</f>
        <v/>
      </c>
      <c r="D282" s="51"/>
      <c r="E282" s="102"/>
      <c r="F282" s="102"/>
      <c r="G282" s="103"/>
      <c r="H282" s="103"/>
      <c r="L282" s="103"/>
      <c r="M282" s="113"/>
      <c r="N282" s="107"/>
      <c r="O282" s="106" t="str">
        <f>IF(ISBLANK(M282), "", VLOOKUP(D282, 'Info Tipo de Cambio y REM'!$A$24:$B$35, 2, FALSE))</f>
        <v/>
      </c>
      <c r="P282" s="107" t="str">
        <f t="shared" si="2"/>
        <v/>
      </c>
    </row>
    <row r="283">
      <c r="A283" s="102"/>
      <c r="B283" s="43" t="str">
        <f t="shared" si="7"/>
        <v/>
      </c>
      <c r="C283" s="102" t="str">
        <f>IF(J283="", "", IFERROR(VLOOKUP(J283, Clasificaciones!D:E, 2, FALSE), "DATO NO CARGADO"))
</f>
        <v/>
      </c>
      <c r="D283" s="51"/>
      <c r="E283" s="102"/>
      <c r="F283" s="102"/>
      <c r="G283" s="103"/>
      <c r="H283" s="103"/>
      <c r="L283" s="103"/>
      <c r="M283" s="113"/>
      <c r="N283" s="107"/>
      <c r="O283" s="106" t="str">
        <f>IF(ISBLANK(M283), "", VLOOKUP(D283, 'Info Tipo de Cambio y REM'!$A$24:$B$35, 2, FALSE))</f>
        <v/>
      </c>
      <c r="P283" s="107" t="str">
        <f t="shared" si="2"/>
        <v/>
      </c>
    </row>
    <row r="284">
      <c r="A284" s="102"/>
      <c r="B284" s="43" t="str">
        <f t="shared" si="7"/>
        <v/>
      </c>
      <c r="C284" s="102" t="str">
        <f>IF(J284="", "", IFERROR(VLOOKUP(J284, Clasificaciones!D:E, 2, FALSE), "DATO NO CARGADO"))
</f>
        <v/>
      </c>
      <c r="D284" s="51"/>
      <c r="E284" s="102"/>
      <c r="F284" s="102"/>
      <c r="G284" s="103"/>
      <c r="H284" s="103"/>
      <c r="L284" s="103"/>
      <c r="M284" s="113"/>
      <c r="N284" s="107"/>
      <c r="O284" s="106" t="str">
        <f>IF(ISBLANK(M284), "", VLOOKUP(D284, 'Info Tipo de Cambio y REM'!$A$24:$B$35, 2, FALSE))</f>
        <v/>
      </c>
      <c r="P284" s="107" t="str">
        <f t="shared" si="2"/>
        <v/>
      </c>
    </row>
    <row r="285">
      <c r="A285" s="102"/>
      <c r="B285" s="43" t="str">
        <f t="shared" si="7"/>
        <v/>
      </c>
      <c r="C285" s="102" t="str">
        <f>IF(J285="", "", IFERROR(VLOOKUP(J285, Clasificaciones!D:E, 2, FALSE), "DATO NO CARGADO"))
</f>
        <v/>
      </c>
      <c r="D285" s="51"/>
      <c r="E285" s="102"/>
      <c r="F285" s="102"/>
      <c r="G285" s="103"/>
      <c r="H285" s="103"/>
      <c r="L285" s="103"/>
      <c r="M285" s="113"/>
      <c r="N285" s="107"/>
      <c r="O285" s="106" t="str">
        <f>IF(ISBLANK(M285), "", VLOOKUP(D285, 'Info Tipo de Cambio y REM'!$A$24:$B$35, 2, FALSE))</f>
        <v/>
      </c>
      <c r="P285" s="107" t="str">
        <f t="shared" si="2"/>
        <v/>
      </c>
    </row>
    <row r="286">
      <c r="A286" s="102"/>
      <c r="B286" s="43" t="str">
        <f t="shared" si="7"/>
        <v/>
      </c>
      <c r="C286" s="102" t="str">
        <f>IF(J286="", "", IFERROR(VLOOKUP(J286, Clasificaciones!D:E, 2, FALSE), "DATO NO CARGADO"))
</f>
        <v/>
      </c>
      <c r="D286" s="51"/>
      <c r="E286" s="102"/>
      <c r="F286" s="102"/>
      <c r="G286" s="103"/>
      <c r="H286" s="103"/>
      <c r="L286" s="103"/>
      <c r="M286" s="113"/>
      <c r="N286" s="107"/>
      <c r="O286" s="106" t="str">
        <f>IF(ISBLANK(M286), "", VLOOKUP(D286, 'Info Tipo de Cambio y REM'!$A$24:$B$35, 2, FALSE))</f>
        <v/>
      </c>
      <c r="P286" s="107" t="str">
        <f t="shared" si="2"/>
        <v/>
      </c>
    </row>
    <row r="287">
      <c r="A287" s="102"/>
      <c r="B287" s="43" t="str">
        <f t="shared" si="7"/>
        <v/>
      </c>
      <c r="C287" s="102" t="str">
        <f>IF(J287="", "", IFERROR(VLOOKUP(J287, Clasificaciones!D:E, 2, FALSE), "DATO NO CARGADO"))
</f>
        <v/>
      </c>
      <c r="D287" s="51"/>
      <c r="E287" s="102"/>
      <c r="F287" s="102"/>
      <c r="G287" s="103"/>
      <c r="H287" s="103"/>
      <c r="L287" s="103"/>
      <c r="M287" s="113"/>
      <c r="N287" s="107"/>
      <c r="O287" s="106" t="str">
        <f>IF(ISBLANK(M287), "", VLOOKUP(D287, 'Info Tipo de Cambio y REM'!$A$24:$B$35, 2, FALSE))</f>
        <v/>
      </c>
      <c r="P287" s="107" t="str">
        <f t="shared" si="2"/>
        <v/>
      </c>
    </row>
    <row r="288">
      <c r="A288" s="102"/>
      <c r="B288" s="43" t="str">
        <f t="shared" si="7"/>
        <v/>
      </c>
      <c r="C288" s="102" t="str">
        <f>IF(J288="", "", IFERROR(VLOOKUP(J288, Clasificaciones!D:E, 2, FALSE), "DATO NO CARGADO"))
</f>
        <v/>
      </c>
      <c r="D288" s="51"/>
      <c r="E288" s="102"/>
      <c r="F288" s="102"/>
      <c r="G288" s="103"/>
      <c r="H288" s="103"/>
      <c r="L288" s="103"/>
      <c r="M288" s="113"/>
      <c r="N288" s="107"/>
      <c r="O288" s="106" t="str">
        <f>IF(ISBLANK(M288), "", VLOOKUP(D288, 'Info Tipo de Cambio y REM'!$A$24:$B$35, 2, FALSE))</f>
        <v/>
      </c>
      <c r="P288" s="107" t="str">
        <f t="shared" si="2"/>
        <v/>
      </c>
    </row>
    <row r="289">
      <c r="A289" s="102"/>
      <c r="B289" s="43" t="str">
        <f t="shared" si="7"/>
        <v/>
      </c>
      <c r="C289" s="102" t="str">
        <f>IF(J289="", "", IFERROR(VLOOKUP(J289, Clasificaciones!D:E, 2, FALSE), "DATO NO CARGADO"))
</f>
        <v/>
      </c>
      <c r="D289" s="51"/>
      <c r="E289" s="102"/>
      <c r="F289" s="102"/>
      <c r="G289" s="103"/>
      <c r="H289" s="103"/>
      <c r="L289" s="103"/>
      <c r="M289" s="113"/>
      <c r="N289" s="107"/>
      <c r="O289" s="106" t="str">
        <f>IF(ISBLANK(M289), "", VLOOKUP(D289, 'Info Tipo de Cambio y REM'!$A$24:$B$35, 2, FALSE))</f>
        <v/>
      </c>
      <c r="P289" s="107" t="str">
        <f t="shared" si="2"/>
        <v/>
      </c>
    </row>
    <row r="290">
      <c r="A290" s="102"/>
      <c r="B290" s="43" t="str">
        <f t="shared" si="7"/>
        <v/>
      </c>
      <c r="C290" s="102" t="str">
        <f>IF(J290="", "", IFERROR(VLOOKUP(J290, Clasificaciones!D:E, 2, FALSE), "DATO NO CARGADO"))
</f>
        <v/>
      </c>
      <c r="D290" s="51"/>
      <c r="E290" s="102"/>
      <c r="F290" s="102"/>
      <c r="G290" s="103"/>
      <c r="H290" s="103"/>
      <c r="L290" s="103"/>
      <c r="M290" s="113"/>
      <c r="N290" s="107"/>
      <c r="O290" s="106" t="str">
        <f>IF(ISBLANK(M290), "", VLOOKUP(D290, 'Info Tipo de Cambio y REM'!$A$24:$B$35, 2, FALSE))</f>
        <v/>
      </c>
      <c r="P290" s="107" t="str">
        <f t="shared" si="2"/>
        <v/>
      </c>
    </row>
    <row r="291">
      <c r="A291" s="102"/>
      <c r="B291" s="43" t="str">
        <f t="shared" si="7"/>
        <v/>
      </c>
      <c r="C291" s="102" t="str">
        <f>IF(J291="", "", IFERROR(VLOOKUP(J291, Clasificaciones!D:E, 2, FALSE), "DATO NO CARGADO"))
</f>
        <v/>
      </c>
      <c r="D291" s="51"/>
      <c r="E291" s="102"/>
      <c r="F291" s="102"/>
      <c r="G291" s="103"/>
      <c r="H291" s="103"/>
      <c r="L291" s="103"/>
      <c r="M291" s="113"/>
      <c r="N291" s="107"/>
      <c r="O291" s="106" t="str">
        <f>IF(ISBLANK(M291), "", VLOOKUP(D291, 'Info Tipo de Cambio y REM'!$A$24:$B$35, 2, FALSE))</f>
        <v/>
      </c>
      <c r="P291" s="107" t="str">
        <f t="shared" si="2"/>
        <v/>
      </c>
    </row>
    <row r="292">
      <c r="A292" s="102"/>
      <c r="B292" s="43" t="str">
        <f t="shared" si="7"/>
        <v/>
      </c>
      <c r="C292" s="102" t="str">
        <f>IF(J292="", "", IFERROR(VLOOKUP(J292, Clasificaciones!D:E, 2, FALSE), "DATO NO CARGADO"))
</f>
        <v/>
      </c>
      <c r="D292" s="51"/>
      <c r="E292" s="102"/>
      <c r="F292" s="102"/>
      <c r="G292" s="103"/>
      <c r="H292" s="103"/>
      <c r="L292" s="103"/>
      <c r="M292" s="113"/>
      <c r="N292" s="107"/>
      <c r="O292" s="106" t="str">
        <f>IF(ISBLANK(M292), "", VLOOKUP(D292, 'Info Tipo de Cambio y REM'!$A$24:$B$35, 2, FALSE))</f>
        <v/>
      </c>
      <c r="P292" s="107" t="str">
        <f t="shared" si="2"/>
        <v/>
      </c>
    </row>
    <row r="293">
      <c r="A293" s="102"/>
      <c r="B293" s="43" t="str">
        <f t="shared" si="7"/>
        <v/>
      </c>
      <c r="C293" s="102" t="str">
        <f>IF(J293="", "", IFERROR(VLOOKUP(J293, Clasificaciones!D:E, 2, FALSE), "DATO NO CARGADO"))
</f>
        <v/>
      </c>
      <c r="D293" s="51"/>
      <c r="E293" s="102"/>
      <c r="F293" s="102"/>
      <c r="G293" s="103"/>
      <c r="H293" s="103"/>
      <c r="L293" s="103"/>
      <c r="M293" s="113"/>
      <c r="N293" s="107"/>
      <c r="O293" s="106" t="str">
        <f>IF(ISBLANK(M293), "", VLOOKUP(D293, 'Info Tipo de Cambio y REM'!$A$24:$B$35, 2, FALSE))</f>
        <v/>
      </c>
      <c r="P293" s="107" t="str">
        <f t="shared" si="2"/>
        <v/>
      </c>
    </row>
    <row r="294">
      <c r="A294" s="102"/>
      <c r="B294" s="43" t="str">
        <f t="shared" si="7"/>
        <v/>
      </c>
      <c r="C294" s="102" t="str">
        <f>IF(J294="", "", IFERROR(VLOOKUP(J294, Clasificaciones!D:E, 2, FALSE), "DATO NO CARGADO"))
</f>
        <v/>
      </c>
      <c r="D294" s="51"/>
      <c r="E294" s="102"/>
      <c r="F294" s="102"/>
      <c r="G294" s="103"/>
      <c r="H294" s="103"/>
      <c r="L294" s="103"/>
      <c r="M294" s="113"/>
      <c r="N294" s="107"/>
      <c r="O294" s="106" t="str">
        <f>IF(ISBLANK(M294), "", VLOOKUP(D294, 'Info Tipo de Cambio y REM'!$A$24:$B$35, 2, FALSE))</f>
        <v/>
      </c>
      <c r="P294" s="107" t="str">
        <f t="shared" si="2"/>
        <v/>
      </c>
    </row>
    <row r="295">
      <c r="A295" s="102"/>
      <c r="B295" s="43" t="str">
        <f t="shared" si="7"/>
        <v/>
      </c>
      <c r="C295" s="102" t="str">
        <f>IF(J295="", "", IFERROR(VLOOKUP(J295, Clasificaciones!D:E, 2, FALSE), "DATO NO CARGADO"))
</f>
        <v/>
      </c>
      <c r="D295" s="51"/>
      <c r="E295" s="102"/>
      <c r="F295" s="102"/>
      <c r="G295" s="103"/>
      <c r="H295" s="103"/>
      <c r="L295" s="103"/>
      <c r="M295" s="113"/>
      <c r="N295" s="107"/>
      <c r="O295" s="106" t="str">
        <f>IF(ISBLANK(M295), "", VLOOKUP(D295, 'Info Tipo de Cambio y REM'!$A$24:$B$35, 2, FALSE))</f>
        <v/>
      </c>
      <c r="P295" s="107" t="str">
        <f t="shared" si="2"/>
        <v/>
      </c>
    </row>
    <row r="296">
      <c r="A296" s="102"/>
      <c r="B296" s="43" t="str">
        <f t="shared" si="7"/>
        <v/>
      </c>
      <c r="C296" s="102" t="str">
        <f>IF(J296="", "", IFERROR(VLOOKUP(J296, Clasificaciones!D:E, 2, FALSE), "DATO NO CARGADO"))
</f>
        <v/>
      </c>
      <c r="D296" s="51"/>
      <c r="E296" s="102"/>
      <c r="F296" s="102"/>
      <c r="G296" s="103"/>
      <c r="H296" s="103"/>
      <c r="L296" s="103"/>
      <c r="M296" s="113"/>
      <c r="N296" s="107"/>
      <c r="O296" s="106" t="str">
        <f>IF(ISBLANK(M296), "", VLOOKUP(D296, 'Info Tipo de Cambio y REM'!$A$24:$B$35, 2, FALSE))</f>
        <v/>
      </c>
      <c r="P296" s="107" t="str">
        <f t="shared" si="2"/>
        <v/>
      </c>
    </row>
    <row r="297">
      <c r="A297" s="102"/>
      <c r="B297" s="43" t="str">
        <f t="shared" si="7"/>
        <v/>
      </c>
      <c r="C297" s="102" t="str">
        <f>IF(J297="", "", IFERROR(VLOOKUP(J297, Clasificaciones!D:E, 2, FALSE), "DATO NO CARGADO"))
</f>
        <v/>
      </c>
      <c r="D297" s="51"/>
      <c r="E297" s="102"/>
      <c r="F297" s="102"/>
      <c r="G297" s="103"/>
      <c r="H297" s="103"/>
      <c r="L297" s="103"/>
      <c r="M297" s="113"/>
      <c r="N297" s="107"/>
      <c r="O297" s="106" t="str">
        <f>IF(ISBLANK(M297), "", VLOOKUP(D297, 'Info Tipo de Cambio y REM'!$A$24:$B$35, 2, FALSE))</f>
        <v/>
      </c>
      <c r="P297" s="107" t="str">
        <f t="shared" si="2"/>
        <v/>
      </c>
    </row>
    <row r="298">
      <c r="A298" s="102"/>
      <c r="B298" s="43" t="str">
        <f t="shared" si="7"/>
        <v/>
      </c>
      <c r="C298" s="102" t="str">
        <f>IF(J298="", "", IFERROR(VLOOKUP(J298, Clasificaciones!D:E, 2, FALSE), "DATO NO CARGADO"))
</f>
        <v/>
      </c>
      <c r="D298" s="51"/>
      <c r="E298" s="102"/>
      <c r="F298" s="102"/>
      <c r="G298" s="103"/>
      <c r="H298" s="103"/>
      <c r="L298" s="103"/>
      <c r="M298" s="113"/>
      <c r="N298" s="107"/>
      <c r="O298" s="106" t="str">
        <f>IF(ISBLANK(M298), "", VLOOKUP(D298, 'Info Tipo de Cambio y REM'!$A$24:$B$35, 2, FALSE))</f>
        <v/>
      </c>
      <c r="P298" s="107" t="str">
        <f t="shared" si="2"/>
        <v/>
      </c>
    </row>
    <row r="299">
      <c r="A299" s="102"/>
      <c r="B299" s="43" t="str">
        <f t="shared" si="7"/>
        <v/>
      </c>
      <c r="C299" s="102" t="str">
        <f>IF(J299="", "", IFERROR(VLOOKUP(J299, Clasificaciones!D:E, 2, FALSE), "DATO NO CARGADO"))
</f>
        <v/>
      </c>
      <c r="D299" s="51"/>
      <c r="E299" s="102"/>
      <c r="F299" s="102"/>
      <c r="G299" s="103"/>
      <c r="H299" s="103"/>
      <c r="L299" s="103"/>
      <c r="M299" s="113"/>
      <c r="N299" s="107"/>
      <c r="O299" s="106" t="str">
        <f>IF(ISBLANK(M299), "", VLOOKUP(D299, 'Info Tipo de Cambio y REM'!$A$24:$B$35, 2, FALSE))</f>
        <v/>
      </c>
      <c r="P299" s="107" t="str">
        <f t="shared" si="2"/>
        <v/>
      </c>
    </row>
    <row r="300">
      <c r="A300" s="102"/>
      <c r="B300" s="43" t="str">
        <f t="shared" si="7"/>
        <v/>
      </c>
      <c r="C300" s="102" t="str">
        <f>IF(J300="", "", IFERROR(VLOOKUP(J300, Clasificaciones!D:E, 2, FALSE), "DATO NO CARGADO"))
</f>
        <v/>
      </c>
      <c r="D300" s="51"/>
      <c r="E300" s="102"/>
      <c r="F300" s="102"/>
      <c r="G300" s="103"/>
      <c r="H300" s="103"/>
      <c r="L300" s="103"/>
      <c r="M300" s="113"/>
      <c r="N300" s="107"/>
      <c r="O300" s="106" t="str">
        <f>IF(ISBLANK(M300), "", VLOOKUP(D300, 'Info Tipo de Cambio y REM'!$A$24:$B$35, 2, FALSE))</f>
        <v/>
      </c>
      <c r="P300" s="107" t="str">
        <f t="shared" si="2"/>
        <v/>
      </c>
    </row>
    <row r="301">
      <c r="A301" s="102"/>
      <c r="B301" s="43" t="str">
        <f t="shared" si="7"/>
        <v/>
      </c>
      <c r="C301" s="102" t="str">
        <f>IF(J301="", "", IFERROR(VLOOKUP(J301, Clasificaciones!D:E, 2, FALSE), "DATO NO CARGADO"))
</f>
        <v/>
      </c>
      <c r="D301" s="51"/>
      <c r="E301" s="102"/>
      <c r="F301" s="102"/>
      <c r="G301" s="103"/>
      <c r="H301" s="103"/>
      <c r="L301" s="103"/>
      <c r="M301" s="113"/>
      <c r="N301" s="107"/>
      <c r="O301" s="106" t="str">
        <f>IF(ISBLANK(M301), "", VLOOKUP(D301, 'Info Tipo de Cambio y REM'!$A$24:$B$35, 2, FALSE))</f>
        <v/>
      </c>
      <c r="P301" s="107" t="str">
        <f t="shared" si="2"/>
        <v/>
      </c>
    </row>
    <row r="302">
      <c r="A302" s="102"/>
      <c r="B302" s="43" t="str">
        <f t="shared" si="7"/>
        <v/>
      </c>
      <c r="C302" s="102" t="str">
        <f>IF(J302="", "", IFERROR(VLOOKUP(J302, Clasificaciones!D:E, 2, FALSE), "DATO NO CARGADO"))
</f>
        <v/>
      </c>
      <c r="D302" s="51"/>
      <c r="E302" s="102"/>
      <c r="F302" s="102"/>
      <c r="G302" s="103"/>
      <c r="H302" s="103"/>
      <c r="L302" s="103"/>
      <c r="M302" s="113"/>
      <c r="N302" s="107"/>
      <c r="O302" s="106" t="str">
        <f>IF(ISBLANK(M302), "", VLOOKUP(D302, 'Info Tipo de Cambio y REM'!$A$24:$B$35, 2, FALSE))</f>
        <v/>
      </c>
      <c r="P302" s="107" t="str">
        <f t="shared" si="2"/>
        <v/>
      </c>
    </row>
    <row r="303">
      <c r="A303" s="102"/>
      <c r="B303" s="43" t="str">
        <f t="shared" si="7"/>
        <v/>
      </c>
      <c r="C303" s="102" t="str">
        <f>IF(J303="", "", IFERROR(VLOOKUP(J303, Clasificaciones!D:E, 2, FALSE), "DATO NO CARGADO"))
</f>
        <v/>
      </c>
      <c r="D303" s="51"/>
      <c r="E303" s="102"/>
      <c r="F303" s="102"/>
      <c r="G303" s="103"/>
      <c r="H303" s="103"/>
      <c r="L303" s="103"/>
      <c r="M303" s="113"/>
      <c r="N303" s="107"/>
      <c r="O303" s="106" t="str">
        <f>IF(ISBLANK(M303), "", VLOOKUP(D303, 'Info Tipo de Cambio y REM'!$A$24:$B$35, 2, FALSE))</f>
        <v/>
      </c>
      <c r="P303" s="107" t="str">
        <f t="shared" si="2"/>
        <v/>
      </c>
    </row>
    <row r="304">
      <c r="A304" s="102"/>
      <c r="B304" s="43" t="str">
        <f t="shared" si="7"/>
        <v/>
      </c>
      <c r="C304" s="102" t="str">
        <f>IF(J304="", "", IFERROR(VLOOKUP(J304, Clasificaciones!D:E, 2, FALSE), "DATO NO CARGADO"))
</f>
        <v/>
      </c>
      <c r="D304" s="51"/>
      <c r="E304" s="102"/>
      <c r="F304" s="102"/>
      <c r="G304" s="103"/>
      <c r="H304" s="103"/>
      <c r="L304" s="103"/>
      <c r="M304" s="113"/>
      <c r="N304" s="107"/>
      <c r="O304" s="106" t="str">
        <f>IF(ISBLANK(M304), "", VLOOKUP(D304, 'Info Tipo de Cambio y REM'!$A$24:$B$35, 2, FALSE))</f>
        <v/>
      </c>
      <c r="P304" s="107" t="str">
        <f t="shared" si="2"/>
        <v/>
      </c>
    </row>
    <row r="305">
      <c r="A305" s="102"/>
      <c r="B305" s="43" t="str">
        <f t="shared" si="7"/>
        <v/>
      </c>
      <c r="C305" s="102" t="str">
        <f>IF(J305="", "", IFERROR(VLOOKUP(J305, Clasificaciones!D:E, 2, FALSE), "DATO NO CARGADO"))
</f>
        <v/>
      </c>
      <c r="D305" s="51"/>
      <c r="E305" s="102"/>
      <c r="F305" s="102"/>
      <c r="G305" s="103"/>
      <c r="H305" s="103"/>
      <c r="L305" s="103"/>
      <c r="M305" s="113"/>
      <c r="N305" s="107"/>
      <c r="O305" s="106" t="str">
        <f>IF(ISBLANK(M305), "", VLOOKUP(D305, 'Info Tipo de Cambio y REM'!$A$24:$B$35, 2, FALSE))</f>
        <v/>
      </c>
      <c r="P305" s="107" t="str">
        <f t="shared" si="2"/>
        <v/>
      </c>
    </row>
    <row r="306">
      <c r="A306" s="102"/>
      <c r="B306" s="43" t="str">
        <f t="shared" si="7"/>
        <v/>
      </c>
      <c r="C306" s="102" t="str">
        <f>IF(J306="", "", IFERROR(VLOOKUP(J306, Clasificaciones!D:E, 2, FALSE), "DATO NO CARGADO"))
</f>
        <v/>
      </c>
      <c r="D306" s="51"/>
      <c r="E306" s="102"/>
      <c r="F306" s="102"/>
      <c r="G306" s="103"/>
      <c r="H306" s="103"/>
      <c r="L306" s="103"/>
      <c r="M306" s="113"/>
      <c r="N306" s="107"/>
      <c r="O306" s="106" t="str">
        <f>IF(ISBLANK(M306), "", VLOOKUP(D306, 'Info Tipo de Cambio y REM'!$A$24:$B$35, 2, FALSE))</f>
        <v/>
      </c>
      <c r="P306" s="107" t="str">
        <f t="shared" si="2"/>
        <v/>
      </c>
    </row>
    <row r="307">
      <c r="A307" s="102"/>
      <c r="B307" s="43" t="str">
        <f t="shared" si="7"/>
        <v/>
      </c>
      <c r="C307" s="102" t="str">
        <f>IF(J307="", "", IFERROR(VLOOKUP(J307, Clasificaciones!D:E, 2, FALSE), "DATO NO CARGADO"))
</f>
        <v/>
      </c>
      <c r="D307" s="51"/>
      <c r="E307" s="102"/>
      <c r="F307" s="102"/>
      <c r="G307" s="103"/>
      <c r="H307" s="103"/>
      <c r="L307" s="103"/>
      <c r="M307" s="113"/>
      <c r="N307" s="107"/>
      <c r="O307" s="106" t="str">
        <f>IF(ISBLANK(M307), "", VLOOKUP(D307, 'Info Tipo de Cambio y REM'!$A$24:$B$35, 2, FALSE))</f>
        <v/>
      </c>
      <c r="P307" s="107" t="str">
        <f t="shared" si="2"/>
        <v/>
      </c>
    </row>
    <row r="308">
      <c r="A308" s="102"/>
      <c r="B308" s="43" t="str">
        <f t="shared" si="7"/>
        <v/>
      </c>
      <c r="C308" s="102" t="str">
        <f>IF(J308="", "", IFERROR(VLOOKUP(J308, Clasificaciones!D:E, 2, FALSE), "DATO NO CARGADO"))
</f>
        <v/>
      </c>
      <c r="D308" s="51"/>
      <c r="E308" s="102"/>
      <c r="F308" s="102"/>
      <c r="G308" s="103"/>
      <c r="H308" s="103"/>
      <c r="L308" s="103"/>
      <c r="M308" s="113"/>
      <c r="N308" s="107"/>
      <c r="O308" s="106" t="str">
        <f>IF(ISBLANK(M308), "", VLOOKUP(D308, 'Info Tipo de Cambio y REM'!$A$24:$B$35, 2, FALSE))</f>
        <v/>
      </c>
      <c r="P308" s="107" t="str">
        <f t="shared" si="2"/>
        <v/>
      </c>
    </row>
    <row r="309">
      <c r="A309" s="102"/>
      <c r="B309" s="43" t="str">
        <f t="shared" si="7"/>
        <v/>
      </c>
      <c r="C309" s="102" t="str">
        <f>IF(J309="", "", IFERROR(VLOOKUP(J309, Clasificaciones!D:E, 2, FALSE), "DATO NO CARGADO"))
</f>
        <v/>
      </c>
      <c r="D309" s="51"/>
      <c r="E309" s="102"/>
      <c r="F309" s="102"/>
      <c r="G309" s="103"/>
      <c r="H309" s="103"/>
      <c r="L309" s="103"/>
      <c r="M309" s="113"/>
      <c r="N309" s="107"/>
      <c r="O309" s="106" t="str">
        <f>IF(ISBLANK(M309), "", VLOOKUP(D309, 'Info Tipo de Cambio y REM'!$A$24:$B$35, 2, FALSE))</f>
        <v/>
      </c>
      <c r="P309" s="107" t="str">
        <f t="shared" si="2"/>
        <v/>
      </c>
    </row>
    <row r="310">
      <c r="A310" s="102"/>
      <c r="B310" s="43" t="str">
        <f t="shared" si="7"/>
        <v/>
      </c>
      <c r="C310" s="102" t="str">
        <f>IF(J310="", "", IFERROR(VLOOKUP(J310, Clasificaciones!D:E, 2, FALSE), "DATO NO CARGADO"))
</f>
        <v/>
      </c>
      <c r="D310" s="51"/>
      <c r="E310" s="102"/>
      <c r="F310" s="102"/>
      <c r="G310" s="103"/>
      <c r="H310" s="103"/>
      <c r="L310" s="103"/>
      <c r="M310" s="113"/>
      <c r="N310" s="107"/>
      <c r="O310" s="106" t="str">
        <f>IF(ISBLANK(M310), "", VLOOKUP(D310, 'Info Tipo de Cambio y REM'!$A$24:$B$35, 2, FALSE))</f>
        <v/>
      </c>
      <c r="P310" s="107" t="str">
        <f t="shared" si="2"/>
        <v/>
      </c>
    </row>
    <row r="311">
      <c r="A311" s="102"/>
      <c r="B311" s="43" t="str">
        <f t="shared" si="7"/>
        <v/>
      </c>
      <c r="C311" s="102" t="str">
        <f>IF(J311="", "", IFERROR(VLOOKUP(J311, Clasificaciones!D:E, 2, FALSE), "DATO NO CARGADO"))
</f>
        <v/>
      </c>
      <c r="D311" s="51"/>
      <c r="E311" s="102"/>
      <c r="F311" s="102"/>
      <c r="G311" s="103"/>
      <c r="H311" s="103"/>
      <c r="L311" s="103"/>
      <c r="M311" s="113"/>
      <c r="N311" s="107"/>
      <c r="O311" s="106" t="str">
        <f>IF(ISBLANK(M311), "", VLOOKUP(D311, 'Info Tipo de Cambio y REM'!$A$24:$B$35, 2, FALSE))</f>
        <v/>
      </c>
      <c r="P311" s="107" t="str">
        <f t="shared" si="2"/>
        <v/>
      </c>
    </row>
    <row r="312">
      <c r="A312" s="102"/>
      <c r="B312" s="43" t="str">
        <f t="shared" si="7"/>
        <v/>
      </c>
      <c r="C312" s="102" t="str">
        <f>IF(J312="", "", IFERROR(VLOOKUP(J312, Clasificaciones!D:E, 2, FALSE), "DATO NO CARGADO"))
</f>
        <v/>
      </c>
      <c r="D312" s="51"/>
      <c r="E312" s="102"/>
      <c r="F312" s="102"/>
      <c r="G312" s="103"/>
      <c r="H312" s="103"/>
      <c r="L312" s="103"/>
      <c r="M312" s="113"/>
      <c r="N312" s="107"/>
      <c r="O312" s="106" t="str">
        <f>IF(ISBLANK(M312), "", VLOOKUP(D312, 'Info Tipo de Cambio y REM'!$A$24:$B$35, 2, FALSE))</f>
        <v/>
      </c>
      <c r="P312" s="107" t="str">
        <f t="shared" si="2"/>
        <v/>
      </c>
    </row>
    <row r="313">
      <c r="A313" s="102"/>
      <c r="B313" s="43" t="str">
        <f t="shared" si="7"/>
        <v/>
      </c>
      <c r="C313" s="102" t="str">
        <f>IF(J313="", "", IFERROR(VLOOKUP(J313, Clasificaciones!D:E, 2, FALSE), "DATO NO CARGADO"))
</f>
        <v/>
      </c>
      <c r="D313" s="51"/>
      <c r="E313" s="102"/>
      <c r="F313" s="102"/>
      <c r="G313" s="103"/>
      <c r="H313" s="103"/>
      <c r="L313" s="103"/>
      <c r="M313" s="113"/>
      <c r="N313" s="107"/>
      <c r="O313" s="106" t="str">
        <f>IF(ISBLANK(M313), "", VLOOKUP(D313, 'Info Tipo de Cambio y REM'!$A$24:$B$35, 2, FALSE))</f>
        <v/>
      </c>
      <c r="P313" s="107" t="str">
        <f t="shared" si="2"/>
        <v/>
      </c>
    </row>
    <row r="314">
      <c r="A314" s="102"/>
      <c r="B314" s="43" t="str">
        <f t="shared" si="7"/>
        <v/>
      </c>
      <c r="C314" s="102" t="str">
        <f>IF(J314="", "", IFERROR(VLOOKUP(J314, Clasificaciones!D:E, 2, FALSE), "DATO NO CARGADO"))
</f>
        <v/>
      </c>
      <c r="D314" s="51"/>
      <c r="E314" s="102"/>
      <c r="F314" s="102"/>
      <c r="G314" s="103"/>
      <c r="H314" s="103"/>
      <c r="L314" s="103"/>
      <c r="M314" s="113"/>
      <c r="N314" s="107"/>
      <c r="O314" s="106" t="str">
        <f>IF(ISBLANK(M314), "", VLOOKUP(D314, 'Info Tipo de Cambio y REM'!$A$24:$B$35, 2, FALSE))</f>
        <v/>
      </c>
      <c r="P314" s="107" t="str">
        <f t="shared" si="2"/>
        <v/>
      </c>
    </row>
    <row r="315">
      <c r="A315" s="102"/>
      <c r="B315" s="43" t="str">
        <f t="shared" si="7"/>
        <v/>
      </c>
      <c r="C315" s="102" t="str">
        <f>IF(J315="", "", IFERROR(VLOOKUP(J315, Clasificaciones!D:E, 2, FALSE), "DATO NO CARGADO"))
</f>
        <v/>
      </c>
      <c r="D315" s="51"/>
      <c r="E315" s="102"/>
      <c r="F315" s="102"/>
      <c r="G315" s="103"/>
      <c r="H315" s="103"/>
      <c r="L315" s="103"/>
      <c r="M315" s="113"/>
      <c r="N315" s="107"/>
      <c r="O315" s="106" t="str">
        <f>IF(ISBLANK(M315), "", VLOOKUP(D315, 'Info Tipo de Cambio y REM'!$A$24:$B$35, 2, FALSE))</f>
        <v/>
      </c>
      <c r="P315" s="107" t="str">
        <f t="shared" si="2"/>
        <v/>
      </c>
    </row>
    <row r="316">
      <c r="A316" s="102"/>
      <c r="B316" s="43" t="str">
        <f t="shared" si="7"/>
        <v/>
      </c>
      <c r="C316" s="102" t="str">
        <f>IF(J316="", "", IFERROR(VLOOKUP(J316, Clasificaciones!D:E, 2, FALSE), "DATO NO CARGADO"))
</f>
        <v/>
      </c>
      <c r="D316" s="51"/>
      <c r="E316" s="102"/>
      <c r="F316" s="102"/>
      <c r="G316" s="103"/>
      <c r="H316" s="103"/>
      <c r="L316" s="103"/>
      <c r="M316" s="113"/>
      <c r="N316" s="107"/>
      <c r="O316" s="106" t="str">
        <f>IF(ISBLANK(M316), "", VLOOKUP(D316, 'Info Tipo de Cambio y REM'!$A$24:$B$35, 2, FALSE))</f>
        <v/>
      </c>
      <c r="P316" s="107" t="str">
        <f t="shared" si="2"/>
        <v/>
      </c>
    </row>
    <row r="317">
      <c r="A317" s="102"/>
      <c r="B317" s="43" t="str">
        <f t="shared" si="7"/>
        <v/>
      </c>
      <c r="C317" s="102" t="str">
        <f>IF(J317="", "", IFERROR(VLOOKUP(J317, Clasificaciones!D:E, 2, FALSE), "DATO NO CARGADO"))
</f>
        <v/>
      </c>
      <c r="D317" s="51"/>
      <c r="E317" s="102"/>
      <c r="F317" s="102"/>
      <c r="G317" s="103"/>
      <c r="H317" s="103"/>
      <c r="L317" s="103"/>
      <c r="M317" s="113"/>
      <c r="N317" s="107"/>
      <c r="O317" s="106" t="str">
        <f>IF(ISBLANK(M317), "", VLOOKUP(D317, 'Info Tipo de Cambio y REM'!$A$24:$B$35, 2, FALSE))</f>
        <v/>
      </c>
      <c r="P317" s="107" t="str">
        <f t="shared" si="2"/>
        <v/>
      </c>
    </row>
    <row r="318">
      <c r="A318" s="102"/>
      <c r="B318" s="43" t="str">
        <f t="shared" si="7"/>
        <v/>
      </c>
      <c r="C318" s="102" t="str">
        <f>IF(J318="", "", IFERROR(VLOOKUP(J318, Clasificaciones!D:E, 2, FALSE), "DATO NO CARGADO"))
</f>
        <v/>
      </c>
      <c r="D318" s="51"/>
      <c r="E318" s="102"/>
      <c r="F318" s="102"/>
      <c r="G318" s="103"/>
      <c r="H318" s="103"/>
      <c r="L318" s="103"/>
      <c r="M318" s="113"/>
      <c r="N318" s="107"/>
      <c r="O318" s="106" t="str">
        <f>IF(ISBLANK(M318), "", VLOOKUP(D318, 'Info Tipo de Cambio y REM'!$A$24:$B$35, 2, FALSE))</f>
        <v/>
      </c>
      <c r="P318" s="107" t="str">
        <f t="shared" si="2"/>
        <v/>
      </c>
    </row>
    <row r="319">
      <c r="A319" s="102"/>
      <c r="B319" s="43" t="str">
        <f t="shared" si="7"/>
        <v/>
      </c>
      <c r="C319" s="102" t="str">
        <f>IF(J319="", "", IFERROR(VLOOKUP(J319, Clasificaciones!D:E, 2, FALSE), "DATO NO CARGADO"))
</f>
        <v/>
      </c>
      <c r="D319" s="51"/>
      <c r="E319" s="102"/>
      <c r="F319" s="102"/>
      <c r="G319" s="103"/>
      <c r="H319" s="103"/>
      <c r="L319" s="103"/>
      <c r="M319" s="113"/>
      <c r="N319" s="107"/>
      <c r="O319" s="106" t="str">
        <f>IF(ISBLANK(M319), "", VLOOKUP(D319, 'Info Tipo de Cambio y REM'!$A$24:$B$35, 2, FALSE))</f>
        <v/>
      </c>
      <c r="P319" s="107" t="str">
        <f t="shared" si="2"/>
        <v/>
      </c>
    </row>
    <row r="320">
      <c r="A320" s="102"/>
      <c r="B320" s="43" t="str">
        <f t="shared" si="7"/>
        <v/>
      </c>
      <c r="C320" s="102" t="str">
        <f>IF(J320="", "", IFERROR(VLOOKUP(J320, Clasificaciones!D:E, 2, FALSE), "DATO NO CARGADO"))
</f>
        <v/>
      </c>
      <c r="D320" s="51"/>
      <c r="E320" s="102"/>
      <c r="F320" s="102"/>
      <c r="G320" s="103"/>
      <c r="H320" s="103"/>
      <c r="L320" s="103"/>
      <c r="M320" s="113"/>
      <c r="N320" s="107"/>
      <c r="O320" s="106" t="str">
        <f>IF(ISBLANK(M320), "", VLOOKUP(D320, 'Info Tipo de Cambio y REM'!$A$24:$B$35, 2, FALSE))</f>
        <v/>
      </c>
      <c r="P320" s="107" t="str">
        <f t="shared" si="2"/>
        <v/>
      </c>
    </row>
    <row r="321">
      <c r="A321" s="102"/>
      <c r="B321" s="43" t="str">
        <f t="shared" si="7"/>
        <v/>
      </c>
      <c r="C321" s="102" t="str">
        <f>IF(J321="", "", IFERROR(VLOOKUP(J321, Clasificaciones!D:E, 2, FALSE), "DATO NO CARGADO"))
</f>
        <v/>
      </c>
      <c r="D321" s="51"/>
      <c r="E321" s="102"/>
      <c r="F321" s="102"/>
      <c r="G321" s="103"/>
      <c r="H321" s="103"/>
      <c r="L321" s="103"/>
      <c r="M321" s="113"/>
      <c r="N321" s="107"/>
      <c r="O321" s="106" t="str">
        <f>IF(ISBLANK(M321), "", VLOOKUP(D321, 'Info Tipo de Cambio y REM'!$A$24:$B$35, 2, FALSE))</f>
        <v/>
      </c>
      <c r="P321" s="107" t="str">
        <f t="shared" si="2"/>
        <v/>
      </c>
    </row>
    <row r="322">
      <c r="A322" s="102"/>
      <c r="B322" s="43" t="str">
        <f t="shared" si="7"/>
        <v/>
      </c>
      <c r="C322" s="102" t="str">
        <f>IF(J322="", "", IFERROR(VLOOKUP(J322, Clasificaciones!D:E, 2, FALSE), "DATO NO CARGADO"))
</f>
        <v/>
      </c>
      <c r="D322" s="51"/>
      <c r="E322" s="102"/>
      <c r="F322" s="102"/>
      <c r="G322" s="103"/>
      <c r="H322" s="103"/>
      <c r="L322" s="103"/>
      <c r="M322" s="113"/>
      <c r="N322" s="107"/>
      <c r="O322" s="106" t="str">
        <f>IF(ISBLANK(M322), "", VLOOKUP(D322, 'Info Tipo de Cambio y REM'!$A$24:$B$35, 2, FALSE))</f>
        <v/>
      </c>
      <c r="P322" s="107" t="str">
        <f t="shared" si="2"/>
        <v/>
      </c>
    </row>
    <row r="323">
      <c r="A323" s="102"/>
      <c r="B323" s="43" t="str">
        <f t="shared" si="7"/>
        <v/>
      </c>
      <c r="C323" s="102" t="str">
        <f>IF(J323="", "", IFERROR(VLOOKUP(J323, Clasificaciones!D:E, 2, FALSE), "DATO NO CARGADO"))
</f>
        <v/>
      </c>
      <c r="D323" s="51"/>
      <c r="E323" s="102"/>
      <c r="F323" s="102"/>
      <c r="G323" s="103"/>
      <c r="H323" s="103"/>
      <c r="L323" s="103"/>
      <c r="M323" s="113"/>
      <c r="N323" s="107"/>
      <c r="O323" s="106" t="str">
        <f>IF(ISBLANK(M323), "", VLOOKUP(D323, 'Info Tipo de Cambio y REM'!$A$24:$B$35, 2, FALSE))</f>
        <v/>
      </c>
      <c r="P323" s="107" t="str">
        <f t="shared" si="2"/>
        <v/>
      </c>
    </row>
    <row r="324">
      <c r="A324" s="102"/>
      <c r="B324" s="43" t="str">
        <f t="shared" si="7"/>
        <v/>
      </c>
      <c r="C324" s="102" t="str">
        <f>IF(J324="", "", IFERROR(VLOOKUP(J324, Clasificaciones!D:E, 2, FALSE), "DATO NO CARGADO"))
</f>
        <v/>
      </c>
      <c r="D324" s="51"/>
      <c r="E324" s="102"/>
      <c r="F324" s="102"/>
      <c r="G324" s="103"/>
      <c r="H324" s="103"/>
      <c r="L324" s="103"/>
      <c r="M324" s="113"/>
      <c r="N324" s="107"/>
      <c r="O324" s="106" t="str">
        <f>IF(ISBLANK(M324), "", VLOOKUP(D324, 'Info Tipo de Cambio y REM'!$A$24:$B$35, 2, FALSE))</f>
        <v/>
      </c>
      <c r="P324" s="107" t="str">
        <f t="shared" si="2"/>
        <v/>
      </c>
    </row>
    <row r="325">
      <c r="A325" s="102"/>
      <c r="B325" s="43" t="str">
        <f t="shared" si="7"/>
        <v/>
      </c>
      <c r="C325" s="102" t="str">
        <f>IF(J325="", "", IFERROR(VLOOKUP(J325, Clasificaciones!D:E, 2, FALSE), "DATO NO CARGADO"))
</f>
        <v/>
      </c>
      <c r="D325" s="51"/>
      <c r="E325" s="102"/>
      <c r="F325" s="102"/>
      <c r="G325" s="103"/>
      <c r="H325" s="103"/>
      <c r="L325" s="103"/>
      <c r="M325" s="113"/>
      <c r="N325" s="107"/>
      <c r="O325" s="106" t="str">
        <f>IF(ISBLANK(M325), "", VLOOKUP(D325, 'Info Tipo de Cambio y REM'!$A$24:$B$35, 2, FALSE))</f>
        <v/>
      </c>
      <c r="P325" s="107" t="str">
        <f t="shared" si="2"/>
        <v/>
      </c>
    </row>
    <row r="326">
      <c r="A326" s="102"/>
      <c r="B326" s="43" t="str">
        <f t="shared" si="7"/>
        <v/>
      </c>
      <c r="C326" s="102" t="str">
        <f>IF(J326="", "", IFERROR(VLOOKUP(J326, Clasificaciones!D:E, 2, FALSE), "DATO NO CARGADO"))
</f>
        <v/>
      </c>
      <c r="D326" s="51"/>
      <c r="E326" s="102"/>
      <c r="F326" s="102"/>
      <c r="G326" s="103"/>
      <c r="H326" s="103"/>
      <c r="L326" s="103"/>
      <c r="M326" s="113"/>
      <c r="N326" s="107"/>
      <c r="O326" s="106" t="str">
        <f>IF(ISBLANK(M326), "", VLOOKUP(D326, 'Info Tipo de Cambio y REM'!$A$24:$B$35, 2, FALSE))</f>
        <v/>
      </c>
      <c r="P326" s="107" t="str">
        <f t="shared" si="2"/>
        <v/>
      </c>
    </row>
    <row r="327">
      <c r="A327" s="102"/>
      <c r="B327" s="43" t="str">
        <f t="shared" si="7"/>
        <v/>
      </c>
      <c r="C327" s="102" t="str">
        <f>IF(J327="", "", IFERROR(VLOOKUP(J327, Clasificaciones!D:E, 2, FALSE), "DATO NO CARGADO"))
</f>
        <v/>
      </c>
      <c r="D327" s="51"/>
      <c r="E327" s="102"/>
      <c r="F327" s="102"/>
      <c r="G327" s="103"/>
      <c r="H327" s="103"/>
      <c r="L327" s="103"/>
      <c r="M327" s="113"/>
      <c r="N327" s="107"/>
      <c r="O327" s="106" t="str">
        <f>IF(ISBLANK(M327), "", VLOOKUP(D327, 'Info Tipo de Cambio y REM'!$A$24:$B$35, 2, FALSE))</f>
        <v/>
      </c>
      <c r="P327" s="107" t="str">
        <f t="shared" si="2"/>
        <v/>
      </c>
    </row>
    <row r="328">
      <c r="A328" s="102"/>
      <c r="B328" s="43" t="str">
        <f t="shared" si="7"/>
        <v/>
      </c>
      <c r="C328" s="102" t="str">
        <f>IF(J328="", "", IFERROR(VLOOKUP(J328, Clasificaciones!D:E, 2, FALSE), "DATO NO CARGADO"))
</f>
        <v/>
      </c>
      <c r="D328" s="51"/>
      <c r="E328" s="102"/>
      <c r="F328" s="102"/>
      <c r="G328" s="103"/>
      <c r="H328" s="103"/>
      <c r="L328" s="103"/>
      <c r="M328" s="113"/>
      <c r="N328" s="107"/>
      <c r="O328" s="106" t="str">
        <f>IF(ISBLANK(M328), "", VLOOKUP(D328, 'Info Tipo de Cambio y REM'!$A$24:$B$35, 2, FALSE))</f>
        <v/>
      </c>
      <c r="P328" s="107" t="str">
        <f t="shared" si="2"/>
        <v/>
      </c>
    </row>
    <row r="329">
      <c r="A329" s="102"/>
      <c r="B329" s="43" t="str">
        <f t="shared" si="7"/>
        <v/>
      </c>
      <c r="C329" s="102" t="str">
        <f>IF(J329="", "", IFERROR(VLOOKUP(J329, Clasificaciones!D:E, 2, FALSE), "DATO NO CARGADO"))
</f>
        <v/>
      </c>
      <c r="D329" s="51"/>
      <c r="E329" s="102"/>
      <c r="F329" s="102"/>
      <c r="G329" s="103"/>
      <c r="H329" s="103"/>
      <c r="L329" s="103"/>
      <c r="M329" s="113"/>
      <c r="N329" s="107"/>
      <c r="O329" s="106" t="str">
        <f>IF(ISBLANK(M329), "", VLOOKUP(D329, 'Info Tipo de Cambio y REM'!$A$24:$B$35, 2, FALSE))</f>
        <v/>
      </c>
      <c r="P329" s="107" t="str">
        <f t="shared" si="2"/>
        <v/>
      </c>
    </row>
    <row r="330">
      <c r="A330" s="102"/>
      <c r="B330" s="43" t="str">
        <f t="shared" si="7"/>
        <v/>
      </c>
      <c r="C330" s="102" t="str">
        <f>IF(J330="", "", IFERROR(VLOOKUP(J330, Clasificaciones!D:E, 2, FALSE), "DATO NO CARGADO"))
</f>
        <v/>
      </c>
      <c r="D330" s="51"/>
      <c r="E330" s="102"/>
      <c r="F330" s="102"/>
      <c r="G330" s="103"/>
      <c r="H330" s="103"/>
      <c r="L330" s="103"/>
      <c r="M330" s="113"/>
      <c r="N330" s="107"/>
      <c r="O330" s="106" t="str">
        <f>IF(ISBLANK(M330), "", VLOOKUP(D330, 'Info Tipo de Cambio y REM'!$A$24:$B$35, 2, FALSE))</f>
        <v/>
      </c>
      <c r="P330" s="107" t="str">
        <f t="shared" si="2"/>
        <v/>
      </c>
    </row>
    <row r="331">
      <c r="A331" s="102"/>
      <c r="B331" s="43" t="str">
        <f t="shared" si="7"/>
        <v/>
      </c>
      <c r="C331" s="102" t="str">
        <f>IF(J331="", "", IFERROR(VLOOKUP(J331, Clasificaciones!D:E, 2, FALSE), "DATO NO CARGADO"))
</f>
        <v/>
      </c>
      <c r="D331" s="51"/>
      <c r="E331" s="102"/>
      <c r="F331" s="102"/>
      <c r="G331" s="103"/>
      <c r="H331" s="103"/>
      <c r="L331" s="103"/>
      <c r="M331" s="113"/>
      <c r="N331" s="107"/>
      <c r="O331" s="106" t="str">
        <f>IF(ISBLANK(M331), "", VLOOKUP(D331, 'Info Tipo de Cambio y REM'!$A$24:$B$35, 2, FALSE))</f>
        <v/>
      </c>
      <c r="P331" s="107" t="str">
        <f t="shared" si="2"/>
        <v/>
      </c>
    </row>
    <row r="332">
      <c r="A332" s="102"/>
      <c r="B332" s="43" t="str">
        <f t="shared" si="7"/>
        <v/>
      </c>
      <c r="C332" s="102" t="str">
        <f>IF(J332="", "", IFERROR(VLOOKUP(J332, Clasificaciones!D:E, 2, FALSE), "DATO NO CARGADO"))
</f>
        <v/>
      </c>
      <c r="D332" s="51"/>
      <c r="E332" s="102"/>
      <c r="F332" s="102"/>
      <c r="G332" s="103"/>
      <c r="H332" s="103"/>
      <c r="L332" s="103"/>
      <c r="M332" s="113"/>
      <c r="N332" s="107"/>
      <c r="O332" s="106" t="str">
        <f>IF(ISBLANK(M332), "", VLOOKUP(D332, 'Info Tipo de Cambio y REM'!$A$24:$B$35, 2, FALSE))</f>
        <v/>
      </c>
      <c r="P332" s="107" t="str">
        <f t="shared" si="2"/>
        <v/>
      </c>
    </row>
    <row r="333">
      <c r="A333" s="102"/>
      <c r="B333" s="43" t="str">
        <f t="shared" si="7"/>
        <v/>
      </c>
      <c r="C333" s="102" t="str">
        <f>IF(J333="", "", IFERROR(VLOOKUP(J333, Clasificaciones!D:E, 2, FALSE), "DATO NO CARGADO"))
</f>
        <v/>
      </c>
      <c r="D333" s="51"/>
      <c r="E333" s="102"/>
      <c r="F333" s="102"/>
      <c r="G333" s="103"/>
      <c r="H333" s="103"/>
      <c r="L333" s="103"/>
      <c r="M333" s="113"/>
      <c r="N333" s="107"/>
      <c r="O333" s="106" t="str">
        <f>IF(ISBLANK(M333), "", VLOOKUP(D333, 'Info Tipo de Cambio y REM'!$A$24:$B$35, 2, FALSE))</f>
        <v/>
      </c>
      <c r="P333" s="107" t="str">
        <f t="shared" si="2"/>
        <v/>
      </c>
    </row>
    <row r="334">
      <c r="A334" s="102"/>
      <c r="B334" s="43" t="str">
        <f t="shared" si="7"/>
        <v/>
      </c>
      <c r="C334" s="102" t="str">
        <f>IF(J334="", "", IFERROR(VLOOKUP(J334, Clasificaciones!D:E, 2, FALSE), "DATO NO CARGADO"))
</f>
        <v/>
      </c>
      <c r="D334" s="51"/>
      <c r="E334" s="102"/>
      <c r="F334" s="102"/>
      <c r="G334" s="103"/>
      <c r="H334" s="103"/>
      <c r="L334" s="103"/>
      <c r="M334" s="113"/>
      <c r="N334" s="107"/>
      <c r="O334" s="106" t="str">
        <f>IF(ISBLANK(M334), "", VLOOKUP(D334, 'Info Tipo de Cambio y REM'!$A$24:$B$35, 2, FALSE))</f>
        <v/>
      </c>
      <c r="P334" s="107" t="str">
        <f t="shared" si="2"/>
        <v/>
      </c>
    </row>
    <row r="335">
      <c r="A335" s="102"/>
      <c r="B335" s="43" t="str">
        <f t="shared" si="7"/>
        <v/>
      </c>
      <c r="C335" s="102" t="str">
        <f>IF(J335="", "", IFERROR(VLOOKUP(J335, Clasificaciones!D:E, 2, FALSE), "DATO NO CARGADO"))
</f>
        <v/>
      </c>
      <c r="D335" s="51"/>
      <c r="E335" s="102"/>
      <c r="F335" s="102"/>
      <c r="G335" s="103"/>
      <c r="H335" s="103"/>
      <c r="L335" s="103"/>
      <c r="M335" s="113"/>
      <c r="N335" s="107"/>
      <c r="O335" s="106" t="str">
        <f>IF(ISBLANK(M335), "", VLOOKUP(D335, 'Info Tipo de Cambio y REM'!$A$24:$B$35, 2, FALSE))</f>
        <v/>
      </c>
      <c r="P335" s="107" t="str">
        <f t="shared" si="2"/>
        <v/>
      </c>
    </row>
    <row r="336">
      <c r="A336" s="102"/>
      <c r="B336" s="43" t="str">
        <f t="shared" si="7"/>
        <v/>
      </c>
      <c r="C336" s="102" t="str">
        <f>IF(J336="", "", IFERROR(VLOOKUP(J336, Clasificaciones!D:E, 2, FALSE), "DATO NO CARGADO"))
</f>
        <v/>
      </c>
      <c r="D336" s="51"/>
      <c r="E336" s="102"/>
      <c r="F336" s="102"/>
      <c r="G336" s="103"/>
      <c r="H336" s="103"/>
      <c r="L336" s="103"/>
      <c r="M336" s="113"/>
      <c r="N336" s="107"/>
      <c r="O336" s="106" t="str">
        <f>IF(ISBLANK(M336), "", VLOOKUP(D336, 'Info Tipo de Cambio y REM'!$A$24:$B$35, 2, FALSE))</f>
        <v/>
      </c>
      <c r="P336" s="107" t="str">
        <f t="shared" si="2"/>
        <v/>
      </c>
    </row>
    <row r="337">
      <c r="A337" s="102"/>
      <c r="B337" s="43" t="str">
        <f t="shared" si="7"/>
        <v/>
      </c>
      <c r="C337" s="102" t="str">
        <f>IF(J337="", "", IFERROR(VLOOKUP(J337, Clasificaciones!D:E, 2, FALSE), "DATO NO CARGADO"))
</f>
        <v/>
      </c>
      <c r="D337" s="51"/>
      <c r="E337" s="102"/>
      <c r="F337" s="102"/>
      <c r="G337" s="103"/>
      <c r="H337" s="103"/>
      <c r="L337" s="103"/>
      <c r="M337" s="113"/>
      <c r="N337" s="107"/>
      <c r="O337" s="106" t="str">
        <f>IF(ISBLANK(M337), "", VLOOKUP(D337, 'Info Tipo de Cambio y REM'!$A$24:$B$35, 2, FALSE))</f>
        <v/>
      </c>
      <c r="P337" s="107" t="str">
        <f t="shared" si="2"/>
        <v/>
      </c>
    </row>
    <row r="338">
      <c r="A338" s="102"/>
      <c r="B338" s="43" t="str">
        <f t="shared" si="7"/>
        <v/>
      </c>
      <c r="C338" s="102" t="str">
        <f>IF(J338="", "", IFERROR(VLOOKUP(J338, Clasificaciones!D:E, 2, FALSE), "DATO NO CARGADO"))
</f>
        <v/>
      </c>
      <c r="D338" s="51"/>
      <c r="E338" s="102"/>
      <c r="F338" s="102"/>
      <c r="G338" s="103"/>
      <c r="H338" s="103"/>
      <c r="L338" s="103"/>
      <c r="M338" s="113"/>
      <c r="N338" s="107"/>
      <c r="O338" s="106" t="str">
        <f>IF(ISBLANK(M338), "", VLOOKUP(D338, 'Info Tipo de Cambio y REM'!$A$24:$B$35, 2, FALSE))</f>
        <v/>
      </c>
      <c r="P338" s="107" t="str">
        <f t="shared" si="2"/>
        <v/>
      </c>
    </row>
    <row r="339">
      <c r="A339" s="102"/>
      <c r="B339" s="43" t="str">
        <f t="shared" si="7"/>
        <v/>
      </c>
      <c r="C339" s="102" t="str">
        <f>IF(J339="", "", IFERROR(VLOOKUP(J339, Clasificaciones!D:E, 2, FALSE), "DATO NO CARGADO"))
</f>
        <v/>
      </c>
      <c r="D339" s="51"/>
      <c r="E339" s="102"/>
      <c r="F339" s="102"/>
      <c r="G339" s="103"/>
      <c r="H339" s="103"/>
      <c r="L339" s="103"/>
      <c r="M339" s="113"/>
      <c r="N339" s="107"/>
      <c r="O339" s="106" t="str">
        <f>IF(ISBLANK(M339), "", VLOOKUP(D339, 'Info Tipo de Cambio y REM'!$A$24:$B$35, 2, FALSE))</f>
        <v/>
      </c>
      <c r="P339" s="107" t="str">
        <f t="shared" si="2"/>
        <v/>
      </c>
    </row>
    <row r="340">
      <c r="A340" s="102"/>
      <c r="B340" s="43" t="str">
        <f t="shared" si="7"/>
        <v/>
      </c>
      <c r="C340" s="102" t="str">
        <f>IF(J340="", "", IFERROR(VLOOKUP(J340, Clasificaciones!D:E, 2, FALSE), "DATO NO CARGADO"))
</f>
        <v/>
      </c>
      <c r="D340" s="51"/>
      <c r="E340" s="102"/>
      <c r="F340" s="102"/>
      <c r="G340" s="103"/>
      <c r="H340" s="103"/>
      <c r="L340" s="103"/>
      <c r="M340" s="113"/>
      <c r="N340" s="107"/>
      <c r="O340" s="106" t="str">
        <f>IF(ISBLANK(M340), "", VLOOKUP(D340, 'Info Tipo de Cambio y REM'!$A$24:$B$35, 2, FALSE))</f>
        <v/>
      </c>
      <c r="P340" s="107" t="str">
        <f t="shared" si="2"/>
        <v/>
      </c>
    </row>
    <row r="341">
      <c r="A341" s="102"/>
      <c r="B341" s="43" t="str">
        <f t="shared" si="7"/>
        <v/>
      </c>
      <c r="C341" s="102"/>
      <c r="D341" s="51"/>
      <c r="E341" s="102"/>
      <c r="F341" s="102"/>
      <c r="G341" s="103"/>
      <c r="H341" s="103"/>
      <c r="L341" s="103"/>
      <c r="M341" s="113"/>
      <c r="N341" s="107"/>
      <c r="O341" s="106" t="str">
        <f>IF(ISBLANK(M341), "", VLOOKUP(D341, 'Info Tipo de Cambio y REM'!$A$24:$B$35, 2, FALSE))</f>
        <v/>
      </c>
      <c r="P341" s="107" t="str">
        <f t="shared" si="2"/>
        <v/>
      </c>
    </row>
    <row r="342">
      <c r="A342" s="102"/>
      <c r="B342" s="43" t="str">
        <f t="shared" si="7"/>
        <v/>
      </c>
      <c r="C342" s="102"/>
      <c r="D342" s="51"/>
      <c r="E342" s="102"/>
      <c r="F342" s="102"/>
      <c r="G342" s="103"/>
      <c r="H342" s="103"/>
      <c r="L342" s="103"/>
      <c r="M342" s="113"/>
      <c r="N342" s="107"/>
      <c r="O342" s="106" t="str">
        <f>IF(ISBLANK(M342), "", VLOOKUP(D342, 'Info Tipo de Cambio y REM'!$A$24:$B$35, 2, FALSE))</f>
        <v/>
      </c>
      <c r="P342" s="107" t="str">
        <f t="shared" si="2"/>
        <v/>
      </c>
    </row>
    <row r="343">
      <c r="A343" s="102"/>
      <c r="B343" s="43" t="str">
        <f t="shared" si="7"/>
        <v/>
      </c>
      <c r="C343" s="102"/>
      <c r="D343" s="51"/>
      <c r="E343" s="102"/>
      <c r="F343" s="102"/>
      <c r="G343" s="103"/>
      <c r="H343" s="103"/>
      <c r="L343" s="103"/>
      <c r="M343" s="113"/>
      <c r="N343" s="107"/>
      <c r="O343" s="106" t="str">
        <f>IF(ISBLANK(M343), "", VLOOKUP(D343, 'Info Tipo de Cambio y REM'!$A$24:$B$35, 2, FALSE))</f>
        <v/>
      </c>
      <c r="P343" s="107" t="str">
        <f t="shared" si="2"/>
        <v/>
      </c>
    </row>
    <row r="344">
      <c r="A344" s="102"/>
      <c r="B344" s="43" t="str">
        <f t="shared" si="7"/>
        <v/>
      </c>
      <c r="C344" s="102"/>
      <c r="D344" s="51"/>
      <c r="E344" s="102"/>
      <c r="F344" s="102"/>
      <c r="G344" s="103"/>
      <c r="H344" s="103"/>
      <c r="L344" s="103"/>
      <c r="M344" s="113"/>
      <c r="N344" s="107"/>
      <c r="O344" s="106" t="str">
        <f>IF(ISBLANK(M344), "", VLOOKUP(D344, 'Info Tipo de Cambio y REM'!$A$24:$B$35, 2, FALSE))</f>
        <v/>
      </c>
      <c r="P344" s="107" t="str">
        <f t="shared" si="2"/>
        <v/>
      </c>
    </row>
    <row r="345">
      <c r="A345" s="102"/>
      <c r="B345" s="43" t="str">
        <f t="shared" si="7"/>
        <v/>
      </c>
      <c r="C345" s="102"/>
      <c r="D345" s="51"/>
      <c r="E345" s="102"/>
      <c r="F345" s="102"/>
      <c r="G345" s="103"/>
      <c r="H345" s="103"/>
      <c r="L345" s="103"/>
      <c r="M345" s="113"/>
      <c r="N345" s="107"/>
      <c r="O345" s="106" t="str">
        <f>IF(ISBLANK(M345), "", VLOOKUP(D345, 'Info Tipo de Cambio y REM'!$A$24:$B$35, 2, FALSE))</f>
        <v/>
      </c>
      <c r="P345" s="107" t="str">
        <f t="shared" si="2"/>
        <v/>
      </c>
    </row>
    <row r="346">
      <c r="A346" s="102"/>
      <c r="B346" s="43" t="str">
        <f t="shared" si="7"/>
        <v/>
      </c>
      <c r="C346" s="102"/>
      <c r="D346" s="51"/>
      <c r="E346" s="102"/>
      <c r="F346" s="102"/>
      <c r="G346" s="103"/>
      <c r="H346" s="103"/>
      <c r="L346" s="103"/>
      <c r="M346" s="113"/>
      <c r="N346" s="107"/>
      <c r="O346" s="106" t="str">
        <f>IF(ISBLANK(M346), "", VLOOKUP(D346, 'Info Tipo de Cambio y REM'!$A$24:$B$35, 2, FALSE))</f>
        <v/>
      </c>
      <c r="P346" s="107" t="str">
        <f t="shared" si="2"/>
        <v/>
      </c>
    </row>
    <row r="347">
      <c r="A347" s="102"/>
      <c r="B347" s="43" t="str">
        <f t="shared" si="7"/>
        <v/>
      </c>
      <c r="C347" s="102"/>
      <c r="D347" s="51"/>
      <c r="E347" s="102"/>
      <c r="F347" s="102"/>
      <c r="G347" s="103"/>
      <c r="H347" s="103"/>
      <c r="L347" s="103"/>
      <c r="M347" s="113"/>
      <c r="N347" s="107"/>
      <c r="O347" s="106" t="str">
        <f>IF(ISBLANK(M347), "", VLOOKUP(D347, 'Info Tipo de Cambio y REM'!$A$24:$B$35, 2, FALSE))</f>
        <v/>
      </c>
      <c r="P347" s="107" t="str">
        <f t="shared" si="2"/>
        <v/>
      </c>
    </row>
    <row r="348">
      <c r="A348" s="102"/>
      <c r="B348" s="43" t="str">
        <f t="shared" si="7"/>
        <v/>
      </c>
      <c r="C348" s="102"/>
      <c r="D348" s="51"/>
      <c r="E348" s="102"/>
      <c r="F348" s="102"/>
      <c r="G348" s="103"/>
      <c r="H348" s="103"/>
      <c r="L348" s="103"/>
      <c r="M348" s="113"/>
      <c r="N348" s="107"/>
      <c r="O348" s="106" t="str">
        <f>IF(ISBLANK(M348), "", VLOOKUP(D348, 'Info Tipo de Cambio y REM'!$A$24:$B$35, 2, FALSE))</f>
        <v/>
      </c>
      <c r="P348" s="107" t="str">
        <f t="shared" si="2"/>
        <v/>
      </c>
    </row>
    <row r="349">
      <c r="A349" s="102"/>
      <c r="B349" s="43" t="str">
        <f t="shared" si="7"/>
        <v/>
      </c>
      <c r="C349" s="102"/>
      <c r="D349" s="51"/>
      <c r="E349" s="102"/>
      <c r="F349" s="102"/>
      <c r="G349" s="103"/>
      <c r="H349" s="103"/>
      <c r="L349" s="103"/>
      <c r="M349" s="113"/>
      <c r="N349" s="107"/>
      <c r="O349" s="106" t="str">
        <f>IF(ISBLANK(M349), "", VLOOKUP(D349, 'Info Tipo de Cambio y REM'!$A$24:$B$35, 2, FALSE))</f>
        <v/>
      </c>
      <c r="P349" s="107" t="str">
        <f t="shared" si="2"/>
        <v/>
      </c>
    </row>
    <row r="350">
      <c r="A350" s="102"/>
      <c r="B350" s="43" t="str">
        <f t="shared" si="7"/>
        <v/>
      </c>
      <c r="C350" s="102"/>
      <c r="D350" s="51"/>
      <c r="E350" s="102"/>
      <c r="F350" s="102"/>
      <c r="G350" s="103"/>
      <c r="H350" s="103"/>
      <c r="L350" s="103"/>
      <c r="M350" s="113"/>
      <c r="N350" s="107"/>
      <c r="O350" s="106" t="str">
        <f>IF(ISBLANK(M350), "", VLOOKUP(D350, 'Info Tipo de Cambio y REM'!$A$24:$B$35, 2, FALSE))</f>
        <v/>
      </c>
      <c r="P350" s="107" t="str">
        <f t="shared" si="2"/>
        <v/>
      </c>
    </row>
    <row r="351">
      <c r="A351" s="102"/>
      <c r="B351" s="43" t="str">
        <f t="shared" si="7"/>
        <v/>
      </c>
      <c r="C351" s="102"/>
      <c r="D351" s="51"/>
      <c r="E351" s="102"/>
      <c r="F351" s="102"/>
      <c r="G351" s="103"/>
      <c r="H351" s="103"/>
      <c r="L351" s="103"/>
      <c r="M351" s="113"/>
      <c r="N351" s="107"/>
      <c r="O351" s="106" t="str">
        <f>IF(ISBLANK(M351), "", VLOOKUP(D351, 'Info Tipo de Cambio y REM'!$A$24:$B$35, 2, FALSE))</f>
        <v/>
      </c>
      <c r="P351" s="107" t="str">
        <f t="shared" si="2"/>
        <v/>
      </c>
    </row>
    <row r="352">
      <c r="A352" s="102"/>
      <c r="B352" s="43" t="str">
        <f t="shared" si="7"/>
        <v/>
      </c>
      <c r="C352" s="102"/>
      <c r="D352" s="51"/>
      <c r="E352" s="102"/>
      <c r="F352" s="102"/>
      <c r="G352" s="103"/>
      <c r="H352" s="103"/>
      <c r="L352" s="103"/>
      <c r="M352" s="113"/>
      <c r="N352" s="107"/>
      <c r="O352" s="106" t="str">
        <f>IF(ISBLANK(M352), "", VLOOKUP(D352, 'Info Tipo de Cambio y REM'!$A$24:$B$35, 2, FALSE))</f>
        <v/>
      </c>
      <c r="P352" s="107" t="str">
        <f t="shared" si="2"/>
        <v/>
      </c>
    </row>
    <row r="353">
      <c r="A353" s="102"/>
      <c r="B353" s="43" t="str">
        <f t="shared" si="7"/>
        <v/>
      </c>
      <c r="C353" s="102"/>
      <c r="D353" s="51"/>
      <c r="E353" s="102"/>
      <c r="F353" s="102"/>
      <c r="G353" s="103"/>
      <c r="H353" s="103"/>
      <c r="L353" s="103"/>
      <c r="M353" s="113"/>
      <c r="N353" s="107"/>
      <c r="O353" s="106" t="str">
        <f>IF(ISBLANK(M353), "", VLOOKUP(D353, 'Info Tipo de Cambio y REM'!$A$24:$B$35, 2, FALSE))</f>
        <v/>
      </c>
      <c r="P353" s="107" t="str">
        <f t="shared" si="2"/>
        <v/>
      </c>
    </row>
    <row r="354">
      <c r="A354" s="102"/>
      <c r="B354" s="43" t="str">
        <f t="shared" si="7"/>
        <v/>
      </c>
      <c r="C354" s="102"/>
      <c r="D354" s="51"/>
      <c r="E354" s="102"/>
      <c r="F354" s="102"/>
      <c r="G354" s="103"/>
      <c r="H354" s="103"/>
      <c r="L354" s="103"/>
      <c r="M354" s="113"/>
      <c r="N354" s="107"/>
      <c r="O354" s="106" t="str">
        <f>IF(ISBLANK(M354), "", VLOOKUP(D354, 'Info Tipo de Cambio y REM'!$A$24:$B$35, 2, FALSE))</f>
        <v/>
      </c>
      <c r="P354" s="107" t="str">
        <f t="shared" si="2"/>
        <v/>
      </c>
    </row>
    <row r="355">
      <c r="A355" s="102"/>
      <c r="B355" s="43" t="str">
        <f t="shared" si="7"/>
        <v/>
      </c>
      <c r="C355" s="102"/>
      <c r="D355" s="51"/>
      <c r="E355" s="102"/>
      <c r="F355" s="102"/>
      <c r="G355" s="103"/>
      <c r="H355" s="103"/>
      <c r="L355" s="103"/>
      <c r="M355" s="113"/>
      <c r="N355" s="107"/>
      <c r="O355" s="106" t="str">
        <f>IF(ISBLANK(M355), "", VLOOKUP(D355, 'Info Tipo de Cambio y REM'!$A$24:$B$35, 2, FALSE))</f>
        <v/>
      </c>
      <c r="P355" s="107" t="str">
        <f t="shared" si="2"/>
        <v/>
      </c>
    </row>
    <row r="356">
      <c r="A356" s="102"/>
      <c r="B356" s="43" t="str">
        <f t="shared" si="7"/>
        <v/>
      </c>
      <c r="C356" s="102"/>
      <c r="D356" s="51"/>
      <c r="E356" s="102"/>
      <c r="F356" s="102"/>
      <c r="G356" s="103"/>
      <c r="H356" s="103"/>
      <c r="L356" s="103"/>
      <c r="M356" s="113"/>
      <c r="N356" s="107"/>
      <c r="O356" s="106" t="str">
        <f>IF(ISBLANK(M356), "", VLOOKUP(D356, 'Info Tipo de Cambio y REM'!$A$24:$B$35, 2, FALSE))</f>
        <v/>
      </c>
      <c r="P356" s="107" t="str">
        <f t="shared" si="2"/>
        <v/>
      </c>
    </row>
    <row r="357">
      <c r="A357" s="102"/>
      <c r="B357" s="43" t="str">
        <f t="shared" si="7"/>
        <v/>
      </c>
      <c r="C357" s="102"/>
      <c r="D357" s="51"/>
      <c r="E357" s="102"/>
      <c r="F357" s="102"/>
      <c r="G357" s="103"/>
      <c r="H357" s="103"/>
      <c r="L357" s="103"/>
      <c r="M357" s="113"/>
      <c r="N357" s="107"/>
      <c r="O357" s="106" t="str">
        <f>IF(ISBLANK(M357), "", VLOOKUP(D357, 'Info Tipo de Cambio y REM'!$A$24:$B$35, 2, FALSE))</f>
        <v/>
      </c>
      <c r="P357" s="107" t="str">
        <f t="shared" si="2"/>
        <v/>
      </c>
    </row>
    <row r="358">
      <c r="A358" s="102"/>
      <c r="B358" s="43" t="str">
        <f t="shared" si="7"/>
        <v/>
      </c>
      <c r="C358" s="102"/>
      <c r="D358" s="51"/>
      <c r="E358" s="102"/>
      <c r="F358" s="102"/>
      <c r="G358" s="103"/>
      <c r="H358" s="103"/>
      <c r="L358" s="103"/>
      <c r="M358" s="113"/>
      <c r="N358" s="107"/>
      <c r="O358" s="106" t="str">
        <f>IF(ISBLANK(M358), "", VLOOKUP(D358, 'Info Tipo de Cambio y REM'!$A$24:$B$35, 2, FALSE))</f>
        <v/>
      </c>
      <c r="P358" s="107" t="str">
        <f t="shared" si="2"/>
        <v/>
      </c>
    </row>
    <row r="359">
      <c r="A359" s="102"/>
      <c r="B359" s="43" t="str">
        <f t="shared" si="7"/>
        <v/>
      </c>
      <c r="C359" s="102"/>
      <c r="D359" s="51"/>
      <c r="E359" s="102"/>
      <c r="F359" s="102"/>
      <c r="G359" s="103"/>
      <c r="H359" s="103"/>
      <c r="L359" s="103"/>
      <c r="M359" s="113"/>
      <c r="N359" s="107"/>
      <c r="O359" s="106" t="str">
        <f>IF(ISBLANK(M359), "", VLOOKUP(D359, 'Info Tipo de Cambio y REM'!$A$24:$B$35, 2, FALSE))</f>
        <v/>
      </c>
      <c r="P359" s="107" t="str">
        <f t="shared" si="2"/>
        <v/>
      </c>
    </row>
    <row r="360">
      <c r="A360" s="102"/>
      <c r="B360" s="43" t="str">
        <f t="shared" si="7"/>
        <v/>
      </c>
      <c r="C360" s="102"/>
      <c r="D360" s="51"/>
      <c r="E360" s="102"/>
      <c r="F360" s="102"/>
      <c r="G360" s="103"/>
      <c r="H360" s="103"/>
      <c r="L360" s="103"/>
      <c r="M360" s="113"/>
      <c r="N360" s="107"/>
      <c r="O360" s="106" t="str">
        <f>IF(ISBLANK(M360), "", VLOOKUP(D360, 'Info Tipo de Cambio y REM'!$A$24:$B$35, 2, FALSE))</f>
        <v/>
      </c>
      <c r="P360" s="107" t="str">
        <f t="shared" si="2"/>
        <v/>
      </c>
    </row>
    <row r="361">
      <c r="A361" s="102"/>
      <c r="B361" s="43" t="str">
        <f t="shared" si="7"/>
        <v/>
      </c>
      <c r="C361" s="102"/>
      <c r="D361" s="51"/>
      <c r="E361" s="102"/>
      <c r="F361" s="102"/>
      <c r="G361" s="103"/>
      <c r="H361" s="103"/>
      <c r="L361" s="103"/>
      <c r="M361" s="113"/>
      <c r="N361" s="107"/>
      <c r="O361" s="106" t="str">
        <f>IF(ISBLANK(M361), "", VLOOKUP(D361, 'Info Tipo de Cambio y REM'!$A$24:$B$35, 2, FALSE))</f>
        <v/>
      </c>
      <c r="P361" s="107" t="str">
        <f t="shared" si="2"/>
        <v/>
      </c>
    </row>
    <row r="362">
      <c r="A362" s="102"/>
      <c r="B362" s="43" t="str">
        <f t="shared" si="7"/>
        <v/>
      </c>
      <c r="C362" s="102"/>
      <c r="D362" s="51"/>
      <c r="E362" s="102"/>
      <c r="F362" s="102"/>
      <c r="G362" s="103"/>
      <c r="H362" s="103"/>
      <c r="L362" s="103"/>
      <c r="M362" s="113"/>
      <c r="N362" s="107"/>
      <c r="O362" s="106" t="str">
        <f>IF(ISBLANK(M362), "", VLOOKUP(D362, 'Info Tipo de Cambio y REM'!$A$24:$B$35, 2, FALSE))</f>
        <v/>
      </c>
      <c r="P362" s="107" t="str">
        <f t="shared" si="2"/>
        <v/>
      </c>
    </row>
    <row r="363">
      <c r="A363" s="102"/>
      <c r="B363" s="43" t="str">
        <f t="shared" si="7"/>
        <v/>
      </c>
      <c r="C363" s="102"/>
      <c r="D363" s="51"/>
      <c r="E363" s="102"/>
      <c r="F363" s="102"/>
      <c r="G363" s="103"/>
      <c r="H363" s="103"/>
      <c r="L363" s="103"/>
      <c r="M363" s="113"/>
      <c r="N363" s="107"/>
      <c r="O363" s="106" t="str">
        <f>IF(ISBLANK(M363), "", VLOOKUP(D363, 'Info Tipo de Cambio y REM'!$A$24:$B$35, 2, FALSE))</f>
        <v/>
      </c>
      <c r="P363" s="107" t="str">
        <f t="shared" si="2"/>
        <v/>
      </c>
    </row>
    <row r="364">
      <c r="A364" s="102"/>
      <c r="B364" s="43" t="str">
        <f t="shared" si="7"/>
        <v/>
      </c>
      <c r="C364" s="102"/>
      <c r="D364" s="51"/>
      <c r="E364" s="102"/>
      <c r="F364" s="102"/>
      <c r="G364" s="103"/>
      <c r="H364" s="103"/>
      <c r="L364" s="103"/>
      <c r="M364" s="113"/>
      <c r="N364" s="107"/>
      <c r="O364" s="106" t="str">
        <f>IF(ISBLANK(M364), "", VLOOKUP(D364, 'Info Tipo de Cambio y REM'!$A$24:$B$35, 2, FALSE))</f>
        <v/>
      </c>
      <c r="P364" s="107" t="str">
        <f t="shared" si="2"/>
        <v/>
      </c>
    </row>
    <row r="365">
      <c r="A365" s="102"/>
      <c r="B365" s="43" t="str">
        <f t="shared" si="7"/>
        <v/>
      </c>
      <c r="C365" s="102"/>
      <c r="D365" s="51"/>
      <c r="E365" s="102"/>
      <c r="F365" s="102"/>
      <c r="G365" s="103"/>
      <c r="H365" s="103"/>
      <c r="L365" s="103"/>
      <c r="M365" s="113"/>
      <c r="N365" s="107"/>
      <c r="O365" s="106" t="str">
        <f>IF(ISBLANK(M365), "", VLOOKUP(D365, 'Info Tipo de Cambio y REM'!$A$24:$B$35, 2, FALSE))</f>
        <v/>
      </c>
      <c r="P365" s="107" t="str">
        <f t="shared" si="2"/>
        <v/>
      </c>
    </row>
    <row r="366">
      <c r="A366" s="102"/>
      <c r="B366" s="43" t="str">
        <f t="shared" si="7"/>
        <v/>
      </c>
      <c r="C366" s="102"/>
      <c r="D366" s="51"/>
      <c r="E366" s="102"/>
      <c r="F366" s="102"/>
      <c r="G366" s="103"/>
      <c r="H366" s="103"/>
      <c r="L366" s="103"/>
      <c r="M366" s="113"/>
      <c r="N366" s="107"/>
      <c r="O366" s="106" t="str">
        <f>IF(ISBLANK(M366), "", VLOOKUP(D366, 'Info Tipo de Cambio y REM'!$A$24:$B$35, 2, FALSE))</f>
        <v/>
      </c>
      <c r="P366" s="107" t="str">
        <f t="shared" si="2"/>
        <v/>
      </c>
    </row>
    <row r="367">
      <c r="A367" s="102"/>
      <c r="B367" s="43" t="str">
        <f t="shared" si="7"/>
        <v/>
      </c>
      <c r="C367" s="102"/>
      <c r="D367" s="51"/>
      <c r="E367" s="102"/>
      <c r="F367" s="102"/>
      <c r="G367" s="103"/>
      <c r="H367" s="103"/>
      <c r="L367" s="103"/>
      <c r="M367" s="113"/>
      <c r="N367" s="107"/>
      <c r="O367" s="106" t="str">
        <f>IF(ISBLANK(M367), "", VLOOKUP(D367, 'Info Tipo de Cambio y REM'!$A$24:$B$35, 2, FALSE))</f>
        <v/>
      </c>
      <c r="P367" s="107" t="str">
        <f t="shared" si="2"/>
        <v/>
      </c>
    </row>
    <row r="368">
      <c r="A368" s="102"/>
      <c r="B368" s="43" t="str">
        <f t="shared" si="7"/>
        <v/>
      </c>
      <c r="C368" s="102"/>
      <c r="D368" s="51"/>
      <c r="E368" s="102"/>
      <c r="F368" s="102"/>
      <c r="G368" s="103"/>
      <c r="H368" s="103"/>
      <c r="L368" s="103"/>
      <c r="M368" s="113"/>
      <c r="N368" s="107"/>
      <c r="O368" s="106" t="str">
        <f>IF(ISBLANK(M368), "", VLOOKUP(D368, 'Info Tipo de Cambio y REM'!$A$24:$B$35, 2, FALSE))</f>
        <v/>
      </c>
      <c r="P368" s="107" t="str">
        <f t="shared" si="2"/>
        <v/>
      </c>
    </row>
    <row r="369">
      <c r="A369" s="102"/>
      <c r="B369" s="43" t="str">
        <f t="shared" si="7"/>
        <v/>
      </c>
      <c r="C369" s="102"/>
      <c r="D369" s="51"/>
      <c r="E369" s="102"/>
      <c r="F369" s="102"/>
      <c r="G369" s="103"/>
      <c r="H369" s="103"/>
      <c r="L369" s="103"/>
      <c r="M369" s="113"/>
      <c r="N369" s="107"/>
      <c r="O369" s="106" t="str">
        <f>IF(ISBLANK(M369), "", VLOOKUP(D369, 'Info Tipo de Cambio y REM'!$A$24:$B$35, 2, FALSE))</f>
        <v/>
      </c>
      <c r="P369" s="107" t="str">
        <f t="shared" si="2"/>
        <v/>
      </c>
    </row>
    <row r="370">
      <c r="A370" s="102"/>
      <c r="B370" s="43" t="str">
        <f t="shared" si="7"/>
        <v/>
      </c>
      <c r="C370" s="102"/>
      <c r="D370" s="51"/>
      <c r="E370" s="102"/>
      <c r="F370" s="102"/>
      <c r="G370" s="103"/>
      <c r="H370" s="103"/>
      <c r="L370" s="103"/>
      <c r="M370" s="113"/>
      <c r="N370" s="107"/>
      <c r="O370" s="106" t="str">
        <f>IF(ISBLANK(M370), "", VLOOKUP(D370, 'Info Tipo de Cambio y REM'!$A$24:$B$35, 2, FALSE))</f>
        <v/>
      </c>
      <c r="P370" s="107" t="str">
        <f t="shared" si="2"/>
        <v/>
      </c>
    </row>
    <row r="371">
      <c r="A371" s="102"/>
      <c r="B371" s="43" t="str">
        <f t="shared" si="7"/>
        <v/>
      </c>
      <c r="C371" s="102"/>
      <c r="D371" s="51"/>
      <c r="E371" s="102"/>
      <c r="F371" s="102"/>
      <c r="G371" s="103"/>
      <c r="H371" s="103"/>
      <c r="L371" s="103"/>
      <c r="M371" s="113"/>
      <c r="N371" s="107"/>
      <c r="O371" s="106" t="str">
        <f>IF(ISBLANK(M371), "", VLOOKUP(D371, 'Info Tipo de Cambio y REM'!$A$24:$B$35, 2, FALSE))</f>
        <v/>
      </c>
      <c r="P371" s="107" t="str">
        <f t="shared" si="2"/>
        <v/>
      </c>
    </row>
    <row r="372">
      <c r="A372" s="102"/>
      <c r="B372" s="43" t="str">
        <f t="shared" si="7"/>
        <v/>
      </c>
      <c r="C372" s="102"/>
      <c r="D372" s="51"/>
      <c r="E372" s="102"/>
      <c r="F372" s="102"/>
      <c r="G372" s="103"/>
      <c r="H372" s="103"/>
      <c r="L372" s="103"/>
      <c r="M372" s="113"/>
      <c r="N372" s="107"/>
      <c r="O372" s="106" t="str">
        <f>IF(ISBLANK(M372), "", VLOOKUP(D372, 'Info Tipo de Cambio y REM'!$A$24:$B$35, 2, FALSE))</f>
        <v/>
      </c>
      <c r="P372" s="107" t="str">
        <f t="shared" si="2"/>
        <v/>
      </c>
    </row>
    <row r="373">
      <c r="A373" s="102"/>
      <c r="B373" s="43" t="str">
        <f t="shared" si="7"/>
        <v/>
      </c>
      <c r="C373" s="102"/>
      <c r="D373" s="51"/>
      <c r="E373" s="102"/>
      <c r="F373" s="102"/>
      <c r="G373" s="103"/>
      <c r="H373" s="103"/>
      <c r="L373" s="103"/>
      <c r="M373" s="113"/>
      <c r="N373" s="107"/>
      <c r="O373" s="106" t="str">
        <f>IF(ISBLANK(M373), "", VLOOKUP(D373, 'Info Tipo de Cambio y REM'!$A$24:$B$35, 2, FALSE))</f>
        <v/>
      </c>
      <c r="P373" s="107" t="str">
        <f t="shared" si="2"/>
        <v/>
      </c>
    </row>
    <row r="374">
      <c r="A374" s="102"/>
      <c r="B374" s="43" t="str">
        <f t="shared" si="7"/>
        <v/>
      </c>
      <c r="C374" s="102"/>
      <c r="D374" s="51"/>
      <c r="E374" s="102"/>
      <c r="F374" s="102"/>
      <c r="G374" s="103"/>
      <c r="H374" s="103"/>
      <c r="L374" s="103"/>
      <c r="M374" s="113"/>
      <c r="N374" s="107"/>
      <c r="O374" s="106" t="str">
        <f>IF(ISBLANK(M374), "", VLOOKUP(D374, 'Info Tipo de Cambio y REM'!$A$24:$B$35, 2, FALSE))</f>
        <v/>
      </c>
      <c r="P374" s="107" t="str">
        <f t="shared" si="2"/>
        <v/>
      </c>
    </row>
    <row r="375">
      <c r="A375" s="102"/>
      <c r="B375" s="43" t="str">
        <f t="shared" si="7"/>
        <v/>
      </c>
      <c r="C375" s="102"/>
      <c r="D375" s="51"/>
      <c r="E375" s="102"/>
      <c r="F375" s="102"/>
      <c r="G375" s="103"/>
      <c r="H375" s="103"/>
      <c r="L375" s="103"/>
      <c r="M375" s="113"/>
      <c r="N375" s="107"/>
      <c r="O375" s="106" t="str">
        <f>IF(ISBLANK(M375), "", VLOOKUP(D375, 'Info Tipo de Cambio y REM'!$A$24:$B$35, 2, FALSE))</f>
        <v/>
      </c>
      <c r="P375" s="107" t="str">
        <f t="shared" si="2"/>
        <v/>
      </c>
    </row>
    <row r="376">
      <c r="A376" s="102"/>
      <c r="B376" s="43" t="str">
        <f t="shared" si="7"/>
        <v/>
      </c>
      <c r="C376" s="102"/>
      <c r="D376" s="51"/>
      <c r="E376" s="102"/>
      <c r="F376" s="102"/>
      <c r="G376" s="103"/>
      <c r="H376" s="103"/>
      <c r="L376" s="103"/>
      <c r="M376" s="113"/>
      <c r="N376" s="107"/>
      <c r="O376" s="106" t="str">
        <f>IF(ISBLANK(M376), "", VLOOKUP(D376, 'Info Tipo de Cambio y REM'!$A$24:$B$35, 2, FALSE))</f>
        <v/>
      </c>
      <c r="P376" s="107" t="str">
        <f t="shared" si="2"/>
        <v/>
      </c>
    </row>
    <row r="377">
      <c r="A377" s="102"/>
      <c r="B377" s="43" t="str">
        <f t="shared" si="7"/>
        <v/>
      </c>
      <c r="C377" s="102"/>
      <c r="D377" s="51"/>
      <c r="E377" s="102"/>
      <c r="F377" s="102"/>
      <c r="G377" s="103"/>
      <c r="H377" s="103"/>
      <c r="L377" s="103"/>
      <c r="M377" s="113"/>
      <c r="N377" s="107"/>
      <c r="O377" s="106" t="str">
        <f>IF(ISBLANK(M377), "", VLOOKUP(D377, 'Info Tipo de Cambio y REM'!$A$24:$B$35, 2, FALSE))</f>
        <v/>
      </c>
      <c r="P377" s="107" t="str">
        <f t="shared" si="2"/>
        <v/>
      </c>
    </row>
    <row r="378">
      <c r="A378" s="102"/>
      <c r="B378" s="43" t="str">
        <f t="shared" si="7"/>
        <v/>
      </c>
      <c r="C378" s="102"/>
      <c r="D378" s="51"/>
      <c r="E378" s="102"/>
      <c r="F378" s="102"/>
      <c r="G378" s="103"/>
      <c r="H378" s="103"/>
      <c r="L378" s="103"/>
      <c r="M378" s="113"/>
      <c r="N378" s="107"/>
      <c r="O378" s="106" t="str">
        <f>IF(ISBLANK(M378), "", VLOOKUP(D378, 'Info Tipo de Cambio y REM'!$A$24:$B$35, 2, FALSE))</f>
        <v/>
      </c>
      <c r="P378" s="107" t="str">
        <f t="shared" si="2"/>
        <v/>
      </c>
    </row>
    <row r="379">
      <c r="A379" s="102"/>
      <c r="B379" s="43" t="str">
        <f t="shared" si="7"/>
        <v/>
      </c>
      <c r="C379" s="102"/>
      <c r="D379" s="51"/>
      <c r="E379" s="102"/>
      <c r="F379" s="102"/>
      <c r="G379" s="103"/>
      <c r="H379" s="103"/>
      <c r="L379" s="103"/>
      <c r="M379" s="113"/>
      <c r="N379" s="107"/>
      <c r="O379" s="106" t="str">
        <f>IF(ISBLANK(M379), "", VLOOKUP(D379, 'Info Tipo de Cambio y REM'!$A$24:$B$35, 2, FALSE))</f>
        <v/>
      </c>
      <c r="P379" s="107" t="str">
        <f t="shared" si="2"/>
        <v/>
      </c>
    </row>
    <row r="380">
      <c r="A380" s="102"/>
      <c r="B380" s="43" t="str">
        <f t="shared" si="7"/>
        <v/>
      </c>
      <c r="C380" s="102"/>
      <c r="D380" s="51"/>
      <c r="E380" s="102"/>
      <c r="F380" s="102"/>
      <c r="G380" s="103"/>
      <c r="H380" s="103"/>
      <c r="L380" s="103"/>
      <c r="M380" s="113"/>
      <c r="N380" s="107"/>
      <c r="O380" s="106" t="str">
        <f>IF(ISBLANK(M380), "", VLOOKUP(D380, 'Info Tipo de Cambio y REM'!$A$24:$B$35, 2, FALSE))</f>
        <v/>
      </c>
      <c r="P380" s="107" t="str">
        <f t="shared" si="2"/>
        <v/>
      </c>
    </row>
    <row r="381">
      <c r="A381" s="102"/>
      <c r="B381" s="43" t="str">
        <f t="shared" si="7"/>
        <v/>
      </c>
      <c r="C381" s="102"/>
      <c r="D381" s="51"/>
      <c r="E381" s="102"/>
      <c r="F381" s="102"/>
      <c r="G381" s="103"/>
      <c r="H381" s="103"/>
      <c r="L381" s="103"/>
      <c r="M381" s="113"/>
      <c r="N381" s="107"/>
      <c r="O381" s="106" t="str">
        <f>IF(ISBLANK(M381), "", VLOOKUP(D381, 'Info Tipo de Cambio y REM'!$A$24:$B$35, 2, FALSE))</f>
        <v/>
      </c>
      <c r="P381" s="107" t="str">
        <f t="shared" si="2"/>
        <v/>
      </c>
    </row>
    <row r="382">
      <c r="A382" s="102"/>
      <c r="B382" s="43" t="str">
        <f t="shared" si="7"/>
        <v/>
      </c>
      <c r="C382" s="102"/>
      <c r="D382" s="51"/>
      <c r="E382" s="102"/>
      <c r="F382" s="102"/>
      <c r="G382" s="103"/>
      <c r="H382" s="103"/>
      <c r="L382" s="103"/>
      <c r="M382" s="113"/>
      <c r="N382" s="107"/>
      <c r="O382" s="106" t="str">
        <f>IF(ISBLANK(M382), "", VLOOKUP(D382, 'Info Tipo de Cambio y REM'!$A$24:$B$35, 2, FALSE))</f>
        <v/>
      </c>
      <c r="P382" s="107" t="str">
        <f t="shared" si="2"/>
        <v/>
      </c>
    </row>
    <row r="383">
      <c r="A383" s="102"/>
      <c r="B383" s="43" t="str">
        <f t="shared" si="7"/>
        <v/>
      </c>
      <c r="C383" s="102"/>
      <c r="D383" s="51"/>
      <c r="E383" s="102"/>
      <c r="F383" s="102"/>
      <c r="G383" s="103"/>
      <c r="H383" s="103"/>
      <c r="L383" s="103"/>
      <c r="M383" s="113"/>
      <c r="N383" s="107"/>
      <c r="O383" s="106" t="str">
        <f>IF(ISBLANK(M383), "", VLOOKUP(D383, 'Info Tipo de Cambio y REM'!$A$24:$B$35, 2, FALSE))</f>
        <v/>
      </c>
      <c r="P383" s="107" t="str">
        <f t="shared" si="2"/>
        <v/>
      </c>
    </row>
    <row r="384">
      <c r="A384" s="102"/>
      <c r="B384" s="43" t="str">
        <f t="shared" si="7"/>
        <v/>
      </c>
      <c r="C384" s="102"/>
      <c r="D384" s="51"/>
      <c r="E384" s="102"/>
      <c r="F384" s="102"/>
      <c r="G384" s="103"/>
      <c r="H384" s="103"/>
      <c r="L384" s="103"/>
      <c r="M384" s="113"/>
      <c r="N384" s="107"/>
      <c r="O384" s="106" t="str">
        <f>IF(ISBLANK(M384), "", VLOOKUP(D384, 'Info Tipo de Cambio y REM'!$A$24:$B$35, 2, FALSE))</f>
        <v/>
      </c>
      <c r="P384" s="107" t="str">
        <f t="shared" si="2"/>
        <v/>
      </c>
    </row>
    <row r="385">
      <c r="A385" s="102"/>
      <c r="B385" s="43" t="str">
        <f t="shared" si="7"/>
        <v/>
      </c>
      <c r="C385" s="102"/>
      <c r="D385" s="51"/>
      <c r="E385" s="102"/>
      <c r="F385" s="102"/>
      <c r="G385" s="103"/>
      <c r="H385" s="103"/>
      <c r="L385" s="103"/>
      <c r="M385" s="113"/>
      <c r="N385" s="107"/>
      <c r="O385" s="106" t="str">
        <f>IF(ISBLANK(M385), "", VLOOKUP(D385, 'Info Tipo de Cambio y REM'!$A$24:$B$35, 2, FALSE))</f>
        <v/>
      </c>
      <c r="P385" s="107" t="str">
        <f t="shared" si="2"/>
        <v/>
      </c>
    </row>
    <row r="386">
      <c r="A386" s="102"/>
      <c r="B386" s="43" t="str">
        <f t="shared" si="7"/>
        <v/>
      </c>
      <c r="C386" s="102"/>
      <c r="D386" s="51"/>
      <c r="E386" s="102"/>
      <c r="F386" s="102"/>
      <c r="G386" s="103"/>
      <c r="H386" s="103"/>
      <c r="L386" s="103"/>
      <c r="M386" s="113"/>
      <c r="N386" s="107"/>
      <c r="O386" s="106" t="str">
        <f>IF(ISBLANK(M386), "", VLOOKUP(D386, 'Info Tipo de Cambio y REM'!$A$24:$B$35, 2, FALSE))</f>
        <v/>
      </c>
      <c r="P386" s="107" t="str">
        <f t="shared" si="2"/>
        <v/>
      </c>
    </row>
    <row r="387">
      <c r="A387" s="102"/>
      <c r="B387" s="43" t="str">
        <f t="shared" si="7"/>
        <v/>
      </c>
      <c r="C387" s="102"/>
      <c r="D387" s="51"/>
      <c r="E387" s="102"/>
      <c r="F387" s="102"/>
      <c r="G387" s="103"/>
      <c r="H387" s="103"/>
      <c r="L387" s="103"/>
      <c r="M387" s="113"/>
      <c r="N387" s="107"/>
      <c r="O387" s="106" t="str">
        <f>IF(ISBLANK(M387), "", VLOOKUP(D387, 'Info Tipo de Cambio y REM'!$A$24:$B$35, 2, FALSE))</f>
        <v/>
      </c>
      <c r="P387" s="107" t="str">
        <f t="shared" si="2"/>
        <v/>
      </c>
    </row>
    <row r="388">
      <c r="A388" s="102"/>
      <c r="B388" s="43" t="str">
        <f t="shared" si="7"/>
        <v/>
      </c>
      <c r="C388" s="102"/>
      <c r="D388" s="51"/>
      <c r="E388" s="102"/>
      <c r="F388" s="102"/>
      <c r="G388" s="103"/>
      <c r="H388" s="103"/>
      <c r="L388" s="103"/>
      <c r="M388" s="113"/>
      <c r="N388" s="107"/>
      <c r="O388" s="106" t="str">
        <f>IF(ISBLANK(M388), "", VLOOKUP(D388, 'Info Tipo de Cambio y REM'!$A$24:$B$35, 2, FALSE))</f>
        <v/>
      </c>
      <c r="P388" s="107" t="str">
        <f t="shared" si="2"/>
        <v/>
      </c>
    </row>
    <row r="389">
      <c r="A389" s="102"/>
      <c r="B389" s="43" t="str">
        <f t="shared" si="7"/>
        <v/>
      </c>
      <c r="C389" s="102"/>
      <c r="D389" s="51"/>
      <c r="E389" s="102"/>
      <c r="F389" s="102"/>
      <c r="G389" s="103"/>
      <c r="H389" s="103"/>
      <c r="L389" s="103"/>
      <c r="M389" s="113"/>
      <c r="N389" s="107"/>
      <c r="O389" s="106" t="str">
        <f>IF(ISBLANK(M389), "", VLOOKUP(D389, 'Info Tipo de Cambio y REM'!$A$24:$B$35, 2, FALSE))</f>
        <v/>
      </c>
      <c r="P389" s="107" t="str">
        <f t="shared" si="2"/>
        <v/>
      </c>
    </row>
    <row r="390">
      <c r="A390" s="102"/>
      <c r="B390" s="43" t="str">
        <f t="shared" si="7"/>
        <v/>
      </c>
      <c r="C390" s="102"/>
      <c r="D390" s="51"/>
      <c r="E390" s="102"/>
      <c r="F390" s="102"/>
      <c r="G390" s="103"/>
      <c r="H390" s="103"/>
      <c r="L390" s="103"/>
      <c r="M390" s="113"/>
      <c r="N390" s="107"/>
      <c r="O390" s="106" t="str">
        <f>IF(ISBLANK(M390), "", VLOOKUP(D390, 'Info Tipo de Cambio y REM'!$A$24:$B$35, 2, FALSE))</f>
        <v/>
      </c>
      <c r="P390" s="107" t="str">
        <f t="shared" si="2"/>
        <v/>
      </c>
    </row>
    <row r="391">
      <c r="A391" s="102"/>
      <c r="B391" s="43" t="str">
        <f t="shared" si="7"/>
        <v/>
      </c>
      <c r="C391" s="102"/>
      <c r="D391" s="51"/>
      <c r="E391" s="102"/>
      <c r="F391" s="102"/>
      <c r="G391" s="103"/>
      <c r="H391" s="103"/>
      <c r="L391" s="103"/>
      <c r="M391" s="113"/>
      <c r="N391" s="107"/>
      <c r="O391" s="106" t="str">
        <f>IF(ISBLANK(M391), "", VLOOKUP(D391, 'Info Tipo de Cambio y REM'!$A$24:$B$35, 2, FALSE))</f>
        <v/>
      </c>
      <c r="P391" s="107" t="str">
        <f t="shared" si="2"/>
        <v/>
      </c>
    </row>
    <row r="392">
      <c r="A392" s="102"/>
      <c r="B392" s="43" t="str">
        <f t="shared" si="7"/>
        <v/>
      </c>
      <c r="C392" s="102"/>
      <c r="D392" s="51"/>
      <c r="E392" s="102"/>
      <c r="F392" s="102"/>
      <c r="G392" s="103"/>
      <c r="H392" s="103"/>
      <c r="L392" s="103"/>
      <c r="M392" s="113"/>
      <c r="N392" s="107"/>
      <c r="O392" s="106" t="str">
        <f>IF(ISBLANK(M392), "", VLOOKUP(D392, 'Info Tipo de Cambio y REM'!$A$24:$B$35, 2, FALSE))</f>
        <v/>
      </c>
      <c r="P392" s="107" t="str">
        <f t="shared" si="2"/>
        <v/>
      </c>
    </row>
    <row r="393">
      <c r="A393" s="102"/>
      <c r="B393" s="43" t="str">
        <f t="shared" si="7"/>
        <v/>
      </c>
      <c r="C393" s="102"/>
      <c r="D393" s="51"/>
      <c r="E393" s="102"/>
      <c r="F393" s="102"/>
      <c r="G393" s="103"/>
      <c r="H393" s="103"/>
      <c r="L393" s="103"/>
      <c r="M393" s="113"/>
      <c r="N393" s="107"/>
      <c r="O393" s="106" t="str">
        <f>IF(ISBLANK(M393), "", VLOOKUP(D393, 'Info Tipo de Cambio y REM'!$A$24:$B$35, 2, FALSE))</f>
        <v/>
      </c>
      <c r="P393" s="107" t="str">
        <f t="shared" si="2"/>
        <v/>
      </c>
    </row>
    <row r="394">
      <c r="A394" s="102"/>
      <c r="B394" s="43" t="str">
        <f t="shared" si="7"/>
        <v/>
      </c>
      <c r="C394" s="102"/>
      <c r="D394" s="51"/>
      <c r="E394" s="102"/>
      <c r="F394" s="102"/>
      <c r="G394" s="103"/>
      <c r="H394" s="103"/>
      <c r="L394" s="103"/>
      <c r="M394" s="113"/>
      <c r="N394" s="107"/>
      <c r="O394" s="106" t="str">
        <f>IF(ISBLANK(M394), "", VLOOKUP(D394, 'Info Tipo de Cambio y REM'!$A$24:$B$35, 2, FALSE))</f>
        <v/>
      </c>
      <c r="P394" s="107" t="str">
        <f t="shared" si="2"/>
        <v/>
      </c>
    </row>
    <row r="395">
      <c r="A395" s="102"/>
      <c r="B395" s="43" t="str">
        <f t="shared" si="7"/>
        <v/>
      </c>
      <c r="C395" s="102"/>
      <c r="D395" s="51"/>
      <c r="E395" s="102"/>
      <c r="F395" s="102"/>
      <c r="G395" s="103"/>
      <c r="H395" s="103"/>
      <c r="L395" s="103"/>
      <c r="M395" s="113"/>
      <c r="N395" s="107"/>
      <c r="O395" s="106" t="str">
        <f>IF(ISBLANK(M395), "", VLOOKUP(D395, 'Info Tipo de Cambio y REM'!$A$24:$B$35, 2, FALSE))</f>
        <v/>
      </c>
      <c r="P395" s="107" t="str">
        <f t="shared" si="2"/>
        <v/>
      </c>
    </row>
    <row r="396">
      <c r="A396" s="102"/>
      <c r="B396" s="43" t="str">
        <f t="shared" si="7"/>
        <v/>
      </c>
      <c r="C396" s="102"/>
      <c r="D396" s="51"/>
      <c r="E396" s="102"/>
      <c r="F396" s="102"/>
      <c r="G396" s="103"/>
      <c r="H396" s="103"/>
      <c r="L396" s="103"/>
      <c r="M396" s="113"/>
      <c r="N396" s="107"/>
      <c r="O396" s="106" t="str">
        <f>IF(ISBLANK(M396), "", VLOOKUP(D396, 'Info Tipo de Cambio y REM'!$A$24:$B$35, 2, FALSE))</f>
        <v/>
      </c>
      <c r="P396" s="107" t="str">
        <f t="shared" si="2"/>
        <v/>
      </c>
    </row>
    <row r="397">
      <c r="A397" s="102"/>
      <c r="B397" s="43" t="str">
        <f t="shared" si="7"/>
        <v/>
      </c>
      <c r="C397" s="102"/>
      <c r="D397" s="51"/>
      <c r="E397" s="102"/>
      <c r="F397" s="102"/>
      <c r="G397" s="103"/>
      <c r="H397" s="103"/>
      <c r="L397" s="103"/>
      <c r="M397" s="113"/>
      <c r="N397" s="107"/>
      <c r="O397" s="106" t="str">
        <f>IF(ISBLANK(M397), "", VLOOKUP(D397, 'Info Tipo de Cambio y REM'!$A$24:$B$35, 2, FALSE))</f>
        <v/>
      </c>
      <c r="P397" s="107" t="str">
        <f t="shared" si="2"/>
        <v/>
      </c>
    </row>
    <row r="398">
      <c r="A398" s="102"/>
      <c r="B398" s="43" t="str">
        <f t="shared" si="7"/>
        <v/>
      </c>
      <c r="C398" s="102"/>
      <c r="D398" s="51"/>
      <c r="E398" s="102"/>
      <c r="F398" s="102"/>
      <c r="G398" s="103"/>
      <c r="H398" s="103"/>
      <c r="L398" s="103"/>
      <c r="M398" s="113"/>
      <c r="N398" s="107"/>
      <c r="O398" s="106" t="str">
        <f>IF(ISBLANK(M398), "", VLOOKUP(D398, 'Info Tipo de Cambio y REM'!$A$24:$B$35, 2, FALSE))</f>
        <v/>
      </c>
      <c r="P398" s="107" t="str">
        <f t="shared" si="2"/>
        <v/>
      </c>
    </row>
    <row r="399">
      <c r="A399" s="102"/>
      <c r="B399" s="43" t="str">
        <f t="shared" si="7"/>
        <v/>
      </c>
      <c r="C399" s="102"/>
      <c r="D399" s="51"/>
      <c r="E399" s="102"/>
      <c r="F399" s="102"/>
      <c r="G399" s="103"/>
      <c r="H399" s="103"/>
      <c r="L399" s="103"/>
      <c r="M399" s="113"/>
      <c r="N399" s="107"/>
      <c r="O399" s="106" t="str">
        <f>IF(ISBLANK(M399), "", VLOOKUP(D399, 'Info Tipo de Cambio y REM'!$A$24:$B$35, 2, FALSE))</f>
        <v/>
      </c>
      <c r="P399" s="107" t="str">
        <f t="shared" si="2"/>
        <v/>
      </c>
    </row>
    <row r="400">
      <c r="A400" s="102"/>
      <c r="B400" s="43" t="str">
        <f t="shared" si="7"/>
        <v/>
      </c>
      <c r="C400" s="102"/>
      <c r="D400" s="51"/>
      <c r="E400" s="102"/>
      <c r="F400" s="102"/>
      <c r="G400" s="103"/>
      <c r="H400" s="103"/>
      <c r="L400" s="103"/>
      <c r="M400" s="113"/>
      <c r="N400" s="107"/>
      <c r="O400" s="106" t="str">
        <f>IF(ISBLANK(M400), "", VLOOKUP(D400, 'Info Tipo de Cambio y REM'!$A$24:$B$35, 2, FALSE))</f>
        <v/>
      </c>
      <c r="P400" s="107" t="str">
        <f t="shared" si="2"/>
        <v/>
      </c>
    </row>
    <row r="401">
      <c r="A401" s="102"/>
      <c r="B401" s="43" t="str">
        <f t="shared" si="7"/>
        <v/>
      </c>
      <c r="C401" s="102"/>
      <c r="D401" s="51"/>
      <c r="E401" s="102"/>
      <c r="F401" s="102"/>
      <c r="G401" s="103"/>
      <c r="H401" s="103"/>
      <c r="L401" s="103"/>
      <c r="M401" s="113"/>
      <c r="N401" s="107"/>
      <c r="O401" s="106" t="str">
        <f>IF(ISBLANK(M401), "", VLOOKUP(D401, 'Info Tipo de Cambio y REM'!$A$24:$B$35, 2, FALSE))</f>
        <v/>
      </c>
      <c r="P401" s="107" t="str">
        <f t="shared" si="2"/>
        <v/>
      </c>
    </row>
    <row r="402">
      <c r="A402" s="102"/>
      <c r="B402" s="43" t="str">
        <f t="shared" si="7"/>
        <v/>
      </c>
      <c r="C402" s="102"/>
      <c r="D402" s="51"/>
      <c r="E402" s="102"/>
      <c r="F402" s="102"/>
      <c r="G402" s="103"/>
      <c r="H402" s="103"/>
      <c r="L402" s="103"/>
      <c r="M402" s="113"/>
      <c r="N402" s="107"/>
      <c r="O402" s="106" t="str">
        <f>IF(ISBLANK(M402), "", VLOOKUP(D402, 'Info Tipo de Cambio y REM'!$A$24:$B$35, 2, FALSE))</f>
        <v/>
      </c>
      <c r="P402" s="107" t="str">
        <f t="shared" si="2"/>
        <v/>
      </c>
    </row>
    <row r="403">
      <c r="A403" s="102"/>
      <c r="B403" s="43" t="str">
        <f t="shared" si="7"/>
        <v/>
      </c>
      <c r="C403" s="102"/>
      <c r="D403" s="51"/>
      <c r="E403" s="102"/>
      <c r="F403" s="102"/>
      <c r="G403" s="103"/>
      <c r="H403" s="103"/>
      <c r="L403" s="103"/>
      <c r="M403" s="113"/>
      <c r="N403" s="107"/>
      <c r="O403" s="106" t="str">
        <f>IF(ISBLANK(M403), "", VLOOKUP(D403, 'Info Tipo de Cambio y REM'!$A$24:$B$35, 2, FALSE))</f>
        <v/>
      </c>
      <c r="P403" s="107" t="str">
        <f t="shared" si="2"/>
        <v/>
      </c>
    </row>
    <row r="404">
      <c r="A404" s="102"/>
      <c r="B404" s="43" t="str">
        <f t="shared" si="7"/>
        <v/>
      </c>
      <c r="C404" s="102"/>
      <c r="D404" s="51"/>
      <c r="E404" s="102"/>
      <c r="F404" s="102"/>
      <c r="G404" s="103"/>
      <c r="H404" s="103"/>
      <c r="L404" s="103"/>
      <c r="M404" s="113"/>
      <c r="N404" s="107"/>
      <c r="O404" s="106" t="str">
        <f>IF(ISBLANK(M404), "", VLOOKUP(D404, 'Info Tipo de Cambio y REM'!$A$24:$B$35, 2, FALSE))</f>
        <v/>
      </c>
      <c r="P404" s="107" t="str">
        <f t="shared" si="2"/>
        <v/>
      </c>
    </row>
    <row r="405">
      <c r="A405" s="102"/>
      <c r="B405" s="43" t="str">
        <f t="shared" si="7"/>
        <v/>
      </c>
      <c r="C405" s="102"/>
      <c r="D405" s="51"/>
      <c r="E405" s="102"/>
      <c r="F405" s="102"/>
      <c r="G405" s="103"/>
      <c r="H405" s="103"/>
      <c r="L405" s="103"/>
      <c r="M405" s="113"/>
      <c r="N405" s="107"/>
      <c r="O405" s="106" t="str">
        <f>IF(ISBLANK(M405), "", VLOOKUP(D405, 'Info Tipo de Cambio y REM'!$A$24:$B$35, 2, FALSE))</f>
        <v/>
      </c>
      <c r="P405" s="107" t="str">
        <f t="shared" si="2"/>
        <v/>
      </c>
    </row>
    <row r="406">
      <c r="A406" s="102"/>
      <c r="B406" s="43" t="str">
        <f t="shared" si="7"/>
        <v/>
      </c>
      <c r="C406" s="102"/>
      <c r="D406" s="51"/>
      <c r="E406" s="102"/>
      <c r="F406" s="102"/>
      <c r="G406" s="103"/>
      <c r="H406" s="103"/>
      <c r="L406" s="103"/>
      <c r="M406" s="113"/>
      <c r="N406" s="107"/>
      <c r="O406" s="106" t="str">
        <f>IF(ISBLANK(M406), "", VLOOKUP(D406, 'Info Tipo de Cambio y REM'!$A$24:$B$35, 2, FALSE))</f>
        <v/>
      </c>
      <c r="P406" s="107" t="str">
        <f t="shared" si="2"/>
        <v/>
      </c>
    </row>
    <row r="407">
      <c r="A407" s="102"/>
      <c r="B407" s="43" t="str">
        <f t="shared" si="7"/>
        <v/>
      </c>
      <c r="C407" s="102"/>
      <c r="D407" s="51"/>
      <c r="E407" s="102"/>
      <c r="F407" s="102"/>
      <c r="G407" s="103"/>
      <c r="H407" s="103"/>
      <c r="L407" s="103"/>
      <c r="M407" s="113"/>
      <c r="N407" s="107"/>
      <c r="O407" s="106" t="str">
        <f>IF(ISBLANK(M407), "", VLOOKUP(D407, 'Info Tipo de Cambio y REM'!$A$24:$B$35, 2, FALSE))</f>
        <v/>
      </c>
      <c r="P407" s="107" t="str">
        <f t="shared" si="2"/>
        <v/>
      </c>
    </row>
    <row r="408">
      <c r="A408" s="102"/>
      <c r="B408" s="43" t="str">
        <f t="shared" si="7"/>
        <v/>
      </c>
      <c r="C408" s="102"/>
      <c r="D408" s="51"/>
      <c r="E408" s="102"/>
      <c r="F408" s="102"/>
      <c r="G408" s="103"/>
      <c r="H408" s="103"/>
      <c r="L408" s="103"/>
      <c r="M408" s="113"/>
      <c r="N408" s="107"/>
      <c r="O408" s="106" t="str">
        <f>IF(ISBLANK(M408), "", VLOOKUP(D408, 'Info Tipo de Cambio y REM'!$A$24:$B$35, 2, FALSE))</f>
        <v/>
      </c>
      <c r="P408" s="107" t="str">
        <f t="shared" si="2"/>
        <v/>
      </c>
    </row>
    <row r="409">
      <c r="A409" s="102"/>
      <c r="B409" s="43" t="str">
        <f t="shared" si="7"/>
        <v/>
      </c>
      <c r="C409" s="102"/>
      <c r="D409" s="51"/>
      <c r="E409" s="102"/>
      <c r="F409" s="102"/>
      <c r="G409" s="103"/>
      <c r="H409" s="103"/>
      <c r="L409" s="103"/>
      <c r="M409" s="113"/>
      <c r="N409" s="107"/>
      <c r="O409" s="106" t="str">
        <f>IF(ISBLANK(M409), "", VLOOKUP(D409, 'Info Tipo de Cambio y REM'!$A$24:$B$35, 2, FALSE))</f>
        <v/>
      </c>
      <c r="P409" s="107" t="str">
        <f t="shared" si="2"/>
        <v/>
      </c>
    </row>
    <row r="410">
      <c r="A410" s="102"/>
      <c r="B410" s="43" t="str">
        <f t="shared" si="7"/>
        <v/>
      </c>
      <c r="C410" s="102"/>
      <c r="D410" s="51"/>
      <c r="E410" s="102"/>
      <c r="F410" s="102"/>
      <c r="G410" s="103"/>
      <c r="H410" s="103"/>
      <c r="L410" s="103"/>
      <c r="M410" s="113"/>
      <c r="N410" s="107"/>
      <c r="O410" s="106" t="str">
        <f>IF(ISBLANK(M410), "", VLOOKUP(D410, 'Info Tipo de Cambio y REM'!$A$24:$B$35, 2, FALSE))</f>
        <v/>
      </c>
      <c r="P410" s="107" t="str">
        <f t="shared" si="2"/>
        <v/>
      </c>
    </row>
    <row r="411">
      <c r="A411" s="102"/>
      <c r="B411" s="43" t="str">
        <f t="shared" si="7"/>
        <v/>
      </c>
      <c r="C411" s="102"/>
      <c r="D411" s="51"/>
      <c r="E411" s="102"/>
      <c r="F411" s="102"/>
      <c r="G411" s="103"/>
      <c r="H411" s="103"/>
      <c r="L411" s="103"/>
      <c r="M411" s="113"/>
      <c r="N411" s="107"/>
      <c r="O411" s="106" t="str">
        <f>IF(ISBLANK(M411), "", VLOOKUP(D411, 'Info Tipo de Cambio y REM'!$A$24:$B$35, 2, FALSE))</f>
        <v/>
      </c>
      <c r="P411" s="107" t="str">
        <f t="shared" si="2"/>
        <v/>
      </c>
    </row>
    <row r="412">
      <c r="A412" s="102"/>
      <c r="B412" s="43" t="str">
        <f t="shared" si="7"/>
        <v/>
      </c>
      <c r="C412" s="102"/>
      <c r="D412" s="51"/>
      <c r="E412" s="102"/>
      <c r="F412" s="102"/>
      <c r="G412" s="103"/>
      <c r="H412" s="103"/>
      <c r="L412" s="103"/>
      <c r="M412" s="113"/>
      <c r="N412" s="107"/>
      <c r="O412" s="106" t="str">
        <f>IF(ISBLANK(M412), "", VLOOKUP(D412, 'Info Tipo de Cambio y REM'!$A$24:$B$35, 2, FALSE))</f>
        <v/>
      </c>
      <c r="P412" s="107" t="str">
        <f t="shared" si="2"/>
        <v/>
      </c>
    </row>
    <row r="413">
      <c r="A413" s="102"/>
      <c r="B413" s="43" t="str">
        <f t="shared" si="7"/>
        <v/>
      </c>
      <c r="C413" s="102"/>
      <c r="D413" s="51"/>
      <c r="E413" s="102"/>
      <c r="F413" s="102"/>
      <c r="G413" s="103"/>
      <c r="H413" s="103"/>
      <c r="L413" s="103"/>
      <c r="M413" s="113"/>
      <c r="N413" s="107"/>
      <c r="O413" s="106" t="str">
        <f>IF(ISBLANK(M413), "", VLOOKUP(D413, 'Info Tipo de Cambio y REM'!$A$24:$B$35, 2, FALSE))</f>
        <v/>
      </c>
      <c r="P413" s="107" t="str">
        <f t="shared" si="2"/>
        <v/>
      </c>
    </row>
    <row r="414">
      <c r="A414" s="102"/>
      <c r="B414" s="43" t="str">
        <f t="shared" si="7"/>
        <v/>
      </c>
      <c r="C414" s="102"/>
      <c r="D414" s="51"/>
      <c r="E414" s="102"/>
      <c r="F414" s="102"/>
      <c r="G414" s="103"/>
      <c r="H414" s="103"/>
      <c r="L414" s="103"/>
      <c r="M414" s="113"/>
      <c r="N414" s="107"/>
      <c r="O414" s="106" t="str">
        <f>IF(ISBLANK(M414), "", VLOOKUP(D414, 'Info Tipo de Cambio y REM'!$A$24:$B$35, 2, FALSE))</f>
        <v/>
      </c>
      <c r="P414" s="107" t="str">
        <f t="shared" si="2"/>
        <v/>
      </c>
    </row>
    <row r="415">
      <c r="A415" s="102"/>
      <c r="B415" s="43" t="str">
        <f t="shared" si="7"/>
        <v/>
      </c>
      <c r="C415" s="102"/>
      <c r="D415" s="51"/>
      <c r="E415" s="102"/>
      <c r="F415" s="102"/>
      <c r="G415" s="103"/>
      <c r="H415" s="103"/>
      <c r="L415" s="103"/>
      <c r="M415" s="113"/>
      <c r="N415" s="107"/>
      <c r="O415" s="106" t="str">
        <f>IF(ISBLANK(M415), "", VLOOKUP(D415, 'Info Tipo de Cambio y REM'!$A$24:$B$35, 2, FALSE))</f>
        <v/>
      </c>
      <c r="P415" s="107" t="str">
        <f t="shared" si="2"/>
        <v/>
      </c>
    </row>
    <row r="416">
      <c r="A416" s="102"/>
      <c r="B416" s="43" t="str">
        <f t="shared" si="7"/>
        <v/>
      </c>
      <c r="C416" s="102"/>
      <c r="D416" s="51"/>
      <c r="E416" s="102"/>
      <c r="F416" s="102"/>
      <c r="G416" s="103"/>
      <c r="H416" s="103"/>
      <c r="L416" s="103"/>
      <c r="M416" s="113"/>
      <c r="N416" s="107"/>
      <c r="O416" s="106" t="str">
        <f>IF(ISBLANK(M416), "", VLOOKUP(D416, 'Info Tipo de Cambio y REM'!$A$24:$B$35, 2, FALSE))</f>
        <v/>
      </c>
      <c r="P416" s="107" t="str">
        <f t="shared" si="2"/>
        <v/>
      </c>
    </row>
    <row r="417">
      <c r="A417" s="102"/>
      <c r="B417" s="43" t="str">
        <f t="shared" si="7"/>
        <v/>
      </c>
      <c r="C417" s="102"/>
      <c r="D417" s="51"/>
      <c r="E417" s="102"/>
      <c r="F417" s="102"/>
      <c r="G417" s="103"/>
      <c r="H417" s="103"/>
      <c r="L417" s="103"/>
      <c r="M417" s="113"/>
      <c r="N417" s="107"/>
      <c r="O417" s="106" t="str">
        <f>IF(ISBLANK(M417), "", VLOOKUP(D417, 'Info Tipo de Cambio y REM'!$A$24:$B$35, 2, FALSE))</f>
        <v/>
      </c>
      <c r="P417" s="107" t="str">
        <f t="shared" si="2"/>
        <v/>
      </c>
    </row>
    <row r="418">
      <c r="A418" s="102"/>
      <c r="B418" s="43" t="str">
        <f t="shared" si="7"/>
        <v/>
      </c>
      <c r="C418" s="102"/>
      <c r="D418" s="51"/>
      <c r="E418" s="102"/>
      <c r="F418" s="102"/>
      <c r="G418" s="103"/>
      <c r="H418" s="103"/>
      <c r="L418" s="103"/>
      <c r="M418" s="113"/>
      <c r="N418" s="107"/>
      <c r="O418" s="106" t="str">
        <f>IF(ISBLANK(M418), "", VLOOKUP(D418, 'Info Tipo de Cambio y REM'!$A$24:$B$35, 2, FALSE))</f>
        <v/>
      </c>
      <c r="P418" s="107" t="str">
        <f t="shared" si="2"/>
        <v/>
      </c>
    </row>
    <row r="419">
      <c r="A419" s="102"/>
      <c r="B419" s="43" t="str">
        <f t="shared" si="7"/>
        <v/>
      </c>
      <c r="C419" s="102"/>
      <c r="D419" s="51"/>
      <c r="E419" s="102"/>
      <c r="F419" s="102"/>
      <c r="G419" s="103"/>
      <c r="H419" s="103"/>
      <c r="L419" s="103"/>
      <c r="M419" s="113"/>
      <c r="N419" s="107"/>
      <c r="O419" s="106" t="str">
        <f>IF(ISBLANK(M419), "", VLOOKUP(D419, 'Info Tipo de Cambio y REM'!$A$24:$B$35, 2, FALSE))</f>
        <v/>
      </c>
      <c r="P419" s="107" t="str">
        <f t="shared" si="2"/>
        <v/>
      </c>
    </row>
    <row r="420">
      <c r="A420" s="102"/>
      <c r="B420" s="43" t="str">
        <f t="shared" si="7"/>
        <v/>
      </c>
      <c r="C420" s="102"/>
      <c r="D420" s="51"/>
      <c r="E420" s="102"/>
      <c r="F420" s="102"/>
      <c r="G420" s="103"/>
      <c r="H420" s="103"/>
      <c r="L420" s="103"/>
      <c r="M420" s="113"/>
      <c r="N420" s="107"/>
      <c r="O420" s="106" t="str">
        <f>IF(ISBLANK(M420), "", VLOOKUP(D420, 'Info Tipo de Cambio y REM'!$A$24:$B$35, 2, FALSE))</f>
        <v/>
      </c>
      <c r="P420" s="107" t="str">
        <f t="shared" si="2"/>
        <v/>
      </c>
    </row>
    <row r="421">
      <c r="A421" s="102"/>
      <c r="B421" s="43" t="str">
        <f t="shared" si="7"/>
        <v/>
      </c>
      <c r="C421" s="102"/>
      <c r="D421" s="51"/>
      <c r="E421" s="102"/>
      <c r="F421" s="102"/>
      <c r="G421" s="103"/>
      <c r="H421" s="103"/>
      <c r="L421" s="103"/>
      <c r="M421" s="113"/>
      <c r="N421" s="107"/>
      <c r="O421" s="106" t="str">
        <f>IF(ISBLANK(M421), "", VLOOKUP(D421, 'Info Tipo de Cambio y REM'!$A$24:$B$35, 2, FALSE))</f>
        <v/>
      </c>
      <c r="P421" s="107" t="str">
        <f t="shared" si="2"/>
        <v/>
      </c>
    </row>
    <row r="422">
      <c r="A422" s="102"/>
      <c r="B422" s="43" t="str">
        <f t="shared" si="7"/>
        <v/>
      </c>
      <c r="C422" s="102"/>
      <c r="D422" s="51"/>
      <c r="E422" s="102"/>
      <c r="F422" s="102"/>
      <c r="G422" s="103"/>
      <c r="H422" s="103"/>
      <c r="L422" s="103"/>
      <c r="M422" s="113"/>
      <c r="N422" s="107"/>
      <c r="O422" s="106" t="str">
        <f>IF(ISBLANK(M422), "", VLOOKUP(D422, 'Info Tipo de Cambio y REM'!$A$24:$B$35, 2, FALSE))</f>
        <v/>
      </c>
      <c r="P422" s="107" t="str">
        <f t="shared" si="2"/>
        <v/>
      </c>
    </row>
    <row r="423">
      <c r="A423" s="102"/>
      <c r="B423" s="43" t="str">
        <f t="shared" si="7"/>
        <v/>
      </c>
      <c r="C423" s="102"/>
      <c r="D423" s="51"/>
      <c r="E423" s="102"/>
      <c r="F423" s="102"/>
      <c r="G423" s="103"/>
      <c r="H423" s="103"/>
      <c r="L423" s="103"/>
      <c r="M423" s="113"/>
      <c r="N423" s="107"/>
      <c r="O423" s="106" t="str">
        <f>IF(ISBLANK(M423), "", VLOOKUP(D423, 'Info Tipo de Cambio y REM'!$A$24:$B$35, 2, FALSE))</f>
        <v/>
      </c>
      <c r="P423" s="107" t="str">
        <f t="shared" si="2"/>
        <v/>
      </c>
    </row>
    <row r="424">
      <c r="A424" s="102"/>
      <c r="B424" s="43" t="str">
        <f t="shared" si="7"/>
        <v/>
      </c>
      <c r="C424" s="102"/>
      <c r="D424" s="51"/>
      <c r="E424" s="102"/>
      <c r="F424" s="102"/>
      <c r="G424" s="103"/>
      <c r="H424" s="103"/>
      <c r="L424" s="103"/>
      <c r="M424" s="113"/>
      <c r="N424" s="107"/>
      <c r="O424" s="106" t="str">
        <f>IF(ISBLANK(M424), "", VLOOKUP(D424, 'Info Tipo de Cambio y REM'!$A$24:$B$35, 2, FALSE))</f>
        <v/>
      </c>
      <c r="P424" s="107" t="str">
        <f t="shared" si="2"/>
        <v/>
      </c>
    </row>
    <row r="425">
      <c r="A425" s="102"/>
      <c r="B425" s="43" t="str">
        <f t="shared" si="7"/>
        <v/>
      </c>
      <c r="C425" s="102"/>
      <c r="D425" s="51"/>
      <c r="E425" s="102"/>
      <c r="F425" s="102"/>
      <c r="G425" s="103"/>
      <c r="H425" s="103"/>
      <c r="L425" s="103"/>
      <c r="M425" s="113"/>
      <c r="N425" s="107"/>
      <c r="O425" s="106" t="str">
        <f>IF(ISBLANK(M425), "", VLOOKUP(D425, 'Info Tipo de Cambio y REM'!$A$24:$B$35, 2, FALSE))</f>
        <v/>
      </c>
      <c r="P425" s="107" t="str">
        <f t="shared" si="2"/>
        <v/>
      </c>
    </row>
    <row r="426">
      <c r="A426" s="102"/>
      <c r="B426" s="43" t="str">
        <f t="shared" si="7"/>
        <v/>
      </c>
      <c r="C426" s="102"/>
      <c r="D426" s="51"/>
      <c r="E426" s="102"/>
      <c r="F426" s="102"/>
      <c r="G426" s="103"/>
      <c r="H426" s="103"/>
      <c r="L426" s="103"/>
      <c r="M426" s="113"/>
      <c r="N426" s="107"/>
      <c r="O426" s="106" t="str">
        <f>IF(ISBLANK(M426), "", VLOOKUP(D426, 'Info Tipo de Cambio y REM'!$A$24:$B$35, 2, FALSE))</f>
        <v/>
      </c>
      <c r="P426" s="107" t="str">
        <f t="shared" si="2"/>
        <v/>
      </c>
    </row>
    <row r="427">
      <c r="A427" s="102"/>
      <c r="B427" s="43" t="str">
        <f t="shared" si="7"/>
        <v/>
      </c>
      <c r="C427" s="102"/>
      <c r="D427" s="51"/>
      <c r="E427" s="102"/>
      <c r="F427" s="102"/>
      <c r="G427" s="103"/>
      <c r="H427" s="103"/>
      <c r="L427" s="103"/>
      <c r="M427" s="113"/>
      <c r="N427" s="107"/>
      <c r="O427" s="106" t="str">
        <f>IF(ISBLANK(M427), "", VLOOKUP(D427, 'Info Tipo de Cambio y REM'!$A$24:$B$35, 2, FALSE))</f>
        <v/>
      </c>
      <c r="P427" s="107" t="str">
        <f t="shared" si="2"/>
        <v/>
      </c>
    </row>
    <row r="428">
      <c r="A428" s="102"/>
      <c r="B428" s="43" t="str">
        <f t="shared" si="7"/>
        <v/>
      </c>
      <c r="C428" s="102"/>
      <c r="D428" s="51"/>
      <c r="E428" s="102"/>
      <c r="F428" s="102"/>
      <c r="G428" s="103"/>
      <c r="H428" s="103"/>
      <c r="L428" s="103"/>
      <c r="M428" s="113"/>
      <c r="N428" s="107"/>
      <c r="O428" s="106" t="str">
        <f>IF(ISBLANK(M428), "", VLOOKUP(D428, 'Info Tipo de Cambio y REM'!$A$24:$B$35, 2, FALSE))</f>
        <v/>
      </c>
      <c r="P428" s="107" t="str">
        <f t="shared" si="2"/>
        <v/>
      </c>
    </row>
    <row r="429">
      <c r="A429" s="102"/>
      <c r="B429" s="43" t="str">
        <f t="shared" si="7"/>
        <v/>
      </c>
      <c r="C429" s="102"/>
      <c r="D429" s="51"/>
      <c r="E429" s="102"/>
      <c r="F429" s="102"/>
      <c r="G429" s="103"/>
      <c r="H429" s="103"/>
      <c r="L429" s="103"/>
      <c r="M429" s="113"/>
      <c r="N429" s="107"/>
      <c r="O429" s="106" t="str">
        <f>IF(ISBLANK(M429), "", VLOOKUP(D429, 'Info Tipo de Cambio y REM'!$A$24:$B$35, 2, FALSE))</f>
        <v/>
      </c>
      <c r="P429" s="107" t="str">
        <f t="shared" si="2"/>
        <v/>
      </c>
    </row>
    <row r="430">
      <c r="A430" s="102"/>
      <c r="B430" s="43" t="str">
        <f t="shared" si="7"/>
        <v/>
      </c>
      <c r="C430" s="102"/>
      <c r="D430" s="51"/>
      <c r="E430" s="102"/>
      <c r="F430" s="102"/>
      <c r="G430" s="103"/>
      <c r="H430" s="103"/>
      <c r="L430" s="103"/>
      <c r="M430" s="113"/>
      <c r="N430" s="107"/>
      <c r="O430" s="106" t="str">
        <f>IF(ISBLANK(M430), "", VLOOKUP(D430, 'Info Tipo de Cambio y REM'!$A$24:$B$35, 2, FALSE))</f>
        <v/>
      </c>
      <c r="P430" s="107" t="str">
        <f t="shared" si="2"/>
        <v/>
      </c>
    </row>
    <row r="431">
      <c r="A431" s="102"/>
      <c r="B431" s="43" t="str">
        <f t="shared" si="7"/>
        <v/>
      </c>
      <c r="C431" s="102"/>
      <c r="D431" s="51"/>
      <c r="E431" s="102"/>
      <c r="F431" s="102"/>
      <c r="G431" s="103"/>
      <c r="H431" s="103"/>
      <c r="L431" s="103"/>
      <c r="M431" s="113"/>
      <c r="N431" s="107"/>
      <c r="O431" s="106" t="str">
        <f>IF(ISBLANK(M431), "", VLOOKUP(D431, 'Info Tipo de Cambio y REM'!$A$24:$B$35, 2, FALSE))</f>
        <v/>
      </c>
      <c r="P431" s="107" t="str">
        <f t="shared" si="2"/>
        <v/>
      </c>
    </row>
    <row r="432">
      <c r="A432" s="102"/>
      <c r="B432" s="43" t="str">
        <f t="shared" si="7"/>
        <v/>
      </c>
      <c r="C432" s="102"/>
      <c r="D432" s="51"/>
      <c r="E432" s="102"/>
      <c r="F432" s="102"/>
      <c r="G432" s="103"/>
      <c r="H432" s="103"/>
      <c r="L432" s="103"/>
      <c r="M432" s="113"/>
      <c r="N432" s="107"/>
      <c r="O432" s="106" t="str">
        <f>IF(ISBLANK(M432), "", VLOOKUP(D432, 'Info Tipo de Cambio y REM'!$A$24:$B$35, 2, FALSE))</f>
        <v/>
      </c>
      <c r="P432" s="107" t="str">
        <f t="shared" si="2"/>
        <v/>
      </c>
    </row>
    <row r="433">
      <c r="A433" s="102"/>
      <c r="B433" s="43" t="str">
        <f t="shared" si="7"/>
        <v/>
      </c>
      <c r="C433" s="102"/>
      <c r="D433" s="51"/>
      <c r="E433" s="102"/>
      <c r="F433" s="102"/>
      <c r="G433" s="103"/>
      <c r="H433" s="103"/>
      <c r="L433" s="103"/>
      <c r="M433" s="113"/>
      <c r="N433" s="107"/>
      <c r="O433" s="106" t="str">
        <f>IF(ISBLANK(M433), "", VLOOKUP(D433, 'Info Tipo de Cambio y REM'!$A$24:$B$35, 2, FALSE))</f>
        <v/>
      </c>
      <c r="P433" s="107" t="str">
        <f t="shared" si="2"/>
        <v/>
      </c>
    </row>
    <row r="434">
      <c r="A434" s="102"/>
      <c r="B434" s="43" t="str">
        <f t="shared" si="7"/>
        <v/>
      </c>
      <c r="C434" s="102"/>
      <c r="D434" s="51"/>
      <c r="E434" s="102"/>
      <c r="F434" s="102"/>
      <c r="G434" s="103"/>
      <c r="H434" s="103"/>
      <c r="L434" s="103"/>
      <c r="M434" s="113"/>
      <c r="N434" s="107"/>
      <c r="O434" s="106" t="str">
        <f>IF(ISBLANK(M434), "", VLOOKUP(D434, 'Info Tipo de Cambio y REM'!$A$24:$B$35, 2, FALSE))</f>
        <v/>
      </c>
      <c r="P434" s="107" t="str">
        <f t="shared" si="2"/>
        <v/>
      </c>
    </row>
    <row r="435">
      <c r="A435" s="102"/>
      <c r="B435" s="43" t="str">
        <f t="shared" si="7"/>
        <v/>
      </c>
      <c r="C435" s="102"/>
      <c r="D435" s="51"/>
      <c r="E435" s="102"/>
      <c r="F435" s="102"/>
      <c r="G435" s="103"/>
      <c r="H435" s="103"/>
      <c r="L435" s="103"/>
      <c r="M435" s="113"/>
      <c r="N435" s="107"/>
      <c r="O435" s="106" t="str">
        <f>IF(ISBLANK(M435), "", VLOOKUP(D435, 'Info Tipo de Cambio y REM'!$A$24:$B$35, 2, FALSE))</f>
        <v/>
      </c>
      <c r="P435" s="107" t="str">
        <f t="shared" si="2"/>
        <v/>
      </c>
    </row>
    <row r="436">
      <c r="A436" s="102"/>
      <c r="B436" s="43" t="str">
        <f t="shared" si="7"/>
        <v/>
      </c>
      <c r="C436" s="102"/>
      <c r="D436" s="51"/>
      <c r="E436" s="102"/>
      <c r="F436" s="102"/>
      <c r="G436" s="103"/>
      <c r="H436" s="103"/>
      <c r="L436" s="103"/>
      <c r="M436" s="113"/>
      <c r="N436" s="107"/>
      <c r="O436" s="106" t="str">
        <f>IF(ISBLANK(M436), "", VLOOKUP(D436, 'Info Tipo de Cambio y REM'!$A$24:$B$35, 2, FALSE))</f>
        <v/>
      </c>
      <c r="P436" s="107" t="str">
        <f t="shared" si="2"/>
        <v/>
      </c>
    </row>
    <row r="437">
      <c r="A437" s="102"/>
      <c r="B437" s="43" t="str">
        <f t="shared" si="7"/>
        <v/>
      </c>
      <c r="C437" s="102"/>
      <c r="D437" s="51"/>
      <c r="E437" s="102"/>
      <c r="F437" s="102"/>
      <c r="G437" s="103"/>
      <c r="H437" s="103"/>
      <c r="L437" s="103"/>
      <c r="M437" s="113"/>
      <c r="N437" s="107"/>
      <c r="O437" s="106" t="str">
        <f>IF(ISBLANK(M437), "", VLOOKUP(D437, 'Info Tipo de Cambio y REM'!$A$24:$B$35, 2, FALSE))</f>
        <v/>
      </c>
      <c r="P437" s="107" t="str">
        <f t="shared" si="2"/>
        <v/>
      </c>
    </row>
    <row r="438">
      <c r="A438" s="102"/>
      <c r="B438" s="43" t="str">
        <f t="shared" si="7"/>
        <v/>
      </c>
      <c r="C438" s="102"/>
      <c r="D438" s="51"/>
      <c r="E438" s="102"/>
      <c r="F438" s="102"/>
      <c r="G438" s="103"/>
      <c r="H438" s="103"/>
      <c r="L438" s="103"/>
      <c r="M438" s="113"/>
      <c r="N438" s="107"/>
      <c r="O438" s="106" t="str">
        <f>IF(ISBLANK(M438), "", VLOOKUP(D438, 'Info Tipo de Cambio y REM'!$A$24:$B$35, 2, FALSE))</f>
        <v/>
      </c>
      <c r="P438" s="107" t="str">
        <f t="shared" si="2"/>
        <v/>
      </c>
    </row>
    <row r="439">
      <c r="A439" s="102"/>
      <c r="B439" s="43" t="str">
        <f t="shared" si="7"/>
        <v/>
      </c>
      <c r="C439" s="102"/>
      <c r="D439" s="51"/>
      <c r="E439" s="102"/>
      <c r="F439" s="102"/>
      <c r="G439" s="103"/>
      <c r="H439" s="103"/>
      <c r="L439" s="103"/>
      <c r="M439" s="113"/>
      <c r="N439" s="107"/>
      <c r="O439" s="106" t="str">
        <f>IF(ISBLANK(M439), "", VLOOKUP(D439, 'Info Tipo de Cambio y REM'!$A$24:$B$35, 2, FALSE))</f>
        <v/>
      </c>
      <c r="P439" s="107" t="str">
        <f t="shared" si="2"/>
        <v/>
      </c>
    </row>
    <row r="440">
      <c r="A440" s="102"/>
      <c r="B440" s="43" t="str">
        <f t="shared" si="7"/>
        <v/>
      </c>
      <c r="C440" s="102"/>
      <c r="D440" s="51"/>
      <c r="E440" s="102"/>
      <c r="F440" s="102"/>
      <c r="G440" s="103"/>
      <c r="H440" s="103"/>
      <c r="L440" s="103"/>
      <c r="M440" s="113"/>
      <c r="N440" s="107"/>
      <c r="O440" s="106" t="str">
        <f>IF(ISBLANK(M440), "", VLOOKUP(D440, 'Info Tipo de Cambio y REM'!$A$24:$B$35, 2, FALSE))</f>
        <v/>
      </c>
      <c r="P440" s="107" t="str">
        <f t="shared" si="2"/>
        <v/>
      </c>
    </row>
    <row r="441">
      <c r="A441" s="102"/>
      <c r="B441" s="43" t="str">
        <f t="shared" si="7"/>
        <v/>
      </c>
      <c r="C441" s="102"/>
      <c r="D441" s="51"/>
      <c r="E441" s="102"/>
      <c r="F441" s="102"/>
      <c r="G441" s="103"/>
      <c r="H441" s="103"/>
      <c r="L441" s="103"/>
      <c r="M441" s="113"/>
      <c r="N441" s="107"/>
      <c r="O441" s="106" t="str">
        <f>IF(ISBLANK(M441), "", VLOOKUP(D441, 'Info Tipo de Cambio y REM'!$A$24:$B$35, 2, FALSE))</f>
        <v/>
      </c>
      <c r="P441" s="107" t="str">
        <f t="shared" si="2"/>
        <v/>
      </c>
    </row>
    <row r="442">
      <c r="A442" s="102"/>
      <c r="B442" s="43" t="str">
        <f t="shared" si="7"/>
        <v/>
      </c>
      <c r="C442" s="102"/>
      <c r="D442" s="51"/>
      <c r="E442" s="102"/>
      <c r="F442" s="102"/>
      <c r="G442" s="103"/>
      <c r="H442" s="103"/>
      <c r="L442" s="103"/>
      <c r="M442" s="113"/>
      <c r="N442" s="107"/>
      <c r="O442" s="106" t="str">
        <f>IF(ISBLANK(M442), "", VLOOKUP(D442, 'Info Tipo de Cambio y REM'!$A$24:$B$35, 2, FALSE))</f>
        <v/>
      </c>
      <c r="P442" s="107" t="str">
        <f t="shared" si="2"/>
        <v/>
      </c>
    </row>
    <row r="443">
      <c r="A443" s="102"/>
      <c r="B443" s="43" t="str">
        <f t="shared" si="7"/>
        <v/>
      </c>
      <c r="C443" s="102"/>
      <c r="D443" s="51"/>
      <c r="E443" s="102"/>
      <c r="F443" s="102"/>
      <c r="G443" s="103"/>
      <c r="H443" s="103"/>
      <c r="L443" s="103"/>
      <c r="M443" s="113"/>
      <c r="N443" s="107"/>
      <c r="O443" s="106" t="str">
        <f>IF(ISBLANK(M443), "", VLOOKUP(D443, 'Info Tipo de Cambio y REM'!$A$24:$B$35, 2, FALSE))</f>
        <v/>
      </c>
      <c r="P443" s="107" t="str">
        <f t="shared" si="2"/>
        <v/>
      </c>
    </row>
    <row r="444">
      <c r="A444" s="102"/>
      <c r="B444" s="43" t="str">
        <f t="shared" si="7"/>
        <v/>
      </c>
      <c r="C444" s="102"/>
      <c r="D444" s="51"/>
      <c r="E444" s="102"/>
      <c r="F444" s="102"/>
      <c r="G444" s="103"/>
      <c r="H444" s="103"/>
      <c r="L444" s="103"/>
      <c r="M444" s="113"/>
      <c r="N444" s="107"/>
      <c r="O444" s="106" t="str">
        <f>IF(ISBLANK(M444), "", VLOOKUP(D444, 'Info Tipo de Cambio y REM'!$A$24:$B$35, 2, FALSE))</f>
        <v/>
      </c>
      <c r="P444" s="107" t="str">
        <f t="shared" si="2"/>
        <v/>
      </c>
    </row>
    <row r="445">
      <c r="A445" s="102"/>
      <c r="B445" s="43" t="str">
        <f t="shared" si="7"/>
        <v/>
      </c>
      <c r="C445" s="102"/>
      <c r="D445" s="51"/>
      <c r="E445" s="102"/>
      <c r="F445" s="102"/>
      <c r="G445" s="103"/>
      <c r="H445" s="103"/>
      <c r="L445" s="103"/>
      <c r="M445" s="113"/>
      <c r="N445" s="107"/>
      <c r="O445" s="106" t="str">
        <f>IF(ISBLANK(M445), "", VLOOKUP(D445, 'Info Tipo de Cambio y REM'!$A$24:$B$35, 2, FALSE))</f>
        <v/>
      </c>
      <c r="P445" s="107" t="str">
        <f t="shared" si="2"/>
        <v/>
      </c>
    </row>
    <row r="446">
      <c r="A446" s="102"/>
      <c r="B446" s="43" t="str">
        <f t="shared" si="7"/>
        <v/>
      </c>
      <c r="C446" s="102"/>
      <c r="D446" s="51"/>
      <c r="E446" s="102"/>
      <c r="F446" s="102"/>
      <c r="G446" s="103"/>
      <c r="H446" s="103"/>
      <c r="L446" s="103"/>
      <c r="M446" s="113"/>
      <c r="N446" s="107"/>
      <c r="O446" s="106" t="str">
        <f>IF(ISBLANK(M446), "", VLOOKUP(D446, 'Info Tipo de Cambio y REM'!$A$24:$B$35, 2, FALSE))</f>
        <v/>
      </c>
      <c r="P446" s="107" t="str">
        <f t="shared" si="2"/>
        <v/>
      </c>
    </row>
    <row r="447">
      <c r="A447" s="102"/>
      <c r="B447" s="43" t="str">
        <f t="shared" si="7"/>
        <v/>
      </c>
      <c r="C447" s="102"/>
      <c r="D447" s="51"/>
      <c r="E447" s="102"/>
      <c r="F447" s="102"/>
      <c r="G447" s="103"/>
      <c r="H447" s="103"/>
      <c r="L447" s="103"/>
      <c r="M447" s="113"/>
      <c r="N447" s="107"/>
      <c r="O447" s="106" t="str">
        <f>IF(ISBLANK(M447), "", VLOOKUP(D447, 'Info Tipo de Cambio y REM'!$A$24:$B$35, 2, FALSE))</f>
        <v/>
      </c>
      <c r="P447" s="107" t="str">
        <f t="shared" si="2"/>
        <v/>
      </c>
    </row>
    <row r="448">
      <c r="A448" s="102"/>
      <c r="B448" s="43" t="str">
        <f t="shared" si="7"/>
        <v/>
      </c>
      <c r="C448" s="102"/>
      <c r="D448" s="51"/>
      <c r="E448" s="102"/>
      <c r="F448" s="102"/>
      <c r="G448" s="103"/>
      <c r="H448" s="103"/>
      <c r="L448" s="103"/>
      <c r="M448" s="113"/>
      <c r="N448" s="107"/>
      <c r="O448" s="106" t="str">
        <f>IF(ISBLANK(M448), "", VLOOKUP(D448, 'Info Tipo de Cambio y REM'!$A$24:$B$35, 2, FALSE))</f>
        <v/>
      </c>
      <c r="P448" s="107" t="str">
        <f t="shared" si="2"/>
        <v/>
      </c>
    </row>
    <row r="449">
      <c r="A449" s="102"/>
      <c r="B449" s="43" t="str">
        <f t="shared" si="7"/>
        <v/>
      </c>
      <c r="C449" s="102"/>
      <c r="D449" s="51"/>
      <c r="E449" s="102"/>
      <c r="F449" s="102"/>
      <c r="G449" s="103"/>
      <c r="H449" s="103"/>
      <c r="L449" s="103"/>
      <c r="M449" s="113"/>
      <c r="N449" s="107"/>
      <c r="O449" s="106" t="str">
        <f>IF(ISBLANK(M449), "", VLOOKUP(D449, 'Info Tipo de Cambio y REM'!$A$24:$B$35, 2, FALSE))</f>
        <v/>
      </c>
      <c r="P449" s="107" t="str">
        <f t="shared" si="2"/>
        <v/>
      </c>
    </row>
    <row r="450">
      <c r="A450" s="102"/>
      <c r="B450" s="43" t="str">
        <f t="shared" si="7"/>
        <v/>
      </c>
      <c r="C450" s="102"/>
      <c r="D450" s="51"/>
      <c r="E450" s="102"/>
      <c r="F450" s="102"/>
      <c r="G450" s="103"/>
      <c r="H450" s="103"/>
      <c r="L450" s="103"/>
      <c r="M450" s="113"/>
      <c r="N450" s="107"/>
      <c r="O450" s="106" t="str">
        <f>IF(ISBLANK(M450), "", VLOOKUP(D450, 'Info Tipo de Cambio y REM'!$A$24:$B$35, 2, FALSE))</f>
        <v/>
      </c>
      <c r="P450" s="107" t="str">
        <f t="shared" si="2"/>
        <v/>
      </c>
    </row>
    <row r="451">
      <c r="A451" s="102"/>
      <c r="B451" s="43" t="str">
        <f t="shared" si="7"/>
        <v/>
      </c>
      <c r="C451" s="102"/>
      <c r="D451" s="51"/>
      <c r="E451" s="102"/>
      <c r="F451" s="102"/>
      <c r="G451" s="103"/>
      <c r="H451" s="103"/>
      <c r="L451" s="103"/>
      <c r="M451" s="113"/>
      <c r="N451" s="107"/>
      <c r="O451" s="106" t="str">
        <f>IF(ISBLANK(M451), "", VLOOKUP(D451, 'Info Tipo de Cambio y REM'!$A$24:$B$35, 2, FALSE))</f>
        <v/>
      </c>
      <c r="P451" s="107" t="str">
        <f t="shared" si="2"/>
        <v/>
      </c>
    </row>
    <row r="452">
      <c r="A452" s="102"/>
      <c r="B452" s="43" t="str">
        <f t="shared" si="7"/>
        <v/>
      </c>
      <c r="C452" s="102"/>
      <c r="D452" s="51"/>
      <c r="E452" s="102"/>
      <c r="F452" s="102"/>
      <c r="G452" s="103"/>
      <c r="H452" s="103"/>
      <c r="L452" s="103"/>
      <c r="M452" s="113"/>
      <c r="N452" s="107"/>
      <c r="O452" s="106" t="str">
        <f>IF(ISBLANK(M452), "", VLOOKUP(D452, 'Info Tipo de Cambio y REM'!$A$24:$B$35, 2, FALSE))</f>
        <v/>
      </c>
      <c r="P452" s="107" t="str">
        <f t="shared" si="2"/>
        <v/>
      </c>
    </row>
    <row r="453">
      <c r="A453" s="102"/>
      <c r="B453" s="43" t="str">
        <f t="shared" si="7"/>
        <v/>
      </c>
      <c r="C453" s="102"/>
      <c r="D453" s="51"/>
      <c r="E453" s="102"/>
      <c r="F453" s="102"/>
      <c r="G453" s="103"/>
      <c r="H453" s="103"/>
      <c r="L453" s="103"/>
      <c r="M453" s="113"/>
      <c r="N453" s="107"/>
      <c r="O453" s="106" t="str">
        <f>IF(ISBLANK(M453), "", VLOOKUP(D453, 'Info Tipo de Cambio y REM'!$A$24:$B$35, 2, FALSE))</f>
        <v/>
      </c>
      <c r="P453" s="107" t="str">
        <f t="shared" si="2"/>
        <v/>
      </c>
    </row>
    <row r="454">
      <c r="A454" s="102"/>
      <c r="B454" s="43" t="str">
        <f t="shared" si="7"/>
        <v/>
      </c>
      <c r="C454" s="102"/>
      <c r="D454" s="51"/>
      <c r="E454" s="102"/>
      <c r="F454" s="102"/>
      <c r="G454" s="103"/>
      <c r="H454" s="103"/>
      <c r="L454" s="103"/>
      <c r="M454" s="113"/>
      <c r="N454" s="107"/>
      <c r="O454" s="106" t="str">
        <f>IF(ISBLANK(M454), "", VLOOKUP(D454, 'Info Tipo de Cambio y REM'!$A$24:$B$35, 2, FALSE))</f>
        <v/>
      </c>
      <c r="P454" s="107" t="str">
        <f t="shared" si="2"/>
        <v/>
      </c>
    </row>
    <row r="455">
      <c r="A455" s="102"/>
      <c r="B455" s="43" t="str">
        <f t="shared" si="7"/>
        <v/>
      </c>
      <c r="C455" s="102"/>
      <c r="D455" s="51"/>
      <c r="E455" s="102"/>
      <c r="F455" s="102"/>
      <c r="G455" s="103"/>
      <c r="H455" s="103"/>
      <c r="L455" s="103"/>
      <c r="M455" s="113"/>
      <c r="N455" s="107"/>
      <c r="O455" s="106" t="str">
        <f>IF(ISBLANK(M455), "", VLOOKUP(D455, 'Info Tipo de Cambio y REM'!$A$24:$B$35, 2, FALSE))</f>
        <v/>
      </c>
      <c r="P455" s="107" t="str">
        <f t="shared" si="2"/>
        <v/>
      </c>
    </row>
    <row r="456">
      <c r="A456" s="102"/>
      <c r="B456" s="43" t="str">
        <f t="shared" si="7"/>
        <v/>
      </c>
      <c r="C456" s="102"/>
      <c r="D456" s="51"/>
      <c r="E456" s="102"/>
      <c r="F456" s="102"/>
      <c r="G456" s="103"/>
      <c r="H456" s="103"/>
      <c r="L456" s="103"/>
      <c r="M456" s="113"/>
      <c r="N456" s="107"/>
      <c r="O456" s="106" t="str">
        <f>IF(ISBLANK(M456), "", VLOOKUP(D456, 'Info Tipo de Cambio y REM'!$A$24:$B$35, 2, FALSE))</f>
        <v/>
      </c>
      <c r="P456" s="107" t="str">
        <f t="shared" si="2"/>
        <v/>
      </c>
    </row>
    <row r="457">
      <c r="A457" s="102"/>
      <c r="B457" s="43" t="str">
        <f t="shared" si="7"/>
        <v/>
      </c>
      <c r="C457" s="102"/>
      <c r="D457" s="51"/>
      <c r="E457" s="102"/>
      <c r="F457" s="102"/>
      <c r="G457" s="103"/>
      <c r="H457" s="103"/>
      <c r="L457" s="103"/>
      <c r="M457" s="113"/>
      <c r="N457" s="107"/>
      <c r="O457" s="106" t="str">
        <f>IF(ISBLANK(M457), "", VLOOKUP(D457, 'Info Tipo de Cambio y REM'!$A$24:$B$35, 2, FALSE))</f>
        <v/>
      </c>
      <c r="P457" s="107" t="str">
        <f t="shared" si="2"/>
        <v/>
      </c>
    </row>
    <row r="458">
      <c r="A458" s="102"/>
      <c r="B458" s="43" t="str">
        <f t="shared" si="7"/>
        <v/>
      </c>
      <c r="C458" s="102"/>
      <c r="D458" s="51"/>
      <c r="E458" s="102"/>
      <c r="F458" s="102"/>
      <c r="G458" s="103"/>
      <c r="H458" s="103"/>
      <c r="L458" s="103"/>
      <c r="M458" s="113"/>
      <c r="N458" s="107"/>
      <c r="O458" s="106" t="str">
        <f>IF(ISBLANK(M458), "", VLOOKUP(D458, 'Info Tipo de Cambio y REM'!$A$24:$B$35, 2, FALSE))</f>
        <v/>
      </c>
      <c r="P458" s="107" t="str">
        <f t="shared" si="2"/>
        <v/>
      </c>
    </row>
    <row r="459">
      <c r="A459" s="102"/>
      <c r="B459" s="43" t="str">
        <f t="shared" si="7"/>
        <v/>
      </c>
      <c r="C459" s="102"/>
      <c r="D459" s="51"/>
      <c r="E459" s="102"/>
      <c r="F459" s="102"/>
      <c r="G459" s="103"/>
      <c r="H459" s="103"/>
      <c r="L459" s="103"/>
      <c r="M459" s="113"/>
      <c r="N459" s="107"/>
      <c r="O459" s="106" t="str">
        <f>IF(ISBLANK(M459), "", VLOOKUP(D459, 'Info Tipo de Cambio y REM'!$A$24:$B$35, 2, FALSE))</f>
        <v/>
      </c>
      <c r="P459" s="107" t="str">
        <f t="shared" si="2"/>
        <v/>
      </c>
    </row>
    <row r="460">
      <c r="A460" s="102"/>
      <c r="B460" s="43" t="str">
        <f t="shared" si="7"/>
        <v/>
      </c>
      <c r="C460" s="102"/>
      <c r="D460" s="51"/>
      <c r="E460" s="102"/>
      <c r="F460" s="102"/>
      <c r="G460" s="103"/>
      <c r="H460" s="103"/>
      <c r="L460" s="103"/>
      <c r="M460" s="113"/>
      <c r="N460" s="107"/>
      <c r="O460" s="106" t="str">
        <f>IF(ISBLANK(M460), "", VLOOKUP(D460, 'Info Tipo de Cambio y REM'!$A$24:$B$35, 2, FALSE))</f>
        <v/>
      </c>
      <c r="P460" s="107" t="str">
        <f t="shared" si="2"/>
        <v/>
      </c>
    </row>
    <row r="461">
      <c r="A461" s="102"/>
      <c r="B461" s="43" t="str">
        <f t="shared" si="7"/>
        <v/>
      </c>
      <c r="C461" s="102"/>
      <c r="D461" s="51"/>
      <c r="E461" s="102"/>
      <c r="F461" s="102"/>
      <c r="G461" s="103"/>
      <c r="H461" s="103"/>
      <c r="L461" s="103"/>
      <c r="M461" s="113"/>
      <c r="N461" s="107"/>
      <c r="O461" s="106" t="str">
        <f>IF(ISBLANK(M461), "", VLOOKUP(D461, 'Info Tipo de Cambio y REM'!$A$24:$B$35, 2, FALSE))</f>
        <v/>
      </c>
      <c r="P461" s="107" t="str">
        <f t="shared" si="2"/>
        <v/>
      </c>
    </row>
    <row r="462">
      <c r="A462" s="102"/>
      <c r="B462" s="43" t="str">
        <f t="shared" si="7"/>
        <v/>
      </c>
      <c r="C462" s="102"/>
      <c r="D462" s="51"/>
      <c r="E462" s="102"/>
      <c r="F462" s="102"/>
      <c r="G462" s="103"/>
      <c r="H462" s="103"/>
      <c r="L462" s="103"/>
      <c r="M462" s="113"/>
      <c r="N462" s="107"/>
      <c r="O462" s="106" t="str">
        <f>IF(ISBLANK(M462), "", VLOOKUP(D462, 'Info Tipo de Cambio y REM'!$A$24:$B$35, 2, FALSE))</f>
        <v/>
      </c>
      <c r="P462" s="107" t="str">
        <f t="shared" si="2"/>
        <v/>
      </c>
    </row>
    <row r="463">
      <c r="A463" s="102"/>
      <c r="B463" s="43" t="str">
        <f t="shared" si="7"/>
        <v/>
      </c>
      <c r="C463" s="102"/>
      <c r="D463" s="51"/>
      <c r="E463" s="102"/>
      <c r="F463" s="102"/>
      <c r="G463" s="103"/>
      <c r="H463" s="103"/>
      <c r="L463" s="103"/>
      <c r="M463" s="113"/>
      <c r="N463" s="107"/>
      <c r="O463" s="106" t="str">
        <f>IF(ISBLANK(M463), "", VLOOKUP(D463, 'Info Tipo de Cambio y REM'!$A$24:$B$35, 2, FALSE))</f>
        <v/>
      </c>
      <c r="P463" s="107" t="str">
        <f t="shared" si="2"/>
        <v/>
      </c>
    </row>
    <row r="464">
      <c r="A464" s="102"/>
      <c r="B464" s="43" t="str">
        <f t="shared" si="7"/>
        <v/>
      </c>
      <c r="C464" s="102"/>
      <c r="D464" s="51"/>
      <c r="E464" s="102"/>
      <c r="F464" s="102"/>
      <c r="G464" s="103"/>
      <c r="H464" s="103"/>
      <c r="L464" s="103"/>
      <c r="M464" s="113"/>
      <c r="N464" s="107"/>
      <c r="O464" s="106" t="str">
        <f>IF(ISBLANK(M464), "", VLOOKUP(D464, 'Info Tipo de Cambio y REM'!$A$24:$B$35, 2, FALSE))</f>
        <v/>
      </c>
      <c r="P464" s="107" t="str">
        <f t="shared" si="2"/>
        <v/>
      </c>
    </row>
    <row r="465">
      <c r="A465" s="102"/>
      <c r="B465" s="43" t="str">
        <f t="shared" si="7"/>
        <v/>
      </c>
      <c r="C465" s="102"/>
      <c r="D465" s="51"/>
      <c r="E465" s="102"/>
      <c r="F465" s="102"/>
      <c r="G465" s="103"/>
      <c r="H465" s="103"/>
      <c r="L465" s="103"/>
      <c r="M465" s="113"/>
      <c r="N465" s="107"/>
      <c r="O465" s="106" t="str">
        <f>IF(ISBLANK(M465), "", VLOOKUP(D465, 'Info Tipo de Cambio y REM'!$A$24:$B$35, 2, FALSE))</f>
        <v/>
      </c>
      <c r="P465" s="107" t="str">
        <f t="shared" si="2"/>
        <v/>
      </c>
    </row>
    <row r="466">
      <c r="A466" s="102"/>
      <c r="B466" s="43" t="str">
        <f t="shared" si="7"/>
        <v/>
      </c>
      <c r="C466" s="102"/>
      <c r="D466" s="51"/>
      <c r="E466" s="102"/>
      <c r="F466" s="102"/>
      <c r="G466" s="103"/>
      <c r="H466" s="103"/>
      <c r="L466" s="103"/>
      <c r="M466" s="113"/>
      <c r="N466" s="107"/>
      <c r="O466" s="106" t="str">
        <f>IF(ISBLANK(M466), "", VLOOKUP(D466, 'Info Tipo de Cambio y REM'!$A$24:$B$35, 2, FALSE))</f>
        <v/>
      </c>
      <c r="P466" s="107" t="str">
        <f t="shared" si="2"/>
        <v/>
      </c>
    </row>
    <row r="467">
      <c r="A467" s="102"/>
      <c r="B467" s="43" t="str">
        <f t="shared" si="7"/>
        <v/>
      </c>
      <c r="C467" s="102"/>
      <c r="D467" s="51"/>
      <c r="E467" s="102"/>
      <c r="F467" s="102"/>
      <c r="G467" s="103"/>
      <c r="H467" s="103"/>
      <c r="L467" s="103"/>
      <c r="M467" s="113"/>
      <c r="N467" s="107"/>
      <c r="O467" s="106" t="str">
        <f>IF(ISBLANK(M467), "", VLOOKUP(D467, 'Info Tipo de Cambio y REM'!$A$24:$B$35, 2, FALSE))</f>
        <v/>
      </c>
      <c r="P467" s="107" t="str">
        <f t="shared" si="2"/>
        <v/>
      </c>
    </row>
    <row r="468">
      <c r="A468" s="102"/>
      <c r="B468" s="43" t="str">
        <f t="shared" si="7"/>
        <v/>
      </c>
      <c r="C468" s="102"/>
      <c r="D468" s="51"/>
      <c r="E468" s="102"/>
      <c r="F468" s="102"/>
      <c r="G468" s="103"/>
      <c r="H468" s="103"/>
      <c r="L468" s="103"/>
      <c r="M468" s="113"/>
      <c r="N468" s="107"/>
      <c r="O468" s="106" t="str">
        <f>IF(ISBLANK(M468), "", VLOOKUP(D468, 'Info Tipo de Cambio y REM'!$A$24:$B$35, 2, FALSE))</f>
        <v/>
      </c>
      <c r="P468" s="107" t="str">
        <f t="shared" si="2"/>
        <v/>
      </c>
    </row>
    <row r="469">
      <c r="A469" s="102"/>
      <c r="B469" s="43" t="str">
        <f t="shared" si="7"/>
        <v/>
      </c>
      <c r="C469" s="102"/>
      <c r="D469" s="51"/>
      <c r="E469" s="102"/>
      <c r="F469" s="102"/>
      <c r="G469" s="103"/>
      <c r="H469" s="103"/>
      <c r="L469" s="103"/>
      <c r="M469" s="113"/>
      <c r="N469" s="107"/>
      <c r="O469" s="106" t="str">
        <f>IF(ISBLANK(M469), "", VLOOKUP(D469, 'Info Tipo de Cambio y REM'!$A$24:$B$35, 2, FALSE))</f>
        <v/>
      </c>
      <c r="P469" s="107" t="str">
        <f t="shared" si="2"/>
        <v/>
      </c>
    </row>
    <row r="470">
      <c r="A470" s="102"/>
      <c r="B470" s="43" t="str">
        <f t="shared" si="7"/>
        <v/>
      </c>
      <c r="C470" s="102"/>
      <c r="D470" s="51"/>
      <c r="E470" s="102"/>
      <c r="F470" s="102"/>
      <c r="G470" s="103"/>
      <c r="H470" s="103"/>
      <c r="L470" s="103"/>
      <c r="M470" s="113"/>
      <c r="N470" s="107"/>
      <c r="O470" s="106" t="str">
        <f>IF(ISBLANK(M470), "", VLOOKUP(D470, 'Info Tipo de Cambio y REM'!$A$24:$B$35, 2, FALSE))</f>
        <v/>
      </c>
      <c r="P470" s="107" t="str">
        <f t="shared" si="2"/>
        <v/>
      </c>
    </row>
    <row r="471">
      <c r="A471" s="102"/>
      <c r="B471" s="43" t="str">
        <f t="shared" si="7"/>
        <v/>
      </c>
      <c r="C471" s="102"/>
      <c r="D471" s="51"/>
      <c r="E471" s="102"/>
      <c r="F471" s="102"/>
      <c r="G471" s="103"/>
      <c r="H471" s="103"/>
      <c r="L471" s="103"/>
      <c r="M471" s="113"/>
      <c r="N471" s="107"/>
      <c r="O471" s="106" t="str">
        <f>IF(ISBLANK(M471), "", VLOOKUP(D471, 'Info Tipo de Cambio y REM'!$A$24:$B$35, 2, FALSE))</f>
        <v/>
      </c>
      <c r="P471" s="107" t="str">
        <f t="shared" si="2"/>
        <v/>
      </c>
    </row>
    <row r="472">
      <c r="A472" s="102"/>
      <c r="B472" s="43" t="str">
        <f t="shared" si="7"/>
        <v/>
      </c>
      <c r="C472" s="102"/>
      <c r="D472" s="51"/>
      <c r="E472" s="102"/>
      <c r="F472" s="102"/>
      <c r="G472" s="103"/>
      <c r="H472" s="103"/>
      <c r="L472" s="103"/>
      <c r="M472" s="113"/>
      <c r="N472" s="107"/>
      <c r="O472" s="106" t="str">
        <f>IF(ISBLANK(M472), "", VLOOKUP(D472, 'Info Tipo de Cambio y REM'!$A$24:$B$35, 2, FALSE))</f>
        <v/>
      </c>
      <c r="P472" s="107" t="str">
        <f t="shared" si="2"/>
        <v/>
      </c>
    </row>
    <row r="473">
      <c r="A473" s="102"/>
      <c r="B473" s="43" t="str">
        <f t="shared" si="7"/>
        <v/>
      </c>
      <c r="C473" s="102"/>
      <c r="D473" s="51"/>
      <c r="E473" s="102"/>
      <c r="F473" s="102"/>
      <c r="G473" s="103"/>
      <c r="H473" s="103"/>
      <c r="L473" s="103"/>
      <c r="M473" s="113"/>
      <c r="N473" s="107"/>
      <c r="O473" s="106" t="str">
        <f>IF(ISBLANK(M473), "", VLOOKUP(D473, 'Info Tipo de Cambio y REM'!$A$24:$B$35, 2, FALSE))</f>
        <v/>
      </c>
      <c r="P473" s="107" t="str">
        <f t="shared" si="2"/>
        <v/>
      </c>
    </row>
    <row r="474">
      <c r="A474" s="102"/>
      <c r="B474" s="43" t="str">
        <f t="shared" si="7"/>
        <v/>
      </c>
      <c r="C474" s="102"/>
      <c r="D474" s="51"/>
      <c r="E474" s="102"/>
      <c r="F474" s="102"/>
      <c r="G474" s="103"/>
      <c r="H474" s="103"/>
      <c r="L474" s="103"/>
      <c r="M474" s="113"/>
      <c r="N474" s="107"/>
      <c r="O474" s="106" t="str">
        <f>IF(ISBLANK(M474), "", VLOOKUP(D474, 'Info Tipo de Cambio y REM'!$A$24:$B$35, 2, FALSE))</f>
        <v/>
      </c>
      <c r="P474" s="107" t="str">
        <f t="shared" si="2"/>
        <v/>
      </c>
    </row>
    <row r="475">
      <c r="A475" s="102"/>
      <c r="B475" s="43" t="str">
        <f t="shared" si="7"/>
        <v/>
      </c>
      <c r="C475" s="102"/>
      <c r="D475" s="51"/>
      <c r="E475" s="102"/>
      <c r="F475" s="102"/>
      <c r="G475" s="103"/>
      <c r="H475" s="103"/>
      <c r="L475" s="103"/>
      <c r="M475" s="113"/>
      <c r="N475" s="107"/>
      <c r="O475" s="106" t="str">
        <f>IF(ISBLANK(M475), "", VLOOKUP(D475, 'Info Tipo de Cambio y REM'!$A$24:$B$35, 2, FALSE))</f>
        <v/>
      </c>
      <c r="P475" s="107" t="str">
        <f t="shared" si="2"/>
        <v/>
      </c>
    </row>
    <row r="476">
      <c r="A476" s="102"/>
      <c r="B476" s="43" t="str">
        <f t="shared" si="7"/>
        <v/>
      </c>
      <c r="C476" s="102"/>
      <c r="D476" s="51"/>
      <c r="E476" s="102"/>
      <c r="F476" s="102"/>
      <c r="G476" s="103"/>
      <c r="H476" s="103"/>
      <c r="L476" s="103"/>
      <c r="M476" s="113"/>
      <c r="N476" s="107"/>
      <c r="O476" s="106" t="str">
        <f>IF(ISBLANK(M476), "", VLOOKUP(D476, 'Info Tipo de Cambio y REM'!$A$24:$B$35, 2, FALSE))</f>
        <v/>
      </c>
      <c r="P476" s="107" t="str">
        <f t="shared" si="2"/>
        <v/>
      </c>
    </row>
    <row r="477">
      <c r="A477" s="102"/>
      <c r="B477" s="43" t="str">
        <f t="shared" si="7"/>
        <v/>
      </c>
      <c r="C477" s="102"/>
      <c r="D477" s="51"/>
      <c r="E477" s="102"/>
      <c r="F477" s="102"/>
      <c r="G477" s="103"/>
      <c r="H477" s="103"/>
      <c r="L477" s="103"/>
      <c r="M477" s="113"/>
      <c r="N477" s="107"/>
      <c r="O477" s="106" t="str">
        <f>IF(ISBLANK(M477), "", VLOOKUP(D477, 'Info Tipo de Cambio y REM'!$A$24:$B$35, 2, FALSE))</f>
        <v/>
      </c>
      <c r="P477" s="107" t="str">
        <f t="shared" si="2"/>
        <v/>
      </c>
    </row>
    <row r="478">
      <c r="A478" s="102"/>
      <c r="B478" s="43" t="str">
        <f t="shared" si="7"/>
        <v/>
      </c>
      <c r="C478" s="102"/>
      <c r="D478" s="51"/>
      <c r="E478" s="102"/>
      <c r="F478" s="102"/>
      <c r="G478" s="103"/>
      <c r="H478" s="103"/>
      <c r="L478" s="103"/>
      <c r="M478" s="113"/>
      <c r="N478" s="107"/>
      <c r="O478" s="106" t="str">
        <f>IF(ISBLANK(M478), "", VLOOKUP(D478, 'Info Tipo de Cambio y REM'!$A$24:$B$35, 2, FALSE))</f>
        <v/>
      </c>
      <c r="P478" s="107" t="str">
        <f t="shared" si="2"/>
        <v/>
      </c>
    </row>
    <row r="479">
      <c r="A479" s="102"/>
      <c r="B479" s="43" t="str">
        <f t="shared" si="7"/>
        <v/>
      </c>
      <c r="C479" s="102"/>
      <c r="D479" s="51"/>
      <c r="E479" s="102"/>
      <c r="F479" s="102"/>
      <c r="G479" s="103"/>
      <c r="H479" s="103"/>
      <c r="L479" s="103"/>
      <c r="M479" s="113"/>
      <c r="N479" s="107"/>
      <c r="O479" s="106" t="str">
        <f>IF(ISBLANK(M479), "", VLOOKUP(D479, 'Info Tipo de Cambio y REM'!$A$24:$B$35, 2, FALSE))</f>
        <v/>
      </c>
      <c r="P479" s="107" t="str">
        <f t="shared" si="2"/>
        <v/>
      </c>
    </row>
    <row r="480">
      <c r="A480" s="102"/>
      <c r="B480" s="43" t="str">
        <f t="shared" si="7"/>
        <v/>
      </c>
      <c r="C480" s="102"/>
      <c r="D480" s="51"/>
      <c r="E480" s="102"/>
      <c r="F480" s="102"/>
      <c r="G480" s="103"/>
      <c r="H480" s="103"/>
      <c r="L480" s="103"/>
      <c r="M480" s="113"/>
      <c r="N480" s="107"/>
      <c r="O480" s="106" t="str">
        <f>IF(ISBLANK(M480), "", VLOOKUP(D480, 'Info Tipo de Cambio y REM'!$A$24:$B$35, 2, FALSE))</f>
        <v/>
      </c>
      <c r="P480" s="107" t="str">
        <f t="shared" si="2"/>
        <v/>
      </c>
    </row>
    <row r="481">
      <c r="A481" s="102"/>
      <c r="B481" s="43" t="str">
        <f t="shared" si="7"/>
        <v/>
      </c>
      <c r="C481" s="102"/>
      <c r="D481" s="51"/>
      <c r="E481" s="102"/>
      <c r="F481" s="102"/>
      <c r="G481" s="103"/>
      <c r="H481" s="103"/>
      <c r="L481" s="103"/>
      <c r="M481" s="113"/>
      <c r="N481" s="107"/>
      <c r="O481" s="106" t="str">
        <f>IF(ISBLANK(M481), "", VLOOKUP(D481, 'Info Tipo de Cambio y REM'!$A$24:$B$35, 2, FALSE))</f>
        <v/>
      </c>
      <c r="P481" s="107" t="str">
        <f t="shared" si="2"/>
        <v/>
      </c>
    </row>
    <row r="482">
      <c r="A482" s="102"/>
      <c r="B482" s="43" t="str">
        <f t="shared" si="7"/>
        <v/>
      </c>
      <c r="C482" s="102"/>
      <c r="D482" s="51"/>
      <c r="E482" s="102"/>
      <c r="F482" s="102"/>
      <c r="G482" s="103"/>
      <c r="H482" s="103"/>
      <c r="L482" s="103"/>
      <c r="M482" s="113"/>
      <c r="N482" s="107"/>
      <c r="O482" s="106" t="str">
        <f>IF(ISBLANK(M482), "", VLOOKUP(D482, 'Info Tipo de Cambio y REM'!$A$24:$B$35, 2, FALSE))</f>
        <v/>
      </c>
      <c r="P482" s="107" t="str">
        <f t="shared" si="2"/>
        <v/>
      </c>
    </row>
    <row r="483">
      <c r="A483" s="102"/>
      <c r="B483" s="43" t="str">
        <f t="shared" si="7"/>
        <v/>
      </c>
      <c r="C483" s="102"/>
      <c r="D483" s="51"/>
      <c r="E483" s="102"/>
      <c r="F483" s="102"/>
      <c r="G483" s="103"/>
      <c r="H483" s="103"/>
      <c r="L483" s="103"/>
      <c r="M483" s="113"/>
      <c r="N483" s="107"/>
      <c r="O483" s="106" t="str">
        <f>IF(ISBLANK(M483), "", VLOOKUP(D483, 'Info Tipo de Cambio y REM'!$A$24:$B$35, 2, FALSE))</f>
        <v/>
      </c>
      <c r="P483" s="107" t="str">
        <f t="shared" si="2"/>
        <v/>
      </c>
    </row>
    <row r="484">
      <c r="A484" s="102"/>
      <c r="B484" s="43" t="str">
        <f t="shared" si="7"/>
        <v/>
      </c>
      <c r="C484" s="102"/>
      <c r="D484" s="51"/>
      <c r="E484" s="102"/>
      <c r="F484" s="102"/>
      <c r="G484" s="103"/>
      <c r="H484" s="103"/>
      <c r="L484" s="103"/>
      <c r="M484" s="113"/>
      <c r="N484" s="107"/>
      <c r="O484" s="106" t="str">
        <f>IF(ISBLANK(M484), "", VLOOKUP(D484, 'Info Tipo de Cambio y REM'!$A$24:$B$35, 2, FALSE))</f>
        <v/>
      </c>
      <c r="P484" s="107" t="str">
        <f t="shared" si="2"/>
        <v/>
      </c>
    </row>
    <row r="485">
      <c r="A485" s="102"/>
      <c r="B485" s="43" t="str">
        <f t="shared" si="7"/>
        <v/>
      </c>
      <c r="C485" s="102"/>
      <c r="D485" s="51"/>
      <c r="E485" s="102"/>
      <c r="F485" s="102"/>
      <c r="G485" s="103"/>
      <c r="H485" s="103"/>
      <c r="L485" s="103"/>
      <c r="M485" s="113"/>
      <c r="N485" s="107"/>
      <c r="O485" s="106" t="str">
        <f>IF(ISBLANK(M485), "", VLOOKUP(D485, 'Info Tipo de Cambio y REM'!$A$24:$B$35, 2, FALSE))</f>
        <v/>
      </c>
      <c r="P485" s="107" t="str">
        <f t="shared" si="2"/>
        <v/>
      </c>
    </row>
    <row r="486">
      <c r="A486" s="102"/>
      <c r="B486" s="43" t="str">
        <f t="shared" si="7"/>
        <v/>
      </c>
      <c r="C486" s="102"/>
      <c r="D486" s="51"/>
      <c r="E486" s="102"/>
      <c r="F486" s="102"/>
      <c r="G486" s="103"/>
      <c r="H486" s="103"/>
      <c r="L486" s="103"/>
      <c r="M486" s="113"/>
      <c r="N486" s="107"/>
      <c r="O486" s="106" t="str">
        <f>IF(ISBLANK(M486), "", VLOOKUP(D486, 'Info Tipo de Cambio y REM'!$A$24:$B$35, 2, FALSE))</f>
        <v/>
      </c>
      <c r="P486" s="107" t="str">
        <f t="shared" si="2"/>
        <v/>
      </c>
    </row>
    <row r="487">
      <c r="A487" s="102"/>
      <c r="B487" s="43" t="str">
        <f t="shared" si="7"/>
        <v/>
      </c>
      <c r="C487" s="102"/>
      <c r="D487" s="51"/>
      <c r="E487" s="102"/>
      <c r="F487" s="102"/>
      <c r="G487" s="103"/>
      <c r="H487" s="103"/>
      <c r="L487" s="103"/>
      <c r="M487" s="113"/>
      <c r="N487" s="107"/>
      <c r="O487" s="106" t="str">
        <f>IF(ISBLANK(M487), "", VLOOKUP(D487, 'Info Tipo de Cambio y REM'!$A$24:$B$35, 2, FALSE))</f>
        <v/>
      </c>
      <c r="P487" s="107" t="str">
        <f t="shared" si="2"/>
        <v/>
      </c>
    </row>
    <row r="488">
      <c r="A488" s="102"/>
      <c r="B488" s="43" t="str">
        <f t="shared" si="7"/>
        <v/>
      </c>
      <c r="C488" s="102"/>
      <c r="D488" s="51"/>
      <c r="E488" s="102"/>
      <c r="F488" s="102"/>
      <c r="G488" s="103"/>
      <c r="H488" s="103"/>
      <c r="L488" s="103"/>
      <c r="M488" s="113"/>
      <c r="N488" s="107"/>
      <c r="O488" s="106" t="str">
        <f>IF(ISBLANK(M488), "", VLOOKUP(D488, 'Info Tipo de Cambio y REM'!$A$24:$B$35, 2, FALSE))</f>
        <v/>
      </c>
      <c r="P488" s="107" t="str">
        <f t="shared" si="2"/>
        <v/>
      </c>
    </row>
    <row r="489">
      <c r="A489" s="102"/>
      <c r="B489" s="43" t="str">
        <f t="shared" si="7"/>
        <v/>
      </c>
      <c r="C489" s="102"/>
      <c r="D489" s="51"/>
      <c r="E489" s="102"/>
      <c r="F489" s="102"/>
      <c r="G489" s="103"/>
      <c r="H489" s="103"/>
      <c r="L489" s="103"/>
      <c r="M489" s="113"/>
      <c r="N489" s="107"/>
      <c r="O489" s="106" t="str">
        <f>IF(ISBLANK(M489), "", VLOOKUP(D489, 'Info Tipo de Cambio y REM'!$A$24:$B$35, 2, FALSE))</f>
        <v/>
      </c>
      <c r="P489" s="107" t="str">
        <f t="shared" si="2"/>
        <v/>
      </c>
    </row>
    <row r="490">
      <c r="A490" s="102"/>
      <c r="B490" s="43" t="str">
        <f t="shared" si="7"/>
        <v/>
      </c>
      <c r="C490" s="102"/>
      <c r="D490" s="51"/>
      <c r="E490" s="102"/>
      <c r="F490" s="102"/>
      <c r="G490" s="103"/>
      <c r="H490" s="103"/>
      <c r="L490" s="103"/>
      <c r="M490" s="113"/>
      <c r="N490" s="107"/>
      <c r="O490" s="106" t="str">
        <f>IF(ISBLANK(M490), "", VLOOKUP(D490, 'Info Tipo de Cambio y REM'!$A$24:$B$35, 2, FALSE))</f>
        <v/>
      </c>
      <c r="P490" s="107" t="str">
        <f t="shared" si="2"/>
        <v/>
      </c>
    </row>
    <row r="491">
      <c r="A491" s="102"/>
      <c r="B491" s="102"/>
      <c r="C491" s="102"/>
      <c r="D491" s="51"/>
      <c r="E491" s="102"/>
      <c r="F491" s="102"/>
      <c r="G491" s="103"/>
      <c r="H491" s="103"/>
      <c r="L491" s="103"/>
      <c r="M491" s="113"/>
      <c r="N491" s="107"/>
      <c r="O491" s="106" t="str">
        <f>IF(ISBLANK(M491), "", VLOOKUP(D491, 'Info Tipo de Cambio y REM'!$A$24:$B$35, 2, FALSE))</f>
        <v/>
      </c>
      <c r="P491" s="107" t="str">
        <f t="shared" si="2"/>
        <v/>
      </c>
    </row>
    <row r="492">
      <c r="A492" s="102"/>
      <c r="B492" s="102"/>
      <c r="C492" s="102"/>
      <c r="D492" s="51"/>
      <c r="E492" s="102"/>
      <c r="F492" s="102"/>
      <c r="G492" s="103"/>
      <c r="H492" s="103"/>
      <c r="L492" s="103"/>
      <c r="M492" s="113"/>
      <c r="N492" s="107"/>
      <c r="O492" s="106" t="str">
        <f>IF(ISBLANK(M492), "", VLOOKUP(D492, 'Info Tipo de Cambio y REM'!$A$24:$B$35, 2, FALSE))</f>
        <v/>
      </c>
      <c r="P492" s="107" t="str">
        <f t="shared" si="2"/>
        <v/>
      </c>
    </row>
    <row r="493">
      <c r="A493" s="102"/>
      <c r="B493" s="102"/>
      <c r="C493" s="102"/>
      <c r="D493" s="51"/>
      <c r="E493" s="102"/>
      <c r="F493" s="102"/>
      <c r="G493" s="103"/>
      <c r="H493" s="103"/>
      <c r="L493" s="103"/>
      <c r="M493" s="113"/>
      <c r="N493" s="107"/>
      <c r="O493" s="106" t="str">
        <f>IF(ISBLANK(M493), "", VLOOKUP(D493, 'Info Tipo de Cambio y REM'!$A$24:$B$35, 2, FALSE))</f>
        <v/>
      </c>
      <c r="P493" s="107" t="str">
        <f t="shared" si="2"/>
        <v/>
      </c>
    </row>
    <row r="494">
      <c r="A494" s="102"/>
      <c r="B494" s="102"/>
      <c r="C494" s="102"/>
      <c r="D494" s="51"/>
      <c r="E494" s="102"/>
      <c r="F494" s="102"/>
      <c r="G494" s="103"/>
      <c r="H494" s="103"/>
      <c r="L494" s="103"/>
      <c r="M494" s="113"/>
      <c r="N494" s="107"/>
      <c r="O494" s="106" t="str">
        <f>IF(ISBLANK(M494), "", VLOOKUP(D494, 'Info Tipo de Cambio y REM'!$A$24:$B$35, 2, FALSE))</f>
        <v/>
      </c>
      <c r="P494" s="107" t="str">
        <f t="shared" si="2"/>
        <v/>
      </c>
    </row>
    <row r="495">
      <c r="A495" s="102"/>
      <c r="B495" s="102"/>
      <c r="C495" s="102"/>
      <c r="D495" s="51"/>
      <c r="E495" s="102"/>
      <c r="F495" s="102"/>
      <c r="G495" s="103"/>
      <c r="H495" s="103"/>
      <c r="L495" s="103"/>
      <c r="M495" s="113"/>
      <c r="N495" s="107"/>
      <c r="O495" s="106" t="str">
        <f>IF(ISBLANK(M495), "", VLOOKUP(D495, 'Info Tipo de Cambio y REM'!$A$24:$B$35, 2, FALSE))</f>
        <v/>
      </c>
      <c r="P495" s="107" t="str">
        <f t="shared" si="2"/>
        <v/>
      </c>
    </row>
    <row r="496">
      <c r="A496" s="102"/>
      <c r="B496" s="102"/>
      <c r="C496" s="102"/>
      <c r="D496" s="51"/>
      <c r="E496" s="102"/>
      <c r="F496" s="102"/>
      <c r="G496" s="103"/>
      <c r="H496" s="103"/>
      <c r="L496" s="103"/>
      <c r="M496" s="113"/>
      <c r="N496" s="107"/>
      <c r="O496" s="106" t="str">
        <f>IF(ISBLANK(M496), "", VLOOKUP(D496, 'Info Tipo de Cambio y REM'!$A$24:$B$35, 2, FALSE))</f>
        <v/>
      </c>
      <c r="P496" s="107" t="str">
        <f t="shared" si="2"/>
        <v/>
      </c>
    </row>
    <row r="497">
      <c r="A497" s="102"/>
      <c r="B497" s="102"/>
      <c r="C497" s="102"/>
      <c r="D497" s="51"/>
      <c r="E497" s="102"/>
      <c r="F497" s="102"/>
      <c r="G497" s="103"/>
      <c r="H497" s="103"/>
      <c r="L497" s="103"/>
      <c r="M497" s="113"/>
      <c r="N497" s="107"/>
      <c r="O497" s="106" t="str">
        <f>IF(ISBLANK(M497), "", VLOOKUP(D497, 'Info Tipo de Cambio y REM'!$A$24:$B$35, 2, FALSE))</f>
        <v/>
      </c>
      <c r="P497" s="107" t="str">
        <f t="shared" si="2"/>
        <v/>
      </c>
    </row>
    <row r="498">
      <c r="A498" s="102"/>
      <c r="B498" s="102"/>
      <c r="C498" s="102"/>
      <c r="D498" s="51"/>
      <c r="E498" s="102"/>
      <c r="F498" s="102"/>
      <c r="G498" s="103"/>
      <c r="H498" s="103"/>
      <c r="L498" s="103"/>
      <c r="M498" s="113"/>
      <c r="N498" s="107"/>
      <c r="O498" s="106" t="str">
        <f>IF(ISBLANK(M498), "", VLOOKUP(D498, 'Info Tipo de Cambio y REM'!$A$24:$B$35, 2, FALSE))</f>
        <v/>
      </c>
      <c r="P498" s="107" t="str">
        <f t="shared" si="2"/>
        <v/>
      </c>
    </row>
    <row r="499">
      <c r="A499" s="102"/>
      <c r="B499" s="102"/>
      <c r="C499" s="102"/>
      <c r="D499" s="51"/>
      <c r="E499" s="102"/>
      <c r="F499" s="102"/>
      <c r="G499" s="103"/>
      <c r="H499" s="103"/>
      <c r="L499" s="103"/>
      <c r="M499" s="113"/>
      <c r="N499" s="107"/>
      <c r="O499" s="106" t="str">
        <f>IF(ISBLANK(M499), "", VLOOKUP(D499, 'Info Tipo de Cambio y REM'!$A$24:$B$35, 2, FALSE))</f>
        <v/>
      </c>
      <c r="P499" s="107" t="str">
        <f t="shared" si="2"/>
        <v/>
      </c>
    </row>
    <row r="500">
      <c r="A500" s="102"/>
      <c r="B500" s="102"/>
      <c r="C500" s="102"/>
      <c r="D500" s="51"/>
      <c r="E500" s="102"/>
      <c r="F500" s="102"/>
      <c r="G500" s="103"/>
      <c r="H500" s="103"/>
      <c r="L500" s="103"/>
      <c r="M500" s="113"/>
      <c r="N500" s="107"/>
      <c r="O500" s="106" t="str">
        <f>IF(ISBLANK(M500), "", VLOOKUP(D500, 'Info Tipo de Cambio y REM'!$A$24:$B$35, 2, FALSE))</f>
        <v/>
      </c>
      <c r="P500" s="107" t="str">
        <f t="shared" si="2"/>
        <v/>
      </c>
    </row>
    <row r="501">
      <c r="A501" s="102"/>
      <c r="B501" s="102"/>
      <c r="C501" s="102"/>
      <c r="D501" s="51"/>
      <c r="E501" s="102"/>
      <c r="F501" s="102"/>
      <c r="G501" s="103"/>
      <c r="H501" s="103"/>
      <c r="L501" s="103"/>
      <c r="M501" s="113"/>
      <c r="N501" s="107"/>
      <c r="O501" s="106" t="str">
        <f>IF(ISBLANK(M501), "", VLOOKUP(D501, 'Info Tipo de Cambio y REM'!$A$24:$B$35, 2, FALSE))</f>
        <v/>
      </c>
      <c r="P501" s="107" t="str">
        <f t="shared" si="2"/>
        <v/>
      </c>
    </row>
    <row r="502">
      <c r="A502" s="102"/>
      <c r="B502" s="102"/>
      <c r="C502" s="102"/>
      <c r="D502" s="51"/>
      <c r="E502" s="102"/>
      <c r="F502" s="102"/>
      <c r="G502" s="103"/>
      <c r="H502" s="103"/>
      <c r="L502" s="103"/>
      <c r="M502" s="113"/>
      <c r="N502" s="107"/>
      <c r="O502" s="106" t="str">
        <f>IF(ISBLANK(M502), "", VLOOKUP(D502, 'Info Tipo de Cambio y REM'!$A$24:$B$35, 2, FALSE))</f>
        <v/>
      </c>
      <c r="P502" s="107" t="str">
        <f t="shared" si="2"/>
        <v/>
      </c>
    </row>
    <row r="503">
      <c r="A503" s="102"/>
      <c r="B503" s="102"/>
      <c r="C503" s="102"/>
      <c r="D503" s="51"/>
      <c r="E503" s="102"/>
      <c r="F503" s="102"/>
      <c r="G503" s="103"/>
      <c r="H503" s="103"/>
      <c r="L503" s="103"/>
      <c r="M503" s="113"/>
      <c r="N503" s="107"/>
      <c r="O503" s="106" t="str">
        <f>IF(ISBLANK(M503), "", VLOOKUP(D503, 'Info Tipo de Cambio y REM'!$A$24:$B$35, 2, FALSE))</f>
        <v/>
      </c>
      <c r="P503" s="107" t="str">
        <f t="shared" si="2"/>
        <v/>
      </c>
    </row>
    <row r="504">
      <c r="A504" s="102"/>
      <c r="B504" s="102"/>
      <c r="C504" s="102"/>
      <c r="D504" s="51"/>
      <c r="E504" s="102"/>
      <c r="F504" s="102"/>
      <c r="G504" s="103"/>
      <c r="H504" s="103"/>
      <c r="L504" s="103"/>
      <c r="M504" s="113"/>
      <c r="N504" s="107"/>
      <c r="O504" s="106" t="str">
        <f>IF(ISBLANK(M504), "", VLOOKUP(D504, 'Info Tipo de Cambio y REM'!$A$24:$B$35, 2, FALSE))</f>
        <v/>
      </c>
      <c r="P504" s="107" t="str">
        <f t="shared" si="2"/>
        <v/>
      </c>
    </row>
    <row r="505">
      <c r="A505" s="102"/>
      <c r="B505" s="102"/>
      <c r="C505" s="102"/>
      <c r="D505" s="51"/>
      <c r="E505" s="102"/>
      <c r="F505" s="102"/>
      <c r="G505" s="103"/>
      <c r="H505" s="103"/>
      <c r="L505" s="103"/>
      <c r="M505" s="113"/>
      <c r="N505" s="107"/>
      <c r="O505" s="106" t="str">
        <f>IF(ISBLANK(M505), "", VLOOKUP(D505, 'Info Tipo de Cambio y REM'!$A$24:$B$35, 2, FALSE))</f>
        <v/>
      </c>
      <c r="P505" s="107" t="str">
        <f t="shared" si="2"/>
        <v/>
      </c>
    </row>
    <row r="506">
      <c r="A506" s="102"/>
      <c r="B506" s="102"/>
      <c r="C506" s="102"/>
      <c r="D506" s="51"/>
      <c r="E506" s="102"/>
      <c r="F506" s="102"/>
      <c r="G506" s="103"/>
      <c r="H506" s="103"/>
      <c r="L506" s="103"/>
      <c r="M506" s="113"/>
      <c r="N506" s="107"/>
      <c r="O506" s="106" t="str">
        <f>IF(ISBLANK(M506), "", VLOOKUP(D506, 'Info Tipo de Cambio y REM'!$A$24:$B$35, 2, FALSE))</f>
        <v/>
      </c>
      <c r="P506" s="107" t="str">
        <f t="shared" si="2"/>
        <v/>
      </c>
    </row>
    <row r="507">
      <c r="A507" s="102"/>
      <c r="B507" s="102"/>
      <c r="C507" s="102"/>
      <c r="D507" s="51"/>
      <c r="E507" s="102"/>
      <c r="F507" s="102"/>
      <c r="G507" s="103"/>
      <c r="H507" s="103"/>
      <c r="L507" s="103"/>
      <c r="M507" s="113"/>
      <c r="N507" s="107"/>
      <c r="O507" s="106" t="str">
        <f>IF(ISBLANK(M507), "", VLOOKUP(D507, 'Info Tipo de Cambio y REM'!$A$24:$B$35, 2, FALSE))</f>
        <v/>
      </c>
      <c r="P507" s="107" t="str">
        <f t="shared" si="2"/>
        <v/>
      </c>
    </row>
    <row r="508">
      <c r="A508" s="102"/>
      <c r="B508" s="102"/>
      <c r="C508" s="102"/>
      <c r="D508" s="51"/>
      <c r="E508" s="102"/>
      <c r="F508" s="102"/>
      <c r="G508" s="103"/>
      <c r="H508" s="103"/>
      <c r="L508" s="103"/>
      <c r="M508" s="113"/>
      <c r="N508" s="107"/>
      <c r="O508" s="106" t="str">
        <f>IF(ISBLANK(M508), "", VLOOKUP(D508, 'Info Tipo de Cambio y REM'!$A$24:$B$35, 2, FALSE))</f>
        <v/>
      </c>
      <c r="P508" s="107" t="str">
        <f t="shared" si="2"/>
        <v/>
      </c>
    </row>
    <row r="509">
      <c r="A509" s="102"/>
      <c r="B509" s="102"/>
      <c r="C509" s="102"/>
      <c r="D509" s="51"/>
      <c r="E509" s="102"/>
      <c r="F509" s="102"/>
      <c r="G509" s="103"/>
      <c r="H509" s="103"/>
      <c r="L509" s="103"/>
      <c r="M509" s="113"/>
      <c r="N509" s="107"/>
      <c r="O509" s="106" t="str">
        <f>IF(ISBLANK(M509), "", VLOOKUP(D509, 'Info Tipo de Cambio y REM'!$A$24:$B$35, 2, FALSE))</f>
        <v/>
      </c>
      <c r="P509" s="107" t="str">
        <f t="shared" si="2"/>
        <v/>
      </c>
    </row>
    <row r="510">
      <c r="A510" s="102"/>
      <c r="B510" s="102"/>
      <c r="C510" s="102"/>
      <c r="D510" s="51"/>
      <c r="E510" s="102"/>
      <c r="F510" s="102"/>
      <c r="G510" s="103"/>
      <c r="H510" s="103"/>
      <c r="L510" s="103"/>
      <c r="M510" s="113"/>
      <c r="N510" s="107"/>
      <c r="O510" s="106" t="str">
        <f>IF(ISBLANK(M510), "", VLOOKUP(D510, 'Info Tipo de Cambio y REM'!$A$24:$B$35, 2, FALSE))</f>
        <v/>
      </c>
      <c r="P510" s="107" t="str">
        <f t="shared" si="2"/>
        <v/>
      </c>
    </row>
    <row r="511">
      <c r="A511" s="102"/>
      <c r="B511" s="102"/>
      <c r="C511" s="102"/>
      <c r="D511" s="51"/>
      <c r="E511" s="102"/>
      <c r="F511" s="102"/>
      <c r="G511" s="103"/>
      <c r="H511" s="103"/>
      <c r="L511" s="103"/>
      <c r="M511" s="113"/>
      <c r="N511" s="107"/>
      <c r="O511" s="106" t="str">
        <f>IF(ISBLANK(M511), "", VLOOKUP(D511, 'Info Tipo de Cambio y REM'!$A$24:$B$35, 2, FALSE))</f>
        <v/>
      </c>
      <c r="P511" s="107" t="str">
        <f t="shared" si="2"/>
        <v/>
      </c>
    </row>
    <row r="512">
      <c r="A512" s="102"/>
      <c r="B512" s="102"/>
      <c r="C512" s="102"/>
      <c r="D512" s="51"/>
      <c r="E512" s="102"/>
      <c r="F512" s="102"/>
      <c r="G512" s="103"/>
      <c r="H512" s="103"/>
      <c r="L512" s="103"/>
      <c r="M512" s="113"/>
      <c r="N512" s="107"/>
      <c r="O512" s="106" t="str">
        <f>IF(ISBLANK(M512), "", VLOOKUP(D512, 'Info Tipo de Cambio y REM'!$A$24:$B$35, 2, FALSE))</f>
        <v/>
      </c>
      <c r="P512" s="107" t="str">
        <f t="shared" si="2"/>
        <v/>
      </c>
    </row>
    <row r="513">
      <c r="A513" s="102"/>
      <c r="B513" s="102"/>
      <c r="C513" s="102"/>
      <c r="D513" s="51"/>
      <c r="E513" s="102"/>
      <c r="F513" s="102"/>
      <c r="G513" s="103"/>
      <c r="H513" s="103"/>
      <c r="L513" s="103"/>
      <c r="M513" s="113"/>
      <c r="N513" s="107"/>
      <c r="O513" s="106" t="str">
        <f>IF(ISBLANK(M513), "", VLOOKUP(D513, 'Info Tipo de Cambio y REM'!$A$24:$B$35, 2, FALSE))</f>
        <v/>
      </c>
      <c r="P513" s="107" t="str">
        <f t="shared" si="2"/>
        <v/>
      </c>
    </row>
    <row r="514">
      <c r="A514" s="102"/>
      <c r="B514" s="102"/>
      <c r="C514" s="102"/>
      <c r="D514" s="51"/>
      <c r="E514" s="102"/>
      <c r="F514" s="102"/>
      <c r="G514" s="103"/>
      <c r="H514" s="103"/>
      <c r="L514" s="103"/>
      <c r="M514" s="113"/>
      <c r="N514" s="107"/>
      <c r="O514" s="106" t="str">
        <f>IF(ISBLANK(M514), "", VLOOKUP(D514, 'Info Tipo de Cambio y REM'!$A$24:$B$35, 2, FALSE))</f>
        <v/>
      </c>
      <c r="P514" s="107" t="str">
        <f t="shared" si="2"/>
        <v/>
      </c>
    </row>
    <row r="515">
      <c r="A515" s="102"/>
      <c r="B515" s="102"/>
      <c r="C515" s="102"/>
      <c r="D515" s="51"/>
      <c r="E515" s="102"/>
      <c r="F515" s="102"/>
      <c r="G515" s="103"/>
      <c r="H515" s="103"/>
      <c r="L515" s="103"/>
      <c r="M515" s="113"/>
      <c r="N515" s="107"/>
      <c r="O515" s="106" t="str">
        <f>IF(ISBLANK(M515), "", VLOOKUP(D515, 'Info Tipo de Cambio y REM'!$A$24:$B$35, 2, FALSE))</f>
        <v/>
      </c>
      <c r="P515" s="107" t="str">
        <f t="shared" si="2"/>
        <v/>
      </c>
    </row>
    <row r="516">
      <c r="A516" s="102"/>
      <c r="B516" s="102"/>
      <c r="C516" s="102"/>
      <c r="D516" s="51"/>
      <c r="E516" s="102"/>
      <c r="F516" s="102"/>
      <c r="G516" s="103"/>
      <c r="H516" s="103"/>
      <c r="L516" s="103"/>
      <c r="M516" s="113"/>
      <c r="N516" s="107"/>
      <c r="O516" s="106" t="str">
        <f>IF(ISBLANK(M516), "", VLOOKUP(D516, 'Info Tipo de Cambio y REM'!$A$24:$B$35, 2, FALSE))</f>
        <v/>
      </c>
      <c r="P516" s="107" t="str">
        <f t="shared" si="2"/>
        <v/>
      </c>
    </row>
    <row r="517">
      <c r="A517" s="102"/>
      <c r="B517" s="102"/>
      <c r="C517" s="102"/>
      <c r="D517" s="51"/>
      <c r="E517" s="102"/>
      <c r="F517" s="102"/>
      <c r="G517" s="103"/>
      <c r="H517" s="103"/>
      <c r="L517" s="103"/>
      <c r="M517" s="113"/>
      <c r="N517" s="107"/>
      <c r="O517" s="106" t="str">
        <f>IF(ISBLANK(M517), "", VLOOKUP(D517, 'Info Tipo de Cambio y REM'!$A$24:$B$35, 2, FALSE))</f>
        <v/>
      </c>
      <c r="P517" s="107" t="str">
        <f t="shared" si="2"/>
        <v/>
      </c>
    </row>
    <row r="518">
      <c r="A518" s="102"/>
      <c r="B518" s="102"/>
      <c r="C518" s="102"/>
      <c r="D518" s="51"/>
      <c r="E518" s="102"/>
      <c r="F518" s="102"/>
      <c r="G518" s="103"/>
      <c r="H518" s="103"/>
      <c r="L518" s="103"/>
      <c r="M518" s="113"/>
      <c r="N518" s="107"/>
      <c r="O518" s="106" t="str">
        <f>IF(ISBLANK(M518), "", VLOOKUP(D518, 'Info Tipo de Cambio y REM'!$A$24:$B$35, 2, FALSE))</f>
        <v/>
      </c>
      <c r="P518" s="107" t="str">
        <f t="shared" si="2"/>
        <v/>
      </c>
    </row>
    <row r="519">
      <c r="A519" s="102"/>
      <c r="B519" s="102"/>
      <c r="C519" s="102"/>
      <c r="D519" s="51"/>
      <c r="E519" s="102"/>
      <c r="F519" s="102"/>
      <c r="G519" s="103"/>
      <c r="H519" s="103"/>
      <c r="L519" s="103"/>
      <c r="M519" s="113"/>
      <c r="N519" s="107"/>
      <c r="O519" s="106" t="str">
        <f>IF(ISBLANK(M519), "", VLOOKUP(D519, 'Info Tipo de Cambio y REM'!$A$24:$B$35, 2, FALSE))</f>
        <v/>
      </c>
      <c r="P519" s="107" t="str">
        <f t="shared" si="2"/>
        <v/>
      </c>
    </row>
    <row r="520">
      <c r="A520" s="102"/>
      <c r="B520" s="102"/>
      <c r="C520" s="102"/>
      <c r="D520" s="51"/>
      <c r="E520" s="102"/>
      <c r="F520" s="102"/>
      <c r="G520" s="103"/>
      <c r="H520" s="103"/>
      <c r="L520" s="103"/>
      <c r="M520" s="113"/>
      <c r="N520" s="107"/>
      <c r="O520" s="106" t="str">
        <f>IF(ISBLANK(M520), "", VLOOKUP(D520, 'Info Tipo de Cambio y REM'!$A$24:$B$35, 2, FALSE))</f>
        <v/>
      </c>
      <c r="P520" s="107" t="str">
        <f t="shared" si="2"/>
        <v/>
      </c>
    </row>
    <row r="521">
      <c r="A521" s="102"/>
      <c r="B521" s="102"/>
      <c r="C521" s="102"/>
      <c r="D521" s="51"/>
      <c r="E521" s="102"/>
      <c r="F521" s="102"/>
      <c r="G521" s="103"/>
      <c r="H521" s="103"/>
      <c r="L521" s="103"/>
      <c r="M521" s="113"/>
      <c r="N521" s="107"/>
      <c r="O521" s="106" t="str">
        <f>IF(ISBLANK(M521), "", VLOOKUP(D521, 'Info Tipo de Cambio y REM'!$A$24:$B$35, 2, FALSE))</f>
        <v/>
      </c>
      <c r="P521" s="107" t="str">
        <f t="shared" si="2"/>
        <v/>
      </c>
    </row>
    <row r="522">
      <c r="A522" s="102"/>
      <c r="B522" s="102"/>
      <c r="C522" s="102"/>
      <c r="D522" s="51"/>
      <c r="E522" s="102"/>
      <c r="F522" s="102"/>
      <c r="G522" s="103"/>
      <c r="H522" s="103"/>
      <c r="L522" s="103"/>
      <c r="M522" s="113"/>
      <c r="N522" s="107"/>
      <c r="O522" s="106" t="str">
        <f>IF(ISBLANK(M522), "", VLOOKUP(D522, 'Info Tipo de Cambio y REM'!$A$24:$B$35, 2, FALSE))</f>
        <v/>
      </c>
      <c r="P522" s="107" t="str">
        <f t="shared" si="2"/>
        <v/>
      </c>
    </row>
    <row r="523">
      <c r="A523" s="102"/>
      <c r="B523" s="102"/>
      <c r="C523" s="102"/>
      <c r="D523" s="51"/>
      <c r="E523" s="102"/>
      <c r="F523" s="102"/>
      <c r="G523" s="103"/>
      <c r="H523" s="103"/>
      <c r="L523" s="103"/>
      <c r="M523" s="113"/>
      <c r="N523" s="107"/>
      <c r="O523" s="106" t="str">
        <f>IF(ISBLANK(M523), "", VLOOKUP(D523, 'Info Tipo de Cambio y REM'!$A$24:$B$35, 2, FALSE))</f>
        <v/>
      </c>
      <c r="P523" s="107" t="str">
        <f t="shared" si="2"/>
        <v/>
      </c>
    </row>
    <row r="524">
      <c r="A524" s="102"/>
      <c r="B524" s="102"/>
      <c r="C524" s="102"/>
      <c r="D524" s="51"/>
      <c r="E524" s="102"/>
      <c r="F524" s="102"/>
      <c r="G524" s="103"/>
      <c r="H524" s="103"/>
      <c r="L524" s="103"/>
      <c r="M524" s="113"/>
      <c r="N524" s="107"/>
      <c r="O524" s="106" t="str">
        <f>IF(ISBLANK(M524), "", VLOOKUP(D524, 'Info Tipo de Cambio y REM'!$A$24:$B$35, 2, FALSE))</f>
        <v/>
      </c>
      <c r="P524" s="107" t="str">
        <f t="shared" si="2"/>
        <v/>
      </c>
    </row>
    <row r="525">
      <c r="A525" s="102"/>
      <c r="B525" s="102"/>
      <c r="C525" s="102"/>
      <c r="D525" s="51"/>
      <c r="E525" s="102"/>
      <c r="F525" s="102"/>
      <c r="G525" s="103"/>
      <c r="H525" s="103"/>
      <c r="L525" s="103"/>
      <c r="M525" s="113"/>
      <c r="N525" s="107"/>
      <c r="O525" s="106" t="str">
        <f>IF(ISBLANK(M525), "", VLOOKUP(D525, 'Info Tipo de Cambio y REM'!$A$24:$B$35, 2, FALSE))</f>
        <v/>
      </c>
      <c r="P525" s="107" t="str">
        <f t="shared" si="2"/>
        <v/>
      </c>
    </row>
    <row r="526">
      <c r="A526" s="102"/>
      <c r="B526" s="102"/>
      <c r="C526" s="102"/>
      <c r="D526" s="51"/>
      <c r="E526" s="102"/>
      <c r="F526" s="102"/>
      <c r="G526" s="103"/>
      <c r="H526" s="103"/>
      <c r="L526" s="103"/>
      <c r="M526" s="113"/>
      <c r="N526" s="107"/>
      <c r="O526" s="106" t="str">
        <f>IF(ISBLANK(M526), "", VLOOKUP(D526, 'Info Tipo de Cambio y REM'!$A$24:$B$35, 2, FALSE))</f>
        <v/>
      </c>
      <c r="P526" s="107" t="str">
        <f t="shared" si="2"/>
        <v/>
      </c>
    </row>
    <row r="527">
      <c r="A527" s="102"/>
      <c r="B527" s="102"/>
      <c r="C527" s="102"/>
      <c r="D527" s="51"/>
      <c r="E527" s="102"/>
      <c r="F527" s="102"/>
      <c r="G527" s="103"/>
      <c r="H527" s="103"/>
      <c r="L527" s="103"/>
      <c r="M527" s="113"/>
      <c r="N527" s="107"/>
      <c r="O527" s="106" t="str">
        <f>IF(ISBLANK(M527), "", VLOOKUP(D527, 'Info Tipo de Cambio y REM'!$A$24:$B$35, 2, FALSE))</f>
        <v/>
      </c>
      <c r="P527" s="107" t="str">
        <f t="shared" si="2"/>
        <v/>
      </c>
    </row>
    <row r="528">
      <c r="A528" s="102"/>
      <c r="B528" s="102"/>
      <c r="C528" s="102"/>
      <c r="D528" s="51"/>
      <c r="E528" s="102"/>
      <c r="F528" s="102"/>
      <c r="G528" s="103"/>
      <c r="H528" s="103"/>
      <c r="L528" s="103"/>
      <c r="M528" s="113"/>
      <c r="N528" s="107"/>
      <c r="O528" s="106" t="str">
        <f>IF(ISBLANK(M528), "", VLOOKUP(D528, 'Info Tipo de Cambio y REM'!$A$24:$B$35, 2, FALSE))</f>
        <v/>
      </c>
      <c r="P528" s="107" t="str">
        <f t="shared" si="2"/>
        <v/>
      </c>
    </row>
    <row r="529">
      <c r="A529" s="102"/>
      <c r="B529" s="102"/>
      <c r="C529" s="102"/>
      <c r="D529" s="51"/>
      <c r="E529" s="102"/>
      <c r="F529" s="102"/>
      <c r="G529" s="103"/>
      <c r="H529" s="103"/>
      <c r="L529" s="103"/>
      <c r="M529" s="113"/>
      <c r="N529" s="107"/>
      <c r="O529" s="106" t="str">
        <f>IF(ISBLANK(M529), "", VLOOKUP(D529, 'Info Tipo de Cambio y REM'!$A$24:$B$35, 2, FALSE))</f>
        <v/>
      </c>
      <c r="P529" s="107" t="str">
        <f t="shared" si="2"/>
        <v/>
      </c>
    </row>
    <row r="530">
      <c r="A530" s="102"/>
      <c r="B530" s="102"/>
      <c r="C530" s="102"/>
      <c r="D530" s="51"/>
      <c r="E530" s="102"/>
      <c r="F530" s="102"/>
      <c r="G530" s="103"/>
      <c r="H530" s="103"/>
      <c r="L530" s="103"/>
      <c r="M530" s="113"/>
      <c r="N530" s="107"/>
      <c r="O530" s="106" t="str">
        <f>IF(ISBLANK(M530), "", VLOOKUP(D530, 'Info Tipo de Cambio y REM'!$A$24:$B$35, 2, FALSE))</f>
        <v/>
      </c>
      <c r="P530" s="107" t="str">
        <f t="shared" si="2"/>
        <v/>
      </c>
    </row>
    <row r="531">
      <c r="A531" s="102"/>
      <c r="B531" s="102"/>
      <c r="C531" s="102"/>
      <c r="D531" s="51"/>
      <c r="E531" s="102"/>
      <c r="F531" s="102"/>
      <c r="G531" s="103"/>
      <c r="H531" s="103"/>
      <c r="L531" s="103"/>
      <c r="M531" s="113"/>
      <c r="N531" s="107"/>
      <c r="O531" s="106" t="str">
        <f>IF(ISBLANK(M531), "", VLOOKUP(D531, 'Info Tipo de Cambio y REM'!$A$24:$B$35, 2, FALSE))</f>
        <v/>
      </c>
      <c r="P531" s="107" t="str">
        <f t="shared" si="2"/>
        <v/>
      </c>
    </row>
    <row r="532">
      <c r="A532" s="102"/>
      <c r="B532" s="102"/>
      <c r="C532" s="102"/>
      <c r="D532" s="51"/>
      <c r="E532" s="102"/>
      <c r="F532" s="102"/>
      <c r="G532" s="103"/>
      <c r="H532" s="103"/>
      <c r="L532" s="103"/>
      <c r="M532" s="113"/>
      <c r="N532" s="107"/>
      <c r="O532" s="106" t="str">
        <f>IF(ISBLANK(M532), "", VLOOKUP(D532, 'Info Tipo de Cambio y REM'!$A$24:$B$35, 2, FALSE))</f>
        <v/>
      </c>
      <c r="P532" s="107" t="str">
        <f t="shared" si="2"/>
        <v/>
      </c>
    </row>
    <row r="533">
      <c r="A533" s="102"/>
      <c r="B533" s="102"/>
      <c r="C533" s="102"/>
      <c r="D533" s="51"/>
      <c r="E533" s="102"/>
      <c r="F533" s="102"/>
      <c r="G533" s="103"/>
      <c r="H533" s="103"/>
      <c r="L533" s="103"/>
      <c r="M533" s="113"/>
      <c r="N533" s="107"/>
      <c r="O533" s="106" t="str">
        <f>IF(ISBLANK(M533), "", VLOOKUP(D533, 'Info Tipo de Cambio y REM'!$A$24:$B$35, 2, FALSE))</f>
        <v/>
      </c>
      <c r="P533" s="107" t="str">
        <f t="shared" si="2"/>
        <v/>
      </c>
    </row>
    <row r="534">
      <c r="A534" s="102"/>
      <c r="B534" s="102"/>
      <c r="C534" s="102"/>
      <c r="D534" s="51"/>
      <c r="E534" s="102"/>
      <c r="F534" s="102"/>
      <c r="G534" s="103"/>
      <c r="H534" s="103"/>
      <c r="L534" s="103"/>
      <c r="M534" s="113"/>
      <c r="N534" s="107"/>
      <c r="O534" s="106" t="str">
        <f>IF(ISBLANK(M534), "", VLOOKUP(D534, 'Info Tipo de Cambio y REM'!$A$24:$B$35, 2, FALSE))</f>
        <v/>
      </c>
      <c r="P534" s="107" t="str">
        <f t="shared" si="2"/>
        <v/>
      </c>
    </row>
    <row r="535">
      <c r="A535" s="102"/>
      <c r="B535" s="102"/>
      <c r="C535" s="102"/>
      <c r="D535" s="51"/>
      <c r="E535" s="102"/>
      <c r="F535" s="102"/>
      <c r="G535" s="103"/>
      <c r="H535" s="103"/>
      <c r="L535" s="103"/>
      <c r="M535" s="113"/>
      <c r="N535" s="107"/>
      <c r="O535" s="106" t="str">
        <f>IF(ISBLANK(M535), "", VLOOKUP(D535, 'Info Tipo de Cambio y REM'!$A$24:$B$35, 2, FALSE))</f>
        <v/>
      </c>
      <c r="P535" s="107" t="str">
        <f t="shared" si="2"/>
        <v/>
      </c>
    </row>
    <row r="536">
      <c r="A536" s="102"/>
      <c r="B536" s="102"/>
      <c r="C536" s="102"/>
      <c r="D536" s="51"/>
      <c r="E536" s="102"/>
      <c r="F536" s="102"/>
      <c r="G536" s="103"/>
      <c r="H536" s="103"/>
      <c r="L536" s="103"/>
      <c r="M536" s="113"/>
      <c r="N536" s="107"/>
      <c r="O536" s="106" t="str">
        <f>IF(ISBLANK(M536), "", VLOOKUP(D536, 'Info Tipo de Cambio y REM'!$A$24:$B$35, 2, FALSE))</f>
        <v/>
      </c>
      <c r="P536" s="107" t="str">
        <f t="shared" si="2"/>
        <v/>
      </c>
    </row>
    <row r="537">
      <c r="A537" s="102"/>
      <c r="B537" s="102"/>
      <c r="C537" s="102"/>
      <c r="D537" s="51"/>
      <c r="E537" s="102"/>
      <c r="F537" s="102"/>
      <c r="G537" s="103"/>
      <c r="H537" s="103"/>
      <c r="L537" s="103"/>
      <c r="M537" s="113"/>
      <c r="N537" s="107"/>
      <c r="O537" s="106" t="str">
        <f>IF(ISBLANK(M537), "", VLOOKUP(D537, 'Info Tipo de Cambio y REM'!$A$24:$B$35, 2, FALSE))</f>
        <v/>
      </c>
      <c r="P537" s="107" t="str">
        <f t="shared" si="2"/>
        <v/>
      </c>
    </row>
    <row r="538">
      <c r="A538" s="102"/>
      <c r="B538" s="102"/>
      <c r="C538" s="102"/>
      <c r="D538" s="51"/>
      <c r="E538" s="102"/>
      <c r="F538" s="102"/>
      <c r="G538" s="103"/>
      <c r="H538" s="103"/>
      <c r="L538" s="103"/>
      <c r="M538" s="113"/>
      <c r="N538" s="107"/>
      <c r="O538" s="106" t="str">
        <f>IF(ISBLANK(M538), "", VLOOKUP(D538, 'Info Tipo de Cambio y REM'!$A$24:$B$35, 2, FALSE))</f>
        <v/>
      </c>
      <c r="P538" s="107" t="str">
        <f t="shared" si="2"/>
        <v/>
      </c>
    </row>
    <row r="539">
      <c r="A539" s="102"/>
      <c r="B539" s="102"/>
      <c r="C539" s="102"/>
      <c r="D539" s="51"/>
      <c r="E539" s="102"/>
      <c r="F539" s="102"/>
      <c r="G539" s="103"/>
      <c r="H539" s="103"/>
      <c r="L539" s="103"/>
      <c r="M539" s="113"/>
      <c r="N539" s="107"/>
      <c r="O539" s="106" t="str">
        <f>IF(ISBLANK(M539), "", VLOOKUP(D539, 'Info Tipo de Cambio y REM'!$A$24:$B$35, 2, FALSE))</f>
        <v/>
      </c>
      <c r="P539" s="107" t="str">
        <f t="shared" si="2"/>
        <v/>
      </c>
    </row>
    <row r="540">
      <c r="A540" s="102"/>
      <c r="B540" s="102"/>
      <c r="C540" s="102"/>
      <c r="D540" s="51"/>
      <c r="E540" s="102"/>
      <c r="F540" s="102"/>
      <c r="G540" s="103"/>
      <c r="H540" s="103"/>
      <c r="L540" s="103"/>
      <c r="M540" s="113"/>
      <c r="N540" s="107"/>
      <c r="O540" s="106" t="str">
        <f>IF(ISBLANK(M540), "", VLOOKUP(D540, 'Info Tipo de Cambio y REM'!$A$24:$B$35, 2, FALSE))</f>
        <v/>
      </c>
      <c r="P540" s="107" t="str">
        <f t="shared" si="2"/>
        <v/>
      </c>
    </row>
    <row r="541">
      <c r="A541" s="102"/>
      <c r="B541" s="102"/>
      <c r="C541" s="102"/>
      <c r="D541" s="51"/>
      <c r="E541" s="102"/>
      <c r="F541" s="102"/>
      <c r="G541" s="103"/>
      <c r="H541" s="103"/>
      <c r="L541" s="103"/>
      <c r="M541" s="113"/>
      <c r="N541" s="107"/>
      <c r="O541" s="106" t="str">
        <f>IF(ISBLANK(M541), "", VLOOKUP(D541, 'Info Tipo de Cambio y REM'!$A$24:$B$35, 2, FALSE))</f>
        <v/>
      </c>
      <c r="P541" s="107" t="str">
        <f t="shared" si="2"/>
        <v/>
      </c>
    </row>
    <row r="542">
      <c r="A542" s="102"/>
      <c r="B542" s="102"/>
      <c r="C542" s="102"/>
      <c r="D542" s="51"/>
      <c r="E542" s="102"/>
      <c r="F542" s="102"/>
      <c r="G542" s="103"/>
      <c r="H542" s="103"/>
      <c r="L542" s="103"/>
      <c r="M542" s="113"/>
      <c r="N542" s="107"/>
      <c r="O542" s="106" t="str">
        <f>IF(ISBLANK(M542), "", VLOOKUP(D542, 'Info Tipo de Cambio y REM'!$A$24:$B$35, 2, FALSE))</f>
        <v/>
      </c>
      <c r="P542" s="107" t="str">
        <f t="shared" si="2"/>
        <v/>
      </c>
    </row>
    <row r="543">
      <c r="A543" s="102"/>
      <c r="B543" s="102"/>
      <c r="C543" s="102"/>
      <c r="D543" s="51"/>
      <c r="E543" s="102"/>
      <c r="F543" s="102"/>
      <c r="G543" s="103"/>
      <c r="H543" s="103"/>
      <c r="L543" s="103"/>
      <c r="M543" s="113"/>
      <c r="N543" s="107"/>
      <c r="O543" s="106" t="str">
        <f>IF(ISBLANK(M543), "", VLOOKUP(D543, 'Info Tipo de Cambio y REM'!$A$24:$B$35, 2, FALSE))</f>
        <v/>
      </c>
      <c r="P543" s="107" t="str">
        <f t="shared" si="2"/>
        <v/>
      </c>
    </row>
    <row r="544">
      <c r="A544" s="102"/>
      <c r="B544" s="102"/>
      <c r="C544" s="102"/>
      <c r="D544" s="51"/>
      <c r="E544" s="102"/>
      <c r="F544" s="102"/>
      <c r="G544" s="103"/>
      <c r="H544" s="103"/>
      <c r="L544" s="103"/>
      <c r="M544" s="113"/>
      <c r="N544" s="107"/>
      <c r="O544" s="106" t="str">
        <f>IF(ISBLANK(M544), "", VLOOKUP(D544, 'Info Tipo de Cambio y REM'!$A$24:$B$35, 2, FALSE))</f>
        <v/>
      </c>
      <c r="P544" s="107" t="str">
        <f t="shared" si="2"/>
        <v/>
      </c>
    </row>
    <row r="545">
      <c r="A545" s="102"/>
      <c r="B545" s="102"/>
      <c r="C545" s="102"/>
      <c r="D545" s="51"/>
      <c r="E545" s="102"/>
      <c r="F545" s="102"/>
      <c r="G545" s="103"/>
      <c r="H545" s="103"/>
      <c r="L545" s="103"/>
      <c r="M545" s="113"/>
      <c r="N545" s="107"/>
      <c r="O545" s="106" t="str">
        <f>IF(ISBLANK(M545), "", VLOOKUP(D545, 'Info Tipo de Cambio y REM'!$A$24:$B$35, 2, FALSE))</f>
        <v/>
      </c>
      <c r="P545" s="107" t="str">
        <f t="shared" si="2"/>
        <v/>
      </c>
    </row>
    <row r="546">
      <c r="A546" s="102"/>
      <c r="B546" s="102"/>
      <c r="C546" s="102"/>
      <c r="D546" s="51"/>
      <c r="E546" s="102"/>
      <c r="F546" s="102"/>
      <c r="G546" s="103"/>
      <c r="H546" s="103"/>
      <c r="L546" s="103"/>
      <c r="M546" s="113"/>
      <c r="N546" s="107"/>
      <c r="O546" s="106" t="str">
        <f>IF(ISBLANK(M546), "", VLOOKUP(D546, 'Info Tipo de Cambio y REM'!$A$24:$B$35, 2, FALSE))</f>
        <v/>
      </c>
      <c r="P546" s="107" t="str">
        <f t="shared" si="2"/>
        <v/>
      </c>
    </row>
    <row r="547">
      <c r="A547" s="102"/>
      <c r="B547" s="102"/>
      <c r="C547" s="102"/>
      <c r="D547" s="51"/>
      <c r="E547" s="102"/>
      <c r="F547" s="102"/>
      <c r="G547" s="103"/>
      <c r="H547" s="103"/>
      <c r="L547" s="103"/>
      <c r="M547" s="113"/>
      <c r="N547" s="107"/>
      <c r="O547" s="106" t="str">
        <f>IF(ISBLANK(M547), "", VLOOKUP(D547, 'Info Tipo de Cambio y REM'!$A$24:$B$35, 2, FALSE))</f>
        <v/>
      </c>
      <c r="P547" s="107" t="str">
        <f t="shared" si="2"/>
        <v/>
      </c>
    </row>
    <row r="548">
      <c r="A548" s="102"/>
      <c r="B548" s="102"/>
      <c r="C548" s="102"/>
      <c r="D548" s="51"/>
      <c r="E548" s="102"/>
      <c r="F548" s="102"/>
      <c r="G548" s="103"/>
      <c r="H548" s="103"/>
      <c r="L548" s="103"/>
      <c r="M548" s="113"/>
      <c r="N548" s="107"/>
      <c r="O548" s="106" t="str">
        <f>IF(ISBLANK(M548), "", VLOOKUP(D548, 'Info Tipo de Cambio y REM'!$A$24:$B$35, 2, FALSE))</f>
        <v/>
      </c>
      <c r="P548" s="107" t="str">
        <f t="shared" si="2"/>
        <v/>
      </c>
    </row>
    <row r="549">
      <c r="A549" s="102"/>
      <c r="B549" s="102"/>
      <c r="C549" s="102"/>
      <c r="D549" s="51"/>
      <c r="E549" s="102"/>
      <c r="F549" s="102"/>
      <c r="G549" s="103"/>
      <c r="H549" s="103"/>
      <c r="L549" s="103"/>
      <c r="M549" s="113"/>
      <c r="N549" s="107"/>
      <c r="O549" s="106" t="str">
        <f>IF(ISBLANK(M549), "", VLOOKUP(D549, 'Info Tipo de Cambio y REM'!$A$24:$B$35, 2, FALSE))</f>
        <v/>
      </c>
      <c r="P549" s="107" t="str">
        <f t="shared" si="2"/>
        <v/>
      </c>
    </row>
    <row r="550">
      <c r="A550" s="102"/>
      <c r="B550" s="102"/>
      <c r="C550" s="102"/>
      <c r="D550" s="51"/>
      <c r="E550" s="102"/>
      <c r="F550" s="102"/>
      <c r="G550" s="103"/>
      <c r="H550" s="103"/>
      <c r="L550" s="103"/>
      <c r="M550" s="113"/>
      <c r="N550" s="107"/>
      <c r="O550" s="106" t="str">
        <f>IF(ISBLANK(M550), "", VLOOKUP(D550, 'Info Tipo de Cambio y REM'!$A$24:$B$35, 2, FALSE))</f>
        <v/>
      </c>
      <c r="P550" s="107" t="str">
        <f t="shared" si="2"/>
        <v/>
      </c>
    </row>
    <row r="551">
      <c r="A551" s="102"/>
      <c r="B551" s="102"/>
      <c r="C551" s="102"/>
      <c r="D551" s="51"/>
      <c r="E551" s="102"/>
      <c r="F551" s="102"/>
      <c r="G551" s="103"/>
      <c r="H551" s="103"/>
      <c r="L551" s="103"/>
      <c r="M551" s="113"/>
      <c r="N551" s="107"/>
      <c r="O551" s="106" t="str">
        <f>IF(ISBLANK(M551), "", VLOOKUP(D551, 'Info Tipo de Cambio y REM'!$A$24:$B$35, 2, FALSE))</f>
        <v/>
      </c>
      <c r="P551" s="107" t="str">
        <f t="shared" si="2"/>
        <v/>
      </c>
    </row>
    <row r="552">
      <c r="A552" s="102"/>
      <c r="B552" s="102"/>
      <c r="C552" s="102"/>
      <c r="D552" s="51"/>
      <c r="E552" s="102"/>
      <c r="F552" s="102"/>
      <c r="G552" s="103"/>
      <c r="H552" s="103"/>
      <c r="L552" s="103"/>
      <c r="M552" s="113"/>
      <c r="N552" s="107"/>
      <c r="O552" s="106" t="str">
        <f>IF(ISBLANK(M552), "", VLOOKUP(D552, 'Info Tipo de Cambio y REM'!$A$24:$B$35, 2, FALSE))</f>
        <v/>
      </c>
      <c r="P552" s="107" t="str">
        <f t="shared" si="2"/>
        <v/>
      </c>
    </row>
    <row r="553">
      <c r="A553" s="102"/>
      <c r="B553" s="102"/>
      <c r="C553" s="102"/>
      <c r="D553" s="51"/>
      <c r="E553" s="102"/>
      <c r="F553" s="102"/>
      <c r="G553" s="103"/>
      <c r="H553" s="103"/>
      <c r="L553" s="103"/>
      <c r="M553" s="113"/>
      <c r="N553" s="107"/>
      <c r="O553" s="106" t="str">
        <f>IF(ISBLANK(M553), "", VLOOKUP(D553, 'Info Tipo de Cambio y REM'!$A$24:$B$35, 2, FALSE))</f>
        <v/>
      </c>
      <c r="P553" s="107" t="str">
        <f t="shared" si="2"/>
        <v/>
      </c>
    </row>
    <row r="554">
      <c r="A554" s="102"/>
      <c r="B554" s="102"/>
      <c r="C554" s="102"/>
      <c r="D554" s="51"/>
      <c r="E554" s="102"/>
      <c r="F554" s="102"/>
      <c r="G554" s="103"/>
      <c r="H554" s="103"/>
      <c r="L554" s="103"/>
      <c r="M554" s="113"/>
      <c r="N554" s="107"/>
      <c r="O554" s="106" t="str">
        <f>IF(ISBLANK(M554), "", VLOOKUP(D554, 'Info Tipo de Cambio y REM'!$A$24:$B$35, 2, FALSE))</f>
        <v/>
      </c>
      <c r="P554" s="107" t="str">
        <f t="shared" si="2"/>
        <v/>
      </c>
    </row>
    <row r="555">
      <c r="A555" s="102"/>
      <c r="B555" s="102"/>
      <c r="C555" s="102"/>
      <c r="D555" s="51"/>
      <c r="E555" s="102"/>
      <c r="F555" s="102"/>
      <c r="G555" s="103"/>
      <c r="H555" s="103"/>
      <c r="L555" s="103"/>
      <c r="M555" s="113"/>
      <c r="N555" s="107"/>
      <c r="O555" s="106" t="str">
        <f>IF(ISBLANK(M555), "", VLOOKUP(D555, 'Info Tipo de Cambio y REM'!$A$24:$B$35, 2, FALSE))</f>
        <v/>
      </c>
      <c r="P555" s="107" t="str">
        <f t="shared" si="2"/>
        <v/>
      </c>
    </row>
    <row r="556">
      <c r="A556" s="102"/>
      <c r="B556" s="102"/>
      <c r="C556" s="102"/>
      <c r="D556" s="51"/>
      <c r="E556" s="102"/>
      <c r="F556" s="102"/>
      <c r="G556" s="103"/>
      <c r="H556" s="103"/>
      <c r="L556" s="103"/>
      <c r="M556" s="113"/>
      <c r="N556" s="107"/>
      <c r="O556" s="106" t="str">
        <f>IF(ISBLANK(M556), "", VLOOKUP(D556, 'Info Tipo de Cambio y REM'!$A$24:$B$35, 2, FALSE))</f>
        <v/>
      </c>
      <c r="P556" s="107" t="str">
        <f t="shared" si="2"/>
        <v/>
      </c>
    </row>
    <row r="557">
      <c r="A557" s="102"/>
      <c r="B557" s="102"/>
      <c r="C557" s="102"/>
      <c r="D557" s="51"/>
      <c r="E557" s="102"/>
      <c r="F557" s="102"/>
      <c r="G557" s="103"/>
      <c r="H557" s="103"/>
      <c r="L557" s="103"/>
      <c r="M557" s="113"/>
      <c r="N557" s="107"/>
      <c r="O557" s="106" t="str">
        <f>IF(ISBLANK(M557), "", VLOOKUP(D557, 'Info Tipo de Cambio y REM'!$A$24:$B$35, 2, FALSE))</f>
        <v/>
      </c>
      <c r="P557" s="107" t="str">
        <f t="shared" si="2"/>
        <v/>
      </c>
    </row>
    <row r="558">
      <c r="A558" s="102"/>
      <c r="B558" s="102"/>
      <c r="C558" s="102"/>
      <c r="D558" s="51"/>
      <c r="E558" s="102"/>
      <c r="F558" s="102"/>
      <c r="G558" s="103"/>
      <c r="H558" s="103"/>
      <c r="L558" s="103"/>
      <c r="M558" s="113"/>
      <c r="N558" s="107"/>
      <c r="O558" s="106" t="str">
        <f>IF(ISBLANK(M558), "", VLOOKUP(D558, 'Info Tipo de Cambio y REM'!$A$24:$B$35, 2, FALSE))</f>
        <v/>
      </c>
      <c r="P558" s="107" t="str">
        <f t="shared" si="2"/>
        <v/>
      </c>
    </row>
    <row r="559">
      <c r="A559" s="102"/>
      <c r="B559" s="102"/>
      <c r="C559" s="102"/>
      <c r="D559" s="51"/>
      <c r="E559" s="102"/>
      <c r="F559" s="102"/>
      <c r="G559" s="103"/>
      <c r="H559" s="103"/>
      <c r="L559" s="103"/>
      <c r="M559" s="113"/>
      <c r="N559" s="107"/>
      <c r="O559" s="106" t="str">
        <f>IF(ISBLANK(M559), "", VLOOKUP(D559, 'Info Tipo de Cambio y REM'!$A$24:$B$35, 2, FALSE))</f>
        <v/>
      </c>
      <c r="P559" s="107" t="str">
        <f t="shared" si="2"/>
        <v/>
      </c>
    </row>
    <row r="560">
      <c r="A560" s="102"/>
      <c r="B560" s="102"/>
      <c r="C560" s="102"/>
      <c r="D560" s="51"/>
      <c r="E560" s="102"/>
      <c r="F560" s="102"/>
      <c r="G560" s="103"/>
      <c r="H560" s="103"/>
      <c r="L560" s="103"/>
      <c r="M560" s="113"/>
      <c r="N560" s="107"/>
      <c r="O560" s="106" t="str">
        <f>IF(ISBLANK(M560), "", VLOOKUP(D560, 'Info Tipo de Cambio y REM'!$A$24:$B$35, 2, FALSE))</f>
        <v/>
      </c>
      <c r="P560" s="107" t="str">
        <f t="shared" si="2"/>
        <v/>
      </c>
    </row>
    <row r="561">
      <c r="A561" s="102"/>
      <c r="B561" s="102"/>
      <c r="C561" s="102"/>
      <c r="D561" s="51"/>
      <c r="E561" s="102"/>
      <c r="F561" s="102"/>
      <c r="G561" s="103"/>
      <c r="H561" s="103"/>
      <c r="L561" s="103"/>
      <c r="M561" s="113"/>
      <c r="N561" s="107"/>
      <c r="O561" s="106" t="str">
        <f>IF(ISBLANK(M561), "", VLOOKUP(D561, 'Info Tipo de Cambio y REM'!$A$24:$B$35, 2, FALSE))</f>
        <v/>
      </c>
      <c r="P561" s="107" t="str">
        <f t="shared" si="2"/>
        <v/>
      </c>
    </row>
    <row r="562">
      <c r="A562" s="102"/>
      <c r="B562" s="102"/>
      <c r="C562" s="102"/>
      <c r="D562" s="51"/>
      <c r="E562" s="102"/>
      <c r="F562" s="102"/>
      <c r="G562" s="103"/>
      <c r="H562" s="103"/>
      <c r="L562" s="103"/>
      <c r="M562" s="113"/>
      <c r="N562" s="107"/>
      <c r="O562" s="106" t="str">
        <f>IF(ISBLANK(M562), "", VLOOKUP(D562, 'Info Tipo de Cambio y REM'!$A$24:$B$35, 2, FALSE))</f>
        <v/>
      </c>
      <c r="P562" s="107" t="str">
        <f t="shared" si="2"/>
        <v/>
      </c>
    </row>
    <row r="563">
      <c r="A563" s="102"/>
      <c r="B563" s="102"/>
      <c r="C563" s="102"/>
      <c r="D563" s="51"/>
      <c r="E563" s="102"/>
      <c r="F563" s="102"/>
      <c r="G563" s="103"/>
      <c r="H563" s="103"/>
      <c r="L563" s="103"/>
      <c r="M563" s="113"/>
      <c r="N563" s="107"/>
      <c r="O563" s="106" t="str">
        <f>IF(ISBLANK(M563), "", VLOOKUP(D563, 'Info Tipo de Cambio y REM'!$A$24:$B$35, 2, FALSE))</f>
        <v/>
      </c>
      <c r="P563" s="107" t="str">
        <f t="shared" si="2"/>
        <v/>
      </c>
    </row>
    <row r="564">
      <c r="A564" s="102"/>
      <c r="B564" s="102"/>
      <c r="C564" s="102"/>
      <c r="D564" s="51"/>
      <c r="E564" s="102"/>
      <c r="F564" s="102"/>
      <c r="G564" s="103"/>
      <c r="H564" s="103"/>
      <c r="L564" s="103"/>
      <c r="M564" s="113"/>
      <c r="N564" s="107"/>
      <c r="O564" s="106" t="str">
        <f>IF(ISBLANK(M564), "", VLOOKUP(D564, 'Info Tipo de Cambio y REM'!$A$24:$B$35, 2, FALSE))</f>
        <v/>
      </c>
      <c r="P564" s="107" t="str">
        <f t="shared" si="2"/>
        <v/>
      </c>
    </row>
    <row r="565">
      <c r="A565" s="102"/>
      <c r="B565" s="102"/>
      <c r="C565" s="102"/>
      <c r="D565" s="51"/>
      <c r="E565" s="102"/>
      <c r="F565" s="102"/>
      <c r="G565" s="103"/>
      <c r="H565" s="103"/>
      <c r="L565" s="103"/>
      <c r="M565" s="113"/>
      <c r="N565" s="107"/>
      <c r="O565" s="106" t="str">
        <f>IF(ISBLANK(M565), "", VLOOKUP(D565, 'Info Tipo de Cambio y REM'!$A$24:$B$35, 2, FALSE))</f>
        <v/>
      </c>
      <c r="P565" s="107" t="str">
        <f t="shared" si="2"/>
        <v/>
      </c>
    </row>
    <row r="566">
      <c r="A566" s="102"/>
      <c r="B566" s="102"/>
      <c r="C566" s="102"/>
      <c r="D566" s="51"/>
      <c r="E566" s="102"/>
      <c r="F566" s="102"/>
      <c r="G566" s="103"/>
      <c r="H566" s="103"/>
      <c r="L566" s="103"/>
      <c r="M566" s="113"/>
      <c r="N566" s="107"/>
      <c r="O566" s="106" t="str">
        <f>IF(ISBLANK(M566), "", VLOOKUP(D566, 'Info Tipo de Cambio y REM'!$A$24:$B$35, 2, FALSE))</f>
        <v/>
      </c>
      <c r="P566" s="107" t="str">
        <f t="shared" si="2"/>
        <v/>
      </c>
    </row>
    <row r="567">
      <c r="A567" s="102"/>
      <c r="B567" s="102"/>
      <c r="C567" s="102"/>
      <c r="D567" s="51"/>
      <c r="E567" s="102"/>
      <c r="F567" s="102"/>
      <c r="G567" s="103"/>
      <c r="H567" s="103"/>
      <c r="L567" s="103"/>
      <c r="M567" s="113"/>
      <c r="N567" s="107"/>
      <c r="O567" s="106" t="str">
        <f>IF(ISBLANK(M567), "", VLOOKUP(D567, 'Info Tipo de Cambio y REM'!$A$24:$B$35, 2, FALSE))</f>
        <v/>
      </c>
      <c r="P567" s="107" t="str">
        <f t="shared" si="2"/>
        <v/>
      </c>
    </row>
    <row r="568">
      <c r="A568" s="102"/>
      <c r="B568" s="102"/>
      <c r="C568" s="102"/>
      <c r="D568" s="51"/>
      <c r="E568" s="102"/>
      <c r="F568" s="102"/>
      <c r="G568" s="103"/>
      <c r="H568" s="103"/>
      <c r="L568" s="103"/>
      <c r="M568" s="113"/>
      <c r="N568" s="107"/>
      <c r="O568" s="106" t="str">
        <f>IF(ISBLANK(M568), "", VLOOKUP(D568, 'Info Tipo de Cambio y REM'!$A$24:$B$35, 2, FALSE))</f>
        <v/>
      </c>
      <c r="P568" s="107" t="str">
        <f t="shared" si="2"/>
        <v/>
      </c>
    </row>
    <row r="569">
      <c r="A569" s="102"/>
      <c r="B569" s="102"/>
      <c r="C569" s="102"/>
      <c r="D569" s="51"/>
      <c r="E569" s="102"/>
      <c r="F569" s="102"/>
      <c r="G569" s="103"/>
      <c r="H569" s="103"/>
      <c r="L569" s="103"/>
      <c r="M569" s="113"/>
      <c r="N569" s="107"/>
      <c r="O569" s="106" t="str">
        <f>IF(ISBLANK(M569), "", VLOOKUP(D569, 'Info Tipo de Cambio y REM'!$A$24:$B$35, 2, FALSE))</f>
        <v/>
      </c>
      <c r="P569" s="107" t="str">
        <f t="shared" si="2"/>
        <v/>
      </c>
    </row>
    <row r="570">
      <c r="A570" s="102"/>
      <c r="B570" s="102"/>
      <c r="C570" s="102"/>
      <c r="D570" s="51"/>
      <c r="E570" s="102"/>
      <c r="F570" s="102"/>
      <c r="G570" s="103"/>
      <c r="H570" s="103"/>
      <c r="L570" s="103"/>
      <c r="M570" s="113"/>
      <c r="N570" s="107"/>
      <c r="O570" s="106" t="str">
        <f>IF(ISBLANK(M570), "", VLOOKUP(D570, 'Info Tipo de Cambio y REM'!$A$24:$B$35, 2, FALSE))</f>
        <v/>
      </c>
      <c r="P570" s="107" t="str">
        <f t="shared" si="2"/>
        <v/>
      </c>
    </row>
    <row r="571">
      <c r="A571" s="102"/>
      <c r="B571" s="102"/>
      <c r="C571" s="102"/>
      <c r="D571" s="51"/>
      <c r="E571" s="102"/>
      <c r="F571" s="102"/>
      <c r="G571" s="103"/>
      <c r="H571" s="103"/>
      <c r="L571" s="103"/>
      <c r="M571" s="113"/>
      <c r="N571" s="107"/>
      <c r="O571" s="106" t="str">
        <f>IF(ISBLANK(M571), "", VLOOKUP(D571, 'Info Tipo de Cambio y REM'!$A$24:$B$35, 2, FALSE))</f>
        <v/>
      </c>
      <c r="P571" s="107" t="str">
        <f t="shared" si="2"/>
        <v/>
      </c>
    </row>
    <row r="572">
      <c r="A572" s="102"/>
      <c r="B572" s="102"/>
      <c r="C572" s="102"/>
      <c r="D572" s="51"/>
      <c r="E572" s="102"/>
      <c r="F572" s="102"/>
      <c r="G572" s="103"/>
      <c r="H572" s="103"/>
      <c r="L572" s="103"/>
      <c r="M572" s="113"/>
      <c r="N572" s="107"/>
      <c r="O572" s="106" t="str">
        <f>IF(ISBLANK(M572), "", VLOOKUP(D572, 'Info Tipo de Cambio y REM'!$A$24:$B$35, 2, FALSE))</f>
        <v/>
      </c>
      <c r="P572" s="107" t="str">
        <f t="shared" si="2"/>
        <v/>
      </c>
    </row>
    <row r="573">
      <c r="A573" s="102"/>
      <c r="B573" s="102"/>
      <c r="C573" s="102"/>
      <c r="D573" s="51"/>
      <c r="E573" s="102"/>
      <c r="F573" s="102"/>
      <c r="G573" s="103"/>
      <c r="H573" s="103"/>
      <c r="L573" s="103"/>
      <c r="M573" s="113"/>
      <c r="N573" s="107"/>
      <c r="O573" s="106" t="str">
        <f>IF(ISBLANK(M573), "", VLOOKUP(D573, 'Info Tipo de Cambio y REM'!$A$24:$B$35, 2, FALSE))</f>
        <v/>
      </c>
      <c r="P573" s="107" t="str">
        <f t="shared" si="2"/>
        <v/>
      </c>
    </row>
    <row r="574">
      <c r="A574" s="102"/>
      <c r="B574" s="102"/>
      <c r="C574" s="102"/>
      <c r="D574" s="51"/>
      <c r="E574" s="102"/>
      <c r="F574" s="102"/>
      <c r="G574" s="103"/>
      <c r="H574" s="103"/>
      <c r="L574" s="103"/>
      <c r="M574" s="113"/>
      <c r="N574" s="107"/>
      <c r="O574" s="106" t="str">
        <f>IF(ISBLANK(M574), "", VLOOKUP(D574, 'Info Tipo de Cambio y REM'!$A$24:$B$35, 2, FALSE))</f>
        <v/>
      </c>
      <c r="P574" s="107" t="str">
        <f t="shared" si="2"/>
        <v/>
      </c>
    </row>
    <row r="575">
      <c r="A575" s="102"/>
      <c r="B575" s="102"/>
      <c r="C575" s="102"/>
      <c r="D575" s="51"/>
      <c r="E575" s="102"/>
      <c r="F575" s="102"/>
      <c r="G575" s="103"/>
      <c r="H575" s="103"/>
      <c r="L575" s="103"/>
      <c r="M575" s="113"/>
      <c r="N575" s="107"/>
      <c r="O575" s="106" t="str">
        <f>IF(ISBLANK(M575), "", VLOOKUP(D575, 'Info Tipo de Cambio y REM'!$A$24:$B$35, 2, FALSE))</f>
        <v/>
      </c>
      <c r="P575" s="107" t="str">
        <f t="shared" si="2"/>
        <v/>
      </c>
    </row>
    <row r="576">
      <c r="A576" s="102"/>
      <c r="B576" s="102"/>
      <c r="C576" s="102"/>
      <c r="D576" s="51"/>
      <c r="E576" s="102"/>
      <c r="F576" s="102"/>
      <c r="G576" s="103"/>
      <c r="H576" s="103"/>
      <c r="L576" s="103"/>
      <c r="M576" s="113"/>
      <c r="N576" s="107"/>
      <c r="O576" s="106" t="str">
        <f>IF(ISBLANK(M576), "", VLOOKUP(D576, 'Info Tipo de Cambio y REM'!$A$24:$B$35, 2, FALSE))</f>
        <v/>
      </c>
      <c r="P576" s="107" t="str">
        <f t="shared" si="2"/>
        <v/>
      </c>
    </row>
    <row r="577">
      <c r="A577" s="102"/>
      <c r="B577" s="102"/>
      <c r="C577" s="102"/>
      <c r="D577" s="51"/>
      <c r="E577" s="102"/>
      <c r="F577" s="102"/>
      <c r="G577" s="103"/>
      <c r="H577" s="103"/>
      <c r="L577" s="103"/>
      <c r="M577" s="113"/>
      <c r="N577" s="107"/>
      <c r="O577" s="106" t="str">
        <f>IF(ISBLANK(M577), "", VLOOKUP(D577, 'Info Tipo de Cambio y REM'!$A$24:$B$35, 2, FALSE))</f>
        <v/>
      </c>
      <c r="P577" s="107" t="str">
        <f t="shared" si="2"/>
        <v/>
      </c>
    </row>
    <row r="578">
      <c r="A578" s="102"/>
      <c r="B578" s="102"/>
      <c r="C578" s="102"/>
      <c r="D578" s="51"/>
      <c r="E578" s="102"/>
      <c r="F578" s="102"/>
      <c r="G578" s="103"/>
      <c r="H578" s="103"/>
      <c r="L578" s="103"/>
      <c r="M578" s="113"/>
      <c r="N578" s="107"/>
      <c r="O578" s="106" t="str">
        <f>IF(ISBLANK(M578), "", VLOOKUP(D578, 'Info Tipo de Cambio y REM'!$A$24:$B$35, 2, FALSE))</f>
        <v/>
      </c>
      <c r="P578" s="107" t="str">
        <f t="shared" si="2"/>
        <v/>
      </c>
    </row>
    <row r="579">
      <c r="A579" s="102"/>
      <c r="B579" s="102"/>
      <c r="C579" s="102"/>
      <c r="D579" s="51"/>
      <c r="E579" s="102"/>
      <c r="F579" s="102"/>
      <c r="G579" s="103"/>
      <c r="H579" s="103"/>
      <c r="L579" s="103"/>
      <c r="M579" s="113"/>
      <c r="N579" s="107"/>
      <c r="O579" s="106" t="str">
        <f>IF(ISBLANK(M579), "", VLOOKUP(D579, 'Info Tipo de Cambio y REM'!$A$24:$B$35, 2, FALSE))</f>
        <v/>
      </c>
      <c r="P579" s="107" t="str">
        <f t="shared" si="2"/>
        <v/>
      </c>
    </row>
    <row r="580">
      <c r="A580" s="102"/>
      <c r="B580" s="102"/>
      <c r="C580" s="102"/>
      <c r="D580" s="51"/>
      <c r="E580" s="102"/>
      <c r="F580" s="102"/>
      <c r="G580" s="103"/>
      <c r="H580" s="103"/>
      <c r="L580" s="103"/>
      <c r="M580" s="113"/>
      <c r="N580" s="107"/>
      <c r="O580" s="106" t="str">
        <f>IF(ISBLANK(M580), "", VLOOKUP(D580, 'Info Tipo de Cambio y REM'!$A$24:$B$35, 2, FALSE))</f>
        <v/>
      </c>
      <c r="P580" s="107" t="str">
        <f t="shared" si="2"/>
        <v/>
      </c>
    </row>
    <row r="581">
      <c r="A581" s="102"/>
      <c r="B581" s="102"/>
      <c r="C581" s="102"/>
      <c r="D581" s="51"/>
      <c r="E581" s="102"/>
      <c r="F581" s="102"/>
      <c r="G581" s="103"/>
      <c r="H581" s="103"/>
      <c r="L581" s="103"/>
      <c r="M581" s="113"/>
      <c r="N581" s="107"/>
      <c r="O581" s="106" t="str">
        <f>IF(ISBLANK(M581), "", VLOOKUP(D581, 'Info Tipo de Cambio y REM'!$A$24:$B$35, 2, FALSE))</f>
        <v/>
      </c>
      <c r="P581" s="107" t="str">
        <f t="shared" si="2"/>
        <v/>
      </c>
    </row>
    <row r="582">
      <c r="A582" s="102"/>
      <c r="B582" s="102"/>
      <c r="C582" s="102"/>
      <c r="D582" s="51"/>
      <c r="E582" s="102"/>
      <c r="F582" s="102"/>
      <c r="G582" s="103"/>
      <c r="H582" s="103"/>
      <c r="L582" s="103"/>
      <c r="M582" s="113"/>
      <c r="N582" s="107"/>
      <c r="O582" s="106" t="str">
        <f>IF(ISBLANK(M582), "", VLOOKUP(D582, 'Info Tipo de Cambio y REM'!$A$24:$B$35, 2, FALSE))</f>
        <v/>
      </c>
      <c r="P582" s="107" t="str">
        <f t="shared" si="2"/>
        <v/>
      </c>
    </row>
    <row r="583">
      <c r="A583" s="102"/>
      <c r="B583" s="102"/>
      <c r="C583" s="102"/>
      <c r="D583" s="51"/>
      <c r="E583" s="102"/>
      <c r="F583" s="102"/>
      <c r="G583" s="103"/>
      <c r="H583" s="103"/>
      <c r="L583" s="103"/>
      <c r="M583" s="113"/>
      <c r="N583" s="107"/>
      <c r="O583" s="106" t="str">
        <f>IF(ISBLANK(M583), "", VLOOKUP(D583, 'Info Tipo de Cambio y REM'!$A$24:$B$35, 2, FALSE))</f>
        <v/>
      </c>
      <c r="P583" s="107" t="str">
        <f t="shared" si="2"/>
        <v/>
      </c>
    </row>
    <row r="584">
      <c r="A584" s="102"/>
      <c r="B584" s="102"/>
      <c r="C584" s="102"/>
      <c r="D584" s="51"/>
      <c r="E584" s="102"/>
      <c r="F584" s="102"/>
      <c r="G584" s="103"/>
      <c r="H584" s="103"/>
      <c r="L584" s="103"/>
      <c r="M584" s="113"/>
      <c r="N584" s="107"/>
      <c r="O584" s="106" t="str">
        <f>IF(ISBLANK(M584), "", VLOOKUP(D584, 'Info Tipo de Cambio y REM'!$A$24:$B$35, 2, FALSE))</f>
        <v/>
      </c>
      <c r="P584" s="107" t="str">
        <f t="shared" si="2"/>
        <v/>
      </c>
    </row>
    <row r="585">
      <c r="A585" s="102"/>
      <c r="B585" s="102"/>
      <c r="C585" s="102"/>
      <c r="D585" s="51"/>
      <c r="E585" s="102"/>
      <c r="F585" s="102"/>
      <c r="G585" s="103"/>
      <c r="H585" s="103"/>
      <c r="L585" s="103"/>
      <c r="M585" s="113"/>
      <c r="N585" s="107"/>
      <c r="O585" s="106" t="str">
        <f>IF(ISBLANK(M585), "", VLOOKUP(D585, 'Info Tipo de Cambio y REM'!$A$24:$B$35, 2, FALSE))</f>
        <v/>
      </c>
      <c r="P585" s="107" t="str">
        <f t="shared" si="2"/>
        <v/>
      </c>
    </row>
    <row r="586">
      <c r="A586" s="102"/>
      <c r="B586" s="102"/>
      <c r="C586" s="102"/>
      <c r="D586" s="51"/>
      <c r="E586" s="102"/>
      <c r="F586" s="102"/>
      <c r="G586" s="103"/>
      <c r="H586" s="103"/>
      <c r="L586" s="103"/>
      <c r="M586" s="113"/>
      <c r="N586" s="107"/>
      <c r="O586" s="106" t="str">
        <f>IF(ISBLANK(M586), "", VLOOKUP(D586, 'Info Tipo de Cambio y REM'!$A$24:$B$35, 2, FALSE))</f>
        <v/>
      </c>
      <c r="P586" s="107" t="str">
        <f t="shared" si="2"/>
        <v/>
      </c>
    </row>
    <row r="587">
      <c r="A587" s="102"/>
      <c r="B587" s="102"/>
      <c r="C587" s="102"/>
      <c r="D587" s="51"/>
      <c r="E587" s="102"/>
      <c r="F587" s="102"/>
      <c r="G587" s="103"/>
      <c r="H587" s="103"/>
      <c r="L587" s="103"/>
      <c r="M587" s="113"/>
      <c r="N587" s="107"/>
      <c r="O587" s="106" t="str">
        <f>IF(ISBLANK(M587), "", VLOOKUP(D587, 'Info Tipo de Cambio y REM'!$A$24:$B$35, 2, FALSE))</f>
        <v/>
      </c>
      <c r="P587" s="107" t="str">
        <f t="shared" si="2"/>
        <v/>
      </c>
    </row>
    <row r="588">
      <c r="A588" s="102"/>
      <c r="B588" s="102"/>
      <c r="C588" s="102"/>
      <c r="D588" s="51"/>
      <c r="E588" s="102"/>
      <c r="F588" s="102"/>
      <c r="G588" s="103"/>
      <c r="H588" s="103"/>
      <c r="L588" s="103"/>
      <c r="M588" s="113"/>
      <c r="N588" s="107"/>
      <c r="O588" s="106" t="str">
        <f>IF(ISBLANK(M588), "", VLOOKUP(D588, 'Info Tipo de Cambio y REM'!$A$24:$B$35, 2, FALSE))</f>
        <v/>
      </c>
      <c r="P588" s="107" t="str">
        <f t="shared" si="2"/>
        <v/>
      </c>
    </row>
    <row r="589">
      <c r="A589" s="102"/>
      <c r="B589" s="102"/>
      <c r="C589" s="102"/>
      <c r="D589" s="51"/>
      <c r="E589" s="102"/>
      <c r="F589" s="102"/>
      <c r="G589" s="103"/>
      <c r="H589" s="103"/>
      <c r="L589" s="103"/>
      <c r="M589" s="113"/>
      <c r="N589" s="107"/>
      <c r="O589" s="106" t="str">
        <f>IF(ISBLANK(M589), "", VLOOKUP(D589, 'Info Tipo de Cambio y REM'!$A$24:$B$35, 2, FALSE))</f>
        <v/>
      </c>
      <c r="P589" s="107" t="str">
        <f t="shared" si="2"/>
        <v/>
      </c>
    </row>
    <row r="590">
      <c r="A590" s="102"/>
      <c r="B590" s="102"/>
      <c r="C590" s="102"/>
      <c r="D590" s="51"/>
      <c r="E590" s="102"/>
      <c r="F590" s="102"/>
      <c r="G590" s="103"/>
      <c r="H590" s="103"/>
      <c r="L590" s="103"/>
      <c r="M590" s="113"/>
      <c r="N590" s="107"/>
      <c r="O590" s="106" t="str">
        <f>IF(ISBLANK(M590), "", VLOOKUP(D590, 'Info Tipo de Cambio y REM'!$A$24:$B$35, 2, FALSE))</f>
        <v/>
      </c>
      <c r="P590" s="107" t="str">
        <f t="shared" si="2"/>
        <v/>
      </c>
    </row>
    <row r="591">
      <c r="A591" s="102"/>
      <c r="B591" s="102"/>
      <c r="C591" s="102"/>
      <c r="D591" s="51"/>
      <c r="E591" s="102"/>
      <c r="F591" s="102"/>
      <c r="G591" s="103"/>
      <c r="H591" s="103"/>
      <c r="L591" s="103"/>
      <c r="M591" s="113"/>
      <c r="N591" s="107"/>
      <c r="O591" s="106" t="str">
        <f>IF(ISBLANK(M591), "", VLOOKUP(D591, 'Info Tipo de Cambio y REM'!$A$24:$B$35, 2, FALSE))</f>
        <v/>
      </c>
      <c r="P591" s="107" t="str">
        <f t="shared" si="2"/>
        <v/>
      </c>
    </row>
    <row r="592">
      <c r="A592" s="102"/>
      <c r="B592" s="102"/>
      <c r="C592" s="102"/>
      <c r="D592" s="51"/>
      <c r="E592" s="102"/>
      <c r="F592" s="102"/>
      <c r="G592" s="103"/>
      <c r="H592" s="103"/>
      <c r="L592" s="103"/>
      <c r="M592" s="113"/>
      <c r="N592" s="107"/>
      <c r="O592" s="106" t="str">
        <f>IF(ISBLANK(M592), "", VLOOKUP(D592, 'Info Tipo de Cambio y REM'!$A$24:$B$35, 2, FALSE))</f>
        <v/>
      </c>
      <c r="P592" s="107" t="str">
        <f t="shared" si="2"/>
        <v/>
      </c>
    </row>
    <row r="593">
      <c r="A593" s="102"/>
      <c r="B593" s="102"/>
      <c r="C593" s="102"/>
      <c r="D593" s="51"/>
      <c r="E593" s="102"/>
      <c r="F593" s="102"/>
      <c r="G593" s="103"/>
      <c r="H593" s="103"/>
      <c r="L593" s="103"/>
      <c r="M593" s="113"/>
      <c r="N593" s="107"/>
      <c r="O593" s="106" t="str">
        <f>IF(ISBLANK(M593), "", VLOOKUP(D593, 'Info Tipo de Cambio y REM'!$A$24:$B$35, 2, FALSE))</f>
        <v/>
      </c>
      <c r="P593" s="107" t="str">
        <f t="shared" si="2"/>
        <v/>
      </c>
    </row>
    <row r="594">
      <c r="A594" s="102"/>
      <c r="B594" s="102"/>
      <c r="C594" s="102"/>
      <c r="D594" s="51"/>
      <c r="E594" s="102"/>
      <c r="F594" s="102"/>
      <c r="G594" s="103"/>
      <c r="H594" s="103"/>
      <c r="L594" s="103"/>
      <c r="M594" s="113"/>
      <c r="N594" s="107"/>
      <c r="O594" s="106" t="str">
        <f>IF(ISBLANK(M594), "", VLOOKUP(D594, 'Info Tipo de Cambio y REM'!$A$24:$B$35, 2, FALSE))</f>
        <v/>
      </c>
      <c r="P594" s="107" t="str">
        <f t="shared" si="2"/>
        <v/>
      </c>
    </row>
    <row r="595">
      <c r="A595" s="102"/>
      <c r="B595" s="102"/>
      <c r="C595" s="102"/>
      <c r="D595" s="51"/>
      <c r="E595" s="102"/>
      <c r="F595" s="102"/>
      <c r="G595" s="103"/>
      <c r="H595" s="103"/>
      <c r="L595" s="103"/>
      <c r="M595" s="113"/>
      <c r="N595" s="107"/>
      <c r="O595" s="106" t="str">
        <f>IF(ISBLANK(M595), "", VLOOKUP(D595, 'Info Tipo de Cambio y REM'!$A$24:$B$35, 2, FALSE))</f>
        <v/>
      </c>
      <c r="P595" s="107" t="str">
        <f t="shared" si="2"/>
        <v/>
      </c>
    </row>
    <row r="596">
      <c r="A596" s="102"/>
      <c r="B596" s="102"/>
      <c r="C596" s="102"/>
      <c r="D596" s="51"/>
      <c r="E596" s="102"/>
      <c r="F596" s="102"/>
      <c r="G596" s="103"/>
      <c r="H596" s="103"/>
      <c r="L596" s="103"/>
      <c r="M596" s="113"/>
      <c r="N596" s="107"/>
      <c r="O596" s="106" t="str">
        <f>IF(ISBLANK(M596), "", VLOOKUP(D596, 'Info Tipo de Cambio y REM'!$A$24:$B$35, 2, FALSE))</f>
        <v/>
      </c>
      <c r="P596" s="107" t="str">
        <f t="shared" si="2"/>
        <v/>
      </c>
    </row>
    <row r="597">
      <c r="A597" s="102"/>
      <c r="B597" s="102"/>
      <c r="C597" s="102"/>
      <c r="D597" s="51"/>
      <c r="E597" s="102"/>
      <c r="F597" s="102"/>
      <c r="G597" s="103"/>
      <c r="H597" s="103"/>
      <c r="L597" s="103"/>
      <c r="M597" s="113"/>
      <c r="N597" s="107"/>
      <c r="O597" s="106" t="str">
        <f>IF(ISBLANK(M597), "", VLOOKUP(D597, 'Info Tipo de Cambio y REM'!$A$24:$B$35, 2, FALSE))</f>
        <v/>
      </c>
      <c r="P597" s="107" t="str">
        <f t="shared" si="2"/>
        <v/>
      </c>
    </row>
    <row r="598">
      <c r="A598" s="102"/>
      <c r="B598" s="102"/>
      <c r="C598" s="102"/>
      <c r="D598" s="51"/>
      <c r="E598" s="102"/>
      <c r="F598" s="102"/>
      <c r="G598" s="103"/>
      <c r="H598" s="103"/>
      <c r="L598" s="103"/>
      <c r="M598" s="113"/>
      <c r="N598" s="107"/>
      <c r="O598" s="106" t="str">
        <f>IF(ISBLANK(M598), "", VLOOKUP(D598, 'Info Tipo de Cambio y REM'!$A$24:$B$35, 2, FALSE))</f>
        <v/>
      </c>
      <c r="P598" s="107" t="str">
        <f t="shared" si="2"/>
        <v/>
      </c>
    </row>
    <row r="599">
      <c r="A599" s="102"/>
      <c r="B599" s="102"/>
      <c r="C599" s="102"/>
      <c r="D599" s="51"/>
      <c r="E599" s="102"/>
      <c r="F599" s="102"/>
      <c r="G599" s="103"/>
      <c r="H599" s="103"/>
      <c r="L599" s="103"/>
      <c r="M599" s="113"/>
      <c r="N599" s="107"/>
      <c r="O599" s="106" t="str">
        <f>IF(ISBLANK(M599), "", VLOOKUP(D599, 'Info Tipo de Cambio y REM'!$A$24:$B$35, 2, FALSE))</f>
        <v/>
      </c>
      <c r="P599" s="107" t="str">
        <f t="shared" si="2"/>
        <v/>
      </c>
    </row>
    <row r="600">
      <c r="A600" s="102"/>
      <c r="B600" s="102"/>
      <c r="C600" s="102"/>
      <c r="D600" s="51"/>
      <c r="E600" s="102"/>
      <c r="F600" s="102"/>
      <c r="G600" s="103"/>
      <c r="H600" s="103"/>
      <c r="L600" s="103"/>
      <c r="M600" s="113"/>
      <c r="N600" s="107"/>
      <c r="O600" s="106" t="str">
        <f>IF(ISBLANK(M600), "", VLOOKUP(D600, 'Info Tipo de Cambio y REM'!$A$24:$B$35, 2, FALSE))</f>
        <v/>
      </c>
      <c r="P600" s="107" t="str">
        <f t="shared" si="2"/>
        <v/>
      </c>
    </row>
    <row r="601">
      <c r="A601" s="102"/>
      <c r="B601" s="102"/>
      <c r="C601" s="102"/>
      <c r="D601" s="51"/>
      <c r="E601" s="102"/>
      <c r="F601" s="102"/>
      <c r="G601" s="103"/>
      <c r="H601" s="103"/>
      <c r="L601" s="103"/>
      <c r="M601" s="113"/>
      <c r="N601" s="107"/>
      <c r="O601" s="106" t="str">
        <f>IF(ISBLANK(M601), "", VLOOKUP(D601, 'Info Tipo de Cambio y REM'!$A$24:$B$35, 2, FALSE))</f>
        <v/>
      </c>
      <c r="P601" s="107" t="str">
        <f t="shared" si="2"/>
        <v/>
      </c>
    </row>
    <row r="602">
      <c r="A602" s="102"/>
      <c r="B602" s="102"/>
      <c r="C602" s="102"/>
      <c r="D602" s="51"/>
      <c r="E602" s="102"/>
      <c r="F602" s="102"/>
      <c r="G602" s="103"/>
      <c r="H602" s="103"/>
      <c r="L602" s="103"/>
      <c r="M602" s="113"/>
      <c r="N602" s="107"/>
      <c r="O602" s="106" t="str">
        <f>IF(ISBLANK(M602), "", VLOOKUP(D602, 'Info Tipo de Cambio y REM'!$A$24:$B$35, 2, FALSE))</f>
        <v/>
      </c>
      <c r="P602" s="107" t="str">
        <f t="shared" si="2"/>
        <v/>
      </c>
    </row>
    <row r="603">
      <c r="A603" s="102"/>
      <c r="B603" s="102"/>
      <c r="C603" s="102"/>
      <c r="D603" s="51"/>
      <c r="E603" s="102"/>
      <c r="F603" s="102"/>
      <c r="G603" s="103"/>
      <c r="H603" s="103"/>
      <c r="L603" s="103"/>
      <c r="M603" s="113"/>
      <c r="N603" s="107"/>
      <c r="O603" s="106" t="str">
        <f>IF(ISBLANK(M603), "", VLOOKUP(D603, 'Info Tipo de Cambio y REM'!$A$24:$B$35, 2, FALSE))</f>
        <v/>
      </c>
      <c r="P603" s="107" t="str">
        <f t="shared" si="2"/>
        <v/>
      </c>
    </row>
    <row r="604">
      <c r="A604" s="102"/>
      <c r="B604" s="102"/>
      <c r="C604" s="102"/>
      <c r="D604" s="51"/>
      <c r="E604" s="102"/>
      <c r="F604" s="102"/>
      <c r="G604" s="103"/>
      <c r="H604" s="103"/>
      <c r="L604" s="103"/>
      <c r="M604" s="113"/>
      <c r="N604" s="107"/>
      <c r="O604" s="106" t="str">
        <f>IF(ISBLANK(M604), "", VLOOKUP(D604, 'Info Tipo de Cambio y REM'!$A$24:$B$35, 2, FALSE))</f>
        <v/>
      </c>
      <c r="P604" s="107" t="str">
        <f t="shared" si="2"/>
        <v/>
      </c>
    </row>
    <row r="605">
      <c r="A605" s="102"/>
      <c r="B605" s="102"/>
      <c r="C605" s="102"/>
      <c r="D605" s="51"/>
      <c r="E605" s="102"/>
      <c r="F605" s="102"/>
      <c r="G605" s="103"/>
      <c r="H605" s="103"/>
      <c r="L605" s="103"/>
      <c r="M605" s="113"/>
      <c r="N605" s="107"/>
      <c r="O605" s="106" t="str">
        <f>IF(ISBLANK(M605), "", VLOOKUP(D605, 'Info Tipo de Cambio y REM'!$A$24:$B$35, 2, FALSE))</f>
        <v/>
      </c>
      <c r="P605" s="107" t="str">
        <f t="shared" si="2"/>
        <v/>
      </c>
    </row>
    <row r="606">
      <c r="A606" s="102"/>
      <c r="B606" s="102"/>
      <c r="C606" s="102"/>
      <c r="D606" s="51"/>
      <c r="E606" s="102"/>
      <c r="F606" s="102"/>
      <c r="G606" s="103"/>
      <c r="H606" s="103"/>
      <c r="L606" s="103"/>
      <c r="M606" s="113"/>
      <c r="N606" s="107"/>
      <c r="O606" s="106" t="str">
        <f>IF(ISBLANK(M606), "", VLOOKUP(D606, 'Info Tipo de Cambio y REM'!$A$24:$B$35, 2, FALSE))</f>
        <v/>
      </c>
      <c r="P606" s="107" t="str">
        <f t="shared" si="2"/>
        <v/>
      </c>
    </row>
    <row r="607">
      <c r="A607" s="102"/>
      <c r="B607" s="102"/>
      <c r="C607" s="102"/>
      <c r="D607" s="51"/>
      <c r="E607" s="102"/>
      <c r="F607" s="102"/>
      <c r="G607" s="103"/>
      <c r="H607" s="103"/>
      <c r="L607" s="103"/>
      <c r="M607" s="113"/>
      <c r="N607" s="107"/>
      <c r="O607" s="106" t="str">
        <f>IF(ISBLANK(M607), "", VLOOKUP(D607, 'Info Tipo de Cambio y REM'!$A$24:$B$35, 2, FALSE))</f>
        <v/>
      </c>
      <c r="P607" s="107" t="str">
        <f t="shared" si="2"/>
        <v/>
      </c>
    </row>
    <row r="608">
      <c r="A608" s="102"/>
      <c r="B608" s="102"/>
      <c r="C608" s="102"/>
      <c r="D608" s="51"/>
      <c r="E608" s="102"/>
      <c r="F608" s="102"/>
      <c r="G608" s="103"/>
      <c r="H608" s="103"/>
      <c r="L608" s="103"/>
      <c r="M608" s="113"/>
      <c r="N608" s="107"/>
      <c r="O608" s="106" t="str">
        <f>IF(ISBLANK(M608), "", VLOOKUP(D608, 'Info Tipo de Cambio y REM'!$A$24:$B$35, 2, FALSE))</f>
        <v/>
      </c>
      <c r="P608" s="107" t="str">
        <f t="shared" si="2"/>
        <v/>
      </c>
    </row>
    <row r="609">
      <c r="A609" s="102"/>
      <c r="B609" s="102"/>
      <c r="C609" s="102"/>
      <c r="D609" s="51"/>
      <c r="E609" s="102"/>
      <c r="F609" s="102"/>
      <c r="G609" s="103"/>
      <c r="H609" s="103"/>
      <c r="L609" s="103"/>
      <c r="M609" s="113"/>
      <c r="N609" s="107"/>
      <c r="O609" s="106" t="str">
        <f>IF(ISBLANK(M609), "", VLOOKUP(D609, 'Info Tipo de Cambio y REM'!$A$24:$B$35, 2, FALSE))</f>
        <v/>
      </c>
      <c r="P609" s="107" t="str">
        <f t="shared" si="2"/>
        <v/>
      </c>
    </row>
    <row r="610">
      <c r="A610" s="102"/>
      <c r="B610" s="102"/>
      <c r="C610" s="102"/>
      <c r="D610" s="51"/>
      <c r="E610" s="102"/>
      <c r="F610" s="102"/>
      <c r="G610" s="103"/>
      <c r="H610" s="103"/>
      <c r="L610" s="103"/>
      <c r="M610" s="113"/>
      <c r="N610" s="107"/>
      <c r="O610" s="106" t="str">
        <f>IF(ISBLANK(M610), "", VLOOKUP(D610, 'Info Tipo de Cambio y REM'!$A$24:$B$35, 2, FALSE))</f>
        <v/>
      </c>
      <c r="P610" s="107" t="str">
        <f t="shared" si="2"/>
        <v/>
      </c>
    </row>
    <row r="611">
      <c r="A611" s="102"/>
      <c r="B611" s="102"/>
      <c r="C611" s="102"/>
      <c r="D611" s="51"/>
      <c r="E611" s="102"/>
      <c r="F611" s="102"/>
      <c r="G611" s="103"/>
      <c r="H611" s="103"/>
      <c r="L611" s="103"/>
      <c r="M611" s="113"/>
      <c r="N611" s="107"/>
      <c r="O611" s="106" t="str">
        <f>IF(ISBLANK(M611), "", VLOOKUP(D611, 'Info Tipo de Cambio y REM'!$A$24:$B$35, 2, FALSE))</f>
        <v/>
      </c>
      <c r="P611" s="107" t="str">
        <f t="shared" si="2"/>
        <v/>
      </c>
    </row>
    <row r="612">
      <c r="A612" s="102"/>
      <c r="B612" s="102"/>
      <c r="C612" s="102"/>
      <c r="D612" s="51"/>
      <c r="E612" s="102"/>
      <c r="F612" s="102"/>
      <c r="G612" s="103"/>
      <c r="H612" s="103"/>
      <c r="L612" s="103"/>
      <c r="M612" s="113"/>
      <c r="N612" s="107"/>
      <c r="O612" s="106" t="str">
        <f>IF(ISBLANK(M612), "", VLOOKUP(D612, 'Info Tipo de Cambio y REM'!$A$24:$B$35, 2, FALSE))</f>
        <v/>
      </c>
      <c r="P612" s="107" t="str">
        <f t="shared" si="2"/>
        <v/>
      </c>
    </row>
    <row r="613">
      <c r="A613" s="102"/>
      <c r="B613" s="102"/>
      <c r="C613" s="102"/>
      <c r="D613" s="51"/>
      <c r="E613" s="102"/>
      <c r="F613" s="102"/>
      <c r="G613" s="103"/>
      <c r="H613" s="103"/>
      <c r="L613" s="103"/>
      <c r="M613" s="113"/>
      <c r="N613" s="107"/>
      <c r="O613" s="106" t="str">
        <f>IF(ISBLANK(M613), "", VLOOKUP(D613, 'Info Tipo de Cambio y REM'!$A$24:$B$35, 2, FALSE))</f>
        <v/>
      </c>
      <c r="P613" s="107" t="str">
        <f t="shared" si="2"/>
        <v/>
      </c>
    </row>
    <row r="614">
      <c r="A614" s="102"/>
      <c r="B614" s="102"/>
      <c r="C614" s="102"/>
      <c r="D614" s="51"/>
      <c r="E614" s="102"/>
      <c r="F614" s="102"/>
      <c r="G614" s="103"/>
      <c r="H614" s="103"/>
      <c r="L614" s="103"/>
      <c r="M614" s="113"/>
      <c r="N614" s="107"/>
      <c r="O614" s="106" t="str">
        <f>IF(ISBLANK(M614), "", VLOOKUP(D614, 'Info Tipo de Cambio y REM'!$A$24:$B$35, 2, FALSE))</f>
        <v/>
      </c>
      <c r="P614" s="107" t="str">
        <f t="shared" si="2"/>
        <v/>
      </c>
    </row>
    <row r="615">
      <c r="A615" s="102"/>
      <c r="B615" s="102"/>
      <c r="C615" s="102"/>
      <c r="D615" s="51"/>
      <c r="E615" s="102"/>
      <c r="F615" s="102"/>
      <c r="G615" s="103"/>
      <c r="H615" s="103"/>
      <c r="L615" s="103"/>
      <c r="M615" s="113"/>
      <c r="N615" s="107"/>
      <c r="O615" s="106" t="str">
        <f>IF(ISBLANK(M615), "", VLOOKUP(D615, 'Info Tipo de Cambio y REM'!$A$24:$B$35, 2, FALSE))</f>
        <v/>
      </c>
      <c r="P615" s="107" t="str">
        <f t="shared" si="2"/>
        <v/>
      </c>
    </row>
    <row r="616">
      <c r="A616" s="102"/>
      <c r="B616" s="102"/>
      <c r="C616" s="102"/>
      <c r="D616" s="51"/>
      <c r="E616" s="102"/>
      <c r="F616" s="102"/>
      <c r="G616" s="103"/>
      <c r="H616" s="103"/>
      <c r="L616" s="103"/>
      <c r="M616" s="113"/>
      <c r="N616" s="107"/>
      <c r="O616" s="106" t="str">
        <f>IF(ISBLANK(M616), "", VLOOKUP(D616, 'Info Tipo de Cambio y REM'!$A$24:$B$35, 2, FALSE))</f>
        <v/>
      </c>
      <c r="P616" s="107" t="str">
        <f t="shared" si="2"/>
        <v/>
      </c>
    </row>
    <row r="617">
      <c r="A617" s="102"/>
      <c r="B617" s="102"/>
      <c r="C617" s="102"/>
      <c r="D617" s="51"/>
      <c r="E617" s="102"/>
      <c r="F617" s="102"/>
      <c r="G617" s="103"/>
      <c r="H617" s="103"/>
      <c r="L617" s="103"/>
      <c r="M617" s="113"/>
      <c r="N617" s="107"/>
      <c r="O617" s="106" t="str">
        <f>IF(ISBLANK(M617), "", VLOOKUP(D617, 'Info Tipo de Cambio y REM'!$A$24:$B$35, 2, FALSE))</f>
        <v/>
      </c>
      <c r="P617" s="107" t="str">
        <f t="shared" si="2"/>
        <v/>
      </c>
    </row>
    <row r="618">
      <c r="A618" s="102"/>
      <c r="B618" s="102"/>
      <c r="C618" s="102"/>
      <c r="D618" s="51"/>
      <c r="E618" s="102"/>
      <c r="F618" s="102"/>
      <c r="G618" s="103"/>
      <c r="H618" s="103"/>
      <c r="L618" s="103"/>
      <c r="M618" s="113"/>
      <c r="N618" s="107"/>
      <c r="O618" s="106" t="str">
        <f>IF(ISBLANK(M618), "", VLOOKUP(D618, 'Info Tipo de Cambio y REM'!$A$24:$B$35, 2, FALSE))</f>
        <v/>
      </c>
      <c r="P618" s="107" t="str">
        <f t="shared" si="2"/>
        <v/>
      </c>
    </row>
    <row r="619">
      <c r="A619" s="102"/>
      <c r="B619" s="102"/>
      <c r="C619" s="102"/>
      <c r="D619" s="51"/>
      <c r="E619" s="102"/>
      <c r="F619" s="102"/>
      <c r="G619" s="103"/>
      <c r="H619" s="103"/>
      <c r="L619" s="103"/>
      <c r="M619" s="113"/>
      <c r="N619" s="107"/>
      <c r="O619" s="106" t="str">
        <f>IF(ISBLANK(M619), "", VLOOKUP(D619, 'Info Tipo de Cambio y REM'!$A$24:$B$35, 2, FALSE))</f>
        <v/>
      </c>
      <c r="P619" s="107" t="str">
        <f t="shared" si="2"/>
        <v/>
      </c>
    </row>
    <row r="620">
      <c r="A620" s="102"/>
      <c r="B620" s="102"/>
      <c r="C620" s="102"/>
      <c r="D620" s="51"/>
      <c r="E620" s="102"/>
      <c r="F620" s="102"/>
      <c r="G620" s="103"/>
      <c r="H620" s="103"/>
      <c r="L620" s="103"/>
      <c r="M620" s="113"/>
      <c r="N620" s="107"/>
      <c r="O620" s="106" t="str">
        <f>IF(ISBLANK(M620), "", VLOOKUP(D620, 'Info Tipo de Cambio y REM'!$A$24:$B$35, 2, FALSE))</f>
        <v/>
      </c>
      <c r="P620" s="107" t="str">
        <f t="shared" si="2"/>
        <v/>
      </c>
    </row>
    <row r="621">
      <c r="A621" s="102"/>
      <c r="B621" s="102"/>
      <c r="C621" s="102"/>
      <c r="D621" s="51"/>
      <c r="E621" s="102"/>
      <c r="F621" s="102"/>
      <c r="G621" s="103"/>
      <c r="H621" s="103"/>
      <c r="L621" s="103"/>
      <c r="M621" s="113"/>
      <c r="N621" s="107"/>
      <c r="O621" s="106" t="str">
        <f>IF(ISBLANK(M621), "", VLOOKUP(D621, 'Info Tipo de Cambio y REM'!$A$24:$B$35, 2, FALSE))</f>
        <v/>
      </c>
      <c r="P621" s="107" t="str">
        <f t="shared" si="2"/>
        <v/>
      </c>
    </row>
    <row r="622">
      <c r="A622" s="102"/>
      <c r="B622" s="102"/>
      <c r="C622" s="102"/>
      <c r="D622" s="51"/>
      <c r="E622" s="102"/>
      <c r="F622" s="102"/>
      <c r="G622" s="103"/>
      <c r="H622" s="103"/>
      <c r="L622" s="103"/>
      <c r="M622" s="113"/>
      <c r="N622" s="107"/>
      <c r="O622" s="106" t="str">
        <f>IF(ISBLANK(M622), "", VLOOKUP(D622, 'Info Tipo de Cambio y REM'!$A$24:$B$35, 2, FALSE))</f>
        <v/>
      </c>
      <c r="P622" s="107" t="str">
        <f t="shared" si="2"/>
        <v/>
      </c>
    </row>
    <row r="623">
      <c r="A623" s="102"/>
      <c r="B623" s="102"/>
      <c r="C623" s="102"/>
      <c r="D623" s="51"/>
      <c r="E623" s="102"/>
      <c r="F623" s="102"/>
      <c r="G623" s="103"/>
      <c r="H623" s="103"/>
      <c r="L623" s="103"/>
      <c r="M623" s="113"/>
      <c r="N623" s="107"/>
      <c r="O623" s="106" t="str">
        <f>IF(ISBLANK(M623), "", VLOOKUP(D623, 'Info Tipo de Cambio y REM'!$A$24:$B$35, 2, FALSE))</f>
        <v/>
      </c>
      <c r="P623" s="107" t="str">
        <f t="shared" si="2"/>
        <v/>
      </c>
    </row>
    <row r="624">
      <c r="A624" s="102"/>
      <c r="B624" s="102"/>
      <c r="C624" s="102"/>
      <c r="D624" s="51"/>
      <c r="E624" s="102"/>
      <c r="F624" s="102"/>
      <c r="G624" s="103"/>
      <c r="H624" s="103"/>
      <c r="L624" s="103"/>
      <c r="M624" s="113"/>
      <c r="N624" s="107"/>
      <c r="O624" s="106" t="str">
        <f>IF(ISBLANK(M624), "", VLOOKUP(D624, 'Info Tipo de Cambio y REM'!$A$24:$B$35, 2, FALSE))</f>
        <v/>
      </c>
      <c r="P624" s="107" t="str">
        <f t="shared" si="2"/>
        <v/>
      </c>
    </row>
    <row r="625">
      <c r="A625" s="102"/>
      <c r="B625" s="102"/>
      <c r="C625" s="102"/>
      <c r="D625" s="51"/>
      <c r="E625" s="102"/>
      <c r="F625" s="102"/>
      <c r="G625" s="103"/>
      <c r="H625" s="103"/>
      <c r="L625" s="103"/>
      <c r="M625" s="113"/>
      <c r="N625" s="107"/>
      <c r="O625" s="106" t="str">
        <f>IF(ISBLANK(M625), "", VLOOKUP(D625, 'Info Tipo de Cambio y REM'!$A$24:$B$35, 2, FALSE))</f>
        <v/>
      </c>
      <c r="P625" s="107" t="str">
        <f t="shared" si="2"/>
        <v/>
      </c>
    </row>
    <row r="626">
      <c r="A626" s="102"/>
      <c r="B626" s="102"/>
      <c r="C626" s="102"/>
      <c r="D626" s="51"/>
      <c r="E626" s="102"/>
      <c r="F626" s="102"/>
      <c r="G626" s="103"/>
      <c r="H626" s="103"/>
      <c r="L626" s="103"/>
      <c r="M626" s="113"/>
      <c r="N626" s="107"/>
      <c r="O626" s="106" t="str">
        <f>IF(ISBLANK(M626), "", VLOOKUP(D626, 'Info Tipo de Cambio y REM'!$A$24:$B$35, 2, FALSE))</f>
        <v/>
      </c>
      <c r="P626" s="107" t="str">
        <f t="shared" si="2"/>
        <v/>
      </c>
    </row>
    <row r="627">
      <c r="A627" s="102"/>
      <c r="B627" s="102"/>
      <c r="C627" s="102"/>
      <c r="D627" s="51"/>
      <c r="E627" s="102"/>
      <c r="F627" s="102"/>
      <c r="G627" s="103"/>
      <c r="H627" s="103"/>
      <c r="L627" s="103"/>
      <c r="M627" s="113"/>
      <c r="N627" s="107"/>
      <c r="O627" s="106" t="str">
        <f>IF(ISBLANK(M627), "", VLOOKUP(D627, 'Info Tipo de Cambio y REM'!$A$24:$B$35, 2, FALSE))</f>
        <v/>
      </c>
      <c r="P627" s="107" t="str">
        <f t="shared" si="2"/>
        <v/>
      </c>
    </row>
    <row r="628">
      <c r="A628" s="102"/>
      <c r="B628" s="102"/>
      <c r="C628" s="102"/>
      <c r="D628" s="51"/>
      <c r="E628" s="102"/>
      <c r="F628" s="102"/>
      <c r="G628" s="103"/>
      <c r="H628" s="103"/>
      <c r="L628" s="103"/>
      <c r="M628" s="113"/>
      <c r="N628" s="107"/>
      <c r="O628" s="106" t="str">
        <f>IF(ISBLANK(M628), "", VLOOKUP(D628, 'Info Tipo de Cambio y REM'!$A$24:$B$35, 2, FALSE))</f>
        <v/>
      </c>
      <c r="P628" s="107" t="str">
        <f t="shared" si="2"/>
        <v/>
      </c>
    </row>
    <row r="629">
      <c r="A629" s="102"/>
      <c r="B629" s="102"/>
      <c r="C629" s="102"/>
      <c r="D629" s="51"/>
      <c r="E629" s="102"/>
      <c r="F629" s="102"/>
      <c r="G629" s="103"/>
      <c r="H629" s="103"/>
      <c r="L629" s="103"/>
      <c r="M629" s="113"/>
      <c r="N629" s="107"/>
      <c r="O629" s="106" t="str">
        <f>IF(ISBLANK(M629), "", VLOOKUP(D629, 'Info Tipo de Cambio y REM'!$A$24:$B$35, 2, FALSE))</f>
        <v/>
      </c>
      <c r="P629" s="107" t="str">
        <f t="shared" si="2"/>
        <v/>
      </c>
    </row>
    <row r="630">
      <c r="A630" s="102"/>
      <c r="B630" s="102"/>
      <c r="C630" s="102"/>
      <c r="D630" s="51"/>
      <c r="E630" s="102"/>
      <c r="F630" s="102"/>
      <c r="G630" s="103"/>
      <c r="H630" s="103"/>
      <c r="L630" s="103"/>
      <c r="M630" s="113"/>
      <c r="N630" s="107"/>
      <c r="O630" s="106" t="str">
        <f>IF(ISBLANK(M630), "", VLOOKUP(D630, 'Info Tipo de Cambio y REM'!$A$24:$B$35, 2, FALSE))</f>
        <v/>
      </c>
      <c r="P630" s="107" t="str">
        <f t="shared" si="2"/>
        <v/>
      </c>
    </row>
    <row r="631">
      <c r="A631" s="102"/>
      <c r="B631" s="102"/>
      <c r="C631" s="102"/>
      <c r="D631" s="51"/>
      <c r="E631" s="102"/>
      <c r="F631" s="102"/>
      <c r="G631" s="103"/>
      <c r="H631" s="103"/>
      <c r="L631" s="103"/>
      <c r="M631" s="113"/>
      <c r="N631" s="107"/>
      <c r="O631" s="106" t="str">
        <f>IF(ISBLANK(M631), "", VLOOKUP(D631, 'Info Tipo de Cambio y REM'!$A$24:$B$35, 2, FALSE))</f>
        <v/>
      </c>
      <c r="P631" s="107" t="str">
        <f t="shared" si="2"/>
        <v/>
      </c>
    </row>
    <row r="632">
      <c r="A632" s="102"/>
      <c r="B632" s="102"/>
      <c r="C632" s="102"/>
      <c r="D632" s="51"/>
      <c r="E632" s="102"/>
      <c r="F632" s="102"/>
      <c r="G632" s="103"/>
      <c r="H632" s="103"/>
      <c r="L632" s="103"/>
      <c r="M632" s="113"/>
      <c r="N632" s="107"/>
      <c r="O632" s="106" t="str">
        <f>IF(ISBLANK(M632), "", VLOOKUP(D632, 'Info Tipo de Cambio y REM'!$A$24:$B$35, 2, FALSE))</f>
        <v/>
      </c>
      <c r="P632" s="107" t="str">
        <f t="shared" si="2"/>
        <v/>
      </c>
    </row>
    <row r="633">
      <c r="A633" s="102"/>
      <c r="B633" s="102"/>
      <c r="C633" s="102"/>
      <c r="D633" s="51"/>
      <c r="E633" s="102"/>
      <c r="F633" s="102"/>
      <c r="G633" s="103"/>
      <c r="H633" s="103"/>
      <c r="L633" s="103"/>
      <c r="M633" s="113"/>
      <c r="N633" s="107"/>
      <c r="O633" s="106" t="str">
        <f>IF(ISBLANK(M633), "", VLOOKUP(D633, 'Info Tipo de Cambio y REM'!$A$24:$B$35, 2, FALSE))</f>
        <v/>
      </c>
      <c r="P633" s="107" t="str">
        <f t="shared" si="2"/>
        <v/>
      </c>
    </row>
    <row r="634">
      <c r="A634" s="102"/>
      <c r="B634" s="102"/>
      <c r="C634" s="102"/>
      <c r="D634" s="51"/>
      <c r="E634" s="102"/>
      <c r="F634" s="102"/>
      <c r="G634" s="103"/>
      <c r="H634" s="103"/>
      <c r="L634" s="103"/>
      <c r="M634" s="113"/>
      <c r="N634" s="107"/>
      <c r="O634" s="106" t="str">
        <f>IF(ISBLANK(M634), "", VLOOKUP(D634, 'Info Tipo de Cambio y REM'!$A$24:$B$35, 2, FALSE))</f>
        <v/>
      </c>
      <c r="P634" s="107" t="str">
        <f t="shared" si="2"/>
        <v/>
      </c>
    </row>
    <row r="635">
      <c r="A635" s="102"/>
      <c r="B635" s="102"/>
      <c r="C635" s="102"/>
      <c r="D635" s="51"/>
      <c r="E635" s="102"/>
      <c r="F635" s="102"/>
      <c r="G635" s="103"/>
      <c r="H635" s="103"/>
      <c r="L635" s="103"/>
      <c r="M635" s="113"/>
      <c r="N635" s="107"/>
      <c r="O635" s="106" t="str">
        <f>IF(ISBLANK(M635), "", VLOOKUP(D635, 'Info Tipo de Cambio y REM'!$A$24:$B$35, 2, FALSE))</f>
        <v/>
      </c>
      <c r="P635" s="107" t="str">
        <f t="shared" si="2"/>
        <v/>
      </c>
    </row>
    <row r="636">
      <c r="A636" s="102"/>
      <c r="B636" s="102"/>
      <c r="C636" s="102"/>
      <c r="D636" s="51"/>
      <c r="E636" s="102"/>
      <c r="F636" s="102"/>
      <c r="G636" s="103"/>
      <c r="H636" s="103"/>
      <c r="L636" s="103"/>
      <c r="M636" s="113"/>
      <c r="N636" s="107"/>
      <c r="O636" s="106" t="str">
        <f>IF(ISBLANK(M636), "", VLOOKUP(D636, 'Info Tipo de Cambio y REM'!$A$24:$B$35, 2, FALSE))</f>
        <v/>
      </c>
      <c r="P636" s="107" t="str">
        <f t="shared" si="2"/>
        <v/>
      </c>
    </row>
    <row r="637">
      <c r="A637" s="102"/>
      <c r="B637" s="102"/>
      <c r="C637" s="102"/>
      <c r="D637" s="51"/>
      <c r="E637" s="102"/>
      <c r="F637" s="102"/>
      <c r="G637" s="103"/>
      <c r="H637" s="103"/>
      <c r="L637" s="103"/>
      <c r="M637" s="113"/>
      <c r="N637" s="107"/>
      <c r="O637" s="106" t="str">
        <f>IF(ISBLANK(M637), "", VLOOKUP(D637, 'Info Tipo de Cambio y REM'!$A$24:$B$35, 2, FALSE))</f>
        <v/>
      </c>
      <c r="P637" s="107" t="str">
        <f t="shared" si="2"/>
        <v/>
      </c>
    </row>
    <row r="638">
      <c r="A638" s="102"/>
      <c r="B638" s="102"/>
      <c r="C638" s="102"/>
      <c r="D638" s="51"/>
      <c r="E638" s="102"/>
      <c r="F638" s="102"/>
      <c r="G638" s="103"/>
      <c r="H638" s="103"/>
      <c r="L638" s="103"/>
      <c r="M638" s="113"/>
      <c r="N638" s="107"/>
      <c r="O638" s="106" t="str">
        <f>IF(ISBLANK(M638), "", VLOOKUP(D638, 'Info Tipo de Cambio y REM'!$A$24:$B$35, 2, FALSE))</f>
        <v/>
      </c>
      <c r="P638" s="107" t="str">
        <f t="shared" si="2"/>
        <v/>
      </c>
    </row>
    <row r="639">
      <c r="A639" s="102"/>
      <c r="B639" s="102"/>
      <c r="C639" s="102"/>
      <c r="D639" s="51"/>
      <c r="E639" s="102"/>
      <c r="F639" s="102"/>
      <c r="G639" s="103"/>
      <c r="H639" s="103"/>
      <c r="L639" s="103"/>
      <c r="M639" s="113"/>
      <c r="N639" s="107"/>
      <c r="O639" s="106" t="str">
        <f>IF(ISBLANK(M639), "", VLOOKUP(D639, 'Info Tipo de Cambio y REM'!$A$24:$B$35, 2, FALSE))</f>
        <v/>
      </c>
      <c r="P639" s="107" t="str">
        <f t="shared" si="2"/>
        <v/>
      </c>
    </row>
    <row r="640">
      <c r="A640" s="102"/>
      <c r="B640" s="102"/>
      <c r="C640" s="102"/>
      <c r="D640" s="51"/>
      <c r="E640" s="102"/>
      <c r="F640" s="102"/>
      <c r="G640" s="103"/>
      <c r="H640" s="103"/>
      <c r="L640" s="103"/>
      <c r="M640" s="113"/>
      <c r="N640" s="107"/>
      <c r="O640" s="106" t="str">
        <f>IF(ISBLANK(M640), "", VLOOKUP(D640, 'Info Tipo de Cambio y REM'!$A$24:$B$35, 2, FALSE))</f>
        <v/>
      </c>
      <c r="P640" s="107" t="str">
        <f t="shared" si="2"/>
        <v/>
      </c>
    </row>
    <row r="641">
      <c r="A641" s="102"/>
      <c r="B641" s="102"/>
      <c r="C641" s="102"/>
      <c r="D641" s="51"/>
      <c r="E641" s="102"/>
      <c r="F641" s="102"/>
      <c r="G641" s="103"/>
      <c r="H641" s="103"/>
      <c r="L641" s="103"/>
      <c r="M641" s="113"/>
      <c r="N641" s="107"/>
      <c r="O641" s="106" t="str">
        <f>IF(ISBLANK(M641), "", VLOOKUP(D641, 'Info Tipo de Cambio y REM'!$A$24:$B$35, 2, FALSE))</f>
        <v/>
      </c>
      <c r="P641" s="107" t="str">
        <f t="shared" si="2"/>
        <v/>
      </c>
    </row>
    <row r="642">
      <c r="A642" s="102"/>
      <c r="B642" s="102"/>
      <c r="C642" s="102"/>
      <c r="D642" s="51"/>
      <c r="E642" s="102"/>
      <c r="F642" s="102"/>
      <c r="G642" s="103"/>
      <c r="H642" s="103"/>
      <c r="L642" s="103"/>
      <c r="M642" s="113"/>
      <c r="N642" s="107"/>
      <c r="O642" s="106" t="str">
        <f>IF(ISBLANK(M642), "", VLOOKUP(D642, 'Info Tipo de Cambio y REM'!$A$24:$B$35, 2, FALSE))</f>
        <v/>
      </c>
      <c r="P642" s="107" t="str">
        <f t="shared" si="2"/>
        <v/>
      </c>
    </row>
    <row r="643">
      <c r="A643" s="102"/>
      <c r="B643" s="102"/>
      <c r="C643" s="102"/>
      <c r="D643" s="51"/>
      <c r="E643" s="102"/>
      <c r="F643" s="102"/>
      <c r="G643" s="103"/>
      <c r="H643" s="103"/>
      <c r="L643" s="103"/>
      <c r="M643" s="113"/>
      <c r="N643" s="107"/>
      <c r="O643" s="106" t="str">
        <f>IF(ISBLANK(M643), "", VLOOKUP(D643, 'Info Tipo de Cambio y REM'!$A$24:$B$35, 2, FALSE))</f>
        <v/>
      </c>
      <c r="P643" s="107" t="str">
        <f t="shared" si="2"/>
        <v/>
      </c>
    </row>
    <row r="644">
      <c r="A644" s="102"/>
      <c r="B644" s="102"/>
      <c r="C644" s="102"/>
      <c r="D644" s="51"/>
      <c r="E644" s="102"/>
      <c r="F644" s="102"/>
      <c r="G644" s="103"/>
      <c r="H644" s="103"/>
      <c r="L644" s="103"/>
      <c r="M644" s="113"/>
      <c r="N644" s="107"/>
      <c r="O644" s="106" t="str">
        <f>IF(ISBLANK(M644), "", VLOOKUP(D644, 'Info Tipo de Cambio y REM'!$A$24:$B$35, 2, FALSE))</f>
        <v/>
      </c>
      <c r="P644" s="107" t="str">
        <f t="shared" si="2"/>
        <v/>
      </c>
    </row>
    <row r="645">
      <c r="A645" s="102"/>
      <c r="B645" s="102"/>
      <c r="C645" s="102"/>
      <c r="D645" s="51"/>
      <c r="E645" s="102"/>
      <c r="F645" s="102"/>
      <c r="G645" s="103"/>
      <c r="H645" s="103"/>
      <c r="L645" s="103"/>
      <c r="M645" s="113"/>
      <c r="N645" s="107"/>
      <c r="O645" s="106" t="str">
        <f>IF(ISBLANK(M645), "", VLOOKUP(D645, 'Info Tipo de Cambio y REM'!$A$24:$B$35, 2, FALSE))</f>
        <v/>
      </c>
      <c r="P645" s="107" t="str">
        <f t="shared" si="2"/>
        <v/>
      </c>
    </row>
    <row r="646">
      <c r="A646" s="102"/>
      <c r="B646" s="102"/>
      <c r="C646" s="102"/>
      <c r="D646" s="51"/>
      <c r="E646" s="102"/>
      <c r="F646" s="102"/>
      <c r="G646" s="103"/>
      <c r="H646" s="103"/>
      <c r="L646" s="103"/>
      <c r="M646" s="113"/>
      <c r="N646" s="107"/>
      <c r="O646" s="106" t="str">
        <f>IF(ISBLANK(M646), "", VLOOKUP(D646, 'Info Tipo de Cambio y REM'!$A$24:$B$35, 2, FALSE))</f>
        <v/>
      </c>
      <c r="P646" s="107" t="str">
        <f t="shared" si="2"/>
        <v/>
      </c>
    </row>
    <row r="647">
      <c r="A647" s="102"/>
      <c r="B647" s="102"/>
      <c r="C647" s="102"/>
      <c r="D647" s="51"/>
      <c r="E647" s="102"/>
      <c r="F647" s="102"/>
      <c r="G647" s="103"/>
      <c r="H647" s="103"/>
      <c r="L647" s="103"/>
      <c r="M647" s="113"/>
      <c r="N647" s="107"/>
      <c r="O647" s="106" t="str">
        <f>IF(ISBLANK(M647), "", VLOOKUP(D647, 'Info Tipo de Cambio y REM'!$A$24:$B$35, 2, FALSE))</f>
        <v/>
      </c>
      <c r="P647" s="107" t="str">
        <f t="shared" si="2"/>
        <v/>
      </c>
    </row>
    <row r="648">
      <c r="A648" s="102"/>
      <c r="B648" s="102"/>
      <c r="C648" s="102"/>
      <c r="D648" s="51"/>
      <c r="E648" s="102"/>
      <c r="F648" s="102"/>
      <c r="G648" s="103"/>
      <c r="H648" s="103"/>
      <c r="L648" s="103"/>
      <c r="M648" s="113"/>
      <c r="N648" s="107"/>
      <c r="O648" s="106" t="str">
        <f>IF(ISBLANK(M648), "", VLOOKUP(D648, 'Info Tipo de Cambio y REM'!$A$24:$B$35, 2, FALSE))</f>
        <v/>
      </c>
      <c r="P648" s="107" t="str">
        <f t="shared" si="2"/>
        <v/>
      </c>
    </row>
    <row r="649">
      <c r="A649" s="102"/>
      <c r="B649" s="102"/>
      <c r="C649" s="102"/>
      <c r="D649" s="51"/>
      <c r="E649" s="102"/>
      <c r="F649" s="102"/>
      <c r="G649" s="103"/>
      <c r="H649" s="103"/>
      <c r="L649" s="103"/>
      <c r="M649" s="113"/>
      <c r="N649" s="107"/>
      <c r="O649" s="106" t="str">
        <f>IF(ISBLANK(M649), "", VLOOKUP(D649, 'Info Tipo de Cambio y REM'!$A$24:$B$35, 2, FALSE))</f>
        <v/>
      </c>
      <c r="P649" s="107" t="str">
        <f t="shared" si="2"/>
        <v/>
      </c>
    </row>
    <row r="650">
      <c r="A650" s="102"/>
      <c r="B650" s="102"/>
      <c r="C650" s="102"/>
      <c r="D650" s="51"/>
      <c r="E650" s="102"/>
      <c r="F650" s="102"/>
      <c r="G650" s="103"/>
      <c r="H650" s="103"/>
      <c r="L650" s="103"/>
      <c r="M650" s="113"/>
      <c r="N650" s="107"/>
      <c r="O650" s="106" t="str">
        <f>IF(ISBLANK(M650), "", VLOOKUP(D650, 'Info Tipo de Cambio y REM'!$A$24:$B$35, 2, FALSE))</f>
        <v/>
      </c>
      <c r="P650" s="107" t="str">
        <f t="shared" si="2"/>
        <v/>
      </c>
    </row>
    <row r="651">
      <c r="A651" s="102"/>
      <c r="B651" s="102"/>
      <c r="C651" s="102"/>
      <c r="D651" s="51"/>
      <c r="E651" s="102"/>
      <c r="F651" s="102"/>
      <c r="G651" s="103"/>
      <c r="H651" s="103"/>
      <c r="L651" s="103"/>
      <c r="M651" s="113"/>
      <c r="N651" s="107"/>
      <c r="O651" s="106" t="str">
        <f>IF(ISBLANK(M651), "", VLOOKUP(D651, 'Info Tipo de Cambio y REM'!$A$24:$B$35, 2, FALSE))</f>
        <v/>
      </c>
      <c r="P651" s="107" t="str">
        <f t="shared" si="2"/>
        <v/>
      </c>
    </row>
    <row r="652">
      <c r="A652" s="102"/>
      <c r="B652" s="102"/>
      <c r="C652" s="102"/>
      <c r="D652" s="51"/>
      <c r="E652" s="102"/>
      <c r="F652" s="102"/>
      <c r="G652" s="103"/>
      <c r="H652" s="103"/>
      <c r="L652" s="103"/>
      <c r="M652" s="113"/>
      <c r="N652" s="107"/>
      <c r="O652" s="106" t="str">
        <f>IF(ISBLANK(M652), "", VLOOKUP(D652, 'Info Tipo de Cambio y REM'!$A$24:$B$35, 2, FALSE))</f>
        <v/>
      </c>
      <c r="P652" s="107" t="str">
        <f t="shared" si="2"/>
        <v/>
      </c>
    </row>
    <row r="653">
      <c r="A653" s="102"/>
      <c r="B653" s="102"/>
      <c r="C653" s="102"/>
      <c r="D653" s="51"/>
      <c r="E653" s="102"/>
      <c r="F653" s="102"/>
      <c r="G653" s="103"/>
      <c r="H653" s="103"/>
      <c r="L653" s="103"/>
      <c r="M653" s="113"/>
      <c r="N653" s="107"/>
      <c r="O653" s="106" t="str">
        <f>IF(ISBLANK(M653), "", VLOOKUP(D653, 'Info Tipo de Cambio y REM'!$A$24:$B$35, 2, FALSE))</f>
        <v/>
      </c>
      <c r="P653" s="107" t="str">
        <f t="shared" si="2"/>
        <v/>
      </c>
    </row>
    <row r="654">
      <c r="A654" s="102"/>
      <c r="B654" s="102"/>
      <c r="C654" s="102"/>
      <c r="D654" s="51"/>
      <c r="E654" s="102"/>
      <c r="F654" s="102"/>
      <c r="G654" s="103"/>
      <c r="H654" s="103"/>
      <c r="L654" s="103"/>
      <c r="M654" s="113"/>
      <c r="N654" s="107"/>
      <c r="O654" s="106" t="str">
        <f>IF(ISBLANK(M654), "", VLOOKUP(D654, 'Info Tipo de Cambio y REM'!$A$24:$B$35, 2, FALSE))</f>
        <v/>
      </c>
      <c r="P654" s="107" t="str">
        <f t="shared" si="2"/>
        <v/>
      </c>
    </row>
    <row r="655">
      <c r="A655" s="102"/>
      <c r="B655" s="102"/>
      <c r="C655" s="102"/>
      <c r="D655" s="51"/>
      <c r="E655" s="102"/>
      <c r="F655" s="102"/>
      <c r="G655" s="103"/>
      <c r="H655" s="103"/>
      <c r="L655" s="103"/>
      <c r="M655" s="113"/>
      <c r="N655" s="107"/>
      <c r="O655" s="106" t="str">
        <f>IF(ISBLANK(M655), "", VLOOKUP(D655, 'Info Tipo de Cambio y REM'!$A$24:$B$35, 2, FALSE))</f>
        <v/>
      </c>
      <c r="P655" s="107" t="str">
        <f t="shared" si="2"/>
        <v/>
      </c>
    </row>
    <row r="656">
      <c r="A656" s="102"/>
      <c r="B656" s="102"/>
      <c r="C656" s="102"/>
      <c r="D656" s="51"/>
      <c r="E656" s="102"/>
      <c r="F656" s="102"/>
      <c r="G656" s="103"/>
      <c r="H656" s="103"/>
      <c r="L656" s="103"/>
      <c r="M656" s="113"/>
      <c r="N656" s="107"/>
      <c r="O656" s="106" t="str">
        <f>IF(ISBLANK(M656), "", VLOOKUP(D656, 'Info Tipo de Cambio y REM'!$A$24:$B$35, 2, FALSE))</f>
        <v/>
      </c>
      <c r="P656" s="107" t="str">
        <f t="shared" si="2"/>
        <v/>
      </c>
    </row>
    <row r="657">
      <c r="A657" s="102"/>
      <c r="B657" s="102"/>
      <c r="C657" s="102"/>
      <c r="D657" s="51"/>
      <c r="E657" s="102"/>
      <c r="F657" s="102"/>
      <c r="G657" s="103"/>
      <c r="H657" s="103"/>
      <c r="L657" s="103"/>
      <c r="M657" s="113"/>
      <c r="N657" s="107"/>
      <c r="O657" s="106" t="str">
        <f>IF(ISBLANK(M657), "", VLOOKUP(D657, 'Info Tipo de Cambio y REM'!$A$24:$B$35, 2, FALSE))</f>
        <v/>
      </c>
      <c r="P657" s="107" t="str">
        <f t="shared" si="2"/>
        <v/>
      </c>
    </row>
    <row r="658">
      <c r="A658" s="102"/>
      <c r="B658" s="102"/>
      <c r="C658" s="102"/>
      <c r="D658" s="51"/>
      <c r="E658" s="102"/>
      <c r="F658" s="102"/>
      <c r="G658" s="103"/>
      <c r="H658" s="103"/>
      <c r="L658" s="103"/>
      <c r="M658" s="113"/>
      <c r="N658" s="107"/>
      <c r="O658" s="106" t="str">
        <f>IF(ISBLANK(M658), "", VLOOKUP(D658, 'Info Tipo de Cambio y REM'!$A$24:$B$35, 2, FALSE))</f>
        <v/>
      </c>
      <c r="P658" s="107" t="str">
        <f t="shared" si="2"/>
        <v/>
      </c>
    </row>
    <row r="659">
      <c r="A659" s="102"/>
      <c r="B659" s="102"/>
      <c r="C659" s="102"/>
      <c r="D659" s="51"/>
      <c r="E659" s="102"/>
      <c r="F659" s="102"/>
      <c r="G659" s="103"/>
      <c r="H659" s="103"/>
      <c r="L659" s="103"/>
      <c r="M659" s="113"/>
      <c r="N659" s="107"/>
      <c r="O659" s="106" t="str">
        <f>IF(ISBLANK(M659), "", VLOOKUP(D659, 'Info Tipo de Cambio y REM'!$A$24:$B$35, 2, FALSE))</f>
        <v/>
      </c>
      <c r="P659" s="107" t="str">
        <f t="shared" si="2"/>
        <v/>
      </c>
    </row>
    <row r="660">
      <c r="A660" s="102"/>
      <c r="B660" s="102"/>
      <c r="C660" s="102"/>
      <c r="D660" s="51"/>
      <c r="E660" s="102"/>
      <c r="F660" s="102"/>
      <c r="G660" s="103"/>
      <c r="H660" s="103"/>
      <c r="L660" s="103"/>
      <c r="M660" s="113"/>
      <c r="N660" s="107"/>
      <c r="O660" s="106" t="str">
        <f>IF(ISBLANK(M660), "", VLOOKUP(D660, 'Info Tipo de Cambio y REM'!$A$24:$B$35, 2, FALSE))</f>
        <v/>
      </c>
      <c r="P660" s="107" t="str">
        <f t="shared" si="2"/>
        <v/>
      </c>
    </row>
    <row r="661">
      <c r="A661" s="102"/>
      <c r="B661" s="102"/>
      <c r="C661" s="102"/>
      <c r="D661" s="51"/>
      <c r="E661" s="102"/>
      <c r="F661" s="102"/>
      <c r="G661" s="103"/>
      <c r="H661" s="103"/>
      <c r="L661" s="103"/>
      <c r="M661" s="113"/>
      <c r="N661" s="107"/>
      <c r="O661" s="106" t="str">
        <f>IF(ISBLANK(M661), "", VLOOKUP(D661, 'Info Tipo de Cambio y REM'!$A$24:$B$35, 2, FALSE))</f>
        <v/>
      </c>
      <c r="P661" s="107" t="str">
        <f t="shared" si="2"/>
        <v/>
      </c>
    </row>
    <row r="662">
      <c r="A662" s="102"/>
      <c r="B662" s="102"/>
      <c r="C662" s="102"/>
      <c r="D662" s="51"/>
      <c r="E662" s="102"/>
      <c r="F662" s="102"/>
      <c r="G662" s="103"/>
      <c r="H662" s="103"/>
      <c r="L662" s="103"/>
      <c r="M662" s="113"/>
      <c r="N662" s="107"/>
      <c r="O662" s="106" t="str">
        <f>IF(ISBLANK(M662), "", VLOOKUP(D662, 'Info Tipo de Cambio y REM'!$A$24:$B$35, 2, FALSE))</f>
        <v/>
      </c>
      <c r="P662" s="107" t="str">
        <f t="shared" si="2"/>
        <v/>
      </c>
    </row>
    <row r="663">
      <c r="A663" s="102"/>
      <c r="B663" s="102"/>
      <c r="C663" s="102"/>
      <c r="D663" s="51"/>
      <c r="E663" s="102"/>
      <c r="F663" s="102"/>
      <c r="G663" s="103"/>
      <c r="H663" s="103"/>
      <c r="L663" s="103"/>
      <c r="M663" s="113"/>
      <c r="N663" s="107"/>
      <c r="O663" s="106" t="str">
        <f>IF(ISBLANK(M663), "", VLOOKUP(D663, 'Info Tipo de Cambio y REM'!$A$24:$B$35, 2, FALSE))</f>
        <v/>
      </c>
      <c r="P663" s="107" t="str">
        <f t="shared" si="2"/>
        <v/>
      </c>
    </row>
    <row r="664">
      <c r="A664" s="102"/>
      <c r="B664" s="102"/>
      <c r="C664" s="102"/>
      <c r="D664" s="51"/>
      <c r="E664" s="102"/>
      <c r="F664" s="102"/>
      <c r="G664" s="103"/>
      <c r="H664" s="103"/>
      <c r="L664" s="103"/>
      <c r="M664" s="113"/>
      <c r="N664" s="107"/>
      <c r="O664" s="106" t="str">
        <f>IF(ISBLANK(M664), "", VLOOKUP(D664, 'Info Tipo de Cambio y REM'!$A$24:$B$35, 2, FALSE))</f>
        <v/>
      </c>
      <c r="P664" s="107" t="str">
        <f t="shared" si="2"/>
        <v/>
      </c>
    </row>
    <row r="665">
      <c r="A665" s="102"/>
      <c r="B665" s="102"/>
      <c r="C665" s="102"/>
      <c r="D665" s="51"/>
      <c r="E665" s="102"/>
      <c r="F665" s="102"/>
      <c r="G665" s="103"/>
      <c r="H665" s="103"/>
      <c r="L665" s="103"/>
      <c r="M665" s="113"/>
      <c r="N665" s="107"/>
      <c r="O665" s="106" t="str">
        <f>IF(ISBLANK(M665), "", VLOOKUP(D665, 'Info Tipo de Cambio y REM'!$A$24:$B$35, 2, FALSE))</f>
        <v/>
      </c>
      <c r="P665" s="107" t="str">
        <f t="shared" si="2"/>
        <v/>
      </c>
    </row>
    <row r="666">
      <c r="A666" s="102"/>
      <c r="B666" s="102"/>
      <c r="C666" s="102"/>
      <c r="D666" s="51"/>
      <c r="E666" s="102"/>
      <c r="F666" s="102"/>
      <c r="G666" s="103"/>
      <c r="H666" s="103"/>
      <c r="L666" s="103"/>
      <c r="M666" s="113"/>
      <c r="N666" s="107"/>
      <c r="O666" s="106" t="str">
        <f>IF(ISBLANK(M666), "", VLOOKUP(D666, 'Info Tipo de Cambio y REM'!$A$24:$B$35, 2, FALSE))</f>
        <v/>
      </c>
      <c r="P666" s="107" t="str">
        <f t="shared" si="2"/>
        <v/>
      </c>
    </row>
    <row r="667">
      <c r="A667" s="102"/>
      <c r="B667" s="102"/>
      <c r="C667" s="102"/>
      <c r="D667" s="51"/>
      <c r="E667" s="102"/>
      <c r="F667" s="102"/>
      <c r="G667" s="103"/>
      <c r="H667" s="103"/>
      <c r="L667" s="103"/>
      <c r="M667" s="113"/>
      <c r="N667" s="107"/>
      <c r="O667" s="106" t="str">
        <f>IF(ISBLANK(M667), "", VLOOKUP(D667, 'Info Tipo de Cambio y REM'!$A$24:$B$35, 2, FALSE))</f>
        <v/>
      </c>
      <c r="P667" s="107" t="str">
        <f t="shared" si="2"/>
        <v/>
      </c>
    </row>
    <row r="668">
      <c r="A668" s="102"/>
      <c r="B668" s="102"/>
      <c r="C668" s="102"/>
      <c r="D668" s="51"/>
      <c r="E668" s="102"/>
      <c r="F668" s="102"/>
      <c r="G668" s="103"/>
      <c r="H668" s="103"/>
      <c r="L668" s="103"/>
      <c r="M668" s="113"/>
      <c r="N668" s="107"/>
      <c r="O668" s="106" t="str">
        <f>IF(ISBLANK(M668), "", VLOOKUP(D668, 'Info Tipo de Cambio y REM'!$A$24:$B$35, 2, FALSE))</f>
        <v/>
      </c>
      <c r="P668" s="107" t="str">
        <f t="shared" si="2"/>
        <v/>
      </c>
    </row>
    <row r="669">
      <c r="A669" s="102"/>
      <c r="B669" s="102"/>
      <c r="C669" s="102"/>
      <c r="D669" s="51"/>
      <c r="E669" s="102"/>
      <c r="F669" s="102"/>
      <c r="G669" s="103"/>
      <c r="H669" s="103"/>
      <c r="L669" s="103"/>
      <c r="M669" s="113"/>
      <c r="N669" s="107"/>
      <c r="O669" s="106" t="str">
        <f>IF(ISBLANK(M669), "", VLOOKUP(D669, 'Info Tipo de Cambio y REM'!$A$24:$B$35, 2, FALSE))</f>
        <v/>
      </c>
      <c r="P669" s="107" t="str">
        <f t="shared" si="2"/>
        <v/>
      </c>
    </row>
    <row r="670">
      <c r="A670" s="102"/>
      <c r="B670" s="102"/>
      <c r="C670" s="102"/>
      <c r="D670" s="51"/>
      <c r="E670" s="102"/>
      <c r="F670" s="102"/>
      <c r="G670" s="103"/>
      <c r="H670" s="103"/>
      <c r="L670" s="103"/>
      <c r="M670" s="113"/>
      <c r="N670" s="107"/>
      <c r="O670" s="106" t="str">
        <f>IF(ISBLANK(M670), "", VLOOKUP(D670, 'Info Tipo de Cambio y REM'!$A$24:$B$35, 2, FALSE))</f>
        <v/>
      </c>
      <c r="P670" s="107" t="str">
        <f t="shared" si="2"/>
        <v/>
      </c>
    </row>
    <row r="671">
      <c r="A671" s="102"/>
      <c r="B671" s="102"/>
      <c r="C671" s="102"/>
      <c r="D671" s="51"/>
      <c r="E671" s="102"/>
      <c r="F671" s="102"/>
      <c r="G671" s="103"/>
      <c r="H671" s="103"/>
      <c r="L671" s="103"/>
      <c r="M671" s="113"/>
      <c r="N671" s="107"/>
      <c r="O671" s="106" t="str">
        <f>IF(ISBLANK(M671), "", VLOOKUP(D671, 'Info Tipo de Cambio y REM'!$A$24:$B$35, 2, FALSE))</f>
        <v/>
      </c>
      <c r="P671" s="107" t="str">
        <f t="shared" si="2"/>
        <v/>
      </c>
    </row>
    <row r="672">
      <c r="A672" s="102"/>
      <c r="B672" s="102"/>
      <c r="C672" s="102"/>
      <c r="D672" s="51"/>
      <c r="E672" s="102"/>
      <c r="F672" s="102"/>
      <c r="G672" s="103"/>
      <c r="H672" s="103"/>
      <c r="L672" s="103"/>
      <c r="M672" s="113"/>
      <c r="N672" s="107"/>
      <c r="O672" s="106" t="str">
        <f>IF(ISBLANK(M672), "", VLOOKUP(D672, 'Info Tipo de Cambio y REM'!$A$24:$B$35, 2, FALSE))</f>
        <v/>
      </c>
      <c r="P672" s="107" t="str">
        <f t="shared" si="2"/>
        <v/>
      </c>
    </row>
    <row r="673">
      <c r="A673" s="102"/>
      <c r="B673" s="102"/>
      <c r="C673" s="102"/>
      <c r="D673" s="51"/>
      <c r="E673" s="102"/>
      <c r="F673" s="102"/>
      <c r="G673" s="103"/>
      <c r="H673" s="103"/>
      <c r="L673" s="103"/>
      <c r="M673" s="113"/>
      <c r="N673" s="107"/>
      <c r="O673" s="106" t="str">
        <f>IF(ISBLANK(M673), "", VLOOKUP(D673, 'Info Tipo de Cambio y REM'!$A$24:$B$35, 2, FALSE))</f>
        <v/>
      </c>
      <c r="P673" s="107" t="str">
        <f t="shared" si="2"/>
        <v/>
      </c>
    </row>
    <row r="674">
      <c r="A674" s="102"/>
      <c r="B674" s="102"/>
      <c r="C674" s="102"/>
      <c r="D674" s="51"/>
      <c r="E674" s="102"/>
      <c r="F674" s="102"/>
      <c r="G674" s="103"/>
      <c r="H674" s="103"/>
      <c r="L674" s="103"/>
      <c r="M674" s="113"/>
      <c r="N674" s="107"/>
      <c r="O674" s="106" t="str">
        <f>IF(ISBLANK(M674), "", VLOOKUP(D674, 'Info Tipo de Cambio y REM'!$A$24:$B$35, 2, FALSE))</f>
        <v/>
      </c>
      <c r="P674" s="107" t="str">
        <f t="shared" si="2"/>
        <v/>
      </c>
    </row>
    <row r="675">
      <c r="A675" s="102"/>
      <c r="B675" s="102"/>
      <c r="C675" s="102"/>
      <c r="D675" s="51"/>
      <c r="E675" s="102"/>
      <c r="F675" s="102"/>
      <c r="G675" s="103"/>
      <c r="H675" s="103"/>
      <c r="L675" s="103"/>
      <c r="M675" s="113"/>
      <c r="N675" s="107"/>
      <c r="O675" s="106" t="str">
        <f>IF(ISBLANK(M675), "", VLOOKUP(D675, 'Info Tipo de Cambio y REM'!$A$24:$B$35, 2, FALSE))</f>
        <v/>
      </c>
      <c r="P675" s="107" t="str">
        <f t="shared" si="2"/>
        <v/>
      </c>
    </row>
    <row r="676">
      <c r="A676" s="102"/>
      <c r="B676" s="102"/>
      <c r="C676" s="102"/>
      <c r="D676" s="51"/>
      <c r="E676" s="102"/>
      <c r="F676" s="102"/>
      <c r="G676" s="103"/>
      <c r="H676" s="103"/>
      <c r="L676" s="103"/>
      <c r="M676" s="113"/>
      <c r="N676" s="107"/>
      <c r="O676" s="106" t="str">
        <f>IF(ISBLANK(M676), "", VLOOKUP(D676, 'Info Tipo de Cambio y REM'!$A$24:$B$35, 2, FALSE))</f>
        <v/>
      </c>
      <c r="P676" s="107" t="str">
        <f t="shared" si="2"/>
        <v/>
      </c>
    </row>
    <row r="677">
      <c r="A677" s="102"/>
      <c r="B677" s="102"/>
      <c r="C677" s="102"/>
      <c r="D677" s="51"/>
      <c r="E677" s="102"/>
      <c r="F677" s="102"/>
      <c r="G677" s="103"/>
      <c r="H677" s="103"/>
      <c r="L677" s="103"/>
      <c r="M677" s="113"/>
      <c r="N677" s="107"/>
      <c r="O677" s="106" t="str">
        <f>IF(ISBLANK(M677), "", VLOOKUP(D677, 'Info Tipo de Cambio y REM'!$A$24:$B$35, 2, FALSE))</f>
        <v/>
      </c>
      <c r="P677" s="107" t="str">
        <f t="shared" si="2"/>
        <v/>
      </c>
    </row>
    <row r="678">
      <c r="A678" s="102"/>
      <c r="B678" s="102"/>
      <c r="C678" s="102"/>
      <c r="D678" s="51"/>
      <c r="E678" s="102"/>
      <c r="F678" s="102"/>
      <c r="G678" s="103"/>
      <c r="H678" s="103"/>
      <c r="L678" s="103"/>
      <c r="M678" s="113"/>
      <c r="N678" s="107"/>
      <c r="O678" s="106" t="str">
        <f>IF(ISBLANK(M678), "", VLOOKUP(D678, 'Info Tipo de Cambio y REM'!$A$24:$B$35, 2, FALSE))</f>
        <v/>
      </c>
      <c r="P678" s="107" t="str">
        <f t="shared" si="2"/>
        <v/>
      </c>
    </row>
    <row r="679">
      <c r="A679" s="102"/>
      <c r="B679" s="102"/>
      <c r="C679" s="102"/>
      <c r="D679" s="51"/>
      <c r="E679" s="102"/>
      <c r="F679" s="102"/>
      <c r="G679" s="103"/>
      <c r="H679" s="103"/>
      <c r="L679" s="103"/>
      <c r="M679" s="113"/>
      <c r="N679" s="107"/>
      <c r="O679" s="106" t="str">
        <f>IF(ISBLANK(M679), "", VLOOKUP(D679, 'Info Tipo de Cambio y REM'!$A$24:$B$35, 2, FALSE))</f>
        <v/>
      </c>
      <c r="P679" s="107" t="str">
        <f t="shared" si="2"/>
        <v/>
      </c>
    </row>
    <row r="680">
      <c r="A680" s="102"/>
      <c r="B680" s="102"/>
      <c r="C680" s="102"/>
      <c r="D680" s="51"/>
      <c r="E680" s="102"/>
      <c r="F680" s="102"/>
      <c r="G680" s="103"/>
      <c r="H680" s="103"/>
      <c r="L680" s="103"/>
      <c r="M680" s="113"/>
      <c r="N680" s="107"/>
      <c r="O680" s="106" t="str">
        <f>IF(ISBLANK(M680), "", VLOOKUP(D680, 'Info Tipo de Cambio y REM'!$A$24:$B$35, 2, FALSE))</f>
        <v/>
      </c>
      <c r="P680" s="107" t="str">
        <f t="shared" si="2"/>
        <v/>
      </c>
    </row>
    <row r="681">
      <c r="A681" s="102"/>
      <c r="B681" s="102"/>
      <c r="C681" s="102"/>
      <c r="D681" s="51"/>
      <c r="E681" s="102"/>
      <c r="F681" s="102"/>
      <c r="G681" s="103"/>
      <c r="H681" s="103"/>
      <c r="L681" s="103"/>
      <c r="M681" s="113"/>
      <c r="N681" s="107"/>
      <c r="O681" s="106" t="str">
        <f>IF(ISBLANK(M681), "", VLOOKUP(D681, 'Info Tipo de Cambio y REM'!$A$24:$B$35, 2, FALSE))</f>
        <v/>
      </c>
      <c r="P681" s="107" t="str">
        <f t="shared" si="2"/>
        <v/>
      </c>
    </row>
    <row r="682">
      <c r="A682" s="102"/>
      <c r="B682" s="102"/>
      <c r="C682" s="102"/>
      <c r="D682" s="51"/>
      <c r="E682" s="102"/>
      <c r="F682" s="102"/>
      <c r="G682" s="103"/>
      <c r="H682" s="103"/>
      <c r="L682" s="103"/>
      <c r="M682" s="113"/>
      <c r="N682" s="107"/>
      <c r="O682" s="106" t="str">
        <f>IF(ISBLANK(M682), "", VLOOKUP(D682, 'Info Tipo de Cambio y REM'!$A$24:$B$35, 2, FALSE))</f>
        <v/>
      </c>
      <c r="P682" s="107" t="str">
        <f t="shared" si="2"/>
        <v/>
      </c>
    </row>
    <row r="683">
      <c r="A683" s="102"/>
      <c r="B683" s="102"/>
      <c r="C683" s="102"/>
      <c r="D683" s="51"/>
      <c r="E683" s="102"/>
      <c r="F683" s="102"/>
      <c r="G683" s="103"/>
      <c r="H683" s="103"/>
      <c r="L683" s="103"/>
      <c r="M683" s="113"/>
      <c r="N683" s="107"/>
      <c r="O683" s="106" t="str">
        <f>IF(ISBLANK(M683), "", VLOOKUP(D683, 'Info Tipo de Cambio y REM'!$A$24:$B$35, 2, FALSE))</f>
        <v/>
      </c>
      <c r="P683" s="107" t="str">
        <f t="shared" si="2"/>
        <v/>
      </c>
    </row>
    <row r="684">
      <c r="A684" s="102"/>
      <c r="B684" s="102"/>
      <c r="C684" s="102"/>
      <c r="D684" s="51"/>
      <c r="E684" s="102"/>
      <c r="F684" s="102"/>
      <c r="G684" s="103"/>
      <c r="H684" s="103"/>
      <c r="L684" s="103"/>
      <c r="M684" s="113"/>
      <c r="N684" s="107"/>
      <c r="O684" s="106" t="str">
        <f>IF(ISBLANK(M684), "", VLOOKUP(D684, 'Info Tipo de Cambio y REM'!$A$24:$B$35, 2, FALSE))</f>
        <v/>
      </c>
      <c r="P684" s="107" t="str">
        <f t="shared" si="2"/>
        <v/>
      </c>
    </row>
    <row r="685">
      <c r="A685" s="102"/>
      <c r="B685" s="102"/>
      <c r="C685" s="102"/>
      <c r="D685" s="51"/>
      <c r="E685" s="102"/>
      <c r="F685" s="102"/>
      <c r="G685" s="103"/>
      <c r="H685" s="103"/>
      <c r="L685" s="103"/>
      <c r="M685" s="113"/>
      <c r="N685" s="107"/>
      <c r="O685" s="106" t="str">
        <f>IF(ISBLANK(M685), "", VLOOKUP(D685, 'Info Tipo de Cambio y REM'!$A$24:$B$35, 2, FALSE))</f>
        <v/>
      </c>
      <c r="P685" s="107" t="str">
        <f t="shared" si="2"/>
        <v/>
      </c>
    </row>
    <row r="686">
      <c r="A686" s="102"/>
      <c r="B686" s="102"/>
      <c r="C686" s="102"/>
      <c r="D686" s="51"/>
      <c r="E686" s="102"/>
      <c r="F686" s="102"/>
      <c r="G686" s="103"/>
      <c r="H686" s="103"/>
      <c r="L686" s="103"/>
      <c r="M686" s="113"/>
      <c r="N686" s="107"/>
      <c r="O686" s="106" t="str">
        <f>IF(ISBLANK(M686), "", VLOOKUP(D686, 'Info Tipo de Cambio y REM'!$A$24:$B$35, 2, FALSE))</f>
        <v/>
      </c>
      <c r="P686" s="107" t="str">
        <f t="shared" si="2"/>
        <v/>
      </c>
    </row>
    <row r="687">
      <c r="A687" s="102"/>
      <c r="B687" s="102"/>
      <c r="C687" s="102"/>
      <c r="D687" s="51"/>
      <c r="E687" s="102"/>
      <c r="F687" s="102"/>
      <c r="G687" s="103"/>
      <c r="H687" s="103"/>
      <c r="L687" s="103"/>
      <c r="M687" s="113"/>
      <c r="N687" s="107"/>
      <c r="O687" s="106" t="str">
        <f>IF(ISBLANK(M687), "", VLOOKUP(D687, 'Info Tipo de Cambio y REM'!$A$24:$B$35, 2, FALSE))</f>
        <v/>
      </c>
      <c r="P687" s="107" t="str">
        <f t="shared" si="2"/>
        <v/>
      </c>
    </row>
    <row r="688">
      <c r="A688" s="102"/>
      <c r="B688" s="102"/>
      <c r="C688" s="102"/>
      <c r="D688" s="51"/>
      <c r="E688" s="102"/>
      <c r="F688" s="102"/>
      <c r="G688" s="103"/>
      <c r="H688" s="103"/>
      <c r="L688" s="103"/>
      <c r="M688" s="113"/>
      <c r="N688" s="107"/>
      <c r="O688" s="106" t="str">
        <f>IF(ISBLANK(M688), "", VLOOKUP(D688, 'Info Tipo de Cambio y REM'!$A$24:$B$35, 2, FALSE))</f>
        <v/>
      </c>
      <c r="P688" s="107" t="str">
        <f t="shared" si="2"/>
        <v/>
      </c>
    </row>
    <row r="689">
      <c r="A689" s="102"/>
      <c r="B689" s="102"/>
      <c r="C689" s="102"/>
      <c r="D689" s="51"/>
      <c r="E689" s="102"/>
      <c r="F689" s="102"/>
      <c r="G689" s="103"/>
      <c r="H689" s="103"/>
      <c r="L689" s="103"/>
      <c r="M689" s="113"/>
      <c r="N689" s="107"/>
      <c r="O689" s="106" t="str">
        <f>IF(ISBLANK(M689), "", VLOOKUP(D689, 'Info Tipo de Cambio y REM'!$A$24:$B$35, 2, FALSE))</f>
        <v/>
      </c>
      <c r="P689" s="107" t="str">
        <f t="shared" si="2"/>
        <v/>
      </c>
    </row>
    <row r="690">
      <c r="A690" s="102"/>
      <c r="B690" s="102"/>
      <c r="C690" s="102"/>
      <c r="D690" s="51"/>
      <c r="E690" s="102"/>
      <c r="F690" s="102"/>
      <c r="G690" s="103"/>
      <c r="H690" s="103"/>
      <c r="L690" s="103"/>
      <c r="M690" s="113"/>
      <c r="N690" s="107"/>
      <c r="O690" s="106" t="str">
        <f>IF(ISBLANK(M690), "", VLOOKUP(D690, 'Info Tipo de Cambio y REM'!$A$24:$B$35, 2, FALSE))</f>
        <v/>
      </c>
      <c r="P690" s="107" t="str">
        <f t="shared" si="2"/>
        <v/>
      </c>
    </row>
    <row r="691">
      <c r="A691" s="102"/>
      <c r="B691" s="102"/>
      <c r="C691" s="102"/>
      <c r="D691" s="51"/>
      <c r="E691" s="102"/>
      <c r="F691" s="102"/>
      <c r="G691" s="103"/>
      <c r="H691" s="103"/>
      <c r="L691" s="103"/>
      <c r="M691" s="113"/>
      <c r="N691" s="107"/>
      <c r="O691" s="106" t="str">
        <f>IF(ISBLANK(M691), "", VLOOKUP(D691, 'Info Tipo de Cambio y REM'!$A$24:$B$35, 2, FALSE))</f>
        <v/>
      </c>
      <c r="P691" s="107" t="str">
        <f t="shared" si="2"/>
        <v/>
      </c>
    </row>
    <row r="692">
      <c r="A692" s="102"/>
      <c r="B692" s="102"/>
      <c r="C692" s="102"/>
      <c r="D692" s="51"/>
      <c r="E692" s="102"/>
      <c r="F692" s="102"/>
      <c r="G692" s="103"/>
      <c r="H692" s="103"/>
      <c r="L692" s="103"/>
      <c r="M692" s="113"/>
      <c r="N692" s="107"/>
      <c r="O692" s="106" t="str">
        <f>IF(ISBLANK(M692), "", VLOOKUP(D692, 'Info Tipo de Cambio y REM'!$A$24:$B$35, 2, FALSE))</f>
        <v/>
      </c>
      <c r="P692" s="107" t="str">
        <f t="shared" si="2"/>
        <v/>
      </c>
    </row>
    <row r="693">
      <c r="A693" s="102"/>
      <c r="B693" s="102"/>
      <c r="C693" s="102"/>
      <c r="D693" s="51"/>
      <c r="E693" s="102"/>
      <c r="F693" s="102"/>
      <c r="G693" s="103"/>
      <c r="H693" s="103"/>
      <c r="L693" s="103"/>
      <c r="M693" s="113"/>
      <c r="N693" s="107"/>
      <c r="O693" s="106" t="str">
        <f>IF(ISBLANK(M693), "", VLOOKUP(D693, 'Info Tipo de Cambio y REM'!$A$24:$B$35, 2, FALSE))</f>
        <v/>
      </c>
      <c r="P693" s="107" t="str">
        <f t="shared" si="2"/>
        <v/>
      </c>
    </row>
    <row r="694">
      <c r="A694" s="102"/>
      <c r="B694" s="102"/>
      <c r="C694" s="102"/>
      <c r="D694" s="51"/>
      <c r="E694" s="102"/>
      <c r="F694" s="102"/>
      <c r="G694" s="103"/>
      <c r="H694" s="103"/>
      <c r="L694" s="103"/>
      <c r="M694" s="113"/>
      <c r="N694" s="107"/>
      <c r="O694" s="106" t="str">
        <f>IF(ISBLANK(M694), "", VLOOKUP(D694, 'Info Tipo de Cambio y REM'!$A$24:$B$35, 2, FALSE))</f>
        <v/>
      </c>
      <c r="P694" s="107" t="str">
        <f t="shared" si="2"/>
        <v/>
      </c>
    </row>
    <row r="695">
      <c r="A695" s="102"/>
      <c r="B695" s="102"/>
      <c r="C695" s="102"/>
      <c r="D695" s="51"/>
      <c r="E695" s="102"/>
      <c r="F695" s="102"/>
      <c r="G695" s="103"/>
      <c r="H695" s="103"/>
      <c r="L695" s="103"/>
      <c r="M695" s="113"/>
      <c r="N695" s="107"/>
      <c r="O695" s="106" t="str">
        <f>IF(ISBLANK(M695), "", VLOOKUP(D695, 'Info Tipo de Cambio y REM'!$A$24:$B$35, 2, FALSE))</f>
        <v/>
      </c>
      <c r="P695" s="107" t="str">
        <f t="shared" si="2"/>
        <v/>
      </c>
    </row>
    <row r="696">
      <c r="A696" s="102"/>
      <c r="B696" s="102"/>
      <c r="C696" s="102"/>
      <c r="D696" s="51"/>
      <c r="E696" s="102"/>
      <c r="F696" s="102"/>
      <c r="G696" s="103"/>
      <c r="H696" s="103"/>
      <c r="L696" s="103"/>
      <c r="M696" s="113"/>
      <c r="N696" s="107"/>
      <c r="O696" s="106" t="str">
        <f>IF(ISBLANK(M696), "", VLOOKUP(D696, 'Info Tipo de Cambio y REM'!$A$24:$B$35, 2, FALSE))</f>
        <v/>
      </c>
      <c r="P696" s="107" t="str">
        <f t="shared" si="2"/>
        <v/>
      </c>
    </row>
    <row r="697">
      <c r="A697" s="102"/>
      <c r="B697" s="102"/>
      <c r="C697" s="102"/>
      <c r="D697" s="51"/>
      <c r="E697" s="102"/>
      <c r="F697" s="102"/>
      <c r="G697" s="103"/>
      <c r="H697" s="103"/>
      <c r="L697" s="103"/>
      <c r="M697" s="113"/>
      <c r="N697" s="107"/>
      <c r="O697" s="106" t="str">
        <f>IF(ISBLANK(M697), "", VLOOKUP(D697, 'Info Tipo de Cambio y REM'!$A$24:$B$35, 2, FALSE))</f>
        <v/>
      </c>
      <c r="P697" s="107" t="str">
        <f t="shared" si="2"/>
        <v/>
      </c>
    </row>
    <row r="698">
      <c r="A698" s="102"/>
      <c r="B698" s="102"/>
      <c r="C698" s="102"/>
      <c r="D698" s="51"/>
      <c r="E698" s="102"/>
      <c r="F698" s="102"/>
      <c r="G698" s="103"/>
      <c r="H698" s="103"/>
      <c r="L698" s="103"/>
      <c r="M698" s="113"/>
      <c r="N698" s="107"/>
      <c r="O698" s="106" t="str">
        <f>IF(ISBLANK(M698), "", VLOOKUP(D698, 'Info Tipo de Cambio y REM'!$A$24:$B$35, 2, FALSE))</f>
        <v/>
      </c>
      <c r="P698" s="107" t="str">
        <f t="shared" si="2"/>
        <v/>
      </c>
    </row>
    <row r="699">
      <c r="A699" s="102"/>
      <c r="B699" s="102"/>
      <c r="C699" s="102"/>
      <c r="D699" s="51"/>
      <c r="E699" s="102"/>
      <c r="F699" s="102"/>
      <c r="G699" s="103"/>
      <c r="H699" s="103"/>
      <c r="L699" s="103"/>
      <c r="M699" s="113"/>
      <c r="N699" s="107"/>
      <c r="O699" s="106" t="str">
        <f>IF(ISBLANK(M699), "", VLOOKUP(D699, 'Info Tipo de Cambio y REM'!$A$24:$B$35, 2, FALSE))</f>
        <v/>
      </c>
      <c r="P699" s="107" t="str">
        <f t="shared" si="2"/>
        <v/>
      </c>
    </row>
    <row r="700">
      <c r="A700" s="102"/>
      <c r="B700" s="102"/>
      <c r="C700" s="102"/>
      <c r="D700" s="51"/>
      <c r="E700" s="102"/>
      <c r="F700" s="102"/>
      <c r="G700" s="103"/>
      <c r="H700" s="103"/>
      <c r="L700" s="103"/>
      <c r="M700" s="113"/>
      <c r="N700" s="107"/>
      <c r="O700" s="106" t="str">
        <f>IF(ISBLANK(M700), "", VLOOKUP(D700, 'Info Tipo de Cambio y REM'!$A$24:$B$35, 2, FALSE))</f>
        <v/>
      </c>
      <c r="P700" s="107" t="str">
        <f t="shared" si="2"/>
        <v/>
      </c>
    </row>
    <row r="701">
      <c r="A701" s="102"/>
      <c r="B701" s="102"/>
      <c r="C701" s="102"/>
      <c r="D701" s="51"/>
      <c r="E701" s="102"/>
      <c r="F701" s="102"/>
      <c r="G701" s="103"/>
      <c r="H701" s="103"/>
      <c r="L701" s="103"/>
      <c r="M701" s="113"/>
      <c r="N701" s="107"/>
      <c r="O701" s="106" t="str">
        <f>IF(ISBLANK(M701), "", VLOOKUP(D701, 'Info Tipo de Cambio y REM'!$A$24:$B$35, 2, FALSE))</f>
        <v/>
      </c>
      <c r="P701" s="107" t="str">
        <f t="shared" si="2"/>
        <v/>
      </c>
    </row>
    <row r="702">
      <c r="A702" s="102"/>
      <c r="B702" s="102"/>
      <c r="C702" s="102"/>
      <c r="D702" s="51"/>
      <c r="E702" s="102"/>
      <c r="F702" s="102"/>
      <c r="G702" s="103"/>
      <c r="H702" s="103"/>
      <c r="L702" s="103"/>
      <c r="M702" s="113"/>
      <c r="N702" s="107"/>
      <c r="O702" s="106" t="str">
        <f>IF(ISBLANK(M702), "", VLOOKUP(D702, 'Info Tipo de Cambio y REM'!$A$24:$B$35, 2, FALSE))</f>
        <v/>
      </c>
      <c r="P702" s="107" t="str">
        <f t="shared" si="2"/>
        <v/>
      </c>
    </row>
    <row r="703">
      <c r="A703" s="102"/>
      <c r="B703" s="102"/>
      <c r="C703" s="102"/>
      <c r="D703" s="51"/>
      <c r="E703" s="102"/>
      <c r="F703" s="102"/>
      <c r="G703" s="103"/>
      <c r="H703" s="103"/>
      <c r="L703" s="103"/>
      <c r="M703" s="113"/>
      <c r="N703" s="107"/>
      <c r="O703" s="106" t="str">
        <f>IF(ISBLANK(M703), "", VLOOKUP(D703, 'Info Tipo de Cambio y REM'!$A$24:$B$35, 2, FALSE))</f>
        <v/>
      </c>
      <c r="P703" s="107" t="str">
        <f t="shared" si="2"/>
        <v/>
      </c>
    </row>
    <row r="704">
      <c r="A704" s="102"/>
      <c r="B704" s="102"/>
      <c r="C704" s="102"/>
      <c r="D704" s="51"/>
      <c r="E704" s="102"/>
      <c r="F704" s="102"/>
      <c r="G704" s="103"/>
      <c r="H704" s="103"/>
      <c r="L704" s="103"/>
      <c r="M704" s="113"/>
      <c r="N704" s="107"/>
      <c r="O704" s="106" t="str">
        <f>IF(ISBLANK(M704), "", VLOOKUP(D704, 'Info Tipo de Cambio y REM'!$A$24:$B$35, 2, FALSE))</f>
        <v/>
      </c>
      <c r="P704" s="107" t="str">
        <f t="shared" si="2"/>
        <v/>
      </c>
    </row>
    <row r="705">
      <c r="A705" s="102"/>
      <c r="B705" s="102"/>
      <c r="C705" s="102"/>
      <c r="D705" s="51"/>
      <c r="E705" s="102"/>
      <c r="F705" s="102"/>
      <c r="G705" s="103"/>
      <c r="H705" s="103"/>
      <c r="L705" s="103"/>
      <c r="M705" s="113"/>
      <c r="N705" s="107"/>
      <c r="O705" s="106" t="str">
        <f>IF(ISBLANK(M705), "", VLOOKUP(D705, 'Info Tipo de Cambio y REM'!$A$24:$B$35, 2, FALSE))</f>
        <v/>
      </c>
      <c r="P705" s="107" t="str">
        <f t="shared" si="2"/>
        <v/>
      </c>
    </row>
    <row r="706">
      <c r="A706" s="102"/>
      <c r="B706" s="102"/>
      <c r="C706" s="102"/>
      <c r="D706" s="51"/>
      <c r="E706" s="102"/>
      <c r="F706" s="102"/>
      <c r="G706" s="103"/>
      <c r="H706" s="103"/>
      <c r="L706" s="103"/>
      <c r="M706" s="113"/>
      <c r="N706" s="107"/>
      <c r="O706" s="106" t="str">
        <f>IF(ISBLANK(M706), "", VLOOKUP(D706, 'Info Tipo de Cambio y REM'!$A$24:$B$35, 2, FALSE))</f>
        <v/>
      </c>
      <c r="P706" s="107" t="str">
        <f t="shared" si="2"/>
        <v/>
      </c>
    </row>
    <row r="707">
      <c r="A707" s="102"/>
      <c r="B707" s="102"/>
      <c r="C707" s="102"/>
      <c r="D707" s="51"/>
      <c r="E707" s="102"/>
      <c r="F707" s="102"/>
      <c r="G707" s="103"/>
      <c r="H707" s="103"/>
      <c r="L707" s="103"/>
      <c r="M707" s="113"/>
      <c r="N707" s="107"/>
      <c r="O707" s="106" t="str">
        <f>IF(ISBLANK(M707), "", VLOOKUP(D707, 'Info Tipo de Cambio y REM'!$A$24:$B$35, 2, FALSE))</f>
        <v/>
      </c>
      <c r="P707" s="107" t="str">
        <f t="shared" si="2"/>
        <v/>
      </c>
    </row>
    <row r="708">
      <c r="A708" s="102"/>
      <c r="B708" s="102"/>
      <c r="C708" s="102"/>
      <c r="D708" s="51"/>
      <c r="E708" s="102"/>
      <c r="F708" s="102"/>
      <c r="G708" s="103"/>
      <c r="H708" s="103"/>
      <c r="L708" s="103"/>
      <c r="M708" s="113"/>
      <c r="N708" s="107"/>
      <c r="O708" s="106" t="str">
        <f>IF(ISBLANK(M708), "", VLOOKUP(D708, 'Info Tipo de Cambio y REM'!$A$24:$B$35, 2, FALSE))</f>
        <v/>
      </c>
      <c r="P708" s="107" t="str">
        <f t="shared" si="2"/>
        <v/>
      </c>
    </row>
    <row r="709">
      <c r="A709" s="102"/>
      <c r="B709" s="102"/>
      <c r="C709" s="102"/>
      <c r="D709" s="51"/>
      <c r="E709" s="102"/>
      <c r="F709" s="102"/>
      <c r="G709" s="103"/>
      <c r="H709" s="103"/>
      <c r="L709" s="103"/>
      <c r="M709" s="113"/>
      <c r="N709" s="107"/>
      <c r="O709" s="106" t="str">
        <f>IF(ISBLANK(M709), "", VLOOKUP(D709, 'Info Tipo de Cambio y REM'!$A$24:$B$35, 2, FALSE))</f>
        <v/>
      </c>
      <c r="P709" s="107" t="str">
        <f t="shared" si="2"/>
        <v/>
      </c>
    </row>
    <row r="710">
      <c r="A710" s="102"/>
      <c r="B710" s="102"/>
      <c r="C710" s="102"/>
      <c r="D710" s="51"/>
      <c r="E710" s="102"/>
      <c r="F710" s="102"/>
      <c r="G710" s="103"/>
      <c r="H710" s="103"/>
      <c r="L710" s="103"/>
      <c r="M710" s="113"/>
      <c r="N710" s="107"/>
      <c r="O710" s="106" t="str">
        <f>IF(ISBLANK(M710), "", VLOOKUP(D710, 'Info Tipo de Cambio y REM'!$A$24:$B$35, 2, FALSE))</f>
        <v/>
      </c>
      <c r="P710" s="107" t="str">
        <f t="shared" si="2"/>
        <v/>
      </c>
    </row>
    <row r="711">
      <c r="A711" s="102"/>
      <c r="B711" s="102"/>
      <c r="C711" s="102"/>
      <c r="D711" s="51"/>
      <c r="E711" s="102"/>
      <c r="F711" s="102"/>
      <c r="G711" s="103"/>
      <c r="H711" s="103"/>
      <c r="L711" s="103"/>
      <c r="M711" s="113"/>
      <c r="N711" s="107"/>
      <c r="O711" s="106" t="str">
        <f>IF(ISBLANK(M711), "", VLOOKUP(D711, 'Info Tipo de Cambio y REM'!$A$24:$B$35, 2, FALSE))</f>
        <v/>
      </c>
      <c r="P711" s="107" t="str">
        <f t="shared" si="2"/>
        <v/>
      </c>
    </row>
    <row r="712">
      <c r="A712" s="102"/>
      <c r="B712" s="102"/>
      <c r="C712" s="102"/>
      <c r="D712" s="51"/>
      <c r="E712" s="102"/>
      <c r="F712" s="102"/>
      <c r="G712" s="103"/>
      <c r="H712" s="103"/>
      <c r="L712" s="103"/>
      <c r="M712" s="113"/>
      <c r="N712" s="107"/>
      <c r="O712" s="106" t="str">
        <f>IF(ISBLANK(M712), "", VLOOKUP(D712, 'Info Tipo de Cambio y REM'!$A$24:$B$35, 2, FALSE))</f>
        <v/>
      </c>
      <c r="P712" s="107" t="str">
        <f t="shared" si="2"/>
        <v/>
      </c>
    </row>
    <row r="713">
      <c r="A713" s="102"/>
      <c r="B713" s="102"/>
      <c r="C713" s="102"/>
      <c r="D713" s="51"/>
      <c r="E713" s="102"/>
      <c r="F713" s="102"/>
      <c r="G713" s="103"/>
      <c r="H713" s="103"/>
      <c r="L713" s="103"/>
      <c r="M713" s="113"/>
      <c r="N713" s="107"/>
      <c r="O713" s="106" t="str">
        <f>IF(ISBLANK(M713), "", VLOOKUP(D713, 'Info Tipo de Cambio y REM'!$A$24:$B$35, 2, FALSE))</f>
        <v/>
      </c>
      <c r="P713" s="107" t="str">
        <f t="shared" si="2"/>
        <v/>
      </c>
    </row>
    <row r="714">
      <c r="A714" s="102"/>
      <c r="B714" s="102"/>
      <c r="C714" s="102"/>
      <c r="D714" s="51"/>
      <c r="E714" s="102"/>
      <c r="F714" s="102"/>
      <c r="G714" s="103"/>
      <c r="H714" s="103"/>
      <c r="L714" s="103"/>
      <c r="M714" s="113"/>
      <c r="N714" s="107"/>
      <c r="O714" s="106" t="str">
        <f>IF(ISBLANK(M714), "", VLOOKUP(D714, 'Info Tipo de Cambio y REM'!$A$24:$B$35, 2, FALSE))</f>
        <v/>
      </c>
      <c r="P714" s="107" t="str">
        <f t="shared" si="2"/>
        <v/>
      </c>
    </row>
    <row r="715">
      <c r="A715" s="102"/>
      <c r="B715" s="102"/>
      <c r="C715" s="102"/>
      <c r="D715" s="51"/>
      <c r="E715" s="102"/>
      <c r="F715" s="102"/>
      <c r="G715" s="103"/>
      <c r="H715" s="103"/>
      <c r="L715" s="103"/>
      <c r="M715" s="113"/>
      <c r="N715" s="107"/>
      <c r="O715" s="106" t="str">
        <f>IF(ISBLANK(M715), "", VLOOKUP(D715, 'Info Tipo de Cambio y REM'!$A$24:$B$35, 2, FALSE))</f>
        <v/>
      </c>
      <c r="P715" s="107" t="str">
        <f t="shared" si="2"/>
        <v/>
      </c>
    </row>
    <row r="716">
      <c r="A716" s="102"/>
      <c r="B716" s="102"/>
      <c r="C716" s="102"/>
      <c r="D716" s="51"/>
      <c r="E716" s="102"/>
      <c r="F716" s="102"/>
      <c r="G716" s="103"/>
      <c r="H716" s="103"/>
      <c r="L716" s="103"/>
      <c r="M716" s="113"/>
      <c r="N716" s="107"/>
      <c r="O716" s="106" t="str">
        <f>IF(ISBLANK(M716), "", VLOOKUP(D716, 'Info Tipo de Cambio y REM'!$A$24:$B$35, 2, FALSE))</f>
        <v/>
      </c>
      <c r="P716" s="107" t="str">
        <f t="shared" si="2"/>
        <v/>
      </c>
    </row>
    <row r="717">
      <c r="A717" s="102"/>
      <c r="B717" s="102"/>
      <c r="C717" s="102"/>
      <c r="D717" s="51"/>
      <c r="E717" s="102"/>
      <c r="F717" s="102"/>
      <c r="G717" s="103"/>
      <c r="H717" s="103"/>
      <c r="L717" s="103"/>
      <c r="M717" s="113"/>
      <c r="N717" s="107"/>
      <c r="O717" s="106" t="str">
        <f>IF(ISBLANK(M717), "", VLOOKUP(D717, 'Info Tipo de Cambio y REM'!$A$24:$B$35, 2, FALSE))</f>
        <v/>
      </c>
      <c r="P717" s="107" t="str">
        <f t="shared" si="2"/>
        <v/>
      </c>
    </row>
    <row r="718">
      <c r="A718" s="102"/>
      <c r="B718" s="102"/>
      <c r="C718" s="102"/>
      <c r="D718" s="51"/>
      <c r="E718" s="102"/>
      <c r="F718" s="102"/>
      <c r="G718" s="103"/>
      <c r="H718" s="103"/>
      <c r="L718" s="103"/>
      <c r="M718" s="113"/>
      <c r="N718" s="107"/>
      <c r="O718" s="106" t="str">
        <f>IF(ISBLANK(M718), "", VLOOKUP(D718, 'Info Tipo de Cambio y REM'!$A$24:$B$35, 2, FALSE))</f>
        <v/>
      </c>
      <c r="P718" s="107" t="str">
        <f t="shared" si="2"/>
        <v/>
      </c>
    </row>
    <row r="719">
      <c r="A719" s="102"/>
      <c r="B719" s="102"/>
      <c r="C719" s="102"/>
      <c r="D719" s="51"/>
      <c r="E719" s="102"/>
      <c r="F719" s="102"/>
      <c r="G719" s="103"/>
      <c r="H719" s="103"/>
      <c r="L719" s="103"/>
      <c r="M719" s="113"/>
      <c r="N719" s="107"/>
      <c r="O719" s="106" t="str">
        <f>IF(ISBLANK(M719), "", VLOOKUP(D719, 'Info Tipo de Cambio y REM'!$A$24:$B$35, 2, FALSE))</f>
        <v/>
      </c>
      <c r="P719" s="107" t="str">
        <f t="shared" si="2"/>
        <v/>
      </c>
    </row>
    <row r="720">
      <c r="A720" s="102"/>
      <c r="B720" s="102"/>
      <c r="C720" s="102"/>
      <c r="D720" s="51"/>
      <c r="E720" s="102"/>
      <c r="F720" s="102"/>
      <c r="G720" s="103"/>
      <c r="H720" s="103"/>
      <c r="L720" s="103"/>
      <c r="M720" s="113"/>
      <c r="N720" s="107"/>
      <c r="O720" s="106" t="str">
        <f>IF(ISBLANK(M720), "", VLOOKUP(D720, 'Info Tipo de Cambio y REM'!$A$24:$B$35, 2, FALSE))</f>
        <v/>
      </c>
      <c r="P720" s="107" t="str">
        <f t="shared" si="2"/>
        <v/>
      </c>
    </row>
    <row r="721">
      <c r="A721" s="102"/>
      <c r="B721" s="102"/>
      <c r="C721" s="102"/>
      <c r="D721" s="51"/>
      <c r="E721" s="102"/>
      <c r="F721" s="102"/>
      <c r="G721" s="103"/>
      <c r="H721" s="103"/>
      <c r="L721" s="103"/>
      <c r="M721" s="113"/>
      <c r="N721" s="107"/>
      <c r="O721" s="106" t="str">
        <f>IF(ISBLANK(M721), "", VLOOKUP(D721, 'Info Tipo de Cambio y REM'!$A$24:$B$35, 2, FALSE))</f>
        <v/>
      </c>
      <c r="P721" s="107" t="str">
        <f t="shared" si="2"/>
        <v/>
      </c>
    </row>
    <row r="722">
      <c r="A722" s="102"/>
      <c r="B722" s="102"/>
      <c r="C722" s="102"/>
      <c r="D722" s="51"/>
      <c r="E722" s="102"/>
      <c r="F722" s="102"/>
      <c r="G722" s="103"/>
      <c r="H722" s="103"/>
      <c r="L722" s="103"/>
      <c r="M722" s="113"/>
      <c r="N722" s="107"/>
      <c r="O722" s="106" t="str">
        <f>IF(ISBLANK(M722), "", VLOOKUP(D722, 'Info Tipo de Cambio y REM'!$A$24:$B$35, 2, FALSE))</f>
        <v/>
      </c>
      <c r="P722" s="107" t="str">
        <f t="shared" si="2"/>
        <v/>
      </c>
    </row>
    <row r="723">
      <c r="A723" s="102"/>
      <c r="B723" s="102"/>
      <c r="C723" s="102"/>
      <c r="D723" s="51"/>
      <c r="E723" s="102"/>
      <c r="F723" s="102"/>
      <c r="G723" s="103"/>
      <c r="H723" s="103"/>
      <c r="L723" s="103"/>
      <c r="M723" s="113"/>
      <c r="N723" s="107"/>
      <c r="O723" s="106" t="str">
        <f>IF(ISBLANK(M723), "", VLOOKUP(D723, 'Info Tipo de Cambio y REM'!$A$24:$B$35, 2, FALSE))</f>
        <v/>
      </c>
      <c r="P723" s="107" t="str">
        <f t="shared" si="2"/>
        <v/>
      </c>
    </row>
    <row r="724">
      <c r="A724" s="102"/>
      <c r="B724" s="102"/>
      <c r="C724" s="102"/>
      <c r="D724" s="51"/>
      <c r="E724" s="102"/>
      <c r="F724" s="102"/>
      <c r="G724" s="103"/>
      <c r="H724" s="103"/>
      <c r="L724" s="103"/>
      <c r="M724" s="113"/>
      <c r="N724" s="107"/>
      <c r="O724" s="106" t="str">
        <f>IF(ISBLANK(M724), "", VLOOKUP(D724, 'Info Tipo de Cambio y REM'!$A$24:$B$35, 2, FALSE))</f>
        <v/>
      </c>
      <c r="P724" s="107" t="str">
        <f t="shared" si="2"/>
        <v/>
      </c>
    </row>
    <row r="725">
      <c r="A725" s="102"/>
      <c r="B725" s="102"/>
      <c r="C725" s="102"/>
      <c r="D725" s="51"/>
      <c r="E725" s="102"/>
      <c r="F725" s="102"/>
      <c r="G725" s="103"/>
      <c r="H725" s="103"/>
      <c r="L725" s="103"/>
      <c r="M725" s="113"/>
      <c r="N725" s="107"/>
      <c r="O725" s="106" t="str">
        <f>IF(ISBLANK(M725), "", VLOOKUP(D725, 'Info Tipo de Cambio y REM'!$A$24:$B$35, 2, FALSE))</f>
        <v/>
      </c>
      <c r="P725" s="107" t="str">
        <f t="shared" si="2"/>
        <v/>
      </c>
    </row>
    <row r="726">
      <c r="A726" s="102"/>
      <c r="B726" s="102"/>
      <c r="C726" s="102"/>
      <c r="D726" s="51"/>
      <c r="E726" s="102"/>
      <c r="F726" s="102"/>
      <c r="G726" s="103"/>
      <c r="H726" s="103"/>
      <c r="L726" s="103"/>
      <c r="M726" s="113"/>
      <c r="N726" s="107"/>
      <c r="O726" s="106" t="str">
        <f>IF(ISBLANK(M726), "", VLOOKUP(D726, 'Info Tipo de Cambio y REM'!$A$24:$B$35, 2, FALSE))</f>
        <v/>
      </c>
      <c r="P726" s="107" t="str">
        <f t="shared" si="2"/>
        <v/>
      </c>
    </row>
    <row r="727">
      <c r="A727" s="102"/>
      <c r="B727" s="102"/>
      <c r="C727" s="102"/>
      <c r="D727" s="51"/>
      <c r="E727" s="102"/>
      <c r="F727" s="102"/>
      <c r="G727" s="103"/>
      <c r="H727" s="103"/>
      <c r="L727" s="103"/>
      <c r="M727" s="113"/>
      <c r="N727" s="107"/>
      <c r="O727" s="106" t="str">
        <f>IF(ISBLANK(M727), "", VLOOKUP(D727, 'Info Tipo de Cambio y REM'!$A$24:$B$35, 2, FALSE))</f>
        <v/>
      </c>
      <c r="P727" s="107" t="str">
        <f t="shared" si="2"/>
        <v/>
      </c>
    </row>
    <row r="728">
      <c r="A728" s="102"/>
      <c r="B728" s="102"/>
      <c r="C728" s="102"/>
      <c r="D728" s="51"/>
      <c r="E728" s="102"/>
      <c r="F728" s="102"/>
      <c r="G728" s="103"/>
      <c r="H728" s="103"/>
      <c r="L728" s="103"/>
      <c r="M728" s="113"/>
      <c r="N728" s="107"/>
      <c r="O728" s="106" t="str">
        <f>IF(ISBLANK(M728), "", VLOOKUP(D728, 'Info Tipo de Cambio y REM'!$A$24:$B$35, 2, FALSE))</f>
        <v/>
      </c>
      <c r="P728" s="107" t="str">
        <f t="shared" si="2"/>
        <v/>
      </c>
    </row>
    <row r="729">
      <c r="A729" s="102"/>
      <c r="B729" s="102"/>
      <c r="C729" s="102"/>
      <c r="D729" s="51"/>
      <c r="E729" s="102"/>
      <c r="F729" s="102"/>
      <c r="G729" s="103"/>
      <c r="H729" s="103"/>
      <c r="L729" s="103"/>
      <c r="M729" s="113"/>
      <c r="N729" s="107"/>
      <c r="O729" s="106" t="str">
        <f>IF(ISBLANK(M729), "", VLOOKUP(D729, 'Info Tipo de Cambio y REM'!$A$24:$B$35, 2, FALSE))</f>
        <v/>
      </c>
      <c r="P729" s="107" t="str">
        <f t="shared" si="2"/>
        <v/>
      </c>
    </row>
    <row r="730">
      <c r="A730" s="102"/>
      <c r="B730" s="102"/>
      <c r="C730" s="102"/>
      <c r="D730" s="51"/>
      <c r="E730" s="102"/>
      <c r="F730" s="102"/>
      <c r="G730" s="103"/>
      <c r="H730" s="103"/>
      <c r="L730" s="103"/>
      <c r="M730" s="113"/>
      <c r="N730" s="107"/>
      <c r="O730" s="106" t="str">
        <f>IF(ISBLANK(M730), "", VLOOKUP(D730, 'Info Tipo de Cambio y REM'!$A$24:$B$35, 2, FALSE))</f>
        <v/>
      </c>
      <c r="P730" s="107" t="str">
        <f t="shared" si="2"/>
        <v/>
      </c>
    </row>
    <row r="731">
      <c r="A731" s="102"/>
      <c r="B731" s="102"/>
      <c r="C731" s="102"/>
      <c r="D731" s="51"/>
      <c r="E731" s="102"/>
      <c r="F731" s="102"/>
      <c r="G731" s="103"/>
      <c r="H731" s="103"/>
      <c r="L731" s="103"/>
      <c r="M731" s="113"/>
      <c r="N731" s="107"/>
      <c r="O731" s="106" t="str">
        <f>IF(ISBLANK(M731), "", VLOOKUP(D731, 'Info Tipo de Cambio y REM'!$A$24:$B$35, 2, FALSE))</f>
        <v/>
      </c>
      <c r="P731" s="107" t="str">
        <f t="shared" si="2"/>
        <v/>
      </c>
    </row>
    <row r="732">
      <c r="A732" s="102"/>
      <c r="B732" s="102"/>
      <c r="C732" s="102"/>
      <c r="D732" s="51"/>
      <c r="E732" s="102"/>
      <c r="F732" s="102"/>
      <c r="G732" s="103"/>
      <c r="H732" s="103"/>
      <c r="L732" s="103"/>
      <c r="M732" s="113"/>
      <c r="N732" s="107"/>
      <c r="O732" s="106" t="str">
        <f>IF(ISBLANK(M732), "", VLOOKUP(D732, 'Info Tipo de Cambio y REM'!$A$24:$B$35, 2, FALSE))</f>
        <v/>
      </c>
      <c r="P732" s="107" t="str">
        <f t="shared" si="2"/>
        <v/>
      </c>
    </row>
    <row r="733">
      <c r="A733" s="102"/>
      <c r="B733" s="102"/>
      <c r="C733" s="102"/>
      <c r="D733" s="51"/>
      <c r="E733" s="102"/>
      <c r="F733" s="102"/>
      <c r="G733" s="103"/>
      <c r="H733" s="103"/>
      <c r="L733" s="103"/>
      <c r="M733" s="113"/>
      <c r="N733" s="107"/>
      <c r="O733" s="106" t="str">
        <f>IF(ISBLANK(M733), "", VLOOKUP(D733, 'Info Tipo de Cambio y REM'!$A$24:$B$35, 2, FALSE))</f>
        <v/>
      </c>
      <c r="P733" s="107" t="str">
        <f t="shared" si="2"/>
        <v/>
      </c>
    </row>
    <row r="734">
      <c r="A734" s="102"/>
      <c r="B734" s="102"/>
      <c r="C734" s="102"/>
      <c r="D734" s="51"/>
      <c r="E734" s="102"/>
      <c r="F734" s="102"/>
      <c r="G734" s="103"/>
      <c r="H734" s="103"/>
      <c r="L734" s="103"/>
      <c r="M734" s="113"/>
      <c r="N734" s="107"/>
      <c r="O734" s="106" t="str">
        <f>IF(ISBLANK(M734), "", VLOOKUP(D734, 'Info Tipo de Cambio y REM'!$A$24:$B$35, 2, FALSE))</f>
        <v/>
      </c>
      <c r="P734" s="107" t="str">
        <f t="shared" si="2"/>
        <v/>
      </c>
    </row>
    <row r="735">
      <c r="A735" s="102"/>
      <c r="B735" s="102"/>
      <c r="C735" s="102"/>
      <c r="D735" s="51"/>
      <c r="E735" s="102"/>
      <c r="F735" s="102"/>
      <c r="G735" s="103"/>
      <c r="H735" s="103"/>
      <c r="L735" s="103"/>
      <c r="M735" s="113"/>
      <c r="N735" s="107"/>
      <c r="O735" s="106" t="str">
        <f>IF(ISBLANK(M735), "", VLOOKUP(D735, 'Info Tipo de Cambio y REM'!$A$24:$B$35, 2, FALSE))</f>
        <v/>
      </c>
      <c r="P735" s="107" t="str">
        <f t="shared" si="2"/>
        <v/>
      </c>
    </row>
    <row r="736">
      <c r="A736" s="102"/>
      <c r="B736" s="102"/>
      <c r="C736" s="102"/>
      <c r="D736" s="51"/>
      <c r="E736" s="102"/>
      <c r="F736" s="102"/>
      <c r="G736" s="103"/>
      <c r="H736" s="103"/>
      <c r="L736" s="103"/>
      <c r="M736" s="113"/>
      <c r="N736" s="107"/>
      <c r="O736" s="106" t="str">
        <f>IF(ISBLANK(M736), "", VLOOKUP(D736, 'Info Tipo de Cambio y REM'!$A$24:$B$35, 2, FALSE))</f>
        <v/>
      </c>
      <c r="P736" s="107" t="str">
        <f t="shared" si="2"/>
        <v/>
      </c>
    </row>
    <row r="737">
      <c r="A737" s="102"/>
      <c r="B737" s="102"/>
      <c r="C737" s="102"/>
      <c r="D737" s="51"/>
      <c r="E737" s="102"/>
      <c r="F737" s="102"/>
      <c r="G737" s="103"/>
      <c r="H737" s="103"/>
      <c r="L737" s="103"/>
      <c r="M737" s="113"/>
      <c r="N737" s="107"/>
      <c r="O737" s="106" t="str">
        <f>IF(ISBLANK(M737), "", VLOOKUP(D737, 'Info Tipo de Cambio y REM'!$A$24:$B$35, 2, FALSE))</f>
        <v/>
      </c>
      <c r="P737" s="107" t="str">
        <f t="shared" si="2"/>
        <v/>
      </c>
    </row>
    <row r="738">
      <c r="A738" s="102"/>
      <c r="B738" s="102"/>
      <c r="C738" s="102"/>
      <c r="D738" s="51"/>
      <c r="E738" s="102"/>
      <c r="F738" s="102"/>
      <c r="G738" s="103"/>
      <c r="H738" s="103"/>
      <c r="L738" s="103"/>
      <c r="M738" s="113"/>
      <c r="N738" s="107"/>
      <c r="O738" s="106" t="str">
        <f>IF(ISBLANK(M738), "", VLOOKUP(D738, 'Info Tipo de Cambio y REM'!$A$24:$B$35, 2, FALSE))</f>
        <v/>
      </c>
      <c r="P738" s="107" t="str">
        <f t="shared" si="2"/>
        <v/>
      </c>
    </row>
    <row r="739">
      <c r="A739" s="102"/>
      <c r="B739" s="102"/>
      <c r="C739" s="102"/>
      <c r="D739" s="51"/>
      <c r="E739" s="102"/>
      <c r="F739" s="102"/>
      <c r="G739" s="103"/>
      <c r="H739" s="103"/>
      <c r="L739" s="103"/>
      <c r="M739" s="113"/>
      <c r="N739" s="107"/>
      <c r="O739" s="106" t="str">
        <f>IF(ISBLANK(M739), "", VLOOKUP(D739, 'Info Tipo de Cambio y REM'!$A$24:$B$35, 2, FALSE))</f>
        <v/>
      </c>
      <c r="P739" s="107" t="str">
        <f t="shared" si="2"/>
        <v/>
      </c>
    </row>
    <row r="740">
      <c r="A740" s="102"/>
      <c r="B740" s="102"/>
      <c r="C740" s="102"/>
      <c r="D740" s="51"/>
      <c r="E740" s="102"/>
      <c r="F740" s="102"/>
      <c r="G740" s="103"/>
      <c r="H740" s="103"/>
      <c r="L740" s="103"/>
      <c r="M740" s="113"/>
      <c r="N740" s="107"/>
      <c r="O740" s="106" t="str">
        <f>IF(ISBLANK(M740), "", VLOOKUP(D740, 'Info Tipo de Cambio y REM'!$A$24:$B$35, 2, FALSE))</f>
        <v/>
      </c>
      <c r="P740" s="107" t="str">
        <f t="shared" si="2"/>
        <v/>
      </c>
    </row>
    <row r="741">
      <c r="A741" s="102"/>
      <c r="B741" s="102"/>
      <c r="C741" s="102"/>
      <c r="D741" s="51"/>
      <c r="E741" s="102"/>
      <c r="F741" s="102"/>
      <c r="G741" s="103"/>
      <c r="H741" s="103"/>
      <c r="L741" s="103"/>
      <c r="M741" s="113"/>
      <c r="N741" s="107"/>
      <c r="O741" s="106" t="str">
        <f>IF(ISBLANK(M741), "", VLOOKUP(D741, 'Info Tipo de Cambio y REM'!$A$24:$B$35, 2, FALSE))</f>
        <v/>
      </c>
      <c r="P741" s="107" t="str">
        <f t="shared" si="2"/>
        <v/>
      </c>
    </row>
    <row r="742">
      <c r="A742" s="102"/>
      <c r="B742" s="102"/>
      <c r="C742" s="102"/>
      <c r="D742" s="51"/>
      <c r="E742" s="102"/>
      <c r="F742" s="102"/>
      <c r="G742" s="103"/>
      <c r="H742" s="103"/>
      <c r="L742" s="103"/>
      <c r="M742" s="113"/>
      <c r="N742" s="107"/>
      <c r="O742" s="106" t="str">
        <f>IF(ISBLANK(M742), "", VLOOKUP(D742, 'Info Tipo de Cambio y REM'!$A$24:$B$35, 2, FALSE))</f>
        <v/>
      </c>
      <c r="P742" s="107" t="str">
        <f t="shared" si="2"/>
        <v/>
      </c>
    </row>
    <row r="743">
      <c r="A743" s="102"/>
      <c r="B743" s="102"/>
      <c r="C743" s="102"/>
      <c r="D743" s="51"/>
      <c r="E743" s="102"/>
      <c r="F743" s="102"/>
      <c r="G743" s="103"/>
      <c r="H743" s="103"/>
      <c r="L743" s="103"/>
      <c r="M743" s="113"/>
      <c r="N743" s="107"/>
      <c r="O743" s="106" t="str">
        <f>IF(ISBLANK(M743), "", VLOOKUP(D743, 'Info Tipo de Cambio y REM'!$A$24:$B$35, 2, FALSE))</f>
        <v/>
      </c>
      <c r="P743" s="107" t="str">
        <f t="shared" si="2"/>
        <v/>
      </c>
    </row>
    <row r="744">
      <c r="A744" s="102"/>
      <c r="B744" s="102"/>
      <c r="C744" s="102"/>
      <c r="D744" s="51"/>
      <c r="E744" s="102"/>
      <c r="F744" s="102"/>
      <c r="G744" s="103"/>
      <c r="H744" s="103"/>
      <c r="L744" s="103"/>
      <c r="M744" s="113"/>
      <c r="N744" s="107"/>
      <c r="O744" s="106" t="str">
        <f>IF(ISBLANK(M744), "", VLOOKUP(D744, 'Info Tipo de Cambio y REM'!$A$24:$B$35, 2, FALSE))</f>
        <v/>
      </c>
      <c r="P744" s="107" t="str">
        <f t="shared" si="2"/>
        <v/>
      </c>
    </row>
    <row r="745">
      <c r="A745" s="102"/>
      <c r="B745" s="102"/>
      <c r="C745" s="102"/>
      <c r="D745" s="51"/>
      <c r="E745" s="102"/>
      <c r="F745" s="102"/>
      <c r="G745" s="103"/>
      <c r="H745" s="103"/>
      <c r="L745" s="103"/>
      <c r="M745" s="113"/>
      <c r="N745" s="107"/>
      <c r="O745" s="106" t="str">
        <f>IF(ISBLANK(M745), "", VLOOKUP(D745, 'Info Tipo de Cambio y REM'!$A$24:$B$35, 2, FALSE))</f>
        <v/>
      </c>
      <c r="P745" s="107" t="str">
        <f t="shared" si="2"/>
        <v/>
      </c>
    </row>
    <row r="746">
      <c r="A746" s="102"/>
      <c r="B746" s="102"/>
      <c r="C746" s="102"/>
      <c r="D746" s="51"/>
      <c r="E746" s="102"/>
      <c r="F746" s="102"/>
      <c r="G746" s="103"/>
      <c r="H746" s="103"/>
      <c r="L746" s="103"/>
      <c r="M746" s="113"/>
      <c r="N746" s="107"/>
      <c r="O746" s="106" t="str">
        <f>IF(ISBLANK(M746), "", VLOOKUP(D746, 'Info Tipo de Cambio y REM'!$A$24:$B$35, 2, FALSE))</f>
        <v/>
      </c>
      <c r="P746" s="107" t="str">
        <f t="shared" si="2"/>
        <v/>
      </c>
    </row>
    <row r="747">
      <c r="A747" s="102"/>
      <c r="B747" s="102"/>
      <c r="C747" s="102"/>
      <c r="D747" s="51"/>
      <c r="E747" s="102"/>
      <c r="F747" s="102"/>
      <c r="G747" s="103"/>
      <c r="H747" s="103"/>
      <c r="L747" s="103"/>
      <c r="M747" s="113"/>
      <c r="N747" s="107"/>
      <c r="O747" s="106" t="str">
        <f>IF(ISBLANK(M747), "", VLOOKUP(D747, 'Info Tipo de Cambio y REM'!$A$24:$B$35, 2, FALSE))</f>
        <v/>
      </c>
      <c r="P747" s="107" t="str">
        <f t="shared" si="2"/>
        <v/>
      </c>
    </row>
    <row r="748">
      <c r="A748" s="102"/>
      <c r="B748" s="102"/>
      <c r="C748" s="102"/>
      <c r="D748" s="51"/>
      <c r="E748" s="102"/>
      <c r="F748" s="102"/>
      <c r="G748" s="103"/>
      <c r="H748" s="103"/>
      <c r="L748" s="103"/>
      <c r="M748" s="113"/>
      <c r="N748" s="107"/>
      <c r="O748" s="106" t="str">
        <f>IF(ISBLANK(M748), "", VLOOKUP(D748, 'Info Tipo de Cambio y REM'!$A$24:$B$35, 2, FALSE))</f>
        <v/>
      </c>
      <c r="P748" s="107" t="str">
        <f t="shared" si="2"/>
        <v/>
      </c>
    </row>
    <row r="749">
      <c r="A749" s="102"/>
      <c r="B749" s="102"/>
      <c r="C749" s="102"/>
      <c r="D749" s="51"/>
      <c r="E749" s="102"/>
      <c r="F749" s="102"/>
      <c r="G749" s="103"/>
      <c r="H749" s="103"/>
      <c r="L749" s="103"/>
      <c r="M749" s="113"/>
      <c r="N749" s="107"/>
      <c r="O749" s="106" t="str">
        <f>IF(ISBLANK(M749), "", VLOOKUP(D749, 'Info Tipo de Cambio y REM'!$A$24:$B$35, 2, FALSE))</f>
        <v/>
      </c>
      <c r="P749" s="107" t="str">
        <f t="shared" si="2"/>
        <v/>
      </c>
    </row>
    <row r="750">
      <c r="A750" s="102"/>
      <c r="B750" s="102"/>
      <c r="C750" s="102"/>
      <c r="D750" s="51"/>
      <c r="E750" s="102"/>
      <c r="F750" s="102"/>
      <c r="G750" s="103"/>
      <c r="H750" s="103"/>
      <c r="L750" s="103"/>
      <c r="M750" s="113"/>
      <c r="N750" s="107"/>
      <c r="O750" s="106" t="str">
        <f>IF(ISBLANK(M750), "", VLOOKUP(D750, 'Info Tipo de Cambio y REM'!$A$24:$B$35, 2, FALSE))</f>
        <v/>
      </c>
      <c r="P750" s="107" t="str">
        <f t="shared" si="2"/>
        <v/>
      </c>
    </row>
    <row r="751">
      <c r="A751" s="102"/>
      <c r="B751" s="102"/>
      <c r="C751" s="102"/>
      <c r="D751" s="51"/>
      <c r="E751" s="102"/>
      <c r="F751" s="102"/>
      <c r="G751" s="103"/>
      <c r="H751" s="103"/>
      <c r="L751" s="103"/>
      <c r="M751" s="113"/>
      <c r="N751" s="107"/>
      <c r="O751" s="106" t="str">
        <f>IF(ISBLANK(M751), "", VLOOKUP(D751, 'Info Tipo de Cambio y REM'!$A$24:$B$35, 2, FALSE))</f>
        <v/>
      </c>
      <c r="P751" s="107" t="str">
        <f t="shared" si="2"/>
        <v/>
      </c>
    </row>
    <row r="752">
      <c r="A752" s="102"/>
      <c r="B752" s="102"/>
      <c r="C752" s="102"/>
      <c r="D752" s="51"/>
      <c r="E752" s="102"/>
      <c r="F752" s="102"/>
      <c r="G752" s="103"/>
      <c r="H752" s="103"/>
      <c r="L752" s="103"/>
      <c r="M752" s="113"/>
      <c r="N752" s="107"/>
      <c r="O752" s="106" t="str">
        <f>IF(ISBLANK(M752), "", VLOOKUP(D752, 'Info Tipo de Cambio y REM'!$A$24:$B$35, 2, FALSE))</f>
        <v/>
      </c>
      <c r="P752" s="107" t="str">
        <f t="shared" si="2"/>
        <v/>
      </c>
    </row>
    <row r="753">
      <c r="A753" s="102"/>
      <c r="B753" s="102"/>
      <c r="C753" s="102"/>
      <c r="D753" s="51"/>
      <c r="E753" s="102"/>
      <c r="F753" s="102"/>
      <c r="G753" s="103"/>
      <c r="H753" s="103"/>
      <c r="L753" s="103"/>
      <c r="M753" s="113"/>
      <c r="N753" s="107"/>
      <c r="O753" s="106" t="str">
        <f>IF(ISBLANK(M753), "", VLOOKUP(D753, 'Info Tipo de Cambio y REM'!$A$24:$B$35, 2, FALSE))</f>
        <v/>
      </c>
      <c r="P753" s="107" t="str">
        <f t="shared" si="2"/>
        <v/>
      </c>
    </row>
    <row r="754">
      <c r="A754" s="102"/>
      <c r="B754" s="102"/>
      <c r="C754" s="102"/>
      <c r="D754" s="51"/>
      <c r="E754" s="102"/>
      <c r="F754" s="102"/>
      <c r="G754" s="103"/>
      <c r="H754" s="103"/>
      <c r="L754" s="103"/>
      <c r="M754" s="113"/>
      <c r="N754" s="107"/>
      <c r="O754" s="106" t="str">
        <f>IF(ISBLANK(M754), "", VLOOKUP(D754, 'Info Tipo de Cambio y REM'!$A$24:$B$35, 2, FALSE))</f>
        <v/>
      </c>
      <c r="P754" s="107" t="str">
        <f t="shared" si="2"/>
        <v/>
      </c>
    </row>
    <row r="755">
      <c r="A755" s="102"/>
      <c r="B755" s="102"/>
      <c r="C755" s="102"/>
      <c r="D755" s="51"/>
      <c r="E755" s="102"/>
      <c r="F755" s="102"/>
      <c r="G755" s="103"/>
      <c r="H755" s="103"/>
      <c r="L755" s="103"/>
      <c r="M755" s="113"/>
      <c r="N755" s="107"/>
      <c r="O755" s="106" t="str">
        <f>IF(ISBLANK(M755), "", VLOOKUP(D755, 'Info Tipo de Cambio y REM'!$A$24:$B$35, 2, FALSE))</f>
        <v/>
      </c>
      <c r="P755" s="107" t="str">
        <f t="shared" si="2"/>
        <v/>
      </c>
    </row>
    <row r="756">
      <c r="A756" s="102"/>
      <c r="B756" s="102"/>
      <c r="C756" s="102"/>
      <c r="D756" s="51"/>
      <c r="E756" s="102"/>
      <c r="F756" s="102"/>
      <c r="G756" s="103"/>
      <c r="H756" s="103"/>
      <c r="L756" s="103"/>
      <c r="M756" s="113"/>
      <c r="N756" s="107"/>
      <c r="O756" s="106" t="str">
        <f>IF(ISBLANK(M756), "", VLOOKUP(D756, 'Info Tipo de Cambio y REM'!$A$24:$B$35, 2, FALSE))</f>
        <v/>
      </c>
      <c r="P756" s="107" t="str">
        <f t="shared" si="2"/>
        <v/>
      </c>
    </row>
    <row r="757">
      <c r="A757" s="102"/>
      <c r="B757" s="102"/>
      <c r="C757" s="102"/>
      <c r="D757" s="51"/>
      <c r="E757" s="102"/>
      <c r="F757" s="102"/>
      <c r="G757" s="103"/>
      <c r="H757" s="103"/>
      <c r="L757" s="103"/>
      <c r="M757" s="113"/>
      <c r="N757" s="107"/>
      <c r="O757" s="106" t="str">
        <f>IF(ISBLANK(M757), "", VLOOKUP(D757, 'Info Tipo de Cambio y REM'!$A$24:$B$35, 2, FALSE))</f>
        <v/>
      </c>
      <c r="P757" s="107" t="str">
        <f t="shared" si="2"/>
        <v/>
      </c>
    </row>
    <row r="758">
      <c r="A758" s="102"/>
      <c r="B758" s="102"/>
      <c r="C758" s="102"/>
      <c r="D758" s="51"/>
      <c r="E758" s="102"/>
      <c r="F758" s="102"/>
      <c r="G758" s="103"/>
      <c r="H758" s="103"/>
      <c r="L758" s="103"/>
      <c r="M758" s="113"/>
      <c r="N758" s="107"/>
      <c r="O758" s="106" t="str">
        <f>IF(ISBLANK(M758), "", VLOOKUP(D758, 'Info Tipo de Cambio y REM'!$A$24:$B$35, 2, FALSE))</f>
        <v/>
      </c>
      <c r="P758" s="107" t="str">
        <f t="shared" si="2"/>
        <v/>
      </c>
    </row>
    <row r="759">
      <c r="A759" s="102"/>
      <c r="B759" s="102"/>
      <c r="C759" s="102"/>
      <c r="D759" s="51"/>
      <c r="E759" s="102"/>
      <c r="F759" s="102"/>
      <c r="G759" s="103"/>
      <c r="H759" s="103"/>
      <c r="L759" s="103"/>
      <c r="M759" s="113"/>
      <c r="N759" s="107"/>
      <c r="O759" s="106" t="str">
        <f>IF(ISBLANK(M759), "", VLOOKUP(D759, 'Info Tipo de Cambio y REM'!$A$24:$B$35, 2, FALSE))</f>
        <v/>
      </c>
      <c r="P759" s="107" t="str">
        <f t="shared" si="2"/>
        <v/>
      </c>
    </row>
    <row r="760">
      <c r="A760" s="102"/>
      <c r="B760" s="102"/>
      <c r="C760" s="102"/>
      <c r="D760" s="51"/>
      <c r="E760" s="102"/>
      <c r="F760" s="102"/>
      <c r="G760" s="103"/>
      <c r="H760" s="103"/>
      <c r="L760" s="103"/>
      <c r="M760" s="113"/>
      <c r="N760" s="107"/>
      <c r="O760" s="106" t="str">
        <f>IF(ISBLANK(M760), "", VLOOKUP(D760, 'Info Tipo de Cambio y REM'!$A$24:$B$35, 2, FALSE))</f>
        <v/>
      </c>
      <c r="P760" s="107" t="str">
        <f t="shared" si="2"/>
        <v/>
      </c>
    </row>
    <row r="761">
      <c r="A761" s="102"/>
      <c r="B761" s="102"/>
      <c r="C761" s="102"/>
      <c r="D761" s="51"/>
      <c r="E761" s="102"/>
      <c r="F761" s="102"/>
      <c r="G761" s="103"/>
      <c r="H761" s="103"/>
      <c r="L761" s="103"/>
      <c r="M761" s="113"/>
      <c r="N761" s="107"/>
      <c r="O761" s="106" t="str">
        <f>IF(ISBLANK(M761), "", VLOOKUP(D761, 'Info Tipo de Cambio y REM'!$A$24:$B$35, 2, FALSE))</f>
        <v/>
      </c>
      <c r="P761" s="107" t="str">
        <f t="shared" si="2"/>
        <v/>
      </c>
    </row>
    <row r="762">
      <c r="A762" s="102"/>
      <c r="B762" s="102"/>
      <c r="C762" s="102"/>
      <c r="D762" s="51"/>
      <c r="E762" s="102"/>
      <c r="F762" s="102"/>
      <c r="G762" s="103"/>
      <c r="H762" s="103"/>
      <c r="L762" s="103"/>
      <c r="M762" s="113"/>
      <c r="N762" s="107"/>
      <c r="O762" s="106" t="str">
        <f>IF(ISBLANK(M762), "", VLOOKUP(D762, 'Info Tipo de Cambio y REM'!$A$24:$B$35, 2, FALSE))</f>
        <v/>
      </c>
      <c r="P762" s="107" t="str">
        <f t="shared" si="2"/>
        <v/>
      </c>
    </row>
    <row r="763">
      <c r="A763" s="102"/>
      <c r="B763" s="102"/>
      <c r="C763" s="102"/>
      <c r="D763" s="51"/>
      <c r="E763" s="102"/>
      <c r="F763" s="102"/>
      <c r="G763" s="103"/>
      <c r="H763" s="103"/>
      <c r="L763" s="103"/>
      <c r="M763" s="113"/>
      <c r="N763" s="107"/>
      <c r="O763" s="106" t="str">
        <f>IF(ISBLANK(M763), "", VLOOKUP(D763, 'Info Tipo de Cambio y REM'!$A$24:$B$35, 2, FALSE))</f>
        <v/>
      </c>
      <c r="P763" s="107" t="str">
        <f t="shared" si="2"/>
        <v/>
      </c>
    </row>
    <row r="764">
      <c r="A764" s="102"/>
      <c r="B764" s="102"/>
      <c r="C764" s="102"/>
      <c r="D764" s="51"/>
      <c r="E764" s="102"/>
      <c r="F764" s="102"/>
      <c r="G764" s="103"/>
      <c r="H764" s="103"/>
      <c r="L764" s="103"/>
      <c r="M764" s="113"/>
      <c r="N764" s="107"/>
      <c r="O764" s="106" t="str">
        <f>IF(ISBLANK(M764), "", VLOOKUP(D764, 'Info Tipo de Cambio y REM'!$A$24:$B$35, 2, FALSE))</f>
        <v/>
      </c>
      <c r="P764" s="107" t="str">
        <f t="shared" si="2"/>
        <v/>
      </c>
    </row>
    <row r="765">
      <c r="A765" s="102"/>
      <c r="B765" s="102"/>
      <c r="C765" s="102"/>
      <c r="D765" s="51"/>
      <c r="E765" s="102"/>
      <c r="F765" s="102"/>
      <c r="G765" s="103"/>
      <c r="H765" s="103"/>
      <c r="L765" s="103"/>
      <c r="M765" s="113"/>
      <c r="N765" s="107"/>
      <c r="O765" s="106" t="str">
        <f>IF(ISBLANK(M765), "", VLOOKUP(D765, 'Info Tipo de Cambio y REM'!$A$24:$B$35, 2, FALSE))</f>
        <v/>
      </c>
      <c r="P765" s="107" t="str">
        <f t="shared" si="2"/>
        <v/>
      </c>
    </row>
    <row r="766">
      <c r="A766" s="102"/>
      <c r="B766" s="102"/>
      <c r="C766" s="102"/>
      <c r="D766" s="51"/>
      <c r="E766" s="102"/>
      <c r="F766" s="102"/>
      <c r="G766" s="103"/>
      <c r="H766" s="103"/>
      <c r="L766" s="103"/>
      <c r="M766" s="113"/>
      <c r="N766" s="107"/>
      <c r="O766" s="106" t="str">
        <f>IF(ISBLANK(M766), "", VLOOKUP(D766, 'Info Tipo de Cambio y REM'!$A$24:$B$35, 2, FALSE))</f>
        <v/>
      </c>
      <c r="P766" s="107" t="str">
        <f t="shared" si="2"/>
        <v/>
      </c>
    </row>
    <row r="767">
      <c r="A767" s="102"/>
      <c r="B767" s="102"/>
      <c r="C767" s="102"/>
      <c r="D767" s="51"/>
      <c r="E767" s="102"/>
      <c r="F767" s="102"/>
      <c r="G767" s="103"/>
      <c r="H767" s="103"/>
      <c r="L767" s="103"/>
      <c r="M767" s="113"/>
      <c r="N767" s="107"/>
      <c r="O767" s="106" t="str">
        <f>IF(ISBLANK(M767), "", VLOOKUP(D767, 'Info Tipo de Cambio y REM'!$A$24:$B$35, 2, FALSE))</f>
        <v/>
      </c>
      <c r="P767" s="107" t="str">
        <f t="shared" si="2"/>
        <v/>
      </c>
    </row>
    <row r="768">
      <c r="A768" s="102"/>
      <c r="B768" s="102"/>
      <c r="C768" s="102"/>
      <c r="D768" s="51"/>
      <c r="E768" s="102"/>
      <c r="F768" s="102"/>
      <c r="G768" s="103"/>
      <c r="H768" s="103"/>
      <c r="L768" s="103"/>
      <c r="M768" s="113"/>
      <c r="N768" s="107"/>
      <c r="O768" s="106" t="str">
        <f>IF(ISBLANK(M768), "", VLOOKUP(D768, 'Info Tipo de Cambio y REM'!$A$24:$B$35, 2, FALSE))</f>
        <v/>
      </c>
      <c r="P768" s="107" t="str">
        <f t="shared" si="2"/>
        <v/>
      </c>
    </row>
    <row r="769">
      <c r="A769" s="102"/>
      <c r="B769" s="102"/>
      <c r="C769" s="102"/>
      <c r="D769" s="51"/>
      <c r="E769" s="102"/>
      <c r="F769" s="102"/>
      <c r="G769" s="103"/>
      <c r="H769" s="103"/>
      <c r="L769" s="103"/>
      <c r="M769" s="113"/>
      <c r="N769" s="107"/>
      <c r="O769" s="106" t="str">
        <f>IF(ISBLANK(M769), "", VLOOKUP(D769, 'Info Tipo de Cambio y REM'!$A$24:$B$35, 2, FALSE))</f>
        <v/>
      </c>
      <c r="P769" s="107" t="str">
        <f t="shared" si="2"/>
        <v/>
      </c>
    </row>
    <row r="770">
      <c r="A770" s="102"/>
      <c r="B770" s="102"/>
      <c r="C770" s="102"/>
      <c r="D770" s="51"/>
      <c r="E770" s="102"/>
      <c r="F770" s="102"/>
      <c r="G770" s="103"/>
      <c r="H770" s="103"/>
      <c r="L770" s="103"/>
      <c r="M770" s="113"/>
      <c r="N770" s="107"/>
      <c r="O770" s="106" t="str">
        <f>IF(ISBLANK(M770), "", VLOOKUP(D770, 'Info Tipo de Cambio y REM'!$A$24:$B$35, 2, FALSE))</f>
        <v/>
      </c>
      <c r="P770" s="107" t="str">
        <f t="shared" si="2"/>
        <v/>
      </c>
    </row>
    <row r="771">
      <c r="A771" s="102"/>
      <c r="B771" s="102"/>
      <c r="C771" s="102"/>
      <c r="D771" s="51"/>
      <c r="E771" s="102"/>
      <c r="F771" s="102"/>
      <c r="G771" s="103"/>
      <c r="H771" s="103"/>
      <c r="L771" s="103"/>
      <c r="M771" s="113"/>
      <c r="N771" s="107"/>
      <c r="O771" s="106" t="str">
        <f>IF(ISBLANK(M771), "", VLOOKUP(D771, 'Info Tipo de Cambio y REM'!$A$24:$B$35, 2, FALSE))</f>
        <v/>
      </c>
      <c r="P771" s="107" t="str">
        <f t="shared" si="2"/>
        <v/>
      </c>
    </row>
    <row r="772">
      <c r="A772" s="102"/>
      <c r="B772" s="102"/>
      <c r="C772" s="102"/>
      <c r="D772" s="51"/>
      <c r="E772" s="102"/>
      <c r="F772" s="102"/>
      <c r="G772" s="103"/>
      <c r="H772" s="103"/>
      <c r="L772" s="103"/>
      <c r="M772" s="113"/>
      <c r="N772" s="107"/>
      <c r="O772" s="106" t="str">
        <f>IF(ISBLANK(M772), "", VLOOKUP(D772, 'Info Tipo de Cambio y REM'!$A$24:$B$35, 2, FALSE))</f>
        <v/>
      </c>
      <c r="P772" s="107" t="str">
        <f t="shared" si="2"/>
        <v/>
      </c>
    </row>
    <row r="773">
      <c r="A773" s="102"/>
      <c r="B773" s="102"/>
      <c r="C773" s="102"/>
      <c r="D773" s="51"/>
      <c r="E773" s="102"/>
      <c r="F773" s="102"/>
      <c r="G773" s="103"/>
      <c r="H773" s="103"/>
      <c r="L773" s="103"/>
      <c r="M773" s="113"/>
      <c r="N773" s="107"/>
      <c r="O773" s="106" t="str">
        <f>IF(ISBLANK(M773), "", VLOOKUP(D773, 'Info Tipo de Cambio y REM'!$A$24:$B$35, 2, FALSE))</f>
        <v/>
      </c>
      <c r="P773" s="107" t="str">
        <f t="shared" si="2"/>
        <v/>
      </c>
    </row>
    <row r="774">
      <c r="A774" s="102"/>
      <c r="B774" s="102"/>
      <c r="C774" s="102"/>
      <c r="D774" s="51"/>
      <c r="E774" s="102"/>
      <c r="F774" s="102"/>
      <c r="G774" s="103"/>
      <c r="H774" s="103"/>
      <c r="L774" s="103"/>
      <c r="M774" s="113"/>
      <c r="N774" s="107"/>
      <c r="O774" s="106" t="str">
        <f>IF(ISBLANK(M774), "", VLOOKUP(D774, 'Info Tipo de Cambio y REM'!$A$24:$B$35, 2, FALSE))</f>
        <v/>
      </c>
      <c r="P774" s="107" t="str">
        <f t="shared" si="2"/>
        <v/>
      </c>
    </row>
    <row r="775">
      <c r="A775" s="102"/>
      <c r="B775" s="102"/>
      <c r="C775" s="102"/>
      <c r="D775" s="51"/>
      <c r="E775" s="102"/>
      <c r="F775" s="102"/>
      <c r="G775" s="103"/>
      <c r="H775" s="103"/>
      <c r="L775" s="103"/>
      <c r="M775" s="113"/>
      <c r="N775" s="107"/>
      <c r="O775" s="106" t="str">
        <f>IF(ISBLANK(M775), "", VLOOKUP(D775, 'Info Tipo de Cambio y REM'!$A$24:$B$35, 2, FALSE))</f>
        <v/>
      </c>
      <c r="P775" s="107" t="str">
        <f t="shared" si="2"/>
        <v/>
      </c>
    </row>
    <row r="776">
      <c r="A776" s="102"/>
      <c r="B776" s="102"/>
      <c r="C776" s="102"/>
      <c r="D776" s="51"/>
      <c r="E776" s="102"/>
      <c r="F776" s="102"/>
      <c r="G776" s="103"/>
      <c r="H776" s="103"/>
      <c r="L776" s="103"/>
      <c r="M776" s="113"/>
      <c r="N776" s="107"/>
      <c r="O776" s="106" t="str">
        <f>IF(ISBLANK(M776), "", VLOOKUP(D776, 'Info Tipo de Cambio y REM'!$A$24:$B$35, 2, FALSE))</f>
        <v/>
      </c>
      <c r="P776" s="107" t="str">
        <f t="shared" si="2"/>
        <v/>
      </c>
    </row>
    <row r="777">
      <c r="A777" s="102"/>
      <c r="B777" s="102"/>
      <c r="C777" s="102"/>
      <c r="D777" s="51"/>
      <c r="E777" s="102"/>
      <c r="F777" s="102"/>
      <c r="G777" s="103"/>
      <c r="H777" s="103"/>
      <c r="L777" s="103"/>
      <c r="M777" s="113"/>
      <c r="N777" s="107"/>
      <c r="O777" s="106" t="str">
        <f>IF(ISBLANK(M777), "", VLOOKUP(D777, 'Info Tipo de Cambio y REM'!$A$24:$B$35, 2, FALSE))</f>
        <v/>
      </c>
      <c r="P777" s="107" t="str">
        <f t="shared" si="2"/>
        <v/>
      </c>
    </row>
    <row r="778">
      <c r="A778" s="102"/>
      <c r="B778" s="102"/>
      <c r="C778" s="102"/>
      <c r="D778" s="51"/>
      <c r="E778" s="102"/>
      <c r="F778" s="102"/>
      <c r="G778" s="103"/>
      <c r="H778" s="103"/>
      <c r="L778" s="103"/>
      <c r="M778" s="113"/>
      <c r="N778" s="107"/>
      <c r="O778" s="106" t="str">
        <f>IF(ISBLANK(M778), "", VLOOKUP(D778, 'Info Tipo de Cambio y REM'!$A$24:$B$35, 2, FALSE))</f>
        <v/>
      </c>
      <c r="P778" s="107" t="str">
        <f t="shared" si="2"/>
        <v/>
      </c>
    </row>
    <row r="779">
      <c r="A779" s="102"/>
      <c r="B779" s="102"/>
      <c r="C779" s="102"/>
      <c r="D779" s="51"/>
      <c r="E779" s="102"/>
      <c r="F779" s="102"/>
      <c r="G779" s="103"/>
      <c r="H779" s="103"/>
      <c r="L779" s="103"/>
      <c r="M779" s="113"/>
      <c r="N779" s="107"/>
      <c r="O779" s="106" t="str">
        <f>IF(ISBLANK(M779), "", VLOOKUP(D779, 'Info Tipo de Cambio y REM'!$A$24:$B$35, 2, FALSE))</f>
        <v/>
      </c>
      <c r="P779" s="107" t="str">
        <f t="shared" si="2"/>
        <v/>
      </c>
    </row>
    <row r="780">
      <c r="A780" s="102"/>
      <c r="B780" s="102"/>
      <c r="C780" s="102"/>
      <c r="D780" s="51"/>
      <c r="E780" s="102"/>
      <c r="F780" s="102"/>
      <c r="G780" s="103"/>
      <c r="H780" s="103"/>
      <c r="L780" s="103"/>
      <c r="M780" s="113"/>
      <c r="N780" s="107"/>
      <c r="O780" s="106" t="str">
        <f>IF(ISBLANK(M780), "", VLOOKUP(D780, 'Info Tipo de Cambio y REM'!$A$24:$B$35, 2, FALSE))</f>
        <v/>
      </c>
      <c r="P780" s="107" t="str">
        <f t="shared" si="2"/>
        <v/>
      </c>
    </row>
    <row r="781">
      <c r="A781" s="102"/>
      <c r="B781" s="102"/>
      <c r="C781" s="102"/>
      <c r="D781" s="51"/>
      <c r="E781" s="102"/>
      <c r="F781" s="102"/>
      <c r="G781" s="103"/>
      <c r="H781" s="103"/>
      <c r="L781" s="103"/>
      <c r="M781" s="113"/>
      <c r="N781" s="107"/>
      <c r="O781" s="106" t="str">
        <f>IF(ISBLANK(M781), "", VLOOKUP(D781, 'Info Tipo de Cambio y REM'!$A$24:$B$35, 2, FALSE))</f>
        <v/>
      </c>
      <c r="P781" s="107" t="str">
        <f t="shared" si="2"/>
        <v/>
      </c>
    </row>
    <row r="782">
      <c r="A782" s="102"/>
      <c r="B782" s="102"/>
      <c r="C782" s="102"/>
      <c r="D782" s="51"/>
      <c r="E782" s="102"/>
      <c r="F782" s="102"/>
      <c r="G782" s="103"/>
      <c r="H782" s="103"/>
      <c r="L782" s="103"/>
      <c r="M782" s="113"/>
      <c r="N782" s="107"/>
      <c r="O782" s="106" t="str">
        <f>IF(ISBLANK(M782), "", VLOOKUP(D782, 'Info Tipo de Cambio y REM'!$A$24:$B$35, 2, FALSE))</f>
        <v/>
      </c>
      <c r="P782" s="107" t="str">
        <f t="shared" si="2"/>
        <v/>
      </c>
    </row>
    <row r="783">
      <c r="A783" s="102"/>
      <c r="B783" s="102"/>
      <c r="C783" s="102"/>
      <c r="D783" s="51"/>
      <c r="E783" s="102"/>
      <c r="F783" s="102"/>
      <c r="G783" s="103"/>
      <c r="H783" s="103"/>
      <c r="L783" s="103"/>
      <c r="M783" s="113"/>
      <c r="N783" s="107"/>
      <c r="O783" s="106" t="str">
        <f>IF(ISBLANK(M783), "", VLOOKUP(D783, 'Info Tipo de Cambio y REM'!$A$24:$B$35, 2, FALSE))</f>
        <v/>
      </c>
      <c r="P783" s="107" t="str">
        <f t="shared" si="2"/>
        <v/>
      </c>
    </row>
    <row r="784">
      <c r="A784" s="102"/>
      <c r="B784" s="102"/>
      <c r="C784" s="102"/>
      <c r="D784" s="51"/>
      <c r="E784" s="102"/>
      <c r="F784" s="102"/>
      <c r="G784" s="103"/>
      <c r="H784" s="103"/>
      <c r="L784" s="103"/>
      <c r="M784" s="113"/>
      <c r="N784" s="107"/>
      <c r="O784" s="106" t="str">
        <f>IF(ISBLANK(M784), "", VLOOKUP(D784, 'Info Tipo de Cambio y REM'!$A$24:$B$35, 2, FALSE))</f>
        <v/>
      </c>
      <c r="P784" s="107" t="str">
        <f t="shared" si="2"/>
        <v/>
      </c>
    </row>
    <row r="785">
      <c r="A785" s="102"/>
      <c r="B785" s="102"/>
      <c r="C785" s="102"/>
      <c r="D785" s="51"/>
      <c r="E785" s="102"/>
      <c r="F785" s="102"/>
      <c r="G785" s="103"/>
      <c r="H785" s="103"/>
      <c r="L785" s="103"/>
      <c r="M785" s="113"/>
      <c r="N785" s="107"/>
      <c r="O785" s="106" t="str">
        <f>IF(ISBLANK(M785), "", VLOOKUP(D785, 'Info Tipo de Cambio y REM'!$A$24:$B$35, 2, FALSE))</f>
        <v/>
      </c>
      <c r="P785" s="107" t="str">
        <f t="shared" si="2"/>
        <v/>
      </c>
    </row>
    <row r="786">
      <c r="A786" s="102"/>
      <c r="B786" s="102"/>
      <c r="C786" s="102"/>
      <c r="D786" s="51"/>
      <c r="E786" s="102"/>
      <c r="F786" s="102"/>
      <c r="G786" s="103"/>
      <c r="H786" s="103"/>
      <c r="L786" s="103"/>
      <c r="M786" s="113"/>
      <c r="N786" s="107"/>
      <c r="O786" s="106" t="str">
        <f>IF(ISBLANK(M786), "", VLOOKUP(D786, 'Info Tipo de Cambio y REM'!$A$24:$B$35, 2, FALSE))</f>
        <v/>
      </c>
      <c r="P786" s="107" t="str">
        <f t="shared" si="2"/>
        <v/>
      </c>
    </row>
    <row r="787">
      <c r="A787" s="102"/>
      <c r="B787" s="102"/>
      <c r="C787" s="102"/>
      <c r="D787" s="51"/>
      <c r="E787" s="102"/>
      <c r="F787" s="102"/>
      <c r="G787" s="103"/>
      <c r="H787" s="103"/>
      <c r="L787" s="103"/>
      <c r="M787" s="113"/>
      <c r="N787" s="107"/>
      <c r="O787" s="106" t="str">
        <f>IF(ISBLANK(M787), "", VLOOKUP(D787, 'Info Tipo de Cambio y REM'!$A$24:$B$35, 2, FALSE))</f>
        <v/>
      </c>
      <c r="P787" s="107" t="str">
        <f t="shared" si="2"/>
        <v/>
      </c>
    </row>
    <row r="788">
      <c r="A788" s="102"/>
      <c r="B788" s="102"/>
      <c r="C788" s="102"/>
      <c r="D788" s="51"/>
      <c r="E788" s="102"/>
      <c r="F788" s="102"/>
      <c r="G788" s="103"/>
      <c r="H788" s="103"/>
      <c r="L788" s="103"/>
      <c r="M788" s="113"/>
      <c r="N788" s="107"/>
      <c r="O788" s="106" t="str">
        <f>IF(ISBLANK(M788), "", VLOOKUP(D788, 'Info Tipo de Cambio y REM'!$A$24:$B$35, 2, FALSE))</f>
        <v/>
      </c>
      <c r="P788" s="107" t="str">
        <f t="shared" si="2"/>
        <v/>
      </c>
    </row>
    <row r="789">
      <c r="A789" s="102"/>
      <c r="B789" s="102"/>
      <c r="C789" s="102"/>
      <c r="D789" s="51"/>
      <c r="E789" s="102"/>
      <c r="F789" s="102"/>
      <c r="G789" s="103"/>
      <c r="H789" s="103"/>
      <c r="L789" s="103"/>
      <c r="M789" s="113"/>
      <c r="N789" s="107"/>
      <c r="O789" s="106" t="str">
        <f>IF(ISBLANK(M789), "", VLOOKUP(D789, 'Info Tipo de Cambio y REM'!$A$24:$B$35, 2, FALSE))</f>
        <v/>
      </c>
      <c r="P789" s="107" t="str">
        <f t="shared" si="2"/>
        <v/>
      </c>
    </row>
    <row r="790">
      <c r="A790" s="102"/>
      <c r="B790" s="102"/>
      <c r="C790" s="102"/>
      <c r="D790" s="51"/>
      <c r="E790" s="102"/>
      <c r="F790" s="102"/>
      <c r="G790" s="103"/>
      <c r="H790" s="103"/>
      <c r="L790" s="103"/>
      <c r="M790" s="113"/>
      <c r="N790" s="107"/>
      <c r="O790" s="106" t="str">
        <f>IF(ISBLANK(M790), "", VLOOKUP(D790, 'Info Tipo de Cambio y REM'!$A$24:$B$35, 2, FALSE))</f>
        <v/>
      </c>
      <c r="P790" s="107" t="str">
        <f t="shared" si="2"/>
        <v/>
      </c>
    </row>
    <row r="791">
      <c r="A791" s="102"/>
      <c r="B791" s="102"/>
      <c r="C791" s="102"/>
      <c r="D791" s="51"/>
      <c r="E791" s="102"/>
      <c r="F791" s="102"/>
      <c r="G791" s="103"/>
      <c r="H791" s="103"/>
      <c r="L791" s="103"/>
      <c r="M791" s="113"/>
      <c r="N791" s="107"/>
      <c r="O791" s="106" t="str">
        <f>IF(ISBLANK(M791), "", VLOOKUP(D791, 'Info Tipo de Cambio y REM'!$A$24:$B$35, 2, FALSE))</f>
        <v/>
      </c>
      <c r="P791" s="107" t="str">
        <f t="shared" si="2"/>
        <v/>
      </c>
    </row>
    <row r="792">
      <c r="A792" s="102"/>
      <c r="B792" s="102"/>
      <c r="C792" s="102"/>
      <c r="D792" s="51"/>
      <c r="E792" s="102"/>
      <c r="F792" s="102"/>
      <c r="G792" s="103"/>
      <c r="H792" s="103"/>
      <c r="L792" s="103"/>
      <c r="M792" s="113"/>
      <c r="N792" s="107"/>
      <c r="O792" s="106" t="str">
        <f>IF(ISBLANK(M792), "", VLOOKUP(D792, 'Info Tipo de Cambio y REM'!$A$24:$B$35, 2, FALSE))</f>
        <v/>
      </c>
      <c r="P792" s="107" t="str">
        <f t="shared" si="2"/>
        <v/>
      </c>
    </row>
    <row r="793">
      <c r="A793" s="102"/>
      <c r="B793" s="102"/>
      <c r="C793" s="102"/>
      <c r="D793" s="51"/>
      <c r="E793" s="102"/>
      <c r="F793" s="102"/>
      <c r="G793" s="103"/>
      <c r="H793" s="103"/>
      <c r="L793" s="103"/>
      <c r="M793" s="113"/>
      <c r="N793" s="107"/>
      <c r="O793" s="106" t="str">
        <f>IF(ISBLANK(M793), "", VLOOKUP(D793, 'Info Tipo de Cambio y REM'!$A$24:$B$35, 2, FALSE))</f>
        <v/>
      </c>
      <c r="P793" s="107" t="str">
        <f t="shared" si="2"/>
        <v/>
      </c>
    </row>
    <row r="794">
      <c r="A794" s="102"/>
      <c r="B794" s="102"/>
      <c r="C794" s="102"/>
      <c r="D794" s="51"/>
      <c r="E794" s="102"/>
      <c r="F794" s="102"/>
      <c r="G794" s="103"/>
      <c r="H794" s="103"/>
      <c r="L794" s="103"/>
      <c r="M794" s="113"/>
      <c r="N794" s="107"/>
      <c r="O794" s="106" t="str">
        <f>IF(ISBLANK(M794), "", VLOOKUP(D794, 'Info Tipo de Cambio y REM'!$A$24:$B$35, 2, FALSE))</f>
        <v/>
      </c>
      <c r="P794" s="107" t="str">
        <f t="shared" si="2"/>
        <v/>
      </c>
    </row>
    <row r="795">
      <c r="A795" s="102"/>
      <c r="B795" s="102"/>
      <c r="C795" s="102"/>
      <c r="D795" s="51"/>
      <c r="E795" s="102"/>
      <c r="F795" s="102"/>
      <c r="G795" s="103"/>
      <c r="H795" s="103"/>
      <c r="L795" s="103"/>
      <c r="M795" s="113"/>
      <c r="N795" s="107"/>
      <c r="O795" s="106" t="str">
        <f>IF(ISBLANK(M795), "", VLOOKUP(D795, 'Info Tipo de Cambio y REM'!$A$24:$B$35, 2, FALSE))</f>
        <v/>
      </c>
      <c r="P795" s="107" t="str">
        <f t="shared" si="2"/>
        <v/>
      </c>
    </row>
    <row r="796">
      <c r="A796" s="102"/>
      <c r="B796" s="102"/>
      <c r="C796" s="102"/>
      <c r="D796" s="51"/>
      <c r="E796" s="102"/>
      <c r="F796" s="102"/>
      <c r="G796" s="103"/>
      <c r="H796" s="103"/>
      <c r="L796" s="103"/>
      <c r="M796" s="113"/>
      <c r="N796" s="107"/>
      <c r="O796" s="106" t="str">
        <f>IF(ISBLANK(M796), "", VLOOKUP(D796, 'Info Tipo de Cambio y REM'!$A$24:$B$35, 2, FALSE))</f>
        <v/>
      </c>
      <c r="P796" s="107" t="str">
        <f t="shared" si="2"/>
        <v/>
      </c>
    </row>
    <row r="797">
      <c r="A797" s="102"/>
      <c r="B797" s="102"/>
      <c r="C797" s="102"/>
      <c r="D797" s="51"/>
      <c r="E797" s="102"/>
      <c r="F797" s="102"/>
      <c r="G797" s="103"/>
      <c r="H797" s="103"/>
      <c r="L797" s="103"/>
      <c r="M797" s="113"/>
      <c r="N797" s="107"/>
      <c r="O797" s="106" t="str">
        <f>IF(ISBLANK(M797), "", VLOOKUP(D797, 'Info Tipo de Cambio y REM'!$A$24:$B$35, 2, FALSE))</f>
        <v/>
      </c>
      <c r="P797" s="107" t="str">
        <f t="shared" si="2"/>
        <v/>
      </c>
    </row>
    <row r="798">
      <c r="A798" s="102"/>
      <c r="B798" s="102"/>
      <c r="C798" s="102"/>
      <c r="D798" s="51"/>
      <c r="E798" s="102"/>
      <c r="F798" s="102"/>
      <c r="G798" s="103"/>
      <c r="H798" s="103"/>
      <c r="L798" s="103"/>
      <c r="M798" s="113"/>
      <c r="N798" s="107"/>
      <c r="O798" s="106" t="str">
        <f>IF(ISBLANK(M798), "", VLOOKUP(D798, 'Info Tipo de Cambio y REM'!$A$24:$B$35, 2, FALSE))</f>
        <v/>
      </c>
      <c r="P798" s="107" t="str">
        <f t="shared" si="2"/>
        <v/>
      </c>
    </row>
    <row r="799">
      <c r="A799" s="102"/>
      <c r="B799" s="102"/>
      <c r="C799" s="102"/>
      <c r="D799" s="51"/>
      <c r="E799" s="102"/>
      <c r="F799" s="102"/>
      <c r="G799" s="103"/>
      <c r="H799" s="103"/>
      <c r="L799" s="103"/>
      <c r="M799" s="113"/>
      <c r="N799" s="107"/>
      <c r="O799" s="106" t="str">
        <f>IF(ISBLANK(M799), "", VLOOKUP(D799, 'Info Tipo de Cambio y REM'!$A$24:$B$35, 2, FALSE))</f>
        <v/>
      </c>
      <c r="P799" s="107" t="str">
        <f t="shared" si="2"/>
        <v/>
      </c>
    </row>
    <row r="800">
      <c r="A800" s="102"/>
      <c r="B800" s="102"/>
      <c r="C800" s="102"/>
      <c r="D800" s="51"/>
      <c r="E800" s="102"/>
      <c r="F800" s="102"/>
      <c r="G800" s="103"/>
      <c r="H800" s="103"/>
      <c r="L800" s="103"/>
      <c r="M800" s="113"/>
      <c r="N800" s="107"/>
      <c r="O800" s="106" t="str">
        <f>IF(ISBLANK(M800), "", VLOOKUP(D800, 'Info Tipo de Cambio y REM'!$A$24:$B$35, 2, FALSE))</f>
        <v/>
      </c>
      <c r="P800" s="107" t="str">
        <f t="shared" si="2"/>
        <v/>
      </c>
    </row>
    <row r="801">
      <c r="A801" s="102"/>
      <c r="B801" s="102"/>
      <c r="C801" s="102"/>
      <c r="D801" s="51"/>
      <c r="E801" s="102"/>
      <c r="F801" s="102"/>
      <c r="G801" s="103"/>
      <c r="H801" s="103"/>
      <c r="L801" s="103"/>
      <c r="M801" s="113"/>
      <c r="N801" s="107"/>
      <c r="O801" s="106" t="str">
        <f>IF(ISBLANK(M801), "", VLOOKUP(D801, 'Info Tipo de Cambio y REM'!$A$24:$B$35, 2, FALSE))</f>
        <v/>
      </c>
      <c r="P801" s="107" t="str">
        <f t="shared" si="2"/>
        <v/>
      </c>
    </row>
    <row r="802">
      <c r="A802" s="102"/>
      <c r="B802" s="102"/>
      <c r="C802" s="102"/>
      <c r="D802" s="51"/>
      <c r="E802" s="102"/>
      <c r="F802" s="102"/>
      <c r="G802" s="103"/>
      <c r="H802" s="103"/>
      <c r="L802" s="103"/>
      <c r="M802" s="113"/>
      <c r="N802" s="107"/>
      <c r="O802" s="106" t="str">
        <f>IF(ISBLANK(M802), "", VLOOKUP(D802, 'Info Tipo de Cambio y REM'!$A$24:$B$35, 2, FALSE))</f>
        <v/>
      </c>
      <c r="P802" s="107" t="str">
        <f t="shared" si="2"/>
        <v/>
      </c>
    </row>
    <row r="803">
      <c r="A803" s="102"/>
      <c r="B803" s="102"/>
      <c r="C803" s="102"/>
      <c r="D803" s="51"/>
      <c r="E803" s="102"/>
      <c r="F803" s="102"/>
      <c r="G803" s="103"/>
      <c r="H803" s="103"/>
      <c r="L803" s="103"/>
      <c r="M803" s="113"/>
      <c r="N803" s="107"/>
      <c r="O803" s="106" t="str">
        <f>IF(ISBLANK(M803), "", VLOOKUP(D803, 'Info Tipo de Cambio y REM'!$A$24:$B$35, 2, FALSE))</f>
        <v/>
      </c>
      <c r="P803" s="107" t="str">
        <f t="shared" si="2"/>
        <v/>
      </c>
    </row>
    <row r="804">
      <c r="A804" s="102"/>
      <c r="B804" s="102"/>
      <c r="C804" s="102"/>
      <c r="D804" s="51"/>
      <c r="E804" s="102"/>
      <c r="F804" s="102"/>
      <c r="G804" s="103"/>
      <c r="H804" s="103"/>
      <c r="L804" s="103"/>
      <c r="M804" s="113"/>
      <c r="N804" s="107"/>
      <c r="O804" s="106" t="str">
        <f>IF(ISBLANK(M804), "", VLOOKUP(D804, 'Info Tipo de Cambio y REM'!$A$24:$B$35, 2, FALSE))</f>
        <v/>
      </c>
      <c r="P804" s="107" t="str">
        <f t="shared" si="2"/>
        <v/>
      </c>
    </row>
    <row r="805">
      <c r="A805" s="102"/>
      <c r="B805" s="102"/>
      <c r="C805" s="102"/>
      <c r="D805" s="51"/>
      <c r="E805" s="102"/>
      <c r="F805" s="102"/>
      <c r="G805" s="103"/>
      <c r="H805" s="103"/>
      <c r="L805" s="103"/>
      <c r="M805" s="113"/>
      <c r="N805" s="107"/>
      <c r="O805" s="106" t="str">
        <f>IF(ISBLANK(M805), "", VLOOKUP(D805, 'Info Tipo de Cambio y REM'!$A$24:$B$35, 2, FALSE))</f>
        <v/>
      </c>
      <c r="P805" s="107" t="str">
        <f t="shared" si="2"/>
        <v/>
      </c>
    </row>
    <row r="806">
      <c r="A806" s="102"/>
      <c r="B806" s="102"/>
      <c r="C806" s="102"/>
      <c r="D806" s="51"/>
      <c r="E806" s="102"/>
      <c r="F806" s="102"/>
      <c r="G806" s="103"/>
      <c r="H806" s="103"/>
      <c r="L806" s="103"/>
      <c r="M806" s="113"/>
      <c r="N806" s="107"/>
      <c r="O806" s="106" t="str">
        <f>IF(ISBLANK(M806), "", VLOOKUP(D806, 'Info Tipo de Cambio y REM'!$A$24:$B$35, 2, FALSE))</f>
        <v/>
      </c>
      <c r="P806" s="107" t="str">
        <f t="shared" si="2"/>
        <v/>
      </c>
    </row>
    <row r="807">
      <c r="A807" s="102"/>
      <c r="B807" s="102"/>
      <c r="C807" s="102"/>
      <c r="D807" s="51"/>
      <c r="E807" s="102"/>
      <c r="F807" s="102"/>
      <c r="G807" s="103"/>
      <c r="H807" s="103"/>
      <c r="L807" s="103"/>
      <c r="M807" s="113"/>
      <c r="N807" s="107"/>
      <c r="O807" s="106" t="str">
        <f>IF(ISBLANK(M807), "", VLOOKUP(D807, 'Info Tipo de Cambio y REM'!$A$24:$B$35, 2, FALSE))</f>
        <v/>
      </c>
      <c r="P807" s="107" t="str">
        <f t="shared" si="2"/>
        <v/>
      </c>
    </row>
    <row r="808">
      <c r="A808" s="102"/>
      <c r="B808" s="102"/>
      <c r="C808" s="102"/>
      <c r="D808" s="51"/>
      <c r="E808" s="102"/>
      <c r="F808" s="102"/>
      <c r="G808" s="103"/>
      <c r="H808" s="103"/>
      <c r="L808" s="103"/>
      <c r="M808" s="113"/>
      <c r="N808" s="107"/>
      <c r="O808" s="106" t="str">
        <f>IF(ISBLANK(M808), "", VLOOKUP(D808, 'Info Tipo de Cambio y REM'!$A$24:$B$35, 2, FALSE))</f>
        <v/>
      </c>
      <c r="P808" s="107" t="str">
        <f t="shared" si="2"/>
        <v/>
      </c>
    </row>
    <row r="809">
      <c r="A809" s="102"/>
      <c r="B809" s="102"/>
      <c r="C809" s="102"/>
      <c r="D809" s="51"/>
      <c r="E809" s="102"/>
      <c r="F809" s="102"/>
      <c r="G809" s="103"/>
      <c r="H809" s="103"/>
      <c r="L809" s="103"/>
      <c r="M809" s="113"/>
      <c r="N809" s="107"/>
      <c r="O809" s="106" t="str">
        <f>IF(ISBLANK(M809), "", VLOOKUP(D809, 'Info Tipo de Cambio y REM'!$A$24:$B$35, 2, FALSE))</f>
        <v/>
      </c>
      <c r="P809" s="107" t="str">
        <f t="shared" si="2"/>
        <v/>
      </c>
    </row>
    <row r="810">
      <c r="A810" s="102"/>
      <c r="B810" s="102"/>
      <c r="C810" s="102"/>
      <c r="D810" s="51"/>
      <c r="E810" s="102"/>
      <c r="F810" s="102"/>
      <c r="G810" s="103"/>
      <c r="H810" s="103"/>
      <c r="L810" s="103"/>
      <c r="M810" s="113"/>
      <c r="N810" s="107"/>
      <c r="O810" s="106" t="str">
        <f>IF(ISBLANK(M810), "", VLOOKUP(D810, 'Info Tipo de Cambio y REM'!$A$24:$B$35, 2, FALSE))</f>
        <v/>
      </c>
      <c r="P810" s="107" t="str">
        <f t="shared" si="2"/>
        <v/>
      </c>
    </row>
    <row r="811">
      <c r="A811" s="102"/>
      <c r="B811" s="102"/>
      <c r="C811" s="102"/>
      <c r="D811" s="51"/>
      <c r="E811" s="102"/>
      <c r="F811" s="102"/>
      <c r="G811" s="103"/>
      <c r="H811" s="103"/>
      <c r="L811" s="103"/>
      <c r="M811" s="113"/>
      <c r="N811" s="107"/>
      <c r="O811" s="106" t="str">
        <f>IF(ISBLANK(M811), "", VLOOKUP(D811, 'Info Tipo de Cambio y REM'!$A$24:$B$35, 2, FALSE))</f>
        <v/>
      </c>
      <c r="P811" s="107" t="str">
        <f t="shared" si="2"/>
        <v/>
      </c>
    </row>
    <row r="812">
      <c r="A812" s="102"/>
      <c r="B812" s="102"/>
      <c r="C812" s="102"/>
      <c r="D812" s="51"/>
      <c r="E812" s="102"/>
      <c r="F812" s="102"/>
      <c r="G812" s="103"/>
      <c r="H812" s="103"/>
      <c r="L812" s="103"/>
      <c r="M812" s="113"/>
      <c r="N812" s="107"/>
      <c r="O812" s="106" t="str">
        <f>IF(ISBLANK(M812), "", VLOOKUP(D812, 'Info Tipo de Cambio y REM'!$A$24:$B$35, 2, FALSE))</f>
        <v/>
      </c>
      <c r="P812" s="107" t="str">
        <f t="shared" si="2"/>
        <v/>
      </c>
    </row>
    <row r="813">
      <c r="A813" s="102"/>
      <c r="B813" s="102"/>
      <c r="C813" s="102"/>
      <c r="D813" s="51"/>
      <c r="E813" s="102"/>
      <c r="F813" s="102"/>
      <c r="G813" s="103"/>
      <c r="H813" s="103"/>
      <c r="L813" s="103"/>
      <c r="M813" s="113"/>
      <c r="N813" s="107"/>
      <c r="O813" s="106" t="str">
        <f>IF(ISBLANK(M813), "", VLOOKUP(D813, 'Info Tipo de Cambio y REM'!$A$24:$B$35, 2, FALSE))</f>
        <v/>
      </c>
      <c r="P813" s="107" t="str">
        <f t="shared" si="2"/>
        <v/>
      </c>
    </row>
    <row r="814">
      <c r="A814" s="102"/>
      <c r="B814" s="102"/>
      <c r="C814" s="102"/>
      <c r="D814" s="51"/>
      <c r="E814" s="102"/>
      <c r="F814" s="102"/>
      <c r="G814" s="103"/>
      <c r="H814" s="103"/>
      <c r="L814" s="103"/>
      <c r="M814" s="113"/>
      <c r="N814" s="107"/>
      <c r="O814" s="106" t="str">
        <f>IF(ISBLANK(M814), "", VLOOKUP(D814, 'Info Tipo de Cambio y REM'!$A$24:$B$35, 2, FALSE))</f>
        <v/>
      </c>
      <c r="P814" s="107" t="str">
        <f t="shared" si="2"/>
        <v/>
      </c>
    </row>
    <row r="815">
      <c r="A815" s="102"/>
      <c r="B815" s="102"/>
      <c r="C815" s="102"/>
      <c r="D815" s="51"/>
      <c r="E815" s="102"/>
      <c r="F815" s="102"/>
      <c r="G815" s="103"/>
      <c r="H815" s="103"/>
      <c r="L815" s="103"/>
      <c r="M815" s="113"/>
      <c r="N815" s="107"/>
      <c r="O815" s="106" t="str">
        <f>IF(ISBLANK(M815), "", VLOOKUP(D815, 'Info Tipo de Cambio y REM'!$A$24:$B$35, 2, FALSE))</f>
        <v/>
      </c>
      <c r="P815" s="107" t="str">
        <f t="shared" si="2"/>
        <v/>
      </c>
    </row>
    <row r="816">
      <c r="A816" s="102"/>
      <c r="B816" s="102"/>
      <c r="C816" s="102"/>
      <c r="D816" s="51"/>
      <c r="E816" s="102"/>
      <c r="F816" s="102"/>
      <c r="G816" s="103"/>
      <c r="H816" s="103"/>
      <c r="L816" s="103"/>
      <c r="M816" s="113"/>
      <c r="N816" s="107"/>
      <c r="O816" s="106" t="str">
        <f>IF(ISBLANK(M816), "", VLOOKUP(D816, 'Info Tipo de Cambio y REM'!$A$24:$B$35, 2, FALSE))</f>
        <v/>
      </c>
      <c r="P816" s="107" t="str">
        <f t="shared" si="2"/>
        <v/>
      </c>
    </row>
    <row r="817">
      <c r="A817" s="102"/>
      <c r="B817" s="102"/>
      <c r="C817" s="102"/>
      <c r="D817" s="51"/>
      <c r="E817" s="102"/>
      <c r="F817" s="102"/>
      <c r="G817" s="103"/>
      <c r="H817" s="103"/>
      <c r="L817" s="103"/>
      <c r="M817" s="113"/>
      <c r="N817" s="107"/>
      <c r="O817" s="106" t="str">
        <f>IF(ISBLANK(M817), "", VLOOKUP(D817, 'Info Tipo de Cambio y REM'!$A$24:$B$35, 2, FALSE))</f>
        <v/>
      </c>
      <c r="P817" s="107" t="str">
        <f t="shared" si="2"/>
        <v/>
      </c>
    </row>
    <row r="818">
      <c r="A818" s="102"/>
      <c r="B818" s="102"/>
      <c r="C818" s="102"/>
      <c r="D818" s="51"/>
      <c r="E818" s="102"/>
      <c r="F818" s="102"/>
      <c r="G818" s="103"/>
      <c r="H818" s="103"/>
      <c r="L818" s="103"/>
      <c r="M818" s="113"/>
      <c r="N818" s="107"/>
      <c r="O818" s="106" t="str">
        <f>IF(ISBLANK(M818), "", VLOOKUP(D818, 'Info Tipo de Cambio y REM'!$A$24:$B$35, 2, FALSE))</f>
        <v/>
      </c>
      <c r="P818" s="107" t="str">
        <f t="shared" si="2"/>
        <v/>
      </c>
    </row>
    <row r="819">
      <c r="A819" s="102"/>
      <c r="B819" s="102"/>
      <c r="C819" s="102"/>
      <c r="D819" s="51"/>
      <c r="E819" s="102"/>
      <c r="F819" s="102"/>
      <c r="G819" s="103"/>
      <c r="H819" s="103"/>
      <c r="L819" s="103"/>
      <c r="M819" s="113"/>
      <c r="N819" s="107"/>
      <c r="O819" s="106" t="str">
        <f>IF(ISBLANK(M819), "", VLOOKUP(D819, 'Info Tipo de Cambio y REM'!$A$24:$B$35, 2, FALSE))</f>
        <v/>
      </c>
      <c r="P819" s="107" t="str">
        <f t="shared" si="2"/>
        <v/>
      </c>
    </row>
    <row r="820">
      <c r="A820" s="102"/>
      <c r="B820" s="102"/>
      <c r="C820" s="102"/>
      <c r="D820" s="51"/>
      <c r="E820" s="102"/>
      <c r="F820" s="102"/>
      <c r="G820" s="103"/>
      <c r="H820" s="103"/>
      <c r="L820" s="103"/>
      <c r="M820" s="113"/>
      <c r="N820" s="107"/>
      <c r="O820" s="106" t="str">
        <f>IF(ISBLANK(M820), "", VLOOKUP(D820, 'Info Tipo de Cambio y REM'!$A$24:$B$35, 2, FALSE))</f>
        <v/>
      </c>
      <c r="P820" s="107" t="str">
        <f t="shared" si="2"/>
        <v/>
      </c>
    </row>
    <row r="821">
      <c r="A821" s="102"/>
      <c r="B821" s="102"/>
      <c r="C821" s="102"/>
      <c r="D821" s="51"/>
      <c r="E821" s="102"/>
      <c r="F821" s="102"/>
      <c r="G821" s="103"/>
      <c r="H821" s="103"/>
      <c r="L821" s="103"/>
      <c r="M821" s="113"/>
      <c r="N821" s="107"/>
      <c r="O821" s="106" t="str">
        <f>IF(ISBLANK(M821), "", VLOOKUP(D821, 'Info Tipo de Cambio y REM'!$A$24:$B$35, 2, FALSE))</f>
        <v/>
      </c>
      <c r="P821" s="107" t="str">
        <f t="shared" si="2"/>
        <v/>
      </c>
    </row>
    <row r="822">
      <c r="A822" s="102"/>
      <c r="B822" s="102"/>
      <c r="C822" s="102"/>
      <c r="D822" s="51"/>
      <c r="E822" s="102"/>
      <c r="F822" s="102"/>
      <c r="G822" s="103"/>
      <c r="H822" s="103"/>
      <c r="L822" s="103"/>
      <c r="M822" s="113"/>
      <c r="N822" s="107"/>
      <c r="O822" s="106" t="str">
        <f>IF(ISBLANK(M822), "", VLOOKUP(D822, 'Info Tipo de Cambio y REM'!$A$24:$B$35, 2, FALSE))</f>
        <v/>
      </c>
      <c r="P822" s="107" t="str">
        <f t="shared" si="2"/>
        <v/>
      </c>
    </row>
    <row r="823">
      <c r="A823" s="102"/>
      <c r="B823" s="102"/>
      <c r="C823" s="102"/>
      <c r="D823" s="51"/>
      <c r="E823" s="102"/>
      <c r="F823" s="102"/>
      <c r="G823" s="103"/>
      <c r="H823" s="103"/>
      <c r="L823" s="103"/>
      <c r="M823" s="113"/>
      <c r="N823" s="107"/>
      <c r="O823" s="106" t="str">
        <f>IF(ISBLANK(M823), "", VLOOKUP(D823, 'Info Tipo de Cambio y REM'!$A$24:$B$35, 2, FALSE))</f>
        <v/>
      </c>
      <c r="P823" s="107" t="str">
        <f t="shared" si="2"/>
        <v/>
      </c>
    </row>
    <row r="824">
      <c r="A824" s="102"/>
      <c r="B824" s="102"/>
      <c r="C824" s="102"/>
      <c r="D824" s="51"/>
      <c r="E824" s="102"/>
      <c r="F824" s="102"/>
      <c r="G824" s="103"/>
      <c r="H824" s="103"/>
      <c r="L824" s="103"/>
      <c r="M824" s="113"/>
      <c r="N824" s="107"/>
      <c r="O824" s="106" t="str">
        <f>IF(ISBLANK(M824), "", VLOOKUP(D824, 'Info Tipo de Cambio y REM'!$A$24:$B$35, 2, FALSE))</f>
        <v/>
      </c>
      <c r="P824" s="107" t="str">
        <f t="shared" si="2"/>
        <v/>
      </c>
    </row>
    <row r="825">
      <c r="A825" s="102"/>
      <c r="B825" s="102"/>
      <c r="C825" s="102"/>
      <c r="D825" s="51"/>
      <c r="E825" s="102"/>
      <c r="F825" s="102"/>
      <c r="G825" s="103"/>
      <c r="H825" s="103"/>
      <c r="L825" s="103"/>
      <c r="M825" s="113"/>
      <c r="N825" s="107"/>
      <c r="O825" s="106" t="str">
        <f>IF(ISBLANK(M825), "", VLOOKUP(D825, 'Info Tipo de Cambio y REM'!$A$24:$B$35, 2, FALSE))</f>
        <v/>
      </c>
      <c r="P825" s="107" t="str">
        <f t="shared" si="2"/>
        <v/>
      </c>
    </row>
    <row r="826">
      <c r="A826" s="102"/>
      <c r="B826" s="102"/>
      <c r="C826" s="102"/>
      <c r="D826" s="51"/>
      <c r="E826" s="102"/>
      <c r="F826" s="102"/>
      <c r="G826" s="103"/>
      <c r="H826" s="103"/>
      <c r="L826" s="103"/>
      <c r="M826" s="113"/>
      <c r="N826" s="107"/>
      <c r="O826" s="106" t="str">
        <f>IF(ISBLANK(M826), "", VLOOKUP(D826, 'Info Tipo de Cambio y REM'!$A$24:$B$35, 2, FALSE))</f>
        <v/>
      </c>
      <c r="P826" s="107" t="str">
        <f t="shared" si="2"/>
        <v/>
      </c>
    </row>
    <row r="827">
      <c r="A827" s="102"/>
      <c r="B827" s="102"/>
      <c r="C827" s="102"/>
      <c r="D827" s="51"/>
      <c r="E827" s="102"/>
      <c r="F827" s="102"/>
      <c r="G827" s="103"/>
      <c r="H827" s="103"/>
      <c r="L827" s="103"/>
      <c r="M827" s="113"/>
      <c r="N827" s="107"/>
      <c r="O827" s="106" t="str">
        <f>IF(ISBLANK(M827), "", VLOOKUP(D827, 'Info Tipo de Cambio y REM'!$A$24:$B$35, 2, FALSE))</f>
        <v/>
      </c>
      <c r="P827" s="107" t="str">
        <f t="shared" si="2"/>
        <v/>
      </c>
    </row>
    <row r="828">
      <c r="A828" s="102"/>
      <c r="B828" s="102"/>
      <c r="C828" s="102"/>
      <c r="D828" s="51"/>
      <c r="E828" s="102"/>
      <c r="F828" s="102"/>
      <c r="G828" s="103"/>
      <c r="H828" s="103"/>
      <c r="L828" s="103"/>
      <c r="M828" s="113"/>
      <c r="N828" s="107"/>
      <c r="O828" s="106" t="str">
        <f>IF(ISBLANK(M828), "", VLOOKUP(D828, 'Info Tipo de Cambio y REM'!$A$24:$B$35, 2, FALSE))</f>
        <v/>
      </c>
      <c r="P828" s="107" t="str">
        <f t="shared" si="2"/>
        <v/>
      </c>
    </row>
    <row r="829">
      <c r="A829" s="102"/>
      <c r="B829" s="102"/>
      <c r="C829" s="102"/>
      <c r="D829" s="51"/>
      <c r="E829" s="102"/>
      <c r="F829" s="102"/>
      <c r="G829" s="103"/>
      <c r="H829" s="103"/>
      <c r="L829" s="103"/>
      <c r="M829" s="113"/>
      <c r="N829" s="107"/>
      <c r="O829" s="106" t="str">
        <f>IF(ISBLANK(M829), "", VLOOKUP(D829, 'Info Tipo de Cambio y REM'!$A$24:$B$35, 2, FALSE))</f>
        <v/>
      </c>
      <c r="P829" s="107" t="str">
        <f t="shared" si="2"/>
        <v/>
      </c>
    </row>
    <row r="830">
      <c r="A830" s="102"/>
      <c r="B830" s="102"/>
      <c r="C830" s="102"/>
      <c r="D830" s="51"/>
      <c r="E830" s="102"/>
      <c r="F830" s="102"/>
      <c r="G830" s="103"/>
      <c r="H830" s="103"/>
      <c r="L830" s="103"/>
      <c r="M830" s="113"/>
      <c r="N830" s="107"/>
      <c r="O830" s="106" t="str">
        <f>IF(ISBLANK(M830), "", VLOOKUP(D830, 'Info Tipo de Cambio y REM'!$A$24:$B$35, 2, FALSE))</f>
        <v/>
      </c>
      <c r="P830" s="107" t="str">
        <f t="shared" si="2"/>
        <v/>
      </c>
    </row>
    <row r="831">
      <c r="A831" s="102"/>
      <c r="B831" s="102"/>
      <c r="C831" s="102"/>
      <c r="D831" s="51"/>
      <c r="E831" s="102"/>
      <c r="F831" s="102"/>
      <c r="G831" s="103"/>
      <c r="H831" s="103"/>
      <c r="L831" s="103"/>
      <c r="M831" s="113"/>
      <c r="N831" s="107"/>
      <c r="O831" s="106" t="str">
        <f>IF(ISBLANK(M831), "", VLOOKUP(D831, 'Info Tipo de Cambio y REM'!$A$24:$B$35, 2, FALSE))</f>
        <v/>
      </c>
      <c r="P831" s="107" t="str">
        <f t="shared" si="2"/>
        <v/>
      </c>
    </row>
    <row r="832">
      <c r="A832" s="102"/>
      <c r="B832" s="102"/>
      <c r="C832" s="102"/>
      <c r="D832" s="51"/>
      <c r="E832" s="102"/>
      <c r="F832" s="102"/>
      <c r="G832" s="103"/>
      <c r="H832" s="103"/>
      <c r="L832" s="103"/>
      <c r="M832" s="113"/>
      <c r="N832" s="107"/>
      <c r="O832" s="106" t="str">
        <f>IF(ISBLANK(M832), "", VLOOKUP(D832, 'Info Tipo de Cambio y REM'!$A$24:$B$35, 2, FALSE))</f>
        <v/>
      </c>
      <c r="P832" s="107" t="str">
        <f t="shared" si="2"/>
        <v/>
      </c>
    </row>
    <row r="833">
      <c r="A833" s="102"/>
      <c r="B833" s="102"/>
      <c r="C833" s="102"/>
      <c r="D833" s="51"/>
      <c r="E833" s="102"/>
      <c r="F833" s="102"/>
      <c r="G833" s="103"/>
      <c r="H833" s="103"/>
      <c r="L833" s="103"/>
      <c r="M833" s="113"/>
      <c r="N833" s="107"/>
      <c r="O833" s="106" t="str">
        <f>IF(ISBLANK(M833), "", VLOOKUP(D833, 'Info Tipo de Cambio y REM'!$A$24:$B$35, 2, FALSE))</f>
        <v/>
      </c>
      <c r="P833" s="107" t="str">
        <f t="shared" si="2"/>
        <v/>
      </c>
    </row>
    <row r="834">
      <c r="A834" s="102"/>
      <c r="B834" s="102"/>
      <c r="C834" s="102"/>
      <c r="D834" s="51"/>
      <c r="E834" s="102"/>
      <c r="F834" s="102"/>
      <c r="G834" s="103"/>
      <c r="H834" s="103"/>
      <c r="L834" s="103"/>
      <c r="M834" s="113"/>
      <c r="N834" s="107"/>
      <c r="O834" s="106" t="str">
        <f>IF(ISBLANK(M834), "", VLOOKUP(D834, 'Info Tipo de Cambio y REM'!$A$24:$B$35, 2, FALSE))</f>
        <v/>
      </c>
      <c r="P834" s="107" t="str">
        <f t="shared" si="2"/>
        <v/>
      </c>
    </row>
    <row r="835">
      <c r="A835" s="102"/>
      <c r="B835" s="102"/>
      <c r="C835" s="102"/>
      <c r="D835" s="51"/>
      <c r="E835" s="102"/>
      <c r="F835" s="102"/>
      <c r="G835" s="103"/>
      <c r="H835" s="103"/>
      <c r="L835" s="103"/>
      <c r="M835" s="113"/>
      <c r="N835" s="107"/>
      <c r="O835" s="106" t="str">
        <f>IF(ISBLANK(M835), "", VLOOKUP(D835, 'Info Tipo de Cambio y REM'!$A$24:$B$35, 2, FALSE))</f>
        <v/>
      </c>
      <c r="P835" s="107" t="str">
        <f t="shared" si="2"/>
        <v/>
      </c>
    </row>
    <row r="836">
      <c r="A836" s="102"/>
      <c r="B836" s="102"/>
      <c r="C836" s="102"/>
      <c r="D836" s="51"/>
      <c r="E836" s="102"/>
      <c r="F836" s="102"/>
      <c r="G836" s="103"/>
      <c r="H836" s="103"/>
      <c r="L836" s="103"/>
      <c r="M836" s="113"/>
      <c r="N836" s="107"/>
      <c r="O836" s="106" t="str">
        <f>IF(ISBLANK(M836), "", VLOOKUP(D836, 'Info Tipo de Cambio y REM'!$A$24:$B$35, 2, FALSE))</f>
        <v/>
      </c>
      <c r="P836" s="107" t="str">
        <f t="shared" si="2"/>
        <v/>
      </c>
    </row>
    <row r="837">
      <c r="A837" s="102"/>
      <c r="B837" s="102"/>
      <c r="C837" s="102"/>
      <c r="D837" s="51"/>
      <c r="E837" s="102"/>
      <c r="F837" s="102"/>
      <c r="G837" s="103"/>
      <c r="H837" s="103"/>
      <c r="L837" s="103"/>
      <c r="M837" s="113"/>
      <c r="N837" s="107"/>
      <c r="O837" s="106" t="str">
        <f>IF(ISBLANK(M837), "", VLOOKUP(D837, 'Info Tipo de Cambio y REM'!$A$24:$B$35, 2, FALSE))</f>
        <v/>
      </c>
      <c r="P837" s="107" t="str">
        <f t="shared" si="2"/>
        <v/>
      </c>
    </row>
    <row r="838">
      <c r="A838" s="102"/>
      <c r="B838" s="102"/>
      <c r="C838" s="102"/>
      <c r="D838" s="51"/>
      <c r="E838" s="102"/>
      <c r="F838" s="102"/>
      <c r="G838" s="103"/>
      <c r="H838" s="103"/>
      <c r="L838" s="103"/>
      <c r="M838" s="113"/>
      <c r="N838" s="107"/>
      <c r="O838" s="106" t="str">
        <f>IF(ISBLANK(M838), "", VLOOKUP(D838, 'Info Tipo de Cambio y REM'!$A$24:$B$35, 2, FALSE))</f>
        <v/>
      </c>
      <c r="P838" s="107" t="str">
        <f t="shared" si="2"/>
        <v/>
      </c>
    </row>
    <row r="839">
      <c r="A839" s="102"/>
      <c r="B839" s="102"/>
      <c r="C839" s="102"/>
      <c r="D839" s="51"/>
      <c r="E839" s="102"/>
      <c r="F839" s="102"/>
      <c r="G839" s="103"/>
      <c r="H839" s="103"/>
      <c r="L839" s="103"/>
      <c r="M839" s="113"/>
      <c r="N839" s="107"/>
      <c r="O839" s="106" t="str">
        <f>IF(ISBLANK(M839), "", VLOOKUP(D839, 'Info Tipo de Cambio y REM'!$A$24:$B$35, 2, FALSE))</f>
        <v/>
      </c>
      <c r="P839" s="107" t="str">
        <f t="shared" si="2"/>
        <v/>
      </c>
    </row>
    <row r="840">
      <c r="A840" s="102"/>
      <c r="B840" s="102"/>
      <c r="C840" s="102"/>
      <c r="D840" s="51"/>
      <c r="E840" s="102"/>
      <c r="F840" s="102"/>
      <c r="G840" s="103"/>
      <c r="H840" s="103"/>
      <c r="L840" s="103"/>
      <c r="M840" s="113"/>
      <c r="N840" s="107"/>
      <c r="O840" s="106" t="str">
        <f>IF(ISBLANK(M840), "", VLOOKUP(D840, 'Info Tipo de Cambio y REM'!$A$24:$B$35, 2, FALSE))</f>
        <v/>
      </c>
      <c r="P840" s="107" t="str">
        <f t="shared" si="2"/>
        <v/>
      </c>
    </row>
    <row r="841">
      <c r="A841" s="102"/>
      <c r="B841" s="102"/>
      <c r="C841" s="102"/>
      <c r="D841" s="51"/>
      <c r="E841" s="102"/>
      <c r="F841" s="102"/>
      <c r="G841" s="103"/>
      <c r="H841" s="103"/>
      <c r="L841" s="103"/>
      <c r="M841" s="113"/>
      <c r="N841" s="107"/>
      <c r="O841" s="106" t="str">
        <f>IF(ISBLANK(M841), "", VLOOKUP(D841, 'Info Tipo de Cambio y REM'!$A$24:$B$35, 2, FALSE))</f>
        <v/>
      </c>
      <c r="P841" s="107" t="str">
        <f t="shared" si="2"/>
        <v/>
      </c>
    </row>
    <row r="842">
      <c r="A842" s="102"/>
      <c r="B842" s="102"/>
      <c r="C842" s="102"/>
      <c r="D842" s="51"/>
      <c r="E842" s="102"/>
      <c r="F842" s="102"/>
      <c r="G842" s="103"/>
      <c r="H842" s="103"/>
      <c r="L842" s="103"/>
      <c r="M842" s="113"/>
      <c r="N842" s="107"/>
      <c r="O842" s="106" t="str">
        <f>IF(ISBLANK(M842), "", VLOOKUP(D842, 'Info Tipo de Cambio y REM'!$A$24:$B$35, 2, FALSE))</f>
        <v/>
      </c>
      <c r="P842" s="107" t="str">
        <f t="shared" si="2"/>
        <v/>
      </c>
    </row>
    <row r="843">
      <c r="A843" s="102"/>
      <c r="B843" s="102"/>
      <c r="C843" s="102"/>
      <c r="D843" s="51"/>
      <c r="E843" s="102"/>
      <c r="F843" s="102"/>
      <c r="G843" s="103"/>
      <c r="H843" s="103"/>
      <c r="L843" s="103"/>
      <c r="M843" s="113"/>
      <c r="N843" s="107"/>
      <c r="O843" s="106" t="str">
        <f>IF(ISBLANK(M843), "", VLOOKUP(D843, 'Info Tipo de Cambio y REM'!$A$24:$B$35, 2, FALSE))</f>
        <v/>
      </c>
      <c r="P843" s="107" t="str">
        <f t="shared" si="2"/>
        <v/>
      </c>
    </row>
    <row r="844">
      <c r="A844" s="102"/>
      <c r="B844" s="102"/>
      <c r="C844" s="102"/>
      <c r="D844" s="51"/>
      <c r="E844" s="102"/>
      <c r="F844" s="102"/>
      <c r="G844" s="103"/>
      <c r="H844" s="103"/>
      <c r="L844" s="103"/>
      <c r="M844" s="113"/>
      <c r="N844" s="107"/>
      <c r="O844" s="106" t="str">
        <f>IF(ISBLANK(M844), "", VLOOKUP(D844, 'Info Tipo de Cambio y REM'!$A$24:$B$35, 2, FALSE))</f>
        <v/>
      </c>
      <c r="P844" s="107" t="str">
        <f t="shared" si="2"/>
        <v/>
      </c>
    </row>
    <row r="845">
      <c r="A845" s="102"/>
      <c r="B845" s="102"/>
      <c r="C845" s="102"/>
      <c r="D845" s="51"/>
      <c r="E845" s="102"/>
      <c r="F845" s="102"/>
      <c r="G845" s="103"/>
      <c r="H845" s="103"/>
      <c r="L845" s="103"/>
      <c r="M845" s="113"/>
      <c r="N845" s="107"/>
      <c r="O845" s="106" t="str">
        <f>IF(ISBLANK(M845), "", VLOOKUP(D845, 'Info Tipo de Cambio y REM'!$A$24:$B$35, 2, FALSE))</f>
        <v/>
      </c>
      <c r="P845" s="107" t="str">
        <f t="shared" si="2"/>
        <v/>
      </c>
    </row>
    <row r="846">
      <c r="A846" s="102"/>
      <c r="B846" s="102"/>
      <c r="C846" s="102"/>
      <c r="D846" s="51"/>
      <c r="E846" s="102"/>
      <c r="F846" s="102"/>
      <c r="G846" s="103"/>
      <c r="H846" s="103"/>
      <c r="L846" s="103"/>
      <c r="M846" s="113"/>
      <c r="N846" s="107"/>
      <c r="O846" s="106" t="str">
        <f>IF(ISBLANK(M846), "", VLOOKUP(D846, 'Info Tipo de Cambio y REM'!$A$24:$B$35, 2, FALSE))</f>
        <v/>
      </c>
      <c r="P846" s="107" t="str">
        <f t="shared" si="2"/>
        <v/>
      </c>
    </row>
    <row r="847">
      <c r="A847" s="102"/>
      <c r="B847" s="102"/>
      <c r="C847" s="102"/>
      <c r="D847" s="51"/>
      <c r="E847" s="102"/>
      <c r="F847" s="102"/>
      <c r="G847" s="103"/>
      <c r="H847" s="103"/>
      <c r="L847" s="103"/>
      <c r="M847" s="113"/>
      <c r="N847" s="107"/>
      <c r="O847" s="106" t="str">
        <f>IF(ISBLANK(M847), "", VLOOKUP(D847, 'Info Tipo de Cambio y REM'!$A$24:$B$35, 2, FALSE))</f>
        <v/>
      </c>
      <c r="P847" s="107" t="str">
        <f t="shared" si="2"/>
        <v/>
      </c>
    </row>
    <row r="848">
      <c r="A848" s="102"/>
      <c r="B848" s="102"/>
      <c r="C848" s="102"/>
      <c r="D848" s="51"/>
      <c r="E848" s="102"/>
      <c r="F848" s="102"/>
      <c r="G848" s="103"/>
      <c r="H848" s="103"/>
      <c r="L848" s="103"/>
      <c r="M848" s="113"/>
      <c r="N848" s="107"/>
      <c r="O848" s="106" t="str">
        <f>IF(ISBLANK(M848), "", VLOOKUP(D848, 'Info Tipo de Cambio y REM'!$A$24:$B$35, 2, FALSE))</f>
        <v/>
      </c>
      <c r="P848" s="107" t="str">
        <f t="shared" si="2"/>
        <v/>
      </c>
    </row>
    <row r="849">
      <c r="A849" s="102"/>
      <c r="B849" s="102"/>
      <c r="C849" s="102"/>
      <c r="D849" s="51"/>
      <c r="E849" s="102"/>
      <c r="F849" s="102"/>
      <c r="G849" s="103"/>
      <c r="H849" s="103"/>
      <c r="L849" s="103"/>
      <c r="M849" s="113"/>
      <c r="N849" s="107"/>
      <c r="O849" s="106" t="str">
        <f>IF(ISBLANK(M849), "", VLOOKUP(D849, 'Info Tipo de Cambio y REM'!$A$24:$B$35, 2, FALSE))</f>
        <v/>
      </c>
      <c r="P849" s="107" t="str">
        <f t="shared" si="2"/>
        <v/>
      </c>
    </row>
    <row r="850">
      <c r="A850" s="102"/>
      <c r="B850" s="102"/>
      <c r="C850" s="102"/>
      <c r="D850" s="51"/>
      <c r="E850" s="102"/>
      <c r="F850" s="102"/>
      <c r="G850" s="103"/>
      <c r="H850" s="103"/>
      <c r="L850" s="103"/>
      <c r="M850" s="113"/>
      <c r="N850" s="107"/>
      <c r="O850" s="106" t="str">
        <f>IF(ISBLANK(M850), "", VLOOKUP(D850, 'Info Tipo de Cambio y REM'!$A$24:$B$35, 2, FALSE))</f>
        <v/>
      </c>
      <c r="P850" s="107" t="str">
        <f t="shared" si="2"/>
        <v/>
      </c>
    </row>
    <row r="851">
      <c r="A851" s="102"/>
      <c r="B851" s="102"/>
      <c r="C851" s="102"/>
      <c r="D851" s="51"/>
      <c r="E851" s="102"/>
      <c r="F851" s="102"/>
      <c r="G851" s="103"/>
      <c r="H851" s="103"/>
      <c r="L851" s="103"/>
      <c r="M851" s="113"/>
      <c r="N851" s="107"/>
      <c r="O851" s="106" t="str">
        <f>IF(ISBLANK(M851), "", VLOOKUP(D851, 'Info Tipo de Cambio y REM'!$A$24:$B$35, 2, FALSE))</f>
        <v/>
      </c>
      <c r="P851" s="107" t="str">
        <f t="shared" si="2"/>
        <v/>
      </c>
    </row>
    <row r="852">
      <c r="A852" s="102"/>
      <c r="B852" s="102"/>
      <c r="C852" s="102"/>
      <c r="D852" s="51"/>
      <c r="E852" s="102"/>
      <c r="F852" s="102"/>
      <c r="G852" s="103"/>
      <c r="H852" s="103"/>
      <c r="L852" s="103"/>
      <c r="M852" s="113"/>
      <c r="N852" s="107"/>
      <c r="O852" s="106" t="str">
        <f>IF(ISBLANK(M852), "", VLOOKUP(D852, 'Info Tipo de Cambio y REM'!$A$24:$B$35, 2, FALSE))</f>
        <v/>
      </c>
      <c r="P852" s="107" t="str">
        <f t="shared" si="2"/>
        <v/>
      </c>
    </row>
    <row r="853">
      <c r="A853" s="102"/>
      <c r="B853" s="102"/>
      <c r="C853" s="102"/>
      <c r="D853" s="51"/>
      <c r="E853" s="102"/>
      <c r="F853" s="102"/>
      <c r="G853" s="103"/>
      <c r="H853" s="103"/>
      <c r="L853" s="103"/>
      <c r="M853" s="113"/>
      <c r="N853" s="107"/>
      <c r="O853" s="106" t="str">
        <f>IF(ISBLANK(M853), "", VLOOKUP(D853, 'Info Tipo de Cambio y REM'!$A$24:$B$35, 2, FALSE))</f>
        <v/>
      </c>
      <c r="P853" s="107" t="str">
        <f t="shared" si="2"/>
        <v/>
      </c>
    </row>
    <row r="854">
      <c r="A854" s="102"/>
      <c r="B854" s="102"/>
      <c r="C854" s="102"/>
      <c r="D854" s="51"/>
      <c r="E854" s="102"/>
      <c r="F854" s="102"/>
      <c r="G854" s="103"/>
      <c r="H854" s="103"/>
      <c r="L854" s="103"/>
      <c r="M854" s="113"/>
      <c r="N854" s="107"/>
      <c r="O854" s="106" t="str">
        <f>IF(ISBLANK(M854), "", VLOOKUP(D854, 'Info Tipo de Cambio y REM'!$A$24:$B$35, 2, FALSE))</f>
        <v/>
      </c>
      <c r="P854" s="107" t="str">
        <f t="shared" si="2"/>
        <v/>
      </c>
    </row>
    <row r="855">
      <c r="A855" s="102"/>
      <c r="B855" s="102"/>
      <c r="C855" s="102"/>
      <c r="D855" s="51"/>
      <c r="E855" s="102"/>
      <c r="F855" s="102"/>
      <c r="G855" s="103"/>
      <c r="H855" s="103"/>
      <c r="L855" s="103"/>
      <c r="M855" s="113"/>
      <c r="N855" s="107"/>
      <c r="O855" s="106" t="str">
        <f>IF(ISBLANK(M855), "", VLOOKUP(D855, 'Info Tipo de Cambio y REM'!$A$24:$B$35, 2, FALSE))</f>
        <v/>
      </c>
      <c r="P855" s="107" t="str">
        <f t="shared" si="2"/>
        <v/>
      </c>
    </row>
    <row r="856">
      <c r="A856" s="102"/>
      <c r="B856" s="102"/>
      <c r="C856" s="102"/>
      <c r="D856" s="51"/>
      <c r="E856" s="102"/>
      <c r="F856" s="102"/>
      <c r="G856" s="103"/>
      <c r="H856" s="103"/>
      <c r="L856" s="103"/>
      <c r="M856" s="113"/>
      <c r="N856" s="107"/>
      <c r="O856" s="106" t="str">
        <f>IF(ISBLANK(M856), "", VLOOKUP(D856, 'Info Tipo de Cambio y REM'!$A$24:$B$35, 2, FALSE))</f>
        <v/>
      </c>
      <c r="P856" s="107" t="str">
        <f t="shared" si="2"/>
        <v/>
      </c>
    </row>
    <row r="857">
      <c r="A857" s="102"/>
      <c r="B857" s="102"/>
      <c r="C857" s="102"/>
      <c r="D857" s="51"/>
      <c r="E857" s="102"/>
      <c r="F857" s="102"/>
      <c r="G857" s="103"/>
      <c r="H857" s="103"/>
      <c r="L857" s="103"/>
      <c r="M857" s="113"/>
      <c r="N857" s="107"/>
      <c r="O857" s="106" t="str">
        <f>IF(ISBLANK(M857), "", VLOOKUP(D857, 'Info Tipo de Cambio y REM'!$A$24:$B$35, 2, FALSE))</f>
        <v/>
      </c>
      <c r="P857" s="107" t="str">
        <f t="shared" si="2"/>
        <v/>
      </c>
    </row>
    <row r="858">
      <c r="A858" s="102"/>
      <c r="B858" s="102"/>
      <c r="C858" s="102"/>
      <c r="D858" s="51"/>
      <c r="E858" s="102"/>
      <c r="F858" s="102"/>
      <c r="G858" s="103"/>
      <c r="H858" s="103"/>
      <c r="L858" s="103"/>
      <c r="M858" s="113"/>
      <c r="N858" s="107"/>
      <c r="O858" s="106" t="str">
        <f>IF(ISBLANK(M858), "", VLOOKUP(D858, 'Info Tipo de Cambio y REM'!$A$24:$B$35, 2, FALSE))</f>
        <v/>
      </c>
      <c r="P858" s="107" t="str">
        <f t="shared" si="2"/>
        <v/>
      </c>
    </row>
    <row r="859">
      <c r="A859" s="102"/>
      <c r="B859" s="102"/>
      <c r="C859" s="102"/>
      <c r="D859" s="51"/>
      <c r="E859" s="102"/>
      <c r="F859" s="102"/>
      <c r="G859" s="103"/>
      <c r="H859" s="103"/>
      <c r="L859" s="103"/>
      <c r="M859" s="113"/>
      <c r="N859" s="107"/>
      <c r="O859" s="106" t="str">
        <f>IF(ISBLANK(M859), "", VLOOKUP(D859, 'Info Tipo de Cambio y REM'!$A$24:$B$35, 2, FALSE))</f>
        <v/>
      </c>
      <c r="P859" s="107" t="str">
        <f t="shared" si="2"/>
        <v/>
      </c>
    </row>
    <row r="860">
      <c r="A860" s="102"/>
      <c r="B860" s="102"/>
      <c r="C860" s="102"/>
      <c r="D860" s="51"/>
      <c r="E860" s="102"/>
      <c r="F860" s="102"/>
      <c r="G860" s="103"/>
      <c r="H860" s="103"/>
      <c r="L860" s="103"/>
      <c r="M860" s="113"/>
      <c r="N860" s="107"/>
      <c r="O860" s="106" t="str">
        <f>IF(ISBLANK(M860), "", VLOOKUP(D860, 'Info Tipo de Cambio y REM'!$A$24:$B$35, 2, FALSE))</f>
        <v/>
      </c>
      <c r="P860" s="107" t="str">
        <f t="shared" si="2"/>
        <v/>
      </c>
    </row>
    <row r="861">
      <c r="A861" s="102"/>
      <c r="B861" s="102"/>
      <c r="C861" s="102"/>
      <c r="D861" s="51"/>
      <c r="E861" s="102"/>
      <c r="F861" s="102"/>
      <c r="G861" s="103"/>
      <c r="H861" s="103"/>
      <c r="L861" s="103"/>
      <c r="M861" s="113"/>
      <c r="N861" s="107"/>
      <c r="O861" s="106" t="str">
        <f>IF(ISBLANK(M861), "", VLOOKUP(D861, 'Info Tipo de Cambio y REM'!$A$24:$B$35, 2, FALSE))</f>
        <v/>
      </c>
      <c r="P861" s="107" t="str">
        <f t="shared" si="2"/>
        <v/>
      </c>
    </row>
    <row r="862">
      <c r="A862" s="102"/>
      <c r="B862" s="102"/>
      <c r="C862" s="102"/>
      <c r="D862" s="51"/>
      <c r="E862" s="102"/>
      <c r="F862" s="102"/>
      <c r="G862" s="103"/>
      <c r="H862" s="103"/>
      <c r="L862" s="103"/>
      <c r="M862" s="113"/>
      <c r="N862" s="107"/>
      <c r="O862" s="106" t="str">
        <f>IF(ISBLANK(M862), "", VLOOKUP(D862, 'Info Tipo de Cambio y REM'!$A$24:$B$35, 2, FALSE))</f>
        <v/>
      </c>
      <c r="P862" s="107" t="str">
        <f t="shared" si="2"/>
        <v/>
      </c>
    </row>
    <row r="863">
      <c r="A863" s="102"/>
      <c r="B863" s="102"/>
      <c r="C863" s="102"/>
      <c r="D863" s="51"/>
      <c r="E863" s="102"/>
      <c r="F863" s="102"/>
      <c r="G863" s="103"/>
      <c r="H863" s="103"/>
      <c r="L863" s="103"/>
      <c r="M863" s="113"/>
      <c r="N863" s="107"/>
      <c r="O863" s="106" t="str">
        <f>IF(ISBLANK(M863), "", VLOOKUP(D863, 'Info Tipo de Cambio y REM'!$A$24:$B$35, 2, FALSE))</f>
        <v/>
      </c>
      <c r="P863" s="107" t="str">
        <f t="shared" si="2"/>
        <v/>
      </c>
    </row>
    <row r="864">
      <c r="A864" s="102"/>
      <c r="B864" s="102"/>
      <c r="C864" s="102"/>
      <c r="D864" s="51"/>
      <c r="E864" s="102"/>
      <c r="F864" s="102"/>
      <c r="G864" s="103"/>
      <c r="H864" s="103"/>
      <c r="L864" s="103"/>
      <c r="M864" s="113"/>
      <c r="N864" s="107"/>
      <c r="O864" s="106" t="str">
        <f>IF(ISBLANK(M864), "", VLOOKUP(D864, 'Info Tipo de Cambio y REM'!$A$24:$B$35, 2, FALSE))</f>
        <v/>
      </c>
      <c r="P864" s="107" t="str">
        <f t="shared" si="2"/>
        <v/>
      </c>
    </row>
    <row r="865">
      <c r="A865" s="102"/>
      <c r="B865" s="102"/>
      <c r="C865" s="102"/>
      <c r="D865" s="51"/>
      <c r="E865" s="102"/>
      <c r="F865" s="102"/>
      <c r="G865" s="103"/>
      <c r="H865" s="103"/>
      <c r="L865" s="103"/>
      <c r="M865" s="113"/>
      <c r="N865" s="107"/>
      <c r="O865" s="106" t="str">
        <f>IF(ISBLANK(M865), "", VLOOKUP(D865, 'Info Tipo de Cambio y REM'!$A$24:$B$35, 2, FALSE))</f>
        <v/>
      </c>
      <c r="P865" s="107" t="str">
        <f t="shared" si="2"/>
        <v/>
      </c>
    </row>
    <row r="866">
      <c r="A866" s="102"/>
      <c r="B866" s="102"/>
      <c r="C866" s="102"/>
      <c r="D866" s="51"/>
      <c r="E866" s="102"/>
      <c r="F866" s="102"/>
      <c r="G866" s="103"/>
      <c r="H866" s="103"/>
      <c r="L866" s="103"/>
      <c r="M866" s="113"/>
      <c r="N866" s="107"/>
      <c r="O866" s="106" t="str">
        <f>IF(ISBLANK(M866), "", VLOOKUP(D866, 'Info Tipo de Cambio y REM'!$A$24:$B$35, 2, FALSE))</f>
        <v/>
      </c>
      <c r="P866" s="107" t="str">
        <f t="shared" si="2"/>
        <v/>
      </c>
    </row>
    <row r="867">
      <c r="A867" s="102"/>
      <c r="B867" s="102"/>
      <c r="C867" s="102"/>
      <c r="D867" s="51"/>
      <c r="E867" s="102"/>
      <c r="F867" s="102"/>
      <c r="G867" s="103"/>
      <c r="H867" s="103"/>
      <c r="L867" s="103"/>
      <c r="M867" s="113"/>
      <c r="N867" s="107"/>
      <c r="O867" s="106" t="str">
        <f>IF(ISBLANK(M867), "", VLOOKUP(D867, 'Info Tipo de Cambio y REM'!$A$24:$B$35, 2, FALSE))</f>
        <v/>
      </c>
      <c r="P867" s="107" t="str">
        <f t="shared" si="2"/>
        <v/>
      </c>
    </row>
    <row r="868">
      <c r="A868" s="102"/>
      <c r="B868" s="102"/>
      <c r="C868" s="102"/>
      <c r="D868" s="51"/>
      <c r="E868" s="102"/>
      <c r="F868" s="102"/>
      <c r="G868" s="103"/>
      <c r="H868" s="103"/>
      <c r="L868" s="103"/>
      <c r="M868" s="113"/>
      <c r="N868" s="107"/>
      <c r="O868" s="106" t="str">
        <f>IF(ISBLANK(M868), "", VLOOKUP(D868, 'Info Tipo de Cambio y REM'!$A$24:$B$35, 2, FALSE))</f>
        <v/>
      </c>
      <c r="P868" s="107" t="str">
        <f t="shared" si="2"/>
        <v/>
      </c>
    </row>
    <row r="869">
      <c r="A869" s="102"/>
      <c r="B869" s="102"/>
      <c r="C869" s="102"/>
      <c r="D869" s="51"/>
      <c r="E869" s="102"/>
      <c r="F869" s="102"/>
      <c r="G869" s="103"/>
      <c r="H869" s="103"/>
      <c r="L869" s="103"/>
      <c r="M869" s="113"/>
      <c r="N869" s="107"/>
      <c r="O869" s="106" t="str">
        <f>IF(ISBLANK(M869), "", VLOOKUP(D869, 'Info Tipo de Cambio y REM'!$A$24:$B$35, 2, FALSE))</f>
        <v/>
      </c>
      <c r="P869" s="107" t="str">
        <f t="shared" si="2"/>
        <v/>
      </c>
    </row>
    <row r="870">
      <c r="A870" s="102"/>
      <c r="B870" s="102"/>
      <c r="C870" s="102"/>
      <c r="D870" s="51"/>
      <c r="E870" s="102"/>
      <c r="F870" s="102"/>
      <c r="G870" s="103"/>
      <c r="H870" s="103"/>
      <c r="L870" s="103"/>
      <c r="M870" s="113"/>
      <c r="N870" s="107"/>
      <c r="O870" s="106" t="str">
        <f>IF(ISBLANK(M870), "", VLOOKUP(D870, 'Info Tipo de Cambio y REM'!$A$24:$B$35, 2, FALSE))</f>
        <v/>
      </c>
      <c r="P870" s="107" t="str">
        <f t="shared" si="2"/>
        <v/>
      </c>
    </row>
    <row r="871">
      <c r="A871" s="102"/>
      <c r="B871" s="102"/>
      <c r="C871" s="102"/>
      <c r="D871" s="51"/>
      <c r="E871" s="102"/>
      <c r="F871" s="102"/>
      <c r="G871" s="103"/>
      <c r="H871" s="103"/>
      <c r="L871" s="103"/>
      <c r="M871" s="113"/>
      <c r="N871" s="107"/>
      <c r="O871" s="106" t="str">
        <f>IF(ISBLANK(M871), "", VLOOKUP(D871, 'Info Tipo de Cambio y REM'!$A$24:$B$35, 2, FALSE))</f>
        <v/>
      </c>
      <c r="P871" s="107" t="str">
        <f t="shared" si="2"/>
        <v/>
      </c>
    </row>
    <row r="872">
      <c r="A872" s="102"/>
      <c r="B872" s="102"/>
      <c r="C872" s="102"/>
      <c r="D872" s="51"/>
      <c r="E872" s="102"/>
      <c r="F872" s="102"/>
      <c r="G872" s="103"/>
      <c r="H872" s="103"/>
      <c r="L872" s="103"/>
      <c r="M872" s="113"/>
      <c r="N872" s="107"/>
      <c r="O872" s="106" t="str">
        <f>IF(ISBLANK(M872), "", VLOOKUP(D872, 'Info Tipo de Cambio y REM'!$A$24:$B$35, 2, FALSE))</f>
        <v/>
      </c>
      <c r="P872" s="107" t="str">
        <f t="shared" si="2"/>
        <v/>
      </c>
    </row>
    <row r="873">
      <c r="A873" s="102"/>
      <c r="B873" s="102"/>
      <c r="C873" s="102"/>
      <c r="D873" s="51"/>
      <c r="E873" s="102"/>
      <c r="F873" s="102"/>
      <c r="G873" s="103"/>
      <c r="H873" s="103"/>
      <c r="L873" s="103"/>
      <c r="M873" s="113"/>
      <c r="N873" s="107"/>
      <c r="O873" s="106" t="str">
        <f>IF(ISBLANK(M873), "", VLOOKUP(D873, 'Info Tipo de Cambio y REM'!$A$24:$B$35, 2, FALSE))</f>
        <v/>
      </c>
      <c r="P873" s="107" t="str">
        <f t="shared" si="2"/>
        <v/>
      </c>
    </row>
    <row r="874">
      <c r="A874" s="102"/>
      <c r="B874" s="102"/>
      <c r="C874" s="102"/>
      <c r="D874" s="51"/>
      <c r="E874" s="102"/>
      <c r="F874" s="102"/>
      <c r="G874" s="103"/>
      <c r="H874" s="103"/>
      <c r="L874" s="103"/>
      <c r="M874" s="113"/>
      <c r="N874" s="107"/>
      <c r="O874" s="106" t="str">
        <f>IF(ISBLANK(M874), "", VLOOKUP(D874, 'Info Tipo de Cambio y REM'!$A$24:$B$35, 2, FALSE))</f>
        <v/>
      </c>
      <c r="P874" s="107" t="str">
        <f t="shared" si="2"/>
        <v/>
      </c>
    </row>
    <row r="875">
      <c r="A875" s="102"/>
      <c r="B875" s="102"/>
      <c r="C875" s="102"/>
      <c r="D875" s="51"/>
      <c r="E875" s="102"/>
      <c r="F875" s="102"/>
      <c r="G875" s="103"/>
      <c r="H875" s="103"/>
      <c r="L875" s="103"/>
      <c r="M875" s="113"/>
      <c r="N875" s="107"/>
      <c r="O875" s="106" t="str">
        <f>IF(ISBLANK(M875), "", VLOOKUP(D875, 'Info Tipo de Cambio y REM'!$A$24:$B$35, 2, FALSE))</f>
        <v/>
      </c>
      <c r="P875" s="107" t="str">
        <f t="shared" si="2"/>
        <v/>
      </c>
    </row>
    <row r="876">
      <c r="A876" s="102"/>
      <c r="B876" s="102"/>
      <c r="C876" s="102"/>
      <c r="D876" s="51"/>
      <c r="E876" s="102"/>
      <c r="F876" s="102"/>
      <c r="G876" s="103"/>
      <c r="H876" s="103"/>
      <c r="L876" s="103"/>
      <c r="M876" s="113"/>
      <c r="N876" s="107"/>
      <c r="O876" s="106" t="str">
        <f>IF(ISBLANK(M876), "", VLOOKUP(D876, 'Info Tipo de Cambio y REM'!$A$24:$B$35, 2, FALSE))</f>
        <v/>
      </c>
      <c r="P876" s="107" t="str">
        <f t="shared" si="2"/>
        <v/>
      </c>
    </row>
    <row r="877">
      <c r="A877" s="102"/>
      <c r="B877" s="102"/>
      <c r="C877" s="102"/>
      <c r="D877" s="51"/>
      <c r="E877" s="102"/>
      <c r="F877" s="102"/>
      <c r="G877" s="103"/>
      <c r="H877" s="103"/>
      <c r="L877" s="103"/>
      <c r="M877" s="113"/>
      <c r="N877" s="107"/>
      <c r="O877" s="106" t="str">
        <f>IF(ISBLANK(M877), "", VLOOKUP(D877, 'Info Tipo de Cambio y REM'!$A$24:$B$35, 2, FALSE))</f>
        <v/>
      </c>
      <c r="P877" s="107" t="str">
        <f t="shared" si="2"/>
        <v/>
      </c>
    </row>
    <row r="878">
      <c r="A878" s="102"/>
      <c r="B878" s="102"/>
      <c r="C878" s="102"/>
      <c r="D878" s="51"/>
      <c r="E878" s="102"/>
      <c r="F878" s="102"/>
      <c r="G878" s="103"/>
      <c r="H878" s="103"/>
      <c r="L878" s="103"/>
      <c r="M878" s="113"/>
      <c r="N878" s="107"/>
      <c r="O878" s="106" t="str">
        <f>IF(ISBLANK(M878), "", VLOOKUP(D878, 'Info Tipo de Cambio y REM'!$A$24:$B$35, 2, FALSE))</f>
        <v/>
      </c>
      <c r="P878" s="107" t="str">
        <f t="shared" si="2"/>
        <v/>
      </c>
    </row>
    <row r="879">
      <c r="A879" s="102"/>
      <c r="B879" s="102"/>
      <c r="C879" s="102"/>
      <c r="D879" s="51"/>
      <c r="E879" s="102"/>
      <c r="F879" s="102"/>
      <c r="G879" s="103"/>
      <c r="H879" s="103"/>
      <c r="L879" s="103"/>
      <c r="M879" s="113"/>
      <c r="N879" s="107"/>
      <c r="O879" s="106" t="str">
        <f>IF(ISBLANK(M879), "", VLOOKUP(D879, 'Info Tipo de Cambio y REM'!$A$24:$B$35, 2, FALSE))</f>
        <v/>
      </c>
      <c r="P879" s="107" t="str">
        <f t="shared" si="2"/>
        <v/>
      </c>
    </row>
    <row r="880">
      <c r="A880" s="102"/>
      <c r="B880" s="102"/>
      <c r="C880" s="102"/>
      <c r="D880" s="51"/>
      <c r="E880" s="102"/>
      <c r="F880" s="102"/>
      <c r="G880" s="103"/>
      <c r="H880" s="103"/>
      <c r="L880" s="103"/>
      <c r="M880" s="113"/>
      <c r="N880" s="107"/>
      <c r="O880" s="106" t="str">
        <f>IF(ISBLANK(M880), "", VLOOKUP(D880, 'Info Tipo de Cambio y REM'!$A$24:$B$35, 2, FALSE))</f>
        <v/>
      </c>
      <c r="P880" s="107" t="str">
        <f t="shared" si="2"/>
        <v/>
      </c>
    </row>
    <row r="881">
      <c r="A881" s="102"/>
      <c r="B881" s="102"/>
      <c r="C881" s="102"/>
      <c r="D881" s="51"/>
      <c r="E881" s="102"/>
      <c r="F881" s="102"/>
      <c r="G881" s="103"/>
      <c r="H881" s="103"/>
      <c r="L881" s="103"/>
      <c r="M881" s="113"/>
      <c r="N881" s="107"/>
      <c r="O881" s="106" t="str">
        <f>IF(ISBLANK(M881), "", VLOOKUP(D881, 'Info Tipo de Cambio y REM'!$A$24:$B$35, 2, FALSE))</f>
        <v/>
      </c>
      <c r="P881" s="107" t="str">
        <f t="shared" si="2"/>
        <v/>
      </c>
    </row>
    <row r="882">
      <c r="A882" s="102"/>
      <c r="B882" s="102"/>
      <c r="C882" s="102"/>
      <c r="D882" s="51"/>
      <c r="E882" s="102"/>
      <c r="F882" s="102"/>
      <c r="G882" s="103"/>
      <c r="H882" s="103"/>
      <c r="L882" s="103"/>
      <c r="M882" s="113"/>
      <c r="N882" s="107"/>
      <c r="O882" s="106" t="str">
        <f>IF(ISBLANK(M882), "", VLOOKUP(D882, 'Info Tipo de Cambio y REM'!$A$24:$B$35, 2, FALSE))</f>
        <v/>
      </c>
      <c r="P882" s="107" t="str">
        <f t="shared" si="2"/>
        <v/>
      </c>
    </row>
    <row r="883">
      <c r="A883" s="102"/>
      <c r="B883" s="102"/>
      <c r="C883" s="102"/>
      <c r="D883" s="51"/>
      <c r="E883" s="102"/>
      <c r="F883" s="102"/>
      <c r="G883" s="103"/>
      <c r="H883" s="103"/>
      <c r="L883" s="103"/>
      <c r="M883" s="113"/>
      <c r="N883" s="107"/>
      <c r="O883" s="106" t="str">
        <f>IF(ISBLANK(M883), "", VLOOKUP(D883, 'Info Tipo de Cambio y REM'!$A$24:$B$35, 2, FALSE))</f>
        <v/>
      </c>
      <c r="P883" s="107" t="str">
        <f t="shared" si="2"/>
        <v/>
      </c>
    </row>
    <row r="884">
      <c r="A884" s="102"/>
      <c r="B884" s="102"/>
      <c r="C884" s="102"/>
      <c r="D884" s="51"/>
      <c r="E884" s="102"/>
      <c r="F884" s="102"/>
      <c r="G884" s="103"/>
      <c r="H884" s="103"/>
      <c r="L884" s="103"/>
      <c r="M884" s="113"/>
      <c r="N884" s="107"/>
      <c r="O884" s="106" t="str">
        <f>IF(ISBLANK(M884), "", VLOOKUP(D884, 'Info Tipo de Cambio y REM'!$A$24:$B$35, 2, FALSE))</f>
        <v/>
      </c>
      <c r="P884" s="107" t="str">
        <f t="shared" si="2"/>
        <v/>
      </c>
    </row>
    <row r="885">
      <c r="A885" s="102"/>
      <c r="B885" s="102"/>
      <c r="C885" s="102"/>
      <c r="D885" s="51"/>
      <c r="E885" s="102"/>
      <c r="F885" s="102"/>
      <c r="G885" s="103"/>
      <c r="H885" s="103"/>
      <c r="L885" s="103"/>
      <c r="M885" s="113"/>
      <c r="N885" s="107"/>
      <c r="O885" s="106" t="str">
        <f>IF(ISBLANK(M885), "", VLOOKUP(D885, 'Info Tipo de Cambio y REM'!$A$24:$B$35, 2, FALSE))</f>
        <v/>
      </c>
      <c r="P885" s="107" t="str">
        <f t="shared" si="2"/>
        <v/>
      </c>
    </row>
    <row r="886">
      <c r="A886" s="102"/>
      <c r="B886" s="102"/>
      <c r="C886" s="102"/>
      <c r="D886" s="51"/>
      <c r="E886" s="102"/>
      <c r="F886" s="102"/>
      <c r="G886" s="103"/>
      <c r="H886" s="103"/>
      <c r="L886" s="103"/>
      <c r="M886" s="113"/>
      <c r="N886" s="107"/>
      <c r="O886" s="106" t="str">
        <f>IF(ISBLANK(M886), "", VLOOKUP(D886, 'Info Tipo de Cambio y REM'!$A$24:$B$35, 2, FALSE))</f>
        <v/>
      </c>
      <c r="P886" s="107" t="str">
        <f t="shared" si="2"/>
        <v/>
      </c>
    </row>
    <row r="887">
      <c r="A887" s="102"/>
      <c r="B887" s="102"/>
      <c r="C887" s="102"/>
      <c r="D887" s="51"/>
      <c r="E887" s="102"/>
      <c r="F887" s="102"/>
      <c r="G887" s="103"/>
      <c r="H887" s="103"/>
      <c r="L887" s="103"/>
      <c r="M887" s="113"/>
      <c r="N887" s="107"/>
      <c r="O887" s="106" t="str">
        <f>IF(ISBLANK(M887), "", VLOOKUP(D887, 'Info Tipo de Cambio y REM'!$A$24:$B$35, 2, FALSE))</f>
        <v/>
      </c>
      <c r="P887" s="107" t="str">
        <f t="shared" si="2"/>
        <v/>
      </c>
    </row>
    <row r="888">
      <c r="A888" s="102"/>
      <c r="B888" s="102"/>
      <c r="C888" s="102"/>
      <c r="D888" s="51"/>
      <c r="E888" s="102"/>
      <c r="F888" s="102"/>
      <c r="G888" s="103"/>
      <c r="H888" s="103"/>
      <c r="L888" s="103"/>
      <c r="M888" s="113"/>
      <c r="N888" s="107"/>
      <c r="O888" s="106" t="str">
        <f>IF(ISBLANK(M888), "", VLOOKUP(D888, 'Info Tipo de Cambio y REM'!$A$24:$B$35, 2, FALSE))</f>
        <v/>
      </c>
      <c r="P888" s="107" t="str">
        <f t="shared" si="2"/>
        <v/>
      </c>
    </row>
    <row r="889">
      <c r="A889" s="102"/>
      <c r="B889" s="102"/>
      <c r="C889" s="102"/>
      <c r="D889" s="51"/>
      <c r="E889" s="102"/>
      <c r="F889" s="102"/>
      <c r="G889" s="103"/>
      <c r="H889" s="103"/>
      <c r="L889" s="103"/>
      <c r="M889" s="113"/>
      <c r="N889" s="107"/>
      <c r="O889" s="106" t="str">
        <f>IF(ISBLANK(M889), "", VLOOKUP(D889, 'Info Tipo de Cambio y REM'!$A$24:$B$35, 2, FALSE))</f>
        <v/>
      </c>
      <c r="P889" s="107" t="str">
        <f t="shared" si="2"/>
        <v/>
      </c>
    </row>
    <row r="890">
      <c r="A890" s="102"/>
      <c r="B890" s="102"/>
      <c r="C890" s="102"/>
      <c r="D890" s="51"/>
      <c r="E890" s="102"/>
      <c r="F890" s="102"/>
      <c r="G890" s="103"/>
      <c r="H890" s="103"/>
      <c r="L890" s="103"/>
      <c r="M890" s="113"/>
      <c r="N890" s="107"/>
      <c r="O890" s="106" t="str">
        <f>IF(ISBLANK(M890), "", VLOOKUP(D890, 'Info Tipo de Cambio y REM'!$A$24:$B$35, 2, FALSE))</f>
        <v/>
      </c>
      <c r="P890" s="107" t="str">
        <f t="shared" si="2"/>
        <v/>
      </c>
    </row>
    <row r="891">
      <c r="A891" s="102"/>
      <c r="B891" s="102"/>
      <c r="C891" s="102"/>
      <c r="D891" s="51"/>
      <c r="E891" s="102"/>
      <c r="F891" s="102"/>
      <c r="G891" s="103"/>
      <c r="H891" s="103"/>
      <c r="L891" s="103"/>
      <c r="M891" s="113"/>
      <c r="N891" s="107"/>
      <c r="O891" s="106" t="str">
        <f>IF(ISBLANK(M891), "", VLOOKUP(D891, 'Info Tipo de Cambio y REM'!$A$24:$B$35, 2, FALSE))</f>
        <v/>
      </c>
      <c r="P891" s="107" t="str">
        <f t="shared" si="2"/>
        <v/>
      </c>
    </row>
    <row r="892">
      <c r="A892" s="102"/>
      <c r="B892" s="102"/>
      <c r="C892" s="102"/>
      <c r="D892" s="51"/>
      <c r="E892" s="102"/>
      <c r="F892" s="102"/>
      <c r="G892" s="103"/>
      <c r="H892" s="103"/>
      <c r="L892" s="103"/>
      <c r="M892" s="113"/>
      <c r="N892" s="107"/>
      <c r="O892" s="106" t="str">
        <f>IF(ISBLANK(M892), "", VLOOKUP(D892, 'Info Tipo de Cambio y REM'!$A$24:$B$35, 2, FALSE))</f>
        <v/>
      </c>
      <c r="P892" s="107" t="str">
        <f t="shared" si="2"/>
        <v/>
      </c>
    </row>
    <row r="893">
      <c r="A893" s="102"/>
      <c r="B893" s="102"/>
      <c r="C893" s="102"/>
      <c r="D893" s="51"/>
      <c r="E893" s="102"/>
      <c r="F893" s="102"/>
      <c r="G893" s="103"/>
      <c r="H893" s="103"/>
      <c r="L893" s="103"/>
      <c r="M893" s="113"/>
      <c r="N893" s="107"/>
      <c r="O893" s="106" t="str">
        <f>IF(ISBLANK(M893), "", VLOOKUP(D893, 'Info Tipo de Cambio y REM'!$A$24:$B$35, 2, FALSE))</f>
        <v/>
      </c>
      <c r="P893" s="107" t="str">
        <f t="shared" si="2"/>
        <v/>
      </c>
    </row>
    <row r="894">
      <c r="A894" s="102"/>
      <c r="B894" s="102"/>
      <c r="C894" s="102"/>
      <c r="D894" s="51"/>
      <c r="E894" s="102"/>
      <c r="F894" s="102"/>
      <c r="G894" s="103"/>
      <c r="H894" s="103"/>
      <c r="L894" s="103"/>
      <c r="M894" s="113"/>
      <c r="N894" s="107"/>
      <c r="O894" s="106" t="str">
        <f>IF(ISBLANK(M894), "", VLOOKUP(D894, 'Info Tipo de Cambio y REM'!$A$24:$B$35, 2, FALSE))</f>
        <v/>
      </c>
      <c r="P894" s="107" t="str">
        <f t="shared" si="2"/>
        <v/>
      </c>
    </row>
    <row r="895">
      <c r="A895" s="102"/>
      <c r="B895" s="102"/>
      <c r="C895" s="102"/>
      <c r="D895" s="51"/>
      <c r="E895" s="102"/>
      <c r="F895" s="102"/>
      <c r="G895" s="103"/>
      <c r="H895" s="103"/>
      <c r="L895" s="103"/>
      <c r="M895" s="113"/>
      <c r="N895" s="107"/>
      <c r="O895" s="106" t="str">
        <f>IF(ISBLANK(M895), "", VLOOKUP(D895, 'Info Tipo de Cambio y REM'!$A$24:$B$35, 2, FALSE))</f>
        <v/>
      </c>
      <c r="P895" s="107" t="str">
        <f t="shared" si="2"/>
        <v/>
      </c>
    </row>
    <row r="896">
      <c r="A896" s="102"/>
      <c r="B896" s="102"/>
      <c r="C896" s="102"/>
      <c r="D896" s="51"/>
      <c r="E896" s="102"/>
      <c r="F896" s="102"/>
      <c r="G896" s="103"/>
      <c r="H896" s="103"/>
      <c r="L896" s="103"/>
      <c r="M896" s="113"/>
      <c r="N896" s="107"/>
      <c r="O896" s="106" t="str">
        <f>IF(ISBLANK(M896), "", VLOOKUP(D896, 'Info Tipo de Cambio y REM'!$A$24:$B$35, 2, FALSE))</f>
        <v/>
      </c>
      <c r="P896" s="107" t="str">
        <f t="shared" si="2"/>
        <v/>
      </c>
    </row>
    <row r="897">
      <c r="A897" s="102"/>
      <c r="B897" s="102"/>
      <c r="C897" s="102"/>
      <c r="D897" s="51"/>
      <c r="E897" s="102"/>
      <c r="F897" s="102"/>
      <c r="G897" s="103"/>
      <c r="H897" s="103"/>
      <c r="L897" s="103"/>
      <c r="M897" s="113"/>
      <c r="N897" s="107"/>
      <c r="O897" s="106" t="str">
        <f>IF(ISBLANK(M897), "", VLOOKUP(D897, 'Info Tipo de Cambio y REM'!$A$24:$B$35, 2, FALSE))</f>
        <v/>
      </c>
      <c r="P897" s="107" t="str">
        <f t="shared" si="2"/>
        <v/>
      </c>
    </row>
    <row r="898">
      <c r="A898" s="102"/>
      <c r="B898" s="102"/>
      <c r="C898" s="102"/>
      <c r="D898" s="51"/>
      <c r="E898" s="102"/>
      <c r="F898" s="102"/>
      <c r="G898" s="103"/>
      <c r="H898" s="103"/>
      <c r="L898" s="103"/>
      <c r="M898" s="113"/>
      <c r="N898" s="107"/>
      <c r="O898" s="106" t="str">
        <f>IF(ISBLANK(M898), "", VLOOKUP(D898, 'Info Tipo de Cambio y REM'!$A$24:$B$35, 2, FALSE))</f>
        <v/>
      </c>
      <c r="P898" s="107" t="str">
        <f t="shared" si="2"/>
        <v/>
      </c>
    </row>
    <row r="899">
      <c r="A899" s="102"/>
      <c r="B899" s="102"/>
      <c r="C899" s="102"/>
      <c r="D899" s="51"/>
      <c r="E899" s="102"/>
      <c r="F899" s="102"/>
      <c r="G899" s="103"/>
      <c r="H899" s="103"/>
      <c r="L899" s="103"/>
      <c r="M899" s="113"/>
      <c r="N899" s="107"/>
      <c r="O899" s="106" t="str">
        <f>IF(ISBLANK(M899), "", VLOOKUP(D899, 'Info Tipo de Cambio y REM'!$A$24:$B$35, 2, FALSE))</f>
        <v/>
      </c>
      <c r="P899" s="107" t="str">
        <f t="shared" si="2"/>
        <v/>
      </c>
    </row>
    <row r="900">
      <c r="A900" s="102"/>
      <c r="B900" s="102"/>
      <c r="C900" s="102"/>
      <c r="D900" s="51"/>
      <c r="E900" s="102"/>
      <c r="F900" s="102"/>
      <c r="G900" s="103"/>
      <c r="H900" s="103"/>
      <c r="L900" s="103"/>
      <c r="M900" s="113"/>
      <c r="N900" s="107"/>
      <c r="O900" s="106" t="str">
        <f>IF(ISBLANK(M900), "", VLOOKUP(D900, 'Info Tipo de Cambio y REM'!$A$24:$B$35, 2, FALSE))</f>
        <v/>
      </c>
      <c r="P900" s="107" t="str">
        <f t="shared" si="2"/>
        <v/>
      </c>
    </row>
    <row r="901">
      <c r="A901" s="102"/>
      <c r="B901" s="102"/>
      <c r="C901" s="102"/>
      <c r="D901" s="51"/>
      <c r="E901" s="102"/>
      <c r="F901" s="102"/>
      <c r="G901" s="103"/>
      <c r="H901" s="103"/>
      <c r="L901" s="103"/>
      <c r="M901" s="113"/>
      <c r="N901" s="107"/>
      <c r="O901" s="106" t="str">
        <f>IF(ISBLANK(M901), "", VLOOKUP(D901, 'Info Tipo de Cambio y REM'!$A$24:$B$35, 2, FALSE))</f>
        <v/>
      </c>
      <c r="P901" s="107" t="str">
        <f t="shared" si="2"/>
        <v/>
      </c>
    </row>
    <row r="902">
      <c r="A902" s="102"/>
      <c r="B902" s="102"/>
      <c r="C902" s="102"/>
      <c r="D902" s="51"/>
      <c r="E902" s="102"/>
      <c r="F902" s="102"/>
      <c r="G902" s="103"/>
      <c r="H902" s="103"/>
      <c r="L902" s="103"/>
      <c r="M902" s="113"/>
      <c r="N902" s="107"/>
      <c r="O902" s="106" t="str">
        <f>IF(ISBLANK(M902), "", VLOOKUP(D902, 'Info Tipo de Cambio y REM'!$A$24:$B$35, 2, FALSE))</f>
        <v/>
      </c>
      <c r="P902" s="107" t="str">
        <f t="shared" si="2"/>
        <v/>
      </c>
    </row>
    <row r="903">
      <c r="A903" s="102"/>
      <c r="B903" s="102"/>
      <c r="C903" s="102"/>
      <c r="D903" s="51"/>
      <c r="E903" s="102"/>
      <c r="F903" s="102"/>
      <c r="G903" s="103"/>
      <c r="H903" s="103"/>
      <c r="L903" s="103"/>
      <c r="M903" s="113"/>
      <c r="N903" s="107"/>
      <c r="O903" s="106" t="str">
        <f>IF(ISBLANK(M903), "", VLOOKUP(D903, 'Info Tipo de Cambio y REM'!$A$24:$B$35, 2, FALSE))</f>
        <v/>
      </c>
      <c r="P903" s="107" t="str">
        <f t="shared" si="2"/>
        <v/>
      </c>
    </row>
    <row r="904">
      <c r="A904" s="102"/>
      <c r="B904" s="102"/>
      <c r="C904" s="102"/>
      <c r="D904" s="51"/>
      <c r="E904" s="102"/>
      <c r="F904" s="102"/>
      <c r="G904" s="103"/>
      <c r="H904" s="103"/>
      <c r="L904" s="103"/>
      <c r="M904" s="113"/>
      <c r="N904" s="107"/>
      <c r="O904" s="106" t="str">
        <f>IF(ISBLANK(M904), "", VLOOKUP(D904, 'Info Tipo de Cambio y REM'!$A$24:$B$35, 2, FALSE))</f>
        <v/>
      </c>
      <c r="P904" s="107" t="str">
        <f t="shared" si="2"/>
        <v/>
      </c>
    </row>
    <row r="905">
      <c r="A905" s="102"/>
      <c r="B905" s="102"/>
      <c r="C905" s="102"/>
      <c r="D905" s="51"/>
      <c r="E905" s="102"/>
      <c r="F905" s="102"/>
      <c r="G905" s="103"/>
      <c r="H905" s="103"/>
      <c r="L905" s="103"/>
      <c r="M905" s="113"/>
      <c r="N905" s="107"/>
      <c r="O905" s="106" t="str">
        <f>IF(ISBLANK(M905), "", VLOOKUP(D905, 'Info Tipo de Cambio y REM'!$A$24:$B$35, 2, FALSE))</f>
        <v/>
      </c>
      <c r="P905" s="107" t="str">
        <f t="shared" si="2"/>
        <v/>
      </c>
    </row>
    <row r="906">
      <c r="A906" s="102"/>
      <c r="B906" s="102"/>
      <c r="C906" s="102"/>
      <c r="D906" s="51"/>
      <c r="E906" s="102"/>
      <c r="F906" s="102"/>
      <c r="G906" s="103"/>
      <c r="H906" s="103"/>
      <c r="L906" s="103"/>
      <c r="M906" s="113"/>
      <c r="N906" s="107"/>
      <c r="O906" s="106" t="str">
        <f>IF(ISBLANK(M906), "", VLOOKUP(D906, 'Info Tipo de Cambio y REM'!$A$24:$B$35, 2, FALSE))</f>
        <v/>
      </c>
      <c r="P906" s="107" t="str">
        <f t="shared" si="2"/>
        <v/>
      </c>
    </row>
    <row r="907">
      <c r="A907" s="102"/>
      <c r="B907" s="102"/>
      <c r="C907" s="102"/>
      <c r="D907" s="51"/>
      <c r="E907" s="102"/>
      <c r="F907" s="102"/>
      <c r="G907" s="103"/>
      <c r="H907" s="103"/>
      <c r="L907" s="103"/>
      <c r="M907" s="113"/>
      <c r="N907" s="107"/>
      <c r="O907" s="106" t="str">
        <f>IF(ISBLANK(M907), "", VLOOKUP(D907, 'Info Tipo de Cambio y REM'!$A$24:$B$35, 2, FALSE))</f>
        <v/>
      </c>
      <c r="P907" s="107" t="str">
        <f t="shared" si="2"/>
        <v/>
      </c>
    </row>
    <row r="908">
      <c r="A908" s="102"/>
      <c r="B908" s="102"/>
      <c r="C908" s="102"/>
      <c r="D908" s="51"/>
      <c r="E908" s="102"/>
      <c r="F908" s="102"/>
      <c r="G908" s="103"/>
      <c r="H908" s="103"/>
      <c r="L908" s="103"/>
      <c r="M908" s="113"/>
      <c r="N908" s="107"/>
      <c r="O908" s="106" t="str">
        <f>IF(ISBLANK(M908), "", VLOOKUP(D908, 'Info Tipo de Cambio y REM'!$A$24:$B$35, 2, FALSE))</f>
        <v/>
      </c>
      <c r="P908" s="107" t="str">
        <f t="shared" si="2"/>
        <v/>
      </c>
    </row>
    <row r="909">
      <c r="A909" s="102"/>
      <c r="B909" s="102"/>
      <c r="C909" s="102"/>
      <c r="D909" s="51"/>
      <c r="E909" s="102"/>
      <c r="F909" s="102"/>
      <c r="G909" s="103"/>
      <c r="H909" s="103"/>
      <c r="L909" s="103"/>
      <c r="M909" s="113"/>
      <c r="N909" s="107"/>
      <c r="O909" s="106" t="str">
        <f>IF(ISBLANK(M909), "", VLOOKUP(D909, 'Info Tipo de Cambio y REM'!$A$24:$B$35, 2, FALSE))</f>
        <v/>
      </c>
      <c r="P909" s="107" t="str">
        <f t="shared" si="2"/>
        <v/>
      </c>
    </row>
    <row r="910">
      <c r="A910" s="102"/>
      <c r="B910" s="102"/>
      <c r="C910" s="102"/>
      <c r="D910" s="51"/>
      <c r="E910" s="102"/>
      <c r="F910" s="102"/>
      <c r="G910" s="103"/>
      <c r="H910" s="103"/>
      <c r="L910" s="103"/>
      <c r="M910" s="113"/>
      <c r="N910" s="107"/>
      <c r="O910" s="106" t="str">
        <f>IF(ISBLANK(M910), "", VLOOKUP(D910, 'Info Tipo de Cambio y REM'!$A$24:$B$35, 2, FALSE))</f>
        <v/>
      </c>
      <c r="P910" s="107" t="str">
        <f t="shared" si="2"/>
        <v/>
      </c>
    </row>
    <row r="911">
      <c r="A911" s="102"/>
      <c r="B911" s="102"/>
      <c r="C911" s="102"/>
      <c r="D911" s="51"/>
      <c r="E911" s="102"/>
      <c r="F911" s="102"/>
      <c r="G911" s="103"/>
      <c r="H911" s="103"/>
      <c r="L911" s="103"/>
      <c r="M911" s="113"/>
      <c r="N911" s="107"/>
      <c r="O911" s="106" t="str">
        <f>IF(ISBLANK(M911), "", VLOOKUP(D911, 'Info Tipo de Cambio y REM'!$A$24:$B$35, 2, FALSE))</f>
        <v/>
      </c>
      <c r="P911" s="107" t="str">
        <f t="shared" si="2"/>
        <v/>
      </c>
    </row>
    <row r="912">
      <c r="A912" s="102"/>
      <c r="B912" s="102"/>
      <c r="C912" s="102"/>
      <c r="D912" s="51"/>
      <c r="E912" s="102"/>
      <c r="F912" s="102"/>
      <c r="G912" s="103"/>
      <c r="H912" s="103"/>
      <c r="L912" s="103"/>
      <c r="M912" s="113"/>
      <c r="N912" s="107"/>
      <c r="O912" s="106" t="str">
        <f>IF(ISBLANK(M912), "", VLOOKUP(D912, 'Info Tipo de Cambio y REM'!$A$24:$B$35, 2, FALSE))</f>
        <v/>
      </c>
      <c r="P912" s="107" t="str">
        <f t="shared" si="2"/>
        <v/>
      </c>
    </row>
    <row r="913">
      <c r="A913" s="102"/>
      <c r="B913" s="102"/>
      <c r="C913" s="102"/>
      <c r="D913" s="51"/>
      <c r="E913" s="102"/>
      <c r="F913" s="102"/>
      <c r="G913" s="103"/>
      <c r="H913" s="103"/>
      <c r="L913" s="103"/>
      <c r="M913" s="113"/>
      <c r="N913" s="107"/>
      <c r="O913" s="106" t="str">
        <f>IF(ISBLANK(M913), "", VLOOKUP(D913, 'Info Tipo de Cambio y REM'!$A$24:$B$35, 2, FALSE))</f>
        <v/>
      </c>
      <c r="P913" s="107" t="str">
        <f t="shared" si="2"/>
        <v/>
      </c>
    </row>
    <row r="914">
      <c r="A914" s="102"/>
      <c r="B914" s="102"/>
      <c r="C914" s="102"/>
      <c r="D914" s="51"/>
      <c r="E914" s="102"/>
      <c r="F914" s="102"/>
      <c r="G914" s="103"/>
      <c r="H914" s="103"/>
      <c r="L914" s="103"/>
      <c r="M914" s="113"/>
      <c r="N914" s="107"/>
      <c r="O914" s="106" t="str">
        <f>IF(ISBLANK(M914), "", VLOOKUP(D914, 'Info Tipo de Cambio y REM'!$A$24:$B$35, 2, FALSE))</f>
        <v/>
      </c>
      <c r="P914" s="107" t="str">
        <f t="shared" si="2"/>
        <v/>
      </c>
    </row>
    <row r="915">
      <c r="A915" s="102"/>
      <c r="B915" s="102"/>
      <c r="C915" s="102"/>
      <c r="D915" s="51"/>
      <c r="E915" s="102"/>
      <c r="F915" s="102"/>
      <c r="G915" s="103"/>
      <c r="H915" s="103"/>
      <c r="L915" s="103"/>
      <c r="M915" s="113"/>
      <c r="N915" s="107"/>
      <c r="O915" s="106" t="str">
        <f>IF(ISBLANK(M915), "", VLOOKUP(D915, 'Info Tipo de Cambio y REM'!$A$24:$B$35, 2, FALSE))</f>
        <v/>
      </c>
      <c r="P915" s="107" t="str">
        <f t="shared" si="2"/>
        <v/>
      </c>
    </row>
    <row r="916">
      <c r="A916" s="102"/>
      <c r="B916" s="102"/>
      <c r="C916" s="102"/>
      <c r="D916" s="51"/>
      <c r="E916" s="102"/>
      <c r="F916" s="102"/>
      <c r="G916" s="103"/>
      <c r="H916" s="103"/>
      <c r="L916" s="103"/>
      <c r="M916" s="113"/>
      <c r="N916" s="107"/>
      <c r="O916" s="106" t="str">
        <f>IF(ISBLANK(M916), "", VLOOKUP(D916, 'Info Tipo de Cambio y REM'!$A$24:$B$35, 2, FALSE))</f>
        <v/>
      </c>
      <c r="P916" s="107" t="str">
        <f t="shared" si="2"/>
        <v/>
      </c>
    </row>
    <row r="917">
      <c r="A917" s="102"/>
      <c r="B917" s="102"/>
      <c r="C917" s="102"/>
      <c r="D917" s="51"/>
      <c r="E917" s="102"/>
      <c r="F917" s="102"/>
      <c r="G917" s="103"/>
      <c r="H917" s="103"/>
      <c r="L917" s="103"/>
      <c r="M917" s="113"/>
      <c r="N917" s="107"/>
      <c r="O917" s="106" t="str">
        <f>IF(ISBLANK(M917), "", VLOOKUP(D917, 'Info Tipo de Cambio y REM'!$A$24:$B$35, 2, FALSE))</f>
        <v/>
      </c>
      <c r="P917" s="107" t="str">
        <f t="shared" si="2"/>
        <v/>
      </c>
    </row>
    <row r="918">
      <c r="A918" s="102"/>
      <c r="B918" s="102"/>
      <c r="C918" s="102"/>
      <c r="D918" s="51"/>
      <c r="E918" s="102"/>
      <c r="F918" s="102"/>
      <c r="G918" s="103"/>
      <c r="H918" s="103"/>
      <c r="L918" s="103"/>
      <c r="M918" s="113"/>
      <c r="N918" s="107"/>
      <c r="O918" s="106" t="str">
        <f>IF(ISBLANK(M918), "", VLOOKUP(D918, 'Info Tipo de Cambio y REM'!$A$24:$B$35, 2, FALSE))</f>
        <v/>
      </c>
      <c r="P918" s="107" t="str">
        <f t="shared" si="2"/>
        <v/>
      </c>
    </row>
    <row r="919">
      <c r="A919" s="102"/>
      <c r="B919" s="102"/>
      <c r="C919" s="102"/>
      <c r="D919" s="51"/>
      <c r="E919" s="102"/>
      <c r="F919" s="102"/>
      <c r="G919" s="103"/>
      <c r="H919" s="103"/>
      <c r="L919" s="103"/>
      <c r="M919" s="113"/>
      <c r="N919" s="107"/>
      <c r="O919" s="106" t="str">
        <f>IF(ISBLANK(M919), "", VLOOKUP(D919, 'Info Tipo de Cambio y REM'!$A$24:$B$35, 2, FALSE))</f>
        <v/>
      </c>
      <c r="P919" s="107" t="str">
        <f t="shared" si="2"/>
        <v/>
      </c>
    </row>
    <row r="920">
      <c r="A920" s="102"/>
      <c r="B920" s="102"/>
      <c r="C920" s="102"/>
      <c r="D920" s="51"/>
      <c r="E920" s="102"/>
      <c r="F920" s="102"/>
      <c r="G920" s="103"/>
      <c r="H920" s="103"/>
      <c r="L920" s="103"/>
      <c r="M920" s="113"/>
      <c r="N920" s="107"/>
      <c r="O920" s="106" t="str">
        <f>IF(ISBLANK(M920), "", VLOOKUP(D920, 'Info Tipo de Cambio y REM'!$A$24:$B$35, 2, FALSE))</f>
        <v/>
      </c>
      <c r="P920" s="107" t="str">
        <f t="shared" si="2"/>
        <v/>
      </c>
    </row>
    <row r="921">
      <c r="A921" s="102"/>
      <c r="B921" s="102"/>
      <c r="C921" s="102"/>
      <c r="D921" s="51"/>
      <c r="E921" s="102"/>
      <c r="F921" s="102"/>
      <c r="G921" s="103"/>
      <c r="H921" s="103"/>
      <c r="L921" s="103"/>
      <c r="M921" s="113"/>
      <c r="N921" s="107"/>
      <c r="O921" s="106" t="str">
        <f>IF(ISBLANK(M921), "", VLOOKUP(D921, 'Info Tipo de Cambio y REM'!$A$24:$B$35, 2, FALSE))</f>
        <v/>
      </c>
      <c r="P921" s="107" t="str">
        <f t="shared" si="2"/>
        <v/>
      </c>
    </row>
    <row r="922">
      <c r="A922" s="102"/>
      <c r="B922" s="102"/>
      <c r="C922" s="102"/>
      <c r="D922" s="51"/>
      <c r="E922" s="102"/>
      <c r="F922" s="102"/>
      <c r="G922" s="103"/>
      <c r="H922" s="103"/>
      <c r="L922" s="103"/>
      <c r="M922" s="113"/>
      <c r="N922" s="107"/>
      <c r="O922" s="106" t="str">
        <f>IF(ISBLANK(M922), "", VLOOKUP(D922, 'Info Tipo de Cambio y REM'!$A$24:$B$35, 2, FALSE))</f>
        <v/>
      </c>
      <c r="P922" s="107" t="str">
        <f t="shared" si="2"/>
        <v/>
      </c>
    </row>
    <row r="923">
      <c r="A923" s="102"/>
      <c r="B923" s="102"/>
      <c r="C923" s="102"/>
      <c r="D923" s="51"/>
      <c r="E923" s="102"/>
      <c r="F923" s="102"/>
      <c r="G923" s="103"/>
      <c r="H923" s="103"/>
      <c r="L923" s="103"/>
      <c r="M923" s="113"/>
      <c r="N923" s="107"/>
      <c r="O923" s="106" t="str">
        <f>IF(ISBLANK(M923), "", VLOOKUP(D923, 'Info Tipo de Cambio y REM'!$A$24:$B$35, 2, FALSE))</f>
        <v/>
      </c>
      <c r="P923" s="107" t="str">
        <f t="shared" si="2"/>
        <v/>
      </c>
    </row>
    <row r="924">
      <c r="A924" s="102"/>
      <c r="B924" s="102"/>
      <c r="C924" s="102"/>
      <c r="D924" s="51"/>
      <c r="E924" s="102"/>
      <c r="F924" s="102"/>
      <c r="G924" s="103"/>
      <c r="H924" s="103"/>
      <c r="L924" s="103"/>
      <c r="M924" s="113"/>
      <c r="N924" s="107"/>
      <c r="O924" s="106" t="str">
        <f>IF(ISBLANK(M924), "", VLOOKUP(D924, 'Info Tipo de Cambio y REM'!$A$24:$B$35, 2, FALSE))</f>
        <v/>
      </c>
      <c r="P924" s="107" t="str">
        <f t="shared" si="2"/>
        <v/>
      </c>
    </row>
    <row r="925">
      <c r="A925" s="102"/>
      <c r="B925" s="102"/>
      <c r="C925" s="102"/>
      <c r="D925" s="51"/>
      <c r="E925" s="102"/>
      <c r="F925" s="102"/>
      <c r="G925" s="103"/>
      <c r="H925" s="103"/>
      <c r="L925" s="103"/>
      <c r="M925" s="113"/>
      <c r="N925" s="107"/>
      <c r="O925" s="106" t="str">
        <f>IF(ISBLANK(M925), "", VLOOKUP(D925, 'Info Tipo de Cambio y REM'!$A$24:$B$35, 2, FALSE))</f>
        <v/>
      </c>
      <c r="P925" s="107" t="str">
        <f t="shared" si="2"/>
        <v/>
      </c>
    </row>
    <row r="926">
      <c r="A926" s="102"/>
      <c r="B926" s="102"/>
      <c r="C926" s="102"/>
      <c r="D926" s="51"/>
      <c r="E926" s="102"/>
      <c r="F926" s="102"/>
      <c r="G926" s="103"/>
      <c r="H926" s="103"/>
      <c r="L926" s="103"/>
      <c r="M926" s="113"/>
      <c r="N926" s="107"/>
      <c r="O926" s="106" t="str">
        <f>IF(ISBLANK(M926), "", VLOOKUP(D926, 'Info Tipo de Cambio y REM'!$A$24:$B$35, 2, FALSE))</f>
        <v/>
      </c>
      <c r="P926" s="107" t="str">
        <f t="shared" si="2"/>
        <v/>
      </c>
    </row>
    <row r="927">
      <c r="A927" s="102"/>
      <c r="B927" s="102"/>
      <c r="C927" s="102"/>
      <c r="D927" s="51"/>
      <c r="E927" s="102"/>
      <c r="F927" s="102"/>
      <c r="G927" s="103"/>
      <c r="H927" s="103"/>
      <c r="L927" s="103"/>
      <c r="M927" s="113"/>
      <c r="N927" s="107"/>
      <c r="O927" s="106" t="str">
        <f>IF(ISBLANK(M927), "", VLOOKUP(D927, 'Info Tipo de Cambio y REM'!$A$24:$B$35, 2, FALSE))</f>
        <v/>
      </c>
      <c r="P927" s="107" t="str">
        <f t="shared" si="2"/>
        <v/>
      </c>
    </row>
    <row r="928">
      <c r="A928" s="102"/>
      <c r="B928" s="102"/>
      <c r="C928" s="102"/>
      <c r="D928" s="51"/>
      <c r="E928" s="102"/>
      <c r="F928" s="102"/>
      <c r="G928" s="103"/>
      <c r="H928" s="103"/>
      <c r="L928" s="103"/>
      <c r="M928" s="113"/>
      <c r="N928" s="107"/>
      <c r="O928" s="106" t="str">
        <f>IF(ISBLANK(M928), "", VLOOKUP(D928, 'Info Tipo de Cambio y REM'!$A$24:$B$35, 2, FALSE))</f>
        <v/>
      </c>
      <c r="P928" s="107" t="str">
        <f t="shared" si="2"/>
        <v/>
      </c>
    </row>
    <row r="929">
      <c r="A929" s="102"/>
      <c r="B929" s="102"/>
      <c r="C929" s="102"/>
      <c r="D929" s="51"/>
      <c r="E929" s="102"/>
      <c r="F929" s="102"/>
      <c r="G929" s="103"/>
      <c r="H929" s="103"/>
      <c r="L929" s="103"/>
      <c r="M929" s="113"/>
      <c r="N929" s="107"/>
      <c r="O929" s="106" t="str">
        <f>IF(ISBLANK(M929), "", VLOOKUP(D929, 'Info Tipo de Cambio y REM'!$A$24:$B$35, 2, FALSE))</f>
        <v/>
      </c>
      <c r="P929" s="107" t="str">
        <f t="shared" si="2"/>
        <v/>
      </c>
    </row>
    <row r="930">
      <c r="A930" s="102"/>
      <c r="B930" s="102"/>
      <c r="C930" s="102"/>
      <c r="D930" s="51"/>
      <c r="E930" s="102"/>
      <c r="F930" s="102"/>
      <c r="G930" s="103"/>
      <c r="H930" s="103"/>
      <c r="L930" s="103"/>
      <c r="M930" s="113"/>
      <c r="N930" s="107"/>
      <c r="O930" s="106" t="str">
        <f>IF(ISBLANK(M930), "", VLOOKUP(D930, 'Info Tipo de Cambio y REM'!$A$24:$B$35, 2, FALSE))</f>
        <v/>
      </c>
      <c r="P930" s="107" t="str">
        <f t="shared" si="2"/>
        <v/>
      </c>
    </row>
    <row r="931">
      <c r="A931" s="102"/>
      <c r="B931" s="102"/>
      <c r="C931" s="102"/>
      <c r="D931" s="51"/>
      <c r="E931" s="102"/>
      <c r="F931" s="102"/>
      <c r="G931" s="103"/>
      <c r="H931" s="103"/>
      <c r="L931" s="103"/>
      <c r="M931" s="113"/>
      <c r="N931" s="107"/>
      <c r="O931" s="106" t="str">
        <f>IF(ISBLANK(M931), "", VLOOKUP(D931, 'Info Tipo de Cambio y REM'!$A$24:$B$35, 2, FALSE))</f>
        <v/>
      </c>
      <c r="P931" s="107" t="str">
        <f t="shared" si="2"/>
        <v/>
      </c>
    </row>
    <row r="932">
      <c r="A932" s="102"/>
      <c r="B932" s="102"/>
      <c r="C932" s="102"/>
      <c r="D932" s="51"/>
      <c r="E932" s="102"/>
      <c r="F932" s="102"/>
      <c r="G932" s="103"/>
      <c r="H932" s="103"/>
      <c r="L932" s="103"/>
      <c r="M932" s="113"/>
      <c r="N932" s="107"/>
      <c r="O932" s="106" t="str">
        <f>IF(ISBLANK(M932), "", VLOOKUP(D932, 'Info Tipo de Cambio y REM'!$A$24:$B$35, 2, FALSE))</f>
        <v/>
      </c>
      <c r="P932" s="107" t="str">
        <f t="shared" si="2"/>
        <v/>
      </c>
    </row>
    <row r="933">
      <c r="A933" s="102"/>
      <c r="B933" s="102"/>
      <c r="C933" s="102"/>
      <c r="D933" s="51"/>
      <c r="E933" s="102"/>
      <c r="F933" s="102"/>
      <c r="G933" s="103"/>
      <c r="H933" s="103"/>
      <c r="L933" s="103"/>
      <c r="M933" s="113"/>
      <c r="N933" s="107"/>
      <c r="O933" s="106" t="str">
        <f>IF(ISBLANK(M933), "", VLOOKUP(D933, 'Info Tipo de Cambio y REM'!$A$24:$B$35, 2, FALSE))</f>
        <v/>
      </c>
      <c r="P933" s="107" t="str">
        <f t="shared" si="2"/>
        <v/>
      </c>
    </row>
    <row r="934">
      <c r="A934" s="102"/>
      <c r="B934" s="102"/>
      <c r="C934" s="102"/>
      <c r="D934" s="51"/>
      <c r="E934" s="102"/>
      <c r="F934" s="102"/>
      <c r="G934" s="103"/>
      <c r="H934" s="103"/>
      <c r="L934" s="103"/>
      <c r="M934" s="113"/>
      <c r="N934" s="107"/>
      <c r="O934" s="106" t="str">
        <f>IF(ISBLANK(M934), "", VLOOKUP(D934, 'Info Tipo de Cambio y REM'!$A$24:$B$35, 2, FALSE))</f>
        <v/>
      </c>
      <c r="P934" s="107" t="str">
        <f t="shared" si="2"/>
        <v/>
      </c>
    </row>
    <row r="935">
      <c r="A935" s="102"/>
      <c r="B935" s="102"/>
      <c r="C935" s="102"/>
      <c r="D935" s="51"/>
      <c r="E935" s="102"/>
      <c r="F935" s="102"/>
      <c r="G935" s="103"/>
      <c r="H935" s="103"/>
      <c r="L935" s="103"/>
      <c r="M935" s="113"/>
      <c r="N935" s="107"/>
      <c r="O935" s="106" t="str">
        <f>IF(ISBLANK(M935), "", VLOOKUP(D935, 'Info Tipo de Cambio y REM'!$A$24:$B$35, 2, FALSE))</f>
        <v/>
      </c>
      <c r="P935" s="107" t="str">
        <f t="shared" si="2"/>
        <v/>
      </c>
    </row>
    <row r="936">
      <c r="A936" s="102"/>
      <c r="B936" s="102"/>
      <c r="C936" s="102"/>
      <c r="D936" s="51"/>
      <c r="E936" s="102"/>
      <c r="F936" s="102"/>
      <c r="G936" s="103"/>
      <c r="H936" s="103"/>
      <c r="L936" s="103"/>
      <c r="M936" s="113"/>
      <c r="N936" s="107"/>
      <c r="O936" s="106" t="str">
        <f>IF(ISBLANK(M936), "", VLOOKUP(D936, 'Info Tipo de Cambio y REM'!$A$24:$B$35, 2, FALSE))</f>
        <v/>
      </c>
      <c r="P936" s="107" t="str">
        <f t="shared" si="2"/>
        <v/>
      </c>
    </row>
    <row r="937">
      <c r="A937" s="102"/>
      <c r="B937" s="102"/>
      <c r="C937" s="102"/>
      <c r="D937" s="51"/>
      <c r="E937" s="102"/>
      <c r="F937" s="102"/>
      <c r="G937" s="103"/>
      <c r="H937" s="103"/>
      <c r="L937" s="103"/>
      <c r="M937" s="113"/>
      <c r="N937" s="107"/>
      <c r="O937" s="106" t="str">
        <f>IF(ISBLANK(M937), "", VLOOKUP(D937, 'Info Tipo de Cambio y REM'!$A$24:$B$35, 2, FALSE))</f>
        <v/>
      </c>
      <c r="P937" s="107" t="str">
        <f t="shared" si="2"/>
        <v/>
      </c>
    </row>
    <row r="938">
      <c r="A938" s="102"/>
      <c r="B938" s="102"/>
      <c r="C938" s="102"/>
      <c r="D938" s="51"/>
      <c r="E938" s="102"/>
      <c r="F938" s="102"/>
      <c r="G938" s="103"/>
      <c r="H938" s="103"/>
      <c r="L938" s="103"/>
      <c r="M938" s="113"/>
      <c r="N938" s="107"/>
      <c r="O938" s="106" t="str">
        <f>IF(ISBLANK(M938), "", VLOOKUP(D938, 'Info Tipo de Cambio y REM'!$A$24:$B$35, 2, FALSE))</f>
        <v/>
      </c>
      <c r="P938" s="107" t="str">
        <f t="shared" si="2"/>
        <v/>
      </c>
    </row>
    <row r="939">
      <c r="A939" s="102"/>
      <c r="B939" s="102"/>
      <c r="C939" s="102"/>
      <c r="D939" s="51"/>
      <c r="E939" s="102"/>
      <c r="F939" s="102"/>
      <c r="G939" s="103"/>
      <c r="H939" s="103"/>
      <c r="L939" s="103"/>
      <c r="M939" s="113"/>
      <c r="N939" s="107"/>
      <c r="O939" s="106" t="str">
        <f>IF(ISBLANK(M939), "", VLOOKUP(D939, 'Info Tipo de Cambio y REM'!$A$24:$B$35, 2, FALSE))</f>
        <v/>
      </c>
      <c r="P939" s="107" t="str">
        <f t="shared" si="2"/>
        <v/>
      </c>
    </row>
    <row r="940">
      <c r="A940" s="102"/>
      <c r="B940" s="102"/>
      <c r="C940" s="102"/>
      <c r="D940" s="51"/>
      <c r="E940" s="102"/>
      <c r="F940" s="102"/>
      <c r="G940" s="103"/>
      <c r="H940" s="103"/>
      <c r="L940" s="103"/>
      <c r="M940" s="113"/>
      <c r="N940" s="107"/>
      <c r="O940" s="106" t="str">
        <f>IF(ISBLANK(M940), "", VLOOKUP(D940, 'Info Tipo de Cambio y REM'!$A$24:$B$35, 2, FALSE))</f>
        <v/>
      </c>
      <c r="P940" s="107" t="str">
        <f t="shared" si="2"/>
        <v/>
      </c>
    </row>
    <row r="941">
      <c r="A941" s="102"/>
      <c r="B941" s="102"/>
      <c r="C941" s="102"/>
      <c r="D941" s="51"/>
      <c r="E941" s="102"/>
      <c r="F941" s="102"/>
      <c r="G941" s="103"/>
      <c r="H941" s="103"/>
      <c r="L941" s="103"/>
      <c r="M941" s="113"/>
      <c r="N941" s="107"/>
      <c r="O941" s="106" t="str">
        <f>IF(ISBLANK(M941), "", VLOOKUP(D941, 'Info Tipo de Cambio y REM'!$A$24:$B$35, 2, FALSE))</f>
        <v/>
      </c>
      <c r="P941" s="107" t="str">
        <f t="shared" si="2"/>
        <v/>
      </c>
    </row>
    <row r="942">
      <c r="A942" s="102"/>
      <c r="B942" s="102"/>
      <c r="C942" s="102"/>
      <c r="D942" s="51"/>
      <c r="E942" s="102"/>
      <c r="F942" s="102"/>
      <c r="G942" s="103"/>
      <c r="H942" s="103"/>
      <c r="L942" s="103"/>
      <c r="M942" s="113"/>
      <c r="N942" s="107"/>
      <c r="O942" s="106" t="str">
        <f>IF(ISBLANK(M942), "", VLOOKUP(D942, 'Info Tipo de Cambio y REM'!$A$24:$B$35, 2, FALSE))</f>
        <v/>
      </c>
      <c r="P942" s="107" t="str">
        <f t="shared" si="2"/>
        <v/>
      </c>
    </row>
    <row r="943">
      <c r="A943" s="102"/>
      <c r="B943" s="102"/>
      <c r="C943" s="102"/>
      <c r="D943" s="51"/>
      <c r="E943" s="102"/>
      <c r="F943" s="102"/>
      <c r="G943" s="103"/>
      <c r="H943" s="103"/>
      <c r="L943" s="103"/>
      <c r="M943" s="113"/>
      <c r="N943" s="107"/>
      <c r="O943" s="106" t="str">
        <f>IF(ISBLANK(M943), "", VLOOKUP(D943, 'Info Tipo de Cambio y REM'!$A$24:$B$35, 2, FALSE))</f>
        <v/>
      </c>
      <c r="P943" s="107" t="str">
        <f t="shared" si="2"/>
        <v/>
      </c>
    </row>
    <row r="944">
      <c r="A944" s="102"/>
      <c r="B944" s="102"/>
      <c r="C944" s="102"/>
      <c r="D944" s="51"/>
      <c r="E944" s="102"/>
      <c r="F944" s="102"/>
      <c r="G944" s="103"/>
      <c r="H944" s="103"/>
      <c r="L944" s="103"/>
      <c r="M944" s="113"/>
      <c r="N944" s="107"/>
      <c r="O944" s="106" t="str">
        <f>IF(ISBLANK(M944), "", VLOOKUP(D944, 'Info Tipo de Cambio y REM'!$A$24:$B$35, 2, FALSE))</f>
        <v/>
      </c>
      <c r="P944" s="107" t="str">
        <f t="shared" si="2"/>
        <v/>
      </c>
    </row>
    <row r="945">
      <c r="A945" s="102"/>
      <c r="B945" s="102"/>
      <c r="C945" s="102"/>
      <c r="D945" s="51"/>
      <c r="E945" s="102"/>
      <c r="F945" s="102"/>
      <c r="G945" s="103"/>
      <c r="H945" s="103"/>
      <c r="L945" s="103"/>
      <c r="M945" s="113"/>
      <c r="N945" s="107"/>
      <c r="O945" s="106" t="str">
        <f>IF(ISBLANK(M945), "", VLOOKUP(D945, 'Info Tipo de Cambio y REM'!$A$24:$B$35, 2, FALSE))</f>
        <v/>
      </c>
      <c r="P945" s="107" t="str">
        <f t="shared" si="2"/>
        <v/>
      </c>
    </row>
    <row r="946">
      <c r="A946" s="102"/>
      <c r="B946" s="102"/>
      <c r="C946" s="102"/>
      <c r="D946" s="51"/>
      <c r="E946" s="102"/>
      <c r="F946" s="102"/>
      <c r="G946" s="103"/>
      <c r="H946" s="103"/>
      <c r="L946" s="103"/>
      <c r="M946" s="113"/>
      <c r="N946" s="107"/>
      <c r="O946" s="106" t="str">
        <f>IF(ISBLANK(M946), "", VLOOKUP(D946, 'Info Tipo de Cambio y REM'!$A$24:$B$35, 2, FALSE))</f>
        <v/>
      </c>
      <c r="P946" s="107" t="str">
        <f t="shared" si="2"/>
        <v/>
      </c>
    </row>
    <row r="947">
      <c r="A947" s="102"/>
      <c r="B947" s="102"/>
      <c r="C947" s="102"/>
      <c r="D947" s="51"/>
      <c r="E947" s="102"/>
      <c r="F947" s="102"/>
      <c r="G947" s="103"/>
      <c r="H947" s="103"/>
      <c r="L947" s="103"/>
      <c r="M947" s="113"/>
      <c r="N947" s="107"/>
      <c r="O947" s="106" t="str">
        <f>IF(ISBLANK(M947), "", VLOOKUP(D947, 'Info Tipo de Cambio y REM'!$A$24:$B$35, 2, FALSE))</f>
        <v/>
      </c>
      <c r="P947" s="107" t="str">
        <f t="shared" si="2"/>
        <v/>
      </c>
    </row>
    <row r="948">
      <c r="A948" s="102"/>
      <c r="B948" s="102"/>
      <c r="C948" s="102"/>
      <c r="D948" s="51"/>
      <c r="E948" s="102"/>
      <c r="F948" s="102"/>
      <c r="G948" s="103"/>
      <c r="H948" s="103"/>
      <c r="L948" s="103"/>
      <c r="M948" s="113"/>
      <c r="N948" s="107"/>
      <c r="O948" s="106" t="str">
        <f>IF(ISBLANK(M948), "", VLOOKUP(D948, 'Info Tipo de Cambio y REM'!$A$24:$B$35, 2, FALSE))</f>
        <v/>
      </c>
      <c r="P948" s="107" t="str">
        <f t="shared" si="2"/>
        <v/>
      </c>
    </row>
    <row r="949">
      <c r="A949" s="102"/>
      <c r="B949" s="102"/>
      <c r="C949" s="102"/>
      <c r="D949" s="51"/>
      <c r="E949" s="102"/>
      <c r="F949" s="102"/>
      <c r="G949" s="103"/>
      <c r="H949" s="103"/>
      <c r="L949" s="103"/>
      <c r="M949" s="113"/>
      <c r="N949" s="107"/>
      <c r="O949" s="106" t="str">
        <f>IF(ISBLANK(M949), "", VLOOKUP(D949, 'Info Tipo de Cambio y REM'!$A$24:$B$35, 2, FALSE))</f>
        <v/>
      </c>
      <c r="P949" s="107" t="str">
        <f t="shared" si="2"/>
        <v/>
      </c>
    </row>
    <row r="950">
      <c r="A950" s="102"/>
      <c r="B950" s="102"/>
      <c r="C950" s="102"/>
      <c r="D950" s="51"/>
      <c r="E950" s="102"/>
      <c r="F950" s="102"/>
      <c r="G950" s="103"/>
      <c r="H950" s="103"/>
      <c r="L950" s="103"/>
      <c r="M950" s="113"/>
      <c r="N950" s="107"/>
      <c r="O950" s="106" t="str">
        <f>IF(ISBLANK(M950), "", VLOOKUP(D950, 'Info Tipo de Cambio y REM'!$A$24:$B$35, 2, FALSE))</f>
        <v/>
      </c>
      <c r="P950" s="107" t="str">
        <f t="shared" si="2"/>
        <v/>
      </c>
    </row>
    <row r="951">
      <c r="A951" s="102"/>
      <c r="B951" s="102"/>
      <c r="C951" s="102"/>
      <c r="D951" s="51"/>
      <c r="E951" s="102"/>
      <c r="F951" s="102"/>
      <c r="G951" s="103"/>
      <c r="H951" s="103"/>
      <c r="L951" s="103"/>
      <c r="M951" s="113"/>
      <c r="N951" s="107"/>
      <c r="O951" s="106" t="str">
        <f>IF(ISBLANK(M951), "", VLOOKUP(D951, 'Info Tipo de Cambio y REM'!$A$24:$B$35, 2, FALSE))</f>
        <v/>
      </c>
      <c r="P951" s="107" t="str">
        <f t="shared" si="2"/>
        <v/>
      </c>
    </row>
    <row r="952">
      <c r="A952" s="102"/>
      <c r="B952" s="102"/>
      <c r="C952" s="102"/>
      <c r="D952" s="51"/>
      <c r="E952" s="102"/>
      <c r="F952" s="102"/>
      <c r="G952" s="103"/>
      <c r="H952" s="103"/>
      <c r="L952" s="103"/>
      <c r="M952" s="113"/>
      <c r="N952" s="107"/>
      <c r="O952" s="106" t="str">
        <f>IF(ISBLANK(M952), "", VLOOKUP(D952, 'Info Tipo de Cambio y REM'!$A$24:$B$35, 2, FALSE))</f>
        <v/>
      </c>
      <c r="P952" s="107" t="str">
        <f t="shared" si="2"/>
        <v/>
      </c>
    </row>
    <row r="953">
      <c r="A953" s="102"/>
      <c r="B953" s="102"/>
      <c r="C953" s="102"/>
      <c r="D953" s="51"/>
      <c r="E953" s="102"/>
      <c r="F953" s="102"/>
      <c r="G953" s="103"/>
      <c r="H953" s="103"/>
      <c r="L953" s="103"/>
      <c r="M953" s="113"/>
      <c r="N953" s="107"/>
      <c r="O953" s="106" t="str">
        <f>IF(ISBLANK(M953), "", VLOOKUP(D953, 'Info Tipo de Cambio y REM'!$A$24:$B$35, 2, FALSE))</f>
        <v/>
      </c>
      <c r="P953" s="107" t="str">
        <f t="shared" si="2"/>
        <v/>
      </c>
    </row>
    <row r="954">
      <c r="A954" s="102"/>
      <c r="B954" s="102"/>
      <c r="C954" s="102"/>
      <c r="D954" s="51"/>
      <c r="E954" s="102"/>
      <c r="F954" s="102"/>
      <c r="G954" s="103"/>
      <c r="H954" s="103"/>
      <c r="L954" s="103"/>
      <c r="M954" s="113"/>
      <c r="N954" s="107"/>
      <c r="O954" s="106" t="str">
        <f>IF(ISBLANK(M954), "", VLOOKUP(D954, 'Info Tipo de Cambio y REM'!$A$24:$B$35, 2, FALSE))</f>
        <v/>
      </c>
      <c r="P954" s="107" t="str">
        <f t="shared" si="2"/>
        <v/>
      </c>
    </row>
    <row r="955">
      <c r="A955" s="102"/>
      <c r="B955" s="102"/>
      <c r="C955" s="102"/>
      <c r="D955" s="51"/>
      <c r="E955" s="102"/>
      <c r="F955" s="102"/>
      <c r="G955" s="103"/>
      <c r="H955" s="103"/>
      <c r="L955" s="103"/>
      <c r="M955" s="113"/>
      <c r="N955" s="107"/>
      <c r="O955" s="106" t="str">
        <f>IF(ISBLANK(M955), "", VLOOKUP(D955, 'Info Tipo de Cambio y REM'!$A$24:$B$35, 2, FALSE))</f>
        <v/>
      </c>
      <c r="P955" s="107" t="str">
        <f t="shared" si="2"/>
        <v/>
      </c>
    </row>
    <row r="956">
      <c r="A956" s="102"/>
      <c r="B956" s="102"/>
      <c r="C956" s="102"/>
      <c r="D956" s="51"/>
      <c r="E956" s="102"/>
      <c r="F956" s="102"/>
      <c r="G956" s="103"/>
      <c r="H956" s="103"/>
      <c r="L956" s="103"/>
      <c r="M956" s="113"/>
      <c r="N956" s="107"/>
      <c r="O956" s="106" t="str">
        <f>IF(ISBLANK(M956), "", VLOOKUP(D956, 'Info Tipo de Cambio y REM'!$A$24:$B$35, 2, FALSE))</f>
        <v/>
      </c>
      <c r="P956" s="107" t="str">
        <f t="shared" si="2"/>
        <v/>
      </c>
    </row>
    <row r="957">
      <c r="A957" s="102"/>
      <c r="B957" s="102"/>
      <c r="C957" s="102"/>
      <c r="D957" s="51"/>
      <c r="E957" s="102"/>
      <c r="F957" s="102"/>
      <c r="G957" s="103"/>
      <c r="H957" s="103"/>
      <c r="L957" s="103"/>
      <c r="M957" s="113"/>
      <c r="N957" s="107"/>
      <c r="O957" s="106" t="str">
        <f>IF(ISBLANK(M957), "", VLOOKUP(D957, 'Info Tipo de Cambio y REM'!$A$24:$B$35, 2, FALSE))</f>
        <v/>
      </c>
      <c r="P957" s="107" t="str">
        <f t="shared" si="2"/>
        <v/>
      </c>
    </row>
    <row r="958">
      <c r="A958" s="102"/>
      <c r="B958" s="102"/>
      <c r="C958" s="102"/>
      <c r="D958" s="51"/>
      <c r="E958" s="102"/>
      <c r="F958" s="102"/>
      <c r="G958" s="103"/>
      <c r="H958" s="103"/>
      <c r="L958" s="103"/>
      <c r="M958" s="113"/>
      <c r="N958" s="107"/>
      <c r="O958" s="106" t="str">
        <f>IF(ISBLANK(M958), "", VLOOKUP(D958, 'Info Tipo de Cambio y REM'!$A$24:$B$35, 2, FALSE))</f>
        <v/>
      </c>
      <c r="P958" s="107" t="str">
        <f t="shared" si="2"/>
        <v/>
      </c>
    </row>
    <row r="959">
      <c r="A959" s="102"/>
      <c r="B959" s="102"/>
      <c r="C959" s="102"/>
      <c r="D959" s="51"/>
      <c r="E959" s="102"/>
      <c r="F959" s="102"/>
      <c r="G959" s="103"/>
      <c r="H959" s="103"/>
      <c r="L959" s="103"/>
      <c r="M959" s="113"/>
      <c r="N959" s="107"/>
      <c r="O959" s="106" t="str">
        <f>IF(ISBLANK(M959), "", VLOOKUP(D959, 'Info Tipo de Cambio y REM'!$A$24:$B$35, 2, FALSE))</f>
        <v/>
      </c>
      <c r="P959" s="107" t="str">
        <f t="shared" si="2"/>
        <v/>
      </c>
    </row>
    <row r="960">
      <c r="A960" s="102"/>
      <c r="B960" s="102"/>
      <c r="C960" s="102"/>
      <c r="D960" s="51"/>
      <c r="E960" s="102"/>
      <c r="F960" s="102"/>
      <c r="G960" s="103"/>
      <c r="H960" s="103"/>
      <c r="L960" s="103"/>
      <c r="M960" s="113"/>
      <c r="N960" s="107"/>
      <c r="O960" s="106" t="str">
        <f>IF(ISBLANK(M960), "", VLOOKUP(D960, 'Info Tipo de Cambio y REM'!$A$24:$B$35, 2, FALSE))</f>
        <v/>
      </c>
      <c r="P960" s="107" t="str">
        <f t="shared" si="2"/>
        <v/>
      </c>
    </row>
    <row r="961">
      <c r="A961" s="102"/>
      <c r="B961" s="102"/>
      <c r="C961" s="102"/>
      <c r="D961" s="51"/>
      <c r="E961" s="102"/>
      <c r="F961" s="102"/>
      <c r="G961" s="103"/>
      <c r="H961" s="103"/>
      <c r="L961" s="103"/>
      <c r="M961" s="113"/>
      <c r="N961" s="107"/>
      <c r="O961" s="106" t="str">
        <f>IF(ISBLANK(M961), "", VLOOKUP(D961, 'Info Tipo de Cambio y REM'!$A$24:$B$35, 2, FALSE))</f>
        <v/>
      </c>
      <c r="P961" s="107" t="str">
        <f t="shared" si="2"/>
        <v/>
      </c>
    </row>
    <row r="962">
      <c r="A962" s="102"/>
      <c r="B962" s="102"/>
      <c r="C962" s="102"/>
      <c r="D962" s="51"/>
      <c r="E962" s="102"/>
      <c r="F962" s="102"/>
      <c r="G962" s="103"/>
      <c r="H962" s="103"/>
      <c r="L962" s="103"/>
      <c r="M962" s="113"/>
      <c r="N962" s="107"/>
      <c r="O962" s="106" t="str">
        <f>IF(ISBLANK(M962), "", VLOOKUP(D962, 'Info Tipo de Cambio y REM'!$A$24:$B$35, 2, FALSE))</f>
        <v/>
      </c>
      <c r="P962" s="107" t="str">
        <f t="shared" si="2"/>
        <v/>
      </c>
    </row>
    <row r="963">
      <c r="A963" s="102"/>
      <c r="B963" s="102"/>
      <c r="C963" s="102"/>
      <c r="D963" s="51"/>
      <c r="E963" s="102"/>
      <c r="F963" s="102"/>
      <c r="G963" s="103"/>
      <c r="H963" s="103"/>
      <c r="L963" s="103"/>
      <c r="M963" s="113"/>
      <c r="N963" s="107"/>
      <c r="O963" s="106" t="str">
        <f>IF(ISBLANK(M963), "", VLOOKUP(D963, 'Info Tipo de Cambio y REM'!$A$24:$B$35, 2, FALSE))</f>
        <v/>
      </c>
      <c r="P963" s="107" t="str">
        <f t="shared" si="2"/>
        <v/>
      </c>
    </row>
    <row r="964">
      <c r="A964" s="102"/>
      <c r="B964" s="102"/>
      <c r="C964" s="102"/>
      <c r="D964" s="51"/>
      <c r="E964" s="102"/>
      <c r="F964" s="102"/>
      <c r="G964" s="103"/>
      <c r="H964" s="103"/>
      <c r="L964" s="103"/>
      <c r="M964" s="113"/>
      <c r="N964" s="107"/>
      <c r="O964" s="106" t="str">
        <f>IF(ISBLANK(M964), "", VLOOKUP(D964, 'Info Tipo de Cambio y REM'!$A$24:$B$35, 2, FALSE))</f>
        <v/>
      </c>
      <c r="P964" s="107" t="str">
        <f t="shared" si="2"/>
        <v/>
      </c>
    </row>
    <row r="965">
      <c r="A965" s="102"/>
      <c r="B965" s="102"/>
      <c r="C965" s="102"/>
      <c r="D965" s="51"/>
      <c r="E965" s="102"/>
      <c r="F965" s="102"/>
      <c r="G965" s="103"/>
      <c r="H965" s="103"/>
      <c r="L965" s="103"/>
      <c r="M965" s="113"/>
      <c r="N965" s="107"/>
      <c r="O965" s="106" t="str">
        <f>IF(ISBLANK(M965), "", VLOOKUP(D965, 'Info Tipo de Cambio y REM'!$A$24:$B$35, 2, FALSE))</f>
        <v/>
      </c>
      <c r="P965" s="107" t="str">
        <f t="shared" si="2"/>
        <v/>
      </c>
    </row>
    <row r="966">
      <c r="A966" s="102"/>
      <c r="B966" s="102"/>
      <c r="C966" s="102"/>
      <c r="D966" s="51"/>
      <c r="E966" s="102"/>
      <c r="F966" s="102"/>
      <c r="G966" s="103"/>
      <c r="H966" s="103"/>
      <c r="L966" s="103"/>
      <c r="M966" s="113"/>
      <c r="N966" s="107"/>
      <c r="O966" s="106" t="str">
        <f>IF(ISBLANK(M966), "", VLOOKUP(D966, 'Info Tipo de Cambio y REM'!$A$24:$B$35, 2, FALSE))</f>
        <v/>
      </c>
      <c r="P966" s="107" t="str">
        <f t="shared" si="2"/>
        <v/>
      </c>
    </row>
    <row r="967">
      <c r="A967" s="102"/>
      <c r="B967" s="102"/>
      <c r="C967" s="102"/>
      <c r="D967" s="51"/>
      <c r="E967" s="102"/>
      <c r="F967" s="102"/>
      <c r="G967" s="103"/>
      <c r="H967" s="103"/>
      <c r="L967" s="103"/>
      <c r="M967" s="113"/>
      <c r="N967" s="107"/>
      <c r="O967" s="106" t="str">
        <f>IF(ISBLANK(M967), "", VLOOKUP(D967, 'Info Tipo de Cambio y REM'!$A$24:$B$35, 2, FALSE))</f>
        <v/>
      </c>
      <c r="P967" s="107" t="str">
        <f t="shared" si="2"/>
        <v/>
      </c>
    </row>
    <row r="968">
      <c r="A968" s="102"/>
      <c r="B968" s="102"/>
      <c r="C968" s="102"/>
      <c r="D968" s="51"/>
      <c r="E968" s="102"/>
      <c r="F968" s="102"/>
      <c r="G968" s="103"/>
      <c r="H968" s="103"/>
      <c r="L968" s="103"/>
      <c r="M968" s="113"/>
      <c r="N968" s="107"/>
      <c r="O968" s="106" t="str">
        <f>IF(ISBLANK(M968), "", VLOOKUP(D968, 'Info Tipo de Cambio y REM'!$A$24:$B$35, 2, FALSE))</f>
        <v/>
      </c>
      <c r="P968" s="107" t="str">
        <f t="shared" si="2"/>
        <v/>
      </c>
    </row>
    <row r="969">
      <c r="A969" s="102"/>
      <c r="B969" s="102"/>
      <c r="C969" s="102"/>
      <c r="D969" s="51"/>
      <c r="E969" s="102"/>
      <c r="F969" s="102"/>
      <c r="G969" s="103"/>
      <c r="H969" s="103"/>
      <c r="L969" s="103"/>
      <c r="M969" s="113"/>
      <c r="N969" s="107"/>
      <c r="O969" s="106" t="str">
        <f>IF(ISBLANK(M969), "", VLOOKUP(D969, 'Info Tipo de Cambio y REM'!$A$24:$B$35, 2, FALSE))</f>
        <v/>
      </c>
      <c r="P969" s="107" t="str">
        <f t="shared" si="2"/>
        <v/>
      </c>
    </row>
    <row r="970">
      <c r="A970" s="102"/>
      <c r="B970" s="102"/>
      <c r="C970" s="102"/>
      <c r="D970" s="51"/>
      <c r="E970" s="102"/>
      <c r="F970" s="102"/>
      <c r="G970" s="103"/>
      <c r="H970" s="103"/>
      <c r="L970" s="103"/>
      <c r="M970" s="113"/>
      <c r="N970" s="107"/>
      <c r="O970" s="106" t="str">
        <f>IF(ISBLANK(M970), "", VLOOKUP(D970, 'Info Tipo de Cambio y REM'!$A$24:$B$35, 2, FALSE))</f>
        <v/>
      </c>
      <c r="P970" s="107" t="str">
        <f t="shared" si="2"/>
        <v/>
      </c>
    </row>
    <row r="971">
      <c r="A971" s="102"/>
      <c r="B971" s="102"/>
      <c r="C971" s="102"/>
      <c r="D971" s="51"/>
      <c r="E971" s="102"/>
      <c r="F971" s="102"/>
      <c r="G971" s="103"/>
      <c r="H971" s="103"/>
      <c r="L971" s="103"/>
      <c r="M971" s="113"/>
      <c r="N971" s="107"/>
      <c r="O971" s="106" t="str">
        <f>IF(ISBLANK(M971), "", VLOOKUP(D971, 'Info Tipo de Cambio y REM'!$A$24:$B$35, 2, FALSE))</f>
        <v/>
      </c>
      <c r="P971" s="107" t="str">
        <f t="shared" si="2"/>
        <v/>
      </c>
    </row>
    <row r="972">
      <c r="A972" s="102"/>
      <c r="B972" s="102"/>
      <c r="C972" s="102"/>
      <c r="D972" s="51"/>
      <c r="E972" s="102"/>
      <c r="F972" s="102"/>
      <c r="G972" s="103"/>
      <c r="H972" s="103"/>
      <c r="L972" s="103"/>
      <c r="M972" s="113"/>
      <c r="N972" s="107"/>
      <c r="O972" s="106" t="str">
        <f>IF(ISBLANK(M972), "", VLOOKUP(D972, 'Info Tipo de Cambio y REM'!$A$24:$B$35, 2, FALSE))</f>
        <v/>
      </c>
      <c r="P972" s="107" t="str">
        <f t="shared" si="2"/>
        <v/>
      </c>
    </row>
    <row r="973">
      <c r="A973" s="102"/>
      <c r="B973" s="102"/>
      <c r="C973" s="102"/>
      <c r="D973" s="51"/>
      <c r="E973" s="102"/>
      <c r="F973" s="102"/>
      <c r="G973" s="103"/>
      <c r="H973" s="103"/>
      <c r="L973" s="103"/>
      <c r="M973" s="113"/>
      <c r="N973" s="107"/>
      <c r="O973" s="106" t="str">
        <f>IF(ISBLANK(M973), "", VLOOKUP(D973, 'Info Tipo de Cambio y REM'!$A$24:$B$35, 2, FALSE))</f>
        <v/>
      </c>
      <c r="P973" s="107" t="str">
        <f t="shared" si="2"/>
        <v/>
      </c>
    </row>
    <row r="974">
      <c r="A974" s="102"/>
      <c r="B974" s="102"/>
      <c r="C974" s="102"/>
      <c r="D974" s="51"/>
      <c r="E974" s="102"/>
      <c r="F974" s="102"/>
      <c r="G974" s="103"/>
      <c r="H974" s="103"/>
      <c r="L974" s="103"/>
      <c r="M974" s="113"/>
      <c r="N974" s="107"/>
      <c r="O974" s="106" t="str">
        <f>IF(ISBLANK(M974), "", VLOOKUP(D974, 'Info Tipo de Cambio y REM'!$A$24:$B$35, 2, FALSE))</f>
        <v/>
      </c>
      <c r="P974" s="107" t="str">
        <f t="shared" si="2"/>
        <v/>
      </c>
    </row>
    <row r="975">
      <c r="A975" s="102"/>
      <c r="B975" s="102"/>
      <c r="C975" s="102"/>
      <c r="D975" s="51"/>
      <c r="E975" s="102"/>
      <c r="F975" s="102"/>
      <c r="G975" s="103"/>
      <c r="H975" s="103"/>
      <c r="L975" s="103"/>
      <c r="M975" s="113"/>
      <c r="N975" s="107"/>
      <c r="O975" s="106" t="str">
        <f>IF(ISBLANK(M975), "", VLOOKUP(D975, 'Info Tipo de Cambio y REM'!$A$24:$B$35, 2, FALSE))</f>
        <v/>
      </c>
      <c r="P975" s="107" t="str">
        <f t="shared" si="2"/>
        <v/>
      </c>
    </row>
    <row r="976">
      <c r="A976" s="102"/>
      <c r="B976" s="102"/>
      <c r="C976" s="102"/>
      <c r="D976" s="51"/>
      <c r="E976" s="102"/>
      <c r="F976" s="102"/>
      <c r="G976" s="103"/>
      <c r="H976" s="103"/>
      <c r="L976" s="103"/>
      <c r="M976" s="113"/>
      <c r="N976" s="107"/>
      <c r="O976" s="106" t="str">
        <f>IF(ISBLANK(M976), "", VLOOKUP(D976, 'Info Tipo de Cambio y REM'!$A$24:$B$35, 2, FALSE))</f>
        <v/>
      </c>
      <c r="P976" s="107" t="str">
        <f t="shared" si="2"/>
        <v/>
      </c>
    </row>
    <row r="977">
      <c r="A977" s="102"/>
      <c r="B977" s="102"/>
      <c r="C977" s="102"/>
      <c r="D977" s="51"/>
      <c r="E977" s="102"/>
      <c r="F977" s="102"/>
      <c r="G977" s="103"/>
      <c r="H977" s="103"/>
      <c r="L977" s="103"/>
      <c r="M977" s="113"/>
      <c r="N977" s="107"/>
      <c r="O977" s="106" t="str">
        <f>IF(ISBLANK(M977), "", VLOOKUP(D977, 'Info Tipo de Cambio y REM'!$A$24:$B$35, 2, FALSE))</f>
        <v/>
      </c>
      <c r="P977" s="107" t="str">
        <f t="shared" si="2"/>
        <v/>
      </c>
    </row>
    <row r="978">
      <c r="A978" s="102"/>
      <c r="B978" s="102"/>
      <c r="C978" s="102"/>
      <c r="D978" s="51"/>
      <c r="E978" s="102"/>
      <c r="F978" s="102"/>
      <c r="G978" s="103"/>
      <c r="H978" s="103"/>
      <c r="L978" s="103"/>
      <c r="M978" s="113"/>
      <c r="N978" s="107"/>
      <c r="O978" s="106" t="str">
        <f>IF(ISBLANK(M978), "", VLOOKUP(D978, 'Info Tipo de Cambio y REM'!$A$24:$B$35, 2, FALSE))</f>
        <v/>
      </c>
      <c r="P978" s="107" t="str">
        <f t="shared" si="2"/>
        <v/>
      </c>
    </row>
    <row r="979">
      <c r="A979" s="102"/>
      <c r="B979" s="102"/>
      <c r="C979" s="102"/>
      <c r="D979" s="51"/>
      <c r="E979" s="102"/>
      <c r="F979" s="102"/>
      <c r="G979" s="103"/>
      <c r="H979" s="103"/>
      <c r="L979" s="103"/>
      <c r="M979" s="113"/>
      <c r="N979" s="107"/>
      <c r="O979" s="106" t="str">
        <f>IF(ISBLANK(M979), "", VLOOKUP(D979, 'Info Tipo de Cambio y REM'!$A$24:$B$35, 2, FALSE))</f>
        <v/>
      </c>
      <c r="P979" s="107" t="str">
        <f t="shared" si="2"/>
        <v/>
      </c>
    </row>
    <row r="980">
      <c r="A980" s="102"/>
      <c r="B980" s="102"/>
      <c r="C980" s="102"/>
      <c r="D980" s="51"/>
      <c r="E980" s="102"/>
      <c r="F980" s="102"/>
      <c r="G980" s="103"/>
      <c r="H980" s="103"/>
      <c r="L980" s="103"/>
      <c r="M980" s="113"/>
      <c r="N980" s="107"/>
      <c r="O980" s="106" t="str">
        <f>IF(ISBLANK(M980), "", VLOOKUP(D980, 'Info Tipo de Cambio y REM'!$A$24:$B$35, 2, FALSE))</f>
        <v/>
      </c>
      <c r="P980" s="107" t="str">
        <f t="shared" si="2"/>
        <v/>
      </c>
    </row>
    <row r="981">
      <c r="A981" s="102"/>
      <c r="B981" s="102"/>
      <c r="C981" s="102"/>
      <c r="D981" s="51"/>
      <c r="E981" s="102"/>
      <c r="F981" s="102"/>
      <c r="G981" s="103"/>
      <c r="H981" s="103"/>
      <c r="L981" s="103"/>
      <c r="M981" s="113"/>
      <c r="N981" s="107"/>
      <c r="O981" s="106" t="str">
        <f>IF(ISBLANK(M981), "", VLOOKUP(D981, 'Info Tipo de Cambio y REM'!$A$24:$B$35, 2, FALSE))</f>
        <v/>
      </c>
      <c r="P981" s="107" t="str">
        <f t="shared" si="2"/>
        <v/>
      </c>
    </row>
    <row r="982">
      <c r="A982" s="102"/>
      <c r="B982" s="102"/>
      <c r="C982" s="102"/>
      <c r="D982" s="51"/>
      <c r="E982" s="102"/>
      <c r="F982" s="102"/>
      <c r="G982" s="103"/>
      <c r="H982" s="103"/>
      <c r="L982" s="103"/>
      <c r="M982" s="113"/>
      <c r="N982" s="107"/>
      <c r="O982" s="106" t="str">
        <f>IF(ISBLANK(M982), "", VLOOKUP(D982, 'Info Tipo de Cambio y REM'!$A$24:$B$35, 2, FALSE))</f>
        <v/>
      </c>
      <c r="P982" s="107" t="str">
        <f t="shared" si="2"/>
        <v/>
      </c>
    </row>
    <row r="983">
      <c r="A983" s="102"/>
      <c r="B983" s="102"/>
      <c r="C983" s="102"/>
      <c r="D983" s="51"/>
      <c r="E983" s="102"/>
      <c r="F983" s="102"/>
      <c r="G983" s="103"/>
      <c r="H983" s="103"/>
      <c r="L983" s="103"/>
      <c r="M983" s="113"/>
      <c r="N983" s="107"/>
      <c r="O983" s="106" t="str">
        <f>IF(ISBLANK(M983), "", VLOOKUP(D983, 'Info Tipo de Cambio y REM'!$A$24:$B$35, 2, FALSE))</f>
        <v/>
      </c>
      <c r="P983" s="107" t="str">
        <f t="shared" si="2"/>
        <v/>
      </c>
    </row>
    <row r="984">
      <c r="A984" s="102"/>
      <c r="B984" s="102"/>
      <c r="C984" s="102"/>
      <c r="D984" s="51"/>
      <c r="E984" s="102"/>
      <c r="F984" s="102"/>
      <c r="G984" s="103"/>
      <c r="H984" s="103"/>
      <c r="L984" s="103"/>
      <c r="M984" s="113"/>
      <c r="N984" s="107"/>
      <c r="O984" s="106" t="str">
        <f>IF(ISBLANK(M984), "", VLOOKUP(D984, 'Info Tipo de Cambio y REM'!$A$24:$B$35, 2, FALSE))</f>
        <v/>
      </c>
      <c r="P984" s="107" t="str">
        <f t="shared" si="2"/>
        <v/>
      </c>
    </row>
    <row r="985">
      <c r="A985" s="102"/>
      <c r="B985" s="102"/>
      <c r="C985" s="102"/>
      <c r="D985" s="51"/>
      <c r="E985" s="102"/>
      <c r="F985" s="102"/>
      <c r="G985" s="103"/>
      <c r="H985" s="103"/>
      <c r="L985" s="103"/>
      <c r="M985" s="113"/>
      <c r="N985" s="107"/>
      <c r="O985" s="106" t="str">
        <f>IF(ISBLANK(M985), "", VLOOKUP(D985, 'Info Tipo de Cambio y REM'!$A$24:$B$35, 2, FALSE))</f>
        <v/>
      </c>
      <c r="P985" s="107" t="str">
        <f t="shared" si="2"/>
        <v/>
      </c>
    </row>
    <row r="986">
      <c r="A986" s="102"/>
      <c r="B986" s="102"/>
      <c r="C986" s="102"/>
      <c r="D986" s="51"/>
      <c r="E986" s="102"/>
      <c r="F986" s="102"/>
      <c r="G986" s="103"/>
      <c r="H986" s="103"/>
      <c r="L986" s="103"/>
      <c r="M986" s="113"/>
      <c r="N986" s="107"/>
      <c r="O986" s="106" t="str">
        <f>IF(ISBLANK(M986), "", VLOOKUP(D986, 'Info Tipo de Cambio y REM'!$A$24:$B$35, 2, FALSE))</f>
        <v/>
      </c>
      <c r="P986" s="107" t="str">
        <f t="shared" si="2"/>
        <v/>
      </c>
    </row>
    <row r="987">
      <c r="A987" s="102"/>
      <c r="B987" s="102"/>
      <c r="C987" s="102"/>
      <c r="D987" s="51"/>
      <c r="E987" s="102"/>
      <c r="F987" s="102"/>
      <c r="G987" s="103"/>
      <c r="H987" s="103"/>
      <c r="L987" s="103"/>
      <c r="M987" s="113"/>
      <c r="N987" s="107"/>
      <c r="O987" s="106" t="str">
        <f>IF(ISBLANK(M987), "", VLOOKUP(D987, 'Info Tipo de Cambio y REM'!$A$24:$B$35, 2, FALSE))</f>
        <v/>
      </c>
      <c r="P987" s="107" t="str">
        <f t="shared" si="2"/>
        <v/>
      </c>
    </row>
    <row r="988">
      <c r="A988" s="102"/>
      <c r="B988" s="102"/>
      <c r="C988" s="102"/>
      <c r="D988" s="51"/>
      <c r="E988" s="102"/>
      <c r="F988" s="102"/>
      <c r="G988" s="103"/>
      <c r="H988" s="103"/>
      <c r="L988" s="103"/>
      <c r="M988" s="113"/>
      <c r="N988" s="107"/>
      <c r="O988" s="106" t="str">
        <f>IF(ISBLANK(M988), "", VLOOKUP(D988, 'Info Tipo de Cambio y REM'!$A$24:$B$35, 2, FALSE))</f>
        <v/>
      </c>
      <c r="P988" s="107" t="str">
        <f t="shared" si="2"/>
        <v/>
      </c>
    </row>
    <row r="989">
      <c r="A989" s="102"/>
      <c r="B989" s="102"/>
      <c r="C989" s="102"/>
      <c r="D989" s="51"/>
      <c r="E989" s="102"/>
      <c r="F989" s="102"/>
      <c r="G989" s="103"/>
      <c r="H989" s="103"/>
      <c r="L989" s="103"/>
      <c r="M989" s="113"/>
      <c r="N989" s="107"/>
      <c r="O989" s="106" t="str">
        <f>IF(ISBLANK(M989), "", VLOOKUP(D989, 'Info Tipo de Cambio y REM'!$A$24:$B$35, 2, FALSE))</f>
        <v/>
      </c>
      <c r="P989" s="107" t="str">
        <f t="shared" si="2"/>
        <v/>
      </c>
    </row>
    <row r="990">
      <c r="A990" s="102"/>
      <c r="B990" s="102"/>
      <c r="C990" s="102"/>
      <c r="D990" s="51"/>
      <c r="E990" s="102"/>
      <c r="F990" s="102"/>
      <c r="G990" s="103"/>
      <c r="H990" s="103"/>
      <c r="L990" s="103"/>
      <c r="M990" s="113"/>
      <c r="N990" s="107"/>
      <c r="O990" s="106" t="str">
        <f>IF(ISBLANK(M990), "", VLOOKUP(D990, 'Info Tipo de Cambio y REM'!$A$24:$B$35, 2, FALSE))</f>
        <v/>
      </c>
      <c r="P990" s="107" t="str">
        <f t="shared" si="2"/>
        <v/>
      </c>
    </row>
    <row r="991">
      <c r="A991" s="102"/>
      <c r="B991" s="102"/>
      <c r="C991" s="102"/>
      <c r="D991" s="51"/>
      <c r="E991" s="102"/>
      <c r="F991" s="102"/>
      <c r="G991" s="103"/>
      <c r="H991" s="103"/>
      <c r="L991" s="103"/>
      <c r="M991" s="113"/>
      <c r="N991" s="107"/>
      <c r="O991" s="106" t="str">
        <f>IF(ISBLANK(M991), "", VLOOKUP(D991, 'Info Tipo de Cambio y REM'!$A$24:$B$35, 2, FALSE))</f>
        <v/>
      </c>
      <c r="P991" s="107" t="str">
        <f t="shared" si="2"/>
        <v/>
      </c>
    </row>
    <row r="992">
      <c r="A992" s="102"/>
      <c r="B992" s="102"/>
      <c r="C992" s="102"/>
      <c r="D992" s="51"/>
      <c r="E992" s="102"/>
      <c r="F992" s="102"/>
      <c r="G992" s="103"/>
      <c r="H992" s="103"/>
      <c r="L992" s="103"/>
      <c r="M992" s="113"/>
      <c r="N992" s="107"/>
      <c r="O992" s="106" t="str">
        <f>IF(ISBLANK(M992), "", VLOOKUP(D992, 'Info Tipo de Cambio y REM'!$A$24:$B$35, 2, FALSE))</f>
        <v/>
      </c>
      <c r="P992" s="107" t="str">
        <f t="shared" si="2"/>
        <v/>
      </c>
    </row>
    <row r="993">
      <c r="A993" s="102"/>
      <c r="B993" s="102"/>
      <c r="C993" s="102"/>
      <c r="D993" s="51"/>
      <c r="E993" s="102"/>
      <c r="F993" s="102"/>
      <c r="G993" s="103"/>
      <c r="H993" s="103"/>
      <c r="L993" s="103"/>
      <c r="M993" s="113"/>
      <c r="N993" s="107"/>
      <c r="O993" s="106" t="str">
        <f>IF(ISBLANK(M993), "", VLOOKUP(D993, 'Info Tipo de Cambio y REM'!$A$24:$B$35, 2, FALSE))</f>
        <v/>
      </c>
      <c r="P993" s="107" t="str">
        <f t="shared" si="2"/>
        <v/>
      </c>
    </row>
    <row r="994">
      <c r="A994" s="102"/>
      <c r="B994" s="102"/>
      <c r="C994" s="102"/>
      <c r="D994" s="51"/>
      <c r="E994" s="102"/>
      <c r="F994" s="102"/>
      <c r="G994" s="103"/>
      <c r="H994" s="103"/>
      <c r="L994" s="103"/>
      <c r="M994" s="113"/>
      <c r="N994" s="107"/>
      <c r="O994" s="106" t="str">
        <f>IF(ISBLANK(M994), "", VLOOKUP(D994, 'Info Tipo de Cambio y REM'!$A$24:$B$35, 2, FALSE))</f>
        <v/>
      </c>
      <c r="P994" s="107" t="str">
        <f t="shared" si="2"/>
        <v/>
      </c>
    </row>
    <row r="995">
      <c r="A995" s="102"/>
      <c r="B995" s="102"/>
      <c r="C995" s="102"/>
      <c r="D995" s="51"/>
      <c r="E995" s="102"/>
      <c r="F995" s="102"/>
      <c r="G995" s="103"/>
      <c r="H995" s="103"/>
      <c r="L995" s="103"/>
      <c r="M995" s="113"/>
      <c r="N995" s="107"/>
      <c r="O995" s="106" t="str">
        <f>IF(ISBLANK(M995), "", VLOOKUP(D995, 'Info Tipo de Cambio y REM'!$A$24:$B$35, 2, FALSE))</f>
        <v/>
      </c>
      <c r="P995" s="107" t="str">
        <f t="shared" si="2"/>
        <v/>
      </c>
    </row>
    <row r="996">
      <c r="A996" s="102"/>
      <c r="B996" s="102"/>
      <c r="C996" s="102"/>
      <c r="D996" s="51"/>
      <c r="E996" s="102"/>
      <c r="F996" s="102"/>
      <c r="G996" s="103"/>
      <c r="H996" s="103"/>
      <c r="L996" s="103"/>
      <c r="M996" s="113"/>
      <c r="N996" s="107"/>
      <c r="O996" s="106" t="str">
        <f>IF(ISBLANK(M996), "", VLOOKUP(D996, 'Info Tipo de Cambio y REM'!$A$24:$B$35, 2, FALSE))</f>
        <v/>
      </c>
      <c r="P996" s="107" t="str">
        <f t="shared" si="2"/>
        <v/>
      </c>
    </row>
    <row r="997">
      <c r="A997" s="102"/>
      <c r="B997" s="102"/>
      <c r="C997" s="102"/>
      <c r="D997" s="51"/>
      <c r="E997" s="102"/>
      <c r="F997" s="102"/>
      <c r="G997" s="103"/>
      <c r="H997" s="103"/>
      <c r="L997" s="103"/>
      <c r="M997" s="113"/>
      <c r="N997" s="107"/>
      <c r="O997" s="106" t="str">
        <f>IF(ISBLANK(M997), "", VLOOKUP(D997, 'Info Tipo de Cambio y REM'!$A$24:$B$35, 2, FALSE))</f>
        <v/>
      </c>
      <c r="P997" s="107" t="str">
        <f t="shared" si="2"/>
        <v/>
      </c>
    </row>
    <row r="998">
      <c r="A998" s="102"/>
      <c r="B998" s="102"/>
      <c r="C998" s="102"/>
      <c r="D998" s="51"/>
      <c r="E998" s="102"/>
      <c r="F998" s="102"/>
      <c r="G998" s="103"/>
      <c r="H998" s="103"/>
      <c r="L998" s="103"/>
      <c r="M998" s="113"/>
      <c r="N998" s="107"/>
      <c r="O998" s="106" t="str">
        <f>IF(ISBLANK(M998), "", VLOOKUP(D998, 'Info Tipo de Cambio y REM'!$A$24:$B$35, 2, FALSE))</f>
        <v/>
      </c>
      <c r="P998" s="107" t="str">
        <f t="shared" si="2"/>
        <v/>
      </c>
    </row>
    <row r="999">
      <c r="A999" s="102"/>
      <c r="B999" s="102"/>
      <c r="C999" s="102"/>
      <c r="D999" s="51"/>
      <c r="E999" s="102"/>
      <c r="F999" s="102"/>
      <c r="G999" s="103"/>
      <c r="H999" s="103"/>
      <c r="L999" s="103"/>
      <c r="M999" s="113"/>
      <c r="N999" s="107"/>
      <c r="O999" s="106" t="str">
        <f>IF(ISBLANK(M999), "", VLOOKUP(D999, 'Info Tipo de Cambio y REM'!$A$24:$B$35, 2, FALSE))</f>
        <v/>
      </c>
      <c r="P999" s="107" t="str">
        <f t="shared" si="2"/>
        <v/>
      </c>
    </row>
    <row r="1000">
      <c r="A1000" s="102"/>
      <c r="B1000" s="102"/>
      <c r="C1000" s="102"/>
      <c r="D1000" s="51"/>
      <c r="E1000" s="102"/>
      <c r="F1000" s="102"/>
      <c r="G1000" s="103"/>
      <c r="H1000" s="103"/>
      <c r="L1000" s="103"/>
      <c r="M1000" s="113"/>
      <c r="N1000" s="107"/>
      <c r="O1000" s="106" t="str">
        <f>IF(ISBLANK(M1000), "", VLOOKUP(D1000, 'Info Tipo de Cambio y REM'!$A$24:$B$35, 2, FALSE))</f>
        <v/>
      </c>
      <c r="P1000" s="107" t="str">
        <f t="shared" si="2"/>
        <v/>
      </c>
    </row>
    <row r="1001">
      <c r="A1001" s="102"/>
      <c r="B1001" s="102"/>
      <c r="C1001" s="102"/>
      <c r="D1001" s="51"/>
      <c r="E1001" s="102"/>
      <c r="F1001" s="102"/>
      <c r="G1001" s="103"/>
      <c r="H1001" s="103"/>
      <c r="L1001" s="103"/>
      <c r="M1001" s="113"/>
      <c r="N1001" s="107"/>
      <c r="O1001" s="106" t="str">
        <f>IF(ISBLANK(M1001), "", VLOOKUP(D1001, 'Info Tipo de Cambio y REM'!$A$24:$B$35, 2, FALSE))</f>
        <v/>
      </c>
      <c r="P1001" s="107" t="str">
        <f t="shared" si="2"/>
        <v/>
      </c>
    </row>
    <row r="1002">
      <c r="A1002" s="102"/>
      <c r="B1002" s="102"/>
      <c r="C1002" s="102"/>
      <c r="D1002" s="51"/>
      <c r="E1002" s="102"/>
      <c r="F1002" s="102"/>
      <c r="G1002" s="103"/>
      <c r="H1002" s="103"/>
      <c r="L1002" s="103"/>
      <c r="M1002" s="113"/>
      <c r="N1002" s="107"/>
      <c r="O1002" s="106" t="str">
        <f>IF(ISBLANK(M1002), "", VLOOKUP(D1002, 'Info Tipo de Cambio y REM'!$A$24:$B$35, 2, FALSE))</f>
        <v/>
      </c>
      <c r="P1002" s="107" t="str">
        <f t="shared" si="2"/>
        <v/>
      </c>
    </row>
    <row r="1003">
      <c r="A1003" s="102"/>
      <c r="B1003" s="102"/>
      <c r="C1003" s="102"/>
      <c r="D1003" s="51"/>
      <c r="E1003" s="102"/>
      <c r="F1003" s="102"/>
      <c r="G1003" s="103"/>
      <c r="H1003" s="103"/>
      <c r="L1003" s="103"/>
      <c r="M1003" s="113"/>
      <c r="N1003" s="107"/>
      <c r="O1003" s="106" t="str">
        <f>IF(ISBLANK(M1003), "", VLOOKUP(D1003, 'Info Tipo de Cambio y REM'!$A$24:$B$35, 2, FALSE))</f>
        <v/>
      </c>
      <c r="P1003" s="107" t="str">
        <f t="shared" si="2"/>
        <v/>
      </c>
    </row>
    <row r="1004">
      <c r="A1004" s="102"/>
      <c r="B1004" s="102"/>
      <c r="C1004" s="102"/>
      <c r="D1004" s="51"/>
      <c r="E1004" s="102"/>
      <c r="F1004" s="102"/>
      <c r="G1004" s="103"/>
      <c r="H1004" s="103"/>
      <c r="L1004" s="103"/>
      <c r="M1004" s="113"/>
      <c r="N1004" s="107"/>
      <c r="O1004" s="106" t="str">
        <f>IF(ISBLANK(M1004), "", VLOOKUP(D1004, 'Info Tipo de Cambio y REM'!$A$24:$B$35, 2, FALSE))</f>
        <v/>
      </c>
      <c r="P1004" s="107" t="str">
        <f t="shared" si="2"/>
        <v/>
      </c>
    </row>
    <row r="1005">
      <c r="A1005" s="102"/>
      <c r="B1005" s="102"/>
      <c r="C1005" s="102"/>
      <c r="D1005" s="51"/>
      <c r="E1005" s="102"/>
      <c r="F1005" s="102"/>
      <c r="G1005" s="103"/>
      <c r="H1005" s="103"/>
      <c r="L1005" s="103"/>
      <c r="M1005" s="113"/>
      <c r="N1005" s="107"/>
      <c r="O1005" s="106" t="str">
        <f>IF(ISBLANK(M1005), "", VLOOKUP(D1005, 'Info Tipo de Cambio y REM'!$A$24:$B$35, 2, FALSE))</f>
        <v/>
      </c>
      <c r="P1005" s="107" t="str">
        <f t="shared" si="2"/>
        <v/>
      </c>
    </row>
    <row r="1006">
      <c r="A1006" s="102"/>
      <c r="B1006" s="102"/>
      <c r="C1006" s="102"/>
      <c r="D1006" s="51"/>
      <c r="E1006" s="102"/>
      <c r="F1006" s="102"/>
      <c r="G1006" s="103"/>
      <c r="H1006" s="103"/>
      <c r="L1006" s="103"/>
      <c r="M1006" s="113"/>
      <c r="N1006" s="107"/>
      <c r="O1006" s="106" t="str">
        <f>IF(ISBLANK(M1006), "", VLOOKUP(D1006, 'Info Tipo de Cambio y REM'!$A$24:$B$35, 2, FALSE))</f>
        <v/>
      </c>
      <c r="P1006" s="107" t="str">
        <f t="shared" si="2"/>
        <v/>
      </c>
    </row>
    <row r="1007">
      <c r="A1007" s="102"/>
      <c r="B1007" s="102"/>
      <c r="C1007" s="102"/>
      <c r="D1007" s="51"/>
      <c r="E1007" s="102"/>
      <c r="F1007" s="102"/>
      <c r="G1007" s="103"/>
      <c r="H1007" s="103"/>
      <c r="L1007" s="103"/>
      <c r="M1007" s="113"/>
      <c r="N1007" s="107"/>
      <c r="O1007" s="106" t="str">
        <f>IF(ISBLANK(M1007), "", VLOOKUP(D1007, 'Info Tipo de Cambio y REM'!$A$24:$B$35, 2, FALSE))</f>
        <v/>
      </c>
      <c r="P1007" s="107" t="str">
        <f t="shared" si="2"/>
        <v/>
      </c>
    </row>
    <row r="1008">
      <c r="A1008" s="102"/>
      <c r="B1008" s="102"/>
      <c r="C1008" s="102"/>
      <c r="D1008" s="51"/>
      <c r="E1008" s="102"/>
      <c r="F1008" s="102"/>
      <c r="G1008" s="103"/>
      <c r="H1008" s="103"/>
      <c r="L1008" s="103"/>
      <c r="M1008" s="113"/>
      <c r="N1008" s="107"/>
      <c r="O1008" s="106" t="str">
        <f>IF(ISBLANK(M1008), "", VLOOKUP(D1008, 'Info Tipo de Cambio y REM'!$A$24:$B$35, 2, FALSE))</f>
        <v/>
      </c>
      <c r="P1008" s="107" t="str">
        <f t="shared" si="2"/>
        <v/>
      </c>
    </row>
    <row r="1009">
      <c r="A1009" s="102"/>
      <c r="B1009" s="102"/>
      <c r="C1009" s="102"/>
      <c r="D1009" s="51"/>
      <c r="E1009" s="102"/>
      <c r="F1009" s="102"/>
      <c r="G1009" s="103"/>
      <c r="H1009" s="103"/>
      <c r="L1009" s="103"/>
      <c r="M1009" s="113"/>
      <c r="N1009" s="107"/>
      <c r="O1009" s="106" t="str">
        <f>IF(ISBLANK(M1009), "", VLOOKUP(D1009, 'Info Tipo de Cambio y REM'!$A$24:$B$35, 2, FALSE))</f>
        <v/>
      </c>
      <c r="P1009" s="107" t="str">
        <f t="shared" si="2"/>
        <v/>
      </c>
    </row>
    <row r="1010">
      <c r="A1010" s="102"/>
      <c r="B1010" s="102"/>
      <c r="C1010" s="102"/>
      <c r="D1010" s="51"/>
      <c r="E1010" s="102"/>
      <c r="F1010" s="102"/>
      <c r="G1010" s="103"/>
      <c r="H1010" s="103"/>
      <c r="L1010" s="103"/>
      <c r="M1010" s="113"/>
      <c r="N1010" s="107"/>
      <c r="O1010" s="106" t="str">
        <f>IF(ISBLANK(M1010), "", VLOOKUP(D1010, 'Info Tipo de Cambio y REM'!$A$24:$B$35, 2, FALSE))</f>
        <v/>
      </c>
      <c r="P1010" s="107" t="str">
        <f t="shared" si="2"/>
        <v/>
      </c>
    </row>
    <row r="1011">
      <c r="A1011" s="102"/>
      <c r="B1011" s="102"/>
      <c r="C1011" s="102"/>
      <c r="D1011" s="51"/>
      <c r="E1011" s="102"/>
      <c r="F1011" s="102"/>
      <c r="G1011" s="103"/>
      <c r="H1011" s="103"/>
      <c r="L1011" s="103"/>
      <c r="M1011" s="113"/>
      <c r="N1011" s="107"/>
      <c r="O1011" s="106" t="str">
        <f>IF(ISBLANK(M1011), "", VLOOKUP(D1011, 'Info Tipo de Cambio y REM'!$A$24:$B$35, 2, FALSE))</f>
        <v/>
      </c>
      <c r="P1011" s="107" t="str">
        <f t="shared" si="2"/>
        <v/>
      </c>
    </row>
    <row r="1012">
      <c r="A1012" s="102"/>
      <c r="B1012" s="102"/>
      <c r="C1012" s="102"/>
      <c r="D1012" s="51"/>
      <c r="E1012" s="102"/>
      <c r="F1012" s="102"/>
      <c r="G1012" s="103"/>
      <c r="H1012" s="103"/>
      <c r="L1012" s="103"/>
      <c r="M1012" s="113"/>
      <c r="N1012" s="107"/>
      <c r="O1012" s="106" t="str">
        <f>IF(ISBLANK(M1012), "", VLOOKUP(D1012, 'Info Tipo de Cambio y REM'!$A$24:$B$35, 2, FALSE))</f>
        <v/>
      </c>
      <c r="P1012" s="107" t="str">
        <f t="shared" si="2"/>
        <v/>
      </c>
    </row>
    <row r="1013">
      <c r="A1013" s="102"/>
      <c r="B1013" s="102"/>
      <c r="C1013" s="102"/>
      <c r="D1013" s="51"/>
      <c r="E1013" s="102"/>
      <c r="F1013" s="102"/>
      <c r="G1013" s="103"/>
      <c r="H1013" s="103"/>
      <c r="L1013" s="103"/>
      <c r="M1013" s="113"/>
      <c r="N1013" s="107"/>
      <c r="O1013" s="106" t="str">
        <f>IF(ISBLANK(M1013), "", VLOOKUP(D1013, 'Info Tipo de Cambio y REM'!$A$24:$B$35, 2, FALSE))</f>
        <v/>
      </c>
      <c r="P1013" s="107" t="str">
        <f t="shared" si="2"/>
        <v/>
      </c>
    </row>
    <row r="1014">
      <c r="A1014" s="102"/>
      <c r="B1014" s="102"/>
      <c r="C1014" s="102"/>
      <c r="D1014" s="51"/>
      <c r="E1014" s="102"/>
      <c r="F1014" s="102"/>
      <c r="G1014" s="103"/>
      <c r="H1014" s="103"/>
      <c r="L1014" s="103"/>
      <c r="M1014" s="113"/>
      <c r="N1014" s="107"/>
      <c r="O1014" s="106" t="str">
        <f>IF(ISBLANK(M1014), "", VLOOKUP(D1014, 'Info Tipo de Cambio y REM'!$A$24:$B$35, 2, FALSE))</f>
        <v/>
      </c>
      <c r="P1014" s="107" t="str">
        <f t="shared" si="2"/>
        <v/>
      </c>
    </row>
    <row r="1015">
      <c r="A1015" s="102"/>
      <c r="B1015" s="102"/>
      <c r="C1015" s="102"/>
      <c r="D1015" s="51"/>
      <c r="E1015" s="102"/>
      <c r="F1015" s="102"/>
      <c r="G1015" s="103"/>
      <c r="H1015" s="103"/>
      <c r="L1015" s="103"/>
      <c r="M1015" s="113"/>
      <c r="N1015" s="107"/>
      <c r="O1015" s="106" t="str">
        <f>IF(ISBLANK(M1015), "", VLOOKUP(D1015, 'Info Tipo de Cambio y REM'!$A$24:$B$35, 2, FALSE))</f>
        <v/>
      </c>
      <c r="P1015" s="107" t="str">
        <f t="shared" si="2"/>
        <v/>
      </c>
    </row>
    <row r="1016">
      <c r="A1016" s="102"/>
      <c r="B1016" s="102"/>
      <c r="C1016" s="102"/>
      <c r="D1016" s="51"/>
      <c r="E1016" s="102"/>
      <c r="F1016" s="102"/>
      <c r="G1016" s="103"/>
      <c r="H1016" s="103"/>
      <c r="L1016" s="103"/>
      <c r="M1016" s="113"/>
      <c r="N1016" s="107"/>
      <c r="O1016" s="106" t="str">
        <f>IF(ISBLANK(M1016), "", VLOOKUP(D1016, 'Info Tipo de Cambio y REM'!$A$24:$B$35, 2, FALSE))</f>
        <v/>
      </c>
      <c r="P1016" s="107" t="str">
        <f t="shared" si="2"/>
        <v/>
      </c>
    </row>
    <row r="1017">
      <c r="A1017" s="102"/>
      <c r="B1017" s="102"/>
      <c r="C1017" s="102"/>
      <c r="D1017" s="51"/>
      <c r="E1017" s="102"/>
      <c r="F1017" s="102"/>
      <c r="G1017" s="103"/>
      <c r="H1017" s="103"/>
      <c r="L1017" s="103"/>
      <c r="M1017" s="113"/>
      <c r="N1017" s="107"/>
      <c r="O1017" s="106" t="str">
        <f>IF(ISBLANK(M1017), "", VLOOKUP(D1017, 'Info Tipo de Cambio y REM'!$A$24:$B$35, 2, FALSE))</f>
        <v/>
      </c>
      <c r="P1017" s="107" t="str">
        <f t="shared" si="2"/>
        <v/>
      </c>
    </row>
    <row r="1018">
      <c r="A1018" s="102"/>
      <c r="B1018" s="102"/>
      <c r="C1018" s="102"/>
      <c r="D1018" s="51"/>
      <c r="E1018" s="102"/>
      <c r="F1018" s="102"/>
      <c r="G1018" s="103"/>
      <c r="H1018" s="103"/>
      <c r="L1018" s="103"/>
      <c r="M1018" s="113"/>
      <c r="N1018" s="107"/>
      <c r="O1018" s="106" t="str">
        <f>IF(ISBLANK(M1018), "", VLOOKUP(D1018, 'Info Tipo de Cambio y REM'!$A$24:$B$35, 2, FALSE))</f>
        <v/>
      </c>
      <c r="P1018" s="107" t="str">
        <f t="shared" si="2"/>
        <v/>
      </c>
    </row>
    <row r="1019">
      <c r="A1019" s="102"/>
      <c r="B1019" s="102"/>
      <c r="C1019" s="102"/>
      <c r="D1019" s="51"/>
      <c r="E1019" s="102"/>
      <c r="F1019" s="102"/>
      <c r="G1019" s="103"/>
      <c r="H1019" s="103"/>
      <c r="L1019" s="103"/>
      <c r="M1019" s="113"/>
      <c r="N1019" s="107"/>
      <c r="O1019" s="106" t="str">
        <f>IF(ISBLANK(M1019), "", VLOOKUP(D1019, 'Info Tipo de Cambio y REM'!$A$24:$B$35, 2, FALSE))</f>
        <v/>
      </c>
      <c r="P1019" s="107" t="str">
        <f t="shared" si="2"/>
        <v/>
      </c>
    </row>
    <row r="1020">
      <c r="A1020" s="102"/>
      <c r="B1020" s="102"/>
      <c r="C1020" s="102"/>
      <c r="D1020" s="51"/>
      <c r="E1020" s="102"/>
      <c r="F1020" s="102"/>
      <c r="G1020" s="103"/>
      <c r="H1020" s="103"/>
      <c r="L1020" s="103"/>
      <c r="M1020" s="113"/>
      <c r="N1020" s="107"/>
      <c r="O1020" s="106" t="str">
        <f>IF(ISBLANK(M1020), "", VLOOKUP(D1020, 'Info Tipo de Cambio y REM'!$A$24:$B$35, 2, FALSE))</f>
        <v/>
      </c>
      <c r="P1020" s="107" t="str">
        <f t="shared" si="2"/>
        <v/>
      </c>
    </row>
    <row r="1021">
      <c r="A1021" s="102"/>
      <c r="B1021" s="102"/>
      <c r="C1021" s="102"/>
      <c r="D1021" s="51"/>
      <c r="E1021" s="102"/>
      <c r="F1021" s="102"/>
      <c r="G1021" s="103"/>
      <c r="H1021" s="103"/>
      <c r="L1021" s="103"/>
      <c r="M1021" s="113"/>
      <c r="N1021" s="107"/>
      <c r="O1021" s="106" t="str">
        <f>IF(ISBLANK(M1021), "", VLOOKUP(D1021, 'Info Tipo de Cambio y REM'!$A$24:$B$35, 2, FALSE))</f>
        <v/>
      </c>
      <c r="P1021" s="107" t="str">
        <f t="shared" si="2"/>
        <v/>
      </c>
    </row>
    <row r="1022">
      <c r="A1022" s="102"/>
      <c r="B1022" s="102"/>
      <c r="C1022" s="102"/>
      <c r="D1022" s="51"/>
      <c r="E1022" s="102"/>
      <c r="F1022" s="102"/>
      <c r="G1022" s="103"/>
      <c r="H1022" s="103"/>
      <c r="L1022" s="103"/>
      <c r="M1022" s="113"/>
      <c r="N1022" s="107"/>
      <c r="O1022" s="106" t="str">
        <f>IF(ISBLANK(M1022), "", VLOOKUP(D1022, 'Info Tipo de Cambio y REM'!$A$24:$B$35, 2, FALSE))</f>
        <v/>
      </c>
      <c r="P1022" s="107" t="str">
        <f t="shared" si="2"/>
        <v/>
      </c>
    </row>
    <row r="1023">
      <c r="A1023" s="102"/>
      <c r="B1023" s="102"/>
      <c r="C1023" s="102"/>
      <c r="D1023" s="51"/>
      <c r="E1023" s="102"/>
      <c r="F1023" s="102"/>
      <c r="G1023" s="103"/>
      <c r="H1023" s="103"/>
      <c r="L1023" s="103"/>
      <c r="M1023" s="113"/>
      <c r="N1023" s="107"/>
      <c r="O1023" s="106" t="str">
        <f>IF(ISBLANK(M1023), "", VLOOKUP(D1023, 'Info Tipo de Cambio y REM'!$A$24:$B$35, 2, FALSE))</f>
        <v/>
      </c>
      <c r="P1023" s="107" t="str">
        <f t="shared" si="2"/>
        <v/>
      </c>
    </row>
    <row r="1024">
      <c r="A1024" s="102"/>
      <c r="B1024" s="102"/>
      <c r="C1024" s="102"/>
      <c r="D1024" s="51"/>
      <c r="E1024" s="102"/>
      <c r="F1024" s="102"/>
      <c r="G1024" s="103"/>
      <c r="H1024" s="103"/>
      <c r="L1024" s="103"/>
      <c r="M1024" s="113"/>
      <c r="N1024" s="107"/>
      <c r="O1024" s="106" t="str">
        <f>IF(ISBLANK(M1024), "", VLOOKUP(D1024, 'Info Tipo de Cambio y REM'!$A$24:$B$35, 2, FALSE))</f>
        <v/>
      </c>
      <c r="P1024" s="107" t="str">
        <f t="shared" si="2"/>
        <v/>
      </c>
    </row>
    <row r="1025">
      <c r="A1025" s="102"/>
      <c r="B1025" s="102"/>
      <c r="C1025" s="102"/>
      <c r="D1025" s="51"/>
      <c r="E1025" s="102"/>
      <c r="F1025" s="102"/>
      <c r="G1025" s="103"/>
      <c r="H1025" s="103"/>
      <c r="L1025" s="103"/>
      <c r="M1025" s="113"/>
      <c r="N1025" s="107"/>
      <c r="O1025" s="106" t="str">
        <f>IF(ISBLANK(M1025), "", VLOOKUP(D1025, 'Info Tipo de Cambio y REM'!$A$24:$B$35, 2, FALSE))</f>
        <v/>
      </c>
      <c r="P1025" s="107" t="str">
        <f t="shared" si="2"/>
        <v/>
      </c>
    </row>
    <row r="1026">
      <c r="A1026" s="102"/>
      <c r="B1026" s="102"/>
      <c r="C1026" s="102"/>
      <c r="D1026" s="51"/>
      <c r="E1026" s="102"/>
      <c r="F1026" s="102"/>
      <c r="G1026" s="103"/>
      <c r="H1026" s="103"/>
      <c r="L1026" s="103"/>
      <c r="M1026" s="113"/>
      <c r="N1026" s="107"/>
      <c r="O1026" s="106" t="str">
        <f>IF(ISBLANK(M1026), "", VLOOKUP(D1026, 'Info Tipo de Cambio y REM'!$A$24:$B$35, 2, FALSE))</f>
        <v/>
      </c>
      <c r="P1026" s="107" t="str">
        <f t="shared" si="2"/>
        <v/>
      </c>
    </row>
    <row r="1027">
      <c r="A1027" s="102"/>
      <c r="B1027" s="102"/>
      <c r="C1027" s="102"/>
      <c r="D1027" s="51"/>
      <c r="E1027" s="102"/>
      <c r="F1027" s="102"/>
      <c r="G1027" s="103"/>
      <c r="H1027" s="103"/>
      <c r="L1027" s="103"/>
      <c r="M1027" s="113"/>
      <c r="N1027" s="107"/>
      <c r="O1027" s="106" t="str">
        <f>IF(ISBLANK(M1027), "", VLOOKUP(D1027, 'Info Tipo de Cambio y REM'!$A$24:$B$35, 2, FALSE))</f>
        <v/>
      </c>
      <c r="P1027" s="107" t="str">
        <f t="shared" si="2"/>
        <v/>
      </c>
    </row>
    <row r="1028">
      <c r="A1028" s="102"/>
      <c r="B1028" s="102"/>
      <c r="C1028" s="102"/>
      <c r="D1028" s="51"/>
      <c r="E1028" s="102"/>
      <c r="F1028" s="102"/>
      <c r="G1028" s="103"/>
      <c r="H1028" s="103"/>
      <c r="L1028" s="103"/>
      <c r="M1028" s="113"/>
      <c r="N1028" s="107"/>
      <c r="O1028" s="106" t="str">
        <f>IF(ISBLANK(M1028), "", VLOOKUP(D1028, 'Info Tipo de Cambio y REM'!$A$24:$B$35, 2, FALSE))</f>
        <v/>
      </c>
      <c r="P1028" s="107" t="str">
        <f t="shared" si="2"/>
        <v/>
      </c>
    </row>
    <row r="1029">
      <c r="A1029" s="102"/>
      <c r="B1029" s="102"/>
      <c r="C1029" s="102"/>
      <c r="D1029" s="51"/>
      <c r="E1029" s="102"/>
      <c r="F1029" s="102"/>
      <c r="G1029" s="103"/>
      <c r="H1029" s="103"/>
      <c r="L1029" s="103"/>
      <c r="M1029" s="113"/>
      <c r="N1029" s="107"/>
      <c r="O1029" s="106" t="str">
        <f>IF(ISBLANK(M1029), "", VLOOKUP(D1029, 'Info Tipo de Cambio y REM'!$A$24:$B$35, 2, FALSE))</f>
        <v/>
      </c>
      <c r="P1029" s="107" t="str">
        <f t="shared" si="2"/>
        <v/>
      </c>
    </row>
    <row r="1030">
      <c r="A1030" s="102"/>
      <c r="B1030" s="102"/>
      <c r="C1030" s="102"/>
      <c r="D1030" s="51"/>
      <c r="E1030" s="102"/>
      <c r="F1030" s="102"/>
      <c r="G1030" s="103"/>
      <c r="H1030" s="103"/>
      <c r="L1030" s="103"/>
      <c r="M1030" s="113"/>
      <c r="N1030" s="107"/>
      <c r="O1030" s="106" t="str">
        <f>IF(ISBLANK(M1030), "", VLOOKUP(D1030, 'Info Tipo de Cambio y REM'!$A$24:$B$35, 2, FALSE))</f>
        <v/>
      </c>
      <c r="P1030" s="107" t="str">
        <f t="shared" si="2"/>
        <v/>
      </c>
    </row>
    <row r="1031">
      <c r="A1031" s="102"/>
      <c r="B1031" s="102"/>
      <c r="C1031" s="102"/>
      <c r="D1031" s="51"/>
      <c r="E1031" s="102"/>
      <c r="F1031" s="102"/>
      <c r="G1031" s="103"/>
      <c r="H1031" s="103"/>
      <c r="L1031" s="103"/>
      <c r="M1031" s="113"/>
      <c r="N1031" s="107"/>
      <c r="O1031" s="106" t="str">
        <f>IF(ISBLANK(M1031), "", VLOOKUP(D1031, 'Info Tipo de Cambio y REM'!$A$24:$B$35, 2, FALSE))</f>
        <v/>
      </c>
      <c r="P1031" s="107" t="str">
        <f t="shared" si="2"/>
        <v/>
      </c>
    </row>
    <row r="1032">
      <c r="A1032" s="102"/>
      <c r="B1032" s="102"/>
      <c r="C1032" s="102"/>
      <c r="D1032" s="51"/>
      <c r="E1032" s="102"/>
      <c r="F1032" s="102"/>
      <c r="G1032" s="103"/>
      <c r="H1032" s="103"/>
      <c r="L1032" s="103"/>
      <c r="M1032" s="113"/>
      <c r="N1032" s="107"/>
      <c r="O1032" s="106" t="str">
        <f>IF(ISBLANK(M1032), "", VLOOKUP(D1032, 'Info Tipo de Cambio y REM'!$A$24:$B$35, 2, FALSE))</f>
        <v/>
      </c>
      <c r="P1032" s="107" t="str">
        <f t="shared" si="2"/>
        <v/>
      </c>
    </row>
    <row r="1033">
      <c r="A1033" s="102"/>
      <c r="B1033" s="102"/>
      <c r="C1033" s="102"/>
      <c r="D1033" s="51"/>
      <c r="E1033" s="102"/>
      <c r="F1033" s="102"/>
      <c r="G1033" s="103"/>
      <c r="H1033" s="103"/>
      <c r="L1033" s="103"/>
      <c r="M1033" s="113"/>
      <c r="N1033" s="107"/>
      <c r="O1033" s="106" t="str">
        <f>IF(ISBLANK(M1033), "", VLOOKUP(D1033, 'Info Tipo de Cambio y REM'!$A$24:$B$35, 2, FALSE))</f>
        <v/>
      </c>
      <c r="P1033" s="107" t="str">
        <f t="shared" si="2"/>
        <v/>
      </c>
    </row>
    <row r="1034">
      <c r="A1034" s="102"/>
      <c r="B1034" s="102"/>
      <c r="C1034" s="102"/>
      <c r="D1034" s="51"/>
      <c r="E1034" s="102"/>
      <c r="F1034" s="102"/>
      <c r="G1034" s="103"/>
      <c r="H1034" s="103"/>
      <c r="L1034" s="103"/>
      <c r="M1034" s="113"/>
      <c r="N1034" s="107"/>
      <c r="O1034" s="106" t="str">
        <f>IF(ISBLANK(M1034), "", VLOOKUP(D1034, 'Info Tipo de Cambio y REM'!$A$24:$B$35, 2, FALSE))</f>
        <v/>
      </c>
      <c r="P1034" s="107" t="str">
        <f t="shared" si="2"/>
        <v/>
      </c>
    </row>
    <row r="1035">
      <c r="A1035" s="102"/>
      <c r="B1035" s="102"/>
      <c r="C1035" s="102"/>
      <c r="D1035" s="51"/>
      <c r="E1035" s="102"/>
      <c r="F1035" s="102"/>
      <c r="G1035" s="103"/>
      <c r="H1035" s="103"/>
      <c r="L1035" s="103"/>
      <c r="M1035" s="113"/>
      <c r="N1035" s="107"/>
      <c r="O1035" s="106" t="str">
        <f>IF(ISBLANK(M1035), "", VLOOKUP(D1035, 'Info Tipo de Cambio y REM'!$A$24:$B$35, 2, FALSE))</f>
        <v/>
      </c>
      <c r="P1035" s="107" t="str">
        <f t="shared" si="2"/>
        <v/>
      </c>
    </row>
    <row r="1036">
      <c r="A1036" s="102"/>
      <c r="B1036" s="102"/>
      <c r="C1036" s="102"/>
      <c r="D1036" s="51"/>
      <c r="E1036" s="102"/>
      <c r="F1036" s="102"/>
      <c r="G1036" s="103"/>
      <c r="H1036" s="103"/>
      <c r="L1036" s="103"/>
      <c r="M1036" s="113"/>
      <c r="N1036" s="107"/>
      <c r="O1036" s="106" t="str">
        <f>IF(ISBLANK(M1036), "", VLOOKUP(D1036, 'Info Tipo de Cambio y REM'!$A$24:$B$35, 2, FALSE))</f>
        <v/>
      </c>
      <c r="P1036" s="107" t="str">
        <f t="shared" si="2"/>
        <v/>
      </c>
    </row>
    <row r="1037">
      <c r="A1037" s="102"/>
      <c r="B1037" s="102"/>
      <c r="C1037" s="102"/>
      <c r="D1037" s="51"/>
      <c r="E1037" s="102"/>
      <c r="F1037" s="102"/>
      <c r="G1037" s="103"/>
      <c r="H1037" s="103"/>
      <c r="L1037" s="103"/>
      <c r="M1037" s="113"/>
      <c r="N1037" s="107"/>
      <c r="O1037" s="106" t="str">
        <f>IF(ISBLANK(M1037), "", VLOOKUP(D1037, 'Info Tipo de Cambio y REM'!$A$24:$B$35, 2, FALSE))</f>
        <v/>
      </c>
      <c r="P1037" s="107" t="str">
        <f t="shared" si="2"/>
        <v/>
      </c>
    </row>
    <row r="1038">
      <c r="A1038" s="102"/>
      <c r="B1038" s="102"/>
      <c r="C1038" s="102"/>
      <c r="D1038" s="51"/>
      <c r="E1038" s="102"/>
      <c r="F1038" s="102"/>
      <c r="G1038" s="103"/>
      <c r="H1038" s="103"/>
      <c r="L1038" s="103"/>
      <c r="M1038" s="113"/>
      <c r="N1038" s="107"/>
      <c r="O1038" s="106" t="str">
        <f>IF(ISBLANK(M1038), "", VLOOKUP(D1038, 'Info Tipo de Cambio y REM'!$A$24:$B$35, 2, FALSE))</f>
        <v/>
      </c>
      <c r="P1038" s="107" t="str">
        <f t="shared" si="2"/>
        <v/>
      </c>
    </row>
    <row r="1039">
      <c r="A1039" s="102"/>
      <c r="B1039" s="102"/>
      <c r="C1039" s="102"/>
      <c r="D1039" s="51"/>
      <c r="E1039" s="102"/>
      <c r="F1039" s="102"/>
      <c r="G1039" s="103"/>
      <c r="H1039" s="103"/>
      <c r="L1039" s="103"/>
      <c r="M1039" s="113"/>
      <c r="N1039" s="107"/>
      <c r="O1039" s="106" t="str">
        <f>IF(ISBLANK(M1039), "", VLOOKUP(D1039, 'Info Tipo de Cambio y REM'!$A$24:$B$35, 2, FALSE))</f>
        <v/>
      </c>
      <c r="P1039" s="107" t="str">
        <f t="shared" si="2"/>
        <v/>
      </c>
    </row>
    <row r="1040">
      <c r="A1040" s="102"/>
      <c r="B1040" s="102"/>
      <c r="C1040" s="102"/>
      <c r="D1040" s="51"/>
      <c r="E1040" s="102"/>
      <c r="F1040" s="102"/>
      <c r="G1040" s="103"/>
      <c r="H1040" s="103"/>
      <c r="L1040" s="103"/>
      <c r="M1040" s="113"/>
      <c r="N1040" s="107"/>
      <c r="O1040" s="106" t="str">
        <f>IF(ISBLANK(M1040), "", VLOOKUP(D1040, 'Info Tipo de Cambio y REM'!$A$24:$B$35, 2, FALSE))</f>
        <v/>
      </c>
      <c r="P1040" s="107" t="str">
        <f t="shared" si="2"/>
        <v/>
      </c>
    </row>
    <row r="1041">
      <c r="A1041" s="102"/>
      <c r="B1041" s="102"/>
      <c r="C1041" s="102"/>
      <c r="D1041" s="51"/>
      <c r="E1041" s="102"/>
      <c r="F1041" s="102"/>
      <c r="G1041" s="103"/>
      <c r="H1041" s="103"/>
      <c r="L1041" s="103"/>
      <c r="M1041" s="113"/>
      <c r="N1041" s="107"/>
      <c r="O1041" s="106" t="str">
        <f>IF(ISBLANK(M1041), "", VLOOKUP(D1041, 'Info Tipo de Cambio y REM'!$A$24:$B$35, 2, FALSE))</f>
        <v/>
      </c>
      <c r="P1041" s="107" t="str">
        <f t="shared" si="2"/>
        <v/>
      </c>
    </row>
    <row r="1042">
      <c r="A1042" s="102"/>
      <c r="B1042" s="102"/>
      <c r="C1042" s="102"/>
      <c r="D1042" s="51"/>
      <c r="E1042" s="102"/>
      <c r="F1042" s="102"/>
      <c r="G1042" s="103"/>
      <c r="H1042" s="103"/>
      <c r="L1042" s="103"/>
      <c r="M1042" s="113"/>
      <c r="N1042" s="107"/>
      <c r="O1042" s="106" t="str">
        <f>IF(ISBLANK(M1042), "", VLOOKUP(D1042, 'Info Tipo de Cambio y REM'!$A$24:$B$35, 2, FALSE))</f>
        <v/>
      </c>
      <c r="P1042" s="107" t="str">
        <f t="shared" si="2"/>
        <v/>
      </c>
    </row>
    <row r="1043">
      <c r="A1043" s="102"/>
      <c r="B1043" s="102"/>
      <c r="C1043" s="102"/>
      <c r="D1043" s="51"/>
      <c r="E1043" s="102"/>
      <c r="F1043" s="102"/>
      <c r="G1043" s="103"/>
      <c r="H1043" s="103"/>
      <c r="L1043" s="103"/>
      <c r="M1043" s="113"/>
      <c r="N1043" s="107"/>
      <c r="O1043" s="106" t="str">
        <f>IF(ISBLANK(M1043), "", VLOOKUP(D1043, 'Info Tipo de Cambio y REM'!$A$24:$B$35, 2, FALSE))</f>
        <v/>
      </c>
      <c r="P1043" s="107" t="str">
        <f t="shared" si="2"/>
        <v/>
      </c>
    </row>
    <row r="1044">
      <c r="A1044" s="102"/>
      <c r="B1044" s="102"/>
      <c r="C1044" s="102"/>
      <c r="D1044" s="51"/>
      <c r="E1044" s="102"/>
      <c r="F1044" s="102"/>
      <c r="G1044" s="103"/>
      <c r="H1044" s="103"/>
      <c r="L1044" s="103"/>
      <c r="M1044" s="113"/>
      <c r="N1044" s="107"/>
      <c r="O1044" s="106" t="str">
        <f>IF(ISBLANK(M1044), "", VLOOKUP(D1044, 'Info Tipo de Cambio y REM'!$A$24:$B$35, 2, FALSE))</f>
        <v/>
      </c>
      <c r="P1044" s="107" t="str">
        <f t="shared" si="2"/>
        <v/>
      </c>
    </row>
    <row r="1045">
      <c r="A1045" s="102"/>
      <c r="B1045" s="102"/>
      <c r="C1045" s="102"/>
      <c r="D1045" s="51"/>
      <c r="E1045" s="102"/>
      <c r="F1045" s="102"/>
      <c r="G1045" s="103"/>
      <c r="H1045" s="103"/>
      <c r="L1045" s="103"/>
      <c r="M1045" s="113"/>
      <c r="N1045" s="107"/>
      <c r="O1045" s="106" t="str">
        <f>IF(ISBLANK(M1045), "", VLOOKUP(D1045, 'Info Tipo de Cambio y REM'!$A$24:$B$35, 2, FALSE))</f>
        <v/>
      </c>
      <c r="P1045" s="107" t="str">
        <f t="shared" si="2"/>
        <v/>
      </c>
    </row>
  </sheetData>
  <autoFilter ref="$A$1:$P$115"/>
  <conditionalFormatting sqref="L2:L1045">
    <cfRule type="expression" dxfId="0" priority="1">
      <formula>AND(L2&lt;=TODAY(), L2&lt;&gt;"")</formula>
    </cfRule>
  </conditionalFormatting>
  <conditionalFormatting sqref="L2:L1045">
    <cfRule type="expression" dxfId="1" priority="2">
      <formula>AND(L2&gt;TODAY(), L2&lt;&gt;"")</formula>
    </cfRule>
  </conditionalFormatting>
  <dataValidations>
    <dataValidation type="list" allowBlank="1" showErrorMessage="1" sqref="D2:D1045">
      <formula1>Listas!$H$3:$H$14</formula1>
    </dataValidation>
    <dataValidation type="list" allowBlank="1" showErrorMessage="1" sqref="B2:B1045">
      <formula1>"Activo Liquido,Mediano Plazo,Clientes a cobrar"</formula1>
    </dataValidation>
    <dataValidation type="list" allowBlank="1" showErrorMessage="1" sqref="E2:E1045">
      <formula1>"2025,2026,2027,2028"</formula1>
    </dataValidation>
    <dataValidation type="list" allowBlank="1" showErrorMessage="1" sqref="C2:C1045">
      <formula1>Listas!$C$3:$C$356</formula1>
    </dataValidation>
    <dataValidation type="list" allowBlank="1" showErrorMessage="1" sqref="A2:A1045">
      <formula1>"Caja,Custodia Socios,Santander-Galicia-Nación,Santander Inversiones,Bank Of America,Transferwise,Cheques en cartera,Clientes a cobrar,Otras Inversiones"</formula1>
    </dataValidation>
    <dataValidation type="list" allowBlank="1" showErrorMessage="1" sqref="F2:F1045">
      <formula1>"Si,No"</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8.25"/>
    <col customWidth="1" min="2" max="2" width="26.75"/>
    <col customWidth="1" min="3" max="3" width="11.38"/>
    <col customWidth="1" min="4" max="4" width="9.63"/>
    <col customWidth="1" min="5" max="5" width="28.13"/>
    <col customWidth="1" min="6" max="7" width="15.13"/>
    <col customWidth="1" min="8" max="8" width="28.25"/>
    <col customWidth="1" min="9" max="9" width="27.38"/>
    <col customWidth="1" min="10" max="10" width="11.63"/>
    <col customWidth="1" min="11" max="12" width="17.75"/>
    <col customWidth="1" min="13" max="13" width="18.38"/>
    <col customWidth="1" min="14" max="14" width="14.25"/>
    <col customWidth="1" min="15" max="32" width="43.38"/>
  </cols>
  <sheetData>
    <row r="1">
      <c r="A1" s="10" t="s">
        <v>112</v>
      </c>
      <c r="B1" s="93" t="s">
        <v>113</v>
      </c>
      <c r="C1" s="94" t="s">
        <v>116</v>
      </c>
      <c r="D1" s="95" t="s">
        <v>275</v>
      </c>
      <c r="E1" s="10" t="s">
        <v>367</v>
      </c>
      <c r="F1" s="10" t="s">
        <v>359</v>
      </c>
      <c r="G1" s="10" t="s">
        <v>368</v>
      </c>
      <c r="H1" s="152" t="s">
        <v>369</v>
      </c>
      <c r="I1" s="10" t="s">
        <v>370</v>
      </c>
      <c r="J1" s="153" t="s">
        <v>282</v>
      </c>
      <c r="K1" s="99" t="s">
        <v>283</v>
      </c>
      <c r="L1" s="154" t="s">
        <v>284</v>
      </c>
      <c r="M1" s="155" t="s">
        <v>285</v>
      </c>
      <c r="N1" s="101" t="s">
        <v>286</v>
      </c>
    </row>
    <row r="2">
      <c r="A2" s="43" t="s">
        <v>237</v>
      </c>
      <c r="B2" s="43" t="str">
        <f>IF(A2="", "", IFERROR(VLOOKUP(A2, Clasificaciones!A:B, 2, FALSE), "DATO NO CARGADO"))</f>
        <v>Otros Proveedores</v>
      </c>
      <c r="C2" s="51" t="s">
        <v>123</v>
      </c>
      <c r="D2" s="156">
        <v>2025.0</v>
      </c>
      <c r="E2" s="43" t="s">
        <v>371</v>
      </c>
      <c r="F2" s="104"/>
      <c r="G2" s="104"/>
      <c r="H2" s="55" t="s">
        <v>372</v>
      </c>
      <c r="I2" s="43" t="s">
        <v>373</v>
      </c>
      <c r="J2" s="104">
        <v>45413.0</v>
      </c>
      <c r="K2" s="89">
        <v>96000.0</v>
      </c>
      <c r="L2" s="71"/>
      <c r="M2" s="106" t="str">
        <f>IF(ISBLANK(K2), "", VLOOKUP(C2, 'Info Tipo de Cambio y REM'!$A$24:$B$35, 2, FALSE))</f>
        <v>#N/A</v>
      </c>
      <c r="N2" s="107" t="str">
        <f t="shared" ref="N2:N422" si="1">IFERROR(IF(NOT(ISBLANK(K2)), K2 / M2, IF(NOT(ISBLANK(L2)), L2, "")), "")
</f>
        <v/>
      </c>
    </row>
    <row r="3">
      <c r="A3" s="43" t="s">
        <v>236</v>
      </c>
      <c r="B3" s="43" t="str">
        <f>IF(A3="", "", IFERROR(VLOOKUP(A3, Clasificaciones!A:B, 2, FALSE), "DATO NO CARGADO"))</f>
        <v>Otros Proveedores</v>
      </c>
      <c r="C3" s="51" t="s">
        <v>123</v>
      </c>
      <c r="D3" s="156">
        <v>2025.0</v>
      </c>
      <c r="E3" s="43" t="s">
        <v>374</v>
      </c>
      <c r="F3" s="104"/>
      <c r="G3" s="104"/>
      <c r="H3" s="55" t="s">
        <v>375</v>
      </c>
      <c r="I3" s="43" t="s">
        <v>376</v>
      </c>
      <c r="J3" s="104">
        <v>45690.0</v>
      </c>
      <c r="K3" s="89">
        <v>1827887.0</v>
      </c>
      <c r="L3" s="71"/>
      <c r="M3" s="106" t="str">
        <f>IF(ISBLANK(K3), "", VLOOKUP(C3, 'Info Tipo de Cambio y REM'!$A$24:$B$35, 2, FALSE))</f>
        <v>#N/A</v>
      </c>
      <c r="N3" s="107" t="str">
        <f t="shared" si="1"/>
        <v/>
      </c>
    </row>
    <row r="4">
      <c r="A4" s="43" t="s">
        <v>212</v>
      </c>
      <c r="B4" s="43" t="str">
        <f>IF(A4="", "", IFERROR(VLOOKUP(A4, Clasificaciones!A:B, 2, FALSE), "DATO NO CARGADO"))</f>
        <v>Equipo</v>
      </c>
      <c r="C4" s="51" t="s">
        <v>123</v>
      </c>
      <c r="D4" s="156">
        <v>2025.0</v>
      </c>
      <c r="E4" s="43" t="s">
        <v>374</v>
      </c>
      <c r="F4" s="104"/>
      <c r="G4" s="104"/>
      <c r="H4" s="55" t="s">
        <v>377</v>
      </c>
      <c r="I4" s="43" t="s">
        <v>378</v>
      </c>
      <c r="J4" s="104">
        <v>45688.0</v>
      </c>
      <c r="K4" s="89">
        <v>218190.0</v>
      </c>
      <c r="L4" s="71"/>
      <c r="M4" s="106" t="str">
        <f>IF(ISBLANK(K4), "", VLOOKUP(C4, 'Info Tipo de Cambio y REM'!$A$24:$B$35, 2, FALSE))</f>
        <v>#N/A</v>
      </c>
      <c r="N4" s="107" t="str">
        <f t="shared" si="1"/>
        <v/>
      </c>
    </row>
    <row r="5">
      <c r="A5" s="43" t="s">
        <v>205</v>
      </c>
      <c r="B5" s="43" t="str">
        <f>IF(A5="", "", IFERROR(VLOOKUP(A5, Clasificaciones!A:B, 2, FALSE), "DATO NO CARGADO"))</f>
        <v>Equipo</v>
      </c>
      <c r="C5" s="51" t="s">
        <v>123</v>
      </c>
      <c r="D5" s="156">
        <v>2025.0</v>
      </c>
      <c r="E5" s="43" t="s">
        <v>374</v>
      </c>
      <c r="F5" s="104"/>
      <c r="G5" s="104"/>
      <c r="H5" s="55" t="s">
        <v>379</v>
      </c>
      <c r="I5" s="43" t="s">
        <v>380</v>
      </c>
      <c r="J5" s="104">
        <v>45688.0</v>
      </c>
      <c r="K5" s="89">
        <v>644403.0</v>
      </c>
      <c r="L5" s="71"/>
      <c r="M5" s="106" t="str">
        <f>IF(ISBLANK(K5), "", VLOOKUP(C5, 'Info Tipo de Cambio y REM'!$A$24:$B$35, 2, FALSE))</f>
        <v>#N/A</v>
      </c>
      <c r="N5" s="107" t="str">
        <f t="shared" si="1"/>
        <v/>
      </c>
    </row>
    <row r="6">
      <c r="A6" s="43" t="s">
        <v>200</v>
      </c>
      <c r="B6" s="43" t="str">
        <f>IF(A6="", "", IFERROR(VLOOKUP(A6, Clasificaciones!A:B, 2, FALSE), "DATO NO CARGADO"))</f>
        <v>Equipo</v>
      </c>
      <c r="C6" s="51" t="s">
        <v>123</v>
      </c>
      <c r="D6" s="156">
        <v>2025.0</v>
      </c>
      <c r="E6" s="43" t="s">
        <v>374</v>
      </c>
      <c r="F6" s="104"/>
      <c r="G6" s="104"/>
      <c r="H6" s="55" t="s">
        <v>381</v>
      </c>
      <c r="I6" s="43" t="s">
        <v>382</v>
      </c>
      <c r="J6" s="104">
        <v>45688.0</v>
      </c>
      <c r="K6" s="89">
        <v>1851120.0</v>
      </c>
      <c r="L6" s="71"/>
      <c r="M6" s="106" t="str">
        <f>IF(ISBLANK(K6), "", VLOOKUP(C6, 'Info Tipo de Cambio y REM'!$A$24:$B$35, 2, FALSE))</f>
        <v>#N/A</v>
      </c>
      <c r="N6" s="107" t="str">
        <f t="shared" si="1"/>
        <v/>
      </c>
    </row>
    <row r="7">
      <c r="A7" s="43" t="s">
        <v>226</v>
      </c>
      <c r="B7" s="43" t="str">
        <f>IF(A7="", "", IFERROR(VLOOKUP(A7, Clasificaciones!A:B, 2, FALSE), "DATO NO CARGADO"))</f>
        <v>Administración Finanzas</v>
      </c>
      <c r="C7" s="51" t="s">
        <v>123</v>
      </c>
      <c r="D7" s="156">
        <v>2025.0</v>
      </c>
      <c r="E7" s="43" t="s">
        <v>374</v>
      </c>
      <c r="F7" s="104"/>
      <c r="G7" s="104"/>
      <c r="H7" s="55" t="s">
        <v>383</v>
      </c>
      <c r="I7" s="43" t="s">
        <v>384</v>
      </c>
      <c r="J7" s="104">
        <v>45688.0</v>
      </c>
      <c r="K7" s="89">
        <v>537700.0</v>
      </c>
      <c r="L7" s="71"/>
      <c r="M7" s="106" t="str">
        <f>IF(ISBLANK(K7), "", VLOOKUP(C7, 'Info Tipo de Cambio y REM'!$A$24:$B$35, 2, FALSE))</f>
        <v>#N/A</v>
      </c>
      <c r="N7" s="107" t="str">
        <f t="shared" si="1"/>
        <v/>
      </c>
    </row>
    <row r="8">
      <c r="A8" s="43" t="s">
        <v>235</v>
      </c>
      <c r="B8" s="43" t="str">
        <f>IF(A8="", "", IFERROR(VLOOKUP(A8, Clasificaciones!A:B, 2, FALSE), "DATO NO CARGADO"))</f>
        <v>Otros Proveedores</v>
      </c>
      <c r="C8" s="51" t="s">
        <v>123</v>
      </c>
      <c r="D8" s="156">
        <v>2025.0</v>
      </c>
      <c r="E8" s="43" t="s">
        <v>374</v>
      </c>
      <c r="F8" s="104"/>
      <c r="G8" s="104"/>
      <c r="H8" s="55" t="s">
        <v>385</v>
      </c>
      <c r="I8" s="43" t="s">
        <v>386</v>
      </c>
      <c r="J8" s="104">
        <v>45688.0</v>
      </c>
      <c r="K8" s="89">
        <v>1280000.0</v>
      </c>
      <c r="L8" s="71"/>
      <c r="M8" s="106" t="str">
        <f>IF(ISBLANK(K8), "", VLOOKUP(C8, 'Info Tipo de Cambio y REM'!$A$24:$B$35, 2, FALSE))</f>
        <v>#N/A</v>
      </c>
      <c r="N8" s="107" t="str">
        <f t="shared" si="1"/>
        <v/>
      </c>
    </row>
    <row r="9">
      <c r="A9" s="43" t="s">
        <v>120</v>
      </c>
      <c r="B9" s="43" t="str">
        <f>IF(A9="", "", IFERROR(VLOOKUP(A9, Clasificaciones!A:B, 2, FALSE), "DATO NO CARGADO"))</f>
        <v>Equipo</v>
      </c>
      <c r="C9" s="51" t="s">
        <v>123</v>
      </c>
      <c r="D9" s="156">
        <v>2025.0</v>
      </c>
      <c r="E9" s="43" t="s">
        <v>374</v>
      </c>
      <c r="F9" s="104"/>
      <c r="G9" s="104"/>
      <c r="H9" s="55" t="s">
        <v>387</v>
      </c>
      <c r="I9" s="43" t="s">
        <v>388</v>
      </c>
      <c r="J9" s="104">
        <v>45688.0</v>
      </c>
      <c r="K9" s="89">
        <v>2500000.0</v>
      </c>
      <c r="L9" s="71"/>
      <c r="M9" s="106" t="str">
        <f>IF(ISBLANK(K9), "", VLOOKUP(C9, 'Info Tipo de Cambio y REM'!$A$24:$B$35, 2, FALSE))</f>
        <v>#N/A</v>
      </c>
      <c r="N9" s="107" t="str">
        <f t="shared" si="1"/>
        <v/>
      </c>
    </row>
    <row r="10">
      <c r="A10" s="43" t="s">
        <v>207</v>
      </c>
      <c r="B10" s="43" t="str">
        <f>IF(A10="", "", IFERROR(VLOOKUP(A10, Clasificaciones!A:B, 2, FALSE), "DATO NO CARGADO"))</f>
        <v>Equipo</v>
      </c>
      <c r="C10" s="51" t="s">
        <v>123</v>
      </c>
      <c r="D10" s="156">
        <v>2025.0</v>
      </c>
      <c r="E10" s="43" t="s">
        <v>374</v>
      </c>
      <c r="F10" s="104"/>
      <c r="G10" s="104"/>
      <c r="H10" s="55" t="s">
        <v>389</v>
      </c>
      <c r="I10" s="43" t="s">
        <v>390</v>
      </c>
      <c r="J10" s="104">
        <v>45688.0</v>
      </c>
      <c r="K10" s="89">
        <v>776000.0</v>
      </c>
      <c r="L10" s="71"/>
      <c r="M10" s="106" t="str">
        <f>IF(ISBLANK(K10), "", VLOOKUP(C10, 'Info Tipo de Cambio y REM'!$A$24:$B$35, 2, FALSE))</f>
        <v>#N/A</v>
      </c>
      <c r="N10" s="107" t="str">
        <f t="shared" si="1"/>
        <v/>
      </c>
    </row>
    <row r="11">
      <c r="A11" s="43" t="s">
        <v>87</v>
      </c>
      <c r="B11" s="43" t="str">
        <f>IF(A11="", "", IFERROR(VLOOKUP(A11, Clasificaciones!A:B, 2, FALSE), "DATO NO CARGADO"))</f>
        <v>Equipo</v>
      </c>
      <c r="C11" s="51" t="s">
        <v>123</v>
      </c>
      <c r="D11" s="156">
        <v>2025.0</v>
      </c>
      <c r="E11" s="43" t="s">
        <v>374</v>
      </c>
      <c r="F11" s="104"/>
      <c r="G11" s="104"/>
      <c r="H11" s="55" t="s">
        <v>391</v>
      </c>
      <c r="I11" s="43" t="s">
        <v>392</v>
      </c>
      <c r="J11" s="104">
        <v>45688.0</v>
      </c>
      <c r="K11" s="89">
        <v>420501.0</v>
      </c>
      <c r="L11" s="71"/>
      <c r="M11" s="106" t="str">
        <f>IF(ISBLANK(K11), "", VLOOKUP(C11, 'Info Tipo de Cambio y REM'!$A$24:$B$35, 2, FALSE))</f>
        <v>#N/A</v>
      </c>
      <c r="N11" s="107" t="str">
        <f t="shared" si="1"/>
        <v/>
      </c>
    </row>
    <row r="12">
      <c r="A12" s="43" t="s">
        <v>127</v>
      </c>
      <c r="B12" s="43" t="str">
        <f>IF(A12="", "", IFERROR(VLOOKUP(A12, Clasificaciones!A:B, 2, FALSE), "DATO NO CARGADO"))</f>
        <v>Board</v>
      </c>
      <c r="C12" s="51" t="s">
        <v>123</v>
      </c>
      <c r="D12" s="156">
        <v>2025.0</v>
      </c>
      <c r="E12" s="43" t="s">
        <v>374</v>
      </c>
      <c r="F12" s="104"/>
      <c r="G12" s="104"/>
      <c r="H12" s="55" t="s">
        <v>393</v>
      </c>
      <c r="I12" s="43" t="s">
        <v>394</v>
      </c>
      <c r="J12" s="104">
        <v>45693.0</v>
      </c>
      <c r="K12" s="89">
        <v>898903.0</v>
      </c>
      <c r="L12" s="71"/>
      <c r="M12" s="106" t="str">
        <f>IF(ISBLANK(K12), "", VLOOKUP(C12, 'Info Tipo de Cambio y REM'!$A$24:$B$35, 2, FALSE))</f>
        <v>#N/A</v>
      </c>
      <c r="N12" s="107" t="str">
        <f t="shared" si="1"/>
        <v/>
      </c>
    </row>
    <row r="13">
      <c r="A13" s="43" t="s">
        <v>127</v>
      </c>
      <c r="B13" s="43" t="str">
        <f>IF(A13="", "", IFERROR(VLOOKUP(A13, Clasificaciones!A:B, 2, FALSE), "DATO NO CARGADO"))</f>
        <v>Board</v>
      </c>
      <c r="C13" s="51" t="s">
        <v>123</v>
      </c>
      <c r="D13" s="156">
        <v>2025.0</v>
      </c>
      <c r="E13" s="43" t="s">
        <v>374</v>
      </c>
      <c r="F13" s="104"/>
      <c r="G13" s="104"/>
      <c r="H13" s="55" t="s">
        <v>395</v>
      </c>
      <c r="I13" s="43" t="s">
        <v>396</v>
      </c>
      <c r="J13" s="104">
        <v>45692.0</v>
      </c>
      <c r="K13" s="89">
        <v>1085230.0</v>
      </c>
      <c r="L13" s="71"/>
      <c r="M13" s="106" t="str">
        <f>IF(ISBLANK(K13), "", VLOOKUP(C13, 'Info Tipo de Cambio y REM'!$A$24:$B$35, 2, FALSE))</f>
        <v>#N/A</v>
      </c>
      <c r="N13" s="107" t="str">
        <f t="shared" si="1"/>
        <v/>
      </c>
    </row>
    <row r="14">
      <c r="A14" s="43" t="s">
        <v>210</v>
      </c>
      <c r="B14" s="43" t="str">
        <f>IF(A14="", "", IFERROR(VLOOKUP(A14, Clasificaciones!A:B, 2, FALSE), "DATO NO CARGADO"))</f>
        <v>Equipo</v>
      </c>
      <c r="C14" s="51" t="s">
        <v>123</v>
      </c>
      <c r="D14" s="156">
        <v>2025.0</v>
      </c>
      <c r="E14" s="43" t="s">
        <v>374</v>
      </c>
      <c r="F14" s="104"/>
      <c r="G14" s="104"/>
      <c r="H14" s="55" t="s">
        <v>397</v>
      </c>
      <c r="I14" s="43" t="s">
        <v>398</v>
      </c>
      <c r="J14" s="104">
        <v>45691.0</v>
      </c>
      <c r="K14" s="89">
        <v>161887.0</v>
      </c>
      <c r="L14" s="71"/>
      <c r="M14" s="106" t="str">
        <f>IF(ISBLANK(K14), "", VLOOKUP(C14, 'Info Tipo de Cambio y REM'!$A$24:$B$35, 2, FALSE))</f>
        <v>#N/A</v>
      </c>
      <c r="N14" s="107" t="str">
        <f t="shared" si="1"/>
        <v/>
      </c>
    </row>
    <row r="15">
      <c r="A15" s="43" t="s">
        <v>219</v>
      </c>
      <c r="B15" s="43" t="str">
        <f>IF(A15="", "", IFERROR(VLOOKUP(A15, Clasificaciones!A:B, 2, FALSE), "DATO NO CARGADO"))</f>
        <v>Gastos Varios</v>
      </c>
      <c r="C15" s="51" t="s">
        <v>123</v>
      </c>
      <c r="D15" s="156">
        <v>2025.0</v>
      </c>
      <c r="E15" s="43" t="s">
        <v>374</v>
      </c>
      <c r="F15" s="104"/>
      <c r="G15" s="104"/>
      <c r="H15" s="55" t="s">
        <v>399</v>
      </c>
      <c r="I15" s="43" t="s">
        <v>400</v>
      </c>
      <c r="J15" s="104">
        <v>45688.0</v>
      </c>
      <c r="K15" s="89">
        <v>291750.0</v>
      </c>
      <c r="L15" s="71"/>
      <c r="M15" s="106" t="str">
        <f>IF(ISBLANK(K15), "", VLOOKUP(C15, 'Info Tipo de Cambio y REM'!$A$24:$B$35, 2, FALSE))</f>
        <v>#N/A</v>
      </c>
      <c r="N15" s="107" t="str">
        <f t="shared" si="1"/>
        <v/>
      </c>
    </row>
    <row r="16">
      <c r="A16" s="43" t="s">
        <v>216</v>
      </c>
      <c r="B16" s="43" t="str">
        <f>IF(A16="", "", IFERROR(VLOOKUP(A16, Clasificaciones!A:B, 2, FALSE), "DATO NO CARGADO"))</f>
        <v>Equipo</v>
      </c>
      <c r="C16" s="51" t="s">
        <v>123</v>
      </c>
      <c r="D16" s="156">
        <v>2025.0</v>
      </c>
      <c r="E16" s="43" t="s">
        <v>374</v>
      </c>
      <c r="F16" s="104"/>
      <c r="G16" s="104"/>
      <c r="H16" s="55" t="s">
        <v>401</v>
      </c>
      <c r="I16" s="43" t="s">
        <v>402</v>
      </c>
      <c r="J16" s="104">
        <v>45688.0</v>
      </c>
      <c r="K16" s="89">
        <v>413401.0</v>
      </c>
      <c r="L16" s="71"/>
      <c r="M16" s="106" t="str">
        <f>IF(ISBLANK(K16), "", VLOOKUP(C16, 'Info Tipo de Cambio y REM'!$A$24:$B$35, 2, FALSE))</f>
        <v>#N/A</v>
      </c>
      <c r="N16" s="107" t="str">
        <f t="shared" si="1"/>
        <v/>
      </c>
    </row>
    <row r="17">
      <c r="A17" s="43" t="s">
        <v>194</v>
      </c>
      <c r="B17" s="43" t="str">
        <f>IF(A17="", "", IFERROR(VLOOKUP(A17, Clasificaciones!A:B, 2, FALSE), "DATO NO CARGADO"))</f>
        <v>Equipo</v>
      </c>
      <c r="C17" s="51" t="s">
        <v>123</v>
      </c>
      <c r="D17" s="156">
        <v>2025.0</v>
      </c>
      <c r="E17" s="43" t="s">
        <v>374</v>
      </c>
      <c r="F17" s="104"/>
      <c r="G17" s="104"/>
      <c r="H17" s="55" t="s">
        <v>403</v>
      </c>
      <c r="I17" s="43" t="s">
        <v>404</v>
      </c>
      <c r="J17" s="104">
        <v>45688.0</v>
      </c>
      <c r="K17" s="89">
        <v>1550000.0</v>
      </c>
      <c r="L17" s="71"/>
      <c r="M17" s="106" t="str">
        <f>IF(ISBLANK(K17), "", VLOOKUP(C17, 'Info Tipo de Cambio y REM'!$A$24:$B$35, 2, FALSE))</f>
        <v>#N/A</v>
      </c>
      <c r="N17" s="107" t="str">
        <f t="shared" si="1"/>
        <v/>
      </c>
    </row>
    <row r="18">
      <c r="A18" s="43" t="s">
        <v>220</v>
      </c>
      <c r="B18" s="43" t="str">
        <f>IF(A18="", "", IFERROR(VLOOKUP(A18, Clasificaciones!A:B, 2, FALSE), "DATO NO CARGADO"))</f>
        <v>Equipo</v>
      </c>
      <c r="C18" s="51" t="s">
        <v>123</v>
      </c>
      <c r="D18" s="156">
        <v>2025.0</v>
      </c>
      <c r="E18" s="43" t="s">
        <v>374</v>
      </c>
      <c r="F18" s="104"/>
      <c r="G18" s="104"/>
      <c r="H18" s="55" t="s">
        <v>405</v>
      </c>
      <c r="I18" s="43" t="s">
        <v>406</v>
      </c>
      <c r="J18" s="104">
        <v>45678.0</v>
      </c>
      <c r="K18" s="89">
        <v>1113200.0</v>
      </c>
      <c r="L18" s="71"/>
      <c r="M18" s="106" t="str">
        <f>IF(ISBLANK(K18), "", VLOOKUP(C18, 'Info Tipo de Cambio y REM'!$A$24:$B$35, 2, FALSE))</f>
        <v>#N/A</v>
      </c>
      <c r="N18" s="107" t="str">
        <f t="shared" si="1"/>
        <v/>
      </c>
    </row>
    <row r="19">
      <c r="A19" s="43" t="s">
        <v>221</v>
      </c>
      <c r="B19" s="43" t="str">
        <f>IF(A19="", "", IFERROR(VLOOKUP(A19, Clasificaciones!A:B, 2, FALSE), "DATO NO CARGADO"))</f>
        <v>Equipo</v>
      </c>
      <c r="C19" s="51" t="s">
        <v>123</v>
      </c>
      <c r="D19" s="156">
        <v>2025.0</v>
      </c>
      <c r="E19" s="43" t="s">
        <v>374</v>
      </c>
      <c r="F19" s="104"/>
      <c r="G19" s="104"/>
      <c r="H19" s="55" t="s">
        <v>407</v>
      </c>
      <c r="I19" s="43" t="s">
        <v>408</v>
      </c>
      <c r="J19" s="104">
        <v>45692.0</v>
      </c>
      <c r="K19" s="89">
        <v>1408176.0</v>
      </c>
      <c r="L19" s="71"/>
      <c r="M19" s="106" t="str">
        <f>IF(ISBLANK(K19), "", VLOOKUP(C19, 'Info Tipo de Cambio y REM'!$A$24:$B$35, 2, FALSE))</f>
        <v>#N/A</v>
      </c>
      <c r="N19" s="107" t="str">
        <f t="shared" si="1"/>
        <v/>
      </c>
    </row>
    <row r="20">
      <c r="A20" s="43" t="s">
        <v>203</v>
      </c>
      <c r="B20" s="43" t="str">
        <f>IF(A20="", "", IFERROR(VLOOKUP(A20, Clasificaciones!A:B, 2, FALSE), "DATO NO CARGADO"))</f>
        <v>Equipo</v>
      </c>
      <c r="C20" s="51" t="s">
        <v>123</v>
      </c>
      <c r="D20" s="156">
        <v>2025.0</v>
      </c>
      <c r="E20" s="43" t="s">
        <v>374</v>
      </c>
      <c r="F20" s="104"/>
      <c r="G20" s="104"/>
      <c r="H20" s="55" t="s">
        <v>409</v>
      </c>
      <c r="I20" s="43" t="s">
        <v>410</v>
      </c>
      <c r="J20" s="104">
        <v>45688.0</v>
      </c>
      <c r="K20" s="89">
        <v>963542.0</v>
      </c>
      <c r="L20" s="71"/>
      <c r="M20" s="106" t="str">
        <f>IF(ISBLANK(K20), "", VLOOKUP(C20, 'Info Tipo de Cambio y REM'!$A$24:$B$35, 2, FALSE))</f>
        <v>#N/A</v>
      </c>
      <c r="N20" s="107" t="str">
        <f t="shared" si="1"/>
        <v/>
      </c>
    </row>
    <row r="21">
      <c r="A21" s="43" t="s">
        <v>197</v>
      </c>
      <c r="B21" s="43" t="str">
        <f>IF(A21="", "", IFERROR(VLOOKUP(A21, Clasificaciones!A:B, 2, FALSE), "DATO NO CARGADO"))</f>
        <v>Equipo</v>
      </c>
      <c r="C21" s="51" t="s">
        <v>123</v>
      </c>
      <c r="D21" s="156">
        <v>2025.0</v>
      </c>
      <c r="E21" s="43" t="s">
        <v>374</v>
      </c>
      <c r="F21" s="104"/>
      <c r="G21" s="104"/>
      <c r="H21" s="55" t="s">
        <v>411</v>
      </c>
      <c r="I21" s="43" t="s">
        <v>412</v>
      </c>
      <c r="J21" s="104">
        <v>45688.0</v>
      </c>
      <c r="K21" s="89">
        <v>1447861.0</v>
      </c>
      <c r="L21" s="71"/>
      <c r="M21" s="106" t="str">
        <f>IF(ISBLANK(K21), "", VLOOKUP(C21, 'Info Tipo de Cambio y REM'!$A$24:$B$35, 2, FALSE))</f>
        <v>#N/A</v>
      </c>
      <c r="N21" s="107" t="str">
        <f t="shared" si="1"/>
        <v/>
      </c>
    </row>
    <row r="22">
      <c r="A22" s="43" t="s">
        <v>139</v>
      </c>
      <c r="B22" s="43" t="str">
        <f>IF(A22="", "", IFERROR(VLOOKUP(A22, Clasificaciones!A:B, 2, FALSE), "DATO NO CARGADO"))</f>
        <v>People</v>
      </c>
      <c r="C22" s="51" t="s">
        <v>123</v>
      </c>
      <c r="D22" s="156">
        <v>2025.0</v>
      </c>
      <c r="E22" s="43" t="s">
        <v>374</v>
      </c>
      <c r="F22" s="104"/>
      <c r="G22" s="104"/>
      <c r="H22" s="55" t="s">
        <v>413</v>
      </c>
      <c r="I22" s="43" t="s">
        <v>388</v>
      </c>
      <c r="J22" s="104">
        <v>45688.0</v>
      </c>
      <c r="K22" s="89">
        <v>32400.0</v>
      </c>
      <c r="L22" s="71"/>
      <c r="M22" s="106" t="str">
        <f>IF(ISBLANK(K22), "", VLOOKUP(C22, 'Info Tipo de Cambio y REM'!$A$24:$B$35, 2, FALSE))</f>
        <v>#N/A</v>
      </c>
      <c r="N22" s="107" t="str">
        <f t="shared" si="1"/>
        <v/>
      </c>
    </row>
    <row r="23">
      <c r="A23" s="43" t="s">
        <v>218</v>
      </c>
      <c r="B23" s="43" t="str">
        <f>IF(A23="", "", IFERROR(VLOOKUP(A23, Clasificaciones!A:B, 2, FALSE), "DATO NO CARGADO"))</f>
        <v>Equipo</v>
      </c>
      <c r="C23" s="51" t="s">
        <v>123</v>
      </c>
      <c r="D23" s="156">
        <v>2025.0</v>
      </c>
      <c r="E23" s="43" t="s">
        <v>374</v>
      </c>
      <c r="F23" s="104"/>
      <c r="G23" s="104"/>
      <c r="H23" s="55" t="s">
        <v>414</v>
      </c>
      <c r="I23" s="43" t="s">
        <v>415</v>
      </c>
      <c r="J23" s="104">
        <v>45691.0</v>
      </c>
      <c r="K23" s="89">
        <v>2160000.0</v>
      </c>
      <c r="L23" s="71"/>
      <c r="M23" s="106" t="str">
        <f>IF(ISBLANK(K23), "", VLOOKUP(C23, 'Info Tipo de Cambio y REM'!$A$24:$B$35, 2, FALSE))</f>
        <v>#N/A</v>
      </c>
      <c r="N23" s="107" t="str">
        <f t="shared" si="1"/>
        <v/>
      </c>
    </row>
    <row r="24">
      <c r="A24" s="43" t="s">
        <v>139</v>
      </c>
      <c r="B24" s="43" t="str">
        <f>IF(A24="", "", IFERROR(VLOOKUP(A24, Clasificaciones!A:B, 2, FALSE), "DATO NO CARGADO"))</f>
        <v>People</v>
      </c>
      <c r="C24" s="51" t="s">
        <v>123</v>
      </c>
      <c r="D24" s="156">
        <v>2025.0</v>
      </c>
      <c r="E24" s="43" t="s">
        <v>374</v>
      </c>
      <c r="F24" s="104"/>
      <c r="G24" s="104"/>
      <c r="H24" s="55" t="s">
        <v>416</v>
      </c>
      <c r="I24" s="43"/>
      <c r="J24" s="104">
        <v>45693.0</v>
      </c>
      <c r="K24" s="89">
        <v>178400.0</v>
      </c>
      <c r="L24" s="71"/>
      <c r="M24" s="106" t="str">
        <f>IF(ISBLANK(K24), "", VLOOKUP(C24, 'Info Tipo de Cambio y REM'!$A$24:$B$35, 2, FALSE))</f>
        <v>#N/A</v>
      </c>
      <c r="N24" s="107" t="str">
        <f t="shared" si="1"/>
        <v/>
      </c>
    </row>
    <row r="25">
      <c r="A25" s="43" t="s">
        <v>169</v>
      </c>
      <c r="B25" s="43" t="str">
        <f>IF(A25="", "", IFERROR(VLOOKUP(A25, Clasificaciones!A:B, 2, FALSE), "DATO NO CARGADO"))</f>
        <v>Suscripciones/Herramientas</v>
      </c>
      <c r="C25" s="51" t="s">
        <v>123</v>
      </c>
      <c r="D25" s="156">
        <v>2025.0</v>
      </c>
      <c r="E25" s="43" t="s">
        <v>371</v>
      </c>
      <c r="F25" s="104"/>
      <c r="G25" s="104"/>
      <c r="H25" s="55" t="s">
        <v>417</v>
      </c>
      <c r="I25" s="43"/>
      <c r="J25" s="104">
        <v>45536.0</v>
      </c>
      <c r="K25" s="89"/>
      <c r="L25" s="89">
        <v>4050.0</v>
      </c>
      <c r="M25" s="106" t="str">
        <f>IF(ISBLANK(K25), "", VLOOKUP(C25, 'Info Tipo de Cambio y REM'!$A$24:$B$35, 2, FALSE))</f>
        <v/>
      </c>
      <c r="N25" s="107">
        <f t="shared" si="1"/>
        <v>4050</v>
      </c>
    </row>
    <row r="26">
      <c r="A26" s="43" t="s">
        <v>187</v>
      </c>
      <c r="B26" s="43" t="str">
        <f>IF(A26="", "", IFERROR(VLOOKUP(A26, Clasificaciones!A:B, 2, FALSE), "DATO NO CARGADO"))</f>
        <v>Gastos Varios</v>
      </c>
      <c r="C26" s="51" t="s">
        <v>123</v>
      </c>
      <c r="D26" s="156">
        <v>2025.0</v>
      </c>
      <c r="E26" s="43" t="s">
        <v>374</v>
      </c>
      <c r="F26" s="104"/>
      <c r="G26" s="104"/>
      <c r="H26" s="55" t="s">
        <v>418</v>
      </c>
      <c r="I26" s="43"/>
      <c r="J26" s="104">
        <v>45688.0</v>
      </c>
      <c r="K26" s="89"/>
      <c r="L26" s="89">
        <v>600.0</v>
      </c>
      <c r="M26" s="106" t="str">
        <f>IF(ISBLANK(K26), "", VLOOKUP(C26, 'Info Tipo de Cambio y REM'!$A$24:$B$35, 2, FALSE))</f>
        <v/>
      </c>
      <c r="N26" s="107">
        <f t="shared" si="1"/>
        <v>600</v>
      </c>
    </row>
    <row r="27">
      <c r="A27" s="43" t="s">
        <v>173</v>
      </c>
      <c r="B27" s="43" t="str">
        <f>IF(A27="", "", IFERROR(VLOOKUP(A27, Clasificaciones!A:B, 2, FALSE), "DATO NO CARGADO"))</f>
        <v>Suscripciones/Herramientas</v>
      </c>
      <c r="C27" s="51" t="s">
        <v>123</v>
      </c>
      <c r="D27" s="156">
        <v>2025.0</v>
      </c>
      <c r="E27" s="43" t="s">
        <v>374</v>
      </c>
      <c r="F27" s="104"/>
      <c r="G27" s="104"/>
      <c r="H27" s="55" t="s">
        <v>419</v>
      </c>
      <c r="I27" s="43" t="s">
        <v>420</v>
      </c>
      <c r="J27" s="104">
        <v>45716.0</v>
      </c>
      <c r="K27" s="89"/>
      <c r="L27" s="89">
        <v>7500.0</v>
      </c>
      <c r="M27" s="106" t="str">
        <f>IF(ISBLANK(K27), "", VLOOKUP(C27, 'Info Tipo de Cambio y REM'!$A$24:$B$35, 2, FALSE))</f>
        <v/>
      </c>
      <c r="N27" s="107">
        <f t="shared" si="1"/>
        <v>7500</v>
      </c>
    </row>
    <row r="28">
      <c r="A28" s="43" t="s">
        <v>164</v>
      </c>
      <c r="B28" s="43" t="str">
        <f>IF(A28="", "", IFERROR(VLOOKUP(A28, Clasificaciones!A:B, 2, FALSE), "DATO NO CARGADO"))</f>
        <v>Estudio Contable</v>
      </c>
      <c r="C28" s="51" t="s">
        <v>123</v>
      </c>
      <c r="D28" s="156">
        <v>2025.0</v>
      </c>
      <c r="E28" s="43" t="s">
        <v>374</v>
      </c>
      <c r="F28" s="104"/>
      <c r="G28" s="104"/>
      <c r="H28" s="55" t="s">
        <v>421</v>
      </c>
      <c r="I28" s="43"/>
      <c r="J28" s="104">
        <v>45698.0</v>
      </c>
      <c r="K28" s="89">
        <v>86677.0</v>
      </c>
      <c r="L28" s="71"/>
      <c r="M28" s="106" t="str">
        <f>IF(ISBLANK(K28), "", VLOOKUP(C28, 'Info Tipo de Cambio y REM'!$A$24:$B$35, 2, FALSE))</f>
        <v>#N/A</v>
      </c>
      <c r="N28" s="107" t="str">
        <f t="shared" si="1"/>
        <v/>
      </c>
    </row>
    <row r="29">
      <c r="A29" s="43" t="s">
        <v>158</v>
      </c>
      <c r="B29" s="43" t="str">
        <f>IF(A29="", "", IFERROR(VLOOKUP(A29, Clasificaciones!A:B, 2, FALSE), "DATO NO CARGADO"))</f>
        <v>Tarjeta</v>
      </c>
      <c r="C29" s="51" t="s">
        <v>123</v>
      </c>
      <c r="D29" s="156">
        <v>2025.0</v>
      </c>
      <c r="E29" s="43" t="s">
        <v>374</v>
      </c>
      <c r="F29" s="104"/>
      <c r="G29" s="104"/>
      <c r="H29" s="55" t="s">
        <v>422</v>
      </c>
      <c r="I29" s="43"/>
      <c r="J29" s="104">
        <v>45693.0</v>
      </c>
      <c r="K29" s="89">
        <v>28405.0</v>
      </c>
      <c r="L29" s="71"/>
      <c r="M29" s="106" t="str">
        <f>IF(ISBLANK(K29), "", VLOOKUP(C29, 'Info Tipo de Cambio y REM'!$A$24:$B$35, 2, FALSE))</f>
        <v>#N/A</v>
      </c>
      <c r="N29" s="107" t="str">
        <f t="shared" si="1"/>
        <v/>
      </c>
    </row>
    <row r="30">
      <c r="A30" s="43" t="s">
        <v>146</v>
      </c>
      <c r="B30" s="43" t="str">
        <f>IF(A30="", "", IFERROR(VLOOKUP(A30, Clasificaciones!A:B, 2, FALSE), "DATO NO CARGADO"))</f>
        <v>Impuestos ARG</v>
      </c>
      <c r="C30" s="51" t="s">
        <v>123</v>
      </c>
      <c r="D30" s="156">
        <v>2025.0</v>
      </c>
      <c r="E30" s="43" t="s">
        <v>374</v>
      </c>
      <c r="F30" s="104"/>
      <c r="G30" s="104"/>
      <c r="H30" s="55" t="s">
        <v>423</v>
      </c>
      <c r="I30" s="43"/>
      <c r="J30" s="104">
        <v>45706.0</v>
      </c>
      <c r="K30" s="89">
        <v>579408.0</v>
      </c>
      <c r="L30" s="71"/>
      <c r="M30" s="106" t="str">
        <f>IF(ISBLANK(K30), "", VLOOKUP(C30, 'Info Tipo de Cambio y REM'!$A$24:$B$35, 2, FALSE))</f>
        <v>#N/A</v>
      </c>
      <c r="N30" s="107" t="str">
        <f t="shared" si="1"/>
        <v/>
      </c>
    </row>
    <row r="31">
      <c r="A31" s="43" t="s">
        <v>152</v>
      </c>
      <c r="B31" s="43" t="str">
        <f>IF(A31="", "", IFERROR(VLOOKUP(A31, Clasificaciones!A:B, 2, FALSE), "DATO NO CARGADO"))</f>
        <v>Impuestos ARG</v>
      </c>
      <c r="C31" s="51" t="s">
        <v>123</v>
      </c>
      <c r="D31" s="156">
        <v>2025.0</v>
      </c>
      <c r="E31" s="43" t="s">
        <v>374</v>
      </c>
      <c r="F31" s="104"/>
      <c r="G31" s="104"/>
      <c r="H31" s="55" t="s">
        <v>424</v>
      </c>
      <c r="I31" s="43"/>
      <c r="J31" s="104">
        <v>45710.0</v>
      </c>
      <c r="K31" s="89">
        <v>2689779.0</v>
      </c>
      <c r="L31" s="71"/>
      <c r="M31" s="106" t="str">
        <f>IF(ISBLANK(K31), "", VLOOKUP(C31, 'Info Tipo de Cambio y REM'!$A$24:$B$35, 2, FALSE))</f>
        <v>#N/A</v>
      </c>
      <c r="N31" s="107" t="str">
        <f t="shared" si="1"/>
        <v/>
      </c>
    </row>
    <row r="32">
      <c r="A32" s="43" t="s">
        <v>133</v>
      </c>
      <c r="B32" s="43" t="str">
        <f>IF(A32="", "", IFERROR(VLOOKUP(A32, Clasificaciones!A:B, 2, FALSE), "DATO NO CARGADO"))</f>
        <v>Board</v>
      </c>
      <c r="C32" s="51" t="s">
        <v>123</v>
      </c>
      <c r="D32" s="156">
        <v>2025.0</v>
      </c>
      <c r="E32" s="43" t="s">
        <v>374</v>
      </c>
      <c r="F32" s="104"/>
      <c r="G32" s="104"/>
      <c r="H32" s="55" t="s">
        <v>425</v>
      </c>
      <c r="I32" s="43"/>
      <c r="J32" s="104">
        <v>45693.0</v>
      </c>
      <c r="K32" s="89">
        <v>3025000.0</v>
      </c>
      <c r="L32" s="71"/>
      <c r="M32" s="106" t="str">
        <f>IF(ISBLANK(K32), "", VLOOKUP(C32, 'Info Tipo de Cambio y REM'!$A$24:$B$35, 2, FALSE))</f>
        <v>#N/A</v>
      </c>
      <c r="N32" s="107" t="str">
        <f t="shared" si="1"/>
        <v/>
      </c>
    </row>
    <row r="33">
      <c r="A33" s="43" t="s">
        <v>222</v>
      </c>
      <c r="B33" s="43" t="str">
        <f>IF(A33="", "", IFERROR(VLOOKUP(A33, Clasificaciones!A:B, 2, FALSE), "DATO NO CARGADO"))</f>
        <v>Oxean</v>
      </c>
      <c r="C33" s="51" t="s">
        <v>123</v>
      </c>
      <c r="D33" s="156">
        <v>2025.0</v>
      </c>
      <c r="E33" s="43" t="s">
        <v>374</v>
      </c>
      <c r="F33" s="104"/>
      <c r="G33" s="104"/>
      <c r="H33" s="55" t="s">
        <v>426</v>
      </c>
      <c r="I33" s="43"/>
      <c r="J33" s="104">
        <v>45693.0</v>
      </c>
      <c r="K33" s="89">
        <v>3025000.0</v>
      </c>
      <c r="L33" s="71"/>
      <c r="M33" s="106" t="str">
        <f>IF(ISBLANK(K33), "", VLOOKUP(C33, 'Info Tipo de Cambio y REM'!$A$24:$B$35, 2, FALSE))</f>
        <v>#N/A</v>
      </c>
      <c r="N33" s="107" t="str">
        <f t="shared" si="1"/>
        <v/>
      </c>
    </row>
    <row r="34">
      <c r="A34" s="43" t="s">
        <v>191</v>
      </c>
      <c r="B34" s="43" t="str">
        <f>IF(A34="", "", IFERROR(VLOOKUP(A34, Clasificaciones!A:B, 2, FALSE), "DATO NO CARGADO"))</f>
        <v>Tarjeta</v>
      </c>
      <c r="C34" s="51" t="s">
        <v>123</v>
      </c>
      <c r="D34" s="156">
        <v>2025.0</v>
      </c>
      <c r="E34" s="43" t="s">
        <v>374</v>
      </c>
      <c r="F34" s="104"/>
      <c r="G34" s="104"/>
      <c r="H34" s="55" t="s">
        <v>427</v>
      </c>
      <c r="I34" s="43"/>
      <c r="J34" s="104"/>
      <c r="K34" s="89"/>
      <c r="L34" s="89">
        <v>12.0</v>
      </c>
      <c r="M34" s="106" t="str">
        <f>IF(ISBLANK(K34), "", VLOOKUP(C34, 'Info Tipo de Cambio y REM'!$A$24:$B$35, 2, FALSE))</f>
        <v/>
      </c>
      <c r="N34" s="107">
        <f t="shared" si="1"/>
        <v>12</v>
      </c>
    </row>
    <row r="35">
      <c r="A35" s="43" t="s">
        <v>191</v>
      </c>
      <c r="B35" s="43" t="str">
        <f>IF(A35="", "", IFERROR(VLOOKUP(A35, Clasificaciones!A:B, 2, FALSE), "DATO NO CARGADO"))</f>
        <v>Tarjeta</v>
      </c>
      <c r="C35" s="51" t="s">
        <v>123</v>
      </c>
      <c r="D35" s="156">
        <v>2025.0</v>
      </c>
      <c r="E35" s="43" t="s">
        <v>374</v>
      </c>
      <c r="F35" s="104"/>
      <c r="G35" s="104"/>
      <c r="H35" s="55" t="s">
        <v>428</v>
      </c>
      <c r="I35" s="43"/>
      <c r="J35" s="104"/>
      <c r="K35" s="89"/>
      <c r="L35" s="89">
        <v>450.0</v>
      </c>
      <c r="M35" s="106" t="str">
        <f>IF(ISBLANK(K35), "", VLOOKUP(C35, 'Info Tipo de Cambio y REM'!$A$24:$B$35, 2, FALSE))</f>
        <v/>
      </c>
      <c r="N35" s="107">
        <f t="shared" si="1"/>
        <v>450</v>
      </c>
    </row>
    <row r="36">
      <c r="A36" s="43" t="s">
        <v>191</v>
      </c>
      <c r="B36" s="43" t="str">
        <f>IF(A36="", "", IFERROR(VLOOKUP(A36, Clasificaciones!A:B, 2, FALSE), "DATO NO CARGADO"))</f>
        <v>Tarjeta</v>
      </c>
      <c r="C36" s="51" t="s">
        <v>123</v>
      </c>
      <c r="D36" s="156">
        <v>2025.0</v>
      </c>
      <c r="E36" s="43" t="s">
        <v>374</v>
      </c>
      <c r="F36" s="104"/>
      <c r="G36" s="104"/>
      <c r="H36" s="55" t="s">
        <v>429</v>
      </c>
      <c r="I36" s="43"/>
      <c r="J36" s="104"/>
      <c r="K36" s="89"/>
      <c r="L36" s="89">
        <v>303.0</v>
      </c>
      <c r="M36" s="106" t="str">
        <f>IF(ISBLANK(K36), "", VLOOKUP(C36, 'Info Tipo de Cambio y REM'!$A$24:$B$35, 2, FALSE))</f>
        <v/>
      </c>
      <c r="N36" s="107">
        <f t="shared" si="1"/>
        <v>303</v>
      </c>
    </row>
    <row r="37">
      <c r="A37" s="43" t="s">
        <v>191</v>
      </c>
      <c r="B37" s="43" t="str">
        <f>IF(A37="", "", IFERROR(VLOOKUP(A37, Clasificaciones!A:B, 2, FALSE), "DATO NO CARGADO"))</f>
        <v>Tarjeta</v>
      </c>
      <c r="C37" s="51" t="s">
        <v>123</v>
      </c>
      <c r="D37" s="156">
        <v>2025.0</v>
      </c>
      <c r="E37" s="43" t="s">
        <v>374</v>
      </c>
      <c r="F37" s="104"/>
      <c r="G37" s="104"/>
      <c r="H37" s="55" t="s">
        <v>430</v>
      </c>
      <c r="I37" s="43"/>
      <c r="J37" s="104"/>
      <c r="K37" s="89"/>
      <c r="L37" s="89">
        <v>8.0</v>
      </c>
      <c r="M37" s="106" t="str">
        <f>IF(ISBLANK(K37), "", VLOOKUP(C37, 'Info Tipo de Cambio y REM'!$A$24:$B$35, 2, FALSE))</f>
        <v/>
      </c>
      <c r="N37" s="107">
        <f t="shared" si="1"/>
        <v>8</v>
      </c>
    </row>
    <row r="38">
      <c r="A38" s="43" t="s">
        <v>191</v>
      </c>
      <c r="B38" s="43" t="str">
        <f>IF(A38="", "", IFERROR(VLOOKUP(A38, Clasificaciones!A:B, 2, FALSE), "DATO NO CARGADO"))</f>
        <v>Tarjeta</v>
      </c>
      <c r="C38" s="51" t="s">
        <v>123</v>
      </c>
      <c r="D38" s="156">
        <v>2025.0</v>
      </c>
      <c r="E38" s="43" t="s">
        <v>374</v>
      </c>
      <c r="F38" s="104"/>
      <c r="G38" s="104"/>
      <c r="H38" s="55" t="s">
        <v>431</v>
      </c>
      <c r="I38" s="43"/>
      <c r="J38" s="104"/>
      <c r="K38" s="89"/>
      <c r="L38" s="89">
        <v>14.19</v>
      </c>
      <c r="M38" s="106" t="str">
        <f>IF(ISBLANK(K38), "", VLOOKUP(C38, 'Info Tipo de Cambio y REM'!$A$24:$B$35, 2, FALSE))</f>
        <v/>
      </c>
      <c r="N38" s="107">
        <f t="shared" si="1"/>
        <v>14.19</v>
      </c>
    </row>
    <row r="39">
      <c r="A39" s="43" t="s">
        <v>191</v>
      </c>
      <c r="B39" s="43" t="str">
        <f>IF(A39="", "", IFERROR(VLOOKUP(A39, Clasificaciones!A:B, 2, FALSE), "DATO NO CARGADO"))</f>
        <v>Tarjeta</v>
      </c>
      <c r="C39" s="51" t="s">
        <v>123</v>
      </c>
      <c r="D39" s="156">
        <v>2025.0</v>
      </c>
      <c r="E39" s="43" t="s">
        <v>374</v>
      </c>
      <c r="F39" s="104"/>
      <c r="G39" s="104"/>
      <c r="H39" s="55" t="s">
        <v>432</v>
      </c>
      <c r="I39" s="43"/>
      <c r="J39" s="104"/>
      <c r="K39" s="89"/>
      <c r="L39" s="89">
        <v>22.99</v>
      </c>
      <c r="M39" s="106" t="str">
        <f>IF(ISBLANK(K39), "", VLOOKUP(C39, 'Info Tipo de Cambio y REM'!$A$24:$B$35, 2, FALSE))</f>
        <v/>
      </c>
      <c r="N39" s="107">
        <f t="shared" si="1"/>
        <v>22.99</v>
      </c>
    </row>
    <row r="40">
      <c r="A40" s="43" t="s">
        <v>191</v>
      </c>
      <c r="B40" s="43" t="str">
        <f>IF(A40="", "", IFERROR(VLOOKUP(A40, Clasificaciones!A:B, 2, FALSE), "DATO NO CARGADO"))</f>
        <v>Tarjeta</v>
      </c>
      <c r="C40" s="51" t="s">
        <v>123</v>
      </c>
      <c r="D40" s="156">
        <v>2025.0</v>
      </c>
      <c r="E40" s="43" t="s">
        <v>374</v>
      </c>
      <c r="F40" s="104"/>
      <c r="G40" s="104"/>
      <c r="H40" s="55" t="s">
        <v>433</v>
      </c>
      <c r="I40" s="43"/>
      <c r="J40" s="104"/>
      <c r="K40" s="89"/>
      <c r="L40" s="89">
        <v>25.0</v>
      </c>
      <c r="M40" s="106" t="str">
        <f>IF(ISBLANK(K40), "", VLOOKUP(C40, 'Info Tipo de Cambio y REM'!$A$24:$B$35, 2, FALSE))</f>
        <v/>
      </c>
      <c r="N40" s="107">
        <f t="shared" si="1"/>
        <v>25</v>
      </c>
    </row>
    <row r="41">
      <c r="A41" s="133" t="s">
        <v>153</v>
      </c>
      <c r="B41" s="43" t="str">
        <f>IF(A41="", "", IFERROR(VLOOKUP(A41, Clasificaciones!A:B, 2, FALSE), "DATO NO CARGADO"))</f>
        <v>Impuestos USA</v>
      </c>
      <c r="C41" s="141" t="s">
        <v>123</v>
      </c>
      <c r="D41" s="157">
        <v>2025.0</v>
      </c>
      <c r="E41" s="43" t="s">
        <v>371</v>
      </c>
      <c r="F41" s="104"/>
      <c r="G41" s="104"/>
      <c r="H41" s="55" t="s">
        <v>434</v>
      </c>
      <c r="I41" s="43"/>
      <c r="J41" s="104"/>
      <c r="K41" s="89"/>
      <c r="L41" s="89">
        <v>17732.0</v>
      </c>
      <c r="M41" s="106" t="str">
        <f>IF(ISBLANK(K41), "", VLOOKUP(C41, 'Info Tipo de Cambio y REM'!$A$24:$B$35, 2, FALSE))</f>
        <v/>
      </c>
      <c r="N41" s="107">
        <f t="shared" si="1"/>
        <v>17732</v>
      </c>
    </row>
    <row r="42">
      <c r="A42" s="43" t="s">
        <v>237</v>
      </c>
      <c r="B42" s="43" t="str">
        <f>IF(A42="", "", IFERROR(VLOOKUP(A42, Clasificaciones!A:B, 2, FALSE), "DATO NO CARGADO"))</f>
        <v>Otros Proveedores</v>
      </c>
      <c r="C42" s="51" t="s">
        <v>129</v>
      </c>
      <c r="D42" s="156">
        <v>2025.0</v>
      </c>
      <c r="E42" s="43" t="s">
        <v>371</v>
      </c>
      <c r="F42" s="104"/>
      <c r="G42" s="104"/>
      <c r="H42" s="55" t="s">
        <v>372</v>
      </c>
      <c r="I42" s="43" t="s">
        <v>373</v>
      </c>
      <c r="J42" s="104">
        <v>45413.0</v>
      </c>
      <c r="K42" s="89">
        <v>96000.0</v>
      </c>
      <c r="L42" s="71"/>
      <c r="M42" s="106" t="str">
        <f>IF(ISBLANK(K42), "", VLOOKUP(C42, 'Info Tipo de Cambio y REM'!$A$24:$B$35, 2, FALSE))</f>
        <v>#N/A</v>
      </c>
      <c r="N42" s="107" t="str">
        <f t="shared" si="1"/>
        <v/>
      </c>
    </row>
    <row r="43">
      <c r="A43" s="43" t="s">
        <v>236</v>
      </c>
      <c r="B43" s="43" t="str">
        <f>IF(A43="", "", IFERROR(VLOOKUP(A43, Clasificaciones!A:B, 2, FALSE), "DATO NO CARGADO"))</f>
        <v>Otros Proveedores</v>
      </c>
      <c r="C43" s="51" t="s">
        <v>129</v>
      </c>
      <c r="D43" s="156">
        <v>2025.0</v>
      </c>
      <c r="E43" s="43" t="s">
        <v>374</v>
      </c>
      <c r="F43" s="104"/>
      <c r="G43" s="104"/>
      <c r="H43" s="55" t="s">
        <v>375</v>
      </c>
      <c r="I43" s="43" t="s">
        <v>435</v>
      </c>
      <c r="J43" s="104">
        <v>45717.0</v>
      </c>
      <c r="K43" s="89">
        <v>1763636.0</v>
      </c>
      <c r="L43" s="71"/>
      <c r="M43" s="106" t="str">
        <f>IF(ISBLANK(K43), "", VLOOKUP(C43, 'Info Tipo de Cambio y REM'!$A$24:$B$35, 2, FALSE))</f>
        <v>#N/A</v>
      </c>
      <c r="N43" s="107" t="str">
        <f t="shared" si="1"/>
        <v/>
      </c>
    </row>
    <row r="44">
      <c r="A44" s="43" t="s">
        <v>87</v>
      </c>
      <c r="B44" s="43" t="str">
        <f>IF(A44="", "", IFERROR(VLOOKUP(A44, Clasificaciones!A:B, 2, FALSE), "DATO NO CARGADO"))</f>
        <v>Equipo</v>
      </c>
      <c r="C44" s="51" t="s">
        <v>129</v>
      </c>
      <c r="D44" s="156">
        <v>2025.0</v>
      </c>
      <c r="E44" s="43" t="s">
        <v>374</v>
      </c>
      <c r="F44" s="104"/>
      <c r="G44" s="104"/>
      <c r="H44" s="55" t="s">
        <v>391</v>
      </c>
      <c r="I44" s="43" t="s">
        <v>415</v>
      </c>
      <c r="J44" s="104">
        <v>45722.0</v>
      </c>
      <c r="K44" s="89">
        <v>1173315.0</v>
      </c>
      <c r="L44" s="71"/>
      <c r="M44" s="106" t="str">
        <f>IF(ISBLANK(K44), "", VLOOKUP(C44, 'Info Tipo de Cambio y REM'!$A$24:$B$35, 2, FALSE))</f>
        <v>#N/A</v>
      </c>
      <c r="N44" s="107" t="str">
        <f t="shared" si="1"/>
        <v/>
      </c>
    </row>
    <row r="45">
      <c r="A45" s="43" t="s">
        <v>228</v>
      </c>
      <c r="B45" s="43" t="str">
        <f>IF(A45="", "", IFERROR(VLOOKUP(A45, Clasificaciones!A:B, 2, FALSE), "DATO NO CARGADO"))</f>
        <v>Equipo</v>
      </c>
      <c r="C45" s="51" t="s">
        <v>129</v>
      </c>
      <c r="D45" s="156">
        <v>2025.0</v>
      </c>
      <c r="E45" s="43" t="s">
        <v>374</v>
      </c>
      <c r="F45" s="104"/>
      <c r="G45" s="104"/>
      <c r="H45" s="55" t="s">
        <v>436</v>
      </c>
      <c r="I45" s="43" t="s">
        <v>437</v>
      </c>
      <c r="J45" s="104">
        <v>45716.0</v>
      </c>
      <c r="K45" s="89">
        <v>1926000.0</v>
      </c>
      <c r="L45" s="71"/>
      <c r="M45" s="106" t="str">
        <f>IF(ISBLANK(K45), "", VLOOKUP(C45, 'Info Tipo de Cambio y REM'!$A$24:$B$35, 2, FALSE))</f>
        <v>#N/A</v>
      </c>
      <c r="N45" s="107" t="str">
        <f t="shared" si="1"/>
        <v/>
      </c>
    </row>
    <row r="46">
      <c r="A46" s="43" t="s">
        <v>194</v>
      </c>
      <c r="B46" s="43" t="str">
        <f>IF(A46="", "", IFERROR(VLOOKUP(A46, Clasificaciones!A:B, 2, FALSE), "DATO NO CARGADO"))</f>
        <v>Equipo</v>
      </c>
      <c r="C46" s="51" t="s">
        <v>129</v>
      </c>
      <c r="D46" s="156">
        <v>2025.0</v>
      </c>
      <c r="E46" s="43" t="s">
        <v>374</v>
      </c>
      <c r="F46" s="104"/>
      <c r="G46" s="104"/>
      <c r="H46" s="55" t="s">
        <v>403</v>
      </c>
      <c r="I46" s="43" t="s">
        <v>438</v>
      </c>
      <c r="J46" s="104">
        <v>45716.0</v>
      </c>
      <c r="K46" s="89">
        <v>1782500.0</v>
      </c>
      <c r="L46" s="71"/>
      <c r="M46" s="106" t="str">
        <f>IF(ISBLANK(K46), "", VLOOKUP(C46, 'Info Tipo de Cambio y REM'!$A$24:$B$35, 2, FALSE))</f>
        <v>#N/A</v>
      </c>
      <c r="N46" s="107" t="str">
        <f t="shared" si="1"/>
        <v/>
      </c>
    </row>
    <row r="47">
      <c r="A47" s="43" t="s">
        <v>197</v>
      </c>
      <c r="B47" s="43" t="str">
        <f>IF(A47="", "", IFERROR(VLOOKUP(A47, Clasificaciones!A:B, 2, FALSE), "DATO NO CARGADO"))</f>
        <v>Equipo</v>
      </c>
      <c r="C47" s="51" t="s">
        <v>129</v>
      </c>
      <c r="D47" s="156">
        <v>2025.0</v>
      </c>
      <c r="E47" s="43" t="s">
        <v>374</v>
      </c>
      <c r="F47" s="104"/>
      <c r="G47" s="104"/>
      <c r="H47" s="55" t="s">
        <v>411</v>
      </c>
      <c r="I47" s="43" t="s">
        <v>439</v>
      </c>
      <c r="J47" s="104">
        <v>45716.0</v>
      </c>
      <c r="K47" s="89">
        <v>1606924.0</v>
      </c>
      <c r="L47" s="71"/>
      <c r="M47" s="106" t="str">
        <f>IF(ISBLANK(K47), "", VLOOKUP(C47, 'Info Tipo de Cambio y REM'!$A$24:$B$35, 2, FALSE))</f>
        <v>#N/A</v>
      </c>
      <c r="N47" s="107" t="str">
        <f t="shared" si="1"/>
        <v/>
      </c>
    </row>
    <row r="48">
      <c r="A48" s="43" t="s">
        <v>203</v>
      </c>
      <c r="B48" s="43" t="str">
        <f>IF(A48="", "", IFERROR(VLOOKUP(A48, Clasificaciones!A:B, 2, FALSE), "DATO NO CARGADO"))</f>
        <v>Equipo</v>
      </c>
      <c r="C48" s="51" t="s">
        <v>129</v>
      </c>
      <c r="D48" s="156">
        <v>2025.0</v>
      </c>
      <c r="E48" s="43" t="s">
        <v>374</v>
      </c>
      <c r="F48" s="104"/>
      <c r="G48" s="104"/>
      <c r="H48" s="55" t="s">
        <v>409</v>
      </c>
      <c r="I48" s="43" t="s">
        <v>440</v>
      </c>
      <c r="J48" s="104">
        <v>45716.0</v>
      </c>
      <c r="K48" s="89">
        <v>1219798.0</v>
      </c>
      <c r="L48" s="71"/>
      <c r="M48" s="106" t="str">
        <f>IF(ISBLANK(K48), "", VLOOKUP(C48, 'Info Tipo de Cambio y REM'!$A$24:$B$35, 2, FALSE))</f>
        <v>#N/A</v>
      </c>
      <c r="N48" s="107" t="str">
        <f t="shared" si="1"/>
        <v/>
      </c>
    </row>
    <row r="49">
      <c r="A49" s="43" t="s">
        <v>205</v>
      </c>
      <c r="B49" s="43" t="str">
        <f>IF(A49="", "", IFERROR(VLOOKUP(A49, Clasificaciones!A:B, 2, FALSE), "DATO NO CARGADO"))</f>
        <v>Equipo</v>
      </c>
      <c r="C49" s="51" t="s">
        <v>129</v>
      </c>
      <c r="D49" s="156">
        <v>2025.0</v>
      </c>
      <c r="E49" s="43" t="s">
        <v>374</v>
      </c>
      <c r="F49" s="104"/>
      <c r="G49" s="104"/>
      <c r="H49" s="55" t="s">
        <v>379</v>
      </c>
      <c r="I49" s="43" t="s">
        <v>441</v>
      </c>
      <c r="J49" s="104">
        <v>45716.0</v>
      </c>
      <c r="K49" s="89">
        <v>965821.0</v>
      </c>
      <c r="L49" s="71"/>
      <c r="M49" s="106" t="str">
        <f>IF(ISBLANK(K49), "", VLOOKUP(C49, 'Info Tipo de Cambio y REM'!$A$24:$B$35, 2, FALSE))</f>
        <v>#N/A</v>
      </c>
      <c r="N49" s="107" t="str">
        <f t="shared" si="1"/>
        <v/>
      </c>
    </row>
    <row r="50">
      <c r="A50" s="43" t="s">
        <v>216</v>
      </c>
      <c r="B50" s="43" t="str">
        <f>IF(A50="", "", IFERROR(VLOOKUP(A50, Clasificaciones!A:B, 2, FALSE), "DATO NO CARGADO"))</f>
        <v>Equipo</v>
      </c>
      <c r="C50" s="51" t="s">
        <v>129</v>
      </c>
      <c r="D50" s="156">
        <v>2025.0</v>
      </c>
      <c r="E50" s="43" t="s">
        <v>374</v>
      </c>
      <c r="F50" s="104"/>
      <c r="G50" s="104"/>
      <c r="H50" s="55" t="s">
        <v>401</v>
      </c>
      <c r="I50" s="43" t="s">
        <v>442</v>
      </c>
      <c r="J50" s="104">
        <v>45716.0</v>
      </c>
      <c r="K50" s="89">
        <v>829482.0</v>
      </c>
      <c r="L50" s="71"/>
      <c r="M50" s="106" t="str">
        <f>IF(ISBLANK(K50), "", VLOOKUP(C50, 'Info Tipo de Cambio y REM'!$A$24:$B$35, 2, FALSE))</f>
        <v>#N/A</v>
      </c>
      <c r="N50" s="107" t="str">
        <f t="shared" si="1"/>
        <v/>
      </c>
    </row>
    <row r="51">
      <c r="A51" s="43" t="s">
        <v>207</v>
      </c>
      <c r="B51" s="43" t="str">
        <f>IF(A51="", "", IFERROR(VLOOKUP(A51, Clasificaciones!A:B, 2, FALSE), "DATO NO CARGADO"))</f>
        <v>Equipo</v>
      </c>
      <c r="C51" s="51" t="s">
        <v>129</v>
      </c>
      <c r="D51" s="156">
        <v>2025.0</v>
      </c>
      <c r="E51" s="43" t="s">
        <v>374</v>
      </c>
      <c r="F51" s="104"/>
      <c r="G51" s="104"/>
      <c r="H51" s="55" t="s">
        <v>389</v>
      </c>
      <c r="I51" s="43" t="s">
        <v>443</v>
      </c>
      <c r="J51" s="104">
        <v>45716.0</v>
      </c>
      <c r="K51" s="89">
        <v>810000.0</v>
      </c>
      <c r="L51" s="71"/>
      <c r="M51" s="106" t="str">
        <f>IF(ISBLANK(K51), "", VLOOKUP(C51, 'Info Tipo de Cambio y REM'!$A$24:$B$35, 2, FALSE))</f>
        <v>#N/A</v>
      </c>
      <c r="N51" s="107" t="str">
        <f t="shared" si="1"/>
        <v/>
      </c>
    </row>
    <row r="52">
      <c r="A52" s="43" t="s">
        <v>218</v>
      </c>
      <c r="B52" s="43" t="str">
        <f>IF(A52="", "", IFERROR(VLOOKUP(A52, Clasificaciones!A:B, 2, FALSE), "DATO NO CARGADO"))</f>
        <v>Equipo</v>
      </c>
      <c r="C52" s="51" t="s">
        <v>129</v>
      </c>
      <c r="D52" s="156">
        <v>2025.0</v>
      </c>
      <c r="E52" s="43" t="s">
        <v>374</v>
      </c>
      <c r="F52" s="104"/>
      <c r="G52" s="104"/>
      <c r="H52" s="55" t="s">
        <v>414</v>
      </c>
      <c r="I52" s="43" t="s">
        <v>444</v>
      </c>
      <c r="J52" s="104">
        <v>45716.0</v>
      </c>
      <c r="K52" s="89">
        <v>609300.0</v>
      </c>
      <c r="L52" s="71"/>
      <c r="M52" s="106" t="str">
        <f>IF(ISBLANK(K52), "", VLOOKUP(C52, 'Info Tipo de Cambio y REM'!$A$24:$B$35, 2, FALSE))</f>
        <v>#N/A</v>
      </c>
      <c r="N52" s="107" t="str">
        <f t="shared" si="1"/>
        <v/>
      </c>
    </row>
    <row r="53">
      <c r="A53" s="43" t="s">
        <v>226</v>
      </c>
      <c r="B53" s="43" t="str">
        <f>IF(A53="", "", IFERROR(VLOOKUP(A53, Clasificaciones!A:B, 2, FALSE), "DATO NO CARGADO"))</f>
        <v>Administración Finanzas</v>
      </c>
      <c r="C53" s="51" t="s">
        <v>129</v>
      </c>
      <c r="D53" s="156">
        <v>2025.0</v>
      </c>
      <c r="E53" s="43" t="s">
        <v>374</v>
      </c>
      <c r="F53" s="104"/>
      <c r="G53" s="104"/>
      <c r="H53" s="55" t="s">
        <v>383</v>
      </c>
      <c r="I53" s="43" t="s">
        <v>445</v>
      </c>
      <c r="J53" s="104">
        <v>45716.0</v>
      </c>
      <c r="K53" s="89">
        <v>537700.0</v>
      </c>
      <c r="L53" s="71"/>
      <c r="M53" s="106" t="str">
        <f>IF(ISBLANK(K53), "", VLOOKUP(C53, 'Info Tipo de Cambio y REM'!$A$24:$B$35, 2, FALSE))</f>
        <v>#N/A</v>
      </c>
      <c r="N53" s="107" t="str">
        <f t="shared" si="1"/>
        <v/>
      </c>
    </row>
    <row r="54">
      <c r="A54" s="43" t="s">
        <v>214</v>
      </c>
      <c r="B54" s="43" t="str">
        <f>IF(A54="", "", IFERROR(VLOOKUP(A54, Clasificaciones!A:B, 2, FALSE), "DATO NO CARGADO"))</f>
        <v>Equipo</v>
      </c>
      <c r="C54" s="51" t="s">
        <v>129</v>
      </c>
      <c r="D54" s="156">
        <v>2025.0</v>
      </c>
      <c r="E54" s="43" t="s">
        <v>374</v>
      </c>
      <c r="F54" s="104"/>
      <c r="G54" s="104"/>
      <c r="H54" s="55" t="s">
        <v>446</v>
      </c>
      <c r="I54" s="43" t="s">
        <v>447</v>
      </c>
      <c r="J54" s="104">
        <v>45716.0</v>
      </c>
      <c r="K54" s="89">
        <v>130500.0</v>
      </c>
      <c r="L54" s="71"/>
      <c r="M54" s="106" t="str">
        <f>IF(ISBLANK(K54), "", VLOOKUP(C54, 'Info Tipo de Cambio y REM'!$A$24:$B$35, 2, FALSE))</f>
        <v>#N/A</v>
      </c>
      <c r="N54" s="107" t="str">
        <f t="shared" si="1"/>
        <v/>
      </c>
    </row>
    <row r="55">
      <c r="A55" s="43" t="s">
        <v>139</v>
      </c>
      <c r="B55" s="43" t="str">
        <f>IF(A55="", "", IFERROR(VLOOKUP(A55, Clasificaciones!A:B, 2, FALSE), "DATO NO CARGADO"))</f>
        <v>People</v>
      </c>
      <c r="C55" s="51" t="s">
        <v>129</v>
      </c>
      <c r="D55" s="156">
        <v>2025.0</v>
      </c>
      <c r="E55" s="43" t="s">
        <v>374</v>
      </c>
      <c r="F55" s="104"/>
      <c r="G55" s="104"/>
      <c r="H55" s="55" t="s">
        <v>413</v>
      </c>
      <c r="I55" s="43" t="s">
        <v>448</v>
      </c>
      <c r="J55" s="104">
        <v>45716.0</v>
      </c>
      <c r="K55" s="89">
        <v>48399.0</v>
      </c>
      <c r="L55" s="71"/>
      <c r="M55" s="106" t="str">
        <f>IF(ISBLANK(K55), "", VLOOKUP(C55, 'Info Tipo de Cambio y REM'!$A$24:$B$35, 2, FALSE))</f>
        <v>#N/A</v>
      </c>
      <c r="N55" s="107" t="str">
        <f t="shared" si="1"/>
        <v/>
      </c>
    </row>
    <row r="56">
      <c r="A56" s="43" t="s">
        <v>235</v>
      </c>
      <c r="B56" s="43" t="str">
        <f>IF(A56="", "", IFERROR(VLOOKUP(A56, Clasificaciones!A:B, 2, FALSE), "DATO NO CARGADO"))</f>
        <v>Otros Proveedores</v>
      </c>
      <c r="C56" s="51" t="s">
        <v>129</v>
      </c>
      <c r="D56" s="156">
        <v>2025.0</v>
      </c>
      <c r="E56" s="43" t="s">
        <v>374</v>
      </c>
      <c r="F56" s="104"/>
      <c r="G56" s="104"/>
      <c r="H56" s="55" t="s">
        <v>385</v>
      </c>
      <c r="I56" s="43" t="s">
        <v>449</v>
      </c>
      <c r="J56" s="104">
        <v>45712.0</v>
      </c>
      <c r="K56" s="89">
        <v>845000.0</v>
      </c>
      <c r="L56" s="71"/>
      <c r="M56" s="106" t="str">
        <f>IF(ISBLANK(K56), "", VLOOKUP(C56, 'Info Tipo de Cambio y REM'!$A$24:$B$35, 2, FALSE))</f>
        <v>#N/A</v>
      </c>
      <c r="N56" s="107" t="str">
        <f t="shared" si="1"/>
        <v/>
      </c>
    </row>
    <row r="57">
      <c r="A57" s="43" t="s">
        <v>200</v>
      </c>
      <c r="B57" s="43" t="str">
        <f>IF(A57="", "", IFERROR(VLOOKUP(A57, Clasificaciones!A:B, 2, FALSE), "DATO NO CARGADO"))</f>
        <v>Equipo</v>
      </c>
      <c r="C57" s="51" t="s">
        <v>129</v>
      </c>
      <c r="D57" s="156">
        <v>2025.0</v>
      </c>
      <c r="E57" s="43" t="s">
        <v>374</v>
      </c>
      <c r="F57" s="104"/>
      <c r="G57" s="104"/>
      <c r="H57" s="55" t="s">
        <v>450</v>
      </c>
      <c r="I57" s="43" t="s">
        <v>451</v>
      </c>
      <c r="J57" s="104">
        <v>45716.0</v>
      </c>
      <c r="K57" s="89">
        <v>2460976.0</v>
      </c>
      <c r="L57" s="71"/>
      <c r="M57" s="106" t="str">
        <f>IF(ISBLANK(K57), "", VLOOKUP(C57, 'Info Tipo de Cambio y REM'!$A$24:$B$35, 2, FALSE))</f>
        <v>#N/A</v>
      </c>
      <c r="N57" s="107" t="str">
        <f t="shared" si="1"/>
        <v/>
      </c>
    </row>
    <row r="58">
      <c r="A58" s="43" t="s">
        <v>210</v>
      </c>
      <c r="B58" s="43" t="str">
        <f>IF(A58="", "", IFERROR(VLOOKUP(A58, Clasificaciones!A:B, 2, FALSE), "DATO NO CARGADO"))</f>
        <v>Equipo</v>
      </c>
      <c r="C58" s="51" t="s">
        <v>129</v>
      </c>
      <c r="D58" s="156">
        <v>2025.0</v>
      </c>
      <c r="E58" s="43" t="s">
        <v>374</v>
      </c>
      <c r="F58" s="104"/>
      <c r="G58" s="104"/>
      <c r="H58" s="55" t="s">
        <v>452</v>
      </c>
      <c r="I58" s="43" t="s">
        <v>453</v>
      </c>
      <c r="J58" s="104">
        <v>45721.0</v>
      </c>
      <c r="K58" s="89">
        <v>309057.0</v>
      </c>
      <c r="L58" s="71"/>
      <c r="M58" s="106" t="str">
        <f>IF(ISBLANK(K58), "", VLOOKUP(C58, 'Info Tipo de Cambio y REM'!$A$24:$B$35, 2, FALSE))</f>
        <v>#N/A</v>
      </c>
      <c r="N58" s="107" t="str">
        <f t="shared" si="1"/>
        <v/>
      </c>
    </row>
    <row r="59">
      <c r="A59" s="43" t="s">
        <v>221</v>
      </c>
      <c r="B59" s="43" t="str">
        <f>IF(A59="", "", IFERROR(VLOOKUP(A59, Clasificaciones!A:B, 2, FALSE), "DATO NO CARGADO"))</f>
        <v>Equipo</v>
      </c>
      <c r="C59" s="51" t="s">
        <v>129</v>
      </c>
      <c r="D59" s="156">
        <v>2025.0</v>
      </c>
      <c r="E59" s="43" t="s">
        <v>374</v>
      </c>
      <c r="F59" s="104"/>
      <c r="G59" s="104"/>
      <c r="H59" s="55" t="s">
        <v>454</v>
      </c>
      <c r="I59" s="43" t="s">
        <v>455</v>
      </c>
      <c r="J59" s="104">
        <v>45727.0</v>
      </c>
      <c r="K59" s="89">
        <v>1619384.0</v>
      </c>
      <c r="L59" s="71"/>
      <c r="M59" s="106" t="str">
        <f>IF(ISBLANK(K59), "", VLOOKUP(C59, 'Info Tipo de Cambio y REM'!$A$24:$B$35, 2, FALSE))</f>
        <v>#N/A</v>
      </c>
      <c r="N59" s="107" t="str">
        <f t="shared" si="1"/>
        <v/>
      </c>
    </row>
    <row r="60">
      <c r="A60" s="43" t="s">
        <v>120</v>
      </c>
      <c r="B60" s="43" t="str">
        <f>IF(A60="", "", IFERROR(VLOOKUP(A60, Clasificaciones!A:B, 2, FALSE), "DATO NO CARGADO"))</f>
        <v>Equipo</v>
      </c>
      <c r="C60" s="51" t="s">
        <v>129</v>
      </c>
      <c r="D60" s="156">
        <v>2025.0</v>
      </c>
      <c r="E60" s="43" t="s">
        <v>374</v>
      </c>
      <c r="F60" s="104"/>
      <c r="G60" s="104"/>
      <c r="H60" s="55" t="s">
        <v>456</v>
      </c>
      <c r="I60" s="43" t="s">
        <v>448</v>
      </c>
      <c r="J60" s="104">
        <v>45716.0</v>
      </c>
      <c r="K60" s="89">
        <v>2500000.0</v>
      </c>
      <c r="L60" s="71"/>
      <c r="M60" s="106" t="str">
        <f>IF(ISBLANK(K60), "", VLOOKUP(C60, 'Info Tipo de Cambio y REM'!$A$24:$B$35, 2, FALSE))</f>
        <v>#N/A</v>
      </c>
      <c r="N60" s="107" t="str">
        <f t="shared" si="1"/>
        <v/>
      </c>
    </row>
    <row r="61">
      <c r="A61" s="43" t="s">
        <v>127</v>
      </c>
      <c r="B61" s="43" t="str">
        <f>IF(A61="", "", IFERROR(VLOOKUP(A61, Clasificaciones!A:B, 2, FALSE), "DATO NO CARGADO"))</f>
        <v>Board</v>
      </c>
      <c r="C61" s="51" t="s">
        <v>129</v>
      </c>
      <c r="D61" s="156">
        <v>2025.0</v>
      </c>
      <c r="E61" s="43" t="s">
        <v>374</v>
      </c>
      <c r="F61" s="104"/>
      <c r="G61" s="104"/>
      <c r="H61" s="55" t="s">
        <v>393</v>
      </c>
      <c r="I61" s="43" t="s">
        <v>457</v>
      </c>
      <c r="J61" s="104">
        <v>45722.0</v>
      </c>
      <c r="K61" s="89">
        <v>1000000.0</v>
      </c>
      <c r="L61" s="71"/>
      <c r="M61" s="106" t="str">
        <f>IF(ISBLANK(K61), "", VLOOKUP(C61, 'Info Tipo de Cambio y REM'!$A$24:$B$35, 2, FALSE))</f>
        <v>#N/A</v>
      </c>
      <c r="N61" s="107" t="str">
        <f t="shared" si="1"/>
        <v/>
      </c>
    </row>
    <row r="62">
      <c r="A62" s="43" t="s">
        <v>127</v>
      </c>
      <c r="B62" s="43" t="str">
        <f>IF(A62="", "", IFERROR(VLOOKUP(A62, Clasificaciones!A:B, 2, FALSE), "DATO NO CARGADO"))</f>
        <v>Board</v>
      </c>
      <c r="C62" s="51" t="s">
        <v>129</v>
      </c>
      <c r="D62" s="156">
        <v>2025.0</v>
      </c>
      <c r="E62" s="43" t="s">
        <v>374</v>
      </c>
      <c r="F62" s="104"/>
      <c r="G62" s="104"/>
      <c r="H62" s="55" t="s">
        <v>458</v>
      </c>
      <c r="I62" s="43" t="s">
        <v>459</v>
      </c>
      <c r="J62" s="104">
        <v>45722.0</v>
      </c>
      <c r="K62" s="89">
        <v>1403068.0</v>
      </c>
      <c r="L62" s="71"/>
      <c r="M62" s="106" t="str">
        <f>IF(ISBLANK(K62), "", VLOOKUP(C62, 'Info Tipo de Cambio y REM'!$A$24:$B$35, 2, FALSE))</f>
        <v>#N/A</v>
      </c>
      <c r="N62" s="107" t="str">
        <f t="shared" si="1"/>
        <v/>
      </c>
    </row>
    <row r="63">
      <c r="A63" s="43" t="s">
        <v>212</v>
      </c>
      <c r="B63" s="43" t="str">
        <f>IF(A63="", "", IFERROR(VLOOKUP(A63, Clasificaciones!A:B, 2, FALSE), "DATO NO CARGADO"))</f>
        <v>Equipo</v>
      </c>
      <c r="C63" s="51" t="s">
        <v>129</v>
      </c>
      <c r="D63" s="156">
        <v>2025.0</v>
      </c>
      <c r="E63" s="43" t="s">
        <v>374</v>
      </c>
      <c r="F63" s="104"/>
      <c r="G63" s="104"/>
      <c r="H63" s="55" t="s">
        <v>377</v>
      </c>
      <c r="I63" s="43"/>
      <c r="J63" s="104"/>
      <c r="K63" s="89">
        <v>377230.0</v>
      </c>
      <c r="L63" s="71"/>
      <c r="M63" s="106" t="str">
        <f>IF(ISBLANK(K63), "", VLOOKUP(C63, 'Info Tipo de Cambio y REM'!$A$24:$B$35, 2, FALSE))</f>
        <v>#N/A</v>
      </c>
      <c r="N63" s="107" t="str">
        <f t="shared" si="1"/>
        <v/>
      </c>
    </row>
    <row r="64">
      <c r="A64" s="43" t="s">
        <v>169</v>
      </c>
      <c r="B64" s="43" t="str">
        <f>IF(A64="", "", IFERROR(VLOOKUP(A64, Clasificaciones!A:B, 2, FALSE), "DATO NO CARGADO"))</f>
        <v>Suscripciones/Herramientas</v>
      </c>
      <c r="C64" s="51" t="s">
        <v>129</v>
      </c>
      <c r="D64" s="156">
        <v>2025.0</v>
      </c>
      <c r="E64" s="43" t="s">
        <v>371</v>
      </c>
      <c r="F64" s="104"/>
      <c r="G64" s="104"/>
      <c r="H64" s="55" t="s">
        <v>417</v>
      </c>
      <c r="I64" s="43"/>
      <c r="J64" s="104">
        <v>45536.0</v>
      </c>
      <c r="K64" s="89"/>
      <c r="L64" s="89">
        <v>4050.0</v>
      </c>
      <c r="M64" s="106" t="str">
        <f>IF(ISBLANK(K64), "", VLOOKUP(C64, 'Info Tipo de Cambio y REM'!$A$24:$B$35, 2, FALSE))</f>
        <v/>
      </c>
      <c r="N64" s="107">
        <f t="shared" si="1"/>
        <v>4050</v>
      </c>
    </row>
    <row r="65">
      <c r="A65" s="43" t="s">
        <v>187</v>
      </c>
      <c r="B65" s="43" t="str">
        <f>IF(A65="", "", IFERROR(VLOOKUP(A65, Clasificaciones!A:B, 2, FALSE), "DATO NO CARGADO"))</f>
        <v>Gastos Varios</v>
      </c>
      <c r="C65" s="51" t="s">
        <v>129</v>
      </c>
      <c r="D65" s="156">
        <v>2025.0</v>
      </c>
      <c r="E65" s="43" t="s">
        <v>374</v>
      </c>
      <c r="F65" s="104"/>
      <c r="G65" s="104"/>
      <c r="H65" s="55" t="s">
        <v>418</v>
      </c>
      <c r="I65" s="43" t="s">
        <v>460</v>
      </c>
      <c r="J65" s="104">
        <v>45721.0</v>
      </c>
      <c r="K65" s="89"/>
      <c r="L65" s="89">
        <v>600.0</v>
      </c>
      <c r="M65" s="106" t="str">
        <f>IF(ISBLANK(K65), "", VLOOKUP(C65, 'Info Tipo de Cambio y REM'!$A$24:$B$35, 2, FALSE))</f>
        <v/>
      </c>
      <c r="N65" s="107">
        <f t="shared" si="1"/>
        <v>600</v>
      </c>
    </row>
    <row r="66">
      <c r="A66" s="43" t="s">
        <v>164</v>
      </c>
      <c r="B66" s="43" t="str">
        <f>IF(A66="", "", IFERROR(VLOOKUP(A66, Clasificaciones!A:B, 2, FALSE), "DATO NO CARGADO"))</f>
        <v>Estudio Contable</v>
      </c>
      <c r="C66" s="51" t="s">
        <v>129</v>
      </c>
      <c r="D66" s="156">
        <v>2025.0</v>
      </c>
      <c r="E66" s="43" t="s">
        <v>374</v>
      </c>
      <c r="F66" s="104"/>
      <c r="G66" s="104"/>
      <c r="H66" s="55" t="s">
        <v>461</v>
      </c>
      <c r="I66" s="43"/>
      <c r="J66" s="104">
        <v>45726.0</v>
      </c>
      <c r="K66" s="89">
        <v>45838.0</v>
      </c>
      <c r="L66" s="71"/>
      <c r="M66" s="106" t="str">
        <f>IF(ISBLANK(K66), "", VLOOKUP(C66, 'Info Tipo de Cambio y REM'!$A$24:$B$35, 2, FALSE))</f>
        <v>#N/A</v>
      </c>
      <c r="N66" s="107" t="str">
        <f t="shared" si="1"/>
        <v/>
      </c>
    </row>
    <row r="67">
      <c r="A67" s="43" t="s">
        <v>158</v>
      </c>
      <c r="B67" s="43" t="str">
        <f>IF(A67="", "", IFERROR(VLOOKUP(A67, Clasificaciones!A:B, 2, FALSE), "DATO NO CARGADO"))</f>
        <v>Tarjeta</v>
      </c>
      <c r="C67" s="51" t="s">
        <v>129</v>
      </c>
      <c r="D67" s="156">
        <v>2025.0</v>
      </c>
      <c r="E67" s="43" t="s">
        <v>374</v>
      </c>
      <c r="F67" s="104"/>
      <c r="G67" s="104"/>
      <c r="H67" s="55" t="s">
        <v>462</v>
      </c>
      <c r="I67" s="43"/>
      <c r="J67" s="104">
        <v>45721.0</v>
      </c>
      <c r="K67" s="89">
        <v>86405.0</v>
      </c>
      <c r="L67" s="71"/>
      <c r="M67" s="106" t="str">
        <f>IF(ISBLANK(K67), "", VLOOKUP(C67, 'Info Tipo de Cambio y REM'!$A$24:$B$35, 2, FALSE))</f>
        <v>#N/A</v>
      </c>
      <c r="N67" s="107" t="str">
        <f t="shared" si="1"/>
        <v/>
      </c>
    </row>
    <row r="68">
      <c r="A68" s="43" t="s">
        <v>146</v>
      </c>
      <c r="B68" s="43" t="str">
        <f>IF(A68="", "", IFERROR(VLOOKUP(A68, Clasificaciones!A:B, 2, FALSE), "DATO NO CARGADO"))</f>
        <v>Impuestos ARG</v>
      </c>
      <c r="C68" s="51" t="s">
        <v>129</v>
      </c>
      <c r="D68" s="156">
        <v>2025.0</v>
      </c>
      <c r="E68" s="43" t="s">
        <v>374</v>
      </c>
      <c r="F68" s="104"/>
      <c r="G68" s="104"/>
      <c r="H68" s="55" t="s">
        <v>463</v>
      </c>
      <c r="I68" s="43"/>
      <c r="J68" s="104">
        <v>45734.0</v>
      </c>
      <c r="K68" s="89">
        <v>306411.0</v>
      </c>
      <c r="L68" s="71"/>
      <c r="M68" s="106" t="str">
        <f>IF(ISBLANK(K68), "", VLOOKUP(C68, 'Info Tipo de Cambio y REM'!$A$24:$B$35, 2, FALSE))</f>
        <v>#N/A</v>
      </c>
      <c r="N68" s="107" t="str">
        <f t="shared" si="1"/>
        <v/>
      </c>
    </row>
    <row r="69">
      <c r="A69" s="43" t="s">
        <v>152</v>
      </c>
      <c r="B69" s="43" t="str">
        <f>IF(A69="", "", IFERROR(VLOOKUP(A69, Clasificaciones!A:B, 2, FALSE), "DATO NO CARGADO"))</f>
        <v>Impuestos ARG</v>
      </c>
      <c r="C69" s="51" t="s">
        <v>129</v>
      </c>
      <c r="D69" s="156">
        <v>2025.0</v>
      </c>
      <c r="E69" s="43" t="s">
        <v>374</v>
      </c>
      <c r="F69" s="104"/>
      <c r="G69" s="104"/>
      <c r="H69" s="55" t="s">
        <v>464</v>
      </c>
      <c r="I69" s="43"/>
      <c r="J69" s="104">
        <v>45738.0</v>
      </c>
      <c r="K69" s="89">
        <v>1256673.0</v>
      </c>
      <c r="L69" s="71"/>
      <c r="M69" s="106" t="str">
        <f>IF(ISBLANK(K69), "", VLOOKUP(C69, 'Info Tipo de Cambio y REM'!$A$24:$B$35, 2, FALSE))</f>
        <v>#N/A</v>
      </c>
      <c r="N69" s="107" t="str">
        <f t="shared" si="1"/>
        <v/>
      </c>
    </row>
    <row r="70">
      <c r="A70" s="43" t="s">
        <v>133</v>
      </c>
      <c r="B70" s="43" t="str">
        <f>IF(A70="", "", IFERROR(VLOOKUP(A70, Clasificaciones!A:B, 2, FALSE), "DATO NO CARGADO"))</f>
        <v>Board</v>
      </c>
      <c r="C70" s="51" t="s">
        <v>129</v>
      </c>
      <c r="D70" s="156">
        <v>2025.0</v>
      </c>
      <c r="E70" s="43" t="s">
        <v>374</v>
      </c>
      <c r="F70" s="104"/>
      <c r="G70" s="104"/>
      <c r="H70" s="55" t="s">
        <v>465</v>
      </c>
      <c r="I70" s="43"/>
      <c r="J70" s="104">
        <v>45721.0</v>
      </c>
      <c r="K70" s="89">
        <v>1263720.0</v>
      </c>
      <c r="L70" s="71"/>
      <c r="M70" s="106" t="str">
        <f>IF(ISBLANK(K70), "", VLOOKUP(C70, 'Info Tipo de Cambio y REM'!$A$24:$B$35, 2, FALSE))</f>
        <v>#N/A</v>
      </c>
      <c r="N70" s="107" t="str">
        <f t="shared" si="1"/>
        <v/>
      </c>
    </row>
    <row r="71">
      <c r="A71" s="43" t="s">
        <v>222</v>
      </c>
      <c r="B71" s="43" t="str">
        <f>IF(A71="", "", IFERROR(VLOOKUP(A71, Clasificaciones!A:B, 2, FALSE), "DATO NO CARGADO"))</f>
        <v>Oxean</v>
      </c>
      <c r="C71" s="51" t="s">
        <v>129</v>
      </c>
      <c r="D71" s="156">
        <v>2025.0</v>
      </c>
      <c r="E71" s="43" t="s">
        <v>374</v>
      </c>
      <c r="F71" s="104"/>
      <c r="G71" s="104"/>
      <c r="H71" s="55" t="s">
        <v>466</v>
      </c>
      <c r="I71" s="43"/>
      <c r="J71" s="104">
        <v>45721.0</v>
      </c>
      <c r="K71" s="89">
        <v>3418250.0</v>
      </c>
      <c r="L71" s="71"/>
      <c r="M71" s="106" t="str">
        <f>IF(ISBLANK(K71), "", VLOOKUP(C71, 'Info Tipo de Cambio y REM'!$A$24:$B$35, 2, FALSE))</f>
        <v>#N/A</v>
      </c>
      <c r="N71" s="107" t="str">
        <f t="shared" si="1"/>
        <v/>
      </c>
    </row>
    <row r="72">
      <c r="A72" s="43" t="s">
        <v>191</v>
      </c>
      <c r="B72" s="43" t="str">
        <f>IF(A72="", "", IFERROR(VLOOKUP(A72, Clasificaciones!A:B, 2, FALSE), "DATO NO CARGADO"))</f>
        <v>Tarjeta</v>
      </c>
      <c r="C72" s="51" t="s">
        <v>129</v>
      </c>
      <c r="D72" s="156">
        <v>2025.0</v>
      </c>
      <c r="E72" s="43" t="s">
        <v>374</v>
      </c>
      <c r="F72" s="104"/>
      <c r="G72" s="104"/>
      <c r="H72" s="158"/>
      <c r="I72" s="43" t="s">
        <v>467</v>
      </c>
      <c r="J72" s="104"/>
      <c r="K72" s="89"/>
      <c r="L72" s="89">
        <v>12.0</v>
      </c>
      <c r="M72" s="106" t="str">
        <f>IF(ISBLANK(K72), "", VLOOKUP(C72, 'Info Tipo de Cambio y REM'!$A$24:$B$35, 2, FALSE))</f>
        <v/>
      </c>
      <c r="N72" s="107">
        <f t="shared" si="1"/>
        <v>12</v>
      </c>
    </row>
    <row r="73">
      <c r="A73" s="43" t="s">
        <v>191</v>
      </c>
      <c r="B73" s="43" t="str">
        <f>IF(A73="", "", IFERROR(VLOOKUP(A73, Clasificaciones!A:B, 2, FALSE), "DATO NO CARGADO"))</f>
        <v>Tarjeta</v>
      </c>
      <c r="C73" s="51" t="s">
        <v>129</v>
      </c>
      <c r="D73" s="156">
        <v>2025.0</v>
      </c>
      <c r="E73" s="43" t="s">
        <v>374</v>
      </c>
      <c r="F73" s="104"/>
      <c r="G73" s="104"/>
      <c r="H73" s="158"/>
      <c r="I73" s="43" t="s">
        <v>468</v>
      </c>
      <c r="J73" s="104"/>
      <c r="K73" s="89"/>
      <c r="L73" s="89">
        <v>466.0</v>
      </c>
      <c r="M73" s="106" t="str">
        <f>IF(ISBLANK(K73), "", VLOOKUP(C73, 'Info Tipo de Cambio y REM'!$A$24:$B$35, 2, FALSE))</f>
        <v/>
      </c>
      <c r="N73" s="107">
        <f t="shared" si="1"/>
        <v>466</v>
      </c>
    </row>
    <row r="74">
      <c r="A74" s="43" t="s">
        <v>191</v>
      </c>
      <c r="B74" s="43" t="str">
        <f>IF(A74="", "", IFERROR(VLOOKUP(A74, Clasificaciones!A:B, 2, FALSE), "DATO NO CARGADO"))</f>
        <v>Tarjeta</v>
      </c>
      <c r="C74" s="51" t="s">
        <v>129</v>
      </c>
      <c r="D74" s="156">
        <v>2025.0</v>
      </c>
      <c r="E74" s="43" t="s">
        <v>374</v>
      </c>
      <c r="F74" s="104"/>
      <c r="G74" s="104"/>
      <c r="H74" s="158"/>
      <c r="I74" s="43" t="s">
        <v>469</v>
      </c>
      <c r="J74" s="104"/>
      <c r="K74" s="89"/>
      <c r="L74" s="89">
        <v>304.0</v>
      </c>
      <c r="M74" s="106" t="str">
        <f>IF(ISBLANK(K74), "", VLOOKUP(C74, 'Info Tipo de Cambio y REM'!$A$24:$B$35, 2, FALSE))</f>
        <v/>
      </c>
      <c r="N74" s="107">
        <f t="shared" si="1"/>
        <v>304</v>
      </c>
    </row>
    <row r="75">
      <c r="A75" s="43" t="s">
        <v>191</v>
      </c>
      <c r="B75" s="43" t="str">
        <f>IF(A75="", "", IFERROR(VLOOKUP(A75, Clasificaciones!A:B, 2, FALSE), "DATO NO CARGADO"))</f>
        <v>Tarjeta</v>
      </c>
      <c r="C75" s="51" t="s">
        <v>129</v>
      </c>
      <c r="D75" s="156">
        <v>2025.0</v>
      </c>
      <c r="E75" s="43" t="s">
        <v>374</v>
      </c>
      <c r="F75" s="104"/>
      <c r="G75" s="104"/>
      <c r="H75" s="158"/>
      <c r="I75" s="43" t="s">
        <v>470</v>
      </c>
      <c r="J75" s="104"/>
      <c r="K75" s="89"/>
      <c r="L75" s="89">
        <v>8.0</v>
      </c>
      <c r="M75" s="106" t="str">
        <f>IF(ISBLANK(K75), "", VLOOKUP(C75, 'Info Tipo de Cambio y REM'!$A$24:$B$35, 2, FALSE))</f>
        <v/>
      </c>
      <c r="N75" s="107">
        <f t="shared" si="1"/>
        <v>8</v>
      </c>
    </row>
    <row r="76">
      <c r="A76" s="43" t="s">
        <v>191</v>
      </c>
      <c r="B76" s="43" t="str">
        <f>IF(A76="", "", IFERROR(VLOOKUP(A76, Clasificaciones!A:B, 2, FALSE), "DATO NO CARGADO"))</f>
        <v>Tarjeta</v>
      </c>
      <c r="C76" s="51" t="s">
        <v>129</v>
      </c>
      <c r="D76" s="156">
        <v>2025.0</v>
      </c>
      <c r="E76" s="43" t="s">
        <v>374</v>
      </c>
      <c r="F76" s="104"/>
      <c r="G76" s="104"/>
      <c r="H76" s="158"/>
      <c r="I76" s="43" t="s">
        <v>471</v>
      </c>
      <c r="J76" s="104"/>
      <c r="K76" s="89"/>
      <c r="L76" s="89">
        <v>14.19</v>
      </c>
      <c r="M76" s="106" t="str">
        <f>IF(ISBLANK(K76), "", VLOOKUP(C76, 'Info Tipo de Cambio y REM'!$A$24:$B$35, 2, FALSE))</f>
        <v/>
      </c>
      <c r="N76" s="107">
        <f t="shared" si="1"/>
        <v>14.19</v>
      </c>
    </row>
    <row r="77">
      <c r="A77" s="43" t="s">
        <v>191</v>
      </c>
      <c r="B77" s="43" t="str">
        <f>IF(A77="", "", IFERROR(VLOOKUP(A77, Clasificaciones!A:B, 2, FALSE), "DATO NO CARGADO"))</f>
        <v>Tarjeta</v>
      </c>
      <c r="C77" s="51" t="s">
        <v>129</v>
      </c>
      <c r="D77" s="156">
        <v>2025.0</v>
      </c>
      <c r="E77" s="43" t="s">
        <v>374</v>
      </c>
      <c r="F77" s="104"/>
      <c r="G77" s="104"/>
      <c r="H77" s="158"/>
      <c r="I77" s="43" t="s">
        <v>472</v>
      </c>
      <c r="J77" s="104"/>
      <c r="K77" s="89"/>
      <c r="L77" s="89">
        <v>22.99</v>
      </c>
      <c r="M77" s="106" t="str">
        <f>IF(ISBLANK(K77), "", VLOOKUP(C77, 'Info Tipo de Cambio y REM'!$A$24:$B$35, 2, FALSE))</f>
        <v/>
      </c>
      <c r="N77" s="107">
        <f t="shared" si="1"/>
        <v>22.99</v>
      </c>
    </row>
    <row r="78">
      <c r="A78" s="43" t="s">
        <v>191</v>
      </c>
      <c r="B78" s="43" t="str">
        <f>IF(A78="", "", IFERROR(VLOOKUP(A78, Clasificaciones!A:B, 2, FALSE), "DATO NO CARGADO"))</f>
        <v>Tarjeta</v>
      </c>
      <c r="C78" s="51" t="s">
        <v>129</v>
      </c>
      <c r="D78" s="156">
        <v>2025.0</v>
      </c>
      <c r="E78" s="43" t="s">
        <v>374</v>
      </c>
      <c r="F78" s="104"/>
      <c r="G78" s="104"/>
      <c r="H78" s="158"/>
      <c r="I78" s="43" t="s">
        <v>473</v>
      </c>
      <c r="J78" s="104"/>
      <c r="K78" s="89"/>
      <c r="L78" s="89">
        <v>25.0</v>
      </c>
      <c r="M78" s="106" t="str">
        <f>IF(ISBLANK(K78), "", VLOOKUP(C78, 'Info Tipo de Cambio y REM'!$A$24:$B$35, 2, FALSE))</f>
        <v/>
      </c>
      <c r="N78" s="107">
        <f t="shared" si="1"/>
        <v>25</v>
      </c>
    </row>
    <row r="79">
      <c r="A79" s="43" t="s">
        <v>191</v>
      </c>
      <c r="B79" s="43" t="str">
        <f>IF(A79="", "", IFERROR(VLOOKUP(A79, Clasificaciones!A:B, 2, FALSE), "DATO NO CARGADO"))</f>
        <v>Tarjeta</v>
      </c>
      <c r="C79" s="51" t="s">
        <v>129</v>
      </c>
      <c r="D79" s="156">
        <v>2025.0</v>
      </c>
      <c r="E79" s="43" t="s">
        <v>374</v>
      </c>
      <c r="F79" s="104"/>
      <c r="G79" s="104"/>
      <c r="H79" s="158"/>
      <c r="I79" s="43" t="s">
        <v>474</v>
      </c>
      <c r="J79" s="104"/>
      <c r="K79" s="89"/>
      <c r="L79" s="89">
        <v>20.0</v>
      </c>
      <c r="M79" s="106" t="str">
        <f>IF(ISBLANK(K79), "", VLOOKUP(C79, 'Info Tipo de Cambio y REM'!$A$24:$B$35, 2, FALSE))</f>
        <v/>
      </c>
      <c r="N79" s="107">
        <f t="shared" si="1"/>
        <v>20</v>
      </c>
    </row>
    <row r="80">
      <c r="A80" s="43" t="s">
        <v>191</v>
      </c>
      <c r="B80" s="43" t="str">
        <f>IF(A80="", "", IFERROR(VLOOKUP(A80, Clasificaciones!A:B, 2, FALSE), "DATO NO CARGADO"))</f>
        <v>Tarjeta</v>
      </c>
      <c r="C80" s="51" t="s">
        <v>129</v>
      </c>
      <c r="D80" s="156">
        <v>2025.0</v>
      </c>
      <c r="E80" s="43" t="s">
        <v>374</v>
      </c>
      <c r="F80" s="104"/>
      <c r="G80" s="104"/>
      <c r="H80" s="158"/>
      <c r="I80" s="43" t="s">
        <v>475</v>
      </c>
      <c r="J80" s="104"/>
      <c r="K80" s="89"/>
      <c r="L80" s="89">
        <v>6.49</v>
      </c>
      <c r="M80" s="106" t="str">
        <f>IF(ISBLANK(K80), "", VLOOKUP(C80, 'Info Tipo de Cambio y REM'!$A$24:$B$35, 2, FALSE))</f>
        <v/>
      </c>
      <c r="N80" s="107">
        <f t="shared" si="1"/>
        <v>6.49</v>
      </c>
    </row>
    <row r="81">
      <c r="A81" s="133" t="s">
        <v>153</v>
      </c>
      <c r="B81" s="43" t="str">
        <f>IF(A81="", "", IFERROR(VLOOKUP(A81, Clasificaciones!A:B, 2, FALSE), "DATO NO CARGADO"))</f>
        <v>Impuestos USA</v>
      </c>
      <c r="C81" s="141" t="s">
        <v>129</v>
      </c>
      <c r="D81" s="157">
        <v>2025.0</v>
      </c>
      <c r="E81" s="43" t="s">
        <v>371</v>
      </c>
      <c r="F81" s="104"/>
      <c r="G81" s="104"/>
      <c r="H81" s="55" t="s">
        <v>434</v>
      </c>
      <c r="I81" s="43"/>
      <c r="J81" s="104"/>
      <c r="K81" s="89"/>
      <c r="L81" s="89">
        <v>16758.0</v>
      </c>
      <c r="M81" s="106" t="str">
        <f>IF(ISBLANK(K81), "", VLOOKUP(C81, 'Info Tipo de Cambio y REM'!$A$24:$B$35, 2, FALSE))</f>
        <v/>
      </c>
      <c r="N81" s="107">
        <f t="shared" si="1"/>
        <v>16758</v>
      </c>
    </row>
    <row r="82">
      <c r="A82" s="43" t="s">
        <v>237</v>
      </c>
      <c r="B82" s="43" t="str">
        <f>IF(A82="", "", IFERROR(VLOOKUP(A82, Clasificaciones!A:B, 2, FALSE), "DATO NO CARGADO"))</f>
        <v>Otros Proveedores</v>
      </c>
      <c r="C82" s="51" t="s">
        <v>136</v>
      </c>
      <c r="D82" s="156">
        <v>2025.0</v>
      </c>
      <c r="E82" s="43" t="s">
        <v>371</v>
      </c>
      <c r="F82" s="104"/>
      <c r="G82" s="104"/>
      <c r="H82" s="55" t="s">
        <v>372</v>
      </c>
      <c r="I82" s="43" t="s">
        <v>373</v>
      </c>
      <c r="J82" s="104"/>
      <c r="K82" s="89">
        <v>96000.0</v>
      </c>
      <c r="L82" s="71"/>
      <c r="M82" s="106" t="str">
        <f>IF(ISBLANK(K82), "", VLOOKUP(C82, 'Info Tipo de Cambio y REM'!$A$24:$B$35, 2, FALSE))</f>
        <v>#N/A</v>
      </c>
      <c r="N82" s="107" t="str">
        <f t="shared" si="1"/>
        <v/>
      </c>
    </row>
    <row r="83">
      <c r="A83" s="43" t="s">
        <v>205</v>
      </c>
      <c r="B83" s="43" t="str">
        <f>IF(A83="", "", IFERROR(VLOOKUP(A83, Clasificaciones!A:B, 2, FALSE), "DATO NO CARGADO"))</f>
        <v>Equipo</v>
      </c>
      <c r="C83" s="51" t="s">
        <v>136</v>
      </c>
      <c r="D83" s="156">
        <v>2025.0</v>
      </c>
      <c r="E83" s="43" t="s">
        <v>374</v>
      </c>
      <c r="F83" s="104"/>
      <c r="G83" s="104"/>
      <c r="H83" s="55" t="s">
        <v>379</v>
      </c>
      <c r="I83" s="43"/>
      <c r="J83" s="104"/>
      <c r="K83" s="89">
        <v>1087761.0</v>
      </c>
      <c r="L83" s="71"/>
      <c r="M83" s="106" t="str">
        <f>IF(ISBLANK(K83), "", VLOOKUP(C83, 'Info Tipo de Cambio y REM'!$A$24:$B$35, 2, FALSE))</f>
        <v>#N/A</v>
      </c>
      <c r="N83" s="107" t="str">
        <f t="shared" si="1"/>
        <v/>
      </c>
    </row>
    <row r="84">
      <c r="A84" s="43" t="s">
        <v>214</v>
      </c>
      <c r="B84" s="43" t="str">
        <f>IF(A84="", "", IFERROR(VLOOKUP(A84, Clasificaciones!A:B, 2, FALSE), "DATO NO CARGADO"))</f>
        <v>Equipo</v>
      </c>
      <c r="C84" s="51" t="s">
        <v>136</v>
      </c>
      <c r="D84" s="156">
        <v>2025.0</v>
      </c>
      <c r="E84" s="43" t="s">
        <v>374</v>
      </c>
      <c r="F84" s="104"/>
      <c r="G84" s="104"/>
      <c r="H84" s="55" t="s">
        <v>476</v>
      </c>
      <c r="I84" s="43"/>
      <c r="J84" s="104"/>
      <c r="K84" s="89">
        <v>1500000.0</v>
      </c>
      <c r="L84" s="71"/>
      <c r="M84" s="106" t="str">
        <f>IF(ISBLANK(K84), "", VLOOKUP(C84, 'Info Tipo de Cambio y REM'!$A$24:$B$35, 2, FALSE))</f>
        <v>#N/A</v>
      </c>
      <c r="N84" s="107" t="str">
        <f t="shared" si="1"/>
        <v/>
      </c>
    </row>
    <row r="85">
      <c r="A85" s="43" t="s">
        <v>200</v>
      </c>
      <c r="B85" s="43" t="str">
        <f>IF(A85="", "", IFERROR(VLOOKUP(A85, Clasificaciones!A:B, 2, FALSE), "DATO NO CARGADO"))</f>
        <v>Equipo</v>
      </c>
      <c r="C85" s="51" t="s">
        <v>136</v>
      </c>
      <c r="D85" s="156">
        <v>2025.0</v>
      </c>
      <c r="E85" s="43" t="s">
        <v>374</v>
      </c>
      <c r="F85" s="104"/>
      <c r="G85" s="104"/>
      <c r="H85" s="55" t="s">
        <v>381</v>
      </c>
      <c r="I85" s="43"/>
      <c r="J85" s="104"/>
      <c r="K85" s="89">
        <v>2022720.0</v>
      </c>
      <c r="L85" s="71"/>
      <c r="M85" s="106" t="str">
        <f>IF(ISBLANK(K85), "", VLOOKUP(C85, 'Info Tipo de Cambio y REM'!$A$24:$B$35, 2, FALSE))</f>
        <v>#N/A</v>
      </c>
      <c r="N85" s="107" t="str">
        <f t="shared" si="1"/>
        <v/>
      </c>
    </row>
    <row r="86">
      <c r="A86" s="43" t="s">
        <v>234</v>
      </c>
      <c r="B86" s="43" t="str">
        <f>IF(A86="", "", IFERROR(VLOOKUP(A86, Clasificaciones!A:B, 2, FALSE), "DATO NO CARGADO"))</f>
        <v>Equipo</v>
      </c>
      <c r="C86" s="51" t="s">
        <v>136</v>
      </c>
      <c r="D86" s="156">
        <v>2025.0</v>
      </c>
      <c r="E86" s="43" t="s">
        <v>374</v>
      </c>
      <c r="F86" s="104"/>
      <c r="G86" s="104"/>
      <c r="H86" s="55" t="s">
        <v>477</v>
      </c>
      <c r="I86" s="43"/>
      <c r="J86" s="104"/>
      <c r="K86" s="89">
        <v>800000.0</v>
      </c>
      <c r="L86" s="71"/>
      <c r="M86" s="106" t="str">
        <f>IF(ISBLANK(K86), "", VLOOKUP(C86, 'Info Tipo de Cambio y REM'!$A$24:$B$35, 2, FALSE))</f>
        <v>#N/A</v>
      </c>
      <c r="N86" s="107" t="str">
        <f t="shared" si="1"/>
        <v/>
      </c>
    </row>
    <row r="87">
      <c r="A87" s="43" t="s">
        <v>228</v>
      </c>
      <c r="B87" s="43" t="str">
        <f>IF(A87="", "", IFERROR(VLOOKUP(A87, Clasificaciones!A:B, 2, FALSE), "DATO NO CARGADO"))</f>
        <v>Equipo</v>
      </c>
      <c r="C87" s="51" t="s">
        <v>136</v>
      </c>
      <c r="D87" s="156">
        <v>2025.0</v>
      </c>
      <c r="E87" s="43" t="s">
        <v>374</v>
      </c>
      <c r="F87" s="104"/>
      <c r="G87" s="104"/>
      <c r="H87" s="55" t="s">
        <v>436</v>
      </c>
      <c r="I87" s="43"/>
      <c r="J87" s="104"/>
      <c r="K87" s="89">
        <v>1620000.0</v>
      </c>
      <c r="L87" s="71"/>
      <c r="M87" s="106" t="str">
        <f>IF(ISBLANK(K87), "", VLOOKUP(C87, 'Info Tipo de Cambio y REM'!$A$24:$B$35, 2, FALSE))</f>
        <v>#N/A</v>
      </c>
      <c r="N87" s="107" t="str">
        <f t="shared" si="1"/>
        <v/>
      </c>
    </row>
    <row r="88">
      <c r="A88" s="43" t="s">
        <v>226</v>
      </c>
      <c r="B88" s="43" t="str">
        <f>IF(A88="", "", IFERROR(VLOOKUP(A88, Clasificaciones!A:B, 2, FALSE), "DATO NO CARGADO"))</f>
        <v>Administración Finanzas</v>
      </c>
      <c r="C88" s="51" t="s">
        <v>136</v>
      </c>
      <c r="D88" s="156">
        <v>2025.0</v>
      </c>
      <c r="E88" s="43" t="s">
        <v>374</v>
      </c>
      <c r="F88" s="104"/>
      <c r="G88" s="104"/>
      <c r="H88" s="55" t="s">
        <v>383</v>
      </c>
      <c r="I88" s="43"/>
      <c r="J88" s="104"/>
      <c r="K88" s="89">
        <v>537700.0</v>
      </c>
      <c r="L88" s="71"/>
      <c r="M88" s="106" t="str">
        <f>IF(ISBLANK(K88), "", VLOOKUP(C88, 'Info Tipo de Cambio y REM'!$A$24:$B$35, 2, FALSE))</f>
        <v>#N/A</v>
      </c>
      <c r="N88" s="107" t="str">
        <f t="shared" si="1"/>
        <v/>
      </c>
    </row>
    <row r="89">
      <c r="A89" s="43" t="s">
        <v>235</v>
      </c>
      <c r="B89" s="43" t="str">
        <f>IF(A89="", "", IFERROR(VLOOKUP(A89, Clasificaciones!A:B, 2, FALSE), "DATO NO CARGADO"))</f>
        <v>Otros Proveedores</v>
      </c>
      <c r="C89" s="51" t="s">
        <v>136</v>
      </c>
      <c r="D89" s="156">
        <v>2025.0</v>
      </c>
      <c r="E89" s="43" t="s">
        <v>374</v>
      </c>
      <c r="F89" s="104"/>
      <c r="G89" s="104"/>
      <c r="H89" s="55" t="s">
        <v>385</v>
      </c>
      <c r="I89" s="43"/>
      <c r="J89" s="104"/>
      <c r="K89" s="89">
        <v>845000.0</v>
      </c>
      <c r="L89" s="71"/>
      <c r="M89" s="106" t="str">
        <f>IF(ISBLANK(K89), "", VLOOKUP(C89, 'Info Tipo de Cambio y REM'!$A$24:$B$35, 2, FALSE))</f>
        <v>#N/A</v>
      </c>
      <c r="N89" s="107" t="str">
        <f t="shared" si="1"/>
        <v/>
      </c>
    </row>
    <row r="90">
      <c r="A90" s="43" t="s">
        <v>120</v>
      </c>
      <c r="B90" s="43" t="str">
        <f>IF(A90="", "", IFERROR(VLOOKUP(A90, Clasificaciones!A:B, 2, FALSE), "DATO NO CARGADO"))</f>
        <v>Equipo</v>
      </c>
      <c r="C90" s="51" t="s">
        <v>136</v>
      </c>
      <c r="D90" s="156">
        <v>2025.0</v>
      </c>
      <c r="E90" s="43" t="s">
        <v>374</v>
      </c>
      <c r="F90" s="104"/>
      <c r="G90" s="104"/>
      <c r="H90" s="55" t="s">
        <v>387</v>
      </c>
      <c r="I90" s="43"/>
      <c r="J90" s="104"/>
      <c r="K90" s="89">
        <v>2500000.0</v>
      </c>
      <c r="L90" s="71"/>
      <c r="M90" s="106" t="str">
        <f>IF(ISBLANK(K90), "", VLOOKUP(C90, 'Info Tipo de Cambio y REM'!$A$24:$B$35, 2, FALSE))</f>
        <v>#N/A</v>
      </c>
      <c r="N90" s="107" t="str">
        <f t="shared" si="1"/>
        <v/>
      </c>
    </row>
    <row r="91">
      <c r="A91" s="43" t="s">
        <v>207</v>
      </c>
      <c r="B91" s="43" t="str">
        <f>IF(A91="", "", IFERROR(VLOOKUP(A91, Clasificaciones!A:B, 2, FALSE), "DATO NO CARGADO"))</f>
        <v>Equipo</v>
      </c>
      <c r="C91" s="51" t="s">
        <v>136</v>
      </c>
      <c r="D91" s="156">
        <v>2025.0</v>
      </c>
      <c r="E91" s="43" t="s">
        <v>374</v>
      </c>
      <c r="F91" s="104"/>
      <c r="G91" s="104"/>
      <c r="H91" s="55" t="s">
        <v>389</v>
      </c>
      <c r="I91" s="43"/>
      <c r="J91" s="104"/>
      <c r="K91" s="89">
        <v>820000.0</v>
      </c>
      <c r="L91" s="71"/>
      <c r="M91" s="106" t="str">
        <f>IF(ISBLANK(K91), "", VLOOKUP(C91, 'Info Tipo de Cambio y REM'!$A$24:$B$35, 2, FALSE))</f>
        <v>#N/A</v>
      </c>
      <c r="N91" s="107" t="str">
        <f t="shared" si="1"/>
        <v/>
      </c>
    </row>
    <row r="92">
      <c r="A92" s="43" t="s">
        <v>87</v>
      </c>
      <c r="B92" s="43" t="str">
        <f>IF(A92="", "", IFERROR(VLOOKUP(A92, Clasificaciones!A:B, 2, FALSE), "DATO NO CARGADO"))</f>
        <v>Equipo</v>
      </c>
      <c r="C92" s="51" t="s">
        <v>136</v>
      </c>
      <c r="D92" s="156">
        <v>2025.0</v>
      </c>
      <c r="E92" s="43" t="s">
        <v>374</v>
      </c>
      <c r="F92" s="104"/>
      <c r="G92" s="104"/>
      <c r="H92" s="55" t="s">
        <v>391</v>
      </c>
      <c r="I92" s="43"/>
      <c r="J92" s="104"/>
      <c r="K92" s="89">
        <v>572000.0</v>
      </c>
      <c r="L92" s="71"/>
      <c r="M92" s="106" t="str">
        <f>IF(ISBLANK(K92), "", VLOOKUP(C92, 'Info Tipo de Cambio y REM'!$A$24:$B$35, 2, FALSE))</f>
        <v>#N/A</v>
      </c>
      <c r="N92" s="107" t="str">
        <f t="shared" si="1"/>
        <v/>
      </c>
    </row>
    <row r="93">
      <c r="A93" s="43" t="s">
        <v>127</v>
      </c>
      <c r="B93" s="43" t="str">
        <f>IF(A93="", "", IFERROR(VLOOKUP(A93, Clasificaciones!A:B, 2, FALSE), "DATO NO CARGADO"))</f>
        <v>Board</v>
      </c>
      <c r="C93" s="51" t="s">
        <v>136</v>
      </c>
      <c r="D93" s="156">
        <v>2025.0</v>
      </c>
      <c r="E93" s="43" t="s">
        <v>374</v>
      </c>
      <c r="F93" s="104"/>
      <c r="G93" s="104"/>
      <c r="H93" s="55" t="s">
        <v>393</v>
      </c>
      <c r="I93" s="43"/>
      <c r="J93" s="104"/>
      <c r="K93" s="89">
        <v>1000000.0</v>
      </c>
      <c r="L93" s="71"/>
      <c r="M93" s="106" t="str">
        <f>IF(ISBLANK(K93), "", VLOOKUP(C93, 'Info Tipo de Cambio y REM'!$A$24:$B$35, 2, FALSE))</f>
        <v>#N/A</v>
      </c>
      <c r="N93" s="107" t="str">
        <f t="shared" si="1"/>
        <v/>
      </c>
    </row>
    <row r="94">
      <c r="A94" s="43" t="s">
        <v>210</v>
      </c>
      <c r="B94" s="43" t="str">
        <f>IF(A94="", "", IFERROR(VLOOKUP(A94, Clasificaciones!A:B, 2, FALSE), "DATO NO CARGADO"))</f>
        <v>Equipo</v>
      </c>
      <c r="C94" s="51" t="s">
        <v>136</v>
      </c>
      <c r="D94" s="156">
        <v>2025.0</v>
      </c>
      <c r="E94" s="43" t="s">
        <v>374</v>
      </c>
      <c r="F94" s="104"/>
      <c r="G94" s="104"/>
      <c r="H94" s="55" t="s">
        <v>397</v>
      </c>
      <c r="I94" s="43"/>
      <c r="J94" s="104"/>
      <c r="K94" s="89">
        <v>390001.0</v>
      </c>
      <c r="L94" s="71"/>
      <c r="M94" s="106" t="str">
        <f>IF(ISBLANK(K94), "", VLOOKUP(C94, 'Info Tipo de Cambio y REM'!$A$24:$B$35, 2, FALSE))</f>
        <v>#N/A</v>
      </c>
      <c r="N94" s="107" t="str">
        <f t="shared" si="1"/>
        <v/>
      </c>
    </row>
    <row r="95">
      <c r="A95" s="43" t="s">
        <v>219</v>
      </c>
      <c r="B95" s="43" t="str">
        <f>IF(A95="", "", IFERROR(VLOOKUP(A95, Clasificaciones!A:B, 2, FALSE), "DATO NO CARGADO"))</f>
        <v>Gastos Varios</v>
      </c>
      <c r="C95" s="51" t="s">
        <v>136</v>
      </c>
      <c r="D95" s="156">
        <v>2025.0</v>
      </c>
      <c r="E95" s="43" t="s">
        <v>374</v>
      </c>
      <c r="F95" s="104"/>
      <c r="G95" s="104"/>
      <c r="H95" s="55" t="s">
        <v>399</v>
      </c>
      <c r="I95" s="43"/>
      <c r="J95" s="104"/>
      <c r="K95" s="89">
        <v>495998.0</v>
      </c>
      <c r="L95" s="71"/>
      <c r="M95" s="106" t="str">
        <f>IF(ISBLANK(K95), "", VLOOKUP(C95, 'Info Tipo de Cambio y REM'!$A$24:$B$35, 2, FALSE))</f>
        <v>#N/A</v>
      </c>
      <c r="N95" s="107" t="str">
        <f t="shared" si="1"/>
        <v/>
      </c>
    </row>
    <row r="96">
      <c r="A96" s="43" t="s">
        <v>139</v>
      </c>
      <c r="B96" s="43" t="str">
        <f>IF(A96="", "", IFERROR(VLOOKUP(A96, Clasificaciones!A:B, 2, FALSE), "DATO NO CARGADO"))</f>
        <v>People</v>
      </c>
      <c r="C96" s="51" t="s">
        <v>136</v>
      </c>
      <c r="D96" s="156">
        <v>2025.0</v>
      </c>
      <c r="E96" s="43" t="s">
        <v>374</v>
      </c>
      <c r="F96" s="104"/>
      <c r="G96" s="104"/>
      <c r="H96" s="55" t="s">
        <v>413</v>
      </c>
      <c r="I96" s="43"/>
      <c r="J96" s="104"/>
      <c r="K96" s="89">
        <v>103712.0</v>
      </c>
      <c r="L96" s="71"/>
      <c r="M96" s="106" t="str">
        <f>IF(ISBLANK(K96), "", VLOOKUP(C96, 'Info Tipo de Cambio y REM'!$A$24:$B$35, 2, FALSE))</f>
        <v>#N/A</v>
      </c>
      <c r="N96" s="107" t="str">
        <f t="shared" si="1"/>
        <v/>
      </c>
    </row>
    <row r="97">
      <c r="A97" s="43" t="s">
        <v>203</v>
      </c>
      <c r="B97" s="43" t="str">
        <f>IF(A97="", "", IFERROR(VLOOKUP(A97, Clasificaciones!A:B, 2, FALSE), "DATO NO CARGADO"))</f>
        <v>Equipo</v>
      </c>
      <c r="C97" s="51" t="s">
        <v>136</v>
      </c>
      <c r="D97" s="156">
        <v>2025.0</v>
      </c>
      <c r="E97" s="43" t="s">
        <v>374</v>
      </c>
      <c r="F97" s="104"/>
      <c r="G97" s="104"/>
      <c r="H97" s="55" t="s">
        <v>409</v>
      </c>
      <c r="I97" s="43"/>
      <c r="J97" s="104"/>
      <c r="K97" s="89">
        <v>1148215.0</v>
      </c>
      <c r="L97" s="71"/>
      <c r="M97" s="106" t="str">
        <f>IF(ISBLANK(K97), "", VLOOKUP(C97, 'Info Tipo de Cambio y REM'!$A$24:$B$35, 2, FALSE))</f>
        <v>#N/A</v>
      </c>
      <c r="N97" s="107" t="str">
        <f t="shared" si="1"/>
        <v/>
      </c>
    </row>
    <row r="98">
      <c r="A98" s="43" t="s">
        <v>197</v>
      </c>
      <c r="B98" s="43" t="str">
        <f>IF(A98="", "", IFERROR(VLOOKUP(A98, Clasificaciones!A:B, 2, FALSE), "DATO NO CARGADO"))</f>
        <v>Equipo</v>
      </c>
      <c r="C98" s="51" t="s">
        <v>136</v>
      </c>
      <c r="D98" s="156">
        <v>2025.0</v>
      </c>
      <c r="E98" s="43" t="s">
        <v>374</v>
      </c>
      <c r="F98" s="104"/>
      <c r="G98" s="104"/>
      <c r="H98" s="55" t="s">
        <v>411</v>
      </c>
      <c r="I98" s="43"/>
      <c r="J98" s="104"/>
      <c r="K98" s="89">
        <v>1645291.0</v>
      </c>
      <c r="L98" s="71"/>
      <c r="M98" s="106" t="str">
        <f>IF(ISBLANK(K98), "", VLOOKUP(C98, 'Info Tipo de Cambio y REM'!$A$24:$B$35, 2, FALSE))</f>
        <v>#N/A</v>
      </c>
      <c r="N98" s="107" t="str">
        <f t="shared" si="1"/>
        <v/>
      </c>
    </row>
    <row r="99">
      <c r="A99" s="43" t="s">
        <v>127</v>
      </c>
      <c r="B99" s="43" t="str">
        <f>IF(A99="", "", IFERROR(VLOOKUP(A99, Clasificaciones!A:B, 2, FALSE), "DATO NO CARGADO"))</f>
        <v>Board</v>
      </c>
      <c r="C99" s="51" t="s">
        <v>136</v>
      </c>
      <c r="D99" s="156">
        <v>2025.0</v>
      </c>
      <c r="E99" s="43" t="s">
        <v>374</v>
      </c>
      <c r="F99" s="104"/>
      <c r="G99" s="104"/>
      <c r="H99" s="55" t="s">
        <v>458</v>
      </c>
      <c r="I99" s="43"/>
      <c r="J99" s="104"/>
      <c r="K99" s="89">
        <v>1094028.0</v>
      </c>
      <c r="L99" s="71"/>
      <c r="M99" s="106" t="str">
        <f>IF(ISBLANK(K99), "", VLOOKUP(C99, 'Info Tipo de Cambio y REM'!$A$24:$B$35, 2, FALSE))</f>
        <v>#N/A</v>
      </c>
      <c r="N99" s="107" t="str">
        <f t="shared" si="1"/>
        <v/>
      </c>
    </row>
    <row r="100">
      <c r="A100" s="43" t="s">
        <v>212</v>
      </c>
      <c r="B100" s="43" t="str">
        <f>IF(A100="", "", IFERROR(VLOOKUP(A100, Clasificaciones!A:B, 2, FALSE), "DATO NO CARGADO"))</f>
        <v>Equipo</v>
      </c>
      <c r="C100" s="51" t="s">
        <v>136</v>
      </c>
      <c r="D100" s="156">
        <v>2025.0</v>
      </c>
      <c r="E100" s="43" t="s">
        <v>374</v>
      </c>
      <c r="F100" s="104"/>
      <c r="G100" s="104"/>
      <c r="H100" s="55" t="s">
        <v>478</v>
      </c>
      <c r="I100" s="43"/>
      <c r="J100" s="104"/>
      <c r="K100" s="89">
        <v>186575.0</v>
      </c>
      <c r="L100" s="71"/>
      <c r="M100" s="106" t="str">
        <f>IF(ISBLANK(K100), "", VLOOKUP(C100, 'Info Tipo de Cambio y REM'!$A$24:$B$35, 2, FALSE))</f>
        <v>#N/A</v>
      </c>
      <c r="N100" s="107" t="str">
        <f t="shared" si="1"/>
        <v/>
      </c>
    </row>
    <row r="101">
      <c r="A101" s="43" t="s">
        <v>194</v>
      </c>
      <c r="B101" s="43" t="str">
        <f>IF(A101="", "", IFERROR(VLOOKUP(A101, Clasificaciones!A:B, 2, FALSE), "DATO NO CARGADO"))</f>
        <v>Equipo</v>
      </c>
      <c r="C101" s="51" t="s">
        <v>136</v>
      </c>
      <c r="D101" s="156">
        <v>2025.0</v>
      </c>
      <c r="E101" s="43" t="s">
        <v>374</v>
      </c>
      <c r="F101" s="104"/>
      <c r="G101" s="104"/>
      <c r="H101" s="55" t="s">
        <v>403</v>
      </c>
      <c r="I101" s="43"/>
      <c r="J101" s="104"/>
      <c r="K101" s="89">
        <v>1782500.0</v>
      </c>
      <c r="L101" s="71"/>
      <c r="M101" s="106" t="str">
        <f>IF(ISBLANK(K101), "", VLOOKUP(C101, 'Info Tipo de Cambio y REM'!$A$24:$B$35, 2, FALSE))</f>
        <v>#N/A</v>
      </c>
      <c r="N101" s="107" t="str">
        <f t="shared" si="1"/>
        <v/>
      </c>
    </row>
    <row r="102">
      <c r="A102" s="43" t="s">
        <v>216</v>
      </c>
      <c r="B102" s="43" t="str">
        <f>IF(A102="", "", IFERROR(VLOOKUP(A102, Clasificaciones!A:B, 2, FALSE), "DATO NO CARGADO"))</f>
        <v>Equipo</v>
      </c>
      <c r="C102" s="51" t="s">
        <v>136</v>
      </c>
      <c r="D102" s="156">
        <v>2025.0</v>
      </c>
      <c r="E102" s="43" t="s">
        <v>374</v>
      </c>
      <c r="F102" s="104"/>
      <c r="G102" s="104"/>
      <c r="H102" s="55" t="s">
        <v>479</v>
      </c>
      <c r="I102" s="43"/>
      <c r="J102" s="104"/>
      <c r="K102" s="89">
        <v>614524.0</v>
      </c>
      <c r="L102" s="71"/>
      <c r="M102" s="106" t="str">
        <f>IF(ISBLANK(K102), "", VLOOKUP(C102, 'Info Tipo de Cambio y REM'!$A$24:$B$35, 2, FALSE))</f>
        <v>#N/A</v>
      </c>
      <c r="N102" s="107" t="str">
        <f t="shared" si="1"/>
        <v/>
      </c>
    </row>
    <row r="103">
      <c r="A103" s="43" t="s">
        <v>218</v>
      </c>
      <c r="B103" s="43" t="str">
        <f>IF(A103="", "", IFERROR(VLOOKUP(A103, Clasificaciones!A:B, 2, FALSE), "DATO NO CARGADO"))</f>
        <v>Equipo</v>
      </c>
      <c r="C103" s="51" t="s">
        <v>136</v>
      </c>
      <c r="D103" s="156">
        <v>2025.0</v>
      </c>
      <c r="E103" s="43" t="s">
        <v>374</v>
      </c>
      <c r="F103" s="104"/>
      <c r="G103" s="104"/>
      <c r="H103" s="55" t="s">
        <v>414</v>
      </c>
      <c r="I103" s="43"/>
      <c r="J103" s="104"/>
      <c r="K103" s="89">
        <v>1368000.0</v>
      </c>
      <c r="L103" s="71"/>
      <c r="M103" s="106" t="str">
        <f>IF(ISBLANK(K103), "", VLOOKUP(C103, 'Info Tipo de Cambio y REM'!$A$24:$B$35, 2, FALSE))</f>
        <v>#N/A</v>
      </c>
      <c r="N103" s="107" t="str">
        <f t="shared" si="1"/>
        <v/>
      </c>
    </row>
    <row r="104">
      <c r="A104" s="43" t="s">
        <v>221</v>
      </c>
      <c r="B104" s="43" t="str">
        <f>IF(A104="", "", IFERROR(VLOOKUP(A104, Clasificaciones!A:B, 2, FALSE), "DATO NO CARGADO"))</f>
        <v>Equipo</v>
      </c>
      <c r="C104" s="51" t="s">
        <v>136</v>
      </c>
      <c r="D104" s="156">
        <v>2025.0</v>
      </c>
      <c r="E104" s="43" t="s">
        <v>374</v>
      </c>
      <c r="F104" s="104"/>
      <c r="G104" s="104"/>
      <c r="H104" s="55" t="s">
        <v>480</v>
      </c>
      <c r="I104" s="43"/>
      <c r="J104" s="104"/>
      <c r="K104" s="89">
        <v>1862292.0</v>
      </c>
      <c r="L104" s="71"/>
      <c r="M104" s="106" t="str">
        <f>IF(ISBLANK(K104), "", VLOOKUP(C104, 'Info Tipo de Cambio y REM'!$A$24:$B$35, 2, FALSE))</f>
        <v>#N/A</v>
      </c>
      <c r="N104" s="107" t="str">
        <f t="shared" si="1"/>
        <v/>
      </c>
    </row>
    <row r="105">
      <c r="A105" s="43" t="s">
        <v>169</v>
      </c>
      <c r="B105" s="43" t="str">
        <f>IF(A105="", "", IFERROR(VLOOKUP(A105, Clasificaciones!A:B, 2, FALSE), "DATO NO CARGADO"))</f>
        <v>Suscripciones/Herramientas</v>
      </c>
      <c r="C105" s="51" t="s">
        <v>136</v>
      </c>
      <c r="D105" s="156">
        <v>2025.0</v>
      </c>
      <c r="E105" s="43" t="s">
        <v>371</v>
      </c>
      <c r="F105" s="104"/>
      <c r="G105" s="104"/>
      <c r="H105" s="55" t="s">
        <v>417</v>
      </c>
      <c r="I105" s="43"/>
      <c r="J105" s="104">
        <v>45536.0</v>
      </c>
      <c r="K105" s="89"/>
      <c r="L105" s="89">
        <v>4050.0</v>
      </c>
      <c r="M105" s="106" t="str">
        <f>IF(ISBLANK(K105), "", VLOOKUP(C105, 'Info Tipo de Cambio y REM'!$A$24:$B$35, 2, FALSE))</f>
        <v/>
      </c>
      <c r="N105" s="107">
        <f t="shared" si="1"/>
        <v>4050</v>
      </c>
    </row>
    <row r="106">
      <c r="A106" s="43" t="s">
        <v>187</v>
      </c>
      <c r="B106" s="43" t="str">
        <f>IF(A106="", "", IFERROR(VLOOKUP(A106, Clasificaciones!A:B, 2, FALSE), "DATO NO CARGADO"))</f>
        <v>Gastos Varios</v>
      </c>
      <c r="C106" s="51" t="s">
        <v>136</v>
      </c>
      <c r="D106" s="156">
        <v>2025.0</v>
      </c>
      <c r="E106" s="43" t="s">
        <v>374</v>
      </c>
      <c r="F106" s="104"/>
      <c r="G106" s="104"/>
      <c r="H106" s="55" t="s">
        <v>418</v>
      </c>
      <c r="I106" s="43"/>
      <c r="J106" s="104"/>
      <c r="K106" s="89"/>
      <c r="L106" s="89">
        <v>600.0</v>
      </c>
      <c r="M106" s="106" t="str">
        <f>IF(ISBLANK(K106), "", VLOOKUP(C106, 'Info Tipo de Cambio y REM'!$A$24:$B$35, 2, FALSE))</f>
        <v/>
      </c>
      <c r="N106" s="107">
        <f t="shared" si="1"/>
        <v>600</v>
      </c>
    </row>
    <row r="107">
      <c r="A107" s="43" t="s">
        <v>164</v>
      </c>
      <c r="B107" s="43" t="str">
        <f>IF(A107="", "", IFERROR(VLOOKUP(A107, Clasificaciones!A:B, 2, FALSE), "DATO NO CARGADO"))</f>
        <v>Estudio Contable</v>
      </c>
      <c r="C107" s="51" t="s">
        <v>136</v>
      </c>
      <c r="D107" s="156">
        <v>2025.0</v>
      </c>
      <c r="E107" s="43" t="s">
        <v>374</v>
      </c>
      <c r="F107" s="104"/>
      <c r="G107" s="104"/>
      <c r="H107" s="55" t="s">
        <v>481</v>
      </c>
      <c r="I107" s="43"/>
      <c r="J107" s="104"/>
      <c r="K107" s="89">
        <v>69810.0</v>
      </c>
      <c r="L107" s="71"/>
      <c r="M107" s="106" t="str">
        <f>IF(ISBLANK(K107), "", VLOOKUP(C107, 'Info Tipo de Cambio y REM'!$A$24:$B$35, 2, FALSE))</f>
        <v>#N/A</v>
      </c>
      <c r="N107" s="107" t="str">
        <f t="shared" si="1"/>
        <v/>
      </c>
    </row>
    <row r="108">
      <c r="A108" s="43" t="s">
        <v>158</v>
      </c>
      <c r="B108" s="43" t="str">
        <f>IF(A108="", "", IFERROR(VLOOKUP(A108, Clasificaciones!A:B, 2, FALSE), "DATO NO CARGADO"))</f>
        <v>Tarjeta</v>
      </c>
      <c r="C108" s="51" t="s">
        <v>136</v>
      </c>
      <c r="D108" s="156">
        <v>2025.0</v>
      </c>
      <c r="E108" s="43" t="s">
        <v>374</v>
      </c>
      <c r="F108" s="104"/>
      <c r="G108" s="104"/>
      <c r="H108" s="55" t="s">
        <v>482</v>
      </c>
      <c r="I108" s="43"/>
      <c r="J108" s="104"/>
      <c r="K108" s="89">
        <v>0.0</v>
      </c>
      <c r="L108" s="71"/>
      <c r="M108" s="106" t="str">
        <f>IF(ISBLANK(K108), "", VLOOKUP(C108, 'Info Tipo de Cambio y REM'!$A$24:$B$35, 2, FALSE))</f>
        <v>#N/A</v>
      </c>
      <c r="N108" s="107" t="str">
        <f t="shared" si="1"/>
        <v/>
      </c>
    </row>
    <row r="109">
      <c r="A109" s="43" t="s">
        <v>146</v>
      </c>
      <c r="B109" s="43" t="str">
        <f>IF(A109="", "", IFERROR(VLOOKUP(A109, Clasificaciones!A:B, 2, FALSE), "DATO NO CARGADO"))</f>
        <v>Impuestos ARG</v>
      </c>
      <c r="C109" s="51" t="s">
        <v>136</v>
      </c>
      <c r="D109" s="156">
        <v>2025.0</v>
      </c>
      <c r="E109" s="43" t="s">
        <v>374</v>
      </c>
      <c r="F109" s="104"/>
      <c r="G109" s="104"/>
      <c r="H109" s="55" t="s">
        <v>483</v>
      </c>
      <c r="I109" s="43"/>
      <c r="J109" s="104"/>
      <c r="K109" s="89">
        <v>466656.0</v>
      </c>
      <c r="L109" s="71"/>
      <c r="M109" s="106" t="str">
        <f>IF(ISBLANK(K109), "", VLOOKUP(C109, 'Info Tipo de Cambio y REM'!$A$24:$B$35, 2, FALSE))</f>
        <v>#N/A</v>
      </c>
      <c r="N109" s="107" t="str">
        <f t="shared" si="1"/>
        <v/>
      </c>
    </row>
    <row r="110">
      <c r="A110" s="43" t="s">
        <v>152</v>
      </c>
      <c r="B110" s="43" t="str">
        <f>IF(A110="", "", IFERROR(VLOOKUP(A110, Clasificaciones!A:B, 2, FALSE), "DATO NO CARGADO"))</f>
        <v>Impuestos ARG</v>
      </c>
      <c r="C110" s="51" t="s">
        <v>136</v>
      </c>
      <c r="D110" s="156">
        <v>2025.0</v>
      </c>
      <c r="E110" s="43" t="s">
        <v>374</v>
      </c>
      <c r="F110" s="104"/>
      <c r="G110" s="104"/>
      <c r="H110" s="55" t="s">
        <v>484</v>
      </c>
      <c r="I110" s="43"/>
      <c r="J110" s="104"/>
      <c r="K110" s="89">
        <v>2420141.0</v>
      </c>
      <c r="L110" s="71"/>
      <c r="M110" s="106" t="str">
        <f>IF(ISBLANK(K110), "", VLOOKUP(C110, 'Info Tipo de Cambio y REM'!$A$24:$B$35, 2, FALSE))</f>
        <v>#N/A</v>
      </c>
      <c r="N110" s="107" t="str">
        <f t="shared" si="1"/>
        <v/>
      </c>
    </row>
    <row r="111">
      <c r="A111" s="43" t="s">
        <v>133</v>
      </c>
      <c r="B111" s="43" t="str">
        <f>IF(A111="", "", IFERROR(VLOOKUP(A111, Clasificaciones!A:B, 2, FALSE), "DATO NO CARGADO"))</f>
        <v>Board</v>
      </c>
      <c r="C111" s="51" t="s">
        <v>136</v>
      </c>
      <c r="D111" s="156">
        <v>2025.0</v>
      </c>
      <c r="E111" s="43" t="s">
        <v>374</v>
      </c>
      <c r="F111" s="104"/>
      <c r="G111" s="104"/>
      <c r="H111" s="55" t="s">
        <v>485</v>
      </c>
      <c r="I111" s="43"/>
      <c r="J111" s="104"/>
      <c r="K111" s="89">
        <v>4500000.0</v>
      </c>
      <c r="L111" s="71"/>
      <c r="M111" s="106" t="str">
        <f>IF(ISBLANK(K111), "", VLOOKUP(C111, 'Info Tipo de Cambio y REM'!$A$24:$B$35, 2, FALSE))</f>
        <v>#N/A</v>
      </c>
      <c r="N111" s="107" t="str">
        <f t="shared" si="1"/>
        <v/>
      </c>
    </row>
    <row r="112">
      <c r="A112" s="43" t="s">
        <v>222</v>
      </c>
      <c r="B112" s="43" t="str">
        <f>IF(A112="", "", IFERROR(VLOOKUP(A112, Clasificaciones!A:B, 2, FALSE), "DATO NO CARGADO"))</f>
        <v>Oxean</v>
      </c>
      <c r="C112" s="51" t="s">
        <v>136</v>
      </c>
      <c r="D112" s="156">
        <v>2025.0</v>
      </c>
      <c r="E112" s="43" t="s">
        <v>374</v>
      </c>
      <c r="F112" s="104"/>
      <c r="G112" s="104"/>
      <c r="H112" s="55" t="s">
        <v>486</v>
      </c>
      <c r="I112" s="43"/>
      <c r="J112" s="104"/>
      <c r="K112" s="89">
        <v>4500000.0</v>
      </c>
      <c r="L112" s="71"/>
      <c r="M112" s="106" t="str">
        <f>IF(ISBLANK(K112), "", VLOOKUP(C112, 'Info Tipo de Cambio y REM'!$A$24:$B$35, 2, FALSE))</f>
        <v>#N/A</v>
      </c>
      <c r="N112" s="107" t="str">
        <f t="shared" si="1"/>
        <v/>
      </c>
    </row>
    <row r="113">
      <c r="A113" s="43" t="s">
        <v>191</v>
      </c>
      <c r="B113" s="43" t="str">
        <f>IF(A113="", "", IFERROR(VLOOKUP(A113, Clasificaciones!A:B, 2, FALSE), "DATO NO CARGADO"))</f>
        <v>Tarjeta</v>
      </c>
      <c r="C113" s="51" t="s">
        <v>136</v>
      </c>
      <c r="D113" s="156">
        <v>2025.0</v>
      </c>
      <c r="E113" s="43" t="s">
        <v>374</v>
      </c>
      <c r="F113" s="104"/>
      <c r="G113" s="104"/>
      <c r="H113" s="158"/>
      <c r="I113" s="159" t="s">
        <v>487</v>
      </c>
      <c r="J113" s="104"/>
      <c r="K113" s="89"/>
      <c r="L113" s="89">
        <v>12.0</v>
      </c>
      <c r="M113" s="106" t="str">
        <f>IF(ISBLANK(K113), "", VLOOKUP(C113, 'Info Tipo de Cambio y REM'!$A$24:$B$35, 2, FALSE))</f>
        <v/>
      </c>
      <c r="N113" s="107">
        <f t="shared" si="1"/>
        <v>12</v>
      </c>
    </row>
    <row r="114">
      <c r="A114" s="43" t="s">
        <v>191</v>
      </c>
      <c r="B114" s="43" t="str">
        <f>IF(A114="", "", IFERROR(VLOOKUP(A114, Clasificaciones!A:B, 2, FALSE), "DATO NO CARGADO"))</f>
        <v>Tarjeta</v>
      </c>
      <c r="C114" s="51" t="s">
        <v>136</v>
      </c>
      <c r="D114" s="156">
        <v>2025.0</v>
      </c>
      <c r="E114" s="43" t="s">
        <v>374</v>
      </c>
      <c r="F114" s="104"/>
      <c r="G114" s="104"/>
      <c r="H114" s="158"/>
      <c r="I114" s="159" t="s">
        <v>488</v>
      </c>
      <c r="J114" s="104"/>
      <c r="K114" s="89"/>
      <c r="L114" s="89">
        <v>515.0</v>
      </c>
      <c r="M114" s="106" t="str">
        <f>IF(ISBLANK(K114), "", VLOOKUP(C114, 'Info Tipo de Cambio y REM'!$A$24:$B$35, 2, FALSE))</f>
        <v/>
      </c>
      <c r="N114" s="107">
        <f t="shared" si="1"/>
        <v>515</v>
      </c>
    </row>
    <row r="115">
      <c r="A115" s="43" t="s">
        <v>191</v>
      </c>
      <c r="B115" s="43" t="str">
        <f>IF(A115="", "", IFERROR(VLOOKUP(A115, Clasificaciones!A:B, 2, FALSE), "DATO NO CARGADO"))</f>
        <v>Tarjeta</v>
      </c>
      <c r="C115" s="51" t="s">
        <v>136</v>
      </c>
      <c r="D115" s="156">
        <v>2025.0</v>
      </c>
      <c r="E115" s="43" t="s">
        <v>374</v>
      </c>
      <c r="F115" s="104"/>
      <c r="G115" s="104"/>
      <c r="H115" s="158"/>
      <c r="I115" s="159" t="s">
        <v>489</v>
      </c>
      <c r="J115" s="104"/>
      <c r="K115" s="89"/>
      <c r="L115" s="89">
        <v>112.0</v>
      </c>
      <c r="M115" s="106" t="str">
        <f>IF(ISBLANK(K115), "", VLOOKUP(C115, 'Info Tipo de Cambio y REM'!$A$24:$B$35, 2, FALSE))</f>
        <v/>
      </c>
      <c r="N115" s="107">
        <f t="shared" si="1"/>
        <v>112</v>
      </c>
    </row>
    <row r="116">
      <c r="A116" s="43" t="s">
        <v>191</v>
      </c>
      <c r="B116" s="43" t="str">
        <f>IF(A116="", "", IFERROR(VLOOKUP(A116, Clasificaciones!A:B, 2, FALSE), "DATO NO CARGADO"))</f>
        <v>Tarjeta</v>
      </c>
      <c r="C116" s="51" t="s">
        <v>136</v>
      </c>
      <c r="D116" s="156">
        <v>2025.0</v>
      </c>
      <c r="E116" s="43" t="s">
        <v>374</v>
      </c>
      <c r="F116" s="104"/>
      <c r="G116" s="104"/>
      <c r="H116" s="158"/>
      <c r="I116" s="159" t="s">
        <v>490</v>
      </c>
      <c r="J116" s="104"/>
      <c r="K116" s="89"/>
      <c r="L116" s="89">
        <v>7.72</v>
      </c>
      <c r="M116" s="106" t="str">
        <f>IF(ISBLANK(K116), "", VLOOKUP(C116, 'Info Tipo de Cambio y REM'!$A$24:$B$35, 2, FALSE))</f>
        <v/>
      </c>
      <c r="N116" s="107">
        <f t="shared" si="1"/>
        <v>7.72</v>
      </c>
    </row>
    <row r="117">
      <c r="A117" s="43" t="s">
        <v>191</v>
      </c>
      <c r="B117" s="43" t="str">
        <f>IF(A117="", "", IFERROR(VLOOKUP(A117, Clasificaciones!A:B, 2, FALSE), "DATO NO CARGADO"))</f>
        <v>Tarjeta</v>
      </c>
      <c r="C117" s="51" t="s">
        <v>136</v>
      </c>
      <c r="D117" s="156">
        <v>2025.0</v>
      </c>
      <c r="E117" s="43" t="s">
        <v>374</v>
      </c>
      <c r="F117" s="104"/>
      <c r="G117" s="104"/>
      <c r="H117" s="158"/>
      <c r="I117" s="159" t="s">
        <v>491</v>
      </c>
      <c r="J117" s="104"/>
      <c r="K117" s="89"/>
      <c r="L117" s="89">
        <v>14.19</v>
      </c>
      <c r="M117" s="106" t="str">
        <f>IF(ISBLANK(K117), "", VLOOKUP(C117, 'Info Tipo de Cambio y REM'!$A$24:$B$35, 2, FALSE))</f>
        <v/>
      </c>
      <c r="N117" s="107">
        <f t="shared" si="1"/>
        <v>14.19</v>
      </c>
    </row>
    <row r="118">
      <c r="A118" s="133" t="s">
        <v>153</v>
      </c>
      <c r="B118" s="43" t="str">
        <f>IF(A118="", "", IFERROR(VLOOKUP(A118, Clasificaciones!A:B, 2, FALSE), "DATO NO CARGADO"))</f>
        <v>Impuestos USA</v>
      </c>
      <c r="C118" s="141" t="s">
        <v>136</v>
      </c>
      <c r="D118" s="157">
        <v>2025.0</v>
      </c>
      <c r="E118" s="43" t="s">
        <v>371</v>
      </c>
      <c r="F118" s="104"/>
      <c r="G118" s="104"/>
      <c r="H118" s="55" t="s">
        <v>434</v>
      </c>
      <c r="I118" s="43"/>
      <c r="J118" s="104"/>
      <c r="K118" s="89"/>
      <c r="L118" s="89">
        <v>16536.0</v>
      </c>
      <c r="M118" s="106" t="str">
        <f>IF(ISBLANK(K118), "", VLOOKUP(C118, 'Info Tipo de Cambio y REM'!$A$24:$B$35, 2, FALSE))</f>
        <v/>
      </c>
      <c r="N118" s="107">
        <f t="shared" si="1"/>
        <v>16536</v>
      </c>
    </row>
    <row r="119">
      <c r="A119" s="43" t="s">
        <v>237</v>
      </c>
      <c r="B119" s="43" t="str">
        <f>IF(A119="", "", IFERROR(VLOOKUP(A119, Clasificaciones!A:B, 2, FALSE), "DATO NO CARGADO"))</f>
        <v>Otros Proveedores</v>
      </c>
      <c r="C119" s="51" t="s">
        <v>143</v>
      </c>
      <c r="D119" s="156">
        <v>2025.0</v>
      </c>
      <c r="E119" s="43" t="s">
        <v>371</v>
      </c>
      <c r="F119" s="104"/>
      <c r="G119" s="104"/>
      <c r="H119" s="158" t="s">
        <v>372</v>
      </c>
      <c r="I119" s="43" t="s">
        <v>373</v>
      </c>
      <c r="J119" s="104">
        <v>45413.0</v>
      </c>
      <c r="K119" s="89">
        <v>96000.0</v>
      </c>
      <c r="L119" s="71"/>
      <c r="M119" s="106" t="str">
        <f>IF(ISBLANK(K119), "", VLOOKUP(C119, 'Info Tipo de Cambio y REM'!$A$24:$B$35, 2, FALSE))</f>
        <v>#N/A</v>
      </c>
      <c r="N119" s="107" t="str">
        <f t="shared" si="1"/>
        <v/>
      </c>
    </row>
    <row r="120">
      <c r="A120" s="43" t="s">
        <v>205</v>
      </c>
      <c r="B120" s="43" t="str">
        <f>IF(A120="", "", IFERROR(VLOOKUP(A120, Clasificaciones!A:B, 2, FALSE), "DATO NO CARGADO"))</f>
        <v>Equipo</v>
      </c>
      <c r="C120" s="51" t="s">
        <v>143</v>
      </c>
      <c r="D120" s="156">
        <v>2025.0</v>
      </c>
      <c r="E120" s="43" t="s">
        <v>374</v>
      </c>
      <c r="F120" s="104"/>
      <c r="G120" s="104"/>
      <c r="H120" s="158" t="s">
        <v>379</v>
      </c>
      <c r="I120" s="43" t="s">
        <v>492</v>
      </c>
      <c r="J120" s="104">
        <v>45777.0</v>
      </c>
      <c r="K120" s="89">
        <v>1354400.0</v>
      </c>
      <c r="L120" s="71"/>
      <c r="M120" s="106" t="str">
        <f>IF(ISBLANK(K120), "", VLOOKUP(C120, 'Info Tipo de Cambio y REM'!$A$24:$B$35, 2, FALSE))</f>
        <v>#N/A</v>
      </c>
      <c r="N120" s="107" t="str">
        <f t="shared" si="1"/>
        <v/>
      </c>
    </row>
    <row r="121">
      <c r="A121" s="43" t="s">
        <v>214</v>
      </c>
      <c r="B121" s="43" t="str">
        <f>IF(A121="", "", IFERROR(VLOOKUP(A121, Clasificaciones!A:B, 2, FALSE), "DATO NO CARGADO"))</f>
        <v>Equipo</v>
      </c>
      <c r="C121" s="51" t="s">
        <v>143</v>
      </c>
      <c r="D121" s="156">
        <v>2025.0</v>
      </c>
      <c r="E121" s="43" t="s">
        <v>374</v>
      </c>
      <c r="F121" s="104"/>
      <c r="G121" s="104"/>
      <c r="H121" s="158" t="s">
        <v>476</v>
      </c>
      <c r="I121" s="43" t="s">
        <v>493</v>
      </c>
      <c r="J121" s="104">
        <v>45777.0</v>
      </c>
      <c r="K121" s="89">
        <v>1550000.0</v>
      </c>
      <c r="L121" s="71"/>
      <c r="M121" s="106" t="str">
        <f>IF(ISBLANK(K121), "", VLOOKUP(C121, 'Info Tipo de Cambio y REM'!$A$24:$B$35, 2, FALSE))</f>
        <v>#N/A</v>
      </c>
      <c r="N121" s="107" t="str">
        <f t="shared" si="1"/>
        <v/>
      </c>
    </row>
    <row r="122">
      <c r="A122" s="43" t="s">
        <v>200</v>
      </c>
      <c r="B122" s="43" t="str">
        <f>IF(A122="", "", IFERROR(VLOOKUP(A122, Clasificaciones!A:B, 2, FALSE), "DATO NO CARGADO"))</f>
        <v>Equipo</v>
      </c>
      <c r="C122" s="51" t="s">
        <v>143</v>
      </c>
      <c r="D122" s="156">
        <v>2025.0</v>
      </c>
      <c r="E122" s="43" t="s">
        <v>374</v>
      </c>
      <c r="F122" s="104"/>
      <c r="G122" s="104"/>
      <c r="H122" s="158" t="s">
        <v>381</v>
      </c>
      <c r="I122" s="43" t="s">
        <v>494</v>
      </c>
      <c r="J122" s="104">
        <v>45777.0</v>
      </c>
      <c r="K122" s="89">
        <v>2022720.0</v>
      </c>
      <c r="L122" s="71"/>
      <c r="M122" s="106" t="str">
        <f>IF(ISBLANK(K122), "", VLOOKUP(C122, 'Info Tipo de Cambio y REM'!$A$24:$B$35, 2, FALSE))</f>
        <v>#N/A</v>
      </c>
      <c r="N122" s="107" t="str">
        <f t="shared" si="1"/>
        <v/>
      </c>
    </row>
    <row r="123">
      <c r="A123" s="43" t="s">
        <v>228</v>
      </c>
      <c r="B123" s="43" t="str">
        <f>IF(A123="", "", IFERROR(VLOOKUP(A123, Clasificaciones!A:B, 2, FALSE), "DATO NO CARGADO"))</f>
        <v>Equipo</v>
      </c>
      <c r="C123" s="51" t="s">
        <v>143</v>
      </c>
      <c r="D123" s="156">
        <v>2025.0</v>
      </c>
      <c r="E123" s="43" t="s">
        <v>374</v>
      </c>
      <c r="F123" s="104"/>
      <c r="G123" s="104"/>
      <c r="H123" s="158" t="s">
        <v>436</v>
      </c>
      <c r="I123" s="43" t="s">
        <v>495</v>
      </c>
      <c r="J123" s="104">
        <v>45782.0</v>
      </c>
      <c r="K123" s="89">
        <v>1602000.0</v>
      </c>
      <c r="L123" s="71"/>
      <c r="M123" s="106" t="str">
        <f>IF(ISBLANK(K123), "", VLOOKUP(C123, 'Info Tipo de Cambio y REM'!$A$24:$B$35, 2, FALSE))</f>
        <v>#N/A</v>
      </c>
      <c r="N123" s="107" t="str">
        <f t="shared" si="1"/>
        <v/>
      </c>
    </row>
    <row r="124">
      <c r="A124" s="43" t="s">
        <v>226</v>
      </c>
      <c r="B124" s="43" t="str">
        <f>IF(A124="", "", IFERROR(VLOOKUP(A124, Clasificaciones!A:B, 2, FALSE), "DATO NO CARGADO"))</f>
        <v>Administración Finanzas</v>
      </c>
      <c r="C124" s="51" t="s">
        <v>143</v>
      </c>
      <c r="D124" s="156">
        <v>2025.0</v>
      </c>
      <c r="E124" s="43" t="s">
        <v>374</v>
      </c>
      <c r="F124" s="104"/>
      <c r="G124" s="104"/>
      <c r="H124" s="158" t="s">
        <v>383</v>
      </c>
      <c r="I124" s="43" t="s">
        <v>496</v>
      </c>
      <c r="J124" s="104">
        <v>45777.0</v>
      </c>
      <c r="K124" s="89">
        <v>537700.0</v>
      </c>
      <c r="L124" s="71"/>
      <c r="M124" s="106" t="str">
        <f>IF(ISBLANK(K124), "", VLOOKUP(C124, 'Info Tipo de Cambio y REM'!$A$24:$B$35, 2, FALSE))</f>
        <v>#N/A</v>
      </c>
      <c r="N124" s="107" t="str">
        <f t="shared" si="1"/>
        <v/>
      </c>
      <c r="O124" s="43" t="s">
        <v>497</v>
      </c>
    </row>
    <row r="125">
      <c r="A125" s="43" t="s">
        <v>120</v>
      </c>
      <c r="B125" s="43" t="str">
        <f>IF(A125="", "", IFERROR(VLOOKUP(A125, Clasificaciones!A:B, 2, FALSE), "DATO NO CARGADO"))</f>
        <v>Equipo</v>
      </c>
      <c r="C125" s="51" t="s">
        <v>143</v>
      </c>
      <c r="D125" s="156">
        <v>2025.0</v>
      </c>
      <c r="E125" s="43" t="s">
        <v>374</v>
      </c>
      <c r="F125" s="104"/>
      <c r="G125" s="104"/>
      <c r="H125" s="158" t="s">
        <v>387</v>
      </c>
      <c r="I125" s="43" t="s">
        <v>415</v>
      </c>
      <c r="J125" s="104">
        <v>45777.0</v>
      </c>
      <c r="K125" s="89">
        <v>2900000.0</v>
      </c>
      <c r="L125" s="71"/>
      <c r="M125" s="106" t="str">
        <f>IF(ISBLANK(K125), "", VLOOKUP(C125, 'Info Tipo de Cambio y REM'!$A$24:$B$35, 2, FALSE))</f>
        <v>#N/A</v>
      </c>
      <c r="N125" s="107" t="str">
        <f t="shared" si="1"/>
        <v/>
      </c>
    </row>
    <row r="126">
      <c r="A126" s="43" t="s">
        <v>207</v>
      </c>
      <c r="B126" s="43" t="str">
        <f>IF(A126="", "", IFERROR(VLOOKUP(A126, Clasificaciones!A:B, 2, FALSE), "DATO NO CARGADO"))</f>
        <v>Equipo</v>
      </c>
      <c r="C126" s="51" t="s">
        <v>143</v>
      </c>
      <c r="D126" s="156">
        <v>2025.0</v>
      </c>
      <c r="E126" s="43" t="s">
        <v>374</v>
      </c>
      <c r="F126" s="104"/>
      <c r="G126" s="104"/>
      <c r="H126" s="158" t="s">
        <v>389</v>
      </c>
      <c r="I126" s="43" t="s">
        <v>498</v>
      </c>
      <c r="J126" s="104">
        <v>45777.0</v>
      </c>
      <c r="K126" s="89">
        <v>891000.0</v>
      </c>
      <c r="L126" s="71"/>
      <c r="M126" s="106" t="str">
        <f>IF(ISBLANK(K126), "", VLOOKUP(C126, 'Info Tipo de Cambio y REM'!$A$24:$B$35, 2, FALSE))</f>
        <v>#N/A</v>
      </c>
      <c r="N126" s="107" t="str">
        <f t="shared" si="1"/>
        <v/>
      </c>
    </row>
    <row r="127">
      <c r="A127" s="43" t="s">
        <v>87</v>
      </c>
      <c r="B127" s="43" t="str">
        <f>IF(A127="", "", IFERROR(VLOOKUP(A127, Clasificaciones!A:B, 2, FALSE), "DATO NO CARGADO"))</f>
        <v>Equipo</v>
      </c>
      <c r="C127" s="51" t="s">
        <v>143</v>
      </c>
      <c r="D127" s="156">
        <v>2025.0</v>
      </c>
      <c r="E127" s="43" t="s">
        <v>374</v>
      </c>
      <c r="F127" s="104"/>
      <c r="G127" s="104"/>
      <c r="H127" s="158" t="s">
        <v>391</v>
      </c>
      <c r="I127" s="43" t="s">
        <v>449</v>
      </c>
      <c r="J127" s="104">
        <v>45779.0</v>
      </c>
      <c r="K127" s="89">
        <v>1080125.0</v>
      </c>
      <c r="L127" s="71"/>
      <c r="M127" s="106" t="str">
        <f>IF(ISBLANK(K127), "", VLOOKUP(C127, 'Info Tipo de Cambio y REM'!$A$24:$B$35, 2, FALSE))</f>
        <v>#N/A</v>
      </c>
      <c r="N127" s="107" t="str">
        <f t="shared" si="1"/>
        <v/>
      </c>
    </row>
    <row r="128">
      <c r="A128" s="43" t="s">
        <v>127</v>
      </c>
      <c r="B128" s="43" t="str">
        <f>IF(A128="", "", IFERROR(VLOOKUP(A128, Clasificaciones!A:B, 2, FALSE), "DATO NO CARGADO"))</f>
        <v>Board</v>
      </c>
      <c r="C128" s="51" t="s">
        <v>143</v>
      </c>
      <c r="D128" s="156">
        <v>2025.0</v>
      </c>
      <c r="E128" s="43" t="s">
        <v>374</v>
      </c>
      <c r="F128" s="104"/>
      <c r="G128" s="104"/>
      <c r="H128" s="158" t="s">
        <v>393</v>
      </c>
      <c r="I128" s="43" t="s">
        <v>499</v>
      </c>
      <c r="J128" s="104">
        <v>45783.0</v>
      </c>
      <c r="K128" s="89">
        <v>1000000.0</v>
      </c>
      <c r="L128" s="71"/>
      <c r="M128" s="106" t="str">
        <f>IF(ISBLANK(K128), "", VLOOKUP(C128, 'Info Tipo de Cambio y REM'!$A$24:$B$35, 2, FALSE))</f>
        <v>#N/A</v>
      </c>
      <c r="N128" s="107" t="str">
        <f t="shared" si="1"/>
        <v/>
      </c>
    </row>
    <row r="129">
      <c r="A129" s="43" t="s">
        <v>210</v>
      </c>
      <c r="B129" s="43" t="str">
        <f>IF(A129="", "", IFERROR(VLOOKUP(A129, Clasificaciones!A:B, 2, FALSE), "DATO NO CARGADO"))</f>
        <v>Equipo</v>
      </c>
      <c r="C129" s="51" t="s">
        <v>143</v>
      </c>
      <c r="D129" s="156">
        <v>2025.0</v>
      </c>
      <c r="E129" s="43" t="s">
        <v>374</v>
      </c>
      <c r="F129" s="104"/>
      <c r="G129" s="104"/>
      <c r="H129" s="158" t="s">
        <v>397</v>
      </c>
      <c r="I129" s="43" t="s">
        <v>500</v>
      </c>
      <c r="J129" s="104">
        <v>45782.0</v>
      </c>
      <c r="K129" s="89">
        <v>456227.0</v>
      </c>
      <c r="L129" s="71"/>
      <c r="M129" s="106" t="str">
        <f>IF(ISBLANK(K129), "", VLOOKUP(C129, 'Info Tipo de Cambio y REM'!$A$24:$B$35, 2, FALSE))</f>
        <v>#N/A</v>
      </c>
      <c r="N129" s="107" t="str">
        <f t="shared" si="1"/>
        <v/>
      </c>
    </row>
    <row r="130">
      <c r="A130" s="43" t="s">
        <v>219</v>
      </c>
      <c r="B130" s="43" t="str">
        <f>IF(A130="", "", IFERROR(VLOOKUP(A130, Clasificaciones!A:B, 2, FALSE), "DATO NO CARGADO"))</f>
        <v>Gastos Varios</v>
      </c>
      <c r="C130" s="51" t="s">
        <v>143</v>
      </c>
      <c r="D130" s="156">
        <v>2025.0</v>
      </c>
      <c r="E130" s="43" t="s">
        <v>374</v>
      </c>
      <c r="F130" s="104"/>
      <c r="G130" s="104"/>
      <c r="H130" s="158" t="s">
        <v>399</v>
      </c>
      <c r="I130" s="43" t="s">
        <v>501</v>
      </c>
      <c r="J130" s="104">
        <v>45779.0</v>
      </c>
      <c r="K130" s="89">
        <v>374498.0</v>
      </c>
      <c r="L130" s="71"/>
      <c r="M130" s="106" t="str">
        <f>IF(ISBLANK(K130), "", VLOOKUP(C130, 'Info Tipo de Cambio y REM'!$A$24:$B$35, 2, FALSE))</f>
        <v>#N/A</v>
      </c>
      <c r="N130" s="107" t="str">
        <f t="shared" si="1"/>
        <v/>
      </c>
    </row>
    <row r="131">
      <c r="A131" s="43" t="s">
        <v>207</v>
      </c>
      <c r="B131" s="43" t="str">
        <f>IF(A131="", "", IFERROR(VLOOKUP(A131, Clasificaciones!A:B, 2, FALSE), "DATO NO CARGADO"))</f>
        <v>Equipo</v>
      </c>
      <c r="C131" s="51" t="s">
        <v>143</v>
      </c>
      <c r="D131" s="156">
        <v>2025.0</v>
      </c>
      <c r="E131" s="43" t="s">
        <v>374</v>
      </c>
      <c r="F131" s="104"/>
      <c r="G131" s="104"/>
      <c r="H131" s="158" t="s">
        <v>401</v>
      </c>
      <c r="I131" s="43" t="s">
        <v>502</v>
      </c>
      <c r="J131" s="104">
        <v>45783.0</v>
      </c>
      <c r="K131" s="89">
        <v>617533.0</v>
      </c>
      <c r="L131" s="71"/>
      <c r="M131" s="106" t="str">
        <f>IF(ISBLANK(K131), "", VLOOKUP(C131, 'Info Tipo de Cambio y REM'!$A$24:$B$35, 2, FALSE))</f>
        <v>#N/A</v>
      </c>
      <c r="N131" s="107" t="str">
        <f t="shared" si="1"/>
        <v/>
      </c>
    </row>
    <row r="132">
      <c r="A132" s="43" t="s">
        <v>194</v>
      </c>
      <c r="B132" s="43" t="str">
        <f>IF(A132="", "", IFERROR(VLOOKUP(A132, Clasificaciones!A:B, 2, FALSE), "DATO NO CARGADO"))</f>
        <v>Equipo</v>
      </c>
      <c r="C132" s="51" t="s">
        <v>143</v>
      </c>
      <c r="D132" s="156">
        <v>2025.0</v>
      </c>
      <c r="E132" s="43" t="s">
        <v>374</v>
      </c>
      <c r="F132" s="104"/>
      <c r="G132" s="104"/>
      <c r="H132" s="158" t="s">
        <v>403</v>
      </c>
      <c r="I132" s="43" t="s">
        <v>503</v>
      </c>
      <c r="J132" s="104">
        <v>45777.0</v>
      </c>
      <c r="K132" s="89">
        <v>1782500.0</v>
      </c>
      <c r="L132" s="71"/>
      <c r="M132" s="106" t="str">
        <f>IF(ISBLANK(K132), "", VLOOKUP(C132, 'Info Tipo de Cambio y REM'!$A$24:$B$35, 2, FALSE))</f>
        <v>#N/A</v>
      </c>
      <c r="N132" s="107" t="str">
        <f t="shared" si="1"/>
        <v/>
      </c>
    </row>
    <row r="133">
      <c r="A133" s="43" t="s">
        <v>139</v>
      </c>
      <c r="B133" s="43" t="str">
        <f>IF(A133="", "", IFERROR(VLOOKUP(A133, Clasificaciones!A:B, 2, FALSE), "DATO NO CARGADO"))</f>
        <v>People</v>
      </c>
      <c r="C133" s="51" t="s">
        <v>143</v>
      </c>
      <c r="D133" s="156">
        <v>2025.0</v>
      </c>
      <c r="E133" s="43" t="s">
        <v>374</v>
      </c>
      <c r="F133" s="104"/>
      <c r="G133" s="104"/>
      <c r="H133" s="158" t="s">
        <v>413</v>
      </c>
      <c r="I133" s="43" t="s">
        <v>415</v>
      </c>
      <c r="J133" s="104">
        <v>45777.0</v>
      </c>
      <c r="K133" s="89">
        <v>48399.0</v>
      </c>
      <c r="L133" s="71"/>
      <c r="M133" s="106" t="str">
        <f>IF(ISBLANK(K133), "", VLOOKUP(C133, 'Info Tipo de Cambio y REM'!$A$24:$B$35, 2, FALSE))</f>
        <v>#N/A</v>
      </c>
      <c r="N133" s="107" t="str">
        <f t="shared" si="1"/>
        <v/>
      </c>
    </row>
    <row r="134">
      <c r="A134" s="43" t="s">
        <v>229</v>
      </c>
      <c r="B134" s="43" t="str">
        <f>IF(A134="", "", IFERROR(VLOOKUP(A134, Clasificaciones!A:B, 2, FALSE), "DATO NO CARGADO"))</f>
        <v>Equipo</v>
      </c>
      <c r="C134" s="51" t="s">
        <v>143</v>
      </c>
      <c r="D134" s="156">
        <v>2025.0</v>
      </c>
      <c r="E134" s="43" t="s">
        <v>374</v>
      </c>
      <c r="F134" s="104"/>
      <c r="G134" s="104"/>
      <c r="H134" s="158" t="s">
        <v>504</v>
      </c>
      <c r="I134" s="43" t="s">
        <v>505</v>
      </c>
      <c r="J134" s="104">
        <v>45777.0</v>
      </c>
      <c r="K134" s="89">
        <v>131250.0</v>
      </c>
      <c r="L134" s="71"/>
      <c r="M134" s="106" t="str">
        <f>IF(ISBLANK(K134), "", VLOOKUP(C134, 'Info Tipo de Cambio y REM'!$A$24:$B$35, 2, FALSE))</f>
        <v>#N/A</v>
      </c>
      <c r="N134" s="107" t="str">
        <f t="shared" si="1"/>
        <v/>
      </c>
    </row>
    <row r="135">
      <c r="A135" s="43" t="s">
        <v>203</v>
      </c>
      <c r="B135" s="43" t="str">
        <f>IF(A135="", "", IFERROR(VLOOKUP(A135, Clasificaciones!A:B, 2, FALSE), "DATO NO CARGADO"))</f>
        <v>Equipo</v>
      </c>
      <c r="C135" s="51" t="s">
        <v>143</v>
      </c>
      <c r="D135" s="156">
        <v>2025.0</v>
      </c>
      <c r="E135" s="43" t="s">
        <v>374</v>
      </c>
      <c r="F135" s="104"/>
      <c r="G135" s="104"/>
      <c r="H135" s="158" t="s">
        <v>409</v>
      </c>
      <c r="I135" s="43" t="s">
        <v>506</v>
      </c>
      <c r="J135" s="104">
        <v>45777.0</v>
      </c>
      <c r="K135" s="89">
        <v>1104780.0</v>
      </c>
      <c r="L135" s="71"/>
      <c r="M135" s="106" t="str">
        <f>IF(ISBLANK(K135), "", VLOOKUP(C135, 'Info Tipo de Cambio y REM'!$A$24:$B$35, 2, FALSE))</f>
        <v>#N/A</v>
      </c>
      <c r="N135" s="107" t="str">
        <f t="shared" si="1"/>
        <v/>
      </c>
    </row>
    <row r="136">
      <c r="A136" s="43" t="s">
        <v>197</v>
      </c>
      <c r="B136" s="43" t="str">
        <f>IF(A136="", "", IFERROR(VLOOKUP(A136, Clasificaciones!A:B, 2, FALSE), "DATO NO CARGADO"))</f>
        <v>Equipo</v>
      </c>
      <c r="C136" s="51" t="s">
        <v>143</v>
      </c>
      <c r="D136" s="156">
        <v>2025.0</v>
      </c>
      <c r="E136" s="43" t="s">
        <v>374</v>
      </c>
      <c r="F136" s="104"/>
      <c r="G136" s="104"/>
      <c r="H136" s="158" t="s">
        <v>411</v>
      </c>
      <c r="I136" s="43" t="s">
        <v>507</v>
      </c>
      <c r="J136" s="104">
        <v>45782.0</v>
      </c>
      <c r="K136" s="89">
        <v>1772986.0</v>
      </c>
      <c r="L136" s="71"/>
      <c r="M136" s="106" t="str">
        <f>IF(ISBLANK(K136), "", VLOOKUP(C136, 'Info Tipo de Cambio y REM'!$A$24:$B$35, 2, FALSE))</f>
        <v>#N/A</v>
      </c>
      <c r="N136" s="107" t="str">
        <f t="shared" si="1"/>
        <v/>
      </c>
    </row>
    <row r="137">
      <c r="A137" s="43" t="s">
        <v>127</v>
      </c>
      <c r="B137" s="43" t="str">
        <f>IF(A137="", "", IFERROR(VLOOKUP(A137, Clasificaciones!A:B, 2, FALSE), "DATO NO CARGADO"))</f>
        <v>Board</v>
      </c>
      <c r="C137" s="51" t="s">
        <v>143</v>
      </c>
      <c r="D137" s="156">
        <v>2025.0</v>
      </c>
      <c r="E137" s="43" t="s">
        <v>374</v>
      </c>
      <c r="F137" s="104"/>
      <c r="G137" s="104"/>
      <c r="H137" s="158" t="s">
        <v>458</v>
      </c>
      <c r="I137" s="43" t="s">
        <v>508</v>
      </c>
      <c r="J137" s="104">
        <v>45782.0</v>
      </c>
      <c r="K137" s="89">
        <v>1271818.0</v>
      </c>
      <c r="L137" s="71"/>
      <c r="M137" s="106" t="str">
        <f>IF(ISBLANK(K137), "", VLOOKUP(C137, 'Info Tipo de Cambio y REM'!$A$24:$B$35, 2, FALSE))</f>
        <v>#N/A</v>
      </c>
      <c r="N137" s="107" t="str">
        <f t="shared" si="1"/>
        <v/>
      </c>
    </row>
    <row r="138">
      <c r="A138" s="43" t="s">
        <v>212</v>
      </c>
      <c r="B138" s="43" t="str">
        <f>IF(A138="", "", IFERROR(VLOOKUP(A138, Clasificaciones!A:B, 2, FALSE), "DATO NO CARGADO"))</f>
        <v>Equipo</v>
      </c>
      <c r="C138" s="51" t="s">
        <v>143</v>
      </c>
      <c r="D138" s="156">
        <v>2025.0</v>
      </c>
      <c r="E138" s="43" t="s">
        <v>374</v>
      </c>
      <c r="F138" s="104"/>
      <c r="G138" s="104"/>
      <c r="H138" s="158" t="s">
        <v>377</v>
      </c>
      <c r="I138" s="43" t="s">
        <v>509</v>
      </c>
      <c r="J138" s="104">
        <v>45777.0</v>
      </c>
      <c r="K138" s="89">
        <v>386580.0</v>
      </c>
      <c r="L138" s="71"/>
      <c r="M138" s="106" t="str">
        <f>IF(ISBLANK(K138), "", VLOOKUP(C138, 'Info Tipo de Cambio y REM'!$A$24:$B$35, 2, FALSE))</f>
        <v>#N/A</v>
      </c>
      <c r="N138" s="107" t="str">
        <f t="shared" si="1"/>
        <v/>
      </c>
    </row>
    <row r="139">
      <c r="A139" s="43" t="s">
        <v>221</v>
      </c>
      <c r="B139" s="43" t="str">
        <f>IF(A139="", "", IFERROR(VLOOKUP(A139, Clasificaciones!A:B, 2, FALSE), "DATO NO CARGADO"))</f>
        <v>Equipo</v>
      </c>
      <c r="C139" s="51" t="s">
        <v>143</v>
      </c>
      <c r="D139" s="156">
        <v>2025.0</v>
      </c>
      <c r="E139" s="43" t="s">
        <v>374</v>
      </c>
      <c r="F139" s="104"/>
      <c r="G139" s="104"/>
      <c r="H139" s="55" t="s">
        <v>407</v>
      </c>
      <c r="I139" s="43" t="s">
        <v>510</v>
      </c>
      <c r="J139" s="104">
        <v>45784.0</v>
      </c>
      <c r="K139" s="89">
        <v>1619384.0</v>
      </c>
      <c r="L139" s="71"/>
      <c r="M139" s="106" t="str">
        <f>IF(ISBLANK(K139), "", VLOOKUP(C139, 'Info Tipo de Cambio y REM'!$A$24:$B$35, 2, FALSE))</f>
        <v>#N/A</v>
      </c>
      <c r="N139" s="107" t="str">
        <f t="shared" si="1"/>
        <v/>
      </c>
    </row>
    <row r="140">
      <c r="A140" s="43" t="s">
        <v>218</v>
      </c>
      <c r="B140" s="43" t="str">
        <f>IF(A140="", "", IFERROR(VLOOKUP(A140, Clasificaciones!A:B, 2, FALSE), "DATO NO CARGADO"))</f>
        <v>Equipo</v>
      </c>
      <c r="C140" s="51" t="s">
        <v>143</v>
      </c>
      <c r="D140" s="156">
        <v>2025.0</v>
      </c>
      <c r="E140" s="43" t="s">
        <v>374</v>
      </c>
      <c r="F140" s="104"/>
      <c r="G140" s="104"/>
      <c r="H140" s="160" t="s">
        <v>511</v>
      </c>
      <c r="I140" s="43" t="s">
        <v>449</v>
      </c>
      <c r="J140" s="104">
        <v>45783.0</v>
      </c>
      <c r="K140" s="89">
        <v>703000.0</v>
      </c>
      <c r="L140" s="71"/>
      <c r="M140" s="106" t="str">
        <f>IF(ISBLANK(K140), "", VLOOKUP(C140, 'Info Tipo de Cambio y REM'!$A$24:$B$35, 2, FALSE))</f>
        <v>#N/A</v>
      </c>
      <c r="N140" s="107" t="str">
        <f t="shared" si="1"/>
        <v/>
      </c>
    </row>
    <row r="141">
      <c r="A141" s="43" t="s">
        <v>217</v>
      </c>
      <c r="B141" s="43" t="str">
        <f>IF(A141="", "", IFERROR(VLOOKUP(A141, Clasificaciones!A:B, 2, FALSE), "DATO NO CARGADO"))</f>
        <v>Equipo</v>
      </c>
      <c r="C141" s="51" t="s">
        <v>143</v>
      </c>
      <c r="D141" s="156">
        <v>2025.0</v>
      </c>
      <c r="E141" s="43" t="s">
        <v>374</v>
      </c>
      <c r="F141" s="104"/>
      <c r="G141" s="104"/>
      <c r="H141" s="161" t="s">
        <v>512</v>
      </c>
      <c r="I141" s="43" t="s">
        <v>513</v>
      </c>
      <c r="J141" s="104">
        <v>45778.0</v>
      </c>
      <c r="K141" s="89">
        <v>878172.0</v>
      </c>
      <c r="L141" s="71"/>
      <c r="M141" s="106" t="str">
        <f>IF(ISBLANK(K141), "", VLOOKUP(C141, 'Info Tipo de Cambio y REM'!$A$24:$B$35, 2, FALSE))</f>
        <v>#N/A</v>
      </c>
      <c r="N141" s="107" t="str">
        <f t="shared" si="1"/>
        <v/>
      </c>
    </row>
    <row r="142">
      <c r="A142" s="43" t="s">
        <v>169</v>
      </c>
      <c r="B142" s="43" t="str">
        <f>IF(A142="", "", IFERROR(VLOOKUP(A142, Clasificaciones!A:B, 2, FALSE), "DATO NO CARGADO"))</f>
        <v>Suscripciones/Herramientas</v>
      </c>
      <c r="C142" s="51" t="s">
        <v>143</v>
      </c>
      <c r="D142" s="156">
        <v>2025.0</v>
      </c>
      <c r="E142" s="43" t="s">
        <v>371</v>
      </c>
      <c r="F142" s="104"/>
      <c r="G142" s="104"/>
      <c r="H142" s="162" t="s">
        <v>417</v>
      </c>
      <c r="J142" s="104">
        <v>45536.0</v>
      </c>
      <c r="L142" s="89">
        <v>4050.0</v>
      </c>
      <c r="M142" s="106" t="str">
        <f>IF(ISBLANK(K142), "", VLOOKUP(C142, 'Info Tipo de Cambio y REM'!$A$24:$B$35, 2, FALSE))</f>
        <v/>
      </c>
      <c r="N142" s="107">
        <f t="shared" si="1"/>
        <v>4050</v>
      </c>
    </row>
    <row r="143">
      <c r="A143" s="43" t="s">
        <v>187</v>
      </c>
      <c r="B143" s="43" t="str">
        <f>IF(A143="", "", IFERROR(VLOOKUP(A143, Clasificaciones!A:B, 2, FALSE), "DATO NO CARGADO"))</f>
        <v>Gastos Varios</v>
      </c>
      <c r="C143" s="51" t="s">
        <v>143</v>
      </c>
      <c r="D143" s="156">
        <v>2025.0</v>
      </c>
      <c r="E143" s="43" t="s">
        <v>374</v>
      </c>
      <c r="F143" s="104"/>
      <c r="G143" s="104"/>
      <c r="H143" s="162" t="s">
        <v>418</v>
      </c>
      <c r="I143" s="43" t="s">
        <v>514</v>
      </c>
      <c r="J143" s="104">
        <v>45752.0</v>
      </c>
      <c r="L143" s="89">
        <v>600.0</v>
      </c>
      <c r="M143" s="106" t="str">
        <f>IF(ISBLANK(K143), "", VLOOKUP(C143, 'Info Tipo de Cambio y REM'!$A$24:$B$35, 2, FALSE))</f>
        <v/>
      </c>
      <c r="N143" s="107">
        <f t="shared" si="1"/>
        <v>600</v>
      </c>
    </row>
    <row r="144">
      <c r="A144" s="43" t="s">
        <v>173</v>
      </c>
      <c r="B144" s="43" t="str">
        <f>IF(A144="", "", IFERROR(VLOOKUP(A144, Clasificaciones!A:B, 2, FALSE), "DATO NO CARGADO"))</f>
        <v>Suscripciones/Herramientas</v>
      </c>
      <c r="C144" s="51" t="s">
        <v>143</v>
      </c>
      <c r="D144" s="156">
        <v>2025.0</v>
      </c>
      <c r="E144" s="43" t="s">
        <v>374</v>
      </c>
      <c r="F144" s="104"/>
      <c r="G144" s="104"/>
      <c r="H144" s="163" t="s">
        <v>419</v>
      </c>
      <c r="I144" s="43" t="s">
        <v>515</v>
      </c>
      <c r="J144" s="104">
        <v>45808.0</v>
      </c>
      <c r="L144" s="89">
        <v>7500.0</v>
      </c>
      <c r="M144" s="106" t="str">
        <f>IF(ISBLANK(K144), "", VLOOKUP(C144, 'Info Tipo de Cambio y REM'!$A$24:$B$35, 2, FALSE))</f>
        <v/>
      </c>
      <c r="N144" s="107">
        <f t="shared" si="1"/>
        <v>7500</v>
      </c>
    </row>
    <row r="145">
      <c r="A145" s="43" t="s">
        <v>164</v>
      </c>
      <c r="B145" s="43" t="str">
        <f>IF(A145="", "", IFERROR(VLOOKUP(A145, Clasificaciones!A:B, 2, FALSE), "DATO NO CARGADO"))</f>
        <v>Estudio Contable</v>
      </c>
      <c r="C145" s="51" t="s">
        <v>143</v>
      </c>
      <c r="D145" s="156">
        <v>2025.0</v>
      </c>
      <c r="E145" s="43" t="s">
        <v>374</v>
      </c>
      <c r="F145" s="104"/>
      <c r="G145" s="104"/>
      <c r="H145" s="162" t="s">
        <v>516</v>
      </c>
      <c r="J145" s="104">
        <v>45818.0</v>
      </c>
      <c r="K145" s="89">
        <v>49230.0</v>
      </c>
      <c r="L145" s="71"/>
      <c r="M145" s="106" t="str">
        <f>IF(ISBLANK(K145), "", VLOOKUP(C145, 'Info Tipo de Cambio y REM'!$A$24:$B$35, 2, FALSE))</f>
        <v>#N/A</v>
      </c>
      <c r="N145" s="107" t="str">
        <f t="shared" si="1"/>
        <v/>
      </c>
    </row>
    <row r="146">
      <c r="A146" s="43" t="s">
        <v>158</v>
      </c>
      <c r="B146" s="43" t="str">
        <f>IF(A146="", "", IFERROR(VLOOKUP(A146, Clasificaciones!A:B, 2, FALSE), "DATO NO CARGADO"))</f>
        <v>Tarjeta</v>
      </c>
      <c r="C146" s="51" t="s">
        <v>143</v>
      </c>
      <c r="D146" s="156">
        <v>2025.0</v>
      </c>
      <c r="E146" s="43" t="s">
        <v>374</v>
      </c>
      <c r="F146" s="104"/>
      <c r="G146" s="104"/>
      <c r="H146" s="160" t="s">
        <v>517</v>
      </c>
      <c r="J146" s="104">
        <v>45782.0</v>
      </c>
      <c r="K146" s="89">
        <v>53969.0</v>
      </c>
      <c r="L146" s="71"/>
      <c r="M146" s="106" t="str">
        <f>IF(ISBLANK(K146), "", VLOOKUP(C146, 'Info Tipo de Cambio y REM'!$A$24:$B$35, 2, FALSE))</f>
        <v>#N/A</v>
      </c>
      <c r="N146" s="107" t="str">
        <f t="shared" si="1"/>
        <v/>
      </c>
    </row>
    <row r="147">
      <c r="A147" s="43" t="s">
        <v>146</v>
      </c>
      <c r="B147" s="43" t="str">
        <f>IF(A147="", "", IFERROR(VLOOKUP(A147, Clasificaciones!A:B, 2, FALSE), "DATO NO CARGADO"))</f>
        <v>Impuestos ARG</v>
      </c>
      <c r="C147" s="51" t="s">
        <v>143</v>
      </c>
      <c r="D147" s="156">
        <v>2025.0</v>
      </c>
      <c r="E147" s="43" t="s">
        <v>374</v>
      </c>
      <c r="F147" s="104"/>
      <c r="G147" s="104"/>
      <c r="H147" s="160" t="s">
        <v>518</v>
      </c>
      <c r="J147" s="104">
        <v>45795.0</v>
      </c>
      <c r="K147" s="89">
        <v>329085.0</v>
      </c>
      <c r="L147" s="71"/>
      <c r="M147" s="106" t="str">
        <f>IF(ISBLANK(K147), "", VLOOKUP(C147, 'Info Tipo de Cambio y REM'!$A$24:$B$35, 2, FALSE))</f>
        <v>#N/A</v>
      </c>
      <c r="N147" s="107" t="str">
        <f t="shared" si="1"/>
        <v/>
      </c>
    </row>
    <row r="148">
      <c r="A148" s="43" t="s">
        <v>152</v>
      </c>
      <c r="B148" s="43" t="str">
        <f>IF(A148="", "", IFERROR(VLOOKUP(A148, Clasificaciones!A:B, 2, FALSE), "DATO NO CARGADO"))</f>
        <v>Impuestos ARG</v>
      </c>
      <c r="C148" s="51" t="s">
        <v>143</v>
      </c>
      <c r="D148" s="156">
        <v>2025.0</v>
      </c>
      <c r="E148" s="43" t="s">
        <v>374</v>
      </c>
      <c r="F148" s="104"/>
      <c r="G148" s="104"/>
      <c r="H148" s="160" t="s">
        <v>519</v>
      </c>
      <c r="J148" s="104">
        <v>45799.0</v>
      </c>
      <c r="K148" s="89">
        <v>1694577.0</v>
      </c>
      <c r="L148" s="71"/>
      <c r="M148" s="106" t="str">
        <f>IF(ISBLANK(K148), "", VLOOKUP(C148, 'Info Tipo de Cambio y REM'!$A$24:$B$35, 2, FALSE))</f>
        <v>#N/A</v>
      </c>
      <c r="N148" s="107" t="str">
        <f t="shared" si="1"/>
        <v/>
      </c>
    </row>
    <row r="149">
      <c r="A149" s="43" t="s">
        <v>133</v>
      </c>
      <c r="B149" s="43" t="str">
        <f>IF(A149="", "", IFERROR(VLOOKUP(A149, Clasificaciones!A:B, 2, FALSE), "DATO NO CARGADO"))</f>
        <v>Board</v>
      </c>
      <c r="C149" s="51" t="s">
        <v>143</v>
      </c>
      <c r="D149" s="156">
        <v>2025.0</v>
      </c>
      <c r="E149" s="43" t="s">
        <v>374</v>
      </c>
      <c r="F149" s="104"/>
      <c r="G149" s="104"/>
      <c r="H149" s="160" t="s">
        <v>520</v>
      </c>
      <c r="J149" s="104">
        <v>45782.0</v>
      </c>
      <c r="K149" s="89">
        <v>1062717.0</v>
      </c>
      <c r="L149" s="71"/>
      <c r="M149" s="106" t="str">
        <f>IF(ISBLANK(K149), "", VLOOKUP(C149, 'Info Tipo de Cambio y REM'!$A$24:$B$35, 2, FALSE))</f>
        <v>#N/A</v>
      </c>
      <c r="N149" s="107" t="str">
        <f t="shared" si="1"/>
        <v/>
      </c>
    </row>
    <row r="150">
      <c r="A150" s="43" t="s">
        <v>222</v>
      </c>
      <c r="B150" s="43" t="str">
        <f>IF(A150="", "", IFERROR(VLOOKUP(A150, Clasificaciones!A:B, 2, FALSE), "DATO NO CARGADO"))</f>
        <v>Oxean</v>
      </c>
      <c r="C150" s="51" t="s">
        <v>143</v>
      </c>
      <c r="D150" s="156">
        <v>2025.0</v>
      </c>
      <c r="E150" s="43" t="s">
        <v>374</v>
      </c>
      <c r="F150" s="104"/>
      <c r="G150" s="104"/>
      <c r="H150" s="160" t="s">
        <v>521</v>
      </c>
      <c r="J150" s="104">
        <v>45782.0</v>
      </c>
      <c r="K150" s="89">
        <v>4500000.0</v>
      </c>
      <c r="L150" s="71"/>
      <c r="M150" s="106" t="str">
        <f>IF(ISBLANK(K150), "", VLOOKUP(C150, 'Info Tipo de Cambio y REM'!$A$24:$B$35, 2, FALSE))</f>
        <v>#N/A</v>
      </c>
      <c r="N150" s="107" t="str">
        <f t="shared" si="1"/>
        <v/>
      </c>
    </row>
    <row r="151">
      <c r="A151" s="43" t="s">
        <v>191</v>
      </c>
      <c r="B151" s="43" t="str">
        <f>IF(A151="", "", IFERROR(VLOOKUP(A151, Clasificaciones!A:B, 2, FALSE), "DATO NO CARGADO"))</f>
        <v>Tarjeta</v>
      </c>
      <c r="C151" s="51" t="s">
        <v>143</v>
      </c>
      <c r="D151" s="156">
        <v>2025.0</v>
      </c>
      <c r="E151" s="43" t="s">
        <v>374</v>
      </c>
      <c r="F151" s="103"/>
      <c r="G151" s="103"/>
      <c r="H151" s="55" t="s">
        <v>522</v>
      </c>
      <c r="I151" s="43" t="s">
        <v>523</v>
      </c>
      <c r="J151" s="103"/>
      <c r="L151" s="89">
        <v>12.0</v>
      </c>
      <c r="M151" s="106" t="str">
        <f>IF(ISBLANK(K151), "", VLOOKUP(C151, 'Info Tipo de Cambio y REM'!$A$24:$B$35, 2, FALSE))</f>
        <v/>
      </c>
      <c r="N151" s="107">
        <f t="shared" si="1"/>
        <v>12</v>
      </c>
    </row>
    <row r="152">
      <c r="A152" s="43" t="s">
        <v>191</v>
      </c>
      <c r="B152" s="43" t="str">
        <f>IF(A152="", "", IFERROR(VLOOKUP(A152, Clasificaciones!A:B, 2, FALSE), "DATO NO CARGADO"))</f>
        <v>Tarjeta</v>
      </c>
      <c r="C152" s="51" t="s">
        <v>143</v>
      </c>
      <c r="D152" s="156">
        <v>2025.0</v>
      </c>
      <c r="E152" s="43" t="s">
        <v>374</v>
      </c>
      <c r="F152" s="103"/>
      <c r="G152" s="103"/>
      <c r="H152" s="55" t="s">
        <v>522</v>
      </c>
      <c r="I152" s="43" t="s">
        <v>524</v>
      </c>
      <c r="J152" s="103"/>
      <c r="L152" s="89">
        <v>515.0</v>
      </c>
      <c r="M152" s="106" t="str">
        <f>IF(ISBLANK(K152), "", VLOOKUP(C152, 'Info Tipo de Cambio y REM'!$A$24:$B$35, 2, FALSE))</f>
        <v/>
      </c>
      <c r="N152" s="107">
        <f t="shared" si="1"/>
        <v>515</v>
      </c>
    </row>
    <row r="153">
      <c r="A153" s="43" t="s">
        <v>191</v>
      </c>
      <c r="B153" s="43" t="str">
        <f>IF(A153="", "", IFERROR(VLOOKUP(A153, Clasificaciones!A:B, 2, FALSE), "DATO NO CARGADO"))</f>
        <v>Tarjeta</v>
      </c>
      <c r="C153" s="51" t="s">
        <v>143</v>
      </c>
      <c r="D153" s="156">
        <v>2025.0</v>
      </c>
      <c r="E153" s="43" t="s">
        <v>374</v>
      </c>
      <c r="F153" s="103"/>
      <c r="G153" s="103"/>
      <c r="H153" s="55" t="s">
        <v>522</v>
      </c>
      <c r="I153" s="43" t="s">
        <v>525</v>
      </c>
      <c r="J153" s="103"/>
      <c r="L153" s="89">
        <v>112.0</v>
      </c>
      <c r="M153" s="106" t="str">
        <f>IF(ISBLANK(K153), "", VLOOKUP(C153, 'Info Tipo de Cambio y REM'!$A$24:$B$35, 2, FALSE))</f>
        <v/>
      </c>
      <c r="N153" s="107">
        <f t="shared" si="1"/>
        <v>112</v>
      </c>
    </row>
    <row r="154">
      <c r="A154" s="43" t="s">
        <v>191</v>
      </c>
      <c r="B154" s="43" t="str">
        <f>IF(A154="", "", IFERROR(VLOOKUP(A154, Clasificaciones!A:B, 2, FALSE), "DATO NO CARGADO"))</f>
        <v>Tarjeta</v>
      </c>
      <c r="C154" s="51" t="s">
        <v>143</v>
      </c>
      <c r="D154" s="156">
        <v>2025.0</v>
      </c>
      <c r="E154" s="43" t="s">
        <v>374</v>
      </c>
      <c r="F154" s="103"/>
      <c r="G154" s="103"/>
      <c r="H154" s="55" t="s">
        <v>522</v>
      </c>
      <c r="I154" s="43" t="s">
        <v>526</v>
      </c>
      <c r="J154" s="103"/>
      <c r="L154" s="89">
        <v>7.72</v>
      </c>
      <c r="M154" s="106" t="str">
        <f>IF(ISBLANK(K154), "", VLOOKUP(C154, 'Info Tipo de Cambio y REM'!$A$24:$B$35, 2, FALSE))</f>
        <v/>
      </c>
      <c r="N154" s="107">
        <f t="shared" si="1"/>
        <v>7.72</v>
      </c>
    </row>
    <row r="155">
      <c r="A155" s="43" t="s">
        <v>191</v>
      </c>
      <c r="B155" s="43" t="str">
        <f>IF(A155="", "", IFERROR(VLOOKUP(A155, Clasificaciones!A:B, 2, FALSE), "DATO NO CARGADO"))</f>
        <v>Tarjeta</v>
      </c>
      <c r="C155" s="51" t="s">
        <v>143</v>
      </c>
      <c r="D155" s="156">
        <v>2025.0</v>
      </c>
      <c r="E155" s="43" t="s">
        <v>374</v>
      </c>
      <c r="F155" s="103"/>
      <c r="G155" s="103"/>
      <c r="H155" s="55" t="s">
        <v>522</v>
      </c>
      <c r="I155" s="43" t="s">
        <v>527</v>
      </c>
      <c r="J155" s="103"/>
      <c r="L155" s="89">
        <v>14.19</v>
      </c>
      <c r="M155" s="106" t="str">
        <f>IF(ISBLANK(K155), "", VLOOKUP(C155, 'Info Tipo de Cambio y REM'!$A$24:$B$35, 2, FALSE))</f>
        <v/>
      </c>
      <c r="N155" s="107">
        <f t="shared" si="1"/>
        <v>14.19</v>
      </c>
    </row>
    <row r="156">
      <c r="A156" s="43" t="s">
        <v>153</v>
      </c>
      <c r="B156" s="43" t="str">
        <f>IF(A156="", "", IFERROR(VLOOKUP(A156, Clasificaciones!A:B, 2, FALSE), "DATO NO CARGADO"))</f>
        <v>Impuestos USA</v>
      </c>
      <c r="C156" s="51" t="s">
        <v>143</v>
      </c>
      <c r="D156" s="156">
        <v>2025.0</v>
      </c>
      <c r="E156" s="43" t="s">
        <v>371</v>
      </c>
      <c r="F156" s="164"/>
      <c r="G156" s="164"/>
      <c r="H156" s="165" t="s">
        <v>528</v>
      </c>
      <c r="I156" s="166" t="s">
        <v>529</v>
      </c>
      <c r="J156" s="164">
        <v>46142.0</v>
      </c>
      <c r="L156" s="89">
        <v>117.0</v>
      </c>
      <c r="M156" s="106" t="str">
        <f>IF(ISBLANK(K156), "", VLOOKUP(C156, 'Info Tipo de Cambio y REM'!$A$24:$B$35, 2, FALSE))</f>
        <v/>
      </c>
      <c r="N156" s="107">
        <f t="shared" si="1"/>
        <v>117</v>
      </c>
    </row>
    <row r="157">
      <c r="A157" s="43" t="s">
        <v>153</v>
      </c>
      <c r="B157" s="43" t="str">
        <f>IF(A157="", "", IFERROR(VLOOKUP(A157, Clasificaciones!A:B, 2, FALSE), "DATO NO CARGADO"))</f>
        <v>Impuestos USA</v>
      </c>
      <c r="C157" s="51" t="s">
        <v>143</v>
      </c>
      <c r="D157" s="156">
        <v>2025.0</v>
      </c>
      <c r="E157" s="43" t="s">
        <v>371</v>
      </c>
      <c r="F157" s="167"/>
      <c r="G157" s="167"/>
      <c r="H157" s="165" t="s">
        <v>528</v>
      </c>
      <c r="I157" s="166" t="s">
        <v>530</v>
      </c>
      <c r="J157" s="167">
        <v>46142.0</v>
      </c>
      <c r="L157" s="89">
        <v>-222.0</v>
      </c>
      <c r="M157" s="106" t="str">
        <f>IF(ISBLANK(K157), "", VLOOKUP(C157, 'Info Tipo de Cambio y REM'!$A$24:$B$35, 2, FALSE))</f>
        <v/>
      </c>
      <c r="N157" s="107">
        <f t="shared" si="1"/>
        <v>-222</v>
      </c>
    </row>
    <row r="158">
      <c r="A158" s="43" t="s">
        <v>153</v>
      </c>
      <c r="B158" s="43" t="str">
        <f>IF(A158="", "", IFERROR(VLOOKUP(A158, Clasificaciones!A:B, 2, FALSE), "DATO NO CARGADO"))</f>
        <v>Impuestos USA</v>
      </c>
      <c r="C158" s="51" t="s">
        <v>143</v>
      </c>
      <c r="D158" s="156">
        <v>2025.0</v>
      </c>
      <c r="E158" s="43" t="s">
        <v>371</v>
      </c>
      <c r="F158" s="167"/>
      <c r="G158" s="167"/>
      <c r="H158" s="165" t="s">
        <v>528</v>
      </c>
      <c r="I158" s="166" t="s">
        <v>531</v>
      </c>
      <c r="J158" s="167">
        <v>46142.0</v>
      </c>
      <c r="L158" s="89">
        <v>-974.0</v>
      </c>
      <c r="M158" s="106" t="str">
        <f>IF(ISBLANK(K158), "", VLOOKUP(C158, 'Info Tipo de Cambio y REM'!$A$24:$B$35, 2, FALSE))</f>
        <v/>
      </c>
      <c r="N158" s="107">
        <f t="shared" si="1"/>
        <v>-974</v>
      </c>
    </row>
    <row r="159">
      <c r="A159" s="43" t="s">
        <v>153</v>
      </c>
      <c r="B159" s="43" t="str">
        <f>IF(A159="", "", IFERROR(VLOOKUP(A159, Clasificaciones!A:B, 2, FALSE), "DATO NO CARGADO"))</f>
        <v>Impuestos USA</v>
      </c>
      <c r="C159" s="51" t="s">
        <v>143</v>
      </c>
      <c r="D159" s="156">
        <v>2025.0</v>
      </c>
      <c r="E159" s="43" t="s">
        <v>371</v>
      </c>
      <c r="F159" s="167"/>
      <c r="G159" s="167"/>
      <c r="H159" s="165" t="s">
        <v>528</v>
      </c>
      <c r="I159" s="166" t="s">
        <v>532</v>
      </c>
      <c r="J159" s="167">
        <v>46142.0</v>
      </c>
      <c r="L159" s="89">
        <v>1186.0</v>
      </c>
      <c r="M159" s="106" t="str">
        <f>IF(ISBLANK(K159), "", VLOOKUP(C159, 'Info Tipo de Cambio y REM'!$A$24:$B$35, 2, FALSE))</f>
        <v/>
      </c>
      <c r="N159" s="107">
        <f t="shared" si="1"/>
        <v>1186</v>
      </c>
    </row>
    <row r="160">
      <c r="A160" s="43" t="s">
        <v>185</v>
      </c>
      <c r="B160" s="43" t="str">
        <f>IF(A160="", "", IFERROR(VLOOKUP(A160, Clasificaciones!A:B, 2, FALSE), "DATO NO CARGADO"))</f>
        <v>Comisiones Bancarias</v>
      </c>
      <c r="C160" s="51" t="s">
        <v>149</v>
      </c>
      <c r="D160" s="156">
        <v>2025.0</v>
      </c>
      <c r="E160" s="43" t="s">
        <v>374</v>
      </c>
      <c r="F160" s="168"/>
      <c r="G160" s="168">
        <v>45778.0</v>
      </c>
      <c r="H160" s="55" t="s">
        <v>533</v>
      </c>
      <c r="I160" s="43"/>
      <c r="J160" s="104">
        <v>45778.0</v>
      </c>
      <c r="K160" s="89">
        <v>45600.0</v>
      </c>
      <c r="L160" s="71"/>
      <c r="M160" s="106" t="str">
        <f>IF(ISBLANK(K160), "", VLOOKUP(C160, 'Info Tipo de Cambio y REM'!$A$24:$B$35, 2, FALSE))</f>
        <v>#N/A</v>
      </c>
      <c r="N160" s="107" t="str">
        <f t="shared" si="1"/>
        <v/>
      </c>
    </row>
    <row r="161">
      <c r="A161" s="43" t="s">
        <v>223</v>
      </c>
      <c r="B161" s="43" t="str">
        <f>IF(A161="", "", IFERROR(VLOOKUP(A161, Clasificaciones!A:B, 2, FALSE), "DATO NO CARGADO"))</f>
        <v>Otros Proveedores</v>
      </c>
      <c r="C161" s="51" t="s">
        <v>149</v>
      </c>
      <c r="D161" s="156">
        <v>2025.0</v>
      </c>
      <c r="E161" s="43" t="s">
        <v>374</v>
      </c>
      <c r="F161" s="168"/>
      <c r="G161" s="168">
        <v>45778.0</v>
      </c>
      <c r="H161" s="55" t="s">
        <v>534</v>
      </c>
      <c r="I161" s="43" t="s">
        <v>535</v>
      </c>
      <c r="J161" s="104">
        <v>45786.0</v>
      </c>
      <c r="K161" s="89">
        <v>133705.0</v>
      </c>
      <c r="L161" s="71"/>
      <c r="M161" s="106" t="str">
        <f>IF(ISBLANK(K161), "", VLOOKUP(C161, 'Info Tipo de Cambio y REM'!$A$24:$B$35, 2, FALSE))</f>
        <v>#N/A</v>
      </c>
      <c r="N161" s="107" t="str">
        <f t="shared" si="1"/>
        <v/>
      </c>
    </row>
    <row r="162">
      <c r="A162" s="43" t="s">
        <v>191</v>
      </c>
      <c r="B162" s="43" t="str">
        <f>IF(A162="", "", IFERROR(VLOOKUP(A162, Clasificaciones!A:B, 2, FALSE), "DATO NO CARGADO"))</f>
        <v>Tarjeta</v>
      </c>
      <c r="C162" s="51" t="s">
        <v>149</v>
      </c>
      <c r="D162" s="156">
        <v>2025.0</v>
      </c>
      <c r="E162" s="43" t="s">
        <v>374</v>
      </c>
      <c r="F162" s="168"/>
      <c r="G162" s="168">
        <v>45778.0</v>
      </c>
      <c r="H162" s="55" t="s">
        <v>522</v>
      </c>
      <c r="I162" s="169" t="s">
        <v>536</v>
      </c>
      <c r="J162" s="104">
        <v>45778.0</v>
      </c>
      <c r="L162" s="89">
        <v>50.03</v>
      </c>
      <c r="M162" s="106" t="str">
        <f>IF(ISBLANK(K162), "", VLOOKUP(C162, 'Info Tipo de Cambio y REM'!$A$24:$B$35, 2, FALSE))</f>
        <v/>
      </c>
      <c r="N162" s="107">
        <f t="shared" si="1"/>
        <v>50.03</v>
      </c>
    </row>
    <row r="163">
      <c r="A163" s="43" t="s">
        <v>191</v>
      </c>
      <c r="B163" s="43" t="str">
        <f>IF(A163="", "", IFERROR(VLOOKUP(A163, Clasificaciones!A:B, 2, FALSE), "DATO NO CARGADO"))</f>
        <v>Tarjeta</v>
      </c>
      <c r="C163" s="51" t="s">
        <v>149</v>
      </c>
      <c r="D163" s="156">
        <v>2025.0</v>
      </c>
      <c r="E163" s="43" t="s">
        <v>374</v>
      </c>
      <c r="F163" s="168"/>
      <c r="G163" s="168">
        <v>45779.0</v>
      </c>
      <c r="H163" s="55" t="s">
        <v>522</v>
      </c>
      <c r="I163" s="43" t="s">
        <v>537</v>
      </c>
      <c r="J163" s="104">
        <v>45779.0</v>
      </c>
      <c r="L163" s="89">
        <v>3.08</v>
      </c>
      <c r="M163" s="106" t="str">
        <f>IF(ISBLANK(K163), "", VLOOKUP(C163, 'Info Tipo de Cambio y REM'!$A$24:$B$35, 2, FALSE))</f>
        <v/>
      </c>
      <c r="N163" s="107">
        <f t="shared" si="1"/>
        <v>3.08</v>
      </c>
    </row>
    <row r="164">
      <c r="A164" s="43" t="s">
        <v>191</v>
      </c>
      <c r="B164" s="43" t="str">
        <f>IF(A164="", "", IFERROR(VLOOKUP(A164, Clasificaciones!A:B, 2, FALSE), "DATO NO CARGADO"))</f>
        <v>Tarjeta</v>
      </c>
      <c r="C164" s="51" t="s">
        <v>149</v>
      </c>
      <c r="D164" s="156">
        <v>2025.0</v>
      </c>
      <c r="E164" s="43" t="s">
        <v>374</v>
      </c>
      <c r="F164" s="170"/>
      <c r="G164" s="170">
        <v>45782.0</v>
      </c>
      <c r="H164" s="55" t="s">
        <v>522</v>
      </c>
      <c r="I164" s="169" t="s">
        <v>538</v>
      </c>
      <c r="J164" s="170">
        <v>45782.0</v>
      </c>
      <c r="L164" s="171">
        <v>22.99</v>
      </c>
      <c r="M164" s="106" t="str">
        <f>IF(ISBLANK(K164), "", VLOOKUP(C164, 'Info Tipo de Cambio y REM'!$A$24:$B$35, 2, FALSE))</f>
        <v/>
      </c>
      <c r="N164" s="107">
        <f t="shared" si="1"/>
        <v>22.99</v>
      </c>
    </row>
    <row r="165">
      <c r="A165" s="43" t="s">
        <v>191</v>
      </c>
      <c r="B165" s="43" t="str">
        <f>IF(A165="", "", IFERROR(VLOOKUP(A165, Clasificaciones!A:B, 2, FALSE), "DATO NO CARGADO"))</f>
        <v>Tarjeta</v>
      </c>
      <c r="C165" s="51" t="s">
        <v>149</v>
      </c>
      <c r="D165" s="156">
        <v>2025.0</v>
      </c>
      <c r="E165" s="43" t="s">
        <v>374</v>
      </c>
      <c r="F165" s="170"/>
      <c r="G165" s="170">
        <v>45782.0</v>
      </c>
      <c r="H165" s="55" t="s">
        <v>522</v>
      </c>
      <c r="I165" s="169" t="s">
        <v>539</v>
      </c>
      <c r="J165" s="170">
        <v>45782.0</v>
      </c>
      <c r="L165" s="171">
        <v>46.41</v>
      </c>
      <c r="M165" s="106" t="str">
        <f>IF(ISBLANK(K165), "", VLOOKUP(C165, 'Info Tipo de Cambio y REM'!$A$24:$B$35, 2, FALSE))</f>
        <v/>
      </c>
      <c r="N165" s="107">
        <f t="shared" si="1"/>
        <v>46.41</v>
      </c>
    </row>
    <row r="166">
      <c r="A166" s="43" t="s">
        <v>191</v>
      </c>
      <c r="B166" s="43" t="str">
        <f>IF(A166="", "", IFERROR(VLOOKUP(A166, Clasificaciones!A:B, 2, FALSE), "DATO NO CARGADO"))</f>
        <v>Tarjeta</v>
      </c>
      <c r="C166" s="51" t="s">
        <v>149</v>
      </c>
      <c r="D166" s="156">
        <v>2025.0</v>
      </c>
      <c r="E166" s="43" t="s">
        <v>374</v>
      </c>
      <c r="F166" s="170"/>
      <c r="G166" s="170">
        <v>45783.0</v>
      </c>
      <c r="H166" s="55" t="s">
        <v>522</v>
      </c>
      <c r="I166" s="169" t="s">
        <v>540</v>
      </c>
      <c r="J166" s="170">
        <v>45783.0</v>
      </c>
      <c r="L166" s="171">
        <v>500.47</v>
      </c>
      <c r="M166" s="106" t="str">
        <f>IF(ISBLANK(K166), "", VLOOKUP(C166, 'Info Tipo de Cambio y REM'!$A$24:$B$35, 2, FALSE))</f>
        <v/>
      </c>
      <c r="N166" s="107">
        <f t="shared" si="1"/>
        <v>500.47</v>
      </c>
    </row>
    <row r="167">
      <c r="A167" s="43" t="s">
        <v>191</v>
      </c>
      <c r="B167" s="43" t="str">
        <f>IF(A167="", "", IFERROR(VLOOKUP(A167, Clasificaciones!A:B, 2, FALSE), "DATO NO CARGADO"))</f>
        <v>Tarjeta</v>
      </c>
      <c r="C167" s="51" t="s">
        <v>149</v>
      </c>
      <c r="D167" s="156">
        <v>2025.0</v>
      </c>
      <c r="E167" s="43" t="s">
        <v>374</v>
      </c>
      <c r="F167" s="170"/>
      <c r="G167" s="170">
        <v>45784.0</v>
      </c>
      <c r="H167" s="55" t="s">
        <v>522</v>
      </c>
      <c r="I167" s="169" t="s">
        <v>541</v>
      </c>
      <c r="J167" s="170">
        <v>45784.0</v>
      </c>
      <c r="L167" s="171">
        <v>20.0</v>
      </c>
      <c r="M167" s="106" t="str">
        <f>IF(ISBLANK(K167), "", VLOOKUP(C167, 'Info Tipo de Cambio y REM'!$A$24:$B$35, 2, FALSE))</f>
        <v/>
      </c>
      <c r="N167" s="107">
        <f t="shared" si="1"/>
        <v>20</v>
      </c>
    </row>
    <row r="168">
      <c r="A168" s="43" t="s">
        <v>191</v>
      </c>
      <c r="B168" s="43" t="str">
        <f>IF(A168="", "", IFERROR(VLOOKUP(A168, Clasificaciones!A:B, 2, FALSE), "DATO NO CARGADO"))</f>
        <v>Tarjeta</v>
      </c>
      <c r="C168" s="51" t="s">
        <v>149</v>
      </c>
      <c r="D168" s="156">
        <v>2025.0</v>
      </c>
      <c r="E168" s="43" t="s">
        <v>374</v>
      </c>
      <c r="F168" s="170"/>
      <c r="G168" s="170">
        <v>45785.0</v>
      </c>
      <c r="H168" s="55" t="s">
        <v>522</v>
      </c>
      <c r="I168" s="169" t="s">
        <v>542</v>
      </c>
      <c r="J168" s="170">
        <v>45785.0</v>
      </c>
      <c r="L168" s="171">
        <v>6.49</v>
      </c>
      <c r="M168" s="106" t="str">
        <f>IF(ISBLANK(K168), "", VLOOKUP(C168, 'Info Tipo de Cambio y REM'!$A$24:$B$35, 2, FALSE))</f>
        <v/>
      </c>
      <c r="N168" s="107">
        <f t="shared" si="1"/>
        <v>6.49</v>
      </c>
    </row>
    <row r="169">
      <c r="A169" s="43" t="s">
        <v>191</v>
      </c>
      <c r="B169" s="43" t="str">
        <f>IF(A169="", "", IFERROR(VLOOKUP(A169, Clasificaciones!A:B, 2, FALSE), "DATO NO CARGADO"))</f>
        <v>Tarjeta</v>
      </c>
      <c r="C169" s="51" t="s">
        <v>149</v>
      </c>
      <c r="D169" s="156">
        <v>2025.0</v>
      </c>
      <c r="E169" s="43" t="s">
        <v>374</v>
      </c>
      <c r="F169" s="170"/>
      <c r="G169" s="170">
        <v>45785.0</v>
      </c>
      <c r="H169" s="55" t="s">
        <v>522</v>
      </c>
      <c r="I169" s="169" t="s">
        <v>543</v>
      </c>
      <c r="J169" s="170">
        <v>45785.0</v>
      </c>
      <c r="L169" s="171">
        <v>29.0</v>
      </c>
      <c r="M169" s="106" t="str">
        <f>IF(ISBLANK(K169), "", VLOOKUP(C169, 'Info Tipo de Cambio y REM'!$A$24:$B$35, 2, FALSE))</f>
        <v/>
      </c>
      <c r="N169" s="107">
        <f t="shared" si="1"/>
        <v>29</v>
      </c>
    </row>
    <row r="170">
      <c r="A170" s="43" t="s">
        <v>191</v>
      </c>
      <c r="B170" s="43" t="str">
        <f>IF(A170="", "", IFERROR(VLOOKUP(A170, Clasificaciones!A:B, 2, FALSE), "DATO NO CARGADO"))</f>
        <v>Tarjeta</v>
      </c>
      <c r="C170" s="51" t="s">
        <v>149</v>
      </c>
      <c r="D170" s="156">
        <v>2025.0</v>
      </c>
      <c r="E170" s="43" t="s">
        <v>374</v>
      </c>
      <c r="F170" s="170"/>
      <c r="G170" s="170">
        <v>45789.0</v>
      </c>
      <c r="H170" s="55" t="s">
        <v>522</v>
      </c>
      <c r="I170" s="169" t="s">
        <v>544</v>
      </c>
      <c r="J170" s="170">
        <v>45789.0</v>
      </c>
      <c r="L170" s="171">
        <v>192.0</v>
      </c>
      <c r="M170" s="106" t="str">
        <f>IF(ISBLANK(K170), "", VLOOKUP(C170, 'Info Tipo de Cambio y REM'!$A$24:$B$35, 2, FALSE))</f>
        <v/>
      </c>
      <c r="N170" s="107">
        <f t="shared" si="1"/>
        <v>192</v>
      </c>
    </row>
    <row r="171">
      <c r="A171" s="43" t="s">
        <v>191</v>
      </c>
      <c r="B171" s="43" t="str">
        <f>IF(A171="", "", IFERROR(VLOOKUP(A171, Clasificaciones!A:B, 2, FALSE), "DATO NO CARGADO"))</f>
        <v>Tarjeta</v>
      </c>
      <c r="C171" s="51" t="s">
        <v>149</v>
      </c>
      <c r="D171" s="156">
        <v>2025.0</v>
      </c>
      <c r="E171" s="43" t="s">
        <v>374</v>
      </c>
      <c r="F171" s="170"/>
      <c r="G171" s="170">
        <v>45789.0</v>
      </c>
      <c r="H171" s="55" t="s">
        <v>522</v>
      </c>
      <c r="I171" s="169" t="s">
        <v>545</v>
      </c>
      <c r="J171" s="170">
        <v>45789.0</v>
      </c>
      <c r="L171" s="171">
        <v>20.0</v>
      </c>
      <c r="M171" s="106" t="str">
        <f>IF(ISBLANK(K171), "", VLOOKUP(C171, 'Info Tipo de Cambio y REM'!$A$24:$B$35, 2, FALSE))</f>
        <v/>
      </c>
      <c r="N171" s="107">
        <f t="shared" si="1"/>
        <v>20</v>
      </c>
    </row>
    <row r="172">
      <c r="A172" s="43" t="s">
        <v>191</v>
      </c>
      <c r="B172" s="43" t="str">
        <f>IF(A172="", "", IFERROR(VLOOKUP(A172, Clasificaciones!A:B, 2, FALSE), "DATO NO CARGADO"))</f>
        <v>Tarjeta</v>
      </c>
      <c r="C172" s="51" t="s">
        <v>149</v>
      </c>
      <c r="D172" s="156">
        <v>2025.0</v>
      </c>
      <c r="E172" s="43" t="s">
        <v>374</v>
      </c>
      <c r="F172" s="170"/>
      <c r="G172" s="170">
        <v>45796.0</v>
      </c>
      <c r="H172" s="55" t="s">
        <v>522</v>
      </c>
      <c r="I172" s="169" t="s">
        <v>546</v>
      </c>
      <c r="J172" s="170">
        <v>45796.0</v>
      </c>
      <c r="L172" s="171">
        <v>8.0</v>
      </c>
      <c r="M172" s="106" t="str">
        <f>IF(ISBLANK(K172), "", VLOOKUP(C172, 'Info Tipo de Cambio y REM'!$A$24:$B$35, 2, FALSE))</f>
        <v/>
      </c>
      <c r="N172" s="107">
        <f t="shared" si="1"/>
        <v>8</v>
      </c>
    </row>
    <row r="173">
      <c r="A173" s="43" t="s">
        <v>191</v>
      </c>
      <c r="B173" s="43" t="str">
        <f>IF(A173="", "", IFERROR(VLOOKUP(A173, Clasificaciones!A:B, 2, FALSE), "DATO NO CARGADO"))</f>
        <v>Tarjeta</v>
      </c>
      <c r="C173" s="51" t="s">
        <v>149</v>
      </c>
      <c r="D173" s="156">
        <v>2025.0</v>
      </c>
      <c r="E173" s="43" t="s">
        <v>374</v>
      </c>
      <c r="F173" s="170"/>
      <c r="G173" s="170">
        <v>45797.0</v>
      </c>
      <c r="H173" s="55" t="s">
        <v>522</v>
      </c>
      <c r="I173" s="169" t="s">
        <v>547</v>
      </c>
      <c r="J173" s="170">
        <v>45797.0</v>
      </c>
      <c r="L173" s="171">
        <v>25.3</v>
      </c>
      <c r="M173" s="106" t="str">
        <f>IF(ISBLANK(K173), "", VLOOKUP(C173, 'Info Tipo de Cambio y REM'!$A$24:$B$35, 2, FALSE))</f>
        <v/>
      </c>
      <c r="N173" s="107">
        <f t="shared" si="1"/>
        <v>25.3</v>
      </c>
    </row>
    <row r="174">
      <c r="A174" s="43" t="s">
        <v>127</v>
      </c>
      <c r="B174" s="43" t="str">
        <f>IF(A174="", "", IFERROR(VLOOKUP(A174, Clasificaciones!A:B, 2, FALSE), "DATO NO CARGADO"))</f>
        <v>Board</v>
      </c>
      <c r="C174" s="51" t="s">
        <v>149</v>
      </c>
      <c r="D174" s="156">
        <v>2025.0</v>
      </c>
      <c r="E174" s="43" t="s">
        <v>374</v>
      </c>
      <c r="F174" s="170"/>
      <c r="G174" s="170">
        <v>45792.0</v>
      </c>
      <c r="H174" s="55" t="s">
        <v>458</v>
      </c>
      <c r="I174" s="169" t="s">
        <v>548</v>
      </c>
      <c r="J174" s="170">
        <v>45797.0</v>
      </c>
      <c r="L174" s="171">
        <v>2000.0</v>
      </c>
      <c r="M174" s="106" t="str">
        <f>IF(ISBLANK(K174), "", VLOOKUP(C174, 'Info Tipo de Cambio y REM'!$A$24:$B$35, 2, FALSE))</f>
        <v/>
      </c>
      <c r="N174" s="107">
        <f t="shared" si="1"/>
        <v>2000</v>
      </c>
    </row>
    <row r="175">
      <c r="A175" s="43" t="s">
        <v>153</v>
      </c>
      <c r="B175" s="43" t="str">
        <f>IF(A175="", "", IFERROR(VLOOKUP(A175, Clasificaciones!A:B, 2, FALSE), "DATO NO CARGADO"))</f>
        <v>Impuestos USA</v>
      </c>
      <c r="C175" s="51" t="s">
        <v>149</v>
      </c>
      <c r="D175" s="156">
        <v>2025.0</v>
      </c>
      <c r="E175" s="43" t="s">
        <v>374</v>
      </c>
      <c r="F175" s="170"/>
      <c r="G175" s="170">
        <v>45797.0</v>
      </c>
      <c r="H175" s="55" t="s">
        <v>522</v>
      </c>
      <c r="I175" s="169" t="s">
        <v>549</v>
      </c>
      <c r="J175" s="170">
        <v>45797.0</v>
      </c>
      <c r="L175" s="171">
        <v>45.0</v>
      </c>
      <c r="M175" s="106" t="str">
        <f>IF(ISBLANK(K175), "", VLOOKUP(C175, 'Info Tipo de Cambio y REM'!$A$24:$B$35, 2, FALSE))</f>
        <v/>
      </c>
      <c r="N175" s="107">
        <f t="shared" si="1"/>
        <v>45</v>
      </c>
    </row>
    <row r="176">
      <c r="A176" s="43" t="s">
        <v>187</v>
      </c>
      <c r="B176" s="43" t="str">
        <f>IF(A176="", "", IFERROR(VLOOKUP(A176, Clasificaciones!A:B, 2, FALSE), "DATO NO CARGADO"))</f>
        <v>Gastos Varios</v>
      </c>
      <c r="C176" s="51" t="s">
        <v>149</v>
      </c>
      <c r="D176" s="156">
        <v>2025.0</v>
      </c>
      <c r="E176" s="43" t="s">
        <v>374</v>
      </c>
      <c r="F176" s="170"/>
      <c r="G176" s="170">
        <v>45777.0</v>
      </c>
      <c r="H176" s="162" t="s">
        <v>418</v>
      </c>
      <c r="I176" s="169" t="s">
        <v>550</v>
      </c>
      <c r="J176" s="170">
        <v>45813.0</v>
      </c>
      <c r="L176" s="171">
        <v>600.0</v>
      </c>
      <c r="M176" s="106" t="str">
        <f>IF(ISBLANK(K176), "", VLOOKUP(C176, 'Info Tipo de Cambio y REM'!$A$24:$B$35, 2, FALSE))</f>
        <v/>
      </c>
      <c r="N176" s="107">
        <f t="shared" si="1"/>
        <v>600</v>
      </c>
    </row>
    <row r="177">
      <c r="A177" s="43" t="s">
        <v>120</v>
      </c>
      <c r="B177" s="43" t="str">
        <f>IF(A177="", "", IFERROR(VLOOKUP(A177, Clasificaciones!A:B, 2, FALSE), "DATO NO CARGADO"))</f>
        <v>Equipo</v>
      </c>
      <c r="C177" s="51" t="s">
        <v>149</v>
      </c>
      <c r="D177" s="156">
        <v>2025.0</v>
      </c>
      <c r="E177" s="43" t="s">
        <v>374</v>
      </c>
      <c r="F177" s="172"/>
      <c r="G177" s="172">
        <v>45805.0</v>
      </c>
      <c r="H177" s="165" t="s">
        <v>387</v>
      </c>
      <c r="I177" s="43" t="s">
        <v>551</v>
      </c>
      <c r="J177" s="104">
        <v>45805.0</v>
      </c>
      <c r="L177" s="89">
        <v>1000.0</v>
      </c>
      <c r="M177" s="106" t="str">
        <f>IF(ISBLANK(K177), "", VLOOKUP(C177, 'Info Tipo de Cambio y REM'!$A$24:$B$35, 2, FALSE))</f>
        <v/>
      </c>
      <c r="N177" s="107">
        <f t="shared" si="1"/>
        <v>1000</v>
      </c>
      <c r="O177" s="173"/>
      <c r="P177" s="173"/>
      <c r="Q177" s="173"/>
      <c r="R177" s="173"/>
      <c r="S177" s="173"/>
      <c r="T177" s="173"/>
      <c r="U177" s="173"/>
      <c r="V177" s="173"/>
      <c r="W177" s="173"/>
      <c r="X177" s="173"/>
      <c r="Y177" s="173"/>
      <c r="Z177" s="173"/>
      <c r="AA177" s="173"/>
      <c r="AB177" s="173"/>
      <c r="AC177" s="173"/>
      <c r="AD177" s="173"/>
      <c r="AE177" s="173"/>
      <c r="AF177" s="173"/>
    </row>
    <row r="178">
      <c r="A178" s="43" t="s">
        <v>120</v>
      </c>
      <c r="B178" s="43" t="str">
        <f>IF(A178="", "", IFERROR(VLOOKUP(A178, Clasificaciones!A:B, 2, FALSE), "DATO NO CARGADO"))</f>
        <v>Equipo</v>
      </c>
      <c r="C178" s="51" t="s">
        <v>149</v>
      </c>
      <c r="D178" s="156">
        <v>2025.0</v>
      </c>
      <c r="E178" s="43" t="s">
        <v>374</v>
      </c>
      <c r="F178" s="172"/>
      <c r="G178" s="172">
        <v>45805.0</v>
      </c>
      <c r="H178" s="165" t="s">
        <v>387</v>
      </c>
      <c r="I178" s="43" t="s">
        <v>552</v>
      </c>
      <c r="J178" s="104">
        <v>45805.0</v>
      </c>
      <c r="L178" s="89">
        <v>45.0</v>
      </c>
      <c r="M178" s="106" t="str">
        <f>IF(ISBLANK(K178), "", VLOOKUP(C178, 'Info Tipo de Cambio y REM'!$A$24:$B$35, 2, FALSE))</f>
        <v/>
      </c>
      <c r="N178" s="107">
        <f t="shared" si="1"/>
        <v>45</v>
      </c>
      <c r="O178" s="173"/>
      <c r="P178" s="173"/>
      <c r="Q178" s="173"/>
      <c r="R178" s="173"/>
      <c r="S178" s="173"/>
      <c r="T178" s="173"/>
      <c r="U178" s="173"/>
      <c r="V178" s="173"/>
      <c r="W178" s="173"/>
      <c r="X178" s="173"/>
      <c r="Y178" s="173"/>
      <c r="Z178" s="173"/>
      <c r="AA178" s="173"/>
      <c r="AB178" s="173"/>
      <c r="AC178" s="173"/>
      <c r="AD178" s="173"/>
      <c r="AE178" s="173"/>
      <c r="AF178" s="173"/>
    </row>
    <row r="179">
      <c r="A179" s="43" t="s">
        <v>228</v>
      </c>
      <c r="B179" s="43" t="str">
        <f>IF(A179="", "", IFERROR(VLOOKUP(A179, Clasificaciones!A:B, 2, FALSE), "DATO NO CARGADO"))</f>
        <v>Equipo</v>
      </c>
      <c r="C179" s="51" t="s">
        <v>149</v>
      </c>
      <c r="D179" s="156">
        <v>2025.0</v>
      </c>
      <c r="E179" s="43" t="s">
        <v>374</v>
      </c>
      <c r="F179" s="172"/>
      <c r="G179" s="172">
        <v>45805.0</v>
      </c>
      <c r="H179" s="158" t="s">
        <v>436</v>
      </c>
      <c r="I179" s="43" t="s">
        <v>551</v>
      </c>
      <c r="J179" s="104">
        <v>45805.0</v>
      </c>
      <c r="L179" s="89">
        <v>1000.0</v>
      </c>
      <c r="M179" s="106" t="str">
        <f>IF(ISBLANK(K179), "", VLOOKUP(C179, 'Info Tipo de Cambio y REM'!$A$24:$B$35, 2, FALSE))</f>
        <v/>
      </c>
      <c r="N179" s="107">
        <f t="shared" si="1"/>
        <v>1000</v>
      </c>
      <c r="O179" s="173"/>
      <c r="P179" s="173"/>
      <c r="Q179" s="173"/>
      <c r="R179" s="173"/>
      <c r="S179" s="173"/>
      <c r="T179" s="173"/>
      <c r="U179" s="173"/>
      <c r="V179" s="173"/>
      <c r="W179" s="173"/>
      <c r="X179" s="173"/>
      <c r="Y179" s="173"/>
      <c r="Z179" s="173"/>
      <c r="AA179" s="173"/>
      <c r="AB179" s="173"/>
      <c r="AC179" s="173"/>
      <c r="AD179" s="173"/>
      <c r="AE179" s="173"/>
      <c r="AF179" s="173"/>
    </row>
    <row r="180">
      <c r="A180" s="43" t="s">
        <v>228</v>
      </c>
      <c r="B180" s="43" t="str">
        <f>IF(A180="", "", IFERROR(VLOOKUP(A180, Clasificaciones!A:B, 2, FALSE), "DATO NO CARGADO"))</f>
        <v>Equipo</v>
      </c>
      <c r="C180" s="51" t="s">
        <v>149</v>
      </c>
      <c r="D180" s="156">
        <v>2025.0</v>
      </c>
      <c r="E180" s="43" t="s">
        <v>374</v>
      </c>
      <c r="F180" s="172"/>
      <c r="G180" s="172">
        <v>45805.0</v>
      </c>
      <c r="H180" s="158" t="s">
        <v>436</v>
      </c>
      <c r="I180" s="43" t="s">
        <v>552</v>
      </c>
      <c r="J180" s="104">
        <v>45805.0</v>
      </c>
      <c r="L180" s="89">
        <v>45.0</v>
      </c>
      <c r="M180" s="106" t="str">
        <f>IF(ISBLANK(K180), "", VLOOKUP(C180, 'Info Tipo de Cambio y REM'!$A$24:$B$35, 2, FALSE))</f>
        <v/>
      </c>
      <c r="N180" s="107">
        <f t="shared" si="1"/>
        <v>45</v>
      </c>
      <c r="O180" s="173"/>
      <c r="P180" s="173"/>
      <c r="Q180" s="173"/>
      <c r="R180" s="173"/>
      <c r="S180" s="173"/>
      <c r="T180" s="173"/>
      <c r="U180" s="173"/>
      <c r="V180" s="173"/>
      <c r="W180" s="173"/>
      <c r="X180" s="173"/>
      <c r="Y180" s="173"/>
      <c r="Z180" s="173"/>
      <c r="AA180" s="173"/>
      <c r="AB180" s="173"/>
      <c r="AC180" s="173"/>
      <c r="AD180" s="173"/>
      <c r="AE180" s="173"/>
      <c r="AF180" s="173"/>
    </row>
    <row r="181">
      <c r="A181" s="43" t="s">
        <v>191</v>
      </c>
      <c r="B181" s="43" t="str">
        <f>IF(A181="", "", IFERROR(VLOOKUP(A181, Clasificaciones!A:B, 2, FALSE), "DATO NO CARGADO"))</f>
        <v>Tarjeta</v>
      </c>
      <c r="C181" s="51" t="s">
        <v>149</v>
      </c>
      <c r="D181" s="156">
        <v>2025.0</v>
      </c>
      <c r="E181" s="43" t="s">
        <v>374</v>
      </c>
      <c r="F181" s="104"/>
      <c r="G181" s="104">
        <v>45800.0</v>
      </c>
      <c r="H181" s="55" t="s">
        <v>522</v>
      </c>
      <c r="I181" s="169" t="s">
        <v>553</v>
      </c>
      <c r="J181" s="174">
        <v>45800.0</v>
      </c>
      <c r="L181" s="171">
        <v>29.99</v>
      </c>
      <c r="M181" s="106" t="str">
        <f>IF(ISBLANK(K181), "", VLOOKUP(C181, 'Info Tipo de Cambio y REM'!$A$24:$B$35, 2, FALSE))</f>
        <v/>
      </c>
      <c r="N181" s="107">
        <f t="shared" si="1"/>
        <v>29.99</v>
      </c>
      <c r="O181" s="173"/>
      <c r="P181" s="173"/>
      <c r="Q181" s="173"/>
      <c r="R181" s="173"/>
      <c r="S181" s="173"/>
      <c r="T181" s="173"/>
      <c r="U181" s="173"/>
      <c r="V181" s="173"/>
      <c r="W181" s="173"/>
      <c r="X181" s="173"/>
      <c r="Y181" s="173"/>
      <c r="Z181" s="173"/>
      <c r="AA181" s="173"/>
      <c r="AB181" s="173"/>
      <c r="AC181" s="173"/>
      <c r="AD181" s="173"/>
      <c r="AE181" s="173"/>
      <c r="AF181" s="173"/>
    </row>
    <row r="182">
      <c r="A182" s="43" t="s">
        <v>191</v>
      </c>
      <c r="B182" s="43" t="str">
        <f>IF(A182="", "", IFERROR(VLOOKUP(A182, Clasificaciones!A:B, 2, FALSE), "DATO NO CARGADO"))</f>
        <v>Tarjeta</v>
      </c>
      <c r="C182" s="51" t="s">
        <v>149</v>
      </c>
      <c r="D182" s="156">
        <v>2025.0</v>
      </c>
      <c r="E182" s="43" t="s">
        <v>374</v>
      </c>
      <c r="F182" s="104"/>
      <c r="G182" s="104">
        <v>45804.0</v>
      </c>
      <c r="H182" s="55" t="s">
        <v>522</v>
      </c>
      <c r="I182" s="169" t="s">
        <v>554</v>
      </c>
      <c r="J182" s="174">
        <v>45804.0</v>
      </c>
      <c r="L182" s="171">
        <v>588.0</v>
      </c>
      <c r="M182" s="106" t="str">
        <f>IF(ISBLANK(K182), "", VLOOKUP(C182, 'Info Tipo de Cambio y REM'!$A$24:$B$35, 2, FALSE))</f>
        <v/>
      </c>
      <c r="N182" s="107">
        <f t="shared" si="1"/>
        <v>588</v>
      </c>
      <c r="O182" s="173"/>
      <c r="P182" s="173"/>
      <c r="Q182" s="173"/>
      <c r="R182" s="173"/>
      <c r="S182" s="173"/>
      <c r="T182" s="173"/>
      <c r="U182" s="173"/>
      <c r="V182" s="173"/>
      <c r="W182" s="173"/>
      <c r="X182" s="173"/>
      <c r="Y182" s="173"/>
      <c r="Z182" s="173"/>
      <c r="AA182" s="173"/>
      <c r="AB182" s="173"/>
      <c r="AC182" s="173"/>
      <c r="AD182" s="173"/>
      <c r="AE182" s="173"/>
      <c r="AF182" s="173"/>
    </row>
    <row r="183">
      <c r="A183" s="43" t="s">
        <v>191</v>
      </c>
      <c r="B183" s="43" t="str">
        <f>IF(A183="", "", IFERROR(VLOOKUP(A183, Clasificaciones!A:B, 2, FALSE), "DATO NO CARGADO"))</f>
        <v>Tarjeta</v>
      </c>
      <c r="C183" s="51" t="s">
        <v>149</v>
      </c>
      <c r="D183" s="156">
        <v>2025.0</v>
      </c>
      <c r="E183" s="43" t="s">
        <v>374</v>
      </c>
      <c r="F183" s="104"/>
      <c r="G183" s="104">
        <v>45804.0</v>
      </c>
      <c r="H183" s="55" t="s">
        <v>522</v>
      </c>
      <c r="I183" s="169" t="s">
        <v>555</v>
      </c>
      <c r="J183" s="174">
        <v>45804.0</v>
      </c>
      <c r="L183" s="171">
        <v>609.8</v>
      </c>
      <c r="M183" s="106" t="str">
        <f>IF(ISBLANK(K183), "", VLOOKUP(C183, 'Info Tipo de Cambio y REM'!$A$24:$B$35, 2, FALSE))</f>
        <v/>
      </c>
      <c r="N183" s="107">
        <f t="shared" si="1"/>
        <v>609.8</v>
      </c>
      <c r="O183" s="173"/>
      <c r="P183" s="173"/>
      <c r="Q183" s="173"/>
      <c r="R183" s="173"/>
      <c r="S183" s="173"/>
      <c r="T183" s="173"/>
      <c r="U183" s="173"/>
      <c r="V183" s="173"/>
      <c r="W183" s="173"/>
      <c r="X183" s="173"/>
      <c r="Y183" s="173"/>
      <c r="Z183" s="173"/>
      <c r="AA183" s="173"/>
      <c r="AB183" s="173"/>
      <c r="AC183" s="173"/>
      <c r="AD183" s="173"/>
      <c r="AE183" s="173"/>
      <c r="AF183" s="173"/>
    </row>
    <row r="184">
      <c r="A184" s="43" t="s">
        <v>191</v>
      </c>
      <c r="B184" s="43" t="str">
        <f>IF(A184="", "", IFERROR(VLOOKUP(A184, Clasificaciones!A:B, 2, FALSE), "DATO NO CARGADO"))</f>
        <v>Tarjeta</v>
      </c>
      <c r="C184" s="51" t="s">
        <v>149</v>
      </c>
      <c r="D184" s="156">
        <v>2025.0</v>
      </c>
      <c r="E184" s="43" t="s">
        <v>374</v>
      </c>
      <c r="F184" s="104"/>
      <c r="G184" s="104">
        <v>45805.0</v>
      </c>
      <c r="H184" s="55" t="s">
        <v>522</v>
      </c>
      <c r="I184" s="169" t="s">
        <v>556</v>
      </c>
      <c r="J184" s="174">
        <v>45805.0</v>
      </c>
      <c r="L184" s="171">
        <v>500.46</v>
      </c>
      <c r="M184" s="106" t="str">
        <f>IF(ISBLANK(K184), "", VLOOKUP(C184, 'Info Tipo de Cambio y REM'!$A$24:$B$35, 2, FALSE))</f>
        <v/>
      </c>
      <c r="N184" s="107">
        <f t="shared" si="1"/>
        <v>500.46</v>
      </c>
      <c r="O184" s="173"/>
      <c r="P184" s="173"/>
      <c r="Q184" s="173"/>
      <c r="R184" s="173"/>
      <c r="S184" s="173"/>
      <c r="T184" s="173"/>
      <c r="U184" s="173"/>
      <c r="V184" s="173"/>
      <c r="W184" s="173"/>
      <c r="X184" s="173"/>
      <c r="Y184" s="173"/>
      <c r="Z184" s="173"/>
      <c r="AA184" s="173"/>
      <c r="AB184" s="173"/>
      <c r="AC184" s="173"/>
      <c r="AD184" s="173"/>
      <c r="AE184" s="173"/>
      <c r="AF184" s="173"/>
    </row>
    <row r="185">
      <c r="A185" s="43" t="s">
        <v>191</v>
      </c>
      <c r="B185" s="43" t="str">
        <f>IF(A185="", "", IFERROR(VLOOKUP(A185, Clasificaciones!A:B, 2, FALSE), "DATO NO CARGADO"))</f>
        <v>Tarjeta</v>
      </c>
      <c r="C185" s="51" t="s">
        <v>149</v>
      </c>
      <c r="D185" s="156">
        <v>2025.0</v>
      </c>
      <c r="E185" s="43" t="s">
        <v>374</v>
      </c>
      <c r="F185" s="104"/>
      <c r="G185" s="104">
        <v>45805.0</v>
      </c>
      <c r="H185" s="55" t="s">
        <v>522</v>
      </c>
      <c r="I185" s="169" t="s">
        <v>557</v>
      </c>
      <c r="J185" s="174">
        <v>45806.0</v>
      </c>
      <c r="L185" s="171">
        <v>6.15</v>
      </c>
      <c r="M185" s="106" t="str">
        <f>IF(ISBLANK(K185), "", VLOOKUP(C185, 'Info Tipo de Cambio y REM'!$A$24:$B$35, 2, FALSE))</f>
        <v/>
      </c>
      <c r="N185" s="107">
        <f t="shared" si="1"/>
        <v>6.15</v>
      </c>
      <c r="O185" s="173"/>
      <c r="P185" s="173"/>
      <c r="Q185" s="173"/>
      <c r="R185" s="173"/>
      <c r="S185" s="173"/>
      <c r="T185" s="173"/>
      <c r="U185" s="173"/>
      <c r="V185" s="173"/>
      <c r="W185" s="173"/>
      <c r="X185" s="173"/>
      <c r="Y185" s="173"/>
      <c r="Z185" s="173"/>
      <c r="AA185" s="173"/>
      <c r="AB185" s="173"/>
      <c r="AC185" s="173"/>
      <c r="AD185" s="173"/>
      <c r="AE185" s="173"/>
      <c r="AF185" s="173"/>
    </row>
    <row r="186">
      <c r="A186" s="43" t="s">
        <v>187</v>
      </c>
      <c r="B186" s="43" t="str">
        <f>IF(A186="", "", IFERROR(VLOOKUP(A186, Clasificaciones!A:B, 2, FALSE), "DATO NO CARGADO"))</f>
        <v>Gastos Varios</v>
      </c>
      <c r="C186" s="51" t="s">
        <v>149</v>
      </c>
      <c r="D186" s="156">
        <v>2025.0</v>
      </c>
      <c r="E186" s="43" t="s">
        <v>374</v>
      </c>
      <c r="F186" s="104"/>
      <c r="G186" s="104">
        <v>45807.0</v>
      </c>
      <c r="H186" s="165" t="s">
        <v>418</v>
      </c>
      <c r="I186" s="43" t="s">
        <v>558</v>
      </c>
      <c r="J186" s="168">
        <v>45839.0</v>
      </c>
      <c r="L186" s="89">
        <v>600.0</v>
      </c>
      <c r="M186" s="106" t="str">
        <f>IF(ISBLANK(K186), "", VLOOKUP(C186, 'Info Tipo de Cambio y REM'!$A$24:$B$35, 2, FALSE))</f>
        <v/>
      </c>
      <c r="N186" s="107">
        <f t="shared" si="1"/>
        <v>600</v>
      </c>
    </row>
    <row r="187">
      <c r="A187" s="43" t="s">
        <v>152</v>
      </c>
      <c r="B187" s="43" t="str">
        <f>IF(A187="", "", IFERROR(VLOOKUP(A187, Clasificaciones!A:B, 2, FALSE), "DATO NO CARGADO"))</f>
        <v>Impuestos ARG</v>
      </c>
      <c r="C187" s="51" t="s">
        <v>149</v>
      </c>
      <c r="D187" s="156">
        <v>2025.0</v>
      </c>
      <c r="E187" s="43" t="s">
        <v>374</v>
      </c>
      <c r="F187" s="172"/>
      <c r="G187" s="172">
        <v>45807.0</v>
      </c>
      <c r="H187" s="165" t="s">
        <v>559</v>
      </c>
      <c r="J187" s="168">
        <v>45832.0</v>
      </c>
      <c r="K187" s="175">
        <v>1673785.0</v>
      </c>
      <c r="L187" s="71"/>
      <c r="M187" s="106" t="str">
        <f>IF(ISBLANK(K187), "", VLOOKUP(C187, 'Info Tipo de Cambio y REM'!$A$24:$B$35, 2, FALSE))</f>
        <v>#N/A</v>
      </c>
      <c r="N187" s="107" t="str">
        <f t="shared" si="1"/>
        <v/>
      </c>
      <c r="O187" s="92"/>
    </row>
    <row r="188">
      <c r="A188" s="43" t="s">
        <v>146</v>
      </c>
      <c r="B188" s="43" t="str">
        <f>IF(A188="", "", IFERROR(VLOOKUP(A188, Clasificaciones!A:B, 2, FALSE), "DATO NO CARGADO"))</f>
        <v>Impuestos ARG</v>
      </c>
      <c r="C188" s="51" t="s">
        <v>149</v>
      </c>
      <c r="D188" s="156">
        <v>2025.0</v>
      </c>
      <c r="E188" s="43" t="s">
        <v>374</v>
      </c>
      <c r="F188" s="172"/>
      <c r="G188" s="172">
        <v>45807.0</v>
      </c>
      <c r="H188" s="165" t="s">
        <v>560</v>
      </c>
      <c r="J188" s="168">
        <v>45827.0</v>
      </c>
      <c r="K188" s="176">
        <v>308917.53465000005</v>
      </c>
      <c r="L188" s="71"/>
      <c r="M188" s="106" t="str">
        <f>IF(ISBLANK(K188), "", VLOOKUP(C188, 'Info Tipo de Cambio y REM'!$A$24:$B$35, 2, FALSE))</f>
        <v>#N/A</v>
      </c>
      <c r="N188" s="107" t="str">
        <f t="shared" si="1"/>
        <v/>
      </c>
      <c r="O188" s="92"/>
    </row>
    <row r="189">
      <c r="A189" s="43" t="s">
        <v>164</v>
      </c>
      <c r="B189" s="43" t="str">
        <f>IF(A189="", "", IFERROR(VLOOKUP(A189, Clasificaciones!A:B, 2, FALSE), "DATO NO CARGADO"))</f>
        <v>Estudio Contable</v>
      </c>
      <c r="C189" s="51" t="s">
        <v>149</v>
      </c>
      <c r="D189" s="156">
        <v>2025.0</v>
      </c>
      <c r="E189" s="43" t="s">
        <v>374</v>
      </c>
      <c r="F189" s="172"/>
      <c r="G189" s="172">
        <v>45807.0</v>
      </c>
      <c r="H189" s="165" t="s">
        <v>561</v>
      </c>
      <c r="J189" s="168">
        <v>45848.0</v>
      </c>
      <c r="K189" s="176">
        <v>49229.886</v>
      </c>
      <c r="L189" s="71"/>
      <c r="M189" s="106" t="str">
        <f>IF(ISBLANK(K189), "", VLOOKUP(C189, 'Info Tipo de Cambio y REM'!$A$24:$B$35, 2, FALSE))</f>
        <v>#N/A</v>
      </c>
      <c r="N189" s="107" t="str">
        <f t="shared" si="1"/>
        <v/>
      </c>
      <c r="O189" s="92"/>
    </row>
    <row r="190">
      <c r="A190" s="92" t="s">
        <v>153</v>
      </c>
      <c r="B190" s="43" t="str">
        <f>IF(A190="", "", IFERROR(VLOOKUP(A190, Clasificaciones!A:B, 2, FALSE), "DATO NO CARGADO"))</f>
        <v>Impuestos USA</v>
      </c>
      <c r="C190" s="51" t="s">
        <v>149</v>
      </c>
      <c r="D190" s="92">
        <v>2025.0</v>
      </c>
      <c r="E190" s="92" t="s">
        <v>371</v>
      </c>
      <c r="F190" s="177"/>
      <c r="G190" s="177">
        <v>45807.0</v>
      </c>
      <c r="H190" s="178" t="s">
        <v>562</v>
      </c>
      <c r="I190" s="92" t="s">
        <v>563</v>
      </c>
      <c r="J190" s="177">
        <v>46142.0</v>
      </c>
      <c r="K190" s="179"/>
      <c r="L190" s="180">
        <v>-4124.0</v>
      </c>
      <c r="M190" s="106" t="str">
        <f>IF(ISBLANK(K190), "", VLOOKUP(C190, 'Info Tipo de Cambio y REM'!$A$24:$B$35, 2, FALSE))</f>
        <v/>
      </c>
      <c r="N190" s="181">
        <f t="shared" si="1"/>
        <v>-4124</v>
      </c>
      <c r="O190" s="182"/>
      <c r="P190" s="182"/>
      <c r="Q190" s="182"/>
      <c r="R190" s="182"/>
      <c r="S190" s="182"/>
      <c r="T190" s="182"/>
      <c r="U190" s="182"/>
      <c r="V190" s="182"/>
      <c r="W190" s="182"/>
      <c r="X190" s="182"/>
      <c r="Y190" s="182"/>
      <c r="Z190" s="182"/>
      <c r="AA190" s="182"/>
      <c r="AB190" s="182"/>
      <c r="AC190" s="182"/>
      <c r="AD190" s="182"/>
      <c r="AE190" s="182"/>
      <c r="AF190" s="182"/>
    </row>
    <row r="191">
      <c r="A191" s="43" t="s">
        <v>222</v>
      </c>
      <c r="B191" s="43" t="str">
        <f>IF(A191="", "", IFERROR(VLOOKUP(A191, Clasificaciones!A:B, 2, FALSE), "DATO NO CARGADO"))</f>
        <v>Oxean</v>
      </c>
      <c r="C191" s="51" t="s">
        <v>149</v>
      </c>
      <c r="D191" s="156">
        <v>2025.0</v>
      </c>
      <c r="E191" s="43" t="s">
        <v>374</v>
      </c>
      <c r="F191" s="183"/>
      <c r="G191" s="183">
        <v>45807.0</v>
      </c>
      <c r="H191" s="165" t="s">
        <v>564</v>
      </c>
      <c r="J191" s="168">
        <v>45818.0</v>
      </c>
      <c r="K191" s="89">
        <v>4500000.0</v>
      </c>
      <c r="L191" s="71"/>
      <c r="M191" s="106" t="str">
        <f>IF(ISBLANK(K191), "", VLOOKUP(C191, 'Info Tipo de Cambio y REM'!$A$24:$B$35, 2, FALSE))</f>
        <v>#N/A</v>
      </c>
      <c r="N191" s="107" t="str">
        <f t="shared" si="1"/>
        <v/>
      </c>
    </row>
    <row r="192">
      <c r="A192" s="43" t="s">
        <v>158</v>
      </c>
      <c r="B192" s="43" t="str">
        <f>IF(A192="", "", IFERROR(VLOOKUP(A192, Clasificaciones!A:B, 2, FALSE), "DATO NO CARGADO"))</f>
        <v>Tarjeta</v>
      </c>
      <c r="C192" s="51" t="s">
        <v>149</v>
      </c>
      <c r="D192" s="156">
        <v>2025.0</v>
      </c>
      <c r="E192" s="43" t="s">
        <v>374</v>
      </c>
      <c r="F192" s="104"/>
      <c r="G192" s="104">
        <v>45807.0</v>
      </c>
      <c r="H192" s="184" t="s">
        <v>565</v>
      </c>
      <c r="I192" s="132"/>
      <c r="J192" s="185">
        <v>45826.0</v>
      </c>
      <c r="K192" s="89">
        <v>223609.31</v>
      </c>
      <c r="L192" s="71"/>
      <c r="M192" s="106" t="str">
        <f>IF(ISBLANK(K192), "", VLOOKUP(C192, 'Info Tipo de Cambio y REM'!$A$24:$B$35, 2, FALSE))</f>
        <v>#N/A</v>
      </c>
      <c r="N192" s="107" t="str">
        <f t="shared" si="1"/>
        <v/>
      </c>
    </row>
    <row r="193">
      <c r="A193" s="43" t="s">
        <v>214</v>
      </c>
      <c r="B193" s="43" t="str">
        <f>IF(A193="", "", IFERROR(VLOOKUP(A193, Clasificaciones!A:B, 2, FALSE), "DATO NO CARGADO"))</f>
        <v>Equipo</v>
      </c>
      <c r="C193" s="51" t="s">
        <v>149</v>
      </c>
      <c r="D193" s="156">
        <v>2025.0</v>
      </c>
      <c r="E193" s="43" t="s">
        <v>374</v>
      </c>
      <c r="F193" s="186"/>
      <c r="G193" s="186">
        <v>45807.0</v>
      </c>
      <c r="H193" s="187" t="s">
        <v>566</v>
      </c>
      <c r="I193" s="121" t="s">
        <v>567</v>
      </c>
      <c r="J193" s="104">
        <v>45820.0</v>
      </c>
      <c r="K193" s="188">
        <v>1600000.0</v>
      </c>
      <c r="L193" s="71"/>
      <c r="M193" s="106" t="str">
        <f>IF(ISBLANK(K193), "", VLOOKUP(C193, 'Info Tipo de Cambio y REM'!$A$24:$B$35, 2, FALSE))</f>
        <v>#N/A</v>
      </c>
      <c r="N193" s="107" t="str">
        <f t="shared" si="1"/>
        <v/>
      </c>
    </row>
    <row r="194">
      <c r="A194" s="43" t="s">
        <v>205</v>
      </c>
      <c r="B194" s="43" t="str">
        <f>IF(A194="", "", IFERROR(VLOOKUP(A194, Clasificaciones!A:B, 2, FALSE), "DATO NO CARGADO"))</f>
        <v>Equipo</v>
      </c>
      <c r="C194" s="51" t="s">
        <v>149</v>
      </c>
      <c r="D194" s="156">
        <v>2025.0</v>
      </c>
      <c r="E194" s="43" t="s">
        <v>374</v>
      </c>
      <c r="F194" s="186"/>
      <c r="G194" s="186">
        <v>45808.0</v>
      </c>
      <c r="H194" s="187" t="s">
        <v>379</v>
      </c>
      <c r="I194" s="121" t="s">
        <v>568</v>
      </c>
      <c r="J194" s="104">
        <v>45820.0</v>
      </c>
      <c r="K194" s="188">
        <v>1173200.0</v>
      </c>
      <c r="L194" s="71"/>
      <c r="M194" s="106" t="str">
        <f>IF(ISBLANK(K194), "", VLOOKUP(C194, 'Info Tipo de Cambio y REM'!$A$24:$B$35, 2, FALSE))</f>
        <v>#N/A</v>
      </c>
      <c r="N194" s="107" t="str">
        <f t="shared" si="1"/>
        <v/>
      </c>
    </row>
    <row r="195">
      <c r="A195" s="43" t="s">
        <v>200</v>
      </c>
      <c r="B195" s="43" t="str">
        <f>IF(A195="", "", IFERROR(VLOOKUP(A195, Clasificaciones!A:B, 2, FALSE), "DATO NO CARGADO"))</f>
        <v>Equipo</v>
      </c>
      <c r="C195" s="51" t="s">
        <v>149</v>
      </c>
      <c r="D195" s="156">
        <v>2025.0</v>
      </c>
      <c r="E195" s="43" t="s">
        <v>374</v>
      </c>
      <c r="F195" s="186"/>
      <c r="G195" s="186">
        <v>45807.0</v>
      </c>
      <c r="H195" s="187" t="s">
        <v>381</v>
      </c>
      <c r="I195" s="121" t="s">
        <v>569</v>
      </c>
      <c r="J195" s="104">
        <v>45820.0</v>
      </c>
      <c r="K195" s="188">
        <v>2829279.0</v>
      </c>
      <c r="L195" s="71"/>
      <c r="M195" s="106" t="str">
        <f>IF(ISBLANK(K195), "", VLOOKUP(C195, 'Info Tipo de Cambio y REM'!$A$24:$B$35, 2, FALSE))</f>
        <v>#N/A</v>
      </c>
      <c r="N195" s="107" t="str">
        <f t="shared" si="1"/>
        <v/>
      </c>
    </row>
    <row r="196">
      <c r="A196" s="43" t="s">
        <v>228</v>
      </c>
      <c r="B196" s="43" t="str">
        <f>IF(A196="", "", IFERROR(VLOOKUP(A196, Clasificaciones!A:B, 2, FALSE), "DATO NO CARGADO"))</f>
        <v>Equipo</v>
      </c>
      <c r="C196" s="51" t="s">
        <v>149</v>
      </c>
      <c r="D196" s="156">
        <v>2025.0</v>
      </c>
      <c r="E196" s="43" t="s">
        <v>374</v>
      </c>
      <c r="F196" s="186"/>
      <c r="G196" s="186">
        <v>45807.0</v>
      </c>
      <c r="H196" s="187" t="s">
        <v>436</v>
      </c>
      <c r="I196" s="121" t="s">
        <v>570</v>
      </c>
      <c r="J196" s="104">
        <v>45813.0</v>
      </c>
      <c r="K196" s="188">
        <v>785600.0</v>
      </c>
      <c r="L196" s="71"/>
      <c r="M196" s="106" t="str">
        <f>IF(ISBLANK(K196), "", VLOOKUP(C196, 'Info Tipo de Cambio y REM'!$A$24:$B$35, 2, FALSE))</f>
        <v>#N/A</v>
      </c>
      <c r="N196" s="107" t="str">
        <f t="shared" si="1"/>
        <v/>
      </c>
    </row>
    <row r="197">
      <c r="A197" s="43" t="s">
        <v>226</v>
      </c>
      <c r="B197" s="43" t="str">
        <f>IF(A197="", "", IFERROR(VLOOKUP(A197, Clasificaciones!A:B, 2, FALSE), "DATO NO CARGADO"))</f>
        <v>Administración Finanzas</v>
      </c>
      <c r="C197" s="51" t="s">
        <v>149</v>
      </c>
      <c r="D197" s="156">
        <v>2025.0</v>
      </c>
      <c r="E197" s="43" t="s">
        <v>374</v>
      </c>
      <c r="F197" s="186"/>
      <c r="G197" s="186">
        <v>45807.0</v>
      </c>
      <c r="H197" s="187" t="s">
        <v>383</v>
      </c>
      <c r="I197" s="121" t="s">
        <v>571</v>
      </c>
      <c r="J197" s="104">
        <v>45820.0</v>
      </c>
      <c r="K197" s="188">
        <v>537700.0</v>
      </c>
      <c r="L197" s="71"/>
      <c r="M197" s="106" t="str">
        <f>IF(ISBLANK(K197), "", VLOOKUP(C197, 'Info Tipo de Cambio y REM'!$A$24:$B$35, 2, FALSE))</f>
        <v>#N/A</v>
      </c>
      <c r="N197" s="107" t="str">
        <f t="shared" si="1"/>
        <v/>
      </c>
    </row>
    <row r="198">
      <c r="A198" s="43" t="s">
        <v>120</v>
      </c>
      <c r="B198" s="43" t="str">
        <f>IF(A198="", "", IFERROR(VLOOKUP(A198, Clasificaciones!A:B, 2, FALSE), "DATO NO CARGADO"))</f>
        <v>Equipo</v>
      </c>
      <c r="C198" s="51" t="s">
        <v>149</v>
      </c>
      <c r="D198" s="156">
        <v>2025.0</v>
      </c>
      <c r="E198" s="43" t="s">
        <v>374</v>
      </c>
      <c r="F198" s="186"/>
      <c r="G198" s="186">
        <v>45807.0</v>
      </c>
      <c r="H198" s="187" t="s">
        <v>387</v>
      </c>
      <c r="I198" s="121" t="s">
        <v>386</v>
      </c>
      <c r="J198" s="104">
        <v>45813.0</v>
      </c>
      <c r="K198" s="188">
        <v>1770877.0</v>
      </c>
      <c r="L198" s="71"/>
      <c r="M198" s="106" t="str">
        <f>IF(ISBLANK(K198), "", VLOOKUP(C198, 'Info Tipo de Cambio y REM'!$A$24:$B$35, 2, FALSE))</f>
        <v>#N/A</v>
      </c>
      <c r="N198" s="107" t="str">
        <f t="shared" si="1"/>
        <v/>
      </c>
    </row>
    <row r="199">
      <c r="A199" s="43" t="s">
        <v>207</v>
      </c>
      <c r="B199" s="43" t="str">
        <f>IF(A199="", "", IFERROR(VLOOKUP(A199, Clasificaciones!A:B, 2, FALSE), "DATO NO CARGADO"))</f>
        <v>Equipo</v>
      </c>
      <c r="C199" s="51" t="s">
        <v>149</v>
      </c>
      <c r="D199" s="156">
        <v>2025.0</v>
      </c>
      <c r="E199" s="43" t="s">
        <v>374</v>
      </c>
      <c r="F199" s="186"/>
      <c r="G199" s="186">
        <v>45807.0</v>
      </c>
      <c r="H199" s="187" t="s">
        <v>389</v>
      </c>
      <c r="I199" s="121" t="s">
        <v>572</v>
      </c>
      <c r="J199" s="104">
        <v>45820.0</v>
      </c>
      <c r="K199" s="188">
        <v>1015300.0</v>
      </c>
      <c r="L199" s="71"/>
      <c r="M199" s="106" t="str">
        <f>IF(ISBLANK(K199), "", VLOOKUP(C199, 'Info Tipo de Cambio y REM'!$A$24:$B$35, 2, FALSE))</f>
        <v>#N/A</v>
      </c>
      <c r="N199" s="107" t="str">
        <f t="shared" si="1"/>
        <v/>
      </c>
    </row>
    <row r="200">
      <c r="A200" s="43" t="s">
        <v>87</v>
      </c>
      <c r="B200" s="43" t="str">
        <f>IF(A200="", "", IFERROR(VLOOKUP(A200, Clasificaciones!A:B, 2, FALSE), "DATO NO CARGADO"))</f>
        <v>Equipo</v>
      </c>
      <c r="C200" s="51" t="s">
        <v>149</v>
      </c>
      <c r="D200" s="156">
        <v>2025.0</v>
      </c>
      <c r="E200" s="43" t="s">
        <v>374</v>
      </c>
      <c r="F200" s="186"/>
      <c r="G200" s="186">
        <v>45810.0</v>
      </c>
      <c r="H200" s="187" t="s">
        <v>391</v>
      </c>
      <c r="I200" s="121" t="s">
        <v>573</v>
      </c>
      <c r="J200" s="104">
        <v>45820.0</v>
      </c>
      <c r="K200" s="188">
        <v>701360.0</v>
      </c>
      <c r="L200" s="71"/>
      <c r="M200" s="106" t="str">
        <f>IF(ISBLANK(K200), "", VLOOKUP(C200, 'Info Tipo de Cambio y REM'!$A$24:$B$35, 2, FALSE))</f>
        <v>#N/A</v>
      </c>
      <c r="N200" s="107" t="str">
        <f t="shared" si="1"/>
        <v/>
      </c>
    </row>
    <row r="201">
      <c r="A201" s="43" t="s">
        <v>210</v>
      </c>
      <c r="B201" s="43" t="str">
        <f>IF(A201="", "", IFERROR(VLOOKUP(A201, Clasificaciones!A:B, 2, FALSE), "DATO NO CARGADO"))</f>
        <v>Equipo</v>
      </c>
      <c r="C201" s="51" t="s">
        <v>149</v>
      </c>
      <c r="D201" s="156">
        <v>2025.0</v>
      </c>
      <c r="E201" s="43" t="s">
        <v>374</v>
      </c>
      <c r="F201" s="186"/>
      <c r="G201" s="186">
        <v>45807.0</v>
      </c>
      <c r="H201" s="187" t="s">
        <v>397</v>
      </c>
      <c r="I201" s="121" t="s">
        <v>574</v>
      </c>
      <c r="J201" s="104">
        <v>45820.0</v>
      </c>
      <c r="K201" s="188">
        <v>117320.0</v>
      </c>
      <c r="L201" s="71"/>
      <c r="M201" s="106" t="str">
        <f>IF(ISBLANK(K201), "", VLOOKUP(C201, 'Info Tipo de Cambio y REM'!$A$24:$B$35, 2, FALSE))</f>
        <v>#N/A</v>
      </c>
      <c r="N201" s="107" t="str">
        <f t="shared" si="1"/>
        <v/>
      </c>
    </row>
    <row r="202">
      <c r="A202" s="43" t="s">
        <v>219</v>
      </c>
      <c r="B202" s="43" t="str">
        <f>IF(A202="", "", IFERROR(VLOOKUP(A202, Clasificaciones!A:B, 2, FALSE), "DATO NO CARGADO"))</f>
        <v>Gastos Varios</v>
      </c>
      <c r="C202" s="51" t="s">
        <v>149</v>
      </c>
      <c r="D202" s="156">
        <v>2025.0</v>
      </c>
      <c r="E202" s="43" t="s">
        <v>374</v>
      </c>
      <c r="F202" s="186"/>
      <c r="G202" s="186">
        <v>45807.0</v>
      </c>
      <c r="H202" s="187" t="s">
        <v>575</v>
      </c>
      <c r="I202" s="189"/>
      <c r="J202" s="104">
        <v>45820.0</v>
      </c>
      <c r="K202" s="188">
        <v>529405.0</v>
      </c>
      <c r="L202" s="71"/>
      <c r="M202" s="106" t="str">
        <f>IF(ISBLANK(K202), "", VLOOKUP(C202, 'Info Tipo de Cambio y REM'!$A$24:$B$35, 2, FALSE))</f>
        <v>#N/A</v>
      </c>
      <c r="N202" s="107" t="str">
        <f t="shared" si="1"/>
        <v/>
      </c>
    </row>
    <row r="203">
      <c r="A203" s="43" t="s">
        <v>216</v>
      </c>
      <c r="B203" s="43" t="str">
        <f>IF(A203="", "", IFERROR(VLOOKUP(A203, Clasificaciones!A:B, 2, FALSE), "DATO NO CARGADO"))</f>
        <v>Equipo</v>
      </c>
      <c r="C203" s="51" t="s">
        <v>149</v>
      </c>
      <c r="D203" s="156">
        <v>2025.0</v>
      </c>
      <c r="E203" s="43" t="s">
        <v>374</v>
      </c>
      <c r="F203" s="186"/>
      <c r="G203" s="186">
        <v>45807.0</v>
      </c>
      <c r="H203" s="187" t="s">
        <v>401</v>
      </c>
      <c r="I203" s="121" t="s">
        <v>576</v>
      </c>
      <c r="J203" s="104">
        <v>45820.0</v>
      </c>
      <c r="K203" s="188">
        <v>998564.0</v>
      </c>
      <c r="L203" s="71"/>
      <c r="M203" s="106" t="str">
        <f>IF(ISBLANK(K203), "", VLOOKUP(C203, 'Info Tipo de Cambio y REM'!$A$24:$B$35, 2, FALSE))</f>
        <v>#N/A</v>
      </c>
      <c r="N203" s="107" t="str">
        <f t="shared" si="1"/>
        <v/>
      </c>
    </row>
    <row r="204">
      <c r="A204" s="43" t="s">
        <v>194</v>
      </c>
      <c r="B204" s="43" t="str">
        <f>IF(A204="", "", IFERROR(VLOOKUP(A204, Clasificaciones!A:B, 2, FALSE), "DATO NO CARGADO"))</f>
        <v>Equipo</v>
      </c>
      <c r="C204" s="51" t="s">
        <v>149</v>
      </c>
      <c r="D204" s="156">
        <v>2025.0</v>
      </c>
      <c r="E204" s="43" t="s">
        <v>374</v>
      </c>
      <c r="F204" s="186"/>
      <c r="G204" s="186">
        <v>45807.0</v>
      </c>
      <c r="H204" s="187" t="s">
        <v>403</v>
      </c>
      <c r="I204" s="121" t="s">
        <v>568</v>
      </c>
      <c r="J204" s="104">
        <v>45820.0</v>
      </c>
      <c r="K204" s="188">
        <v>1929556.0</v>
      </c>
      <c r="L204" s="71"/>
      <c r="M204" s="106" t="str">
        <f>IF(ISBLANK(K204), "", VLOOKUP(C204, 'Info Tipo de Cambio y REM'!$A$24:$B$35, 2, FALSE))</f>
        <v>#N/A</v>
      </c>
      <c r="N204" s="107" t="str">
        <f t="shared" si="1"/>
        <v/>
      </c>
    </row>
    <row r="205">
      <c r="A205" s="43" t="s">
        <v>139</v>
      </c>
      <c r="B205" s="43" t="str">
        <f>IF(A205="", "", IFERROR(VLOOKUP(A205, Clasificaciones!A:B, 2, FALSE), "DATO NO CARGADO"))</f>
        <v>People</v>
      </c>
      <c r="C205" s="51" t="s">
        <v>149</v>
      </c>
      <c r="D205" s="156">
        <v>2025.0</v>
      </c>
      <c r="E205" s="43" t="s">
        <v>374</v>
      </c>
      <c r="F205" s="186"/>
      <c r="G205" s="186">
        <v>45807.0</v>
      </c>
      <c r="H205" s="187" t="s">
        <v>413</v>
      </c>
      <c r="I205" s="121" t="s">
        <v>444</v>
      </c>
      <c r="J205" s="104">
        <v>45820.0</v>
      </c>
      <c r="K205" s="188">
        <v>45658.4</v>
      </c>
      <c r="L205" s="71"/>
      <c r="M205" s="106" t="str">
        <f>IF(ISBLANK(K205), "", VLOOKUP(C205, 'Info Tipo de Cambio y REM'!$A$24:$B$35, 2, FALSE))</f>
        <v>#N/A</v>
      </c>
      <c r="N205" s="107" t="str">
        <f t="shared" si="1"/>
        <v/>
      </c>
    </row>
    <row r="206">
      <c r="A206" s="43" t="s">
        <v>230</v>
      </c>
      <c r="B206" s="43" t="str">
        <f>IF(A206="", "", IFERROR(VLOOKUP(A206, Clasificaciones!A:B, 2, FALSE), "DATO NO CARGADO"))</f>
        <v>Equipo</v>
      </c>
      <c r="C206" s="51" t="s">
        <v>149</v>
      </c>
      <c r="D206" s="156">
        <v>2025.0</v>
      </c>
      <c r="E206" s="43" t="s">
        <v>374</v>
      </c>
      <c r="F206" s="186"/>
      <c r="G206" s="186">
        <v>45807.0</v>
      </c>
      <c r="H206" s="187" t="s">
        <v>577</v>
      </c>
      <c r="I206" s="121" t="s">
        <v>578</v>
      </c>
      <c r="J206" s="104">
        <v>45820.0</v>
      </c>
      <c r="K206" s="188">
        <v>1700000.0</v>
      </c>
      <c r="L206" s="71"/>
      <c r="M206" s="106" t="str">
        <f>IF(ISBLANK(K206), "", VLOOKUP(C206, 'Info Tipo de Cambio y REM'!$A$24:$B$35, 2, FALSE))</f>
        <v>#N/A</v>
      </c>
      <c r="N206" s="107" t="str">
        <f t="shared" si="1"/>
        <v/>
      </c>
    </row>
    <row r="207">
      <c r="A207" s="43" t="s">
        <v>229</v>
      </c>
      <c r="B207" s="43" t="str">
        <f>IF(A207="", "", IFERROR(VLOOKUP(A207, Clasificaciones!A:B, 2, FALSE), "DATO NO CARGADO"))</f>
        <v>Equipo</v>
      </c>
      <c r="C207" s="51" t="s">
        <v>149</v>
      </c>
      <c r="D207" s="156">
        <v>2025.0</v>
      </c>
      <c r="E207" s="43" t="s">
        <v>374</v>
      </c>
      <c r="F207" s="186"/>
      <c r="G207" s="186">
        <v>45807.0</v>
      </c>
      <c r="H207" s="187" t="s">
        <v>504</v>
      </c>
      <c r="I207" s="121" t="s">
        <v>579</v>
      </c>
      <c r="J207" s="104">
        <v>45820.0</v>
      </c>
      <c r="K207" s="188">
        <v>442500.0</v>
      </c>
      <c r="L207" s="71"/>
      <c r="M207" s="106" t="str">
        <f>IF(ISBLANK(K207), "", VLOOKUP(C207, 'Info Tipo de Cambio y REM'!$A$24:$B$35, 2, FALSE))</f>
        <v>#N/A</v>
      </c>
      <c r="N207" s="107" t="str">
        <f t="shared" si="1"/>
        <v/>
      </c>
    </row>
    <row r="208">
      <c r="A208" s="43" t="s">
        <v>217</v>
      </c>
      <c r="B208" s="43" t="str">
        <f>IF(A208="", "", IFERROR(VLOOKUP(A208, Clasificaciones!A:B, 2, FALSE), "DATO NO CARGADO"))</f>
        <v>Equipo</v>
      </c>
      <c r="C208" s="51" t="s">
        <v>149</v>
      </c>
      <c r="D208" s="156">
        <v>2025.0</v>
      </c>
      <c r="E208" s="43" t="s">
        <v>374</v>
      </c>
      <c r="F208" s="186"/>
      <c r="G208" s="186">
        <v>45807.0</v>
      </c>
      <c r="H208" s="187" t="s">
        <v>580</v>
      </c>
      <c r="I208" s="121" t="s">
        <v>581</v>
      </c>
      <c r="J208" s="104">
        <v>45820.0</v>
      </c>
      <c r="K208" s="188">
        <v>1550000.0</v>
      </c>
      <c r="L208" s="71"/>
      <c r="M208" s="106" t="str">
        <f>IF(ISBLANK(K208), "", VLOOKUP(C208, 'Info Tipo de Cambio y REM'!$A$24:$B$35, 2, FALSE))</f>
        <v>#N/A</v>
      </c>
      <c r="N208" s="107" t="str">
        <f t="shared" si="1"/>
        <v/>
      </c>
    </row>
    <row r="209">
      <c r="A209" s="43" t="s">
        <v>221</v>
      </c>
      <c r="B209" s="43" t="str">
        <f>IF(A209="", "", IFERROR(VLOOKUP(A209, Clasificaciones!A:B, 2, FALSE), "DATO NO CARGADO"))</f>
        <v>Equipo</v>
      </c>
      <c r="C209" s="51" t="s">
        <v>149</v>
      </c>
      <c r="D209" s="156">
        <v>2025.0</v>
      </c>
      <c r="E209" s="43" t="s">
        <v>374</v>
      </c>
      <c r="F209" s="186"/>
      <c r="G209" s="186">
        <v>45807.0</v>
      </c>
      <c r="H209" s="187" t="s">
        <v>407</v>
      </c>
      <c r="I209" s="121" t="s">
        <v>582</v>
      </c>
      <c r="J209" s="104">
        <v>45820.0</v>
      </c>
      <c r="K209" s="188">
        <v>1757032.0</v>
      </c>
      <c r="L209" s="71"/>
      <c r="M209" s="106" t="str">
        <f>IF(ISBLANK(K209), "", VLOOKUP(C209, 'Info Tipo de Cambio y REM'!$A$24:$B$35, 2, FALSE))</f>
        <v>#N/A</v>
      </c>
      <c r="N209" s="107" t="str">
        <f t="shared" si="1"/>
        <v/>
      </c>
    </row>
    <row r="210">
      <c r="A210" s="43" t="s">
        <v>203</v>
      </c>
      <c r="B210" s="43" t="str">
        <f>IF(A210="", "", IFERROR(VLOOKUP(A210, Clasificaciones!A:B, 2, FALSE), "DATO NO CARGADO"))</f>
        <v>Equipo</v>
      </c>
      <c r="C210" s="51" t="s">
        <v>149</v>
      </c>
      <c r="D210" s="156">
        <v>2025.0</v>
      </c>
      <c r="E210" s="43" t="s">
        <v>374</v>
      </c>
      <c r="F210" s="186"/>
      <c r="G210" s="186">
        <v>45806.0</v>
      </c>
      <c r="H210" s="187" t="s">
        <v>409</v>
      </c>
      <c r="I210" s="121" t="s">
        <v>583</v>
      </c>
      <c r="J210" s="104">
        <v>45820.0</v>
      </c>
      <c r="K210" s="188">
        <v>1100658.0</v>
      </c>
      <c r="L210" s="71"/>
      <c r="M210" s="106" t="str">
        <f>IF(ISBLANK(K210), "", VLOOKUP(C210, 'Info Tipo de Cambio y REM'!$A$24:$B$35, 2, FALSE))</f>
        <v>#N/A</v>
      </c>
      <c r="N210" s="107" t="str">
        <f t="shared" si="1"/>
        <v/>
      </c>
    </row>
    <row r="211">
      <c r="A211" s="43" t="s">
        <v>197</v>
      </c>
      <c r="B211" s="43" t="str">
        <f>IF(A211="", "", IFERROR(VLOOKUP(A211, Clasificaciones!A:B, 2, FALSE), "DATO NO CARGADO"))</f>
        <v>Equipo</v>
      </c>
      <c r="C211" s="51" t="s">
        <v>149</v>
      </c>
      <c r="D211" s="156">
        <v>2025.0</v>
      </c>
      <c r="E211" s="43" t="s">
        <v>374</v>
      </c>
      <c r="F211" s="186"/>
      <c r="G211" s="186">
        <v>45807.0</v>
      </c>
      <c r="H211" s="187" t="s">
        <v>411</v>
      </c>
      <c r="I211" s="121" t="s">
        <v>584</v>
      </c>
      <c r="J211" s="104">
        <v>45820.0</v>
      </c>
      <c r="K211" s="188">
        <v>2038934.0</v>
      </c>
      <c r="L211" s="71"/>
      <c r="M211" s="106" t="str">
        <f>IF(ISBLANK(K211), "", VLOOKUP(C211, 'Info Tipo de Cambio y REM'!$A$24:$B$35, 2, FALSE))</f>
        <v>#N/A</v>
      </c>
      <c r="N211" s="107" t="str">
        <f t="shared" si="1"/>
        <v/>
      </c>
    </row>
    <row r="212">
      <c r="A212" s="43" t="s">
        <v>218</v>
      </c>
      <c r="B212" s="43" t="str">
        <f>IF(A212="", "", IFERROR(VLOOKUP(A212, Clasificaciones!A:B, 2, FALSE), "DATO NO CARGADO"))</f>
        <v>Equipo</v>
      </c>
      <c r="C212" s="51" t="s">
        <v>149</v>
      </c>
      <c r="D212" s="156">
        <v>2025.0</v>
      </c>
      <c r="E212" s="43" t="s">
        <v>374</v>
      </c>
      <c r="F212" s="186"/>
      <c r="G212" s="186">
        <v>45812.0</v>
      </c>
      <c r="H212" s="160" t="s">
        <v>511</v>
      </c>
      <c r="I212" s="121" t="s">
        <v>573</v>
      </c>
      <c r="J212" s="104">
        <v>45820.0</v>
      </c>
      <c r="K212" s="188">
        <v>684000.0</v>
      </c>
      <c r="L212" s="71"/>
      <c r="M212" s="106" t="str">
        <f>IF(ISBLANK(K212), "", VLOOKUP(C212, 'Info Tipo de Cambio y REM'!$A$24:$B$35, 2, FALSE))</f>
        <v>#N/A</v>
      </c>
      <c r="N212" s="107" t="str">
        <f t="shared" si="1"/>
        <v/>
      </c>
    </row>
    <row r="213">
      <c r="A213" s="43" t="s">
        <v>133</v>
      </c>
      <c r="B213" s="43" t="str">
        <f>IF(A213="", "", IFERROR(VLOOKUP(A213, Clasificaciones!A:B, 2, FALSE), "DATO NO CARGADO"))</f>
        <v>Board</v>
      </c>
      <c r="C213" s="51" t="s">
        <v>149</v>
      </c>
      <c r="D213" s="156">
        <v>2025.0</v>
      </c>
      <c r="E213" s="43" t="s">
        <v>374</v>
      </c>
      <c r="F213" s="190"/>
      <c r="G213" s="190">
        <v>45810.0</v>
      </c>
      <c r="H213" s="184" t="s">
        <v>585</v>
      </c>
      <c r="I213" s="121" t="s">
        <v>586</v>
      </c>
      <c r="J213" s="104">
        <v>45810.0</v>
      </c>
      <c r="K213" s="113"/>
      <c r="L213" s="89">
        <v>4000.0</v>
      </c>
      <c r="M213" s="106" t="str">
        <f>IF(ISBLANK(K213), "", VLOOKUP(C213, 'Info Tipo de Cambio y REM'!$A$24:$B$35, 2, FALSE))</f>
        <v/>
      </c>
      <c r="N213" s="107">
        <f t="shared" si="1"/>
        <v>4000</v>
      </c>
    </row>
    <row r="214">
      <c r="A214" s="43" t="s">
        <v>212</v>
      </c>
      <c r="B214" s="43" t="str">
        <f>IF(A214="", "", IFERROR(VLOOKUP(A214, Clasificaciones!A:B, 2, FALSE), "DATO NO CARGADO"))</f>
        <v>Equipo</v>
      </c>
      <c r="C214" s="51" t="s">
        <v>149</v>
      </c>
      <c r="D214" s="156">
        <v>2025.0</v>
      </c>
      <c r="E214" s="43" t="s">
        <v>374</v>
      </c>
      <c r="F214" s="104"/>
      <c r="G214" s="104">
        <v>45807.0</v>
      </c>
      <c r="H214" s="158" t="s">
        <v>377</v>
      </c>
      <c r="I214" s="43" t="s">
        <v>509</v>
      </c>
      <c r="J214" s="104">
        <v>45820.0</v>
      </c>
      <c r="K214" s="112">
        <v>483820.0</v>
      </c>
      <c r="L214" s="71"/>
      <c r="M214" s="106" t="str">
        <f>IF(ISBLANK(K214), "", VLOOKUP(C214, 'Info Tipo de Cambio y REM'!$A$24:$B$35, 2, FALSE))</f>
        <v>#N/A</v>
      </c>
      <c r="N214" s="107" t="str">
        <f t="shared" si="1"/>
        <v/>
      </c>
    </row>
    <row r="215">
      <c r="A215" s="43" t="s">
        <v>127</v>
      </c>
      <c r="B215" s="43" t="str">
        <f>IF(A215="", "", IFERROR(VLOOKUP(A215, Clasificaciones!A:B, 2, FALSE), "DATO NO CARGADO"))</f>
        <v>Board</v>
      </c>
      <c r="C215" s="51" t="s">
        <v>149</v>
      </c>
      <c r="D215" s="156">
        <v>2025.0</v>
      </c>
      <c r="E215" s="43" t="s">
        <v>374</v>
      </c>
      <c r="F215" s="191"/>
      <c r="G215" s="191">
        <v>45813.0</v>
      </c>
      <c r="H215" s="55" t="s">
        <v>458</v>
      </c>
      <c r="I215" s="121" t="s">
        <v>587</v>
      </c>
      <c r="J215" s="104">
        <v>45814.0</v>
      </c>
      <c r="K215" s="112">
        <v>702565.0</v>
      </c>
      <c r="L215" s="71"/>
      <c r="M215" s="106" t="str">
        <f>IF(ISBLANK(K215), "", VLOOKUP(C215, 'Info Tipo de Cambio y REM'!$A$24:$B$35, 2, FALSE))</f>
        <v>#N/A</v>
      </c>
      <c r="N215" s="107" t="str">
        <f t="shared" si="1"/>
        <v/>
      </c>
    </row>
    <row r="216">
      <c r="A216" s="43" t="s">
        <v>127</v>
      </c>
      <c r="B216" s="43" t="str">
        <f>IF(A216="", "", IFERROR(VLOOKUP(A216, Clasificaciones!A:B, 2, FALSE), "DATO NO CARGADO"))</f>
        <v>Board</v>
      </c>
      <c r="C216" s="51" t="s">
        <v>149</v>
      </c>
      <c r="D216" s="156">
        <v>2025.0</v>
      </c>
      <c r="E216" s="43" t="s">
        <v>374</v>
      </c>
      <c r="F216" s="191"/>
      <c r="G216" s="191">
        <v>45813.0</v>
      </c>
      <c r="H216" s="158" t="s">
        <v>393</v>
      </c>
      <c r="I216" s="121" t="s">
        <v>588</v>
      </c>
      <c r="J216" s="104">
        <v>45814.0</v>
      </c>
      <c r="K216" s="112">
        <v>1000000.0</v>
      </c>
      <c r="L216" s="71"/>
      <c r="M216" s="106" t="str">
        <f>IF(ISBLANK(K216), "", VLOOKUP(C216, 'Info Tipo de Cambio y REM'!$A$24:$B$35, 2, FALSE))</f>
        <v>#N/A</v>
      </c>
      <c r="N216" s="107" t="str">
        <f t="shared" si="1"/>
        <v/>
      </c>
    </row>
    <row r="217">
      <c r="A217" s="43" t="s">
        <v>133</v>
      </c>
      <c r="B217" s="43" t="str">
        <f>IF(A217="", "", IFERROR(VLOOKUP(A217, Clasificaciones!A:B, 2, FALSE), "DATO NO CARGADO"))</f>
        <v>Board</v>
      </c>
      <c r="C217" s="51" t="s">
        <v>149</v>
      </c>
      <c r="D217" s="156">
        <v>2025.0</v>
      </c>
      <c r="E217" s="43" t="s">
        <v>374</v>
      </c>
      <c r="F217" s="104"/>
      <c r="G217" s="104">
        <v>45814.0</v>
      </c>
      <c r="H217" s="165" t="s">
        <v>589</v>
      </c>
      <c r="I217" s="192" t="s">
        <v>590</v>
      </c>
      <c r="J217" s="104">
        <v>45814.0</v>
      </c>
      <c r="K217" s="112">
        <v>483647.0</v>
      </c>
      <c r="L217" s="71"/>
      <c r="M217" s="106" t="str">
        <f>IF(ISBLANK(K217), "", VLOOKUP(C217, 'Info Tipo de Cambio y REM'!$A$24:$B$35, 2, FALSE))</f>
        <v>#N/A</v>
      </c>
      <c r="N217" s="107" t="str">
        <f t="shared" si="1"/>
        <v/>
      </c>
    </row>
    <row r="218">
      <c r="A218" s="43" t="s">
        <v>223</v>
      </c>
      <c r="B218" s="43" t="str">
        <f>IF(A218="", "", IFERROR(VLOOKUP(A218, Clasificaciones!A:B, 2, FALSE), "DATO NO CARGADO"))</f>
        <v>Otros Proveedores</v>
      </c>
      <c r="C218" s="51" t="s">
        <v>155</v>
      </c>
      <c r="D218" s="156">
        <v>2025.0</v>
      </c>
      <c r="E218" s="43" t="s">
        <v>374</v>
      </c>
      <c r="F218" s="104"/>
      <c r="G218" s="104">
        <v>45810.0</v>
      </c>
      <c r="H218" s="165" t="s">
        <v>534</v>
      </c>
      <c r="I218" s="43" t="s">
        <v>591</v>
      </c>
      <c r="J218" s="104">
        <v>45820.0</v>
      </c>
      <c r="K218" s="112">
        <v>143990.0</v>
      </c>
      <c r="L218" s="71"/>
      <c r="M218" s="106" t="str">
        <f>IF(ISBLANK(K218), "", VLOOKUP(C218, 'Info Tipo de Cambio y REM'!$A$24:$B$35, 2, FALSE))</f>
        <v>#N/A</v>
      </c>
      <c r="N218" s="107" t="str">
        <f t="shared" si="1"/>
        <v/>
      </c>
    </row>
    <row r="219">
      <c r="A219" s="43" t="s">
        <v>133</v>
      </c>
      <c r="B219" s="43" t="str">
        <f>IF(A219="", "", IFERROR(VLOOKUP(A219, Clasificaciones!A:B, 2, FALSE), "DATO NO CARGADO"))</f>
        <v>Board</v>
      </c>
      <c r="C219" s="51" t="s">
        <v>155</v>
      </c>
      <c r="D219" s="156">
        <v>2025.0</v>
      </c>
      <c r="E219" s="43" t="s">
        <v>374</v>
      </c>
      <c r="F219" s="104"/>
      <c r="G219" s="104">
        <v>45814.0</v>
      </c>
      <c r="H219" s="165" t="s">
        <v>589</v>
      </c>
      <c r="I219" s="43" t="s">
        <v>552</v>
      </c>
      <c r="J219" s="104">
        <v>45810.0</v>
      </c>
      <c r="K219" s="113"/>
      <c r="L219" s="109">
        <v>45.0</v>
      </c>
      <c r="M219" s="106" t="str">
        <f>IF(ISBLANK(K219), "", VLOOKUP(C219, 'Info Tipo de Cambio y REM'!$A$24:$B$35, 2, FALSE))</f>
        <v/>
      </c>
      <c r="N219" s="107">
        <f t="shared" si="1"/>
        <v>45</v>
      </c>
    </row>
    <row r="220">
      <c r="A220" s="43" t="s">
        <v>191</v>
      </c>
      <c r="B220" s="43" t="str">
        <f>IF(A220="", "", IFERROR(VLOOKUP(A220, Clasificaciones!A:B, 2, FALSE), "DATO NO CARGADO"))</f>
        <v>Tarjeta</v>
      </c>
      <c r="C220" s="51" t="s">
        <v>155</v>
      </c>
      <c r="D220" s="156">
        <v>2025.0</v>
      </c>
      <c r="E220" s="43" t="s">
        <v>374</v>
      </c>
      <c r="F220" s="122"/>
      <c r="G220" s="122">
        <v>45810.0</v>
      </c>
      <c r="H220" s="165" t="s">
        <v>522</v>
      </c>
      <c r="I220" s="83" t="s">
        <v>592</v>
      </c>
      <c r="J220" s="122">
        <v>45810.0</v>
      </c>
      <c r="K220" s="113"/>
      <c r="L220" s="193">
        <v>12.0</v>
      </c>
      <c r="M220" s="106" t="str">
        <f>IF(ISBLANK(K220), "", VLOOKUP(C220, 'Info Tipo de Cambio y REM'!$A$24:$B$35, 2, FALSE))</f>
        <v/>
      </c>
      <c r="N220" s="107">
        <f t="shared" si="1"/>
        <v>12</v>
      </c>
    </row>
    <row r="221">
      <c r="A221" s="43" t="s">
        <v>191</v>
      </c>
      <c r="B221" s="43" t="str">
        <f>IF(A221="", "", IFERROR(VLOOKUP(A221, Clasificaciones!A:B, 2, FALSE), "DATO NO CARGADO"))</f>
        <v>Tarjeta</v>
      </c>
      <c r="C221" s="51" t="s">
        <v>155</v>
      </c>
      <c r="D221" s="156">
        <v>2025.0</v>
      </c>
      <c r="E221" s="43" t="s">
        <v>374</v>
      </c>
      <c r="F221" s="122"/>
      <c r="G221" s="122">
        <v>45810.0</v>
      </c>
      <c r="H221" s="165" t="s">
        <v>522</v>
      </c>
      <c r="I221" s="83" t="s">
        <v>593</v>
      </c>
      <c r="J221" s="122">
        <v>45810.0</v>
      </c>
      <c r="K221" s="113"/>
      <c r="L221" s="193">
        <v>633.6</v>
      </c>
      <c r="M221" s="106" t="str">
        <f>IF(ISBLANK(K221), "", VLOOKUP(C221, 'Info Tipo de Cambio y REM'!$A$24:$B$35, 2, FALSE))</f>
        <v/>
      </c>
      <c r="N221" s="107">
        <f t="shared" si="1"/>
        <v>633.6</v>
      </c>
    </row>
    <row r="222">
      <c r="A222" s="43" t="s">
        <v>191</v>
      </c>
      <c r="B222" s="43" t="str">
        <f>IF(A222="", "", IFERROR(VLOOKUP(A222, Clasificaciones!A:B, 2, FALSE), "DATO NO CARGADO"))</f>
        <v>Tarjeta</v>
      </c>
      <c r="C222" s="51" t="s">
        <v>155</v>
      </c>
      <c r="D222" s="156">
        <v>2025.0</v>
      </c>
      <c r="E222" s="43" t="s">
        <v>374</v>
      </c>
      <c r="F222" s="122"/>
      <c r="G222" s="122">
        <v>45810.0</v>
      </c>
      <c r="H222" s="165" t="s">
        <v>522</v>
      </c>
      <c r="I222" s="83" t="s">
        <v>594</v>
      </c>
      <c r="J222" s="122">
        <v>45810.0</v>
      </c>
      <c r="K222" s="113"/>
      <c r="L222" s="193">
        <v>8.0</v>
      </c>
      <c r="M222" s="106" t="str">
        <f>IF(ISBLANK(K222), "", VLOOKUP(C222, 'Info Tipo de Cambio y REM'!$A$24:$B$35, 2, FALSE))</f>
        <v/>
      </c>
      <c r="N222" s="107">
        <f t="shared" si="1"/>
        <v>8</v>
      </c>
    </row>
    <row r="223">
      <c r="A223" s="43" t="s">
        <v>191</v>
      </c>
      <c r="B223" s="43" t="str">
        <f>IF(A223="", "", IFERROR(VLOOKUP(A223, Clasificaciones!A:B, 2, FALSE), "DATO NO CARGADO"))</f>
        <v>Tarjeta</v>
      </c>
      <c r="C223" s="51" t="s">
        <v>155</v>
      </c>
      <c r="D223" s="156">
        <v>2025.0</v>
      </c>
      <c r="E223" s="43" t="s">
        <v>374</v>
      </c>
      <c r="F223" s="122"/>
      <c r="G223" s="122">
        <v>45810.0</v>
      </c>
      <c r="H223" s="165" t="s">
        <v>522</v>
      </c>
      <c r="I223" s="83" t="s">
        <v>595</v>
      </c>
      <c r="J223" s="122">
        <v>45810.0</v>
      </c>
      <c r="K223" s="113"/>
      <c r="L223" s="193">
        <v>6.91</v>
      </c>
      <c r="M223" s="106" t="str">
        <f>IF(ISBLANK(K223), "", VLOOKUP(C223, 'Info Tipo de Cambio y REM'!$A$24:$B$35, 2, FALSE))</f>
        <v/>
      </c>
      <c r="N223" s="107">
        <f t="shared" si="1"/>
        <v>6.91</v>
      </c>
    </row>
    <row r="224">
      <c r="A224" s="43" t="s">
        <v>191</v>
      </c>
      <c r="B224" s="43" t="str">
        <f>IF(A224="", "", IFERROR(VLOOKUP(A224, Clasificaciones!A:B, 2, FALSE), "DATO NO CARGADO"))</f>
        <v>Tarjeta</v>
      </c>
      <c r="C224" s="51" t="s">
        <v>155</v>
      </c>
      <c r="D224" s="156">
        <v>2025.0</v>
      </c>
      <c r="E224" s="43" t="s">
        <v>374</v>
      </c>
      <c r="F224" s="122"/>
      <c r="G224" s="122">
        <v>45810.0</v>
      </c>
      <c r="H224" s="165" t="s">
        <v>522</v>
      </c>
      <c r="I224" s="83" t="s">
        <v>596</v>
      </c>
      <c r="J224" s="122">
        <v>45810.0</v>
      </c>
      <c r="K224" s="113"/>
      <c r="L224" s="193">
        <v>14.19</v>
      </c>
      <c r="M224" s="106" t="str">
        <f>IF(ISBLANK(K224), "", VLOOKUP(C224, 'Info Tipo de Cambio y REM'!$A$24:$B$35, 2, FALSE))</f>
        <v/>
      </c>
      <c r="N224" s="107">
        <f t="shared" si="1"/>
        <v>14.19</v>
      </c>
    </row>
    <row r="225">
      <c r="A225" s="43" t="s">
        <v>191</v>
      </c>
      <c r="B225" s="43" t="str">
        <f>IF(A225="", "", IFERROR(VLOOKUP(A225, Clasificaciones!A:B, 2, FALSE), "DATO NO CARGADO"))</f>
        <v>Tarjeta</v>
      </c>
      <c r="C225" s="51" t="s">
        <v>155</v>
      </c>
      <c r="D225" s="156">
        <v>2025.0</v>
      </c>
      <c r="E225" s="43" t="s">
        <v>374</v>
      </c>
      <c r="F225" s="194"/>
      <c r="G225" s="194">
        <v>45810.0</v>
      </c>
      <c r="H225" s="165" t="s">
        <v>522</v>
      </c>
      <c r="I225" s="83" t="s">
        <v>597</v>
      </c>
      <c r="J225" s="122">
        <v>45810.0</v>
      </c>
      <c r="K225" s="113"/>
      <c r="L225" s="193">
        <v>22.99</v>
      </c>
      <c r="M225" s="106" t="str">
        <f>IF(ISBLANK(K225), "", VLOOKUP(C225, 'Info Tipo de Cambio y REM'!$A$24:$B$35, 2, FALSE))</f>
        <v/>
      </c>
      <c r="N225" s="107">
        <f t="shared" si="1"/>
        <v>22.99</v>
      </c>
    </row>
    <row r="226">
      <c r="A226" s="43" t="s">
        <v>191</v>
      </c>
      <c r="B226" s="43" t="str">
        <f>IF(A226="", "", IFERROR(VLOOKUP(A226, Clasificaciones!A:B, 2, FALSE), "DATO NO CARGADO"))</f>
        <v>Tarjeta</v>
      </c>
      <c r="C226" s="51" t="s">
        <v>155</v>
      </c>
      <c r="D226" s="156">
        <v>2025.0</v>
      </c>
      <c r="E226" s="43" t="s">
        <v>374</v>
      </c>
      <c r="F226" s="82"/>
      <c r="G226" s="82">
        <v>45817.0</v>
      </c>
      <c r="H226" s="165" t="s">
        <v>522</v>
      </c>
      <c r="I226" s="121" t="s">
        <v>598</v>
      </c>
      <c r="J226" s="82">
        <v>45817.0</v>
      </c>
      <c r="K226" s="113"/>
      <c r="L226" s="193">
        <v>20.0</v>
      </c>
      <c r="M226" s="106" t="str">
        <f>IF(ISBLANK(K226), "", VLOOKUP(C226, 'Info Tipo de Cambio y REM'!$A$24:$B$35, 2, FALSE))</f>
        <v/>
      </c>
      <c r="N226" s="107">
        <f t="shared" si="1"/>
        <v>20</v>
      </c>
    </row>
    <row r="227">
      <c r="A227" s="43" t="s">
        <v>191</v>
      </c>
      <c r="B227" s="43" t="str">
        <f>IF(A227="", "", IFERROR(VLOOKUP(A227, Clasificaciones!A:B, 2, FALSE), "DATO NO CARGADO"))</f>
        <v>Tarjeta</v>
      </c>
      <c r="C227" s="51" t="s">
        <v>155</v>
      </c>
      <c r="D227" s="156">
        <v>2025.0</v>
      </c>
      <c r="E227" s="43" t="s">
        <v>374</v>
      </c>
      <c r="F227" s="82"/>
      <c r="G227" s="82">
        <v>45817.0</v>
      </c>
      <c r="H227" s="165" t="s">
        <v>522</v>
      </c>
      <c r="I227" s="121" t="s">
        <v>599</v>
      </c>
      <c r="J227" s="82">
        <v>45817.0</v>
      </c>
      <c r="K227" s="113"/>
      <c r="L227" s="193">
        <v>6.49</v>
      </c>
      <c r="M227" s="106" t="str">
        <f>IF(ISBLANK(K227), "", VLOOKUP(C227, 'Info Tipo de Cambio y REM'!$A$24:$B$35, 2, FALSE))</f>
        <v/>
      </c>
      <c r="N227" s="107">
        <f t="shared" si="1"/>
        <v>6.49</v>
      </c>
    </row>
    <row r="228">
      <c r="A228" s="43" t="s">
        <v>191</v>
      </c>
      <c r="B228" s="43" t="str">
        <f>IF(A228="", "", IFERROR(VLOOKUP(A228, Clasificaciones!A:B, 2, FALSE), "DATO NO CARGADO"))</f>
        <v>Tarjeta</v>
      </c>
      <c r="C228" s="51" t="s">
        <v>155</v>
      </c>
      <c r="D228" s="156">
        <v>2025.0</v>
      </c>
      <c r="E228" s="43" t="s">
        <v>374</v>
      </c>
      <c r="F228" s="82"/>
      <c r="G228" s="82">
        <v>45817.0</v>
      </c>
      <c r="H228" s="165" t="s">
        <v>522</v>
      </c>
      <c r="I228" s="121" t="s">
        <v>600</v>
      </c>
      <c r="J228" s="82">
        <v>45817.0</v>
      </c>
      <c r="K228" s="113"/>
      <c r="L228" s="193">
        <v>29.0</v>
      </c>
      <c r="M228" s="106" t="str">
        <f>IF(ISBLANK(K228), "", VLOOKUP(C228, 'Info Tipo de Cambio y REM'!$A$24:$B$35, 2, FALSE))</f>
        <v/>
      </c>
      <c r="N228" s="107">
        <f t="shared" si="1"/>
        <v>29</v>
      </c>
    </row>
    <row r="229">
      <c r="A229" s="43" t="s">
        <v>191</v>
      </c>
      <c r="B229" s="43" t="str">
        <f>IF(A229="", "", IFERROR(VLOOKUP(A229, Clasificaciones!A:B, 2, FALSE), "DATO NO CARGADO"))</f>
        <v>Tarjeta</v>
      </c>
      <c r="C229" s="51" t="s">
        <v>155</v>
      </c>
      <c r="D229" s="156">
        <v>2025.0</v>
      </c>
      <c r="E229" s="43" t="s">
        <v>374</v>
      </c>
      <c r="F229" s="82"/>
      <c r="G229" s="82">
        <v>45817.0</v>
      </c>
      <c r="H229" s="165" t="s">
        <v>522</v>
      </c>
      <c r="I229" s="121" t="s">
        <v>601</v>
      </c>
      <c r="J229" s="82">
        <v>45817.0</v>
      </c>
      <c r="K229" s="113"/>
      <c r="L229" s="193">
        <v>59.88</v>
      </c>
      <c r="M229" s="106" t="str">
        <f>IF(ISBLANK(K229), "", VLOOKUP(C229, 'Info Tipo de Cambio y REM'!$A$24:$B$35, 2, FALSE))</f>
        <v/>
      </c>
      <c r="N229" s="107">
        <f t="shared" si="1"/>
        <v>59.88</v>
      </c>
    </row>
    <row r="230">
      <c r="A230" s="43" t="s">
        <v>191</v>
      </c>
      <c r="B230" s="43" t="str">
        <f>IF(A230="", "", IFERROR(VLOOKUP(A230, Clasificaciones!A:B, 2, FALSE), "DATO NO CARGADO"))</f>
        <v>Tarjeta</v>
      </c>
      <c r="C230" s="51" t="s">
        <v>155</v>
      </c>
      <c r="D230" s="156">
        <v>2025.0</v>
      </c>
      <c r="E230" s="43" t="s">
        <v>374</v>
      </c>
      <c r="F230" s="82"/>
      <c r="G230" s="82">
        <v>45818.0</v>
      </c>
      <c r="H230" s="165" t="s">
        <v>522</v>
      </c>
      <c r="I230" s="121" t="s">
        <v>602</v>
      </c>
      <c r="J230" s="82">
        <v>45818.0</v>
      </c>
      <c r="K230" s="113"/>
      <c r="L230" s="193">
        <v>22.17</v>
      </c>
      <c r="M230" s="106" t="str">
        <f>IF(ISBLANK(K230), "", VLOOKUP(C230, 'Info Tipo de Cambio y REM'!$A$24:$B$35, 2, FALSE))</f>
        <v/>
      </c>
      <c r="N230" s="107">
        <f t="shared" si="1"/>
        <v>22.17</v>
      </c>
    </row>
    <row r="231">
      <c r="A231" s="43" t="s">
        <v>191</v>
      </c>
      <c r="B231" s="43" t="str">
        <f>IF(A231="", "", IFERROR(VLOOKUP(A231, Clasificaciones!A:B, 2, FALSE), "DATO NO CARGADO"))</f>
        <v>Tarjeta</v>
      </c>
      <c r="C231" s="51" t="s">
        <v>155</v>
      </c>
      <c r="D231" s="156">
        <v>2025.0</v>
      </c>
      <c r="E231" s="43" t="s">
        <v>374</v>
      </c>
      <c r="F231" s="82"/>
      <c r="G231" s="82">
        <v>45818.0</v>
      </c>
      <c r="H231" s="165" t="s">
        <v>522</v>
      </c>
      <c r="I231" s="121" t="s">
        <v>603</v>
      </c>
      <c r="J231" s="82">
        <v>45818.0</v>
      </c>
      <c r="K231" s="113"/>
      <c r="L231" s="193">
        <v>383.56</v>
      </c>
      <c r="M231" s="106" t="str">
        <f>IF(ISBLANK(K231), "", VLOOKUP(C231, 'Info Tipo de Cambio y REM'!$A$24:$B$35, 2, FALSE))</f>
        <v/>
      </c>
      <c r="N231" s="107">
        <f t="shared" si="1"/>
        <v>383.56</v>
      </c>
    </row>
    <row r="232">
      <c r="A232" s="43" t="s">
        <v>191</v>
      </c>
      <c r="B232" s="43" t="str">
        <f>IF(A232="", "", IFERROR(VLOOKUP(A232, Clasificaciones!A:B, 2, FALSE), "DATO NO CARGADO"))</f>
        <v>Tarjeta</v>
      </c>
      <c r="C232" s="51" t="s">
        <v>155</v>
      </c>
      <c r="D232" s="156">
        <v>2025.0</v>
      </c>
      <c r="E232" s="43" t="s">
        <v>374</v>
      </c>
      <c r="F232" s="82"/>
      <c r="G232" s="82">
        <v>45819.0</v>
      </c>
      <c r="H232" s="165" t="s">
        <v>522</v>
      </c>
      <c r="I232" s="121" t="s">
        <v>604</v>
      </c>
      <c r="J232" s="82">
        <v>45819.0</v>
      </c>
      <c r="K232" s="113"/>
      <c r="L232" s="193">
        <v>6.11</v>
      </c>
      <c r="M232" s="106" t="str">
        <f>IF(ISBLANK(K232), "", VLOOKUP(C232, 'Info Tipo de Cambio y REM'!$A$24:$B$35, 2, FALSE))</f>
        <v/>
      </c>
      <c r="N232" s="107">
        <f t="shared" si="1"/>
        <v>6.11</v>
      </c>
    </row>
    <row r="233">
      <c r="A233" s="43" t="s">
        <v>191</v>
      </c>
      <c r="B233" s="43" t="str">
        <f>IF(A233="", "", IFERROR(VLOOKUP(A233, Clasificaciones!A:B, 2, FALSE), "DATO NO CARGADO"))</f>
        <v>Tarjeta</v>
      </c>
      <c r="C233" s="51" t="s">
        <v>155</v>
      </c>
      <c r="D233" s="156">
        <v>2025.0</v>
      </c>
      <c r="E233" s="43" t="s">
        <v>374</v>
      </c>
      <c r="F233" s="82"/>
      <c r="G233" s="82">
        <v>45820.0</v>
      </c>
      <c r="H233" s="165" t="s">
        <v>522</v>
      </c>
      <c r="I233" s="121" t="s">
        <v>605</v>
      </c>
      <c r="J233" s="82">
        <v>45820.0</v>
      </c>
      <c r="K233" s="113"/>
      <c r="L233" s="193">
        <v>20.0</v>
      </c>
      <c r="M233" s="106" t="str">
        <f>IF(ISBLANK(K233), "", VLOOKUP(C233, 'Info Tipo de Cambio y REM'!$A$24:$B$35, 2, FALSE))</f>
        <v/>
      </c>
      <c r="N233" s="107">
        <f t="shared" si="1"/>
        <v>20</v>
      </c>
    </row>
    <row r="234">
      <c r="A234" s="43" t="s">
        <v>191</v>
      </c>
      <c r="B234" s="43" t="str">
        <f>IF(A234="", "", IFERROR(VLOOKUP(A234, Clasificaciones!A:B, 2, FALSE), "DATO NO CARGADO"))</f>
        <v>Tarjeta</v>
      </c>
      <c r="C234" s="51" t="s">
        <v>155</v>
      </c>
      <c r="D234" s="156">
        <v>2025.0</v>
      </c>
      <c r="E234" s="43" t="s">
        <v>374</v>
      </c>
      <c r="F234" s="82"/>
      <c r="G234" s="82">
        <v>45826.0</v>
      </c>
      <c r="H234" s="165" t="s">
        <v>522</v>
      </c>
      <c r="I234" s="195" t="s">
        <v>606</v>
      </c>
      <c r="J234" s="82">
        <v>45826.0</v>
      </c>
      <c r="K234" s="113"/>
      <c r="L234" s="109">
        <v>8.0</v>
      </c>
      <c r="M234" s="106" t="str">
        <f>IF(ISBLANK(K234), "", VLOOKUP(C234, 'Info Tipo de Cambio y REM'!$A$24:$B$35, 2, FALSE))</f>
        <v/>
      </c>
      <c r="N234" s="107">
        <f t="shared" si="1"/>
        <v>8</v>
      </c>
    </row>
    <row r="235">
      <c r="A235" s="43" t="s">
        <v>191</v>
      </c>
      <c r="B235" s="43" t="str">
        <f>IF(A235="", "", IFERROR(VLOOKUP(A235, Clasificaciones!A:B, 2, FALSE), "DATO NO CARGADO"))</f>
        <v>Tarjeta</v>
      </c>
      <c r="C235" s="51" t="s">
        <v>155</v>
      </c>
      <c r="D235" s="156">
        <v>2025.0</v>
      </c>
      <c r="E235" s="43" t="s">
        <v>374</v>
      </c>
      <c r="F235" s="82"/>
      <c r="G235" s="82">
        <v>45828.0</v>
      </c>
      <c r="H235" s="165" t="s">
        <v>522</v>
      </c>
      <c r="I235" s="195" t="s">
        <v>607</v>
      </c>
      <c r="J235" s="82">
        <v>45828.0</v>
      </c>
      <c r="K235" s="113"/>
      <c r="L235" s="109">
        <v>25.19</v>
      </c>
      <c r="M235" s="106" t="str">
        <f>IF(ISBLANK(K235), "", VLOOKUP(C235, 'Info Tipo de Cambio y REM'!$A$24:$B$35, 2, FALSE))</f>
        <v/>
      </c>
      <c r="N235" s="107">
        <f t="shared" si="1"/>
        <v>25.19</v>
      </c>
    </row>
    <row r="236">
      <c r="A236" s="43" t="s">
        <v>127</v>
      </c>
      <c r="B236" s="43" t="str">
        <f>IF(A236="", "", IFERROR(VLOOKUP(A236, Clasificaciones!A:B, 2, FALSE), "DATO NO CARGADO"))</f>
        <v>Board</v>
      </c>
      <c r="C236" s="51" t="s">
        <v>155</v>
      </c>
      <c r="D236" s="156">
        <v>2025.0</v>
      </c>
      <c r="E236" s="43" t="s">
        <v>374</v>
      </c>
      <c r="F236" s="170"/>
      <c r="G236" s="170">
        <v>45827.0</v>
      </c>
      <c r="H236" s="55" t="s">
        <v>458</v>
      </c>
      <c r="I236" s="169" t="s">
        <v>608</v>
      </c>
      <c r="J236" s="104">
        <v>45834.0</v>
      </c>
      <c r="K236" s="113"/>
      <c r="L236" s="109">
        <v>3000.0</v>
      </c>
      <c r="M236" s="106" t="str">
        <f>IF(ISBLANK(K236), "", VLOOKUP(C236, 'Info Tipo de Cambio y REM'!$A$24:$B$35, 2, FALSE))</f>
        <v/>
      </c>
      <c r="N236" s="107">
        <f t="shared" si="1"/>
        <v>3000</v>
      </c>
    </row>
    <row r="237">
      <c r="A237" s="43" t="s">
        <v>127</v>
      </c>
      <c r="B237" s="43" t="str">
        <f>IF(A237="", "", IFERROR(VLOOKUP(A237, Clasificaciones!A:B, 2, FALSE), "DATO NO CARGADO"))</f>
        <v>Board</v>
      </c>
      <c r="C237" s="51" t="s">
        <v>155</v>
      </c>
      <c r="D237" s="156">
        <v>2025.0</v>
      </c>
      <c r="E237" s="43" t="s">
        <v>374</v>
      </c>
      <c r="F237" s="170"/>
      <c r="G237" s="170">
        <v>45827.0</v>
      </c>
      <c r="H237" s="55" t="s">
        <v>458</v>
      </c>
      <c r="I237" s="43" t="s">
        <v>552</v>
      </c>
      <c r="J237" s="104">
        <v>45834.0</v>
      </c>
      <c r="K237" s="113"/>
      <c r="L237" s="109">
        <v>45.0</v>
      </c>
      <c r="M237" s="106" t="str">
        <f>IF(ISBLANK(K237), "", VLOOKUP(C237, 'Info Tipo de Cambio y REM'!$A$24:$B$35, 2, FALSE))</f>
        <v/>
      </c>
      <c r="N237" s="107">
        <f t="shared" si="1"/>
        <v>45</v>
      </c>
    </row>
    <row r="238">
      <c r="A238" s="43" t="s">
        <v>191</v>
      </c>
      <c r="B238" s="43" t="str">
        <f>IF(A238="", "", IFERROR(VLOOKUP(A238, Clasificaciones!A:B, 2, FALSE), "DATO NO CARGADO"))</f>
        <v>Tarjeta</v>
      </c>
      <c r="C238" s="51" t="s">
        <v>155</v>
      </c>
      <c r="D238" s="156">
        <v>2025.0</v>
      </c>
      <c r="E238" s="43" t="s">
        <v>374</v>
      </c>
      <c r="F238" s="196"/>
      <c r="G238" s="196">
        <v>45831.0</v>
      </c>
      <c r="H238" s="165" t="s">
        <v>522</v>
      </c>
      <c r="I238" s="83" t="s">
        <v>609</v>
      </c>
      <c r="J238" s="104">
        <v>45831.0</v>
      </c>
      <c r="K238" s="189"/>
      <c r="L238" s="123">
        <v>45.0</v>
      </c>
      <c r="M238" s="106" t="str">
        <f>IF(ISBLANK(K238), "", VLOOKUP(C238, 'Info Tipo de Cambio y REM'!$A$24:$B$35, 2, FALSE))</f>
        <v/>
      </c>
      <c r="N238" s="107">
        <f t="shared" si="1"/>
        <v>45</v>
      </c>
    </row>
    <row r="239">
      <c r="A239" s="43" t="s">
        <v>191</v>
      </c>
      <c r="B239" s="43" t="str">
        <f>IF(A239="", "", IFERROR(VLOOKUP(A239, Clasificaciones!A:B, 2, FALSE), "DATO NO CARGADO"))</f>
        <v>Tarjeta</v>
      </c>
      <c r="C239" s="51" t="s">
        <v>155</v>
      </c>
      <c r="D239" s="156">
        <v>2025.0</v>
      </c>
      <c r="E239" s="43" t="s">
        <v>374</v>
      </c>
      <c r="F239" s="196"/>
      <c r="G239" s="196">
        <v>45831.0</v>
      </c>
      <c r="H239" s="165" t="s">
        <v>522</v>
      </c>
      <c r="I239" s="83" t="s">
        <v>610</v>
      </c>
      <c r="J239" s="104">
        <v>45831.0</v>
      </c>
      <c r="K239" s="189"/>
      <c r="L239" s="123">
        <v>29.99</v>
      </c>
      <c r="M239" s="106" t="str">
        <f>IF(ISBLANK(K239), "", VLOOKUP(C239, 'Info Tipo de Cambio y REM'!$A$24:$B$35, 2, FALSE))</f>
        <v/>
      </c>
      <c r="N239" s="107">
        <f t="shared" si="1"/>
        <v>29.99</v>
      </c>
    </row>
    <row r="240">
      <c r="A240" s="43" t="s">
        <v>191</v>
      </c>
      <c r="B240" s="43" t="str">
        <f>IF(A240="", "", IFERROR(VLOOKUP(A240, Clasificaciones!A:B, 2, FALSE), "DATO NO CARGADO"))</f>
        <v>Tarjeta</v>
      </c>
      <c r="C240" s="51" t="s">
        <v>155</v>
      </c>
      <c r="D240" s="156">
        <v>2025.0</v>
      </c>
      <c r="E240" s="43" t="s">
        <v>374</v>
      </c>
      <c r="F240" s="196"/>
      <c r="G240" s="196">
        <v>45831.0</v>
      </c>
      <c r="H240" s="165" t="s">
        <v>522</v>
      </c>
      <c r="I240" s="83" t="s">
        <v>611</v>
      </c>
      <c r="J240" s="104">
        <v>45831.0</v>
      </c>
      <c r="K240" s="189"/>
      <c r="L240" s="123">
        <v>609.8</v>
      </c>
      <c r="M240" s="106" t="str">
        <f>IF(ISBLANK(K240), "", VLOOKUP(C240, 'Info Tipo de Cambio y REM'!$A$24:$B$35, 2, FALSE))</f>
        <v/>
      </c>
      <c r="N240" s="107">
        <f t="shared" si="1"/>
        <v>609.8</v>
      </c>
    </row>
    <row r="241">
      <c r="A241" s="43" t="s">
        <v>258</v>
      </c>
      <c r="B241" s="43" t="str">
        <f>IF(A241="", "", IFERROR(VLOOKUP(A241, Clasificaciones!A:B, 2, FALSE), "DATO NO CARGADO"))</f>
        <v>Equipo</v>
      </c>
      <c r="C241" s="51" t="s">
        <v>155</v>
      </c>
      <c r="D241" s="156">
        <v>2025.0</v>
      </c>
      <c r="E241" s="43" t="s">
        <v>374</v>
      </c>
      <c r="F241" s="104"/>
      <c r="G241" s="104">
        <v>45832.0</v>
      </c>
      <c r="H241" s="165" t="s">
        <v>566</v>
      </c>
      <c r="I241" s="43" t="s">
        <v>612</v>
      </c>
      <c r="J241" s="104">
        <v>45832.0</v>
      </c>
      <c r="L241" s="89">
        <v>1440.0</v>
      </c>
      <c r="M241" s="106" t="str">
        <f>IF(ISBLANK(K241), "", VLOOKUP(C241, 'Info Tipo de Cambio y REM'!$A$24:$B$35, 2, FALSE))</f>
        <v/>
      </c>
      <c r="N241" s="107">
        <f t="shared" si="1"/>
        <v>1440</v>
      </c>
    </row>
    <row r="242">
      <c r="A242" s="43" t="s">
        <v>207</v>
      </c>
      <c r="B242" s="43" t="str">
        <f>IF(A242="", "", IFERROR(VLOOKUP(A242, Clasificaciones!A:B, 2, FALSE), "DATO NO CARGADO"))</f>
        <v>Equipo</v>
      </c>
      <c r="C242" s="51" t="s">
        <v>155</v>
      </c>
      <c r="D242" s="156">
        <v>2025.0</v>
      </c>
      <c r="E242" s="43" t="s">
        <v>374</v>
      </c>
      <c r="F242" s="104"/>
      <c r="G242" s="104">
        <v>45833.0</v>
      </c>
      <c r="H242" s="165" t="s">
        <v>389</v>
      </c>
      <c r="I242" s="43" t="s">
        <v>613</v>
      </c>
      <c r="J242" s="104">
        <v>45833.0</v>
      </c>
      <c r="L242" s="89">
        <v>597.0</v>
      </c>
      <c r="M242" s="106" t="str">
        <f>IF(ISBLANK(K242), "", VLOOKUP(C242, 'Info Tipo de Cambio y REM'!$A$24:$B$35, 2, FALSE))</f>
        <v/>
      </c>
      <c r="N242" s="107">
        <f t="shared" si="1"/>
        <v>597</v>
      </c>
    </row>
    <row r="243">
      <c r="A243" s="43" t="s">
        <v>120</v>
      </c>
      <c r="B243" s="43" t="str">
        <f>IF(A243="", "", IFERROR(VLOOKUP(A243, Clasificaciones!A:B, 2, FALSE), "DATO NO CARGADO"))</f>
        <v>Equipo</v>
      </c>
      <c r="C243" s="51" t="s">
        <v>155</v>
      </c>
      <c r="D243" s="156">
        <v>2025.0</v>
      </c>
      <c r="E243" s="43" t="s">
        <v>374</v>
      </c>
      <c r="F243" s="104"/>
      <c r="G243" s="104">
        <v>45833.0</v>
      </c>
      <c r="H243" s="165" t="s">
        <v>387</v>
      </c>
      <c r="I243" s="43" t="s">
        <v>614</v>
      </c>
      <c r="J243" s="104">
        <v>45833.0</v>
      </c>
      <c r="L243" s="89">
        <v>2279.0</v>
      </c>
      <c r="M243" s="106" t="str">
        <f>IF(ISBLANK(K243), "", VLOOKUP(C243, 'Info Tipo de Cambio y REM'!$A$24:$B$35, 2, FALSE))</f>
        <v/>
      </c>
      <c r="N243" s="107">
        <f t="shared" si="1"/>
        <v>2279</v>
      </c>
    </row>
    <row r="244">
      <c r="A244" s="43" t="s">
        <v>205</v>
      </c>
      <c r="B244" s="43" t="str">
        <f>IF(A244="", "", IFERROR(VLOOKUP(A244, Clasificaciones!A:B, 2, FALSE), "DATO NO CARGADO"))</f>
        <v>Equipo</v>
      </c>
      <c r="C244" s="51" t="s">
        <v>155</v>
      </c>
      <c r="D244" s="156">
        <v>2025.0</v>
      </c>
      <c r="E244" s="43" t="s">
        <v>374</v>
      </c>
      <c r="F244" s="104"/>
      <c r="G244" s="104">
        <v>45834.0</v>
      </c>
      <c r="H244" s="165" t="s">
        <v>379</v>
      </c>
      <c r="I244" s="43" t="s">
        <v>615</v>
      </c>
      <c r="J244" s="104">
        <v>45834.0</v>
      </c>
      <c r="L244" s="89">
        <v>873.0</v>
      </c>
      <c r="M244" s="106" t="str">
        <f>IF(ISBLANK(K244), "", VLOOKUP(C244, 'Info Tipo de Cambio y REM'!$A$24:$B$35, 2, FALSE))</f>
        <v/>
      </c>
      <c r="N244" s="107">
        <f t="shared" si="1"/>
        <v>873</v>
      </c>
    </row>
    <row r="245">
      <c r="A245" s="43" t="s">
        <v>194</v>
      </c>
      <c r="B245" s="43" t="str">
        <f>IF(A245="", "", IFERROR(VLOOKUP(A245, Clasificaciones!A:B, 2, FALSE), "DATO NO CARGADO"))</f>
        <v>Equipo</v>
      </c>
      <c r="C245" s="51" t="s">
        <v>155</v>
      </c>
      <c r="D245" s="156">
        <v>2025.0</v>
      </c>
      <c r="E245" s="43" t="s">
        <v>374</v>
      </c>
      <c r="F245" s="104"/>
      <c r="G245" s="104">
        <v>45834.0</v>
      </c>
      <c r="H245" s="165" t="s">
        <v>403</v>
      </c>
      <c r="I245" s="43" t="s">
        <v>615</v>
      </c>
      <c r="J245" s="104">
        <v>45834.0</v>
      </c>
      <c r="L245" s="89">
        <v>1469.0</v>
      </c>
      <c r="M245" s="106" t="str">
        <f>IF(ISBLANK(K245), "", VLOOKUP(C245, 'Info Tipo de Cambio y REM'!$A$24:$B$35, 2, FALSE))</f>
        <v/>
      </c>
      <c r="N245" s="107">
        <f t="shared" si="1"/>
        <v>1469</v>
      </c>
    </row>
    <row r="246">
      <c r="A246" s="43" t="s">
        <v>217</v>
      </c>
      <c r="B246" s="43" t="str">
        <f>IF(A246="", "", IFERROR(VLOOKUP(A246, Clasificaciones!A:B, 2, FALSE), "DATO NO CARGADO"))</f>
        <v>Equipo</v>
      </c>
      <c r="C246" s="51" t="s">
        <v>155</v>
      </c>
      <c r="D246" s="156">
        <v>2025.0</v>
      </c>
      <c r="E246" s="43" t="s">
        <v>374</v>
      </c>
      <c r="F246" s="104"/>
      <c r="G246" s="104">
        <v>45834.0</v>
      </c>
      <c r="H246" s="165" t="s">
        <v>580</v>
      </c>
      <c r="I246" s="43" t="s">
        <v>616</v>
      </c>
      <c r="J246" s="104">
        <v>45834.0</v>
      </c>
      <c r="L246" s="89">
        <v>1218.0</v>
      </c>
      <c r="M246" s="106" t="str">
        <f>IF(ISBLANK(K246), "", VLOOKUP(C246, 'Info Tipo de Cambio y REM'!$A$24:$B$35, 2, FALSE))</f>
        <v/>
      </c>
      <c r="N246" s="107">
        <f t="shared" si="1"/>
        <v>1218</v>
      </c>
    </row>
    <row r="247">
      <c r="A247" s="43" t="s">
        <v>133</v>
      </c>
      <c r="B247" s="43" t="str">
        <f>IF(A247="", "", IFERROR(VLOOKUP(A247, Clasificaciones!A:B, 2, FALSE), "DATO NO CARGADO"))</f>
        <v>Board</v>
      </c>
      <c r="C247" s="51" t="s">
        <v>155</v>
      </c>
      <c r="D247" s="156">
        <v>2025.0</v>
      </c>
      <c r="E247" s="43" t="s">
        <v>374</v>
      </c>
      <c r="F247" s="104"/>
      <c r="G247" s="104">
        <v>45835.0</v>
      </c>
      <c r="H247" s="165" t="s">
        <v>589</v>
      </c>
      <c r="I247" s="43" t="s">
        <v>617</v>
      </c>
      <c r="J247" s="104">
        <v>45835.0</v>
      </c>
      <c r="L247" s="89">
        <v>4500.0</v>
      </c>
      <c r="M247" s="106" t="str">
        <f>IF(ISBLANK(K247), "", VLOOKUP(C247, 'Info Tipo de Cambio y REM'!$A$24:$B$35, 2, FALSE))</f>
        <v/>
      </c>
      <c r="N247" s="107">
        <f t="shared" si="1"/>
        <v>4500</v>
      </c>
    </row>
    <row r="248">
      <c r="A248" s="43" t="s">
        <v>200</v>
      </c>
      <c r="B248" s="43" t="str">
        <f>IF(A248="", "", IFERROR(VLOOKUP(A248, Clasificaciones!A:B, 2, FALSE), "DATO NO CARGADO"))</f>
        <v>Equipo</v>
      </c>
      <c r="C248" s="51" t="s">
        <v>155</v>
      </c>
      <c r="D248" s="156">
        <v>2025.0</v>
      </c>
      <c r="E248" s="43" t="s">
        <v>374</v>
      </c>
      <c r="F248" s="104"/>
      <c r="G248" s="104">
        <v>45835.0</v>
      </c>
      <c r="H248" s="165" t="s">
        <v>407</v>
      </c>
      <c r="I248" s="43" t="s">
        <v>615</v>
      </c>
      <c r="J248" s="104">
        <v>45835.0</v>
      </c>
      <c r="L248" s="89">
        <v>1352.0</v>
      </c>
      <c r="M248" s="106" t="str">
        <f>IF(ISBLANK(K248), "", VLOOKUP(C248, 'Info Tipo de Cambio y REM'!$A$24:$B$35, 2, FALSE))</f>
        <v/>
      </c>
      <c r="N248" s="107">
        <f t="shared" si="1"/>
        <v>1352</v>
      </c>
    </row>
    <row r="249">
      <c r="A249" s="43" t="s">
        <v>221</v>
      </c>
      <c r="B249" s="43" t="str">
        <f>IF(A249="", "", IFERROR(VLOOKUP(A249, Clasificaciones!A:B, 2, FALSE), "DATO NO CARGADO"))</f>
        <v>Equipo</v>
      </c>
      <c r="C249" s="51" t="s">
        <v>155</v>
      </c>
      <c r="D249" s="156">
        <v>2025.0</v>
      </c>
      <c r="E249" s="43" t="s">
        <v>374</v>
      </c>
      <c r="F249" s="104"/>
      <c r="G249" s="104">
        <v>45835.0</v>
      </c>
      <c r="H249" s="165" t="s">
        <v>450</v>
      </c>
      <c r="I249" s="43" t="s">
        <v>615</v>
      </c>
      <c r="J249" s="104">
        <v>45835.0</v>
      </c>
      <c r="L249" s="89">
        <v>1557.0</v>
      </c>
      <c r="M249" s="106" t="str">
        <f>IF(ISBLANK(K249), "", VLOOKUP(C249, 'Info Tipo de Cambio y REM'!$A$24:$B$35, 2, FALSE))</f>
        <v/>
      </c>
      <c r="N249" s="107">
        <f t="shared" si="1"/>
        <v>1557</v>
      </c>
    </row>
    <row r="250">
      <c r="A250" s="43" t="s">
        <v>228</v>
      </c>
      <c r="B250" s="43" t="str">
        <f>IF(A250="", "", IFERROR(VLOOKUP(A250, Clasificaciones!A:B, 2, FALSE), "DATO NO CARGADO"))</f>
        <v>Equipo</v>
      </c>
      <c r="C250" s="51" t="s">
        <v>155</v>
      </c>
      <c r="D250" s="156">
        <v>2025.0</v>
      </c>
      <c r="E250" s="43" t="s">
        <v>374</v>
      </c>
      <c r="F250" s="104"/>
      <c r="G250" s="104">
        <v>45838.0</v>
      </c>
      <c r="H250" s="165" t="s">
        <v>436</v>
      </c>
      <c r="I250" s="43" t="s">
        <v>614</v>
      </c>
      <c r="J250" s="104">
        <v>45838.0</v>
      </c>
      <c r="L250" s="89">
        <v>1156.0</v>
      </c>
      <c r="M250" s="106" t="str">
        <f>IF(ISBLANK(K250), "", VLOOKUP(C250, 'Info Tipo de Cambio y REM'!$A$24:$B$35, 2, FALSE))</f>
        <v/>
      </c>
      <c r="N250" s="107">
        <f t="shared" si="1"/>
        <v>1156</v>
      </c>
    </row>
    <row r="251">
      <c r="A251" s="43" t="s">
        <v>197</v>
      </c>
      <c r="B251" s="43" t="str">
        <f>IF(A251="", "", IFERROR(VLOOKUP(A251, Clasificaciones!A:B, 2, FALSE), "DATO NO CARGADO"))</f>
        <v>Equipo</v>
      </c>
      <c r="C251" s="51" t="s">
        <v>155</v>
      </c>
      <c r="D251" s="156">
        <v>2025.0</v>
      </c>
      <c r="E251" s="43" t="s">
        <v>374</v>
      </c>
      <c r="F251" s="104"/>
      <c r="G251" s="104">
        <v>45838.0</v>
      </c>
      <c r="H251" s="165" t="s">
        <v>411</v>
      </c>
      <c r="I251" s="43" t="s">
        <v>615</v>
      </c>
      <c r="J251" s="104">
        <v>45838.0</v>
      </c>
      <c r="L251" s="89">
        <v>1568.0</v>
      </c>
      <c r="M251" s="106" t="str">
        <f>IF(ISBLANK(K251), "", VLOOKUP(C251, 'Info Tipo de Cambio y REM'!$A$24:$B$35, 2, FALSE))</f>
        <v/>
      </c>
      <c r="N251" s="107">
        <f t="shared" si="1"/>
        <v>1568</v>
      </c>
    </row>
    <row r="252">
      <c r="A252" s="43" t="s">
        <v>230</v>
      </c>
      <c r="B252" s="43" t="str">
        <f>IF(A252="", "", IFERROR(VLOOKUP(A252, Clasificaciones!A:B, 2, FALSE), "DATO NO CARGADO"))</f>
        <v>Equipo</v>
      </c>
      <c r="C252" s="51" t="s">
        <v>155</v>
      </c>
      <c r="D252" s="156">
        <v>2025.0</v>
      </c>
      <c r="E252" s="43" t="s">
        <v>374</v>
      </c>
      <c r="F252" s="104"/>
      <c r="G252" s="104">
        <v>45838.0</v>
      </c>
      <c r="H252" s="165" t="s">
        <v>577</v>
      </c>
      <c r="I252" s="43" t="s">
        <v>615</v>
      </c>
      <c r="J252" s="104">
        <v>45838.0</v>
      </c>
      <c r="L252" s="89">
        <v>1465.0</v>
      </c>
      <c r="M252" s="106" t="str">
        <f>IF(ISBLANK(K252), "", VLOOKUP(C252, 'Info Tipo de Cambio y REM'!$A$24:$B$35, 2, FALSE))</f>
        <v/>
      </c>
      <c r="N252" s="107">
        <f t="shared" si="1"/>
        <v>1465</v>
      </c>
    </row>
    <row r="253">
      <c r="A253" s="43" t="s">
        <v>214</v>
      </c>
      <c r="B253" s="43" t="str">
        <f>IF(A253="", "", IFERROR(VLOOKUP(A253, Clasificaciones!A:B, 2, FALSE), "DATO NO CARGADO"))</f>
        <v>Equipo</v>
      </c>
      <c r="C253" s="51" t="s">
        <v>155</v>
      </c>
      <c r="D253" s="156">
        <v>2025.0</v>
      </c>
      <c r="E253" s="43" t="s">
        <v>374</v>
      </c>
      <c r="F253" s="104"/>
      <c r="G253" s="104">
        <v>45832.0</v>
      </c>
      <c r="H253" s="165" t="s">
        <v>566</v>
      </c>
      <c r="I253" s="43" t="s">
        <v>552</v>
      </c>
      <c r="J253" s="104">
        <v>45832.0</v>
      </c>
      <c r="L253" s="89">
        <v>45.0</v>
      </c>
      <c r="M253" s="106" t="str">
        <f>IF(ISBLANK(K253), "", VLOOKUP(C253, 'Info Tipo de Cambio y REM'!$A$24:$B$35, 2, FALSE))</f>
        <v/>
      </c>
      <c r="N253" s="107">
        <f t="shared" si="1"/>
        <v>45</v>
      </c>
    </row>
    <row r="254">
      <c r="A254" s="43" t="s">
        <v>207</v>
      </c>
      <c r="B254" s="43" t="str">
        <f>IF(A254="", "", IFERROR(VLOOKUP(A254, Clasificaciones!A:B, 2, FALSE), "DATO NO CARGADO"))</f>
        <v>Equipo</v>
      </c>
      <c r="C254" s="51" t="s">
        <v>155</v>
      </c>
      <c r="D254" s="156">
        <v>2025.0</v>
      </c>
      <c r="E254" s="43" t="s">
        <v>374</v>
      </c>
      <c r="F254" s="104"/>
      <c r="G254" s="104">
        <v>45833.0</v>
      </c>
      <c r="H254" s="165" t="s">
        <v>389</v>
      </c>
      <c r="I254" s="43" t="s">
        <v>552</v>
      </c>
      <c r="J254" s="104">
        <v>45833.0</v>
      </c>
      <c r="L254" s="89">
        <v>45.0</v>
      </c>
      <c r="M254" s="106" t="str">
        <f>IF(ISBLANK(K254), "", VLOOKUP(C254, 'Info Tipo de Cambio y REM'!$A$24:$B$35, 2, FALSE))</f>
        <v/>
      </c>
      <c r="N254" s="107">
        <f t="shared" si="1"/>
        <v>45</v>
      </c>
    </row>
    <row r="255">
      <c r="A255" s="43" t="s">
        <v>120</v>
      </c>
      <c r="B255" s="43" t="str">
        <f>IF(A255="", "", IFERROR(VLOOKUP(A255, Clasificaciones!A:B, 2, FALSE), "DATO NO CARGADO"))</f>
        <v>Equipo</v>
      </c>
      <c r="C255" s="51" t="s">
        <v>155</v>
      </c>
      <c r="D255" s="156">
        <v>2025.0</v>
      </c>
      <c r="E255" s="43" t="s">
        <v>374</v>
      </c>
      <c r="F255" s="104"/>
      <c r="G255" s="104">
        <v>45833.0</v>
      </c>
      <c r="H255" s="165" t="s">
        <v>387</v>
      </c>
      <c r="I255" s="43" t="s">
        <v>552</v>
      </c>
      <c r="J255" s="104">
        <v>45833.0</v>
      </c>
      <c r="L255" s="89">
        <v>45.0</v>
      </c>
      <c r="M255" s="106" t="str">
        <f>IF(ISBLANK(K255), "", VLOOKUP(C255, 'Info Tipo de Cambio y REM'!$A$24:$B$35, 2, FALSE))</f>
        <v/>
      </c>
      <c r="N255" s="107">
        <f t="shared" si="1"/>
        <v>45</v>
      </c>
    </row>
    <row r="256">
      <c r="A256" s="43" t="s">
        <v>205</v>
      </c>
      <c r="B256" s="43" t="str">
        <f>IF(A256="", "", IFERROR(VLOOKUP(A256, Clasificaciones!A:B, 2, FALSE), "DATO NO CARGADO"))</f>
        <v>Equipo</v>
      </c>
      <c r="C256" s="51" t="s">
        <v>155</v>
      </c>
      <c r="D256" s="156">
        <v>2025.0</v>
      </c>
      <c r="E256" s="43" t="s">
        <v>374</v>
      </c>
      <c r="F256" s="104"/>
      <c r="G256" s="104">
        <v>45834.0</v>
      </c>
      <c r="H256" s="165" t="s">
        <v>379</v>
      </c>
      <c r="I256" s="43" t="s">
        <v>552</v>
      </c>
      <c r="J256" s="104">
        <v>45834.0</v>
      </c>
      <c r="L256" s="89">
        <v>45.0</v>
      </c>
      <c r="M256" s="106" t="str">
        <f>IF(ISBLANK(K256), "", VLOOKUP(C256, 'Info Tipo de Cambio y REM'!$A$24:$B$35, 2, FALSE))</f>
        <v/>
      </c>
      <c r="N256" s="107">
        <f t="shared" si="1"/>
        <v>45</v>
      </c>
    </row>
    <row r="257">
      <c r="A257" s="43" t="s">
        <v>194</v>
      </c>
      <c r="B257" s="43" t="str">
        <f>IF(A257="", "", IFERROR(VLOOKUP(A257, Clasificaciones!A:B, 2, FALSE), "DATO NO CARGADO"))</f>
        <v>Equipo</v>
      </c>
      <c r="C257" s="51" t="s">
        <v>155</v>
      </c>
      <c r="D257" s="156">
        <v>2025.0</v>
      </c>
      <c r="E257" s="43" t="s">
        <v>374</v>
      </c>
      <c r="F257" s="104"/>
      <c r="G257" s="104">
        <v>45834.0</v>
      </c>
      <c r="H257" s="165" t="s">
        <v>403</v>
      </c>
      <c r="I257" s="43" t="s">
        <v>552</v>
      </c>
      <c r="J257" s="104">
        <v>45834.0</v>
      </c>
      <c r="L257" s="89">
        <v>45.0</v>
      </c>
      <c r="M257" s="106" t="str">
        <f>IF(ISBLANK(K257), "", VLOOKUP(C257, 'Info Tipo de Cambio y REM'!$A$24:$B$35, 2, FALSE))</f>
        <v/>
      </c>
      <c r="N257" s="107">
        <f t="shared" si="1"/>
        <v>45</v>
      </c>
    </row>
    <row r="258">
      <c r="A258" s="43" t="s">
        <v>217</v>
      </c>
      <c r="B258" s="43" t="str">
        <f>IF(A258="", "", IFERROR(VLOOKUP(A258, Clasificaciones!A:B, 2, FALSE), "DATO NO CARGADO"))</f>
        <v>Equipo</v>
      </c>
      <c r="C258" s="51" t="s">
        <v>155</v>
      </c>
      <c r="D258" s="156">
        <v>2025.0</v>
      </c>
      <c r="E258" s="43" t="s">
        <v>374</v>
      </c>
      <c r="F258" s="104"/>
      <c r="G258" s="104">
        <v>45834.0</v>
      </c>
      <c r="H258" s="165" t="s">
        <v>580</v>
      </c>
      <c r="I258" s="43" t="s">
        <v>552</v>
      </c>
      <c r="J258" s="104">
        <v>45834.0</v>
      </c>
      <c r="L258" s="89">
        <v>45.0</v>
      </c>
      <c r="M258" s="106" t="str">
        <f>IF(ISBLANK(K258), "", VLOOKUP(C258, 'Info Tipo de Cambio y REM'!$A$24:$B$35, 2, FALSE))</f>
        <v/>
      </c>
      <c r="N258" s="107">
        <f t="shared" si="1"/>
        <v>45</v>
      </c>
    </row>
    <row r="259">
      <c r="A259" s="43" t="s">
        <v>133</v>
      </c>
      <c r="B259" s="43" t="str">
        <f>IF(A259="", "", IFERROR(VLOOKUP(A259, Clasificaciones!A:B, 2, FALSE), "DATO NO CARGADO"))</f>
        <v>Board</v>
      </c>
      <c r="C259" s="51" t="s">
        <v>155</v>
      </c>
      <c r="D259" s="156">
        <v>2025.0</v>
      </c>
      <c r="E259" s="43" t="s">
        <v>374</v>
      </c>
      <c r="F259" s="104"/>
      <c r="G259" s="104">
        <v>45835.0</v>
      </c>
      <c r="H259" s="165" t="s">
        <v>589</v>
      </c>
      <c r="I259" s="43" t="s">
        <v>552</v>
      </c>
      <c r="J259" s="104">
        <v>45835.0</v>
      </c>
      <c r="L259" s="89">
        <v>45.0</v>
      </c>
      <c r="M259" s="106" t="str">
        <f>IF(ISBLANK(K259), "", VLOOKUP(C259, 'Info Tipo de Cambio y REM'!$A$24:$B$35, 2, FALSE))</f>
        <v/>
      </c>
      <c r="N259" s="107">
        <f t="shared" si="1"/>
        <v>45</v>
      </c>
    </row>
    <row r="260">
      <c r="A260" s="43" t="s">
        <v>221</v>
      </c>
      <c r="B260" s="43" t="str">
        <f>IF(A260="", "", IFERROR(VLOOKUP(A260, Clasificaciones!A:B, 2, FALSE), "DATO NO CARGADO"))</f>
        <v>Equipo</v>
      </c>
      <c r="C260" s="51" t="s">
        <v>155</v>
      </c>
      <c r="D260" s="156">
        <v>2025.0</v>
      </c>
      <c r="E260" s="43" t="s">
        <v>374</v>
      </c>
      <c r="F260" s="104"/>
      <c r="G260" s="104">
        <v>45835.0</v>
      </c>
      <c r="H260" s="165" t="s">
        <v>407</v>
      </c>
      <c r="I260" s="43" t="s">
        <v>552</v>
      </c>
      <c r="J260" s="104">
        <v>45835.0</v>
      </c>
      <c r="L260" s="89">
        <v>45.0</v>
      </c>
      <c r="M260" s="106" t="str">
        <f>IF(ISBLANK(K260), "", VLOOKUP(C260, 'Info Tipo de Cambio y REM'!$A$24:$B$35, 2, FALSE))</f>
        <v/>
      </c>
      <c r="N260" s="107">
        <f t="shared" si="1"/>
        <v>45</v>
      </c>
    </row>
    <row r="261">
      <c r="A261" s="43" t="s">
        <v>200</v>
      </c>
      <c r="B261" s="43" t="str">
        <f>IF(A261="", "", IFERROR(VLOOKUP(A261, Clasificaciones!A:B, 2, FALSE), "DATO NO CARGADO"))</f>
        <v>Equipo</v>
      </c>
      <c r="C261" s="51" t="s">
        <v>155</v>
      </c>
      <c r="D261" s="156">
        <v>2025.0</v>
      </c>
      <c r="E261" s="43" t="s">
        <v>374</v>
      </c>
      <c r="F261" s="104"/>
      <c r="G261" s="104">
        <v>45835.0</v>
      </c>
      <c r="H261" s="165" t="s">
        <v>450</v>
      </c>
      <c r="I261" s="43" t="s">
        <v>552</v>
      </c>
      <c r="J261" s="104">
        <v>45835.0</v>
      </c>
      <c r="L261" s="89">
        <v>45.0</v>
      </c>
      <c r="M261" s="106" t="str">
        <f>IF(ISBLANK(K261), "", VLOOKUP(C261, 'Info Tipo de Cambio y REM'!$A$24:$B$35, 2, FALSE))</f>
        <v/>
      </c>
      <c r="N261" s="107">
        <f t="shared" si="1"/>
        <v>45</v>
      </c>
    </row>
    <row r="262">
      <c r="A262" s="43" t="s">
        <v>228</v>
      </c>
      <c r="B262" s="43" t="str">
        <f>IF(A262="", "", IFERROR(VLOOKUP(A262, Clasificaciones!A:B, 2, FALSE), "DATO NO CARGADO"))</f>
        <v>Equipo</v>
      </c>
      <c r="C262" s="51" t="s">
        <v>155</v>
      </c>
      <c r="D262" s="156">
        <v>2025.0</v>
      </c>
      <c r="E262" s="43" t="s">
        <v>374</v>
      </c>
      <c r="F262" s="104"/>
      <c r="G262" s="104">
        <v>45838.0</v>
      </c>
      <c r="H262" s="165" t="s">
        <v>436</v>
      </c>
      <c r="I262" s="43" t="s">
        <v>552</v>
      </c>
      <c r="J262" s="104">
        <v>45838.0</v>
      </c>
      <c r="L262" s="89">
        <v>45.0</v>
      </c>
      <c r="M262" s="106" t="str">
        <f>IF(ISBLANK(K262), "", VLOOKUP(C262, 'Info Tipo de Cambio y REM'!$A$24:$B$35, 2, FALSE))</f>
        <v/>
      </c>
      <c r="N262" s="107">
        <f t="shared" si="1"/>
        <v>45</v>
      </c>
    </row>
    <row r="263">
      <c r="A263" s="43" t="s">
        <v>197</v>
      </c>
      <c r="B263" s="43" t="str">
        <f>IF(A263="", "", IFERROR(VLOOKUP(A263, Clasificaciones!A:B, 2, FALSE), "DATO NO CARGADO"))</f>
        <v>Equipo</v>
      </c>
      <c r="C263" s="51" t="s">
        <v>155</v>
      </c>
      <c r="D263" s="156">
        <v>2025.0</v>
      </c>
      <c r="E263" s="43" t="s">
        <v>374</v>
      </c>
      <c r="F263" s="104"/>
      <c r="G263" s="104">
        <v>45838.0</v>
      </c>
      <c r="H263" s="165" t="s">
        <v>411</v>
      </c>
      <c r="I263" s="43" t="s">
        <v>552</v>
      </c>
      <c r="J263" s="104">
        <v>45838.0</v>
      </c>
      <c r="L263" s="89">
        <v>45.0</v>
      </c>
      <c r="M263" s="106" t="str">
        <f>IF(ISBLANK(K263), "", VLOOKUP(C263, 'Info Tipo de Cambio y REM'!$A$24:$B$35, 2, FALSE))</f>
        <v/>
      </c>
      <c r="N263" s="107">
        <f t="shared" si="1"/>
        <v>45</v>
      </c>
    </row>
    <row r="264">
      <c r="A264" s="43" t="s">
        <v>230</v>
      </c>
      <c r="B264" s="43" t="str">
        <f>IF(A264="", "", IFERROR(VLOOKUP(A264, Clasificaciones!A:B, 2, FALSE), "DATO NO CARGADO"))</f>
        <v>Equipo</v>
      </c>
      <c r="C264" s="51" t="s">
        <v>155</v>
      </c>
      <c r="D264" s="156">
        <v>2025.0</v>
      </c>
      <c r="E264" s="43" t="s">
        <v>374</v>
      </c>
      <c r="F264" s="104"/>
      <c r="G264" s="104">
        <v>45838.0</v>
      </c>
      <c r="H264" s="165" t="s">
        <v>577</v>
      </c>
      <c r="I264" s="43" t="s">
        <v>552</v>
      </c>
      <c r="J264" s="104">
        <v>45838.0</v>
      </c>
      <c r="L264" s="89">
        <v>45.0</v>
      </c>
      <c r="M264" s="106" t="str">
        <f>IF(ISBLANK(K264), "", VLOOKUP(C264, 'Info Tipo de Cambio y REM'!$A$24:$B$35, 2, FALSE))</f>
        <v/>
      </c>
      <c r="N264" s="107">
        <f t="shared" si="1"/>
        <v>45</v>
      </c>
    </row>
    <row r="265">
      <c r="A265" s="43" t="s">
        <v>187</v>
      </c>
      <c r="B265" s="43" t="str">
        <f>IF(A265="", "", IFERROR(VLOOKUP(A265, Clasificaciones!A:B, 2, FALSE), "DATO NO CARGADO"))</f>
        <v>Gastos Varios</v>
      </c>
      <c r="C265" s="51" t="s">
        <v>155</v>
      </c>
      <c r="D265" s="156">
        <v>2025.0</v>
      </c>
      <c r="E265" s="43" t="s">
        <v>374</v>
      </c>
      <c r="F265" s="104"/>
      <c r="G265" s="104">
        <v>45838.0</v>
      </c>
      <c r="H265" s="165" t="s">
        <v>418</v>
      </c>
      <c r="I265" s="43" t="s">
        <v>618</v>
      </c>
      <c r="J265" s="104">
        <v>45868.0</v>
      </c>
      <c r="L265" s="89">
        <v>600.0</v>
      </c>
      <c r="M265" s="106" t="str">
        <f>IF(ISBLANK(K265), "", VLOOKUP(C265, 'Info Tipo de Cambio y REM'!$A$24:$B$35, 2, FALSE))</f>
        <v/>
      </c>
      <c r="N265" s="107">
        <f t="shared" si="1"/>
        <v>600</v>
      </c>
    </row>
    <row r="266">
      <c r="A266" s="43" t="s">
        <v>152</v>
      </c>
      <c r="B266" s="43" t="str">
        <f>IF(A266="", "", IFERROR(VLOOKUP(A266, Clasificaciones!A:B, 2, FALSE), "DATO NO CARGADO"))</f>
        <v>Impuestos ARG</v>
      </c>
      <c r="C266" s="51" t="s">
        <v>155</v>
      </c>
      <c r="D266" s="156">
        <v>2025.0</v>
      </c>
      <c r="E266" s="43" t="s">
        <v>374</v>
      </c>
      <c r="F266" s="104"/>
      <c r="G266" s="104">
        <v>45838.0</v>
      </c>
      <c r="H266" s="165" t="s">
        <v>619</v>
      </c>
      <c r="I266" s="1"/>
      <c r="J266" s="168">
        <v>45862.0</v>
      </c>
      <c r="K266" s="89">
        <v>1835920.0</v>
      </c>
      <c r="L266" s="71"/>
      <c r="M266" s="106" t="str">
        <f>IF(ISBLANK(K266), "", VLOOKUP(C266, 'Info Tipo de Cambio y REM'!$A$24:$B$35, 2, FALSE))</f>
        <v>#N/A</v>
      </c>
      <c r="N266" s="107" t="str">
        <f t="shared" si="1"/>
        <v/>
      </c>
    </row>
    <row r="267">
      <c r="A267" s="43" t="s">
        <v>146</v>
      </c>
      <c r="B267" s="43" t="str">
        <f>IF(A267="", "", IFERROR(VLOOKUP(A267, Clasificaciones!A:B, 2, FALSE), "DATO NO CARGADO"))</f>
        <v>Impuestos ARG</v>
      </c>
      <c r="C267" s="51" t="s">
        <v>155</v>
      </c>
      <c r="D267" s="156">
        <v>2025.0</v>
      </c>
      <c r="E267" s="43" t="s">
        <v>374</v>
      </c>
      <c r="F267" s="104"/>
      <c r="G267" s="104">
        <v>45838.0</v>
      </c>
      <c r="H267" s="165" t="s">
        <v>620</v>
      </c>
      <c r="I267" s="1"/>
      <c r="J267" s="168">
        <v>45857.0</v>
      </c>
      <c r="K267" s="89">
        <v>337214.0</v>
      </c>
      <c r="L267" s="71"/>
      <c r="M267" s="106" t="str">
        <f>IF(ISBLANK(K267), "", VLOOKUP(C267, 'Info Tipo de Cambio y REM'!$A$24:$B$35, 2, FALSE))</f>
        <v>#N/A</v>
      </c>
      <c r="N267" s="107" t="str">
        <f t="shared" si="1"/>
        <v/>
      </c>
    </row>
    <row r="268">
      <c r="A268" s="43" t="s">
        <v>164</v>
      </c>
      <c r="B268" s="43" t="str">
        <f>IF(A268="", "", IFERROR(VLOOKUP(A268, Clasificaciones!A:B, 2, FALSE), "DATO NO CARGADO"))</f>
        <v>Estudio Contable</v>
      </c>
      <c r="C268" s="51" t="s">
        <v>155</v>
      </c>
      <c r="D268" s="156">
        <v>2025.0</v>
      </c>
      <c r="E268" s="43" t="s">
        <v>371</v>
      </c>
      <c r="F268" s="104"/>
      <c r="G268" s="104">
        <v>45838.0</v>
      </c>
      <c r="H268" s="165" t="s">
        <v>621</v>
      </c>
      <c r="I268" s="1"/>
      <c r="J268" s="168">
        <v>45879.0</v>
      </c>
      <c r="K268" s="89">
        <v>59568.3</v>
      </c>
      <c r="L268" s="71"/>
      <c r="M268" s="106" t="str">
        <f>IF(ISBLANK(K268), "", VLOOKUP(C268, 'Info Tipo de Cambio y REM'!$A$24:$B$35, 2, FALSE))</f>
        <v>#N/A</v>
      </c>
      <c r="N268" s="107" t="str">
        <f t="shared" si="1"/>
        <v/>
      </c>
    </row>
    <row r="269">
      <c r="A269" s="197" t="s">
        <v>153</v>
      </c>
      <c r="B269" s="43" t="str">
        <f>IF(A269="", "", IFERROR(VLOOKUP(A269, Clasificaciones!A:B, 2, FALSE), "DATO NO CARGADO"))</f>
        <v>Impuestos USA</v>
      </c>
      <c r="C269" s="51" t="s">
        <v>155</v>
      </c>
      <c r="D269" s="197">
        <v>2025.0</v>
      </c>
      <c r="E269" s="197" t="s">
        <v>371</v>
      </c>
      <c r="F269" s="183"/>
      <c r="G269" s="183">
        <v>45838.0</v>
      </c>
      <c r="H269" s="178" t="s">
        <v>622</v>
      </c>
      <c r="I269" s="92" t="s">
        <v>623</v>
      </c>
      <c r="J269" s="177">
        <v>46142.0</v>
      </c>
      <c r="K269" s="198"/>
      <c r="L269" s="199">
        <v>-4204.92</v>
      </c>
      <c r="M269" s="106" t="str">
        <f>IF(ISBLANK(K269), "", VLOOKUP(C269, 'Info Tipo de Cambio y REM'!$A$24:$B$35, 2, FALSE))</f>
        <v/>
      </c>
      <c r="N269" s="200">
        <f t="shared" si="1"/>
        <v>-4204.92</v>
      </c>
      <c r="O269" s="198"/>
      <c r="P269" s="198"/>
      <c r="Q269" s="198"/>
      <c r="R269" s="198"/>
      <c r="S269" s="198"/>
      <c r="T269" s="198"/>
      <c r="U269" s="198"/>
      <c r="V269" s="198"/>
      <c r="W269" s="198"/>
      <c r="X269" s="198"/>
      <c r="Y269" s="198"/>
      <c r="Z269" s="198"/>
      <c r="AA269" s="198"/>
      <c r="AB269" s="198"/>
      <c r="AC269" s="198"/>
      <c r="AD269" s="198"/>
      <c r="AE269" s="198"/>
      <c r="AF269" s="198"/>
    </row>
    <row r="270">
      <c r="A270" s="43" t="s">
        <v>222</v>
      </c>
      <c r="B270" s="43" t="str">
        <f>IF(A270="", "", IFERROR(VLOOKUP(A270, Clasificaciones!A:B, 2, FALSE), "DATO NO CARGADO"))</f>
        <v>Oxean</v>
      </c>
      <c r="C270" s="51" t="s">
        <v>155</v>
      </c>
      <c r="D270" s="156">
        <v>2025.0</v>
      </c>
      <c r="E270" s="43" t="s">
        <v>374</v>
      </c>
      <c r="F270" s="104"/>
      <c r="G270" s="104">
        <v>45838.0</v>
      </c>
      <c r="H270" s="165" t="s">
        <v>624</v>
      </c>
      <c r="I270" s="1"/>
      <c r="J270" s="168">
        <v>45848.0</v>
      </c>
      <c r="K270" s="89">
        <v>4910000.0</v>
      </c>
      <c r="L270" s="71"/>
      <c r="M270" s="106" t="str">
        <f>IF(ISBLANK(K270), "", VLOOKUP(C270, 'Info Tipo de Cambio y REM'!$A$24:$B$35, 2, FALSE))</f>
        <v>#N/A</v>
      </c>
      <c r="N270" s="107" t="str">
        <f t="shared" si="1"/>
        <v/>
      </c>
    </row>
    <row r="271">
      <c r="A271" s="43" t="s">
        <v>158</v>
      </c>
      <c r="B271" s="43" t="str">
        <f>IF(A271="", "", IFERROR(VLOOKUP(A271, Clasificaciones!A:B, 2, FALSE), "DATO NO CARGADO"))</f>
        <v>Tarjeta</v>
      </c>
      <c r="C271" s="51" t="s">
        <v>155</v>
      </c>
      <c r="D271" s="156">
        <v>2025.0</v>
      </c>
      <c r="E271" s="43" t="s">
        <v>374</v>
      </c>
      <c r="F271" s="104"/>
      <c r="G271" s="104">
        <v>45838.0</v>
      </c>
      <c r="H271" s="184" t="s">
        <v>625</v>
      </c>
      <c r="I271" s="1"/>
      <c r="J271" s="185">
        <v>45856.0</v>
      </c>
      <c r="K271" s="201">
        <v>111382.0</v>
      </c>
      <c r="L271" s="71"/>
      <c r="M271" s="106" t="str">
        <f>IF(ISBLANK(K271), "", VLOOKUP(C271, 'Info Tipo de Cambio y REM'!$A$24:$B$35, 2, FALSE))</f>
        <v>#N/A</v>
      </c>
      <c r="N271" s="107" t="str">
        <f t="shared" si="1"/>
        <v/>
      </c>
    </row>
    <row r="272">
      <c r="A272" s="43" t="s">
        <v>222</v>
      </c>
      <c r="B272" s="43" t="str">
        <f>IF(A272="", "", IFERROR(VLOOKUP(A272, Clasificaciones!A:B, 2, FALSE), "DATO NO CARGADO"))</f>
        <v>Oxean</v>
      </c>
      <c r="C272" s="51" t="s">
        <v>155</v>
      </c>
      <c r="D272" s="156">
        <v>2025.0</v>
      </c>
      <c r="E272" s="43" t="s">
        <v>374</v>
      </c>
      <c r="F272" s="104"/>
      <c r="G272" s="104">
        <v>45838.0</v>
      </c>
      <c r="H272" s="165" t="s">
        <v>626</v>
      </c>
      <c r="J272" s="104">
        <v>45838.0</v>
      </c>
      <c r="K272" s="89">
        <v>410000.0</v>
      </c>
      <c r="L272" s="71"/>
      <c r="M272" s="106" t="str">
        <f>IF(ISBLANK(K272), "", VLOOKUP(C272, 'Info Tipo de Cambio y REM'!$A$24:$B$35, 2, FALSE))</f>
        <v>#N/A</v>
      </c>
      <c r="N272" s="107" t="str">
        <f t="shared" si="1"/>
        <v/>
      </c>
    </row>
    <row r="273">
      <c r="A273" s="43" t="s">
        <v>133</v>
      </c>
      <c r="B273" s="43" t="str">
        <f>IF(A273="", "", IFERROR(VLOOKUP(A273, Clasificaciones!A:B, 2, FALSE), "DATO NO CARGADO"))</f>
        <v>Board</v>
      </c>
      <c r="C273" s="51" t="s">
        <v>161</v>
      </c>
      <c r="D273" s="156">
        <v>2025.0</v>
      </c>
      <c r="E273" s="43" t="s">
        <v>371</v>
      </c>
      <c r="F273" s="104">
        <v>45881.0</v>
      </c>
      <c r="G273" s="104">
        <v>45838.0</v>
      </c>
      <c r="H273" s="165" t="s">
        <v>627</v>
      </c>
      <c r="J273" s="104">
        <v>45869.0</v>
      </c>
      <c r="K273" s="89">
        <v>-318979.0</v>
      </c>
      <c r="L273" s="71"/>
      <c r="M273" s="106" t="str">
        <f>IF(ISBLANK(K273), "", VLOOKUP(C273, 'Info Tipo de Cambio y REM'!$A$24:$B$35, 2, FALSE))</f>
        <v>#N/A</v>
      </c>
      <c r="N273" s="107" t="str">
        <f t="shared" si="1"/>
        <v/>
      </c>
    </row>
    <row r="274">
      <c r="A274" s="43" t="s">
        <v>228</v>
      </c>
      <c r="B274" s="43" t="str">
        <f>IF(A274="", "", IFERROR(VLOOKUP(A274, Clasificaciones!A:B, 2, FALSE), "DATO NO CARGADO"))</f>
        <v>Equipo</v>
      </c>
      <c r="C274" s="51" t="s">
        <v>155</v>
      </c>
      <c r="D274" s="156">
        <v>2025.0</v>
      </c>
      <c r="E274" s="43" t="s">
        <v>374</v>
      </c>
      <c r="F274" s="104"/>
      <c r="G274" s="104">
        <v>45838.0</v>
      </c>
      <c r="H274" s="202" t="s">
        <v>628</v>
      </c>
      <c r="I274" s="203" t="s">
        <v>629</v>
      </c>
      <c r="J274" s="104">
        <v>45845.0</v>
      </c>
      <c r="K274" s="112">
        <v>392090.0</v>
      </c>
      <c r="L274" s="71"/>
      <c r="M274" s="106" t="str">
        <f>IF(ISBLANK(K274), "", VLOOKUP(C274, 'Info Tipo de Cambio y REM'!$A$24:$B$35, 2, FALSE))</f>
        <v>#N/A</v>
      </c>
      <c r="N274" s="107" t="str">
        <f t="shared" si="1"/>
        <v/>
      </c>
    </row>
    <row r="275">
      <c r="A275" s="43" t="s">
        <v>214</v>
      </c>
      <c r="B275" s="43" t="str">
        <f>IF(A275="", "", IFERROR(VLOOKUP(A275, Clasificaciones!A:B, 2, FALSE), "DATO NO CARGADO"))</f>
        <v>Equipo</v>
      </c>
      <c r="C275" s="51" t="s">
        <v>155</v>
      </c>
      <c r="D275" s="156">
        <v>2025.0</v>
      </c>
      <c r="E275" s="43" t="s">
        <v>374</v>
      </c>
      <c r="F275" s="104"/>
      <c r="G275" s="104">
        <v>45838.0</v>
      </c>
      <c r="H275" s="203" t="s">
        <v>566</v>
      </c>
      <c r="I275" s="203" t="s">
        <v>630</v>
      </c>
      <c r="J275" s="104">
        <v>45845.0</v>
      </c>
      <c r="K275" s="112">
        <v>60123.0</v>
      </c>
      <c r="L275" s="71"/>
      <c r="M275" s="106" t="str">
        <f>IF(ISBLANK(K275), "", VLOOKUP(C275, 'Info Tipo de Cambio y REM'!$A$24:$B$35, 2, FALSE))</f>
        <v>#N/A</v>
      </c>
      <c r="N275" s="107" t="str">
        <f t="shared" si="1"/>
        <v/>
      </c>
    </row>
    <row r="276">
      <c r="A276" s="43" t="s">
        <v>205</v>
      </c>
      <c r="B276" s="43" t="str">
        <f>IF(A276="", "", IFERROR(VLOOKUP(A276, Clasificaciones!A:B, 2, FALSE), "DATO NO CARGADO"))</f>
        <v>Equipo</v>
      </c>
      <c r="C276" s="51" t="s">
        <v>155</v>
      </c>
      <c r="D276" s="156">
        <v>2025.0</v>
      </c>
      <c r="E276" s="43" t="s">
        <v>374</v>
      </c>
      <c r="F276" s="104"/>
      <c r="G276" s="104">
        <v>45838.0</v>
      </c>
      <c r="H276" s="203" t="s">
        <v>379</v>
      </c>
      <c r="I276" s="203" t="s">
        <v>631</v>
      </c>
      <c r="J276" s="104">
        <v>45845.0</v>
      </c>
      <c r="K276" s="112">
        <v>401555.0</v>
      </c>
      <c r="L276" s="71"/>
      <c r="M276" s="106" t="str">
        <f>IF(ISBLANK(K276), "", VLOOKUP(C276, 'Info Tipo de Cambio y REM'!$A$24:$B$35, 2, FALSE))</f>
        <v>#N/A</v>
      </c>
      <c r="N276" s="107" t="str">
        <f t="shared" si="1"/>
        <v/>
      </c>
    </row>
    <row r="277">
      <c r="A277" s="43" t="s">
        <v>200</v>
      </c>
      <c r="B277" s="43" t="str">
        <f>IF(A277="", "", IFERROR(VLOOKUP(A277, Clasificaciones!A:B, 2, FALSE), "DATO NO CARGADO"))</f>
        <v>Equipo</v>
      </c>
      <c r="C277" s="51" t="s">
        <v>155</v>
      </c>
      <c r="D277" s="156">
        <v>2025.0</v>
      </c>
      <c r="E277" s="43" t="s">
        <v>374</v>
      </c>
      <c r="F277" s="104"/>
      <c r="G277" s="104">
        <v>45838.0</v>
      </c>
      <c r="H277" s="203" t="s">
        <v>381</v>
      </c>
      <c r="I277" s="203" t="s">
        <v>632</v>
      </c>
      <c r="J277" s="104">
        <v>45845.0</v>
      </c>
      <c r="K277" s="112">
        <v>338952.0</v>
      </c>
      <c r="L277" s="71"/>
      <c r="M277" s="106" t="str">
        <f>IF(ISBLANK(K277), "", VLOOKUP(C277, 'Info Tipo de Cambio y REM'!$A$24:$B$35, 2, FALSE))</f>
        <v>#N/A</v>
      </c>
      <c r="N277" s="107" t="str">
        <f t="shared" si="1"/>
        <v/>
      </c>
    </row>
    <row r="278">
      <c r="A278" s="43" t="s">
        <v>226</v>
      </c>
      <c r="B278" s="43" t="str">
        <f>IF(A278="", "", IFERROR(VLOOKUP(A278, Clasificaciones!A:B, 2, FALSE), "DATO NO CARGADO"))</f>
        <v>Administración Finanzas</v>
      </c>
      <c r="C278" s="51" t="s">
        <v>155</v>
      </c>
      <c r="D278" s="156">
        <v>2025.0</v>
      </c>
      <c r="E278" s="43" t="s">
        <v>374</v>
      </c>
      <c r="F278" s="104"/>
      <c r="G278" s="104">
        <v>45838.0</v>
      </c>
      <c r="H278" s="203" t="s">
        <v>383</v>
      </c>
      <c r="I278" s="203" t="s">
        <v>633</v>
      </c>
      <c r="J278" s="104">
        <v>45848.0</v>
      </c>
      <c r="K278" s="112">
        <v>537700.0</v>
      </c>
      <c r="L278" s="71"/>
      <c r="M278" s="106" t="str">
        <f>IF(ISBLANK(K278), "", VLOOKUP(C278, 'Info Tipo de Cambio y REM'!$A$24:$B$35, 2, FALSE))</f>
        <v>#N/A</v>
      </c>
      <c r="N278" s="107" t="str">
        <f t="shared" si="1"/>
        <v/>
      </c>
    </row>
    <row r="279">
      <c r="A279" s="43" t="s">
        <v>120</v>
      </c>
      <c r="B279" s="43" t="str">
        <f>IF(A279="", "", IFERROR(VLOOKUP(A279, Clasificaciones!A:B, 2, FALSE), "DATO NO CARGADO"))</f>
        <v>Equipo</v>
      </c>
      <c r="C279" s="51" t="s">
        <v>155</v>
      </c>
      <c r="D279" s="156">
        <v>2025.0</v>
      </c>
      <c r="E279" s="43" t="s">
        <v>374</v>
      </c>
      <c r="F279" s="104"/>
      <c r="G279" s="104">
        <v>45838.0</v>
      </c>
      <c r="H279" s="203" t="s">
        <v>387</v>
      </c>
      <c r="I279" s="203" t="s">
        <v>573</v>
      </c>
      <c r="J279" s="104">
        <v>45845.0</v>
      </c>
      <c r="K279" s="112">
        <v>281174.0</v>
      </c>
      <c r="L279" s="71"/>
      <c r="M279" s="106" t="str">
        <f>IF(ISBLANK(K279), "", VLOOKUP(C279, 'Info Tipo de Cambio y REM'!$A$24:$B$35, 2, FALSE))</f>
        <v>#N/A</v>
      </c>
      <c r="N279" s="107" t="str">
        <f t="shared" si="1"/>
        <v/>
      </c>
    </row>
    <row r="280">
      <c r="A280" s="43" t="s">
        <v>207</v>
      </c>
      <c r="B280" s="43" t="str">
        <f>IF(A280="", "", IFERROR(VLOOKUP(A280, Clasificaciones!A:B, 2, FALSE), "DATO NO CARGADO"))</f>
        <v>Equipo</v>
      </c>
      <c r="C280" s="51" t="s">
        <v>155</v>
      </c>
      <c r="D280" s="156">
        <v>2025.0</v>
      </c>
      <c r="E280" s="43" t="s">
        <v>374</v>
      </c>
      <c r="F280" s="104"/>
      <c r="G280" s="104">
        <v>45838.0</v>
      </c>
      <c r="H280" s="203" t="s">
        <v>389</v>
      </c>
      <c r="I280" s="203" t="s">
        <v>634</v>
      </c>
      <c r="J280" s="104">
        <v>45845.0</v>
      </c>
      <c r="K280" s="112">
        <v>245242.0</v>
      </c>
      <c r="L280" s="71"/>
      <c r="M280" s="106" t="str">
        <f>IF(ISBLANK(K280), "", VLOOKUP(C280, 'Info Tipo de Cambio y REM'!$A$24:$B$35, 2, FALSE))</f>
        <v>#N/A</v>
      </c>
      <c r="N280" s="107" t="str">
        <f t="shared" si="1"/>
        <v/>
      </c>
    </row>
    <row r="281">
      <c r="A281" s="43" t="s">
        <v>87</v>
      </c>
      <c r="B281" s="43" t="str">
        <f>IF(A281="", "", IFERROR(VLOOKUP(A281, Clasificaciones!A:B, 2, FALSE), "DATO NO CARGADO"))</f>
        <v>Equipo</v>
      </c>
      <c r="C281" s="51" t="s">
        <v>155</v>
      </c>
      <c r="D281" s="156">
        <v>2025.0</v>
      </c>
      <c r="E281" s="43" t="s">
        <v>374</v>
      </c>
      <c r="F281" s="104"/>
      <c r="G281" s="104">
        <v>45838.0</v>
      </c>
      <c r="H281" s="203" t="s">
        <v>391</v>
      </c>
      <c r="I281" s="203" t="s">
        <v>579</v>
      </c>
      <c r="J281" s="104">
        <v>45848.0</v>
      </c>
      <c r="K281" s="112">
        <v>671880.0</v>
      </c>
      <c r="L281" s="71"/>
      <c r="M281" s="106" t="str">
        <f>IF(ISBLANK(K281), "", VLOOKUP(C281, 'Info Tipo de Cambio y REM'!$A$24:$B$35, 2, FALSE))</f>
        <v>#N/A</v>
      </c>
      <c r="N281" s="107" t="str">
        <f t="shared" si="1"/>
        <v/>
      </c>
    </row>
    <row r="282">
      <c r="A282" s="43" t="s">
        <v>210</v>
      </c>
      <c r="B282" s="43" t="str">
        <f>IF(A282="", "", IFERROR(VLOOKUP(A282, Clasificaciones!A:B, 2, FALSE), "DATO NO CARGADO"))</f>
        <v>Equipo</v>
      </c>
      <c r="C282" s="51" t="s">
        <v>155</v>
      </c>
      <c r="D282" s="156">
        <v>2025.0</v>
      </c>
      <c r="E282" s="43" t="s">
        <v>374</v>
      </c>
      <c r="F282" s="104"/>
      <c r="G282" s="104">
        <v>45838.0</v>
      </c>
      <c r="H282" s="203" t="s">
        <v>397</v>
      </c>
      <c r="I282" s="203" t="s">
        <v>635</v>
      </c>
      <c r="J282" s="104">
        <v>45848.0</v>
      </c>
      <c r="K282" s="112">
        <v>201120.0</v>
      </c>
      <c r="L282" s="71"/>
      <c r="M282" s="106" t="str">
        <f>IF(ISBLANK(K282), "", VLOOKUP(C282, 'Info Tipo de Cambio y REM'!$A$24:$B$35, 2, FALSE))</f>
        <v>#N/A</v>
      </c>
      <c r="N282" s="107" t="str">
        <f t="shared" si="1"/>
        <v/>
      </c>
    </row>
    <row r="283">
      <c r="A283" s="43" t="s">
        <v>216</v>
      </c>
      <c r="B283" s="43" t="str">
        <f>IF(A283="", "", IFERROR(VLOOKUP(A283, Clasificaciones!A:B, 2, FALSE), "DATO NO CARGADO"))</f>
        <v>Equipo</v>
      </c>
      <c r="C283" s="51" t="s">
        <v>155</v>
      </c>
      <c r="D283" s="156">
        <v>2025.0</v>
      </c>
      <c r="E283" s="43" t="s">
        <v>374</v>
      </c>
      <c r="F283" s="104"/>
      <c r="G283" s="104">
        <v>45838.0</v>
      </c>
      <c r="H283" s="203" t="s">
        <v>401</v>
      </c>
      <c r="I283" s="203" t="s">
        <v>636</v>
      </c>
      <c r="J283" s="104">
        <v>45848.0</v>
      </c>
      <c r="K283" s="112">
        <v>394178.0</v>
      </c>
      <c r="L283" s="71"/>
      <c r="M283" s="106" t="str">
        <f>IF(ISBLANK(K283), "", VLOOKUP(C283, 'Info Tipo de Cambio y REM'!$A$24:$B$35, 2, FALSE))</f>
        <v>#N/A</v>
      </c>
      <c r="N283" s="107" t="str">
        <f t="shared" si="1"/>
        <v/>
      </c>
    </row>
    <row r="284">
      <c r="A284" s="43" t="s">
        <v>194</v>
      </c>
      <c r="B284" s="43" t="str">
        <f>IF(A284="", "", IFERROR(VLOOKUP(A284, Clasificaciones!A:B, 2, FALSE), "DATO NO CARGADO"))</f>
        <v>Equipo</v>
      </c>
      <c r="C284" s="51" t="s">
        <v>155</v>
      </c>
      <c r="D284" s="156">
        <v>2025.0</v>
      </c>
      <c r="E284" s="43" t="s">
        <v>374</v>
      </c>
      <c r="F284" s="104"/>
      <c r="G284" s="104">
        <v>45838.0</v>
      </c>
      <c r="H284" s="203" t="s">
        <v>403</v>
      </c>
      <c r="I284" s="203" t="s">
        <v>637</v>
      </c>
      <c r="J284" s="104">
        <v>45845.0</v>
      </c>
      <c r="K284" s="112">
        <v>251466.0</v>
      </c>
      <c r="L284" s="71"/>
      <c r="M284" s="106" t="str">
        <f>IF(ISBLANK(K284), "", VLOOKUP(C284, 'Info Tipo de Cambio y REM'!$A$24:$B$35, 2, FALSE))</f>
        <v>#N/A</v>
      </c>
      <c r="N284" s="107" t="str">
        <f t="shared" si="1"/>
        <v/>
      </c>
    </row>
    <row r="285">
      <c r="A285" s="43" t="s">
        <v>139</v>
      </c>
      <c r="B285" s="43" t="str">
        <f>IF(A285="", "", IFERROR(VLOOKUP(A285, Clasificaciones!A:B, 2, FALSE), "DATO NO CARGADO"))</f>
        <v>People</v>
      </c>
      <c r="C285" s="51" t="s">
        <v>155</v>
      </c>
      <c r="D285" s="156">
        <v>2025.0</v>
      </c>
      <c r="E285" s="43" t="s">
        <v>374</v>
      </c>
      <c r="F285" s="104"/>
      <c r="G285" s="104">
        <v>45838.0</v>
      </c>
      <c r="H285" s="203" t="s">
        <v>413</v>
      </c>
      <c r="I285" s="203" t="s">
        <v>386</v>
      </c>
      <c r="J285" s="104">
        <v>45848.0</v>
      </c>
      <c r="K285" s="112">
        <v>22829.2</v>
      </c>
      <c r="L285" s="71"/>
      <c r="M285" s="106" t="str">
        <f>IF(ISBLANK(K285), "", VLOOKUP(C285, 'Info Tipo de Cambio y REM'!$A$24:$B$35, 2, FALSE))</f>
        <v>#N/A</v>
      </c>
      <c r="N285" s="107" t="str">
        <f t="shared" si="1"/>
        <v/>
      </c>
    </row>
    <row r="286">
      <c r="A286" s="43" t="s">
        <v>230</v>
      </c>
      <c r="B286" s="43" t="str">
        <f>IF(A286="", "", IFERROR(VLOOKUP(A286, Clasificaciones!A:B, 2, FALSE), "DATO NO CARGADO"))</f>
        <v>Equipo</v>
      </c>
      <c r="C286" s="51" t="s">
        <v>155</v>
      </c>
      <c r="D286" s="156">
        <v>2025.0</v>
      </c>
      <c r="E286" s="43" t="s">
        <v>374</v>
      </c>
      <c r="F286" s="104"/>
      <c r="G286" s="104">
        <v>45838.0</v>
      </c>
      <c r="H286" s="203" t="s">
        <v>577</v>
      </c>
      <c r="I286" s="203" t="s">
        <v>638</v>
      </c>
      <c r="J286" s="104">
        <v>45845.0</v>
      </c>
      <c r="K286" s="112">
        <v>183868.0</v>
      </c>
      <c r="L286" s="71"/>
      <c r="M286" s="106" t="str">
        <f>IF(ISBLANK(K286), "", VLOOKUP(C286, 'Info Tipo de Cambio y REM'!$A$24:$B$35, 2, FALSE))</f>
        <v>#N/A</v>
      </c>
      <c r="N286" s="107" t="str">
        <f t="shared" si="1"/>
        <v/>
      </c>
    </row>
    <row r="287">
      <c r="A287" s="43" t="s">
        <v>229</v>
      </c>
      <c r="B287" s="43" t="str">
        <f>IF(A287="", "", IFERROR(VLOOKUP(A287, Clasificaciones!A:B, 2, FALSE), "DATO NO CARGADO"))</f>
        <v>Equipo</v>
      </c>
      <c r="C287" s="51" t="s">
        <v>155</v>
      </c>
      <c r="D287" s="156">
        <v>2025.0</v>
      </c>
      <c r="E287" s="43" t="s">
        <v>374</v>
      </c>
      <c r="F287" s="104"/>
      <c r="G287" s="104">
        <v>45838.0</v>
      </c>
      <c r="H287" s="203" t="s">
        <v>504</v>
      </c>
      <c r="I287" s="203" t="s">
        <v>639</v>
      </c>
      <c r="J287" s="104">
        <v>45848.0</v>
      </c>
      <c r="K287" s="112">
        <v>408375.0</v>
      </c>
      <c r="L287" s="71"/>
      <c r="M287" s="106" t="str">
        <f>IF(ISBLANK(K287), "", VLOOKUP(C287, 'Info Tipo de Cambio y REM'!$A$24:$B$35, 2, FALSE))</f>
        <v>#N/A</v>
      </c>
      <c r="N287" s="107" t="str">
        <f t="shared" si="1"/>
        <v/>
      </c>
    </row>
    <row r="288">
      <c r="A288" s="43" t="s">
        <v>217</v>
      </c>
      <c r="B288" s="43" t="str">
        <f>IF(A288="", "", IFERROR(VLOOKUP(A288, Clasificaciones!A:B, 2, FALSE), "DATO NO CARGADO"))</f>
        <v>Equipo</v>
      </c>
      <c r="C288" s="51" t="s">
        <v>155</v>
      </c>
      <c r="D288" s="156">
        <v>2025.0</v>
      </c>
      <c r="E288" s="43" t="s">
        <v>374</v>
      </c>
      <c r="F288" s="104"/>
      <c r="G288" s="104">
        <v>45838.0</v>
      </c>
      <c r="H288" s="203" t="s">
        <v>580</v>
      </c>
      <c r="I288" s="203" t="s">
        <v>640</v>
      </c>
      <c r="J288" s="104">
        <v>45845.0</v>
      </c>
      <c r="K288" s="112">
        <v>164136.0</v>
      </c>
      <c r="L288" s="71"/>
      <c r="M288" s="106" t="str">
        <f>IF(ISBLANK(K288), "", VLOOKUP(C288, 'Info Tipo de Cambio y REM'!$A$24:$B$35, 2, FALSE))</f>
        <v>#N/A</v>
      </c>
      <c r="N288" s="107" t="str">
        <f t="shared" si="1"/>
        <v/>
      </c>
    </row>
    <row r="289">
      <c r="A289" s="43" t="s">
        <v>221</v>
      </c>
      <c r="B289" s="43" t="str">
        <f>IF(A289="", "", IFERROR(VLOOKUP(A289, Clasificaciones!A:B, 2, FALSE), "DATO NO CARGADO"))</f>
        <v>Equipo</v>
      </c>
      <c r="C289" s="51" t="s">
        <v>155</v>
      </c>
      <c r="D289" s="156">
        <v>2025.0</v>
      </c>
      <c r="E289" s="43" t="s">
        <v>374</v>
      </c>
      <c r="F289" s="104"/>
      <c r="G289" s="104">
        <v>45838.0</v>
      </c>
      <c r="H289" s="203" t="s">
        <v>407</v>
      </c>
      <c r="I289" s="203" t="s">
        <v>641</v>
      </c>
      <c r="J289" s="104">
        <v>45845.0</v>
      </c>
      <c r="K289" s="112">
        <v>250356.0</v>
      </c>
      <c r="L289" s="71"/>
      <c r="M289" s="106" t="str">
        <f>IF(ISBLANK(K289), "", VLOOKUP(C289, 'Info Tipo de Cambio y REM'!$A$24:$B$35, 2, FALSE))</f>
        <v>#N/A</v>
      </c>
      <c r="N289" s="107" t="str">
        <f t="shared" si="1"/>
        <v/>
      </c>
    </row>
    <row r="290">
      <c r="A290" s="43" t="s">
        <v>203</v>
      </c>
      <c r="B290" s="43" t="str">
        <f>IF(A290="", "", IFERROR(VLOOKUP(A290, Clasificaciones!A:B, 2, FALSE), "DATO NO CARGADO"))</f>
        <v>Equipo</v>
      </c>
      <c r="C290" s="51" t="s">
        <v>155</v>
      </c>
      <c r="D290" s="156">
        <v>2025.0</v>
      </c>
      <c r="E290" s="43" t="s">
        <v>374</v>
      </c>
      <c r="F290" s="104"/>
      <c r="G290" s="104">
        <v>45838.0</v>
      </c>
      <c r="H290" s="203" t="s">
        <v>409</v>
      </c>
      <c r="I290" s="203" t="s">
        <v>642</v>
      </c>
      <c r="J290" s="104">
        <v>45848.0</v>
      </c>
      <c r="K290" s="204">
        <v>750055.0</v>
      </c>
      <c r="L290" s="71"/>
      <c r="M290" s="106" t="str">
        <f>IF(ISBLANK(K290), "", VLOOKUP(C290, 'Info Tipo de Cambio y REM'!$A$24:$B$35, 2, FALSE))</f>
        <v>#N/A</v>
      </c>
      <c r="N290" s="107" t="str">
        <f t="shared" si="1"/>
        <v/>
      </c>
    </row>
    <row r="291">
      <c r="A291" s="43" t="s">
        <v>197</v>
      </c>
      <c r="B291" s="43" t="str">
        <f>IF(A291="", "", IFERROR(VLOOKUP(A291, Clasificaciones!A:B, 2, FALSE), "DATO NO CARGADO"))</f>
        <v>Equipo</v>
      </c>
      <c r="C291" s="51" t="s">
        <v>155</v>
      </c>
      <c r="D291" s="156">
        <v>2025.0</v>
      </c>
      <c r="E291" s="43" t="s">
        <v>374</v>
      </c>
      <c r="F291" s="104"/>
      <c r="G291" s="104">
        <v>45838.0</v>
      </c>
      <c r="H291" s="203" t="s">
        <v>411</v>
      </c>
      <c r="I291" s="203" t="s">
        <v>643</v>
      </c>
      <c r="J291" s="104">
        <v>45845.0</v>
      </c>
      <c r="K291" s="204">
        <v>232403.0</v>
      </c>
      <c r="L291" s="71"/>
      <c r="M291" s="106" t="str">
        <f>IF(ISBLANK(K291), "", VLOOKUP(C291, 'Info Tipo de Cambio y REM'!$A$24:$B$35, 2, FALSE))</f>
        <v>#N/A</v>
      </c>
      <c r="N291" s="107" t="str">
        <f t="shared" si="1"/>
        <v/>
      </c>
    </row>
    <row r="292">
      <c r="A292" s="43" t="s">
        <v>212</v>
      </c>
      <c r="B292" s="43" t="str">
        <f>IF(A292="", "", IFERROR(VLOOKUP(A292, Clasificaciones!A:B, 2, FALSE), "DATO NO CARGADO"))</f>
        <v>Equipo</v>
      </c>
      <c r="C292" s="51" t="s">
        <v>155</v>
      </c>
      <c r="D292" s="156">
        <v>2025.0</v>
      </c>
      <c r="E292" s="43" t="s">
        <v>374</v>
      </c>
      <c r="F292" s="104"/>
      <c r="G292" s="104">
        <v>45838.0</v>
      </c>
      <c r="H292" s="203" t="s">
        <v>377</v>
      </c>
      <c r="I292" s="203" t="s">
        <v>509</v>
      </c>
      <c r="J292" s="104">
        <v>45845.0</v>
      </c>
      <c r="K292" s="205">
        <v>284750.0</v>
      </c>
      <c r="L292" s="71"/>
      <c r="M292" s="106" t="str">
        <f>IF(ISBLANK(K292), "", VLOOKUP(C292, 'Info Tipo de Cambio y REM'!$A$24:$B$35, 2, FALSE))</f>
        <v>#N/A</v>
      </c>
      <c r="N292" s="107" t="str">
        <f t="shared" si="1"/>
        <v/>
      </c>
    </row>
    <row r="293">
      <c r="A293" s="92" t="s">
        <v>219</v>
      </c>
      <c r="B293" s="43" t="str">
        <f>IF(A293="", "", IFERROR(VLOOKUP(A293, Clasificaciones!A:B, 2, FALSE), "DATO NO CARGADO"))</f>
        <v>Gastos Varios</v>
      </c>
      <c r="C293" s="51" t="s">
        <v>155</v>
      </c>
      <c r="D293" s="92">
        <v>2025.0</v>
      </c>
      <c r="E293" s="43" t="s">
        <v>374</v>
      </c>
      <c r="F293" s="104"/>
      <c r="G293" s="104">
        <v>45838.0</v>
      </c>
      <c r="H293" s="206" t="s">
        <v>575</v>
      </c>
      <c r="I293" s="207"/>
      <c r="J293" s="208">
        <v>45848.0</v>
      </c>
      <c r="K293" s="209">
        <v>802040.0</v>
      </c>
      <c r="L293" s="210"/>
      <c r="M293" s="106" t="str">
        <f>IF(ISBLANK(K293), "", VLOOKUP(C293, 'Info Tipo de Cambio y REM'!$A$24:$B$35, 2, FALSE))</f>
        <v>#N/A</v>
      </c>
      <c r="N293" s="181" t="str">
        <f t="shared" si="1"/>
        <v/>
      </c>
      <c r="O293" s="182"/>
      <c r="P293" s="182"/>
      <c r="Q293" s="182"/>
      <c r="R293" s="182"/>
      <c r="S293" s="182"/>
      <c r="T293" s="182"/>
      <c r="U293" s="182"/>
      <c r="V293" s="182"/>
      <c r="W293" s="182"/>
      <c r="X293" s="182"/>
      <c r="Y293" s="182"/>
      <c r="Z293" s="182"/>
      <c r="AA293" s="182"/>
      <c r="AB293" s="182"/>
      <c r="AC293" s="182"/>
      <c r="AD293" s="182"/>
      <c r="AE293" s="182"/>
      <c r="AF293" s="182"/>
    </row>
    <row r="294">
      <c r="A294" s="43" t="s">
        <v>218</v>
      </c>
      <c r="B294" s="43" t="str">
        <f>IF(A294="", "", IFERROR(VLOOKUP(A294, Clasificaciones!A:B, 2, FALSE), "DATO NO CARGADO"))</f>
        <v>Equipo</v>
      </c>
      <c r="C294" s="51" t="s">
        <v>155</v>
      </c>
      <c r="D294" s="156">
        <v>2025.0</v>
      </c>
      <c r="E294" s="43" t="s">
        <v>374</v>
      </c>
      <c r="F294" s="104"/>
      <c r="G294" s="104">
        <v>45838.0</v>
      </c>
      <c r="H294" s="211" t="s">
        <v>644</v>
      </c>
      <c r="I294" s="202" t="s">
        <v>645</v>
      </c>
      <c r="J294" s="104">
        <v>45848.0</v>
      </c>
      <c r="K294" s="212">
        <v>674500.0</v>
      </c>
      <c r="L294" s="71"/>
      <c r="M294" s="106" t="str">
        <f>IF(ISBLANK(K294), "", VLOOKUP(C294, 'Info Tipo de Cambio y REM'!$A$24:$B$35, 2, FALSE))</f>
        <v>#N/A</v>
      </c>
      <c r="N294" s="107" t="str">
        <f t="shared" si="1"/>
        <v/>
      </c>
    </row>
    <row r="295">
      <c r="A295" s="43" t="s">
        <v>127</v>
      </c>
      <c r="B295" s="43" t="str">
        <f>IF(A295="", "", IFERROR(VLOOKUP(A295, Clasificaciones!A:B, 2, FALSE), "DATO NO CARGADO"))</f>
        <v>Board</v>
      </c>
      <c r="C295" s="51" t="s">
        <v>155</v>
      </c>
      <c r="D295" s="156">
        <v>2025.0</v>
      </c>
      <c r="E295" s="43" t="s">
        <v>374</v>
      </c>
      <c r="F295" s="104"/>
      <c r="G295" s="104">
        <v>45838.0</v>
      </c>
      <c r="H295" s="43" t="s">
        <v>646</v>
      </c>
      <c r="I295" s="202" t="s">
        <v>647</v>
      </c>
      <c r="J295" s="104">
        <v>45845.0</v>
      </c>
      <c r="K295" s="112">
        <v>515961.0</v>
      </c>
      <c r="L295" s="71"/>
      <c r="M295" s="106" t="str">
        <f>IF(ISBLANK(K295), "", VLOOKUP(C295, 'Info Tipo de Cambio y REM'!$A$24:$B$35, 2, FALSE))</f>
        <v>#N/A</v>
      </c>
      <c r="N295" s="107" t="str">
        <f t="shared" si="1"/>
        <v/>
      </c>
    </row>
    <row r="296">
      <c r="A296" s="43" t="s">
        <v>237</v>
      </c>
      <c r="B296" s="43" t="s">
        <v>170</v>
      </c>
      <c r="C296" s="51" t="s">
        <v>155</v>
      </c>
      <c r="D296" s="156">
        <v>2025.0</v>
      </c>
      <c r="E296" s="43" t="s">
        <v>371</v>
      </c>
      <c r="F296" s="104"/>
      <c r="G296" s="104"/>
      <c r="H296" s="165" t="s">
        <v>372</v>
      </c>
      <c r="I296" s="121" t="s">
        <v>373</v>
      </c>
      <c r="J296" s="104">
        <v>45413.0</v>
      </c>
      <c r="K296" s="123">
        <v>96000.0</v>
      </c>
      <c r="L296" s="89"/>
      <c r="M296" s="106" t="str">
        <f>IF(ISBLANK(K296), "", VLOOKUP(C296, 'Info Tipo de Cambio y REM'!$A$24:$B$35, 2, FALSE))</f>
        <v>#N/A</v>
      </c>
      <c r="N296" s="107" t="str">
        <f t="shared" si="1"/>
        <v/>
      </c>
    </row>
    <row r="297">
      <c r="A297" s="43" t="s">
        <v>169</v>
      </c>
      <c r="B297" s="43" t="s">
        <v>147</v>
      </c>
      <c r="C297" s="51" t="s">
        <v>155</v>
      </c>
      <c r="D297" s="156">
        <v>2025.0</v>
      </c>
      <c r="E297" s="43" t="s">
        <v>371</v>
      </c>
      <c r="F297" s="104"/>
      <c r="G297" s="104"/>
      <c r="H297" s="165" t="s">
        <v>417</v>
      </c>
      <c r="J297" s="104">
        <v>45536.0</v>
      </c>
      <c r="K297" s="123"/>
      <c r="L297" s="89">
        <v>4050.0</v>
      </c>
      <c r="M297" s="106" t="str">
        <f>IF(ISBLANK(K297), "", VLOOKUP(C297, 'Info Tipo de Cambio y REM'!$A$24:$B$35, 2, FALSE))</f>
        <v/>
      </c>
      <c r="N297" s="107">
        <f t="shared" si="1"/>
        <v>4050</v>
      </c>
    </row>
    <row r="298">
      <c r="A298" s="43" t="s">
        <v>187</v>
      </c>
      <c r="B298" s="43" t="s">
        <v>140</v>
      </c>
      <c r="C298" s="51" t="s">
        <v>155</v>
      </c>
      <c r="D298" s="156">
        <v>2025.0</v>
      </c>
      <c r="E298" s="43" t="s">
        <v>371</v>
      </c>
      <c r="F298" s="104"/>
      <c r="G298" s="104"/>
      <c r="H298" s="165" t="s">
        <v>418</v>
      </c>
      <c r="I298" s="121" t="s">
        <v>648</v>
      </c>
      <c r="J298" s="122">
        <v>45838.0</v>
      </c>
      <c r="L298" s="123">
        <v>600.0</v>
      </c>
      <c r="M298" s="106" t="str">
        <f>IF(ISBLANK(K298), "", VLOOKUP(C298, 'Info Tipo de Cambio y REM'!$A$24:$B$35, 2, FALSE))</f>
        <v/>
      </c>
      <c r="N298" s="107">
        <f t="shared" si="1"/>
        <v>600</v>
      </c>
    </row>
    <row r="299">
      <c r="A299" s="43" t="s">
        <v>164</v>
      </c>
      <c r="B299" s="43" t="s">
        <v>164</v>
      </c>
      <c r="C299" s="51" t="s">
        <v>155</v>
      </c>
      <c r="D299" s="156">
        <v>2025.0</v>
      </c>
      <c r="E299" s="43" t="s">
        <v>371</v>
      </c>
      <c r="F299" s="104"/>
      <c r="G299" s="104"/>
      <c r="H299" s="165" t="s">
        <v>561</v>
      </c>
      <c r="J299" s="104"/>
      <c r="K299" s="123">
        <v>49230.0</v>
      </c>
      <c r="L299" s="89"/>
      <c r="M299" s="106" t="str">
        <f>IF(ISBLANK(K299), "", VLOOKUP(C299, 'Info Tipo de Cambio y REM'!$A$24:$B$35, 2, FALSE))</f>
        <v>#N/A</v>
      </c>
      <c r="N299" s="107" t="str">
        <f t="shared" si="1"/>
        <v/>
      </c>
    </row>
    <row r="300">
      <c r="A300" s="43" t="s">
        <v>201</v>
      </c>
      <c r="B300" s="43" t="str">
        <f>IF(A300="", "", IFERROR(VLOOKUP(A300, Clasificaciones!A:B, 2, FALSE), "DATO NO CARGADO"))</f>
        <v>Intereses Oxean</v>
      </c>
      <c r="C300" s="51" t="s">
        <v>161</v>
      </c>
      <c r="D300" s="156">
        <v>2025.0</v>
      </c>
      <c r="E300" s="43" t="s">
        <v>371</v>
      </c>
      <c r="F300" s="104"/>
      <c r="G300" s="104"/>
      <c r="H300" s="165"/>
      <c r="J300" s="104"/>
      <c r="L300" s="89">
        <v>919.79</v>
      </c>
      <c r="M300" s="106" t="str">
        <f>IF(ISBLANK(K300), "", VLOOKUP(C300, 'Info Tipo de Cambio y REM'!$A$24:$B$35, 2, FALSE))</f>
        <v/>
      </c>
      <c r="N300" s="107">
        <f t="shared" si="1"/>
        <v>919.79</v>
      </c>
    </row>
    <row r="301">
      <c r="A301" s="43" t="s">
        <v>191</v>
      </c>
      <c r="B301" s="43" t="str">
        <f>IF(A301="", "", IFERROR(VLOOKUP(A301, Clasificaciones!A:B, 2, FALSE), "DATO NO CARGADO"))</f>
        <v>Tarjeta</v>
      </c>
      <c r="C301" s="51" t="s">
        <v>161</v>
      </c>
      <c r="D301" s="156">
        <v>2025.0</v>
      </c>
      <c r="E301" s="43" t="s">
        <v>374</v>
      </c>
      <c r="F301" s="104"/>
      <c r="G301" s="104">
        <v>45839.0</v>
      </c>
      <c r="H301" s="165" t="s">
        <v>649</v>
      </c>
      <c r="I301" s="165" t="s">
        <v>650</v>
      </c>
      <c r="J301" s="104">
        <v>45839.0</v>
      </c>
      <c r="L301" s="89">
        <v>14.82</v>
      </c>
      <c r="M301" s="106" t="str">
        <f>IF(ISBLANK(K301), "", VLOOKUP(C301, 'Info Tipo de Cambio y REM'!$A$24:$B$35, 2, FALSE))</f>
        <v/>
      </c>
      <c r="N301" s="107">
        <f t="shared" si="1"/>
        <v>14.82</v>
      </c>
    </row>
    <row r="302">
      <c r="A302" s="43" t="s">
        <v>191</v>
      </c>
      <c r="B302" s="43" t="str">
        <f>IF(A302="", "", IFERROR(VLOOKUP(A302, Clasificaciones!A:B, 2, FALSE), "DATO NO CARGADO"))</f>
        <v>Tarjeta</v>
      </c>
      <c r="C302" s="51" t="s">
        <v>161</v>
      </c>
      <c r="D302" s="156">
        <v>2025.0</v>
      </c>
      <c r="E302" s="43" t="s">
        <v>374</v>
      </c>
      <c r="F302" s="104"/>
      <c r="G302" s="104">
        <v>45840.0</v>
      </c>
      <c r="H302" s="165" t="s">
        <v>649</v>
      </c>
      <c r="I302" s="165" t="s">
        <v>651</v>
      </c>
      <c r="J302" s="104">
        <v>45840.0</v>
      </c>
      <c r="L302" s="89">
        <v>633.6</v>
      </c>
      <c r="M302" s="106" t="str">
        <f>IF(ISBLANK(K302), "", VLOOKUP(C302, 'Info Tipo de Cambio y REM'!$A$24:$B$35, 2, FALSE))</f>
        <v/>
      </c>
      <c r="N302" s="107">
        <f t="shared" si="1"/>
        <v>633.6</v>
      </c>
    </row>
    <row r="303">
      <c r="A303" s="43" t="s">
        <v>191</v>
      </c>
      <c r="B303" s="43" t="str">
        <f>IF(A303="", "", IFERROR(VLOOKUP(A303, Clasificaciones!A:B, 2, FALSE), "DATO NO CARGADO"))</f>
        <v>Tarjeta</v>
      </c>
      <c r="C303" s="51" t="s">
        <v>161</v>
      </c>
      <c r="D303" s="156">
        <v>2025.0</v>
      </c>
      <c r="E303" s="43" t="s">
        <v>374</v>
      </c>
      <c r="F303" s="104"/>
      <c r="G303" s="104">
        <v>45840.0</v>
      </c>
      <c r="H303" s="165" t="s">
        <v>649</v>
      </c>
      <c r="I303" s="165" t="s">
        <v>652</v>
      </c>
      <c r="J303" s="104">
        <v>45840.0</v>
      </c>
      <c r="L303" s="89">
        <v>6.91</v>
      </c>
      <c r="M303" s="106" t="str">
        <f>IF(ISBLANK(K303), "", VLOOKUP(C303, 'Info Tipo de Cambio y REM'!$A$24:$B$35, 2, FALSE))</f>
        <v/>
      </c>
      <c r="N303" s="107">
        <f t="shared" si="1"/>
        <v>6.91</v>
      </c>
    </row>
    <row r="304">
      <c r="A304" s="43" t="s">
        <v>191</v>
      </c>
      <c r="B304" s="43" t="str">
        <f>IF(A304="", "", IFERROR(VLOOKUP(A304, Clasificaciones!A:B, 2, FALSE), "DATO NO CARGADO"))</f>
        <v>Tarjeta</v>
      </c>
      <c r="C304" s="51" t="s">
        <v>161</v>
      </c>
      <c r="D304" s="156">
        <v>2025.0</v>
      </c>
      <c r="E304" s="43" t="s">
        <v>374</v>
      </c>
      <c r="F304" s="104"/>
      <c r="G304" s="104">
        <v>45840.0</v>
      </c>
      <c r="H304" s="165" t="s">
        <v>649</v>
      </c>
      <c r="I304" s="165" t="s">
        <v>653</v>
      </c>
      <c r="J304" s="104">
        <v>45840.0</v>
      </c>
      <c r="L304" s="89">
        <v>11.0</v>
      </c>
      <c r="M304" s="106" t="str">
        <f>IF(ISBLANK(K304), "", VLOOKUP(C304, 'Info Tipo de Cambio y REM'!$A$24:$B$35, 2, FALSE))</f>
        <v/>
      </c>
      <c r="N304" s="107">
        <f t="shared" si="1"/>
        <v>11</v>
      </c>
    </row>
    <row r="305">
      <c r="A305" s="43" t="s">
        <v>191</v>
      </c>
      <c r="B305" s="43" t="str">
        <f>IF(A305="", "", IFERROR(VLOOKUP(A305, Clasificaciones!A:B, 2, FALSE), "DATO NO CARGADO"))</f>
        <v>Tarjeta</v>
      </c>
      <c r="C305" s="51" t="s">
        <v>161</v>
      </c>
      <c r="D305" s="156">
        <v>2025.0</v>
      </c>
      <c r="E305" s="43" t="s">
        <v>374</v>
      </c>
      <c r="F305" s="104"/>
      <c r="G305" s="104">
        <v>45841.0</v>
      </c>
      <c r="H305" s="165" t="s">
        <v>649</v>
      </c>
      <c r="I305" s="165" t="s">
        <v>654</v>
      </c>
      <c r="J305" s="104">
        <v>45841.0</v>
      </c>
      <c r="L305" s="89">
        <v>14.19</v>
      </c>
      <c r="M305" s="106" t="str">
        <f>IF(ISBLANK(K305), "", VLOOKUP(C305, 'Info Tipo de Cambio y REM'!$A$24:$B$35, 2, FALSE))</f>
        <v/>
      </c>
      <c r="N305" s="107">
        <f t="shared" si="1"/>
        <v>14.19</v>
      </c>
    </row>
    <row r="306">
      <c r="A306" s="43" t="s">
        <v>191</v>
      </c>
      <c r="B306" s="43" t="str">
        <f>IF(A306="", "", IFERROR(VLOOKUP(A306, Clasificaciones!A:B, 2, FALSE), "DATO NO CARGADO"))</f>
        <v>Tarjeta</v>
      </c>
      <c r="C306" s="51" t="s">
        <v>161</v>
      </c>
      <c r="D306" s="156">
        <v>2025.0</v>
      </c>
      <c r="E306" s="43" t="s">
        <v>374</v>
      </c>
      <c r="F306" s="104"/>
      <c r="G306" s="104">
        <v>45841.0</v>
      </c>
      <c r="H306" s="165" t="s">
        <v>649</v>
      </c>
      <c r="I306" s="165" t="s">
        <v>655</v>
      </c>
      <c r="J306" s="104">
        <v>45841.0</v>
      </c>
      <c r="L306" s="89">
        <v>507.4</v>
      </c>
      <c r="M306" s="106" t="str">
        <f>IF(ISBLANK(K306), "", VLOOKUP(C306, 'Info Tipo de Cambio y REM'!$A$24:$B$35, 2, FALSE))</f>
        <v/>
      </c>
      <c r="N306" s="107">
        <f t="shared" si="1"/>
        <v>507.4</v>
      </c>
    </row>
    <row r="307">
      <c r="A307" s="43" t="s">
        <v>191</v>
      </c>
      <c r="B307" s="43" t="str">
        <f>IF(A307="", "", IFERROR(VLOOKUP(A307, Clasificaciones!A:B, 2, FALSE), "DATO NO CARGADO"))</f>
        <v>Tarjeta</v>
      </c>
      <c r="C307" s="51" t="s">
        <v>161</v>
      </c>
      <c r="D307" s="156">
        <v>2025.0</v>
      </c>
      <c r="E307" s="43" t="s">
        <v>374</v>
      </c>
      <c r="F307" s="122"/>
      <c r="G307" s="122">
        <v>45845.0</v>
      </c>
      <c r="H307" s="165" t="s">
        <v>649</v>
      </c>
      <c r="I307" s="83" t="s">
        <v>656</v>
      </c>
      <c r="J307" s="213">
        <v>45845.0</v>
      </c>
      <c r="L307" s="214">
        <v>22.99</v>
      </c>
      <c r="M307" s="106" t="str">
        <f>IF(ISBLANK(K307), "", VLOOKUP(C307, 'Info Tipo de Cambio y REM'!$A$24:$B$35, 2, FALSE))</f>
        <v/>
      </c>
      <c r="N307" s="107">
        <f t="shared" si="1"/>
        <v>22.99</v>
      </c>
    </row>
    <row r="308">
      <c r="A308" s="43" t="s">
        <v>191</v>
      </c>
      <c r="B308" s="43" t="str">
        <f>IF(A308="", "", IFERROR(VLOOKUP(A308, Clasificaciones!A:B, 2, FALSE), "DATO NO CARGADO"))</f>
        <v>Tarjeta</v>
      </c>
      <c r="C308" s="51" t="s">
        <v>161</v>
      </c>
      <c r="D308" s="156">
        <v>2025.0</v>
      </c>
      <c r="E308" s="43" t="s">
        <v>374</v>
      </c>
      <c r="F308" s="122"/>
      <c r="G308" s="122">
        <v>45845.0</v>
      </c>
      <c r="H308" s="165" t="s">
        <v>649</v>
      </c>
      <c r="I308" s="83" t="s">
        <v>657</v>
      </c>
      <c r="J308" s="213">
        <v>45845.0</v>
      </c>
      <c r="L308" s="214">
        <v>20.0</v>
      </c>
      <c r="M308" s="106" t="str">
        <f>IF(ISBLANK(K308), "", VLOOKUP(C308, 'Info Tipo de Cambio y REM'!$A$24:$B$35, 2, FALSE))</f>
        <v/>
      </c>
      <c r="N308" s="107">
        <f t="shared" si="1"/>
        <v>20</v>
      </c>
    </row>
    <row r="309">
      <c r="A309" s="43" t="s">
        <v>191</v>
      </c>
      <c r="B309" s="43" t="str">
        <f>IF(A309="", "", IFERROR(VLOOKUP(A309, Clasificaciones!A:B, 2, FALSE), "DATO NO CARGADO"))</f>
        <v>Tarjeta</v>
      </c>
      <c r="C309" s="51" t="s">
        <v>161</v>
      </c>
      <c r="D309" s="156">
        <v>2025.0</v>
      </c>
      <c r="E309" s="43" t="s">
        <v>374</v>
      </c>
      <c r="F309" s="122"/>
      <c r="G309" s="122">
        <v>45845.0</v>
      </c>
      <c r="H309" s="165" t="s">
        <v>649</v>
      </c>
      <c r="I309" s="83" t="s">
        <v>658</v>
      </c>
      <c r="J309" s="213">
        <v>45845.0</v>
      </c>
      <c r="L309" s="214">
        <v>6.49</v>
      </c>
      <c r="M309" s="106" t="str">
        <f>IF(ISBLANK(K309), "", VLOOKUP(C309, 'Info Tipo de Cambio y REM'!$A$24:$B$35, 2, FALSE))</f>
        <v/>
      </c>
      <c r="N309" s="107">
        <f t="shared" si="1"/>
        <v>6.49</v>
      </c>
    </row>
    <row r="310">
      <c r="A310" s="43" t="s">
        <v>191</v>
      </c>
      <c r="B310" s="43" t="str">
        <f>IF(A310="", "", IFERROR(VLOOKUP(A310, Clasificaciones!A:B, 2, FALSE), "DATO NO CARGADO"))</f>
        <v>Tarjeta</v>
      </c>
      <c r="C310" s="51" t="s">
        <v>161</v>
      </c>
      <c r="D310" s="156">
        <v>2025.0</v>
      </c>
      <c r="E310" s="43" t="s">
        <v>374</v>
      </c>
      <c r="F310" s="122"/>
      <c r="G310" s="122">
        <v>45846.0</v>
      </c>
      <c r="H310" s="165" t="s">
        <v>649</v>
      </c>
      <c r="I310" s="83" t="s">
        <v>659</v>
      </c>
      <c r="J310" s="213">
        <v>45846.0</v>
      </c>
      <c r="L310" s="214">
        <v>29.0</v>
      </c>
      <c r="M310" s="106" t="str">
        <f>IF(ISBLANK(K310), "", VLOOKUP(C310, 'Info Tipo de Cambio y REM'!$A$24:$B$35, 2, FALSE))</f>
        <v/>
      </c>
      <c r="N310" s="107">
        <f t="shared" si="1"/>
        <v>29</v>
      </c>
    </row>
    <row r="311">
      <c r="A311" s="43" t="s">
        <v>191</v>
      </c>
      <c r="B311" s="43" t="str">
        <f>IF(A311="", "", IFERROR(VLOOKUP(A311, Clasificaciones!A:B, 2, FALSE), "DATO NO CARGADO"))</f>
        <v>Tarjeta</v>
      </c>
      <c r="C311" s="51" t="s">
        <v>161</v>
      </c>
      <c r="D311" s="156">
        <v>2025.0</v>
      </c>
      <c r="E311" s="43" t="s">
        <v>374</v>
      </c>
      <c r="F311" s="122"/>
      <c r="G311" s="122">
        <v>45848.0</v>
      </c>
      <c r="H311" s="165" t="s">
        <v>649</v>
      </c>
      <c r="I311" s="83" t="s">
        <v>660</v>
      </c>
      <c r="J311" s="213">
        <v>45848.0</v>
      </c>
      <c r="L311" s="214">
        <v>132.72</v>
      </c>
      <c r="M311" s="106" t="str">
        <f>IF(ISBLANK(K311), "", VLOOKUP(C311, 'Info Tipo de Cambio y REM'!$A$24:$B$35, 2, FALSE))</f>
        <v/>
      </c>
      <c r="N311" s="107">
        <f t="shared" si="1"/>
        <v>132.72</v>
      </c>
    </row>
    <row r="312">
      <c r="A312" s="43" t="s">
        <v>223</v>
      </c>
      <c r="B312" s="43" t="str">
        <f>IF(A312="", "", IFERROR(VLOOKUP(A312, Clasificaciones!A:B, 2, FALSE), "DATO NO CARGADO"))</f>
        <v>Otros Proveedores</v>
      </c>
      <c r="C312" s="51" t="s">
        <v>161</v>
      </c>
      <c r="D312" s="156">
        <v>2025.0</v>
      </c>
      <c r="E312" s="43" t="s">
        <v>374</v>
      </c>
      <c r="F312" s="104"/>
      <c r="G312" s="104">
        <v>45840.0</v>
      </c>
      <c r="H312" s="215" t="s">
        <v>661</v>
      </c>
      <c r="I312" s="63" t="s">
        <v>662</v>
      </c>
      <c r="J312" s="104">
        <v>45840.0</v>
      </c>
      <c r="K312" s="215">
        <v>143990.0</v>
      </c>
      <c r="L312" s="71"/>
      <c r="M312" s="106" t="str">
        <f>IF(ISBLANK(K312), "", VLOOKUP(C312, 'Info Tipo de Cambio y REM'!$A$24:$B$35, 2, FALSE))</f>
        <v>#N/A</v>
      </c>
      <c r="N312" s="107" t="str">
        <f t="shared" si="1"/>
        <v/>
      </c>
    </row>
    <row r="313">
      <c r="A313" s="43" t="s">
        <v>230</v>
      </c>
      <c r="B313" s="43" t="str">
        <f>IF(A313="", "", IFERROR(VLOOKUP(A313, Clasificaciones!A:B, 2, FALSE), "DATO NO CARGADO"))</f>
        <v>Equipo</v>
      </c>
      <c r="C313" s="51" t="s">
        <v>161</v>
      </c>
      <c r="D313" s="156">
        <v>2025.0</v>
      </c>
      <c r="E313" s="43" t="s">
        <v>374</v>
      </c>
      <c r="F313" s="216"/>
      <c r="G313" s="216">
        <v>45846.0</v>
      </c>
      <c r="H313" s="217" t="s">
        <v>663</v>
      </c>
      <c r="I313" s="217" t="s">
        <v>577</v>
      </c>
      <c r="J313" s="104">
        <v>45855.0</v>
      </c>
      <c r="K313" s="218">
        <v>72726.0</v>
      </c>
      <c r="L313" s="71"/>
      <c r="M313" s="106" t="str">
        <f>IF(ISBLANK(K313), "", VLOOKUP(C313, 'Info Tipo de Cambio y REM'!$A$24:$B$35, 2, FALSE))</f>
        <v>#N/A</v>
      </c>
      <c r="N313" s="107" t="str">
        <f t="shared" si="1"/>
        <v/>
      </c>
    </row>
    <row r="314">
      <c r="A314" s="43" t="s">
        <v>218</v>
      </c>
      <c r="B314" s="43" t="str">
        <f>IF(A314="", "", IFERROR(VLOOKUP(A314, Clasificaciones!A:B, 2, FALSE), "DATO NO CARGADO"))</f>
        <v>Equipo</v>
      </c>
      <c r="C314" s="51" t="s">
        <v>161</v>
      </c>
      <c r="D314" s="156">
        <v>2025.0</v>
      </c>
      <c r="E314" s="43" t="s">
        <v>374</v>
      </c>
      <c r="F314" s="104"/>
      <c r="G314" s="104">
        <v>45854.0</v>
      </c>
      <c r="H314" s="165" t="s">
        <v>664</v>
      </c>
      <c r="J314" s="104">
        <v>45854.0</v>
      </c>
      <c r="K314" s="89">
        <v>161500.0</v>
      </c>
      <c r="L314" s="71"/>
      <c r="M314" s="106" t="str">
        <f>IF(ISBLANK(K314), "", VLOOKUP(C314, 'Info Tipo de Cambio y REM'!$A$24:$B$35, 2, FALSE))</f>
        <v>#N/A</v>
      </c>
      <c r="N314" s="107" t="str">
        <f t="shared" si="1"/>
        <v/>
      </c>
    </row>
    <row r="315">
      <c r="A315" s="43" t="s">
        <v>191</v>
      </c>
      <c r="B315" s="43" t="str">
        <f>IF(A315="", "", IFERROR(VLOOKUP(A315, Clasificaciones!A:B, 2, FALSE), "DATO NO CARGADO"))</f>
        <v>Tarjeta</v>
      </c>
      <c r="C315" s="51" t="s">
        <v>161</v>
      </c>
      <c r="D315" s="156">
        <v>2025.0</v>
      </c>
      <c r="E315" s="43" t="s">
        <v>374</v>
      </c>
      <c r="F315" s="104"/>
      <c r="G315" s="104">
        <v>45852.0</v>
      </c>
      <c r="H315" s="83" t="s">
        <v>665</v>
      </c>
      <c r="J315" s="104">
        <v>45852.0</v>
      </c>
      <c r="L315" s="123">
        <v>20.0</v>
      </c>
      <c r="M315" s="106" t="str">
        <f>IF(ISBLANK(K315), "", VLOOKUP(C315, 'Info Tipo de Cambio y REM'!$A$24:$B$35, 2, FALSE))</f>
        <v/>
      </c>
      <c r="N315" s="107">
        <f t="shared" si="1"/>
        <v>20</v>
      </c>
    </row>
    <row r="316">
      <c r="A316" s="43" t="s">
        <v>191</v>
      </c>
      <c r="B316" s="43" t="str">
        <f>IF(A316="", "", IFERROR(VLOOKUP(A316, Clasificaciones!A:B, 2, FALSE), "DATO NO CARGADO"))</f>
        <v>Tarjeta</v>
      </c>
      <c r="C316" s="51" t="s">
        <v>161</v>
      </c>
      <c r="D316" s="156">
        <v>2025.0</v>
      </c>
      <c r="E316" s="43" t="s">
        <v>374</v>
      </c>
      <c r="F316" s="196"/>
      <c r="G316" s="196">
        <v>45856.0</v>
      </c>
      <c r="H316" s="83" t="s">
        <v>666</v>
      </c>
      <c r="J316" s="196">
        <v>45856.0</v>
      </c>
      <c r="L316" s="123">
        <v>5.0</v>
      </c>
      <c r="M316" s="106" t="str">
        <f>IF(ISBLANK(K316), "", VLOOKUP(C316, 'Info Tipo de Cambio y REM'!$A$24:$B$35, 2, FALSE))</f>
        <v/>
      </c>
      <c r="N316" s="107">
        <f t="shared" si="1"/>
        <v>5</v>
      </c>
    </row>
    <row r="317">
      <c r="A317" s="43" t="s">
        <v>191</v>
      </c>
      <c r="B317" s="43" t="str">
        <f>IF(A317="", "", IFERROR(VLOOKUP(A317, Clasificaciones!A:B, 2, FALSE), "DATO NO CARGADO"))</f>
        <v>Tarjeta</v>
      </c>
      <c r="C317" s="51" t="s">
        <v>161</v>
      </c>
      <c r="D317" s="156">
        <v>2025.0</v>
      </c>
      <c r="E317" s="43" t="s">
        <v>374</v>
      </c>
      <c r="F317" s="196"/>
      <c r="G317" s="196">
        <v>45859.0</v>
      </c>
      <c r="H317" s="83" t="s">
        <v>667</v>
      </c>
      <c r="J317" s="196">
        <v>45859.0</v>
      </c>
      <c r="L317" s="123">
        <v>22.52</v>
      </c>
      <c r="M317" s="106" t="str">
        <f>IF(ISBLANK(K317), "", VLOOKUP(C317, 'Info Tipo de Cambio y REM'!$A$24:$B$35, 2, FALSE))</f>
        <v/>
      </c>
      <c r="N317" s="107">
        <f t="shared" si="1"/>
        <v>22.52</v>
      </c>
    </row>
    <row r="318">
      <c r="A318" s="43" t="s">
        <v>191</v>
      </c>
      <c r="B318" s="43" t="str">
        <f>IF(A318="", "", IFERROR(VLOOKUP(A318, Clasificaciones!A:B, 2, FALSE), "DATO NO CARGADO"))</f>
        <v>Tarjeta</v>
      </c>
      <c r="C318" s="51" t="s">
        <v>161</v>
      </c>
      <c r="D318" s="156">
        <v>2025.0</v>
      </c>
      <c r="E318" s="43" t="s">
        <v>374</v>
      </c>
      <c r="F318" s="196"/>
      <c r="G318" s="196">
        <v>45860.0</v>
      </c>
      <c r="H318" s="83" t="s">
        <v>668</v>
      </c>
      <c r="J318" s="196">
        <v>45860.0</v>
      </c>
      <c r="L318" s="123">
        <v>45.0</v>
      </c>
      <c r="M318" s="106" t="str">
        <f>IF(ISBLANK(K318), "", VLOOKUP(C318, 'Info Tipo de Cambio y REM'!$A$24:$B$35, 2, FALSE))</f>
        <v/>
      </c>
      <c r="N318" s="107">
        <f t="shared" si="1"/>
        <v>45</v>
      </c>
    </row>
    <row r="319">
      <c r="A319" s="43" t="s">
        <v>191</v>
      </c>
      <c r="B319" s="43" t="str">
        <f>IF(A319="", "", IFERROR(VLOOKUP(A319, Clasificaciones!A:B, 2, FALSE), "DATO NO CARGADO"))</f>
        <v>Tarjeta</v>
      </c>
      <c r="C319" s="51" t="s">
        <v>161</v>
      </c>
      <c r="D319" s="156">
        <v>2025.0</v>
      </c>
      <c r="E319" s="43" t="s">
        <v>374</v>
      </c>
      <c r="F319" s="104"/>
      <c r="G319" s="104">
        <v>45861.0</v>
      </c>
      <c r="H319" s="83" t="s">
        <v>669</v>
      </c>
      <c r="J319" s="104">
        <v>45861.0</v>
      </c>
      <c r="L319" s="123">
        <v>29.99</v>
      </c>
      <c r="M319" s="106" t="str">
        <f>IF(ISBLANK(K319), "", VLOOKUP(C319, 'Info Tipo de Cambio y REM'!$A$24:$B$35, 2, FALSE))</f>
        <v/>
      </c>
      <c r="N319" s="107">
        <f t="shared" si="1"/>
        <v>29.99</v>
      </c>
    </row>
    <row r="320">
      <c r="A320" s="43" t="s">
        <v>191</v>
      </c>
      <c r="B320" s="43" t="str">
        <f>IF(A320="", "", IFERROR(VLOOKUP(A320, Clasificaciones!A:B, 2, FALSE), "DATO NO CARGADO"))</f>
        <v>Tarjeta</v>
      </c>
      <c r="C320" s="51" t="s">
        <v>161</v>
      </c>
      <c r="D320" s="156">
        <v>2025.0</v>
      </c>
      <c r="E320" s="43" t="s">
        <v>374</v>
      </c>
      <c r="F320" s="104"/>
      <c r="G320" s="104">
        <v>45863.0</v>
      </c>
      <c r="H320" s="83" t="s">
        <v>670</v>
      </c>
      <c r="J320" s="104">
        <v>45863.0</v>
      </c>
      <c r="L320" s="123">
        <v>502.07</v>
      </c>
      <c r="M320" s="106" t="str">
        <f>IF(ISBLANK(K320), "", VLOOKUP(C320, 'Info Tipo de Cambio y REM'!$A$24:$B$35, 2, FALSE))</f>
        <v/>
      </c>
      <c r="N320" s="107">
        <f t="shared" si="1"/>
        <v>502.07</v>
      </c>
    </row>
    <row r="321">
      <c r="A321" s="43" t="s">
        <v>194</v>
      </c>
      <c r="B321" s="43" t="s">
        <v>195</v>
      </c>
      <c r="C321" s="51" t="s">
        <v>161</v>
      </c>
      <c r="D321" s="156">
        <v>2025.0</v>
      </c>
      <c r="E321" s="43" t="s">
        <v>374</v>
      </c>
      <c r="F321" s="104"/>
      <c r="G321" s="104">
        <v>45856.0</v>
      </c>
      <c r="H321" s="165" t="s">
        <v>671</v>
      </c>
      <c r="J321" s="104">
        <v>45869.0</v>
      </c>
      <c r="K321" s="89">
        <v>142317.48</v>
      </c>
      <c r="L321" s="71"/>
      <c r="M321" s="106" t="str">
        <f>IF(ISBLANK(K321), "", VLOOKUP(C321, 'Info Tipo de Cambio y REM'!$A$24:$B$35, 2, FALSE))</f>
        <v>#N/A</v>
      </c>
      <c r="N321" s="107" t="str">
        <f t="shared" si="1"/>
        <v/>
      </c>
    </row>
    <row r="322">
      <c r="A322" s="219" t="s">
        <v>133</v>
      </c>
      <c r="B322" s="219" t="s">
        <v>195</v>
      </c>
      <c r="C322" s="220" t="s">
        <v>161</v>
      </c>
      <c r="D322" s="221">
        <v>2025.0</v>
      </c>
      <c r="E322" s="219" t="s">
        <v>374</v>
      </c>
      <c r="F322" s="222"/>
      <c r="G322" s="222">
        <v>45856.0</v>
      </c>
      <c r="H322" s="223" t="s">
        <v>672</v>
      </c>
      <c r="I322" s="219" t="s">
        <v>589</v>
      </c>
      <c r="J322" s="222">
        <v>45869.0</v>
      </c>
      <c r="K322" s="224">
        <v>221400.0</v>
      </c>
      <c r="L322" s="225"/>
      <c r="M322" s="226" t="str">
        <f>IF(ISBLANK(K322), "", VLOOKUP(C322, 'Info Tipo de Cambio y REM'!$A$24:$B$35, 2, FALSE))</f>
        <v>#N/A</v>
      </c>
      <c r="N322" s="227" t="str">
        <f t="shared" si="1"/>
        <v/>
      </c>
      <c r="O322" s="228"/>
      <c r="P322" s="228"/>
      <c r="Q322" s="228"/>
      <c r="R322" s="228"/>
      <c r="S322" s="228"/>
      <c r="T322" s="228"/>
      <c r="U322" s="228"/>
      <c r="V322" s="228"/>
      <c r="W322" s="228"/>
      <c r="X322" s="228"/>
      <c r="Y322" s="228"/>
      <c r="Z322" s="228"/>
      <c r="AA322" s="228"/>
      <c r="AB322" s="228"/>
      <c r="AC322" s="228"/>
      <c r="AD322" s="228"/>
      <c r="AE322" s="228"/>
      <c r="AF322" s="228"/>
    </row>
    <row r="323">
      <c r="A323" s="43" t="s">
        <v>226</v>
      </c>
      <c r="B323" s="43" t="s">
        <v>195</v>
      </c>
      <c r="C323" s="51" t="s">
        <v>161</v>
      </c>
      <c r="D323" s="156">
        <v>2025.0</v>
      </c>
      <c r="E323" s="43" t="s">
        <v>374</v>
      </c>
      <c r="F323" s="104"/>
      <c r="G323" s="104">
        <v>45856.0</v>
      </c>
      <c r="H323" s="165" t="s">
        <v>673</v>
      </c>
      <c r="I323" s="43" t="s">
        <v>674</v>
      </c>
      <c r="J323" s="104">
        <v>45869.0</v>
      </c>
      <c r="K323" s="89">
        <v>20000.0</v>
      </c>
      <c r="L323" s="71"/>
      <c r="M323" s="106" t="str">
        <f>IF(ISBLANK(K323), "", VLOOKUP(C323, 'Info Tipo de Cambio y REM'!$A$24:$B$35, 2, FALSE))</f>
        <v>#N/A</v>
      </c>
      <c r="N323" s="107" t="str">
        <f t="shared" si="1"/>
        <v/>
      </c>
    </row>
    <row r="324">
      <c r="A324" s="43" t="s">
        <v>127</v>
      </c>
      <c r="B324" s="43" t="s">
        <v>195</v>
      </c>
      <c r="C324" s="51" t="s">
        <v>161</v>
      </c>
      <c r="D324" s="156">
        <v>2025.0</v>
      </c>
      <c r="E324" s="43" t="s">
        <v>374</v>
      </c>
      <c r="F324" s="104"/>
      <c r="G324" s="104">
        <v>45856.0</v>
      </c>
      <c r="H324" s="165" t="s">
        <v>675</v>
      </c>
      <c r="I324" s="43" t="s">
        <v>458</v>
      </c>
      <c r="J324" s="104">
        <v>45869.0</v>
      </c>
      <c r="K324" s="89">
        <v>132000.0</v>
      </c>
      <c r="L324" s="71"/>
      <c r="M324" s="106" t="str">
        <f>IF(ISBLANK(K324), "", VLOOKUP(C324, 'Info Tipo de Cambio y REM'!$A$24:$B$35, 2, FALSE))</f>
        <v>#N/A</v>
      </c>
      <c r="N324" s="107" t="str">
        <f t="shared" si="1"/>
        <v/>
      </c>
    </row>
    <row r="325">
      <c r="A325" s="43" t="s">
        <v>214</v>
      </c>
      <c r="B325" s="43" t="str">
        <f>IF(A325="", "", IFERROR(VLOOKUP(A325, Clasificaciones!A:B, 2, FALSE), "DATO NO CARGADO"))</f>
        <v>Equipo</v>
      </c>
      <c r="C325" s="51" t="s">
        <v>161</v>
      </c>
      <c r="D325" s="43">
        <v>2025.0</v>
      </c>
      <c r="E325" s="43" t="s">
        <v>374</v>
      </c>
      <c r="F325" s="104"/>
      <c r="G325" s="104">
        <v>45866.0</v>
      </c>
      <c r="H325" s="125" t="s">
        <v>566</v>
      </c>
      <c r="I325" s="43" t="s">
        <v>676</v>
      </c>
      <c r="J325" s="104">
        <v>45870.0</v>
      </c>
      <c r="L325" s="89">
        <v>1141.0</v>
      </c>
      <c r="M325" s="106" t="str">
        <f>IF(ISBLANK(K325), "", VLOOKUP(C325, 'Info Tipo de Cambio y REM'!$A$24:$B$35, 2, FALSE))</f>
        <v/>
      </c>
      <c r="N325" s="107">
        <f t="shared" si="1"/>
        <v>1141</v>
      </c>
    </row>
    <row r="326">
      <c r="A326" s="43" t="s">
        <v>207</v>
      </c>
      <c r="B326" s="43" t="str">
        <f>IF(A326="", "", IFERROR(VLOOKUP(A326, Clasificaciones!A:B, 2, FALSE), "DATO NO CARGADO"))</f>
        <v>Equipo</v>
      </c>
      <c r="C326" s="51" t="s">
        <v>161</v>
      </c>
      <c r="D326" s="43">
        <v>2025.0</v>
      </c>
      <c r="E326" s="43" t="s">
        <v>374</v>
      </c>
      <c r="F326" s="104"/>
      <c r="G326" s="104">
        <v>45861.0</v>
      </c>
      <c r="H326" s="125" t="s">
        <v>389</v>
      </c>
      <c r="I326" s="43" t="s">
        <v>677</v>
      </c>
      <c r="J326" s="104">
        <v>45870.0</v>
      </c>
      <c r="L326" s="89">
        <v>614.0</v>
      </c>
      <c r="M326" s="106" t="str">
        <f>IF(ISBLANK(K326), "", VLOOKUP(C326, 'Info Tipo de Cambio y REM'!$A$24:$B$35, 2, FALSE))</f>
        <v/>
      </c>
      <c r="N326" s="107">
        <f t="shared" si="1"/>
        <v>614</v>
      </c>
    </row>
    <row r="327">
      <c r="A327" s="43" t="s">
        <v>120</v>
      </c>
      <c r="B327" s="43" t="str">
        <f>IF(A327="", "", IFERROR(VLOOKUP(A327, Clasificaciones!A:B, 2, FALSE), "DATO NO CARGADO"))</f>
        <v>Equipo</v>
      </c>
      <c r="C327" s="51" t="s">
        <v>161</v>
      </c>
      <c r="D327" s="43">
        <v>2025.0</v>
      </c>
      <c r="E327" s="43" t="s">
        <v>374</v>
      </c>
      <c r="F327" s="104"/>
      <c r="G327" s="104">
        <v>45862.0</v>
      </c>
      <c r="H327" s="125" t="s">
        <v>387</v>
      </c>
      <c r="I327" s="43" t="s">
        <v>678</v>
      </c>
      <c r="J327" s="104">
        <v>45870.0</v>
      </c>
      <c r="L327" s="89">
        <v>2722.0</v>
      </c>
      <c r="M327" s="106" t="str">
        <f>IF(ISBLANK(K327), "", VLOOKUP(C327, 'Info Tipo de Cambio y REM'!$A$24:$B$35, 2, FALSE))</f>
        <v/>
      </c>
      <c r="N327" s="107">
        <f t="shared" si="1"/>
        <v>2722</v>
      </c>
    </row>
    <row r="328">
      <c r="A328" s="43" t="s">
        <v>205</v>
      </c>
      <c r="B328" s="43" t="str">
        <f>IF(A328="", "", IFERROR(VLOOKUP(A328, Clasificaciones!A:B, 2, FALSE), "DATO NO CARGADO"))</f>
        <v>Equipo</v>
      </c>
      <c r="C328" s="51" t="s">
        <v>161</v>
      </c>
      <c r="D328" s="43">
        <v>2025.0</v>
      </c>
      <c r="E328" s="43" t="s">
        <v>374</v>
      </c>
      <c r="F328" s="104"/>
      <c r="G328" s="104">
        <v>45862.0</v>
      </c>
      <c r="H328" s="125" t="s">
        <v>379</v>
      </c>
      <c r="I328" s="43" t="s">
        <v>676</v>
      </c>
      <c r="J328" s="104">
        <v>45870.0</v>
      </c>
      <c r="L328" s="89">
        <v>1366.0</v>
      </c>
      <c r="M328" s="106" t="str">
        <f>IF(ISBLANK(K328), "", VLOOKUP(C328, 'Info Tipo de Cambio y REM'!$A$24:$B$35, 2, FALSE))</f>
        <v/>
      </c>
      <c r="N328" s="107">
        <f t="shared" si="1"/>
        <v>1366</v>
      </c>
    </row>
    <row r="329">
      <c r="A329" s="43" t="s">
        <v>194</v>
      </c>
      <c r="B329" s="43" t="str">
        <f>IF(A329="", "", IFERROR(VLOOKUP(A329, Clasificaciones!A:B, 2, FALSE), "DATO NO CARGADO"))</f>
        <v>Equipo</v>
      </c>
      <c r="C329" s="51" t="s">
        <v>161</v>
      </c>
      <c r="D329" s="43">
        <v>2025.0</v>
      </c>
      <c r="E329" s="43" t="s">
        <v>374</v>
      </c>
      <c r="F329" s="104"/>
      <c r="G329" s="104">
        <v>45862.0</v>
      </c>
      <c r="H329" s="125" t="s">
        <v>403</v>
      </c>
      <c r="I329" s="43" t="s">
        <v>676</v>
      </c>
      <c r="J329" s="104">
        <v>45870.0</v>
      </c>
      <c r="L329" s="89">
        <v>1412.0</v>
      </c>
      <c r="M329" s="106" t="str">
        <f>IF(ISBLANK(K329), "", VLOOKUP(C329, 'Info Tipo de Cambio y REM'!$A$24:$B$35, 2, FALSE))</f>
        <v/>
      </c>
      <c r="N329" s="107">
        <f t="shared" si="1"/>
        <v>1412</v>
      </c>
    </row>
    <row r="330">
      <c r="A330" s="43" t="s">
        <v>217</v>
      </c>
      <c r="B330" s="43" t="str">
        <f>IF(A330="", "", IFERROR(VLOOKUP(A330, Clasificaciones!A:B, 2, FALSE), "DATO NO CARGADO"))</f>
        <v>Equipo</v>
      </c>
      <c r="C330" s="51" t="s">
        <v>161</v>
      </c>
      <c r="D330" s="43">
        <v>2025.0</v>
      </c>
      <c r="E330" s="43" t="s">
        <v>374</v>
      </c>
      <c r="F330" s="104"/>
      <c r="G330" s="104">
        <v>45863.0</v>
      </c>
      <c r="H330" s="125" t="s">
        <v>580</v>
      </c>
      <c r="I330" s="43" t="s">
        <v>679</v>
      </c>
      <c r="J330" s="104">
        <v>45870.0</v>
      </c>
      <c r="L330" s="89">
        <v>1313.0</v>
      </c>
      <c r="M330" s="106" t="str">
        <f>IF(ISBLANK(K330), "", VLOOKUP(C330, 'Info Tipo de Cambio y REM'!$A$24:$B$35, 2, FALSE))</f>
        <v/>
      </c>
      <c r="N330" s="107">
        <f t="shared" si="1"/>
        <v>1313</v>
      </c>
    </row>
    <row r="331">
      <c r="A331" s="43" t="s">
        <v>200</v>
      </c>
      <c r="B331" s="43" t="str">
        <f>IF(A331="", "", IFERROR(VLOOKUP(A331, Clasificaciones!A:B, 2, FALSE), "DATO NO CARGADO"))</f>
        <v>Equipo</v>
      </c>
      <c r="C331" s="51" t="s">
        <v>161</v>
      </c>
      <c r="D331" s="43">
        <v>2025.0</v>
      </c>
      <c r="E331" s="43" t="s">
        <v>374</v>
      </c>
      <c r="F331" s="104"/>
      <c r="G331" s="104">
        <v>45863.0</v>
      </c>
      <c r="H331" s="125" t="s">
        <v>450</v>
      </c>
      <c r="I331" s="43" t="s">
        <v>676</v>
      </c>
      <c r="J331" s="104">
        <v>45870.0</v>
      </c>
      <c r="L331" s="89">
        <v>1978.0</v>
      </c>
      <c r="M331" s="106" t="str">
        <f>IF(ISBLANK(K331), "", VLOOKUP(C331, 'Info Tipo de Cambio y REM'!$A$24:$B$35, 2, FALSE))</f>
        <v/>
      </c>
      <c r="N331" s="107">
        <f t="shared" si="1"/>
        <v>1978</v>
      </c>
    </row>
    <row r="332">
      <c r="A332" s="43" t="s">
        <v>230</v>
      </c>
      <c r="B332" s="43" t="str">
        <f>IF(A332="", "", IFERROR(VLOOKUP(A332, Clasificaciones!A:B, 2, FALSE), "DATO NO CARGADO"))</f>
        <v>Equipo</v>
      </c>
      <c r="C332" s="51" t="s">
        <v>161</v>
      </c>
      <c r="D332" s="43">
        <v>2025.0</v>
      </c>
      <c r="E332" s="43" t="s">
        <v>374</v>
      </c>
      <c r="F332" s="104"/>
      <c r="G332" s="104">
        <v>45862.0</v>
      </c>
      <c r="H332" s="125" t="s">
        <v>577</v>
      </c>
      <c r="I332" s="43" t="s">
        <v>676</v>
      </c>
      <c r="J332" s="104">
        <v>45870.0</v>
      </c>
      <c r="L332" s="89">
        <v>1526.0</v>
      </c>
      <c r="M332" s="106" t="str">
        <f>IF(ISBLANK(K332), "", VLOOKUP(C332, 'Info Tipo de Cambio y REM'!$A$24:$B$35, 2, FALSE))</f>
        <v/>
      </c>
      <c r="N332" s="107">
        <f t="shared" si="1"/>
        <v>1526</v>
      </c>
    </row>
    <row r="333">
      <c r="A333" s="43" t="s">
        <v>197</v>
      </c>
      <c r="B333" s="43" t="str">
        <f>IF(A333="", "", IFERROR(VLOOKUP(A333, Clasificaciones!A:B, 2, FALSE), "DATO NO CARGADO"))</f>
        <v>Equipo</v>
      </c>
      <c r="C333" s="51" t="s">
        <v>161</v>
      </c>
      <c r="D333" s="43">
        <v>2025.0</v>
      </c>
      <c r="E333" s="43" t="s">
        <v>374</v>
      </c>
      <c r="F333" s="104"/>
      <c r="G333" s="104">
        <v>45866.0</v>
      </c>
      <c r="H333" s="43" t="s">
        <v>411</v>
      </c>
      <c r="I333" s="43" t="s">
        <v>676</v>
      </c>
      <c r="J333" s="104">
        <v>45870.0</v>
      </c>
      <c r="L333" s="89">
        <v>1791.0</v>
      </c>
      <c r="M333" s="106" t="str">
        <f>IF(ISBLANK(K333), "", VLOOKUP(C333, 'Info Tipo de Cambio y REM'!$A$24:$B$35, 2, FALSE))</f>
        <v/>
      </c>
      <c r="N333" s="107">
        <f t="shared" si="1"/>
        <v>1791</v>
      </c>
    </row>
    <row r="334">
      <c r="A334" s="43" t="s">
        <v>228</v>
      </c>
      <c r="B334" s="43" t="str">
        <f>IF(A334="", "", IFERROR(VLOOKUP(A334, Clasificaciones!A:B, 2, FALSE), "DATO NO CARGADO"))</f>
        <v>Equipo</v>
      </c>
      <c r="C334" s="51" t="s">
        <v>161</v>
      </c>
      <c r="D334" s="43">
        <v>2025.0</v>
      </c>
      <c r="E334" s="43" t="s">
        <v>374</v>
      </c>
      <c r="F334" s="104"/>
      <c r="G334" s="104">
        <v>45863.0</v>
      </c>
      <c r="H334" s="124" t="s">
        <v>680</v>
      </c>
      <c r="I334" s="43" t="s">
        <v>678</v>
      </c>
      <c r="J334" s="104">
        <v>45870.0</v>
      </c>
      <c r="L334" s="89">
        <v>1429.0</v>
      </c>
      <c r="M334" s="106" t="str">
        <f>IF(ISBLANK(K334), "", VLOOKUP(C334, 'Info Tipo de Cambio y REM'!$A$24:$B$35, 2, FALSE))</f>
        <v/>
      </c>
      <c r="N334" s="107">
        <f t="shared" si="1"/>
        <v>1429</v>
      </c>
    </row>
    <row r="335">
      <c r="A335" s="43" t="s">
        <v>203</v>
      </c>
      <c r="B335" s="43" t="str">
        <f>IF(A335="", "", IFERROR(VLOOKUP(A335, Clasificaciones!A:B, 2, FALSE), "DATO NO CARGADO"))</f>
        <v>Equipo</v>
      </c>
      <c r="C335" s="51" t="s">
        <v>161</v>
      </c>
      <c r="D335" s="43">
        <v>2025.0</v>
      </c>
      <c r="E335" s="43" t="s">
        <v>374</v>
      </c>
      <c r="F335" s="104"/>
      <c r="G335" s="104">
        <v>45859.0</v>
      </c>
      <c r="H335" s="43" t="s">
        <v>681</v>
      </c>
      <c r="I335" s="43" t="s">
        <v>551</v>
      </c>
      <c r="J335" s="104">
        <v>45870.0</v>
      </c>
      <c r="L335" s="89">
        <v>614.0</v>
      </c>
      <c r="M335" s="106" t="str">
        <f>IF(ISBLANK(K335), "", VLOOKUP(C335, 'Info Tipo de Cambio y REM'!$A$24:$B$35, 2, FALSE))</f>
        <v/>
      </c>
      <c r="N335" s="107">
        <f t="shared" si="1"/>
        <v>614</v>
      </c>
    </row>
    <row r="336">
      <c r="A336" s="43" t="s">
        <v>127</v>
      </c>
      <c r="B336" s="43" t="str">
        <f>IF(A336="", "", IFERROR(VLOOKUP(A336, Clasificaciones!A:B, 2, FALSE), "DATO NO CARGADO"))</f>
        <v>Board</v>
      </c>
      <c r="C336" s="51" t="s">
        <v>161</v>
      </c>
      <c r="D336" s="43">
        <v>2025.0</v>
      </c>
      <c r="E336" s="43" t="s">
        <v>374</v>
      </c>
      <c r="F336" s="104"/>
      <c r="G336" s="104">
        <v>45866.0</v>
      </c>
      <c r="H336" s="124" t="s">
        <v>458</v>
      </c>
      <c r="I336" s="43" t="s">
        <v>682</v>
      </c>
      <c r="J336" s="104">
        <v>45870.0</v>
      </c>
      <c r="L336" s="89">
        <v>2200.0</v>
      </c>
      <c r="M336" s="106" t="str">
        <f>IF(ISBLANK(K336), "", VLOOKUP(C336, 'Info Tipo de Cambio y REM'!$A$24:$B$35, 2, FALSE))</f>
        <v/>
      </c>
      <c r="N336" s="107">
        <f t="shared" si="1"/>
        <v>2200</v>
      </c>
    </row>
    <row r="337">
      <c r="A337" s="43" t="s">
        <v>127</v>
      </c>
      <c r="B337" s="43" t="str">
        <f>IF(A337="", "", IFERROR(VLOOKUP(A337, Clasificaciones!A:B, 2, FALSE), "DATO NO CARGADO"))</f>
        <v>Board</v>
      </c>
      <c r="C337" s="51" t="s">
        <v>161</v>
      </c>
      <c r="D337" s="43">
        <v>2025.0</v>
      </c>
      <c r="E337" s="43" t="s">
        <v>374</v>
      </c>
      <c r="F337" s="104"/>
      <c r="G337" s="104">
        <v>45866.0</v>
      </c>
      <c r="H337" s="43" t="s">
        <v>683</v>
      </c>
      <c r="I337" s="43" t="s">
        <v>551</v>
      </c>
      <c r="J337" s="104">
        <v>45870.0</v>
      </c>
      <c r="L337" s="89">
        <v>1500.0</v>
      </c>
      <c r="M337" s="106" t="str">
        <f>IF(ISBLANK(K337), "", VLOOKUP(C337, 'Info Tipo de Cambio y REM'!$A$24:$B$35, 2, FALSE))</f>
        <v/>
      </c>
      <c r="N337" s="107">
        <f t="shared" si="1"/>
        <v>1500</v>
      </c>
    </row>
    <row r="338">
      <c r="A338" s="43" t="s">
        <v>152</v>
      </c>
      <c r="B338" s="43" t="str">
        <f>IF(A338="", "", IFERROR(VLOOKUP(A338, Clasificaciones!A:B, 2, FALSE), "DATO NO CARGADO"))</f>
        <v>Impuestos ARG</v>
      </c>
      <c r="C338" s="51" t="s">
        <v>161</v>
      </c>
      <c r="D338" s="156">
        <v>2025.0</v>
      </c>
      <c r="E338" s="43" t="s">
        <v>374</v>
      </c>
      <c r="F338" s="104"/>
      <c r="G338" s="104">
        <v>45869.0</v>
      </c>
      <c r="H338" s="165" t="s">
        <v>684</v>
      </c>
      <c r="I338" s="1"/>
      <c r="J338" s="168">
        <v>45862.0</v>
      </c>
      <c r="K338" s="229">
        <v>2012802.0</v>
      </c>
      <c r="L338" s="89"/>
      <c r="M338" s="106" t="str">
        <f>IF(ISBLANK(K338), "", VLOOKUP(C338, 'Info Tipo de Cambio y REM'!$A$24:$B$35, 2, FALSE))</f>
        <v>#N/A</v>
      </c>
      <c r="N338" s="107" t="str">
        <f t="shared" si="1"/>
        <v/>
      </c>
    </row>
    <row r="339">
      <c r="A339" s="43" t="s">
        <v>146</v>
      </c>
      <c r="B339" s="43" t="str">
        <f>IF(A339="", "", IFERROR(VLOOKUP(A339, Clasificaciones!A:B, 2, FALSE), "DATO NO CARGADO"))</f>
        <v>Impuestos ARG</v>
      </c>
      <c r="C339" s="51" t="s">
        <v>161</v>
      </c>
      <c r="D339" s="156">
        <v>2025.0</v>
      </c>
      <c r="E339" s="43" t="s">
        <v>374</v>
      </c>
      <c r="F339" s="104"/>
      <c r="G339" s="104">
        <v>45869.0</v>
      </c>
      <c r="H339" s="165" t="s">
        <v>685</v>
      </c>
      <c r="I339" s="1"/>
      <c r="J339" s="168">
        <v>45857.0</v>
      </c>
      <c r="K339" s="229">
        <v>369970.0</v>
      </c>
      <c r="L339" s="89"/>
      <c r="M339" s="106" t="str">
        <f>IF(ISBLANK(K339), "", VLOOKUP(C339, 'Info Tipo de Cambio y REM'!$A$24:$B$35, 2, FALSE))</f>
        <v>#N/A</v>
      </c>
      <c r="N339" s="107" t="str">
        <f t="shared" si="1"/>
        <v/>
      </c>
    </row>
    <row r="340">
      <c r="A340" s="43" t="s">
        <v>164</v>
      </c>
      <c r="B340" s="43" t="str">
        <f>IF(A340="", "", IFERROR(VLOOKUP(A340, Clasificaciones!A:B, 2, FALSE), "DATO NO CARGADO"))</f>
        <v>Estudio Contable</v>
      </c>
      <c r="C340" s="51" t="s">
        <v>161</v>
      </c>
      <c r="D340" s="156">
        <v>2025.0</v>
      </c>
      <c r="E340" s="43" t="s">
        <v>371</v>
      </c>
      <c r="F340" s="104"/>
      <c r="G340" s="104">
        <v>45869.0</v>
      </c>
      <c r="H340" s="165" t="s">
        <v>686</v>
      </c>
      <c r="I340" s="1"/>
      <c r="J340" s="168">
        <v>45910.0</v>
      </c>
      <c r="K340" s="229">
        <v>71341.0</v>
      </c>
      <c r="L340" s="89"/>
      <c r="M340" s="106" t="str">
        <f>IF(ISBLANK(K340), "", VLOOKUP(C340, 'Info Tipo de Cambio y REM'!$A$24:$B$35, 2, FALSE))</f>
        <v>#N/A</v>
      </c>
      <c r="N340" s="107" t="str">
        <f t="shared" si="1"/>
        <v/>
      </c>
    </row>
    <row r="341">
      <c r="A341" s="197" t="s">
        <v>153</v>
      </c>
      <c r="B341" s="43" t="str">
        <f>IF(A341="", "", IFERROR(VLOOKUP(A341, Clasificaciones!A:B, 2, FALSE), "DATO NO CARGADO"))</f>
        <v>Impuestos USA</v>
      </c>
      <c r="C341" s="51" t="s">
        <v>161</v>
      </c>
      <c r="D341" s="156">
        <v>2025.0</v>
      </c>
      <c r="E341" s="43" t="s">
        <v>371</v>
      </c>
      <c r="F341" s="104"/>
      <c r="G341" s="104">
        <v>45869.0</v>
      </c>
      <c r="H341" s="230" t="s">
        <v>687</v>
      </c>
      <c r="I341" s="156" t="s">
        <v>688</v>
      </c>
      <c r="J341" s="183">
        <v>46142.0</v>
      </c>
      <c r="K341" s="198"/>
      <c r="L341" s="229">
        <v>725.0</v>
      </c>
      <c r="M341" s="106" t="str">
        <f>IF(ISBLANK(K341), "", VLOOKUP(C341, 'Info Tipo de Cambio y REM'!$A$24:$B$35, 2, FALSE))</f>
        <v/>
      </c>
      <c r="N341" s="107">
        <f t="shared" si="1"/>
        <v>725</v>
      </c>
    </row>
    <row r="342">
      <c r="A342" s="43" t="s">
        <v>222</v>
      </c>
      <c r="B342" s="43" t="str">
        <f>IF(A342="", "", IFERROR(VLOOKUP(A342, Clasificaciones!A:B, 2, FALSE), "DATO NO CARGADO"))</f>
        <v>Oxean</v>
      </c>
      <c r="C342" s="51" t="s">
        <v>161</v>
      </c>
      <c r="D342" s="156">
        <v>2025.0</v>
      </c>
      <c r="E342" s="43" t="s">
        <v>374</v>
      </c>
      <c r="F342" s="104"/>
      <c r="G342" s="104">
        <v>45869.0</v>
      </c>
      <c r="H342" s="165" t="s">
        <v>689</v>
      </c>
      <c r="I342" s="1"/>
      <c r="J342" s="168">
        <v>45879.0</v>
      </c>
      <c r="K342" s="89">
        <v>4910000.0</v>
      </c>
      <c r="L342" s="71"/>
      <c r="M342" s="106" t="str">
        <f>IF(ISBLANK(K342), "", VLOOKUP(C342, 'Info Tipo de Cambio y REM'!$A$24:$B$35, 2, FALSE))</f>
        <v>#N/A</v>
      </c>
      <c r="N342" s="107" t="str">
        <f t="shared" si="1"/>
        <v/>
      </c>
    </row>
    <row r="343">
      <c r="A343" s="43" t="s">
        <v>158</v>
      </c>
      <c r="B343" s="43" t="str">
        <f>IF(A343="", "", IFERROR(VLOOKUP(A343, Clasificaciones!A:B, 2, FALSE), "DATO NO CARGADO"))</f>
        <v>Tarjeta</v>
      </c>
      <c r="C343" s="51" t="s">
        <v>161</v>
      </c>
      <c r="D343" s="156">
        <v>2025.0</v>
      </c>
      <c r="E343" s="43" t="s">
        <v>374</v>
      </c>
      <c r="F343" s="104"/>
      <c r="G343" s="104">
        <v>45869.0</v>
      </c>
      <c r="H343" s="184" t="s">
        <v>690</v>
      </c>
      <c r="I343" s="1"/>
      <c r="J343" s="185">
        <v>45887.0</v>
      </c>
      <c r="K343" s="229">
        <v>118200.0</v>
      </c>
      <c r="L343" s="71"/>
      <c r="M343" s="106" t="str">
        <f>IF(ISBLANK(K343), "", VLOOKUP(C343, 'Info Tipo de Cambio y REM'!$A$24:$B$35, 2, FALSE))</f>
        <v>#N/A</v>
      </c>
      <c r="N343" s="107" t="str">
        <f t="shared" si="1"/>
        <v/>
      </c>
    </row>
    <row r="344">
      <c r="A344" s="43" t="s">
        <v>191</v>
      </c>
      <c r="B344" s="43" t="str">
        <f>IF(A344="", "", IFERROR(VLOOKUP(A344, Clasificaciones!A:B, 2, FALSE), "DATO NO CARGADO"))</f>
        <v>Tarjeta</v>
      </c>
      <c r="C344" s="51" t="s">
        <v>161</v>
      </c>
      <c r="D344" s="156">
        <v>2025.0</v>
      </c>
      <c r="E344" s="43" t="s">
        <v>374</v>
      </c>
      <c r="F344" s="104"/>
      <c r="G344" s="104">
        <v>45866.0</v>
      </c>
      <c r="H344" s="83" t="s">
        <v>691</v>
      </c>
      <c r="I344" s="83" t="s">
        <v>692</v>
      </c>
      <c r="J344" s="104"/>
      <c r="K344" s="89"/>
      <c r="L344" s="231">
        <v>609.8</v>
      </c>
      <c r="M344" s="106" t="str">
        <f>IF(ISBLANK(K344), "", VLOOKUP(C344, 'Info Tipo de Cambio y REM'!$A$24:$B$35, 2, FALSE))</f>
        <v/>
      </c>
      <c r="N344" s="107">
        <f t="shared" si="1"/>
        <v>609.8</v>
      </c>
    </row>
    <row r="345">
      <c r="A345" s="43" t="s">
        <v>191</v>
      </c>
      <c r="B345" s="43" t="str">
        <f>IF(A345="", "", IFERROR(VLOOKUP(A345, Clasificaciones!A:B, 2, FALSE), "DATO NO CARGADO"))</f>
        <v>Tarjeta</v>
      </c>
      <c r="C345" s="51" t="s">
        <v>161</v>
      </c>
      <c r="D345" s="156">
        <v>2025.0</v>
      </c>
      <c r="E345" s="43" t="s">
        <v>374</v>
      </c>
      <c r="F345" s="104"/>
      <c r="G345" s="104">
        <v>45866.0</v>
      </c>
      <c r="H345" s="83" t="s">
        <v>691</v>
      </c>
      <c r="I345" s="83" t="s">
        <v>693</v>
      </c>
      <c r="J345" s="103"/>
      <c r="L345" s="231">
        <v>49.0</v>
      </c>
      <c r="M345" s="106" t="str">
        <f>IF(ISBLANK(K345), "", VLOOKUP(C345, 'Info Tipo de Cambio y REM'!$A$24:$B$35, 2, FALSE))</f>
        <v/>
      </c>
      <c r="N345" s="107">
        <f t="shared" si="1"/>
        <v>49</v>
      </c>
    </row>
    <row r="346">
      <c r="A346" s="43" t="s">
        <v>191</v>
      </c>
      <c r="B346" s="43" t="str">
        <f>IF(A346="", "", IFERROR(VLOOKUP(A346, Clasificaciones!A:B, 2, FALSE), "DATO NO CARGADO"))</f>
        <v>Tarjeta</v>
      </c>
      <c r="C346" s="51" t="s">
        <v>161</v>
      </c>
      <c r="D346" s="156">
        <v>2025.0</v>
      </c>
      <c r="E346" s="43" t="s">
        <v>374</v>
      </c>
      <c r="F346" s="104"/>
      <c r="G346" s="104">
        <v>45867.0</v>
      </c>
      <c r="H346" s="83" t="s">
        <v>691</v>
      </c>
      <c r="I346" s="83" t="s">
        <v>694</v>
      </c>
      <c r="J346" s="103"/>
      <c r="L346" s="231">
        <v>139.95</v>
      </c>
      <c r="M346" s="106" t="str">
        <f>IF(ISBLANK(K346), "", VLOOKUP(C346, 'Info Tipo de Cambio y REM'!$A$24:$B$35, 2, FALSE))</f>
        <v/>
      </c>
      <c r="N346" s="107">
        <f t="shared" si="1"/>
        <v>139.95</v>
      </c>
    </row>
    <row r="347">
      <c r="A347" s="43" t="s">
        <v>191</v>
      </c>
      <c r="B347" s="43" t="str">
        <f>IF(A347="", "", IFERROR(VLOOKUP(A347, Clasificaciones!A:B, 2, FALSE), "DATO NO CARGADO"))</f>
        <v>Tarjeta</v>
      </c>
      <c r="C347" s="51" t="s">
        <v>161</v>
      </c>
      <c r="D347" s="156">
        <v>2025.0</v>
      </c>
      <c r="E347" s="43" t="s">
        <v>374</v>
      </c>
      <c r="F347" s="104"/>
      <c r="G347" s="104">
        <v>45867.0</v>
      </c>
      <c r="H347" s="83" t="s">
        <v>691</v>
      </c>
      <c r="I347" s="83" t="s">
        <v>695</v>
      </c>
      <c r="J347" s="103"/>
      <c r="L347" s="231">
        <v>500.54</v>
      </c>
      <c r="M347" s="106" t="str">
        <f>IF(ISBLANK(K347), "", VLOOKUP(C347, 'Info Tipo de Cambio y REM'!$A$24:$B$35, 2, FALSE))</f>
        <v/>
      </c>
      <c r="N347" s="107">
        <f t="shared" si="1"/>
        <v>500.54</v>
      </c>
    </row>
    <row r="348">
      <c r="A348" s="151" t="s">
        <v>133</v>
      </c>
      <c r="B348" s="151" t="str">
        <f>IF(A348="", "", IFERROR(VLOOKUP(A348, Clasificaciones!A:B, 2, FALSE), "DATO NO CARGADO"))</f>
        <v>Board</v>
      </c>
      <c r="C348" s="232" t="s">
        <v>161</v>
      </c>
      <c r="D348" s="233">
        <v>2025.0</v>
      </c>
      <c r="E348" s="151" t="s">
        <v>374</v>
      </c>
      <c r="F348" s="234"/>
      <c r="G348" s="234">
        <v>45869.0</v>
      </c>
      <c r="H348" s="235" t="s">
        <v>696</v>
      </c>
      <c r="I348" s="235"/>
      <c r="J348" s="234">
        <v>45877.0</v>
      </c>
      <c r="K348" s="236">
        <v>4910000.0</v>
      </c>
      <c r="L348" s="237"/>
      <c r="M348" s="238" t="str">
        <f>IF(ISBLANK(K348), "", VLOOKUP(C348, 'Info Tipo de Cambio y REM'!$A$24:$B$35, 2, FALSE))</f>
        <v>#N/A</v>
      </c>
      <c r="N348" s="239" t="str">
        <f t="shared" si="1"/>
        <v/>
      </c>
      <c r="O348" s="240"/>
      <c r="P348" s="240"/>
      <c r="Q348" s="240"/>
      <c r="R348" s="240"/>
      <c r="S348" s="240"/>
      <c r="T348" s="240"/>
      <c r="U348" s="240"/>
      <c r="V348" s="240"/>
      <c r="W348" s="240"/>
      <c r="X348" s="240"/>
      <c r="Y348" s="240"/>
      <c r="Z348" s="240"/>
      <c r="AA348" s="240"/>
      <c r="AB348" s="240"/>
      <c r="AC348" s="240"/>
      <c r="AD348" s="240"/>
      <c r="AE348" s="240"/>
      <c r="AF348" s="240"/>
    </row>
    <row r="349">
      <c r="A349" s="151" t="s">
        <v>133</v>
      </c>
      <c r="B349" s="151" t="str">
        <f>IF(A349="", "", IFERROR(VLOOKUP(A349, Clasificaciones!A:B, 2, FALSE), "DATO NO CARGADO"))</f>
        <v>Board</v>
      </c>
      <c r="C349" s="232" t="s">
        <v>161</v>
      </c>
      <c r="D349" s="233">
        <v>2025.0</v>
      </c>
      <c r="E349" s="151" t="s">
        <v>374</v>
      </c>
      <c r="F349" s="234"/>
      <c r="G349" s="234">
        <v>45869.0</v>
      </c>
      <c r="H349" s="241" t="s">
        <v>697</v>
      </c>
      <c r="I349" s="240"/>
      <c r="J349" s="234">
        <v>45877.0</v>
      </c>
      <c r="K349" s="240"/>
      <c r="L349" s="236">
        <v>820.0</v>
      </c>
      <c r="M349" s="238" t="str">
        <f>IF(ISBLANK(K349), "", VLOOKUP(C349, 'Info Tipo de Cambio y REM'!$A$24:$B$35, 2, FALSE))</f>
        <v/>
      </c>
      <c r="N349" s="239">
        <f t="shared" si="1"/>
        <v>820</v>
      </c>
      <c r="O349" s="240"/>
      <c r="P349" s="240"/>
      <c r="Q349" s="240"/>
      <c r="R349" s="240"/>
      <c r="S349" s="240"/>
      <c r="T349" s="240"/>
      <c r="U349" s="240"/>
      <c r="V349" s="240"/>
      <c r="W349" s="240"/>
      <c r="X349" s="240"/>
      <c r="Y349" s="240"/>
      <c r="Z349" s="240"/>
      <c r="AA349" s="240"/>
      <c r="AB349" s="240"/>
      <c r="AC349" s="240"/>
      <c r="AD349" s="240"/>
      <c r="AE349" s="240"/>
      <c r="AF349" s="240"/>
    </row>
    <row r="350">
      <c r="A350" s="43" t="s">
        <v>237</v>
      </c>
      <c r="B350" s="43" t="str">
        <f>IF(A350="", "", IFERROR(VLOOKUP(A350, Clasificaciones!A:B, 2, FALSE), "DATO NO CARGADO"))</f>
        <v>Otros Proveedores</v>
      </c>
      <c r="C350" s="51" t="s">
        <v>161</v>
      </c>
      <c r="D350" s="156">
        <v>2025.0</v>
      </c>
      <c r="E350" s="43" t="s">
        <v>371</v>
      </c>
      <c r="F350" s="104"/>
      <c r="G350" s="104"/>
      <c r="H350" s="165" t="s">
        <v>372</v>
      </c>
      <c r="I350" s="121" t="s">
        <v>373</v>
      </c>
      <c r="J350" s="104">
        <v>45413.0</v>
      </c>
      <c r="K350" s="123">
        <v>96000.0</v>
      </c>
      <c r="L350" s="242"/>
      <c r="M350" s="106" t="str">
        <f>IF(ISBLANK(K350), "", VLOOKUP(C350, 'Info Tipo de Cambio y REM'!$A$24:$B$35, 2, FALSE))</f>
        <v>#N/A</v>
      </c>
      <c r="N350" s="107" t="str">
        <f t="shared" si="1"/>
        <v/>
      </c>
    </row>
    <row r="351">
      <c r="A351" s="43" t="s">
        <v>169</v>
      </c>
      <c r="B351" s="43" t="str">
        <f>IF(A351="", "", IFERROR(VLOOKUP(A351, Clasificaciones!A:B, 2, FALSE), "DATO NO CARGADO"))</f>
        <v>Suscripciones/Herramientas</v>
      </c>
      <c r="C351" s="51" t="s">
        <v>161</v>
      </c>
      <c r="D351" s="156">
        <v>2025.0</v>
      </c>
      <c r="E351" s="43" t="s">
        <v>371</v>
      </c>
      <c r="F351" s="104"/>
      <c r="G351" s="104"/>
      <c r="H351" s="165" t="s">
        <v>417</v>
      </c>
      <c r="J351" s="104">
        <v>45536.0</v>
      </c>
      <c r="K351" s="242"/>
      <c r="L351" s="123">
        <v>4050.0</v>
      </c>
      <c r="M351" s="106" t="str">
        <f>IF(ISBLANK(K351), "", VLOOKUP(C351, 'Info Tipo de Cambio y REM'!$A$24:$B$35, 2, FALSE))</f>
        <v/>
      </c>
      <c r="N351" s="107">
        <f t="shared" si="1"/>
        <v>4050</v>
      </c>
    </row>
    <row r="352">
      <c r="A352" s="43" t="s">
        <v>164</v>
      </c>
      <c r="B352" s="43" t="str">
        <f>IF(A352="", "", IFERROR(VLOOKUP(A352, Clasificaciones!A:B, 2, FALSE), "DATO NO CARGADO"))</f>
        <v>Estudio Contable</v>
      </c>
      <c r="C352" s="51" t="s">
        <v>161</v>
      </c>
      <c r="D352" s="156">
        <v>2025.0</v>
      </c>
      <c r="E352" s="43" t="s">
        <v>374</v>
      </c>
      <c r="F352" s="122"/>
      <c r="G352" s="122"/>
      <c r="H352" s="165" t="s">
        <v>698</v>
      </c>
      <c r="J352" s="122">
        <v>45879.0</v>
      </c>
      <c r="K352" s="123">
        <v>59568.0</v>
      </c>
      <c r="L352" s="242"/>
      <c r="M352" s="106" t="str">
        <f>IF(ISBLANK(K352), "", VLOOKUP(C352, 'Info Tipo de Cambio y REM'!$A$24:$B$35, 2, FALSE))</f>
        <v>#N/A</v>
      </c>
      <c r="N352" s="107" t="str">
        <f t="shared" si="1"/>
        <v/>
      </c>
    </row>
    <row r="353">
      <c r="A353" s="43" t="s">
        <v>185</v>
      </c>
      <c r="B353" s="43" t="str">
        <f>IF(A353="", "", IFERROR(VLOOKUP(A353, Clasificaciones!A:B, 2, FALSE), "DATO NO CARGADO"))</f>
        <v>Comisiones Bancarias</v>
      </c>
      <c r="C353" s="51" t="s">
        <v>166</v>
      </c>
      <c r="D353" s="43">
        <v>2025.0</v>
      </c>
      <c r="E353" s="43" t="s">
        <v>374</v>
      </c>
      <c r="F353" s="170"/>
      <c r="G353" s="170">
        <v>45870.0</v>
      </c>
      <c r="H353" s="169" t="s">
        <v>549</v>
      </c>
      <c r="I353" s="169"/>
      <c r="J353" s="170">
        <v>45870.0</v>
      </c>
      <c r="K353" s="106"/>
      <c r="L353" s="171">
        <v>45.0</v>
      </c>
      <c r="M353" s="106" t="str">
        <f>IF(ISBLANK(K353), "", VLOOKUP(C353, 'Info Tipo de Cambio y REM'!$A$24:$B$35, 2, FALSE))</f>
        <v/>
      </c>
      <c r="N353" s="107">
        <f t="shared" si="1"/>
        <v>45</v>
      </c>
    </row>
    <row r="354">
      <c r="A354" s="43" t="s">
        <v>185</v>
      </c>
      <c r="B354" s="43" t="str">
        <f>IF(A354="", "", IFERROR(VLOOKUP(A354, Clasificaciones!A:B, 2, FALSE), "DATO NO CARGADO"))</f>
        <v>Comisiones Bancarias</v>
      </c>
      <c r="C354" s="51" t="s">
        <v>166</v>
      </c>
      <c r="D354" s="43">
        <v>2025.0</v>
      </c>
      <c r="E354" s="43" t="s">
        <v>374</v>
      </c>
      <c r="F354" s="170"/>
      <c r="G354" s="170">
        <v>45871.0</v>
      </c>
      <c r="H354" s="169" t="s">
        <v>549</v>
      </c>
      <c r="J354" s="170">
        <v>45870.0</v>
      </c>
      <c r="L354" s="171">
        <v>45.0</v>
      </c>
      <c r="M354" s="106" t="str">
        <f>IF(ISBLANK(K354), "", VLOOKUP(C354, 'Info Tipo de Cambio y REM'!$A$24:$B$35, 2, FALSE))</f>
        <v/>
      </c>
      <c r="N354" s="107">
        <f t="shared" si="1"/>
        <v>45</v>
      </c>
    </row>
    <row r="355">
      <c r="A355" s="43" t="s">
        <v>185</v>
      </c>
      <c r="B355" s="43" t="str">
        <f>IF(A355="", "", IFERROR(VLOOKUP(A355, Clasificaciones!A:B, 2, FALSE), "DATO NO CARGADO"))</f>
        <v>Comisiones Bancarias</v>
      </c>
      <c r="C355" s="51" t="s">
        <v>166</v>
      </c>
      <c r="D355" s="43">
        <v>2025.0</v>
      </c>
      <c r="E355" s="43" t="s">
        <v>374</v>
      </c>
      <c r="F355" s="170"/>
      <c r="G355" s="170">
        <v>45872.0</v>
      </c>
      <c r="H355" s="169" t="s">
        <v>549</v>
      </c>
      <c r="J355" s="170">
        <v>45870.0</v>
      </c>
      <c r="L355" s="171">
        <v>45.0</v>
      </c>
      <c r="M355" s="106" t="str">
        <f>IF(ISBLANK(K355), "", VLOOKUP(C355, 'Info Tipo de Cambio y REM'!$A$24:$B$35, 2, FALSE))</f>
        <v/>
      </c>
      <c r="N355" s="107">
        <f t="shared" si="1"/>
        <v>45</v>
      </c>
    </row>
    <row r="356">
      <c r="A356" s="43" t="s">
        <v>185</v>
      </c>
      <c r="B356" s="43" t="str">
        <f>IF(A356="", "", IFERROR(VLOOKUP(A356, Clasificaciones!A:B, 2, FALSE), "DATO NO CARGADO"))</f>
        <v>Comisiones Bancarias</v>
      </c>
      <c r="C356" s="51" t="s">
        <v>166</v>
      </c>
      <c r="D356" s="43">
        <v>2025.0</v>
      </c>
      <c r="E356" s="43" t="s">
        <v>374</v>
      </c>
      <c r="F356" s="170"/>
      <c r="G356" s="170">
        <v>45873.0</v>
      </c>
      <c r="H356" s="169" t="s">
        <v>549</v>
      </c>
      <c r="J356" s="170">
        <v>45870.0</v>
      </c>
      <c r="L356" s="171">
        <v>45.0</v>
      </c>
      <c r="M356" s="106" t="str">
        <f>IF(ISBLANK(K356), "", VLOOKUP(C356, 'Info Tipo de Cambio y REM'!$A$24:$B$35, 2, FALSE))</f>
        <v/>
      </c>
      <c r="N356" s="107">
        <f t="shared" si="1"/>
        <v>45</v>
      </c>
    </row>
    <row r="357">
      <c r="A357" s="43" t="s">
        <v>185</v>
      </c>
      <c r="B357" s="43" t="str">
        <f>IF(A357="", "", IFERROR(VLOOKUP(A357, Clasificaciones!A:B, 2, FALSE), "DATO NO CARGADO"))</f>
        <v>Comisiones Bancarias</v>
      </c>
      <c r="C357" s="51" t="s">
        <v>166</v>
      </c>
      <c r="D357" s="43">
        <v>2025.0</v>
      </c>
      <c r="E357" s="43" t="s">
        <v>374</v>
      </c>
      <c r="F357" s="170"/>
      <c r="G357" s="170">
        <v>45874.0</v>
      </c>
      <c r="H357" s="169" t="s">
        <v>549</v>
      </c>
      <c r="J357" s="170">
        <v>45870.0</v>
      </c>
      <c r="L357" s="171">
        <v>45.0</v>
      </c>
      <c r="M357" s="106" t="str">
        <f>IF(ISBLANK(K357), "", VLOOKUP(C357, 'Info Tipo de Cambio y REM'!$A$24:$B$35, 2, FALSE))</f>
        <v/>
      </c>
      <c r="N357" s="107">
        <f t="shared" si="1"/>
        <v>45</v>
      </c>
    </row>
    <row r="358">
      <c r="A358" s="43" t="s">
        <v>185</v>
      </c>
      <c r="B358" s="43" t="str">
        <f>IF(A358="", "", IFERROR(VLOOKUP(A358, Clasificaciones!A:B, 2, FALSE), "DATO NO CARGADO"))</f>
        <v>Comisiones Bancarias</v>
      </c>
      <c r="C358" s="51" t="s">
        <v>166</v>
      </c>
      <c r="D358" s="43">
        <v>2025.0</v>
      </c>
      <c r="E358" s="43" t="s">
        <v>374</v>
      </c>
      <c r="F358" s="170"/>
      <c r="G358" s="170">
        <v>45875.0</v>
      </c>
      <c r="H358" s="169" t="s">
        <v>549</v>
      </c>
      <c r="J358" s="170">
        <v>45870.0</v>
      </c>
      <c r="L358" s="171">
        <v>45.0</v>
      </c>
      <c r="M358" s="106" t="str">
        <f>IF(ISBLANK(K358), "", VLOOKUP(C358, 'Info Tipo de Cambio y REM'!$A$24:$B$35, 2, FALSE))</f>
        <v/>
      </c>
      <c r="N358" s="107">
        <f t="shared" si="1"/>
        <v>45</v>
      </c>
    </row>
    <row r="359">
      <c r="A359" s="43" t="s">
        <v>185</v>
      </c>
      <c r="B359" s="43" t="str">
        <f>IF(A359="", "", IFERROR(VLOOKUP(A359, Clasificaciones!A:B, 2, FALSE), "DATO NO CARGADO"))</f>
        <v>Comisiones Bancarias</v>
      </c>
      <c r="C359" s="51" t="s">
        <v>166</v>
      </c>
      <c r="D359" s="43">
        <v>2025.0</v>
      </c>
      <c r="E359" s="43" t="s">
        <v>374</v>
      </c>
      <c r="F359" s="170"/>
      <c r="G359" s="170">
        <v>45876.0</v>
      </c>
      <c r="H359" s="169" t="s">
        <v>549</v>
      </c>
      <c r="J359" s="170">
        <v>45870.0</v>
      </c>
      <c r="L359" s="171">
        <v>45.0</v>
      </c>
      <c r="M359" s="106" t="str">
        <f>IF(ISBLANK(K359), "", VLOOKUP(C359, 'Info Tipo de Cambio y REM'!$A$24:$B$35, 2, FALSE))</f>
        <v/>
      </c>
      <c r="N359" s="107">
        <f t="shared" si="1"/>
        <v>45</v>
      </c>
    </row>
    <row r="360">
      <c r="A360" s="43" t="s">
        <v>185</v>
      </c>
      <c r="B360" s="43" t="str">
        <f>IF(A360="", "", IFERROR(VLOOKUP(A360, Clasificaciones!A:B, 2, FALSE), "DATO NO CARGADO"))</f>
        <v>Comisiones Bancarias</v>
      </c>
      <c r="C360" s="51" t="s">
        <v>166</v>
      </c>
      <c r="D360" s="43">
        <v>2025.0</v>
      </c>
      <c r="E360" s="43" t="s">
        <v>374</v>
      </c>
      <c r="F360" s="170"/>
      <c r="G360" s="170">
        <v>45877.0</v>
      </c>
      <c r="H360" s="169" t="s">
        <v>549</v>
      </c>
      <c r="J360" s="170">
        <v>45870.0</v>
      </c>
      <c r="L360" s="171">
        <v>45.0</v>
      </c>
      <c r="M360" s="106" t="str">
        <f>IF(ISBLANK(K360), "", VLOOKUP(C360, 'Info Tipo de Cambio y REM'!$A$24:$B$35, 2, FALSE))</f>
        <v/>
      </c>
      <c r="N360" s="107">
        <f t="shared" si="1"/>
        <v>45</v>
      </c>
    </row>
    <row r="361">
      <c r="A361" s="43" t="s">
        <v>185</v>
      </c>
      <c r="B361" s="43" t="str">
        <f>IF(A361="", "", IFERROR(VLOOKUP(A361, Clasificaciones!A:B, 2, FALSE), "DATO NO CARGADO"))</f>
        <v>Comisiones Bancarias</v>
      </c>
      <c r="C361" s="51" t="s">
        <v>166</v>
      </c>
      <c r="D361" s="43">
        <v>2025.0</v>
      </c>
      <c r="E361" s="43" t="s">
        <v>374</v>
      </c>
      <c r="F361" s="170"/>
      <c r="G361" s="170">
        <v>45878.0</v>
      </c>
      <c r="H361" s="169" t="s">
        <v>549</v>
      </c>
      <c r="J361" s="170">
        <v>45870.0</v>
      </c>
      <c r="L361" s="171">
        <v>45.0</v>
      </c>
      <c r="M361" s="106" t="str">
        <f>IF(ISBLANK(K361), "", VLOOKUP(C361, 'Info Tipo de Cambio y REM'!$A$24:$B$35, 2, FALSE))</f>
        <v/>
      </c>
      <c r="N361" s="107">
        <f t="shared" si="1"/>
        <v>45</v>
      </c>
    </row>
    <row r="362">
      <c r="A362" s="43" t="s">
        <v>185</v>
      </c>
      <c r="B362" s="43" t="str">
        <f>IF(A362="", "", IFERROR(VLOOKUP(A362, Clasificaciones!A:B, 2, FALSE), "DATO NO CARGADO"))</f>
        <v>Comisiones Bancarias</v>
      </c>
      <c r="C362" s="51" t="s">
        <v>166</v>
      </c>
      <c r="D362" s="43">
        <v>2025.0</v>
      </c>
      <c r="E362" s="43" t="s">
        <v>374</v>
      </c>
      <c r="F362" s="170"/>
      <c r="G362" s="170">
        <v>45879.0</v>
      </c>
      <c r="H362" s="169" t="s">
        <v>549</v>
      </c>
      <c r="J362" s="170">
        <v>45870.0</v>
      </c>
      <c r="L362" s="171">
        <v>45.0</v>
      </c>
      <c r="M362" s="106" t="str">
        <f>IF(ISBLANK(K362), "", VLOOKUP(C362, 'Info Tipo de Cambio y REM'!$A$24:$B$35, 2, FALSE))</f>
        <v/>
      </c>
      <c r="N362" s="107">
        <f t="shared" si="1"/>
        <v>45</v>
      </c>
    </row>
    <row r="363">
      <c r="A363" s="43" t="s">
        <v>185</v>
      </c>
      <c r="B363" s="43" t="str">
        <f>IF(A363="", "", IFERROR(VLOOKUP(A363, Clasificaciones!A:B, 2, FALSE), "DATO NO CARGADO"))</f>
        <v>Comisiones Bancarias</v>
      </c>
      <c r="C363" s="51" t="s">
        <v>166</v>
      </c>
      <c r="D363" s="43">
        <v>2025.0</v>
      </c>
      <c r="E363" s="43" t="s">
        <v>374</v>
      </c>
      <c r="F363" s="170"/>
      <c r="G363" s="170">
        <v>45880.0</v>
      </c>
      <c r="H363" s="169" t="s">
        <v>549</v>
      </c>
      <c r="J363" s="170">
        <v>45870.0</v>
      </c>
      <c r="L363" s="171">
        <v>45.0</v>
      </c>
      <c r="M363" s="106" t="str">
        <f>IF(ISBLANK(K363), "", VLOOKUP(C363, 'Info Tipo de Cambio y REM'!$A$24:$B$35, 2, FALSE))</f>
        <v/>
      </c>
      <c r="N363" s="107">
        <f t="shared" si="1"/>
        <v>45</v>
      </c>
    </row>
    <row r="364">
      <c r="A364" s="43" t="s">
        <v>185</v>
      </c>
      <c r="B364" s="43" t="str">
        <f>IF(A364="", "", IFERROR(VLOOKUP(A364, Clasificaciones!A:B, 2, FALSE), "DATO NO CARGADO"))</f>
        <v>Comisiones Bancarias</v>
      </c>
      <c r="C364" s="51" t="s">
        <v>166</v>
      </c>
      <c r="D364" s="43">
        <v>2025.0</v>
      </c>
      <c r="E364" s="43" t="s">
        <v>374</v>
      </c>
      <c r="F364" s="170"/>
      <c r="G364" s="170">
        <v>45881.0</v>
      </c>
      <c r="H364" s="169" t="s">
        <v>549</v>
      </c>
      <c r="I364" s="243"/>
      <c r="J364" s="170">
        <v>45874.0</v>
      </c>
      <c r="L364" s="89">
        <v>45.0</v>
      </c>
      <c r="M364" s="106" t="str">
        <f>IF(ISBLANK(K364), "", VLOOKUP(C364, 'Info Tipo de Cambio y REM'!$A$24:$B$35, 2, FALSE))</f>
        <v/>
      </c>
      <c r="N364" s="107">
        <f t="shared" si="1"/>
        <v>45</v>
      </c>
    </row>
    <row r="365">
      <c r="A365" s="43" t="s">
        <v>185</v>
      </c>
      <c r="B365" s="43" t="str">
        <f>IF(A365="", "", IFERROR(VLOOKUP(A365, Clasificaciones!A:B, 2, FALSE), "DATO NO CARGADO"))</f>
        <v>Comisiones Bancarias</v>
      </c>
      <c r="C365" s="51" t="s">
        <v>166</v>
      </c>
      <c r="D365" s="43">
        <v>2025.0</v>
      </c>
      <c r="E365" s="43" t="s">
        <v>374</v>
      </c>
      <c r="F365" s="170"/>
      <c r="G365" s="170">
        <v>45882.0</v>
      </c>
      <c r="H365" s="169" t="s">
        <v>549</v>
      </c>
      <c r="I365" s="243"/>
      <c r="J365" s="170">
        <v>45875.0</v>
      </c>
      <c r="L365" s="89">
        <v>45.0</v>
      </c>
      <c r="M365" s="106" t="str">
        <f>IF(ISBLANK(K365), "", VLOOKUP(C365, 'Info Tipo de Cambio y REM'!$A$24:$B$35, 2, FALSE))</f>
        <v/>
      </c>
      <c r="N365" s="107">
        <f t="shared" si="1"/>
        <v>45</v>
      </c>
    </row>
    <row r="366">
      <c r="A366" s="43" t="s">
        <v>185</v>
      </c>
      <c r="B366" s="43" t="str">
        <f>IF(A366="", "", IFERROR(VLOOKUP(A366, Clasificaciones!A:B, 2, FALSE), "DATO NO CARGADO"))</f>
        <v>Comisiones Bancarias</v>
      </c>
      <c r="C366" s="51" t="s">
        <v>166</v>
      </c>
      <c r="D366" s="43">
        <v>2025.0</v>
      </c>
      <c r="E366" s="43" t="s">
        <v>374</v>
      </c>
      <c r="F366" s="170"/>
      <c r="G366" s="170">
        <v>45883.0</v>
      </c>
      <c r="H366" s="169" t="s">
        <v>549</v>
      </c>
      <c r="I366" s="243"/>
      <c r="J366" s="170">
        <v>45883.0</v>
      </c>
      <c r="L366" s="89">
        <v>45.0</v>
      </c>
      <c r="M366" s="106" t="str">
        <f>IF(ISBLANK(K366), "", VLOOKUP(C366, 'Info Tipo de Cambio y REM'!$A$24:$B$35, 2, FALSE))</f>
        <v/>
      </c>
      <c r="N366" s="107">
        <f t="shared" si="1"/>
        <v>45</v>
      </c>
    </row>
    <row r="367">
      <c r="A367" s="43" t="s">
        <v>185</v>
      </c>
      <c r="B367" s="43" t="str">
        <f>IF(A367="", "", IFERROR(VLOOKUP(A367, Clasificaciones!A:B, 2, FALSE), "DATO NO CARGADO"))</f>
        <v>Comisiones Bancarias</v>
      </c>
      <c r="C367" s="51" t="s">
        <v>166</v>
      </c>
      <c r="D367" s="43">
        <v>2025.0</v>
      </c>
      <c r="E367" s="43" t="s">
        <v>374</v>
      </c>
      <c r="F367" s="104"/>
      <c r="G367" s="104">
        <v>45874.0</v>
      </c>
      <c r="H367" s="169" t="s">
        <v>407</v>
      </c>
      <c r="I367" s="169" t="s">
        <v>699</v>
      </c>
      <c r="J367" s="104">
        <v>45874.0</v>
      </c>
      <c r="L367" s="89">
        <v>1489.0</v>
      </c>
      <c r="M367" s="106" t="str">
        <f>IF(ISBLANK(K367), "", VLOOKUP(C367, 'Info Tipo de Cambio y REM'!$A$24:$B$35, 2, FALSE))</f>
        <v/>
      </c>
      <c r="N367" s="107">
        <f t="shared" si="1"/>
        <v>1489</v>
      </c>
    </row>
    <row r="368">
      <c r="A368" s="43" t="s">
        <v>191</v>
      </c>
      <c r="B368" s="43" t="str">
        <f>IF(A368="", "", IFERROR(VLOOKUP(A368, Clasificaciones!A:B, 2, FALSE), "DATO NO CARGADO"))</f>
        <v>Tarjeta</v>
      </c>
      <c r="C368" s="51" t="s">
        <v>166</v>
      </c>
      <c r="D368" s="43">
        <v>2025.0</v>
      </c>
      <c r="E368" s="43" t="s">
        <v>374</v>
      </c>
      <c r="F368" s="170"/>
      <c r="G368" s="170">
        <v>45870.0</v>
      </c>
      <c r="H368" s="169" t="s">
        <v>700</v>
      </c>
      <c r="I368" s="243"/>
      <c r="J368" s="170">
        <v>45870.0</v>
      </c>
      <c r="L368" s="89">
        <v>14.0</v>
      </c>
      <c r="M368" s="106" t="str">
        <f>IF(ISBLANK(K368), "", VLOOKUP(C368, 'Info Tipo de Cambio y REM'!$A$24:$B$35, 2, FALSE))</f>
        <v/>
      </c>
      <c r="N368" s="107">
        <f t="shared" si="1"/>
        <v>14</v>
      </c>
    </row>
    <row r="369">
      <c r="A369" s="43" t="s">
        <v>191</v>
      </c>
      <c r="B369" s="43" t="str">
        <f>IF(A369="", "", IFERROR(VLOOKUP(A369, Clasificaciones!A:B, 2, FALSE), "DATO NO CARGADO"))</f>
        <v>Tarjeta</v>
      </c>
      <c r="C369" s="51" t="s">
        <v>166</v>
      </c>
      <c r="D369" s="43">
        <v>2025.0</v>
      </c>
      <c r="E369" s="43" t="s">
        <v>374</v>
      </c>
      <c r="F369" s="170"/>
      <c r="G369" s="170">
        <v>45873.0</v>
      </c>
      <c r="H369" s="169" t="s">
        <v>701</v>
      </c>
      <c r="I369" s="243"/>
      <c r="J369" s="170">
        <v>45873.0</v>
      </c>
      <c r="L369" s="89">
        <v>633.6</v>
      </c>
      <c r="M369" s="106" t="str">
        <f>IF(ISBLANK(K369), "", VLOOKUP(C369, 'Info Tipo de Cambio y REM'!$A$24:$B$35, 2, FALSE))</f>
        <v/>
      </c>
      <c r="N369" s="107">
        <f t="shared" si="1"/>
        <v>633.6</v>
      </c>
    </row>
    <row r="370">
      <c r="A370" s="43" t="s">
        <v>191</v>
      </c>
      <c r="B370" s="43" t="str">
        <f>IF(A370="", "", IFERROR(VLOOKUP(A370, Clasificaciones!A:B, 2, FALSE), "DATO NO CARGADO"))</f>
        <v>Tarjeta</v>
      </c>
      <c r="C370" s="51" t="s">
        <v>166</v>
      </c>
      <c r="D370" s="43">
        <v>2025.0</v>
      </c>
      <c r="E370" s="43" t="s">
        <v>374</v>
      </c>
      <c r="F370" s="170"/>
      <c r="G370" s="170">
        <v>45873.0</v>
      </c>
      <c r="H370" s="169" t="s">
        <v>702</v>
      </c>
      <c r="I370" s="243"/>
      <c r="J370" s="170">
        <v>45873.0</v>
      </c>
      <c r="L370" s="89">
        <v>6.08</v>
      </c>
      <c r="M370" s="106" t="str">
        <f>IF(ISBLANK(K370), "", VLOOKUP(C370, 'Info Tipo de Cambio y REM'!$A$24:$B$35, 2, FALSE))</f>
        <v/>
      </c>
      <c r="N370" s="107">
        <f t="shared" si="1"/>
        <v>6.08</v>
      </c>
    </row>
    <row r="371">
      <c r="A371" s="43" t="s">
        <v>191</v>
      </c>
      <c r="B371" s="43" t="str">
        <f>IF(A371="", "", IFERROR(VLOOKUP(A371, Clasificaciones!A:B, 2, FALSE), "DATO NO CARGADO"))</f>
        <v>Tarjeta</v>
      </c>
      <c r="C371" s="51" t="s">
        <v>166</v>
      </c>
      <c r="D371" s="43">
        <v>2025.0</v>
      </c>
      <c r="E371" s="43" t="s">
        <v>374</v>
      </c>
      <c r="F371" s="170"/>
      <c r="G371" s="170">
        <v>45873.0</v>
      </c>
      <c r="H371" s="169" t="s">
        <v>703</v>
      </c>
      <c r="I371" s="243"/>
      <c r="J371" s="170">
        <v>45873.0</v>
      </c>
      <c r="L371" s="89">
        <v>14.19</v>
      </c>
      <c r="M371" s="106" t="str">
        <f>IF(ISBLANK(K371), "", VLOOKUP(C371, 'Info Tipo de Cambio y REM'!$A$24:$B$35, 2, FALSE))</f>
        <v/>
      </c>
      <c r="N371" s="107">
        <f t="shared" si="1"/>
        <v>14.19</v>
      </c>
    </row>
    <row r="372">
      <c r="A372" s="43" t="s">
        <v>191</v>
      </c>
      <c r="B372" s="43" t="str">
        <f>IF(A372="", "", IFERROR(VLOOKUP(A372, Clasificaciones!A:B, 2, FALSE), "DATO NO CARGADO"))</f>
        <v>Tarjeta</v>
      </c>
      <c r="C372" s="51" t="s">
        <v>166</v>
      </c>
      <c r="D372" s="43">
        <v>2025.0</v>
      </c>
      <c r="E372" s="43" t="s">
        <v>374</v>
      </c>
      <c r="F372" s="170"/>
      <c r="G372" s="170">
        <v>45873.0</v>
      </c>
      <c r="H372" s="169" t="s">
        <v>704</v>
      </c>
      <c r="I372" s="243"/>
      <c r="J372" s="170">
        <v>45873.0</v>
      </c>
      <c r="L372" s="89">
        <v>22.99</v>
      </c>
      <c r="M372" s="106" t="str">
        <f>IF(ISBLANK(K372), "", VLOOKUP(C372, 'Info Tipo de Cambio y REM'!$A$24:$B$35, 2, FALSE))</f>
        <v/>
      </c>
      <c r="N372" s="107">
        <f t="shared" si="1"/>
        <v>22.99</v>
      </c>
    </row>
    <row r="373">
      <c r="A373" s="43" t="s">
        <v>191</v>
      </c>
      <c r="B373" s="43" t="str">
        <f>IF(A373="", "", IFERROR(VLOOKUP(A373, Clasificaciones!A:B, 2, FALSE), "DATO NO CARGADO"))</f>
        <v>Tarjeta</v>
      </c>
      <c r="C373" s="51" t="s">
        <v>166</v>
      </c>
      <c r="D373" s="43">
        <v>2025.0</v>
      </c>
      <c r="E373" s="43" t="s">
        <v>374</v>
      </c>
      <c r="F373" s="170"/>
      <c r="G373" s="170">
        <v>45876.0</v>
      </c>
      <c r="H373" s="169" t="s">
        <v>705</v>
      </c>
      <c r="I373" s="243"/>
      <c r="J373" s="170">
        <v>45876.0</v>
      </c>
      <c r="L373" s="89">
        <v>20.0</v>
      </c>
      <c r="M373" s="106" t="str">
        <f>IF(ISBLANK(K373), "", VLOOKUP(C373, 'Info Tipo de Cambio y REM'!$A$24:$B$35, 2, FALSE))</f>
        <v/>
      </c>
      <c r="N373" s="107">
        <f t="shared" si="1"/>
        <v>20</v>
      </c>
    </row>
    <row r="374">
      <c r="A374" s="43" t="s">
        <v>191</v>
      </c>
      <c r="B374" s="43" t="str">
        <f>IF(A374="", "", IFERROR(VLOOKUP(A374, Clasificaciones!A:B, 2, FALSE), "DATO NO CARGADO"))</f>
        <v>Tarjeta</v>
      </c>
      <c r="C374" s="51" t="s">
        <v>166</v>
      </c>
      <c r="D374" s="43">
        <v>2025.0</v>
      </c>
      <c r="E374" s="43" t="s">
        <v>374</v>
      </c>
      <c r="F374" s="170"/>
      <c r="G374" s="170">
        <v>45876.0</v>
      </c>
      <c r="H374" s="169" t="s">
        <v>706</v>
      </c>
      <c r="I374" s="243"/>
      <c r="J374" s="170">
        <v>45876.0</v>
      </c>
      <c r="L374" s="89">
        <v>6.49</v>
      </c>
      <c r="M374" s="106" t="str">
        <f>IF(ISBLANK(K374), "", VLOOKUP(C374, 'Info Tipo de Cambio y REM'!$A$24:$B$35, 2, FALSE))</f>
        <v/>
      </c>
      <c r="N374" s="107">
        <f t="shared" si="1"/>
        <v>6.49</v>
      </c>
    </row>
    <row r="375">
      <c r="A375" s="43" t="s">
        <v>191</v>
      </c>
      <c r="B375" s="43" t="str">
        <f>IF(A375="", "", IFERROR(VLOOKUP(A375, Clasificaciones!A:B, 2, FALSE), "DATO NO CARGADO"))</f>
        <v>Tarjeta</v>
      </c>
      <c r="C375" s="51" t="s">
        <v>166</v>
      </c>
      <c r="D375" s="43">
        <v>2025.0</v>
      </c>
      <c r="E375" s="43" t="s">
        <v>374</v>
      </c>
      <c r="F375" s="170"/>
      <c r="G375" s="170">
        <v>45877.0</v>
      </c>
      <c r="H375" s="169" t="s">
        <v>707</v>
      </c>
      <c r="I375" s="243"/>
      <c r="J375" s="170">
        <v>45877.0</v>
      </c>
      <c r="L375" s="89">
        <v>29.0</v>
      </c>
      <c r="M375" s="106" t="str">
        <f>IF(ISBLANK(K375), "", VLOOKUP(C375, 'Info Tipo de Cambio y REM'!$A$24:$B$35, 2, FALSE))</f>
        <v/>
      </c>
      <c r="N375" s="107">
        <f t="shared" si="1"/>
        <v>29</v>
      </c>
    </row>
    <row r="376">
      <c r="A376" s="43" t="s">
        <v>191</v>
      </c>
      <c r="B376" s="43" t="str">
        <f>IF(A376="", "", IFERROR(VLOOKUP(A376, Clasificaciones!A:B, 2, FALSE), "DATO NO CARGADO"))</f>
        <v>Tarjeta</v>
      </c>
      <c r="C376" s="51" t="s">
        <v>166</v>
      </c>
      <c r="D376" s="43">
        <v>2025.0</v>
      </c>
      <c r="E376" s="43" t="s">
        <v>374</v>
      </c>
      <c r="F376" s="170"/>
      <c r="G376" s="170">
        <v>45880.0</v>
      </c>
      <c r="H376" s="169" t="s">
        <v>708</v>
      </c>
      <c r="I376" s="243"/>
      <c r="J376" s="170">
        <v>45880.0</v>
      </c>
      <c r="L376" s="89">
        <v>491.63</v>
      </c>
      <c r="M376" s="106" t="str">
        <f>IF(ISBLANK(K376), "", VLOOKUP(C376, 'Info Tipo de Cambio y REM'!$A$24:$B$35, 2, FALSE))</f>
        <v/>
      </c>
      <c r="N376" s="107">
        <f t="shared" si="1"/>
        <v>491.63</v>
      </c>
    </row>
    <row r="377">
      <c r="A377" s="43" t="s">
        <v>191</v>
      </c>
      <c r="B377" s="43" t="str">
        <f>IF(A377="", "", IFERROR(VLOOKUP(A377, Clasificaciones!A:B, 2, FALSE), "DATO NO CARGADO"))</f>
        <v>Tarjeta</v>
      </c>
      <c r="C377" s="51" t="s">
        <v>166</v>
      </c>
      <c r="D377" s="43">
        <v>2025.0</v>
      </c>
      <c r="E377" s="43" t="s">
        <v>374</v>
      </c>
      <c r="F377" s="170"/>
      <c r="G377" s="170">
        <v>45881.0</v>
      </c>
      <c r="H377" s="169" t="s">
        <v>709</v>
      </c>
      <c r="I377" s="243"/>
      <c r="J377" s="170">
        <v>45881.0</v>
      </c>
      <c r="L377" s="89">
        <v>20.0</v>
      </c>
      <c r="M377" s="106" t="str">
        <f>IF(ISBLANK(K377), "", VLOOKUP(C377, 'Info Tipo de Cambio y REM'!$A$24:$B$35, 2, FALSE))</f>
        <v/>
      </c>
      <c r="N377" s="107">
        <f t="shared" si="1"/>
        <v>20</v>
      </c>
    </row>
    <row r="378">
      <c r="A378" s="43" t="s">
        <v>173</v>
      </c>
      <c r="B378" s="43" t="str">
        <f>IF(A378="", "", IFERROR(VLOOKUP(A378, Clasificaciones!A:B, 2, FALSE), "DATO NO CARGADO"))</f>
        <v>Suscripciones/Herramientas</v>
      </c>
      <c r="C378" s="51" t="s">
        <v>166</v>
      </c>
      <c r="D378" s="43">
        <v>2025.0</v>
      </c>
      <c r="E378" s="43" t="s">
        <v>374</v>
      </c>
      <c r="F378" s="170"/>
      <c r="G378" s="170">
        <v>45883.0</v>
      </c>
      <c r="H378" s="169" t="s">
        <v>419</v>
      </c>
      <c r="I378" s="243"/>
      <c r="J378" s="170">
        <v>45883.0</v>
      </c>
      <c r="L378" s="89">
        <v>10634.0</v>
      </c>
      <c r="M378" s="106" t="str">
        <f>IF(ISBLANK(K378), "", VLOOKUP(C378, 'Info Tipo de Cambio y REM'!$A$24:$B$35, 2, FALSE))</f>
        <v/>
      </c>
      <c r="N378" s="107">
        <f t="shared" si="1"/>
        <v>10634</v>
      </c>
    </row>
    <row r="379">
      <c r="A379" s="43" t="s">
        <v>223</v>
      </c>
      <c r="B379" s="43" t="str">
        <f>IF(A379="", "", IFERROR(VLOOKUP(A379, Clasificaciones!A:B, 2, FALSE), "DATO NO CARGADO"))</f>
        <v>Otros Proveedores</v>
      </c>
      <c r="C379" s="51" t="s">
        <v>166</v>
      </c>
      <c r="D379" s="43">
        <v>2025.0</v>
      </c>
      <c r="E379" s="43" t="s">
        <v>374</v>
      </c>
      <c r="F379" s="129"/>
      <c r="G379" s="129">
        <v>45882.0</v>
      </c>
      <c r="H379" s="59" t="s">
        <v>710</v>
      </c>
      <c r="I379" s="59" t="s">
        <v>534</v>
      </c>
      <c r="J379" s="129">
        <v>45882.0</v>
      </c>
      <c r="K379" s="244">
        <v>143990.0</v>
      </c>
      <c r="L379" s="71"/>
      <c r="M379" s="106" t="str">
        <f>IF(ISBLANK(K379), "", VLOOKUP(C379, 'Info Tipo de Cambio y REM'!$A$24:$B$35, 2, FALSE))</f>
        <v>#N/A</v>
      </c>
      <c r="N379" s="107" t="str">
        <f t="shared" si="1"/>
        <v/>
      </c>
    </row>
    <row r="380">
      <c r="A380" s="43" t="s">
        <v>225</v>
      </c>
      <c r="B380" s="43" t="str">
        <f>IF(A380="", "", IFERROR(VLOOKUP(A380, Clasificaciones!A:B, 2, FALSE), "DATO NO CARGADO"))</f>
        <v>Gastos Varios</v>
      </c>
      <c r="C380" s="51" t="s">
        <v>166</v>
      </c>
      <c r="D380" s="43">
        <v>2025.0</v>
      </c>
      <c r="E380" s="43" t="s">
        <v>374</v>
      </c>
      <c r="F380" s="129"/>
      <c r="G380" s="129">
        <v>45882.0</v>
      </c>
      <c r="H380" s="59" t="s">
        <v>711</v>
      </c>
      <c r="I380" s="59" t="s">
        <v>712</v>
      </c>
      <c r="J380" s="129">
        <v>45882.0</v>
      </c>
      <c r="K380" s="244">
        <v>72000.0</v>
      </c>
      <c r="L380" s="71"/>
      <c r="M380" s="106" t="str">
        <f>IF(ISBLANK(K380), "", VLOOKUP(C380, 'Info Tipo de Cambio y REM'!$A$24:$B$35, 2, FALSE))</f>
        <v>#N/A</v>
      </c>
      <c r="N380" s="107" t="str">
        <f t="shared" si="1"/>
        <v/>
      </c>
    </row>
    <row r="381">
      <c r="A381" s="43" t="s">
        <v>230</v>
      </c>
      <c r="B381" s="43" t="str">
        <f>IF(A381="", "", IFERROR(VLOOKUP(A381, Clasificaciones!A:B, 2, FALSE), "DATO NO CARGADO"))</f>
        <v>Equipo</v>
      </c>
      <c r="C381" s="51" t="s">
        <v>166</v>
      </c>
      <c r="D381" s="43">
        <v>2025.0</v>
      </c>
      <c r="E381" s="43" t="s">
        <v>374</v>
      </c>
      <c r="F381" s="129"/>
      <c r="G381" s="129">
        <v>45881.0</v>
      </c>
      <c r="H381" s="59" t="s">
        <v>713</v>
      </c>
      <c r="I381" s="59" t="s">
        <v>577</v>
      </c>
      <c r="J381" s="129">
        <v>45881.0</v>
      </c>
      <c r="K381" s="245">
        <v>169473.0</v>
      </c>
      <c r="L381" s="71"/>
      <c r="M381" s="106" t="str">
        <f>IF(ISBLANK(K381), "", VLOOKUP(C381, 'Info Tipo de Cambio y REM'!$A$24:$B$35, 2, FALSE))</f>
        <v>#N/A</v>
      </c>
      <c r="N381" s="107" t="str">
        <f t="shared" si="1"/>
        <v/>
      </c>
    </row>
    <row r="382">
      <c r="A382" s="43" t="s">
        <v>207</v>
      </c>
      <c r="B382" s="43" t="str">
        <f>IF(A382="", "", IFERROR(VLOOKUP(A382, Clasificaciones!A:B, 2, FALSE), "DATO NO CARGADO"))</f>
        <v>Equipo</v>
      </c>
      <c r="C382" s="51" t="s">
        <v>166</v>
      </c>
      <c r="D382" s="43">
        <v>2025.0</v>
      </c>
      <c r="E382" s="43" t="s">
        <v>374</v>
      </c>
      <c r="F382" s="129"/>
      <c r="G382" s="129">
        <v>45881.0</v>
      </c>
      <c r="H382" s="59" t="s">
        <v>714</v>
      </c>
      <c r="I382" s="59" t="s">
        <v>389</v>
      </c>
      <c r="J382" s="129">
        <v>45881.0</v>
      </c>
      <c r="K382" s="245">
        <v>26385.0</v>
      </c>
      <c r="L382" s="71"/>
      <c r="M382" s="106" t="str">
        <f>IF(ISBLANK(K382), "", VLOOKUP(C382, 'Info Tipo de Cambio y REM'!$A$24:$B$35, 2, FALSE))</f>
        <v>#N/A</v>
      </c>
      <c r="N382" s="107" t="str">
        <f t="shared" si="1"/>
        <v/>
      </c>
    </row>
    <row r="383">
      <c r="A383" s="43" t="s">
        <v>229</v>
      </c>
      <c r="B383" s="43" t="str">
        <f>IF(A383="", "", IFERROR(VLOOKUP(A383, Clasificaciones!A:B, 2, FALSE), "DATO NO CARGADO"))</f>
        <v>Equipo</v>
      </c>
      <c r="C383" s="51" t="s">
        <v>166</v>
      </c>
      <c r="D383" s="43">
        <v>2025.0</v>
      </c>
      <c r="E383" s="43" t="s">
        <v>374</v>
      </c>
      <c r="F383" s="129"/>
      <c r="G383" s="129">
        <v>45881.0</v>
      </c>
      <c r="H383" s="59" t="s">
        <v>715</v>
      </c>
      <c r="I383" s="59" t="s">
        <v>504</v>
      </c>
      <c r="J383" s="129">
        <v>45881.0</v>
      </c>
      <c r="K383" s="245">
        <v>436875.0</v>
      </c>
      <c r="L383" s="71"/>
      <c r="M383" s="106" t="str">
        <f>IF(ISBLANK(K383), "", VLOOKUP(C383, 'Info Tipo de Cambio y REM'!$A$24:$B$35, 2, FALSE))</f>
        <v>#N/A</v>
      </c>
      <c r="N383" s="107" t="str">
        <f t="shared" si="1"/>
        <v/>
      </c>
    </row>
    <row r="384">
      <c r="A384" s="43" t="s">
        <v>205</v>
      </c>
      <c r="B384" s="43" t="str">
        <f>IF(A384="", "", IFERROR(VLOOKUP(A384, Clasificaciones!A:B, 2, FALSE), "DATO NO CARGADO"))</f>
        <v>Equipo</v>
      </c>
      <c r="C384" s="51" t="s">
        <v>166</v>
      </c>
      <c r="D384" s="43">
        <v>2025.0</v>
      </c>
      <c r="E384" s="43" t="s">
        <v>374</v>
      </c>
      <c r="F384" s="129"/>
      <c r="G384" s="129">
        <v>45881.0</v>
      </c>
      <c r="H384" s="59" t="s">
        <v>716</v>
      </c>
      <c r="I384" s="59" t="s">
        <v>379</v>
      </c>
      <c r="J384" s="129">
        <v>45881.0</v>
      </c>
      <c r="K384" s="245">
        <v>89131.0</v>
      </c>
      <c r="L384" s="71"/>
      <c r="M384" s="106" t="str">
        <f>IF(ISBLANK(K384), "", VLOOKUP(C384, 'Info Tipo de Cambio y REM'!$A$24:$B$35, 2, FALSE))</f>
        <v>#N/A</v>
      </c>
      <c r="N384" s="107" t="str">
        <f t="shared" si="1"/>
        <v/>
      </c>
    </row>
    <row r="385">
      <c r="A385" s="43" t="s">
        <v>216</v>
      </c>
      <c r="B385" s="43" t="str">
        <f>IF(A385="", "", IFERROR(VLOOKUP(A385, Clasificaciones!A:B, 2, FALSE), "DATO NO CARGADO"))</f>
        <v>Equipo</v>
      </c>
      <c r="C385" s="51" t="s">
        <v>166</v>
      </c>
      <c r="D385" s="43">
        <v>2025.0</v>
      </c>
      <c r="E385" s="43" t="s">
        <v>374</v>
      </c>
      <c r="F385" s="129"/>
      <c r="G385" s="129">
        <v>45881.0</v>
      </c>
      <c r="H385" s="59" t="s">
        <v>717</v>
      </c>
      <c r="I385" s="59" t="s">
        <v>401</v>
      </c>
      <c r="J385" s="129">
        <v>45881.0</v>
      </c>
      <c r="K385" s="245">
        <v>1049356.0</v>
      </c>
      <c r="L385" s="71"/>
      <c r="M385" s="106" t="str">
        <f>IF(ISBLANK(K385), "", VLOOKUP(C385, 'Info Tipo de Cambio y REM'!$A$24:$B$35, 2, FALSE))</f>
        <v>#N/A</v>
      </c>
      <c r="N385" s="107" t="str">
        <f t="shared" si="1"/>
        <v/>
      </c>
    </row>
    <row r="386">
      <c r="A386" s="43" t="s">
        <v>210</v>
      </c>
      <c r="B386" s="43" t="str">
        <f>IF(A386="", "", IFERROR(VLOOKUP(A386, Clasificaciones!A:B, 2, FALSE), "DATO NO CARGADO"))</f>
        <v>Equipo</v>
      </c>
      <c r="C386" s="51" t="s">
        <v>166</v>
      </c>
      <c r="D386" s="43">
        <v>2025.0</v>
      </c>
      <c r="E386" s="43" t="s">
        <v>374</v>
      </c>
      <c r="F386" s="129"/>
      <c r="G386" s="129">
        <v>45881.0</v>
      </c>
      <c r="H386" s="59" t="s">
        <v>718</v>
      </c>
      <c r="I386" s="59" t="s">
        <v>397</v>
      </c>
      <c r="J386" s="129">
        <v>45881.0</v>
      </c>
      <c r="K386" s="245">
        <v>326820.0</v>
      </c>
      <c r="L386" s="71"/>
      <c r="M386" s="106" t="str">
        <f>IF(ISBLANK(K386), "", VLOOKUP(C386, 'Info Tipo de Cambio y REM'!$A$24:$B$35, 2, FALSE))</f>
        <v>#N/A</v>
      </c>
      <c r="N386" s="107" t="str">
        <f t="shared" si="1"/>
        <v/>
      </c>
    </row>
    <row r="387">
      <c r="A387" s="43" t="s">
        <v>197</v>
      </c>
      <c r="B387" s="43" t="str">
        <f>IF(A387="", "", IFERROR(VLOOKUP(A387, Clasificaciones!A:B, 2, FALSE), "DATO NO CARGADO"))</f>
        <v>Equipo</v>
      </c>
      <c r="C387" s="51" t="s">
        <v>166</v>
      </c>
      <c r="D387" s="43">
        <v>2025.0</v>
      </c>
      <c r="E387" s="43" t="s">
        <v>374</v>
      </c>
      <c r="F387" s="129"/>
      <c r="G387" s="129">
        <v>45881.0</v>
      </c>
      <c r="H387" s="59" t="s">
        <v>719</v>
      </c>
      <c r="I387" s="59" t="s">
        <v>411</v>
      </c>
      <c r="J387" s="129">
        <v>45881.0</v>
      </c>
      <c r="K387" s="245">
        <v>111181.0</v>
      </c>
      <c r="L387" s="71"/>
      <c r="M387" s="106" t="str">
        <f>IF(ISBLANK(K387), "", VLOOKUP(C387, 'Info Tipo de Cambio y REM'!$A$24:$B$35, 2, FALSE))</f>
        <v>#N/A</v>
      </c>
      <c r="N387" s="107" t="str">
        <f t="shared" si="1"/>
        <v/>
      </c>
    </row>
    <row r="388">
      <c r="A388" s="43" t="s">
        <v>226</v>
      </c>
      <c r="B388" s="43" t="str">
        <f>IF(A388="", "", IFERROR(VLOOKUP(A388, Clasificaciones!A:B, 2, FALSE), "DATO NO CARGADO"))</f>
        <v>Administración Finanzas</v>
      </c>
      <c r="C388" s="51" t="s">
        <v>166</v>
      </c>
      <c r="D388" s="43">
        <v>2025.0</v>
      </c>
      <c r="E388" s="43" t="s">
        <v>374</v>
      </c>
      <c r="F388" s="129"/>
      <c r="G388" s="129">
        <v>45881.0</v>
      </c>
      <c r="H388" s="59" t="s">
        <v>720</v>
      </c>
      <c r="I388" s="59" t="s">
        <v>383</v>
      </c>
      <c r="J388" s="129">
        <v>45881.0</v>
      </c>
      <c r="K388" s="244">
        <v>537700.0</v>
      </c>
      <c r="L388" s="71"/>
      <c r="M388" s="106" t="str">
        <f>IF(ISBLANK(K388), "", VLOOKUP(C388, 'Info Tipo de Cambio y REM'!$A$24:$B$35, 2, FALSE))</f>
        <v>#N/A</v>
      </c>
      <c r="N388" s="107" t="str">
        <f t="shared" si="1"/>
        <v/>
      </c>
    </row>
    <row r="389">
      <c r="A389" s="43" t="s">
        <v>87</v>
      </c>
      <c r="B389" s="43" t="str">
        <f>IF(A389="", "", IFERROR(VLOOKUP(A389, Clasificaciones!A:B, 2, FALSE), "DATO NO CARGADO"))</f>
        <v>Equipo</v>
      </c>
      <c r="C389" s="51" t="s">
        <v>166</v>
      </c>
      <c r="D389" s="43">
        <v>2025.0</v>
      </c>
      <c r="E389" s="43" t="s">
        <v>374</v>
      </c>
      <c r="F389" s="129"/>
      <c r="G389" s="129">
        <v>45881.0</v>
      </c>
      <c r="H389" s="59" t="s">
        <v>721</v>
      </c>
      <c r="I389" s="59" t="s">
        <v>391</v>
      </c>
      <c r="J389" s="129">
        <v>45881.0</v>
      </c>
      <c r="K389" s="245">
        <v>1150600.0</v>
      </c>
      <c r="L389" s="71"/>
      <c r="M389" s="106" t="str">
        <f>IF(ISBLANK(K389), "", VLOOKUP(C389, 'Info Tipo de Cambio y REM'!$A$24:$B$35, 2, FALSE))</f>
        <v>#N/A</v>
      </c>
      <c r="N389" s="107" t="str">
        <f t="shared" si="1"/>
        <v/>
      </c>
    </row>
    <row r="390">
      <c r="A390" s="43" t="s">
        <v>221</v>
      </c>
      <c r="B390" s="43" t="str">
        <f>IF(A390="", "", IFERROR(VLOOKUP(A390, Clasificaciones!A:B, 2, FALSE), "DATO NO CARGADO"))</f>
        <v>Equipo</v>
      </c>
      <c r="C390" s="51" t="s">
        <v>166</v>
      </c>
      <c r="D390" s="43">
        <v>2025.0</v>
      </c>
      <c r="E390" s="43" t="s">
        <v>374</v>
      </c>
      <c r="F390" s="129"/>
      <c r="G390" s="129">
        <v>45881.0</v>
      </c>
      <c r="H390" s="59" t="s">
        <v>722</v>
      </c>
      <c r="I390" s="59" t="s">
        <v>407</v>
      </c>
      <c r="J390" s="129">
        <v>45881.0</v>
      </c>
      <c r="K390" s="245">
        <v>237372.0</v>
      </c>
      <c r="L390" s="71"/>
      <c r="M390" s="106" t="str">
        <f>IF(ISBLANK(K390), "", VLOOKUP(C390, 'Info Tipo de Cambio y REM'!$A$24:$B$35, 2, FALSE))</f>
        <v>#N/A</v>
      </c>
      <c r="N390" s="107" t="str">
        <f t="shared" si="1"/>
        <v/>
      </c>
    </row>
    <row r="391">
      <c r="A391" s="43" t="s">
        <v>200</v>
      </c>
      <c r="B391" s="43" t="str">
        <f>IF(A391="", "", IFERROR(VLOOKUP(A391, Clasificaciones!A:B, 2, FALSE), "DATO NO CARGADO"))</f>
        <v>Equipo</v>
      </c>
      <c r="C391" s="51" t="s">
        <v>166</v>
      </c>
      <c r="D391" s="43">
        <v>2025.0</v>
      </c>
      <c r="E391" s="43" t="s">
        <v>374</v>
      </c>
      <c r="F391" s="129"/>
      <c r="G391" s="129">
        <v>45881.0</v>
      </c>
      <c r="H391" s="59" t="s">
        <v>723</v>
      </c>
      <c r="I391" s="59" t="s">
        <v>381</v>
      </c>
      <c r="J391" s="129">
        <v>45881.0</v>
      </c>
      <c r="K391" s="245">
        <v>260763.0</v>
      </c>
      <c r="L391" s="71"/>
      <c r="M391" s="106" t="str">
        <f>IF(ISBLANK(K391), "", VLOOKUP(C391, 'Info Tipo de Cambio y REM'!$A$24:$B$35, 2, FALSE))</f>
        <v>#N/A</v>
      </c>
      <c r="N391" s="107" t="str">
        <f t="shared" si="1"/>
        <v/>
      </c>
    </row>
    <row r="392">
      <c r="A392" s="43" t="s">
        <v>218</v>
      </c>
      <c r="B392" s="43" t="str">
        <f>IF(A392="", "", IFERROR(VLOOKUP(A392, Clasificaciones!A:B, 2, FALSE), "DATO NO CARGADO"))</f>
        <v>Equipo</v>
      </c>
      <c r="C392" s="51" t="s">
        <v>166</v>
      </c>
      <c r="D392" s="43">
        <v>2025.0</v>
      </c>
      <c r="E392" s="43" t="s">
        <v>374</v>
      </c>
      <c r="F392" s="129"/>
      <c r="G392" s="129">
        <v>45881.0</v>
      </c>
      <c r="H392" s="59" t="s">
        <v>724</v>
      </c>
      <c r="I392" s="59" t="s">
        <v>414</v>
      </c>
      <c r="J392" s="129">
        <v>45881.0</v>
      </c>
      <c r="K392" s="245">
        <v>912000.0</v>
      </c>
      <c r="L392" s="71"/>
      <c r="M392" s="106" t="str">
        <f>IF(ISBLANK(K392), "", VLOOKUP(C392, 'Info Tipo de Cambio y REM'!$A$24:$B$35, 2, FALSE))</f>
        <v>#N/A</v>
      </c>
      <c r="N392" s="107" t="str">
        <f t="shared" si="1"/>
        <v/>
      </c>
    </row>
    <row r="393">
      <c r="A393" s="43" t="s">
        <v>203</v>
      </c>
      <c r="B393" s="43" t="str">
        <f>IF(A393="", "", IFERROR(VLOOKUP(A393, Clasificaciones!A:B, 2, FALSE), "DATO NO CARGADO"))</f>
        <v>Equipo</v>
      </c>
      <c r="C393" s="51" t="s">
        <v>166</v>
      </c>
      <c r="D393" s="43">
        <v>2025.0</v>
      </c>
      <c r="E393" s="43" t="s">
        <v>374</v>
      </c>
      <c r="F393" s="129"/>
      <c r="G393" s="129">
        <v>45881.0</v>
      </c>
      <c r="H393" s="59" t="s">
        <v>725</v>
      </c>
      <c r="I393" s="59" t="s">
        <v>409</v>
      </c>
      <c r="J393" s="129">
        <v>45881.0</v>
      </c>
      <c r="K393" s="245">
        <v>318008.0</v>
      </c>
      <c r="L393" s="71"/>
      <c r="M393" s="106" t="str">
        <f>IF(ISBLANK(K393), "", VLOOKUP(C393, 'Info Tipo de Cambio y REM'!$A$24:$B$35, 2, FALSE))</f>
        <v>#N/A</v>
      </c>
      <c r="N393" s="107" t="str">
        <f t="shared" si="1"/>
        <v/>
      </c>
    </row>
    <row r="394">
      <c r="A394" s="43" t="s">
        <v>194</v>
      </c>
      <c r="B394" s="43" t="str">
        <f>IF(A394="", "", IFERROR(VLOOKUP(A394, Clasificaciones!A:B, 2, FALSE), "DATO NO CARGADO"))</f>
        <v>Equipo</v>
      </c>
      <c r="C394" s="51" t="s">
        <v>166</v>
      </c>
      <c r="D394" s="43">
        <v>2025.0</v>
      </c>
      <c r="E394" s="43" t="s">
        <v>374</v>
      </c>
      <c r="F394" s="129"/>
      <c r="G394" s="129">
        <v>45881.0</v>
      </c>
      <c r="H394" s="59" t="s">
        <v>726</v>
      </c>
      <c r="I394" s="59" t="s">
        <v>403</v>
      </c>
      <c r="J394" s="129">
        <v>45881.0</v>
      </c>
      <c r="K394" s="245">
        <v>503308.0</v>
      </c>
      <c r="L394" s="71"/>
      <c r="M394" s="106" t="str">
        <f>IF(ISBLANK(K394), "", VLOOKUP(C394, 'Info Tipo de Cambio y REM'!$A$24:$B$35, 2, FALSE))</f>
        <v>#N/A</v>
      </c>
      <c r="N394" s="107" t="str">
        <f t="shared" si="1"/>
        <v/>
      </c>
    </row>
    <row r="395">
      <c r="A395" s="43" t="s">
        <v>228</v>
      </c>
      <c r="B395" s="43" t="str">
        <f>IF(A395="", "", IFERROR(VLOOKUP(A395, Clasificaciones!A:B, 2, FALSE), "DATO NO CARGADO"))</f>
        <v>Equipo</v>
      </c>
      <c r="C395" s="51" t="s">
        <v>166</v>
      </c>
      <c r="D395" s="43">
        <v>2025.0</v>
      </c>
      <c r="E395" s="43" t="s">
        <v>374</v>
      </c>
      <c r="F395" s="129"/>
      <c r="G395" s="129">
        <v>45881.0</v>
      </c>
      <c r="H395" s="59" t="s">
        <v>727</v>
      </c>
      <c r="I395" s="59" t="s">
        <v>436</v>
      </c>
      <c r="J395" s="129">
        <v>45881.0</v>
      </c>
      <c r="K395" s="245">
        <v>296488.0</v>
      </c>
      <c r="L395" s="71"/>
      <c r="M395" s="106" t="str">
        <f>IF(ISBLANK(K395), "", VLOOKUP(C395, 'Info Tipo de Cambio y REM'!$A$24:$B$35, 2, FALSE))</f>
        <v>#N/A</v>
      </c>
      <c r="N395" s="107" t="str">
        <f t="shared" si="1"/>
        <v/>
      </c>
    </row>
    <row r="396">
      <c r="A396" s="43" t="s">
        <v>219</v>
      </c>
      <c r="B396" s="43" t="str">
        <f>IF(A396="", "", IFERROR(VLOOKUP(A396, Clasificaciones!A:B, 2, FALSE), "DATO NO CARGADO"))</f>
        <v>Gastos Varios</v>
      </c>
      <c r="C396" s="51" t="s">
        <v>166</v>
      </c>
      <c r="D396" s="43">
        <v>2025.0</v>
      </c>
      <c r="E396" s="43" t="s">
        <v>374</v>
      </c>
      <c r="F396" s="129"/>
      <c r="G396" s="129">
        <v>45876.0</v>
      </c>
      <c r="H396" s="59" t="s">
        <v>728</v>
      </c>
      <c r="I396" s="59" t="s">
        <v>399</v>
      </c>
      <c r="J396" s="129">
        <v>45876.0</v>
      </c>
      <c r="K396" s="244">
        <v>712040.0</v>
      </c>
      <c r="L396" s="71"/>
      <c r="M396" s="106" t="str">
        <f>IF(ISBLANK(K396), "", VLOOKUP(C396, 'Info Tipo de Cambio y REM'!$A$24:$B$35, 2, FALSE))</f>
        <v>#N/A</v>
      </c>
      <c r="N396" s="107" t="str">
        <f t="shared" si="1"/>
        <v/>
      </c>
    </row>
    <row r="397">
      <c r="A397" s="43" t="s">
        <v>139</v>
      </c>
      <c r="B397" s="43" t="str">
        <f>IF(A397="", "", IFERROR(VLOOKUP(A397, Clasificaciones!A:B, 2, FALSE), "DATO NO CARGADO"))</f>
        <v>People</v>
      </c>
      <c r="C397" s="51" t="s">
        <v>166</v>
      </c>
      <c r="D397" s="43">
        <v>2025.0</v>
      </c>
      <c r="E397" s="43" t="s">
        <v>374</v>
      </c>
      <c r="F397" s="129"/>
      <c r="G397" s="129">
        <v>45881.0</v>
      </c>
      <c r="H397" s="59" t="s">
        <v>729</v>
      </c>
      <c r="I397" s="59" t="s">
        <v>413</v>
      </c>
      <c r="J397" s="129">
        <v>45881.0</v>
      </c>
      <c r="K397" s="244">
        <v>38048.66</v>
      </c>
      <c r="L397" s="71"/>
      <c r="M397" s="106" t="str">
        <f>IF(ISBLANK(K397), "", VLOOKUP(C397, 'Info Tipo de Cambio y REM'!$A$24:$B$35, 2, FALSE))</f>
        <v>#N/A</v>
      </c>
      <c r="N397" s="107" t="str">
        <f t="shared" si="1"/>
        <v/>
      </c>
    </row>
    <row r="398">
      <c r="A398" s="43" t="s">
        <v>191</v>
      </c>
      <c r="B398" s="43" t="str">
        <f>IF(A398="", "", IFERROR(VLOOKUP(A398, Clasificaciones!A:B, 2, FALSE), "DATO NO CARGADO"))</f>
        <v>Tarjeta</v>
      </c>
      <c r="C398" s="51" t="s">
        <v>166</v>
      </c>
      <c r="D398" s="43">
        <v>2025.0</v>
      </c>
      <c r="E398" s="43" t="s">
        <v>374</v>
      </c>
      <c r="F398" s="104"/>
      <c r="G398" s="104">
        <v>45887.0</v>
      </c>
      <c r="H398" s="83" t="s">
        <v>730</v>
      </c>
      <c r="I398" s="43" t="s">
        <v>731</v>
      </c>
      <c r="J398" s="104">
        <v>45887.0</v>
      </c>
      <c r="L398" s="89">
        <v>5.0</v>
      </c>
      <c r="M398" s="106" t="str">
        <f>IF(ISBLANK(K398), "", VLOOKUP(C398, 'Info Tipo de Cambio y REM'!$A$24:$B$35, 2, FALSE))</f>
        <v/>
      </c>
      <c r="N398" s="107">
        <f t="shared" si="1"/>
        <v>5</v>
      </c>
    </row>
    <row r="399">
      <c r="A399" s="43" t="s">
        <v>191</v>
      </c>
      <c r="B399" s="43" t="str">
        <f>IF(A399="", "", IFERROR(VLOOKUP(A399, Clasificaciones!A:B, 2, FALSE), "DATO NO CARGADO"))</f>
        <v>Tarjeta</v>
      </c>
      <c r="C399" s="51" t="s">
        <v>166</v>
      </c>
      <c r="D399" s="43">
        <v>2025.0</v>
      </c>
      <c r="E399" s="43" t="s">
        <v>374</v>
      </c>
      <c r="F399" s="104"/>
      <c r="G399" s="104">
        <v>45888.0</v>
      </c>
      <c r="H399" s="83" t="s">
        <v>732</v>
      </c>
      <c r="J399" s="104">
        <v>45888.0</v>
      </c>
      <c r="L399" s="123">
        <v>501.77</v>
      </c>
      <c r="M399" s="106" t="str">
        <f>IF(ISBLANK(K399), "", VLOOKUP(C399, 'Info Tipo de Cambio y REM'!$A$24:$B$35, 2, FALSE))</f>
        <v/>
      </c>
      <c r="N399" s="107">
        <f t="shared" si="1"/>
        <v>501.77</v>
      </c>
    </row>
    <row r="400">
      <c r="A400" s="43" t="s">
        <v>191</v>
      </c>
      <c r="B400" s="43" t="str">
        <f>IF(A400="", "", IFERROR(VLOOKUP(A400, Clasificaciones!A:B, 2, FALSE), "DATO NO CARGADO"))</f>
        <v>Tarjeta</v>
      </c>
      <c r="C400" s="51" t="s">
        <v>166</v>
      </c>
      <c r="D400" s="43">
        <v>2025.0</v>
      </c>
      <c r="E400" s="43" t="s">
        <v>374</v>
      </c>
      <c r="F400" s="104"/>
      <c r="G400" s="104">
        <v>45888.0</v>
      </c>
      <c r="H400" s="83" t="s">
        <v>733</v>
      </c>
      <c r="J400" s="104">
        <v>45888.0</v>
      </c>
      <c r="L400" s="123">
        <v>22.26</v>
      </c>
      <c r="M400" s="106" t="str">
        <f>IF(ISBLANK(K400), "", VLOOKUP(C400, 'Info Tipo de Cambio y REM'!$A$24:$B$35, 2, FALSE))</f>
        <v/>
      </c>
      <c r="N400" s="107">
        <f t="shared" si="1"/>
        <v>22.26</v>
      </c>
    </row>
    <row r="401">
      <c r="A401" s="43" t="s">
        <v>191</v>
      </c>
      <c r="B401" s="43" t="str">
        <f>IF(A401="", "", IFERROR(VLOOKUP(A401, Clasificaciones!A:B, 2, FALSE), "DATO NO CARGADO"))</f>
        <v>Tarjeta</v>
      </c>
      <c r="C401" s="51" t="s">
        <v>166</v>
      </c>
      <c r="D401" s="43">
        <v>2025.0</v>
      </c>
      <c r="E401" s="43" t="s">
        <v>374</v>
      </c>
      <c r="F401" s="104"/>
      <c r="G401" s="104">
        <v>45891.0</v>
      </c>
      <c r="H401" s="83" t="s">
        <v>734</v>
      </c>
      <c r="J401" s="104">
        <v>45891.0</v>
      </c>
      <c r="L401" s="123">
        <v>45.0</v>
      </c>
      <c r="M401" s="106" t="str">
        <f>IF(ISBLANK(K401), "", VLOOKUP(C401, 'Info Tipo de Cambio y REM'!$A$24:$B$35, 2, FALSE))</f>
        <v/>
      </c>
      <c r="N401" s="107">
        <f t="shared" si="1"/>
        <v>45</v>
      </c>
    </row>
    <row r="402">
      <c r="A402" s="43" t="s">
        <v>214</v>
      </c>
      <c r="B402" s="43" t="str">
        <f>IF(A402="", "", IFERROR(VLOOKUP(A402, Clasificaciones!A:B, 2, FALSE), "DATO NO CARGADO"))</f>
        <v>Equipo</v>
      </c>
      <c r="C402" s="51" t="s">
        <v>166</v>
      </c>
      <c r="D402" s="43">
        <v>2025.0</v>
      </c>
      <c r="E402" s="43" t="s">
        <v>371</v>
      </c>
      <c r="F402" s="104"/>
      <c r="G402" s="104">
        <v>45894.0</v>
      </c>
      <c r="H402" s="246" t="s">
        <v>735</v>
      </c>
      <c r="I402" s="43" t="s">
        <v>736</v>
      </c>
      <c r="J402" s="104">
        <v>45901.0</v>
      </c>
      <c r="L402" s="89">
        <v>408.0</v>
      </c>
      <c r="M402" s="106" t="str">
        <f>IF(ISBLANK(K402), "", VLOOKUP(C402, 'Info Tipo de Cambio y REM'!$A$24:$B$35, 2, FALSE))</f>
        <v/>
      </c>
      <c r="N402" s="107">
        <f t="shared" si="1"/>
        <v>408</v>
      </c>
    </row>
    <row r="403">
      <c r="A403" s="43" t="s">
        <v>228</v>
      </c>
      <c r="B403" s="43" t="str">
        <f>IF(A403="", "", IFERROR(VLOOKUP(A403, Clasificaciones!A:B, 2, FALSE), "DATO NO CARGADO"))</f>
        <v>Equipo</v>
      </c>
      <c r="C403" s="51" t="s">
        <v>166</v>
      </c>
      <c r="D403" s="43">
        <v>2025.0</v>
      </c>
      <c r="E403" s="43" t="s">
        <v>371</v>
      </c>
      <c r="F403" s="104"/>
      <c r="G403" s="104">
        <v>45894.0</v>
      </c>
      <c r="H403" s="246" t="s">
        <v>735</v>
      </c>
      <c r="I403" s="43" t="s">
        <v>737</v>
      </c>
      <c r="J403" s="104">
        <v>45901.0</v>
      </c>
      <c r="L403" s="89">
        <v>1084.0</v>
      </c>
      <c r="M403" s="106" t="str">
        <f>IF(ISBLANK(K403), "", VLOOKUP(C403, 'Info Tipo de Cambio y REM'!$A$24:$B$35, 2, FALSE))</f>
        <v/>
      </c>
      <c r="N403" s="107">
        <f t="shared" si="1"/>
        <v>1084</v>
      </c>
    </row>
    <row r="404">
      <c r="A404" s="43" t="s">
        <v>197</v>
      </c>
      <c r="B404" s="43" t="str">
        <f>IF(A404="", "", IFERROR(VLOOKUP(A404, Clasificaciones!A:B, 2, FALSE), "DATO NO CARGADO"))</f>
        <v>Equipo</v>
      </c>
      <c r="C404" s="51" t="s">
        <v>166</v>
      </c>
      <c r="D404" s="43">
        <v>2025.0</v>
      </c>
      <c r="E404" s="43" t="s">
        <v>371</v>
      </c>
      <c r="F404" s="104"/>
      <c r="G404" s="104">
        <v>45895.0</v>
      </c>
      <c r="H404" s="165" t="s">
        <v>738</v>
      </c>
      <c r="I404" s="43" t="s">
        <v>739</v>
      </c>
      <c r="J404" s="104">
        <v>45901.0</v>
      </c>
      <c r="L404" s="89">
        <v>1472.0</v>
      </c>
      <c r="M404" s="106" t="str">
        <f>IF(ISBLANK(K404), "", VLOOKUP(C404, 'Info Tipo de Cambio y REM'!$A$24:$B$35, 2, FALSE))</f>
        <v/>
      </c>
      <c r="N404" s="107">
        <f t="shared" si="1"/>
        <v>1472</v>
      </c>
    </row>
    <row r="405">
      <c r="A405" s="43" t="s">
        <v>207</v>
      </c>
      <c r="B405" s="43" t="str">
        <f>IF(A405="", "", IFERROR(VLOOKUP(A405, Clasificaciones!A:B, 2, FALSE), "DATO NO CARGADO"))</f>
        <v>Equipo</v>
      </c>
      <c r="C405" s="51" t="s">
        <v>166</v>
      </c>
      <c r="D405" s="43">
        <v>2025.0</v>
      </c>
      <c r="E405" s="43" t="s">
        <v>371</v>
      </c>
      <c r="F405" s="104"/>
      <c r="G405" s="104">
        <v>45894.0</v>
      </c>
      <c r="H405" s="165" t="s">
        <v>740</v>
      </c>
      <c r="I405" s="43" t="s">
        <v>741</v>
      </c>
      <c r="J405" s="104">
        <v>45901.0</v>
      </c>
      <c r="L405" s="89">
        <v>455.0</v>
      </c>
      <c r="M405" s="106" t="str">
        <f>IF(ISBLANK(K405), "", VLOOKUP(C405, 'Info Tipo de Cambio y REM'!$A$24:$B$35, 2, FALSE))</f>
        <v/>
      </c>
      <c r="N405" s="107">
        <f t="shared" si="1"/>
        <v>455</v>
      </c>
    </row>
    <row r="406">
      <c r="A406" s="43" t="s">
        <v>205</v>
      </c>
      <c r="B406" s="43" t="str">
        <f>IF(A406="", "", IFERROR(VLOOKUP(A406, Clasificaciones!A:B, 2, FALSE), "DATO NO CARGADO"))</f>
        <v>Equipo</v>
      </c>
      <c r="C406" s="51" t="s">
        <v>166</v>
      </c>
      <c r="D406" s="43">
        <v>2025.0</v>
      </c>
      <c r="E406" s="43" t="s">
        <v>371</v>
      </c>
      <c r="F406" s="104"/>
      <c r="G406" s="104">
        <v>45895.0</v>
      </c>
      <c r="H406" s="165" t="s">
        <v>742</v>
      </c>
      <c r="I406" s="43" t="s">
        <v>743</v>
      </c>
      <c r="J406" s="104">
        <v>45901.0</v>
      </c>
      <c r="L406" s="89">
        <v>1116.0</v>
      </c>
      <c r="M406" s="106" t="str">
        <f>IF(ISBLANK(K406), "", VLOOKUP(C406, 'Info Tipo de Cambio y REM'!$A$24:$B$35, 2, FALSE))</f>
        <v/>
      </c>
      <c r="N406" s="107">
        <f t="shared" si="1"/>
        <v>1116</v>
      </c>
    </row>
    <row r="407">
      <c r="A407" s="43" t="s">
        <v>217</v>
      </c>
      <c r="B407" s="43" t="str">
        <f>IF(A407="", "", IFERROR(VLOOKUP(A407, Clasificaciones!A:B, 2, FALSE), "DATO NO CARGADO"))</f>
        <v>Equipo</v>
      </c>
      <c r="C407" s="51" t="s">
        <v>166</v>
      </c>
      <c r="D407" s="43">
        <v>2025.0</v>
      </c>
      <c r="E407" s="43" t="s">
        <v>371</v>
      </c>
      <c r="F407" s="104"/>
      <c r="G407" s="104">
        <v>45895.0</v>
      </c>
      <c r="H407" s="165" t="s">
        <v>744</v>
      </c>
      <c r="I407" s="43" t="s">
        <v>512</v>
      </c>
      <c r="J407" s="104">
        <v>45901.0</v>
      </c>
      <c r="L407" s="89">
        <v>1120.0</v>
      </c>
      <c r="M407" s="106" t="str">
        <f>IF(ISBLANK(K407), "", VLOOKUP(C407, 'Info Tipo de Cambio y REM'!$A$24:$B$35, 2, FALSE))</f>
        <v/>
      </c>
      <c r="N407" s="107">
        <f t="shared" si="1"/>
        <v>1120</v>
      </c>
    </row>
    <row r="408">
      <c r="A408" s="43" t="s">
        <v>120</v>
      </c>
      <c r="B408" s="43" t="str">
        <f>IF(A408="", "", IFERROR(VLOOKUP(A408, Clasificaciones!A:B, 2, FALSE), "DATO NO CARGADO"))</f>
        <v>Equipo</v>
      </c>
      <c r="C408" s="51" t="s">
        <v>166</v>
      </c>
      <c r="D408" s="43">
        <v>2025.0</v>
      </c>
      <c r="E408" s="43" t="s">
        <v>371</v>
      </c>
      <c r="F408" s="104"/>
      <c r="G408" s="104">
        <v>45895.0</v>
      </c>
      <c r="H408" s="165" t="s">
        <v>745</v>
      </c>
      <c r="I408" s="43" t="s">
        <v>746</v>
      </c>
      <c r="J408" s="104">
        <v>45901.0</v>
      </c>
      <c r="L408" s="89">
        <v>2140.0</v>
      </c>
      <c r="M408" s="106" t="str">
        <f>IF(ISBLANK(K408), "", VLOOKUP(C408, 'Info Tipo de Cambio y REM'!$A$24:$B$35, 2, FALSE))</f>
        <v/>
      </c>
      <c r="N408" s="107">
        <f t="shared" si="1"/>
        <v>2140</v>
      </c>
    </row>
    <row r="409">
      <c r="A409" s="43" t="s">
        <v>221</v>
      </c>
      <c r="B409" s="43" t="str">
        <f>IF(A409="", "", IFERROR(VLOOKUP(A409, Clasificaciones!A:B, 2, FALSE), "DATO NO CARGADO"))</f>
        <v>Equipo</v>
      </c>
      <c r="C409" s="51" t="s">
        <v>166</v>
      </c>
      <c r="D409" s="43">
        <v>2025.0</v>
      </c>
      <c r="E409" s="43" t="s">
        <v>371</v>
      </c>
      <c r="F409" s="104"/>
      <c r="G409" s="104">
        <v>45895.0</v>
      </c>
      <c r="H409" s="165" t="s">
        <v>747</v>
      </c>
      <c r="I409" s="43" t="s">
        <v>748</v>
      </c>
      <c r="J409" s="104">
        <v>45901.0</v>
      </c>
      <c r="L409" s="89">
        <v>1284.0</v>
      </c>
      <c r="M409" s="106" t="str">
        <f>IF(ISBLANK(K409), "", VLOOKUP(C409, 'Info Tipo de Cambio y REM'!$A$24:$B$35, 2, FALSE))</f>
        <v/>
      </c>
      <c r="N409" s="107">
        <f t="shared" si="1"/>
        <v>1284</v>
      </c>
    </row>
    <row r="410">
      <c r="A410" s="43" t="s">
        <v>230</v>
      </c>
      <c r="B410" s="43" t="str">
        <f>IF(A410="", "", IFERROR(VLOOKUP(A410, Clasificaciones!A:B, 2, FALSE), "DATO NO CARGADO"))</f>
        <v>Equipo</v>
      </c>
      <c r="C410" s="51" t="s">
        <v>166</v>
      </c>
      <c r="D410" s="43">
        <v>2025.0</v>
      </c>
      <c r="E410" s="43" t="s">
        <v>371</v>
      </c>
      <c r="F410" s="104"/>
      <c r="G410" s="104">
        <v>45895.0</v>
      </c>
      <c r="H410" s="165" t="s">
        <v>738</v>
      </c>
      <c r="I410" s="43" t="s">
        <v>749</v>
      </c>
      <c r="J410" s="104">
        <v>45901.0</v>
      </c>
      <c r="L410" s="89">
        <v>1354.0</v>
      </c>
      <c r="M410" s="106" t="str">
        <f>IF(ISBLANK(K410), "", VLOOKUP(C410, 'Info Tipo de Cambio y REM'!$A$24:$B$35, 2, FALSE))</f>
        <v/>
      </c>
      <c r="N410" s="107">
        <f t="shared" si="1"/>
        <v>1354</v>
      </c>
    </row>
    <row r="411">
      <c r="A411" s="43" t="s">
        <v>203</v>
      </c>
      <c r="B411" s="43" t="str">
        <f>IF(A411="", "", IFERROR(VLOOKUP(A411, Clasificaciones!A:B, 2, FALSE), "DATO NO CARGADO"))</f>
        <v>Equipo</v>
      </c>
      <c r="C411" s="51" t="s">
        <v>166</v>
      </c>
      <c r="D411" s="43">
        <v>2025.0</v>
      </c>
      <c r="E411" s="43" t="s">
        <v>371</v>
      </c>
      <c r="F411" s="104"/>
      <c r="G411" s="104">
        <v>45897.0</v>
      </c>
      <c r="H411" s="246" t="s">
        <v>750</v>
      </c>
      <c r="I411" s="43" t="s">
        <v>751</v>
      </c>
      <c r="J411" s="104">
        <v>45901.0</v>
      </c>
      <c r="L411" s="89">
        <v>607.0</v>
      </c>
      <c r="M411" s="106" t="str">
        <f>IF(ISBLANK(K411), "", VLOOKUP(C411, 'Info Tipo de Cambio y REM'!$A$24:$B$35, 2, FALSE))</f>
        <v/>
      </c>
      <c r="N411" s="107">
        <f t="shared" si="1"/>
        <v>607</v>
      </c>
    </row>
    <row r="412">
      <c r="A412" s="43" t="s">
        <v>194</v>
      </c>
      <c r="B412" s="43" t="str">
        <f>IF(A412="", "", IFERROR(VLOOKUP(A412, Clasificaciones!A:B, 2, FALSE), "DATO NO CARGADO"))</f>
        <v>Equipo</v>
      </c>
      <c r="C412" s="51" t="s">
        <v>166</v>
      </c>
      <c r="D412" s="43">
        <v>2025.0</v>
      </c>
      <c r="E412" s="43" t="s">
        <v>371</v>
      </c>
      <c r="F412" s="104"/>
      <c r="G412" s="104">
        <v>45895.0</v>
      </c>
      <c r="H412" s="246" t="s">
        <v>742</v>
      </c>
      <c r="I412" s="43" t="s">
        <v>752</v>
      </c>
      <c r="J412" s="104">
        <v>45901.0</v>
      </c>
      <c r="L412" s="89">
        <v>1469.0</v>
      </c>
      <c r="M412" s="106" t="str">
        <f>IF(ISBLANK(K412), "", VLOOKUP(C412, 'Info Tipo de Cambio y REM'!$A$24:$B$35, 2, FALSE))</f>
        <v/>
      </c>
      <c r="N412" s="107">
        <f t="shared" si="1"/>
        <v>1469</v>
      </c>
    </row>
    <row r="413">
      <c r="A413" s="43" t="s">
        <v>200</v>
      </c>
      <c r="B413" s="43" t="str">
        <f>IF(A413="", "", IFERROR(VLOOKUP(A413, Clasificaciones!A:B, 2, FALSE), "DATO NO CARGADO"))</f>
        <v>Equipo</v>
      </c>
      <c r="C413" s="51" t="s">
        <v>166</v>
      </c>
      <c r="D413" s="43">
        <v>2025.0</v>
      </c>
      <c r="E413" s="43" t="s">
        <v>371</v>
      </c>
      <c r="F413" s="104"/>
      <c r="G413" s="104">
        <v>45895.0</v>
      </c>
      <c r="H413" s="246" t="s">
        <v>753</v>
      </c>
      <c r="I413" s="43" t="s">
        <v>381</v>
      </c>
      <c r="J413" s="104">
        <v>45901.0</v>
      </c>
      <c r="L413" s="89">
        <v>1516.0</v>
      </c>
      <c r="M413" s="106" t="str">
        <f>IF(ISBLANK(K413), "", VLOOKUP(C413, 'Info Tipo de Cambio y REM'!$A$24:$B$35, 2, FALSE))</f>
        <v/>
      </c>
      <c r="N413" s="107">
        <f t="shared" si="1"/>
        <v>1516</v>
      </c>
    </row>
    <row r="414">
      <c r="A414" s="43" t="s">
        <v>127</v>
      </c>
      <c r="B414" s="43" t="str">
        <f>IF(A414="", "", IFERROR(VLOOKUP(A414, Clasificaciones!A:B, 2, FALSE), "DATO NO CARGADO"))</f>
        <v>Board</v>
      </c>
      <c r="C414" s="51" t="s">
        <v>166</v>
      </c>
      <c r="D414" s="43">
        <v>2025.0</v>
      </c>
      <c r="E414" s="43" t="s">
        <v>371</v>
      </c>
      <c r="F414" s="104"/>
      <c r="G414" s="104">
        <v>45900.0</v>
      </c>
      <c r="H414" s="246" t="s">
        <v>754</v>
      </c>
      <c r="I414" s="43" t="s">
        <v>646</v>
      </c>
      <c r="J414" s="104">
        <v>45901.0</v>
      </c>
      <c r="L414" s="89">
        <v>1000.0</v>
      </c>
      <c r="M414" s="106" t="str">
        <f>IF(ISBLANK(K414), "", VLOOKUP(C414, 'Info Tipo de Cambio y REM'!$A$24:$B$35, 2, FALSE))</f>
        <v/>
      </c>
      <c r="N414" s="107">
        <f t="shared" si="1"/>
        <v>1000</v>
      </c>
    </row>
    <row r="415">
      <c r="A415" s="43" t="s">
        <v>127</v>
      </c>
      <c r="B415" s="43" t="str">
        <f>IF(A415="", "", IFERROR(VLOOKUP(A415, Clasificaciones!A:B, 2, FALSE), "DATO NO CARGADO"))</f>
        <v>Board</v>
      </c>
      <c r="C415" s="51" t="s">
        <v>166</v>
      </c>
      <c r="D415" s="43">
        <v>2025.0</v>
      </c>
      <c r="E415" s="43" t="s">
        <v>371</v>
      </c>
      <c r="F415" s="104"/>
      <c r="G415" s="104">
        <v>45900.0</v>
      </c>
      <c r="H415" s="246" t="s">
        <v>753</v>
      </c>
      <c r="I415" s="43" t="s">
        <v>458</v>
      </c>
      <c r="J415" s="104">
        <v>45901.0</v>
      </c>
      <c r="L415" s="89">
        <v>2200.0</v>
      </c>
      <c r="M415" s="106" t="str">
        <f>IF(ISBLANK(K415), "", VLOOKUP(C415, 'Info Tipo de Cambio y REM'!$A$24:$B$35, 2, FALSE))</f>
        <v/>
      </c>
      <c r="N415" s="107">
        <f t="shared" si="1"/>
        <v>2200</v>
      </c>
    </row>
    <row r="416">
      <c r="A416" s="43" t="s">
        <v>164</v>
      </c>
      <c r="B416" s="43" t="str">
        <f>IF(A416="", "", IFERROR(VLOOKUP(A416, Clasificaciones!A:B, 2, FALSE), "DATO NO CARGADO"))</f>
        <v>Estudio Contable</v>
      </c>
      <c r="C416" s="51" t="s">
        <v>166</v>
      </c>
      <c r="D416" s="43">
        <v>2025.0</v>
      </c>
      <c r="E416" s="43" t="s">
        <v>371</v>
      </c>
      <c r="F416" s="104"/>
      <c r="G416" s="104">
        <v>45900.0</v>
      </c>
      <c r="H416" s="230" t="s">
        <v>755</v>
      </c>
      <c r="J416" s="104">
        <v>45945.0</v>
      </c>
      <c r="K416" s="247">
        <v>66138.0</v>
      </c>
      <c r="L416" s="71"/>
      <c r="M416" s="106" t="str">
        <f>IF(ISBLANK(K416), "", VLOOKUP(C416, 'Info Tipo de Cambio y REM'!$A$24:$B$35, 2, FALSE))</f>
        <v>#N/A</v>
      </c>
      <c r="N416" s="107" t="str">
        <f t="shared" si="1"/>
        <v/>
      </c>
    </row>
    <row r="417">
      <c r="A417" s="43" t="s">
        <v>153</v>
      </c>
      <c r="B417" s="43" t="str">
        <f>IF(A417="", "", IFERROR(VLOOKUP(A417, Clasificaciones!A:B, 2, FALSE), "DATO NO CARGADO"))</f>
        <v>Impuestos USA</v>
      </c>
      <c r="C417" s="51" t="s">
        <v>166</v>
      </c>
      <c r="D417" s="43">
        <v>2025.0</v>
      </c>
      <c r="E417" s="43" t="s">
        <v>371</v>
      </c>
      <c r="F417" s="104"/>
      <c r="G417" s="104">
        <v>45900.0</v>
      </c>
      <c r="H417" s="178" t="s">
        <v>756</v>
      </c>
      <c r="J417" s="104">
        <v>46142.0</v>
      </c>
      <c r="L417" s="229">
        <v>15228.0</v>
      </c>
      <c r="M417" s="106" t="str">
        <f>IF(ISBLANK(K417), "", VLOOKUP(C417, 'Info Tipo de Cambio y REM'!$A$24:$B$35, 2, FALSE))</f>
        <v/>
      </c>
      <c r="N417" s="107">
        <f t="shared" si="1"/>
        <v>15228</v>
      </c>
    </row>
    <row r="418">
      <c r="A418" s="43" t="s">
        <v>222</v>
      </c>
      <c r="B418" s="43" t="str">
        <f>IF(A418="", "", IFERROR(VLOOKUP(A418, Clasificaciones!A:B, 2, FALSE), "DATO NO CARGADO"))</f>
        <v>Oxean</v>
      </c>
      <c r="C418" s="51" t="s">
        <v>166</v>
      </c>
      <c r="D418" s="43">
        <v>2025.0</v>
      </c>
      <c r="E418" s="43" t="s">
        <v>371</v>
      </c>
      <c r="F418" s="104"/>
      <c r="G418" s="104">
        <v>45900.0</v>
      </c>
      <c r="H418" s="165" t="s">
        <v>757</v>
      </c>
      <c r="J418" s="248">
        <v>45915.0</v>
      </c>
      <c r="K418" s="43">
        <v>5302886.0</v>
      </c>
      <c r="L418" s="71"/>
      <c r="M418" s="106" t="str">
        <f>IF(ISBLANK(K418), "", VLOOKUP(C418, 'Info Tipo de Cambio y REM'!$A$24:$B$35, 2, FALSE))</f>
        <v>#N/A</v>
      </c>
      <c r="N418" s="107" t="str">
        <f t="shared" si="1"/>
        <v/>
      </c>
    </row>
    <row r="419">
      <c r="A419" s="43" t="s">
        <v>158</v>
      </c>
      <c r="B419" s="43" t="str">
        <f>IF(A419="", "", IFERROR(VLOOKUP(A419, Clasificaciones!A:B, 2, FALSE), "DATO NO CARGADO"))</f>
        <v>Tarjeta</v>
      </c>
      <c r="C419" s="51" t="s">
        <v>166</v>
      </c>
      <c r="D419" s="43">
        <v>2025.0</v>
      </c>
      <c r="E419" s="43" t="s">
        <v>371</v>
      </c>
      <c r="F419" s="104"/>
      <c r="G419" s="104">
        <v>45900.0</v>
      </c>
      <c r="H419" s="249" t="s">
        <v>758</v>
      </c>
      <c r="J419" s="104">
        <v>45915.0</v>
      </c>
      <c r="K419" s="43">
        <v>0.0</v>
      </c>
      <c r="L419" s="71"/>
      <c r="M419" s="106" t="str">
        <f>IF(ISBLANK(K419), "", VLOOKUP(C419, 'Info Tipo de Cambio y REM'!$A$24:$B$35, 2, FALSE))</f>
        <v>#N/A</v>
      </c>
      <c r="N419" s="107" t="str">
        <f t="shared" si="1"/>
        <v/>
      </c>
    </row>
    <row r="420">
      <c r="A420" s="43" t="s">
        <v>133</v>
      </c>
      <c r="B420" s="43" t="str">
        <f>IF(A420="", "", IFERROR(VLOOKUP(A420, Clasificaciones!A:B, 2, FALSE), "DATO NO CARGADO"))</f>
        <v>Board</v>
      </c>
      <c r="C420" s="51" t="s">
        <v>166</v>
      </c>
      <c r="D420" s="43">
        <v>2025.0</v>
      </c>
      <c r="E420" s="43" t="s">
        <v>371</v>
      </c>
      <c r="F420" s="104"/>
      <c r="G420" s="104">
        <v>45900.0</v>
      </c>
      <c r="H420" s="165" t="s">
        <v>759</v>
      </c>
      <c r="J420" s="104">
        <v>45901.0</v>
      </c>
      <c r="K420" s="43">
        <v>5302886.0</v>
      </c>
      <c r="L420" s="71"/>
      <c r="M420" s="106" t="str">
        <f>IF(ISBLANK(K420), "", VLOOKUP(C420, 'Info Tipo de Cambio y REM'!$A$24:$B$35, 2, FALSE))</f>
        <v>#N/A</v>
      </c>
      <c r="N420" s="107" t="str">
        <f t="shared" si="1"/>
        <v/>
      </c>
    </row>
    <row r="421">
      <c r="A421" s="43" t="s">
        <v>191</v>
      </c>
      <c r="B421" s="43" t="str">
        <f>IF(A421="", "", IFERROR(VLOOKUP(A421, Clasificaciones!A:B, 2, FALSE), "DATO NO CARGADO"))</f>
        <v>Tarjeta</v>
      </c>
      <c r="C421" s="51" t="s">
        <v>166</v>
      </c>
      <c r="D421" s="43">
        <v>2025.0</v>
      </c>
      <c r="E421" s="43" t="s">
        <v>374</v>
      </c>
      <c r="F421" s="104"/>
      <c r="G421" s="104">
        <v>45894.0</v>
      </c>
      <c r="H421" s="83" t="s">
        <v>760</v>
      </c>
      <c r="J421" s="104">
        <v>45894.0</v>
      </c>
      <c r="L421" s="89">
        <v>29.99</v>
      </c>
      <c r="M421" s="106" t="str">
        <f>IF(ISBLANK(K421), "", VLOOKUP(C421, 'Info Tipo de Cambio y REM'!$A$24:$B$35, 2, FALSE))</f>
        <v/>
      </c>
      <c r="N421" s="107">
        <f t="shared" si="1"/>
        <v>29.99</v>
      </c>
    </row>
    <row r="422">
      <c r="A422" s="43" t="s">
        <v>191</v>
      </c>
      <c r="B422" s="43" t="str">
        <f>IF(A422="", "", IFERROR(VLOOKUP(A422, Clasificaciones!A:B, 2, FALSE), "DATO NO CARGADO"))</f>
        <v>Tarjeta</v>
      </c>
      <c r="C422" s="51" t="s">
        <v>166</v>
      </c>
      <c r="D422" s="43">
        <v>2025.0</v>
      </c>
      <c r="E422" s="43" t="s">
        <v>374</v>
      </c>
      <c r="F422" s="104"/>
      <c r="G422" s="104">
        <v>45896.0</v>
      </c>
      <c r="H422" s="83" t="s">
        <v>761</v>
      </c>
      <c r="J422" s="104">
        <v>45896.0</v>
      </c>
      <c r="L422" s="89">
        <v>500.07</v>
      </c>
      <c r="M422" s="106" t="str">
        <f>IF(ISBLANK(K422), "", VLOOKUP(C422, 'Info Tipo de Cambio y REM'!$A$24:$B$35, 2, FALSE))</f>
        <v/>
      </c>
      <c r="N422" s="107">
        <f t="shared" si="1"/>
        <v>500.07</v>
      </c>
    </row>
    <row r="423">
      <c r="A423" s="43" t="s">
        <v>191</v>
      </c>
      <c r="B423" s="43" t="str">
        <f>IF(A423="", "", IFERROR(VLOOKUP(A423, Clasificaciones!A:B, 2, FALSE), "DATO NO CARGADO"))</f>
        <v>Tarjeta</v>
      </c>
      <c r="C423" s="51" t="s">
        <v>166</v>
      </c>
      <c r="D423" s="43">
        <v>2025.0</v>
      </c>
      <c r="E423" s="43" t="s">
        <v>374</v>
      </c>
      <c r="F423" s="104"/>
      <c r="G423" s="104">
        <v>45896.0</v>
      </c>
      <c r="H423" s="83" t="s">
        <v>762</v>
      </c>
      <c r="J423" s="104">
        <v>45896.0</v>
      </c>
      <c r="L423" s="89">
        <v>609.8</v>
      </c>
      <c r="M423" s="106" t="str">
        <f>IF(ISBLANK(K423), "", VLOOKUP(C423, 'Info Tipo de Cambio y REM'!$A$24:$B$35, 2, FALSE))</f>
        <v/>
      </c>
      <c r="N423" s="107">
        <f t="shared" ref="N423:N1114" si="2">IF(NOT(ISBLANK(K423)), K423 / M423, IF(NOT(ISBLANK(L423)), L423, ""))</f>
        <v>609.8</v>
      </c>
    </row>
    <row r="424">
      <c r="A424" s="43" t="s">
        <v>173</v>
      </c>
      <c r="B424" s="43" t="str">
        <f>IF(A424="", "", IFERROR(VLOOKUP(A424, Clasificaciones!A:B, 2, FALSE), "DATO NO CARGADO"))</f>
        <v>Suscripciones/Herramientas</v>
      </c>
      <c r="C424" s="51" t="s">
        <v>166</v>
      </c>
      <c r="D424" s="43">
        <v>2025.0</v>
      </c>
      <c r="E424" s="43" t="s">
        <v>371</v>
      </c>
      <c r="F424" s="104"/>
      <c r="G424" s="104">
        <v>45883.0</v>
      </c>
      <c r="H424" s="165" t="s">
        <v>419</v>
      </c>
      <c r="J424" s="104">
        <v>45975.0</v>
      </c>
      <c r="L424" s="89">
        <v>10634.0</v>
      </c>
      <c r="M424" s="106" t="str">
        <f>IF(ISBLANK(K424), "", VLOOKUP(C424, 'Info Tipo de Cambio y REM'!$A$24:$B$35, 2, FALSE))</f>
        <v/>
      </c>
      <c r="N424" s="107">
        <f t="shared" si="2"/>
        <v>10634</v>
      </c>
    </row>
    <row r="425">
      <c r="A425" s="43" t="s">
        <v>185</v>
      </c>
      <c r="B425" s="43" t="str">
        <f>IF(A425="", "", IFERROR(VLOOKUP(A425, Clasificaciones!A:B, 2, FALSE), "DATO NO CARGADO"))</f>
        <v>Comisiones Bancarias</v>
      </c>
      <c r="C425" s="51" t="s">
        <v>166</v>
      </c>
      <c r="D425" s="43">
        <v>2025.0</v>
      </c>
      <c r="E425" s="43" t="s">
        <v>374</v>
      </c>
      <c r="F425" s="104"/>
      <c r="G425" s="104">
        <v>45900.0</v>
      </c>
      <c r="H425" s="169" t="s">
        <v>549</v>
      </c>
      <c r="J425" s="104">
        <v>45900.0</v>
      </c>
      <c r="L425" s="89">
        <v>45.0</v>
      </c>
      <c r="M425" s="106" t="str">
        <f>IF(ISBLANK(K425), "", VLOOKUP(C425, 'Info Tipo de Cambio y REM'!$A$24:$B$35, 2, FALSE))</f>
        <v/>
      </c>
      <c r="N425" s="107">
        <f t="shared" si="2"/>
        <v>45</v>
      </c>
    </row>
    <row r="426">
      <c r="A426" s="43" t="s">
        <v>185</v>
      </c>
      <c r="B426" s="43" t="str">
        <f>IF(A426="", "", IFERROR(VLOOKUP(A426, Clasificaciones!A:B, 2, FALSE), "DATO NO CARGADO"))</f>
        <v>Comisiones Bancarias</v>
      </c>
      <c r="C426" s="51" t="s">
        <v>166</v>
      </c>
      <c r="D426" s="43">
        <v>2025.0</v>
      </c>
      <c r="E426" s="43" t="s">
        <v>374</v>
      </c>
      <c r="F426" s="104"/>
      <c r="G426" s="104">
        <v>45900.0</v>
      </c>
      <c r="H426" s="169" t="s">
        <v>549</v>
      </c>
      <c r="J426" s="104">
        <v>45900.0</v>
      </c>
      <c r="L426" s="89">
        <v>45.0</v>
      </c>
      <c r="M426" s="106" t="str">
        <f>IF(ISBLANK(K426), "", VLOOKUP(C426, 'Info Tipo de Cambio y REM'!$A$24:$B$35, 2, FALSE))</f>
        <v/>
      </c>
      <c r="N426" s="107">
        <f t="shared" si="2"/>
        <v>45</v>
      </c>
    </row>
    <row r="427">
      <c r="A427" s="43" t="s">
        <v>201</v>
      </c>
      <c r="B427" s="43" t="str">
        <f>IF(A427="", "", IFERROR(VLOOKUP(A427, Clasificaciones!A:B, 2, FALSE), "DATO NO CARGADO"))</f>
        <v>Intereses Oxean</v>
      </c>
      <c r="C427" s="51" t="s">
        <v>166</v>
      </c>
      <c r="D427" s="43">
        <v>2025.0</v>
      </c>
      <c r="E427" s="43" t="s">
        <v>371</v>
      </c>
      <c r="F427" s="104"/>
      <c r="G427" s="104">
        <v>45900.0</v>
      </c>
      <c r="H427" s="178" t="s">
        <v>763</v>
      </c>
      <c r="J427" s="103"/>
      <c r="L427" s="250"/>
      <c r="M427" s="106" t="str">
        <f>IF(ISBLANK(K427), "", VLOOKUP(C427, 'Info Tipo de Cambio y REM'!$A$24:$B$35, 2, FALSE))</f>
        <v/>
      </c>
      <c r="N427" s="107" t="str">
        <f t="shared" si="2"/>
        <v/>
      </c>
    </row>
    <row r="428">
      <c r="A428" s="43" t="s">
        <v>152</v>
      </c>
      <c r="B428" s="43" t="str">
        <f>IF(A428="", "", IFERROR(VLOOKUP(A428, Clasificaciones!A:B, 2, FALSE), "DATO NO CARGADO"))</f>
        <v>Impuestos ARG</v>
      </c>
      <c r="C428" s="51" t="s">
        <v>166</v>
      </c>
      <c r="D428" s="156">
        <v>2025.0</v>
      </c>
      <c r="E428" s="43" t="s">
        <v>371</v>
      </c>
      <c r="F428" s="104"/>
      <c r="G428" s="104">
        <v>45900.0</v>
      </c>
      <c r="H428" s="230" t="s">
        <v>764</v>
      </c>
      <c r="J428" s="103"/>
      <c r="K428" s="43">
        <v>1876795.0</v>
      </c>
      <c r="L428" s="71"/>
      <c r="M428" s="106" t="str">
        <f>IF(ISBLANK(K428), "", VLOOKUP(C428, 'Info Tipo de Cambio y REM'!$A$24:$B$35, 2, FALSE))</f>
        <v>#N/A</v>
      </c>
      <c r="N428" s="107" t="str">
        <f t="shared" si="2"/>
        <v>#N/A</v>
      </c>
    </row>
    <row r="429">
      <c r="A429" s="43" t="s">
        <v>146</v>
      </c>
      <c r="B429" s="43" t="str">
        <f>IF(A429="", "", IFERROR(VLOOKUP(A429, Clasificaciones!A:B, 2, FALSE), "DATO NO CARGADO"))</f>
        <v>Impuestos ARG</v>
      </c>
      <c r="C429" s="51" t="s">
        <v>166</v>
      </c>
      <c r="D429" s="156">
        <v>2025.0</v>
      </c>
      <c r="E429" s="43" t="s">
        <v>371</v>
      </c>
      <c r="F429" s="104"/>
      <c r="G429" s="104">
        <v>45901.0</v>
      </c>
      <c r="H429" s="230" t="s">
        <v>765</v>
      </c>
      <c r="J429" s="103"/>
      <c r="K429" s="43">
        <v>342986.0</v>
      </c>
      <c r="L429" s="71"/>
      <c r="M429" s="106" t="str">
        <f>IF(ISBLANK(K429), "", VLOOKUP(C429, 'Info Tipo de Cambio y REM'!$A$24:$B$35, 2, FALSE))</f>
        <v>#N/A</v>
      </c>
      <c r="N429" s="107" t="str">
        <f t="shared" si="2"/>
        <v>#N/A</v>
      </c>
    </row>
    <row r="430">
      <c r="A430" s="43" t="s">
        <v>226</v>
      </c>
      <c r="B430" s="43" t="str">
        <f>IF(A430="", "", IFERROR(VLOOKUP(A430, Clasificaciones!A:B, 2, FALSE), "DATO NO CARGADO"))</f>
        <v>Administración Finanzas</v>
      </c>
      <c r="C430" s="51" t="s">
        <v>166</v>
      </c>
      <c r="D430" s="156">
        <v>2025.0</v>
      </c>
      <c r="E430" s="43" t="s">
        <v>371</v>
      </c>
      <c r="F430" s="104"/>
      <c r="G430" s="104">
        <v>45898.0</v>
      </c>
      <c r="H430" s="251" t="s">
        <v>766</v>
      </c>
      <c r="I430" s="59" t="s">
        <v>383</v>
      </c>
      <c r="J430" s="104"/>
      <c r="K430" s="252">
        <v>537000.0</v>
      </c>
      <c r="L430" s="71"/>
      <c r="M430" s="106" t="str">
        <f>IF(ISBLANK(K430), "", VLOOKUP(C430, 'Info Tipo de Cambio y REM'!$A$24:$B$35, 2, FALSE))</f>
        <v>#N/A</v>
      </c>
      <c r="N430" s="107" t="str">
        <f t="shared" si="2"/>
        <v>#N/A</v>
      </c>
    </row>
    <row r="431">
      <c r="A431" s="43" t="s">
        <v>219</v>
      </c>
      <c r="B431" s="43" t="str">
        <f>IF(A431="", "", IFERROR(VLOOKUP(A431, Clasificaciones!A:B, 2, FALSE), "DATO NO CARGADO"))</f>
        <v>Gastos Varios</v>
      </c>
      <c r="C431" s="51" t="s">
        <v>166</v>
      </c>
      <c r="D431" s="156">
        <v>2025.0</v>
      </c>
      <c r="E431" s="43" t="s">
        <v>371</v>
      </c>
      <c r="F431" s="104"/>
      <c r="G431" s="104">
        <v>45898.0</v>
      </c>
      <c r="H431" s="43" t="s">
        <v>767</v>
      </c>
      <c r="I431" s="43" t="s">
        <v>399</v>
      </c>
      <c r="J431" s="103"/>
      <c r="K431" s="252">
        <v>962040.0</v>
      </c>
      <c r="L431" s="71"/>
      <c r="M431" s="106" t="str">
        <f>IF(ISBLANK(K431), "", VLOOKUP(C431, 'Info Tipo de Cambio y REM'!$A$24:$B$35, 2, FALSE))</f>
        <v>#N/A</v>
      </c>
      <c r="N431" s="107" t="str">
        <f t="shared" si="2"/>
        <v>#N/A</v>
      </c>
    </row>
    <row r="432">
      <c r="A432" s="43" t="s">
        <v>139</v>
      </c>
      <c r="B432" s="43" t="str">
        <f>IF(A432="", "", IFERROR(VLOOKUP(A432, Clasificaciones!A:B, 2, FALSE), "DATO NO CARGADO"))</f>
        <v>People</v>
      </c>
      <c r="C432" s="51" t="s">
        <v>166</v>
      </c>
      <c r="D432" s="156">
        <v>2025.0</v>
      </c>
      <c r="E432" s="43" t="s">
        <v>371</v>
      </c>
      <c r="F432" s="104"/>
      <c r="G432" s="104">
        <v>45898.0</v>
      </c>
      <c r="H432" s="165" t="s">
        <v>573</v>
      </c>
      <c r="I432" s="43" t="s">
        <v>413</v>
      </c>
      <c r="J432" s="103"/>
      <c r="K432" s="252">
        <v>61260.57</v>
      </c>
      <c r="L432" s="71"/>
      <c r="M432" s="106" t="str">
        <f>IF(ISBLANK(K432), "", VLOOKUP(C432, 'Info Tipo de Cambio y REM'!$A$24:$B$35, 2, FALSE))</f>
        <v>#N/A</v>
      </c>
      <c r="N432" s="107" t="str">
        <f t="shared" si="2"/>
        <v>#N/A</v>
      </c>
    </row>
    <row r="433">
      <c r="A433" s="43" t="s">
        <v>229</v>
      </c>
      <c r="B433" s="43" t="str">
        <f>IF(A433="", "", IFERROR(VLOOKUP(A433, Clasificaciones!A:B, 2, FALSE), "DATO NO CARGADO"))</f>
        <v>Equipo</v>
      </c>
      <c r="C433" s="51" t="s">
        <v>166</v>
      </c>
      <c r="D433" s="156">
        <v>2025.0</v>
      </c>
      <c r="E433" s="43" t="s">
        <v>371</v>
      </c>
      <c r="F433" s="104"/>
      <c r="G433" s="104">
        <v>45898.0</v>
      </c>
      <c r="H433" s="165" t="s">
        <v>768</v>
      </c>
      <c r="I433" s="43" t="s">
        <v>504</v>
      </c>
      <c r="J433" s="103"/>
      <c r="K433" s="252">
        <v>397500.0</v>
      </c>
      <c r="L433" s="71"/>
      <c r="M433" s="106" t="str">
        <f>IF(ISBLANK(K433), "", VLOOKUP(C433, 'Info Tipo de Cambio y REM'!$A$24:$B$35, 2, FALSE))</f>
        <v>#N/A</v>
      </c>
      <c r="N433" s="107" t="str">
        <f t="shared" si="2"/>
        <v>#N/A</v>
      </c>
    </row>
    <row r="434">
      <c r="A434" s="43" t="s">
        <v>218</v>
      </c>
      <c r="B434" s="43" t="str">
        <f>IF(A434="", "", IFERROR(VLOOKUP(A434, Clasificaciones!A:B, 2, FALSE), "DATO NO CARGADO"))</f>
        <v>Equipo</v>
      </c>
      <c r="C434" s="51" t="s">
        <v>166</v>
      </c>
      <c r="D434" s="156">
        <v>2025.0</v>
      </c>
      <c r="E434" s="43" t="s">
        <v>371</v>
      </c>
      <c r="F434" s="104"/>
      <c r="G434" s="104">
        <v>45898.0</v>
      </c>
      <c r="H434" s="165" t="s">
        <v>579</v>
      </c>
      <c r="I434" s="43" t="s">
        <v>414</v>
      </c>
      <c r="J434" s="103"/>
      <c r="K434" s="252">
        <v>950380.0</v>
      </c>
      <c r="L434" s="71"/>
      <c r="M434" s="106" t="str">
        <f>IF(ISBLANK(K434), "", VLOOKUP(C434, 'Info Tipo de Cambio y REM'!$A$24:$B$35, 2, FALSE))</f>
        <v>#N/A</v>
      </c>
      <c r="N434" s="107" t="str">
        <f t="shared" si="2"/>
        <v>#N/A</v>
      </c>
    </row>
    <row r="435">
      <c r="A435" s="43" t="s">
        <v>214</v>
      </c>
      <c r="B435" s="43" t="str">
        <f>IF(A435="", "", IFERROR(VLOOKUP(A435, Clasificaciones!A:B, 2, FALSE), "DATO NO CARGADO"))</f>
        <v>Equipo</v>
      </c>
      <c r="C435" s="51" t="s">
        <v>166</v>
      </c>
      <c r="D435" s="156">
        <v>2025.0</v>
      </c>
      <c r="E435" s="43" t="s">
        <v>371</v>
      </c>
      <c r="F435" s="104"/>
      <c r="G435" s="104">
        <v>45903.0</v>
      </c>
      <c r="H435" s="251" t="s">
        <v>769</v>
      </c>
      <c r="I435" s="43" t="s">
        <v>736</v>
      </c>
      <c r="J435" s="103"/>
      <c r="K435" s="43">
        <v>411785.0</v>
      </c>
      <c r="L435" s="71"/>
      <c r="M435" s="106" t="str">
        <f>IF(ISBLANK(K435), "", VLOOKUP(C435, 'Info Tipo de Cambio y REM'!$A$24:$B$35, 2, FALSE))</f>
        <v>#N/A</v>
      </c>
      <c r="N435" s="107" t="str">
        <f t="shared" si="2"/>
        <v>#N/A</v>
      </c>
    </row>
    <row r="436">
      <c r="A436" s="43" t="s">
        <v>197</v>
      </c>
      <c r="B436" s="43" t="str">
        <f>IF(A436="", "", IFERROR(VLOOKUP(A436, Clasificaciones!A:B, 2, FALSE), "DATO NO CARGADO"))</f>
        <v>Equipo</v>
      </c>
      <c r="C436" s="51" t="s">
        <v>166</v>
      </c>
      <c r="D436" s="156">
        <v>2025.0</v>
      </c>
      <c r="E436" s="43" t="s">
        <v>371</v>
      </c>
      <c r="F436" s="253"/>
      <c r="G436" s="253">
        <v>45903.0</v>
      </c>
      <c r="H436" s="254" t="s">
        <v>770</v>
      </c>
      <c r="I436" s="203" t="s">
        <v>411</v>
      </c>
      <c r="J436" s="255"/>
      <c r="K436" s="43">
        <v>199810.0</v>
      </c>
      <c r="L436" s="71"/>
      <c r="M436" s="106" t="str">
        <f>IF(ISBLANK(K436), "", VLOOKUP(C436, 'Info Tipo de Cambio y REM'!$A$24:$B$35, 2, FALSE))</f>
        <v>#N/A</v>
      </c>
      <c r="N436" s="107" t="str">
        <f t="shared" si="2"/>
        <v>#N/A</v>
      </c>
    </row>
    <row r="437">
      <c r="A437" s="43" t="s">
        <v>207</v>
      </c>
      <c r="B437" s="43" t="str">
        <f>IF(A437="", "", IFERROR(VLOOKUP(A437, Clasificaciones!A:B, 2, FALSE), "DATO NO CARGADO"))</f>
        <v>Equipo</v>
      </c>
      <c r="C437" s="51" t="s">
        <v>166</v>
      </c>
      <c r="D437" s="156">
        <v>2025.0</v>
      </c>
      <c r="E437" s="43" t="s">
        <v>371</v>
      </c>
      <c r="F437" s="253"/>
      <c r="G437" s="253">
        <v>45903.0</v>
      </c>
      <c r="H437" s="203" t="s">
        <v>771</v>
      </c>
      <c r="I437" s="203" t="s">
        <v>741</v>
      </c>
      <c r="J437" s="103"/>
      <c r="K437" s="43">
        <v>384121.0</v>
      </c>
      <c r="L437" s="71"/>
      <c r="M437" s="106" t="str">
        <f>IF(ISBLANK(K437), "", VLOOKUP(C437, 'Info Tipo de Cambio y REM'!$A$24:$B$35, 2, FALSE))</f>
        <v>#N/A</v>
      </c>
      <c r="N437" s="107" t="str">
        <f t="shared" si="2"/>
        <v>#N/A</v>
      </c>
    </row>
    <row r="438">
      <c r="A438" s="43" t="s">
        <v>120</v>
      </c>
      <c r="B438" s="43" t="str">
        <f>IF(A438="", "", IFERROR(VLOOKUP(A438, Clasificaciones!A:B, 2, FALSE), "DATO NO CARGADO"))</f>
        <v>Equipo</v>
      </c>
      <c r="C438" s="51" t="s">
        <v>166</v>
      </c>
      <c r="D438" s="156">
        <v>2025.0</v>
      </c>
      <c r="E438" s="43" t="s">
        <v>371</v>
      </c>
      <c r="F438" s="253"/>
      <c r="G438" s="253">
        <v>45903.0</v>
      </c>
      <c r="H438" s="203" t="s">
        <v>505</v>
      </c>
      <c r="I438" s="203" t="s">
        <v>387</v>
      </c>
      <c r="J438" s="103"/>
      <c r="K438" s="43">
        <v>666467.0</v>
      </c>
      <c r="L438" s="71"/>
      <c r="M438" s="106" t="str">
        <f>IF(ISBLANK(K438), "", VLOOKUP(C438, 'Info Tipo de Cambio y REM'!$A$24:$B$35, 2, FALSE))</f>
        <v>#N/A</v>
      </c>
      <c r="N438" s="107" t="str">
        <f t="shared" si="2"/>
        <v>#N/A</v>
      </c>
    </row>
    <row r="439">
      <c r="A439" s="43" t="s">
        <v>221</v>
      </c>
      <c r="B439" s="43" t="str">
        <f>IF(A439="", "", IFERROR(VLOOKUP(A439, Clasificaciones!A:B, 2, FALSE), "DATO NO CARGADO"))</f>
        <v>Equipo</v>
      </c>
      <c r="C439" s="51" t="s">
        <v>166</v>
      </c>
      <c r="D439" s="156">
        <v>2025.0</v>
      </c>
      <c r="E439" s="43" t="s">
        <v>371</v>
      </c>
      <c r="F439" s="253"/>
      <c r="G439" s="253">
        <v>45904.0</v>
      </c>
      <c r="H439" s="203" t="s">
        <v>772</v>
      </c>
      <c r="I439" s="203" t="s">
        <v>748</v>
      </c>
      <c r="J439" s="103"/>
      <c r="K439" s="43">
        <v>203711.0</v>
      </c>
      <c r="L439" s="71"/>
      <c r="M439" s="106" t="str">
        <f>IF(ISBLANK(K439), "", VLOOKUP(C439, 'Info Tipo de Cambio y REM'!$A$24:$B$35, 2, FALSE))</f>
        <v>#N/A</v>
      </c>
      <c r="N439" s="107" t="str">
        <f t="shared" si="2"/>
        <v>#N/A</v>
      </c>
    </row>
    <row r="440">
      <c r="A440" s="43" t="s">
        <v>230</v>
      </c>
      <c r="B440" s="43" t="str">
        <f>IF(A440="", "", IFERROR(VLOOKUP(A440, Clasificaciones!A:B, 2, FALSE), "DATO NO CARGADO"))</f>
        <v>Equipo</v>
      </c>
      <c r="C440" s="51" t="s">
        <v>166</v>
      </c>
      <c r="D440" s="156">
        <v>2025.0</v>
      </c>
      <c r="E440" s="43" t="s">
        <v>371</v>
      </c>
      <c r="F440" s="253"/>
      <c r="G440" s="253">
        <v>45902.0</v>
      </c>
      <c r="H440" s="203" t="s">
        <v>773</v>
      </c>
      <c r="I440" s="203" t="s">
        <v>577</v>
      </c>
      <c r="J440" s="103"/>
      <c r="K440" s="43">
        <v>275935.0</v>
      </c>
      <c r="L440" s="71"/>
      <c r="M440" s="106" t="str">
        <f>IF(ISBLANK(K440), "", VLOOKUP(C440, 'Info Tipo de Cambio y REM'!$A$24:$B$35, 2, FALSE))</f>
        <v>#N/A</v>
      </c>
      <c r="N440" s="107" t="str">
        <f t="shared" si="2"/>
        <v>#N/A</v>
      </c>
    </row>
    <row r="441">
      <c r="A441" s="43" t="s">
        <v>200</v>
      </c>
      <c r="B441" s="43" t="str">
        <f>IF(A441="", "", IFERROR(VLOOKUP(A441, Clasificaciones!A:B, 2, FALSE), "DATO NO CARGADO"))</f>
        <v>Equipo</v>
      </c>
      <c r="C441" s="51" t="s">
        <v>166</v>
      </c>
      <c r="D441" s="156">
        <v>2025.0</v>
      </c>
      <c r="E441" s="43" t="s">
        <v>371</v>
      </c>
      <c r="F441" s="253"/>
      <c r="G441" s="253">
        <v>45904.0</v>
      </c>
      <c r="H441" s="203" t="s">
        <v>774</v>
      </c>
      <c r="I441" s="203" t="s">
        <v>381</v>
      </c>
      <c r="J441" s="103"/>
      <c r="K441" s="43">
        <v>614374.0</v>
      </c>
      <c r="L441" s="71"/>
      <c r="M441" s="106" t="str">
        <f>IF(ISBLANK(K441), "", VLOOKUP(C441, 'Info Tipo de Cambio y REM'!$A$24:$B$35, 2, FALSE))</f>
        <v>#N/A</v>
      </c>
      <c r="N441" s="107" t="str">
        <f t="shared" si="2"/>
        <v>#N/A</v>
      </c>
    </row>
    <row r="442">
      <c r="A442" s="43" t="s">
        <v>87</v>
      </c>
      <c r="B442" s="43" t="str">
        <f>IF(A442="", "", IFERROR(VLOOKUP(A442, Clasificaciones!A:B, 2, FALSE), "DATO NO CARGADO"))</f>
        <v>Equipo</v>
      </c>
      <c r="C442" s="51" t="s">
        <v>166</v>
      </c>
      <c r="D442" s="156">
        <v>2025.0</v>
      </c>
      <c r="E442" s="43" t="s">
        <v>371</v>
      </c>
      <c r="F442" s="253"/>
      <c r="G442" s="253">
        <v>45901.0</v>
      </c>
      <c r="H442" s="203" t="s">
        <v>775</v>
      </c>
      <c r="I442" s="203" t="s">
        <v>776</v>
      </c>
      <c r="J442" s="103"/>
      <c r="K442" s="43">
        <v>1171485.0</v>
      </c>
      <c r="L442" s="71"/>
      <c r="M442" s="106" t="str">
        <f>IF(ISBLANK(K442), "", VLOOKUP(C442, 'Info Tipo de Cambio y REM'!$A$24:$B$35, 2, FALSE))</f>
        <v>#N/A</v>
      </c>
      <c r="N442" s="107" t="str">
        <f t="shared" si="2"/>
        <v>#N/A</v>
      </c>
    </row>
    <row r="443">
      <c r="A443" s="43" t="s">
        <v>210</v>
      </c>
      <c r="B443" s="43" t="str">
        <f>IF(A443="", "", IFERROR(VLOOKUP(A443, Clasificaciones!A:B, 2, FALSE), "DATO NO CARGADO"))</f>
        <v>Equipo</v>
      </c>
      <c r="C443" s="51" t="s">
        <v>166</v>
      </c>
      <c r="D443" s="156">
        <v>2025.0</v>
      </c>
      <c r="E443" s="43" t="s">
        <v>371</v>
      </c>
      <c r="F443" s="253"/>
      <c r="G443" s="256">
        <v>45902.0</v>
      </c>
      <c r="H443" s="203" t="s">
        <v>777</v>
      </c>
      <c r="I443" s="203" t="s">
        <v>397</v>
      </c>
      <c r="J443" s="103"/>
      <c r="K443" s="43">
        <v>450425.0</v>
      </c>
      <c r="L443" s="71"/>
      <c r="M443" s="106" t="str">
        <f>IF(ISBLANK(K443), "", VLOOKUP(C443, 'Info Tipo de Cambio y REM'!$A$24:$B$35, 2, FALSE))</f>
        <v>#N/A</v>
      </c>
      <c r="N443" s="107" t="str">
        <f t="shared" si="2"/>
        <v>#N/A</v>
      </c>
    </row>
    <row r="444">
      <c r="A444" s="102"/>
      <c r="B444" s="102"/>
      <c r="C444" s="51"/>
      <c r="D444" s="156"/>
      <c r="E444" s="102"/>
      <c r="F444" s="103"/>
      <c r="G444" s="104"/>
      <c r="J444" s="103"/>
      <c r="L444" s="89"/>
      <c r="M444" s="106" t="str">
        <f>IF(ISBLANK(K444), "", VLOOKUP(C444, 'Info Tipo de Cambio y REM'!$A$24:$B$35, 2, FALSE))</f>
        <v/>
      </c>
      <c r="N444" s="107" t="str">
        <f t="shared" si="2"/>
        <v/>
      </c>
    </row>
    <row r="445">
      <c r="A445" s="102"/>
      <c r="B445" s="43" t="str">
        <f>IF(A445="", "", IFERROR(VLOOKUP(A445, Clasificaciones!A:B, 2, FALSE), "DATO NO CARGADO"))</f>
        <v/>
      </c>
      <c r="C445" s="51"/>
      <c r="D445" s="257"/>
      <c r="E445" s="102"/>
      <c r="F445" s="103"/>
      <c r="G445" s="103"/>
      <c r="H445" s="258"/>
      <c r="J445" s="103"/>
      <c r="L445" s="71"/>
      <c r="M445" s="106" t="str">
        <f>IF(ISBLANK(K445), "", VLOOKUP(C445, 'Info Tipo de Cambio y REM'!$A$24:$B$35, 2, FALSE))</f>
        <v/>
      </c>
      <c r="N445" s="107" t="str">
        <f t="shared" si="2"/>
        <v/>
      </c>
    </row>
    <row r="446">
      <c r="A446" s="102"/>
      <c r="B446" s="43" t="str">
        <f>IF(A446="", "", IFERROR(VLOOKUP(A446, Clasificaciones!A:B, 2, FALSE), "DATO NO CARGADO"))</f>
        <v/>
      </c>
      <c r="C446" s="51"/>
      <c r="D446" s="257"/>
      <c r="E446" s="102"/>
      <c r="F446" s="103"/>
      <c r="G446" s="103"/>
      <c r="H446" s="165"/>
      <c r="J446" s="103"/>
      <c r="L446" s="71"/>
      <c r="M446" s="106" t="str">
        <f>IF(ISBLANK(K446), "", VLOOKUP(C446, 'Info Tipo de Cambio y REM'!$A$24:$B$35, 2, FALSE))</f>
        <v/>
      </c>
      <c r="N446" s="107" t="str">
        <f t="shared" si="2"/>
        <v/>
      </c>
    </row>
    <row r="447">
      <c r="A447" s="102"/>
      <c r="B447" s="43" t="str">
        <f>IF(A447="", "", IFERROR(VLOOKUP(A447, Clasificaciones!A:B, 2, FALSE), "DATO NO CARGADO"))</f>
        <v/>
      </c>
      <c r="C447" s="51"/>
      <c r="D447" s="257"/>
      <c r="E447" s="102"/>
      <c r="F447" s="103"/>
      <c r="G447" s="103"/>
      <c r="H447" s="165"/>
      <c r="J447" s="103"/>
      <c r="L447" s="71"/>
      <c r="M447" s="106" t="str">
        <f>IF(ISBLANK(K447), "", VLOOKUP(C447, 'Info Tipo de Cambio y REM'!$A$24:$B$35, 2, FALSE))</f>
        <v/>
      </c>
      <c r="N447" s="107" t="str">
        <f t="shared" si="2"/>
        <v/>
      </c>
    </row>
    <row r="448">
      <c r="A448" s="102"/>
      <c r="B448" s="43" t="str">
        <f>IF(A448="", "", IFERROR(VLOOKUP(A448, Clasificaciones!A:B, 2, FALSE), "DATO NO CARGADO"))</f>
        <v/>
      </c>
      <c r="C448" s="51"/>
      <c r="D448" s="257"/>
      <c r="E448" s="102"/>
      <c r="F448" s="103"/>
      <c r="G448" s="103"/>
      <c r="H448" s="165" t="s">
        <v>778</v>
      </c>
      <c r="J448" s="103"/>
      <c r="L448" s="71"/>
      <c r="M448" s="106" t="str">
        <f>IF(ISBLANK(K448), "", VLOOKUP(C448, 'Info Tipo de Cambio y REM'!$A$24:$B$35, 2, FALSE))</f>
        <v/>
      </c>
      <c r="N448" s="107" t="str">
        <f t="shared" si="2"/>
        <v/>
      </c>
    </row>
    <row r="449">
      <c r="A449" s="102"/>
      <c r="B449" s="43" t="str">
        <f>IF(A449="", "", IFERROR(VLOOKUP(A449, Clasificaciones!A:B, 2, FALSE), "DATO NO CARGADO"))</f>
        <v/>
      </c>
      <c r="C449" s="51"/>
      <c r="D449" s="257"/>
      <c r="E449" s="102"/>
      <c r="F449" s="103"/>
      <c r="G449" s="103"/>
      <c r="H449" s="258"/>
      <c r="J449" s="103"/>
      <c r="L449" s="71"/>
      <c r="M449" s="106" t="str">
        <f>IF(ISBLANK(K449), "", VLOOKUP(C449, 'Info Tipo de Cambio y REM'!$A$24:$B$35, 2, FALSE))</f>
        <v/>
      </c>
      <c r="N449" s="107" t="str">
        <f t="shared" si="2"/>
        <v/>
      </c>
    </row>
    <row r="450">
      <c r="A450" s="102"/>
      <c r="B450" s="43" t="str">
        <f>IF(A450="", "", IFERROR(VLOOKUP(A450, Clasificaciones!A:B, 2, FALSE), "DATO NO CARGADO"))</f>
        <v/>
      </c>
      <c r="C450" s="51"/>
      <c r="D450" s="257"/>
      <c r="E450" s="102"/>
      <c r="F450" s="103"/>
      <c r="G450" s="103"/>
      <c r="H450" s="258"/>
      <c r="J450" s="103"/>
      <c r="L450" s="71"/>
      <c r="M450" s="106" t="str">
        <f>IF(ISBLANK(K450), "", VLOOKUP(C450, 'Info Tipo de Cambio y REM'!$A$24:$B$35, 2, FALSE))</f>
        <v/>
      </c>
      <c r="N450" s="107" t="str">
        <f t="shared" si="2"/>
        <v/>
      </c>
    </row>
    <row r="451">
      <c r="A451" s="102"/>
      <c r="B451" s="43" t="str">
        <f>IF(A451="", "", IFERROR(VLOOKUP(A451, Clasificaciones!A:B, 2, FALSE), "DATO NO CARGADO"))</f>
        <v/>
      </c>
      <c r="C451" s="51"/>
      <c r="D451" s="257"/>
      <c r="E451" s="102"/>
      <c r="F451" s="103"/>
      <c r="G451" s="103"/>
      <c r="H451" s="258"/>
      <c r="J451" s="103"/>
      <c r="L451" s="71"/>
      <c r="M451" s="106" t="str">
        <f>IF(ISBLANK(K451), "", VLOOKUP(C451, 'Info Tipo de Cambio y REM'!$A$24:$B$35, 2, FALSE))</f>
        <v/>
      </c>
      <c r="N451" s="107" t="str">
        <f t="shared" si="2"/>
        <v/>
      </c>
    </row>
    <row r="452">
      <c r="A452" s="102"/>
      <c r="B452" s="43" t="str">
        <f>IF(A452="", "", IFERROR(VLOOKUP(A452, Clasificaciones!A:B, 2, FALSE), "DATO NO CARGADO"))</f>
        <v/>
      </c>
      <c r="C452" s="51"/>
      <c r="D452" s="257"/>
      <c r="E452" s="102"/>
      <c r="F452" s="103"/>
      <c r="G452" s="103"/>
      <c r="H452" s="258"/>
      <c r="J452" s="103"/>
      <c r="L452" s="71"/>
      <c r="M452" s="106" t="str">
        <f>IF(ISBLANK(K452), "", VLOOKUP(C452, 'Info Tipo de Cambio y REM'!$A$24:$B$35, 2, FALSE))</f>
        <v/>
      </c>
      <c r="N452" s="107" t="str">
        <f t="shared" si="2"/>
        <v/>
      </c>
    </row>
    <row r="453">
      <c r="A453" s="102"/>
      <c r="B453" s="43" t="str">
        <f>IF(A453="", "", IFERROR(VLOOKUP(A453, Clasificaciones!A:B, 2, FALSE), "DATO NO CARGADO"))</f>
        <v/>
      </c>
      <c r="C453" s="51"/>
      <c r="D453" s="257"/>
      <c r="E453" s="102"/>
      <c r="F453" s="103"/>
      <c r="G453" s="103"/>
      <c r="H453" s="258"/>
      <c r="J453" s="103"/>
      <c r="L453" s="71"/>
      <c r="M453" s="106" t="str">
        <f>IF(ISBLANK(K453), "", VLOOKUP(C453, 'Info Tipo de Cambio y REM'!$A$24:$B$35, 2, FALSE))</f>
        <v/>
      </c>
      <c r="N453" s="107" t="str">
        <f t="shared" si="2"/>
        <v/>
      </c>
    </row>
    <row r="454">
      <c r="A454" s="102"/>
      <c r="B454" s="43" t="str">
        <f>IF(A454="", "", IFERROR(VLOOKUP(A454, Clasificaciones!A:B, 2, FALSE), "DATO NO CARGADO"))</f>
        <v/>
      </c>
      <c r="C454" s="51"/>
      <c r="D454" s="257"/>
      <c r="E454" s="102"/>
      <c r="F454" s="103"/>
      <c r="G454" s="103"/>
      <c r="H454" s="258"/>
      <c r="J454" s="103"/>
      <c r="L454" s="71"/>
      <c r="M454" s="106" t="str">
        <f>IF(ISBLANK(K454), "", VLOOKUP(C454, 'Info Tipo de Cambio y REM'!$A$24:$B$35, 2, FALSE))</f>
        <v/>
      </c>
      <c r="N454" s="107" t="str">
        <f t="shared" si="2"/>
        <v/>
      </c>
    </row>
    <row r="455">
      <c r="A455" s="102"/>
      <c r="B455" s="43" t="str">
        <f>IF(A455="", "", IFERROR(VLOOKUP(A455, Clasificaciones!A:B, 2, FALSE), "DATO NO CARGADO"))</f>
        <v/>
      </c>
      <c r="C455" s="51"/>
      <c r="D455" s="257"/>
      <c r="E455" s="102"/>
      <c r="F455" s="103"/>
      <c r="G455" s="103"/>
      <c r="H455" s="258"/>
      <c r="J455" s="103"/>
      <c r="L455" s="71"/>
      <c r="M455" s="106" t="str">
        <f>IF(ISBLANK(K455), "", VLOOKUP(C455, 'Info Tipo de Cambio y REM'!$A$24:$B$35, 2, FALSE))</f>
        <v/>
      </c>
      <c r="N455" s="107" t="str">
        <f t="shared" si="2"/>
        <v/>
      </c>
    </row>
    <row r="456">
      <c r="A456" s="102"/>
      <c r="B456" s="43" t="str">
        <f>IF(A456="", "", IFERROR(VLOOKUP(A456, Clasificaciones!A:B, 2, FALSE), "DATO NO CARGADO"))</f>
        <v/>
      </c>
      <c r="C456" s="51"/>
      <c r="D456" s="257"/>
      <c r="E456" s="102"/>
      <c r="F456" s="103"/>
      <c r="G456" s="103"/>
      <c r="H456" s="258"/>
      <c r="J456" s="103"/>
      <c r="L456" s="71"/>
      <c r="M456" s="106" t="str">
        <f>IF(ISBLANK(K456), "", VLOOKUP(C456, 'Info Tipo de Cambio y REM'!$A$24:$B$35, 2, FALSE))</f>
        <v/>
      </c>
      <c r="N456" s="107" t="str">
        <f t="shared" si="2"/>
        <v/>
      </c>
    </row>
    <row r="457">
      <c r="A457" s="102"/>
      <c r="B457" s="43" t="str">
        <f>IF(A457="", "", IFERROR(VLOOKUP(A457, Clasificaciones!A:B, 2, FALSE), "DATO NO CARGADO"))</f>
        <v/>
      </c>
      <c r="C457" s="51"/>
      <c r="D457" s="257"/>
      <c r="E457" s="102"/>
      <c r="F457" s="103"/>
      <c r="G457" s="103"/>
      <c r="H457" s="258"/>
      <c r="J457" s="103"/>
      <c r="L457" s="71"/>
      <c r="M457" s="106" t="str">
        <f>IF(ISBLANK(K457), "", VLOOKUP(C457, 'Info Tipo de Cambio y REM'!$A$24:$B$35, 2, FALSE))</f>
        <v/>
      </c>
      <c r="N457" s="107" t="str">
        <f t="shared" si="2"/>
        <v/>
      </c>
    </row>
    <row r="458">
      <c r="A458" s="102"/>
      <c r="B458" s="43" t="str">
        <f>IF(A458="", "", IFERROR(VLOOKUP(A458, Clasificaciones!A:B, 2, FALSE), "DATO NO CARGADO"))</f>
        <v/>
      </c>
      <c r="C458" s="51"/>
      <c r="D458" s="257"/>
      <c r="E458" s="102"/>
      <c r="F458" s="103"/>
      <c r="G458" s="103"/>
      <c r="H458" s="258"/>
      <c r="J458" s="103"/>
      <c r="L458" s="71"/>
      <c r="M458" s="106" t="str">
        <f>IF(ISBLANK(K458), "", VLOOKUP(C458, 'Info Tipo de Cambio y REM'!$A$24:$B$35, 2, FALSE))</f>
        <v/>
      </c>
      <c r="N458" s="107" t="str">
        <f t="shared" si="2"/>
        <v/>
      </c>
    </row>
    <row r="459">
      <c r="A459" s="102"/>
      <c r="B459" s="43" t="str">
        <f>IF(A459="", "", IFERROR(VLOOKUP(A459, Clasificaciones!A:B, 2, FALSE), "DATO NO CARGADO"))</f>
        <v/>
      </c>
      <c r="C459" s="51"/>
      <c r="D459" s="257"/>
      <c r="E459" s="102"/>
      <c r="F459" s="103"/>
      <c r="G459" s="103"/>
      <c r="H459" s="258"/>
      <c r="J459" s="103"/>
      <c r="L459" s="71"/>
      <c r="M459" s="106" t="str">
        <f>IF(ISBLANK(K459), "", VLOOKUP(C459, 'Info Tipo de Cambio y REM'!$A$24:$B$35, 2, FALSE))</f>
        <v/>
      </c>
      <c r="N459" s="107" t="str">
        <f t="shared" si="2"/>
        <v/>
      </c>
    </row>
    <row r="460">
      <c r="A460" s="102"/>
      <c r="B460" s="43" t="str">
        <f>IF(A460="", "", IFERROR(VLOOKUP(A460, Clasificaciones!A:B, 2, FALSE), "DATO NO CARGADO"))</f>
        <v/>
      </c>
      <c r="C460" s="51"/>
      <c r="D460" s="257"/>
      <c r="E460" s="102"/>
      <c r="F460" s="103"/>
      <c r="G460" s="103"/>
      <c r="H460" s="258"/>
      <c r="J460" s="103"/>
      <c r="L460" s="71"/>
      <c r="M460" s="106" t="str">
        <f>IF(ISBLANK(K460), "", VLOOKUP(C460, 'Info Tipo de Cambio y REM'!$A$24:$B$35, 2, FALSE))</f>
        <v/>
      </c>
      <c r="N460" s="107" t="str">
        <f t="shared" si="2"/>
        <v/>
      </c>
    </row>
    <row r="461">
      <c r="A461" s="102"/>
      <c r="B461" s="43" t="str">
        <f>IF(A461="", "", IFERROR(VLOOKUP(A461, Clasificaciones!A:B, 2, FALSE), "DATO NO CARGADO"))</f>
        <v/>
      </c>
      <c r="C461" s="51"/>
      <c r="D461" s="257"/>
      <c r="E461" s="102"/>
      <c r="F461" s="103"/>
      <c r="G461" s="103"/>
      <c r="H461" s="258"/>
      <c r="J461" s="103"/>
      <c r="L461" s="71"/>
      <c r="M461" s="106" t="str">
        <f>IF(ISBLANK(K461), "", VLOOKUP(C461, 'Info Tipo de Cambio y REM'!$A$24:$B$35, 2, FALSE))</f>
        <v/>
      </c>
      <c r="N461" s="107" t="str">
        <f t="shared" si="2"/>
        <v/>
      </c>
    </row>
    <row r="462">
      <c r="A462" s="102"/>
      <c r="B462" s="43" t="str">
        <f>IF(A462="", "", IFERROR(VLOOKUP(A462, Clasificaciones!A:B, 2, FALSE), "DATO NO CARGADO"))</f>
        <v/>
      </c>
      <c r="C462" s="51"/>
      <c r="D462" s="257"/>
      <c r="E462" s="102"/>
      <c r="F462" s="103"/>
      <c r="G462" s="103"/>
      <c r="H462" s="258"/>
      <c r="J462" s="103"/>
      <c r="L462" s="71"/>
      <c r="M462" s="106" t="str">
        <f>IF(ISBLANK(K462), "", VLOOKUP(C462, 'Info Tipo de Cambio y REM'!$A$24:$B$35, 2, FALSE))</f>
        <v/>
      </c>
      <c r="N462" s="107" t="str">
        <f t="shared" si="2"/>
        <v/>
      </c>
    </row>
    <row r="463">
      <c r="A463" s="102"/>
      <c r="B463" s="43" t="str">
        <f>IF(A463="", "", IFERROR(VLOOKUP(A463, Clasificaciones!A:B, 2, FALSE), "DATO NO CARGADO"))</f>
        <v/>
      </c>
      <c r="C463" s="51"/>
      <c r="D463" s="257"/>
      <c r="E463" s="102"/>
      <c r="F463" s="103"/>
      <c r="G463" s="103"/>
      <c r="H463" s="258"/>
      <c r="J463" s="103"/>
      <c r="L463" s="71"/>
      <c r="M463" s="106" t="str">
        <f>IF(ISBLANK(K463), "", VLOOKUP(C463, 'Info Tipo de Cambio y REM'!$A$24:$B$35, 2, FALSE))</f>
        <v/>
      </c>
      <c r="N463" s="107" t="str">
        <f t="shared" si="2"/>
        <v/>
      </c>
    </row>
    <row r="464">
      <c r="A464" s="102"/>
      <c r="B464" s="43" t="str">
        <f>IF(A464="", "", IFERROR(VLOOKUP(A464, Clasificaciones!A:B, 2, FALSE), "DATO NO CARGADO"))</f>
        <v/>
      </c>
      <c r="C464" s="51"/>
      <c r="D464" s="257"/>
      <c r="E464" s="102"/>
      <c r="F464" s="103"/>
      <c r="G464" s="103"/>
      <c r="H464" s="258"/>
      <c r="J464" s="103"/>
      <c r="L464" s="71"/>
      <c r="M464" s="106" t="str">
        <f>IF(ISBLANK(K464), "", VLOOKUP(C464, 'Info Tipo de Cambio y REM'!$A$24:$B$35, 2, FALSE))</f>
        <v/>
      </c>
      <c r="N464" s="107" t="str">
        <f t="shared" si="2"/>
        <v/>
      </c>
    </row>
    <row r="465">
      <c r="A465" s="102"/>
      <c r="B465" s="43" t="str">
        <f>IF(A465="", "", IFERROR(VLOOKUP(A465, Clasificaciones!A:B, 2, FALSE), "DATO NO CARGADO"))</f>
        <v/>
      </c>
      <c r="C465" s="51"/>
      <c r="D465" s="257"/>
      <c r="E465" s="102"/>
      <c r="F465" s="103"/>
      <c r="G465" s="103"/>
      <c r="H465" s="258"/>
      <c r="J465" s="103"/>
      <c r="L465" s="71"/>
      <c r="M465" s="106" t="str">
        <f>IF(ISBLANK(K465), "", VLOOKUP(C465, 'Info Tipo de Cambio y REM'!$A$24:$B$35, 2, FALSE))</f>
        <v/>
      </c>
      <c r="N465" s="107" t="str">
        <f t="shared" si="2"/>
        <v/>
      </c>
    </row>
    <row r="466">
      <c r="A466" s="102"/>
      <c r="B466" s="43" t="str">
        <f>IF(A466="", "", IFERROR(VLOOKUP(A466, Clasificaciones!A:B, 2, FALSE), "DATO NO CARGADO"))</f>
        <v/>
      </c>
      <c r="C466" s="51"/>
      <c r="D466" s="257"/>
      <c r="E466" s="102"/>
      <c r="F466" s="103"/>
      <c r="G466" s="103"/>
      <c r="H466" s="258"/>
      <c r="J466" s="103"/>
      <c r="L466" s="71"/>
      <c r="M466" s="106" t="str">
        <f>IF(ISBLANK(K466), "", VLOOKUP(C466, 'Info Tipo de Cambio y REM'!$A$24:$B$35, 2, FALSE))</f>
        <v/>
      </c>
      <c r="N466" s="107" t="str">
        <f t="shared" si="2"/>
        <v/>
      </c>
    </row>
    <row r="467">
      <c r="A467" s="102"/>
      <c r="B467" s="43" t="str">
        <f>IF(A467="", "", IFERROR(VLOOKUP(A467, Clasificaciones!A:B, 2, FALSE), "DATO NO CARGADO"))</f>
        <v/>
      </c>
      <c r="C467" s="51"/>
      <c r="D467" s="257"/>
      <c r="E467" s="102"/>
      <c r="F467" s="103"/>
      <c r="G467" s="103"/>
      <c r="H467" s="258"/>
      <c r="J467" s="103"/>
      <c r="L467" s="71"/>
      <c r="M467" s="106" t="str">
        <f>IF(ISBLANK(K467), "", VLOOKUP(C467, 'Info Tipo de Cambio y REM'!$A$24:$B$35, 2, FALSE))</f>
        <v/>
      </c>
      <c r="N467" s="107" t="str">
        <f t="shared" si="2"/>
        <v/>
      </c>
    </row>
    <row r="468">
      <c r="A468" s="102"/>
      <c r="B468" s="43" t="str">
        <f>IF(A468="", "", IFERROR(VLOOKUP(A468, Clasificaciones!A:B, 2, FALSE), "DATO NO CARGADO"))</f>
        <v/>
      </c>
      <c r="C468" s="51"/>
      <c r="D468" s="257"/>
      <c r="E468" s="102"/>
      <c r="F468" s="103"/>
      <c r="G468" s="103"/>
      <c r="H468" s="258"/>
      <c r="J468" s="103"/>
      <c r="L468" s="71"/>
      <c r="M468" s="106" t="str">
        <f>IF(ISBLANK(K468), "", VLOOKUP(C468, 'Info Tipo de Cambio y REM'!$A$24:$B$35, 2, FALSE))</f>
        <v/>
      </c>
      <c r="N468" s="107" t="str">
        <f t="shared" si="2"/>
        <v/>
      </c>
    </row>
    <row r="469">
      <c r="A469" s="102"/>
      <c r="B469" s="43" t="str">
        <f>IF(A469="", "", IFERROR(VLOOKUP(A469, Clasificaciones!A:B, 2, FALSE), "DATO NO CARGADO"))</f>
        <v/>
      </c>
      <c r="C469" s="51"/>
      <c r="D469" s="257"/>
      <c r="E469" s="102"/>
      <c r="F469" s="103"/>
      <c r="G469" s="103"/>
      <c r="H469" s="258"/>
      <c r="J469" s="103"/>
      <c r="L469" s="71"/>
      <c r="M469" s="106" t="str">
        <f>IF(ISBLANK(K469), "", VLOOKUP(C469, 'Info Tipo de Cambio y REM'!$A$24:$B$35, 2, FALSE))</f>
        <v/>
      </c>
      <c r="N469" s="107" t="str">
        <f t="shared" si="2"/>
        <v/>
      </c>
    </row>
    <row r="470">
      <c r="A470" s="102"/>
      <c r="B470" s="43" t="str">
        <f>IF(A470="", "", IFERROR(VLOOKUP(A470, Clasificaciones!A:B, 2, FALSE), "DATO NO CARGADO"))</f>
        <v/>
      </c>
      <c r="C470" s="51"/>
      <c r="D470" s="257"/>
      <c r="E470" s="102"/>
      <c r="F470" s="103"/>
      <c r="G470" s="103"/>
      <c r="H470" s="258"/>
      <c r="J470" s="103"/>
      <c r="L470" s="71"/>
      <c r="M470" s="106" t="str">
        <f>IF(ISBLANK(K470), "", VLOOKUP(C470, 'Info Tipo de Cambio y REM'!$A$24:$B$35, 2, FALSE))</f>
        <v/>
      </c>
      <c r="N470" s="107" t="str">
        <f t="shared" si="2"/>
        <v/>
      </c>
    </row>
    <row r="471">
      <c r="A471" s="102"/>
      <c r="B471" s="43" t="str">
        <f>IF(A471="", "", IFERROR(VLOOKUP(A471, Clasificaciones!A:B, 2, FALSE), "DATO NO CARGADO"))</f>
        <v/>
      </c>
      <c r="C471" s="51"/>
      <c r="D471" s="257"/>
      <c r="E471" s="102"/>
      <c r="F471" s="103"/>
      <c r="G471" s="103"/>
      <c r="H471" s="258"/>
      <c r="J471" s="103"/>
      <c r="L471" s="71"/>
      <c r="M471" s="106" t="str">
        <f>IF(ISBLANK(K471), "", VLOOKUP(C471, 'Info Tipo de Cambio y REM'!$A$24:$B$35, 2, FALSE))</f>
        <v/>
      </c>
      <c r="N471" s="107" t="str">
        <f t="shared" si="2"/>
        <v/>
      </c>
    </row>
    <row r="472">
      <c r="A472" s="102"/>
      <c r="B472" s="43" t="str">
        <f>IF(A472="", "", IFERROR(VLOOKUP(A472, Clasificaciones!A:B, 2, FALSE), "DATO NO CARGADO"))</f>
        <v/>
      </c>
      <c r="C472" s="51"/>
      <c r="D472" s="257"/>
      <c r="E472" s="102"/>
      <c r="F472" s="103"/>
      <c r="G472" s="103"/>
      <c r="H472" s="258"/>
      <c r="J472" s="103"/>
      <c r="L472" s="71"/>
      <c r="M472" s="106" t="str">
        <f>IF(ISBLANK(K472), "", VLOOKUP(C472, 'Info Tipo de Cambio y REM'!$A$24:$B$35, 2, FALSE))</f>
        <v/>
      </c>
      <c r="N472" s="107" t="str">
        <f t="shared" si="2"/>
        <v/>
      </c>
    </row>
    <row r="473">
      <c r="A473" s="102"/>
      <c r="B473" s="43" t="str">
        <f>IF(A473="", "", IFERROR(VLOOKUP(A473, Clasificaciones!A:B, 2, FALSE), "DATO NO CARGADO"))</f>
        <v/>
      </c>
      <c r="C473" s="51"/>
      <c r="D473" s="257"/>
      <c r="E473" s="102"/>
      <c r="F473" s="103"/>
      <c r="G473" s="103"/>
      <c r="H473" s="258"/>
      <c r="J473" s="103"/>
      <c r="L473" s="71"/>
      <c r="M473" s="106" t="str">
        <f>IF(ISBLANK(K473), "", VLOOKUP(C473, 'Info Tipo de Cambio y REM'!$A$24:$B$35, 2, FALSE))</f>
        <v/>
      </c>
      <c r="N473" s="107" t="str">
        <f t="shared" si="2"/>
        <v/>
      </c>
    </row>
    <row r="474">
      <c r="A474" s="102"/>
      <c r="B474" s="43" t="str">
        <f>IF(A474="", "", IFERROR(VLOOKUP(A474, Clasificaciones!A:B, 2, FALSE), "DATO NO CARGADO"))</f>
        <v/>
      </c>
      <c r="C474" s="51"/>
      <c r="D474" s="257"/>
      <c r="E474" s="102"/>
      <c r="F474" s="103"/>
      <c r="G474" s="103"/>
      <c r="H474" s="258"/>
      <c r="J474" s="103"/>
      <c r="L474" s="71"/>
      <c r="M474" s="106" t="str">
        <f>IF(ISBLANK(K474), "", VLOOKUP(C474, 'Info Tipo de Cambio y REM'!$A$24:$B$35, 2, FALSE))</f>
        <v/>
      </c>
      <c r="N474" s="107" t="str">
        <f t="shared" si="2"/>
        <v/>
      </c>
    </row>
    <row r="475">
      <c r="A475" s="102"/>
      <c r="B475" s="43" t="str">
        <f>IF(A475="", "", IFERROR(VLOOKUP(A475, Clasificaciones!A:B, 2, FALSE), "DATO NO CARGADO"))</f>
        <v/>
      </c>
      <c r="C475" s="51"/>
      <c r="D475" s="257"/>
      <c r="E475" s="102"/>
      <c r="F475" s="103"/>
      <c r="G475" s="103"/>
      <c r="H475" s="258"/>
      <c r="J475" s="103"/>
      <c r="L475" s="71"/>
      <c r="M475" s="106" t="str">
        <f>IF(ISBLANK(K475), "", VLOOKUP(C475, 'Info Tipo de Cambio y REM'!$A$24:$B$35, 2, FALSE))</f>
        <v/>
      </c>
      <c r="N475" s="107" t="str">
        <f t="shared" si="2"/>
        <v/>
      </c>
    </row>
    <row r="476">
      <c r="A476" s="102"/>
      <c r="B476" s="43" t="str">
        <f>IF(A476="", "", IFERROR(VLOOKUP(A476, Clasificaciones!A:B, 2, FALSE), "DATO NO CARGADO"))</f>
        <v/>
      </c>
      <c r="C476" s="51"/>
      <c r="D476" s="257"/>
      <c r="E476" s="102"/>
      <c r="F476" s="103"/>
      <c r="G476" s="103"/>
      <c r="H476" s="258"/>
      <c r="J476" s="103"/>
      <c r="L476" s="71"/>
      <c r="M476" s="106" t="str">
        <f>IF(ISBLANK(K476), "", VLOOKUP(C476, 'Info Tipo de Cambio y REM'!$A$24:$B$35, 2, FALSE))</f>
        <v/>
      </c>
      <c r="N476" s="107" t="str">
        <f t="shared" si="2"/>
        <v/>
      </c>
    </row>
    <row r="477">
      <c r="A477" s="102"/>
      <c r="B477" s="43" t="str">
        <f>IF(A477="", "", IFERROR(VLOOKUP(A477, Clasificaciones!A:B, 2, FALSE), "DATO NO CARGADO"))</f>
        <v/>
      </c>
      <c r="C477" s="51"/>
      <c r="D477" s="257"/>
      <c r="E477" s="102"/>
      <c r="F477" s="103"/>
      <c r="G477" s="103"/>
      <c r="H477" s="258"/>
      <c r="J477" s="103"/>
      <c r="L477" s="71"/>
      <c r="M477" s="106" t="str">
        <f>IF(ISBLANK(K477), "", VLOOKUP(C477, 'Info Tipo de Cambio y REM'!$A$24:$B$35, 2, FALSE))</f>
        <v/>
      </c>
      <c r="N477" s="107" t="str">
        <f t="shared" si="2"/>
        <v/>
      </c>
    </row>
    <row r="478">
      <c r="A478" s="102"/>
      <c r="B478" s="43" t="str">
        <f>IF(A478="", "", IFERROR(VLOOKUP(A478, Clasificaciones!A:B, 2, FALSE), "DATO NO CARGADO"))</f>
        <v/>
      </c>
      <c r="C478" s="51"/>
      <c r="D478" s="257"/>
      <c r="E478" s="102"/>
      <c r="F478" s="103"/>
      <c r="G478" s="103"/>
      <c r="H478" s="258"/>
      <c r="J478" s="103"/>
      <c r="L478" s="71"/>
      <c r="M478" s="106" t="str">
        <f>IF(ISBLANK(K478), "", VLOOKUP(C478, 'Info Tipo de Cambio y REM'!$A$24:$B$35, 2, FALSE))</f>
        <v/>
      </c>
      <c r="N478" s="107" t="str">
        <f t="shared" si="2"/>
        <v/>
      </c>
    </row>
    <row r="479">
      <c r="A479" s="102"/>
      <c r="B479" s="43" t="str">
        <f>IF(A479="", "", IFERROR(VLOOKUP(A479, Clasificaciones!A:B, 2, FALSE), "DATO NO CARGADO"))</f>
        <v/>
      </c>
      <c r="C479" s="51"/>
      <c r="D479" s="257"/>
      <c r="E479" s="102"/>
      <c r="F479" s="103"/>
      <c r="G479" s="103"/>
      <c r="H479" s="258"/>
      <c r="J479" s="103"/>
      <c r="L479" s="71"/>
      <c r="M479" s="106" t="str">
        <f>IF(ISBLANK(K479), "", VLOOKUP(C479, 'Info Tipo de Cambio y REM'!$A$24:$B$35, 2, FALSE))</f>
        <v/>
      </c>
      <c r="N479" s="107" t="str">
        <f t="shared" si="2"/>
        <v/>
      </c>
    </row>
    <row r="480">
      <c r="A480" s="102"/>
      <c r="B480" s="43" t="str">
        <f>IF(A480="", "", IFERROR(VLOOKUP(A480, Clasificaciones!A:B, 2, FALSE), "DATO NO CARGADO"))</f>
        <v/>
      </c>
      <c r="C480" s="51"/>
      <c r="D480" s="257"/>
      <c r="E480" s="102"/>
      <c r="F480" s="103"/>
      <c r="G480" s="103"/>
      <c r="H480" s="258"/>
      <c r="J480" s="103"/>
      <c r="L480" s="71"/>
      <c r="M480" s="106" t="str">
        <f>IF(ISBLANK(K480), "", VLOOKUP(C480, 'Info Tipo de Cambio y REM'!$A$24:$B$35, 2, FALSE))</f>
        <v/>
      </c>
      <c r="N480" s="107" t="str">
        <f t="shared" si="2"/>
        <v/>
      </c>
    </row>
    <row r="481">
      <c r="A481" s="102"/>
      <c r="B481" s="43" t="str">
        <f>IF(A481="", "", IFERROR(VLOOKUP(A481, Clasificaciones!A:B, 2, FALSE), "DATO NO CARGADO"))</f>
        <v/>
      </c>
      <c r="C481" s="51"/>
      <c r="D481" s="257"/>
      <c r="E481" s="102"/>
      <c r="F481" s="103"/>
      <c r="G481" s="103"/>
      <c r="H481" s="258"/>
      <c r="J481" s="103"/>
      <c r="L481" s="71"/>
      <c r="M481" s="106" t="str">
        <f>IF(ISBLANK(K481), "", VLOOKUP(C481, 'Info Tipo de Cambio y REM'!$A$24:$B$35, 2, FALSE))</f>
        <v/>
      </c>
      <c r="N481" s="107" t="str">
        <f t="shared" si="2"/>
        <v/>
      </c>
    </row>
    <row r="482">
      <c r="A482" s="102"/>
      <c r="B482" s="43" t="str">
        <f>IF(A482="", "", IFERROR(VLOOKUP(A482, Clasificaciones!A:B, 2, FALSE), "DATO NO CARGADO"))</f>
        <v/>
      </c>
      <c r="C482" s="51"/>
      <c r="D482" s="257"/>
      <c r="E482" s="102"/>
      <c r="F482" s="103"/>
      <c r="G482" s="103"/>
      <c r="H482" s="258"/>
      <c r="J482" s="103"/>
      <c r="L482" s="71"/>
      <c r="M482" s="106" t="str">
        <f>IF(ISBLANK(K482), "", VLOOKUP(C482, 'Info Tipo de Cambio y REM'!$A$24:$B$35, 2, FALSE))</f>
        <v/>
      </c>
      <c r="N482" s="107" t="str">
        <f t="shared" si="2"/>
        <v/>
      </c>
    </row>
    <row r="483">
      <c r="A483" s="102"/>
      <c r="B483" s="43" t="str">
        <f>IF(A483="", "", IFERROR(VLOOKUP(A483, Clasificaciones!A:B, 2, FALSE), "DATO NO CARGADO"))</f>
        <v/>
      </c>
      <c r="C483" s="51"/>
      <c r="D483" s="257"/>
      <c r="E483" s="102"/>
      <c r="F483" s="103"/>
      <c r="G483" s="103"/>
      <c r="H483" s="258"/>
      <c r="J483" s="103"/>
      <c r="L483" s="71"/>
      <c r="M483" s="106" t="str">
        <f>IF(ISBLANK(K483), "", VLOOKUP(C483, 'Info Tipo de Cambio y REM'!$A$24:$B$35, 2, FALSE))</f>
        <v/>
      </c>
      <c r="N483" s="107" t="str">
        <f t="shared" si="2"/>
        <v/>
      </c>
    </row>
    <row r="484">
      <c r="A484" s="102"/>
      <c r="B484" s="43" t="str">
        <f>IF(A484="", "", IFERROR(VLOOKUP(A484, Clasificaciones!A:B, 2, FALSE), "DATO NO CARGADO"))</f>
        <v/>
      </c>
      <c r="C484" s="51"/>
      <c r="D484" s="257"/>
      <c r="E484" s="102"/>
      <c r="F484" s="103"/>
      <c r="G484" s="103"/>
      <c r="H484" s="258"/>
      <c r="J484" s="103"/>
      <c r="L484" s="71"/>
      <c r="M484" s="106" t="str">
        <f>IF(ISBLANK(K484), "", VLOOKUP(C484, 'Info Tipo de Cambio y REM'!$A$24:$B$35, 2, FALSE))</f>
        <v/>
      </c>
      <c r="N484" s="107" t="str">
        <f t="shared" si="2"/>
        <v/>
      </c>
    </row>
    <row r="485">
      <c r="A485" s="102"/>
      <c r="B485" s="43" t="str">
        <f>IF(A485="", "", IFERROR(VLOOKUP(A485, Clasificaciones!A:B, 2, FALSE), "DATO NO CARGADO"))</f>
        <v/>
      </c>
      <c r="C485" s="51"/>
      <c r="D485" s="257"/>
      <c r="E485" s="102"/>
      <c r="F485" s="103"/>
      <c r="G485" s="103"/>
      <c r="H485" s="258"/>
      <c r="J485" s="103"/>
      <c r="L485" s="71"/>
      <c r="M485" s="106" t="str">
        <f>IF(ISBLANK(K485), "", VLOOKUP(C485, 'Info Tipo de Cambio y REM'!$A$24:$B$35, 2, FALSE))</f>
        <v/>
      </c>
      <c r="N485" s="107" t="str">
        <f t="shared" si="2"/>
        <v/>
      </c>
    </row>
    <row r="486">
      <c r="A486" s="102"/>
      <c r="B486" s="43" t="str">
        <f>IF(A486="", "", IFERROR(VLOOKUP(A486, Clasificaciones!A:B, 2, FALSE), "DATO NO CARGADO"))</f>
        <v/>
      </c>
      <c r="C486" s="51"/>
      <c r="D486" s="257"/>
      <c r="E486" s="102"/>
      <c r="F486" s="103"/>
      <c r="G486" s="103"/>
      <c r="H486" s="258"/>
      <c r="J486" s="103"/>
      <c r="L486" s="71"/>
      <c r="M486" s="106" t="str">
        <f>IF(ISBLANK(K486), "", VLOOKUP(C486, 'Info Tipo de Cambio y REM'!$A$24:$B$35, 2, FALSE))</f>
        <v/>
      </c>
      <c r="N486" s="107" t="str">
        <f t="shared" si="2"/>
        <v/>
      </c>
    </row>
    <row r="487">
      <c r="A487" s="102"/>
      <c r="B487" s="43" t="str">
        <f>IF(A487="", "", IFERROR(VLOOKUP(A487, Clasificaciones!A:B, 2, FALSE), "DATO NO CARGADO"))</f>
        <v/>
      </c>
      <c r="C487" s="51"/>
      <c r="D487" s="257"/>
      <c r="E487" s="102"/>
      <c r="F487" s="103"/>
      <c r="G487" s="103"/>
      <c r="H487" s="258"/>
      <c r="J487" s="103"/>
      <c r="L487" s="71"/>
      <c r="M487" s="106" t="str">
        <f>IF(ISBLANK(K487), "", VLOOKUP(C487, 'Info Tipo de Cambio y REM'!$A$24:$B$35, 2, FALSE))</f>
        <v/>
      </c>
      <c r="N487" s="107" t="str">
        <f t="shared" si="2"/>
        <v/>
      </c>
    </row>
    <row r="488">
      <c r="A488" s="102"/>
      <c r="B488" s="43" t="str">
        <f>IF(A488="", "", IFERROR(VLOOKUP(A488, Clasificaciones!A:B, 2, FALSE), "DATO NO CARGADO"))</f>
        <v/>
      </c>
      <c r="C488" s="51"/>
      <c r="D488" s="257"/>
      <c r="E488" s="102"/>
      <c r="F488" s="103"/>
      <c r="G488" s="103"/>
      <c r="H488" s="258"/>
      <c r="J488" s="103"/>
      <c r="L488" s="71"/>
      <c r="M488" s="106" t="str">
        <f>IF(ISBLANK(K488), "", VLOOKUP(C488, 'Info Tipo de Cambio y REM'!$A$24:$B$35, 2, FALSE))</f>
        <v/>
      </c>
      <c r="N488" s="107" t="str">
        <f t="shared" si="2"/>
        <v/>
      </c>
    </row>
    <row r="489">
      <c r="A489" s="102"/>
      <c r="B489" s="43" t="str">
        <f>IF(A489="", "", IFERROR(VLOOKUP(A489, Clasificaciones!A:B, 2, FALSE), "DATO NO CARGADO"))</f>
        <v/>
      </c>
      <c r="C489" s="51"/>
      <c r="D489" s="257"/>
      <c r="E489" s="102"/>
      <c r="F489" s="103"/>
      <c r="G489" s="103"/>
      <c r="H489" s="258"/>
      <c r="J489" s="103"/>
      <c r="L489" s="71"/>
      <c r="M489" s="106" t="str">
        <f>IF(ISBLANK(K489), "", VLOOKUP(C489, 'Info Tipo de Cambio y REM'!$A$24:$B$35, 2, FALSE))</f>
        <v/>
      </c>
      <c r="N489" s="107" t="str">
        <f t="shared" si="2"/>
        <v/>
      </c>
    </row>
    <row r="490">
      <c r="A490" s="102"/>
      <c r="B490" s="43" t="str">
        <f>IF(A490="", "", IFERROR(VLOOKUP(A490, Clasificaciones!A:B, 2, FALSE), "DATO NO CARGADO"))</f>
        <v/>
      </c>
      <c r="C490" s="51"/>
      <c r="D490" s="257"/>
      <c r="E490" s="102"/>
      <c r="F490" s="103"/>
      <c r="G490" s="103"/>
      <c r="H490" s="258"/>
      <c r="J490" s="103"/>
      <c r="L490" s="71"/>
      <c r="M490" s="106" t="str">
        <f>IF(ISBLANK(K490), "", VLOOKUP(C490, 'Info Tipo de Cambio y REM'!$A$24:$B$35, 2, FALSE))</f>
        <v/>
      </c>
      <c r="N490" s="107" t="str">
        <f t="shared" si="2"/>
        <v/>
      </c>
    </row>
    <row r="491">
      <c r="A491" s="102"/>
      <c r="B491" s="43" t="str">
        <f>IF(A491="", "", IFERROR(VLOOKUP(A491, Clasificaciones!A:B, 2, FALSE), "DATO NO CARGADO"))</f>
        <v/>
      </c>
      <c r="C491" s="51"/>
      <c r="D491" s="257"/>
      <c r="E491" s="102"/>
      <c r="F491" s="103"/>
      <c r="G491" s="103"/>
      <c r="H491" s="258"/>
      <c r="J491" s="103"/>
      <c r="L491" s="71"/>
      <c r="M491" s="106" t="str">
        <f>IF(ISBLANK(K491), "", VLOOKUP(C491, 'Info Tipo de Cambio y REM'!$A$24:$B$35, 2, FALSE))</f>
        <v/>
      </c>
      <c r="N491" s="107" t="str">
        <f t="shared" si="2"/>
        <v/>
      </c>
    </row>
    <row r="492">
      <c r="A492" s="102"/>
      <c r="B492" s="43" t="str">
        <f>IF(A492="", "", IFERROR(VLOOKUP(A492, Clasificaciones!A:B, 2, FALSE), "DATO NO CARGADO"))</f>
        <v/>
      </c>
      <c r="C492" s="51"/>
      <c r="D492" s="257"/>
      <c r="E492" s="102"/>
      <c r="F492" s="103"/>
      <c r="G492" s="103"/>
      <c r="H492" s="258"/>
      <c r="J492" s="103"/>
      <c r="L492" s="71"/>
      <c r="M492" s="106" t="str">
        <f>IF(ISBLANK(K492), "", VLOOKUP(C492, 'Info Tipo de Cambio y REM'!$A$24:$B$35, 2, FALSE))</f>
        <v/>
      </c>
      <c r="N492" s="107" t="str">
        <f t="shared" si="2"/>
        <v/>
      </c>
    </row>
    <row r="493">
      <c r="A493" s="102"/>
      <c r="B493" s="43" t="str">
        <f>IF(A493="", "", IFERROR(VLOOKUP(A493, Clasificaciones!A:B, 2, FALSE), "DATO NO CARGADO"))</f>
        <v/>
      </c>
      <c r="C493" s="51"/>
      <c r="D493" s="257"/>
      <c r="E493" s="102"/>
      <c r="F493" s="103"/>
      <c r="G493" s="103"/>
      <c r="H493" s="258"/>
      <c r="J493" s="103"/>
      <c r="L493" s="71"/>
      <c r="M493" s="106" t="str">
        <f>IF(ISBLANK(K493), "", VLOOKUP(C493, 'Info Tipo de Cambio y REM'!$A$24:$B$35, 2, FALSE))</f>
        <v/>
      </c>
      <c r="N493" s="107" t="str">
        <f t="shared" si="2"/>
        <v/>
      </c>
    </row>
    <row r="494">
      <c r="A494" s="102"/>
      <c r="B494" s="43" t="str">
        <f>IF(A494="", "", IFERROR(VLOOKUP(A494, Clasificaciones!A:B, 2, FALSE), "DATO NO CARGADO"))</f>
        <v/>
      </c>
      <c r="C494" s="51"/>
      <c r="D494" s="257"/>
      <c r="E494" s="102"/>
      <c r="F494" s="103"/>
      <c r="G494" s="103"/>
      <c r="H494" s="258"/>
      <c r="J494" s="103"/>
      <c r="L494" s="71"/>
      <c r="M494" s="106" t="str">
        <f>IF(ISBLANK(K494), "", VLOOKUP(C494, 'Info Tipo de Cambio y REM'!$A$24:$B$35, 2, FALSE))</f>
        <v/>
      </c>
      <c r="N494" s="107" t="str">
        <f t="shared" si="2"/>
        <v/>
      </c>
    </row>
    <row r="495">
      <c r="A495" s="102"/>
      <c r="B495" s="43" t="str">
        <f>IF(A495="", "", IFERROR(VLOOKUP(A495, Clasificaciones!A:B, 2, FALSE), "DATO NO CARGADO"))</f>
        <v/>
      </c>
      <c r="C495" s="51"/>
      <c r="D495" s="257"/>
      <c r="E495" s="102"/>
      <c r="F495" s="103"/>
      <c r="G495" s="103"/>
      <c r="H495" s="258"/>
      <c r="J495" s="103"/>
      <c r="L495" s="71"/>
      <c r="M495" s="106" t="str">
        <f>IF(ISBLANK(K495), "", VLOOKUP(C495, 'Info Tipo de Cambio y REM'!$A$24:$B$35, 2, FALSE))</f>
        <v/>
      </c>
      <c r="N495" s="107" t="str">
        <f t="shared" si="2"/>
        <v/>
      </c>
    </row>
    <row r="496">
      <c r="A496" s="102"/>
      <c r="B496" s="43" t="str">
        <f>IF(A496="", "", IFERROR(VLOOKUP(A496, Clasificaciones!A:B, 2, FALSE), "DATO NO CARGADO"))</f>
        <v/>
      </c>
      <c r="C496" s="51"/>
      <c r="D496" s="257"/>
      <c r="E496" s="102"/>
      <c r="F496" s="103"/>
      <c r="G496" s="103"/>
      <c r="H496" s="258"/>
      <c r="J496" s="103"/>
      <c r="L496" s="71"/>
      <c r="M496" s="106" t="str">
        <f>IF(ISBLANK(K496), "", VLOOKUP(C496, 'Info Tipo de Cambio y REM'!$A$24:$B$35, 2, FALSE))</f>
        <v/>
      </c>
      <c r="N496" s="107" t="str">
        <f t="shared" si="2"/>
        <v/>
      </c>
    </row>
    <row r="497">
      <c r="A497" s="102"/>
      <c r="B497" s="43" t="str">
        <f>IF(A497="", "", IFERROR(VLOOKUP(A497, Clasificaciones!A:B, 2, FALSE), "DATO NO CARGADO"))</f>
        <v/>
      </c>
      <c r="C497" s="51"/>
      <c r="D497" s="257"/>
      <c r="E497" s="102"/>
      <c r="F497" s="103"/>
      <c r="G497" s="103"/>
      <c r="H497" s="258"/>
      <c r="J497" s="103"/>
      <c r="L497" s="71"/>
      <c r="M497" s="106" t="str">
        <f>IF(ISBLANK(K497), "", VLOOKUP(C497, 'Info Tipo de Cambio y REM'!$A$24:$B$35, 2, FALSE))</f>
        <v/>
      </c>
      <c r="N497" s="107" t="str">
        <f t="shared" si="2"/>
        <v/>
      </c>
    </row>
    <row r="498">
      <c r="A498" s="102"/>
      <c r="B498" s="43" t="str">
        <f>IF(A498="", "", IFERROR(VLOOKUP(A498, Clasificaciones!A:B, 2, FALSE), "DATO NO CARGADO"))</f>
        <v/>
      </c>
      <c r="C498" s="51"/>
      <c r="D498" s="257"/>
      <c r="E498" s="102"/>
      <c r="F498" s="103"/>
      <c r="G498" s="103"/>
      <c r="H498" s="258"/>
      <c r="J498" s="103"/>
      <c r="L498" s="71"/>
      <c r="M498" s="106" t="str">
        <f>IF(ISBLANK(K498), "", VLOOKUP(C498, 'Info Tipo de Cambio y REM'!$A$24:$B$35, 2, FALSE))</f>
        <v/>
      </c>
      <c r="N498" s="107" t="str">
        <f t="shared" si="2"/>
        <v/>
      </c>
    </row>
    <row r="499">
      <c r="A499" s="102"/>
      <c r="B499" s="43" t="str">
        <f>IF(A499="", "", IFERROR(VLOOKUP(A499, Clasificaciones!A:B, 2, FALSE), "DATO NO CARGADO"))</f>
        <v/>
      </c>
      <c r="C499" s="51"/>
      <c r="D499" s="257"/>
      <c r="E499" s="102"/>
      <c r="F499" s="103"/>
      <c r="G499" s="103"/>
      <c r="H499" s="258"/>
      <c r="J499" s="103"/>
      <c r="L499" s="71"/>
      <c r="M499" s="106" t="str">
        <f>IF(ISBLANK(K499), "", VLOOKUP(C499, 'Info Tipo de Cambio y REM'!$A$24:$B$35, 2, FALSE))</f>
        <v/>
      </c>
      <c r="N499" s="107" t="str">
        <f t="shared" si="2"/>
        <v/>
      </c>
    </row>
    <row r="500">
      <c r="A500" s="102"/>
      <c r="B500" s="43" t="str">
        <f>IF(A500="", "", IFERROR(VLOOKUP(A500, Clasificaciones!A:B, 2, FALSE), "DATO NO CARGADO"))</f>
        <v/>
      </c>
      <c r="C500" s="51"/>
      <c r="D500" s="257"/>
      <c r="E500" s="102"/>
      <c r="F500" s="103"/>
      <c r="G500" s="103"/>
      <c r="H500" s="258"/>
      <c r="J500" s="103"/>
      <c r="L500" s="71"/>
      <c r="M500" s="106" t="str">
        <f>IF(ISBLANK(K500), "", VLOOKUP(C500, 'Info Tipo de Cambio y REM'!$A$24:$B$35, 2, FALSE))</f>
        <v/>
      </c>
      <c r="N500" s="107" t="str">
        <f t="shared" si="2"/>
        <v/>
      </c>
    </row>
    <row r="501">
      <c r="A501" s="102"/>
      <c r="B501" s="43" t="str">
        <f>IF(A501="", "", IFERROR(VLOOKUP(A501, Clasificaciones!A:B, 2, FALSE), "DATO NO CARGADO"))</f>
        <v/>
      </c>
      <c r="C501" s="51"/>
      <c r="D501" s="257"/>
      <c r="E501" s="102"/>
      <c r="F501" s="103"/>
      <c r="G501" s="103"/>
      <c r="H501" s="258"/>
      <c r="J501" s="103"/>
      <c r="L501" s="71"/>
      <c r="M501" s="106" t="str">
        <f>IF(ISBLANK(K501), "", VLOOKUP(C501, 'Info Tipo de Cambio y REM'!$A$24:$B$35, 2, FALSE))</f>
        <v/>
      </c>
      <c r="N501" s="107" t="str">
        <f t="shared" si="2"/>
        <v/>
      </c>
    </row>
    <row r="502">
      <c r="A502" s="102"/>
      <c r="B502" s="43" t="str">
        <f>IF(A502="", "", IFERROR(VLOOKUP(A502, Clasificaciones!A:B, 2, FALSE), "DATO NO CARGADO"))</f>
        <v/>
      </c>
      <c r="C502" s="51"/>
      <c r="D502" s="257"/>
      <c r="E502" s="102"/>
      <c r="F502" s="103"/>
      <c r="G502" s="103"/>
      <c r="H502" s="258"/>
      <c r="J502" s="103"/>
      <c r="L502" s="71"/>
      <c r="M502" s="106" t="str">
        <f>IF(ISBLANK(K502), "", VLOOKUP(C502, 'Info Tipo de Cambio y REM'!$A$24:$B$35, 2, FALSE))</f>
        <v/>
      </c>
      <c r="N502" s="107" t="str">
        <f t="shared" si="2"/>
        <v/>
      </c>
    </row>
    <row r="503">
      <c r="A503" s="102"/>
      <c r="B503" s="43" t="str">
        <f>IF(A503="", "", IFERROR(VLOOKUP(A503, Clasificaciones!A:B, 2, FALSE), "DATO NO CARGADO"))</f>
        <v/>
      </c>
      <c r="C503" s="51"/>
      <c r="D503" s="257"/>
      <c r="E503" s="102"/>
      <c r="F503" s="103"/>
      <c r="G503" s="103"/>
      <c r="H503" s="258"/>
      <c r="J503" s="103"/>
      <c r="L503" s="71"/>
      <c r="M503" s="106" t="str">
        <f>IF(ISBLANK(K503), "", VLOOKUP(C503, 'Info Tipo de Cambio y REM'!$A$24:$B$35, 2, FALSE))</f>
        <v/>
      </c>
      <c r="N503" s="107" t="str">
        <f t="shared" si="2"/>
        <v/>
      </c>
    </row>
    <row r="504">
      <c r="A504" s="102"/>
      <c r="B504" s="43" t="str">
        <f>IF(A504="", "", IFERROR(VLOOKUP(A504, Clasificaciones!A:B, 2, FALSE), "DATO NO CARGADO"))</f>
        <v/>
      </c>
      <c r="C504" s="51"/>
      <c r="D504" s="257"/>
      <c r="E504" s="102"/>
      <c r="F504" s="103"/>
      <c r="G504" s="103"/>
      <c r="H504" s="258"/>
      <c r="J504" s="103"/>
      <c r="L504" s="71"/>
      <c r="M504" s="106" t="str">
        <f>IF(ISBLANK(K504), "", VLOOKUP(C504, 'Info Tipo de Cambio y REM'!$A$24:$B$35, 2, FALSE))</f>
        <v/>
      </c>
      <c r="N504" s="107" t="str">
        <f t="shared" si="2"/>
        <v/>
      </c>
    </row>
    <row r="505">
      <c r="A505" s="102"/>
      <c r="B505" s="43" t="str">
        <f>IF(A505="", "", IFERROR(VLOOKUP(A505, Clasificaciones!A:B, 2, FALSE), "DATO NO CARGADO"))</f>
        <v/>
      </c>
      <c r="C505" s="51"/>
      <c r="D505" s="257"/>
      <c r="E505" s="102"/>
      <c r="F505" s="103"/>
      <c r="G505" s="103"/>
      <c r="H505" s="258"/>
      <c r="J505" s="103"/>
      <c r="L505" s="71"/>
      <c r="M505" s="106" t="str">
        <f>IF(ISBLANK(K505), "", VLOOKUP(C505, 'Info Tipo de Cambio y REM'!$A$24:$B$35, 2, FALSE))</f>
        <v/>
      </c>
      <c r="N505" s="107" t="str">
        <f t="shared" si="2"/>
        <v/>
      </c>
    </row>
    <row r="506">
      <c r="A506" s="102"/>
      <c r="B506" s="43" t="str">
        <f>IF(A506="", "", IFERROR(VLOOKUP(A506, Clasificaciones!A:B, 2, FALSE), "DATO NO CARGADO"))</f>
        <v/>
      </c>
      <c r="C506" s="51"/>
      <c r="D506" s="257"/>
      <c r="E506" s="102"/>
      <c r="F506" s="103"/>
      <c r="G506" s="103"/>
      <c r="H506" s="258"/>
      <c r="J506" s="103"/>
      <c r="L506" s="71"/>
      <c r="M506" s="106" t="str">
        <f>IF(ISBLANK(K506), "", VLOOKUP(C506, 'Info Tipo de Cambio y REM'!$A$24:$B$35, 2, FALSE))</f>
        <v/>
      </c>
      <c r="N506" s="107" t="str">
        <f t="shared" si="2"/>
        <v/>
      </c>
    </row>
    <row r="507">
      <c r="A507" s="102"/>
      <c r="B507" s="43" t="str">
        <f>IF(A507="", "", IFERROR(VLOOKUP(A507, Clasificaciones!A:B, 2, FALSE), "DATO NO CARGADO"))</f>
        <v/>
      </c>
      <c r="C507" s="51"/>
      <c r="D507" s="257"/>
      <c r="E507" s="102"/>
      <c r="F507" s="103"/>
      <c r="G507" s="103"/>
      <c r="H507" s="258"/>
      <c r="J507" s="103"/>
      <c r="L507" s="71"/>
      <c r="M507" s="106" t="str">
        <f>IF(ISBLANK(K507), "", VLOOKUP(C507, 'Info Tipo de Cambio y REM'!$A$24:$B$35, 2, FALSE))</f>
        <v/>
      </c>
      <c r="N507" s="107" t="str">
        <f t="shared" si="2"/>
        <v/>
      </c>
    </row>
    <row r="508">
      <c r="A508" s="102"/>
      <c r="B508" s="43" t="str">
        <f>IF(A508="", "", IFERROR(VLOOKUP(A508, Clasificaciones!A:B, 2, FALSE), "DATO NO CARGADO"))</f>
        <v/>
      </c>
      <c r="C508" s="51"/>
      <c r="D508" s="257"/>
      <c r="E508" s="102"/>
      <c r="F508" s="103"/>
      <c r="G508" s="103"/>
      <c r="H508" s="258"/>
      <c r="J508" s="103"/>
      <c r="L508" s="71"/>
      <c r="M508" s="106" t="str">
        <f>IF(ISBLANK(K508), "", VLOOKUP(C508, 'Info Tipo de Cambio y REM'!$A$24:$B$35, 2, FALSE))</f>
        <v/>
      </c>
      <c r="N508" s="107" t="str">
        <f t="shared" si="2"/>
        <v/>
      </c>
    </row>
    <row r="509">
      <c r="A509" s="102"/>
      <c r="B509" s="43" t="str">
        <f>IF(A509="", "", IFERROR(VLOOKUP(A509, Clasificaciones!A:B, 2, FALSE), "DATO NO CARGADO"))</f>
        <v/>
      </c>
      <c r="C509" s="51"/>
      <c r="D509" s="257"/>
      <c r="E509" s="102"/>
      <c r="F509" s="103"/>
      <c r="G509" s="103"/>
      <c r="H509" s="258"/>
      <c r="J509" s="103"/>
      <c r="L509" s="71"/>
      <c r="M509" s="106" t="str">
        <f>IF(ISBLANK(K509), "", VLOOKUP(C509, 'Info Tipo de Cambio y REM'!$A$24:$B$35, 2, FALSE))</f>
        <v/>
      </c>
      <c r="N509" s="107" t="str">
        <f t="shared" si="2"/>
        <v/>
      </c>
    </row>
    <row r="510">
      <c r="A510" s="102"/>
      <c r="B510" s="43" t="str">
        <f>IF(A510="", "", IFERROR(VLOOKUP(A510, Clasificaciones!A:B, 2, FALSE), "DATO NO CARGADO"))</f>
        <v/>
      </c>
      <c r="C510" s="51"/>
      <c r="D510" s="257"/>
      <c r="E510" s="102"/>
      <c r="F510" s="103"/>
      <c r="G510" s="103"/>
      <c r="H510" s="258"/>
      <c r="J510" s="103"/>
      <c r="L510" s="71"/>
      <c r="M510" s="106" t="str">
        <f>IF(ISBLANK(K510), "", VLOOKUP(C510, 'Info Tipo de Cambio y REM'!$A$24:$B$35, 2, FALSE))</f>
        <v/>
      </c>
      <c r="N510" s="107" t="str">
        <f t="shared" si="2"/>
        <v/>
      </c>
    </row>
    <row r="511">
      <c r="A511" s="102"/>
      <c r="B511" s="43" t="str">
        <f>IF(A511="", "", IFERROR(VLOOKUP(A511, Clasificaciones!A:B, 2, FALSE), "DATO NO CARGADO"))</f>
        <v/>
      </c>
      <c r="C511" s="51"/>
      <c r="D511" s="257"/>
      <c r="E511" s="102"/>
      <c r="F511" s="103"/>
      <c r="G511" s="103"/>
      <c r="H511" s="258"/>
      <c r="J511" s="103"/>
      <c r="L511" s="71"/>
      <c r="M511" s="106" t="str">
        <f>IF(ISBLANK(K511), "", VLOOKUP(C511, 'Info Tipo de Cambio y REM'!$A$24:$B$35, 2, FALSE))</f>
        <v/>
      </c>
      <c r="N511" s="107" t="str">
        <f t="shared" si="2"/>
        <v/>
      </c>
    </row>
    <row r="512">
      <c r="A512" s="102"/>
      <c r="B512" s="43" t="str">
        <f>IF(A512="", "", IFERROR(VLOOKUP(A512, Clasificaciones!A:B, 2, FALSE), "DATO NO CARGADO"))</f>
        <v/>
      </c>
      <c r="C512" s="51"/>
      <c r="D512" s="257"/>
      <c r="E512" s="102"/>
      <c r="F512" s="103"/>
      <c r="G512" s="103"/>
      <c r="H512" s="258"/>
      <c r="J512" s="103"/>
      <c r="L512" s="71"/>
      <c r="M512" s="106" t="str">
        <f>IF(ISBLANK(K512), "", VLOOKUP(C512, 'Info Tipo de Cambio y REM'!$A$24:$B$35, 2, FALSE))</f>
        <v/>
      </c>
      <c r="N512" s="107" t="str">
        <f t="shared" si="2"/>
        <v/>
      </c>
    </row>
    <row r="513">
      <c r="A513" s="102"/>
      <c r="B513" s="43" t="str">
        <f>IF(A513="", "", IFERROR(VLOOKUP(A513, Clasificaciones!A:B, 2, FALSE), "DATO NO CARGADO"))</f>
        <v/>
      </c>
      <c r="C513" s="51"/>
      <c r="D513" s="257"/>
      <c r="E513" s="102"/>
      <c r="F513" s="103"/>
      <c r="G513" s="103"/>
      <c r="H513" s="258"/>
      <c r="J513" s="103"/>
      <c r="L513" s="71"/>
      <c r="M513" s="106" t="str">
        <f>IF(ISBLANK(K513), "", VLOOKUP(C513, 'Info Tipo de Cambio y REM'!$A$24:$B$35, 2, FALSE))</f>
        <v/>
      </c>
      <c r="N513" s="107" t="str">
        <f t="shared" si="2"/>
        <v/>
      </c>
    </row>
    <row r="514">
      <c r="A514" s="102"/>
      <c r="B514" s="43" t="str">
        <f>IF(A514="", "", IFERROR(VLOOKUP(A514, Clasificaciones!A:B, 2, FALSE), "DATO NO CARGADO"))</f>
        <v/>
      </c>
      <c r="C514" s="51"/>
      <c r="D514" s="257"/>
      <c r="E514" s="102"/>
      <c r="F514" s="103"/>
      <c r="G514" s="103"/>
      <c r="H514" s="258"/>
      <c r="J514" s="103"/>
      <c r="L514" s="71"/>
      <c r="M514" s="106" t="str">
        <f>IF(ISBLANK(K514), "", VLOOKUP(C514, 'Info Tipo de Cambio y REM'!$A$24:$B$35, 2, FALSE))</f>
        <v/>
      </c>
      <c r="N514" s="107" t="str">
        <f t="shared" si="2"/>
        <v/>
      </c>
    </row>
    <row r="515">
      <c r="A515" s="102"/>
      <c r="B515" s="43" t="str">
        <f>IF(A515="", "", IFERROR(VLOOKUP(A515, Clasificaciones!A:B, 2, FALSE), "DATO NO CARGADO"))</f>
        <v/>
      </c>
      <c r="C515" s="51"/>
      <c r="D515" s="257"/>
      <c r="E515" s="102"/>
      <c r="F515" s="103"/>
      <c r="G515" s="103"/>
      <c r="H515" s="258"/>
      <c r="J515" s="103"/>
      <c r="L515" s="71"/>
      <c r="M515" s="106" t="str">
        <f>IF(ISBLANK(K515), "", VLOOKUP(C515, 'Info Tipo de Cambio y REM'!$A$24:$B$35, 2, FALSE))</f>
        <v/>
      </c>
      <c r="N515" s="107" t="str">
        <f t="shared" si="2"/>
        <v/>
      </c>
    </row>
    <row r="516">
      <c r="A516" s="102"/>
      <c r="B516" s="43" t="str">
        <f>IF(A516="", "", IFERROR(VLOOKUP(A516, Clasificaciones!A:B, 2, FALSE), "DATO NO CARGADO"))</f>
        <v/>
      </c>
      <c r="C516" s="51"/>
      <c r="D516" s="257"/>
      <c r="E516" s="102"/>
      <c r="F516" s="103"/>
      <c r="G516" s="103"/>
      <c r="H516" s="258"/>
      <c r="J516" s="103"/>
      <c r="L516" s="71"/>
      <c r="M516" s="106" t="str">
        <f>IF(ISBLANK(K516), "", VLOOKUP(C516, 'Info Tipo de Cambio y REM'!$A$24:$B$35, 2, FALSE))</f>
        <v/>
      </c>
      <c r="N516" s="107" t="str">
        <f t="shared" si="2"/>
        <v/>
      </c>
    </row>
    <row r="517">
      <c r="A517" s="102"/>
      <c r="B517" s="43" t="str">
        <f>IF(A517="", "", IFERROR(VLOOKUP(A517, Clasificaciones!A:B, 2, FALSE), "DATO NO CARGADO"))</f>
        <v/>
      </c>
      <c r="C517" s="51"/>
      <c r="D517" s="257"/>
      <c r="E517" s="102"/>
      <c r="F517" s="103"/>
      <c r="G517" s="103"/>
      <c r="H517" s="258"/>
      <c r="J517" s="103"/>
      <c r="L517" s="71"/>
      <c r="M517" s="106" t="str">
        <f>IF(ISBLANK(K517), "", VLOOKUP(C517, 'Info Tipo de Cambio y REM'!$A$24:$B$35, 2, FALSE))</f>
        <v/>
      </c>
      <c r="N517" s="107" t="str">
        <f t="shared" si="2"/>
        <v/>
      </c>
    </row>
    <row r="518">
      <c r="A518" s="102"/>
      <c r="B518" s="43" t="str">
        <f>IF(A518="", "", IFERROR(VLOOKUP(A518, Clasificaciones!A:B, 2, FALSE), "DATO NO CARGADO"))</f>
        <v/>
      </c>
      <c r="C518" s="51"/>
      <c r="D518" s="257"/>
      <c r="E518" s="102"/>
      <c r="F518" s="103"/>
      <c r="G518" s="103"/>
      <c r="H518" s="258"/>
      <c r="J518" s="103"/>
      <c r="L518" s="71"/>
      <c r="M518" s="106" t="str">
        <f>IF(ISBLANK(K518), "", VLOOKUP(C518, 'Info Tipo de Cambio y REM'!$A$24:$B$35, 2, FALSE))</f>
        <v/>
      </c>
      <c r="N518" s="107" t="str">
        <f t="shared" si="2"/>
        <v/>
      </c>
    </row>
    <row r="519">
      <c r="A519" s="102"/>
      <c r="B519" s="43" t="str">
        <f>IF(A519="", "", IFERROR(VLOOKUP(A519, Clasificaciones!A:B, 2, FALSE), "DATO NO CARGADO"))</f>
        <v/>
      </c>
      <c r="C519" s="51"/>
      <c r="D519" s="257"/>
      <c r="E519" s="102"/>
      <c r="F519" s="103"/>
      <c r="G519" s="103"/>
      <c r="H519" s="258"/>
      <c r="J519" s="103"/>
      <c r="L519" s="71"/>
      <c r="M519" s="106" t="str">
        <f>IF(ISBLANK(K519), "", VLOOKUP(C519, 'Info Tipo de Cambio y REM'!$A$24:$B$35, 2, FALSE))</f>
        <v/>
      </c>
      <c r="N519" s="107" t="str">
        <f t="shared" si="2"/>
        <v/>
      </c>
    </row>
    <row r="520">
      <c r="A520" s="102"/>
      <c r="B520" s="43" t="str">
        <f>IF(A520="", "", IFERROR(VLOOKUP(A520, Clasificaciones!A:B, 2, FALSE), "DATO NO CARGADO"))</f>
        <v/>
      </c>
      <c r="C520" s="51"/>
      <c r="D520" s="257"/>
      <c r="E520" s="102"/>
      <c r="F520" s="103"/>
      <c r="G520" s="103"/>
      <c r="H520" s="258"/>
      <c r="J520" s="103"/>
      <c r="L520" s="71"/>
      <c r="M520" s="106" t="str">
        <f>IF(ISBLANK(K520), "", VLOOKUP(C520, 'Info Tipo de Cambio y REM'!$A$24:$B$35, 2, FALSE))</f>
        <v/>
      </c>
      <c r="N520" s="107" t="str">
        <f t="shared" si="2"/>
        <v/>
      </c>
    </row>
    <row r="521">
      <c r="A521" s="102"/>
      <c r="B521" s="43" t="str">
        <f>IF(A521="", "", IFERROR(VLOOKUP(A521, Clasificaciones!A:B, 2, FALSE), "DATO NO CARGADO"))</f>
        <v/>
      </c>
      <c r="C521" s="51"/>
      <c r="D521" s="257"/>
      <c r="E521" s="102"/>
      <c r="F521" s="103"/>
      <c r="G521" s="103"/>
      <c r="H521" s="258"/>
      <c r="J521" s="103"/>
      <c r="L521" s="71"/>
      <c r="M521" s="106" t="str">
        <f>IF(ISBLANK(K521), "", VLOOKUP(C521, 'Info Tipo de Cambio y REM'!$A$24:$B$35, 2, FALSE))</f>
        <v/>
      </c>
      <c r="N521" s="107" t="str">
        <f t="shared" si="2"/>
        <v/>
      </c>
    </row>
    <row r="522">
      <c r="A522" s="102"/>
      <c r="B522" s="43" t="str">
        <f>IF(A522="", "", IFERROR(VLOOKUP(A522, Clasificaciones!A:B, 2, FALSE), "DATO NO CARGADO"))</f>
        <v/>
      </c>
      <c r="C522" s="51"/>
      <c r="D522" s="257"/>
      <c r="E522" s="102"/>
      <c r="F522" s="103"/>
      <c r="G522" s="103"/>
      <c r="H522" s="258"/>
      <c r="J522" s="103"/>
      <c r="L522" s="71"/>
      <c r="M522" s="106" t="str">
        <f>IF(ISBLANK(K522), "", VLOOKUP(C522, 'Info Tipo de Cambio y REM'!$A$24:$B$35, 2, FALSE))</f>
        <v/>
      </c>
      <c r="N522" s="107" t="str">
        <f t="shared" si="2"/>
        <v/>
      </c>
    </row>
    <row r="523">
      <c r="A523" s="102"/>
      <c r="B523" s="43" t="str">
        <f>IF(A523="", "", IFERROR(VLOOKUP(A523, Clasificaciones!A:B, 2, FALSE), "DATO NO CARGADO"))</f>
        <v/>
      </c>
      <c r="C523" s="51"/>
      <c r="D523" s="257"/>
      <c r="E523" s="102"/>
      <c r="F523" s="103"/>
      <c r="G523" s="103"/>
      <c r="H523" s="258"/>
      <c r="J523" s="103"/>
      <c r="L523" s="71"/>
      <c r="M523" s="106" t="str">
        <f>IF(ISBLANK(K523), "", VLOOKUP(C523, 'Info Tipo de Cambio y REM'!$A$24:$B$35, 2, FALSE))</f>
        <v/>
      </c>
      <c r="N523" s="107" t="str">
        <f t="shared" si="2"/>
        <v/>
      </c>
    </row>
    <row r="524">
      <c r="A524" s="102"/>
      <c r="B524" s="43" t="str">
        <f>IF(A524="", "", IFERROR(VLOOKUP(A524, Clasificaciones!A:B, 2, FALSE), "DATO NO CARGADO"))</f>
        <v/>
      </c>
      <c r="C524" s="51"/>
      <c r="D524" s="257"/>
      <c r="E524" s="102"/>
      <c r="F524" s="103"/>
      <c r="G524" s="103"/>
      <c r="H524" s="258"/>
      <c r="J524" s="103"/>
      <c r="L524" s="71"/>
      <c r="M524" s="106" t="str">
        <f>IF(ISBLANK(K524), "", VLOOKUP(C524, 'Info Tipo de Cambio y REM'!$A$24:$B$35, 2, FALSE))</f>
        <v/>
      </c>
      <c r="N524" s="107" t="str">
        <f t="shared" si="2"/>
        <v/>
      </c>
    </row>
    <row r="525">
      <c r="A525" s="102"/>
      <c r="B525" s="43" t="str">
        <f>IF(A525="", "", IFERROR(VLOOKUP(A525, Clasificaciones!A:B, 2, FALSE), "DATO NO CARGADO"))</f>
        <v/>
      </c>
      <c r="C525" s="51"/>
      <c r="D525" s="257"/>
      <c r="E525" s="102"/>
      <c r="F525" s="103"/>
      <c r="G525" s="103"/>
      <c r="H525" s="258"/>
      <c r="J525" s="103"/>
      <c r="L525" s="71"/>
      <c r="M525" s="106" t="str">
        <f>IF(ISBLANK(K525), "", VLOOKUP(C525, 'Info Tipo de Cambio y REM'!$A$24:$B$35, 2, FALSE))</f>
        <v/>
      </c>
      <c r="N525" s="107" t="str">
        <f t="shared" si="2"/>
        <v/>
      </c>
    </row>
    <row r="526">
      <c r="A526" s="102"/>
      <c r="B526" s="43" t="str">
        <f>IF(A526="", "", IFERROR(VLOOKUP(A526, Clasificaciones!A:B, 2, FALSE), "DATO NO CARGADO"))</f>
        <v/>
      </c>
      <c r="C526" s="51"/>
      <c r="D526" s="257"/>
      <c r="E526" s="102"/>
      <c r="F526" s="103"/>
      <c r="G526" s="103"/>
      <c r="H526" s="258"/>
      <c r="J526" s="103"/>
      <c r="L526" s="71"/>
      <c r="M526" s="106" t="str">
        <f>IF(ISBLANK(K526), "", VLOOKUP(C526, 'Info Tipo de Cambio y REM'!$A$24:$B$35, 2, FALSE))</f>
        <v/>
      </c>
      <c r="N526" s="107" t="str">
        <f t="shared" si="2"/>
        <v/>
      </c>
    </row>
    <row r="527">
      <c r="A527" s="102"/>
      <c r="B527" s="43" t="str">
        <f>IF(A527="", "", IFERROR(VLOOKUP(A527, Clasificaciones!A:B, 2, FALSE), "DATO NO CARGADO"))</f>
        <v/>
      </c>
      <c r="C527" s="51"/>
      <c r="D527" s="257"/>
      <c r="E527" s="102"/>
      <c r="F527" s="103"/>
      <c r="G527" s="103"/>
      <c r="H527" s="258"/>
      <c r="J527" s="103"/>
      <c r="L527" s="71"/>
      <c r="M527" s="106" t="str">
        <f>IF(ISBLANK(K527), "", VLOOKUP(C527, 'Info Tipo de Cambio y REM'!$A$24:$B$35, 2, FALSE))</f>
        <v/>
      </c>
      <c r="N527" s="107" t="str">
        <f t="shared" si="2"/>
        <v/>
      </c>
    </row>
    <row r="528">
      <c r="A528" s="102"/>
      <c r="B528" s="43" t="str">
        <f>IF(A528="", "", IFERROR(VLOOKUP(A528, Clasificaciones!A:B, 2, FALSE), "DATO NO CARGADO"))</f>
        <v/>
      </c>
      <c r="C528" s="51"/>
      <c r="D528" s="257"/>
      <c r="E528" s="102"/>
      <c r="F528" s="103"/>
      <c r="G528" s="103"/>
      <c r="H528" s="258"/>
      <c r="J528" s="103"/>
      <c r="L528" s="71"/>
      <c r="M528" s="106" t="str">
        <f>IF(ISBLANK(K528), "", VLOOKUP(C528, 'Info Tipo de Cambio y REM'!$A$24:$B$35, 2, FALSE))</f>
        <v/>
      </c>
      <c r="N528" s="107" t="str">
        <f t="shared" si="2"/>
        <v/>
      </c>
    </row>
    <row r="529">
      <c r="A529" s="102"/>
      <c r="B529" s="43" t="str">
        <f>IF(A529="", "", IFERROR(VLOOKUP(A529, Clasificaciones!A:B, 2, FALSE), "DATO NO CARGADO"))</f>
        <v/>
      </c>
      <c r="C529" s="51"/>
      <c r="D529" s="257"/>
      <c r="E529" s="102"/>
      <c r="F529" s="103"/>
      <c r="G529" s="103"/>
      <c r="H529" s="258"/>
      <c r="J529" s="103"/>
      <c r="L529" s="71"/>
      <c r="M529" s="106" t="str">
        <f>IF(ISBLANK(K529), "", VLOOKUP(C529, 'Info Tipo de Cambio y REM'!$A$24:$B$35, 2, FALSE))</f>
        <v/>
      </c>
      <c r="N529" s="107" t="str">
        <f t="shared" si="2"/>
        <v/>
      </c>
    </row>
    <row r="530">
      <c r="A530" s="102"/>
      <c r="B530" s="43" t="str">
        <f>IF(A530="", "", IFERROR(VLOOKUP(A530, Clasificaciones!A:B, 2, FALSE), "DATO NO CARGADO"))</f>
        <v/>
      </c>
      <c r="C530" s="51"/>
      <c r="D530" s="257"/>
      <c r="E530" s="102"/>
      <c r="F530" s="103"/>
      <c r="G530" s="103"/>
      <c r="H530" s="258"/>
      <c r="J530" s="103"/>
      <c r="L530" s="71"/>
      <c r="M530" s="106" t="str">
        <f>IF(ISBLANK(K530), "", VLOOKUP(C530, 'Info Tipo de Cambio y REM'!$A$24:$B$35, 2, FALSE))</f>
        <v/>
      </c>
      <c r="N530" s="107" t="str">
        <f t="shared" si="2"/>
        <v/>
      </c>
    </row>
    <row r="531">
      <c r="A531" s="102"/>
      <c r="B531" s="43" t="str">
        <f>IF(A531="", "", IFERROR(VLOOKUP(A531, Clasificaciones!A:B, 2, FALSE), "DATO NO CARGADO"))</f>
        <v/>
      </c>
      <c r="C531" s="51"/>
      <c r="D531" s="257"/>
      <c r="E531" s="102"/>
      <c r="F531" s="103"/>
      <c r="G531" s="103"/>
      <c r="H531" s="258"/>
      <c r="J531" s="103"/>
      <c r="L531" s="71"/>
      <c r="M531" s="106" t="str">
        <f>IF(ISBLANK(K531), "", VLOOKUP(C531, 'Info Tipo de Cambio y REM'!$A$24:$B$35, 2, FALSE))</f>
        <v/>
      </c>
      <c r="N531" s="107" t="str">
        <f t="shared" si="2"/>
        <v/>
      </c>
    </row>
    <row r="532">
      <c r="A532" s="102"/>
      <c r="B532" s="43" t="str">
        <f>IF(A532="", "", IFERROR(VLOOKUP(A532, Clasificaciones!A:B, 2, FALSE), "DATO NO CARGADO"))</f>
        <v/>
      </c>
      <c r="C532" s="51"/>
      <c r="D532" s="257"/>
      <c r="E532" s="102"/>
      <c r="F532" s="103"/>
      <c r="G532" s="103"/>
      <c r="H532" s="258"/>
      <c r="J532" s="103"/>
      <c r="L532" s="71"/>
      <c r="M532" s="106" t="str">
        <f>IF(ISBLANK(K532), "", VLOOKUP(C532, 'Info Tipo de Cambio y REM'!$A$24:$B$35, 2, FALSE))</f>
        <v/>
      </c>
      <c r="N532" s="107" t="str">
        <f t="shared" si="2"/>
        <v/>
      </c>
    </row>
    <row r="533">
      <c r="A533" s="102"/>
      <c r="B533" s="43" t="str">
        <f>IF(A533="", "", IFERROR(VLOOKUP(A533, Clasificaciones!A:B, 2, FALSE), "DATO NO CARGADO"))</f>
        <v/>
      </c>
      <c r="C533" s="51"/>
      <c r="D533" s="257"/>
      <c r="E533" s="102"/>
      <c r="F533" s="103"/>
      <c r="G533" s="103"/>
      <c r="H533" s="258"/>
      <c r="J533" s="103"/>
      <c r="L533" s="71"/>
      <c r="M533" s="106" t="str">
        <f>IF(ISBLANK(K533), "", VLOOKUP(C533, 'Info Tipo de Cambio y REM'!$A$24:$B$35, 2, FALSE))</f>
        <v/>
      </c>
      <c r="N533" s="107" t="str">
        <f t="shared" si="2"/>
        <v/>
      </c>
    </row>
    <row r="534">
      <c r="A534" s="102"/>
      <c r="B534" s="43" t="str">
        <f>IF(A534="", "", IFERROR(VLOOKUP(A534, Clasificaciones!A:B, 2, FALSE), "DATO NO CARGADO"))</f>
        <v/>
      </c>
      <c r="C534" s="51"/>
      <c r="D534" s="257"/>
      <c r="E534" s="102"/>
      <c r="F534" s="103"/>
      <c r="G534" s="103"/>
      <c r="H534" s="258"/>
      <c r="J534" s="103"/>
      <c r="L534" s="71"/>
      <c r="M534" s="106" t="str">
        <f>IF(ISBLANK(K534), "", VLOOKUP(C534, 'Info Tipo de Cambio y REM'!$A$24:$B$35, 2, FALSE))</f>
        <v/>
      </c>
      <c r="N534" s="107" t="str">
        <f t="shared" si="2"/>
        <v/>
      </c>
    </row>
    <row r="535">
      <c r="A535" s="102"/>
      <c r="B535" s="43" t="str">
        <f>IF(A535="", "", IFERROR(VLOOKUP(A535, Clasificaciones!A:B, 2, FALSE), "DATO NO CARGADO"))</f>
        <v/>
      </c>
      <c r="C535" s="51"/>
      <c r="D535" s="257"/>
      <c r="E535" s="102"/>
      <c r="F535" s="103"/>
      <c r="G535" s="103"/>
      <c r="H535" s="258"/>
      <c r="J535" s="103"/>
      <c r="L535" s="71"/>
      <c r="M535" s="106" t="str">
        <f>IF(ISBLANK(K535), "", VLOOKUP(C535, 'Info Tipo de Cambio y REM'!$A$24:$B$35, 2, FALSE))</f>
        <v/>
      </c>
      <c r="N535" s="107" t="str">
        <f t="shared" si="2"/>
        <v/>
      </c>
    </row>
    <row r="536">
      <c r="A536" s="102"/>
      <c r="B536" s="43" t="str">
        <f>IF(A536="", "", IFERROR(VLOOKUP(A536, Clasificaciones!A:B, 2, FALSE), "DATO NO CARGADO"))</f>
        <v/>
      </c>
      <c r="C536" s="51"/>
      <c r="D536" s="257"/>
      <c r="E536" s="102"/>
      <c r="F536" s="103"/>
      <c r="G536" s="103"/>
      <c r="H536" s="258"/>
      <c r="J536" s="103"/>
      <c r="L536" s="71"/>
      <c r="M536" s="106" t="str">
        <f>IF(ISBLANK(K536), "", VLOOKUP(C536, 'Info Tipo de Cambio y REM'!$A$24:$B$35, 2, FALSE))</f>
        <v/>
      </c>
      <c r="N536" s="107" t="str">
        <f t="shared" si="2"/>
        <v/>
      </c>
    </row>
    <row r="537">
      <c r="A537" s="102"/>
      <c r="B537" s="43" t="str">
        <f>IF(A537="", "", IFERROR(VLOOKUP(A537, Clasificaciones!A:B, 2, FALSE), "DATO NO CARGADO"))</f>
        <v/>
      </c>
      <c r="C537" s="51"/>
      <c r="D537" s="257"/>
      <c r="E537" s="102"/>
      <c r="F537" s="103"/>
      <c r="G537" s="103"/>
      <c r="H537" s="258"/>
      <c r="J537" s="103"/>
      <c r="L537" s="71"/>
      <c r="M537" s="106" t="str">
        <f>IF(ISBLANK(K537), "", VLOOKUP(C537, 'Info Tipo de Cambio y REM'!$A$24:$B$35, 2, FALSE))</f>
        <v/>
      </c>
      <c r="N537" s="107" t="str">
        <f t="shared" si="2"/>
        <v/>
      </c>
    </row>
    <row r="538">
      <c r="A538" s="102"/>
      <c r="B538" s="43" t="str">
        <f>IF(A538="", "", IFERROR(VLOOKUP(A538, Clasificaciones!A:B, 2, FALSE), "DATO NO CARGADO"))</f>
        <v/>
      </c>
      <c r="C538" s="51"/>
      <c r="D538" s="257"/>
      <c r="E538" s="102"/>
      <c r="F538" s="103"/>
      <c r="G538" s="103"/>
      <c r="H538" s="258"/>
      <c r="J538" s="103"/>
      <c r="L538" s="71"/>
      <c r="M538" s="106" t="str">
        <f>IF(ISBLANK(K538), "", VLOOKUP(C538, 'Info Tipo de Cambio y REM'!$A$24:$B$35, 2, FALSE))</f>
        <v/>
      </c>
      <c r="N538" s="107" t="str">
        <f t="shared" si="2"/>
        <v/>
      </c>
    </row>
    <row r="539">
      <c r="A539" s="102"/>
      <c r="B539" s="43" t="str">
        <f>IF(A539="", "", IFERROR(VLOOKUP(A539, Clasificaciones!A:B, 2, FALSE), "DATO NO CARGADO"))</f>
        <v/>
      </c>
      <c r="C539" s="51"/>
      <c r="D539" s="257"/>
      <c r="E539" s="102"/>
      <c r="F539" s="103"/>
      <c r="G539" s="103"/>
      <c r="H539" s="258"/>
      <c r="J539" s="103"/>
      <c r="L539" s="71"/>
      <c r="M539" s="106" t="str">
        <f>IF(ISBLANK(K539), "", VLOOKUP(C539, 'Info Tipo de Cambio y REM'!$A$24:$B$35, 2, FALSE))</f>
        <v/>
      </c>
      <c r="N539" s="107" t="str">
        <f t="shared" si="2"/>
        <v/>
      </c>
    </row>
    <row r="540">
      <c r="A540" s="102"/>
      <c r="B540" s="43" t="str">
        <f>IF(A540="", "", IFERROR(VLOOKUP(A540, Clasificaciones!A:B, 2, FALSE), "DATO NO CARGADO"))</f>
        <v/>
      </c>
      <c r="C540" s="51"/>
      <c r="D540" s="257"/>
      <c r="E540" s="102"/>
      <c r="F540" s="103"/>
      <c r="G540" s="103"/>
      <c r="H540" s="258"/>
      <c r="J540" s="103"/>
      <c r="L540" s="71"/>
      <c r="M540" s="106" t="str">
        <f>IF(ISBLANK(K540), "", VLOOKUP(C540, 'Info Tipo de Cambio y REM'!$A$24:$B$35, 2, FALSE))</f>
        <v/>
      </c>
      <c r="N540" s="107" t="str">
        <f t="shared" si="2"/>
        <v/>
      </c>
    </row>
    <row r="541">
      <c r="A541" s="102"/>
      <c r="B541" s="43" t="str">
        <f>IF(A541="", "", IFERROR(VLOOKUP(A541, Clasificaciones!A:B, 2, FALSE), "DATO NO CARGADO"))</f>
        <v/>
      </c>
      <c r="C541" s="51"/>
      <c r="D541" s="257"/>
      <c r="E541" s="102"/>
      <c r="F541" s="103"/>
      <c r="G541" s="103"/>
      <c r="H541" s="258"/>
      <c r="J541" s="103"/>
      <c r="L541" s="71"/>
      <c r="M541" s="106" t="str">
        <f>IF(ISBLANK(K541), "", VLOOKUP(C541, 'Info Tipo de Cambio y REM'!$A$24:$B$35, 2, FALSE))</f>
        <v/>
      </c>
      <c r="N541" s="107" t="str">
        <f t="shared" si="2"/>
        <v/>
      </c>
    </row>
    <row r="542">
      <c r="A542" s="102"/>
      <c r="B542" s="43" t="str">
        <f>IF(A542="", "", IFERROR(VLOOKUP(A542, Clasificaciones!A:B, 2, FALSE), "DATO NO CARGADO"))</f>
        <v/>
      </c>
      <c r="C542" s="51"/>
      <c r="D542" s="257"/>
      <c r="E542" s="102"/>
      <c r="F542" s="103"/>
      <c r="G542" s="103"/>
      <c r="H542" s="258"/>
      <c r="J542" s="103"/>
      <c r="L542" s="71"/>
      <c r="M542" s="106" t="str">
        <f>IF(ISBLANK(K542), "", VLOOKUP(C542, 'Info Tipo de Cambio y REM'!$A$24:$B$35, 2, FALSE))</f>
        <v/>
      </c>
      <c r="N542" s="107" t="str">
        <f t="shared" si="2"/>
        <v/>
      </c>
    </row>
    <row r="543">
      <c r="A543" s="102"/>
      <c r="B543" s="43" t="str">
        <f>IF(A543="", "", IFERROR(VLOOKUP(A543, Clasificaciones!A:B, 2, FALSE), "DATO NO CARGADO"))</f>
        <v/>
      </c>
      <c r="C543" s="51"/>
      <c r="D543" s="257"/>
      <c r="E543" s="102"/>
      <c r="F543" s="103"/>
      <c r="G543" s="103"/>
      <c r="H543" s="258"/>
      <c r="J543" s="103"/>
      <c r="L543" s="71"/>
      <c r="M543" s="106" t="str">
        <f>IF(ISBLANK(K543), "", VLOOKUP(C543, 'Info Tipo de Cambio y REM'!$A$24:$B$35, 2, FALSE))</f>
        <v/>
      </c>
      <c r="N543" s="107" t="str">
        <f t="shared" si="2"/>
        <v/>
      </c>
    </row>
    <row r="544">
      <c r="A544" s="102"/>
      <c r="B544" s="43" t="str">
        <f>IF(A544="", "", IFERROR(VLOOKUP(A544, Clasificaciones!A:B, 2, FALSE), "DATO NO CARGADO"))</f>
        <v/>
      </c>
      <c r="C544" s="51"/>
      <c r="D544" s="257"/>
      <c r="E544" s="102"/>
      <c r="F544" s="103"/>
      <c r="G544" s="103"/>
      <c r="H544" s="258"/>
      <c r="J544" s="103"/>
      <c r="L544" s="71"/>
      <c r="M544" s="106" t="str">
        <f>IF(ISBLANK(K544), "", VLOOKUP(C544, 'Info Tipo de Cambio y REM'!$A$24:$B$35, 2, FALSE))</f>
        <v/>
      </c>
      <c r="N544" s="107" t="str">
        <f t="shared" si="2"/>
        <v/>
      </c>
    </row>
    <row r="545">
      <c r="A545" s="102"/>
      <c r="B545" s="43" t="str">
        <f>IF(A545="", "", IFERROR(VLOOKUP(A545, Clasificaciones!A:B, 2, FALSE), "DATO NO CARGADO"))</f>
        <v/>
      </c>
      <c r="C545" s="51"/>
      <c r="D545" s="257"/>
      <c r="E545" s="102"/>
      <c r="F545" s="103"/>
      <c r="G545" s="103"/>
      <c r="H545" s="258"/>
      <c r="J545" s="103"/>
      <c r="L545" s="71"/>
      <c r="M545" s="106" t="str">
        <f>IF(ISBLANK(K545), "", VLOOKUP(C545, 'Info Tipo de Cambio y REM'!$A$24:$B$35, 2, FALSE))</f>
        <v/>
      </c>
      <c r="N545" s="107" t="str">
        <f t="shared" si="2"/>
        <v/>
      </c>
    </row>
    <row r="546">
      <c r="A546" s="102"/>
      <c r="B546" s="43" t="str">
        <f>IF(A546="", "", IFERROR(VLOOKUP(A546, Clasificaciones!A:B, 2, FALSE), "DATO NO CARGADO"))</f>
        <v/>
      </c>
      <c r="C546" s="51"/>
      <c r="D546" s="257"/>
      <c r="E546" s="102"/>
      <c r="F546" s="103"/>
      <c r="G546" s="103"/>
      <c r="H546" s="258"/>
      <c r="J546" s="103"/>
      <c r="L546" s="71"/>
      <c r="M546" s="106" t="str">
        <f>IF(ISBLANK(K546), "", VLOOKUP(C546, 'Info Tipo de Cambio y REM'!$A$24:$B$35, 2, FALSE))</f>
        <v/>
      </c>
      <c r="N546" s="107" t="str">
        <f t="shared" si="2"/>
        <v/>
      </c>
    </row>
    <row r="547">
      <c r="A547" s="102"/>
      <c r="B547" s="43" t="str">
        <f>IF(A547="", "", IFERROR(VLOOKUP(A547, Clasificaciones!A:B, 2, FALSE), "DATO NO CARGADO"))</f>
        <v/>
      </c>
      <c r="C547" s="51"/>
      <c r="D547" s="257"/>
      <c r="E547" s="102"/>
      <c r="F547" s="103"/>
      <c r="G547" s="103"/>
      <c r="H547" s="258"/>
      <c r="J547" s="103"/>
      <c r="L547" s="71"/>
      <c r="M547" s="106" t="str">
        <f>IF(ISBLANK(K547), "", VLOOKUP(C547, 'Info Tipo de Cambio y REM'!$A$24:$B$35, 2, FALSE))</f>
        <v/>
      </c>
      <c r="N547" s="107" t="str">
        <f t="shared" si="2"/>
        <v/>
      </c>
    </row>
    <row r="548">
      <c r="A548" s="102"/>
      <c r="B548" s="43" t="str">
        <f>IF(A548="", "", IFERROR(VLOOKUP(A548, Clasificaciones!A:B, 2, FALSE), "DATO NO CARGADO"))</f>
        <v/>
      </c>
      <c r="C548" s="51"/>
      <c r="D548" s="257"/>
      <c r="E548" s="102"/>
      <c r="F548" s="103"/>
      <c r="G548" s="103"/>
      <c r="H548" s="258"/>
      <c r="J548" s="103"/>
      <c r="L548" s="71"/>
      <c r="M548" s="106" t="str">
        <f>IF(ISBLANK(K548), "", VLOOKUP(C548, 'Info Tipo de Cambio y REM'!$A$24:$B$35, 2, FALSE))</f>
        <v/>
      </c>
      <c r="N548" s="107" t="str">
        <f t="shared" si="2"/>
        <v/>
      </c>
    </row>
    <row r="549">
      <c r="A549" s="102"/>
      <c r="B549" s="43" t="str">
        <f>IF(A549="", "", IFERROR(VLOOKUP(A549, Clasificaciones!A:B, 2, FALSE), "DATO NO CARGADO"))</f>
        <v/>
      </c>
      <c r="C549" s="51"/>
      <c r="D549" s="257"/>
      <c r="E549" s="102"/>
      <c r="F549" s="103"/>
      <c r="G549" s="103"/>
      <c r="H549" s="258"/>
      <c r="J549" s="103"/>
      <c r="L549" s="71"/>
      <c r="M549" s="106" t="str">
        <f>IF(ISBLANK(K549), "", VLOOKUP(C549, 'Info Tipo de Cambio y REM'!$A$24:$B$35, 2, FALSE))</f>
        <v/>
      </c>
      <c r="N549" s="107" t="str">
        <f t="shared" si="2"/>
        <v/>
      </c>
    </row>
    <row r="550">
      <c r="A550" s="102"/>
      <c r="B550" s="43" t="str">
        <f>IF(A550="", "", IFERROR(VLOOKUP(A550, Clasificaciones!A:B, 2, FALSE), "DATO NO CARGADO"))</f>
        <v/>
      </c>
      <c r="C550" s="51"/>
      <c r="D550" s="257"/>
      <c r="E550" s="102"/>
      <c r="F550" s="103"/>
      <c r="G550" s="103"/>
      <c r="H550" s="258"/>
      <c r="J550" s="103"/>
      <c r="L550" s="71"/>
      <c r="M550" s="106" t="str">
        <f>IF(ISBLANK(K550), "", VLOOKUP(C550, 'Info Tipo de Cambio y REM'!$A$24:$B$35, 2, FALSE))</f>
        <v/>
      </c>
      <c r="N550" s="107" t="str">
        <f t="shared" si="2"/>
        <v/>
      </c>
    </row>
    <row r="551">
      <c r="A551" s="102"/>
      <c r="B551" s="43" t="str">
        <f>IF(A551="", "", IFERROR(VLOOKUP(A551, Clasificaciones!A:B, 2, FALSE), "DATO NO CARGADO"))</f>
        <v/>
      </c>
      <c r="C551" s="51"/>
      <c r="D551" s="257"/>
      <c r="E551" s="102"/>
      <c r="F551" s="103"/>
      <c r="G551" s="103"/>
      <c r="H551" s="258"/>
      <c r="J551" s="103"/>
      <c r="L551" s="71"/>
      <c r="M551" s="106" t="str">
        <f>IF(ISBLANK(K551), "", VLOOKUP(C551, 'Info Tipo de Cambio y REM'!$A$24:$B$35, 2, FALSE))</f>
        <v/>
      </c>
      <c r="N551" s="107" t="str">
        <f t="shared" si="2"/>
        <v/>
      </c>
    </row>
    <row r="552">
      <c r="A552" s="102"/>
      <c r="B552" s="43" t="str">
        <f>IF(A552="", "", IFERROR(VLOOKUP(A552, Clasificaciones!A:B, 2, FALSE), "DATO NO CARGADO"))</f>
        <v/>
      </c>
      <c r="C552" s="51"/>
      <c r="D552" s="257"/>
      <c r="E552" s="102"/>
      <c r="F552" s="103"/>
      <c r="G552" s="103"/>
      <c r="H552" s="258"/>
      <c r="J552" s="103"/>
      <c r="L552" s="71"/>
      <c r="M552" s="106" t="str">
        <f>IF(ISBLANK(K552), "", VLOOKUP(C552, 'Info Tipo de Cambio y REM'!$A$24:$B$35, 2, FALSE))</f>
        <v/>
      </c>
      <c r="N552" s="107" t="str">
        <f t="shared" si="2"/>
        <v/>
      </c>
    </row>
    <row r="553">
      <c r="A553" s="102"/>
      <c r="B553" s="43" t="str">
        <f>IF(A553="", "", IFERROR(VLOOKUP(A553, Clasificaciones!A:B, 2, FALSE), "DATO NO CARGADO"))</f>
        <v/>
      </c>
      <c r="C553" s="51"/>
      <c r="D553" s="257"/>
      <c r="E553" s="102"/>
      <c r="F553" s="103"/>
      <c r="G553" s="103"/>
      <c r="H553" s="258"/>
      <c r="J553" s="103"/>
      <c r="L553" s="71"/>
      <c r="M553" s="106" t="str">
        <f>IF(ISBLANK(K553), "", VLOOKUP(C553, 'Info Tipo de Cambio y REM'!$A$24:$B$35, 2, FALSE))</f>
        <v/>
      </c>
      <c r="N553" s="107" t="str">
        <f t="shared" si="2"/>
        <v/>
      </c>
    </row>
    <row r="554">
      <c r="A554" s="102"/>
      <c r="B554" s="43" t="str">
        <f>IF(A554="", "", IFERROR(VLOOKUP(A554, Clasificaciones!A:B, 2, FALSE), "DATO NO CARGADO"))</f>
        <v/>
      </c>
      <c r="C554" s="51"/>
      <c r="D554" s="257"/>
      <c r="E554" s="102"/>
      <c r="F554" s="103"/>
      <c r="G554" s="103"/>
      <c r="H554" s="258"/>
      <c r="J554" s="103"/>
      <c r="L554" s="71"/>
      <c r="M554" s="106" t="str">
        <f>IF(ISBLANK(K554), "", VLOOKUP(C554, 'Info Tipo de Cambio y REM'!$A$24:$B$35, 2, FALSE))</f>
        <v/>
      </c>
      <c r="N554" s="107" t="str">
        <f t="shared" si="2"/>
        <v/>
      </c>
    </row>
    <row r="555">
      <c r="A555" s="102"/>
      <c r="B555" s="43" t="str">
        <f>IF(A555="", "", IFERROR(VLOOKUP(A555, Clasificaciones!A:B, 2, FALSE), "DATO NO CARGADO"))</f>
        <v/>
      </c>
      <c r="C555" s="51"/>
      <c r="D555" s="257"/>
      <c r="E555" s="102"/>
      <c r="F555" s="103"/>
      <c r="G555" s="103"/>
      <c r="H555" s="258"/>
      <c r="J555" s="103"/>
      <c r="L555" s="71"/>
      <c r="M555" s="106" t="str">
        <f>IF(ISBLANK(K555), "", VLOOKUP(C555, 'Info Tipo de Cambio y REM'!$A$24:$B$35, 2, FALSE))</f>
        <v/>
      </c>
      <c r="N555" s="107" t="str">
        <f t="shared" si="2"/>
        <v/>
      </c>
    </row>
    <row r="556">
      <c r="A556" s="102"/>
      <c r="B556" s="43" t="str">
        <f>IF(A556="", "", IFERROR(VLOOKUP(A556, Clasificaciones!A:B, 2, FALSE), "DATO NO CARGADO"))</f>
        <v/>
      </c>
      <c r="C556" s="51"/>
      <c r="D556" s="257"/>
      <c r="E556" s="102"/>
      <c r="F556" s="103"/>
      <c r="G556" s="103"/>
      <c r="H556" s="258"/>
      <c r="J556" s="103"/>
      <c r="L556" s="71"/>
      <c r="M556" s="106" t="str">
        <f>IF(ISBLANK(K556), "", VLOOKUP(C556, 'Info Tipo de Cambio y REM'!$A$24:$B$35, 2, FALSE))</f>
        <v/>
      </c>
      <c r="N556" s="107" t="str">
        <f t="shared" si="2"/>
        <v/>
      </c>
    </row>
    <row r="557">
      <c r="A557" s="102"/>
      <c r="B557" s="43" t="str">
        <f>IF(A557="", "", IFERROR(VLOOKUP(A557, Clasificaciones!A:B, 2, FALSE), "DATO NO CARGADO"))</f>
        <v/>
      </c>
      <c r="C557" s="51"/>
      <c r="D557" s="257"/>
      <c r="E557" s="102"/>
      <c r="F557" s="103"/>
      <c r="G557" s="103"/>
      <c r="H557" s="258"/>
      <c r="J557" s="103"/>
      <c r="L557" s="71"/>
      <c r="M557" s="106" t="str">
        <f>IF(ISBLANK(K557), "", VLOOKUP(C557, 'Info Tipo de Cambio y REM'!$A$24:$B$35, 2, FALSE))</f>
        <v/>
      </c>
      <c r="N557" s="107" t="str">
        <f t="shared" si="2"/>
        <v/>
      </c>
    </row>
    <row r="558">
      <c r="A558" s="102"/>
      <c r="B558" s="43" t="str">
        <f>IF(A558="", "", IFERROR(VLOOKUP(A558, Clasificaciones!A:B, 2, FALSE), "DATO NO CARGADO"))</f>
        <v/>
      </c>
      <c r="C558" s="51"/>
      <c r="D558" s="257"/>
      <c r="E558" s="102"/>
      <c r="F558" s="103"/>
      <c r="G558" s="103"/>
      <c r="H558" s="258"/>
      <c r="J558" s="103"/>
      <c r="L558" s="71"/>
      <c r="M558" s="106" t="str">
        <f>IF(ISBLANK(K558), "", VLOOKUP(C558, 'Info Tipo de Cambio y REM'!$A$24:$B$35, 2, FALSE))</f>
        <v/>
      </c>
      <c r="N558" s="107" t="str">
        <f t="shared" si="2"/>
        <v/>
      </c>
    </row>
    <row r="559">
      <c r="A559" s="102"/>
      <c r="B559" s="43" t="str">
        <f>IF(A559="", "", IFERROR(VLOOKUP(A559, Clasificaciones!A:B, 2, FALSE), "DATO NO CARGADO"))</f>
        <v/>
      </c>
      <c r="C559" s="51"/>
      <c r="D559" s="257"/>
      <c r="E559" s="102"/>
      <c r="F559" s="103"/>
      <c r="G559" s="103"/>
      <c r="H559" s="258"/>
      <c r="J559" s="103"/>
      <c r="L559" s="71"/>
      <c r="M559" s="106" t="str">
        <f>IF(ISBLANK(K559), "", VLOOKUP(C559, 'Info Tipo de Cambio y REM'!$A$24:$B$35, 2, FALSE))</f>
        <v/>
      </c>
      <c r="N559" s="107" t="str">
        <f t="shared" si="2"/>
        <v/>
      </c>
    </row>
    <row r="560">
      <c r="A560" s="102"/>
      <c r="B560" s="43" t="str">
        <f>IF(A560="", "", IFERROR(VLOOKUP(A560, Clasificaciones!A:B, 2, FALSE), "DATO NO CARGADO"))</f>
        <v/>
      </c>
      <c r="C560" s="51"/>
      <c r="D560" s="257"/>
      <c r="E560" s="102"/>
      <c r="F560" s="103"/>
      <c r="G560" s="103"/>
      <c r="H560" s="258"/>
      <c r="J560" s="103"/>
      <c r="L560" s="71"/>
      <c r="M560" s="106" t="str">
        <f>IF(ISBLANK(K560), "", VLOOKUP(C560, 'Info Tipo de Cambio y REM'!$A$24:$B$35, 2, FALSE))</f>
        <v/>
      </c>
      <c r="N560" s="107" t="str">
        <f t="shared" si="2"/>
        <v/>
      </c>
    </row>
    <row r="561">
      <c r="A561" s="102"/>
      <c r="B561" s="43" t="str">
        <f>IF(A561="", "", IFERROR(VLOOKUP(A561, Clasificaciones!A:B, 2, FALSE), "DATO NO CARGADO"))</f>
        <v/>
      </c>
      <c r="C561" s="51"/>
      <c r="D561" s="257"/>
      <c r="E561" s="102"/>
      <c r="F561" s="103"/>
      <c r="G561" s="103"/>
      <c r="H561" s="258"/>
      <c r="J561" s="103"/>
      <c r="L561" s="71"/>
      <c r="M561" s="106" t="str">
        <f>IF(ISBLANK(K561), "", VLOOKUP(C561, 'Info Tipo de Cambio y REM'!$A$24:$B$35, 2, FALSE))</f>
        <v/>
      </c>
      <c r="N561" s="107" t="str">
        <f t="shared" si="2"/>
        <v/>
      </c>
    </row>
    <row r="562">
      <c r="A562" s="102"/>
      <c r="B562" s="43" t="str">
        <f>IF(A562="", "", IFERROR(VLOOKUP(A562, Clasificaciones!A:B, 2, FALSE), "DATO NO CARGADO"))</f>
        <v/>
      </c>
      <c r="C562" s="51"/>
      <c r="D562" s="257"/>
      <c r="E562" s="102"/>
      <c r="F562" s="103"/>
      <c r="G562" s="103"/>
      <c r="H562" s="258"/>
      <c r="J562" s="103"/>
      <c r="L562" s="71"/>
      <c r="M562" s="106" t="str">
        <f>IF(ISBLANK(K562), "", VLOOKUP(C562, 'Info Tipo de Cambio y REM'!$A$24:$B$35, 2, FALSE))</f>
        <v/>
      </c>
      <c r="N562" s="107" t="str">
        <f t="shared" si="2"/>
        <v/>
      </c>
    </row>
    <row r="563">
      <c r="A563" s="102"/>
      <c r="B563" s="43" t="str">
        <f>IF(A563="", "", IFERROR(VLOOKUP(A563, Clasificaciones!A:B, 2, FALSE), "DATO NO CARGADO"))</f>
        <v/>
      </c>
      <c r="C563" s="51"/>
      <c r="D563" s="257"/>
      <c r="E563" s="102"/>
      <c r="F563" s="103"/>
      <c r="G563" s="103"/>
      <c r="H563" s="258"/>
      <c r="J563" s="103"/>
      <c r="L563" s="71"/>
      <c r="M563" s="106" t="str">
        <f>IF(ISBLANK(K563), "", VLOOKUP(C563, 'Info Tipo de Cambio y REM'!$A$24:$B$35, 2, FALSE))</f>
        <v/>
      </c>
      <c r="N563" s="107" t="str">
        <f t="shared" si="2"/>
        <v/>
      </c>
    </row>
    <row r="564">
      <c r="A564" s="102"/>
      <c r="B564" s="43" t="str">
        <f>IF(A564="", "", IFERROR(VLOOKUP(A564, Clasificaciones!A:B, 2, FALSE), "DATO NO CARGADO"))</f>
        <v/>
      </c>
      <c r="C564" s="51"/>
      <c r="D564" s="257"/>
      <c r="E564" s="102"/>
      <c r="F564" s="103"/>
      <c r="G564" s="103"/>
      <c r="H564" s="258"/>
      <c r="J564" s="103"/>
      <c r="L564" s="71"/>
      <c r="M564" s="106" t="str">
        <f>IF(ISBLANK(K564), "", VLOOKUP(C564, 'Info Tipo de Cambio y REM'!$A$24:$B$35, 2, FALSE))</f>
        <v/>
      </c>
      <c r="N564" s="107" t="str">
        <f t="shared" si="2"/>
        <v/>
      </c>
    </row>
    <row r="565">
      <c r="A565" s="102"/>
      <c r="B565" s="43" t="str">
        <f>IF(A565="", "", IFERROR(VLOOKUP(A565, Clasificaciones!A:B, 2, FALSE), "DATO NO CARGADO"))</f>
        <v/>
      </c>
      <c r="C565" s="51"/>
      <c r="D565" s="257"/>
      <c r="E565" s="102"/>
      <c r="F565" s="103"/>
      <c r="G565" s="103"/>
      <c r="H565" s="258"/>
      <c r="J565" s="103"/>
      <c r="L565" s="71"/>
      <c r="M565" s="106" t="str">
        <f>IF(ISBLANK(K565), "", VLOOKUP(C565, 'Info Tipo de Cambio y REM'!$A$24:$B$35, 2, FALSE))</f>
        <v/>
      </c>
      <c r="N565" s="107" t="str">
        <f t="shared" si="2"/>
        <v/>
      </c>
    </row>
    <row r="566">
      <c r="A566" s="102"/>
      <c r="B566" s="43" t="str">
        <f>IF(A566="", "", IFERROR(VLOOKUP(A566, Clasificaciones!A:B, 2, FALSE), "DATO NO CARGADO"))</f>
        <v/>
      </c>
      <c r="C566" s="51"/>
      <c r="D566" s="257"/>
      <c r="E566" s="102"/>
      <c r="F566" s="103"/>
      <c r="G566" s="103"/>
      <c r="H566" s="258"/>
      <c r="J566" s="103"/>
      <c r="L566" s="71"/>
      <c r="M566" s="106" t="str">
        <f>IF(ISBLANK(K566), "", VLOOKUP(C566, 'Info Tipo de Cambio y REM'!$A$24:$B$35, 2, FALSE))</f>
        <v/>
      </c>
      <c r="N566" s="107" t="str">
        <f t="shared" si="2"/>
        <v/>
      </c>
    </row>
    <row r="567">
      <c r="A567" s="102"/>
      <c r="B567" s="43" t="str">
        <f>IF(A567="", "", IFERROR(VLOOKUP(A567, Clasificaciones!A:B, 2, FALSE), "DATO NO CARGADO"))</f>
        <v/>
      </c>
      <c r="C567" s="51"/>
      <c r="D567" s="257"/>
      <c r="E567" s="102"/>
      <c r="F567" s="103"/>
      <c r="G567" s="103"/>
      <c r="H567" s="258"/>
      <c r="J567" s="103"/>
      <c r="L567" s="71"/>
      <c r="M567" s="106" t="str">
        <f>IF(ISBLANK(K567), "", VLOOKUP(C567, 'Info Tipo de Cambio y REM'!$A$24:$B$35, 2, FALSE))</f>
        <v/>
      </c>
      <c r="N567" s="107" t="str">
        <f t="shared" si="2"/>
        <v/>
      </c>
    </row>
    <row r="568">
      <c r="A568" s="102"/>
      <c r="B568" s="43" t="str">
        <f>IF(A568="", "", IFERROR(VLOOKUP(A568, Clasificaciones!A:B, 2, FALSE), "DATO NO CARGADO"))</f>
        <v/>
      </c>
      <c r="C568" s="51"/>
      <c r="D568" s="257"/>
      <c r="E568" s="102"/>
      <c r="F568" s="103"/>
      <c r="G568" s="103"/>
      <c r="H568" s="258"/>
      <c r="J568" s="103"/>
      <c r="L568" s="71"/>
      <c r="M568" s="106" t="str">
        <f>IF(ISBLANK(K568), "", VLOOKUP(C568, 'Info Tipo de Cambio y REM'!$A$24:$B$35, 2, FALSE))</f>
        <v/>
      </c>
      <c r="N568" s="107" t="str">
        <f t="shared" si="2"/>
        <v/>
      </c>
    </row>
    <row r="569">
      <c r="A569" s="102"/>
      <c r="B569" s="43" t="str">
        <f>IF(A569="", "", IFERROR(VLOOKUP(A569, Clasificaciones!A:B, 2, FALSE), "DATO NO CARGADO"))</f>
        <v/>
      </c>
      <c r="C569" s="51"/>
      <c r="D569" s="257"/>
      <c r="E569" s="102"/>
      <c r="F569" s="103"/>
      <c r="G569" s="103"/>
      <c r="H569" s="258"/>
      <c r="J569" s="103"/>
      <c r="L569" s="71"/>
      <c r="M569" s="106" t="str">
        <f>IF(ISBLANK(K569), "", VLOOKUP(C569, 'Info Tipo de Cambio y REM'!$A$24:$B$35, 2, FALSE))</f>
        <v/>
      </c>
      <c r="N569" s="107" t="str">
        <f t="shared" si="2"/>
        <v/>
      </c>
    </row>
    <row r="570">
      <c r="A570" s="102"/>
      <c r="B570" s="43" t="str">
        <f>IF(A570="", "", IFERROR(VLOOKUP(A570, Clasificaciones!A:B, 2, FALSE), "DATO NO CARGADO"))</f>
        <v/>
      </c>
      <c r="C570" s="51"/>
      <c r="D570" s="257"/>
      <c r="E570" s="102"/>
      <c r="F570" s="103"/>
      <c r="G570" s="103"/>
      <c r="H570" s="258"/>
      <c r="J570" s="103"/>
      <c r="L570" s="71"/>
      <c r="M570" s="106" t="str">
        <f>IF(ISBLANK(K570), "", VLOOKUP(C570, 'Info Tipo de Cambio y REM'!$A$24:$B$35, 2, FALSE))</f>
        <v/>
      </c>
      <c r="N570" s="107" t="str">
        <f t="shared" si="2"/>
        <v/>
      </c>
    </row>
    <row r="571">
      <c r="A571" s="102"/>
      <c r="B571" s="43" t="str">
        <f>IF(A571="", "", IFERROR(VLOOKUP(A571, Clasificaciones!A:B, 2, FALSE), "DATO NO CARGADO"))</f>
        <v/>
      </c>
      <c r="C571" s="51"/>
      <c r="D571" s="257"/>
      <c r="E571" s="102"/>
      <c r="F571" s="103"/>
      <c r="G571" s="103"/>
      <c r="H571" s="258"/>
      <c r="J571" s="103"/>
      <c r="L571" s="71"/>
      <c r="M571" s="106" t="str">
        <f>IF(ISBLANK(K571), "", VLOOKUP(C571, 'Info Tipo de Cambio y REM'!$A$24:$B$35, 2, FALSE))</f>
        <v/>
      </c>
      <c r="N571" s="107" t="str">
        <f t="shared" si="2"/>
        <v/>
      </c>
    </row>
    <row r="572">
      <c r="A572" s="102"/>
      <c r="B572" s="43" t="str">
        <f>IF(A572="", "", IFERROR(VLOOKUP(A572, Clasificaciones!A:B, 2, FALSE), "DATO NO CARGADO"))</f>
        <v/>
      </c>
      <c r="C572" s="51"/>
      <c r="D572" s="257"/>
      <c r="E572" s="102"/>
      <c r="F572" s="103"/>
      <c r="G572" s="103"/>
      <c r="H572" s="258"/>
      <c r="J572" s="103"/>
      <c r="L572" s="71"/>
      <c r="M572" s="106" t="str">
        <f>IF(ISBLANK(K572), "", VLOOKUP(C572, 'Info Tipo de Cambio y REM'!$A$24:$B$35, 2, FALSE))</f>
        <v/>
      </c>
      <c r="N572" s="107" t="str">
        <f t="shared" si="2"/>
        <v/>
      </c>
    </row>
    <row r="573">
      <c r="A573" s="102"/>
      <c r="B573" s="43" t="str">
        <f>IF(A573="", "", IFERROR(VLOOKUP(A573, Clasificaciones!A:B, 2, FALSE), "DATO NO CARGADO"))</f>
        <v/>
      </c>
      <c r="C573" s="51"/>
      <c r="D573" s="257"/>
      <c r="E573" s="102"/>
      <c r="F573" s="103"/>
      <c r="G573" s="103"/>
      <c r="H573" s="258"/>
      <c r="J573" s="103"/>
      <c r="L573" s="71"/>
      <c r="M573" s="106" t="str">
        <f>IF(ISBLANK(K573), "", VLOOKUP(C573, 'Info Tipo de Cambio y REM'!$A$24:$B$35, 2, FALSE))</f>
        <v/>
      </c>
      <c r="N573" s="107" t="str">
        <f t="shared" si="2"/>
        <v/>
      </c>
    </row>
    <row r="574">
      <c r="A574" s="102"/>
      <c r="B574" s="43" t="str">
        <f>IF(A574="", "", IFERROR(VLOOKUP(A574, Clasificaciones!A:B, 2, FALSE), "DATO NO CARGADO"))</f>
        <v/>
      </c>
      <c r="C574" s="51"/>
      <c r="D574" s="257"/>
      <c r="E574" s="102"/>
      <c r="F574" s="103"/>
      <c r="G574" s="103"/>
      <c r="H574" s="258"/>
      <c r="J574" s="103"/>
      <c r="L574" s="71"/>
      <c r="M574" s="106" t="str">
        <f>IF(ISBLANK(K574), "", VLOOKUP(C574, 'Info Tipo de Cambio y REM'!$A$24:$B$35, 2, FALSE))</f>
        <v/>
      </c>
      <c r="N574" s="107" t="str">
        <f t="shared" si="2"/>
        <v/>
      </c>
    </row>
    <row r="575">
      <c r="A575" s="102"/>
      <c r="B575" s="43" t="str">
        <f>IF(A575="", "", IFERROR(VLOOKUP(A575, Clasificaciones!A:B, 2, FALSE), "DATO NO CARGADO"))</f>
        <v/>
      </c>
      <c r="C575" s="51"/>
      <c r="D575" s="257"/>
      <c r="E575" s="102"/>
      <c r="F575" s="103"/>
      <c r="G575" s="103"/>
      <c r="H575" s="258"/>
      <c r="J575" s="103"/>
      <c r="L575" s="71"/>
      <c r="M575" s="106" t="str">
        <f>IF(ISBLANK(K575), "", VLOOKUP(C575, 'Info Tipo de Cambio y REM'!$A$24:$B$35, 2, FALSE))</f>
        <v/>
      </c>
      <c r="N575" s="107" t="str">
        <f t="shared" si="2"/>
        <v/>
      </c>
    </row>
    <row r="576">
      <c r="A576" s="102"/>
      <c r="B576" s="43" t="str">
        <f>IF(A576="", "", IFERROR(VLOOKUP(A576, Clasificaciones!A:B, 2, FALSE), "DATO NO CARGADO"))</f>
        <v/>
      </c>
      <c r="C576" s="51"/>
      <c r="D576" s="257"/>
      <c r="E576" s="102"/>
      <c r="F576" s="103"/>
      <c r="G576" s="103"/>
      <c r="H576" s="258"/>
      <c r="J576" s="103"/>
      <c r="L576" s="71"/>
      <c r="M576" s="106" t="str">
        <f>IF(ISBLANK(K576), "", VLOOKUP(C576, 'Info Tipo de Cambio y REM'!$A$24:$B$35, 2, FALSE))</f>
        <v/>
      </c>
      <c r="N576" s="107" t="str">
        <f t="shared" si="2"/>
        <v/>
      </c>
    </row>
    <row r="577">
      <c r="A577" s="102"/>
      <c r="B577" s="43" t="str">
        <f>IF(A577="", "", IFERROR(VLOOKUP(A577, Clasificaciones!A:B, 2, FALSE), "DATO NO CARGADO"))</f>
        <v/>
      </c>
      <c r="C577" s="51"/>
      <c r="D577" s="257"/>
      <c r="E577" s="102"/>
      <c r="F577" s="103"/>
      <c r="G577" s="103"/>
      <c r="H577" s="258"/>
      <c r="J577" s="103"/>
      <c r="L577" s="71"/>
      <c r="M577" s="106" t="str">
        <f>IF(ISBLANK(K577), "", VLOOKUP(C577, 'Info Tipo de Cambio y REM'!$A$24:$B$35, 2, FALSE))</f>
        <v/>
      </c>
      <c r="N577" s="107" t="str">
        <f t="shared" si="2"/>
        <v/>
      </c>
    </row>
    <row r="578">
      <c r="A578" s="102"/>
      <c r="B578" s="43" t="str">
        <f>IF(A578="", "", IFERROR(VLOOKUP(A578, Clasificaciones!A:B, 2, FALSE), "DATO NO CARGADO"))</f>
        <v/>
      </c>
      <c r="C578" s="51"/>
      <c r="D578" s="257"/>
      <c r="E578" s="102"/>
      <c r="F578" s="103"/>
      <c r="G578" s="103"/>
      <c r="H578" s="258"/>
      <c r="J578" s="103"/>
      <c r="L578" s="71"/>
      <c r="M578" s="106" t="str">
        <f>IF(ISBLANK(K578), "", VLOOKUP(C578, 'Info Tipo de Cambio y REM'!$A$24:$B$35, 2, FALSE))</f>
        <v/>
      </c>
      <c r="N578" s="107" t="str">
        <f t="shared" si="2"/>
        <v/>
      </c>
    </row>
    <row r="579">
      <c r="A579" s="102"/>
      <c r="B579" s="43" t="str">
        <f>IF(A579="", "", IFERROR(VLOOKUP(A579, Clasificaciones!A:B, 2, FALSE), "DATO NO CARGADO"))</f>
        <v/>
      </c>
      <c r="C579" s="51"/>
      <c r="D579" s="257"/>
      <c r="E579" s="102"/>
      <c r="F579" s="103"/>
      <c r="G579" s="103"/>
      <c r="H579" s="258"/>
      <c r="J579" s="103"/>
      <c r="L579" s="71"/>
      <c r="M579" s="106" t="str">
        <f>IF(ISBLANK(K579), "", VLOOKUP(C579, 'Info Tipo de Cambio y REM'!$A$24:$B$35, 2, FALSE))</f>
        <v/>
      </c>
      <c r="N579" s="107" t="str">
        <f t="shared" si="2"/>
        <v/>
      </c>
    </row>
    <row r="580">
      <c r="A580" s="102"/>
      <c r="B580" s="43" t="str">
        <f>IF(A580="", "", IFERROR(VLOOKUP(A580, Clasificaciones!A:B, 2, FALSE), "DATO NO CARGADO"))</f>
        <v/>
      </c>
      <c r="C580" s="51"/>
      <c r="D580" s="257"/>
      <c r="E580" s="102"/>
      <c r="F580" s="103"/>
      <c r="G580" s="103"/>
      <c r="H580" s="258"/>
      <c r="J580" s="103"/>
      <c r="L580" s="71"/>
      <c r="M580" s="106" t="str">
        <f>IF(ISBLANK(K580), "", VLOOKUP(C580, 'Info Tipo de Cambio y REM'!$A$24:$B$35, 2, FALSE))</f>
        <v/>
      </c>
      <c r="N580" s="107" t="str">
        <f t="shared" si="2"/>
        <v/>
      </c>
    </row>
    <row r="581">
      <c r="A581" s="102"/>
      <c r="B581" s="43" t="str">
        <f>IF(A581="", "", IFERROR(VLOOKUP(A581, Clasificaciones!A:B, 2, FALSE), "DATO NO CARGADO"))</f>
        <v/>
      </c>
      <c r="C581" s="51"/>
      <c r="D581" s="257"/>
      <c r="E581" s="102"/>
      <c r="F581" s="103"/>
      <c r="G581" s="103"/>
      <c r="H581" s="258"/>
      <c r="J581" s="103"/>
      <c r="L581" s="71"/>
      <c r="M581" s="106" t="str">
        <f>IF(ISBLANK(K581), "", VLOOKUP(C581, 'Info Tipo de Cambio y REM'!$A$24:$B$35, 2, FALSE))</f>
        <v/>
      </c>
      <c r="N581" s="107" t="str">
        <f t="shared" si="2"/>
        <v/>
      </c>
    </row>
    <row r="582">
      <c r="A582" s="102"/>
      <c r="B582" s="43" t="str">
        <f>IF(A582="", "", IFERROR(VLOOKUP(A582, Clasificaciones!A:B, 2, FALSE), "DATO NO CARGADO"))</f>
        <v/>
      </c>
      <c r="C582" s="51"/>
      <c r="D582" s="257"/>
      <c r="E582" s="102"/>
      <c r="F582" s="103"/>
      <c r="G582" s="103"/>
      <c r="H582" s="258"/>
      <c r="J582" s="103"/>
      <c r="L582" s="71"/>
      <c r="M582" s="106" t="str">
        <f>IF(ISBLANK(K582), "", VLOOKUP(C582, 'Info Tipo de Cambio y REM'!$A$24:$B$35, 2, FALSE))</f>
        <v/>
      </c>
      <c r="N582" s="107" t="str">
        <f t="shared" si="2"/>
        <v/>
      </c>
    </row>
    <row r="583">
      <c r="A583" s="102"/>
      <c r="B583" s="43" t="str">
        <f>IF(A583="", "", IFERROR(VLOOKUP(A583, Clasificaciones!A:B, 2, FALSE), "DATO NO CARGADO"))</f>
        <v/>
      </c>
      <c r="C583" s="51"/>
      <c r="D583" s="257"/>
      <c r="E583" s="102"/>
      <c r="F583" s="103"/>
      <c r="G583" s="103"/>
      <c r="H583" s="258"/>
      <c r="J583" s="103"/>
      <c r="L583" s="71"/>
      <c r="M583" s="106" t="str">
        <f>IF(ISBLANK(K583), "", VLOOKUP(C583, 'Info Tipo de Cambio y REM'!$A$24:$B$35, 2, FALSE))</f>
        <v/>
      </c>
      <c r="N583" s="107" t="str">
        <f t="shared" si="2"/>
        <v/>
      </c>
    </row>
    <row r="584">
      <c r="A584" s="102"/>
      <c r="B584" s="43" t="str">
        <f>IF(A584="", "", IFERROR(VLOOKUP(A584, Clasificaciones!A:B, 2, FALSE), "DATO NO CARGADO"))</f>
        <v/>
      </c>
      <c r="C584" s="51"/>
      <c r="D584" s="257"/>
      <c r="E584" s="102"/>
      <c r="F584" s="103"/>
      <c r="G584" s="103"/>
      <c r="H584" s="258"/>
      <c r="J584" s="103"/>
      <c r="L584" s="71"/>
      <c r="M584" s="106" t="str">
        <f>IF(ISBLANK(K584), "", VLOOKUP(C584, 'Info Tipo de Cambio y REM'!$A$24:$B$35, 2, FALSE))</f>
        <v/>
      </c>
      <c r="N584" s="107" t="str">
        <f t="shared" si="2"/>
        <v/>
      </c>
    </row>
    <row r="585">
      <c r="A585" s="102"/>
      <c r="B585" s="43" t="str">
        <f>IF(A585="", "", IFERROR(VLOOKUP(A585, Clasificaciones!A:B, 2, FALSE), "DATO NO CARGADO"))</f>
        <v/>
      </c>
      <c r="C585" s="51"/>
      <c r="D585" s="257"/>
      <c r="E585" s="102"/>
      <c r="F585" s="103"/>
      <c r="G585" s="103"/>
      <c r="H585" s="258"/>
      <c r="J585" s="103"/>
      <c r="L585" s="71"/>
      <c r="M585" s="106" t="str">
        <f>IF(ISBLANK(K585), "", VLOOKUP(C585, 'Info Tipo de Cambio y REM'!$A$24:$B$35, 2, FALSE))</f>
        <v/>
      </c>
      <c r="N585" s="107" t="str">
        <f t="shared" si="2"/>
        <v/>
      </c>
    </row>
    <row r="586">
      <c r="A586" s="102"/>
      <c r="B586" s="43" t="str">
        <f>IF(A586="", "", IFERROR(VLOOKUP(A586, Clasificaciones!A:B, 2, FALSE), "DATO NO CARGADO"))</f>
        <v/>
      </c>
      <c r="C586" s="51"/>
      <c r="D586" s="257"/>
      <c r="E586" s="102"/>
      <c r="F586" s="103"/>
      <c r="G586" s="103"/>
      <c r="H586" s="258"/>
      <c r="J586" s="103"/>
      <c r="L586" s="71"/>
      <c r="M586" s="106" t="str">
        <f>IF(ISBLANK(K586), "", VLOOKUP(C586, 'Info Tipo de Cambio y REM'!$A$24:$B$35, 2, FALSE))</f>
        <v/>
      </c>
      <c r="N586" s="107" t="str">
        <f t="shared" si="2"/>
        <v/>
      </c>
    </row>
    <row r="587">
      <c r="A587" s="102"/>
      <c r="B587" s="43" t="str">
        <f>IF(A587="", "", IFERROR(VLOOKUP(A587, Clasificaciones!A:B, 2, FALSE), "DATO NO CARGADO"))</f>
        <v/>
      </c>
      <c r="C587" s="51"/>
      <c r="D587" s="257"/>
      <c r="E587" s="102"/>
      <c r="F587" s="103"/>
      <c r="G587" s="103"/>
      <c r="H587" s="258"/>
      <c r="J587" s="103"/>
      <c r="L587" s="71"/>
      <c r="M587" s="106" t="str">
        <f>IF(ISBLANK(K587), "", VLOOKUP(C587, 'Info Tipo de Cambio y REM'!$A$24:$B$35, 2, FALSE))</f>
        <v/>
      </c>
      <c r="N587" s="107" t="str">
        <f t="shared" si="2"/>
        <v/>
      </c>
    </row>
    <row r="588">
      <c r="A588" s="102"/>
      <c r="B588" s="43" t="str">
        <f>IF(A588="", "", IFERROR(VLOOKUP(A588, Clasificaciones!A:B, 2, FALSE), "DATO NO CARGADO"))</f>
        <v/>
      </c>
      <c r="C588" s="51"/>
      <c r="D588" s="257"/>
      <c r="E588" s="102"/>
      <c r="F588" s="103"/>
      <c r="G588" s="103"/>
      <c r="H588" s="258"/>
      <c r="J588" s="103"/>
      <c r="L588" s="71"/>
      <c r="M588" s="106" t="str">
        <f>IF(ISBLANK(K588), "", VLOOKUP(C588, 'Info Tipo de Cambio y REM'!$A$24:$B$35, 2, FALSE))</f>
        <v/>
      </c>
      <c r="N588" s="107" t="str">
        <f t="shared" si="2"/>
        <v/>
      </c>
    </row>
    <row r="589">
      <c r="A589" s="102"/>
      <c r="B589" s="43" t="str">
        <f>IF(A589="", "", IFERROR(VLOOKUP(A589, Clasificaciones!A:B, 2, FALSE), "DATO NO CARGADO"))</f>
        <v/>
      </c>
      <c r="C589" s="51"/>
      <c r="D589" s="257"/>
      <c r="E589" s="102"/>
      <c r="F589" s="103"/>
      <c r="G589" s="103"/>
      <c r="H589" s="258"/>
      <c r="J589" s="103"/>
      <c r="L589" s="71"/>
      <c r="M589" s="106" t="str">
        <f>IF(ISBLANK(K589), "", VLOOKUP(C589, 'Info Tipo de Cambio y REM'!$A$24:$B$35, 2, FALSE))</f>
        <v/>
      </c>
      <c r="N589" s="107" t="str">
        <f t="shared" si="2"/>
        <v/>
      </c>
    </row>
    <row r="590">
      <c r="A590" s="102"/>
      <c r="B590" s="43" t="str">
        <f>IF(A590="", "", IFERROR(VLOOKUP(A590, Clasificaciones!A:B, 2, FALSE), "DATO NO CARGADO"))</f>
        <v/>
      </c>
      <c r="C590" s="51"/>
      <c r="D590" s="257"/>
      <c r="E590" s="102"/>
      <c r="F590" s="103"/>
      <c r="G590" s="103"/>
      <c r="H590" s="258"/>
      <c r="J590" s="103"/>
      <c r="L590" s="71"/>
      <c r="M590" s="106" t="str">
        <f>IF(ISBLANK(K590), "", VLOOKUP(C590, 'Info Tipo de Cambio y REM'!$A$24:$B$35, 2, FALSE))</f>
        <v/>
      </c>
      <c r="N590" s="107" t="str">
        <f t="shared" si="2"/>
        <v/>
      </c>
    </row>
    <row r="591">
      <c r="A591" s="102"/>
      <c r="B591" s="43" t="str">
        <f>IF(A591="", "", IFERROR(VLOOKUP(A591, Clasificaciones!A:B, 2, FALSE), "DATO NO CARGADO"))</f>
        <v/>
      </c>
      <c r="C591" s="51"/>
      <c r="D591" s="257"/>
      <c r="E591" s="102"/>
      <c r="F591" s="103"/>
      <c r="G591" s="103"/>
      <c r="H591" s="258"/>
      <c r="J591" s="103"/>
      <c r="L591" s="71"/>
      <c r="M591" s="106" t="str">
        <f>IF(ISBLANK(K591), "", VLOOKUP(C591, 'Info Tipo de Cambio y REM'!$A$24:$B$35, 2, FALSE))</f>
        <v/>
      </c>
      <c r="N591" s="107" t="str">
        <f t="shared" si="2"/>
        <v/>
      </c>
    </row>
    <row r="592">
      <c r="A592" s="102"/>
      <c r="B592" s="43" t="str">
        <f>IF(A592="", "", IFERROR(VLOOKUP(A592, Clasificaciones!A:B, 2, FALSE), "DATO NO CARGADO"))</f>
        <v/>
      </c>
      <c r="C592" s="51"/>
      <c r="D592" s="257"/>
      <c r="E592" s="102"/>
      <c r="F592" s="103"/>
      <c r="G592" s="103"/>
      <c r="H592" s="258"/>
      <c r="J592" s="103"/>
      <c r="L592" s="71"/>
      <c r="M592" s="106" t="str">
        <f>IF(ISBLANK(K592), "", VLOOKUP(C592, 'Info Tipo de Cambio y REM'!$A$24:$B$35, 2, FALSE))</f>
        <v/>
      </c>
      <c r="N592" s="107" t="str">
        <f t="shared" si="2"/>
        <v/>
      </c>
    </row>
    <row r="593">
      <c r="A593" s="102"/>
      <c r="B593" s="43" t="str">
        <f>IF(A593="", "", IFERROR(VLOOKUP(A593, Clasificaciones!A:B, 2, FALSE), "DATO NO CARGADO"))</f>
        <v/>
      </c>
      <c r="C593" s="51"/>
      <c r="D593" s="257"/>
      <c r="E593" s="102"/>
      <c r="F593" s="103"/>
      <c r="G593" s="103"/>
      <c r="H593" s="258"/>
      <c r="J593" s="103"/>
      <c r="L593" s="71"/>
      <c r="M593" s="106" t="str">
        <f>IF(ISBLANK(K593), "", VLOOKUP(C593, 'Info Tipo de Cambio y REM'!$A$24:$B$35, 2, FALSE))</f>
        <v/>
      </c>
      <c r="N593" s="107" t="str">
        <f t="shared" si="2"/>
        <v/>
      </c>
    </row>
    <row r="594">
      <c r="A594" s="102"/>
      <c r="B594" s="43" t="str">
        <f>IF(A594="", "", IFERROR(VLOOKUP(A594, Clasificaciones!A:B, 2, FALSE), "DATO NO CARGADO"))</f>
        <v/>
      </c>
      <c r="C594" s="51"/>
      <c r="D594" s="257"/>
      <c r="E594" s="102"/>
      <c r="F594" s="103"/>
      <c r="G594" s="103"/>
      <c r="H594" s="258"/>
      <c r="J594" s="103"/>
      <c r="L594" s="71"/>
      <c r="M594" s="106" t="str">
        <f>IF(ISBLANK(K594), "", VLOOKUP(C594, 'Info Tipo de Cambio y REM'!$A$24:$B$35, 2, FALSE))</f>
        <v/>
      </c>
      <c r="N594" s="107" t="str">
        <f t="shared" si="2"/>
        <v/>
      </c>
    </row>
    <row r="595">
      <c r="A595" s="102"/>
      <c r="B595" s="43" t="str">
        <f>IF(A595="", "", IFERROR(VLOOKUP(A595, Clasificaciones!A:B, 2, FALSE), "DATO NO CARGADO"))</f>
        <v/>
      </c>
      <c r="C595" s="51"/>
      <c r="D595" s="257"/>
      <c r="E595" s="102"/>
      <c r="F595" s="103"/>
      <c r="G595" s="103"/>
      <c r="H595" s="258"/>
      <c r="J595" s="103"/>
      <c r="L595" s="71"/>
      <c r="M595" s="106" t="str">
        <f>IF(ISBLANK(K595), "", VLOOKUP(C595, 'Info Tipo de Cambio y REM'!$A$24:$B$35, 2, FALSE))</f>
        <v/>
      </c>
      <c r="N595" s="107" t="str">
        <f t="shared" si="2"/>
        <v/>
      </c>
    </row>
    <row r="596">
      <c r="A596" s="102"/>
      <c r="B596" s="43" t="str">
        <f>IF(A596="", "", IFERROR(VLOOKUP(A596, Clasificaciones!A:B, 2, FALSE), "DATO NO CARGADO"))</f>
        <v/>
      </c>
      <c r="C596" s="51"/>
      <c r="D596" s="257"/>
      <c r="E596" s="102"/>
      <c r="F596" s="103"/>
      <c r="G596" s="103"/>
      <c r="H596" s="258"/>
      <c r="J596" s="103"/>
      <c r="L596" s="71"/>
      <c r="M596" s="106" t="str">
        <f>IF(ISBLANK(K596), "", VLOOKUP(C596, 'Info Tipo de Cambio y REM'!$A$24:$B$35, 2, FALSE))</f>
        <v/>
      </c>
      <c r="N596" s="107" t="str">
        <f t="shared" si="2"/>
        <v/>
      </c>
    </row>
    <row r="597">
      <c r="A597" s="102"/>
      <c r="B597" s="43" t="str">
        <f>IF(A597="", "", IFERROR(VLOOKUP(A597, Clasificaciones!A:B, 2, FALSE), "DATO NO CARGADO"))</f>
        <v/>
      </c>
      <c r="C597" s="51"/>
      <c r="D597" s="257"/>
      <c r="E597" s="102"/>
      <c r="F597" s="103"/>
      <c r="G597" s="103"/>
      <c r="H597" s="258"/>
      <c r="J597" s="103"/>
      <c r="L597" s="71"/>
      <c r="M597" s="106" t="str">
        <f>IF(ISBLANK(K597), "", VLOOKUP(C597, 'Info Tipo de Cambio y REM'!$A$24:$B$35, 2, FALSE))</f>
        <v/>
      </c>
      <c r="N597" s="107" t="str">
        <f t="shared" si="2"/>
        <v/>
      </c>
    </row>
    <row r="598">
      <c r="A598" s="102"/>
      <c r="B598" s="43" t="str">
        <f>IF(A598="", "", IFERROR(VLOOKUP(A598, Clasificaciones!A:B, 2, FALSE), "DATO NO CARGADO"))</f>
        <v/>
      </c>
      <c r="C598" s="51"/>
      <c r="D598" s="257"/>
      <c r="E598" s="102"/>
      <c r="F598" s="103"/>
      <c r="G598" s="103"/>
      <c r="H598" s="258"/>
      <c r="J598" s="103"/>
      <c r="L598" s="71"/>
      <c r="M598" s="106" t="str">
        <f>IF(ISBLANK(K598), "", VLOOKUP(C598, 'Info Tipo de Cambio y REM'!$A$24:$B$35, 2, FALSE))</f>
        <v/>
      </c>
      <c r="N598" s="107" t="str">
        <f t="shared" si="2"/>
        <v/>
      </c>
    </row>
    <row r="599">
      <c r="A599" s="102"/>
      <c r="B599" s="43" t="str">
        <f>IF(A599="", "", IFERROR(VLOOKUP(A599, Clasificaciones!A:B, 2, FALSE), "DATO NO CARGADO"))</f>
        <v/>
      </c>
      <c r="C599" s="51"/>
      <c r="D599" s="257"/>
      <c r="E599" s="102"/>
      <c r="F599" s="103"/>
      <c r="G599" s="103"/>
      <c r="H599" s="258"/>
      <c r="J599" s="103"/>
      <c r="L599" s="71"/>
      <c r="M599" s="106" t="str">
        <f>IF(ISBLANK(K599), "", VLOOKUP(C599, 'Info Tipo de Cambio y REM'!$A$24:$B$35, 2, FALSE))</f>
        <v/>
      </c>
      <c r="N599" s="107" t="str">
        <f t="shared" si="2"/>
        <v/>
      </c>
    </row>
    <row r="600">
      <c r="A600" s="102"/>
      <c r="B600" s="43" t="str">
        <f>IF(A600="", "", IFERROR(VLOOKUP(A600, Clasificaciones!A:B, 2, FALSE), "DATO NO CARGADO"))</f>
        <v/>
      </c>
      <c r="C600" s="51"/>
      <c r="D600" s="257"/>
      <c r="E600" s="102"/>
      <c r="F600" s="103"/>
      <c r="G600" s="103"/>
      <c r="H600" s="258"/>
      <c r="J600" s="103"/>
      <c r="L600" s="71"/>
      <c r="M600" s="106" t="str">
        <f>IF(ISBLANK(K600), "", VLOOKUP(C600, 'Info Tipo de Cambio y REM'!$A$24:$B$35, 2, FALSE))</f>
        <v/>
      </c>
      <c r="N600" s="107" t="str">
        <f t="shared" si="2"/>
        <v/>
      </c>
    </row>
    <row r="601">
      <c r="A601" s="102"/>
      <c r="B601" s="43" t="str">
        <f>IF(A601="", "", IFERROR(VLOOKUP(A601, Clasificaciones!A:B, 2, FALSE), "DATO NO CARGADO"))</f>
        <v/>
      </c>
      <c r="C601" s="51"/>
      <c r="D601" s="257"/>
      <c r="E601" s="102"/>
      <c r="F601" s="103"/>
      <c r="G601" s="103"/>
      <c r="H601" s="258"/>
      <c r="J601" s="103"/>
      <c r="L601" s="71"/>
      <c r="M601" s="106" t="str">
        <f>IF(ISBLANK(K601), "", VLOOKUP(C601, 'Info Tipo de Cambio y REM'!$A$24:$B$35, 2, FALSE))</f>
        <v/>
      </c>
      <c r="N601" s="107" t="str">
        <f t="shared" si="2"/>
        <v/>
      </c>
    </row>
    <row r="602">
      <c r="A602" s="102"/>
      <c r="B602" s="43" t="str">
        <f>IF(A602="", "", IFERROR(VLOOKUP(A602, Clasificaciones!A:B, 2, FALSE), "DATO NO CARGADO"))</f>
        <v/>
      </c>
      <c r="C602" s="51"/>
      <c r="D602" s="257"/>
      <c r="E602" s="102"/>
      <c r="F602" s="103"/>
      <c r="G602" s="103"/>
      <c r="H602" s="258"/>
      <c r="J602" s="103"/>
      <c r="L602" s="71"/>
      <c r="M602" s="106" t="str">
        <f>IF(ISBLANK(K602), "", VLOOKUP(C602, 'Info Tipo de Cambio y REM'!$A$24:$B$35, 2, FALSE))</f>
        <v/>
      </c>
      <c r="N602" s="107" t="str">
        <f t="shared" si="2"/>
        <v/>
      </c>
    </row>
    <row r="603">
      <c r="A603" s="102"/>
      <c r="B603" s="43" t="str">
        <f>IF(A603="", "", IFERROR(VLOOKUP(A603, Clasificaciones!A:B, 2, FALSE), "DATO NO CARGADO"))</f>
        <v/>
      </c>
      <c r="C603" s="51"/>
      <c r="D603" s="257"/>
      <c r="E603" s="102"/>
      <c r="F603" s="103"/>
      <c r="G603" s="103"/>
      <c r="H603" s="258"/>
      <c r="J603" s="103"/>
      <c r="L603" s="71"/>
      <c r="M603" s="106" t="str">
        <f>IF(ISBLANK(K603), "", VLOOKUP(C603, 'Info Tipo de Cambio y REM'!$A$24:$B$35, 2, FALSE))</f>
        <v/>
      </c>
      <c r="N603" s="107" t="str">
        <f t="shared" si="2"/>
        <v/>
      </c>
    </row>
    <row r="604">
      <c r="A604" s="102"/>
      <c r="B604" s="43" t="str">
        <f>IF(A604="", "", IFERROR(VLOOKUP(A604, Clasificaciones!A:B, 2, FALSE), "DATO NO CARGADO"))</f>
        <v/>
      </c>
      <c r="C604" s="51"/>
      <c r="D604" s="257"/>
      <c r="E604" s="102"/>
      <c r="F604" s="103"/>
      <c r="G604" s="103"/>
      <c r="H604" s="258"/>
      <c r="J604" s="103"/>
      <c r="L604" s="71"/>
      <c r="M604" s="106" t="str">
        <f>IF(ISBLANK(K604), "", VLOOKUP(C604, 'Info Tipo de Cambio y REM'!$A$24:$B$35, 2, FALSE))</f>
        <v/>
      </c>
      <c r="N604" s="107" t="str">
        <f t="shared" si="2"/>
        <v/>
      </c>
    </row>
    <row r="605">
      <c r="A605" s="102"/>
      <c r="B605" s="43" t="str">
        <f>IF(A605="", "", IFERROR(VLOOKUP(A605, Clasificaciones!A:B, 2, FALSE), "DATO NO CARGADO"))</f>
        <v/>
      </c>
      <c r="C605" s="51"/>
      <c r="D605" s="257"/>
      <c r="E605" s="102"/>
      <c r="F605" s="103"/>
      <c r="G605" s="103"/>
      <c r="H605" s="258"/>
      <c r="J605" s="103"/>
      <c r="L605" s="71"/>
      <c r="M605" s="106" t="str">
        <f>IF(ISBLANK(K605), "", VLOOKUP(C605, 'Info Tipo de Cambio y REM'!$A$24:$B$35, 2, FALSE))</f>
        <v/>
      </c>
      <c r="N605" s="107" t="str">
        <f t="shared" si="2"/>
        <v/>
      </c>
    </row>
    <row r="606">
      <c r="A606" s="102"/>
      <c r="B606" s="43" t="str">
        <f>IF(A606="", "", IFERROR(VLOOKUP(A606, Clasificaciones!A:B, 2, FALSE), "DATO NO CARGADO"))</f>
        <v/>
      </c>
      <c r="C606" s="51"/>
      <c r="D606" s="257"/>
      <c r="E606" s="102"/>
      <c r="F606" s="103"/>
      <c r="G606" s="103"/>
      <c r="H606" s="258"/>
      <c r="J606" s="103"/>
      <c r="L606" s="71"/>
      <c r="M606" s="106" t="str">
        <f>IF(ISBLANK(K606), "", VLOOKUP(C606, 'Info Tipo de Cambio y REM'!$A$24:$B$35, 2, FALSE))</f>
        <v/>
      </c>
      <c r="N606" s="107" t="str">
        <f t="shared" si="2"/>
        <v/>
      </c>
    </row>
    <row r="607">
      <c r="A607" s="102"/>
      <c r="B607" s="43" t="str">
        <f>IF(A607="", "", IFERROR(VLOOKUP(A607, Clasificaciones!A:B, 2, FALSE), "DATO NO CARGADO"))</f>
        <v/>
      </c>
      <c r="C607" s="51"/>
      <c r="D607" s="257"/>
      <c r="E607" s="102"/>
      <c r="F607" s="103"/>
      <c r="G607" s="103"/>
      <c r="H607" s="258"/>
      <c r="J607" s="103"/>
      <c r="L607" s="71"/>
      <c r="M607" s="106" t="str">
        <f>IF(ISBLANK(K607), "", VLOOKUP(C607, 'Info Tipo de Cambio y REM'!$A$24:$B$35, 2, FALSE))</f>
        <v/>
      </c>
      <c r="N607" s="107" t="str">
        <f t="shared" si="2"/>
        <v/>
      </c>
    </row>
    <row r="608">
      <c r="A608" s="102"/>
      <c r="B608" s="43" t="str">
        <f>IF(A608="", "", IFERROR(VLOOKUP(A608, Clasificaciones!A:B, 2, FALSE), "DATO NO CARGADO"))</f>
        <v/>
      </c>
      <c r="C608" s="51"/>
      <c r="D608" s="257"/>
      <c r="E608" s="102"/>
      <c r="F608" s="103"/>
      <c r="G608" s="103"/>
      <c r="H608" s="258"/>
      <c r="J608" s="103"/>
      <c r="L608" s="71"/>
      <c r="M608" s="106" t="str">
        <f>IF(ISBLANK(K608), "", VLOOKUP(C608, 'Info Tipo de Cambio y REM'!$A$24:$B$35, 2, FALSE))</f>
        <v/>
      </c>
      <c r="N608" s="107" t="str">
        <f t="shared" si="2"/>
        <v/>
      </c>
    </row>
    <row r="609">
      <c r="A609" s="102"/>
      <c r="B609" s="43" t="str">
        <f>IF(A609="", "", IFERROR(VLOOKUP(A609, Clasificaciones!A:B, 2, FALSE), "DATO NO CARGADO"))</f>
        <v/>
      </c>
      <c r="C609" s="51"/>
      <c r="D609" s="257"/>
      <c r="E609" s="102"/>
      <c r="F609" s="103"/>
      <c r="G609" s="103"/>
      <c r="H609" s="258"/>
      <c r="J609" s="103"/>
      <c r="L609" s="71"/>
      <c r="M609" s="106" t="str">
        <f>IF(ISBLANK(K609), "", VLOOKUP(C609, 'Info Tipo de Cambio y REM'!$A$24:$B$35, 2, FALSE))</f>
        <v/>
      </c>
      <c r="N609" s="107" t="str">
        <f t="shared" si="2"/>
        <v/>
      </c>
    </row>
    <row r="610">
      <c r="A610" s="102"/>
      <c r="B610" s="43" t="str">
        <f>IF(A610="", "", IFERROR(VLOOKUP(A610, Clasificaciones!A:B, 2, FALSE), "DATO NO CARGADO"))</f>
        <v/>
      </c>
      <c r="C610" s="51"/>
      <c r="D610" s="257"/>
      <c r="E610" s="102"/>
      <c r="F610" s="103"/>
      <c r="G610" s="103"/>
      <c r="H610" s="258"/>
      <c r="J610" s="103"/>
      <c r="L610" s="71"/>
      <c r="M610" s="106" t="str">
        <f>IF(ISBLANK(K610), "", VLOOKUP(C610, 'Info Tipo de Cambio y REM'!$A$24:$B$35, 2, FALSE))</f>
        <v/>
      </c>
      <c r="N610" s="107" t="str">
        <f t="shared" si="2"/>
        <v/>
      </c>
    </row>
    <row r="611">
      <c r="A611" s="102"/>
      <c r="B611" s="43" t="str">
        <f>IF(A611="", "", IFERROR(VLOOKUP(A611, Clasificaciones!A:B, 2, FALSE), "DATO NO CARGADO"))</f>
        <v/>
      </c>
      <c r="C611" s="51"/>
      <c r="D611" s="257"/>
      <c r="E611" s="102"/>
      <c r="F611" s="103"/>
      <c r="G611" s="103"/>
      <c r="H611" s="258"/>
      <c r="J611" s="103"/>
      <c r="L611" s="71"/>
      <c r="M611" s="106" t="str">
        <f>IF(ISBLANK(K611), "", VLOOKUP(C611, 'Info Tipo de Cambio y REM'!$A$24:$B$35, 2, FALSE))</f>
        <v/>
      </c>
      <c r="N611" s="107" t="str">
        <f t="shared" si="2"/>
        <v/>
      </c>
    </row>
    <row r="612">
      <c r="A612" s="102"/>
      <c r="B612" s="43" t="str">
        <f>IF(A612="", "", IFERROR(VLOOKUP(A612, Clasificaciones!A:B, 2, FALSE), "DATO NO CARGADO"))</f>
        <v/>
      </c>
      <c r="C612" s="51"/>
      <c r="D612" s="257"/>
      <c r="E612" s="102"/>
      <c r="F612" s="103"/>
      <c r="G612" s="103"/>
      <c r="H612" s="258"/>
      <c r="J612" s="103"/>
      <c r="L612" s="71"/>
      <c r="M612" s="106" t="str">
        <f>IF(ISBLANK(K612), "", VLOOKUP(C612, 'Info Tipo de Cambio y REM'!$A$24:$B$35, 2, FALSE))</f>
        <v/>
      </c>
      <c r="N612" s="107" t="str">
        <f t="shared" si="2"/>
        <v/>
      </c>
    </row>
    <row r="613">
      <c r="A613" s="102"/>
      <c r="B613" s="43" t="str">
        <f>IF(A613="", "", IFERROR(VLOOKUP(A613, Clasificaciones!A:B, 2, FALSE), "DATO NO CARGADO"))</f>
        <v/>
      </c>
      <c r="C613" s="51"/>
      <c r="D613" s="257"/>
      <c r="E613" s="102"/>
      <c r="F613" s="103"/>
      <c r="G613" s="103"/>
      <c r="H613" s="258"/>
      <c r="J613" s="103"/>
      <c r="L613" s="71"/>
      <c r="M613" s="106" t="str">
        <f>IF(ISBLANK(K613), "", VLOOKUP(C613, 'Info Tipo de Cambio y REM'!$A$24:$B$35, 2, FALSE))</f>
        <v/>
      </c>
      <c r="N613" s="107" t="str">
        <f t="shared" si="2"/>
        <v/>
      </c>
    </row>
    <row r="614">
      <c r="A614" s="102"/>
      <c r="B614" s="43" t="str">
        <f>IF(A614="", "", IFERROR(VLOOKUP(A614, Clasificaciones!A:B, 2, FALSE), "DATO NO CARGADO"))</f>
        <v/>
      </c>
      <c r="C614" s="51"/>
      <c r="D614" s="257"/>
      <c r="E614" s="102"/>
      <c r="F614" s="103"/>
      <c r="G614" s="103"/>
      <c r="H614" s="258"/>
      <c r="J614" s="103"/>
      <c r="L614" s="71"/>
      <c r="M614" s="106" t="str">
        <f>IF(ISBLANK(K614), "", VLOOKUP(C614, 'Info Tipo de Cambio y REM'!$A$24:$B$35, 2, FALSE))</f>
        <v/>
      </c>
      <c r="N614" s="107" t="str">
        <f t="shared" si="2"/>
        <v/>
      </c>
    </row>
    <row r="615">
      <c r="A615" s="102"/>
      <c r="B615" s="43" t="str">
        <f>IF(A615="", "", IFERROR(VLOOKUP(A615, Clasificaciones!A:B, 2, FALSE), "DATO NO CARGADO"))</f>
        <v/>
      </c>
      <c r="C615" s="51"/>
      <c r="D615" s="257"/>
      <c r="E615" s="102"/>
      <c r="F615" s="103"/>
      <c r="G615" s="103"/>
      <c r="H615" s="258"/>
      <c r="J615" s="103"/>
      <c r="L615" s="71"/>
      <c r="M615" s="106" t="str">
        <f>IF(ISBLANK(K615), "", VLOOKUP(C615, 'Info Tipo de Cambio y REM'!$A$24:$B$35, 2, FALSE))</f>
        <v/>
      </c>
      <c r="N615" s="107" t="str">
        <f t="shared" si="2"/>
        <v/>
      </c>
    </row>
    <row r="616">
      <c r="A616" s="102"/>
      <c r="B616" s="43" t="str">
        <f>IF(A616="", "", IFERROR(VLOOKUP(A616, Clasificaciones!A:B, 2, FALSE), "DATO NO CARGADO"))</f>
        <v/>
      </c>
      <c r="C616" s="51"/>
      <c r="D616" s="257"/>
      <c r="E616" s="102"/>
      <c r="F616" s="103"/>
      <c r="G616" s="103"/>
      <c r="H616" s="258"/>
      <c r="J616" s="103"/>
      <c r="L616" s="71"/>
      <c r="M616" s="106" t="str">
        <f>IF(ISBLANK(K616), "", VLOOKUP(C616, 'Info Tipo de Cambio y REM'!$A$24:$B$35, 2, FALSE))</f>
        <v/>
      </c>
      <c r="N616" s="107" t="str">
        <f t="shared" si="2"/>
        <v/>
      </c>
    </row>
    <row r="617">
      <c r="A617" s="102"/>
      <c r="B617" s="43" t="str">
        <f>IF(A617="", "", IFERROR(VLOOKUP(A617, Clasificaciones!A:B, 2, FALSE), "DATO NO CARGADO"))</f>
        <v/>
      </c>
      <c r="C617" s="51"/>
      <c r="D617" s="257"/>
      <c r="E617" s="102"/>
      <c r="F617" s="103"/>
      <c r="G617" s="103"/>
      <c r="H617" s="258"/>
      <c r="J617" s="103"/>
      <c r="L617" s="71"/>
      <c r="M617" s="106" t="str">
        <f>IF(ISBLANK(K617), "", VLOOKUP(C617, 'Info Tipo de Cambio y REM'!$A$24:$B$35, 2, FALSE))</f>
        <v/>
      </c>
      <c r="N617" s="107" t="str">
        <f t="shared" si="2"/>
        <v/>
      </c>
    </row>
    <row r="618">
      <c r="A618" s="102"/>
      <c r="B618" s="43" t="str">
        <f>IF(A618="", "", IFERROR(VLOOKUP(A618, Clasificaciones!A:B, 2, FALSE), "DATO NO CARGADO"))</f>
        <v/>
      </c>
      <c r="C618" s="51"/>
      <c r="D618" s="257"/>
      <c r="E618" s="102"/>
      <c r="F618" s="103"/>
      <c r="G618" s="103"/>
      <c r="H618" s="258"/>
      <c r="J618" s="103"/>
      <c r="L618" s="71"/>
      <c r="M618" s="106" t="str">
        <f>IF(ISBLANK(K618), "", VLOOKUP(C618, 'Info Tipo de Cambio y REM'!$A$24:$B$35, 2, FALSE))</f>
        <v/>
      </c>
      <c r="N618" s="107" t="str">
        <f t="shared" si="2"/>
        <v/>
      </c>
    </row>
    <row r="619">
      <c r="A619" s="102"/>
      <c r="B619" s="43" t="str">
        <f>IF(A619="", "", IFERROR(VLOOKUP(A619, Clasificaciones!A:B, 2, FALSE), "DATO NO CARGADO"))</f>
        <v/>
      </c>
      <c r="C619" s="51"/>
      <c r="D619" s="257"/>
      <c r="E619" s="102"/>
      <c r="F619" s="103"/>
      <c r="G619" s="103"/>
      <c r="H619" s="258"/>
      <c r="J619" s="103"/>
      <c r="L619" s="71"/>
      <c r="M619" s="106" t="str">
        <f>IF(ISBLANK(K619), "", VLOOKUP(C619, 'Info Tipo de Cambio y REM'!$A$24:$B$35, 2, FALSE))</f>
        <v/>
      </c>
      <c r="N619" s="107" t="str">
        <f t="shared" si="2"/>
        <v/>
      </c>
    </row>
    <row r="620">
      <c r="A620" s="102"/>
      <c r="B620" s="43" t="str">
        <f>IF(A620="", "", IFERROR(VLOOKUP(A620, Clasificaciones!A:B, 2, FALSE), "DATO NO CARGADO"))</f>
        <v/>
      </c>
      <c r="C620" s="51"/>
      <c r="D620" s="257"/>
      <c r="E620" s="102"/>
      <c r="F620" s="103"/>
      <c r="G620" s="103"/>
      <c r="H620" s="258"/>
      <c r="J620" s="103"/>
      <c r="L620" s="71"/>
      <c r="M620" s="106" t="str">
        <f>IF(ISBLANK(K620), "", VLOOKUP(C620, 'Info Tipo de Cambio y REM'!$A$24:$B$35, 2, FALSE))</f>
        <v/>
      </c>
      <c r="N620" s="107" t="str">
        <f t="shared" si="2"/>
        <v/>
      </c>
    </row>
    <row r="621">
      <c r="A621" s="102"/>
      <c r="B621" s="43" t="str">
        <f>IF(A621="", "", IFERROR(VLOOKUP(A621, Clasificaciones!A:B, 2, FALSE), "DATO NO CARGADO"))</f>
        <v/>
      </c>
      <c r="C621" s="51"/>
      <c r="D621" s="257"/>
      <c r="E621" s="102"/>
      <c r="F621" s="103"/>
      <c r="G621" s="103"/>
      <c r="H621" s="258"/>
      <c r="J621" s="103"/>
      <c r="L621" s="71"/>
      <c r="M621" s="106" t="str">
        <f>IF(ISBLANK(K621), "", VLOOKUP(C621, 'Info Tipo de Cambio y REM'!$A$24:$B$35, 2, FALSE))</f>
        <v/>
      </c>
      <c r="N621" s="107" t="str">
        <f t="shared" si="2"/>
        <v/>
      </c>
    </row>
    <row r="622">
      <c r="A622" s="102"/>
      <c r="B622" s="43" t="str">
        <f>IF(A622="", "", IFERROR(VLOOKUP(A622, Clasificaciones!A:B, 2, FALSE), "DATO NO CARGADO"))</f>
        <v/>
      </c>
      <c r="C622" s="51"/>
      <c r="D622" s="257"/>
      <c r="E622" s="102"/>
      <c r="F622" s="103"/>
      <c r="G622" s="103"/>
      <c r="H622" s="258"/>
      <c r="J622" s="103"/>
      <c r="L622" s="71"/>
      <c r="M622" s="106" t="str">
        <f>IF(ISBLANK(K622), "", VLOOKUP(C622, 'Info Tipo de Cambio y REM'!$A$24:$B$35, 2, FALSE))</f>
        <v/>
      </c>
      <c r="N622" s="107" t="str">
        <f t="shared" si="2"/>
        <v/>
      </c>
    </row>
    <row r="623">
      <c r="A623" s="102"/>
      <c r="B623" s="43" t="str">
        <f>IF(A623="", "", IFERROR(VLOOKUP(A623, Clasificaciones!A:B, 2, FALSE), "DATO NO CARGADO"))</f>
        <v/>
      </c>
      <c r="C623" s="51"/>
      <c r="D623" s="257"/>
      <c r="E623" s="102"/>
      <c r="F623" s="103"/>
      <c r="G623" s="103"/>
      <c r="H623" s="258"/>
      <c r="J623" s="103"/>
      <c r="L623" s="71"/>
      <c r="M623" s="106" t="str">
        <f>IF(ISBLANK(K623), "", VLOOKUP(C623, 'Info Tipo de Cambio y REM'!$A$24:$B$35, 2, FALSE))</f>
        <v/>
      </c>
      <c r="N623" s="107" t="str">
        <f t="shared" si="2"/>
        <v/>
      </c>
    </row>
    <row r="624">
      <c r="A624" s="102"/>
      <c r="B624" s="43" t="str">
        <f>IF(A624="", "", IFERROR(VLOOKUP(A624, Clasificaciones!A:B, 2, FALSE), "DATO NO CARGADO"))</f>
        <v/>
      </c>
      <c r="C624" s="51"/>
      <c r="D624" s="257"/>
      <c r="E624" s="102"/>
      <c r="F624" s="103"/>
      <c r="G624" s="103"/>
      <c r="H624" s="258"/>
      <c r="J624" s="103"/>
      <c r="L624" s="71"/>
      <c r="M624" s="106" t="str">
        <f>IF(ISBLANK(K624), "", VLOOKUP(C624, 'Info Tipo de Cambio y REM'!$A$24:$B$35, 2, FALSE))</f>
        <v/>
      </c>
      <c r="N624" s="107" t="str">
        <f t="shared" si="2"/>
        <v/>
      </c>
    </row>
    <row r="625">
      <c r="A625" s="102"/>
      <c r="B625" s="43" t="str">
        <f>IF(A625="", "", IFERROR(VLOOKUP(A625, Clasificaciones!A:B, 2, FALSE), "DATO NO CARGADO"))</f>
        <v/>
      </c>
      <c r="C625" s="51"/>
      <c r="D625" s="257"/>
      <c r="E625" s="102"/>
      <c r="F625" s="103"/>
      <c r="G625" s="103"/>
      <c r="H625" s="258"/>
      <c r="J625" s="103"/>
      <c r="L625" s="71"/>
      <c r="M625" s="106" t="str">
        <f>IF(ISBLANK(K625), "", VLOOKUP(C625, 'Info Tipo de Cambio y REM'!$A$24:$B$35, 2, FALSE))</f>
        <v/>
      </c>
      <c r="N625" s="107" t="str">
        <f t="shared" si="2"/>
        <v/>
      </c>
    </row>
    <row r="626">
      <c r="A626" s="102"/>
      <c r="B626" s="43" t="str">
        <f>IF(A626="", "", IFERROR(VLOOKUP(A626, Clasificaciones!A:B, 2, FALSE), "DATO NO CARGADO"))</f>
        <v/>
      </c>
      <c r="C626" s="51"/>
      <c r="D626" s="257"/>
      <c r="E626" s="102"/>
      <c r="F626" s="103"/>
      <c r="G626" s="103"/>
      <c r="H626" s="258"/>
      <c r="J626" s="103"/>
      <c r="L626" s="71"/>
      <c r="M626" s="106" t="str">
        <f>IF(ISBLANK(K626), "", VLOOKUP(C626, 'Info Tipo de Cambio y REM'!$A$24:$B$35, 2, FALSE))</f>
        <v/>
      </c>
      <c r="N626" s="107" t="str">
        <f t="shared" si="2"/>
        <v/>
      </c>
    </row>
    <row r="627">
      <c r="A627" s="102"/>
      <c r="B627" s="43" t="str">
        <f>IF(A627="", "", IFERROR(VLOOKUP(A627, Clasificaciones!A:B, 2, FALSE), "DATO NO CARGADO"))</f>
        <v/>
      </c>
      <c r="C627" s="51"/>
      <c r="D627" s="257"/>
      <c r="E627" s="102"/>
      <c r="F627" s="103"/>
      <c r="G627" s="103"/>
      <c r="H627" s="258"/>
      <c r="J627" s="103"/>
      <c r="L627" s="71"/>
      <c r="M627" s="106" t="str">
        <f>IF(ISBLANK(K627), "", VLOOKUP(C627, 'Info Tipo de Cambio y REM'!$A$24:$B$35, 2, FALSE))</f>
        <v/>
      </c>
      <c r="N627" s="107" t="str">
        <f t="shared" si="2"/>
        <v/>
      </c>
    </row>
    <row r="628">
      <c r="A628" s="102"/>
      <c r="B628" s="43" t="str">
        <f>IF(A628="", "", IFERROR(VLOOKUP(A628, Clasificaciones!A:B, 2, FALSE), "DATO NO CARGADO"))</f>
        <v/>
      </c>
      <c r="C628" s="51"/>
      <c r="D628" s="257"/>
      <c r="E628" s="102"/>
      <c r="F628" s="103"/>
      <c r="G628" s="103"/>
      <c r="H628" s="258"/>
      <c r="J628" s="103"/>
      <c r="L628" s="71"/>
      <c r="M628" s="106" t="str">
        <f>IF(ISBLANK(K628), "", VLOOKUP(C628, 'Info Tipo de Cambio y REM'!$A$24:$B$35, 2, FALSE))</f>
        <v/>
      </c>
      <c r="N628" s="107" t="str">
        <f t="shared" si="2"/>
        <v/>
      </c>
    </row>
    <row r="629">
      <c r="A629" s="102"/>
      <c r="B629" s="43" t="str">
        <f>IF(A629="", "", IFERROR(VLOOKUP(A629, Clasificaciones!A:B, 2, FALSE), "DATO NO CARGADO"))</f>
        <v/>
      </c>
      <c r="C629" s="51"/>
      <c r="D629" s="257"/>
      <c r="E629" s="102"/>
      <c r="F629" s="103"/>
      <c r="G629" s="103"/>
      <c r="H629" s="258"/>
      <c r="J629" s="103"/>
      <c r="L629" s="71"/>
      <c r="M629" s="106" t="str">
        <f>IF(ISBLANK(K629), "", VLOOKUP(C629, 'Info Tipo de Cambio y REM'!$A$24:$B$35, 2, FALSE))</f>
        <v/>
      </c>
      <c r="N629" s="107" t="str">
        <f t="shared" si="2"/>
        <v/>
      </c>
    </row>
    <row r="630">
      <c r="A630" s="102"/>
      <c r="B630" s="43" t="str">
        <f>IF(A630="", "", IFERROR(VLOOKUP(A630, Clasificaciones!A:B, 2, FALSE), "DATO NO CARGADO"))</f>
        <v/>
      </c>
      <c r="C630" s="51"/>
      <c r="D630" s="257"/>
      <c r="E630" s="102"/>
      <c r="F630" s="103"/>
      <c r="G630" s="103"/>
      <c r="H630" s="258"/>
      <c r="J630" s="103"/>
      <c r="L630" s="71"/>
      <c r="M630" s="106" t="str">
        <f>IF(ISBLANK(K630), "", VLOOKUP(C630, 'Info Tipo de Cambio y REM'!$A$24:$B$35, 2, FALSE))</f>
        <v/>
      </c>
      <c r="N630" s="107" t="str">
        <f t="shared" si="2"/>
        <v/>
      </c>
    </row>
    <row r="631">
      <c r="A631" s="102"/>
      <c r="B631" s="43" t="str">
        <f>IF(A631="", "", IFERROR(VLOOKUP(A631, Clasificaciones!A:B, 2, FALSE), "DATO NO CARGADO"))</f>
        <v/>
      </c>
      <c r="C631" s="51"/>
      <c r="D631" s="257"/>
      <c r="E631" s="102"/>
      <c r="F631" s="103"/>
      <c r="G631" s="103"/>
      <c r="H631" s="258"/>
      <c r="J631" s="103"/>
      <c r="L631" s="71"/>
      <c r="M631" s="106" t="str">
        <f>IF(ISBLANK(K631), "", VLOOKUP(C631, 'Info Tipo de Cambio y REM'!$A$24:$B$35, 2, FALSE))</f>
        <v/>
      </c>
      <c r="N631" s="107" t="str">
        <f t="shared" si="2"/>
        <v/>
      </c>
    </row>
    <row r="632">
      <c r="A632" s="102"/>
      <c r="B632" s="43" t="str">
        <f>IF(A632="", "", IFERROR(VLOOKUP(A632, Clasificaciones!A:B, 2, FALSE), "DATO NO CARGADO"))</f>
        <v/>
      </c>
      <c r="C632" s="51"/>
      <c r="D632" s="257"/>
      <c r="E632" s="102"/>
      <c r="F632" s="103"/>
      <c r="G632" s="103"/>
      <c r="H632" s="258"/>
      <c r="J632" s="103"/>
      <c r="L632" s="71"/>
      <c r="M632" s="106" t="str">
        <f>IF(ISBLANK(K632), "", VLOOKUP(C632, 'Info Tipo de Cambio y REM'!$A$24:$B$35, 2, FALSE))</f>
        <v/>
      </c>
      <c r="N632" s="107" t="str">
        <f t="shared" si="2"/>
        <v/>
      </c>
    </row>
    <row r="633">
      <c r="A633" s="102"/>
      <c r="B633" s="43" t="str">
        <f>IF(A633="", "", IFERROR(VLOOKUP(A633, Clasificaciones!A:B, 2, FALSE), "DATO NO CARGADO"))</f>
        <v/>
      </c>
      <c r="C633" s="51"/>
      <c r="D633" s="257"/>
      <c r="E633" s="102"/>
      <c r="F633" s="103"/>
      <c r="G633" s="103"/>
      <c r="H633" s="258"/>
      <c r="J633" s="103"/>
      <c r="L633" s="71"/>
      <c r="M633" s="106" t="str">
        <f>IF(ISBLANK(K633), "", VLOOKUP(C633, 'Info Tipo de Cambio y REM'!$A$24:$B$35, 2, FALSE))</f>
        <v/>
      </c>
      <c r="N633" s="107" t="str">
        <f t="shared" si="2"/>
        <v/>
      </c>
    </row>
    <row r="634">
      <c r="A634" s="102"/>
      <c r="B634" s="43" t="str">
        <f>IF(A634="", "", IFERROR(VLOOKUP(A634, Clasificaciones!A:B, 2, FALSE), "DATO NO CARGADO"))</f>
        <v/>
      </c>
      <c r="C634" s="51"/>
      <c r="D634" s="257"/>
      <c r="E634" s="102"/>
      <c r="F634" s="103"/>
      <c r="G634" s="103"/>
      <c r="H634" s="258"/>
      <c r="J634" s="103"/>
      <c r="L634" s="71"/>
      <c r="M634" s="106" t="str">
        <f>IF(ISBLANK(K634), "", VLOOKUP(C634, 'Info Tipo de Cambio y REM'!$A$24:$B$35, 2, FALSE))</f>
        <v/>
      </c>
      <c r="N634" s="107" t="str">
        <f t="shared" si="2"/>
        <v/>
      </c>
    </row>
    <row r="635">
      <c r="A635" s="102"/>
      <c r="B635" s="43" t="str">
        <f>IF(A635="", "", IFERROR(VLOOKUP(A635, Clasificaciones!A:B, 2, FALSE), "DATO NO CARGADO"))</f>
        <v/>
      </c>
      <c r="C635" s="51"/>
      <c r="D635" s="257"/>
      <c r="E635" s="102"/>
      <c r="F635" s="103"/>
      <c r="G635" s="103"/>
      <c r="H635" s="258"/>
      <c r="J635" s="103"/>
      <c r="L635" s="71"/>
      <c r="M635" s="106" t="str">
        <f>IF(ISBLANK(K635), "", VLOOKUP(C635, 'Info Tipo de Cambio y REM'!$A$24:$B$35, 2, FALSE))</f>
        <v/>
      </c>
      <c r="N635" s="107" t="str">
        <f t="shared" si="2"/>
        <v/>
      </c>
    </row>
    <row r="636">
      <c r="A636" s="102"/>
      <c r="B636" s="43" t="str">
        <f>IF(A636="", "", IFERROR(VLOOKUP(A636, Clasificaciones!A:B, 2, FALSE), "DATO NO CARGADO"))</f>
        <v/>
      </c>
      <c r="C636" s="51"/>
      <c r="D636" s="257"/>
      <c r="E636" s="102"/>
      <c r="F636" s="103"/>
      <c r="G636" s="103"/>
      <c r="H636" s="258"/>
      <c r="J636" s="103"/>
      <c r="L636" s="71"/>
      <c r="M636" s="106" t="str">
        <f>IF(ISBLANK(K636), "", VLOOKUP(C636, 'Info Tipo de Cambio y REM'!$A$24:$B$35, 2, FALSE))</f>
        <v/>
      </c>
      <c r="N636" s="107" t="str">
        <f t="shared" si="2"/>
        <v/>
      </c>
    </row>
    <row r="637">
      <c r="A637" s="102"/>
      <c r="B637" s="43" t="str">
        <f>IF(A637="", "", IFERROR(VLOOKUP(A637, Clasificaciones!A:B, 2, FALSE), "DATO NO CARGADO"))</f>
        <v/>
      </c>
      <c r="C637" s="51"/>
      <c r="D637" s="257"/>
      <c r="E637" s="102"/>
      <c r="F637" s="103"/>
      <c r="G637" s="103"/>
      <c r="H637" s="258"/>
      <c r="J637" s="103"/>
      <c r="L637" s="71"/>
      <c r="M637" s="106" t="str">
        <f>IF(ISBLANK(K637), "", VLOOKUP(C637, 'Info Tipo de Cambio y REM'!$A$24:$B$35, 2, FALSE))</f>
        <v/>
      </c>
      <c r="N637" s="107" t="str">
        <f t="shared" si="2"/>
        <v/>
      </c>
    </row>
    <row r="638">
      <c r="A638" s="102"/>
      <c r="B638" s="43" t="str">
        <f>IF(A638="", "", IFERROR(VLOOKUP(A638, Clasificaciones!A:B, 2, FALSE), "DATO NO CARGADO"))</f>
        <v/>
      </c>
      <c r="C638" s="51"/>
      <c r="D638" s="257"/>
      <c r="E638" s="102"/>
      <c r="F638" s="103"/>
      <c r="G638" s="103"/>
      <c r="H638" s="258"/>
      <c r="J638" s="103"/>
      <c r="L638" s="71"/>
      <c r="M638" s="106" t="str">
        <f>IF(ISBLANK(K638), "", VLOOKUP(C638, 'Info Tipo de Cambio y REM'!$A$24:$B$35, 2, FALSE))</f>
        <v/>
      </c>
      <c r="N638" s="107" t="str">
        <f t="shared" si="2"/>
        <v/>
      </c>
    </row>
    <row r="639">
      <c r="A639" s="102"/>
      <c r="B639" s="43" t="str">
        <f>IF(A639="", "", IFERROR(VLOOKUP(A639, Clasificaciones!A:B, 2, FALSE), "DATO NO CARGADO"))</f>
        <v/>
      </c>
      <c r="C639" s="51"/>
      <c r="D639" s="257"/>
      <c r="E639" s="102"/>
      <c r="F639" s="103"/>
      <c r="G639" s="103"/>
      <c r="H639" s="258"/>
      <c r="J639" s="103"/>
      <c r="L639" s="71"/>
      <c r="M639" s="106" t="str">
        <f>IF(ISBLANK(K639), "", VLOOKUP(C639, 'Info Tipo de Cambio y REM'!$A$24:$B$35, 2, FALSE))</f>
        <v/>
      </c>
      <c r="N639" s="107" t="str">
        <f t="shared" si="2"/>
        <v/>
      </c>
    </row>
    <row r="640">
      <c r="A640" s="102"/>
      <c r="B640" s="43" t="str">
        <f>IF(A640="", "", IFERROR(VLOOKUP(A640, Clasificaciones!A:B, 2, FALSE), "DATO NO CARGADO"))</f>
        <v/>
      </c>
      <c r="C640" s="51"/>
      <c r="D640" s="257"/>
      <c r="E640" s="102"/>
      <c r="F640" s="103"/>
      <c r="G640" s="103"/>
      <c r="H640" s="258"/>
      <c r="J640" s="103"/>
      <c r="L640" s="71"/>
      <c r="M640" s="106" t="str">
        <f>IF(ISBLANK(K640), "", VLOOKUP(C640, 'Info Tipo de Cambio y REM'!$A$24:$B$35, 2, FALSE))</f>
        <v/>
      </c>
      <c r="N640" s="107" t="str">
        <f t="shared" si="2"/>
        <v/>
      </c>
    </row>
    <row r="641">
      <c r="A641" s="102"/>
      <c r="B641" s="43" t="str">
        <f>IF(A641="", "", IFERROR(VLOOKUP(A641, Clasificaciones!A:B, 2, FALSE), "DATO NO CARGADO"))</f>
        <v/>
      </c>
      <c r="C641" s="51"/>
      <c r="D641" s="257"/>
      <c r="E641" s="102"/>
      <c r="F641" s="103"/>
      <c r="G641" s="103"/>
      <c r="H641" s="258"/>
      <c r="J641" s="103"/>
      <c r="L641" s="71"/>
      <c r="M641" s="106" t="str">
        <f>IF(ISBLANK(K641), "", VLOOKUP(C641, 'Info Tipo de Cambio y REM'!$A$24:$B$35, 2, FALSE))</f>
        <v/>
      </c>
      <c r="N641" s="107" t="str">
        <f t="shared" si="2"/>
        <v/>
      </c>
    </row>
    <row r="642">
      <c r="A642" s="102"/>
      <c r="B642" s="43" t="str">
        <f>IF(A642="", "", IFERROR(VLOOKUP(A642, Clasificaciones!A:B, 2, FALSE), "DATO NO CARGADO"))</f>
        <v/>
      </c>
      <c r="C642" s="51"/>
      <c r="D642" s="257"/>
      <c r="E642" s="102"/>
      <c r="F642" s="103"/>
      <c r="G642" s="103"/>
      <c r="H642" s="258"/>
      <c r="J642" s="103"/>
      <c r="L642" s="71"/>
      <c r="M642" s="106" t="str">
        <f>IF(ISBLANK(K642), "", VLOOKUP(C642, 'Info Tipo de Cambio y REM'!$A$24:$B$35, 2, FALSE))</f>
        <v/>
      </c>
      <c r="N642" s="107" t="str">
        <f t="shared" si="2"/>
        <v/>
      </c>
    </row>
    <row r="643">
      <c r="A643" s="102"/>
      <c r="B643" s="43" t="str">
        <f>IF(A643="", "", IFERROR(VLOOKUP(A643, Clasificaciones!A:B, 2, FALSE), "DATO NO CARGADO"))</f>
        <v/>
      </c>
      <c r="C643" s="51"/>
      <c r="D643" s="257"/>
      <c r="E643" s="102"/>
      <c r="F643" s="103"/>
      <c r="G643" s="103"/>
      <c r="H643" s="258"/>
      <c r="J643" s="103"/>
      <c r="L643" s="71"/>
      <c r="M643" s="106" t="str">
        <f>IF(ISBLANK(K643), "", VLOOKUP(C643, 'Info Tipo de Cambio y REM'!$A$24:$B$35, 2, FALSE))</f>
        <v/>
      </c>
      <c r="N643" s="107" t="str">
        <f t="shared" si="2"/>
        <v/>
      </c>
    </row>
    <row r="644">
      <c r="A644" s="102"/>
      <c r="B644" s="43" t="str">
        <f>IF(A644="", "", IFERROR(VLOOKUP(A644, Clasificaciones!A:B, 2, FALSE), "DATO NO CARGADO"))</f>
        <v/>
      </c>
      <c r="C644" s="51"/>
      <c r="D644" s="257"/>
      <c r="E644" s="102"/>
      <c r="F644" s="103"/>
      <c r="G644" s="103"/>
      <c r="H644" s="258"/>
      <c r="J644" s="103"/>
      <c r="L644" s="71"/>
      <c r="M644" s="106" t="str">
        <f>IF(ISBLANK(K644), "", VLOOKUP(C644, 'Info Tipo de Cambio y REM'!$A$24:$B$35, 2, FALSE))</f>
        <v/>
      </c>
      <c r="N644" s="107" t="str">
        <f t="shared" si="2"/>
        <v/>
      </c>
    </row>
    <row r="645">
      <c r="A645" s="102"/>
      <c r="B645" s="43" t="str">
        <f>IF(A645="", "", IFERROR(VLOOKUP(A645, Clasificaciones!A:B, 2, FALSE), "DATO NO CARGADO"))</f>
        <v/>
      </c>
      <c r="C645" s="51"/>
      <c r="D645" s="257"/>
      <c r="E645" s="102"/>
      <c r="F645" s="103"/>
      <c r="G645" s="103"/>
      <c r="H645" s="258"/>
      <c r="J645" s="103"/>
      <c r="L645" s="71"/>
      <c r="M645" s="106" t="str">
        <f>IF(ISBLANK(K645), "", VLOOKUP(C645, 'Info Tipo de Cambio y REM'!$A$24:$B$35, 2, FALSE))</f>
        <v/>
      </c>
      <c r="N645" s="107" t="str">
        <f t="shared" si="2"/>
        <v/>
      </c>
    </row>
    <row r="646">
      <c r="A646" s="102"/>
      <c r="B646" s="43" t="str">
        <f>IF(A646="", "", IFERROR(VLOOKUP(A646, Clasificaciones!A:B, 2, FALSE), "DATO NO CARGADO"))</f>
        <v/>
      </c>
      <c r="C646" s="51"/>
      <c r="D646" s="257"/>
      <c r="E646" s="102"/>
      <c r="F646" s="103"/>
      <c r="G646" s="103"/>
      <c r="H646" s="258"/>
      <c r="J646" s="103"/>
      <c r="L646" s="71"/>
      <c r="M646" s="106" t="str">
        <f>IF(ISBLANK(K646), "", VLOOKUP(C646, 'Info Tipo de Cambio y REM'!$A$24:$B$35, 2, FALSE))</f>
        <v/>
      </c>
      <c r="N646" s="107" t="str">
        <f t="shared" si="2"/>
        <v/>
      </c>
    </row>
    <row r="647">
      <c r="A647" s="102"/>
      <c r="B647" s="43" t="str">
        <f>IF(A647="", "", IFERROR(VLOOKUP(A647, Clasificaciones!A:B, 2, FALSE), "DATO NO CARGADO"))</f>
        <v/>
      </c>
      <c r="C647" s="51"/>
      <c r="D647" s="257"/>
      <c r="E647" s="102"/>
      <c r="F647" s="103"/>
      <c r="G647" s="103"/>
      <c r="H647" s="258"/>
      <c r="J647" s="103"/>
      <c r="L647" s="71"/>
      <c r="M647" s="106" t="str">
        <f>IF(ISBLANK(K647), "", VLOOKUP(C647, 'Info Tipo de Cambio y REM'!$A$24:$B$35, 2, FALSE))</f>
        <v/>
      </c>
      <c r="N647" s="107" t="str">
        <f t="shared" si="2"/>
        <v/>
      </c>
    </row>
    <row r="648">
      <c r="A648" s="102"/>
      <c r="B648" s="43" t="str">
        <f>IF(A648="", "", IFERROR(VLOOKUP(A648, Clasificaciones!A:B, 2, FALSE), "DATO NO CARGADO"))</f>
        <v/>
      </c>
      <c r="C648" s="51"/>
      <c r="D648" s="257"/>
      <c r="E648" s="102"/>
      <c r="F648" s="103"/>
      <c r="G648" s="103"/>
      <c r="H648" s="258"/>
      <c r="J648" s="103"/>
      <c r="L648" s="71"/>
      <c r="M648" s="106" t="str">
        <f>IF(ISBLANK(K648), "", VLOOKUP(C648, 'Info Tipo de Cambio y REM'!$A$24:$B$35, 2, FALSE))</f>
        <v/>
      </c>
      <c r="N648" s="107" t="str">
        <f t="shared" si="2"/>
        <v/>
      </c>
    </row>
    <row r="649">
      <c r="A649" s="102"/>
      <c r="B649" s="43" t="str">
        <f>IF(A649="", "", IFERROR(VLOOKUP(A649, Clasificaciones!A:B, 2, FALSE), "DATO NO CARGADO"))</f>
        <v/>
      </c>
      <c r="C649" s="51"/>
      <c r="D649" s="257"/>
      <c r="E649" s="102"/>
      <c r="F649" s="103"/>
      <c r="G649" s="103"/>
      <c r="H649" s="258"/>
      <c r="J649" s="103"/>
      <c r="L649" s="71"/>
      <c r="M649" s="106" t="str">
        <f>IF(ISBLANK(K649), "", VLOOKUP(C649, 'Info Tipo de Cambio y REM'!$A$24:$B$35, 2, FALSE))</f>
        <v/>
      </c>
      <c r="N649" s="107" t="str">
        <f t="shared" si="2"/>
        <v/>
      </c>
    </row>
    <row r="650">
      <c r="A650" s="102"/>
      <c r="B650" s="43" t="str">
        <f>IF(A650="", "", IFERROR(VLOOKUP(A650, Clasificaciones!A:B, 2, FALSE), "DATO NO CARGADO"))</f>
        <v/>
      </c>
      <c r="C650" s="51"/>
      <c r="D650" s="257"/>
      <c r="E650" s="102"/>
      <c r="F650" s="103"/>
      <c r="G650" s="103"/>
      <c r="H650" s="258"/>
      <c r="J650" s="103"/>
      <c r="L650" s="71"/>
      <c r="M650" s="106" t="str">
        <f>IF(ISBLANK(K650), "", VLOOKUP(C650, 'Info Tipo de Cambio y REM'!$A$24:$B$35, 2, FALSE))</f>
        <v/>
      </c>
      <c r="N650" s="107" t="str">
        <f t="shared" si="2"/>
        <v/>
      </c>
    </row>
    <row r="651">
      <c r="A651" s="102"/>
      <c r="B651" s="43" t="str">
        <f>IF(A651="", "", IFERROR(VLOOKUP(A651, Clasificaciones!A:B, 2, FALSE), "DATO NO CARGADO"))</f>
        <v/>
      </c>
      <c r="C651" s="51"/>
      <c r="D651" s="257"/>
      <c r="E651" s="102"/>
      <c r="F651" s="103"/>
      <c r="G651" s="103"/>
      <c r="H651" s="258"/>
      <c r="J651" s="103"/>
      <c r="L651" s="71"/>
      <c r="M651" s="106" t="str">
        <f>IF(ISBLANK(K651), "", VLOOKUP(C651, 'Info Tipo de Cambio y REM'!$A$24:$B$35, 2, FALSE))</f>
        <v/>
      </c>
      <c r="N651" s="107" t="str">
        <f t="shared" si="2"/>
        <v/>
      </c>
    </row>
    <row r="652">
      <c r="A652" s="102"/>
      <c r="B652" s="43" t="str">
        <f>IF(A652="", "", IFERROR(VLOOKUP(A652, Clasificaciones!A:B, 2, FALSE), "DATO NO CARGADO"))</f>
        <v/>
      </c>
      <c r="C652" s="51"/>
      <c r="D652" s="257"/>
      <c r="E652" s="102"/>
      <c r="F652" s="103"/>
      <c r="G652" s="103"/>
      <c r="H652" s="258"/>
      <c r="J652" s="103"/>
      <c r="L652" s="71"/>
      <c r="M652" s="106" t="str">
        <f>IF(ISBLANK(K652), "", VLOOKUP(C652, 'Info Tipo de Cambio y REM'!$A$24:$B$35, 2, FALSE))</f>
        <v/>
      </c>
      <c r="N652" s="107" t="str">
        <f t="shared" si="2"/>
        <v/>
      </c>
    </row>
    <row r="653">
      <c r="A653" s="102"/>
      <c r="B653" s="43" t="str">
        <f>IF(A653="", "", IFERROR(VLOOKUP(A653, Clasificaciones!A:B, 2, FALSE), "DATO NO CARGADO"))</f>
        <v/>
      </c>
      <c r="C653" s="51"/>
      <c r="D653" s="257"/>
      <c r="E653" s="102"/>
      <c r="F653" s="103"/>
      <c r="G653" s="103"/>
      <c r="H653" s="258"/>
      <c r="J653" s="103"/>
      <c r="L653" s="71"/>
      <c r="M653" s="106" t="str">
        <f>IF(ISBLANK(K653), "", VLOOKUP(C653, 'Info Tipo de Cambio y REM'!$A$24:$B$35, 2, FALSE))</f>
        <v/>
      </c>
      <c r="N653" s="107" t="str">
        <f t="shared" si="2"/>
        <v/>
      </c>
    </row>
    <row r="654">
      <c r="A654" s="102"/>
      <c r="B654" s="43" t="str">
        <f>IF(A654="", "", IFERROR(VLOOKUP(A654, Clasificaciones!A:B, 2, FALSE), "DATO NO CARGADO"))</f>
        <v/>
      </c>
      <c r="C654" s="51"/>
      <c r="D654" s="257"/>
      <c r="E654" s="102"/>
      <c r="F654" s="103"/>
      <c r="G654" s="103"/>
      <c r="H654" s="258"/>
      <c r="J654" s="103"/>
      <c r="L654" s="71"/>
      <c r="M654" s="106" t="str">
        <f>IF(ISBLANK(K654), "", VLOOKUP(C654, 'Info Tipo de Cambio y REM'!$A$24:$B$35, 2, FALSE))</f>
        <v/>
      </c>
      <c r="N654" s="107" t="str">
        <f t="shared" si="2"/>
        <v/>
      </c>
    </row>
    <row r="655">
      <c r="A655" s="102"/>
      <c r="B655" s="43" t="str">
        <f>IF(A655="", "", IFERROR(VLOOKUP(A655, Clasificaciones!A:B, 2, FALSE), "DATO NO CARGADO"))</f>
        <v/>
      </c>
      <c r="C655" s="51"/>
      <c r="D655" s="257"/>
      <c r="E655" s="102"/>
      <c r="F655" s="103"/>
      <c r="G655" s="103"/>
      <c r="H655" s="258"/>
      <c r="J655" s="103"/>
      <c r="L655" s="71"/>
      <c r="M655" s="106" t="str">
        <f>IF(ISBLANK(K655), "", VLOOKUP(C655, 'Info Tipo de Cambio y REM'!$A$24:$B$35, 2, FALSE))</f>
        <v/>
      </c>
      <c r="N655" s="107" t="str">
        <f t="shared" si="2"/>
        <v/>
      </c>
    </row>
    <row r="656">
      <c r="A656" s="102"/>
      <c r="B656" s="43" t="str">
        <f>IF(A656="", "", IFERROR(VLOOKUP(A656, Clasificaciones!A:B, 2, FALSE), "DATO NO CARGADO"))</f>
        <v/>
      </c>
      <c r="C656" s="51"/>
      <c r="D656" s="257"/>
      <c r="E656" s="102"/>
      <c r="F656" s="103"/>
      <c r="G656" s="103"/>
      <c r="H656" s="258"/>
      <c r="J656" s="103"/>
      <c r="L656" s="71"/>
      <c r="M656" s="106" t="str">
        <f>IF(ISBLANK(K656), "", VLOOKUP(C656, 'Info Tipo de Cambio y REM'!$A$24:$B$35, 2, FALSE))</f>
        <v/>
      </c>
      <c r="N656" s="107" t="str">
        <f t="shared" si="2"/>
        <v/>
      </c>
    </row>
    <row r="657">
      <c r="A657" s="102"/>
      <c r="B657" s="43" t="str">
        <f>IF(A657="", "", IFERROR(VLOOKUP(A657, Clasificaciones!A:B, 2, FALSE), "DATO NO CARGADO"))</f>
        <v/>
      </c>
      <c r="C657" s="51"/>
      <c r="D657" s="257"/>
      <c r="E657" s="102"/>
      <c r="F657" s="103"/>
      <c r="G657" s="103"/>
      <c r="H657" s="258"/>
      <c r="J657" s="103"/>
      <c r="L657" s="71"/>
      <c r="M657" s="106" t="str">
        <f>IF(ISBLANK(K657), "", VLOOKUP(C657, 'Info Tipo de Cambio y REM'!$A$24:$B$35, 2, FALSE))</f>
        <v/>
      </c>
      <c r="N657" s="107" t="str">
        <f t="shared" si="2"/>
        <v/>
      </c>
    </row>
    <row r="658">
      <c r="A658" s="102"/>
      <c r="B658" s="43" t="str">
        <f>IF(A658="", "", IFERROR(VLOOKUP(A658, Clasificaciones!A:B, 2, FALSE), "DATO NO CARGADO"))</f>
        <v/>
      </c>
      <c r="C658" s="51"/>
      <c r="D658" s="257"/>
      <c r="E658" s="102"/>
      <c r="F658" s="103"/>
      <c r="G658" s="103"/>
      <c r="H658" s="258"/>
      <c r="J658" s="103"/>
      <c r="L658" s="71"/>
      <c r="M658" s="106" t="str">
        <f>IF(ISBLANK(K658), "", VLOOKUP(C658, 'Info Tipo de Cambio y REM'!$A$24:$B$35, 2, FALSE))</f>
        <v/>
      </c>
      <c r="N658" s="107" t="str">
        <f t="shared" si="2"/>
        <v/>
      </c>
    </row>
    <row r="659">
      <c r="A659" s="102"/>
      <c r="B659" s="43" t="str">
        <f>IF(A659="", "", IFERROR(VLOOKUP(A659, Clasificaciones!A:B, 2, FALSE), "DATO NO CARGADO"))</f>
        <v/>
      </c>
      <c r="C659" s="51"/>
      <c r="D659" s="257"/>
      <c r="E659" s="102"/>
      <c r="F659" s="103"/>
      <c r="G659" s="103"/>
      <c r="H659" s="258"/>
      <c r="J659" s="103"/>
      <c r="L659" s="71"/>
      <c r="M659" s="106" t="str">
        <f>IF(ISBLANK(K659), "", VLOOKUP(C659, 'Info Tipo de Cambio y REM'!$A$24:$B$35, 2, FALSE))</f>
        <v/>
      </c>
      <c r="N659" s="107" t="str">
        <f t="shared" si="2"/>
        <v/>
      </c>
    </row>
    <row r="660">
      <c r="A660" s="102"/>
      <c r="B660" s="43" t="str">
        <f>IF(A660="", "", IFERROR(VLOOKUP(A660, Clasificaciones!A:B, 2, FALSE), "DATO NO CARGADO"))</f>
        <v/>
      </c>
      <c r="C660" s="51"/>
      <c r="D660" s="257"/>
      <c r="E660" s="102"/>
      <c r="F660" s="103"/>
      <c r="G660" s="103"/>
      <c r="H660" s="258"/>
      <c r="J660" s="103"/>
      <c r="L660" s="71"/>
      <c r="M660" s="106" t="str">
        <f>IF(ISBLANK(K660), "", VLOOKUP(C660, 'Info Tipo de Cambio y REM'!$A$24:$B$35, 2, FALSE))</f>
        <v/>
      </c>
      <c r="N660" s="107" t="str">
        <f t="shared" si="2"/>
        <v/>
      </c>
    </row>
    <row r="661">
      <c r="A661" s="102"/>
      <c r="B661" s="43" t="str">
        <f>IF(A661="", "", IFERROR(VLOOKUP(A661, Clasificaciones!A:B, 2, FALSE), "DATO NO CARGADO"))</f>
        <v/>
      </c>
      <c r="C661" s="51"/>
      <c r="D661" s="257"/>
      <c r="E661" s="102"/>
      <c r="F661" s="103"/>
      <c r="G661" s="103"/>
      <c r="H661" s="258"/>
      <c r="J661" s="103"/>
      <c r="L661" s="71"/>
      <c r="M661" s="106" t="str">
        <f>IF(ISBLANK(K661), "", VLOOKUP(C661, 'Info Tipo de Cambio y REM'!$A$24:$B$35, 2, FALSE))</f>
        <v/>
      </c>
      <c r="N661" s="107" t="str">
        <f t="shared" si="2"/>
        <v/>
      </c>
    </row>
    <row r="662">
      <c r="A662" s="102"/>
      <c r="B662" s="43" t="str">
        <f>IF(A662="", "", IFERROR(VLOOKUP(A662, Clasificaciones!A:B, 2, FALSE), "DATO NO CARGADO"))</f>
        <v/>
      </c>
      <c r="C662" s="51"/>
      <c r="D662" s="257"/>
      <c r="E662" s="102"/>
      <c r="F662" s="103"/>
      <c r="G662" s="103"/>
      <c r="H662" s="258"/>
      <c r="J662" s="103"/>
      <c r="L662" s="71"/>
      <c r="M662" s="106" t="str">
        <f>IF(ISBLANK(K662), "", VLOOKUP(C662, 'Info Tipo de Cambio y REM'!$A$24:$B$35, 2, FALSE))</f>
        <v/>
      </c>
      <c r="N662" s="107" t="str">
        <f t="shared" si="2"/>
        <v/>
      </c>
    </row>
    <row r="663">
      <c r="A663" s="102"/>
      <c r="B663" s="43" t="str">
        <f>IF(A663="", "", IFERROR(VLOOKUP(A663, Clasificaciones!A:B, 2, FALSE), "DATO NO CARGADO"))</f>
        <v/>
      </c>
      <c r="C663" s="51"/>
      <c r="D663" s="257"/>
      <c r="E663" s="102"/>
      <c r="F663" s="103"/>
      <c r="G663" s="103"/>
      <c r="H663" s="258"/>
      <c r="J663" s="103"/>
      <c r="L663" s="71"/>
      <c r="M663" s="106" t="str">
        <f>IF(ISBLANK(K663), "", VLOOKUP(C663, 'Info Tipo de Cambio y REM'!$A$24:$B$35, 2, FALSE))</f>
        <v/>
      </c>
      <c r="N663" s="107" t="str">
        <f t="shared" si="2"/>
        <v/>
      </c>
    </row>
    <row r="664">
      <c r="A664" s="102"/>
      <c r="B664" s="43" t="str">
        <f>IF(A664="", "", IFERROR(VLOOKUP(A664, Clasificaciones!A:B, 2, FALSE), "DATO NO CARGADO"))</f>
        <v/>
      </c>
      <c r="C664" s="51"/>
      <c r="D664" s="257"/>
      <c r="E664" s="102"/>
      <c r="F664" s="103"/>
      <c r="G664" s="103"/>
      <c r="H664" s="258"/>
      <c r="J664" s="103"/>
      <c r="L664" s="71"/>
      <c r="M664" s="106" t="str">
        <f>IF(ISBLANK(K664), "", VLOOKUP(C664, 'Info Tipo de Cambio y REM'!$A$24:$B$35, 2, FALSE))</f>
        <v/>
      </c>
      <c r="N664" s="107" t="str">
        <f t="shared" si="2"/>
        <v/>
      </c>
    </row>
    <row r="665">
      <c r="A665" s="102"/>
      <c r="B665" s="43" t="str">
        <f>IF(A665="", "", IFERROR(VLOOKUP(A665, Clasificaciones!A:B, 2, FALSE), "DATO NO CARGADO"))</f>
        <v/>
      </c>
      <c r="C665" s="51"/>
      <c r="D665" s="257"/>
      <c r="E665" s="102"/>
      <c r="F665" s="103"/>
      <c r="G665" s="103"/>
      <c r="H665" s="258"/>
      <c r="J665" s="103"/>
      <c r="L665" s="71"/>
      <c r="M665" s="106" t="str">
        <f>IF(ISBLANK(K665), "", VLOOKUP(C665, 'Info Tipo de Cambio y REM'!$A$24:$B$35, 2, FALSE))</f>
        <v/>
      </c>
      <c r="N665" s="107" t="str">
        <f t="shared" si="2"/>
        <v/>
      </c>
    </row>
    <row r="666">
      <c r="A666" s="102"/>
      <c r="B666" s="43" t="str">
        <f>IF(A666="", "", IFERROR(VLOOKUP(A666, Clasificaciones!A:B, 2, FALSE), "DATO NO CARGADO"))</f>
        <v/>
      </c>
      <c r="C666" s="51"/>
      <c r="D666" s="257"/>
      <c r="E666" s="102"/>
      <c r="F666" s="103"/>
      <c r="G666" s="103"/>
      <c r="H666" s="258"/>
      <c r="J666" s="103"/>
      <c r="L666" s="71"/>
      <c r="M666" s="106" t="str">
        <f>IF(ISBLANK(K666), "", VLOOKUP(C666, 'Info Tipo de Cambio y REM'!$A$24:$B$35, 2, FALSE))</f>
        <v/>
      </c>
      <c r="N666" s="107" t="str">
        <f t="shared" si="2"/>
        <v/>
      </c>
    </row>
    <row r="667">
      <c r="A667" s="102"/>
      <c r="B667" s="43" t="str">
        <f>IF(A667="", "", IFERROR(VLOOKUP(A667, Clasificaciones!A:B, 2, FALSE), "DATO NO CARGADO"))</f>
        <v/>
      </c>
      <c r="C667" s="51"/>
      <c r="D667" s="257"/>
      <c r="E667" s="102"/>
      <c r="F667" s="103"/>
      <c r="G667" s="103"/>
      <c r="H667" s="258"/>
      <c r="J667" s="103"/>
      <c r="L667" s="71"/>
      <c r="M667" s="106" t="str">
        <f>IF(ISBLANK(K667), "", VLOOKUP(C667, 'Info Tipo de Cambio y REM'!$A$24:$B$35, 2, FALSE))</f>
        <v/>
      </c>
      <c r="N667" s="107" t="str">
        <f t="shared" si="2"/>
        <v/>
      </c>
    </row>
    <row r="668">
      <c r="A668" s="102"/>
      <c r="B668" s="43" t="str">
        <f>IF(A668="", "", IFERROR(VLOOKUP(A668, Clasificaciones!A:B, 2, FALSE), "DATO NO CARGADO"))</f>
        <v/>
      </c>
      <c r="C668" s="51"/>
      <c r="D668" s="257"/>
      <c r="E668" s="102"/>
      <c r="F668" s="103"/>
      <c r="G668" s="103"/>
      <c r="H668" s="258"/>
      <c r="J668" s="103"/>
      <c r="L668" s="71"/>
      <c r="M668" s="106" t="str">
        <f>IF(ISBLANK(K668), "", VLOOKUP(C668, 'Info Tipo de Cambio y REM'!$A$24:$B$35, 2, FALSE))</f>
        <v/>
      </c>
      <c r="N668" s="107" t="str">
        <f t="shared" si="2"/>
        <v/>
      </c>
    </row>
    <row r="669">
      <c r="A669" s="102"/>
      <c r="B669" s="43" t="str">
        <f>IF(A669="", "", IFERROR(VLOOKUP(A669, Clasificaciones!A:B, 2, FALSE), "DATO NO CARGADO"))</f>
        <v/>
      </c>
      <c r="C669" s="51"/>
      <c r="D669" s="257"/>
      <c r="E669" s="102"/>
      <c r="F669" s="103"/>
      <c r="G669" s="103"/>
      <c r="H669" s="258"/>
      <c r="J669" s="103"/>
      <c r="L669" s="71"/>
      <c r="M669" s="106" t="str">
        <f>IF(ISBLANK(K669), "", VLOOKUP(C669, 'Info Tipo de Cambio y REM'!$A$24:$B$35, 2, FALSE))</f>
        <v/>
      </c>
      <c r="N669" s="107" t="str">
        <f t="shared" si="2"/>
        <v/>
      </c>
    </row>
    <row r="670">
      <c r="A670" s="102"/>
      <c r="B670" s="43" t="str">
        <f>IF(A670="", "", IFERROR(VLOOKUP(A670, Clasificaciones!A:B, 2, FALSE), "DATO NO CARGADO"))</f>
        <v/>
      </c>
      <c r="C670" s="51"/>
      <c r="D670" s="257"/>
      <c r="E670" s="102"/>
      <c r="F670" s="103"/>
      <c r="G670" s="103"/>
      <c r="H670" s="258"/>
      <c r="J670" s="103"/>
      <c r="L670" s="71"/>
      <c r="M670" s="106" t="str">
        <f>IF(ISBLANK(K670), "", VLOOKUP(C670, 'Info Tipo de Cambio y REM'!$A$24:$B$35, 2, FALSE))</f>
        <v/>
      </c>
      <c r="N670" s="107" t="str">
        <f t="shared" si="2"/>
        <v/>
      </c>
    </row>
    <row r="671">
      <c r="A671" s="102"/>
      <c r="B671" s="43" t="str">
        <f>IF(A671="", "", IFERROR(VLOOKUP(A671, Clasificaciones!A:B, 2, FALSE), "DATO NO CARGADO"))</f>
        <v/>
      </c>
      <c r="C671" s="51"/>
      <c r="D671" s="257"/>
      <c r="E671" s="102"/>
      <c r="F671" s="103"/>
      <c r="G671" s="103"/>
      <c r="H671" s="258"/>
      <c r="J671" s="103"/>
      <c r="L671" s="71"/>
      <c r="M671" s="106" t="str">
        <f>IF(ISBLANK(K671), "", VLOOKUP(C671, 'Info Tipo de Cambio y REM'!$A$24:$B$35, 2, FALSE))</f>
        <v/>
      </c>
      <c r="N671" s="107" t="str">
        <f t="shared" si="2"/>
        <v/>
      </c>
    </row>
    <row r="672">
      <c r="A672" s="102"/>
      <c r="B672" s="43" t="str">
        <f>IF(A672="", "", IFERROR(VLOOKUP(A672, Clasificaciones!A:B, 2, FALSE), "DATO NO CARGADO"))</f>
        <v/>
      </c>
      <c r="C672" s="51"/>
      <c r="D672" s="257"/>
      <c r="E672" s="102"/>
      <c r="F672" s="103"/>
      <c r="G672" s="103"/>
      <c r="H672" s="258"/>
      <c r="J672" s="103"/>
      <c r="L672" s="71"/>
      <c r="M672" s="106" t="str">
        <f>IF(ISBLANK(K672), "", VLOOKUP(C672, 'Info Tipo de Cambio y REM'!$A$24:$B$35, 2, FALSE))</f>
        <v/>
      </c>
      <c r="N672" s="107" t="str">
        <f t="shared" si="2"/>
        <v/>
      </c>
    </row>
    <row r="673">
      <c r="A673" s="102"/>
      <c r="B673" s="43" t="str">
        <f>IF(A673="", "", IFERROR(VLOOKUP(A673, Clasificaciones!A:B, 2, FALSE), "DATO NO CARGADO"))</f>
        <v/>
      </c>
      <c r="C673" s="51"/>
      <c r="D673" s="257"/>
      <c r="E673" s="102"/>
      <c r="F673" s="103"/>
      <c r="G673" s="103"/>
      <c r="H673" s="258"/>
      <c r="J673" s="103"/>
      <c r="L673" s="71"/>
      <c r="M673" s="106" t="str">
        <f>IF(ISBLANK(K673), "", VLOOKUP(C673, 'Info Tipo de Cambio y REM'!$A$24:$B$35, 2, FALSE))</f>
        <v/>
      </c>
      <c r="N673" s="107" t="str">
        <f t="shared" si="2"/>
        <v/>
      </c>
    </row>
    <row r="674">
      <c r="A674" s="102"/>
      <c r="B674" s="43" t="str">
        <f>IF(A674="", "", IFERROR(VLOOKUP(A674, Clasificaciones!A:B, 2, FALSE), "DATO NO CARGADO"))</f>
        <v/>
      </c>
      <c r="C674" s="51"/>
      <c r="D674" s="257"/>
      <c r="E674" s="102"/>
      <c r="F674" s="103"/>
      <c r="G674" s="103"/>
      <c r="H674" s="258"/>
      <c r="J674" s="103"/>
      <c r="L674" s="71"/>
      <c r="M674" s="106" t="str">
        <f>IF(ISBLANK(K674), "", VLOOKUP(C674, 'Info Tipo de Cambio y REM'!$A$24:$B$35, 2, FALSE))</f>
        <v/>
      </c>
      <c r="N674" s="107" t="str">
        <f t="shared" si="2"/>
        <v/>
      </c>
    </row>
    <row r="675">
      <c r="A675" s="102"/>
      <c r="B675" s="43" t="str">
        <f>IF(A675="", "", IFERROR(VLOOKUP(A675, Clasificaciones!A:B, 2, FALSE), "DATO NO CARGADO"))</f>
        <v/>
      </c>
      <c r="C675" s="51"/>
      <c r="D675" s="257"/>
      <c r="E675" s="102"/>
      <c r="F675" s="103"/>
      <c r="G675" s="103"/>
      <c r="H675" s="258"/>
      <c r="J675" s="103"/>
      <c r="L675" s="71"/>
      <c r="M675" s="106" t="str">
        <f>IF(ISBLANK(K675), "", VLOOKUP(C675, 'Info Tipo de Cambio y REM'!$A$24:$B$35, 2, FALSE))</f>
        <v/>
      </c>
      <c r="N675" s="107" t="str">
        <f t="shared" si="2"/>
        <v/>
      </c>
    </row>
    <row r="676">
      <c r="A676" s="102"/>
      <c r="B676" s="43" t="str">
        <f>IF(A676="", "", IFERROR(VLOOKUP(A676, Clasificaciones!A:B, 2, FALSE), "DATO NO CARGADO"))</f>
        <v/>
      </c>
      <c r="C676" s="51"/>
      <c r="D676" s="257"/>
      <c r="E676" s="102"/>
      <c r="F676" s="103"/>
      <c r="G676" s="103"/>
      <c r="H676" s="258"/>
      <c r="J676" s="103"/>
      <c r="L676" s="71"/>
      <c r="M676" s="106" t="str">
        <f>IF(ISBLANK(K676), "", VLOOKUP(C676, 'Info Tipo de Cambio y REM'!$A$24:$B$35, 2, FALSE))</f>
        <v/>
      </c>
      <c r="N676" s="107" t="str">
        <f t="shared" si="2"/>
        <v/>
      </c>
    </row>
    <row r="677">
      <c r="A677" s="102"/>
      <c r="B677" s="43" t="str">
        <f>IF(A677="", "", IFERROR(VLOOKUP(A677, Clasificaciones!A:B, 2, FALSE), "DATO NO CARGADO"))</f>
        <v/>
      </c>
      <c r="C677" s="51"/>
      <c r="D677" s="257"/>
      <c r="E677" s="102"/>
      <c r="F677" s="103"/>
      <c r="G677" s="103"/>
      <c r="H677" s="258"/>
      <c r="J677" s="103"/>
      <c r="L677" s="71"/>
      <c r="M677" s="106" t="str">
        <f>IF(ISBLANK(K677), "", VLOOKUP(C677, 'Info Tipo de Cambio y REM'!$A$24:$B$35, 2, FALSE))</f>
        <v/>
      </c>
      <c r="N677" s="107" t="str">
        <f t="shared" si="2"/>
        <v/>
      </c>
    </row>
    <row r="678">
      <c r="A678" s="102"/>
      <c r="B678" s="43" t="str">
        <f>IF(A678="", "", IFERROR(VLOOKUP(A678, Clasificaciones!A:B, 2, FALSE), "DATO NO CARGADO"))</f>
        <v/>
      </c>
      <c r="C678" s="51"/>
      <c r="D678" s="257"/>
      <c r="E678" s="102"/>
      <c r="F678" s="103"/>
      <c r="G678" s="103"/>
      <c r="H678" s="258"/>
      <c r="J678" s="103"/>
      <c r="L678" s="71"/>
      <c r="M678" s="106" t="str">
        <f>IF(ISBLANK(K678), "", VLOOKUP(C678, 'Info Tipo de Cambio y REM'!$A$24:$B$35, 2, FALSE))</f>
        <v/>
      </c>
      <c r="N678" s="107" t="str">
        <f t="shared" si="2"/>
        <v/>
      </c>
    </row>
    <row r="679">
      <c r="A679" s="102"/>
      <c r="B679" s="43" t="str">
        <f>IF(A679="", "", IFERROR(VLOOKUP(A679, Clasificaciones!A:B, 2, FALSE), "DATO NO CARGADO"))</f>
        <v/>
      </c>
      <c r="C679" s="51"/>
      <c r="D679" s="257"/>
      <c r="E679" s="102"/>
      <c r="F679" s="103"/>
      <c r="G679" s="103"/>
      <c r="H679" s="258"/>
      <c r="J679" s="103"/>
      <c r="L679" s="71"/>
      <c r="M679" s="106" t="str">
        <f>IF(ISBLANK(K679), "", VLOOKUP(C679, 'Info Tipo de Cambio y REM'!$A$24:$B$35, 2, FALSE))</f>
        <v/>
      </c>
      <c r="N679" s="107" t="str">
        <f t="shared" si="2"/>
        <v/>
      </c>
    </row>
    <row r="680">
      <c r="A680" s="102"/>
      <c r="B680" s="43" t="str">
        <f>IF(A680="", "", IFERROR(VLOOKUP(A680, Clasificaciones!A:B, 2, FALSE), "DATO NO CARGADO"))</f>
        <v/>
      </c>
      <c r="C680" s="51"/>
      <c r="D680" s="257"/>
      <c r="E680" s="102"/>
      <c r="F680" s="103"/>
      <c r="G680" s="103"/>
      <c r="H680" s="258"/>
      <c r="J680" s="103"/>
      <c r="L680" s="71"/>
      <c r="M680" s="106" t="str">
        <f>IF(ISBLANK(K680), "", VLOOKUP(C680, 'Info Tipo de Cambio y REM'!$A$24:$B$35, 2, FALSE))</f>
        <v/>
      </c>
      <c r="N680" s="107" t="str">
        <f t="shared" si="2"/>
        <v/>
      </c>
    </row>
    <row r="681">
      <c r="A681" s="102"/>
      <c r="B681" s="43" t="str">
        <f>IF(A681="", "", IFERROR(VLOOKUP(A681, Clasificaciones!A:B, 2, FALSE), "DATO NO CARGADO"))</f>
        <v/>
      </c>
      <c r="C681" s="51"/>
      <c r="D681" s="257"/>
      <c r="E681" s="102"/>
      <c r="F681" s="103"/>
      <c r="G681" s="103"/>
      <c r="H681" s="258"/>
      <c r="J681" s="103"/>
      <c r="L681" s="71"/>
      <c r="M681" s="106" t="str">
        <f>IF(ISBLANK(K681), "", VLOOKUP(C681, 'Info Tipo de Cambio y REM'!$A$24:$B$35, 2, FALSE))</f>
        <v/>
      </c>
      <c r="N681" s="107" t="str">
        <f t="shared" si="2"/>
        <v/>
      </c>
    </row>
    <row r="682">
      <c r="A682" s="102"/>
      <c r="B682" s="43" t="str">
        <f>IF(A682="", "", IFERROR(VLOOKUP(A682, Clasificaciones!A:B, 2, FALSE), "DATO NO CARGADO"))</f>
        <v/>
      </c>
      <c r="C682" s="51"/>
      <c r="D682" s="257"/>
      <c r="E682" s="102"/>
      <c r="F682" s="103"/>
      <c r="G682" s="103"/>
      <c r="H682" s="258"/>
      <c r="J682" s="103"/>
      <c r="L682" s="71"/>
      <c r="M682" s="106" t="str">
        <f>IF(ISBLANK(K682), "", VLOOKUP(C682, 'Info Tipo de Cambio y REM'!$A$24:$B$35, 2, FALSE))</f>
        <v/>
      </c>
      <c r="N682" s="107" t="str">
        <f t="shared" si="2"/>
        <v/>
      </c>
    </row>
    <row r="683">
      <c r="A683" s="102"/>
      <c r="B683" s="43" t="str">
        <f>IF(A683="", "", IFERROR(VLOOKUP(A683, Clasificaciones!A:B, 2, FALSE), "DATO NO CARGADO"))</f>
        <v/>
      </c>
      <c r="C683" s="51"/>
      <c r="D683" s="257"/>
      <c r="E683" s="102"/>
      <c r="F683" s="103"/>
      <c r="G683" s="103"/>
      <c r="H683" s="258"/>
      <c r="J683" s="103"/>
      <c r="L683" s="71"/>
      <c r="M683" s="106" t="str">
        <f>IF(ISBLANK(K683), "", VLOOKUP(C683, 'Info Tipo de Cambio y REM'!$A$24:$B$35, 2, FALSE))</f>
        <v/>
      </c>
      <c r="N683" s="107" t="str">
        <f t="shared" si="2"/>
        <v/>
      </c>
    </row>
    <row r="684">
      <c r="A684" s="102"/>
      <c r="B684" s="43" t="str">
        <f>IF(A684="", "", IFERROR(VLOOKUP(A684, Clasificaciones!A:B, 2, FALSE), "DATO NO CARGADO"))</f>
        <v/>
      </c>
      <c r="C684" s="51"/>
      <c r="D684" s="257"/>
      <c r="E684" s="102"/>
      <c r="F684" s="103"/>
      <c r="G684" s="103"/>
      <c r="H684" s="258"/>
      <c r="J684" s="103"/>
      <c r="L684" s="71"/>
      <c r="M684" s="106" t="str">
        <f>IF(ISBLANK(K684), "", VLOOKUP(C684, 'Info Tipo de Cambio y REM'!$A$24:$B$35, 2, FALSE))</f>
        <v/>
      </c>
      <c r="N684" s="107" t="str">
        <f t="shared" si="2"/>
        <v/>
      </c>
    </row>
    <row r="685">
      <c r="A685" s="102"/>
      <c r="B685" s="43" t="str">
        <f>IF(A685="", "", IFERROR(VLOOKUP(A685, Clasificaciones!A:B, 2, FALSE), "DATO NO CARGADO"))</f>
        <v/>
      </c>
      <c r="C685" s="51"/>
      <c r="D685" s="257"/>
      <c r="E685" s="102"/>
      <c r="F685" s="103"/>
      <c r="G685" s="103"/>
      <c r="H685" s="258"/>
      <c r="J685" s="103"/>
      <c r="L685" s="71"/>
      <c r="M685" s="106" t="str">
        <f>IF(ISBLANK(K685), "", VLOOKUP(C685, 'Info Tipo de Cambio y REM'!$A$24:$B$35, 2, FALSE))</f>
        <v/>
      </c>
      <c r="N685" s="107" t="str">
        <f t="shared" si="2"/>
        <v/>
      </c>
    </row>
    <row r="686">
      <c r="A686" s="102"/>
      <c r="B686" s="43" t="str">
        <f>IF(A686="", "", IFERROR(VLOOKUP(A686, Clasificaciones!A:B, 2, FALSE), "DATO NO CARGADO"))</f>
        <v/>
      </c>
      <c r="C686" s="51"/>
      <c r="D686" s="257"/>
      <c r="E686" s="102"/>
      <c r="F686" s="103"/>
      <c r="G686" s="103"/>
      <c r="H686" s="258"/>
      <c r="J686" s="103"/>
      <c r="L686" s="71"/>
      <c r="M686" s="106" t="str">
        <f>IF(ISBLANK(K686), "", VLOOKUP(C686, 'Info Tipo de Cambio y REM'!$A$24:$B$35, 2, FALSE))</f>
        <v/>
      </c>
      <c r="N686" s="107" t="str">
        <f t="shared" si="2"/>
        <v/>
      </c>
    </row>
    <row r="687">
      <c r="A687" s="102"/>
      <c r="B687" s="43" t="str">
        <f>IF(A687="", "", IFERROR(VLOOKUP(A687, Clasificaciones!A:B, 2, FALSE), "DATO NO CARGADO"))</f>
        <v/>
      </c>
      <c r="C687" s="51"/>
      <c r="D687" s="257"/>
      <c r="E687" s="102"/>
      <c r="F687" s="103"/>
      <c r="G687" s="103"/>
      <c r="H687" s="258"/>
      <c r="J687" s="103"/>
      <c r="L687" s="71"/>
      <c r="M687" s="106" t="str">
        <f>IF(ISBLANK(K687), "", VLOOKUP(C687, 'Info Tipo de Cambio y REM'!$A$24:$B$35, 2, FALSE))</f>
        <v/>
      </c>
      <c r="N687" s="107" t="str">
        <f t="shared" si="2"/>
        <v/>
      </c>
    </row>
    <row r="688">
      <c r="A688" s="102"/>
      <c r="B688" s="43" t="str">
        <f>IF(A688="", "", IFERROR(VLOOKUP(A688, Clasificaciones!A:B, 2, FALSE), "DATO NO CARGADO"))</f>
        <v/>
      </c>
      <c r="C688" s="51"/>
      <c r="D688" s="257"/>
      <c r="E688" s="102"/>
      <c r="F688" s="103"/>
      <c r="G688" s="103"/>
      <c r="H688" s="258"/>
      <c r="J688" s="103"/>
      <c r="L688" s="71"/>
      <c r="M688" s="106" t="str">
        <f>IF(ISBLANK(K688), "", VLOOKUP(C688, 'Info Tipo de Cambio y REM'!$A$24:$B$35, 2, FALSE))</f>
        <v/>
      </c>
      <c r="N688" s="107" t="str">
        <f t="shared" si="2"/>
        <v/>
      </c>
    </row>
    <row r="689">
      <c r="A689" s="102"/>
      <c r="B689" s="43" t="str">
        <f>IF(A689="", "", IFERROR(VLOOKUP(A689, Clasificaciones!A:B, 2, FALSE), "DATO NO CARGADO"))</f>
        <v/>
      </c>
      <c r="C689" s="51"/>
      <c r="D689" s="257"/>
      <c r="E689" s="102"/>
      <c r="F689" s="103"/>
      <c r="G689" s="103"/>
      <c r="H689" s="258"/>
      <c r="J689" s="103"/>
      <c r="L689" s="71"/>
      <c r="M689" s="106" t="str">
        <f>IF(ISBLANK(K689), "", VLOOKUP(C689, 'Info Tipo de Cambio y REM'!$A$24:$B$35, 2, FALSE))</f>
        <v/>
      </c>
      <c r="N689" s="107" t="str">
        <f t="shared" si="2"/>
        <v/>
      </c>
    </row>
    <row r="690">
      <c r="A690" s="102"/>
      <c r="B690" s="43" t="str">
        <f>IF(A690="", "", IFERROR(VLOOKUP(A690, Clasificaciones!A:B, 2, FALSE), "DATO NO CARGADO"))</f>
        <v/>
      </c>
      <c r="C690" s="51"/>
      <c r="D690" s="257"/>
      <c r="E690" s="102"/>
      <c r="F690" s="103"/>
      <c r="G690" s="103"/>
      <c r="H690" s="258"/>
      <c r="J690" s="103"/>
      <c r="L690" s="71"/>
      <c r="M690" s="106" t="str">
        <f>IF(ISBLANK(K690), "", VLOOKUP(C690, 'Info Tipo de Cambio y REM'!$A$24:$B$35, 2, FALSE))</f>
        <v/>
      </c>
      <c r="N690" s="107" t="str">
        <f t="shared" si="2"/>
        <v/>
      </c>
    </row>
    <row r="691">
      <c r="A691" s="102"/>
      <c r="B691" s="43" t="str">
        <f>IF(A691="", "", IFERROR(VLOOKUP(A691, Clasificaciones!A:B, 2, FALSE), "DATO NO CARGADO"))</f>
        <v/>
      </c>
      <c r="C691" s="51"/>
      <c r="D691" s="257"/>
      <c r="E691" s="102"/>
      <c r="F691" s="103"/>
      <c r="G691" s="103"/>
      <c r="H691" s="258"/>
      <c r="J691" s="103"/>
      <c r="L691" s="71"/>
      <c r="M691" s="106" t="str">
        <f>IF(ISBLANK(K691), "", VLOOKUP(C691, 'Info Tipo de Cambio y REM'!$A$24:$B$35, 2, FALSE))</f>
        <v/>
      </c>
      <c r="N691" s="107" t="str">
        <f t="shared" si="2"/>
        <v/>
      </c>
    </row>
    <row r="692">
      <c r="A692" s="102"/>
      <c r="B692" s="43" t="str">
        <f>IF(A692="", "", IFERROR(VLOOKUP(A692, Clasificaciones!A:B, 2, FALSE), "DATO NO CARGADO"))</f>
        <v/>
      </c>
      <c r="C692" s="51"/>
      <c r="D692" s="257"/>
      <c r="E692" s="102"/>
      <c r="F692" s="103"/>
      <c r="G692" s="103"/>
      <c r="H692" s="258"/>
      <c r="J692" s="103"/>
      <c r="L692" s="71"/>
      <c r="M692" s="106" t="str">
        <f>IF(ISBLANK(K692), "", VLOOKUP(C692, 'Info Tipo de Cambio y REM'!$A$24:$B$35, 2, FALSE))</f>
        <v/>
      </c>
      <c r="N692" s="107" t="str">
        <f t="shared" si="2"/>
        <v/>
      </c>
    </row>
    <row r="693">
      <c r="A693" s="102"/>
      <c r="B693" s="43" t="str">
        <f>IF(A693="", "", IFERROR(VLOOKUP(A693, Clasificaciones!A:B, 2, FALSE), "DATO NO CARGADO"))</f>
        <v/>
      </c>
      <c r="C693" s="51"/>
      <c r="D693" s="257"/>
      <c r="E693" s="102"/>
      <c r="F693" s="103"/>
      <c r="G693" s="103"/>
      <c r="H693" s="258"/>
      <c r="J693" s="103"/>
      <c r="L693" s="71"/>
      <c r="M693" s="106" t="str">
        <f>IF(ISBLANK(K693), "", VLOOKUP(C693, 'Info Tipo de Cambio y REM'!$A$24:$B$35, 2, FALSE))</f>
        <v/>
      </c>
      <c r="N693" s="107" t="str">
        <f t="shared" si="2"/>
        <v/>
      </c>
    </row>
    <row r="694">
      <c r="A694" s="102"/>
      <c r="B694" s="43" t="str">
        <f>IF(A694="", "", IFERROR(VLOOKUP(A694, Clasificaciones!A:B, 2, FALSE), "DATO NO CARGADO"))</f>
        <v/>
      </c>
      <c r="C694" s="51"/>
      <c r="D694" s="257"/>
      <c r="E694" s="102"/>
      <c r="F694" s="103"/>
      <c r="G694" s="103"/>
      <c r="H694" s="258"/>
      <c r="J694" s="103"/>
      <c r="L694" s="71"/>
      <c r="M694" s="106" t="str">
        <f>IF(ISBLANK(K694), "", VLOOKUP(C694, 'Info Tipo de Cambio y REM'!$A$24:$B$35, 2, FALSE))</f>
        <v/>
      </c>
      <c r="N694" s="107" t="str">
        <f t="shared" si="2"/>
        <v/>
      </c>
    </row>
    <row r="695">
      <c r="A695" s="102"/>
      <c r="B695" s="43" t="str">
        <f>IF(A695="", "", IFERROR(VLOOKUP(A695, Clasificaciones!A:B, 2, FALSE), "DATO NO CARGADO"))</f>
        <v/>
      </c>
      <c r="C695" s="51"/>
      <c r="D695" s="257"/>
      <c r="E695" s="102"/>
      <c r="F695" s="103"/>
      <c r="G695" s="103"/>
      <c r="H695" s="258"/>
      <c r="J695" s="103"/>
      <c r="L695" s="71"/>
      <c r="M695" s="106" t="str">
        <f>IF(ISBLANK(K695), "", VLOOKUP(C695, 'Info Tipo de Cambio y REM'!$A$24:$B$35, 2, FALSE))</f>
        <v/>
      </c>
      <c r="N695" s="107" t="str">
        <f t="shared" si="2"/>
        <v/>
      </c>
    </row>
    <row r="696">
      <c r="A696" s="102"/>
      <c r="B696" s="43" t="str">
        <f>IF(A696="", "", IFERROR(VLOOKUP(A696, Clasificaciones!A:B, 2, FALSE), "DATO NO CARGADO"))</f>
        <v/>
      </c>
      <c r="C696" s="51"/>
      <c r="D696" s="257"/>
      <c r="E696" s="102"/>
      <c r="F696" s="103"/>
      <c r="G696" s="103"/>
      <c r="H696" s="258"/>
      <c r="J696" s="103"/>
      <c r="L696" s="71"/>
      <c r="M696" s="106" t="str">
        <f>IF(ISBLANK(K696), "", VLOOKUP(C696, 'Info Tipo de Cambio y REM'!$A$24:$B$35, 2, FALSE))</f>
        <v/>
      </c>
      <c r="N696" s="107" t="str">
        <f t="shared" si="2"/>
        <v/>
      </c>
    </row>
    <row r="697">
      <c r="A697" s="102"/>
      <c r="B697" s="43" t="str">
        <f>IF(A697="", "", IFERROR(VLOOKUP(A697, Clasificaciones!A:B, 2, FALSE), "DATO NO CARGADO"))</f>
        <v/>
      </c>
      <c r="C697" s="51"/>
      <c r="D697" s="257"/>
      <c r="E697" s="102"/>
      <c r="F697" s="103"/>
      <c r="G697" s="103"/>
      <c r="H697" s="258"/>
      <c r="J697" s="103"/>
      <c r="L697" s="71"/>
      <c r="M697" s="106" t="str">
        <f>IF(ISBLANK(K697), "", VLOOKUP(C697, 'Info Tipo de Cambio y REM'!$A$24:$B$35, 2, FALSE))</f>
        <v/>
      </c>
      <c r="N697" s="107" t="str">
        <f t="shared" si="2"/>
        <v/>
      </c>
    </row>
    <row r="698">
      <c r="A698" s="102"/>
      <c r="B698" s="43" t="str">
        <f>IF(A698="", "", IFERROR(VLOOKUP(A698, Clasificaciones!A:B, 2, FALSE), "DATO NO CARGADO"))</f>
        <v/>
      </c>
      <c r="C698" s="51"/>
      <c r="D698" s="257"/>
      <c r="E698" s="102"/>
      <c r="F698" s="103"/>
      <c r="G698" s="103"/>
      <c r="H698" s="258"/>
      <c r="J698" s="103"/>
      <c r="L698" s="71"/>
      <c r="M698" s="106" t="str">
        <f>IF(ISBLANK(K698), "", VLOOKUP(C698, 'Info Tipo de Cambio y REM'!$A$24:$B$35, 2, FALSE))</f>
        <v/>
      </c>
      <c r="N698" s="107" t="str">
        <f t="shared" si="2"/>
        <v/>
      </c>
    </row>
    <row r="699">
      <c r="A699" s="102"/>
      <c r="B699" s="43" t="str">
        <f>IF(A699="", "", IFERROR(VLOOKUP(A699, Clasificaciones!A:B, 2, FALSE), "DATO NO CARGADO"))</f>
        <v/>
      </c>
      <c r="C699" s="51"/>
      <c r="D699" s="257"/>
      <c r="E699" s="102"/>
      <c r="F699" s="103"/>
      <c r="G699" s="103"/>
      <c r="H699" s="258"/>
      <c r="J699" s="103"/>
      <c r="L699" s="71"/>
      <c r="M699" s="106" t="str">
        <f>IF(ISBLANK(K699), "", VLOOKUP(C699, 'Info Tipo de Cambio y REM'!$A$24:$B$35, 2, FALSE))</f>
        <v/>
      </c>
      <c r="N699" s="107" t="str">
        <f t="shared" si="2"/>
        <v/>
      </c>
    </row>
    <row r="700">
      <c r="A700" s="102"/>
      <c r="B700" s="43" t="str">
        <f>IF(A700="", "", IFERROR(VLOOKUP(A700, Clasificaciones!A:B, 2, FALSE), "DATO NO CARGADO"))</f>
        <v/>
      </c>
      <c r="C700" s="51"/>
      <c r="D700" s="257"/>
      <c r="E700" s="102"/>
      <c r="F700" s="103"/>
      <c r="G700" s="103"/>
      <c r="H700" s="258"/>
      <c r="J700" s="103"/>
      <c r="L700" s="71"/>
      <c r="M700" s="106" t="str">
        <f>IF(ISBLANK(K700), "", VLOOKUP(C700, 'Info Tipo de Cambio y REM'!$A$24:$B$35, 2, FALSE))</f>
        <v/>
      </c>
      <c r="N700" s="107" t="str">
        <f t="shared" si="2"/>
        <v/>
      </c>
    </row>
    <row r="701">
      <c r="A701" s="102"/>
      <c r="B701" s="43" t="str">
        <f>IF(A701="", "", IFERROR(VLOOKUP(A701, Clasificaciones!A:B, 2, FALSE), "DATO NO CARGADO"))</f>
        <v/>
      </c>
      <c r="C701" s="51"/>
      <c r="D701" s="257"/>
      <c r="E701" s="102"/>
      <c r="F701" s="103"/>
      <c r="G701" s="103"/>
      <c r="H701" s="258"/>
      <c r="J701" s="103"/>
      <c r="L701" s="71"/>
      <c r="M701" s="106" t="str">
        <f>IF(ISBLANK(K701), "", VLOOKUP(C701, 'Info Tipo de Cambio y REM'!$A$24:$B$35, 2, FALSE))</f>
        <v/>
      </c>
      <c r="N701" s="107" t="str">
        <f t="shared" si="2"/>
        <v/>
      </c>
    </row>
    <row r="702">
      <c r="A702" s="102"/>
      <c r="B702" s="43" t="str">
        <f>IF(A702="", "", IFERROR(VLOOKUP(A702, Clasificaciones!A:B, 2, FALSE), "DATO NO CARGADO"))</f>
        <v/>
      </c>
      <c r="C702" s="51"/>
      <c r="D702" s="257"/>
      <c r="E702" s="102"/>
      <c r="F702" s="103"/>
      <c r="G702" s="103"/>
      <c r="H702" s="258"/>
      <c r="J702" s="103"/>
      <c r="L702" s="71"/>
      <c r="M702" s="106" t="str">
        <f>IF(ISBLANK(K702), "", VLOOKUP(C702, 'Info Tipo de Cambio y REM'!$A$24:$B$35, 2, FALSE))</f>
        <v/>
      </c>
      <c r="N702" s="107" t="str">
        <f t="shared" si="2"/>
        <v/>
      </c>
    </row>
    <row r="703">
      <c r="A703" s="102"/>
      <c r="B703" s="43" t="str">
        <f>IF(A703="", "", IFERROR(VLOOKUP(A703, Clasificaciones!A:B, 2, FALSE), "DATO NO CARGADO"))</f>
        <v/>
      </c>
      <c r="C703" s="51"/>
      <c r="D703" s="257"/>
      <c r="E703" s="102"/>
      <c r="F703" s="103"/>
      <c r="G703" s="103"/>
      <c r="H703" s="258"/>
      <c r="J703" s="103"/>
      <c r="L703" s="71"/>
      <c r="M703" s="106" t="str">
        <f>IF(ISBLANK(K703), "", VLOOKUP(C703, 'Info Tipo de Cambio y REM'!$A$24:$B$35, 2, FALSE))</f>
        <v/>
      </c>
      <c r="N703" s="107" t="str">
        <f t="shared" si="2"/>
        <v/>
      </c>
    </row>
    <row r="704">
      <c r="A704" s="102"/>
      <c r="B704" s="43" t="str">
        <f>IF(A704="", "", IFERROR(VLOOKUP(A704, Clasificaciones!A:B, 2, FALSE), "DATO NO CARGADO"))</f>
        <v/>
      </c>
      <c r="C704" s="51"/>
      <c r="D704" s="257"/>
      <c r="E704" s="102"/>
      <c r="F704" s="103"/>
      <c r="G704" s="103"/>
      <c r="H704" s="258"/>
      <c r="J704" s="103"/>
      <c r="L704" s="71"/>
      <c r="M704" s="106" t="str">
        <f>IF(ISBLANK(K704), "", VLOOKUP(C704, 'Info Tipo de Cambio y REM'!$A$24:$B$35, 2, FALSE))</f>
        <v/>
      </c>
      <c r="N704" s="107" t="str">
        <f t="shared" si="2"/>
        <v/>
      </c>
    </row>
    <row r="705">
      <c r="A705" s="102"/>
      <c r="B705" s="43" t="str">
        <f>IF(A705="", "", IFERROR(VLOOKUP(A705, Clasificaciones!A:B, 2, FALSE), "DATO NO CARGADO"))</f>
        <v/>
      </c>
      <c r="C705" s="51"/>
      <c r="D705" s="257"/>
      <c r="E705" s="102"/>
      <c r="F705" s="103"/>
      <c r="G705" s="103"/>
      <c r="H705" s="258"/>
      <c r="J705" s="103"/>
      <c r="L705" s="71"/>
      <c r="M705" s="106" t="str">
        <f>IF(ISBLANK(K705), "", VLOOKUP(C705, 'Info Tipo de Cambio y REM'!$A$24:$B$35, 2, FALSE))</f>
        <v/>
      </c>
      <c r="N705" s="107" t="str">
        <f t="shared" si="2"/>
        <v/>
      </c>
    </row>
    <row r="706">
      <c r="A706" s="102"/>
      <c r="B706" s="43" t="str">
        <f>IF(A706="", "", IFERROR(VLOOKUP(A706, Clasificaciones!A:B, 2, FALSE), "DATO NO CARGADO"))</f>
        <v/>
      </c>
      <c r="C706" s="51"/>
      <c r="D706" s="257"/>
      <c r="E706" s="102"/>
      <c r="F706" s="103"/>
      <c r="G706" s="103"/>
      <c r="H706" s="258"/>
      <c r="J706" s="103"/>
      <c r="L706" s="71"/>
      <c r="M706" s="106" t="str">
        <f>IF(ISBLANK(K706), "", VLOOKUP(C706, 'Info Tipo de Cambio y REM'!$A$24:$B$35, 2, FALSE))</f>
        <v/>
      </c>
      <c r="N706" s="107" t="str">
        <f t="shared" si="2"/>
        <v/>
      </c>
    </row>
    <row r="707">
      <c r="A707" s="102"/>
      <c r="B707" s="43" t="str">
        <f>IF(A707="", "", IFERROR(VLOOKUP(A707, Clasificaciones!A:B, 2, FALSE), "DATO NO CARGADO"))</f>
        <v/>
      </c>
      <c r="C707" s="51"/>
      <c r="D707" s="257"/>
      <c r="E707" s="102"/>
      <c r="F707" s="103"/>
      <c r="G707" s="103"/>
      <c r="H707" s="258"/>
      <c r="J707" s="103"/>
      <c r="L707" s="71"/>
      <c r="M707" s="106" t="str">
        <f>IF(ISBLANK(K707), "", VLOOKUP(C707, 'Info Tipo de Cambio y REM'!$A$24:$B$35, 2, FALSE))</f>
        <v/>
      </c>
      <c r="N707" s="107" t="str">
        <f t="shared" si="2"/>
        <v/>
      </c>
    </row>
    <row r="708">
      <c r="A708" s="102"/>
      <c r="B708" s="43" t="str">
        <f>IF(A708="", "", IFERROR(VLOOKUP(A708, Clasificaciones!A:B, 2, FALSE), "DATO NO CARGADO"))</f>
        <v/>
      </c>
      <c r="C708" s="51"/>
      <c r="D708" s="257"/>
      <c r="E708" s="102"/>
      <c r="F708" s="103"/>
      <c r="G708" s="103"/>
      <c r="H708" s="258"/>
      <c r="J708" s="103"/>
      <c r="L708" s="71"/>
      <c r="M708" s="106" t="str">
        <f>IF(ISBLANK(K708), "", VLOOKUP(C708, 'Info Tipo de Cambio y REM'!$A$24:$B$35, 2, FALSE))</f>
        <v/>
      </c>
      <c r="N708" s="107" t="str">
        <f t="shared" si="2"/>
        <v/>
      </c>
    </row>
    <row r="709">
      <c r="A709" s="102"/>
      <c r="B709" s="43" t="str">
        <f>IF(A709="", "", IFERROR(VLOOKUP(A709, Clasificaciones!A:B, 2, FALSE), "DATO NO CARGADO"))</f>
        <v/>
      </c>
      <c r="C709" s="51"/>
      <c r="D709" s="257"/>
      <c r="E709" s="102"/>
      <c r="F709" s="103"/>
      <c r="G709" s="103"/>
      <c r="H709" s="258"/>
      <c r="J709" s="103"/>
      <c r="L709" s="71"/>
      <c r="M709" s="106" t="str">
        <f>IF(ISBLANK(K709), "", VLOOKUP(C709, 'Info Tipo de Cambio y REM'!$A$24:$B$35, 2, FALSE))</f>
        <v/>
      </c>
      <c r="N709" s="107" t="str">
        <f t="shared" si="2"/>
        <v/>
      </c>
    </row>
    <row r="710">
      <c r="A710" s="102"/>
      <c r="B710" s="43" t="str">
        <f>IF(A710="", "", IFERROR(VLOOKUP(A710, Clasificaciones!A:B, 2, FALSE), "DATO NO CARGADO"))</f>
        <v/>
      </c>
      <c r="C710" s="51"/>
      <c r="D710" s="257"/>
      <c r="E710" s="102"/>
      <c r="F710" s="103"/>
      <c r="G710" s="103"/>
      <c r="H710" s="258"/>
      <c r="J710" s="103"/>
      <c r="L710" s="71"/>
      <c r="M710" s="106" t="str">
        <f>IF(ISBLANK(K710), "", VLOOKUP(C710, 'Info Tipo de Cambio y REM'!$A$24:$B$35, 2, FALSE))</f>
        <v/>
      </c>
      <c r="N710" s="107" t="str">
        <f t="shared" si="2"/>
        <v/>
      </c>
    </row>
    <row r="711">
      <c r="A711" s="102"/>
      <c r="B711" s="43" t="str">
        <f>IF(A711="", "", IFERROR(VLOOKUP(A711, Clasificaciones!A:B, 2, FALSE), "DATO NO CARGADO"))</f>
        <v/>
      </c>
      <c r="C711" s="51"/>
      <c r="D711" s="257"/>
      <c r="E711" s="102"/>
      <c r="F711" s="103"/>
      <c r="G711" s="103"/>
      <c r="H711" s="258"/>
      <c r="J711" s="103"/>
      <c r="L711" s="71"/>
      <c r="M711" s="106" t="str">
        <f>IF(ISBLANK(K711), "", VLOOKUP(C711, 'Info Tipo de Cambio y REM'!$A$24:$B$35, 2, FALSE))</f>
        <v/>
      </c>
      <c r="N711" s="107" t="str">
        <f t="shared" si="2"/>
        <v/>
      </c>
    </row>
    <row r="712">
      <c r="A712" s="102"/>
      <c r="B712" s="43" t="str">
        <f>IF(A712="", "", IFERROR(VLOOKUP(A712, Clasificaciones!A:B, 2, FALSE), "DATO NO CARGADO"))</f>
        <v/>
      </c>
      <c r="C712" s="51"/>
      <c r="D712" s="257"/>
      <c r="E712" s="102"/>
      <c r="F712" s="103"/>
      <c r="G712" s="103"/>
      <c r="H712" s="258"/>
      <c r="J712" s="103"/>
      <c r="L712" s="71"/>
      <c r="M712" s="106" t="str">
        <f>IF(ISBLANK(K712), "", VLOOKUP(C712, 'Info Tipo de Cambio y REM'!$A$24:$B$35, 2, FALSE))</f>
        <v/>
      </c>
      <c r="N712" s="107" t="str">
        <f t="shared" si="2"/>
        <v/>
      </c>
    </row>
    <row r="713">
      <c r="A713" s="102"/>
      <c r="B713" s="43" t="str">
        <f>IF(A713="", "", IFERROR(VLOOKUP(A713, Clasificaciones!A:B, 2, FALSE), "DATO NO CARGADO"))</f>
        <v/>
      </c>
      <c r="C713" s="51"/>
      <c r="D713" s="257"/>
      <c r="E713" s="102"/>
      <c r="F713" s="103"/>
      <c r="G713" s="103"/>
      <c r="H713" s="258"/>
      <c r="J713" s="103"/>
      <c r="L713" s="71"/>
      <c r="M713" s="106" t="str">
        <f>IF(ISBLANK(K713), "", VLOOKUP(C713, 'Info Tipo de Cambio y REM'!$A$24:$B$35, 2, FALSE))</f>
        <v/>
      </c>
      <c r="N713" s="107" t="str">
        <f t="shared" si="2"/>
        <v/>
      </c>
    </row>
    <row r="714">
      <c r="A714" s="102"/>
      <c r="B714" s="43" t="str">
        <f>IF(A714="", "", IFERROR(VLOOKUP(A714, Clasificaciones!A:B, 2, FALSE), "DATO NO CARGADO"))</f>
        <v/>
      </c>
      <c r="C714" s="51"/>
      <c r="D714" s="257"/>
      <c r="E714" s="102"/>
      <c r="F714" s="103"/>
      <c r="G714" s="103"/>
      <c r="H714" s="258"/>
      <c r="J714" s="103"/>
      <c r="L714" s="71"/>
      <c r="M714" s="106" t="str">
        <f>IF(ISBLANK(K714), "", VLOOKUP(C714, 'Info Tipo de Cambio y REM'!$A$24:$B$35, 2, FALSE))</f>
        <v/>
      </c>
      <c r="N714" s="107" t="str">
        <f t="shared" si="2"/>
        <v/>
      </c>
    </row>
    <row r="715">
      <c r="A715" s="102"/>
      <c r="B715" s="43" t="str">
        <f>IF(A715="", "", IFERROR(VLOOKUP(A715, Clasificaciones!A:B, 2, FALSE), "DATO NO CARGADO"))</f>
        <v/>
      </c>
      <c r="C715" s="51"/>
      <c r="D715" s="257"/>
      <c r="E715" s="102"/>
      <c r="F715" s="103"/>
      <c r="G715" s="103"/>
      <c r="H715" s="258"/>
      <c r="J715" s="103"/>
      <c r="L715" s="71"/>
      <c r="M715" s="106" t="str">
        <f>IF(ISBLANK(K715), "", VLOOKUP(C715, 'Info Tipo de Cambio y REM'!$A$24:$B$35, 2, FALSE))</f>
        <v/>
      </c>
      <c r="N715" s="107" t="str">
        <f t="shared" si="2"/>
        <v/>
      </c>
    </row>
    <row r="716">
      <c r="A716" s="102"/>
      <c r="B716" s="43" t="str">
        <f>IF(A716="", "", IFERROR(VLOOKUP(A716, Clasificaciones!A:B, 2, FALSE), "DATO NO CARGADO"))</f>
        <v/>
      </c>
      <c r="C716" s="51"/>
      <c r="D716" s="257"/>
      <c r="E716" s="102"/>
      <c r="F716" s="103"/>
      <c r="G716" s="103"/>
      <c r="H716" s="258"/>
      <c r="J716" s="103"/>
      <c r="L716" s="71"/>
      <c r="M716" s="106" t="str">
        <f>IF(ISBLANK(K716), "", VLOOKUP(C716, 'Info Tipo de Cambio y REM'!$A$24:$B$35, 2, FALSE))</f>
        <v/>
      </c>
      <c r="N716" s="107" t="str">
        <f t="shared" si="2"/>
        <v/>
      </c>
    </row>
    <row r="717">
      <c r="A717" s="102"/>
      <c r="B717" s="43" t="str">
        <f>IF(A717="", "", IFERROR(VLOOKUP(A717, Clasificaciones!A:B, 2, FALSE), "DATO NO CARGADO"))</f>
        <v/>
      </c>
      <c r="C717" s="51"/>
      <c r="D717" s="257"/>
      <c r="E717" s="102"/>
      <c r="F717" s="103"/>
      <c r="G717" s="103"/>
      <c r="H717" s="258"/>
      <c r="J717" s="103"/>
      <c r="L717" s="71"/>
      <c r="M717" s="106" t="str">
        <f>IF(ISBLANK(K717), "", VLOOKUP(C717, 'Info Tipo de Cambio y REM'!$A$24:$B$35, 2, FALSE))</f>
        <v/>
      </c>
      <c r="N717" s="107" t="str">
        <f t="shared" si="2"/>
        <v/>
      </c>
    </row>
    <row r="718">
      <c r="A718" s="102"/>
      <c r="B718" s="43" t="str">
        <f>IF(A718="", "", IFERROR(VLOOKUP(A718, Clasificaciones!A:B, 2, FALSE), "DATO NO CARGADO"))</f>
        <v/>
      </c>
      <c r="C718" s="51"/>
      <c r="D718" s="257"/>
      <c r="E718" s="102"/>
      <c r="F718" s="103"/>
      <c r="G718" s="103"/>
      <c r="H718" s="258"/>
      <c r="J718" s="103"/>
      <c r="L718" s="71"/>
      <c r="M718" s="106" t="str">
        <f>IF(ISBLANK(K718), "", VLOOKUP(C718, 'Info Tipo de Cambio y REM'!$A$24:$B$35, 2, FALSE))</f>
        <v/>
      </c>
      <c r="N718" s="107" t="str">
        <f t="shared" si="2"/>
        <v/>
      </c>
    </row>
    <row r="719">
      <c r="A719" s="102"/>
      <c r="B719" s="43" t="str">
        <f>IF(A719="", "", IFERROR(VLOOKUP(A719, Clasificaciones!A:B, 2, FALSE), "DATO NO CARGADO"))</f>
        <v/>
      </c>
      <c r="C719" s="51"/>
      <c r="D719" s="257"/>
      <c r="E719" s="102"/>
      <c r="F719" s="103"/>
      <c r="G719" s="103"/>
      <c r="H719" s="258"/>
      <c r="J719" s="103"/>
      <c r="L719" s="71"/>
      <c r="M719" s="106" t="str">
        <f>IF(ISBLANK(K719), "", VLOOKUP(C719, 'Info Tipo de Cambio y REM'!$A$24:$B$35, 2, FALSE))</f>
        <v/>
      </c>
      <c r="N719" s="107" t="str">
        <f t="shared" si="2"/>
        <v/>
      </c>
    </row>
    <row r="720">
      <c r="A720" s="102"/>
      <c r="B720" s="43" t="str">
        <f>IF(A720="", "", IFERROR(VLOOKUP(A720, Clasificaciones!A:B, 2, FALSE), "DATO NO CARGADO"))</f>
        <v/>
      </c>
      <c r="C720" s="51"/>
      <c r="D720" s="257"/>
      <c r="E720" s="102"/>
      <c r="F720" s="103"/>
      <c r="G720" s="103"/>
      <c r="H720" s="258"/>
      <c r="J720" s="103"/>
      <c r="L720" s="71"/>
      <c r="M720" s="106" t="str">
        <f>IF(ISBLANK(K720), "", VLOOKUP(C720, 'Info Tipo de Cambio y REM'!$A$24:$B$35, 2, FALSE))</f>
        <v/>
      </c>
      <c r="N720" s="107" t="str">
        <f t="shared" si="2"/>
        <v/>
      </c>
    </row>
    <row r="721">
      <c r="A721" s="102"/>
      <c r="B721" s="43" t="str">
        <f>IF(A721="", "", IFERROR(VLOOKUP(A721, Clasificaciones!A:B, 2, FALSE), "DATO NO CARGADO"))</f>
        <v/>
      </c>
      <c r="C721" s="51"/>
      <c r="D721" s="257"/>
      <c r="E721" s="102"/>
      <c r="F721" s="103"/>
      <c r="G721" s="103"/>
      <c r="H721" s="258"/>
      <c r="J721" s="103"/>
      <c r="L721" s="71"/>
      <c r="M721" s="106" t="str">
        <f>IF(ISBLANK(K721), "", VLOOKUP(C721, 'Info Tipo de Cambio y REM'!$A$24:$B$35, 2, FALSE))</f>
        <v/>
      </c>
      <c r="N721" s="107" t="str">
        <f t="shared" si="2"/>
        <v/>
      </c>
    </row>
    <row r="722">
      <c r="A722" s="102"/>
      <c r="B722" s="43" t="str">
        <f>IF(A722="", "", IFERROR(VLOOKUP(A722, Clasificaciones!A:B, 2, FALSE), "DATO NO CARGADO"))</f>
        <v/>
      </c>
      <c r="C722" s="51"/>
      <c r="D722" s="257"/>
      <c r="E722" s="102"/>
      <c r="F722" s="103"/>
      <c r="G722" s="103"/>
      <c r="H722" s="258"/>
      <c r="J722" s="103"/>
      <c r="L722" s="71"/>
      <c r="M722" s="106" t="str">
        <f>IF(ISBLANK(K722), "", VLOOKUP(C722, 'Info Tipo de Cambio y REM'!$A$24:$B$35, 2, FALSE))</f>
        <v/>
      </c>
      <c r="N722" s="107" t="str">
        <f t="shared" si="2"/>
        <v/>
      </c>
    </row>
    <row r="723">
      <c r="A723" s="102"/>
      <c r="B723" s="43" t="str">
        <f>IF(A723="", "", IFERROR(VLOOKUP(A723, Clasificaciones!A:B, 2, FALSE), "DATO NO CARGADO"))</f>
        <v/>
      </c>
      <c r="C723" s="51"/>
      <c r="D723" s="257"/>
      <c r="E723" s="102"/>
      <c r="F723" s="103"/>
      <c r="G723" s="103"/>
      <c r="H723" s="258"/>
      <c r="J723" s="103"/>
      <c r="L723" s="71"/>
      <c r="M723" s="106" t="str">
        <f>IF(ISBLANK(K723), "", VLOOKUP(C723, 'Info Tipo de Cambio y REM'!$A$24:$B$35, 2, FALSE))</f>
        <v/>
      </c>
      <c r="N723" s="107" t="str">
        <f t="shared" si="2"/>
        <v/>
      </c>
    </row>
    <row r="724">
      <c r="A724" s="102"/>
      <c r="B724" s="43" t="str">
        <f>IF(A724="", "", IFERROR(VLOOKUP(A724, Clasificaciones!A:B, 2, FALSE), "DATO NO CARGADO"))</f>
        <v/>
      </c>
      <c r="C724" s="51"/>
      <c r="D724" s="257"/>
      <c r="E724" s="102"/>
      <c r="F724" s="103"/>
      <c r="G724" s="103"/>
      <c r="H724" s="258"/>
      <c r="J724" s="103"/>
      <c r="L724" s="71"/>
      <c r="M724" s="106" t="str">
        <f>IF(ISBLANK(K724), "", VLOOKUP(C724, 'Info Tipo de Cambio y REM'!$A$24:$B$35, 2, FALSE))</f>
        <v/>
      </c>
      <c r="N724" s="107" t="str">
        <f t="shared" si="2"/>
        <v/>
      </c>
    </row>
    <row r="725">
      <c r="A725" s="102"/>
      <c r="B725" s="43" t="str">
        <f>IF(A725="", "", IFERROR(VLOOKUP(A725, Clasificaciones!A:B, 2, FALSE), "DATO NO CARGADO"))</f>
        <v/>
      </c>
      <c r="C725" s="51"/>
      <c r="D725" s="257"/>
      <c r="E725" s="102"/>
      <c r="F725" s="103"/>
      <c r="G725" s="103"/>
      <c r="H725" s="258"/>
      <c r="J725" s="103"/>
      <c r="L725" s="71"/>
      <c r="M725" s="106" t="str">
        <f>IF(ISBLANK(K725), "", VLOOKUP(C725, 'Info Tipo de Cambio y REM'!$A$24:$B$35, 2, FALSE))</f>
        <v/>
      </c>
      <c r="N725" s="107" t="str">
        <f t="shared" si="2"/>
        <v/>
      </c>
    </row>
    <row r="726">
      <c r="A726" s="102"/>
      <c r="B726" s="43" t="str">
        <f>IF(A726="", "", IFERROR(VLOOKUP(A726, Clasificaciones!A:B, 2, FALSE), "DATO NO CARGADO"))</f>
        <v/>
      </c>
      <c r="C726" s="51"/>
      <c r="D726" s="257"/>
      <c r="E726" s="102"/>
      <c r="F726" s="103"/>
      <c r="G726" s="103"/>
      <c r="H726" s="258"/>
      <c r="J726" s="103"/>
      <c r="L726" s="71"/>
      <c r="M726" s="106" t="str">
        <f>IF(ISBLANK(K726), "", VLOOKUP(C726, 'Info Tipo de Cambio y REM'!$A$24:$B$35, 2, FALSE))</f>
        <v/>
      </c>
      <c r="N726" s="107" t="str">
        <f t="shared" si="2"/>
        <v/>
      </c>
    </row>
    <row r="727">
      <c r="A727" s="102"/>
      <c r="B727" s="43" t="str">
        <f>IF(A727="", "", IFERROR(VLOOKUP(A727, Clasificaciones!A:B, 2, FALSE), "DATO NO CARGADO"))</f>
        <v/>
      </c>
      <c r="C727" s="51"/>
      <c r="D727" s="257"/>
      <c r="E727" s="102"/>
      <c r="F727" s="103"/>
      <c r="G727" s="103"/>
      <c r="H727" s="258"/>
      <c r="J727" s="103"/>
      <c r="L727" s="71"/>
      <c r="M727" s="106" t="str">
        <f>IF(ISBLANK(K727), "", VLOOKUP(C727, 'Info Tipo de Cambio y REM'!$A$24:$B$35, 2, FALSE))</f>
        <v/>
      </c>
      <c r="N727" s="107" t="str">
        <f t="shared" si="2"/>
        <v/>
      </c>
    </row>
    <row r="728">
      <c r="A728" s="102"/>
      <c r="B728" s="43" t="str">
        <f>IF(A728="", "", IFERROR(VLOOKUP(A728, Clasificaciones!A:B, 2, FALSE), "DATO NO CARGADO"))</f>
        <v/>
      </c>
      <c r="C728" s="51"/>
      <c r="D728" s="257"/>
      <c r="E728" s="102"/>
      <c r="F728" s="103"/>
      <c r="G728" s="103"/>
      <c r="H728" s="258"/>
      <c r="J728" s="103"/>
      <c r="L728" s="71"/>
      <c r="M728" s="106" t="str">
        <f>IF(ISBLANK(K728), "", VLOOKUP(C728, 'Info Tipo de Cambio y REM'!$A$24:$B$35, 2, FALSE))</f>
        <v/>
      </c>
      <c r="N728" s="107" t="str">
        <f t="shared" si="2"/>
        <v/>
      </c>
    </row>
    <row r="729">
      <c r="A729" s="102"/>
      <c r="B729" s="43" t="str">
        <f>IF(A729="", "", IFERROR(VLOOKUP(A729, Clasificaciones!A:B, 2, FALSE), "DATO NO CARGADO"))</f>
        <v/>
      </c>
      <c r="C729" s="51"/>
      <c r="D729" s="257"/>
      <c r="E729" s="102"/>
      <c r="F729" s="103"/>
      <c r="G729" s="103"/>
      <c r="H729" s="258"/>
      <c r="J729" s="103"/>
      <c r="L729" s="71"/>
      <c r="M729" s="106" t="str">
        <f>IF(ISBLANK(K729), "", VLOOKUP(C729, 'Info Tipo de Cambio y REM'!$A$24:$B$35, 2, FALSE))</f>
        <v/>
      </c>
      <c r="N729" s="107" t="str">
        <f t="shared" si="2"/>
        <v/>
      </c>
    </row>
    <row r="730">
      <c r="A730" s="102"/>
      <c r="B730" s="43" t="str">
        <f>IF(A730="", "", IFERROR(VLOOKUP(A730, Clasificaciones!A:B, 2, FALSE), "DATO NO CARGADO"))</f>
        <v/>
      </c>
      <c r="C730" s="51"/>
      <c r="D730" s="257"/>
      <c r="E730" s="102"/>
      <c r="F730" s="103"/>
      <c r="G730" s="103"/>
      <c r="H730" s="258"/>
      <c r="J730" s="103"/>
      <c r="L730" s="71"/>
      <c r="M730" s="106" t="str">
        <f>IF(ISBLANK(K730), "", VLOOKUP(C730, 'Info Tipo de Cambio y REM'!$A$24:$B$35, 2, FALSE))</f>
        <v/>
      </c>
      <c r="N730" s="107" t="str">
        <f t="shared" si="2"/>
        <v/>
      </c>
    </row>
    <row r="731">
      <c r="A731" s="102"/>
      <c r="B731" s="43" t="str">
        <f>IF(A731="", "", IFERROR(VLOOKUP(A731, Clasificaciones!A:B, 2, FALSE), "DATO NO CARGADO"))</f>
        <v/>
      </c>
      <c r="C731" s="51"/>
      <c r="D731" s="257"/>
      <c r="E731" s="102"/>
      <c r="F731" s="103"/>
      <c r="G731" s="103"/>
      <c r="H731" s="258"/>
      <c r="J731" s="103"/>
      <c r="L731" s="71"/>
      <c r="M731" s="106" t="str">
        <f>IF(ISBLANK(K731), "", VLOOKUP(C731, 'Info Tipo de Cambio y REM'!$A$24:$B$35, 2, FALSE))</f>
        <v/>
      </c>
      <c r="N731" s="107" t="str">
        <f t="shared" si="2"/>
        <v/>
      </c>
    </row>
    <row r="732">
      <c r="A732" s="102"/>
      <c r="B732" s="43" t="str">
        <f>IF(A732="", "", IFERROR(VLOOKUP(A732, Clasificaciones!A:B, 2, FALSE), "DATO NO CARGADO"))</f>
        <v/>
      </c>
      <c r="C732" s="51"/>
      <c r="D732" s="257"/>
      <c r="E732" s="102"/>
      <c r="F732" s="103"/>
      <c r="G732" s="103"/>
      <c r="H732" s="258"/>
      <c r="J732" s="103"/>
      <c r="L732" s="71"/>
      <c r="M732" s="106" t="str">
        <f>IF(ISBLANK(K732), "", VLOOKUP(C732, 'Info Tipo de Cambio y REM'!$A$24:$B$35, 2, FALSE))</f>
        <v/>
      </c>
      <c r="N732" s="107" t="str">
        <f t="shared" si="2"/>
        <v/>
      </c>
    </row>
    <row r="733">
      <c r="A733" s="102"/>
      <c r="B733" s="43" t="str">
        <f>IF(A733="", "", IFERROR(VLOOKUP(A733, Clasificaciones!A:B, 2, FALSE), "DATO NO CARGADO"))</f>
        <v/>
      </c>
      <c r="C733" s="51"/>
      <c r="D733" s="257"/>
      <c r="E733" s="102"/>
      <c r="F733" s="103"/>
      <c r="G733" s="103"/>
      <c r="H733" s="258"/>
      <c r="J733" s="103"/>
      <c r="L733" s="71"/>
      <c r="M733" s="106" t="str">
        <f>IF(ISBLANK(K733), "", VLOOKUP(C733, 'Info Tipo de Cambio y REM'!$A$24:$B$35, 2, FALSE))</f>
        <v/>
      </c>
      <c r="N733" s="107" t="str">
        <f t="shared" si="2"/>
        <v/>
      </c>
    </row>
    <row r="734">
      <c r="A734" s="102"/>
      <c r="B734" s="43" t="str">
        <f>IF(A734="", "", IFERROR(VLOOKUP(A734, Clasificaciones!A:B, 2, FALSE), "DATO NO CARGADO"))</f>
        <v/>
      </c>
      <c r="C734" s="51"/>
      <c r="D734" s="257"/>
      <c r="E734" s="102"/>
      <c r="F734" s="103"/>
      <c r="G734" s="103"/>
      <c r="H734" s="258"/>
      <c r="J734" s="103"/>
      <c r="L734" s="71"/>
      <c r="M734" s="106" t="str">
        <f>IF(ISBLANK(K734), "", VLOOKUP(C734, 'Info Tipo de Cambio y REM'!$A$24:$B$35, 2, FALSE))</f>
        <v/>
      </c>
      <c r="N734" s="107" t="str">
        <f t="shared" si="2"/>
        <v/>
      </c>
    </row>
    <row r="735">
      <c r="A735" s="102"/>
      <c r="B735" s="43" t="str">
        <f>IF(A735="", "", IFERROR(VLOOKUP(A735, Clasificaciones!A:B, 2, FALSE), "DATO NO CARGADO"))</f>
        <v/>
      </c>
      <c r="C735" s="51"/>
      <c r="D735" s="257"/>
      <c r="E735" s="102"/>
      <c r="F735" s="103"/>
      <c r="G735" s="103"/>
      <c r="H735" s="258"/>
      <c r="J735" s="103"/>
      <c r="L735" s="71"/>
      <c r="M735" s="106" t="str">
        <f>IF(ISBLANK(K735), "", VLOOKUP(C735, 'Info Tipo de Cambio y REM'!$A$24:$B$35, 2, FALSE))</f>
        <v/>
      </c>
      <c r="N735" s="107" t="str">
        <f t="shared" si="2"/>
        <v/>
      </c>
    </row>
    <row r="736">
      <c r="A736" s="102"/>
      <c r="B736" s="43" t="str">
        <f>IF(A736="", "", IFERROR(VLOOKUP(A736, Clasificaciones!A:B, 2, FALSE), "DATO NO CARGADO"))</f>
        <v/>
      </c>
      <c r="C736" s="51"/>
      <c r="D736" s="257"/>
      <c r="E736" s="102"/>
      <c r="F736" s="103"/>
      <c r="G736" s="103"/>
      <c r="H736" s="258"/>
      <c r="J736" s="103"/>
      <c r="L736" s="71"/>
      <c r="M736" s="106" t="str">
        <f>IF(ISBLANK(K736), "", VLOOKUP(C736, 'Info Tipo de Cambio y REM'!$A$24:$B$35, 2, FALSE))</f>
        <v/>
      </c>
      <c r="N736" s="107" t="str">
        <f t="shared" si="2"/>
        <v/>
      </c>
    </row>
    <row r="737">
      <c r="A737" s="102"/>
      <c r="B737" s="43" t="str">
        <f>IF(A737="", "", IFERROR(VLOOKUP(A737, Clasificaciones!A:B, 2, FALSE), "DATO NO CARGADO"))</f>
        <v/>
      </c>
      <c r="C737" s="51"/>
      <c r="D737" s="257"/>
      <c r="E737" s="102"/>
      <c r="F737" s="103"/>
      <c r="G737" s="103"/>
      <c r="H737" s="258"/>
      <c r="J737" s="103"/>
      <c r="L737" s="71"/>
      <c r="M737" s="106" t="str">
        <f>IF(ISBLANK(K737), "", VLOOKUP(C737, 'Info Tipo de Cambio y REM'!$A$24:$B$35, 2, FALSE))</f>
        <v/>
      </c>
      <c r="N737" s="107" t="str">
        <f t="shared" si="2"/>
        <v/>
      </c>
    </row>
    <row r="738">
      <c r="A738" s="102"/>
      <c r="B738" s="43" t="str">
        <f>IF(A738="", "", IFERROR(VLOOKUP(A738, Clasificaciones!A:B, 2, FALSE), "DATO NO CARGADO"))</f>
        <v/>
      </c>
      <c r="C738" s="51"/>
      <c r="D738" s="257"/>
      <c r="E738" s="102"/>
      <c r="F738" s="103"/>
      <c r="G738" s="103"/>
      <c r="H738" s="258"/>
      <c r="J738" s="103"/>
      <c r="L738" s="71"/>
      <c r="M738" s="106" t="str">
        <f>IF(ISBLANK(K738), "", VLOOKUP(C738, 'Info Tipo de Cambio y REM'!$A$24:$B$35, 2, FALSE))</f>
        <v/>
      </c>
      <c r="N738" s="107" t="str">
        <f t="shared" si="2"/>
        <v/>
      </c>
    </row>
    <row r="739">
      <c r="A739" s="102"/>
      <c r="B739" s="43" t="str">
        <f>IF(A739="", "", IFERROR(VLOOKUP(A739, Clasificaciones!A:B, 2, FALSE), "DATO NO CARGADO"))</f>
        <v/>
      </c>
      <c r="C739" s="51"/>
      <c r="D739" s="257"/>
      <c r="E739" s="102"/>
      <c r="F739" s="103"/>
      <c r="G739" s="103"/>
      <c r="H739" s="258"/>
      <c r="J739" s="103"/>
      <c r="L739" s="71"/>
      <c r="M739" s="106" t="str">
        <f>IF(ISBLANK(K739), "", VLOOKUP(C739, 'Info Tipo de Cambio y REM'!$A$24:$B$35, 2, FALSE))</f>
        <v/>
      </c>
      <c r="N739" s="107" t="str">
        <f t="shared" si="2"/>
        <v/>
      </c>
    </row>
    <row r="740">
      <c r="A740" s="102"/>
      <c r="B740" s="43" t="str">
        <f>IF(A740="", "", IFERROR(VLOOKUP(A740, Clasificaciones!A:B, 2, FALSE), "DATO NO CARGADO"))</f>
        <v/>
      </c>
      <c r="C740" s="51"/>
      <c r="D740" s="257"/>
      <c r="E740" s="102"/>
      <c r="F740" s="103"/>
      <c r="G740" s="103"/>
      <c r="H740" s="258"/>
      <c r="J740" s="103"/>
      <c r="L740" s="71"/>
      <c r="M740" s="106" t="str">
        <f>IF(ISBLANK(K740), "", VLOOKUP(C740, 'Info Tipo de Cambio y REM'!$A$24:$B$35, 2, FALSE))</f>
        <v/>
      </c>
      <c r="N740" s="107" t="str">
        <f t="shared" si="2"/>
        <v/>
      </c>
    </row>
    <row r="741">
      <c r="A741" s="102"/>
      <c r="B741" s="43" t="str">
        <f>IF(A741="", "", IFERROR(VLOOKUP(A741, Clasificaciones!A:B, 2, FALSE), "DATO NO CARGADO"))</f>
        <v/>
      </c>
      <c r="C741" s="51"/>
      <c r="D741" s="257"/>
      <c r="E741" s="102"/>
      <c r="F741" s="103"/>
      <c r="G741" s="103"/>
      <c r="H741" s="258"/>
      <c r="J741" s="103"/>
      <c r="L741" s="71"/>
      <c r="M741" s="106" t="str">
        <f>IF(ISBLANK(K741), "", VLOOKUP(C741, 'Info Tipo de Cambio y REM'!$A$24:$B$35, 2, FALSE))</f>
        <v/>
      </c>
      <c r="N741" s="107" t="str">
        <f t="shared" si="2"/>
        <v/>
      </c>
    </row>
    <row r="742">
      <c r="A742" s="102"/>
      <c r="B742" s="43" t="str">
        <f>IF(A742="", "", IFERROR(VLOOKUP(A742, Clasificaciones!A:B, 2, FALSE), "DATO NO CARGADO"))</f>
        <v/>
      </c>
      <c r="C742" s="51"/>
      <c r="D742" s="257"/>
      <c r="E742" s="102"/>
      <c r="F742" s="103"/>
      <c r="G742" s="103"/>
      <c r="H742" s="258"/>
      <c r="J742" s="103"/>
      <c r="L742" s="71"/>
      <c r="M742" s="106" t="str">
        <f>IF(ISBLANK(K742), "", VLOOKUP(C742, 'Info Tipo de Cambio y REM'!$A$24:$B$35, 2, FALSE))</f>
        <v/>
      </c>
      <c r="N742" s="107" t="str">
        <f t="shared" si="2"/>
        <v/>
      </c>
    </row>
    <row r="743">
      <c r="A743" s="102"/>
      <c r="B743" s="43" t="str">
        <f>IF(A743="", "", IFERROR(VLOOKUP(A743, Clasificaciones!A:B, 2, FALSE), "DATO NO CARGADO"))</f>
        <v/>
      </c>
      <c r="C743" s="51"/>
      <c r="D743" s="257"/>
      <c r="E743" s="102"/>
      <c r="F743" s="103"/>
      <c r="G743" s="103"/>
      <c r="H743" s="258"/>
      <c r="J743" s="103"/>
      <c r="L743" s="71"/>
      <c r="M743" s="106" t="str">
        <f>IF(ISBLANK(K743), "", VLOOKUP(C743, 'Info Tipo de Cambio y REM'!$A$24:$B$35, 2, FALSE))</f>
        <v/>
      </c>
      <c r="N743" s="107" t="str">
        <f t="shared" si="2"/>
        <v/>
      </c>
    </row>
    <row r="744">
      <c r="A744" s="102"/>
      <c r="B744" s="43" t="str">
        <f>IF(A744="", "", IFERROR(VLOOKUP(A744, Clasificaciones!A:B, 2, FALSE), "DATO NO CARGADO"))</f>
        <v/>
      </c>
      <c r="C744" s="51"/>
      <c r="D744" s="257"/>
      <c r="E744" s="102"/>
      <c r="F744" s="103"/>
      <c r="G744" s="103"/>
      <c r="H744" s="258"/>
      <c r="J744" s="103"/>
      <c r="L744" s="71"/>
      <c r="M744" s="106" t="str">
        <f>IF(ISBLANK(K744), "", VLOOKUP(C744, 'Info Tipo de Cambio y REM'!$A$24:$B$35, 2, FALSE))</f>
        <v/>
      </c>
      <c r="N744" s="107" t="str">
        <f t="shared" si="2"/>
        <v/>
      </c>
    </row>
    <row r="745">
      <c r="A745" s="102"/>
      <c r="B745" s="43" t="str">
        <f>IF(A745="", "", IFERROR(VLOOKUP(A745, Clasificaciones!A:B, 2, FALSE), "DATO NO CARGADO"))</f>
        <v/>
      </c>
      <c r="C745" s="51"/>
      <c r="D745" s="257"/>
      <c r="E745" s="102"/>
      <c r="F745" s="103"/>
      <c r="G745" s="103"/>
      <c r="H745" s="258"/>
      <c r="J745" s="103"/>
      <c r="L745" s="71"/>
      <c r="M745" s="106" t="str">
        <f>IF(ISBLANK(K745), "", VLOOKUP(C745, 'Info Tipo de Cambio y REM'!$A$24:$B$35, 2, FALSE))</f>
        <v/>
      </c>
      <c r="N745" s="107" t="str">
        <f t="shared" si="2"/>
        <v/>
      </c>
    </row>
    <row r="746">
      <c r="A746" s="102"/>
      <c r="B746" s="43" t="str">
        <f>IF(A746="", "", IFERROR(VLOOKUP(A746, Clasificaciones!A:B, 2, FALSE), "DATO NO CARGADO"))</f>
        <v/>
      </c>
      <c r="C746" s="51"/>
      <c r="D746" s="257"/>
      <c r="E746" s="102"/>
      <c r="F746" s="103"/>
      <c r="G746" s="103"/>
      <c r="H746" s="258"/>
      <c r="J746" s="103"/>
      <c r="L746" s="71"/>
      <c r="M746" s="106" t="str">
        <f>IF(ISBLANK(K746), "", VLOOKUP(C746, 'Info Tipo de Cambio y REM'!$A$24:$B$35, 2, FALSE))</f>
        <v/>
      </c>
      <c r="N746" s="107" t="str">
        <f t="shared" si="2"/>
        <v/>
      </c>
    </row>
    <row r="747">
      <c r="A747" s="102"/>
      <c r="B747" s="43" t="str">
        <f>IF(A747="", "", IFERROR(VLOOKUP(A747, Clasificaciones!A:B, 2, FALSE), "DATO NO CARGADO"))</f>
        <v/>
      </c>
      <c r="C747" s="51"/>
      <c r="D747" s="257"/>
      <c r="E747" s="102"/>
      <c r="F747" s="103"/>
      <c r="G747" s="103"/>
      <c r="H747" s="258"/>
      <c r="J747" s="103"/>
      <c r="L747" s="71"/>
      <c r="M747" s="106" t="str">
        <f>IF(ISBLANK(K747), "", VLOOKUP(C747, 'Info Tipo de Cambio y REM'!$A$24:$B$35, 2, FALSE))</f>
        <v/>
      </c>
      <c r="N747" s="107" t="str">
        <f t="shared" si="2"/>
        <v/>
      </c>
    </row>
    <row r="748">
      <c r="A748" s="102"/>
      <c r="B748" s="43" t="str">
        <f>IF(A748="", "", IFERROR(VLOOKUP(A748, Clasificaciones!A:B, 2, FALSE), "DATO NO CARGADO"))</f>
        <v/>
      </c>
      <c r="C748" s="51"/>
      <c r="D748" s="257"/>
      <c r="E748" s="102"/>
      <c r="F748" s="103"/>
      <c r="G748" s="103"/>
      <c r="H748" s="258"/>
      <c r="J748" s="103"/>
      <c r="L748" s="71"/>
      <c r="M748" s="106" t="str">
        <f>IF(ISBLANK(K748), "", VLOOKUP(C748, 'Info Tipo de Cambio y REM'!$A$24:$B$35, 2, FALSE))</f>
        <v/>
      </c>
      <c r="N748" s="107" t="str">
        <f t="shared" si="2"/>
        <v/>
      </c>
    </row>
    <row r="749">
      <c r="A749" s="102"/>
      <c r="B749" s="43" t="str">
        <f>IF(A749="", "", IFERROR(VLOOKUP(A749, Clasificaciones!A:B, 2, FALSE), "DATO NO CARGADO"))</f>
        <v/>
      </c>
      <c r="C749" s="51"/>
      <c r="D749" s="257"/>
      <c r="E749" s="102"/>
      <c r="F749" s="103"/>
      <c r="G749" s="103"/>
      <c r="H749" s="258"/>
      <c r="J749" s="103"/>
      <c r="L749" s="71"/>
      <c r="M749" s="106" t="str">
        <f>IF(ISBLANK(K749), "", VLOOKUP(C749, 'Info Tipo de Cambio y REM'!$A$24:$B$35, 2, FALSE))</f>
        <v/>
      </c>
      <c r="N749" s="107" t="str">
        <f t="shared" si="2"/>
        <v/>
      </c>
    </row>
    <row r="750">
      <c r="A750" s="102"/>
      <c r="B750" s="43" t="str">
        <f>IF(A750="", "", IFERROR(VLOOKUP(A750, Clasificaciones!A:B, 2, FALSE), "DATO NO CARGADO"))</f>
        <v/>
      </c>
      <c r="C750" s="51"/>
      <c r="D750" s="257"/>
      <c r="E750" s="102"/>
      <c r="F750" s="103"/>
      <c r="G750" s="103"/>
      <c r="H750" s="258"/>
      <c r="J750" s="103"/>
      <c r="L750" s="71"/>
      <c r="M750" s="106" t="str">
        <f>IF(ISBLANK(K750), "", VLOOKUP(C750, 'Info Tipo de Cambio y REM'!$A$24:$B$35, 2, FALSE))</f>
        <v/>
      </c>
      <c r="N750" s="107" t="str">
        <f t="shared" si="2"/>
        <v/>
      </c>
    </row>
    <row r="751">
      <c r="A751" s="102"/>
      <c r="B751" s="43" t="str">
        <f>IF(A751="", "", IFERROR(VLOOKUP(A751, Clasificaciones!A:B, 2, FALSE), "DATO NO CARGADO"))</f>
        <v/>
      </c>
      <c r="C751" s="51"/>
      <c r="D751" s="257"/>
      <c r="E751" s="102"/>
      <c r="F751" s="103"/>
      <c r="G751" s="103"/>
      <c r="H751" s="258"/>
      <c r="J751" s="103"/>
      <c r="L751" s="71"/>
      <c r="M751" s="106" t="str">
        <f>IF(ISBLANK(K751), "", VLOOKUP(C751, 'Info Tipo de Cambio y REM'!$A$24:$B$35, 2, FALSE))</f>
        <v/>
      </c>
      <c r="N751" s="107" t="str">
        <f t="shared" si="2"/>
        <v/>
      </c>
    </row>
    <row r="752">
      <c r="A752" s="102"/>
      <c r="B752" s="43" t="str">
        <f>IF(A752="", "", IFERROR(VLOOKUP(A752, Clasificaciones!A:B, 2, FALSE), "DATO NO CARGADO"))</f>
        <v/>
      </c>
      <c r="C752" s="51"/>
      <c r="D752" s="257"/>
      <c r="E752" s="102"/>
      <c r="F752" s="103"/>
      <c r="G752" s="103"/>
      <c r="H752" s="258"/>
      <c r="J752" s="103"/>
      <c r="L752" s="71"/>
      <c r="M752" s="106" t="str">
        <f>IF(ISBLANK(K752), "", VLOOKUP(C752, 'Info Tipo de Cambio y REM'!$A$24:$B$35, 2, FALSE))</f>
        <v/>
      </c>
      <c r="N752" s="107" t="str">
        <f t="shared" si="2"/>
        <v/>
      </c>
    </row>
    <row r="753">
      <c r="A753" s="102"/>
      <c r="B753" s="43" t="str">
        <f>IF(A753="", "", IFERROR(VLOOKUP(A753, Clasificaciones!A:B, 2, FALSE), "DATO NO CARGADO"))</f>
        <v/>
      </c>
      <c r="C753" s="51"/>
      <c r="D753" s="257"/>
      <c r="E753" s="102"/>
      <c r="F753" s="103"/>
      <c r="G753" s="103"/>
      <c r="H753" s="258"/>
      <c r="J753" s="103"/>
      <c r="L753" s="71"/>
      <c r="M753" s="106" t="str">
        <f>IF(ISBLANK(K753), "", VLOOKUP(C753, 'Info Tipo de Cambio y REM'!$A$24:$B$35, 2, FALSE))</f>
        <v/>
      </c>
      <c r="N753" s="107" t="str">
        <f t="shared" si="2"/>
        <v/>
      </c>
    </row>
    <row r="754">
      <c r="A754" s="102"/>
      <c r="B754" s="43" t="str">
        <f>IF(A754="", "", IFERROR(VLOOKUP(A754, Clasificaciones!A:B, 2, FALSE), "DATO NO CARGADO"))</f>
        <v/>
      </c>
      <c r="C754" s="51"/>
      <c r="D754" s="257"/>
      <c r="E754" s="102"/>
      <c r="F754" s="103"/>
      <c r="G754" s="103"/>
      <c r="H754" s="258"/>
      <c r="J754" s="103"/>
      <c r="L754" s="71"/>
      <c r="M754" s="106" t="str">
        <f>IF(ISBLANK(K754), "", VLOOKUP(C754, 'Info Tipo de Cambio y REM'!$A$24:$B$35, 2, FALSE))</f>
        <v/>
      </c>
      <c r="N754" s="107" t="str">
        <f t="shared" si="2"/>
        <v/>
      </c>
    </row>
    <row r="755">
      <c r="A755" s="102"/>
      <c r="B755" s="43" t="str">
        <f>IF(A755="", "", IFERROR(VLOOKUP(A755, Clasificaciones!A:B, 2, FALSE), "DATO NO CARGADO"))</f>
        <v/>
      </c>
      <c r="C755" s="51"/>
      <c r="D755" s="257"/>
      <c r="E755" s="102"/>
      <c r="F755" s="103"/>
      <c r="G755" s="103"/>
      <c r="H755" s="258"/>
      <c r="J755" s="103"/>
      <c r="L755" s="71"/>
      <c r="M755" s="106" t="str">
        <f>IF(ISBLANK(K755), "", VLOOKUP(C755, 'Info Tipo de Cambio y REM'!$A$24:$B$35, 2, FALSE))</f>
        <v/>
      </c>
      <c r="N755" s="107" t="str">
        <f t="shared" si="2"/>
        <v/>
      </c>
    </row>
    <row r="756">
      <c r="A756" s="102"/>
      <c r="B756" s="43" t="str">
        <f>IF(A756="", "", IFERROR(VLOOKUP(A756, Clasificaciones!A:B, 2, FALSE), "DATO NO CARGADO"))</f>
        <v/>
      </c>
      <c r="C756" s="51"/>
      <c r="D756" s="257"/>
      <c r="E756" s="102"/>
      <c r="F756" s="103"/>
      <c r="G756" s="103"/>
      <c r="H756" s="258"/>
      <c r="J756" s="103"/>
      <c r="L756" s="71"/>
      <c r="M756" s="106" t="str">
        <f>IF(ISBLANK(K756), "", VLOOKUP(C756, 'Info Tipo de Cambio y REM'!$A$24:$B$35, 2, FALSE))</f>
        <v/>
      </c>
      <c r="N756" s="107" t="str">
        <f t="shared" si="2"/>
        <v/>
      </c>
    </row>
    <row r="757">
      <c r="A757" s="102"/>
      <c r="B757" s="43" t="str">
        <f>IF(A757="", "", IFERROR(VLOOKUP(A757, Clasificaciones!A:B, 2, FALSE), "DATO NO CARGADO"))</f>
        <v/>
      </c>
      <c r="C757" s="51"/>
      <c r="D757" s="257"/>
      <c r="E757" s="102"/>
      <c r="F757" s="103"/>
      <c r="G757" s="103"/>
      <c r="H757" s="258"/>
      <c r="J757" s="103"/>
      <c r="L757" s="71"/>
      <c r="M757" s="106" t="str">
        <f>IF(ISBLANK(K757), "", VLOOKUP(C757, 'Info Tipo de Cambio y REM'!$A$24:$B$35, 2, FALSE))</f>
        <v/>
      </c>
      <c r="N757" s="107" t="str">
        <f t="shared" si="2"/>
        <v/>
      </c>
    </row>
    <row r="758">
      <c r="A758" s="102"/>
      <c r="B758" s="43" t="str">
        <f>IF(A758="", "", IFERROR(VLOOKUP(A758, Clasificaciones!A:B, 2, FALSE), "DATO NO CARGADO"))</f>
        <v/>
      </c>
      <c r="C758" s="51"/>
      <c r="D758" s="257"/>
      <c r="E758" s="102"/>
      <c r="F758" s="103"/>
      <c r="G758" s="103"/>
      <c r="H758" s="258"/>
      <c r="J758" s="103"/>
      <c r="L758" s="71"/>
      <c r="M758" s="106" t="str">
        <f>IF(ISBLANK(K758), "", VLOOKUP(C758, 'Info Tipo de Cambio y REM'!$A$24:$B$35, 2, FALSE))</f>
        <v/>
      </c>
      <c r="N758" s="107" t="str">
        <f t="shared" si="2"/>
        <v/>
      </c>
    </row>
    <row r="759">
      <c r="A759" s="102"/>
      <c r="B759" s="43" t="str">
        <f>IF(A759="", "", IFERROR(VLOOKUP(A759, Clasificaciones!A:B, 2, FALSE), "DATO NO CARGADO"))</f>
        <v/>
      </c>
      <c r="C759" s="51"/>
      <c r="D759" s="257"/>
      <c r="E759" s="102"/>
      <c r="F759" s="103"/>
      <c r="G759" s="103"/>
      <c r="H759" s="258"/>
      <c r="J759" s="103"/>
      <c r="L759" s="71"/>
      <c r="M759" s="106" t="str">
        <f>IF(ISBLANK(K759), "", VLOOKUP(C759, 'Info Tipo de Cambio y REM'!$A$24:$B$35, 2, FALSE))</f>
        <v/>
      </c>
      <c r="N759" s="107" t="str">
        <f t="shared" si="2"/>
        <v/>
      </c>
    </row>
    <row r="760">
      <c r="A760" s="102"/>
      <c r="B760" s="43" t="str">
        <f>IF(A760="", "", IFERROR(VLOOKUP(A760, Clasificaciones!A:B, 2, FALSE), "DATO NO CARGADO"))</f>
        <v/>
      </c>
      <c r="C760" s="51"/>
      <c r="D760" s="257"/>
      <c r="E760" s="102"/>
      <c r="F760" s="103"/>
      <c r="G760" s="103"/>
      <c r="H760" s="258"/>
      <c r="J760" s="103"/>
      <c r="L760" s="71"/>
      <c r="M760" s="106" t="str">
        <f>IF(ISBLANK(K760), "", VLOOKUP(C760, 'Info Tipo de Cambio y REM'!$A$24:$B$35, 2, FALSE))</f>
        <v/>
      </c>
      <c r="N760" s="107" t="str">
        <f t="shared" si="2"/>
        <v/>
      </c>
    </row>
    <row r="761">
      <c r="A761" s="102"/>
      <c r="B761" s="43" t="str">
        <f>IF(A761="", "", IFERROR(VLOOKUP(A761, Clasificaciones!A:B, 2, FALSE), "DATO NO CARGADO"))</f>
        <v/>
      </c>
      <c r="C761" s="51"/>
      <c r="D761" s="257"/>
      <c r="E761" s="102"/>
      <c r="F761" s="103"/>
      <c r="G761" s="103"/>
      <c r="H761" s="258"/>
      <c r="J761" s="103"/>
      <c r="L761" s="71"/>
      <c r="M761" s="106" t="str">
        <f>IF(ISBLANK(K761), "", VLOOKUP(C761, 'Info Tipo de Cambio y REM'!$A$24:$B$35, 2, FALSE))</f>
        <v/>
      </c>
      <c r="N761" s="107" t="str">
        <f t="shared" si="2"/>
        <v/>
      </c>
    </row>
    <row r="762">
      <c r="A762" s="102"/>
      <c r="B762" s="43" t="str">
        <f>IF(A762="", "", IFERROR(VLOOKUP(A762, Clasificaciones!A:B, 2, FALSE), "DATO NO CARGADO"))</f>
        <v/>
      </c>
      <c r="C762" s="51"/>
      <c r="D762" s="257"/>
      <c r="E762" s="102"/>
      <c r="F762" s="103"/>
      <c r="G762" s="103"/>
      <c r="H762" s="258"/>
      <c r="J762" s="103"/>
      <c r="L762" s="71"/>
      <c r="M762" s="106" t="str">
        <f>IF(ISBLANK(K762), "", VLOOKUP(C762, 'Info Tipo de Cambio y REM'!$A$24:$B$35, 2, FALSE))</f>
        <v/>
      </c>
      <c r="N762" s="107" t="str">
        <f t="shared" si="2"/>
        <v/>
      </c>
    </row>
    <row r="763">
      <c r="A763" s="102"/>
      <c r="B763" s="43" t="str">
        <f>IF(A763="", "", IFERROR(VLOOKUP(A763, Clasificaciones!A:B, 2, FALSE), "DATO NO CARGADO"))</f>
        <v/>
      </c>
      <c r="C763" s="51"/>
      <c r="D763" s="257"/>
      <c r="E763" s="102"/>
      <c r="F763" s="103"/>
      <c r="G763" s="103"/>
      <c r="H763" s="258"/>
      <c r="J763" s="103"/>
      <c r="L763" s="71"/>
      <c r="M763" s="106" t="str">
        <f>IF(ISBLANK(K763), "", VLOOKUP(C763, 'Info Tipo de Cambio y REM'!$A$24:$B$35, 2, FALSE))</f>
        <v/>
      </c>
      <c r="N763" s="107" t="str">
        <f t="shared" si="2"/>
        <v/>
      </c>
    </row>
    <row r="764">
      <c r="A764" s="102"/>
      <c r="B764" s="43" t="str">
        <f>IF(A764="", "", IFERROR(VLOOKUP(A764, Clasificaciones!A:B, 2, FALSE), "DATO NO CARGADO"))</f>
        <v/>
      </c>
      <c r="C764" s="51"/>
      <c r="D764" s="257"/>
      <c r="E764" s="102"/>
      <c r="F764" s="103"/>
      <c r="G764" s="103"/>
      <c r="H764" s="258"/>
      <c r="J764" s="103"/>
      <c r="L764" s="71"/>
      <c r="M764" s="106" t="str">
        <f>IF(ISBLANK(K764), "", VLOOKUP(C764, 'Info Tipo de Cambio y REM'!$A$24:$B$35, 2, FALSE))</f>
        <v/>
      </c>
      <c r="N764" s="107" t="str">
        <f t="shared" si="2"/>
        <v/>
      </c>
    </row>
    <row r="765">
      <c r="A765" s="102"/>
      <c r="B765" s="43" t="str">
        <f>IF(A765="", "", IFERROR(VLOOKUP(A765, Clasificaciones!A:B, 2, FALSE), "DATO NO CARGADO"))</f>
        <v/>
      </c>
      <c r="C765" s="51"/>
      <c r="D765" s="257"/>
      <c r="E765" s="102"/>
      <c r="F765" s="103"/>
      <c r="G765" s="103"/>
      <c r="H765" s="258"/>
      <c r="J765" s="103"/>
      <c r="L765" s="71"/>
      <c r="M765" s="106" t="str">
        <f>IF(ISBLANK(K765), "", VLOOKUP(C765, 'Info Tipo de Cambio y REM'!$A$24:$B$35, 2, FALSE))</f>
        <v/>
      </c>
      <c r="N765" s="107" t="str">
        <f t="shared" si="2"/>
        <v/>
      </c>
    </row>
    <row r="766">
      <c r="A766" s="102"/>
      <c r="B766" s="43" t="str">
        <f>IF(A766="", "", IFERROR(VLOOKUP(A766, Clasificaciones!A:B, 2, FALSE), "DATO NO CARGADO"))</f>
        <v/>
      </c>
      <c r="C766" s="51"/>
      <c r="D766" s="257"/>
      <c r="E766" s="102"/>
      <c r="F766" s="103"/>
      <c r="G766" s="103"/>
      <c r="H766" s="258"/>
      <c r="J766" s="103"/>
      <c r="L766" s="71"/>
      <c r="M766" s="106" t="str">
        <f>IF(ISBLANK(K766), "", VLOOKUP(C766, 'Info Tipo de Cambio y REM'!$A$24:$B$35, 2, FALSE))</f>
        <v/>
      </c>
      <c r="N766" s="107" t="str">
        <f t="shared" si="2"/>
        <v/>
      </c>
    </row>
    <row r="767">
      <c r="A767" s="102"/>
      <c r="B767" s="43" t="str">
        <f>IF(A767="", "", IFERROR(VLOOKUP(A767, Clasificaciones!A:B, 2, FALSE), "DATO NO CARGADO"))</f>
        <v/>
      </c>
      <c r="C767" s="51"/>
      <c r="D767" s="257"/>
      <c r="E767" s="102"/>
      <c r="F767" s="103"/>
      <c r="G767" s="103"/>
      <c r="H767" s="258"/>
      <c r="J767" s="103"/>
      <c r="L767" s="71"/>
      <c r="M767" s="106" t="str">
        <f>IF(ISBLANK(K767), "", VLOOKUP(C767, 'Info Tipo de Cambio y REM'!$A$24:$B$35, 2, FALSE))</f>
        <v/>
      </c>
      <c r="N767" s="107" t="str">
        <f t="shared" si="2"/>
        <v/>
      </c>
    </row>
    <row r="768">
      <c r="A768" s="102"/>
      <c r="B768" s="43" t="str">
        <f>IF(A768="", "", IFERROR(VLOOKUP(A768, Clasificaciones!A:B, 2, FALSE), "DATO NO CARGADO"))</f>
        <v/>
      </c>
      <c r="C768" s="51"/>
      <c r="D768" s="257"/>
      <c r="E768" s="102"/>
      <c r="F768" s="103"/>
      <c r="G768" s="103"/>
      <c r="H768" s="258"/>
      <c r="J768" s="103"/>
      <c r="L768" s="71"/>
      <c r="M768" s="106" t="str">
        <f>IF(ISBLANK(K768), "", VLOOKUP(C768, 'Info Tipo de Cambio y REM'!$A$24:$B$35, 2, FALSE))</f>
        <v/>
      </c>
      <c r="N768" s="107" t="str">
        <f t="shared" si="2"/>
        <v/>
      </c>
    </row>
    <row r="769">
      <c r="A769" s="102"/>
      <c r="B769" s="43" t="str">
        <f>IF(A769="", "", IFERROR(VLOOKUP(A769, Clasificaciones!A:B, 2, FALSE), "DATO NO CARGADO"))</f>
        <v/>
      </c>
      <c r="C769" s="51"/>
      <c r="D769" s="257"/>
      <c r="E769" s="102"/>
      <c r="F769" s="103"/>
      <c r="G769" s="103"/>
      <c r="H769" s="258"/>
      <c r="J769" s="103"/>
      <c r="L769" s="71"/>
      <c r="M769" s="106" t="str">
        <f>IF(ISBLANK(K769), "", VLOOKUP(C769, 'Info Tipo de Cambio y REM'!$A$24:$B$35, 2, FALSE))</f>
        <v/>
      </c>
      <c r="N769" s="107" t="str">
        <f t="shared" si="2"/>
        <v/>
      </c>
    </row>
    <row r="770">
      <c r="A770" s="102"/>
      <c r="B770" s="43" t="str">
        <f>IF(A770="", "", IFERROR(VLOOKUP(A770, Clasificaciones!A:B, 2, FALSE), "DATO NO CARGADO"))</f>
        <v/>
      </c>
      <c r="C770" s="51"/>
      <c r="D770" s="257"/>
      <c r="E770" s="102"/>
      <c r="F770" s="103"/>
      <c r="G770" s="103"/>
      <c r="H770" s="258"/>
      <c r="J770" s="103"/>
      <c r="L770" s="71"/>
      <c r="M770" s="106" t="str">
        <f>IF(ISBLANK(K770), "", VLOOKUP(C770, 'Info Tipo de Cambio y REM'!$A$24:$B$35, 2, FALSE))</f>
        <v/>
      </c>
      <c r="N770" s="107" t="str">
        <f t="shared" si="2"/>
        <v/>
      </c>
    </row>
    <row r="771">
      <c r="A771" s="102"/>
      <c r="B771" s="43" t="str">
        <f>IF(A771="", "", IFERROR(VLOOKUP(A771, Clasificaciones!A:B, 2, FALSE), "DATO NO CARGADO"))</f>
        <v/>
      </c>
      <c r="C771" s="51"/>
      <c r="D771" s="257"/>
      <c r="E771" s="102"/>
      <c r="F771" s="103"/>
      <c r="G771" s="103"/>
      <c r="H771" s="258"/>
      <c r="J771" s="103"/>
      <c r="L771" s="71"/>
      <c r="M771" s="106" t="str">
        <f>IF(ISBLANK(K771), "", VLOOKUP(C771, 'Info Tipo de Cambio y REM'!$A$24:$B$35, 2, FALSE))</f>
        <v/>
      </c>
      <c r="N771" s="107" t="str">
        <f t="shared" si="2"/>
        <v/>
      </c>
    </row>
    <row r="772">
      <c r="A772" s="102"/>
      <c r="B772" s="43" t="str">
        <f>IF(A772="", "", IFERROR(VLOOKUP(A772, Clasificaciones!A:B, 2, FALSE), "DATO NO CARGADO"))</f>
        <v/>
      </c>
      <c r="C772" s="51"/>
      <c r="D772" s="257"/>
      <c r="E772" s="102"/>
      <c r="F772" s="103"/>
      <c r="G772" s="103"/>
      <c r="H772" s="258"/>
      <c r="J772" s="103"/>
      <c r="L772" s="71"/>
      <c r="M772" s="106" t="str">
        <f>IF(ISBLANK(K772), "", VLOOKUP(C772, 'Info Tipo de Cambio y REM'!$A$24:$B$35, 2, FALSE))</f>
        <v/>
      </c>
      <c r="N772" s="107" t="str">
        <f t="shared" si="2"/>
        <v/>
      </c>
    </row>
    <row r="773">
      <c r="A773" s="102"/>
      <c r="B773" s="43" t="str">
        <f>IF(A773="", "", IFERROR(VLOOKUP(A773, Clasificaciones!A:B, 2, FALSE), "DATO NO CARGADO"))</f>
        <v/>
      </c>
      <c r="C773" s="51"/>
      <c r="D773" s="257"/>
      <c r="E773" s="102"/>
      <c r="F773" s="103"/>
      <c r="G773" s="103"/>
      <c r="H773" s="258"/>
      <c r="J773" s="103"/>
      <c r="L773" s="71"/>
      <c r="M773" s="106" t="str">
        <f>IF(ISBLANK(K773), "", VLOOKUP(C773, 'Info Tipo de Cambio y REM'!$A$24:$B$35, 2, FALSE))</f>
        <v/>
      </c>
      <c r="N773" s="107" t="str">
        <f t="shared" si="2"/>
        <v/>
      </c>
    </row>
    <row r="774">
      <c r="A774" s="102"/>
      <c r="B774" s="43" t="str">
        <f>IF(A774="", "", IFERROR(VLOOKUP(A774, Clasificaciones!A:B, 2, FALSE), "DATO NO CARGADO"))</f>
        <v/>
      </c>
      <c r="C774" s="51"/>
      <c r="D774" s="257"/>
      <c r="E774" s="102"/>
      <c r="F774" s="103"/>
      <c r="G774" s="103"/>
      <c r="H774" s="258"/>
      <c r="J774" s="103"/>
      <c r="L774" s="71"/>
      <c r="M774" s="106" t="str">
        <f>IF(ISBLANK(K774), "", VLOOKUP(C774, 'Info Tipo de Cambio y REM'!$A$24:$B$35, 2, FALSE))</f>
        <v/>
      </c>
      <c r="N774" s="107" t="str">
        <f t="shared" si="2"/>
        <v/>
      </c>
    </row>
    <row r="775">
      <c r="A775" s="102"/>
      <c r="B775" s="43" t="str">
        <f>IF(A775="", "", IFERROR(VLOOKUP(A775, Clasificaciones!A:B, 2, FALSE), "DATO NO CARGADO"))</f>
        <v/>
      </c>
      <c r="C775" s="51"/>
      <c r="D775" s="257"/>
      <c r="E775" s="102"/>
      <c r="F775" s="103"/>
      <c r="G775" s="103"/>
      <c r="H775" s="258"/>
      <c r="J775" s="103"/>
      <c r="L775" s="71"/>
      <c r="M775" s="106" t="str">
        <f>IF(ISBLANK(K775), "", VLOOKUP(C775, 'Info Tipo de Cambio y REM'!$A$24:$B$35, 2, FALSE))</f>
        <v/>
      </c>
      <c r="N775" s="107" t="str">
        <f t="shared" si="2"/>
        <v/>
      </c>
    </row>
    <row r="776">
      <c r="A776" s="102"/>
      <c r="B776" s="43" t="str">
        <f>IF(A776="", "", IFERROR(VLOOKUP(A776, Clasificaciones!A:B, 2, FALSE), "DATO NO CARGADO"))</f>
        <v/>
      </c>
      <c r="C776" s="51"/>
      <c r="D776" s="257"/>
      <c r="E776" s="102"/>
      <c r="F776" s="103"/>
      <c r="G776" s="103"/>
      <c r="H776" s="258"/>
      <c r="J776" s="103"/>
      <c r="L776" s="71"/>
      <c r="M776" s="106" t="str">
        <f>IF(ISBLANK(K776), "", VLOOKUP(C776, 'Info Tipo de Cambio y REM'!$A$24:$B$35, 2, FALSE))</f>
        <v/>
      </c>
      <c r="N776" s="107" t="str">
        <f t="shared" si="2"/>
        <v/>
      </c>
    </row>
    <row r="777">
      <c r="A777" s="102"/>
      <c r="B777" s="43" t="str">
        <f>IF(A777="", "", IFERROR(VLOOKUP(A777, Clasificaciones!A:B, 2, FALSE), "DATO NO CARGADO"))</f>
        <v/>
      </c>
      <c r="C777" s="51"/>
      <c r="D777" s="257"/>
      <c r="E777" s="102"/>
      <c r="F777" s="103"/>
      <c r="G777" s="103"/>
      <c r="H777" s="258"/>
      <c r="J777" s="103"/>
      <c r="L777" s="71"/>
      <c r="M777" s="106" t="str">
        <f>IF(ISBLANK(K777), "", VLOOKUP(C777, 'Info Tipo de Cambio y REM'!$A$24:$B$35, 2, FALSE))</f>
        <v/>
      </c>
      <c r="N777" s="107" t="str">
        <f t="shared" si="2"/>
        <v/>
      </c>
    </row>
    <row r="778">
      <c r="A778" s="102"/>
      <c r="B778" s="43" t="str">
        <f>IF(A778="", "", IFERROR(VLOOKUP(A778, Clasificaciones!A:B, 2, FALSE), "DATO NO CARGADO"))</f>
        <v/>
      </c>
      <c r="C778" s="51"/>
      <c r="D778" s="257"/>
      <c r="E778" s="102"/>
      <c r="F778" s="103"/>
      <c r="G778" s="103"/>
      <c r="H778" s="258"/>
      <c r="J778" s="103"/>
      <c r="L778" s="71"/>
      <c r="M778" s="106" t="str">
        <f>IF(ISBLANK(K778), "", VLOOKUP(C778, 'Info Tipo de Cambio y REM'!$A$24:$B$35, 2, FALSE))</f>
        <v/>
      </c>
      <c r="N778" s="107" t="str">
        <f t="shared" si="2"/>
        <v/>
      </c>
    </row>
    <row r="779">
      <c r="A779" s="102"/>
      <c r="B779" s="43" t="str">
        <f>IF(A779="", "", IFERROR(VLOOKUP(A779, Clasificaciones!A:B, 2, FALSE), "DATO NO CARGADO"))</f>
        <v/>
      </c>
      <c r="C779" s="51"/>
      <c r="D779" s="257"/>
      <c r="E779" s="102"/>
      <c r="F779" s="103"/>
      <c r="G779" s="103"/>
      <c r="H779" s="258"/>
      <c r="J779" s="103"/>
      <c r="L779" s="71"/>
      <c r="M779" s="106" t="str">
        <f>IF(ISBLANK(K779), "", VLOOKUP(C779, 'Info Tipo de Cambio y REM'!$A$24:$B$35, 2, FALSE))</f>
        <v/>
      </c>
      <c r="N779" s="107" t="str">
        <f t="shared" si="2"/>
        <v/>
      </c>
    </row>
    <row r="780">
      <c r="A780" s="102"/>
      <c r="B780" s="43" t="str">
        <f>IF(A780="", "", IFERROR(VLOOKUP(A780, Clasificaciones!A:B, 2, FALSE), "DATO NO CARGADO"))</f>
        <v/>
      </c>
      <c r="C780" s="51"/>
      <c r="D780" s="257"/>
      <c r="E780" s="102"/>
      <c r="F780" s="103"/>
      <c r="G780" s="103"/>
      <c r="H780" s="258"/>
      <c r="J780" s="103"/>
      <c r="L780" s="71"/>
      <c r="M780" s="106" t="str">
        <f>IF(ISBLANK(K780), "", VLOOKUP(C780, 'Info Tipo de Cambio y REM'!$A$24:$B$35, 2, FALSE))</f>
        <v/>
      </c>
      <c r="N780" s="107" t="str">
        <f t="shared" si="2"/>
        <v/>
      </c>
    </row>
    <row r="781">
      <c r="A781" s="102"/>
      <c r="B781" s="43" t="str">
        <f>IF(A781="", "", IFERROR(VLOOKUP(A781, Clasificaciones!A:B, 2, FALSE), "DATO NO CARGADO"))</f>
        <v/>
      </c>
      <c r="C781" s="51"/>
      <c r="D781" s="257"/>
      <c r="E781" s="102"/>
      <c r="F781" s="103"/>
      <c r="G781" s="103"/>
      <c r="H781" s="258"/>
      <c r="J781" s="103"/>
      <c r="L781" s="71"/>
      <c r="M781" s="106" t="str">
        <f>IF(ISBLANK(K781), "", VLOOKUP(C781, 'Info Tipo de Cambio y REM'!$A$24:$B$35, 2, FALSE))</f>
        <v/>
      </c>
      <c r="N781" s="107" t="str">
        <f t="shared" si="2"/>
        <v/>
      </c>
    </row>
    <row r="782">
      <c r="A782" s="102"/>
      <c r="B782" s="43" t="str">
        <f>IF(A782="", "", IFERROR(VLOOKUP(A782, Clasificaciones!A:B, 2, FALSE), "DATO NO CARGADO"))</f>
        <v/>
      </c>
      <c r="C782" s="51"/>
      <c r="D782" s="257"/>
      <c r="E782" s="102"/>
      <c r="F782" s="103"/>
      <c r="G782" s="103"/>
      <c r="H782" s="258"/>
      <c r="J782" s="103"/>
      <c r="L782" s="71"/>
      <c r="M782" s="106" t="str">
        <f>IF(ISBLANK(K782), "", VLOOKUP(C782, 'Info Tipo de Cambio y REM'!$A$24:$B$35, 2, FALSE))</f>
        <v/>
      </c>
      <c r="N782" s="107" t="str">
        <f t="shared" si="2"/>
        <v/>
      </c>
    </row>
    <row r="783">
      <c r="A783" s="102"/>
      <c r="B783" s="43" t="str">
        <f>IF(A783="", "", IFERROR(VLOOKUP(A783, Clasificaciones!A:B, 2, FALSE), "DATO NO CARGADO"))</f>
        <v/>
      </c>
      <c r="C783" s="51"/>
      <c r="D783" s="257"/>
      <c r="E783" s="102"/>
      <c r="F783" s="103"/>
      <c r="G783" s="103"/>
      <c r="H783" s="258"/>
      <c r="J783" s="103"/>
      <c r="L783" s="71"/>
      <c r="M783" s="106" t="str">
        <f>IF(ISBLANK(K783), "", VLOOKUP(C783, 'Info Tipo de Cambio y REM'!$A$24:$B$35, 2, FALSE))</f>
        <v/>
      </c>
      <c r="N783" s="107" t="str">
        <f t="shared" si="2"/>
        <v/>
      </c>
    </row>
    <row r="784">
      <c r="A784" s="102"/>
      <c r="B784" s="43" t="str">
        <f>IF(A784="", "", IFERROR(VLOOKUP(A784, Clasificaciones!A:B, 2, FALSE), "DATO NO CARGADO"))</f>
        <v/>
      </c>
      <c r="C784" s="51"/>
      <c r="D784" s="257"/>
      <c r="E784" s="102"/>
      <c r="F784" s="103"/>
      <c r="G784" s="103"/>
      <c r="H784" s="258"/>
      <c r="J784" s="103"/>
      <c r="L784" s="71"/>
      <c r="M784" s="106" t="str">
        <f>IF(ISBLANK(K784), "", VLOOKUP(C784, 'Info Tipo de Cambio y REM'!$A$24:$B$35, 2, FALSE))</f>
        <v/>
      </c>
      <c r="N784" s="107" t="str">
        <f t="shared" si="2"/>
        <v/>
      </c>
    </row>
    <row r="785">
      <c r="A785" s="102"/>
      <c r="B785" s="43" t="str">
        <f>IF(A785="", "", IFERROR(VLOOKUP(A785, Clasificaciones!A:B, 2, FALSE), "DATO NO CARGADO"))</f>
        <v/>
      </c>
      <c r="C785" s="51"/>
      <c r="D785" s="257"/>
      <c r="E785" s="102"/>
      <c r="F785" s="103"/>
      <c r="G785" s="103"/>
      <c r="H785" s="258"/>
      <c r="J785" s="103"/>
      <c r="L785" s="71"/>
      <c r="M785" s="106" t="str">
        <f>IF(ISBLANK(K785), "", VLOOKUP(C785, 'Info Tipo de Cambio y REM'!$A$24:$B$35, 2, FALSE))</f>
        <v/>
      </c>
      <c r="N785" s="107" t="str">
        <f t="shared" si="2"/>
        <v/>
      </c>
    </row>
    <row r="786">
      <c r="A786" s="102"/>
      <c r="B786" s="43" t="str">
        <f>IF(A786="", "", IFERROR(VLOOKUP(A786, Clasificaciones!A:B, 2, FALSE), "DATO NO CARGADO"))</f>
        <v/>
      </c>
      <c r="C786" s="51"/>
      <c r="D786" s="257"/>
      <c r="E786" s="102"/>
      <c r="F786" s="103"/>
      <c r="G786" s="103"/>
      <c r="H786" s="258"/>
      <c r="J786" s="103"/>
      <c r="L786" s="71"/>
      <c r="M786" s="106" t="str">
        <f>IF(ISBLANK(K786), "", VLOOKUP(C786, 'Info Tipo de Cambio y REM'!$A$24:$B$35, 2, FALSE))</f>
        <v/>
      </c>
      <c r="N786" s="107" t="str">
        <f t="shared" si="2"/>
        <v/>
      </c>
    </row>
    <row r="787">
      <c r="A787" s="102"/>
      <c r="B787" s="43" t="str">
        <f>IF(A787="", "", IFERROR(VLOOKUP(A787, Clasificaciones!A:B, 2, FALSE), "DATO NO CARGADO"))</f>
        <v/>
      </c>
      <c r="C787" s="51"/>
      <c r="D787" s="257"/>
      <c r="E787" s="102"/>
      <c r="F787" s="103"/>
      <c r="G787" s="103"/>
      <c r="H787" s="258"/>
      <c r="J787" s="103"/>
      <c r="L787" s="71"/>
      <c r="M787" s="106" t="str">
        <f>IF(ISBLANK(K787), "", VLOOKUP(C787, 'Info Tipo de Cambio y REM'!$A$24:$B$35, 2, FALSE))</f>
        <v/>
      </c>
      <c r="N787" s="107" t="str">
        <f t="shared" si="2"/>
        <v/>
      </c>
    </row>
    <row r="788">
      <c r="A788" s="102"/>
      <c r="B788" s="43" t="str">
        <f>IF(A788="", "", IFERROR(VLOOKUP(A788, Clasificaciones!A:B, 2, FALSE), "DATO NO CARGADO"))</f>
        <v/>
      </c>
      <c r="C788" s="51"/>
      <c r="D788" s="257"/>
      <c r="E788" s="102"/>
      <c r="F788" s="103"/>
      <c r="G788" s="103"/>
      <c r="H788" s="258"/>
      <c r="J788" s="103"/>
      <c r="L788" s="71"/>
      <c r="M788" s="106" t="str">
        <f>IF(ISBLANK(K788), "", VLOOKUP(C788, 'Info Tipo de Cambio y REM'!$A$24:$B$35, 2, FALSE))</f>
        <v/>
      </c>
      <c r="N788" s="107" t="str">
        <f t="shared" si="2"/>
        <v/>
      </c>
    </row>
    <row r="789">
      <c r="A789" s="102"/>
      <c r="B789" s="43" t="str">
        <f>IF(A789="", "", IFERROR(VLOOKUP(A789, Clasificaciones!A:B, 2, FALSE), "DATO NO CARGADO"))</f>
        <v/>
      </c>
      <c r="C789" s="51"/>
      <c r="D789" s="257"/>
      <c r="E789" s="102"/>
      <c r="F789" s="103"/>
      <c r="G789" s="103"/>
      <c r="H789" s="258"/>
      <c r="J789" s="103"/>
      <c r="L789" s="71"/>
      <c r="M789" s="106" t="str">
        <f>IF(ISBLANK(K789), "", VLOOKUP(C789, 'Info Tipo de Cambio y REM'!$A$24:$B$35, 2, FALSE))</f>
        <v/>
      </c>
      <c r="N789" s="107" t="str">
        <f t="shared" si="2"/>
        <v/>
      </c>
    </row>
    <row r="790">
      <c r="A790" s="102"/>
      <c r="B790" s="43" t="str">
        <f>IF(A790="", "", IFERROR(VLOOKUP(A790, Clasificaciones!A:B, 2, FALSE), "DATO NO CARGADO"))</f>
        <v/>
      </c>
      <c r="C790" s="51"/>
      <c r="D790" s="257"/>
      <c r="E790" s="102"/>
      <c r="F790" s="103"/>
      <c r="G790" s="103"/>
      <c r="H790" s="258"/>
      <c r="J790" s="103"/>
      <c r="L790" s="71"/>
      <c r="M790" s="106" t="str">
        <f>IF(ISBLANK(K790), "", VLOOKUP(C790, 'Info Tipo de Cambio y REM'!$A$24:$B$35, 2, FALSE))</f>
        <v/>
      </c>
      <c r="N790" s="107" t="str">
        <f t="shared" si="2"/>
        <v/>
      </c>
    </row>
    <row r="791">
      <c r="A791" s="102"/>
      <c r="B791" s="43" t="str">
        <f>IF(A791="", "", IFERROR(VLOOKUP(A791, Clasificaciones!A:B, 2, FALSE), "DATO NO CARGADO"))</f>
        <v/>
      </c>
      <c r="C791" s="51"/>
      <c r="D791" s="257"/>
      <c r="E791" s="102"/>
      <c r="F791" s="103"/>
      <c r="G791" s="103"/>
      <c r="H791" s="258"/>
      <c r="J791" s="103"/>
      <c r="L791" s="71"/>
      <c r="M791" s="106" t="str">
        <f>IF(ISBLANK(K791), "", VLOOKUP(C791, 'Info Tipo de Cambio y REM'!$A$24:$B$35, 2, FALSE))</f>
        <v/>
      </c>
      <c r="N791" s="107" t="str">
        <f t="shared" si="2"/>
        <v/>
      </c>
    </row>
    <row r="792">
      <c r="A792" s="102"/>
      <c r="B792" s="43" t="str">
        <f>IF(A792="", "", IFERROR(VLOOKUP(A792, Clasificaciones!A:B, 2, FALSE), "DATO NO CARGADO"))</f>
        <v/>
      </c>
      <c r="C792" s="51"/>
      <c r="D792" s="257"/>
      <c r="E792" s="102"/>
      <c r="F792" s="103"/>
      <c r="G792" s="103"/>
      <c r="H792" s="258"/>
      <c r="J792" s="103"/>
      <c r="L792" s="71"/>
      <c r="M792" s="106" t="str">
        <f>IF(ISBLANK(K792), "", VLOOKUP(C792, 'Info Tipo de Cambio y REM'!$A$24:$B$35, 2, FALSE))</f>
        <v/>
      </c>
      <c r="N792" s="107" t="str">
        <f t="shared" si="2"/>
        <v/>
      </c>
    </row>
    <row r="793">
      <c r="A793" s="102"/>
      <c r="B793" s="43" t="str">
        <f>IF(A793="", "", IFERROR(VLOOKUP(A793, Clasificaciones!A:B, 2, FALSE), "DATO NO CARGADO"))</f>
        <v/>
      </c>
      <c r="C793" s="51"/>
      <c r="D793" s="257"/>
      <c r="E793" s="102"/>
      <c r="F793" s="103"/>
      <c r="G793" s="103"/>
      <c r="H793" s="258"/>
      <c r="J793" s="103"/>
      <c r="L793" s="71"/>
      <c r="M793" s="106" t="str">
        <f>IF(ISBLANK(K793), "", VLOOKUP(C793, 'Info Tipo de Cambio y REM'!$A$24:$B$35, 2, FALSE))</f>
        <v/>
      </c>
      <c r="N793" s="107" t="str">
        <f t="shared" si="2"/>
        <v/>
      </c>
    </row>
    <row r="794">
      <c r="A794" s="102"/>
      <c r="B794" s="43" t="str">
        <f>IF(A794="", "", IFERROR(VLOOKUP(A794, Clasificaciones!A:B, 2, FALSE), "DATO NO CARGADO"))</f>
        <v/>
      </c>
      <c r="C794" s="51"/>
      <c r="D794" s="257"/>
      <c r="E794" s="102"/>
      <c r="F794" s="103"/>
      <c r="G794" s="103"/>
      <c r="H794" s="258"/>
      <c r="J794" s="103"/>
      <c r="L794" s="71"/>
      <c r="M794" s="106" t="str">
        <f>IF(ISBLANK(K794), "", VLOOKUP(C794, 'Info Tipo de Cambio y REM'!$A$24:$B$35, 2, FALSE))</f>
        <v/>
      </c>
      <c r="N794" s="107" t="str">
        <f t="shared" si="2"/>
        <v/>
      </c>
    </row>
    <row r="795">
      <c r="A795" s="102"/>
      <c r="B795" s="43" t="str">
        <f>IF(A795="", "", IFERROR(VLOOKUP(A795, Clasificaciones!A:B, 2, FALSE), "DATO NO CARGADO"))</f>
        <v/>
      </c>
      <c r="C795" s="51"/>
      <c r="D795" s="257"/>
      <c r="E795" s="102"/>
      <c r="F795" s="103"/>
      <c r="G795" s="103"/>
      <c r="H795" s="258"/>
      <c r="J795" s="103"/>
      <c r="L795" s="71"/>
      <c r="M795" s="106" t="str">
        <f>IF(ISBLANK(K795), "", VLOOKUP(C795, 'Info Tipo de Cambio y REM'!$A$24:$B$35, 2, FALSE))</f>
        <v/>
      </c>
      <c r="N795" s="107" t="str">
        <f t="shared" si="2"/>
        <v/>
      </c>
    </row>
    <row r="796">
      <c r="A796" s="102"/>
      <c r="B796" s="43" t="str">
        <f>IF(A796="", "", IFERROR(VLOOKUP(A796, Clasificaciones!A:B, 2, FALSE), "DATO NO CARGADO"))</f>
        <v/>
      </c>
      <c r="C796" s="51"/>
      <c r="D796" s="257"/>
      <c r="E796" s="102"/>
      <c r="F796" s="103"/>
      <c r="G796" s="103"/>
      <c r="H796" s="258"/>
      <c r="J796" s="103"/>
      <c r="L796" s="71"/>
      <c r="M796" s="106" t="str">
        <f>IF(ISBLANK(K796), "", VLOOKUP(C796, 'Info Tipo de Cambio y REM'!$A$24:$B$35, 2, FALSE))</f>
        <v/>
      </c>
      <c r="N796" s="107" t="str">
        <f t="shared" si="2"/>
        <v/>
      </c>
    </row>
    <row r="797">
      <c r="A797" s="102"/>
      <c r="B797" s="43" t="str">
        <f>IF(A797="", "", IFERROR(VLOOKUP(A797, Clasificaciones!A:B, 2, FALSE), "DATO NO CARGADO"))</f>
        <v/>
      </c>
      <c r="C797" s="51"/>
      <c r="D797" s="257"/>
      <c r="E797" s="102"/>
      <c r="F797" s="103"/>
      <c r="G797" s="103"/>
      <c r="H797" s="258"/>
      <c r="J797" s="103"/>
      <c r="L797" s="71"/>
      <c r="M797" s="106" t="str">
        <f>IF(ISBLANK(K797), "", VLOOKUP(C797, 'Info Tipo de Cambio y REM'!$A$24:$B$35, 2, FALSE))</f>
        <v/>
      </c>
      <c r="N797" s="107" t="str">
        <f t="shared" si="2"/>
        <v/>
      </c>
    </row>
    <row r="798">
      <c r="A798" s="102"/>
      <c r="B798" s="43" t="str">
        <f>IF(A798="", "", IFERROR(VLOOKUP(A798, Clasificaciones!A:B, 2, FALSE), "DATO NO CARGADO"))</f>
        <v/>
      </c>
      <c r="C798" s="51"/>
      <c r="D798" s="257"/>
      <c r="E798" s="102"/>
      <c r="F798" s="103"/>
      <c r="G798" s="103"/>
      <c r="H798" s="258"/>
      <c r="J798" s="103"/>
      <c r="L798" s="71"/>
      <c r="M798" s="106" t="str">
        <f>IF(ISBLANK(K798), "", VLOOKUP(C798, 'Info Tipo de Cambio y REM'!$A$24:$B$35, 2, FALSE))</f>
        <v/>
      </c>
      <c r="N798" s="107" t="str">
        <f t="shared" si="2"/>
        <v/>
      </c>
    </row>
    <row r="799">
      <c r="A799" s="102"/>
      <c r="B799" s="43" t="str">
        <f>IF(A799="", "", IFERROR(VLOOKUP(A799, Clasificaciones!A:B, 2, FALSE), "DATO NO CARGADO"))</f>
        <v/>
      </c>
      <c r="C799" s="51"/>
      <c r="D799" s="257"/>
      <c r="E799" s="102"/>
      <c r="F799" s="103"/>
      <c r="G799" s="103"/>
      <c r="H799" s="258"/>
      <c r="J799" s="103"/>
      <c r="L799" s="71"/>
      <c r="M799" s="106" t="str">
        <f>IF(ISBLANK(K799), "", VLOOKUP(C799, 'Info Tipo de Cambio y REM'!$A$24:$B$35, 2, FALSE))</f>
        <v/>
      </c>
      <c r="N799" s="107" t="str">
        <f t="shared" si="2"/>
        <v/>
      </c>
    </row>
    <row r="800">
      <c r="A800" s="102"/>
      <c r="B800" s="43" t="str">
        <f>IF(A800="", "", IFERROR(VLOOKUP(A800, Clasificaciones!A:B, 2, FALSE), "DATO NO CARGADO"))</f>
        <v/>
      </c>
      <c r="C800" s="51"/>
      <c r="D800" s="257"/>
      <c r="E800" s="102"/>
      <c r="F800" s="103"/>
      <c r="G800" s="103"/>
      <c r="H800" s="258"/>
      <c r="J800" s="103"/>
      <c r="L800" s="71"/>
      <c r="M800" s="106" t="str">
        <f>IF(ISBLANK(K800), "", VLOOKUP(C800, 'Info Tipo de Cambio y REM'!$A$24:$B$35, 2, FALSE))</f>
        <v/>
      </c>
      <c r="N800" s="107" t="str">
        <f t="shared" si="2"/>
        <v/>
      </c>
    </row>
    <row r="801">
      <c r="A801" s="102"/>
      <c r="B801" s="43" t="str">
        <f>IF(A801="", "", IFERROR(VLOOKUP(A801, Clasificaciones!A:B, 2, FALSE), "DATO NO CARGADO"))</f>
        <v/>
      </c>
      <c r="C801" s="51"/>
      <c r="D801" s="257"/>
      <c r="E801" s="102"/>
      <c r="F801" s="103"/>
      <c r="G801" s="103"/>
      <c r="H801" s="258"/>
      <c r="J801" s="103"/>
      <c r="L801" s="71"/>
      <c r="M801" s="106" t="str">
        <f>IF(ISBLANK(K801), "", VLOOKUP(C801, 'Info Tipo de Cambio y REM'!$A$24:$B$35, 2, FALSE))</f>
        <v/>
      </c>
      <c r="N801" s="107" t="str">
        <f t="shared" si="2"/>
        <v/>
      </c>
    </row>
    <row r="802">
      <c r="A802" s="102"/>
      <c r="B802" s="43" t="str">
        <f>IF(A802="", "", IFERROR(VLOOKUP(A802, Clasificaciones!A:B, 2, FALSE), "DATO NO CARGADO"))</f>
        <v/>
      </c>
      <c r="C802" s="51"/>
      <c r="D802" s="257"/>
      <c r="E802" s="102"/>
      <c r="F802" s="103"/>
      <c r="G802" s="103"/>
      <c r="H802" s="258"/>
      <c r="J802" s="103"/>
      <c r="L802" s="71"/>
      <c r="M802" s="106" t="str">
        <f>IF(ISBLANK(K802), "", VLOOKUP(C802, 'Info Tipo de Cambio y REM'!$A$24:$B$35, 2, FALSE))</f>
        <v/>
      </c>
      <c r="N802" s="107" t="str">
        <f t="shared" si="2"/>
        <v/>
      </c>
    </row>
    <row r="803">
      <c r="A803" s="102"/>
      <c r="B803" s="43" t="str">
        <f>IF(A803="", "", IFERROR(VLOOKUP(A803, Clasificaciones!A:B, 2, FALSE), "DATO NO CARGADO"))</f>
        <v/>
      </c>
      <c r="C803" s="51"/>
      <c r="D803" s="257"/>
      <c r="E803" s="102"/>
      <c r="F803" s="103"/>
      <c r="G803" s="103"/>
      <c r="H803" s="258"/>
      <c r="J803" s="103"/>
      <c r="L803" s="71"/>
      <c r="M803" s="106" t="str">
        <f>IF(ISBLANK(K803), "", VLOOKUP(C803, 'Info Tipo de Cambio y REM'!$A$24:$B$35, 2, FALSE))</f>
        <v/>
      </c>
      <c r="N803" s="107" t="str">
        <f t="shared" si="2"/>
        <v/>
      </c>
    </row>
    <row r="804">
      <c r="A804" s="102"/>
      <c r="B804" s="43" t="str">
        <f>IF(A804="", "", IFERROR(VLOOKUP(A804, Clasificaciones!A:B, 2, FALSE), "DATO NO CARGADO"))</f>
        <v/>
      </c>
      <c r="C804" s="51"/>
      <c r="D804" s="257"/>
      <c r="E804" s="102"/>
      <c r="F804" s="103"/>
      <c r="G804" s="103"/>
      <c r="H804" s="258"/>
      <c r="J804" s="103"/>
      <c r="L804" s="71"/>
      <c r="M804" s="106" t="str">
        <f>IF(ISBLANK(K804), "", VLOOKUP(C804, 'Info Tipo de Cambio y REM'!$A$24:$B$35, 2, FALSE))</f>
        <v/>
      </c>
      <c r="N804" s="107" t="str">
        <f t="shared" si="2"/>
        <v/>
      </c>
    </row>
    <row r="805">
      <c r="A805" s="102"/>
      <c r="B805" s="43" t="str">
        <f>IF(A805="", "", IFERROR(VLOOKUP(A805, Clasificaciones!A:B, 2, FALSE), "DATO NO CARGADO"))</f>
        <v/>
      </c>
      <c r="C805" s="51"/>
      <c r="D805" s="257"/>
      <c r="E805" s="102"/>
      <c r="F805" s="103"/>
      <c r="G805" s="103"/>
      <c r="H805" s="258"/>
      <c r="J805" s="103"/>
      <c r="L805" s="71"/>
      <c r="M805" s="106" t="str">
        <f>IF(ISBLANK(K805), "", VLOOKUP(C805, 'Info Tipo de Cambio y REM'!$A$24:$B$35, 2, FALSE))</f>
        <v/>
      </c>
      <c r="N805" s="107" t="str">
        <f t="shared" si="2"/>
        <v/>
      </c>
    </row>
    <row r="806">
      <c r="A806" s="102"/>
      <c r="B806" s="43" t="str">
        <f>IF(A806="", "", IFERROR(VLOOKUP(A806, Clasificaciones!A:B, 2, FALSE), "DATO NO CARGADO"))</f>
        <v/>
      </c>
      <c r="C806" s="51"/>
      <c r="D806" s="257"/>
      <c r="E806" s="102"/>
      <c r="F806" s="103"/>
      <c r="G806" s="103"/>
      <c r="H806" s="258"/>
      <c r="J806" s="103"/>
      <c r="L806" s="71"/>
      <c r="M806" s="106" t="str">
        <f>IF(ISBLANK(K806), "", VLOOKUP(C806, 'Info Tipo de Cambio y REM'!$A$24:$B$35, 2, FALSE))</f>
        <v/>
      </c>
      <c r="N806" s="107" t="str">
        <f t="shared" si="2"/>
        <v/>
      </c>
    </row>
    <row r="807">
      <c r="A807" s="102"/>
      <c r="B807" s="43" t="str">
        <f>IF(A807="", "", IFERROR(VLOOKUP(A807, Clasificaciones!A:B, 2, FALSE), "DATO NO CARGADO"))</f>
        <v/>
      </c>
      <c r="C807" s="51"/>
      <c r="D807" s="257"/>
      <c r="E807" s="102"/>
      <c r="F807" s="103"/>
      <c r="G807" s="103"/>
      <c r="H807" s="258"/>
      <c r="J807" s="103"/>
      <c r="L807" s="71"/>
      <c r="M807" s="106" t="str">
        <f>IF(ISBLANK(K807), "", VLOOKUP(C807, 'Info Tipo de Cambio y REM'!$A$24:$B$35, 2, FALSE))</f>
        <v/>
      </c>
      <c r="N807" s="107" t="str">
        <f t="shared" si="2"/>
        <v/>
      </c>
    </row>
    <row r="808">
      <c r="A808" s="102"/>
      <c r="B808" s="43" t="str">
        <f>IF(A808="", "", IFERROR(VLOOKUP(A808, Clasificaciones!A:B, 2, FALSE), "DATO NO CARGADO"))</f>
        <v/>
      </c>
      <c r="C808" s="51"/>
      <c r="D808" s="257"/>
      <c r="E808" s="102"/>
      <c r="F808" s="103"/>
      <c r="G808" s="103"/>
      <c r="H808" s="258"/>
      <c r="J808" s="103"/>
      <c r="L808" s="71"/>
      <c r="M808" s="106" t="str">
        <f>IF(ISBLANK(K808), "", VLOOKUP(C808, 'Info Tipo de Cambio y REM'!$A$24:$B$35, 2, FALSE))</f>
        <v/>
      </c>
      <c r="N808" s="107" t="str">
        <f t="shared" si="2"/>
        <v/>
      </c>
    </row>
    <row r="809">
      <c r="A809" s="102"/>
      <c r="B809" s="43" t="str">
        <f>IF(A809="", "", IFERROR(VLOOKUP(A809, Clasificaciones!A:B, 2, FALSE), "DATO NO CARGADO"))</f>
        <v/>
      </c>
      <c r="C809" s="51"/>
      <c r="D809" s="257"/>
      <c r="E809" s="102"/>
      <c r="F809" s="103"/>
      <c r="G809" s="103"/>
      <c r="H809" s="258"/>
      <c r="J809" s="103"/>
      <c r="L809" s="71"/>
      <c r="M809" s="106" t="str">
        <f>IF(ISBLANK(K809), "", VLOOKUP(C809, 'Info Tipo de Cambio y REM'!$A$24:$B$35, 2, FALSE))</f>
        <v/>
      </c>
      <c r="N809" s="107" t="str">
        <f t="shared" si="2"/>
        <v/>
      </c>
    </row>
    <row r="810">
      <c r="A810" s="102"/>
      <c r="B810" s="43" t="str">
        <f>IF(A810="", "", IFERROR(VLOOKUP(A810, Clasificaciones!A:B, 2, FALSE), "DATO NO CARGADO"))</f>
        <v/>
      </c>
      <c r="C810" s="51"/>
      <c r="D810" s="257"/>
      <c r="E810" s="102"/>
      <c r="F810" s="103"/>
      <c r="G810" s="103"/>
      <c r="H810" s="258"/>
      <c r="J810" s="103"/>
      <c r="L810" s="71"/>
      <c r="M810" s="106" t="str">
        <f>IF(ISBLANK(K810), "", VLOOKUP(C810, 'Info Tipo de Cambio y REM'!$A$24:$B$35, 2, FALSE))</f>
        <v/>
      </c>
      <c r="N810" s="107" t="str">
        <f t="shared" si="2"/>
        <v/>
      </c>
    </row>
    <row r="811">
      <c r="A811" s="102"/>
      <c r="B811" s="43" t="str">
        <f>IF(A811="", "", IFERROR(VLOOKUP(A811, Clasificaciones!A:B, 2, FALSE), "DATO NO CARGADO"))</f>
        <v/>
      </c>
      <c r="C811" s="51"/>
      <c r="D811" s="257"/>
      <c r="E811" s="102"/>
      <c r="F811" s="103"/>
      <c r="G811" s="103"/>
      <c r="H811" s="258"/>
      <c r="J811" s="103"/>
      <c r="L811" s="71"/>
      <c r="M811" s="106" t="str">
        <f>IF(ISBLANK(K811), "", VLOOKUP(C811, 'Info Tipo de Cambio y REM'!$A$24:$B$35, 2, FALSE))</f>
        <v/>
      </c>
      <c r="N811" s="107" t="str">
        <f t="shared" si="2"/>
        <v/>
      </c>
    </row>
    <row r="812">
      <c r="A812" s="102"/>
      <c r="B812" s="43" t="str">
        <f>IF(A812="", "", IFERROR(VLOOKUP(A812, Clasificaciones!A:B, 2, FALSE), "DATO NO CARGADO"))</f>
        <v/>
      </c>
      <c r="C812" s="51"/>
      <c r="D812" s="257"/>
      <c r="E812" s="102"/>
      <c r="F812" s="103"/>
      <c r="G812" s="103"/>
      <c r="H812" s="258"/>
      <c r="J812" s="103"/>
      <c r="L812" s="71"/>
      <c r="M812" s="106" t="str">
        <f>IF(ISBLANK(K812), "", VLOOKUP(C812, 'Info Tipo de Cambio y REM'!$A$24:$B$35, 2, FALSE))</f>
        <v/>
      </c>
      <c r="N812" s="107" t="str">
        <f t="shared" si="2"/>
        <v/>
      </c>
    </row>
    <row r="813">
      <c r="A813" s="102"/>
      <c r="B813" s="43" t="str">
        <f>IF(A813="", "", IFERROR(VLOOKUP(A813, Clasificaciones!A:B, 2, FALSE), "DATO NO CARGADO"))</f>
        <v/>
      </c>
      <c r="C813" s="51"/>
      <c r="D813" s="257"/>
      <c r="E813" s="102"/>
      <c r="F813" s="103"/>
      <c r="G813" s="103"/>
      <c r="H813" s="258"/>
      <c r="J813" s="103"/>
      <c r="L813" s="71"/>
      <c r="M813" s="106" t="str">
        <f>IF(ISBLANK(K813), "", VLOOKUP(C813, 'Info Tipo de Cambio y REM'!$A$24:$B$35, 2, FALSE))</f>
        <v/>
      </c>
      <c r="N813" s="107" t="str">
        <f t="shared" si="2"/>
        <v/>
      </c>
    </row>
    <row r="814">
      <c r="A814" s="102"/>
      <c r="B814" s="43" t="str">
        <f>IF(A814="", "", IFERROR(VLOOKUP(A814, Clasificaciones!A:B, 2, FALSE), "DATO NO CARGADO"))</f>
        <v/>
      </c>
      <c r="C814" s="51"/>
      <c r="D814" s="257"/>
      <c r="E814" s="102"/>
      <c r="F814" s="103"/>
      <c r="G814" s="103"/>
      <c r="H814" s="258"/>
      <c r="J814" s="103"/>
      <c r="L814" s="71"/>
      <c r="M814" s="106" t="str">
        <f>IF(ISBLANK(K814), "", VLOOKUP(C814, 'Info Tipo de Cambio y REM'!$A$24:$B$35, 2, FALSE))</f>
        <v/>
      </c>
      <c r="N814" s="107" t="str">
        <f t="shared" si="2"/>
        <v/>
      </c>
    </row>
    <row r="815">
      <c r="A815" s="102"/>
      <c r="B815" s="43" t="str">
        <f>IF(A815="", "", IFERROR(VLOOKUP(A815, Clasificaciones!A:B, 2, FALSE), "DATO NO CARGADO"))</f>
        <v/>
      </c>
      <c r="C815" s="51"/>
      <c r="D815" s="257"/>
      <c r="E815" s="102"/>
      <c r="F815" s="103"/>
      <c r="G815" s="103"/>
      <c r="H815" s="258"/>
      <c r="J815" s="103"/>
      <c r="L815" s="71"/>
      <c r="M815" s="106" t="str">
        <f>IF(ISBLANK(K815), "", VLOOKUP(C815, 'Info Tipo de Cambio y REM'!$A$24:$B$35, 2, FALSE))</f>
        <v/>
      </c>
      <c r="N815" s="107" t="str">
        <f t="shared" si="2"/>
        <v/>
      </c>
    </row>
    <row r="816">
      <c r="A816" s="102"/>
      <c r="B816" s="43" t="str">
        <f>IF(A816="", "", IFERROR(VLOOKUP(A816, Clasificaciones!A:B, 2, FALSE), "DATO NO CARGADO"))</f>
        <v/>
      </c>
      <c r="C816" s="51"/>
      <c r="D816" s="257"/>
      <c r="E816" s="102"/>
      <c r="F816" s="103"/>
      <c r="G816" s="103"/>
      <c r="H816" s="258"/>
      <c r="J816" s="103"/>
      <c r="L816" s="71"/>
      <c r="M816" s="106" t="str">
        <f>IF(ISBLANK(K816), "", VLOOKUP(C816, 'Info Tipo de Cambio y REM'!$A$24:$B$35, 2, FALSE))</f>
        <v/>
      </c>
      <c r="N816" s="107" t="str">
        <f t="shared" si="2"/>
        <v/>
      </c>
    </row>
    <row r="817">
      <c r="A817" s="102"/>
      <c r="B817" s="43" t="str">
        <f>IF(A817="", "", IFERROR(VLOOKUP(A817, Clasificaciones!A:B, 2, FALSE), "DATO NO CARGADO"))</f>
        <v/>
      </c>
      <c r="C817" s="51"/>
      <c r="D817" s="257"/>
      <c r="E817" s="102"/>
      <c r="F817" s="103"/>
      <c r="G817" s="103"/>
      <c r="H817" s="258"/>
      <c r="J817" s="103"/>
      <c r="L817" s="71"/>
      <c r="M817" s="106" t="str">
        <f>IF(ISBLANK(K817), "", VLOOKUP(C817, 'Info Tipo de Cambio y REM'!$A$24:$B$35, 2, FALSE))</f>
        <v/>
      </c>
      <c r="N817" s="107" t="str">
        <f t="shared" si="2"/>
        <v/>
      </c>
    </row>
    <row r="818">
      <c r="A818" s="102"/>
      <c r="B818" s="43" t="str">
        <f>IF(A818="", "", IFERROR(VLOOKUP(A818, Clasificaciones!A:B, 2, FALSE), "DATO NO CARGADO"))</f>
        <v/>
      </c>
      <c r="C818" s="51"/>
      <c r="D818" s="257"/>
      <c r="E818" s="102"/>
      <c r="F818" s="103"/>
      <c r="G818" s="103"/>
      <c r="H818" s="258"/>
      <c r="J818" s="103"/>
      <c r="L818" s="71"/>
      <c r="M818" s="106" t="str">
        <f>IF(ISBLANK(K818), "", VLOOKUP(C818, 'Info Tipo de Cambio y REM'!$A$24:$B$35, 2, FALSE))</f>
        <v/>
      </c>
      <c r="N818" s="107" t="str">
        <f t="shared" si="2"/>
        <v/>
      </c>
    </row>
    <row r="819">
      <c r="A819" s="102"/>
      <c r="B819" s="43" t="str">
        <f>IF(A819="", "", IFERROR(VLOOKUP(A819, Clasificaciones!A:B, 2, FALSE), "DATO NO CARGADO"))</f>
        <v/>
      </c>
      <c r="C819" s="51"/>
      <c r="D819" s="257"/>
      <c r="E819" s="102"/>
      <c r="F819" s="103"/>
      <c r="G819" s="103"/>
      <c r="H819" s="258"/>
      <c r="J819" s="103"/>
      <c r="L819" s="71"/>
      <c r="M819" s="106" t="str">
        <f>IF(ISBLANK(K819), "", VLOOKUP(C819, 'Info Tipo de Cambio y REM'!$A$24:$B$35, 2, FALSE))</f>
        <v/>
      </c>
      <c r="N819" s="107" t="str">
        <f t="shared" si="2"/>
        <v/>
      </c>
    </row>
    <row r="820">
      <c r="A820" s="102"/>
      <c r="B820" s="43" t="str">
        <f>IF(A820="", "", IFERROR(VLOOKUP(A820, Clasificaciones!A:B, 2, FALSE), "DATO NO CARGADO"))</f>
        <v/>
      </c>
      <c r="C820" s="51"/>
      <c r="D820" s="257"/>
      <c r="E820" s="102"/>
      <c r="F820" s="103"/>
      <c r="G820" s="103"/>
      <c r="H820" s="258"/>
      <c r="J820" s="103"/>
      <c r="L820" s="71"/>
      <c r="M820" s="106" t="str">
        <f>IF(ISBLANK(K820), "", VLOOKUP(C820, 'Info Tipo de Cambio y REM'!$A$24:$B$35, 2, FALSE))</f>
        <v/>
      </c>
      <c r="N820" s="107" t="str">
        <f t="shared" si="2"/>
        <v/>
      </c>
    </row>
    <row r="821">
      <c r="A821" s="102"/>
      <c r="B821" s="43" t="str">
        <f>IF(A821="", "", IFERROR(VLOOKUP(A821, Clasificaciones!A:B, 2, FALSE), "DATO NO CARGADO"))</f>
        <v/>
      </c>
      <c r="C821" s="51"/>
      <c r="D821" s="257"/>
      <c r="E821" s="102"/>
      <c r="F821" s="103"/>
      <c r="G821" s="103"/>
      <c r="H821" s="258"/>
      <c r="J821" s="103"/>
      <c r="L821" s="71"/>
      <c r="M821" s="106" t="str">
        <f>IF(ISBLANK(K821), "", VLOOKUP(C821, 'Info Tipo de Cambio y REM'!$A$24:$B$35, 2, FALSE))</f>
        <v/>
      </c>
      <c r="N821" s="107" t="str">
        <f t="shared" si="2"/>
        <v/>
      </c>
    </row>
    <row r="822">
      <c r="A822" s="102"/>
      <c r="B822" s="43" t="str">
        <f>IF(A822="", "", IFERROR(VLOOKUP(A822, Clasificaciones!A:B, 2, FALSE), "DATO NO CARGADO"))</f>
        <v/>
      </c>
      <c r="C822" s="51"/>
      <c r="D822" s="257"/>
      <c r="E822" s="102"/>
      <c r="F822" s="103"/>
      <c r="G822" s="103"/>
      <c r="H822" s="258"/>
      <c r="J822" s="103"/>
      <c r="L822" s="71"/>
      <c r="M822" s="106" t="str">
        <f>IF(ISBLANK(K822), "", VLOOKUP(C822, 'Info Tipo de Cambio y REM'!$A$24:$B$35, 2, FALSE))</f>
        <v/>
      </c>
      <c r="N822" s="107" t="str">
        <f t="shared" si="2"/>
        <v/>
      </c>
    </row>
    <row r="823">
      <c r="A823" s="102"/>
      <c r="B823" s="43" t="str">
        <f>IF(A823="", "", IFERROR(VLOOKUP(A823, Clasificaciones!A:B, 2, FALSE), "DATO NO CARGADO"))</f>
        <v/>
      </c>
      <c r="C823" s="51"/>
      <c r="D823" s="257"/>
      <c r="E823" s="102"/>
      <c r="F823" s="103"/>
      <c r="G823" s="103"/>
      <c r="H823" s="258"/>
      <c r="J823" s="103"/>
      <c r="L823" s="71"/>
      <c r="M823" s="106" t="str">
        <f>IF(ISBLANK(K823), "", VLOOKUP(C823, 'Info Tipo de Cambio y REM'!$A$24:$B$35, 2, FALSE))</f>
        <v/>
      </c>
      <c r="N823" s="107" t="str">
        <f t="shared" si="2"/>
        <v/>
      </c>
    </row>
    <row r="824">
      <c r="A824" s="102"/>
      <c r="B824" s="43" t="str">
        <f>IF(A824="", "", IFERROR(VLOOKUP(A824, Clasificaciones!A:B, 2, FALSE), "DATO NO CARGADO"))</f>
        <v/>
      </c>
      <c r="C824" s="51"/>
      <c r="D824" s="257"/>
      <c r="E824" s="102"/>
      <c r="F824" s="103"/>
      <c r="G824" s="103"/>
      <c r="H824" s="258"/>
      <c r="J824" s="103"/>
      <c r="L824" s="71"/>
      <c r="M824" s="106" t="str">
        <f>IF(ISBLANK(K824), "", VLOOKUP(C824, 'Info Tipo de Cambio y REM'!$A$24:$B$35, 2, FALSE))</f>
        <v/>
      </c>
      <c r="N824" s="107" t="str">
        <f t="shared" si="2"/>
        <v/>
      </c>
    </row>
    <row r="825">
      <c r="A825" s="102"/>
      <c r="B825" s="43" t="str">
        <f>IF(A825="", "", IFERROR(VLOOKUP(A825, Clasificaciones!A:B, 2, FALSE), "DATO NO CARGADO"))</f>
        <v/>
      </c>
      <c r="C825" s="51"/>
      <c r="D825" s="257"/>
      <c r="E825" s="102"/>
      <c r="F825" s="103"/>
      <c r="G825" s="103"/>
      <c r="H825" s="258"/>
      <c r="J825" s="103"/>
      <c r="L825" s="71"/>
      <c r="M825" s="106" t="str">
        <f>IF(ISBLANK(K825), "", VLOOKUP(C825, 'Info Tipo de Cambio y REM'!$A$24:$B$35, 2, FALSE))</f>
        <v/>
      </c>
      <c r="N825" s="107" t="str">
        <f t="shared" si="2"/>
        <v/>
      </c>
    </row>
    <row r="826">
      <c r="A826" s="102"/>
      <c r="B826" s="43" t="str">
        <f>IF(A826="", "", IFERROR(VLOOKUP(A826, Clasificaciones!A:B, 2, FALSE), "DATO NO CARGADO"))</f>
        <v/>
      </c>
      <c r="C826" s="51"/>
      <c r="D826" s="257"/>
      <c r="E826" s="102"/>
      <c r="F826" s="103"/>
      <c r="G826" s="103"/>
      <c r="H826" s="258"/>
      <c r="J826" s="103"/>
      <c r="L826" s="71"/>
      <c r="M826" s="106" t="str">
        <f>IF(ISBLANK(K826), "", VLOOKUP(C826, 'Info Tipo de Cambio y REM'!$A$24:$B$35, 2, FALSE))</f>
        <v/>
      </c>
      <c r="N826" s="107" t="str">
        <f t="shared" si="2"/>
        <v/>
      </c>
    </row>
    <row r="827">
      <c r="A827" s="102"/>
      <c r="B827" s="43" t="str">
        <f>IF(A827="", "", IFERROR(VLOOKUP(A827, Clasificaciones!A:B, 2, FALSE), "DATO NO CARGADO"))</f>
        <v/>
      </c>
      <c r="C827" s="51"/>
      <c r="D827" s="257"/>
      <c r="E827" s="102"/>
      <c r="F827" s="103"/>
      <c r="G827" s="103"/>
      <c r="H827" s="258"/>
      <c r="J827" s="103"/>
      <c r="L827" s="71"/>
      <c r="M827" s="106" t="str">
        <f>IF(ISBLANK(K827), "", VLOOKUP(C827, 'Info Tipo de Cambio y REM'!$A$24:$B$35, 2, FALSE))</f>
        <v/>
      </c>
      <c r="N827" s="107" t="str">
        <f t="shared" si="2"/>
        <v/>
      </c>
    </row>
    <row r="828">
      <c r="A828" s="102"/>
      <c r="B828" s="43" t="str">
        <f>IF(A828="", "", IFERROR(VLOOKUP(A828, Clasificaciones!A:B, 2, FALSE), "DATO NO CARGADO"))</f>
        <v/>
      </c>
      <c r="C828" s="51"/>
      <c r="D828" s="257"/>
      <c r="E828" s="102"/>
      <c r="F828" s="103"/>
      <c r="G828" s="103"/>
      <c r="H828" s="258"/>
      <c r="J828" s="103"/>
      <c r="L828" s="71"/>
      <c r="M828" s="106" t="str">
        <f>IF(ISBLANK(K828), "", VLOOKUP(C828, 'Info Tipo de Cambio y REM'!$A$24:$B$35, 2, FALSE))</f>
        <v/>
      </c>
      <c r="N828" s="107" t="str">
        <f t="shared" si="2"/>
        <v/>
      </c>
    </row>
    <row r="829">
      <c r="A829" s="102"/>
      <c r="B829" s="43" t="str">
        <f>IF(A829="", "", IFERROR(VLOOKUP(A829, Clasificaciones!A:B, 2, FALSE), "DATO NO CARGADO"))</f>
        <v/>
      </c>
      <c r="C829" s="51"/>
      <c r="D829" s="257"/>
      <c r="E829" s="102"/>
      <c r="F829" s="103"/>
      <c r="G829" s="103"/>
      <c r="H829" s="258"/>
      <c r="J829" s="103"/>
      <c r="L829" s="71"/>
      <c r="M829" s="106" t="str">
        <f>IF(ISBLANK(K829), "", VLOOKUP(C829, 'Info Tipo de Cambio y REM'!$A$24:$B$35, 2, FALSE))</f>
        <v/>
      </c>
      <c r="N829" s="107" t="str">
        <f t="shared" si="2"/>
        <v/>
      </c>
    </row>
    <row r="830">
      <c r="A830" s="102"/>
      <c r="B830" s="43" t="str">
        <f>IF(A830="", "", IFERROR(VLOOKUP(A830, Clasificaciones!A:B, 2, FALSE), "DATO NO CARGADO"))</f>
        <v/>
      </c>
      <c r="C830" s="51"/>
      <c r="D830" s="257"/>
      <c r="E830" s="102"/>
      <c r="F830" s="103"/>
      <c r="G830" s="103"/>
      <c r="H830" s="258"/>
      <c r="J830" s="103"/>
      <c r="L830" s="71"/>
      <c r="M830" s="106" t="str">
        <f>IF(ISBLANK(K830), "", VLOOKUP(C830, 'Info Tipo de Cambio y REM'!$A$24:$B$35, 2, FALSE))</f>
        <v/>
      </c>
      <c r="N830" s="107" t="str">
        <f t="shared" si="2"/>
        <v/>
      </c>
    </row>
    <row r="831">
      <c r="A831" s="102"/>
      <c r="B831" s="43" t="str">
        <f>IF(A831="", "", IFERROR(VLOOKUP(A831, Clasificaciones!A:B, 2, FALSE), "DATO NO CARGADO"))</f>
        <v/>
      </c>
      <c r="C831" s="51"/>
      <c r="D831" s="257"/>
      <c r="E831" s="102"/>
      <c r="F831" s="103"/>
      <c r="G831" s="103"/>
      <c r="H831" s="258"/>
      <c r="J831" s="103"/>
      <c r="L831" s="71"/>
      <c r="M831" s="106" t="str">
        <f>IF(ISBLANK(K831), "", VLOOKUP(C831, 'Info Tipo de Cambio y REM'!$A$24:$B$35, 2, FALSE))</f>
        <v/>
      </c>
      <c r="N831" s="107" t="str">
        <f t="shared" si="2"/>
        <v/>
      </c>
    </row>
    <row r="832">
      <c r="A832" s="102"/>
      <c r="B832" s="43" t="str">
        <f>IF(A832="", "", IFERROR(VLOOKUP(A832, Clasificaciones!A:B, 2, FALSE), "DATO NO CARGADO"))</f>
        <v/>
      </c>
      <c r="C832" s="51"/>
      <c r="D832" s="257"/>
      <c r="E832" s="102"/>
      <c r="F832" s="103"/>
      <c r="G832" s="103"/>
      <c r="H832" s="258"/>
      <c r="J832" s="103"/>
      <c r="L832" s="71"/>
      <c r="M832" s="106" t="str">
        <f>IF(ISBLANK(K832), "", VLOOKUP(C832, 'Info Tipo de Cambio y REM'!$A$24:$B$35, 2, FALSE))</f>
        <v/>
      </c>
      <c r="N832" s="107" t="str">
        <f t="shared" si="2"/>
        <v/>
      </c>
    </row>
    <row r="833">
      <c r="A833" s="102"/>
      <c r="B833" s="43" t="str">
        <f>IF(A833="", "", IFERROR(VLOOKUP(A833, Clasificaciones!A:B, 2, FALSE), "DATO NO CARGADO"))</f>
        <v/>
      </c>
      <c r="C833" s="51"/>
      <c r="D833" s="257"/>
      <c r="E833" s="102"/>
      <c r="F833" s="103"/>
      <c r="G833" s="103"/>
      <c r="H833" s="258"/>
      <c r="J833" s="103"/>
      <c r="L833" s="71"/>
      <c r="M833" s="106" t="str">
        <f>IF(ISBLANK(K833), "", VLOOKUP(C833, 'Info Tipo de Cambio y REM'!$A$24:$B$35, 2, FALSE))</f>
        <v/>
      </c>
      <c r="N833" s="107" t="str">
        <f t="shared" si="2"/>
        <v/>
      </c>
    </row>
    <row r="834">
      <c r="A834" s="102"/>
      <c r="B834" s="43" t="str">
        <f>IF(A834="", "", IFERROR(VLOOKUP(A834, Clasificaciones!A:B, 2, FALSE), "DATO NO CARGADO"))</f>
        <v/>
      </c>
      <c r="C834" s="51"/>
      <c r="D834" s="257"/>
      <c r="E834" s="102"/>
      <c r="F834" s="103"/>
      <c r="G834" s="103"/>
      <c r="H834" s="258"/>
      <c r="J834" s="103"/>
      <c r="L834" s="71"/>
      <c r="M834" s="106" t="str">
        <f>IF(ISBLANK(K834), "", VLOOKUP(C834, 'Info Tipo de Cambio y REM'!$A$24:$B$35, 2, FALSE))</f>
        <v/>
      </c>
      <c r="N834" s="107" t="str">
        <f t="shared" si="2"/>
        <v/>
      </c>
    </row>
    <row r="835">
      <c r="A835" s="102"/>
      <c r="B835" s="43" t="str">
        <f>IF(A835="", "", IFERROR(VLOOKUP(A835, Clasificaciones!A:B, 2, FALSE), "DATO NO CARGADO"))</f>
        <v/>
      </c>
      <c r="C835" s="51"/>
      <c r="D835" s="257"/>
      <c r="E835" s="102"/>
      <c r="F835" s="103"/>
      <c r="G835" s="103"/>
      <c r="H835" s="258"/>
      <c r="J835" s="103"/>
      <c r="L835" s="71"/>
      <c r="M835" s="106" t="str">
        <f>IF(ISBLANK(K835), "", VLOOKUP(C835, 'Info Tipo de Cambio y REM'!$A$24:$B$35, 2, FALSE))</f>
        <v/>
      </c>
      <c r="N835" s="107" t="str">
        <f t="shared" si="2"/>
        <v/>
      </c>
    </row>
    <row r="836">
      <c r="A836" s="102"/>
      <c r="B836" s="43" t="str">
        <f>IF(A836="", "", IFERROR(VLOOKUP(A836, Clasificaciones!A:B, 2, FALSE), "DATO NO CARGADO"))</f>
        <v/>
      </c>
      <c r="C836" s="51"/>
      <c r="D836" s="257"/>
      <c r="E836" s="102"/>
      <c r="F836" s="103"/>
      <c r="G836" s="103"/>
      <c r="H836" s="258"/>
      <c r="J836" s="103"/>
      <c r="L836" s="71"/>
      <c r="M836" s="106" t="str">
        <f>IF(ISBLANK(K836), "", VLOOKUP(C836, 'Info Tipo de Cambio y REM'!$A$24:$B$35, 2, FALSE))</f>
        <v/>
      </c>
      <c r="N836" s="107" t="str">
        <f t="shared" si="2"/>
        <v/>
      </c>
    </row>
    <row r="837">
      <c r="A837" s="102"/>
      <c r="B837" s="43" t="str">
        <f>IF(A837="", "", IFERROR(VLOOKUP(A837, Clasificaciones!A:B, 2, FALSE), "DATO NO CARGADO"))</f>
        <v/>
      </c>
      <c r="C837" s="51"/>
      <c r="D837" s="257"/>
      <c r="E837" s="102"/>
      <c r="F837" s="103"/>
      <c r="G837" s="103"/>
      <c r="H837" s="258"/>
      <c r="J837" s="103"/>
      <c r="L837" s="71"/>
      <c r="M837" s="106" t="str">
        <f>IF(ISBLANK(K837), "", VLOOKUP(C837, 'Info Tipo de Cambio y REM'!$A$24:$B$35, 2, FALSE))</f>
        <v/>
      </c>
      <c r="N837" s="107" t="str">
        <f t="shared" si="2"/>
        <v/>
      </c>
    </row>
    <row r="838">
      <c r="A838" s="102"/>
      <c r="B838" s="43" t="str">
        <f>IF(A838="", "", IFERROR(VLOOKUP(A838, Clasificaciones!A:B, 2, FALSE), "DATO NO CARGADO"))</f>
        <v/>
      </c>
      <c r="C838" s="51"/>
      <c r="D838" s="257"/>
      <c r="E838" s="102"/>
      <c r="F838" s="103"/>
      <c r="G838" s="103"/>
      <c r="H838" s="258"/>
      <c r="J838" s="103"/>
      <c r="L838" s="71"/>
      <c r="M838" s="106" t="str">
        <f>IF(ISBLANK(K838), "", VLOOKUP(C838, 'Info Tipo de Cambio y REM'!$A$24:$B$35, 2, FALSE))</f>
        <v/>
      </c>
      <c r="N838" s="107" t="str">
        <f t="shared" si="2"/>
        <v/>
      </c>
    </row>
    <row r="839">
      <c r="A839" s="102"/>
      <c r="B839" s="43" t="str">
        <f>IF(A839="", "", IFERROR(VLOOKUP(A839, Clasificaciones!A:B, 2, FALSE), "DATO NO CARGADO"))</f>
        <v/>
      </c>
      <c r="C839" s="51"/>
      <c r="D839" s="257"/>
      <c r="E839" s="102"/>
      <c r="F839" s="103"/>
      <c r="G839" s="103"/>
      <c r="H839" s="258"/>
      <c r="J839" s="103"/>
      <c r="L839" s="71"/>
      <c r="M839" s="106" t="str">
        <f>IF(ISBLANK(K839), "", VLOOKUP(C839, 'Info Tipo de Cambio y REM'!$A$24:$B$35, 2, FALSE))</f>
        <v/>
      </c>
      <c r="N839" s="107" t="str">
        <f t="shared" si="2"/>
        <v/>
      </c>
    </row>
    <row r="840">
      <c r="A840" s="102"/>
      <c r="B840" s="43" t="str">
        <f>IF(A840="", "", IFERROR(VLOOKUP(A840, Clasificaciones!A:B, 2, FALSE), "DATO NO CARGADO"))</f>
        <v/>
      </c>
      <c r="C840" s="51"/>
      <c r="D840" s="257"/>
      <c r="E840" s="102"/>
      <c r="F840" s="103"/>
      <c r="G840" s="103"/>
      <c r="H840" s="258"/>
      <c r="J840" s="103"/>
      <c r="L840" s="71"/>
      <c r="M840" s="106" t="str">
        <f>IF(ISBLANK(K840), "", VLOOKUP(C840, 'Info Tipo de Cambio y REM'!$A$24:$B$35, 2, FALSE))</f>
        <v/>
      </c>
      <c r="N840" s="107" t="str">
        <f t="shared" si="2"/>
        <v/>
      </c>
    </row>
    <row r="841">
      <c r="A841" s="102"/>
      <c r="B841" s="43" t="str">
        <f>IF(A841="", "", IFERROR(VLOOKUP(A841, Clasificaciones!A:B, 2, FALSE), "DATO NO CARGADO"))</f>
        <v/>
      </c>
      <c r="C841" s="51"/>
      <c r="D841" s="257"/>
      <c r="E841" s="102"/>
      <c r="F841" s="103"/>
      <c r="G841" s="103"/>
      <c r="H841" s="258"/>
      <c r="J841" s="103"/>
      <c r="L841" s="71"/>
      <c r="M841" s="106" t="str">
        <f>IF(ISBLANK(K841), "", VLOOKUP(C841, 'Info Tipo de Cambio y REM'!$A$24:$B$35, 2, FALSE))</f>
        <v/>
      </c>
      <c r="N841" s="107" t="str">
        <f t="shared" si="2"/>
        <v/>
      </c>
    </row>
    <row r="842">
      <c r="A842" s="102"/>
      <c r="B842" s="43" t="str">
        <f>IF(A842="", "", IFERROR(VLOOKUP(A842, Clasificaciones!A:B, 2, FALSE), "DATO NO CARGADO"))</f>
        <v/>
      </c>
      <c r="C842" s="51"/>
      <c r="D842" s="257"/>
      <c r="E842" s="102"/>
      <c r="F842" s="103"/>
      <c r="G842" s="103"/>
      <c r="H842" s="258"/>
      <c r="J842" s="103"/>
      <c r="L842" s="71"/>
      <c r="M842" s="106" t="str">
        <f>IF(ISBLANK(K842), "", VLOOKUP(C842, 'Info Tipo de Cambio y REM'!$A$24:$B$35, 2, FALSE))</f>
        <v/>
      </c>
      <c r="N842" s="107" t="str">
        <f t="shared" si="2"/>
        <v/>
      </c>
    </row>
    <row r="843">
      <c r="A843" s="102"/>
      <c r="B843" s="43" t="str">
        <f>IF(A843="", "", IFERROR(VLOOKUP(A843, Clasificaciones!A:B, 2, FALSE), "DATO NO CARGADO"))</f>
        <v/>
      </c>
      <c r="C843" s="51"/>
      <c r="D843" s="257"/>
      <c r="E843" s="102"/>
      <c r="F843" s="103"/>
      <c r="G843" s="103"/>
      <c r="H843" s="258"/>
      <c r="J843" s="103"/>
      <c r="L843" s="71"/>
      <c r="M843" s="106" t="str">
        <f>IF(ISBLANK(K843), "", VLOOKUP(C843, 'Info Tipo de Cambio y REM'!$A$24:$B$35, 2, FALSE))</f>
        <v/>
      </c>
      <c r="N843" s="107" t="str">
        <f t="shared" si="2"/>
        <v/>
      </c>
    </row>
    <row r="844">
      <c r="A844" s="102"/>
      <c r="B844" s="43" t="str">
        <f>IF(A844="", "", IFERROR(VLOOKUP(A844, Clasificaciones!A:B, 2, FALSE), "DATO NO CARGADO"))</f>
        <v/>
      </c>
      <c r="C844" s="51"/>
      <c r="D844" s="257"/>
      <c r="E844" s="102"/>
      <c r="F844" s="103"/>
      <c r="G844" s="103"/>
      <c r="H844" s="258"/>
      <c r="J844" s="103"/>
      <c r="L844" s="71"/>
      <c r="M844" s="106" t="str">
        <f>IF(ISBLANK(K844), "", VLOOKUP(C844, 'Info Tipo de Cambio y REM'!$A$24:$B$35, 2, FALSE))</f>
        <v/>
      </c>
      <c r="N844" s="107" t="str">
        <f t="shared" si="2"/>
        <v/>
      </c>
    </row>
    <row r="845">
      <c r="A845" s="102"/>
      <c r="B845" s="43" t="str">
        <f>IF(A845="", "", IFERROR(VLOOKUP(A845, Clasificaciones!A:B, 2, FALSE), "DATO NO CARGADO"))</f>
        <v/>
      </c>
      <c r="C845" s="51"/>
      <c r="D845" s="257"/>
      <c r="E845" s="102"/>
      <c r="F845" s="103"/>
      <c r="G845" s="103"/>
      <c r="H845" s="258"/>
      <c r="J845" s="103"/>
      <c r="L845" s="71"/>
      <c r="M845" s="106" t="str">
        <f>IF(ISBLANK(K845), "", VLOOKUP(C845, 'Info Tipo de Cambio y REM'!$A$24:$B$35, 2, FALSE))</f>
        <v/>
      </c>
      <c r="N845" s="107" t="str">
        <f t="shared" si="2"/>
        <v/>
      </c>
    </row>
    <row r="846">
      <c r="A846" s="102"/>
      <c r="B846" s="43" t="str">
        <f>IF(A846="", "", IFERROR(VLOOKUP(A846, Clasificaciones!A:B, 2, FALSE), "DATO NO CARGADO"))</f>
        <v/>
      </c>
      <c r="C846" s="51"/>
      <c r="D846" s="257"/>
      <c r="E846" s="102"/>
      <c r="F846" s="103"/>
      <c r="G846" s="103"/>
      <c r="H846" s="258"/>
      <c r="J846" s="103"/>
      <c r="L846" s="71"/>
      <c r="M846" s="106" t="str">
        <f>IF(ISBLANK(K846), "", VLOOKUP(C846, 'Info Tipo de Cambio y REM'!$A$24:$B$35, 2, FALSE))</f>
        <v/>
      </c>
      <c r="N846" s="107" t="str">
        <f t="shared" si="2"/>
        <v/>
      </c>
    </row>
    <row r="847">
      <c r="A847" s="102"/>
      <c r="B847" s="43" t="str">
        <f>IF(A847="", "", IFERROR(VLOOKUP(A847, Clasificaciones!A:B, 2, FALSE), "DATO NO CARGADO"))</f>
        <v/>
      </c>
      <c r="C847" s="51"/>
      <c r="D847" s="257"/>
      <c r="E847" s="102"/>
      <c r="F847" s="103"/>
      <c r="G847" s="103"/>
      <c r="H847" s="258"/>
      <c r="J847" s="103"/>
      <c r="L847" s="71"/>
      <c r="M847" s="106" t="str">
        <f>IF(ISBLANK(K847), "", VLOOKUP(C847, 'Info Tipo de Cambio y REM'!$A$24:$B$35, 2, FALSE))</f>
        <v/>
      </c>
      <c r="N847" s="107" t="str">
        <f t="shared" si="2"/>
        <v/>
      </c>
    </row>
    <row r="848">
      <c r="A848" s="102"/>
      <c r="B848" s="43" t="str">
        <f>IF(A848="", "", IFERROR(VLOOKUP(A848, Clasificaciones!A:B, 2, FALSE), "DATO NO CARGADO"))</f>
        <v/>
      </c>
      <c r="C848" s="51"/>
      <c r="D848" s="257"/>
      <c r="E848" s="102"/>
      <c r="F848" s="103"/>
      <c r="G848" s="103"/>
      <c r="H848" s="258"/>
      <c r="J848" s="103"/>
      <c r="L848" s="71"/>
      <c r="M848" s="106" t="str">
        <f>IF(ISBLANK(K848), "", VLOOKUP(C848, 'Info Tipo de Cambio y REM'!$A$24:$B$35, 2, FALSE))</f>
        <v/>
      </c>
      <c r="N848" s="107" t="str">
        <f t="shared" si="2"/>
        <v/>
      </c>
    </row>
    <row r="849">
      <c r="A849" s="102"/>
      <c r="B849" s="43" t="str">
        <f>IF(A849="", "", IFERROR(VLOOKUP(A849, Clasificaciones!A:B, 2, FALSE), "DATO NO CARGADO"))</f>
        <v/>
      </c>
      <c r="C849" s="51"/>
      <c r="D849" s="257"/>
      <c r="E849" s="102"/>
      <c r="F849" s="103"/>
      <c r="G849" s="103"/>
      <c r="H849" s="258"/>
      <c r="J849" s="103"/>
      <c r="L849" s="71"/>
      <c r="M849" s="106" t="str">
        <f>IF(ISBLANK(K849), "", VLOOKUP(C849, 'Info Tipo de Cambio y REM'!$A$24:$B$35, 2, FALSE))</f>
        <v/>
      </c>
      <c r="N849" s="107" t="str">
        <f t="shared" si="2"/>
        <v/>
      </c>
    </row>
    <row r="850">
      <c r="A850" s="102"/>
      <c r="B850" s="43" t="str">
        <f>IF(A850="", "", IFERROR(VLOOKUP(A850, Clasificaciones!A:B, 2, FALSE), "DATO NO CARGADO"))</f>
        <v/>
      </c>
      <c r="C850" s="51"/>
      <c r="D850" s="257"/>
      <c r="E850" s="102"/>
      <c r="F850" s="103"/>
      <c r="G850" s="103"/>
      <c r="H850" s="258"/>
      <c r="J850" s="103"/>
      <c r="L850" s="71"/>
      <c r="M850" s="106" t="str">
        <f>IF(ISBLANK(K850), "", VLOOKUP(C850, 'Info Tipo de Cambio y REM'!$A$24:$B$35, 2, FALSE))</f>
        <v/>
      </c>
      <c r="N850" s="107" t="str">
        <f t="shared" si="2"/>
        <v/>
      </c>
    </row>
    <row r="851">
      <c r="A851" s="102"/>
      <c r="B851" s="43" t="str">
        <f>IF(A851="", "", IFERROR(VLOOKUP(A851, Clasificaciones!A:B, 2, FALSE), "DATO NO CARGADO"))</f>
        <v/>
      </c>
      <c r="C851" s="51"/>
      <c r="D851" s="257"/>
      <c r="E851" s="102"/>
      <c r="F851" s="103"/>
      <c r="G851" s="103"/>
      <c r="H851" s="258"/>
      <c r="J851" s="103"/>
      <c r="L851" s="71"/>
      <c r="M851" s="106" t="str">
        <f>IF(ISBLANK(K851), "", VLOOKUP(C851, 'Info Tipo de Cambio y REM'!$A$24:$B$35, 2, FALSE))</f>
        <v/>
      </c>
      <c r="N851" s="107" t="str">
        <f t="shared" si="2"/>
        <v/>
      </c>
    </row>
    <row r="852">
      <c r="A852" s="102"/>
      <c r="B852" s="43" t="str">
        <f>IF(A852="", "", IFERROR(VLOOKUP(A852, Clasificaciones!A:B, 2, FALSE), "DATO NO CARGADO"))</f>
        <v/>
      </c>
      <c r="C852" s="51"/>
      <c r="D852" s="257"/>
      <c r="E852" s="102"/>
      <c r="F852" s="103"/>
      <c r="G852" s="103"/>
      <c r="H852" s="258"/>
      <c r="J852" s="103"/>
      <c r="L852" s="71"/>
      <c r="M852" s="106" t="str">
        <f>IF(ISBLANK(K852), "", VLOOKUP(C852, 'Info Tipo de Cambio y REM'!$A$24:$B$35, 2, FALSE))</f>
        <v/>
      </c>
      <c r="N852" s="107" t="str">
        <f t="shared" si="2"/>
        <v/>
      </c>
    </row>
    <row r="853">
      <c r="A853" s="102"/>
      <c r="B853" s="43" t="str">
        <f>IF(A853="", "", IFERROR(VLOOKUP(A853, Clasificaciones!A:B, 2, FALSE), "DATO NO CARGADO"))</f>
        <v/>
      </c>
      <c r="C853" s="51"/>
      <c r="D853" s="257"/>
      <c r="E853" s="102"/>
      <c r="F853" s="103"/>
      <c r="G853" s="103"/>
      <c r="H853" s="258"/>
      <c r="J853" s="103"/>
      <c r="L853" s="71"/>
      <c r="M853" s="106" t="str">
        <f>IF(ISBLANK(K853), "", VLOOKUP(C853, 'Info Tipo de Cambio y REM'!$A$24:$B$35, 2, FALSE))</f>
        <v/>
      </c>
      <c r="N853" s="107" t="str">
        <f t="shared" si="2"/>
        <v/>
      </c>
    </row>
    <row r="854">
      <c r="A854" s="102"/>
      <c r="B854" s="43" t="str">
        <f>IF(A854="", "", IFERROR(VLOOKUP(A854, Clasificaciones!A:B, 2, FALSE), "DATO NO CARGADO"))</f>
        <v/>
      </c>
      <c r="C854" s="51"/>
      <c r="D854" s="257"/>
      <c r="E854" s="102"/>
      <c r="F854" s="103"/>
      <c r="G854" s="103"/>
      <c r="H854" s="258"/>
      <c r="J854" s="103"/>
      <c r="L854" s="71"/>
      <c r="M854" s="106" t="str">
        <f>IF(ISBLANK(K854), "", VLOOKUP(C854, 'Info Tipo de Cambio y REM'!$A$24:$B$35, 2, FALSE))</f>
        <v/>
      </c>
      <c r="N854" s="107" t="str">
        <f t="shared" si="2"/>
        <v/>
      </c>
    </row>
    <row r="855">
      <c r="A855" s="102"/>
      <c r="B855" s="43" t="str">
        <f>IF(A855="", "", IFERROR(VLOOKUP(A855, Clasificaciones!A:B, 2, FALSE), "DATO NO CARGADO"))</f>
        <v/>
      </c>
      <c r="C855" s="51"/>
      <c r="D855" s="257"/>
      <c r="E855" s="102"/>
      <c r="F855" s="103"/>
      <c r="G855" s="103"/>
      <c r="H855" s="258"/>
      <c r="J855" s="103"/>
      <c r="L855" s="71"/>
      <c r="M855" s="106" t="str">
        <f>IF(ISBLANK(K855), "", VLOOKUP(C855, 'Info Tipo de Cambio y REM'!$A$24:$B$35, 2, FALSE))</f>
        <v/>
      </c>
      <c r="N855" s="107" t="str">
        <f t="shared" si="2"/>
        <v/>
      </c>
    </row>
    <row r="856">
      <c r="A856" s="102"/>
      <c r="B856" s="43" t="str">
        <f>IF(A856="", "", IFERROR(VLOOKUP(A856, Clasificaciones!A:B, 2, FALSE), "DATO NO CARGADO"))</f>
        <v/>
      </c>
      <c r="C856" s="51"/>
      <c r="D856" s="257"/>
      <c r="E856" s="102"/>
      <c r="F856" s="103"/>
      <c r="G856" s="103"/>
      <c r="H856" s="258"/>
      <c r="J856" s="103"/>
      <c r="L856" s="71"/>
      <c r="M856" s="106" t="str">
        <f>IF(ISBLANK(K856), "", VLOOKUP(C856, 'Info Tipo de Cambio y REM'!$A$24:$B$35, 2, FALSE))</f>
        <v/>
      </c>
      <c r="N856" s="107" t="str">
        <f t="shared" si="2"/>
        <v/>
      </c>
    </row>
    <row r="857">
      <c r="A857" s="102"/>
      <c r="B857" s="43" t="str">
        <f>IF(A857="", "", IFERROR(VLOOKUP(A857, Clasificaciones!A:B, 2, FALSE), "DATO NO CARGADO"))</f>
        <v/>
      </c>
      <c r="C857" s="51"/>
      <c r="D857" s="257"/>
      <c r="E857" s="102"/>
      <c r="F857" s="103"/>
      <c r="G857" s="103"/>
      <c r="H857" s="258"/>
      <c r="J857" s="103"/>
      <c r="L857" s="71"/>
      <c r="M857" s="106" t="str">
        <f>IF(ISBLANK(K857), "", VLOOKUP(C857, 'Info Tipo de Cambio y REM'!$A$24:$B$35, 2, FALSE))</f>
        <v/>
      </c>
      <c r="N857" s="107" t="str">
        <f t="shared" si="2"/>
        <v/>
      </c>
    </row>
    <row r="858">
      <c r="A858" s="102"/>
      <c r="B858" s="43" t="str">
        <f>IF(A858="", "", IFERROR(VLOOKUP(A858, Clasificaciones!A:B, 2, FALSE), "DATO NO CARGADO"))</f>
        <v/>
      </c>
      <c r="C858" s="51"/>
      <c r="D858" s="257"/>
      <c r="E858" s="102"/>
      <c r="F858" s="103"/>
      <c r="G858" s="103"/>
      <c r="H858" s="258"/>
      <c r="J858" s="103"/>
      <c r="L858" s="71"/>
      <c r="M858" s="106" t="str">
        <f>IF(ISBLANK(K858), "", VLOOKUP(C858, 'Info Tipo de Cambio y REM'!$A$24:$B$35, 2, FALSE))</f>
        <v/>
      </c>
      <c r="N858" s="107" t="str">
        <f t="shared" si="2"/>
        <v/>
      </c>
    </row>
    <row r="859">
      <c r="A859" s="102"/>
      <c r="B859" s="43" t="str">
        <f>IF(A859="", "", IFERROR(VLOOKUP(A859, Clasificaciones!A:B, 2, FALSE), "DATO NO CARGADO"))</f>
        <v/>
      </c>
      <c r="C859" s="51"/>
      <c r="D859" s="257"/>
      <c r="E859" s="102"/>
      <c r="F859" s="103"/>
      <c r="G859" s="103"/>
      <c r="H859" s="258"/>
      <c r="J859" s="103"/>
      <c r="L859" s="71"/>
      <c r="M859" s="106" t="str">
        <f>IF(ISBLANK(K859), "", VLOOKUP(C859, 'Info Tipo de Cambio y REM'!$A$24:$B$35, 2, FALSE))</f>
        <v/>
      </c>
      <c r="N859" s="107" t="str">
        <f t="shared" si="2"/>
        <v/>
      </c>
    </row>
    <row r="860">
      <c r="A860" s="102"/>
      <c r="B860" s="43" t="str">
        <f>IF(A860="", "", IFERROR(VLOOKUP(A860, Clasificaciones!A:B, 2, FALSE), "DATO NO CARGADO"))</f>
        <v/>
      </c>
      <c r="C860" s="51"/>
      <c r="D860" s="257"/>
      <c r="E860" s="102"/>
      <c r="F860" s="103"/>
      <c r="G860" s="103"/>
      <c r="H860" s="258"/>
      <c r="J860" s="103"/>
      <c r="L860" s="71"/>
      <c r="M860" s="106" t="str">
        <f>IF(ISBLANK(K860), "", VLOOKUP(C860, 'Info Tipo de Cambio y REM'!$A$24:$B$35, 2, FALSE))</f>
        <v/>
      </c>
      <c r="N860" s="107" t="str">
        <f t="shared" si="2"/>
        <v/>
      </c>
    </row>
    <row r="861">
      <c r="A861" s="102"/>
      <c r="B861" s="43" t="str">
        <f>IF(A861="", "", IFERROR(VLOOKUP(A861, Clasificaciones!A:B, 2, FALSE), "DATO NO CARGADO"))</f>
        <v/>
      </c>
      <c r="C861" s="51"/>
      <c r="D861" s="257"/>
      <c r="E861" s="102"/>
      <c r="F861" s="103"/>
      <c r="G861" s="103"/>
      <c r="H861" s="258"/>
      <c r="J861" s="103"/>
      <c r="L861" s="71"/>
      <c r="M861" s="106" t="str">
        <f>IF(ISBLANK(K861), "", VLOOKUP(C861, 'Info Tipo de Cambio y REM'!$A$24:$B$35, 2, FALSE))</f>
        <v/>
      </c>
      <c r="N861" s="107" t="str">
        <f t="shared" si="2"/>
        <v/>
      </c>
    </row>
    <row r="862">
      <c r="A862" s="102"/>
      <c r="B862" s="43" t="str">
        <f>IF(A862="", "", IFERROR(VLOOKUP(A862, Clasificaciones!A:B, 2, FALSE), "DATO NO CARGADO"))</f>
        <v/>
      </c>
      <c r="C862" s="51"/>
      <c r="D862" s="257"/>
      <c r="E862" s="102"/>
      <c r="F862" s="103"/>
      <c r="G862" s="103"/>
      <c r="H862" s="258"/>
      <c r="J862" s="103"/>
      <c r="L862" s="71"/>
      <c r="M862" s="106" t="str">
        <f>IF(ISBLANK(K862), "", VLOOKUP(C862, 'Info Tipo de Cambio y REM'!$A$24:$B$35, 2, FALSE))</f>
        <v/>
      </c>
      <c r="N862" s="107" t="str">
        <f t="shared" si="2"/>
        <v/>
      </c>
    </row>
    <row r="863">
      <c r="A863" s="102"/>
      <c r="B863" s="43" t="str">
        <f>IF(A863="", "", IFERROR(VLOOKUP(A863, Clasificaciones!A:B, 2, FALSE), "DATO NO CARGADO"))</f>
        <v/>
      </c>
      <c r="C863" s="51"/>
      <c r="D863" s="257"/>
      <c r="E863" s="102"/>
      <c r="F863" s="103"/>
      <c r="G863" s="103"/>
      <c r="H863" s="258"/>
      <c r="J863" s="103"/>
      <c r="L863" s="71"/>
      <c r="M863" s="106" t="str">
        <f>IF(ISBLANK(K863), "", VLOOKUP(C863, 'Info Tipo de Cambio y REM'!$A$24:$B$35, 2, FALSE))</f>
        <v/>
      </c>
      <c r="N863" s="107" t="str">
        <f t="shared" si="2"/>
        <v/>
      </c>
    </row>
    <row r="864">
      <c r="A864" s="102"/>
      <c r="B864" s="43" t="str">
        <f>IF(A864="", "", IFERROR(VLOOKUP(A864, Clasificaciones!A:B, 2, FALSE), "DATO NO CARGADO"))</f>
        <v/>
      </c>
      <c r="C864" s="51"/>
      <c r="D864" s="257"/>
      <c r="E864" s="102"/>
      <c r="F864" s="103"/>
      <c r="G864" s="103"/>
      <c r="H864" s="258"/>
      <c r="J864" s="103"/>
      <c r="L864" s="71"/>
      <c r="M864" s="106" t="str">
        <f>IF(ISBLANK(K864), "", VLOOKUP(C864, 'Info Tipo de Cambio y REM'!$A$24:$B$35, 2, FALSE))</f>
        <v/>
      </c>
      <c r="N864" s="107" t="str">
        <f t="shared" si="2"/>
        <v/>
      </c>
    </row>
    <row r="865">
      <c r="A865" s="102"/>
      <c r="B865" s="43" t="str">
        <f>IF(A865="", "", IFERROR(VLOOKUP(A865, Clasificaciones!A:B, 2, FALSE), "DATO NO CARGADO"))</f>
        <v/>
      </c>
      <c r="C865" s="51"/>
      <c r="D865" s="257"/>
      <c r="E865" s="102"/>
      <c r="F865" s="103"/>
      <c r="G865" s="103"/>
      <c r="H865" s="258"/>
      <c r="J865" s="103"/>
      <c r="L865" s="71"/>
      <c r="M865" s="106" t="str">
        <f>IF(ISBLANK(K865), "", VLOOKUP(C865, 'Info Tipo de Cambio y REM'!$A$24:$B$35, 2, FALSE))</f>
        <v/>
      </c>
      <c r="N865" s="107" t="str">
        <f t="shared" si="2"/>
        <v/>
      </c>
    </row>
    <row r="866">
      <c r="A866" s="102"/>
      <c r="B866" s="43" t="str">
        <f>IF(A866="", "", IFERROR(VLOOKUP(A866, Clasificaciones!A:B, 2, FALSE), "DATO NO CARGADO"))</f>
        <v/>
      </c>
      <c r="C866" s="51"/>
      <c r="D866" s="257"/>
      <c r="E866" s="102"/>
      <c r="F866" s="103"/>
      <c r="G866" s="103"/>
      <c r="H866" s="258"/>
      <c r="J866" s="103"/>
      <c r="L866" s="71"/>
      <c r="M866" s="106" t="str">
        <f>IF(ISBLANK(K866), "", VLOOKUP(C866, 'Info Tipo de Cambio y REM'!$A$24:$B$35, 2, FALSE))</f>
        <v/>
      </c>
      <c r="N866" s="107" t="str">
        <f t="shared" si="2"/>
        <v/>
      </c>
    </row>
    <row r="867">
      <c r="A867" s="102"/>
      <c r="B867" s="43" t="str">
        <f>IF(A867="", "", IFERROR(VLOOKUP(A867, Clasificaciones!A:B, 2, FALSE), "DATO NO CARGADO"))</f>
        <v/>
      </c>
      <c r="C867" s="51"/>
      <c r="D867" s="257"/>
      <c r="E867" s="102"/>
      <c r="F867" s="103"/>
      <c r="G867" s="103"/>
      <c r="H867" s="258"/>
      <c r="J867" s="103"/>
      <c r="L867" s="71"/>
      <c r="M867" s="106" t="str">
        <f>IF(ISBLANK(K867), "", VLOOKUP(C867, 'Info Tipo de Cambio y REM'!$A$24:$B$35, 2, FALSE))</f>
        <v/>
      </c>
      <c r="N867" s="107" t="str">
        <f t="shared" si="2"/>
        <v/>
      </c>
    </row>
    <row r="868">
      <c r="A868" s="102"/>
      <c r="B868" s="43" t="str">
        <f>IF(A868="", "", IFERROR(VLOOKUP(A868, Clasificaciones!A:B, 2, FALSE), "DATO NO CARGADO"))</f>
        <v/>
      </c>
      <c r="C868" s="51"/>
      <c r="D868" s="257"/>
      <c r="E868" s="102"/>
      <c r="F868" s="103"/>
      <c r="G868" s="103"/>
      <c r="H868" s="258"/>
      <c r="J868" s="103"/>
      <c r="L868" s="71"/>
      <c r="M868" s="106" t="str">
        <f>IF(ISBLANK(K868), "", VLOOKUP(C868, 'Info Tipo de Cambio y REM'!$A$24:$B$35, 2, FALSE))</f>
        <v/>
      </c>
      <c r="N868" s="107" t="str">
        <f t="shared" si="2"/>
        <v/>
      </c>
    </row>
    <row r="869">
      <c r="A869" s="102"/>
      <c r="B869" s="43" t="str">
        <f>IF(A869="", "", IFERROR(VLOOKUP(A869, Clasificaciones!A:B, 2, FALSE), "DATO NO CARGADO"))</f>
        <v/>
      </c>
      <c r="C869" s="51"/>
      <c r="D869" s="257"/>
      <c r="E869" s="102"/>
      <c r="F869" s="103"/>
      <c r="G869" s="103"/>
      <c r="H869" s="258"/>
      <c r="J869" s="103"/>
      <c r="L869" s="71"/>
      <c r="M869" s="106" t="str">
        <f>IF(ISBLANK(K869), "", VLOOKUP(C869, 'Info Tipo de Cambio y REM'!$A$24:$B$35, 2, FALSE))</f>
        <v/>
      </c>
      <c r="N869" s="107" t="str">
        <f t="shared" si="2"/>
        <v/>
      </c>
    </row>
    <row r="870">
      <c r="A870" s="102"/>
      <c r="B870" s="43" t="str">
        <f>IF(A870="", "", IFERROR(VLOOKUP(A870, Clasificaciones!A:B, 2, FALSE), "DATO NO CARGADO"))</f>
        <v/>
      </c>
      <c r="C870" s="51"/>
      <c r="D870" s="257"/>
      <c r="E870" s="102"/>
      <c r="F870" s="103"/>
      <c r="G870" s="103"/>
      <c r="H870" s="258"/>
      <c r="J870" s="103"/>
      <c r="L870" s="71"/>
      <c r="M870" s="106" t="str">
        <f>IF(ISBLANK(K870), "", VLOOKUP(C870, 'Info Tipo de Cambio y REM'!$A$24:$B$35, 2, FALSE))</f>
        <v/>
      </c>
      <c r="N870" s="107" t="str">
        <f t="shared" si="2"/>
        <v/>
      </c>
    </row>
    <row r="871">
      <c r="A871" s="102"/>
      <c r="B871" s="43" t="str">
        <f>IF(A871="", "", IFERROR(VLOOKUP(A871, Clasificaciones!A:B, 2, FALSE), "DATO NO CARGADO"))</f>
        <v/>
      </c>
      <c r="C871" s="51"/>
      <c r="D871" s="257"/>
      <c r="E871" s="102"/>
      <c r="F871" s="103"/>
      <c r="G871" s="103"/>
      <c r="H871" s="258"/>
      <c r="J871" s="103"/>
      <c r="L871" s="71"/>
      <c r="M871" s="106" t="str">
        <f>IF(ISBLANK(K871), "", VLOOKUP(C871, 'Info Tipo de Cambio y REM'!$A$24:$B$35, 2, FALSE))</f>
        <v/>
      </c>
      <c r="N871" s="107" t="str">
        <f t="shared" si="2"/>
        <v/>
      </c>
    </row>
    <row r="872">
      <c r="A872" s="102"/>
      <c r="B872" s="43" t="str">
        <f>IF(A872="", "", IFERROR(VLOOKUP(A872, Clasificaciones!A:B, 2, FALSE), "DATO NO CARGADO"))</f>
        <v/>
      </c>
      <c r="C872" s="51"/>
      <c r="D872" s="257"/>
      <c r="E872" s="102"/>
      <c r="F872" s="103"/>
      <c r="G872" s="103"/>
      <c r="H872" s="258"/>
      <c r="J872" s="103"/>
      <c r="L872" s="71"/>
      <c r="M872" s="106" t="str">
        <f>IF(ISBLANK(K872), "", VLOOKUP(C872, 'Info Tipo de Cambio y REM'!$A$24:$B$35, 2, FALSE))</f>
        <v/>
      </c>
      <c r="N872" s="107" t="str">
        <f t="shared" si="2"/>
        <v/>
      </c>
    </row>
    <row r="873">
      <c r="A873" s="102"/>
      <c r="B873" s="43" t="str">
        <f>IF(A873="", "", IFERROR(VLOOKUP(A873, Clasificaciones!A:B, 2, FALSE), "DATO NO CARGADO"))</f>
        <v/>
      </c>
      <c r="C873" s="51"/>
      <c r="D873" s="257"/>
      <c r="E873" s="102"/>
      <c r="F873" s="103"/>
      <c r="G873" s="103"/>
      <c r="H873" s="258"/>
      <c r="J873" s="103"/>
      <c r="L873" s="71"/>
      <c r="M873" s="106" t="str">
        <f>IF(ISBLANK(K873), "", VLOOKUP(C873, 'Info Tipo de Cambio y REM'!$A$24:$B$35, 2, FALSE))</f>
        <v/>
      </c>
      <c r="N873" s="107" t="str">
        <f t="shared" si="2"/>
        <v/>
      </c>
    </row>
    <row r="874">
      <c r="A874" s="102"/>
      <c r="B874" s="43" t="str">
        <f>IF(A874="", "", IFERROR(VLOOKUP(A874, Clasificaciones!A:B, 2, FALSE), "DATO NO CARGADO"))</f>
        <v/>
      </c>
      <c r="C874" s="51"/>
      <c r="D874" s="257"/>
      <c r="E874" s="102"/>
      <c r="F874" s="103"/>
      <c r="G874" s="103"/>
      <c r="H874" s="258"/>
      <c r="J874" s="103"/>
      <c r="L874" s="71"/>
      <c r="M874" s="106" t="str">
        <f>IF(ISBLANK(K874), "", VLOOKUP(C874, 'Info Tipo de Cambio y REM'!$A$24:$B$35, 2, FALSE))</f>
        <v/>
      </c>
      <c r="N874" s="107" t="str">
        <f t="shared" si="2"/>
        <v/>
      </c>
    </row>
    <row r="875">
      <c r="A875" s="102"/>
      <c r="B875" s="43" t="str">
        <f>IF(A875="", "", IFERROR(VLOOKUP(A875, Clasificaciones!A:B, 2, FALSE), "DATO NO CARGADO"))</f>
        <v/>
      </c>
      <c r="C875" s="51"/>
      <c r="D875" s="257"/>
      <c r="E875" s="102"/>
      <c r="F875" s="103"/>
      <c r="G875" s="103"/>
      <c r="H875" s="258"/>
      <c r="J875" s="103"/>
      <c r="L875" s="71"/>
      <c r="M875" s="106" t="str">
        <f>IF(ISBLANK(K875), "", VLOOKUP(C875, 'Info Tipo de Cambio y REM'!$A$24:$B$35, 2, FALSE))</f>
        <v/>
      </c>
      <c r="N875" s="107" t="str">
        <f t="shared" si="2"/>
        <v/>
      </c>
    </row>
    <row r="876">
      <c r="A876" s="102"/>
      <c r="B876" s="43" t="str">
        <f>IF(A876="", "", IFERROR(VLOOKUP(A876, Clasificaciones!A:B, 2, FALSE), "DATO NO CARGADO"))</f>
        <v/>
      </c>
      <c r="C876" s="51"/>
      <c r="D876" s="257"/>
      <c r="E876" s="102"/>
      <c r="F876" s="103"/>
      <c r="G876" s="103"/>
      <c r="H876" s="258"/>
      <c r="J876" s="103"/>
      <c r="L876" s="71"/>
      <c r="M876" s="106" t="str">
        <f>IF(ISBLANK(K876), "", VLOOKUP(C876, 'Info Tipo de Cambio y REM'!$A$24:$B$35, 2, FALSE))</f>
        <v/>
      </c>
      <c r="N876" s="107" t="str">
        <f t="shared" si="2"/>
        <v/>
      </c>
    </row>
    <row r="877">
      <c r="A877" s="102"/>
      <c r="B877" s="43" t="str">
        <f>IF(A877="", "", IFERROR(VLOOKUP(A877, Clasificaciones!A:B, 2, FALSE), "DATO NO CARGADO"))</f>
        <v/>
      </c>
      <c r="C877" s="51"/>
      <c r="D877" s="257"/>
      <c r="E877" s="102"/>
      <c r="F877" s="103"/>
      <c r="G877" s="103"/>
      <c r="H877" s="258"/>
      <c r="J877" s="103"/>
      <c r="L877" s="71"/>
      <c r="M877" s="106" t="str">
        <f>IF(ISBLANK(K877), "", VLOOKUP(C877, 'Info Tipo de Cambio y REM'!$A$24:$B$35, 2, FALSE))</f>
        <v/>
      </c>
      <c r="N877" s="107" t="str">
        <f t="shared" si="2"/>
        <v/>
      </c>
    </row>
    <row r="878">
      <c r="A878" s="102"/>
      <c r="B878" s="43" t="str">
        <f>IF(A878="", "", IFERROR(VLOOKUP(A878, Clasificaciones!A:B, 2, FALSE), "DATO NO CARGADO"))</f>
        <v/>
      </c>
      <c r="C878" s="51"/>
      <c r="D878" s="257"/>
      <c r="E878" s="102"/>
      <c r="F878" s="103"/>
      <c r="G878" s="103"/>
      <c r="H878" s="258"/>
      <c r="J878" s="103"/>
      <c r="L878" s="71"/>
      <c r="M878" s="106" t="str">
        <f>IF(ISBLANK(K878), "", VLOOKUP(C878, 'Info Tipo de Cambio y REM'!$A$24:$B$35, 2, FALSE))</f>
        <v/>
      </c>
      <c r="N878" s="107" t="str">
        <f t="shared" si="2"/>
        <v/>
      </c>
    </row>
    <row r="879">
      <c r="A879" s="102"/>
      <c r="B879" s="43" t="str">
        <f>IF(A879="", "", IFERROR(VLOOKUP(A879, Clasificaciones!A:B, 2, FALSE), "DATO NO CARGADO"))</f>
        <v/>
      </c>
      <c r="C879" s="51"/>
      <c r="D879" s="257"/>
      <c r="E879" s="102"/>
      <c r="F879" s="103"/>
      <c r="G879" s="103"/>
      <c r="H879" s="258"/>
      <c r="J879" s="103"/>
      <c r="L879" s="71"/>
      <c r="M879" s="106" t="str">
        <f>IF(ISBLANK(K879), "", VLOOKUP(C879, 'Info Tipo de Cambio y REM'!$A$24:$B$35, 2, FALSE))</f>
        <v/>
      </c>
      <c r="N879" s="107" t="str">
        <f t="shared" si="2"/>
        <v/>
      </c>
    </row>
    <row r="880">
      <c r="A880" s="102"/>
      <c r="B880" s="43" t="str">
        <f>IF(A880="", "", IFERROR(VLOOKUP(A880, Clasificaciones!A:B, 2, FALSE), "DATO NO CARGADO"))</f>
        <v/>
      </c>
      <c r="C880" s="51"/>
      <c r="D880" s="257"/>
      <c r="E880" s="102"/>
      <c r="F880" s="103"/>
      <c r="G880" s="103"/>
      <c r="H880" s="258"/>
      <c r="J880" s="103"/>
      <c r="L880" s="71"/>
      <c r="M880" s="106" t="str">
        <f>IF(ISBLANK(K880), "", VLOOKUP(C880, 'Info Tipo de Cambio y REM'!$A$24:$B$35, 2, FALSE))</f>
        <v/>
      </c>
      <c r="N880" s="107" t="str">
        <f t="shared" si="2"/>
        <v/>
      </c>
    </row>
    <row r="881">
      <c r="A881" s="102"/>
      <c r="B881" s="43" t="str">
        <f>IF(A881="", "", IFERROR(VLOOKUP(A881, Clasificaciones!A:B, 2, FALSE), "DATO NO CARGADO"))</f>
        <v/>
      </c>
      <c r="C881" s="51"/>
      <c r="D881" s="257"/>
      <c r="E881" s="102"/>
      <c r="F881" s="103"/>
      <c r="G881" s="103"/>
      <c r="H881" s="258"/>
      <c r="J881" s="103"/>
      <c r="L881" s="71"/>
      <c r="M881" s="106" t="str">
        <f>IF(ISBLANK(K881), "", VLOOKUP(C881, 'Info Tipo de Cambio y REM'!$A$24:$B$35, 2, FALSE))</f>
        <v/>
      </c>
      <c r="N881" s="107" t="str">
        <f t="shared" si="2"/>
        <v/>
      </c>
    </row>
    <row r="882">
      <c r="A882" s="102"/>
      <c r="B882" s="43" t="str">
        <f>IF(A882="", "", IFERROR(VLOOKUP(A882, Clasificaciones!A:B, 2, FALSE), "DATO NO CARGADO"))</f>
        <v/>
      </c>
      <c r="C882" s="51"/>
      <c r="D882" s="257"/>
      <c r="E882" s="102"/>
      <c r="F882" s="103"/>
      <c r="G882" s="103"/>
      <c r="H882" s="258"/>
      <c r="J882" s="103"/>
      <c r="L882" s="71"/>
      <c r="M882" s="106" t="str">
        <f>IF(ISBLANK(K882), "", VLOOKUP(C882, 'Info Tipo de Cambio y REM'!$A$24:$B$35, 2, FALSE))</f>
        <v/>
      </c>
      <c r="N882" s="107" t="str">
        <f t="shared" si="2"/>
        <v/>
      </c>
    </row>
    <row r="883">
      <c r="A883" s="102"/>
      <c r="B883" s="43" t="str">
        <f>IF(A883="", "", IFERROR(VLOOKUP(A883, Clasificaciones!A:B, 2, FALSE), "DATO NO CARGADO"))</f>
        <v/>
      </c>
      <c r="C883" s="51"/>
      <c r="D883" s="257"/>
      <c r="E883" s="102"/>
      <c r="F883" s="103"/>
      <c r="G883" s="103"/>
      <c r="H883" s="258"/>
      <c r="J883" s="103"/>
      <c r="L883" s="71"/>
      <c r="M883" s="106" t="str">
        <f>IF(ISBLANK(K883), "", VLOOKUP(C883, 'Info Tipo de Cambio y REM'!$A$24:$B$35, 2, FALSE))</f>
        <v/>
      </c>
      <c r="N883" s="107" t="str">
        <f t="shared" si="2"/>
        <v/>
      </c>
    </row>
    <row r="884">
      <c r="A884" s="102"/>
      <c r="B884" s="43" t="str">
        <f>IF(A884="", "", IFERROR(VLOOKUP(A884, Clasificaciones!A:B, 2, FALSE), "DATO NO CARGADO"))</f>
        <v/>
      </c>
      <c r="C884" s="51"/>
      <c r="D884" s="257"/>
      <c r="E884" s="102"/>
      <c r="F884" s="103"/>
      <c r="G884" s="103"/>
      <c r="H884" s="258"/>
      <c r="J884" s="103"/>
      <c r="L884" s="71"/>
      <c r="M884" s="106" t="str">
        <f>IF(ISBLANK(K884), "", VLOOKUP(C884, 'Info Tipo de Cambio y REM'!$A$24:$B$35, 2, FALSE))</f>
        <v/>
      </c>
      <c r="N884" s="107" t="str">
        <f t="shared" si="2"/>
        <v/>
      </c>
    </row>
    <row r="885">
      <c r="A885" s="102"/>
      <c r="B885" s="43" t="str">
        <f>IF(A885="", "", IFERROR(VLOOKUP(A885, Clasificaciones!A:B, 2, FALSE), "DATO NO CARGADO"))</f>
        <v/>
      </c>
      <c r="C885" s="51"/>
      <c r="D885" s="257"/>
      <c r="E885" s="102"/>
      <c r="F885" s="103"/>
      <c r="G885" s="103"/>
      <c r="H885" s="258"/>
      <c r="J885" s="103"/>
      <c r="L885" s="71"/>
      <c r="M885" s="106" t="str">
        <f>IF(ISBLANK(K885), "", VLOOKUP(C885, 'Info Tipo de Cambio y REM'!$A$24:$B$35, 2, FALSE))</f>
        <v/>
      </c>
      <c r="N885" s="107" t="str">
        <f t="shared" si="2"/>
        <v/>
      </c>
    </row>
    <row r="886">
      <c r="A886" s="102"/>
      <c r="B886" s="43" t="str">
        <f>IF(A886="", "", IFERROR(VLOOKUP(A886, Clasificaciones!A:B, 2, FALSE), "DATO NO CARGADO"))</f>
        <v/>
      </c>
      <c r="C886" s="51"/>
      <c r="D886" s="257"/>
      <c r="E886" s="102"/>
      <c r="F886" s="103"/>
      <c r="G886" s="103"/>
      <c r="H886" s="258"/>
      <c r="J886" s="103"/>
      <c r="L886" s="71"/>
      <c r="M886" s="106" t="str">
        <f>IF(ISBLANK(K886), "", VLOOKUP(C886, 'Info Tipo de Cambio y REM'!$A$24:$B$35, 2, FALSE))</f>
        <v/>
      </c>
      <c r="N886" s="107" t="str">
        <f t="shared" si="2"/>
        <v/>
      </c>
    </row>
    <row r="887">
      <c r="A887" s="102"/>
      <c r="B887" s="43" t="str">
        <f>IF(A887="", "", IFERROR(VLOOKUP(A887, Clasificaciones!A:B, 2, FALSE), "DATO NO CARGADO"))</f>
        <v/>
      </c>
      <c r="C887" s="51"/>
      <c r="D887" s="257"/>
      <c r="E887" s="102"/>
      <c r="F887" s="103"/>
      <c r="G887" s="103"/>
      <c r="H887" s="258"/>
      <c r="J887" s="103"/>
      <c r="L887" s="71"/>
      <c r="M887" s="106" t="str">
        <f>IF(ISBLANK(K887), "", VLOOKUP(C887, 'Info Tipo de Cambio y REM'!$A$24:$B$35, 2, FALSE))</f>
        <v/>
      </c>
      <c r="N887" s="107" t="str">
        <f t="shared" si="2"/>
        <v/>
      </c>
    </row>
    <row r="888">
      <c r="A888" s="102"/>
      <c r="B888" s="43" t="str">
        <f>IF(A888="", "", IFERROR(VLOOKUP(A888, Clasificaciones!A:B, 2, FALSE), "DATO NO CARGADO"))</f>
        <v/>
      </c>
      <c r="C888" s="51"/>
      <c r="D888" s="257"/>
      <c r="E888" s="102"/>
      <c r="F888" s="103"/>
      <c r="G888" s="103"/>
      <c r="H888" s="258"/>
      <c r="J888" s="103"/>
      <c r="L888" s="71"/>
      <c r="M888" s="106" t="str">
        <f>IF(ISBLANK(K888), "", VLOOKUP(C888, 'Info Tipo de Cambio y REM'!$A$24:$B$35, 2, FALSE))</f>
        <v/>
      </c>
      <c r="N888" s="107" t="str">
        <f t="shared" si="2"/>
        <v/>
      </c>
    </row>
    <row r="889">
      <c r="A889" s="102"/>
      <c r="B889" s="43" t="str">
        <f>IF(A889="", "", IFERROR(VLOOKUP(A889, Clasificaciones!A:B, 2, FALSE), "DATO NO CARGADO"))</f>
        <v/>
      </c>
      <c r="C889" s="51"/>
      <c r="D889" s="257"/>
      <c r="E889" s="102"/>
      <c r="F889" s="103"/>
      <c r="G889" s="103"/>
      <c r="H889" s="258"/>
      <c r="J889" s="103"/>
      <c r="L889" s="71"/>
      <c r="M889" s="106" t="str">
        <f>IF(ISBLANK(K889), "", VLOOKUP(C889, 'Info Tipo de Cambio y REM'!$A$24:$B$35, 2, FALSE))</f>
        <v/>
      </c>
      <c r="N889" s="107" t="str">
        <f t="shared" si="2"/>
        <v/>
      </c>
    </row>
    <row r="890">
      <c r="A890" s="102"/>
      <c r="B890" s="43" t="str">
        <f>IF(A890="", "", IFERROR(VLOOKUP(A890, Clasificaciones!A:B, 2, FALSE), "DATO NO CARGADO"))</f>
        <v/>
      </c>
      <c r="C890" s="51"/>
      <c r="D890" s="257"/>
      <c r="E890" s="102"/>
      <c r="F890" s="103"/>
      <c r="G890" s="103"/>
      <c r="H890" s="258"/>
      <c r="J890" s="103"/>
      <c r="L890" s="71"/>
      <c r="M890" s="106" t="str">
        <f>IF(ISBLANK(K890), "", VLOOKUP(C890, 'Info Tipo de Cambio y REM'!$A$24:$B$35, 2, FALSE))</f>
        <v/>
      </c>
      <c r="N890" s="107" t="str">
        <f t="shared" si="2"/>
        <v/>
      </c>
    </row>
    <row r="891">
      <c r="A891" s="102"/>
      <c r="B891" s="43" t="str">
        <f>IF(A891="", "", IFERROR(VLOOKUP(A891, Clasificaciones!A:B, 2, FALSE), "DATO NO CARGADO"))</f>
        <v/>
      </c>
      <c r="C891" s="51"/>
      <c r="D891" s="257"/>
      <c r="E891" s="102"/>
      <c r="F891" s="103"/>
      <c r="G891" s="103"/>
      <c r="H891" s="258"/>
      <c r="J891" s="103"/>
      <c r="L891" s="71"/>
      <c r="M891" s="106" t="str">
        <f>IF(ISBLANK(K891), "", VLOOKUP(C891, 'Info Tipo de Cambio y REM'!$A$24:$B$35, 2, FALSE))</f>
        <v/>
      </c>
      <c r="N891" s="107" t="str">
        <f t="shared" si="2"/>
        <v/>
      </c>
    </row>
    <row r="892">
      <c r="A892" s="102"/>
      <c r="B892" s="43" t="str">
        <f>IF(A892="", "", IFERROR(VLOOKUP(A892, Clasificaciones!A:B, 2, FALSE), "DATO NO CARGADO"))</f>
        <v/>
      </c>
      <c r="C892" s="51"/>
      <c r="D892" s="257"/>
      <c r="E892" s="102"/>
      <c r="F892" s="103"/>
      <c r="G892" s="103"/>
      <c r="H892" s="258"/>
      <c r="J892" s="103"/>
      <c r="L892" s="71"/>
      <c r="M892" s="106" t="str">
        <f>IF(ISBLANK(K892), "", VLOOKUP(C892, 'Info Tipo de Cambio y REM'!$A$24:$B$35, 2, FALSE))</f>
        <v/>
      </c>
      <c r="N892" s="107" t="str">
        <f t="shared" si="2"/>
        <v/>
      </c>
    </row>
    <row r="893">
      <c r="A893" s="102"/>
      <c r="B893" s="43" t="str">
        <f>IF(A893="", "", IFERROR(VLOOKUP(A893, Clasificaciones!A:B, 2, FALSE), "DATO NO CARGADO"))</f>
        <v/>
      </c>
      <c r="C893" s="51"/>
      <c r="D893" s="257"/>
      <c r="E893" s="102"/>
      <c r="F893" s="103"/>
      <c r="G893" s="103"/>
      <c r="H893" s="258"/>
      <c r="J893" s="103"/>
      <c r="L893" s="71"/>
      <c r="M893" s="106" t="str">
        <f>IF(ISBLANK(K893), "", VLOOKUP(C893, 'Info Tipo de Cambio y REM'!$A$24:$B$35, 2, FALSE))</f>
        <v/>
      </c>
      <c r="N893" s="107" t="str">
        <f t="shared" si="2"/>
        <v/>
      </c>
    </row>
    <row r="894">
      <c r="A894" s="102"/>
      <c r="B894" s="43" t="str">
        <f>IF(A894="", "", IFERROR(VLOOKUP(A894, Clasificaciones!A:B, 2, FALSE), "DATO NO CARGADO"))</f>
        <v/>
      </c>
      <c r="C894" s="51"/>
      <c r="D894" s="257"/>
      <c r="E894" s="102"/>
      <c r="F894" s="103"/>
      <c r="G894" s="103"/>
      <c r="H894" s="258"/>
      <c r="J894" s="103"/>
      <c r="L894" s="71"/>
      <c r="M894" s="106" t="str">
        <f>IF(ISBLANK(K894), "", VLOOKUP(C894, 'Info Tipo de Cambio y REM'!$A$24:$B$35, 2, FALSE))</f>
        <v/>
      </c>
      <c r="N894" s="107" t="str">
        <f t="shared" si="2"/>
        <v/>
      </c>
    </row>
    <row r="895">
      <c r="A895" s="102"/>
      <c r="B895" s="43" t="str">
        <f>IF(A895="", "", IFERROR(VLOOKUP(A895, Clasificaciones!A:B, 2, FALSE), "DATO NO CARGADO"))</f>
        <v/>
      </c>
      <c r="C895" s="51"/>
      <c r="D895" s="257"/>
      <c r="E895" s="102"/>
      <c r="F895" s="103"/>
      <c r="G895" s="103"/>
      <c r="H895" s="258"/>
      <c r="J895" s="103"/>
      <c r="L895" s="71"/>
      <c r="M895" s="106" t="str">
        <f>IF(ISBLANK(K895), "", VLOOKUP(C895, 'Info Tipo de Cambio y REM'!$A$24:$B$35, 2, FALSE))</f>
        <v/>
      </c>
      <c r="N895" s="107" t="str">
        <f t="shared" si="2"/>
        <v/>
      </c>
    </row>
    <row r="896">
      <c r="A896" s="102"/>
      <c r="B896" s="43" t="str">
        <f>IF(A896="", "", IFERROR(VLOOKUP(A896, Clasificaciones!A:B, 2, FALSE), "DATO NO CARGADO"))</f>
        <v/>
      </c>
      <c r="C896" s="51"/>
      <c r="D896" s="257"/>
      <c r="E896" s="102"/>
      <c r="F896" s="103"/>
      <c r="G896" s="103"/>
      <c r="H896" s="258"/>
      <c r="J896" s="103"/>
      <c r="L896" s="71"/>
      <c r="M896" s="106" t="str">
        <f>IF(ISBLANK(K896), "", VLOOKUP(C896, 'Info Tipo de Cambio y REM'!$A$24:$B$35, 2, FALSE))</f>
        <v/>
      </c>
      <c r="N896" s="107" t="str">
        <f t="shared" si="2"/>
        <v/>
      </c>
    </row>
    <row r="897">
      <c r="A897" s="102"/>
      <c r="B897" s="43" t="str">
        <f>IF(A897="", "", IFERROR(VLOOKUP(A897, Clasificaciones!A:B, 2, FALSE), "DATO NO CARGADO"))</f>
        <v/>
      </c>
      <c r="C897" s="51"/>
      <c r="D897" s="257"/>
      <c r="E897" s="102"/>
      <c r="F897" s="103"/>
      <c r="G897" s="103"/>
      <c r="H897" s="258"/>
      <c r="J897" s="103"/>
      <c r="L897" s="71"/>
      <c r="M897" s="106" t="str">
        <f>IF(ISBLANK(K897), "", VLOOKUP(C897, 'Info Tipo de Cambio y REM'!$A$24:$B$35, 2, FALSE))</f>
        <v/>
      </c>
      <c r="N897" s="107" t="str">
        <f t="shared" si="2"/>
        <v/>
      </c>
    </row>
    <row r="898">
      <c r="A898" s="102"/>
      <c r="B898" s="43" t="str">
        <f>IF(A898="", "", IFERROR(VLOOKUP(A898, Clasificaciones!A:B, 2, FALSE), "DATO NO CARGADO"))</f>
        <v/>
      </c>
      <c r="C898" s="51"/>
      <c r="D898" s="257"/>
      <c r="E898" s="102"/>
      <c r="F898" s="103"/>
      <c r="G898" s="103"/>
      <c r="H898" s="258"/>
      <c r="J898" s="103"/>
      <c r="L898" s="71"/>
      <c r="M898" s="106" t="str">
        <f>IF(ISBLANK(K898), "", VLOOKUP(C898, 'Info Tipo de Cambio y REM'!$A$24:$B$35, 2, FALSE))</f>
        <v/>
      </c>
      <c r="N898" s="107" t="str">
        <f t="shared" si="2"/>
        <v/>
      </c>
    </row>
    <row r="899">
      <c r="A899" s="102"/>
      <c r="B899" s="43" t="str">
        <f>IF(A899="", "", IFERROR(VLOOKUP(A899, Clasificaciones!A:B, 2, FALSE), "DATO NO CARGADO"))</f>
        <v/>
      </c>
      <c r="C899" s="51"/>
      <c r="D899" s="257"/>
      <c r="E899" s="102"/>
      <c r="F899" s="103"/>
      <c r="G899" s="103"/>
      <c r="H899" s="258"/>
      <c r="J899" s="103"/>
      <c r="L899" s="71"/>
      <c r="M899" s="106" t="str">
        <f>IF(ISBLANK(K899), "", VLOOKUP(C899, 'Info Tipo de Cambio y REM'!$A$24:$B$35, 2, FALSE))</f>
        <v/>
      </c>
      <c r="N899" s="107" t="str">
        <f t="shared" si="2"/>
        <v/>
      </c>
    </row>
    <row r="900">
      <c r="A900" s="102"/>
      <c r="B900" s="43" t="str">
        <f>IF(A900="", "", IFERROR(VLOOKUP(A900, Clasificaciones!A:B, 2, FALSE), "DATO NO CARGADO"))</f>
        <v/>
      </c>
      <c r="C900" s="51"/>
      <c r="D900" s="257"/>
      <c r="E900" s="102"/>
      <c r="F900" s="103"/>
      <c r="G900" s="103"/>
      <c r="H900" s="258"/>
      <c r="J900" s="103"/>
      <c r="L900" s="71"/>
      <c r="M900" s="106" t="str">
        <f>IF(ISBLANK(K900), "", VLOOKUP(C900, 'Info Tipo de Cambio y REM'!$A$24:$B$35, 2, FALSE))</f>
        <v/>
      </c>
      <c r="N900" s="107" t="str">
        <f t="shared" si="2"/>
        <v/>
      </c>
    </row>
    <row r="901">
      <c r="A901" s="102"/>
      <c r="B901" s="43" t="str">
        <f>IF(A901="", "", IFERROR(VLOOKUP(A901, Clasificaciones!A:B, 2, FALSE), "DATO NO CARGADO"))</f>
        <v/>
      </c>
      <c r="C901" s="51"/>
      <c r="D901" s="257"/>
      <c r="E901" s="102"/>
      <c r="F901" s="103"/>
      <c r="G901" s="103"/>
      <c r="H901" s="258"/>
      <c r="J901" s="103"/>
      <c r="L901" s="71"/>
      <c r="M901" s="106" t="str">
        <f>IF(ISBLANK(K901), "", VLOOKUP(C901, 'Info Tipo de Cambio y REM'!$A$24:$B$35, 2, FALSE))</f>
        <v/>
      </c>
      <c r="N901" s="107" t="str">
        <f t="shared" si="2"/>
        <v/>
      </c>
    </row>
    <row r="902">
      <c r="A902" s="102"/>
      <c r="B902" s="43" t="str">
        <f>IF(A902="", "", IFERROR(VLOOKUP(A902, Clasificaciones!A:B, 2, FALSE), "DATO NO CARGADO"))</f>
        <v/>
      </c>
      <c r="C902" s="51"/>
      <c r="D902" s="257"/>
      <c r="E902" s="102"/>
      <c r="F902" s="103"/>
      <c r="G902" s="103"/>
      <c r="H902" s="258"/>
      <c r="J902" s="103"/>
      <c r="L902" s="71"/>
      <c r="M902" s="106" t="str">
        <f>IF(ISBLANK(K902), "", VLOOKUP(C902, 'Info Tipo de Cambio y REM'!$A$24:$B$35, 2, FALSE))</f>
        <v/>
      </c>
      <c r="N902" s="107" t="str">
        <f t="shared" si="2"/>
        <v/>
      </c>
    </row>
    <row r="903">
      <c r="A903" s="102"/>
      <c r="B903" s="43" t="str">
        <f>IF(A903="", "", IFERROR(VLOOKUP(A903, Clasificaciones!A:B, 2, FALSE), "DATO NO CARGADO"))</f>
        <v/>
      </c>
      <c r="C903" s="51"/>
      <c r="D903" s="257"/>
      <c r="E903" s="102"/>
      <c r="F903" s="103"/>
      <c r="G903" s="103"/>
      <c r="H903" s="258"/>
      <c r="J903" s="103"/>
      <c r="L903" s="71"/>
      <c r="M903" s="106" t="str">
        <f>IF(ISBLANK(K903), "", VLOOKUP(C903, 'Info Tipo de Cambio y REM'!$A$24:$B$35, 2, FALSE))</f>
        <v/>
      </c>
      <c r="N903" s="107" t="str">
        <f t="shared" si="2"/>
        <v/>
      </c>
    </row>
    <row r="904">
      <c r="A904" s="102"/>
      <c r="B904" s="43" t="str">
        <f>IF(A904="", "", IFERROR(VLOOKUP(A904, Clasificaciones!A:B, 2, FALSE), "DATO NO CARGADO"))</f>
        <v/>
      </c>
      <c r="C904" s="51"/>
      <c r="D904" s="257"/>
      <c r="E904" s="102"/>
      <c r="F904" s="103"/>
      <c r="G904" s="103"/>
      <c r="H904" s="258"/>
      <c r="J904" s="103"/>
      <c r="L904" s="71"/>
      <c r="M904" s="106" t="str">
        <f>IF(ISBLANK(K904), "", VLOOKUP(C904, 'Info Tipo de Cambio y REM'!$A$24:$B$35, 2, FALSE))</f>
        <v/>
      </c>
      <c r="N904" s="107" t="str">
        <f t="shared" si="2"/>
        <v/>
      </c>
    </row>
    <row r="905">
      <c r="A905" s="102"/>
      <c r="B905" s="43" t="str">
        <f>IF(A905="", "", IFERROR(VLOOKUP(A905, Clasificaciones!A:B, 2, FALSE), "DATO NO CARGADO"))</f>
        <v/>
      </c>
      <c r="C905" s="51"/>
      <c r="D905" s="257"/>
      <c r="E905" s="102"/>
      <c r="F905" s="103"/>
      <c r="G905" s="103"/>
      <c r="H905" s="258"/>
      <c r="J905" s="103"/>
      <c r="L905" s="71"/>
      <c r="M905" s="106" t="str">
        <f>IF(ISBLANK(K905), "", VLOOKUP(C905, 'Info Tipo de Cambio y REM'!$A$24:$B$35, 2, FALSE))</f>
        <v/>
      </c>
      <c r="N905" s="107" t="str">
        <f t="shared" si="2"/>
        <v/>
      </c>
    </row>
    <row r="906">
      <c r="A906" s="102"/>
      <c r="B906" s="43" t="str">
        <f>IF(A906="", "", IFERROR(VLOOKUP(A906, Clasificaciones!A:B, 2, FALSE), "DATO NO CARGADO"))</f>
        <v/>
      </c>
      <c r="C906" s="51"/>
      <c r="D906" s="257"/>
      <c r="E906" s="102"/>
      <c r="F906" s="103"/>
      <c r="G906" s="103"/>
      <c r="H906" s="258"/>
      <c r="J906" s="103"/>
      <c r="L906" s="71"/>
      <c r="M906" s="106" t="str">
        <f>IF(ISBLANK(K906), "", VLOOKUP(C906, 'Info Tipo de Cambio y REM'!$A$24:$B$35, 2, FALSE))</f>
        <v/>
      </c>
      <c r="N906" s="107" t="str">
        <f t="shared" si="2"/>
        <v/>
      </c>
    </row>
    <row r="907">
      <c r="A907" s="102"/>
      <c r="B907" s="43" t="str">
        <f>IF(A907="", "", IFERROR(VLOOKUP(A907, Clasificaciones!A:B, 2, FALSE), "DATO NO CARGADO"))</f>
        <v/>
      </c>
      <c r="C907" s="51"/>
      <c r="D907" s="257"/>
      <c r="E907" s="102"/>
      <c r="F907" s="103"/>
      <c r="G907" s="103"/>
      <c r="H907" s="258"/>
      <c r="J907" s="103"/>
      <c r="L907" s="71"/>
      <c r="M907" s="106" t="str">
        <f>IF(ISBLANK(K907), "", VLOOKUP(C907, 'Info Tipo de Cambio y REM'!$A$24:$B$35, 2, FALSE))</f>
        <v/>
      </c>
      <c r="N907" s="107" t="str">
        <f t="shared" si="2"/>
        <v/>
      </c>
    </row>
    <row r="908">
      <c r="A908" s="102"/>
      <c r="B908" s="43" t="str">
        <f>IF(A908="", "", IFERROR(VLOOKUP(A908, Clasificaciones!A:B, 2, FALSE), "DATO NO CARGADO"))</f>
        <v/>
      </c>
      <c r="C908" s="51"/>
      <c r="D908" s="257"/>
      <c r="E908" s="102"/>
      <c r="F908" s="103"/>
      <c r="G908" s="103"/>
      <c r="H908" s="258"/>
      <c r="J908" s="103"/>
      <c r="L908" s="71"/>
      <c r="M908" s="106" t="str">
        <f>IF(ISBLANK(K908), "", VLOOKUP(C908, 'Info Tipo de Cambio y REM'!$A$24:$B$35, 2, FALSE))</f>
        <v/>
      </c>
      <c r="N908" s="107" t="str">
        <f t="shared" si="2"/>
        <v/>
      </c>
    </row>
    <row r="909">
      <c r="A909" s="102"/>
      <c r="B909" s="43" t="str">
        <f>IF(A909="", "", IFERROR(VLOOKUP(A909, Clasificaciones!A:B, 2, FALSE), "DATO NO CARGADO"))</f>
        <v/>
      </c>
      <c r="C909" s="51"/>
      <c r="D909" s="257"/>
      <c r="E909" s="102"/>
      <c r="F909" s="103"/>
      <c r="G909" s="103"/>
      <c r="H909" s="258"/>
      <c r="J909" s="103"/>
      <c r="L909" s="71"/>
      <c r="M909" s="106" t="str">
        <f>IF(ISBLANK(K909), "", VLOOKUP(C909, 'Info Tipo de Cambio y REM'!$A$24:$B$35, 2, FALSE))</f>
        <v/>
      </c>
      <c r="N909" s="107" t="str">
        <f t="shared" si="2"/>
        <v/>
      </c>
    </row>
    <row r="910">
      <c r="A910" s="102"/>
      <c r="B910" s="43" t="str">
        <f>IF(A910="", "", IFERROR(VLOOKUP(A910, Clasificaciones!A:B, 2, FALSE), "DATO NO CARGADO"))</f>
        <v/>
      </c>
      <c r="C910" s="51"/>
      <c r="D910" s="257"/>
      <c r="E910" s="102"/>
      <c r="F910" s="103"/>
      <c r="G910" s="103"/>
      <c r="H910" s="258"/>
      <c r="J910" s="103"/>
      <c r="L910" s="71"/>
      <c r="M910" s="106" t="str">
        <f>IF(ISBLANK(K910), "", VLOOKUP(C910, 'Info Tipo de Cambio y REM'!$A$24:$B$35, 2, FALSE))</f>
        <v/>
      </c>
      <c r="N910" s="107" t="str">
        <f t="shared" si="2"/>
        <v/>
      </c>
    </row>
    <row r="911">
      <c r="A911" s="102"/>
      <c r="B911" s="43" t="str">
        <f>IF(A911="", "", IFERROR(VLOOKUP(A911, Clasificaciones!A:B, 2, FALSE), "DATO NO CARGADO"))</f>
        <v/>
      </c>
      <c r="C911" s="51"/>
      <c r="D911" s="257"/>
      <c r="E911" s="102"/>
      <c r="F911" s="103"/>
      <c r="G911" s="103"/>
      <c r="H911" s="258"/>
      <c r="J911" s="103"/>
      <c r="L911" s="71"/>
      <c r="M911" s="106" t="str">
        <f>IF(ISBLANK(K911), "", VLOOKUP(C911, 'Info Tipo de Cambio y REM'!$A$24:$B$35, 2, FALSE))</f>
        <v/>
      </c>
      <c r="N911" s="107" t="str">
        <f t="shared" si="2"/>
        <v/>
      </c>
    </row>
    <row r="912">
      <c r="A912" s="102"/>
      <c r="B912" s="43" t="str">
        <f>IF(A912="", "", IFERROR(VLOOKUP(A912, Clasificaciones!A:B, 2, FALSE), "DATO NO CARGADO"))</f>
        <v/>
      </c>
      <c r="C912" s="51"/>
      <c r="D912" s="257"/>
      <c r="E912" s="102"/>
      <c r="F912" s="103"/>
      <c r="G912" s="103"/>
      <c r="H912" s="258"/>
      <c r="J912" s="103"/>
      <c r="L912" s="71"/>
      <c r="M912" s="106" t="str">
        <f>IF(ISBLANK(K912), "", VLOOKUP(C912, 'Info Tipo de Cambio y REM'!$A$24:$B$35, 2, FALSE))</f>
        <v/>
      </c>
      <c r="N912" s="107" t="str">
        <f t="shared" si="2"/>
        <v/>
      </c>
    </row>
    <row r="913">
      <c r="A913" s="102"/>
      <c r="B913" s="43" t="str">
        <f>IF(A913="", "", IFERROR(VLOOKUP(A913, Clasificaciones!A:B, 2, FALSE), "DATO NO CARGADO"))</f>
        <v/>
      </c>
      <c r="C913" s="51"/>
      <c r="D913" s="257"/>
      <c r="E913" s="102"/>
      <c r="F913" s="103"/>
      <c r="G913" s="103"/>
      <c r="H913" s="258"/>
      <c r="J913" s="103"/>
      <c r="L913" s="71"/>
      <c r="M913" s="106" t="str">
        <f>IF(ISBLANK(K913), "", VLOOKUP(C913, 'Info Tipo de Cambio y REM'!$A$24:$B$35, 2, FALSE))</f>
        <v/>
      </c>
      <c r="N913" s="107" t="str">
        <f t="shared" si="2"/>
        <v/>
      </c>
    </row>
    <row r="914">
      <c r="A914" s="102"/>
      <c r="B914" s="43" t="str">
        <f>IF(A914="", "", IFERROR(VLOOKUP(A914, Clasificaciones!A:B, 2, FALSE), "DATO NO CARGADO"))</f>
        <v/>
      </c>
      <c r="C914" s="51"/>
      <c r="D914" s="257"/>
      <c r="E914" s="102"/>
      <c r="F914" s="103"/>
      <c r="G914" s="103"/>
      <c r="H914" s="258"/>
      <c r="J914" s="103"/>
      <c r="L914" s="71"/>
      <c r="M914" s="106" t="str">
        <f>IF(ISBLANK(K914), "", VLOOKUP(C914, 'Info Tipo de Cambio y REM'!$A$24:$B$35, 2, FALSE))</f>
        <v/>
      </c>
      <c r="N914" s="107" t="str">
        <f t="shared" si="2"/>
        <v/>
      </c>
    </row>
    <row r="915">
      <c r="A915" s="102"/>
      <c r="B915" s="43" t="str">
        <f>IF(A915="", "", IFERROR(VLOOKUP(A915, Clasificaciones!A:B, 2, FALSE), "DATO NO CARGADO"))</f>
        <v/>
      </c>
      <c r="C915" s="51"/>
      <c r="D915" s="257"/>
      <c r="E915" s="102"/>
      <c r="F915" s="103"/>
      <c r="G915" s="103"/>
      <c r="H915" s="258"/>
      <c r="J915" s="103"/>
      <c r="L915" s="71"/>
      <c r="M915" s="106" t="str">
        <f>IF(ISBLANK(K915), "", VLOOKUP(C915, 'Info Tipo de Cambio y REM'!$A$24:$B$35, 2, FALSE))</f>
        <v/>
      </c>
      <c r="N915" s="107" t="str">
        <f t="shared" si="2"/>
        <v/>
      </c>
    </row>
    <row r="916">
      <c r="A916" s="102"/>
      <c r="B916" s="43" t="str">
        <f>IF(A916="", "", IFERROR(VLOOKUP(A916, Clasificaciones!A:B, 2, FALSE), "DATO NO CARGADO"))</f>
        <v/>
      </c>
      <c r="C916" s="51"/>
      <c r="D916" s="257"/>
      <c r="E916" s="102"/>
      <c r="F916" s="103"/>
      <c r="G916" s="103"/>
      <c r="H916" s="258"/>
      <c r="J916" s="103"/>
      <c r="L916" s="71"/>
      <c r="M916" s="106" t="str">
        <f>IF(ISBLANK(K916), "", VLOOKUP(C916, 'Info Tipo de Cambio y REM'!$A$24:$B$35, 2, FALSE))</f>
        <v/>
      </c>
      <c r="N916" s="107" t="str">
        <f t="shared" si="2"/>
        <v/>
      </c>
    </row>
    <row r="917">
      <c r="A917" s="102"/>
      <c r="B917" s="43" t="str">
        <f>IF(A917="", "", IFERROR(VLOOKUP(A917, Clasificaciones!A:B, 2, FALSE), "DATO NO CARGADO"))</f>
        <v/>
      </c>
      <c r="C917" s="51"/>
      <c r="D917" s="257"/>
      <c r="E917" s="102"/>
      <c r="F917" s="103"/>
      <c r="G917" s="103"/>
      <c r="H917" s="258"/>
      <c r="J917" s="103"/>
      <c r="L917" s="71"/>
      <c r="M917" s="106" t="str">
        <f>IF(ISBLANK(K917), "", VLOOKUP(C917, 'Info Tipo de Cambio y REM'!$A$24:$B$35, 2, FALSE))</f>
        <v/>
      </c>
      <c r="N917" s="107" t="str">
        <f t="shared" si="2"/>
        <v/>
      </c>
    </row>
    <row r="918">
      <c r="A918" s="102"/>
      <c r="B918" s="43" t="str">
        <f>IF(A918="", "", IFERROR(VLOOKUP(A918, Clasificaciones!A:B, 2, FALSE), "DATO NO CARGADO"))</f>
        <v/>
      </c>
      <c r="C918" s="51"/>
      <c r="D918" s="257"/>
      <c r="E918" s="102"/>
      <c r="F918" s="103"/>
      <c r="G918" s="103"/>
      <c r="H918" s="258"/>
      <c r="J918" s="103"/>
      <c r="L918" s="71"/>
      <c r="M918" s="106" t="str">
        <f>IF(ISBLANK(K918), "", VLOOKUP(C918, 'Info Tipo de Cambio y REM'!$A$24:$B$35, 2, FALSE))</f>
        <v/>
      </c>
      <c r="N918" s="107" t="str">
        <f t="shared" si="2"/>
        <v/>
      </c>
    </row>
    <row r="919">
      <c r="A919" s="102"/>
      <c r="B919" s="43" t="str">
        <f>IF(A919="", "", IFERROR(VLOOKUP(A919, Clasificaciones!A:B, 2, FALSE), "DATO NO CARGADO"))</f>
        <v/>
      </c>
      <c r="C919" s="51"/>
      <c r="D919" s="257"/>
      <c r="E919" s="102"/>
      <c r="F919" s="103"/>
      <c r="G919" s="103"/>
      <c r="H919" s="258"/>
      <c r="J919" s="103"/>
      <c r="L919" s="71"/>
      <c r="M919" s="106" t="str">
        <f>IF(ISBLANK(K919), "", VLOOKUP(C919, 'Info Tipo de Cambio y REM'!$A$24:$B$35, 2, FALSE))</f>
        <v/>
      </c>
      <c r="N919" s="107" t="str">
        <f t="shared" si="2"/>
        <v/>
      </c>
    </row>
    <row r="920">
      <c r="A920" s="102"/>
      <c r="B920" s="43" t="str">
        <f>IF(A920="", "", IFERROR(VLOOKUP(A920, Clasificaciones!A:B, 2, FALSE), "DATO NO CARGADO"))</f>
        <v/>
      </c>
      <c r="C920" s="51"/>
      <c r="D920" s="257"/>
      <c r="E920" s="102"/>
      <c r="F920" s="103"/>
      <c r="G920" s="103"/>
      <c r="H920" s="258"/>
      <c r="J920" s="103"/>
      <c r="L920" s="71"/>
      <c r="M920" s="106" t="str">
        <f>IF(ISBLANK(K920), "", VLOOKUP(C920, 'Info Tipo de Cambio y REM'!$A$24:$B$35, 2, FALSE))</f>
        <v/>
      </c>
      <c r="N920" s="107" t="str">
        <f t="shared" si="2"/>
        <v/>
      </c>
    </row>
    <row r="921">
      <c r="A921" s="102"/>
      <c r="B921" s="43" t="str">
        <f>IF(A921="", "", IFERROR(VLOOKUP(A921, Clasificaciones!A:B, 2, FALSE), "DATO NO CARGADO"))</f>
        <v/>
      </c>
      <c r="C921" s="51"/>
      <c r="D921" s="257"/>
      <c r="E921" s="102"/>
      <c r="F921" s="103"/>
      <c r="G921" s="103"/>
      <c r="H921" s="258"/>
      <c r="J921" s="103"/>
      <c r="L921" s="71"/>
      <c r="M921" s="106" t="str">
        <f>IF(ISBLANK(K921), "", VLOOKUP(C921, 'Info Tipo de Cambio y REM'!$A$24:$B$35, 2, FALSE))</f>
        <v/>
      </c>
      <c r="N921" s="107" t="str">
        <f t="shared" si="2"/>
        <v/>
      </c>
    </row>
    <row r="922">
      <c r="A922" s="102"/>
      <c r="B922" s="43" t="str">
        <f>IF(A922="", "", IFERROR(VLOOKUP(A922, Clasificaciones!A:B, 2, FALSE), "DATO NO CARGADO"))</f>
        <v/>
      </c>
      <c r="C922" s="51"/>
      <c r="D922" s="257"/>
      <c r="E922" s="102"/>
      <c r="F922" s="103"/>
      <c r="G922" s="103"/>
      <c r="H922" s="258"/>
      <c r="J922" s="103"/>
      <c r="L922" s="71"/>
      <c r="M922" s="106" t="str">
        <f>IF(ISBLANK(K922), "", VLOOKUP(C922, 'Info Tipo de Cambio y REM'!$A$24:$B$35, 2, FALSE))</f>
        <v/>
      </c>
      <c r="N922" s="107" t="str">
        <f t="shared" si="2"/>
        <v/>
      </c>
    </row>
    <row r="923">
      <c r="A923" s="102"/>
      <c r="B923" s="43" t="str">
        <f>IF(A923="", "", IFERROR(VLOOKUP(A923, Clasificaciones!A:B, 2, FALSE), "DATO NO CARGADO"))</f>
        <v/>
      </c>
      <c r="C923" s="51"/>
      <c r="D923" s="257"/>
      <c r="E923" s="102"/>
      <c r="F923" s="103"/>
      <c r="G923" s="103"/>
      <c r="H923" s="258"/>
      <c r="J923" s="103"/>
      <c r="L923" s="71"/>
      <c r="M923" s="106" t="str">
        <f>IF(ISBLANK(K923), "", VLOOKUP(C923, 'Info Tipo de Cambio y REM'!$A$24:$B$35, 2, FALSE))</f>
        <v/>
      </c>
      <c r="N923" s="107" t="str">
        <f t="shared" si="2"/>
        <v/>
      </c>
    </row>
    <row r="924">
      <c r="A924" s="102"/>
      <c r="B924" s="43" t="str">
        <f>IF(A924="", "", IFERROR(VLOOKUP(A924, Clasificaciones!A:B, 2, FALSE), "DATO NO CARGADO"))</f>
        <v/>
      </c>
      <c r="C924" s="51"/>
      <c r="D924" s="257"/>
      <c r="E924" s="102"/>
      <c r="F924" s="103"/>
      <c r="G924" s="103"/>
      <c r="H924" s="258"/>
      <c r="J924" s="103"/>
      <c r="L924" s="71"/>
      <c r="M924" s="106" t="str">
        <f>IF(ISBLANK(K924), "", VLOOKUP(C924, 'Info Tipo de Cambio y REM'!$A$24:$B$35, 2, FALSE))</f>
        <v/>
      </c>
      <c r="N924" s="107" t="str">
        <f t="shared" si="2"/>
        <v/>
      </c>
    </row>
    <row r="925">
      <c r="A925" s="102"/>
      <c r="B925" s="43" t="str">
        <f>IF(A925="", "", IFERROR(VLOOKUP(A925, Clasificaciones!A:B, 2, FALSE), "DATO NO CARGADO"))</f>
        <v/>
      </c>
      <c r="C925" s="51"/>
      <c r="D925" s="257"/>
      <c r="E925" s="102"/>
      <c r="F925" s="103"/>
      <c r="G925" s="103"/>
      <c r="H925" s="258"/>
      <c r="J925" s="103"/>
      <c r="L925" s="71"/>
      <c r="M925" s="106" t="str">
        <f>IF(ISBLANK(K925), "", VLOOKUP(C925, 'Info Tipo de Cambio y REM'!$A$24:$B$35, 2, FALSE))</f>
        <v/>
      </c>
      <c r="N925" s="107" t="str">
        <f t="shared" si="2"/>
        <v/>
      </c>
    </row>
    <row r="926">
      <c r="A926" s="102"/>
      <c r="B926" s="43" t="str">
        <f>IF(A926="", "", IFERROR(VLOOKUP(A926, Clasificaciones!A:B, 2, FALSE), "DATO NO CARGADO"))</f>
        <v/>
      </c>
      <c r="C926" s="51"/>
      <c r="D926" s="257"/>
      <c r="E926" s="102"/>
      <c r="F926" s="103"/>
      <c r="G926" s="103"/>
      <c r="H926" s="258"/>
      <c r="J926" s="103"/>
      <c r="L926" s="71"/>
      <c r="M926" s="106" t="str">
        <f>IF(ISBLANK(K926), "", VLOOKUP(C926, 'Info Tipo de Cambio y REM'!$A$24:$B$35, 2, FALSE))</f>
        <v/>
      </c>
      <c r="N926" s="107" t="str">
        <f t="shared" si="2"/>
        <v/>
      </c>
    </row>
    <row r="927">
      <c r="A927" s="102"/>
      <c r="B927" s="43" t="str">
        <f>IF(A927="", "", IFERROR(VLOOKUP(A927, Clasificaciones!A:B, 2, FALSE), "DATO NO CARGADO"))</f>
        <v/>
      </c>
      <c r="C927" s="51"/>
      <c r="D927" s="257"/>
      <c r="E927" s="102"/>
      <c r="F927" s="103"/>
      <c r="G927" s="103"/>
      <c r="H927" s="258"/>
      <c r="J927" s="103"/>
      <c r="L927" s="71"/>
      <c r="M927" s="106" t="str">
        <f>IF(ISBLANK(K927), "", VLOOKUP(C927, 'Info Tipo de Cambio y REM'!$A$24:$B$35, 2, FALSE))</f>
        <v/>
      </c>
      <c r="N927" s="107" t="str">
        <f t="shared" si="2"/>
        <v/>
      </c>
    </row>
    <row r="928">
      <c r="A928" s="102"/>
      <c r="B928" s="43" t="str">
        <f>IF(A928="", "", IFERROR(VLOOKUP(A928, Clasificaciones!A:B, 2, FALSE), "DATO NO CARGADO"))</f>
        <v/>
      </c>
      <c r="C928" s="51"/>
      <c r="D928" s="257"/>
      <c r="E928" s="102"/>
      <c r="F928" s="103"/>
      <c r="G928" s="103"/>
      <c r="H928" s="258"/>
      <c r="J928" s="103"/>
      <c r="L928" s="71"/>
      <c r="M928" s="106" t="str">
        <f>IF(ISBLANK(K928), "", VLOOKUP(C928, 'Info Tipo de Cambio y REM'!$A$24:$B$35, 2, FALSE))</f>
        <v/>
      </c>
      <c r="N928" s="107" t="str">
        <f t="shared" si="2"/>
        <v/>
      </c>
    </row>
    <row r="929">
      <c r="A929" s="102"/>
      <c r="B929" s="43" t="str">
        <f>IF(A929="", "", IFERROR(VLOOKUP(A929, Clasificaciones!A:B, 2, FALSE), "DATO NO CARGADO"))</f>
        <v/>
      </c>
      <c r="C929" s="51"/>
      <c r="D929" s="257"/>
      <c r="E929" s="102"/>
      <c r="F929" s="103"/>
      <c r="G929" s="103"/>
      <c r="H929" s="258"/>
      <c r="J929" s="103"/>
      <c r="L929" s="71"/>
      <c r="M929" s="106" t="str">
        <f>IF(ISBLANK(K929), "", VLOOKUP(C929, 'Info Tipo de Cambio y REM'!$A$24:$B$35, 2, FALSE))</f>
        <v/>
      </c>
      <c r="N929" s="107" t="str">
        <f t="shared" si="2"/>
        <v/>
      </c>
    </row>
    <row r="930">
      <c r="A930" s="102"/>
      <c r="B930" s="43" t="str">
        <f>IF(A930="", "", IFERROR(VLOOKUP(A930, Clasificaciones!A:B, 2, FALSE), "DATO NO CARGADO"))</f>
        <v/>
      </c>
      <c r="C930" s="51"/>
      <c r="D930" s="257"/>
      <c r="E930" s="102"/>
      <c r="F930" s="103"/>
      <c r="G930" s="103"/>
      <c r="H930" s="258"/>
      <c r="J930" s="103"/>
      <c r="L930" s="71"/>
      <c r="M930" s="106" t="str">
        <f>IF(ISBLANK(K930), "", VLOOKUP(C930, 'Info Tipo de Cambio y REM'!$A$24:$B$35, 2, FALSE))</f>
        <v/>
      </c>
      <c r="N930" s="107" t="str">
        <f t="shared" si="2"/>
        <v/>
      </c>
    </row>
    <row r="931">
      <c r="A931" s="102"/>
      <c r="B931" s="43" t="str">
        <f>IF(A931="", "", IFERROR(VLOOKUP(A931, Clasificaciones!A:B, 2, FALSE), "DATO NO CARGADO"))</f>
        <v/>
      </c>
      <c r="C931" s="51"/>
      <c r="D931" s="257"/>
      <c r="E931" s="102"/>
      <c r="F931" s="103"/>
      <c r="G931" s="103"/>
      <c r="H931" s="258"/>
      <c r="J931" s="103"/>
      <c r="L931" s="71"/>
      <c r="M931" s="106" t="str">
        <f>IF(ISBLANK(K931), "", VLOOKUP(C931, 'Info Tipo de Cambio y REM'!$A$24:$B$35, 2, FALSE))</f>
        <v/>
      </c>
      <c r="N931" s="107" t="str">
        <f t="shared" si="2"/>
        <v/>
      </c>
    </row>
    <row r="932">
      <c r="A932" s="102"/>
      <c r="B932" s="43" t="str">
        <f>IF(A932="", "", IFERROR(VLOOKUP(A932, Clasificaciones!A:B, 2, FALSE), "DATO NO CARGADO"))</f>
        <v/>
      </c>
      <c r="C932" s="51"/>
      <c r="D932" s="257"/>
      <c r="E932" s="102"/>
      <c r="F932" s="103"/>
      <c r="G932" s="103"/>
      <c r="H932" s="258"/>
      <c r="J932" s="103"/>
      <c r="L932" s="71"/>
      <c r="M932" s="106" t="str">
        <f>IF(ISBLANK(K932), "", VLOOKUP(C932, 'Info Tipo de Cambio y REM'!$A$24:$B$35, 2, FALSE))</f>
        <v/>
      </c>
      <c r="N932" s="107" t="str">
        <f t="shared" si="2"/>
        <v/>
      </c>
    </row>
    <row r="933">
      <c r="A933" s="102"/>
      <c r="B933" s="43" t="str">
        <f>IF(A933="", "", IFERROR(VLOOKUP(A933, Clasificaciones!A:B, 2, FALSE), "DATO NO CARGADO"))</f>
        <v/>
      </c>
      <c r="C933" s="51"/>
      <c r="D933" s="257"/>
      <c r="E933" s="102"/>
      <c r="F933" s="103"/>
      <c r="G933" s="103"/>
      <c r="H933" s="258"/>
      <c r="J933" s="103"/>
      <c r="L933" s="71"/>
      <c r="M933" s="106" t="str">
        <f>IF(ISBLANK(K933), "", VLOOKUP(C933, 'Info Tipo de Cambio y REM'!$A$24:$B$35, 2, FALSE))</f>
        <v/>
      </c>
      <c r="N933" s="107" t="str">
        <f t="shared" si="2"/>
        <v/>
      </c>
    </row>
    <row r="934">
      <c r="A934" s="102"/>
      <c r="B934" s="43" t="str">
        <f>IF(A934="", "", IFERROR(VLOOKUP(A934, Clasificaciones!A:B, 2, FALSE), "DATO NO CARGADO"))</f>
        <v/>
      </c>
      <c r="C934" s="51"/>
      <c r="D934" s="257"/>
      <c r="E934" s="102"/>
      <c r="F934" s="103"/>
      <c r="G934" s="103"/>
      <c r="H934" s="258"/>
      <c r="J934" s="103"/>
      <c r="L934" s="71"/>
      <c r="M934" s="106" t="str">
        <f>IF(ISBLANK(K934), "", VLOOKUP(C934, 'Info Tipo de Cambio y REM'!$A$24:$B$35, 2, FALSE))</f>
        <v/>
      </c>
      <c r="N934" s="107" t="str">
        <f t="shared" si="2"/>
        <v/>
      </c>
    </row>
    <row r="935">
      <c r="A935" s="102"/>
      <c r="B935" s="43" t="str">
        <f>IF(A935="", "", IFERROR(VLOOKUP(A935, Clasificaciones!A:B, 2, FALSE), "DATO NO CARGADO"))</f>
        <v/>
      </c>
      <c r="C935" s="51"/>
      <c r="D935" s="257"/>
      <c r="E935" s="102"/>
      <c r="F935" s="103"/>
      <c r="G935" s="103"/>
      <c r="H935" s="258"/>
      <c r="J935" s="103"/>
      <c r="L935" s="71"/>
      <c r="M935" s="106" t="str">
        <f>IF(ISBLANK(K935), "", VLOOKUP(C935, 'Info Tipo de Cambio y REM'!$A$24:$B$35, 2, FALSE))</f>
        <v/>
      </c>
      <c r="N935" s="107" t="str">
        <f t="shared" si="2"/>
        <v/>
      </c>
    </row>
    <row r="936">
      <c r="A936" s="102"/>
      <c r="B936" s="43" t="str">
        <f>IF(A936="", "", IFERROR(VLOOKUP(A936, Clasificaciones!A:B, 2, FALSE), "DATO NO CARGADO"))</f>
        <v/>
      </c>
      <c r="C936" s="51"/>
      <c r="D936" s="257"/>
      <c r="E936" s="102"/>
      <c r="F936" s="103"/>
      <c r="G936" s="103"/>
      <c r="H936" s="258"/>
      <c r="J936" s="103"/>
      <c r="L936" s="71"/>
      <c r="M936" s="106" t="str">
        <f>IF(ISBLANK(K936), "", VLOOKUP(C936, 'Info Tipo de Cambio y REM'!$A$24:$B$35, 2, FALSE))</f>
        <v/>
      </c>
      <c r="N936" s="107" t="str">
        <f t="shared" si="2"/>
        <v/>
      </c>
    </row>
    <row r="937">
      <c r="A937" s="102"/>
      <c r="B937" s="43" t="str">
        <f>IF(A937="", "", IFERROR(VLOOKUP(A937, Clasificaciones!A:B, 2, FALSE), "DATO NO CARGADO"))</f>
        <v/>
      </c>
      <c r="C937" s="51"/>
      <c r="D937" s="257"/>
      <c r="E937" s="102"/>
      <c r="F937" s="103"/>
      <c r="G937" s="103"/>
      <c r="H937" s="258"/>
      <c r="J937" s="103"/>
      <c r="L937" s="71"/>
      <c r="M937" s="106" t="str">
        <f>IF(ISBLANK(K937), "", VLOOKUP(C937, 'Info Tipo de Cambio y REM'!$A$24:$B$35, 2, FALSE))</f>
        <v/>
      </c>
      <c r="N937" s="107" t="str">
        <f t="shared" si="2"/>
        <v/>
      </c>
    </row>
    <row r="938">
      <c r="A938" s="102"/>
      <c r="B938" s="43" t="str">
        <f>IF(A938="", "", IFERROR(VLOOKUP(A938, Clasificaciones!A:B, 2, FALSE), "DATO NO CARGADO"))</f>
        <v/>
      </c>
      <c r="C938" s="51"/>
      <c r="D938" s="257"/>
      <c r="E938" s="102"/>
      <c r="F938" s="103"/>
      <c r="G938" s="103"/>
      <c r="H938" s="258"/>
      <c r="J938" s="103"/>
      <c r="L938" s="71"/>
      <c r="M938" s="106" t="str">
        <f>IF(ISBLANK(K938), "", VLOOKUP(C938, 'Info Tipo de Cambio y REM'!$A$24:$B$35, 2, FALSE))</f>
        <v/>
      </c>
      <c r="N938" s="107" t="str">
        <f t="shared" si="2"/>
        <v/>
      </c>
    </row>
    <row r="939">
      <c r="A939" s="102"/>
      <c r="B939" s="43" t="str">
        <f>IF(A939="", "", IFERROR(VLOOKUP(A939, Clasificaciones!A:B, 2, FALSE), "DATO NO CARGADO"))</f>
        <v/>
      </c>
      <c r="C939" s="51"/>
      <c r="D939" s="257"/>
      <c r="E939" s="102"/>
      <c r="F939" s="103"/>
      <c r="G939" s="103"/>
      <c r="H939" s="258"/>
      <c r="J939" s="103"/>
      <c r="L939" s="71"/>
      <c r="M939" s="106" t="str">
        <f>IF(ISBLANK(K939), "", VLOOKUP(C939, 'Info Tipo de Cambio y REM'!$A$24:$B$35, 2, FALSE))</f>
        <v/>
      </c>
      <c r="N939" s="107" t="str">
        <f t="shared" si="2"/>
        <v/>
      </c>
    </row>
    <row r="940">
      <c r="A940" s="102"/>
      <c r="B940" s="43" t="str">
        <f>IF(A940="", "", IFERROR(VLOOKUP(A940, Clasificaciones!A:B, 2, FALSE), "DATO NO CARGADO"))</f>
        <v/>
      </c>
      <c r="C940" s="51"/>
      <c r="D940" s="257"/>
      <c r="E940" s="102"/>
      <c r="F940" s="103"/>
      <c r="G940" s="103"/>
      <c r="H940" s="258"/>
      <c r="J940" s="103"/>
      <c r="L940" s="71"/>
      <c r="M940" s="106" t="str">
        <f>IF(ISBLANK(K940), "", VLOOKUP(C940, 'Info Tipo de Cambio y REM'!$A$24:$B$35, 2, FALSE))</f>
        <v/>
      </c>
      <c r="N940" s="107" t="str">
        <f t="shared" si="2"/>
        <v/>
      </c>
    </row>
    <row r="941">
      <c r="A941" s="102"/>
      <c r="B941" s="43" t="str">
        <f>IF(A941="", "", IFERROR(VLOOKUP(A941, Clasificaciones!A:B, 2, FALSE), "DATO NO CARGADO"))</f>
        <v/>
      </c>
      <c r="C941" s="51"/>
      <c r="D941" s="257"/>
      <c r="E941" s="102"/>
      <c r="F941" s="103"/>
      <c r="G941" s="103"/>
      <c r="H941" s="258"/>
      <c r="J941" s="103"/>
      <c r="L941" s="71"/>
      <c r="M941" s="106" t="str">
        <f>IF(ISBLANK(K941), "", VLOOKUP(C941, 'Info Tipo de Cambio y REM'!$A$24:$B$35, 2, FALSE))</f>
        <v/>
      </c>
      <c r="N941" s="107" t="str">
        <f t="shared" si="2"/>
        <v/>
      </c>
    </row>
    <row r="942">
      <c r="A942" s="102"/>
      <c r="B942" s="43" t="str">
        <f>IF(A942="", "", IFERROR(VLOOKUP(A942, Clasificaciones!A:B, 2, FALSE), "DATO NO CARGADO"))</f>
        <v/>
      </c>
      <c r="C942" s="51"/>
      <c r="D942" s="257"/>
      <c r="E942" s="102"/>
      <c r="F942" s="103"/>
      <c r="G942" s="103"/>
      <c r="H942" s="258"/>
      <c r="J942" s="103"/>
      <c r="L942" s="71"/>
      <c r="M942" s="106" t="str">
        <f>IF(ISBLANK(K942), "", VLOOKUP(C942, 'Info Tipo de Cambio y REM'!$A$24:$B$35, 2, FALSE))</f>
        <v/>
      </c>
      <c r="N942" s="107" t="str">
        <f t="shared" si="2"/>
        <v/>
      </c>
    </row>
    <row r="943">
      <c r="A943" s="102"/>
      <c r="B943" s="43" t="str">
        <f>IF(A943="", "", IFERROR(VLOOKUP(A943, Clasificaciones!A:B, 2, FALSE), "DATO NO CARGADO"))</f>
        <v/>
      </c>
      <c r="C943" s="51"/>
      <c r="D943" s="257"/>
      <c r="E943" s="102"/>
      <c r="F943" s="103"/>
      <c r="G943" s="103"/>
      <c r="H943" s="258"/>
      <c r="J943" s="103"/>
      <c r="L943" s="71"/>
      <c r="M943" s="106" t="str">
        <f>IF(ISBLANK(K943), "", VLOOKUP(C943, 'Info Tipo de Cambio y REM'!$A$24:$B$35, 2, FALSE))</f>
        <v/>
      </c>
      <c r="N943" s="107" t="str">
        <f t="shared" si="2"/>
        <v/>
      </c>
    </row>
    <row r="944">
      <c r="A944" s="102"/>
      <c r="B944" s="43" t="str">
        <f>IF(A944="", "", IFERROR(VLOOKUP(A944, Clasificaciones!A:B, 2, FALSE), "DATO NO CARGADO"))</f>
        <v/>
      </c>
      <c r="C944" s="51"/>
      <c r="D944" s="257"/>
      <c r="E944" s="102"/>
      <c r="F944" s="103"/>
      <c r="G944" s="103"/>
      <c r="H944" s="258"/>
      <c r="J944" s="103"/>
      <c r="L944" s="71"/>
      <c r="M944" s="106" t="str">
        <f>IF(ISBLANK(K944), "", VLOOKUP(C944, 'Info Tipo de Cambio y REM'!$A$24:$B$35, 2, FALSE))</f>
        <v/>
      </c>
      <c r="N944" s="107" t="str">
        <f t="shared" si="2"/>
        <v/>
      </c>
    </row>
    <row r="945">
      <c r="A945" s="102"/>
      <c r="B945" s="43" t="str">
        <f>IF(A945="", "", IFERROR(VLOOKUP(A945, Clasificaciones!A:B, 2, FALSE), "DATO NO CARGADO"))</f>
        <v/>
      </c>
      <c r="C945" s="51"/>
      <c r="D945" s="257"/>
      <c r="E945" s="102"/>
      <c r="F945" s="103"/>
      <c r="G945" s="103"/>
      <c r="H945" s="258"/>
      <c r="J945" s="103"/>
      <c r="L945" s="71"/>
      <c r="M945" s="106" t="str">
        <f>IF(ISBLANK(K945), "", VLOOKUP(C945, 'Info Tipo de Cambio y REM'!$A$24:$B$35, 2, FALSE))</f>
        <v/>
      </c>
      <c r="N945" s="107" t="str">
        <f t="shared" si="2"/>
        <v/>
      </c>
    </row>
    <row r="946">
      <c r="A946" s="102"/>
      <c r="B946" s="43" t="str">
        <f>IF(A946="", "", IFERROR(VLOOKUP(A946, Clasificaciones!A:B, 2, FALSE), "DATO NO CARGADO"))</f>
        <v/>
      </c>
      <c r="C946" s="51"/>
      <c r="D946" s="257"/>
      <c r="E946" s="102"/>
      <c r="F946" s="103"/>
      <c r="G946" s="103"/>
      <c r="H946" s="258"/>
      <c r="J946" s="103"/>
      <c r="L946" s="71"/>
      <c r="M946" s="106" t="str">
        <f>IF(ISBLANK(K946), "", VLOOKUP(C946, 'Info Tipo de Cambio y REM'!$A$24:$B$35, 2, FALSE))</f>
        <v/>
      </c>
      <c r="N946" s="107" t="str">
        <f t="shared" si="2"/>
        <v/>
      </c>
    </row>
    <row r="947">
      <c r="A947" s="102"/>
      <c r="B947" s="43" t="str">
        <f>IF(A947="", "", IFERROR(VLOOKUP(A947, Clasificaciones!A:B, 2, FALSE), "DATO NO CARGADO"))</f>
        <v/>
      </c>
      <c r="C947" s="51"/>
      <c r="D947" s="257"/>
      <c r="E947" s="102"/>
      <c r="F947" s="103"/>
      <c r="G947" s="103"/>
      <c r="H947" s="258"/>
      <c r="J947" s="103"/>
      <c r="L947" s="71"/>
      <c r="M947" s="106" t="str">
        <f>IF(ISBLANK(K947), "", VLOOKUP(C947, 'Info Tipo de Cambio y REM'!$A$24:$B$35, 2, FALSE))</f>
        <v/>
      </c>
      <c r="N947" s="107" t="str">
        <f t="shared" si="2"/>
        <v/>
      </c>
    </row>
    <row r="948">
      <c r="A948" s="102"/>
      <c r="B948" s="43" t="str">
        <f>IF(A948="", "", IFERROR(VLOOKUP(A948, Clasificaciones!A:B, 2, FALSE), "DATO NO CARGADO"))</f>
        <v/>
      </c>
      <c r="C948" s="51"/>
      <c r="D948" s="257"/>
      <c r="E948" s="102"/>
      <c r="F948" s="103"/>
      <c r="G948" s="103"/>
      <c r="H948" s="258"/>
      <c r="J948" s="103"/>
      <c r="L948" s="71"/>
      <c r="M948" s="106" t="str">
        <f>IF(ISBLANK(K948), "", VLOOKUP(C948, 'Info Tipo de Cambio y REM'!$A$24:$B$35, 2, FALSE))</f>
        <v/>
      </c>
      <c r="N948" s="107" t="str">
        <f t="shared" si="2"/>
        <v/>
      </c>
    </row>
    <row r="949">
      <c r="A949" s="102"/>
      <c r="B949" s="43" t="str">
        <f>IF(A949="", "", IFERROR(VLOOKUP(A949, Clasificaciones!A:B, 2, FALSE), "DATO NO CARGADO"))</f>
        <v/>
      </c>
      <c r="C949" s="51"/>
      <c r="D949" s="257"/>
      <c r="E949" s="102"/>
      <c r="F949" s="103"/>
      <c r="G949" s="103"/>
      <c r="H949" s="258"/>
      <c r="J949" s="103"/>
      <c r="L949" s="71"/>
      <c r="M949" s="106" t="str">
        <f>IF(ISBLANK(K949), "", VLOOKUP(C949, 'Info Tipo de Cambio y REM'!$A$24:$B$35, 2, FALSE))</f>
        <v/>
      </c>
      <c r="N949" s="107" t="str">
        <f t="shared" si="2"/>
        <v/>
      </c>
    </row>
    <row r="950">
      <c r="A950" s="102"/>
      <c r="B950" s="43" t="str">
        <f>IF(A950="", "", IFERROR(VLOOKUP(A950, Clasificaciones!A:B, 2, FALSE), "DATO NO CARGADO"))</f>
        <v/>
      </c>
      <c r="C950" s="51"/>
      <c r="D950" s="257"/>
      <c r="E950" s="102"/>
      <c r="F950" s="103"/>
      <c r="G950" s="103"/>
      <c r="H950" s="258"/>
      <c r="J950" s="103"/>
      <c r="L950" s="71"/>
      <c r="M950" s="106" t="str">
        <f>IF(ISBLANK(K950), "", VLOOKUP(C950, 'Info Tipo de Cambio y REM'!$A$24:$B$35, 2, FALSE))</f>
        <v/>
      </c>
      <c r="N950" s="107" t="str">
        <f t="shared" si="2"/>
        <v/>
      </c>
    </row>
    <row r="951">
      <c r="A951" s="102"/>
      <c r="B951" s="43" t="str">
        <f>IF(A951="", "", IFERROR(VLOOKUP(A951, Clasificaciones!A:B, 2, FALSE), "DATO NO CARGADO"))</f>
        <v/>
      </c>
      <c r="C951" s="51"/>
      <c r="D951" s="257"/>
      <c r="E951" s="102"/>
      <c r="F951" s="103"/>
      <c r="G951" s="103"/>
      <c r="H951" s="258"/>
      <c r="J951" s="103"/>
      <c r="L951" s="71"/>
      <c r="M951" s="106" t="str">
        <f>IF(ISBLANK(K951), "", VLOOKUP(C951, 'Info Tipo de Cambio y REM'!$A$24:$B$35, 2, FALSE))</f>
        <v/>
      </c>
      <c r="N951" s="107" t="str">
        <f t="shared" si="2"/>
        <v/>
      </c>
    </row>
    <row r="952">
      <c r="A952" s="102"/>
      <c r="B952" s="43" t="str">
        <f>IF(A952="", "", IFERROR(VLOOKUP(A952, Clasificaciones!A:B, 2, FALSE), "DATO NO CARGADO"))</f>
        <v/>
      </c>
      <c r="C952" s="51"/>
      <c r="D952" s="257"/>
      <c r="E952" s="102"/>
      <c r="F952" s="103"/>
      <c r="G952" s="103"/>
      <c r="H952" s="258"/>
      <c r="J952" s="103"/>
      <c r="L952" s="71"/>
      <c r="M952" s="106" t="str">
        <f>IF(ISBLANK(K952), "", VLOOKUP(C952, 'Info Tipo de Cambio y REM'!$A$24:$B$35, 2, FALSE))</f>
        <v/>
      </c>
      <c r="N952" s="107" t="str">
        <f t="shared" si="2"/>
        <v/>
      </c>
    </row>
    <row r="953">
      <c r="A953" s="102"/>
      <c r="B953" s="43" t="str">
        <f>IF(A953="", "", IFERROR(VLOOKUP(A953, Clasificaciones!A:B, 2, FALSE), "DATO NO CARGADO"))</f>
        <v/>
      </c>
      <c r="C953" s="51"/>
      <c r="D953" s="257"/>
      <c r="E953" s="102"/>
      <c r="F953" s="103"/>
      <c r="G953" s="103"/>
      <c r="H953" s="258"/>
      <c r="J953" s="103"/>
      <c r="L953" s="71"/>
      <c r="M953" s="106" t="str">
        <f>IF(ISBLANK(K953), "", VLOOKUP(C953, 'Info Tipo de Cambio y REM'!$A$24:$B$35, 2, FALSE))</f>
        <v/>
      </c>
      <c r="N953" s="107" t="str">
        <f t="shared" si="2"/>
        <v/>
      </c>
    </row>
    <row r="954">
      <c r="A954" s="102"/>
      <c r="B954" s="43" t="str">
        <f>IF(A954="", "", IFERROR(VLOOKUP(A954, Clasificaciones!A:B, 2, FALSE), "DATO NO CARGADO"))</f>
        <v/>
      </c>
      <c r="C954" s="51"/>
      <c r="D954" s="257"/>
      <c r="E954" s="102"/>
      <c r="F954" s="103"/>
      <c r="G954" s="103"/>
      <c r="H954" s="258"/>
      <c r="J954" s="103"/>
      <c r="L954" s="71"/>
      <c r="M954" s="106" t="str">
        <f>IF(ISBLANK(K954), "", VLOOKUP(C954, 'Info Tipo de Cambio y REM'!$A$24:$B$35, 2, FALSE))</f>
        <v/>
      </c>
      <c r="N954" s="107" t="str">
        <f t="shared" si="2"/>
        <v/>
      </c>
    </row>
    <row r="955">
      <c r="A955" s="102"/>
      <c r="B955" s="43" t="str">
        <f>IF(A955="", "", IFERROR(VLOOKUP(A955, Clasificaciones!A:B, 2, FALSE), "DATO NO CARGADO"))</f>
        <v/>
      </c>
      <c r="C955" s="51"/>
      <c r="D955" s="257"/>
      <c r="E955" s="102"/>
      <c r="F955" s="103"/>
      <c r="G955" s="103"/>
      <c r="H955" s="258"/>
      <c r="J955" s="103"/>
      <c r="L955" s="71"/>
      <c r="M955" s="106" t="str">
        <f>IF(ISBLANK(K955), "", VLOOKUP(C955, 'Info Tipo de Cambio y REM'!$A$24:$B$35, 2, FALSE))</f>
        <v/>
      </c>
      <c r="N955" s="107" t="str">
        <f t="shared" si="2"/>
        <v/>
      </c>
    </row>
    <row r="956">
      <c r="A956" s="102"/>
      <c r="B956" s="43" t="str">
        <f>IF(A956="", "", IFERROR(VLOOKUP(A956, Clasificaciones!A:B, 2, FALSE), "DATO NO CARGADO"))</f>
        <v/>
      </c>
      <c r="C956" s="51"/>
      <c r="D956" s="257"/>
      <c r="E956" s="102"/>
      <c r="F956" s="103"/>
      <c r="G956" s="103"/>
      <c r="H956" s="258"/>
      <c r="J956" s="103"/>
      <c r="L956" s="71"/>
      <c r="M956" s="106" t="str">
        <f>IF(ISBLANK(K956), "", VLOOKUP(C956, 'Info Tipo de Cambio y REM'!$A$24:$B$35, 2, FALSE))</f>
        <v/>
      </c>
      <c r="N956" s="107" t="str">
        <f t="shared" si="2"/>
        <v/>
      </c>
    </row>
    <row r="957">
      <c r="A957" s="102"/>
      <c r="B957" s="43" t="str">
        <f>IF(A957="", "", IFERROR(VLOOKUP(A957, Clasificaciones!A:B, 2, FALSE), "DATO NO CARGADO"))</f>
        <v/>
      </c>
      <c r="C957" s="51"/>
      <c r="D957" s="257"/>
      <c r="E957" s="102"/>
      <c r="F957" s="103"/>
      <c r="G957" s="103"/>
      <c r="H957" s="258"/>
      <c r="J957" s="103"/>
      <c r="L957" s="71"/>
      <c r="M957" s="106" t="str">
        <f>IF(ISBLANK(K957), "", VLOOKUP(C957, 'Info Tipo de Cambio y REM'!$A$24:$B$35, 2, FALSE))</f>
        <v/>
      </c>
      <c r="N957" s="107" t="str">
        <f t="shared" si="2"/>
        <v/>
      </c>
    </row>
    <row r="958">
      <c r="A958" s="102"/>
      <c r="B958" s="43" t="str">
        <f>IF(A958="", "", IFERROR(VLOOKUP(A958, Clasificaciones!A:B, 2, FALSE), "DATO NO CARGADO"))</f>
        <v/>
      </c>
      <c r="C958" s="51"/>
      <c r="D958" s="257"/>
      <c r="E958" s="102"/>
      <c r="F958" s="103"/>
      <c r="G958" s="103"/>
      <c r="H958" s="258"/>
      <c r="J958" s="103"/>
      <c r="L958" s="71"/>
      <c r="M958" s="106" t="str">
        <f>IF(ISBLANK(K958), "", VLOOKUP(C958, 'Info Tipo de Cambio y REM'!$A$24:$B$35, 2, FALSE))</f>
        <v/>
      </c>
      <c r="N958" s="107" t="str">
        <f t="shared" si="2"/>
        <v/>
      </c>
    </row>
    <row r="959">
      <c r="A959" s="102"/>
      <c r="B959" s="43" t="str">
        <f>IF(A959="", "", IFERROR(VLOOKUP(A959, Clasificaciones!A:B, 2, FALSE), "DATO NO CARGADO"))</f>
        <v/>
      </c>
      <c r="C959" s="51"/>
      <c r="D959" s="257"/>
      <c r="E959" s="102"/>
      <c r="F959" s="103"/>
      <c r="G959" s="103"/>
      <c r="H959" s="258"/>
      <c r="J959" s="103"/>
      <c r="L959" s="71"/>
      <c r="M959" s="106" t="str">
        <f>IF(ISBLANK(K959), "", VLOOKUP(C959, 'Info Tipo de Cambio y REM'!$A$24:$B$35, 2, FALSE))</f>
        <v/>
      </c>
      <c r="N959" s="107" t="str">
        <f t="shared" si="2"/>
        <v/>
      </c>
    </row>
    <row r="960">
      <c r="A960" s="102"/>
      <c r="B960" s="43" t="str">
        <f>IF(A960="", "", IFERROR(VLOOKUP(A960, Clasificaciones!A:B, 2, FALSE), "DATO NO CARGADO"))</f>
        <v/>
      </c>
      <c r="C960" s="51"/>
      <c r="D960" s="257"/>
      <c r="E960" s="102"/>
      <c r="F960" s="103"/>
      <c r="G960" s="103"/>
      <c r="H960" s="258"/>
      <c r="J960" s="103"/>
      <c r="L960" s="71"/>
      <c r="M960" s="106" t="str">
        <f>IF(ISBLANK(K960), "", VLOOKUP(C960, 'Info Tipo de Cambio y REM'!$A$24:$B$35, 2, FALSE))</f>
        <v/>
      </c>
      <c r="N960" s="107" t="str">
        <f t="shared" si="2"/>
        <v/>
      </c>
    </row>
    <row r="961">
      <c r="A961" s="102"/>
      <c r="B961" s="43" t="str">
        <f>IF(A961="", "", IFERROR(VLOOKUP(A961, Clasificaciones!A:B, 2, FALSE), "DATO NO CARGADO"))</f>
        <v/>
      </c>
      <c r="C961" s="51"/>
      <c r="D961" s="257"/>
      <c r="E961" s="102"/>
      <c r="F961" s="103"/>
      <c r="G961" s="103"/>
      <c r="H961" s="258"/>
      <c r="J961" s="103"/>
      <c r="L961" s="71"/>
      <c r="M961" s="106" t="str">
        <f>IF(ISBLANK(K961), "", VLOOKUP(C961, 'Info Tipo de Cambio y REM'!$A$24:$B$35, 2, FALSE))</f>
        <v/>
      </c>
      <c r="N961" s="107" t="str">
        <f t="shared" si="2"/>
        <v/>
      </c>
    </row>
    <row r="962">
      <c r="A962" s="102"/>
      <c r="B962" s="43" t="str">
        <f>IF(A962="", "", IFERROR(VLOOKUP(A962, Clasificaciones!A:B, 2, FALSE), "DATO NO CARGADO"))</f>
        <v/>
      </c>
      <c r="C962" s="51"/>
      <c r="D962" s="257"/>
      <c r="E962" s="102"/>
      <c r="F962" s="103"/>
      <c r="G962" s="103"/>
      <c r="H962" s="258"/>
      <c r="J962" s="103"/>
      <c r="L962" s="71"/>
      <c r="M962" s="106" t="str">
        <f>IF(ISBLANK(K962), "", VLOOKUP(C962, 'Info Tipo de Cambio y REM'!$A$24:$B$35, 2, FALSE))</f>
        <v/>
      </c>
      <c r="N962" s="107" t="str">
        <f t="shared" si="2"/>
        <v/>
      </c>
    </row>
    <row r="963">
      <c r="A963" s="102"/>
      <c r="B963" s="43" t="str">
        <f>IF(A963="", "", IFERROR(VLOOKUP(A963, Clasificaciones!A:B, 2, FALSE), "DATO NO CARGADO"))</f>
        <v/>
      </c>
      <c r="C963" s="51"/>
      <c r="D963" s="257"/>
      <c r="E963" s="102"/>
      <c r="F963" s="103"/>
      <c r="G963" s="103"/>
      <c r="H963" s="258"/>
      <c r="J963" s="103"/>
      <c r="L963" s="71"/>
      <c r="M963" s="106" t="str">
        <f>IF(ISBLANK(K963), "", VLOOKUP(C963, 'Info Tipo de Cambio y REM'!$A$24:$B$35, 2, FALSE))</f>
        <v/>
      </c>
      <c r="N963" s="107" t="str">
        <f t="shared" si="2"/>
        <v/>
      </c>
    </row>
    <row r="964">
      <c r="A964" s="102"/>
      <c r="B964" s="43" t="str">
        <f>IF(A964="", "", IFERROR(VLOOKUP(A964, Clasificaciones!A:B, 2, FALSE), "DATO NO CARGADO"))</f>
        <v/>
      </c>
      <c r="C964" s="51"/>
      <c r="D964" s="257"/>
      <c r="E964" s="102"/>
      <c r="F964" s="103"/>
      <c r="G964" s="103"/>
      <c r="H964" s="258"/>
      <c r="J964" s="103"/>
      <c r="L964" s="71"/>
      <c r="M964" s="106" t="str">
        <f>IF(ISBLANK(K964), "", VLOOKUP(C964, 'Info Tipo de Cambio y REM'!$A$24:$B$35, 2, FALSE))</f>
        <v/>
      </c>
      <c r="N964" s="107" t="str">
        <f t="shared" si="2"/>
        <v/>
      </c>
    </row>
    <row r="965">
      <c r="A965" s="102"/>
      <c r="B965" s="43" t="str">
        <f>IF(A965="", "", IFERROR(VLOOKUP(A965, Clasificaciones!A:B, 2, FALSE), "DATO NO CARGADO"))</f>
        <v/>
      </c>
      <c r="C965" s="51"/>
      <c r="D965" s="257"/>
      <c r="E965" s="102"/>
      <c r="F965" s="103"/>
      <c r="G965" s="103"/>
      <c r="H965" s="258"/>
      <c r="J965" s="103"/>
      <c r="L965" s="71"/>
      <c r="M965" s="106" t="str">
        <f>IF(ISBLANK(K965), "", VLOOKUP(C965, 'Info Tipo de Cambio y REM'!$A$24:$B$35, 2, FALSE))</f>
        <v/>
      </c>
      <c r="N965" s="107" t="str">
        <f t="shared" si="2"/>
        <v/>
      </c>
    </row>
    <row r="966">
      <c r="A966" s="102"/>
      <c r="B966" s="43" t="str">
        <f>IF(A966="", "", IFERROR(VLOOKUP(A966, Clasificaciones!A:B, 2, FALSE), "DATO NO CARGADO"))</f>
        <v/>
      </c>
      <c r="C966" s="51"/>
      <c r="D966" s="257"/>
      <c r="E966" s="102"/>
      <c r="F966" s="103"/>
      <c r="G966" s="103"/>
      <c r="H966" s="258"/>
      <c r="J966" s="103"/>
      <c r="L966" s="71"/>
      <c r="M966" s="106" t="str">
        <f>IF(ISBLANK(K966), "", VLOOKUP(C966, 'Info Tipo de Cambio y REM'!$A$24:$B$35, 2, FALSE))</f>
        <v/>
      </c>
      <c r="N966" s="107" t="str">
        <f t="shared" si="2"/>
        <v/>
      </c>
    </row>
    <row r="967">
      <c r="A967" s="102"/>
      <c r="B967" s="43" t="str">
        <f>IF(A967="", "", IFERROR(VLOOKUP(A967, Clasificaciones!A:B, 2, FALSE), "DATO NO CARGADO"))</f>
        <v/>
      </c>
      <c r="C967" s="51"/>
      <c r="D967" s="257"/>
      <c r="E967" s="102"/>
      <c r="F967" s="103"/>
      <c r="G967" s="103"/>
      <c r="H967" s="258"/>
      <c r="J967" s="103"/>
      <c r="L967" s="71"/>
      <c r="M967" s="106" t="str">
        <f>IF(ISBLANK(K967), "", VLOOKUP(C967, 'Info Tipo de Cambio y REM'!$A$24:$B$35, 2, FALSE))</f>
        <v/>
      </c>
      <c r="N967" s="107" t="str">
        <f t="shared" si="2"/>
        <v/>
      </c>
    </row>
    <row r="968">
      <c r="A968" s="102"/>
      <c r="B968" s="43" t="str">
        <f>IF(A968="", "", IFERROR(VLOOKUP(A968, Clasificaciones!A:B, 2, FALSE), "DATO NO CARGADO"))</f>
        <v/>
      </c>
      <c r="C968" s="51"/>
      <c r="D968" s="257"/>
      <c r="E968" s="102"/>
      <c r="F968" s="103"/>
      <c r="G968" s="103"/>
      <c r="H968" s="258"/>
      <c r="J968" s="103"/>
      <c r="L968" s="71"/>
      <c r="M968" s="106" t="str">
        <f>IF(ISBLANK(K968), "", VLOOKUP(C968, 'Info Tipo de Cambio y REM'!$A$24:$B$35, 2, FALSE))</f>
        <v/>
      </c>
      <c r="N968" s="107" t="str">
        <f t="shared" si="2"/>
        <v/>
      </c>
    </row>
    <row r="969">
      <c r="A969" s="102"/>
      <c r="B969" s="43" t="str">
        <f>IF(A969="", "", IFERROR(VLOOKUP(A969, Clasificaciones!A:B, 2, FALSE), "DATO NO CARGADO"))</f>
        <v/>
      </c>
      <c r="C969" s="51"/>
      <c r="D969" s="257"/>
      <c r="E969" s="102"/>
      <c r="F969" s="103"/>
      <c r="G969" s="103"/>
      <c r="H969" s="258"/>
      <c r="J969" s="103"/>
      <c r="L969" s="71"/>
      <c r="M969" s="106" t="str">
        <f>IF(ISBLANK(K969), "", VLOOKUP(C969, 'Info Tipo de Cambio y REM'!$A$24:$B$35, 2, FALSE))</f>
        <v/>
      </c>
      <c r="N969" s="107" t="str">
        <f t="shared" si="2"/>
        <v/>
      </c>
    </row>
    <row r="970">
      <c r="A970" s="102"/>
      <c r="B970" s="43" t="str">
        <f>IF(A970="", "", IFERROR(VLOOKUP(A970, Clasificaciones!A:B, 2, FALSE), "DATO NO CARGADO"))</f>
        <v/>
      </c>
      <c r="C970" s="51"/>
      <c r="D970" s="257"/>
      <c r="E970" s="102"/>
      <c r="F970" s="103"/>
      <c r="G970" s="103"/>
      <c r="H970" s="258"/>
      <c r="J970" s="103"/>
      <c r="L970" s="71"/>
      <c r="M970" s="106" t="str">
        <f>IF(ISBLANK(K970), "", VLOOKUP(C970, 'Info Tipo de Cambio y REM'!$A$24:$B$35, 2, FALSE))</f>
        <v/>
      </c>
      <c r="N970" s="107" t="str">
        <f t="shared" si="2"/>
        <v/>
      </c>
    </row>
    <row r="971">
      <c r="A971" s="102"/>
      <c r="B971" s="43" t="str">
        <f>IF(A971="", "", IFERROR(VLOOKUP(A971, Clasificaciones!A:B, 2, FALSE), "DATO NO CARGADO"))</f>
        <v/>
      </c>
      <c r="C971" s="51"/>
      <c r="D971" s="257"/>
      <c r="E971" s="102"/>
      <c r="F971" s="103"/>
      <c r="G971" s="103"/>
      <c r="H971" s="258"/>
      <c r="J971" s="103"/>
      <c r="L971" s="71"/>
      <c r="M971" s="106" t="str">
        <f>IF(ISBLANK(K971), "", VLOOKUP(C971, 'Info Tipo de Cambio y REM'!$A$24:$B$35, 2, FALSE))</f>
        <v/>
      </c>
      <c r="N971" s="107" t="str">
        <f t="shared" si="2"/>
        <v/>
      </c>
    </row>
    <row r="972">
      <c r="A972" s="102"/>
      <c r="B972" s="43" t="str">
        <f>IF(A972="", "", IFERROR(VLOOKUP(A972, Clasificaciones!A:B, 2, FALSE), "DATO NO CARGADO"))</f>
        <v/>
      </c>
      <c r="C972" s="51"/>
      <c r="D972" s="257"/>
      <c r="E972" s="102"/>
      <c r="F972" s="103"/>
      <c r="G972" s="103"/>
      <c r="H972" s="258"/>
      <c r="J972" s="103"/>
      <c r="L972" s="71"/>
      <c r="M972" s="106" t="str">
        <f>IF(ISBLANK(K972), "", VLOOKUP(C972, 'Info Tipo de Cambio y REM'!$A$24:$B$35, 2, FALSE))</f>
        <v/>
      </c>
      <c r="N972" s="107" t="str">
        <f t="shared" si="2"/>
        <v/>
      </c>
    </row>
    <row r="973">
      <c r="A973" s="102"/>
      <c r="B973" s="43" t="str">
        <f>IF(A973="", "", IFERROR(VLOOKUP(A973, Clasificaciones!A:B, 2, FALSE), "DATO NO CARGADO"))</f>
        <v/>
      </c>
      <c r="C973" s="51"/>
      <c r="D973" s="257"/>
      <c r="E973" s="102"/>
      <c r="F973" s="103"/>
      <c r="G973" s="103"/>
      <c r="H973" s="258"/>
      <c r="J973" s="103"/>
      <c r="L973" s="71"/>
      <c r="M973" s="106" t="str">
        <f>IF(ISBLANK(K973), "", VLOOKUP(C973, 'Info Tipo de Cambio y REM'!$A$24:$B$35, 2, FALSE))</f>
        <v/>
      </c>
      <c r="N973" s="107" t="str">
        <f t="shared" si="2"/>
        <v/>
      </c>
    </row>
    <row r="974">
      <c r="A974" s="102"/>
      <c r="B974" s="43" t="str">
        <f>IF(A974="", "", IFERROR(VLOOKUP(A974, Clasificaciones!A:B, 2, FALSE), "DATO NO CARGADO"))</f>
        <v/>
      </c>
      <c r="C974" s="51"/>
      <c r="D974" s="257"/>
      <c r="E974" s="102"/>
      <c r="F974" s="103"/>
      <c r="G974" s="103"/>
      <c r="H974" s="258"/>
      <c r="J974" s="103"/>
      <c r="L974" s="71"/>
      <c r="M974" s="106" t="str">
        <f>IF(ISBLANK(K974), "", VLOOKUP(C974, 'Info Tipo de Cambio y REM'!$A$24:$B$35, 2, FALSE))</f>
        <v/>
      </c>
      <c r="N974" s="107" t="str">
        <f t="shared" si="2"/>
        <v/>
      </c>
    </row>
    <row r="975">
      <c r="A975" s="102"/>
      <c r="B975" s="43" t="str">
        <f>IF(A975="", "", IFERROR(VLOOKUP(A975, Clasificaciones!A:B, 2, FALSE), "DATO NO CARGADO"))</f>
        <v/>
      </c>
      <c r="C975" s="51"/>
      <c r="D975" s="257"/>
      <c r="E975" s="102"/>
      <c r="F975" s="103"/>
      <c r="G975" s="103"/>
      <c r="H975" s="258"/>
      <c r="J975" s="103"/>
      <c r="L975" s="71"/>
      <c r="M975" s="106" t="str">
        <f>IF(ISBLANK(K975), "", VLOOKUP(C975, 'Info Tipo de Cambio y REM'!$A$24:$B$35, 2, FALSE))</f>
        <v/>
      </c>
      <c r="N975" s="107" t="str">
        <f t="shared" si="2"/>
        <v/>
      </c>
    </row>
    <row r="976">
      <c r="A976" s="102"/>
      <c r="B976" s="43" t="str">
        <f>IF(A976="", "", IFERROR(VLOOKUP(A976, Clasificaciones!A:B, 2, FALSE), "DATO NO CARGADO"))</f>
        <v/>
      </c>
      <c r="C976" s="51"/>
      <c r="D976" s="257"/>
      <c r="E976" s="102"/>
      <c r="F976" s="103"/>
      <c r="G976" s="103"/>
      <c r="H976" s="258"/>
      <c r="J976" s="103"/>
      <c r="L976" s="71"/>
      <c r="M976" s="106" t="str">
        <f>IF(ISBLANK(K976), "", VLOOKUP(C976, 'Info Tipo de Cambio y REM'!$A$24:$B$35, 2, FALSE))</f>
        <v/>
      </c>
      <c r="N976" s="107" t="str">
        <f t="shared" si="2"/>
        <v/>
      </c>
    </row>
    <row r="977">
      <c r="A977" s="102"/>
      <c r="B977" s="43" t="str">
        <f>IF(A977="", "", IFERROR(VLOOKUP(A977, Clasificaciones!A:B, 2, FALSE), "DATO NO CARGADO"))</f>
        <v/>
      </c>
      <c r="C977" s="51"/>
      <c r="D977" s="257"/>
      <c r="E977" s="102"/>
      <c r="F977" s="103"/>
      <c r="G977" s="103"/>
      <c r="H977" s="258"/>
      <c r="J977" s="103"/>
      <c r="L977" s="71"/>
      <c r="M977" s="106" t="str">
        <f>IF(ISBLANK(K977), "", VLOOKUP(C977, 'Info Tipo de Cambio y REM'!$A$24:$B$35, 2, FALSE))</f>
        <v/>
      </c>
      <c r="N977" s="107" t="str">
        <f t="shared" si="2"/>
        <v/>
      </c>
    </row>
    <row r="978">
      <c r="A978" s="102"/>
      <c r="B978" s="43" t="str">
        <f>IF(A978="", "", IFERROR(VLOOKUP(A978, Clasificaciones!A:B, 2, FALSE), "DATO NO CARGADO"))</f>
        <v/>
      </c>
      <c r="C978" s="51"/>
      <c r="D978" s="257"/>
      <c r="E978" s="102"/>
      <c r="F978" s="103"/>
      <c r="G978" s="103"/>
      <c r="H978" s="258"/>
      <c r="J978" s="103"/>
      <c r="L978" s="71"/>
      <c r="M978" s="106" t="str">
        <f>IF(ISBLANK(K978), "", VLOOKUP(C978, 'Info Tipo de Cambio y REM'!$A$24:$B$35, 2, FALSE))</f>
        <v/>
      </c>
      <c r="N978" s="107" t="str">
        <f t="shared" si="2"/>
        <v/>
      </c>
    </row>
    <row r="979">
      <c r="A979" s="102"/>
      <c r="B979" s="43" t="str">
        <f>IF(A979="", "", IFERROR(VLOOKUP(A979, Clasificaciones!A:B, 2, FALSE), "DATO NO CARGADO"))</f>
        <v/>
      </c>
      <c r="C979" s="51"/>
      <c r="D979" s="257"/>
      <c r="E979" s="102"/>
      <c r="F979" s="103"/>
      <c r="G979" s="103"/>
      <c r="H979" s="258"/>
      <c r="J979" s="103"/>
      <c r="L979" s="71"/>
      <c r="M979" s="106" t="str">
        <f>IF(ISBLANK(K979), "", VLOOKUP(C979, 'Info Tipo de Cambio y REM'!$A$24:$B$35, 2, FALSE))</f>
        <v/>
      </c>
      <c r="N979" s="107" t="str">
        <f t="shared" si="2"/>
        <v/>
      </c>
    </row>
    <row r="980">
      <c r="A980" s="102"/>
      <c r="B980" s="43" t="str">
        <f>IF(A980="", "", IFERROR(VLOOKUP(A980, Clasificaciones!A:B, 2, FALSE), "DATO NO CARGADO"))</f>
        <v/>
      </c>
      <c r="C980" s="51"/>
      <c r="D980" s="257"/>
      <c r="E980" s="102"/>
      <c r="F980" s="103"/>
      <c r="G980" s="103"/>
      <c r="H980" s="258"/>
      <c r="J980" s="103"/>
      <c r="L980" s="71"/>
      <c r="M980" s="106" t="str">
        <f>IF(ISBLANK(K980), "", VLOOKUP(C980, 'Info Tipo de Cambio y REM'!$A$24:$B$35, 2, FALSE))</f>
        <v/>
      </c>
      <c r="N980" s="107" t="str">
        <f t="shared" si="2"/>
        <v/>
      </c>
    </row>
    <row r="981">
      <c r="A981" s="102"/>
      <c r="B981" s="43" t="str">
        <f>IF(A981="", "", IFERROR(VLOOKUP(A981, Clasificaciones!A:B, 2, FALSE), "DATO NO CARGADO"))</f>
        <v/>
      </c>
      <c r="C981" s="51"/>
      <c r="D981" s="257"/>
      <c r="E981" s="102"/>
      <c r="F981" s="103"/>
      <c r="G981" s="103"/>
      <c r="H981" s="258"/>
      <c r="J981" s="103"/>
      <c r="L981" s="71"/>
      <c r="M981" s="106" t="str">
        <f>IF(ISBLANK(K981), "", VLOOKUP(C981, 'Info Tipo de Cambio y REM'!$A$24:$B$35, 2, FALSE))</f>
        <v/>
      </c>
      <c r="N981" s="107" t="str">
        <f t="shared" si="2"/>
        <v/>
      </c>
    </row>
    <row r="982">
      <c r="A982" s="102"/>
      <c r="B982" s="43" t="str">
        <f>IF(A982="", "", IFERROR(VLOOKUP(A982, Clasificaciones!A:B, 2, FALSE), "DATO NO CARGADO"))</f>
        <v/>
      </c>
      <c r="C982" s="51"/>
      <c r="D982" s="257"/>
      <c r="E982" s="102"/>
      <c r="F982" s="103"/>
      <c r="G982" s="103"/>
      <c r="H982" s="258"/>
      <c r="J982" s="103"/>
      <c r="L982" s="71"/>
      <c r="M982" s="106" t="str">
        <f>IF(ISBLANK(K982), "", VLOOKUP(C982, 'Info Tipo de Cambio y REM'!$A$24:$B$35, 2, FALSE))</f>
        <v/>
      </c>
      <c r="N982" s="107" t="str">
        <f t="shared" si="2"/>
        <v/>
      </c>
    </row>
    <row r="983">
      <c r="A983" s="102"/>
      <c r="B983" s="43" t="str">
        <f>IF(A983="", "", IFERROR(VLOOKUP(A983, Clasificaciones!A:B, 2, FALSE), "DATO NO CARGADO"))</f>
        <v/>
      </c>
      <c r="C983" s="51"/>
      <c r="D983" s="257"/>
      <c r="E983" s="102"/>
      <c r="F983" s="103"/>
      <c r="G983" s="103"/>
      <c r="H983" s="258"/>
      <c r="J983" s="103"/>
      <c r="L983" s="71"/>
      <c r="M983" s="106" t="str">
        <f>IF(ISBLANK(K983), "", VLOOKUP(C983, 'Info Tipo de Cambio y REM'!$A$24:$B$35, 2, FALSE))</f>
        <v/>
      </c>
      <c r="N983" s="107" t="str">
        <f t="shared" si="2"/>
        <v/>
      </c>
    </row>
    <row r="984">
      <c r="A984" s="102"/>
      <c r="B984" s="43" t="str">
        <f>IF(A984="", "", IFERROR(VLOOKUP(A984, Clasificaciones!A:B, 2, FALSE), "DATO NO CARGADO"))</f>
        <v/>
      </c>
      <c r="C984" s="51"/>
      <c r="D984" s="257"/>
      <c r="E984" s="102"/>
      <c r="F984" s="103"/>
      <c r="G984" s="103"/>
      <c r="H984" s="258"/>
      <c r="J984" s="103"/>
      <c r="L984" s="71"/>
      <c r="M984" s="106" t="str">
        <f>IF(ISBLANK(K984), "", VLOOKUP(C984, 'Info Tipo de Cambio y REM'!$A$24:$B$35, 2, FALSE))</f>
        <v/>
      </c>
      <c r="N984" s="107" t="str">
        <f t="shared" si="2"/>
        <v/>
      </c>
    </row>
    <row r="985">
      <c r="A985" s="102"/>
      <c r="B985" s="43" t="str">
        <f>IF(A985="", "", IFERROR(VLOOKUP(A985, Clasificaciones!A:B, 2, FALSE), "DATO NO CARGADO"))</f>
        <v/>
      </c>
      <c r="C985" s="51"/>
      <c r="D985" s="257"/>
      <c r="E985" s="102"/>
      <c r="F985" s="103"/>
      <c r="G985" s="103"/>
      <c r="H985" s="258"/>
      <c r="J985" s="103"/>
      <c r="L985" s="71"/>
      <c r="M985" s="106" t="str">
        <f>IF(ISBLANK(K985), "", VLOOKUP(C985, 'Info Tipo de Cambio y REM'!$A$24:$B$35, 2, FALSE))</f>
        <v/>
      </c>
      <c r="N985" s="107" t="str">
        <f t="shared" si="2"/>
        <v/>
      </c>
    </row>
    <row r="986">
      <c r="A986" s="102"/>
      <c r="B986" s="43" t="str">
        <f>IF(A986="", "", IFERROR(VLOOKUP(A986, Clasificaciones!A:B, 2, FALSE), "DATO NO CARGADO"))</f>
        <v/>
      </c>
      <c r="C986" s="51"/>
      <c r="D986" s="257"/>
      <c r="E986" s="102"/>
      <c r="F986" s="103"/>
      <c r="G986" s="103"/>
      <c r="H986" s="258"/>
      <c r="J986" s="103"/>
      <c r="L986" s="71"/>
      <c r="M986" s="106" t="str">
        <f>IF(ISBLANK(K986), "", VLOOKUP(C986, 'Info Tipo de Cambio y REM'!$A$24:$B$35, 2, FALSE))</f>
        <v/>
      </c>
      <c r="N986" s="107" t="str">
        <f t="shared" si="2"/>
        <v/>
      </c>
    </row>
    <row r="987">
      <c r="A987" s="102"/>
      <c r="B987" s="43" t="str">
        <f>IF(A987="", "", IFERROR(VLOOKUP(A987, Clasificaciones!A:B, 2, FALSE), "DATO NO CARGADO"))</f>
        <v/>
      </c>
      <c r="C987" s="51"/>
      <c r="D987" s="257"/>
      <c r="E987" s="102"/>
      <c r="F987" s="103"/>
      <c r="G987" s="103"/>
      <c r="H987" s="258"/>
      <c r="J987" s="103"/>
      <c r="L987" s="71"/>
      <c r="M987" s="106" t="str">
        <f>IF(ISBLANK(K987), "", VLOOKUP(C987, 'Info Tipo de Cambio y REM'!$A$24:$B$35, 2, FALSE))</f>
        <v/>
      </c>
      <c r="N987" s="107" t="str">
        <f t="shared" si="2"/>
        <v/>
      </c>
    </row>
    <row r="988">
      <c r="A988" s="102"/>
      <c r="B988" s="43" t="str">
        <f>IF(A988="", "", IFERROR(VLOOKUP(A988, Clasificaciones!A:B, 2, FALSE), "DATO NO CARGADO"))</f>
        <v/>
      </c>
      <c r="C988" s="51"/>
      <c r="D988" s="257"/>
      <c r="E988" s="102"/>
      <c r="F988" s="103"/>
      <c r="G988" s="103"/>
      <c r="H988" s="258"/>
      <c r="J988" s="103"/>
      <c r="L988" s="71"/>
      <c r="M988" s="106" t="str">
        <f>IF(ISBLANK(K988), "", VLOOKUP(C988, 'Info Tipo de Cambio y REM'!$A$24:$B$35, 2, FALSE))</f>
        <v/>
      </c>
      <c r="N988" s="107" t="str">
        <f t="shared" si="2"/>
        <v/>
      </c>
    </row>
    <row r="989">
      <c r="A989" s="102"/>
      <c r="B989" s="43" t="str">
        <f>IF(A989="", "", IFERROR(VLOOKUP(A989, Clasificaciones!A:B, 2, FALSE), "DATO NO CARGADO"))</f>
        <v/>
      </c>
      <c r="C989" s="51"/>
      <c r="D989" s="257"/>
      <c r="E989" s="102"/>
      <c r="F989" s="103"/>
      <c r="G989" s="103"/>
      <c r="H989" s="258"/>
      <c r="J989" s="103"/>
      <c r="L989" s="71"/>
      <c r="M989" s="106" t="str">
        <f>IF(ISBLANK(K989), "", VLOOKUP(C989, 'Info Tipo de Cambio y REM'!$A$24:$B$35, 2, FALSE))</f>
        <v/>
      </c>
      <c r="N989" s="107" t="str">
        <f t="shared" si="2"/>
        <v/>
      </c>
    </row>
    <row r="990">
      <c r="A990" s="102"/>
      <c r="B990" s="43" t="str">
        <f>IF(A990="", "", IFERROR(VLOOKUP(A990, Clasificaciones!A:B, 2, FALSE), "DATO NO CARGADO"))</f>
        <v/>
      </c>
      <c r="C990" s="51"/>
      <c r="D990" s="257"/>
      <c r="E990" s="102"/>
      <c r="F990" s="103"/>
      <c r="G990" s="103"/>
      <c r="H990" s="258"/>
      <c r="J990" s="103"/>
      <c r="L990" s="71"/>
      <c r="M990" s="106" t="str">
        <f>IF(ISBLANK(K990), "", VLOOKUP(C990, 'Info Tipo de Cambio y REM'!$A$24:$B$35, 2, FALSE))</f>
        <v/>
      </c>
      <c r="N990" s="107" t="str">
        <f t="shared" si="2"/>
        <v/>
      </c>
    </row>
    <row r="991">
      <c r="A991" s="102"/>
      <c r="B991" s="43" t="str">
        <f>IF(A991="", "", IFERROR(VLOOKUP(A991, Clasificaciones!A:B, 2, FALSE), "DATO NO CARGADO"))</f>
        <v/>
      </c>
      <c r="C991" s="51"/>
      <c r="D991" s="257"/>
      <c r="E991" s="102"/>
      <c r="F991" s="103"/>
      <c r="G991" s="103"/>
      <c r="H991" s="258"/>
      <c r="J991" s="103"/>
      <c r="L991" s="71"/>
      <c r="M991" s="106" t="str">
        <f>IF(ISBLANK(K991), "", VLOOKUP(C991, 'Info Tipo de Cambio y REM'!$A$24:$B$35, 2, FALSE))</f>
        <v/>
      </c>
      <c r="N991" s="107" t="str">
        <f t="shared" si="2"/>
        <v/>
      </c>
    </row>
    <row r="992">
      <c r="A992" s="102"/>
      <c r="B992" s="43" t="str">
        <f>IF(A992="", "", IFERROR(VLOOKUP(A992, Clasificaciones!A:B, 2, FALSE), "DATO NO CARGADO"))</f>
        <v/>
      </c>
      <c r="C992" s="51"/>
      <c r="D992" s="257"/>
      <c r="E992" s="102"/>
      <c r="F992" s="103"/>
      <c r="G992" s="103"/>
      <c r="H992" s="258"/>
      <c r="J992" s="103"/>
      <c r="L992" s="71"/>
      <c r="M992" s="106" t="str">
        <f>IF(ISBLANK(K992), "", VLOOKUP(C992, 'Info Tipo de Cambio y REM'!$A$24:$B$35, 2, FALSE))</f>
        <v/>
      </c>
      <c r="N992" s="107" t="str">
        <f t="shared" si="2"/>
        <v/>
      </c>
    </row>
    <row r="993">
      <c r="A993" s="102"/>
      <c r="B993" s="43" t="str">
        <f>IF(A993="", "", IFERROR(VLOOKUP(A993, Clasificaciones!A:B, 2, FALSE), "DATO NO CARGADO"))</f>
        <v/>
      </c>
      <c r="C993" s="51"/>
      <c r="D993" s="257"/>
      <c r="E993" s="102"/>
      <c r="F993" s="103"/>
      <c r="G993" s="103"/>
      <c r="H993" s="258"/>
      <c r="J993" s="103"/>
      <c r="L993" s="71"/>
      <c r="M993" s="106" t="str">
        <f>IF(ISBLANK(K993), "", VLOOKUP(C993, 'Info Tipo de Cambio y REM'!$A$24:$B$35, 2, FALSE))</f>
        <v/>
      </c>
      <c r="N993" s="107" t="str">
        <f t="shared" si="2"/>
        <v/>
      </c>
    </row>
    <row r="994">
      <c r="A994" s="102"/>
      <c r="B994" s="43" t="str">
        <f>IF(A994="", "", IFERROR(VLOOKUP(A994, Clasificaciones!A:B, 2, FALSE), "DATO NO CARGADO"))</f>
        <v/>
      </c>
      <c r="C994" s="51"/>
      <c r="D994" s="257"/>
      <c r="E994" s="102"/>
      <c r="F994" s="103"/>
      <c r="G994" s="103"/>
      <c r="H994" s="258"/>
      <c r="J994" s="103"/>
      <c r="L994" s="71"/>
      <c r="M994" s="106" t="str">
        <f>IF(ISBLANK(K994), "", VLOOKUP(C994, 'Info Tipo de Cambio y REM'!$A$24:$B$35, 2, FALSE))</f>
        <v/>
      </c>
      <c r="N994" s="107" t="str">
        <f t="shared" si="2"/>
        <v/>
      </c>
    </row>
    <row r="995">
      <c r="A995" s="102"/>
      <c r="B995" s="43" t="str">
        <f>IF(A995="", "", IFERROR(VLOOKUP(A995, Clasificaciones!A:B, 2, FALSE), "DATO NO CARGADO"))</f>
        <v/>
      </c>
      <c r="C995" s="51"/>
      <c r="D995" s="257"/>
      <c r="E995" s="102"/>
      <c r="F995" s="103"/>
      <c r="G995" s="103"/>
      <c r="H995" s="258"/>
      <c r="J995" s="103"/>
      <c r="L995" s="71"/>
      <c r="M995" s="106" t="str">
        <f>IF(ISBLANK(K995), "", VLOOKUP(C995, 'Info Tipo de Cambio y REM'!$A$24:$B$35, 2, FALSE))</f>
        <v/>
      </c>
      <c r="N995" s="107" t="str">
        <f t="shared" si="2"/>
        <v/>
      </c>
    </row>
    <row r="996">
      <c r="A996" s="102"/>
      <c r="B996" s="43" t="str">
        <f>IF(A996="", "", IFERROR(VLOOKUP(A996, Clasificaciones!A:B, 2, FALSE), "DATO NO CARGADO"))</f>
        <v/>
      </c>
      <c r="C996" s="51"/>
      <c r="D996" s="257"/>
      <c r="E996" s="102"/>
      <c r="F996" s="103"/>
      <c r="G996" s="103"/>
      <c r="H996" s="258"/>
      <c r="J996" s="103"/>
      <c r="L996" s="71"/>
      <c r="M996" s="106" t="str">
        <f>IF(ISBLANK(K996), "", VLOOKUP(C996, 'Info Tipo de Cambio y REM'!$A$24:$B$35, 2, FALSE))</f>
        <v/>
      </c>
      <c r="N996" s="107" t="str">
        <f t="shared" si="2"/>
        <v/>
      </c>
    </row>
    <row r="997">
      <c r="A997" s="102"/>
      <c r="B997" s="43" t="str">
        <f>IF(A997="", "", IFERROR(VLOOKUP(A997, Clasificaciones!A:B, 2, FALSE), "DATO NO CARGADO"))</f>
        <v/>
      </c>
      <c r="C997" s="51"/>
      <c r="D997" s="257"/>
      <c r="E997" s="102"/>
      <c r="F997" s="103"/>
      <c r="G997" s="103"/>
      <c r="H997" s="258"/>
      <c r="J997" s="103"/>
      <c r="L997" s="71"/>
      <c r="M997" s="106" t="str">
        <f>IF(ISBLANK(K997), "", VLOOKUP(C997, 'Info Tipo de Cambio y REM'!$A$24:$B$35, 2, FALSE))</f>
        <v/>
      </c>
      <c r="N997" s="107" t="str">
        <f t="shared" si="2"/>
        <v/>
      </c>
    </row>
    <row r="998">
      <c r="A998" s="102"/>
      <c r="B998" s="43" t="str">
        <f>IF(A998="", "", IFERROR(VLOOKUP(A998, Clasificaciones!A:B, 2, FALSE), "DATO NO CARGADO"))</f>
        <v/>
      </c>
      <c r="C998" s="51"/>
      <c r="D998" s="257"/>
      <c r="E998" s="102"/>
      <c r="F998" s="103"/>
      <c r="G998" s="103"/>
      <c r="H998" s="258"/>
      <c r="J998" s="103"/>
      <c r="L998" s="71"/>
      <c r="M998" s="106" t="str">
        <f>IF(ISBLANK(K998), "", VLOOKUP(C998, 'Info Tipo de Cambio y REM'!$A$24:$B$35, 2, FALSE))</f>
        <v/>
      </c>
      <c r="N998" s="107" t="str">
        <f t="shared" si="2"/>
        <v/>
      </c>
    </row>
    <row r="999">
      <c r="A999" s="102"/>
      <c r="B999" s="43" t="str">
        <f>IF(A999="", "", IFERROR(VLOOKUP(A999, Clasificaciones!A:B, 2, FALSE), "DATO NO CARGADO"))</f>
        <v/>
      </c>
      <c r="C999" s="51"/>
      <c r="D999" s="257"/>
      <c r="E999" s="102"/>
      <c r="F999" s="103"/>
      <c r="G999" s="103"/>
      <c r="H999" s="258"/>
      <c r="J999" s="103"/>
      <c r="L999" s="71"/>
      <c r="M999" s="106" t="str">
        <f>IF(ISBLANK(K999), "", VLOOKUP(C999, 'Info Tipo de Cambio y REM'!$A$24:$B$35, 2, FALSE))</f>
        <v/>
      </c>
      <c r="N999" s="107" t="str">
        <f t="shared" si="2"/>
        <v/>
      </c>
    </row>
    <row r="1000">
      <c r="A1000" s="102"/>
      <c r="B1000" s="43" t="str">
        <f>IF(A1000="", "", IFERROR(VLOOKUP(A1000, Clasificaciones!A:B, 2, FALSE), "DATO NO CARGADO"))</f>
        <v/>
      </c>
      <c r="C1000" s="51"/>
      <c r="D1000" s="257"/>
      <c r="E1000" s="102"/>
      <c r="F1000" s="103"/>
      <c r="G1000" s="103"/>
      <c r="H1000" s="258"/>
      <c r="J1000" s="103"/>
      <c r="L1000" s="71"/>
      <c r="M1000" s="106" t="str">
        <f>IF(ISBLANK(K1000), "", VLOOKUP(C1000, 'Info Tipo de Cambio y REM'!$A$24:$B$35, 2, FALSE))</f>
        <v/>
      </c>
      <c r="N1000" s="107" t="str">
        <f t="shared" si="2"/>
        <v/>
      </c>
    </row>
    <row r="1001">
      <c r="A1001" s="102"/>
      <c r="B1001" s="43" t="str">
        <f>IF(A1001="", "", IFERROR(VLOOKUP(A1001, Clasificaciones!A:B, 2, FALSE), "DATO NO CARGADO"))</f>
        <v/>
      </c>
      <c r="C1001" s="51"/>
      <c r="D1001" s="257"/>
      <c r="E1001" s="102"/>
      <c r="F1001" s="103"/>
      <c r="G1001" s="103"/>
      <c r="H1001" s="258"/>
      <c r="J1001" s="103"/>
      <c r="L1001" s="71"/>
      <c r="M1001" s="106" t="str">
        <f>IF(ISBLANK(K1001), "", VLOOKUP(C1001, 'Info Tipo de Cambio y REM'!$A$24:$B$35, 2, FALSE))</f>
        <v/>
      </c>
      <c r="N1001" s="107" t="str">
        <f t="shared" si="2"/>
        <v/>
      </c>
    </row>
    <row r="1002">
      <c r="A1002" s="102"/>
      <c r="B1002" s="43" t="str">
        <f>IF(A1002="", "", IFERROR(VLOOKUP(A1002, Clasificaciones!A:B, 2, FALSE), "DATO NO CARGADO"))</f>
        <v/>
      </c>
      <c r="C1002" s="51"/>
      <c r="D1002" s="257"/>
      <c r="E1002" s="102"/>
      <c r="F1002" s="103"/>
      <c r="G1002" s="103"/>
      <c r="H1002" s="258"/>
      <c r="J1002" s="103"/>
      <c r="L1002" s="71"/>
      <c r="M1002" s="106" t="str">
        <f>IF(ISBLANK(K1002), "", VLOOKUP(C1002, 'Info Tipo de Cambio y REM'!$A$24:$B$35, 2, FALSE))</f>
        <v/>
      </c>
      <c r="N1002" s="107" t="str">
        <f t="shared" si="2"/>
        <v/>
      </c>
    </row>
    <row r="1003">
      <c r="A1003" s="102"/>
      <c r="B1003" s="43" t="str">
        <f>IF(A1003="", "", IFERROR(VLOOKUP(A1003, Clasificaciones!A:B, 2, FALSE), "DATO NO CARGADO"))</f>
        <v/>
      </c>
      <c r="C1003" s="51"/>
      <c r="D1003" s="257"/>
      <c r="E1003" s="102"/>
      <c r="F1003" s="103"/>
      <c r="G1003" s="103"/>
      <c r="H1003" s="258"/>
      <c r="J1003" s="103"/>
      <c r="L1003" s="71"/>
      <c r="M1003" s="106" t="str">
        <f>IF(ISBLANK(K1003), "", VLOOKUP(C1003, 'Info Tipo de Cambio y REM'!$A$24:$B$35, 2, FALSE))</f>
        <v/>
      </c>
      <c r="N1003" s="107" t="str">
        <f t="shared" si="2"/>
        <v/>
      </c>
    </row>
    <row r="1004">
      <c r="A1004" s="102"/>
      <c r="B1004" s="43" t="str">
        <f>IF(A1004="", "", IFERROR(VLOOKUP(A1004, Clasificaciones!A:B, 2, FALSE), "DATO NO CARGADO"))</f>
        <v/>
      </c>
      <c r="C1004" s="51"/>
      <c r="D1004" s="257"/>
      <c r="E1004" s="102"/>
      <c r="F1004" s="103"/>
      <c r="G1004" s="103"/>
      <c r="H1004" s="258"/>
      <c r="J1004" s="103"/>
      <c r="L1004" s="71"/>
      <c r="M1004" s="106" t="str">
        <f>IF(ISBLANK(K1004), "", VLOOKUP(C1004, 'Info Tipo de Cambio y REM'!$A$24:$B$35, 2, FALSE))</f>
        <v/>
      </c>
      <c r="N1004" s="107" t="str">
        <f t="shared" si="2"/>
        <v/>
      </c>
    </row>
    <row r="1005">
      <c r="A1005" s="102"/>
      <c r="B1005" s="43" t="str">
        <f>IF(A1005="", "", IFERROR(VLOOKUP(A1005, Clasificaciones!A:B, 2, FALSE), "DATO NO CARGADO"))</f>
        <v/>
      </c>
      <c r="C1005" s="51"/>
      <c r="D1005" s="257"/>
      <c r="E1005" s="102"/>
      <c r="F1005" s="103"/>
      <c r="G1005" s="103"/>
      <c r="H1005" s="258"/>
      <c r="J1005" s="103"/>
      <c r="L1005" s="71"/>
      <c r="M1005" s="106" t="str">
        <f>IF(ISBLANK(K1005), "", VLOOKUP(C1005, 'Info Tipo de Cambio y REM'!$A$24:$B$35, 2, FALSE))</f>
        <v/>
      </c>
      <c r="N1005" s="107" t="str">
        <f t="shared" si="2"/>
        <v/>
      </c>
    </row>
    <row r="1006">
      <c r="A1006" s="102"/>
      <c r="B1006" s="43" t="str">
        <f>IF(A1006="", "", IFERROR(VLOOKUP(A1006, Clasificaciones!A:B, 2, FALSE), "DATO NO CARGADO"))</f>
        <v/>
      </c>
      <c r="C1006" s="51"/>
      <c r="D1006" s="257"/>
      <c r="E1006" s="102"/>
      <c r="F1006" s="103"/>
      <c r="G1006" s="103"/>
      <c r="H1006" s="258"/>
      <c r="J1006" s="103"/>
      <c r="L1006" s="71"/>
      <c r="M1006" s="106" t="str">
        <f>IF(ISBLANK(K1006), "", VLOOKUP(C1006, 'Info Tipo de Cambio y REM'!$A$24:$B$35, 2, FALSE))</f>
        <v/>
      </c>
      <c r="N1006" s="107" t="str">
        <f t="shared" si="2"/>
        <v/>
      </c>
    </row>
    <row r="1007">
      <c r="A1007" s="102"/>
      <c r="B1007" s="43" t="str">
        <f>IF(A1007="", "", IFERROR(VLOOKUP(A1007, Clasificaciones!A:B, 2, FALSE), "DATO NO CARGADO"))</f>
        <v/>
      </c>
      <c r="C1007" s="51"/>
      <c r="D1007" s="257"/>
      <c r="E1007" s="102"/>
      <c r="F1007" s="103"/>
      <c r="G1007" s="103"/>
      <c r="H1007" s="258"/>
      <c r="J1007" s="103"/>
      <c r="L1007" s="71"/>
      <c r="M1007" s="106" t="str">
        <f>IF(ISBLANK(K1007), "", VLOOKUP(C1007, 'Info Tipo de Cambio y REM'!$A$24:$B$35, 2, FALSE))</f>
        <v/>
      </c>
      <c r="N1007" s="107" t="str">
        <f t="shared" si="2"/>
        <v/>
      </c>
    </row>
    <row r="1008">
      <c r="A1008" s="102"/>
      <c r="B1008" s="43" t="str">
        <f>IF(A1008="", "", IFERROR(VLOOKUP(A1008, Clasificaciones!A:B, 2, FALSE), "DATO NO CARGADO"))</f>
        <v/>
      </c>
      <c r="C1008" s="51"/>
      <c r="D1008" s="257"/>
      <c r="E1008" s="102"/>
      <c r="F1008" s="103"/>
      <c r="G1008" s="103"/>
      <c r="H1008" s="258"/>
      <c r="J1008" s="103"/>
      <c r="L1008" s="71"/>
      <c r="M1008" s="106" t="str">
        <f>IF(ISBLANK(K1008), "", VLOOKUP(C1008, 'Info Tipo de Cambio y REM'!$A$24:$B$35, 2, FALSE))</f>
        <v/>
      </c>
      <c r="N1008" s="107" t="str">
        <f t="shared" si="2"/>
        <v/>
      </c>
    </row>
    <row r="1009">
      <c r="A1009" s="102"/>
      <c r="B1009" s="43" t="str">
        <f>IF(A1009="", "", IFERROR(VLOOKUP(A1009, Clasificaciones!A:B, 2, FALSE), "DATO NO CARGADO"))</f>
        <v/>
      </c>
      <c r="C1009" s="51"/>
      <c r="D1009" s="257"/>
      <c r="E1009" s="102"/>
      <c r="F1009" s="103"/>
      <c r="G1009" s="103"/>
      <c r="H1009" s="258"/>
      <c r="J1009" s="103"/>
      <c r="L1009" s="71"/>
      <c r="M1009" s="106" t="str">
        <f>IF(ISBLANK(K1009), "", VLOOKUP(C1009, 'Info Tipo de Cambio y REM'!$A$24:$B$35, 2, FALSE))</f>
        <v/>
      </c>
      <c r="N1009" s="107" t="str">
        <f t="shared" si="2"/>
        <v/>
      </c>
    </row>
    <row r="1010">
      <c r="A1010" s="102"/>
      <c r="B1010" s="43" t="str">
        <f>IF(A1010="", "", IFERROR(VLOOKUP(A1010, Clasificaciones!A:B, 2, FALSE), "DATO NO CARGADO"))</f>
        <v/>
      </c>
      <c r="C1010" s="51"/>
      <c r="D1010" s="257"/>
      <c r="E1010" s="102"/>
      <c r="F1010" s="103"/>
      <c r="G1010" s="103"/>
      <c r="H1010" s="258"/>
      <c r="J1010" s="103"/>
      <c r="L1010" s="71"/>
      <c r="M1010" s="106" t="str">
        <f>IF(ISBLANK(K1010), "", VLOOKUP(C1010, 'Info Tipo de Cambio y REM'!$A$24:$B$35, 2, FALSE))</f>
        <v/>
      </c>
      <c r="N1010" s="107" t="str">
        <f t="shared" si="2"/>
        <v/>
      </c>
    </row>
    <row r="1011">
      <c r="A1011" s="102"/>
      <c r="B1011" s="43" t="str">
        <f>IF(A1011="", "", IFERROR(VLOOKUP(A1011, Clasificaciones!A:B, 2, FALSE), "DATO NO CARGADO"))</f>
        <v/>
      </c>
      <c r="C1011" s="51"/>
      <c r="D1011" s="257"/>
      <c r="E1011" s="102"/>
      <c r="F1011" s="103"/>
      <c r="G1011" s="103"/>
      <c r="H1011" s="258"/>
      <c r="J1011" s="103"/>
      <c r="L1011" s="71"/>
      <c r="M1011" s="106" t="str">
        <f>IF(ISBLANK(K1011), "", VLOOKUP(C1011, 'Info Tipo de Cambio y REM'!$A$24:$B$35, 2, FALSE))</f>
        <v/>
      </c>
      <c r="N1011" s="107" t="str">
        <f t="shared" si="2"/>
        <v/>
      </c>
    </row>
    <row r="1012">
      <c r="A1012" s="102"/>
      <c r="B1012" s="43" t="str">
        <f>IF(A1012="", "", IFERROR(VLOOKUP(A1012, Clasificaciones!A:B, 2, FALSE), "DATO NO CARGADO"))</f>
        <v/>
      </c>
      <c r="C1012" s="51"/>
      <c r="D1012" s="257"/>
      <c r="E1012" s="102"/>
      <c r="F1012" s="103"/>
      <c r="G1012" s="103"/>
      <c r="H1012" s="258"/>
      <c r="J1012" s="103"/>
      <c r="L1012" s="71"/>
      <c r="M1012" s="106" t="str">
        <f>IF(ISBLANK(K1012), "", VLOOKUP(C1012, 'Info Tipo de Cambio y REM'!$A$24:$B$35, 2, FALSE))</f>
        <v/>
      </c>
      <c r="N1012" s="107" t="str">
        <f t="shared" si="2"/>
        <v/>
      </c>
    </row>
    <row r="1013">
      <c r="A1013" s="102"/>
      <c r="B1013" s="43" t="str">
        <f>IF(A1013="", "", IFERROR(VLOOKUP(A1013, Clasificaciones!A:B, 2, FALSE), "DATO NO CARGADO"))</f>
        <v/>
      </c>
      <c r="C1013" s="51"/>
      <c r="D1013" s="257"/>
      <c r="E1013" s="102"/>
      <c r="F1013" s="103"/>
      <c r="G1013" s="103"/>
      <c r="H1013" s="258"/>
      <c r="J1013" s="103"/>
      <c r="L1013" s="71"/>
      <c r="M1013" s="106" t="str">
        <f>IF(ISBLANK(K1013), "", VLOOKUP(C1013, 'Info Tipo de Cambio y REM'!$A$24:$B$35, 2, FALSE))</f>
        <v/>
      </c>
      <c r="N1013" s="107" t="str">
        <f t="shared" si="2"/>
        <v/>
      </c>
    </row>
    <row r="1014">
      <c r="A1014" s="102"/>
      <c r="B1014" s="43" t="str">
        <f>IF(A1014="", "", IFERROR(VLOOKUP(A1014, Clasificaciones!A:B, 2, FALSE), "DATO NO CARGADO"))</f>
        <v/>
      </c>
      <c r="C1014" s="51"/>
      <c r="D1014" s="257"/>
      <c r="E1014" s="102"/>
      <c r="F1014" s="103"/>
      <c r="G1014" s="103"/>
      <c r="H1014" s="258"/>
      <c r="J1014" s="103"/>
      <c r="L1014" s="71"/>
      <c r="M1014" s="106" t="str">
        <f>IF(ISBLANK(K1014), "", VLOOKUP(C1014, 'Info Tipo de Cambio y REM'!$A$24:$B$35, 2, FALSE))</f>
        <v/>
      </c>
      <c r="N1014" s="107" t="str">
        <f t="shared" si="2"/>
        <v/>
      </c>
    </row>
    <row r="1015">
      <c r="A1015" s="102"/>
      <c r="B1015" s="43" t="str">
        <f>IF(A1015="", "", IFERROR(VLOOKUP(A1015, Clasificaciones!A:B, 2, FALSE), "DATO NO CARGADO"))</f>
        <v/>
      </c>
      <c r="C1015" s="51"/>
      <c r="D1015" s="257"/>
      <c r="E1015" s="102"/>
      <c r="F1015" s="103"/>
      <c r="G1015" s="103"/>
      <c r="H1015" s="258"/>
      <c r="J1015" s="103"/>
      <c r="L1015" s="71"/>
      <c r="M1015" s="106" t="str">
        <f>IF(ISBLANK(K1015), "", VLOOKUP(C1015, 'Info Tipo de Cambio y REM'!$A$24:$B$35, 2, FALSE))</f>
        <v/>
      </c>
      <c r="N1015" s="107" t="str">
        <f t="shared" si="2"/>
        <v/>
      </c>
    </row>
    <row r="1016">
      <c r="A1016" s="102"/>
      <c r="B1016" s="43" t="str">
        <f>IF(A1016="", "", IFERROR(VLOOKUP(A1016, Clasificaciones!A:B, 2, FALSE), "DATO NO CARGADO"))</f>
        <v/>
      </c>
      <c r="C1016" s="51"/>
      <c r="D1016" s="257"/>
      <c r="E1016" s="102"/>
      <c r="F1016" s="103"/>
      <c r="G1016" s="103"/>
      <c r="H1016" s="258"/>
      <c r="J1016" s="103"/>
      <c r="L1016" s="71"/>
      <c r="M1016" s="106" t="str">
        <f>IF(ISBLANK(K1016), "", VLOOKUP(C1016, 'Info Tipo de Cambio y REM'!$A$24:$B$35, 2, FALSE))</f>
        <v/>
      </c>
      <c r="N1016" s="107" t="str">
        <f t="shared" si="2"/>
        <v/>
      </c>
    </row>
    <row r="1017">
      <c r="A1017" s="102"/>
      <c r="B1017" s="43" t="str">
        <f>IF(A1017="", "", IFERROR(VLOOKUP(A1017, Clasificaciones!A:B, 2, FALSE), "DATO NO CARGADO"))</f>
        <v/>
      </c>
      <c r="C1017" s="51"/>
      <c r="D1017" s="257"/>
      <c r="E1017" s="102"/>
      <c r="F1017" s="103"/>
      <c r="G1017" s="103"/>
      <c r="H1017" s="258"/>
      <c r="J1017" s="103"/>
      <c r="L1017" s="71"/>
      <c r="M1017" s="106" t="str">
        <f>IF(ISBLANK(K1017), "", VLOOKUP(C1017, 'Info Tipo de Cambio y REM'!$A$24:$B$35, 2, FALSE))</f>
        <v/>
      </c>
      <c r="N1017" s="107" t="str">
        <f t="shared" si="2"/>
        <v/>
      </c>
    </row>
    <row r="1018">
      <c r="A1018" s="102"/>
      <c r="B1018" s="43" t="str">
        <f>IF(A1018="", "", IFERROR(VLOOKUP(A1018, Clasificaciones!A:B, 2, FALSE), "DATO NO CARGADO"))</f>
        <v/>
      </c>
      <c r="C1018" s="51"/>
      <c r="D1018" s="257"/>
      <c r="E1018" s="102"/>
      <c r="F1018" s="103"/>
      <c r="G1018" s="103"/>
      <c r="H1018" s="258"/>
      <c r="J1018" s="103"/>
      <c r="L1018" s="71"/>
      <c r="M1018" s="106" t="str">
        <f>IF(ISBLANK(K1018), "", VLOOKUP(C1018, 'Info Tipo de Cambio y REM'!$A$24:$B$35, 2, FALSE))</f>
        <v/>
      </c>
      <c r="N1018" s="107" t="str">
        <f t="shared" si="2"/>
        <v/>
      </c>
    </row>
    <row r="1019">
      <c r="A1019" s="102"/>
      <c r="B1019" s="43" t="str">
        <f>IF(A1019="", "", IFERROR(VLOOKUP(A1019, Clasificaciones!A:B, 2, FALSE), "DATO NO CARGADO"))</f>
        <v/>
      </c>
      <c r="C1019" s="51"/>
      <c r="D1019" s="257"/>
      <c r="E1019" s="102"/>
      <c r="F1019" s="103"/>
      <c r="G1019" s="103"/>
      <c r="H1019" s="258"/>
      <c r="J1019" s="103"/>
      <c r="L1019" s="71"/>
      <c r="M1019" s="106" t="str">
        <f>IF(ISBLANK(K1019), "", VLOOKUP(C1019, 'Info Tipo de Cambio y REM'!$A$24:$B$35, 2, FALSE))</f>
        <v/>
      </c>
      <c r="N1019" s="107" t="str">
        <f t="shared" si="2"/>
        <v/>
      </c>
    </row>
    <row r="1020">
      <c r="A1020" s="102"/>
      <c r="B1020" s="43" t="str">
        <f>IF(A1020="", "", IFERROR(VLOOKUP(A1020, Clasificaciones!A:B, 2, FALSE), "DATO NO CARGADO"))</f>
        <v/>
      </c>
      <c r="C1020" s="51"/>
      <c r="D1020" s="257"/>
      <c r="E1020" s="102"/>
      <c r="F1020" s="103"/>
      <c r="G1020" s="103"/>
      <c r="H1020" s="258"/>
      <c r="J1020" s="103"/>
      <c r="L1020" s="71"/>
      <c r="M1020" s="106" t="str">
        <f>IF(ISBLANK(K1020), "", VLOOKUP(C1020, 'Info Tipo de Cambio y REM'!$A$24:$B$35, 2, FALSE))</f>
        <v/>
      </c>
      <c r="N1020" s="107" t="str">
        <f t="shared" si="2"/>
        <v/>
      </c>
    </row>
    <row r="1021">
      <c r="A1021" s="102"/>
      <c r="B1021" s="43" t="str">
        <f>IF(A1021="", "", IFERROR(VLOOKUP(A1021, Clasificaciones!A:B, 2, FALSE), "DATO NO CARGADO"))</f>
        <v/>
      </c>
      <c r="C1021" s="51"/>
      <c r="D1021" s="257"/>
      <c r="E1021" s="102"/>
      <c r="F1021" s="103"/>
      <c r="G1021" s="103"/>
      <c r="H1021" s="258"/>
      <c r="J1021" s="103"/>
      <c r="L1021" s="71"/>
      <c r="M1021" s="106" t="str">
        <f>IF(ISBLANK(K1021), "", VLOOKUP(C1021, 'Info Tipo de Cambio y REM'!$A$24:$B$35, 2, FALSE))</f>
        <v/>
      </c>
      <c r="N1021" s="107" t="str">
        <f t="shared" si="2"/>
        <v/>
      </c>
    </row>
    <row r="1022">
      <c r="A1022" s="102"/>
      <c r="B1022" s="43" t="str">
        <f>IF(A1022="", "", IFERROR(VLOOKUP(A1022, Clasificaciones!A:B, 2, FALSE), "DATO NO CARGADO"))</f>
        <v/>
      </c>
      <c r="C1022" s="51"/>
      <c r="D1022" s="257"/>
      <c r="E1022" s="102"/>
      <c r="F1022" s="103"/>
      <c r="G1022" s="103"/>
      <c r="H1022" s="258"/>
      <c r="J1022" s="103"/>
      <c r="L1022" s="71"/>
      <c r="M1022" s="106" t="str">
        <f>IF(ISBLANK(K1022), "", VLOOKUP(C1022, 'Info Tipo de Cambio y REM'!$A$24:$B$35, 2, FALSE))</f>
        <v/>
      </c>
      <c r="N1022" s="107" t="str">
        <f t="shared" si="2"/>
        <v/>
      </c>
    </row>
    <row r="1023">
      <c r="A1023" s="102"/>
      <c r="B1023" s="43" t="str">
        <f>IF(A1023="", "", IFERROR(VLOOKUP(A1023, Clasificaciones!A:B, 2, FALSE), "DATO NO CARGADO"))</f>
        <v/>
      </c>
      <c r="C1023" s="51"/>
      <c r="D1023" s="257"/>
      <c r="E1023" s="102"/>
      <c r="F1023" s="103"/>
      <c r="G1023" s="103"/>
      <c r="H1023" s="258"/>
      <c r="J1023" s="103"/>
      <c r="L1023" s="71"/>
      <c r="M1023" s="106" t="str">
        <f>IF(ISBLANK(K1023), "", VLOOKUP(C1023, 'Info Tipo de Cambio y REM'!$A$24:$B$35, 2, FALSE))</f>
        <v/>
      </c>
      <c r="N1023" s="107" t="str">
        <f t="shared" si="2"/>
        <v/>
      </c>
    </row>
    <row r="1024">
      <c r="A1024" s="102"/>
      <c r="B1024" s="43" t="str">
        <f>IF(A1024="", "", IFERROR(VLOOKUP(A1024, Clasificaciones!A:B, 2, FALSE), "DATO NO CARGADO"))</f>
        <v/>
      </c>
      <c r="C1024" s="51"/>
      <c r="D1024" s="257"/>
      <c r="E1024" s="102"/>
      <c r="F1024" s="103"/>
      <c r="G1024" s="103"/>
      <c r="H1024" s="258"/>
      <c r="J1024" s="103"/>
      <c r="L1024" s="71"/>
      <c r="M1024" s="106" t="str">
        <f>IF(ISBLANK(K1024), "", VLOOKUP(C1024, 'Info Tipo de Cambio y REM'!$A$24:$B$35, 2, FALSE))</f>
        <v/>
      </c>
      <c r="N1024" s="107" t="str">
        <f t="shared" si="2"/>
        <v/>
      </c>
    </row>
    <row r="1025">
      <c r="A1025" s="102"/>
      <c r="B1025" s="43" t="str">
        <f>IF(A1025="", "", IFERROR(VLOOKUP(A1025, Clasificaciones!A:B, 2, FALSE), "DATO NO CARGADO"))</f>
        <v/>
      </c>
      <c r="C1025" s="51"/>
      <c r="D1025" s="257"/>
      <c r="E1025" s="102"/>
      <c r="F1025" s="103"/>
      <c r="G1025" s="103"/>
      <c r="H1025" s="258"/>
      <c r="J1025" s="103"/>
      <c r="L1025" s="71"/>
      <c r="M1025" s="106" t="str">
        <f>IF(ISBLANK(K1025), "", VLOOKUP(C1025, 'Info Tipo de Cambio y REM'!$A$24:$B$35, 2, FALSE))</f>
        <v/>
      </c>
      <c r="N1025" s="107" t="str">
        <f t="shared" si="2"/>
        <v/>
      </c>
    </row>
    <row r="1026">
      <c r="A1026" s="102"/>
      <c r="B1026" s="43" t="str">
        <f>IF(A1026="", "", IFERROR(VLOOKUP(A1026, Clasificaciones!A:B, 2, FALSE), "DATO NO CARGADO"))</f>
        <v/>
      </c>
      <c r="C1026" s="51"/>
      <c r="D1026" s="257"/>
      <c r="E1026" s="102"/>
      <c r="F1026" s="103"/>
      <c r="G1026" s="103"/>
      <c r="H1026" s="258"/>
      <c r="J1026" s="103"/>
      <c r="L1026" s="71"/>
      <c r="M1026" s="106" t="str">
        <f>IF(ISBLANK(K1026), "", VLOOKUP(C1026, 'Info Tipo de Cambio y REM'!$A$24:$B$35, 2, FALSE))</f>
        <v/>
      </c>
      <c r="N1026" s="107" t="str">
        <f t="shared" si="2"/>
        <v/>
      </c>
    </row>
    <row r="1027">
      <c r="A1027" s="102"/>
      <c r="B1027" s="43" t="str">
        <f>IF(A1027="", "", IFERROR(VLOOKUP(A1027, Clasificaciones!A:B, 2, FALSE), "DATO NO CARGADO"))</f>
        <v/>
      </c>
      <c r="C1027" s="51"/>
      <c r="D1027" s="257"/>
      <c r="E1027" s="102"/>
      <c r="F1027" s="103"/>
      <c r="G1027" s="103"/>
      <c r="H1027" s="258"/>
      <c r="J1027" s="103"/>
      <c r="L1027" s="71"/>
      <c r="M1027" s="106" t="str">
        <f>IF(ISBLANK(K1027), "", VLOOKUP(C1027, 'Info Tipo de Cambio y REM'!$A$24:$B$35, 2, FALSE))</f>
        <v/>
      </c>
      <c r="N1027" s="107" t="str">
        <f t="shared" si="2"/>
        <v/>
      </c>
    </row>
    <row r="1028">
      <c r="A1028" s="102"/>
      <c r="B1028" s="43" t="str">
        <f>IF(A1028="", "", IFERROR(VLOOKUP(A1028, Clasificaciones!A:B, 2, FALSE), "DATO NO CARGADO"))</f>
        <v/>
      </c>
      <c r="C1028" s="51"/>
      <c r="D1028" s="257"/>
      <c r="E1028" s="102"/>
      <c r="F1028" s="103"/>
      <c r="G1028" s="103"/>
      <c r="H1028" s="258"/>
      <c r="J1028" s="103"/>
      <c r="L1028" s="71"/>
      <c r="M1028" s="106" t="str">
        <f>IF(ISBLANK(K1028), "", VLOOKUP(C1028, 'Info Tipo de Cambio y REM'!$A$24:$B$35, 2, FALSE))</f>
        <v/>
      </c>
      <c r="N1028" s="107" t="str">
        <f t="shared" si="2"/>
        <v/>
      </c>
    </row>
    <row r="1029">
      <c r="A1029" s="102"/>
      <c r="B1029" s="43" t="str">
        <f>IF(A1029="", "", IFERROR(VLOOKUP(A1029, Clasificaciones!A:B, 2, FALSE), "DATO NO CARGADO"))</f>
        <v/>
      </c>
      <c r="C1029" s="51"/>
      <c r="D1029" s="257"/>
      <c r="E1029" s="102"/>
      <c r="F1029" s="103"/>
      <c r="G1029" s="103"/>
      <c r="H1029" s="258"/>
      <c r="J1029" s="103"/>
      <c r="L1029" s="71"/>
      <c r="M1029" s="106" t="str">
        <f>IF(ISBLANK(K1029), "", VLOOKUP(C1029, 'Info Tipo de Cambio y REM'!$A$24:$B$35, 2, FALSE))</f>
        <v/>
      </c>
      <c r="N1029" s="107" t="str">
        <f t="shared" si="2"/>
        <v/>
      </c>
    </row>
    <row r="1030">
      <c r="A1030" s="102"/>
      <c r="B1030" s="43" t="str">
        <f>IF(A1030="", "", IFERROR(VLOOKUP(A1030, Clasificaciones!A:B, 2, FALSE), "DATO NO CARGADO"))</f>
        <v/>
      </c>
      <c r="C1030" s="51"/>
      <c r="D1030" s="257"/>
      <c r="E1030" s="102"/>
      <c r="F1030" s="103"/>
      <c r="G1030" s="103"/>
      <c r="H1030" s="258"/>
      <c r="J1030" s="103"/>
      <c r="L1030" s="71"/>
      <c r="M1030" s="106" t="str">
        <f>IF(ISBLANK(K1030), "", VLOOKUP(C1030, 'Info Tipo de Cambio y REM'!$A$24:$B$35, 2, FALSE))</f>
        <v/>
      </c>
      <c r="N1030" s="107" t="str">
        <f t="shared" si="2"/>
        <v/>
      </c>
    </row>
    <row r="1031">
      <c r="A1031" s="102"/>
      <c r="B1031" s="43" t="str">
        <f>IF(A1031="", "", IFERROR(VLOOKUP(A1031, Clasificaciones!A:B, 2, FALSE), "DATO NO CARGADO"))</f>
        <v/>
      </c>
      <c r="C1031" s="51"/>
      <c r="D1031" s="257"/>
      <c r="E1031" s="102"/>
      <c r="F1031" s="103"/>
      <c r="G1031" s="103"/>
      <c r="H1031" s="258"/>
      <c r="J1031" s="103"/>
      <c r="L1031" s="71"/>
      <c r="M1031" s="106" t="str">
        <f>IF(ISBLANK(K1031), "", VLOOKUP(C1031, 'Info Tipo de Cambio y REM'!$A$24:$B$35, 2, FALSE))</f>
        <v/>
      </c>
      <c r="N1031" s="107" t="str">
        <f t="shared" si="2"/>
        <v/>
      </c>
    </row>
    <row r="1032">
      <c r="A1032" s="102"/>
      <c r="B1032" s="43" t="str">
        <f>IF(A1032="", "", IFERROR(VLOOKUP(A1032, Clasificaciones!A:B, 2, FALSE), "DATO NO CARGADO"))</f>
        <v/>
      </c>
      <c r="C1032" s="51"/>
      <c r="D1032" s="257"/>
      <c r="E1032" s="102"/>
      <c r="F1032" s="103"/>
      <c r="G1032" s="103"/>
      <c r="H1032" s="258"/>
      <c r="J1032" s="103"/>
      <c r="L1032" s="71"/>
      <c r="M1032" s="106" t="str">
        <f>IF(ISBLANK(K1032), "", VLOOKUP(C1032, 'Info Tipo de Cambio y REM'!$A$24:$B$35, 2, FALSE))</f>
        <v/>
      </c>
      <c r="N1032" s="107" t="str">
        <f t="shared" si="2"/>
        <v/>
      </c>
    </row>
    <row r="1033">
      <c r="A1033" s="102"/>
      <c r="B1033" s="43" t="str">
        <f>IF(A1033="", "", IFERROR(VLOOKUP(A1033, Clasificaciones!A:B, 2, FALSE), "DATO NO CARGADO"))</f>
        <v/>
      </c>
      <c r="C1033" s="51"/>
      <c r="D1033" s="257"/>
      <c r="E1033" s="102"/>
      <c r="F1033" s="103"/>
      <c r="G1033" s="103"/>
      <c r="H1033" s="258"/>
      <c r="J1033" s="103"/>
      <c r="L1033" s="71"/>
      <c r="M1033" s="106" t="str">
        <f>IF(ISBLANK(K1033), "", VLOOKUP(C1033, 'Info Tipo de Cambio y REM'!$A$24:$B$35, 2, FALSE))</f>
        <v/>
      </c>
      <c r="N1033" s="107" t="str">
        <f t="shared" si="2"/>
        <v/>
      </c>
    </row>
    <row r="1034">
      <c r="A1034" s="102"/>
      <c r="B1034" s="43" t="str">
        <f>IF(A1034="", "", IFERROR(VLOOKUP(A1034, Clasificaciones!A:B, 2, FALSE), "DATO NO CARGADO"))</f>
        <v/>
      </c>
      <c r="C1034" s="51"/>
      <c r="D1034" s="257"/>
      <c r="E1034" s="102"/>
      <c r="F1034" s="103"/>
      <c r="G1034" s="103"/>
      <c r="H1034" s="258"/>
      <c r="J1034" s="103"/>
      <c r="L1034" s="71"/>
      <c r="M1034" s="106" t="str">
        <f>IF(ISBLANK(K1034), "", VLOOKUP(C1034, 'Info Tipo de Cambio y REM'!$A$24:$B$35, 2, FALSE))</f>
        <v/>
      </c>
      <c r="N1034" s="107" t="str">
        <f t="shared" si="2"/>
        <v/>
      </c>
    </row>
    <row r="1035">
      <c r="A1035" s="102"/>
      <c r="B1035" s="43" t="str">
        <f>IF(A1035="", "", IFERROR(VLOOKUP(A1035, Clasificaciones!A:B, 2, FALSE), "DATO NO CARGADO"))</f>
        <v/>
      </c>
      <c r="C1035" s="51"/>
      <c r="D1035" s="257"/>
      <c r="E1035" s="102"/>
      <c r="F1035" s="103"/>
      <c r="G1035" s="103"/>
      <c r="H1035" s="258"/>
      <c r="J1035" s="103"/>
      <c r="L1035" s="71"/>
      <c r="M1035" s="106" t="str">
        <f>IF(ISBLANK(K1035), "", VLOOKUP(C1035, 'Info Tipo de Cambio y REM'!$A$24:$B$35, 2, FALSE))</f>
        <v/>
      </c>
      <c r="N1035" s="107" t="str">
        <f t="shared" si="2"/>
        <v/>
      </c>
    </row>
    <row r="1036">
      <c r="A1036" s="102"/>
      <c r="B1036" s="43" t="str">
        <f>IF(A1036="", "", IFERROR(VLOOKUP(A1036, Clasificaciones!A:B, 2, FALSE), "DATO NO CARGADO"))</f>
        <v/>
      </c>
      <c r="C1036" s="51"/>
      <c r="D1036" s="257"/>
      <c r="E1036" s="102"/>
      <c r="F1036" s="103"/>
      <c r="G1036" s="103"/>
      <c r="H1036" s="258"/>
      <c r="J1036" s="103"/>
      <c r="L1036" s="71"/>
      <c r="M1036" s="106" t="str">
        <f>IF(ISBLANK(K1036), "", VLOOKUP(C1036, 'Info Tipo de Cambio y REM'!$A$24:$B$35, 2, FALSE))</f>
        <v/>
      </c>
      <c r="N1036" s="107" t="str">
        <f t="shared" si="2"/>
        <v/>
      </c>
    </row>
    <row r="1037">
      <c r="A1037" s="102"/>
      <c r="B1037" s="43" t="str">
        <f>IF(A1037="", "", IFERROR(VLOOKUP(A1037, Clasificaciones!A:B, 2, FALSE), "DATO NO CARGADO"))</f>
        <v/>
      </c>
      <c r="C1037" s="51"/>
      <c r="D1037" s="257"/>
      <c r="E1037" s="102"/>
      <c r="F1037" s="103"/>
      <c r="G1037" s="103"/>
      <c r="H1037" s="258"/>
      <c r="J1037" s="103"/>
      <c r="L1037" s="71"/>
      <c r="M1037" s="106" t="str">
        <f>IF(ISBLANK(K1037), "", VLOOKUP(C1037, 'Info Tipo de Cambio y REM'!$A$24:$B$35, 2, FALSE))</f>
        <v/>
      </c>
      <c r="N1037" s="107" t="str">
        <f t="shared" si="2"/>
        <v/>
      </c>
    </row>
    <row r="1038">
      <c r="A1038" s="102"/>
      <c r="B1038" s="43" t="str">
        <f>IF(A1038="", "", IFERROR(VLOOKUP(A1038, Clasificaciones!A:B, 2, FALSE), "DATO NO CARGADO"))</f>
        <v/>
      </c>
      <c r="C1038" s="51"/>
      <c r="D1038" s="257"/>
      <c r="E1038" s="102"/>
      <c r="F1038" s="103"/>
      <c r="G1038" s="103"/>
      <c r="H1038" s="258"/>
      <c r="J1038" s="103"/>
      <c r="L1038" s="71"/>
      <c r="M1038" s="106" t="str">
        <f>IF(ISBLANK(K1038), "", VLOOKUP(C1038, 'Info Tipo de Cambio y REM'!$A$24:$B$35, 2, FALSE))</f>
        <v/>
      </c>
      <c r="N1038" s="107" t="str">
        <f t="shared" si="2"/>
        <v/>
      </c>
    </row>
    <row r="1039">
      <c r="A1039" s="102"/>
      <c r="B1039" s="43" t="str">
        <f>IF(A1039="", "", IFERROR(VLOOKUP(A1039, Clasificaciones!A:B, 2, FALSE), "DATO NO CARGADO"))</f>
        <v/>
      </c>
      <c r="C1039" s="51"/>
      <c r="D1039" s="257"/>
      <c r="E1039" s="102"/>
      <c r="F1039" s="103"/>
      <c r="G1039" s="103"/>
      <c r="H1039" s="258"/>
      <c r="J1039" s="103"/>
      <c r="L1039" s="71"/>
      <c r="M1039" s="106" t="str">
        <f>IF(ISBLANK(K1039), "", VLOOKUP(C1039, 'Info Tipo de Cambio y REM'!$A$24:$B$35, 2, FALSE))</f>
        <v/>
      </c>
      <c r="N1039" s="107" t="str">
        <f t="shared" si="2"/>
        <v/>
      </c>
    </row>
    <row r="1040">
      <c r="A1040" s="102"/>
      <c r="B1040" s="43" t="str">
        <f>IF(A1040="", "", IFERROR(VLOOKUP(A1040, Clasificaciones!A:B, 2, FALSE), "DATO NO CARGADO"))</f>
        <v/>
      </c>
      <c r="C1040" s="51"/>
      <c r="D1040" s="257"/>
      <c r="E1040" s="102"/>
      <c r="F1040" s="103"/>
      <c r="G1040" s="103"/>
      <c r="H1040" s="258"/>
      <c r="J1040" s="103"/>
      <c r="L1040" s="71"/>
      <c r="M1040" s="106" t="str">
        <f>IF(ISBLANK(K1040), "", VLOOKUP(C1040, 'Info Tipo de Cambio y REM'!$A$24:$B$35, 2, FALSE))</f>
        <v/>
      </c>
      <c r="N1040" s="107" t="str">
        <f t="shared" si="2"/>
        <v/>
      </c>
    </row>
    <row r="1041">
      <c r="A1041" s="102"/>
      <c r="B1041" s="43" t="str">
        <f>IF(A1041="", "", IFERROR(VLOOKUP(A1041, Clasificaciones!A:B, 2, FALSE), "DATO NO CARGADO"))</f>
        <v/>
      </c>
      <c r="C1041" s="51"/>
      <c r="D1041" s="257"/>
      <c r="E1041" s="102"/>
      <c r="F1041" s="103"/>
      <c r="G1041" s="103"/>
      <c r="H1041" s="258"/>
      <c r="J1041" s="103"/>
      <c r="L1041" s="71"/>
      <c r="M1041" s="106" t="str">
        <f>IF(ISBLANK(K1041), "", VLOOKUP(C1041, 'Info Tipo de Cambio y REM'!$A$24:$B$35, 2, FALSE))</f>
        <v/>
      </c>
      <c r="N1041" s="107" t="str">
        <f t="shared" si="2"/>
        <v/>
      </c>
    </row>
    <row r="1042">
      <c r="A1042" s="102"/>
      <c r="B1042" s="43" t="str">
        <f>IF(A1042="", "", IFERROR(VLOOKUP(A1042, Clasificaciones!A:B, 2, FALSE), "DATO NO CARGADO"))</f>
        <v/>
      </c>
      <c r="C1042" s="51"/>
      <c r="D1042" s="257"/>
      <c r="E1042" s="102"/>
      <c r="F1042" s="103"/>
      <c r="G1042" s="103"/>
      <c r="H1042" s="258"/>
      <c r="J1042" s="103"/>
      <c r="L1042" s="71"/>
      <c r="M1042" s="106" t="str">
        <f>IF(ISBLANK(K1042), "", VLOOKUP(C1042, 'Info Tipo de Cambio y REM'!$A$24:$B$35, 2, FALSE))</f>
        <v/>
      </c>
      <c r="N1042" s="107" t="str">
        <f t="shared" si="2"/>
        <v/>
      </c>
    </row>
    <row r="1043">
      <c r="A1043" s="102"/>
      <c r="B1043" s="43" t="str">
        <f>IF(A1043="", "", IFERROR(VLOOKUP(A1043, Clasificaciones!A:B, 2, FALSE), "DATO NO CARGADO"))</f>
        <v/>
      </c>
      <c r="C1043" s="51"/>
      <c r="D1043" s="257"/>
      <c r="E1043" s="102"/>
      <c r="F1043" s="103"/>
      <c r="G1043" s="103"/>
      <c r="H1043" s="258"/>
      <c r="J1043" s="103"/>
      <c r="L1043" s="71"/>
      <c r="M1043" s="106" t="str">
        <f>IF(ISBLANK(K1043), "", VLOOKUP(C1043, 'Info Tipo de Cambio y REM'!$A$24:$B$35, 2, FALSE))</f>
        <v/>
      </c>
      <c r="N1043" s="107" t="str">
        <f t="shared" si="2"/>
        <v/>
      </c>
    </row>
    <row r="1044">
      <c r="A1044" s="102"/>
      <c r="B1044" s="43" t="str">
        <f>IF(A1044="", "", IFERROR(VLOOKUP(A1044, Clasificaciones!A:B, 2, FALSE), "DATO NO CARGADO"))</f>
        <v/>
      </c>
      <c r="C1044" s="51"/>
      <c r="D1044" s="257"/>
      <c r="E1044" s="102"/>
      <c r="F1044" s="103"/>
      <c r="G1044" s="103"/>
      <c r="H1044" s="258"/>
      <c r="J1044" s="103"/>
      <c r="L1044" s="71"/>
      <c r="M1044" s="106" t="str">
        <f>IF(ISBLANK(K1044), "", VLOOKUP(C1044, 'Info Tipo de Cambio y REM'!$A$24:$B$35, 2, FALSE))</f>
        <v/>
      </c>
      <c r="N1044" s="107" t="str">
        <f t="shared" si="2"/>
        <v/>
      </c>
    </row>
    <row r="1045">
      <c r="A1045" s="102"/>
      <c r="B1045" s="43" t="str">
        <f>IF(A1045="", "", IFERROR(VLOOKUP(A1045, Clasificaciones!A:B, 2, FALSE), "DATO NO CARGADO"))</f>
        <v/>
      </c>
      <c r="C1045" s="51"/>
      <c r="D1045" s="257"/>
      <c r="E1045" s="102"/>
      <c r="F1045" s="103"/>
      <c r="G1045" s="103"/>
      <c r="H1045" s="258"/>
      <c r="J1045" s="103"/>
      <c r="L1045" s="71"/>
      <c r="M1045" s="106" t="str">
        <f>IF(ISBLANK(K1045), "", VLOOKUP(C1045, 'Info Tipo de Cambio y REM'!$A$24:$B$35, 2, FALSE))</f>
        <v/>
      </c>
      <c r="N1045" s="107" t="str">
        <f t="shared" si="2"/>
        <v/>
      </c>
    </row>
    <row r="1046">
      <c r="A1046" s="102"/>
      <c r="B1046" s="43" t="str">
        <f>IF(A1046="", "", IFERROR(VLOOKUP(A1046, Clasificaciones!A:B, 2, FALSE), "DATO NO CARGADO"))</f>
        <v/>
      </c>
      <c r="C1046" s="51"/>
      <c r="D1046" s="257"/>
      <c r="E1046" s="102"/>
      <c r="F1046" s="103"/>
      <c r="G1046" s="103"/>
      <c r="H1046" s="258"/>
      <c r="J1046" s="103"/>
      <c r="L1046" s="71"/>
      <c r="M1046" s="106" t="str">
        <f>IF(ISBLANK(K1046), "", VLOOKUP(C1046, 'Info Tipo de Cambio y REM'!$A$24:$B$35, 2, FALSE))</f>
        <v/>
      </c>
      <c r="N1046" s="107" t="str">
        <f t="shared" si="2"/>
        <v/>
      </c>
    </row>
    <row r="1047">
      <c r="A1047" s="102"/>
      <c r="B1047" s="43" t="str">
        <f>IF(A1047="", "", IFERROR(VLOOKUP(A1047, Clasificaciones!A:B, 2, FALSE), "DATO NO CARGADO"))</f>
        <v/>
      </c>
      <c r="C1047" s="51"/>
      <c r="D1047" s="257"/>
      <c r="E1047" s="102"/>
      <c r="F1047" s="103"/>
      <c r="G1047" s="103"/>
      <c r="H1047" s="258"/>
      <c r="J1047" s="103"/>
      <c r="L1047" s="71"/>
      <c r="M1047" s="106" t="str">
        <f>IF(ISBLANK(K1047), "", VLOOKUP(C1047, 'Info Tipo de Cambio y REM'!$A$24:$B$35, 2, FALSE))</f>
        <v/>
      </c>
      <c r="N1047" s="107" t="str">
        <f t="shared" si="2"/>
        <v/>
      </c>
    </row>
    <row r="1048">
      <c r="A1048" s="102"/>
      <c r="B1048" s="43" t="str">
        <f>IF(A1048="", "", IFERROR(VLOOKUP(A1048, Clasificaciones!A:B, 2, FALSE), "DATO NO CARGADO"))</f>
        <v/>
      </c>
      <c r="C1048" s="51"/>
      <c r="D1048" s="257"/>
      <c r="E1048" s="102"/>
      <c r="F1048" s="103"/>
      <c r="G1048" s="103"/>
      <c r="H1048" s="258"/>
      <c r="J1048" s="103"/>
      <c r="L1048" s="71"/>
      <c r="M1048" s="106" t="str">
        <f>IF(ISBLANK(K1048), "", VLOOKUP(C1048, 'Info Tipo de Cambio y REM'!$A$24:$B$35, 2, FALSE))</f>
        <v/>
      </c>
      <c r="N1048" s="107" t="str">
        <f t="shared" si="2"/>
        <v/>
      </c>
    </row>
    <row r="1049">
      <c r="A1049" s="102"/>
      <c r="B1049" s="43" t="str">
        <f>IF(A1049="", "", IFERROR(VLOOKUP(A1049, Clasificaciones!A:B, 2, FALSE), "DATO NO CARGADO"))</f>
        <v/>
      </c>
      <c r="C1049" s="51"/>
      <c r="D1049" s="257"/>
      <c r="E1049" s="102"/>
      <c r="F1049" s="103"/>
      <c r="G1049" s="103"/>
      <c r="H1049" s="258"/>
      <c r="J1049" s="103"/>
      <c r="L1049" s="71"/>
      <c r="M1049" s="106" t="str">
        <f>IF(ISBLANK(K1049), "", VLOOKUP(C1049, 'Info Tipo de Cambio y REM'!$A$24:$B$35, 2, FALSE))</f>
        <v/>
      </c>
      <c r="N1049" s="107" t="str">
        <f t="shared" si="2"/>
        <v/>
      </c>
    </row>
    <row r="1050">
      <c r="A1050" s="102"/>
      <c r="B1050" s="43" t="str">
        <f>IF(A1050="", "", IFERROR(VLOOKUP(A1050, Clasificaciones!A:B, 2, FALSE), "DATO NO CARGADO"))</f>
        <v/>
      </c>
      <c r="C1050" s="51"/>
      <c r="D1050" s="257"/>
      <c r="E1050" s="102"/>
      <c r="F1050" s="103"/>
      <c r="G1050" s="103"/>
      <c r="H1050" s="258"/>
      <c r="J1050" s="103"/>
      <c r="L1050" s="71"/>
      <c r="M1050" s="106" t="str">
        <f>IF(ISBLANK(K1050), "", VLOOKUP(C1050, 'Info Tipo de Cambio y REM'!$A$24:$B$35, 2, FALSE))</f>
        <v/>
      </c>
      <c r="N1050" s="107" t="str">
        <f t="shared" si="2"/>
        <v/>
      </c>
    </row>
    <row r="1051">
      <c r="A1051" s="102"/>
      <c r="B1051" s="43" t="str">
        <f>IF(A1051="", "", IFERROR(VLOOKUP(A1051, Clasificaciones!A:B, 2, FALSE), "DATO NO CARGADO"))</f>
        <v/>
      </c>
      <c r="C1051" s="51"/>
      <c r="D1051" s="257"/>
      <c r="E1051" s="102"/>
      <c r="F1051" s="103"/>
      <c r="G1051" s="103"/>
      <c r="H1051" s="258"/>
      <c r="J1051" s="103"/>
      <c r="L1051" s="71"/>
      <c r="M1051" s="106" t="str">
        <f>IF(ISBLANK(K1051), "", VLOOKUP(C1051, 'Info Tipo de Cambio y REM'!$A$24:$B$35, 2, FALSE))</f>
        <v/>
      </c>
      <c r="N1051" s="107" t="str">
        <f t="shared" si="2"/>
        <v/>
      </c>
    </row>
    <row r="1052">
      <c r="A1052" s="102"/>
      <c r="B1052" s="43" t="str">
        <f>IF(A1052="", "", IFERROR(VLOOKUP(A1052, Clasificaciones!A:B, 2, FALSE), "DATO NO CARGADO"))</f>
        <v/>
      </c>
      <c r="C1052" s="51"/>
      <c r="D1052" s="257"/>
      <c r="E1052" s="102"/>
      <c r="F1052" s="103"/>
      <c r="G1052" s="103"/>
      <c r="H1052" s="258"/>
      <c r="J1052" s="103"/>
      <c r="L1052" s="71"/>
      <c r="M1052" s="106" t="str">
        <f>IF(ISBLANK(K1052), "", VLOOKUP(C1052, 'Info Tipo de Cambio y REM'!$A$24:$B$35, 2, FALSE))</f>
        <v/>
      </c>
      <c r="N1052" s="107" t="str">
        <f t="shared" si="2"/>
        <v/>
      </c>
    </row>
    <row r="1053">
      <c r="A1053" s="102"/>
      <c r="B1053" s="43" t="str">
        <f>IF(A1053="", "", IFERROR(VLOOKUP(A1053, Clasificaciones!A:B, 2, FALSE), "DATO NO CARGADO"))</f>
        <v/>
      </c>
      <c r="C1053" s="51"/>
      <c r="D1053" s="257"/>
      <c r="E1053" s="102"/>
      <c r="F1053" s="103"/>
      <c r="G1053" s="103"/>
      <c r="H1053" s="258"/>
      <c r="J1053" s="103"/>
      <c r="L1053" s="71"/>
      <c r="M1053" s="106" t="str">
        <f>IF(ISBLANK(K1053), "", VLOOKUP(C1053, 'Info Tipo de Cambio y REM'!$A$24:$B$35, 2, FALSE))</f>
        <v/>
      </c>
      <c r="N1053" s="107" t="str">
        <f t="shared" si="2"/>
        <v/>
      </c>
    </row>
    <row r="1054">
      <c r="A1054" s="102"/>
      <c r="B1054" s="43" t="str">
        <f>IF(A1054="", "", IFERROR(VLOOKUP(A1054, Clasificaciones!A:B, 2, FALSE), "DATO NO CARGADO"))</f>
        <v/>
      </c>
      <c r="C1054" s="51"/>
      <c r="D1054" s="257"/>
      <c r="E1054" s="102"/>
      <c r="F1054" s="103"/>
      <c r="G1054" s="103"/>
      <c r="H1054" s="258"/>
      <c r="J1054" s="103"/>
      <c r="L1054" s="71"/>
      <c r="M1054" s="106" t="str">
        <f>IF(ISBLANK(K1054), "", VLOOKUP(C1054, 'Info Tipo de Cambio y REM'!$A$24:$B$35, 2, FALSE))</f>
        <v/>
      </c>
      <c r="N1054" s="107" t="str">
        <f t="shared" si="2"/>
        <v/>
      </c>
    </row>
    <row r="1055">
      <c r="A1055" s="102"/>
      <c r="B1055" s="43" t="str">
        <f>IF(A1055="", "", IFERROR(VLOOKUP(A1055, Clasificaciones!A:B, 2, FALSE), "DATO NO CARGADO"))</f>
        <v/>
      </c>
      <c r="C1055" s="51"/>
      <c r="D1055" s="257"/>
      <c r="E1055" s="102"/>
      <c r="F1055" s="103"/>
      <c r="G1055" s="103"/>
      <c r="H1055" s="258"/>
      <c r="J1055" s="103"/>
      <c r="L1055" s="71"/>
      <c r="M1055" s="106" t="str">
        <f>IF(ISBLANK(K1055), "", VLOOKUP(C1055, 'Info Tipo de Cambio y REM'!$A$24:$B$35, 2, FALSE))</f>
        <v/>
      </c>
      <c r="N1055" s="107" t="str">
        <f t="shared" si="2"/>
        <v/>
      </c>
    </row>
    <row r="1056">
      <c r="A1056" s="102"/>
      <c r="B1056" s="43" t="str">
        <f>IF(A1056="", "", IFERROR(VLOOKUP(A1056, Clasificaciones!A:B, 2, FALSE), "DATO NO CARGADO"))</f>
        <v/>
      </c>
      <c r="C1056" s="51"/>
      <c r="D1056" s="257"/>
      <c r="E1056" s="102"/>
      <c r="F1056" s="103"/>
      <c r="G1056" s="103"/>
      <c r="H1056" s="258"/>
      <c r="J1056" s="103"/>
      <c r="L1056" s="71"/>
      <c r="M1056" s="106" t="str">
        <f>IF(ISBLANK(K1056), "", VLOOKUP(C1056, 'Info Tipo de Cambio y REM'!$A$24:$B$35, 2, FALSE))</f>
        <v/>
      </c>
      <c r="N1056" s="107" t="str">
        <f t="shared" si="2"/>
        <v/>
      </c>
    </row>
    <row r="1057">
      <c r="A1057" s="102"/>
      <c r="B1057" s="43" t="str">
        <f>IF(A1057="", "", IFERROR(VLOOKUP(A1057, Clasificaciones!A:B, 2, FALSE), "DATO NO CARGADO"))</f>
        <v/>
      </c>
      <c r="C1057" s="51"/>
      <c r="D1057" s="257"/>
      <c r="E1057" s="102"/>
      <c r="F1057" s="103"/>
      <c r="G1057" s="103"/>
      <c r="H1057" s="258"/>
      <c r="J1057" s="103"/>
      <c r="L1057" s="71"/>
      <c r="M1057" s="106" t="str">
        <f>IF(ISBLANK(K1057), "", VLOOKUP(C1057, 'Info Tipo de Cambio y REM'!$A$24:$B$35, 2, FALSE))</f>
        <v/>
      </c>
      <c r="N1057" s="107" t="str">
        <f t="shared" si="2"/>
        <v/>
      </c>
    </row>
    <row r="1058">
      <c r="A1058" s="102"/>
      <c r="B1058" s="43" t="str">
        <f>IF(A1058="", "", IFERROR(VLOOKUP(A1058, Clasificaciones!A:B, 2, FALSE), "DATO NO CARGADO"))</f>
        <v/>
      </c>
      <c r="C1058" s="51"/>
      <c r="D1058" s="257"/>
      <c r="E1058" s="102"/>
      <c r="F1058" s="103"/>
      <c r="G1058" s="103"/>
      <c r="H1058" s="258"/>
      <c r="J1058" s="103"/>
      <c r="L1058" s="71"/>
      <c r="M1058" s="106" t="str">
        <f>IF(ISBLANK(K1058), "", VLOOKUP(C1058, 'Info Tipo de Cambio y REM'!$A$24:$B$35, 2, FALSE))</f>
        <v/>
      </c>
      <c r="N1058" s="107" t="str">
        <f t="shared" si="2"/>
        <v/>
      </c>
    </row>
    <row r="1059">
      <c r="A1059" s="102"/>
      <c r="B1059" s="43" t="str">
        <f>IF(A1059="", "", IFERROR(VLOOKUP(A1059, Clasificaciones!A:B, 2, FALSE), "DATO NO CARGADO"))</f>
        <v/>
      </c>
      <c r="C1059" s="51"/>
      <c r="D1059" s="257"/>
      <c r="E1059" s="102"/>
      <c r="F1059" s="103"/>
      <c r="G1059" s="103"/>
      <c r="H1059" s="258"/>
      <c r="J1059" s="103"/>
      <c r="L1059" s="71"/>
      <c r="M1059" s="106" t="str">
        <f>IF(ISBLANK(K1059), "", VLOOKUP(C1059, 'Info Tipo de Cambio y REM'!$A$24:$B$35, 2, FALSE))</f>
        <v/>
      </c>
      <c r="N1059" s="107" t="str">
        <f t="shared" si="2"/>
        <v/>
      </c>
    </row>
    <row r="1060">
      <c r="A1060" s="102"/>
      <c r="B1060" s="43" t="str">
        <f>IF(A1060="", "", IFERROR(VLOOKUP(A1060, Clasificaciones!A:B, 2, FALSE), "DATO NO CARGADO"))</f>
        <v/>
      </c>
      <c r="C1060" s="51"/>
      <c r="D1060" s="257"/>
      <c r="E1060" s="102"/>
      <c r="F1060" s="103"/>
      <c r="G1060" s="103"/>
      <c r="H1060" s="258"/>
      <c r="J1060" s="103"/>
      <c r="L1060" s="71"/>
      <c r="M1060" s="106" t="str">
        <f>IF(ISBLANK(K1060), "", VLOOKUP(C1060, 'Info Tipo de Cambio y REM'!$A$24:$B$35, 2, FALSE))</f>
        <v/>
      </c>
      <c r="N1060" s="107" t="str">
        <f t="shared" si="2"/>
        <v/>
      </c>
    </row>
    <row r="1061">
      <c r="A1061" s="102"/>
      <c r="B1061" s="43" t="str">
        <f>IF(A1061="", "", IFERROR(VLOOKUP(A1061, Clasificaciones!A:B, 2, FALSE), "DATO NO CARGADO"))</f>
        <v/>
      </c>
      <c r="C1061" s="51"/>
      <c r="D1061" s="257"/>
      <c r="E1061" s="102"/>
      <c r="F1061" s="103"/>
      <c r="G1061" s="103"/>
      <c r="H1061" s="258"/>
      <c r="J1061" s="103"/>
      <c r="L1061" s="71"/>
      <c r="M1061" s="106" t="str">
        <f>IF(ISBLANK(K1061), "", VLOOKUP(C1061, 'Info Tipo de Cambio y REM'!$A$24:$B$35, 2, FALSE))</f>
        <v/>
      </c>
      <c r="N1061" s="107" t="str">
        <f t="shared" si="2"/>
        <v/>
      </c>
    </row>
    <row r="1062">
      <c r="A1062" s="102"/>
      <c r="B1062" s="43" t="str">
        <f>IF(A1062="", "", IFERROR(VLOOKUP(A1062, Clasificaciones!A:B, 2, FALSE), "DATO NO CARGADO"))</f>
        <v/>
      </c>
      <c r="C1062" s="51"/>
      <c r="D1062" s="257"/>
      <c r="E1062" s="102"/>
      <c r="F1062" s="103"/>
      <c r="G1062" s="103"/>
      <c r="H1062" s="258"/>
      <c r="J1062" s="103"/>
      <c r="L1062" s="71"/>
      <c r="M1062" s="106" t="str">
        <f>IF(ISBLANK(K1062), "", VLOOKUP(C1062, 'Info Tipo de Cambio y REM'!$A$24:$B$35, 2, FALSE))</f>
        <v/>
      </c>
      <c r="N1062" s="107" t="str">
        <f t="shared" si="2"/>
        <v/>
      </c>
    </row>
    <row r="1063">
      <c r="A1063" s="102"/>
      <c r="B1063" s="43" t="str">
        <f>IF(A1063="", "", IFERROR(VLOOKUP(A1063, Clasificaciones!A:B, 2, FALSE), "DATO NO CARGADO"))</f>
        <v/>
      </c>
      <c r="C1063" s="51"/>
      <c r="D1063" s="257"/>
      <c r="E1063" s="102"/>
      <c r="F1063" s="103"/>
      <c r="G1063" s="103"/>
      <c r="H1063" s="258"/>
      <c r="J1063" s="103"/>
      <c r="L1063" s="71"/>
      <c r="M1063" s="106" t="str">
        <f>IF(ISBLANK(K1063), "", VLOOKUP(C1063, 'Info Tipo de Cambio y REM'!$A$24:$B$35, 2, FALSE))</f>
        <v/>
      </c>
      <c r="N1063" s="107" t="str">
        <f t="shared" si="2"/>
        <v/>
      </c>
    </row>
    <row r="1064">
      <c r="A1064" s="102"/>
      <c r="B1064" s="43" t="str">
        <f>IF(A1064="", "", IFERROR(VLOOKUP(A1064, Clasificaciones!A:B, 2, FALSE), "DATO NO CARGADO"))</f>
        <v/>
      </c>
      <c r="C1064" s="51"/>
      <c r="D1064" s="257"/>
      <c r="E1064" s="102"/>
      <c r="F1064" s="103"/>
      <c r="G1064" s="103"/>
      <c r="H1064" s="258"/>
      <c r="J1064" s="103"/>
      <c r="L1064" s="71"/>
      <c r="M1064" s="106" t="str">
        <f>IF(ISBLANK(K1064), "", VLOOKUP(C1064, 'Info Tipo de Cambio y REM'!$A$24:$B$35, 2, FALSE))</f>
        <v/>
      </c>
      <c r="N1064" s="107" t="str">
        <f t="shared" si="2"/>
        <v/>
      </c>
    </row>
    <row r="1065">
      <c r="A1065" s="102"/>
      <c r="B1065" s="43" t="str">
        <f>IF(A1065="", "", IFERROR(VLOOKUP(A1065, Clasificaciones!A:B, 2, FALSE), "DATO NO CARGADO"))</f>
        <v/>
      </c>
      <c r="C1065" s="51"/>
      <c r="D1065" s="257"/>
      <c r="E1065" s="102"/>
      <c r="F1065" s="103"/>
      <c r="G1065" s="103"/>
      <c r="H1065" s="258"/>
      <c r="J1065" s="103"/>
      <c r="L1065" s="71"/>
      <c r="M1065" s="106" t="str">
        <f>IF(ISBLANK(K1065), "", VLOOKUP(C1065, 'Info Tipo de Cambio y REM'!$A$24:$B$35, 2, FALSE))</f>
        <v/>
      </c>
      <c r="N1065" s="107" t="str">
        <f t="shared" si="2"/>
        <v/>
      </c>
    </row>
    <row r="1066">
      <c r="A1066" s="102"/>
      <c r="B1066" s="43" t="str">
        <f>IF(A1066="", "", IFERROR(VLOOKUP(A1066, Clasificaciones!A:B, 2, FALSE), "DATO NO CARGADO"))</f>
        <v/>
      </c>
      <c r="C1066" s="51"/>
      <c r="D1066" s="257"/>
      <c r="E1066" s="102"/>
      <c r="F1066" s="103"/>
      <c r="G1066" s="103"/>
      <c r="H1066" s="258"/>
      <c r="J1066" s="103"/>
      <c r="L1066" s="71"/>
      <c r="M1066" s="106" t="str">
        <f>IF(ISBLANK(K1066), "", VLOOKUP(C1066, 'Info Tipo de Cambio y REM'!$A$24:$B$35, 2, FALSE))</f>
        <v/>
      </c>
      <c r="N1066" s="107" t="str">
        <f t="shared" si="2"/>
        <v/>
      </c>
    </row>
    <row r="1067">
      <c r="A1067" s="102"/>
      <c r="B1067" s="43" t="str">
        <f>IF(A1067="", "", IFERROR(VLOOKUP(A1067, Clasificaciones!A:B, 2, FALSE), "DATO NO CARGADO"))</f>
        <v/>
      </c>
      <c r="C1067" s="51"/>
      <c r="D1067" s="257"/>
      <c r="E1067" s="102"/>
      <c r="F1067" s="103"/>
      <c r="G1067" s="103"/>
      <c r="H1067" s="258"/>
      <c r="J1067" s="103"/>
      <c r="L1067" s="71"/>
      <c r="M1067" s="106" t="str">
        <f>IF(ISBLANK(K1067), "", VLOOKUP(C1067, 'Info Tipo de Cambio y REM'!$A$24:$B$35, 2, FALSE))</f>
        <v/>
      </c>
      <c r="N1067" s="107" t="str">
        <f t="shared" si="2"/>
        <v/>
      </c>
    </row>
    <row r="1068">
      <c r="A1068" s="102"/>
      <c r="B1068" s="43" t="str">
        <f>IF(A1068="", "", IFERROR(VLOOKUP(A1068, Clasificaciones!A:B, 2, FALSE), "DATO NO CARGADO"))</f>
        <v/>
      </c>
      <c r="C1068" s="51"/>
      <c r="D1068" s="257"/>
      <c r="E1068" s="102"/>
      <c r="F1068" s="103"/>
      <c r="G1068" s="103"/>
      <c r="H1068" s="258"/>
      <c r="J1068" s="103"/>
      <c r="L1068" s="71"/>
      <c r="M1068" s="106" t="str">
        <f>IF(ISBLANK(K1068), "", VLOOKUP(C1068, 'Info Tipo de Cambio y REM'!$A$24:$B$35, 2, FALSE))</f>
        <v/>
      </c>
      <c r="N1068" s="107" t="str">
        <f t="shared" si="2"/>
        <v/>
      </c>
    </row>
    <row r="1069">
      <c r="A1069" s="102"/>
      <c r="B1069" s="43" t="str">
        <f>IF(A1069="", "", IFERROR(VLOOKUP(A1069, Clasificaciones!A:B, 2, FALSE), "DATO NO CARGADO"))</f>
        <v/>
      </c>
      <c r="C1069" s="51"/>
      <c r="D1069" s="257"/>
      <c r="E1069" s="102"/>
      <c r="F1069" s="103"/>
      <c r="G1069" s="103"/>
      <c r="H1069" s="258"/>
      <c r="J1069" s="103"/>
      <c r="L1069" s="71"/>
      <c r="M1069" s="106" t="str">
        <f>IF(ISBLANK(K1069), "", VLOOKUP(C1069, 'Info Tipo de Cambio y REM'!$A$24:$B$35, 2, FALSE))</f>
        <v/>
      </c>
      <c r="N1069" s="107" t="str">
        <f t="shared" si="2"/>
        <v/>
      </c>
    </row>
    <row r="1070">
      <c r="A1070" s="102"/>
      <c r="B1070" s="43" t="str">
        <f>IF(A1070="", "", IFERROR(VLOOKUP(A1070, Clasificaciones!A:B, 2, FALSE), "DATO NO CARGADO"))</f>
        <v/>
      </c>
      <c r="C1070" s="51"/>
      <c r="D1070" s="257"/>
      <c r="E1070" s="102"/>
      <c r="F1070" s="103"/>
      <c r="G1070" s="103"/>
      <c r="H1070" s="258"/>
      <c r="J1070" s="103"/>
      <c r="L1070" s="71"/>
      <c r="M1070" s="106" t="str">
        <f>IF(ISBLANK(K1070), "", VLOOKUP(C1070, 'Info Tipo de Cambio y REM'!$A$24:$B$35, 2, FALSE))</f>
        <v/>
      </c>
      <c r="N1070" s="107" t="str">
        <f t="shared" si="2"/>
        <v/>
      </c>
    </row>
    <row r="1071">
      <c r="A1071" s="102"/>
      <c r="B1071" s="43" t="str">
        <f>IF(A1071="", "", IFERROR(VLOOKUP(A1071, Clasificaciones!A:B, 2, FALSE), "DATO NO CARGADO"))</f>
        <v/>
      </c>
      <c r="C1071" s="51"/>
      <c r="D1071" s="257"/>
      <c r="E1071" s="102"/>
      <c r="F1071" s="103"/>
      <c r="G1071" s="103"/>
      <c r="H1071" s="258"/>
      <c r="J1071" s="103"/>
      <c r="L1071" s="71"/>
      <c r="M1071" s="106" t="str">
        <f>IF(ISBLANK(K1071), "", VLOOKUP(C1071, 'Info Tipo de Cambio y REM'!$A$24:$B$35, 2, FALSE))</f>
        <v/>
      </c>
      <c r="N1071" s="107" t="str">
        <f t="shared" si="2"/>
        <v/>
      </c>
    </row>
    <row r="1072">
      <c r="A1072" s="102"/>
      <c r="B1072" s="43" t="str">
        <f>IF(A1072="", "", IFERROR(VLOOKUP(A1072, Clasificaciones!A:B, 2, FALSE), "DATO NO CARGADO"))</f>
        <v/>
      </c>
      <c r="C1072" s="51"/>
      <c r="D1072" s="257"/>
      <c r="E1072" s="102"/>
      <c r="F1072" s="103"/>
      <c r="G1072" s="103"/>
      <c r="H1072" s="258"/>
      <c r="J1072" s="103"/>
      <c r="L1072" s="71"/>
      <c r="M1072" s="106" t="str">
        <f>IF(ISBLANK(K1072), "", VLOOKUP(C1072, 'Info Tipo de Cambio y REM'!$A$24:$B$35, 2, FALSE))</f>
        <v/>
      </c>
      <c r="N1072" s="107" t="str">
        <f t="shared" si="2"/>
        <v/>
      </c>
    </row>
    <row r="1073">
      <c r="A1073" s="102"/>
      <c r="B1073" s="43" t="str">
        <f>IF(A1073="", "", IFERROR(VLOOKUP(A1073, Clasificaciones!A:B, 2, FALSE), "DATO NO CARGADO"))</f>
        <v/>
      </c>
      <c r="C1073" s="51"/>
      <c r="D1073" s="257"/>
      <c r="E1073" s="102"/>
      <c r="F1073" s="103"/>
      <c r="G1073" s="103"/>
      <c r="H1073" s="258"/>
      <c r="J1073" s="103"/>
      <c r="L1073" s="71"/>
      <c r="M1073" s="106" t="str">
        <f>IF(ISBLANK(K1073), "", VLOOKUP(C1073, 'Info Tipo de Cambio y REM'!$A$24:$B$35, 2, FALSE))</f>
        <v/>
      </c>
      <c r="N1073" s="107" t="str">
        <f t="shared" si="2"/>
        <v/>
      </c>
    </row>
    <row r="1074">
      <c r="A1074" s="102"/>
      <c r="B1074" s="43" t="str">
        <f>IF(A1074="", "", IFERROR(VLOOKUP(A1074, Clasificaciones!A:B, 2, FALSE), "DATO NO CARGADO"))</f>
        <v/>
      </c>
      <c r="C1074" s="51"/>
      <c r="D1074" s="257"/>
      <c r="E1074" s="102"/>
      <c r="F1074" s="103"/>
      <c r="G1074" s="103"/>
      <c r="H1074" s="258"/>
      <c r="J1074" s="103"/>
      <c r="L1074" s="71"/>
      <c r="M1074" s="106" t="str">
        <f>IF(ISBLANK(K1074), "", VLOOKUP(C1074, 'Info Tipo de Cambio y REM'!$A$24:$B$35, 2, FALSE))</f>
        <v/>
      </c>
      <c r="N1074" s="107" t="str">
        <f t="shared" si="2"/>
        <v/>
      </c>
    </row>
    <row r="1075">
      <c r="A1075" s="102"/>
      <c r="B1075" s="43" t="str">
        <f>IF(A1075="", "", IFERROR(VLOOKUP(A1075, Clasificaciones!A:B, 2, FALSE), "DATO NO CARGADO"))</f>
        <v/>
      </c>
      <c r="C1075" s="51"/>
      <c r="D1075" s="257"/>
      <c r="E1075" s="102"/>
      <c r="F1075" s="103"/>
      <c r="G1075" s="103"/>
      <c r="H1075" s="258"/>
      <c r="J1075" s="103"/>
      <c r="L1075" s="71"/>
      <c r="M1075" s="106" t="str">
        <f>IF(ISBLANK(K1075), "", VLOOKUP(C1075, 'Info Tipo de Cambio y REM'!$A$24:$B$35, 2, FALSE))</f>
        <v/>
      </c>
      <c r="N1075" s="107" t="str">
        <f t="shared" si="2"/>
        <v/>
      </c>
    </row>
    <row r="1076">
      <c r="A1076" s="102"/>
      <c r="B1076" s="43" t="str">
        <f>IF(A1076="", "", IFERROR(VLOOKUP(A1076, Clasificaciones!A:B, 2, FALSE), "DATO NO CARGADO"))</f>
        <v/>
      </c>
      <c r="C1076" s="51"/>
      <c r="D1076" s="257"/>
      <c r="E1076" s="102"/>
      <c r="F1076" s="103"/>
      <c r="G1076" s="103"/>
      <c r="H1076" s="258"/>
      <c r="J1076" s="103"/>
      <c r="L1076" s="71"/>
      <c r="M1076" s="106" t="str">
        <f>IF(ISBLANK(K1076), "", VLOOKUP(C1076, 'Info Tipo de Cambio y REM'!$A$24:$B$35, 2, FALSE))</f>
        <v/>
      </c>
      <c r="N1076" s="107" t="str">
        <f t="shared" si="2"/>
        <v/>
      </c>
    </row>
    <row r="1077">
      <c r="A1077" s="102"/>
      <c r="B1077" s="43" t="str">
        <f>IF(A1077="", "", IFERROR(VLOOKUP(A1077, Clasificaciones!A:B, 2, FALSE), "DATO NO CARGADO"))</f>
        <v/>
      </c>
      <c r="C1077" s="51"/>
      <c r="D1077" s="257"/>
      <c r="E1077" s="102"/>
      <c r="F1077" s="103"/>
      <c r="G1077" s="103"/>
      <c r="H1077" s="258"/>
      <c r="J1077" s="103"/>
      <c r="L1077" s="71"/>
      <c r="M1077" s="106" t="str">
        <f>IF(ISBLANK(K1077), "", VLOOKUP(C1077, 'Info Tipo de Cambio y REM'!$A$24:$B$35, 2, FALSE))</f>
        <v/>
      </c>
      <c r="N1077" s="107" t="str">
        <f t="shared" si="2"/>
        <v/>
      </c>
    </row>
    <row r="1078">
      <c r="A1078" s="102"/>
      <c r="B1078" s="43" t="str">
        <f>IF(A1078="", "", IFERROR(VLOOKUP(A1078, Clasificaciones!A:B, 2, FALSE), "DATO NO CARGADO"))</f>
        <v/>
      </c>
      <c r="C1078" s="51"/>
      <c r="D1078" s="257"/>
      <c r="E1078" s="102"/>
      <c r="F1078" s="103"/>
      <c r="G1078" s="103"/>
      <c r="H1078" s="258"/>
      <c r="J1078" s="103"/>
      <c r="L1078" s="71"/>
      <c r="M1078" s="106" t="str">
        <f>IF(ISBLANK(K1078), "", VLOOKUP(C1078, 'Info Tipo de Cambio y REM'!$A$24:$B$35, 2, FALSE))</f>
        <v/>
      </c>
      <c r="N1078" s="107" t="str">
        <f t="shared" si="2"/>
        <v/>
      </c>
    </row>
    <row r="1079">
      <c r="A1079" s="102"/>
      <c r="B1079" s="43" t="str">
        <f>IF(A1079="", "", IFERROR(VLOOKUP(A1079, Clasificaciones!A:B, 2, FALSE), "DATO NO CARGADO"))</f>
        <v/>
      </c>
      <c r="C1079" s="51"/>
      <c r="D1079" s="257"/>
      <c r="E1079" s="102"/>
      <c r="F1079" s="103"/>
      <c r="G1079" s="103"/>
      <c r="H1079" s="258"/>
      <c r="J1079" s="103"/>
      <c r="L1079" s="71"/>
      <c r="M1079" s="106" t="str">
        <f>IF(ISBLANK(K1079), "", VLOOKUP(C1079, 'Info Tipo de Cambio y REM'!$A$24:$B$35, 2, FALSE))</f>
        <v/>
      </c>
      <c r="N1079" s="107" t="str">
        <f t="shared" si="2"/>
        <v/>
      </c>
    </row>
    <row r="1080">
      <c r="A1080" s="102"/>
      <c r="B1080" s="43" t="str">
        <f>IF(A1080="", "", IFERROR(VLOOKUP(A1080, Clasificaciones!A:B, 2, FALSE), "DATO NO CARGADO"))</f>
        <v/>
      </c>
      <c r="C1080" s="51"/>
      <c r="D1080" s="257"/>
      <c r="E1080" s="102"/>
      <c r="F1080" s="103"/>
      <c r="G1080" s="103"/>
      <c r="H1080" s="258"/>
      <c r="J1080" s="103"/>
      <c r="L1080" s="71"/>
      <c r="M1080" s="106" t="str">
        <f>IF(ISBLANK(K1080), "", VLOOKUP(C1080, 'Info Tipo de Cambio y REM'!$A$24:$B$35, 2, FALSE))</f>
        <v/>
      </c>
      <c r="N1080" s="107" t="str">
        <f t="shared" si="2"/>
        <v/>
      </c>
    </row>
    <row r="1081">
      <c r="A1081" s="102"/>
      <c r="B1081" s="43" t="str">
        <f>IF(A1081="", "", IFERROR(VLOOKUP(A1081, Clasificaciones!A:B, 2, FALSE), "DATO NO CARGADO"))</f>
        <v/>
      </c>
      <c r="C1081" s="51"/>
      <c r="D1081" s="257"/>
      <c r="E1081" s="102"/>
      <c r="F1081" s="103"/>
      <c r="G1081" s="103"/>
      <c r="H1081" s="258"/>
      <c r="J1081" s="103"/>
      <c r="L1081" s="71"/>
      <c r="M1081" s="106" t="str">
        <f>IF(ISBLANK(K1081), "", VLOOKUP(C1081, 'Info Tipo de Cambio y REM'!$A$24:$B$35, 2, FALSE))</f>
        <v/>
      </c>
      <c r="N1081" s="107" t="str">
        <f t="shared" si="2"/>
        <v/>
      </c>
    </row>
    <row r="1082">
      <c r="A1082" s="102"/>
      <c r="B1082" s="43" t="str">
        <f>IF(A1082="", "", IFERROR(VLOOKUP(A1082, Clasificaciones!A:B, 2, FALSE), "DATO NO CARGADO"))</f>
        <v/>
      </c>
      <c r="C1082" s="51"/>
      <c r="D1082" s="257"/>
      <c r="E1082" s="102"/>
      <c r="F1082" s="103"/>
      <c r="G1082" s="103"/>
      <c r="H1082" s="258"/>
      <c r="J1082" s="103"/>
      <c r="L1082" s="71"/>
      <c r="M1082" s="106" t="str">
        <f>IF(ISBLANK(K1082), "", VLOOKUP(C1082, 'Info Tipo de Cambio y REM'!$A$24:$B$35, 2, FALSE))</f>
        <v/>
      </c>
      <c r="N1082" s="107" t="str">
        <f t="shared" si="2"/>
        <v/>
      </c>
    </row>
    <row r="1083">
      <c r="A1083" s="102"/>
      <c r="B1083" s="43" t="str">
        <f>IF(A1083="", "", IFERROR(VLOOKUP(A1083, Clasificaciones!A:B, 2, FALSE), "DATO NO CARGADO"))</f>
        <v/>
      </c>
      <c r="C1083" s="51"/>
      <c r="D1083" s="257"/>
      <c r="E1083" s="102"/>
      <c r="F1083" s="103"/>
      <c r="G1083" s="103"/>
      <c r="H1083" s="258"/>
      <c r="J1083" s="103"/>
      <c r="L1083" s="71"/>
      <c r="M1083" s="106" t="str">
        <f>IF(ISBLANK(K1083), "", VLOOKUP(C1083, 'Info Tipo de Cambio y REM'!$A$24:$B$35, 2, FALSE))</f>
        <v/>
      </c>
      <c r="N1083" s="107" t="str">
        <f t="shared" si="2"/>
        <v/>
      </c>
    </row>
    <row r="1084">
      <c r="A1084" s="102"/>
      <c r="B1084" s="43" t="str">
        <f>IF(A1084="", "", IFERROR(VLOOKUP(A1084, Clasificaciones!A:B, 2, FALSE), "DATO NO CARGADO"))</f>
        <v/>
      </c>
      <c r="C1084" s="51"/>
      <c r="D1084" s="257"/>
      <c r="E1084" s="102"/>
      <c r="F1084" s="103"/>
      <c r="G1084" s="103"/>
      <c r="H1084" s="258"/>
      <c r="J1084" s="103"/>
      <c r="L1084" s="71"/>
      <c r="M1084" s="106" t="str">
        <f>IF(ISBLANK(K1084), "", VLOOKUP(C1084, 'Info Tipo de Cambio y REM'!$A$24:$B$35, 2, FALSE))</f>
        <v/>
      </c>
      <c r="N1084" s="107" t="str">
        <f t="shared" si="2"/>
        <v/>
      </c>
    </row>
    <row r="1085">
      <c r="A1085" s="102"/>
      <c r="B1085" s="43" t="str">
        <f>IF(A1085="", "", IFERROR(VLOOKUP(A1085, Clasificaciones!A:B, 2, FALSE), "DATO NO CARGADO"))</f>
        <v/>
      </c>
      <c r="C1085" s="51"/>
      <c r="D1085" s="257"/>
      <c r="E1085" s="102"/>
      <c r="F1085" s="103"/>
      <c r="G1085" s="103"/>
      <c r="H1085" s="258"/>
      <c r="J1085" s="103"/>
      <c r="L1085" s="71"/>
      <c r="M1085" s="106" t="str">
        <f>IF(ISBLANK(K1085), "", VLOOKUP(C1085, 'Info Tipo de Cambio y REM'!$A$24:$B$35, 2, FALSE))</f>
        <v/>
      </c>
      <c r="N1085" s="107" t="str">
        <f t="shared" si="2"/>
        <v/>
      </c>
    </row>
    <row r="1086">
      <c r="A1086" s="102"/>
      <c r="B1086" s="43" t="str">
        <f>IF(A1086="", "", IFERROR(VLOOKUP(A1086, Clasificaciones!A:B, 2, FALSE), "DATO NO CARGADO"))</f>
        <v/>
      </c>
      <c r="C1086" s="51"/>
      <c r="D1086" s="257"/>
      <c r="E1086" s="102"/>
      <c r="F1086" s="103"/>
      <c r="G1086" s="103"/>
      <c r="H1086" s="258"/>
      <c r="J1086" s="103"/>
      <c r="L1086" s="71"/>
      <c r="M1086" s="106" t="str">
        <f>IF(ISBLANK(K1086), "", VLOOKUP(C1086, 'Info Tipo de Cambio y REM'!$A$24:$B$35, 2, FALSE))</f>
        <v/>
      </c>
      <c r="N1086" s="107" t="str">
        <f t="shared" si="2"/>
        <v/>
      </c>
    </row>
    <row r="1087">
      <c r="A1087" s="102"/>
      <c r="B1087" s="43" t="str">
        <f>IF(A1087="", "", IFERROR(VLOOKUP(A1087, Clasificaciones!A:B, 2, FALSE), "DATO NO CARGADO"))</f>
        <v/>
      </c>
      <c r="C1087" s="51"/>
      <c r="D1087" s="257"/>
      <c r="E1087" s="102"/>
      <c r="F1087" s="103"/>
      <c r="G1087" s="103"/>
      <c r="H1087" s="258"/>
      <c r="J1087" s="103"/>
      <c r="L1087" s="71"/>
      <c r="M1087" s="106" t="str">
        <f>IF(ISBLANK(K1087), "", VLOOKUP(C1087, 'Info Tipo de Cambio y REM'!$A$24:$B$35, 2, FALSE))</f>
        <v/>
      </c>
      <c r="N1087" s="107" t="str">
        <f t="shared" si="2"/>
        <v/>
      </c>
    </row>
    <row r="1088">
      <c r="A1088" s="102"/>
      <c r="B1088" s="43" t="str">
        <f>IF(A1088="", "", IFERROR(VLOOKUP(A1088, Clasificaciones!A:B, 2, FALSE), "DATO NO CARGADO"))</f>
        <v/>
      </c>
      <c r="C1088" s="51"/>
      <c r="D1088" s="257"/>
      <c r="E1088" s="102"/>
      <c r="F1088" s="103"/>
      <c r="G1088" s="103"/>
      <c r="H1088" s="258"/>
      <c r="J1088" s="103"/>
      <c r="L1088" s="71"/>
      <c r="M1088" s="106" t="str">
        <f>IF(ISBLANK(K1088), "", VLOOKUP(C1088, 'Info Tipo de Cambio y REM'!$A$24:$B$35, 2, FALSE))</f>
        <v/>
      </c>
      <c r="N1088" s="107" t="str">
        <f t="shared" si="2"/>
        <v/>
      </c>
    </row>
    <row r="1089">
      <c r="A1089" s="102"/>
      <c r="B1089" s="43" t="str">
        <f>IF(A1089="", "", IFERROR(VLOOKUP(A1089, Clasificaciones!A:B, 2, FALSE), "DATO NO CARGADO"))</f>
        <v/>
      </c>
      <c r="C1089" s="51"/>
      <c r="D1089" s="257"/>
      <c r="E1089" s="102"/>
      <c r="F1089" s="103"/>
      <c r="G1089" s="103"/>
      <c r="H1089" s="258"/>
      <c r="J1089" s="103"/>
      <c r="L1089" s="71"/>
      <c r="M1089" s="106" t="str">
        <f>IF(ISBLANK(K1089), "", VLOOKUP(C1089, 'Info Tipo de Cambio y REM'!$A$24:$B$35, 2, FALSE))</f>
        <v/>
      </c>
      <c r="N1089" s="107" t="str">
        <f t="shared" si="2"/>
        <v/>
      </c>
    </row>
    <row r="1090">
      <c r="A1090" s="102"/>
      <c r="B1090" s="43" t="str">
        <f>IF(A1090="", "", IFERROR(VLOOKUP(A1090, Clasificaciones!A:B, 2, FALSE), "DATO NO CARGADO"))</f>
        <v/>
      </c>
      <c r="C1090" s="51"/>
      <c r="D1090" s="257"/>
      <c r="E1090" s="102"/>
      <c r="F1090" s="103"/>
      <c r="G1090" s="103"/>
      <c r="H1090" s="258"/>
      <c r="J1090" s="103"/>
      <c r="L1090" s="71"/>
      <c r="M1090" s="106" t="str">
        <f>IF(ISBLANK(K1090), "", VLOOKUP(C1090, 'Info Tipo de Cambio y REM'!$A$24:$B$35, 2, FALSE))</f>
        <v/>
      </c>
      <c r="N1090" s="107" t="str">
        <f t="shared" si="2"/>
        <v/>
      </c>
    </row>
    <row r="1091">
      <c r="A1091" s="102"/>
      <c r="B1091" s="43" t="str">
        <f>IF(A1091="", "", IFERROR(VLOOKUP(A1091, Clasificaciones!A:B, 2, FALSE), "DATO NO CARGADO"))</f>
        <v/>
      </c>
      <c r="C1091" s="51"/>
      <c r="D1091" s="257"/>
      <c r="E1091" s="102"/>
      <c r="F1091" s="103"/>
      <c r="G1091" s="103"/>
      <c r="H1091" s="258"/>
      <c r="J1091" s="103"/>
      <c r="L1091" s="71"/>
      <c r="M1091" s="106" t="str">
        <f>IF(ISBLANK(K1091), "", VLOOKUP(C1091, 'Info Tipo de Cambio y REM'!$A$24:$B$35, 2, FALSE))</f>
        <v/>
      </c>
      <c r="N1091" s="107" t="str">
        <f t="shared" si="2"/>
        <v/>
      </c>
    </row>
    <row r="1092">
      <c r="A1092" s="102"/>
      <c r="B1092" s="43" t="str">
        <f>IF(A1092="", "", IFERROR(VLOOKUP(A1092, Clasificaciones!A:B, 2, FALSE), "DATO NO CARGADO"))</f>
        <v/>
      </c>
      <c r="C1092" s="51"/>
      <c r="D1092" s="257"/>
      <c r="E1092" s="102"/>
      <c r="F1092" s="103"/>
      <c r="G1092" s="103"/>
      <c r="H1092" s="258"/>
      <c r="J1092" s="103"/>
      <c r="L1092" s="71"/>
      <c r="M1092" s="106" t="str">
        <f>IF(ISBLANK(K1092), "", VLOOKUP(C1092, 'Info Tipo de Cambio y REM'!$A$24:$B$35, 2, FALSE))</f>
        <v/>
      </c>
      <c r="N1092" s="107" t="str">
        <f t="shared" si="2"/>
        <v/>
      </c>
    </row>
    <row r="1093">
      <c r="A1093" s="102"/>
      <c r="B1093" s="43" t="str">
        <f>IF(A1093="", "", IFERROR(VLOOKUP(A1093, Clasificaciones!A:B, 2, FALSE), "DATO NO CARGADO"))</f>
        <v/>
      </c>
      <c r="C1093" s="51"/>
      <c r="D1093" s="257"/>
      <c r="E1093" s="102"/>
      <c r="F1093" s="103"/>
      <c r="G1093" s="103"/>
      <c r="H1093" s="258"/>
      <c r="J1093" s="103"/>
      <c r="L1093" s="71"/>
      <c r="M1093" s="106" t="str">
        <f>IF(ISBLANK(K1093), "", VLOOKUP(C1093, 'Info Tipo de Cambio y REM'!$A$24:$B$35, 2, FALSE))</f>
        <v/>
      </c>
      <c r="N1093" s="107" t="str">
        <f t="shared" si="2"/>
        <v/>
      </c>
    </row>
    <row r="1094">
      <c r="A1094" s="102"/>
      <c r="B1094" s="43" t="str">
        <f>IF(A1094="", "", IFERROR(VLOOKUP(A1094, Clasificaciones!A:B, 2, FALSE), "DATO NO CARGADO"))</f>
        <v/>
      </c>
      <c r="C1094" s="51"/>
      <c r="D1094" s="257"/>
      <c r="E1094" s="102"/>
      <c r="F1094" s="103"/>
      <c r="G1094" s="103"/>
      <c r="H1094" s="258"/>
      <c r="J1094" s="103"/>
      <c r="L1094" s="71"/>
      <c r="M1094" s="106" t="str">
        <f>IF(ISBLANK(K1094), "", VLOOKUP(C1094, 'Info Tipo de Cambio y REM'!$A$24:$B$35, 2, FALSE))</f>
        <v/>
      </c>
      <c r="N1094" s="107" t="str">
        <f t="shared" si="2"/>
        <v/>
      </c>
    </row>
    <row r="1095">
      <c r="A1095" s="102"/>
      <c r="B1095" s="43" t="str">
        <f>IF(A1095="", "", IFERROR(VLOOKUP(A1095, Clasificaciones!A:B, 2, FALSE), "DATO NO CARGADO"))</f>
        <v/>
      </c>
      <c r="C1095" s="51"/>
      <c r="D1095" s="257"/>
      <c r="E1095" s="102"/>
      <c r="F1095" s="103"/>
      <c r="G1095" s="103"/>
      <c r="H1095" s="258"/>
      <c r="J1095" s="103"/>
      <c r="L1095" s="71"/>
      <c r="M1095" s="106" t="str">
        <f>IF(ISBLANK(K1095), "", VLOOKUP(C1095, 'Info Tipo de Cambio y REM'!$A$24:$B$35, 2, FALSE))</f>
        <v/>
      </c>
      <c r="N1095" s="107" t="str">
        <f t="shared" si="2"/>
        <v/>
      </c>
    </row>
    <row r="1096">
      <c r="A1096" s="102"/>
      <c r="B1096" s="43" t="str">
        <f>IF(A1096="", "", IFERROR(VLOOKUP(A1096, Clasificaciones!A:B, 2, FALSE), "DATO NO CARGADO"))</f>
        <v/>
      </c>
      <c r="C1096" s="51"/>
      <c r="D1096" s="257"/>
      <c r="E1096" s="102"/>
      <c r="F1096" s="103"/>
      <c r="G1096" s="103"/>
      <c r="H1096" s="258"/>
      <c r="J1096" s="103"/>
      <c r="L1096" s="71"/>
      <c r="M1096" s="106" t="str">
        <f>IF(ISBLANK(K1096), "", VLOOKUP(C1096, 'Info Tipo de Cambio y REM'!$A$24:$B$35, 2, FALSE))</f>
        <v/>
      </c>
      <c r="N1096" s="107" t="str">
        <f t="shared" si="2"/>
        <v/>
      </c>
    </row>
    <row r="1097">
      <c r="A1097" s="102"/>
      <c r="B1097" s="43" t="str">
        <f>IF(A1097="", "", IFERROR(VLOOKUP(A1097, Clasificaciones!A:B, 2, FALSE), "DATO NO CARGADO"))</f>
        <v/>
      </c>
      <c r="C1097" s="51"/>
      <c r="D1097" s="257"/>
      <c r="E1097" s="102"/>
      <c r="F1097" s="103"/>
      <c r="G1097" s="103"/>
      <c r="H1097" s="258"/>
      <c r="J1097" s="103"/>
      <c r="L1097" s="71"/>
      <c r="M1097" s="106" t="str">
        <f>IF(ISBLANK(K1097), "", VLOOKUP(C1097, 'Info Tipo de Cambio y REM'!$A$24:$B$35, 2, FALSE))</f>
        <v/>
      </c>
      <c r="N1097" s="107" t="str">
        <f t="shared" si="2"/>
        <v/>
      </c>
    </row>
    <row r="1098">
      <c r="A1098" s="102"/>
      <c r="B1098" s="43" t="str">
        <f>IF(A1098="", "", IFERROR(VLOOKUP(A1098, Clasificaciones!A:B, 2, FALSE), "DATO NO CARGADO"))</f>
        <v/>
      </c>
      <c r="C1098" s="51"/>
      <c r="D1098" s="257"/>
      <c r="E1098" s="102"/>
      <c r="F1098" s="103"/>
      <c r="G1098" s="103"/>
      <c r="H1098" s="258"/>
      <c r="J1098" s="103"/>
      <c r="L1098" s="71"/>
      <c r="M1098" s="106" t="str">
        <f>IF(ISBLANK(K1098), "", VLOOKUP(C1098, 'Info Tipo de Cambio y REM'!$A$24:$B$35, 2, FALSE))</f>
        <v/>
      </c>
      <c r="N1098" s="107" t="str">
        <f t="shared" si="2"/>
        <v/>
      </c>
    </row>
    <row r="1099">
      <c r="A1099" s="102"/>
      <c r="B1099" s="43" t="str">
        <f>IF(A1099="", "", IFERROR(VLOOKUP(A1099, Clasificaciones!A:B, 2, FALSE), "DATO NO CARGADO"))</f>
        <v/>
      </c>
      <c r="C1099" s="51"/>
      <c r="D1099" s="257"/>
      <c r="E1099" s="102"/>
      <c r="F1099" s="103"/>
      <c r="G1099" s="103"/>
      <c r="H1099" s="258"/>
      <c r="J1099" s="103"/>
      <c r="L1099" s="71"/>
      <c r="M1099" s="106" t="str">
        <f>IF(ISBLANK(K1099), "", VLOOKUP(C1099, 'Info Tipo de Cambio y REM'!$A$24:$B$35, 2, FALSE))</f>
        <v/>
      </c>
      <c r="N1099" s="107" t="str">
        <f t="shared" si="2"/>
        <v/>
      </c>
    </row>
    <row r="1100">
      <c r="A1100" s="102"/>
      <c r="B1100" s="43" t="str">
        <f>IF(A1100="", "", IFERROR(VLOOKUP(A1100, Clasificaciones!A:B, 2, FALSE), "DATO NO CARGADO"))</f>
        <v/>
      </c>
      <c r="C1100" s="51"/>
      <c r="D1100" s="257"/>
      <c r="E1100" s="102"/>
      <c r="F1100" s="103"/>
      <c r="G1100" s="103"/>
      <c r="H1100" s="258"/>
      <c r="J1100" s="103"/>
      <c r="L1100" s="71"/>
      <c r="M1100" s="106" t="str">
        <f>IF(ISBLANK(K1100), "", VLOOKUP(C1100, 'Info Tipo de Cambio y REM'!$A$24:$B$35, 2, FALSE))</f>
        <v/>
      </c>
      <c r="N1100" s="107" t="str">
        <f t="shared" si="2"/>
        <v/>
      </c>
    </row>
    <row r="1101">
      <c r="A1101" s="102"/>
      <c r="B1101" s="43" t="str">
        <f>IF(A1101="", "", IFERROR(VLOOKUP(A1101, Clasificaciones!A:B, 2, FALSE), "DATO NO CARGADO"))</f>
        <v/>
      </c>
      <c r="C1101" s="51"/>
      <c r="D1101" s="257"/>
      <c r="E1101" s="102"/>
      <c r="F1101" s="103"/>
      <c r="G1101" s="103"/>
      <c r="H1101" s="258"/>
      <c r="J1101" s="103"/>
      <c r="L1101" s="71"/>
      <c r="M1101" s="106" t="str">
        <f>IF(ISBLANK(K1101), "", VLOOKUP(C1101, 'Info Tipo de Cambio y REM'!$A$24:$B$35, 2, FALSE))</f>
        <v/>
      </c>
      <c r="N1101" s="107" t="str">
        <f t="shared" si="2"/>
        <v/>
      </c>
    </row>
    <row r="1102">
      <c r="A1102" s="102"/>
      <c r="B1102" s="43" t="str">
        <f>IF(A1102="", "", IFERROR(VLOOKUP(A1102, Clasificaciones!A:B, 2, FALSE), "DATO NO CARGADO"))</f>
        <v/>
      </c>
      <c r="C1102" s="51"/>
      <c r="D1102" s="257"/>
      <c r="E1102" s="102"/>
      <c r="F1102" s="103"/>
      <c r="G1102" s="103"/>
      <c r="H1102" s="258"/>
      <c r="J1102" s="103"/>
      <c r="L1102" s="71"/>
      <c r="M1102" s="106" t="str">
        <f>IF(ISBLANK(K1102), "", VLOOKUP(C1102, 'Info Tipo de Cambio y REM'!$A$24:$B$35, 2, FALSE))</f>
        <v/>
      </c>
      <c r="N1102" s="107" t="str">
        <f t="shared" si="2"/>
        <v/>
      </c>
    </row>
    <row r="1103">
      <c r="A1103" s="102"/>
      <c r="B1103" s="43" t="str">
        <f>IF(A1103="", "", IFERROR(VLOOKUP(A1103, Clasificaciones!A:B, 2, FALSE), "DATO NO CARGADO"))</f>
        <v/>
      </c>
      <c r="C1103" s="51"/>
      <c r="D1103" s="257"/>
      <c r="E1103" s="102"/>
      <c r="F1103" s="103"/>
      <c r="G1103" s="103"/>
      <c r="H1103" s="258"/>
      <c r="J1103" s="103"/>
      <c r="L1103" s="71"/>
      <c r="M1103" s="106" t="str">
        <f>IF(ISBLANK(K1103), "", VLOOKUP(C1103, 'Info Tipo de Cambio y REM'!$A$24:$B$35, 2, FALSE))</f>
        <v/>
      </c>
      <c r="N1103" s="107" t="str">
        <f t="shared" si="2"/>
        <v/>
      </c>
    </row>
    <row r="1104">
      <c r="A1104" s="102"/>
      <c r="B1104" s="43" t="str">
        <f>IF(A1104="", "", IFERROR(VLOOKUP(A1104, Clasificaciones!A:B, 2, FALSE), "DATO NO CARGADO"))</f>
        <v/>
      </c>
      <c r="C1104" s="51"/>
      <c r="D1104" s="257"/>
      <c r="E1104" s="102"/>
      <c r="F1104" s="103"/>
      <c r="G1104" s="103"/>
      <c r="H1104" s="258"/>
      <c r="J1104" s="103"/>
      <c r="L1104" s="71"/>
      <c r="M1104" s="106" t="str">
        <f>IF(ISBLANK(K1104), "", VLOOKUP(C1104, 'Info Tipo de Cambio y REM'!$A$24:$B$35, 2, FALSE))</f>
        <v/>
      </c>
      <c r="N1104" s="107" t="str">
        <f t="shared" si="2"/>
        <v/>
      </c>
    </row>
    <row r="1105">
      <c r="A1105" s="102"/>
      <c r="B1105" s="43" t="str">
        <f>IF(A1105="", "", IFERROR(VLOOKUP(A1105, Clasificaciones!A:B, 2, FALSE), "DATO NO CARGADO"))</f>
        <v/>
      </c>
      <c r="C1105" s="51"/>
      <c r="D1105" s="257"/>
      <c r="E1105" s="102"/>
      <c r="F1105" s="103"/>
      <c r="G1105" s="103"/>
      <c r="H1105" s="258"/>
      <c r="J1105" s="103"/>
      <c r="L1105" s="71"/>
      <c r="M1105" s="106" t="str">
        <f>IF(ISBLANK(K1105), "", VLOOKUP(C1105, 'Info Tipo de Cambio y REM'!$A$24:$B$35, 2, FALSE))</f>
        <v/>
      </c>
      <c r="N1105" s="107" t="str">
        <f t="shared" si="2"/>
        <v/>
      </c>
    </row>
    <row r="1106">
      <c r="A1106" s="102"/>
      <c r="B1106" s="43" t="str">
        <f>IF(A1106="", "", IFERROR(VLOOKUP(A1106, Clasificaciones!A:B, 2, FALSE), "DATO NO CARGADO"))</f>
        <v/>
      </c>
      <c r="C1106" s="51"/>
      <c r="D1106" s="257"/>
      <c r="E1106" s="102"/>
      <c r="F1106" s="103"/>
      <c r="G1106" s="103"/>
      <c r="H1106" s="258"/>
      <c r="J1106" s="103"/>
      <c r="L1106" s="71"/>
      <c r="M1106" s="106" t="str">
        <f>IF(ISBLANK(K1106), "", VLOOKUP(C1106, 'Info Tipo de Cambio y REM'!$A$24:$B$35, 2, FALSE))</f>
        <v/>
      </c>
      <c r="N1106" s="107" t="str">
        <f t="shared" si="2"/>
        <v/>
      </c>
    </row>
    <row r="1107">
      <c r="A1107" s="102"/>
      <c r="B1107" s="43" t="str">
        <f>IF(A1107="", "", IFERROR(VLOOKUP(A1107, Clasificaciones!A:B, 2, FALSE), "DATO NO CARGADO"))</f>
        <v/>
      </c>
      <c r="C1107" s="51"/>
      <c r="D1107" s="257"/>
      <c r="E1107" s="102"/>
      <c r="F1107" s="103"/>
      <c r="G1107" s="103"/>
      <c r="H1107" s="258"/>
      <c r="J1107" s="103"/>
      <c r="L1107" s="71"/>
      <c r="M1107" s="106" t="str">
        <f>IF(ISBLANK(K1107), "", VLOOKUP(C1107, 'Info Tipo de Cambio y REM'!$A$24:$B$35, 2, FALSE))</f>
        <v/>
      </c>
      <c r="N1107" s="107" t="str">
        <f t="shared" si="2"/>
        <v/>
      </c>
    </row>
    <row r="1108">
      <c r="A1108" s="102"/>
      <c r="B1108" s="43" t="str">
        <f>IF(A1108="", "", IFERROR(VLOOKUP(A1108, Clasificaciones!A:B, 2, FALSE), "DATO NO CARGADO"))</f>
        <v/>
      </c>
      <c r="C1108" s="51"/>
      <c r="D1108" s="257"/>
      <c r="E1108" s="102"/>
      <c r="F1108" s="103"/>
      <c r="G1108" s="103"/>
      <c r="H1108" s="258"/>
      <c r="J1108" s="103"/>
      <c r="L1108" s="71"/>
      <c r="M1108" s="106" t="str">
        <f>IF(ISBLANK(K1108), "", VLOOKUP(C1108, 'Info Tipo de Cambio y REM'!$A$24:$B$35, 2, FALSE))</f>
        <v/>
      </c>
      <c r="N1108" s="107" t="str">
        <f t="shared" si="2"/>
        <v/>
      </c>
    </row>
    <row r="1109">
      <c r="A1109" s="102"/>
      <c r="B1109" s="43" t="str">
        <f>IF(A1109="", "", IFERROR(VLOOKUP(A1109, Clasificaciones!A:B, 2, FALSE), "DATO NO CARGADO"))</f>
        <v/>
      </c>
      <c r="C1109" s="51"/>
      <c r="D1109" s="257"/>
      <c r="E1109" s="102"/>
      <c r="F1109" s="103"/>
      <c r="G1109" s="103"/>
      <c r="H1109" s="258"/>
      <c r="J1109" s="103"/>
      <c r="L1109" s="71"/>
      <c r="M1109" s="106" t="str">
        <f>IF(ISBLANK(K1109), "", VLOOKUP(C1109, 'Info Tipo de Cambio y REM'!$A$24:$B$35, 2, FALSE))</f>
        <v/>
      </c>
      <c r="N1109" s="107" t="str">
        <f t="shared" si="2"/>
        <v/>
      </c>
    </row>
    <row r="1110">
      <c r="A1110" s="102"/>
      <c r="B1110" s="43" t="str">
        <f>IF(A1110="", "", IFERROR(VLOOKUP(A1110, Clasificaciones!A:B, 2, FALSE), "DATO NO CARGADO"))</f>
        <v/>
      </c>
      <c r="C1110" s="51"/>
      <c r="D1110" s="257"/>
      <c r="E1110" s="102"/>
      <c r="F1110" s="103"/>
      <c r="G1110" s="103"/>
      <c r="H1110" s="258"/>
      <c r="J1110" s="103"/>
      <c r="L1110" s="71"/>
      <c r="M1110" s="106" t="str">
        <f>IF(ISBLANK(K1110), "", VLOOKUP(C1110, 'Info Tipo de Cambio y REM'!$A$24:$B$35, 2, FALSE))</f>
        <v/>
      </c>
      <c r="N1110" s="107" t="str">
        <f t="shared" si="2"/>
        <v/>
      </c>
    </row>
    <row r="1111">
      <c r="A1111" s="102"/>
      <c r="B1111" s="43" t="str">
        <f>IF(A1111="", "", IFERROR(VLOOKUP(A1111, Clasificaciones!A:B, 2, FALSE), "DATO NO CARGADO"))</f>
        <v/>
      </c>
      <c r="C1111" s="51"/>
      <c r="D1111" s="257"/>
      <c r="E1111" s="102"/>
      <c r="F1111" s="103"/>
      <c r="G1111" s="103"/>
      <c r="H1111" s="258"/>
      <c r="J1111" s="103"/>
      <c r="L1111" s="71"/>
      <c r="M1111" s="106" t="str">
        <f>IF(ISBLANK(K1111), "", VLOOKUP(C1111, 'Info Tipo de Cambio y REM'!$A$24:$B$35, 2, FALSE))</f>
        <v/>
      </c>
      <c r="N1111" s="107" t="str">
        <f t="shared" si="2"/>
        <v/>
      </c>
    </row>
    <row r="1112">
      <c r="A1112" s="102"/>
      <c r="B1112" s="43" t="str">
        <f>IF(A1112="", "", IFERROR(VLOOKUP(A1112, Clasificaciones!A:B, 2, FALSE), "DATO NO CARGADO"))</f>
        <v/>
      </c>
      <c r="C1112" s="51"/>
      <c r="D1112" s="257"/>
      <c r="E1112" s="102"/>
      <c r="F1112" s="103"/>
      <c r="G1112" s="103"/>
      <c r="H1112" s="258"/>
      <c r="J1112" s="103"/>
      <c r="L1112" s="71"/>
      <c r="M1112" s="106" t="str">
        <f>IF(ISBLANK(K1112), "", VLOOKUP(C1112, 'Info Tipo de Cambio y REM'!$A$24:$B$35, 2, FALSE))</f>
        <v/>
      </c>
      <c r="N1112" s="107" t="str">
        <f t="shared" si="2"/>
        <v/>
      </c>
    </row>
    <row r="1113">
      <c r="A1113" s="102"/>
      <c r="B1113" s="43" t="str">
        <f>IF(A1113="", "", IFERROR(VLOOKUP(A1113, Clasificaciones!A:B, 2, FALSE), "DATO NO CARGADO"))</f>
        <v/>
      </c>
      <c r="C1113" s="51"/>
      <c r="D1113" s="257"/>
      <c r="E1113" s="102"/>
      <c r="F1113" s="103"/>
      <c r="G1113" s="103"/>
      <c r="H1113" s="258"/>
      <c r="J1113" s="103"/>
      <c r="L1113" s="71"/>
      <c r="M1113" s="106" t="str">
        <f>IF(ISBLANK(K1113), "", VLOOKUP(C1113, 'Info Tipo de Cambio y REM'!$A$24:$B$35, 2, FALSE))</f>
        <v/>
      </c>
      <c r="N1113" s="107" t="str">
        <f t="shared" si="2"/>
        <v/>
      </c>
    </row>
    <row r="1114">
      <c r="A1114" s="102"/>
      <c r="B1114" s="43" t="str">
        <f>IF(A1114="", "", IFERROR(VLOOKUP(A1114, Clasificaciones!A:B, 2, FALSE), "DATO NO CARGADO"))</f>
        <v/>
      </c>
      <c r="C1114" s="51"/>
      <c r="D1114" s="257"/>
      <c r="E1114" s="102"/>
      <c r="F1114" s="103"/>
      <c r="G1114" s="103"/>
      <c r="H1114" s="258"/>
      <c r="J1114" s="103"/>
      <c r="L1114" s="71"/>
      <c r="M1114" s="106" t="str">
        <f>IF(ISBLANK(K1114), "", VLOOKUP(C1114, 'Info Tipo de Cambio y REM'!$A$24:$B$35, 2, FALSE))</f>
        <v/>
      </c>
      <c r="N1114" s="107" t="str">
        <f t="shared" si="2"/>
        <v/>
      </c>
    </row>
  </sheetData>
  <conditionalFormatting sqref="F2:G163 J2:J163 J177:J180 F181:G186 I181:I185 J186:J225 F190:G225 I234:I235 J236:J306 F238:G306 I238:I240 F312:G1114 J312:J1114">
    <cfRule type="expression" dxfId="0" priority="1">
      <formula>AND(F2&lt;=TODAY(), F2&lt;&gt;"")</formula>
    </cfRule>
  </conditionalFormatting>
  <conditionalFormatting sqref="F2:G163 J2:J163 J177:J180 F181:G186 I181:I185 J186:J225 F190:G225 I234:I235 J236:J306 F238:G306 I238:I240 F312:G1114 J312:J1114">
    <cfRule type="expression" dxfId="1" priority="2">
      <formula>AND(F2&gt;TODAY(), F2&lt;&gt;"")</formula>
    </cfRule>
  </conditionalFormatting>
  <dataValidations>
    <dataValidation type="list" allowBlank="1" showErrorMessage="1" sqref="C2:C1114">
      <formula1>Listas!$H$3:$H$14</formula1>
    </dataValidation>
    <dataValidation type="list" allowBlank="1" showErrorMessage="1" sqref="E2:E1114">
      <formula1>"Pagado,Pagado Parcial,No Pagado"</formula1>
    </dataValidation>
    <dataValidation type="list" allowBlank="1" showErrorMessage="1" sqref="B2:B1114">
      <formula1>Listas!$E$3:$E$386</formula1>
    </dataValidation>
    <dataValidation type="list" allowBlank="1" showErrorMessage="1" sqref="D2:D1114">
      <formula1>"2025,2026,2027,2028"</formula1>
    </dataValidation>
    <dataValidation type="list" allowBlank="1" showErrorMessage="1" sqref="A2:A1114">
      <formula1>Listas!$D$3:$D$86</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18.5"/>
    <col customWidth="1" min="3" max="3" width="9.38"/>
    <col customWidth="1" min="4" max="4" width="9.88"/>
    <col customWidth="1" min="5" max="5" width="11.88"/>
    <col customWidth="1" min="6" max="6" width="8.63"/>
    <col customWidth="1" min="7" max="7" width="32.75"/>
    <col customWidth="1" min="8" max="8" width="24.25"/>
    <col customWidth="1" min="9" max="9" width="11.63"/>
    <col customWidth="1" min="10" max="10" width="9.38"/>
    <col customWidth="1" min="11" max="11" width="12.5"/>
    <col customWidth="1" min="12" max="12" width="16.63"/>
    <col customWidth="1" min="13" max="13" width="12.25"/>
    <col customWidth="1" min="14" max="14" width="10.5"/>
    <col customWidth="1" min="15" max="15" width="13.88"/>
  </cols>
  <sheetData>
    <row r="1">
      <c r="A1" s="259" t="s">
        <v>779</v>
      </c>
      <c r="B1" s="259" t="s">
        <v>780</v>
      </c>
      <c r="C1" s="259" t="s">
        <v>781</v>
      </c>
      <c r="D1" s="259" t="s">
        <v>782</v>
      </c>
      <c r="E1" s="93" t="s">
        <v>116</v>
      </c>
      <c r="F1" s="93" t="s">
        <v>275</v>
      </c>
      <c r="G1" s="259" t="s">
        <v>783</v>
      </c>
      <c r="H1" s="259" t="s">
        <v>784</v>
      </c>
      <c r="I1" s="260" t="s">
        <v>785</v>
      </c>
      <c r="J1" s="261" t="s">
        <v>285</v>
      </c>
      <c r="K1" s="262" t="s">
        <v>786</v>
      </c>
      <c r="L1" s="263" t="s">
        <v>787</v>
      </c>
      <c r="M1" s="263" t="s">
        <v>788</v>
      </c>
      <c r="N1" s="263" t="s">
        <v>789</v>
      </c>
      <c r="O1" s="263" t="s">
        <v>790</v>
      </c>
      <c r="P1" s="264"/>
      <c r="Q1" s="264"/>
      <c r="R1" s="264"/>
      <c r="S1" s="264"/>
      <c r="T1" s="264"/>
      <c r="U1" s="264"/>
      <c r="V1" s="264"/>
      <c r="W1" s="264"/>
      <c r="X1" s="264"/>
      <c r="Y1" s="264"/>
      <c r="Z1" s="264"/>
      <c r="AA1" s="264"/>
      <c r="AB1" s="264"/>
      <c r="AC1" s="264"/>
      <c r="AD1" s="264"/>
      <c r="AE1" s="264"/>
    </row>
    <row r="2">
      <c r="A2" s="265" t="s">
        <v>273</v>
      </c>
      <c r="B2" s="265" t="s">
        <v>144</v>
      </c>
      <c r="C2" s="265" t="s">
        <v>791</v>
      </c>
      <c r="D2" s="266">
        <v>45778.0</v>
      </c>
      <c r="E2" s="267" t="str">
        <f t="shared" ref="E2:E302" si="1">IF(D2="","",TEXT(D2,"mm mmm"))
</f>
        <v>05 may</v>
      </c>
      <c r="F2" s="267">
        <f t="shared" ref="F2:F1065" si="2">IF(D2="","",YEAR(D2))</f>
        <v>2025</v>
      </c>
      <c r="G2" s="265" t="s">
        <v>792</v>
      </c>
      <c r="H2" s="268"/>
      <c r="I2" s="269"/>
      <c r="J2" s="270" t="str">
        <f>IF(ISBLANK(I2), "", VLOOKUP(E2&amp;" "&amp;F2, 'Info Tipo de Cambio y REM'!$A$24:$B$35, 2, FALSE))
</f>
        <v/>
      </c>
      <c r="K2" s="271">
        <v>-27709.0</v>
      </c>
      <c r="L2" s="269"/>
      <c r="M2" s="269">
        <f>IF(AND(B2="Bank Of America", A2&lt;&gt;""), K2, 0)</f>
        <v>-27709</v>
      </c>
      <c r="N2" s="269"/>
      <c r="O2" s="269">
        <f>IF(A2="Saldo", IF(C2="ARS", I2 / J2, K2), 0)</f>
        <v>-27709</v>
      </c>
      <c r="P2" s="264"/>
      <c r="Q2" s="264"/>
      <c r="R2" s="264"/>
      <c r="S2" s="264"/>
      <c r="T2" s="264"/>
      <c r="U2" s="264"/>
      <c r="V2" s="264"/>
      <c r="W2" s="264"/>
      <c r="X2" s="264"/>
      <c r="Y2" s="264"/>
      <c r="Z2" s="264"/>
      <c r="AA2" s="264"/>
      <c r="AB2" s="264"/>
      <c r="AC2" s="264"/>
      <c r="AD2" s="264"/>
      <c r="AE2" s="264"/>
    </row>
    <row r="3">
      <c r="A3" s="265" t="s">
        <v>273</v>
      </c>
      <c r="B3" s="265" t="s">
        <v>793</v>
      </c>
      <c r="C3" s="265" t="s">
        <v>794</v>
      </c>
      <c r="D3" s="266">
        <v>45778.0</v>
      </c>
      <c r="E3" s="267" t="str">
        <f t="shared" si="1"/>
        <v>05 may</v>
      </c>
      <c r="F3" s="267">
        <f t="shared" si="2"/>
        <v>2025</v>
      </c>
      <c r="G3" s="265" t="s">
        <v>792</v>
      </c>
      <c r="H3" s="268"/>
      <c r="I3" s="271">
        <v>5365042.0</v>
      </c>
      <c r="J3" s="270">
        <f>IF(ISBLANK(I3), "", VLOOKUP(E3&amp;" "&amp;F3, 'Info Tipo de Cambio y REM'!$A$24:$B$35, 2, FALSE))
</f>
        <v>1180</v>
      </c>
      <c r="K3" s="271">
        <f>I3/J3</f>
        <v>4546.645763</v>
      </c>
      <c r="L3" s="269">
        <f>IF(AND(A3&lt;&gt;"", B3="Santander"), I3, 0)</f>
        <v>5365042</v>
      </c>
      <c r="M3" s="269">
        <f t="shared" ref="M3:M1075" si="3">M2 + 
 IF(AND(A3="Ingreso", B3="Bank Of America"), K3,
    IF(AND(A3="Egreso", B3="Bank Of America"), -K3,
       IF(AND(A3="Saldo", B3="Bank Of America"), K3, 0)))</f>
        <v>-27709</v>
      </c>
      <c r="N3" s="269"/>
      <c r="O3" s="269">
        <f t="shared" ref="O3:O1075" si="4">O2 +
 IF(AND(A3="Ingreso", C3="ARS"), I3 / J3,
  IF(AND(A3="Ingreso", C3="USD"), K3,
   IF(AND(A3="Egreso", C3="ARS"), -I3 / J3,
    IF(AND(A3="Egreso", C3="USD"), -K3,
     IF(AND(A3="Saldo", C3="ARS"), I3 / J3,
      IF(AND(A3="Saldo", C3="USD"), K3, 0))))))</f>
        <v>-23162.35424</v>
      </c>
      <c r="P3" s="264"/>
      <c r="Q3" s="264"/>
      <c r="R3" s="264"/>
      <c r="S3" s="264"/>
      <c r="T3" s="264"/>
      <c r="U3" s="264"/>
      <c r="V3" s="264"/>
      <c r="W3" s="264"/>
      <c r="X3" s="264"/>
      <c r="Y3" s="264"/>
      <c r="Z3" s="264"/>
      <c r="AA3" s="264"/>
      <c r="AB3" s="264"/>
      <c r="AC3" s="264"/>
      <c r="AD3" s="264"/>
      <c r="AE3" s="264"/>
    </row>
    <row r="4">
      <c r="A4" s="265" t="s">
        <v>273</v>
      </c>
      <c r="B4" s="265" t="s">
        <v>117</v>
      </c>
      <c r="C4" s="265"/>
      <c r="D4" s="266">
        <v>45778.0</v>
      </c>
      <c r="E4" s="267" t="str">
        <f t="shared" si="1"/>
        <v>05 may</v>
      </c>
      <c r="F4" s="267">
        <f t="shared" si="2"/>
        <v>2025</v>
      </c>
      <c r="G4" s="265" t="s">
        <v>792</v>
      </c>
      <c r="H4" s="268"/>
      <c r="I4" s="271"/>
      <c r="J4" s="270" t="str">
        <f>IF(ISBLANK(I4), "", VLOOKUP(E4&amp;" "&amp;F4, 'Info Tipo de Cambio y REM'!$A$24:$B$35, 2, FALSE))
</f>
        <v/>
      </c>
      <c r="K4" s="271"/>
      <c r="L4" s="269">
        <f t="shared" ref="L4:L1075" si="5">L3 + 
 IF(AND(A4="Ingreso", B4="Santander"), I4,
    IF(AND(A4="Egreso", B4="Santander"), -I4,
       IF(AND(A4="Saldo", B4="Santander"), I4, 0)))
</f>
        <v>5365042</v>
      </c>
      <c r="M4" s="269">
        <f t="shared" si="3"/>
        <v>-27709</v>
      </c>
      <c r="N4" s="269" t="str">
        <f>IF(AND(B4="Caja", A4&lt;&gt;""), K4, 0)</f>
        <v/>
      </c>
      <c r="O4" s="269">
        <f t="shared" si="4"/>
        <v>-23162.35424</v>
      </c>
      <c r="P4" s="264"/>
      <c r="Q4" s="264"/>
      <c r="R4" s="264"/>
      <c r="S4" s="264"/>
      <c r="T4" s="264"/>
      <c r="U4" s="264"/>
      <c r="V4" s="264"/>
      <c r="W4" s="264"/>
      <c r="X4" s="264"/>
      <c r="Y4" s="264"/>
      <c r="Z4" s="264"/>
      <c r="AA4" s="264"/>
      <c r="AB4" s="264"/>
      <c r="AC4" s="264"/>
      <c r="AD4" s="264"/>
      <c r="AE4" s="264"/>
    </row>
    <row r="5">
      <c r="A5" s="272" t="s">
        <v>795</v>
      </c>
      <c r="B5" s="272" t="s">
        <v>144</v>
      </c>
      <c r="C5" s="272" t="s">
        <v>791</v>
      </c>
      <c r="D5" s="273">
        <v>45785.0</v>
      </c>
      <c r="E5" s="267" t="str">
        <f t="shared" si="1"/>
        <v>05 may</v>
      </c>
      <c r="F5" s="274">
        <f t="shared" si="2"/>
        <v>2025</v>
      </c>
      <c r="G5" s="272" t="s">
        <v>796</v>
      </c>
      <c r="H5" s="272"/>
      <c r="I5" s="275"/>
      <c r="J5" s="276" t="str">
        <f>IF(ISBLANK(I5), "", VLOOKUP(E5&amp;" "&amp;F5, 'Info Tipo de Cambio y REM'!$A$24:$B$35, 2, FALSE))
</f>
        <v/>
      </c>
      <c r="K5" s="275">
        <v>15000.0</v>
      </c>
      <c r="L5" s="277">
        <f t="shared" si="5"/>
        <v>5365042</v>
      </c>
      <c r="M5" s="277">
        <f t="shared" si="3"/>
        <v>-42709</v>
      </c>
      <c r="N5" s="277">
        <f t="shared" ref="N5:N1075" si="6">N4 + 
 IF(AND(A5="Ingreso", B5="Caja"), K5,
    IF(AND(A5="Egreso", B5="Caja"), -K5,
       IF(AND(A5="Saldo", B5="Caja"), K5, 0)))</f>
        <v>0</v>
      </c>
      <c r="O5" s="277">
        <f t="shared" si="4"/>
        <v>-38162.35424</v>
      </c>
      <c r="P5" s="264"/>
      <c r="Q5" s="264"/>
      <c r="R5" s="264"/>
      <c r="S5" s="264"/>
      <c r="T5" s="264"/>
      <c r="U5" s="264"/>
      <c r="V5" s="264"/>
      <c r="W5" s="264"/>
      <c r="X5" s="264"/>
      <c r="Y5" s="264"/>
      <c r="Z5" s="264"/>
      <c r="AA5" s="264"/>
      <c r="AB5" s="264"/>
      <c r="AC5" s="264"/>
      <c r="AD5" s="264"/>
      <c r="AE5" s="264"/>
    </row>
    <row r="6">
      <c r="A6" s="272" t="s">
        <v>797</v>
      </c>
      <c r="B6" s="272" t="s">
        <v>793</v>
      </c>
      <c r="C6" s="272" t="s">
        <v>794</v>
      </c>
      <c r="D6" s="273">
        <v>45785.0</v>
      </c>
      <c r="E6" s="267" t="str">
        <f t="shared" si="1"/>
        <v>05 may</v>
      </c>
      <c r="F6" s="274">
        <f t="shared" si="2"/>
        <v>2025</v>
      </c>
      <c r="G6" s="272" t="s">
        <v>796</v>
      </c>
      <c r="H6" s="272"/>
      <c r="I6" s="275">
        <v>1.7025E7</v>
      </c>
      <c r="J6" s="276">
        <f>IF(ISBLANK(I6), "", VLOOKUP(E6&amp;" "&amp;F6, 'Info Tipo de Cambio y REM'!$A$24:$B$35, 2, FALSE))
</f>
        <v>1180</v>
      </c>
      <c r="K6" s="278">
        <f t="shared" ref="K6:K38" si="7">I6/J6</f>
        <v>14427.9661</v>
      </c>
      <c r="L6" s="277">
        <f t="shared" si="5"/>
        <v>22390042</v>
      </c>
      <c r="M6" s="277">
        <f t="shared" si="3"/>
        <v>-42709</v>
      </c>
      <c r="N6" s="277">
        <f t="shared" si="6"/>
        <v>0</v>
      </c>
      <c r="O6" s="277">
        <f t="shared" si="4"/>
        <v>-23734.38814</v>
      </c>
      <c r="P6" s="264"/>
      <c r="Q6" s="264"/>
      <c r="R6" s="264"/>
      <c r="S6" s="264"/>
      <c r="T6" s="264"/>
      <c r="U6" s="264"/>
      <c r="V6" s="264"/>
      <c r="W6" s="264"/>
      <c r="X6" s="264"/>
      <c r="Y6" s="264"/>
      <c r="Z6" s="264"/>
      <c r="AA6" s="264"/>
      <c r="AB6" s="264"/>
      <c r="AC6" s="264"/>
      <c r="AD6" s="264"/>
      <c r="AE6" s="264"/>
    </row>
    <row r="7">
      <c r="A7" s="272" t="s">
        <v>795</v>
      </c>
      <c r="B7" s="272" t="s">
        <v>793</v>
      </c>
      <c r="C7" s="272" t="s">
        <v>794</v>
      </c>
      <c r="D7" s="279">
        <v>45790.0</v>
      </c>
      <c r="E7" s="267" t="str">
        <f t="shared" si="1"/>
        <v>05 may</v>
      </c>
      <c r="F7" s="274">
        <f t="shared" si="2"/>
        <v>2025</v>
      </c>
      <c r="G7" s="280" t="s">
        <v>798</v>
      </c>
      <c r="H7" s="280" t="s">
        <v>379</v>
      </c>
      <c r="I7" s="275">
        <v>677200.0</v>
      </c>
      <c r="J7" s="276">
        <f>IF(ISBLANK(I7), "", VLOOKUP(E7&amp;" "&amp;F7, 'Info Tipo de Cambio y REM'!$A$24:$B$35, 2, FALSE))
</f>
        <v>1180</v>
      </c>
      <c r="K7" s="278">
        <f t="shared" si="7"/>
        <v>573.8983051</v>
      </c>
      <c r="L7" s="277">
        <f t="shared" si="5"/>
        <v>21712842</v>
      </c>
      <c r="M7" s="277">
        <f t="shared" si="3"/>
        <v>-42709</v>
      </c>
      <c r="N7" s="277">
        <f t="shared" si="6"/>
        <v>0</v>
      </c>
      <c r="O7" s="277">
        <f t="shared" si="4"/>
        <v>-24308.28644</v>
      </c>
      <c r="P7" s="281"/>
      <c r="Q7" s="264"/>
      <c r="R7" s="264"/>
      <c r="S7" s="264"/>
      <c r="T7" s="264"/>
      <c r="U7" s="264"/>
      <c r="V7" s="264"/>
      <c r="W7" s="264"/>
      <c r="X7" s="264"/>
      <c r="Y7" s="264"/>
      <c r="Z7" s="264"/>
      <c r="AA7" s="264"/>
      <c r="AB7" s="264"/>
      <c r="AC7" s="264"/>
      <c r="AD7" s="264"/>
      <c r="AE7" s="264"/>
    </row>
    <row r="8">
      <c r="A8" s="272" t="s">
        <v>795</v>
      </c>
      <c r="B8" s="272" t="s">
        <v>793</v>
      </c>
      <c r="C8" s="272" t="s">
        <v>794</v>
      </c>
      <c r="D8" s="279">
        <v>45785.0</v>
      </c>
      <c r="E8" s="267" t="str">
        <f t="shared" si="1"/>
        <v>05 may</v>
      </c>
      <c r="F8" s="274">
        <f t="shared" si="2"/>
        <v>2025</v>
      </c>
      <c r="G8" s="280" t="s">
        <v>799</v>
      </c>
      <c r="H8" s="280" t="s">
        <v>379</v>
      </c>
      <c r="I8" s="275">
        <v>677200.0</v>
      </c>
      <c r="J8" s="276">
        <f>IF(ISBLANK(I8), "", VLOOKUP(E8&amp;" "&amp;F8, 'Info Tipo de Cambio y REM'!$A$24:$B$35, 2, FALSE))
</f>
        <v>1180</v>
      </c>
      <c r="K8" s="278">
        <f t="shared" si="7"/>
        <v>573.8983051</v>
      </c>
      <c r="L8" s="277">
        <f t="shared" si="5"/>
        <v>21035642</v>
      </c>
      <c r="M8" s="277">
        <f t="shared" si="3"/>
        <v>-42709</v>
      </c>
      <c r="N8" s="277">
        <f t="shared" si="6"/>
        <v>0</v>
      </c>
      <c r="O8" s="277">
        <f t="shared" si="4"/>
        <v>-24882.18475</v>
      </c>
      <c r="P8" s="264"/>
      <c r="Q8" s="264"/>
      <c r="R8" s="264"/>
      <c r="S8" s="264"/>
      <c r="T8" s="264"/>
      <c r="U8" s="264"/>
      <c r="V8" s="264"/>
      <c r="W8" s="264"/>
      <c r="X8" s="264"/>
      <c r="Y8" s="264"/>
      <c r="Z8" s="264"/>
      <c r="AA8" s="264"/>
      <c r="AB8" s="264"/>
      <c r="AC8" s="264"/>
      <c r="AD8" s="264"/>
      <c r="AE8" s="264"/>
    </row>
    <row r="9">
      <c r="A9" s="272" t="s">
        <v>795</v>
      </c>
      <c r="B9" s="272" t="s">
        <v>793</v>
      </c>
      <c r="C9" s="272" t="s">
        <v>794</v>
      </c>
      <c r="D9" s="279">
        <v>45790.0</v>
      </c>
      <c r="E9" s="267" t="str">
        <f t="shared" si="1"/>
        <v>05 may</v>
      </c>
      <c r="F9" s="274">
        <f t="shared" si="2"/>
        <v>2025</v>
      </c>
      <c r="G9" s="280" t="s">
        <v>800</v>
      </c>
      <c r="H9" s="280" t="s">
        <v>476</v>
      </c>
      <c r="I9" s="275">
        <v>775000.0</v>
      </c>
      <c r="J9" s="276">
        <f>IF(ISBLANK(I9), "", VLOOKUP(E9&amp;" "&amp;F9, 'Info Tipo de Cambio y REM'!$A$24:$B$35, 2, FALSE))
</f>
        <v>1180</v>
      </c>
      <c r="K9" s="278">
        <f t="shared" si="7"/>
        <v>656.779661</v>
      </c>
      <c r="L9" s="277">
        <f t="shared" si="5"/>
        <v>20260642</v>
      </c>
      <c r="M9" s="277">
        <f t="shared" si="3"/>
        <v>-42709</v>
      </c>
      <c r="N9" s="277">
        <f t="shared" si="6"/>
        <v>0</v>
      </c>
      <c r="O9" s="277">
        <f t="shared" si="4"/>
        <v>-25538.96441</v>
      </c>
      <c r="P9" s="264"/>
      <c r="Q9" s="264"/>
      <c r="R9" s="264"/>
      <c r="S9" s="264"/>
      <c r="T9" s="264"/>
      <c r="U9" s="264"/>
      <c r="V9" s="264"/>
      <c r="W9" s="264"/>
      <c r="X9" s="264"/>
      <c r="Y9" s="264"/>
      <c r="Z9" s="264"/>
      <c r="AA9" s="264"/>
      <c r="AB9" s="264"/>
      <c r="AC9" s="264"/>
      <c r="AD9" s="264"/>
      <c r="AE9" s="264"/>
    </row>
    <row r="10">
      <c r="A10" s="272" t="s">
        <v>795</v>
      </c>
      <c r="B10" s="272" t="s">
        <v>793</v>
      </c>
      <c r="C10" s="272" t="s">
        <v>794</v>
      </c>
      <c r="D10" s="279">
        <v>45785.0</v>
      </c>
      <c r="E10" s="267" t="str">
        <f t="shared" si="1"/>
        <v>05 may</v>
      </c>
      <c r="F10" s="274">
        <f t="shared" si="2"/>
        <v>2025</v>
      </c>
      <c r="G10" s="280" t="s">
        <v>801</v>
      </c>
      <c r="H10" s="280" t="s">
        <v>476</v>
      </c>
      <c r="I10" s="275">
        <v>775000.0</v>
      </c>
      <c r="J10" s="276">
        <f>IF(ISBLANK(I10), "", VLOOKUP(E10&amp;" "&amp;F10, 'Info Tipo de Cambio y REM'!$A$24:$B$35, 2, FALSE))
</f>
        <v>1180</v>
      </c>
      <c r="K10" s="278">
        <f t="shared" si="7"/>
        <v>656.779661</v>
      </c>
      <c r="L10" s="277">
        <f t="shared" si="5"/>
        <v>19485642</v>
      </c>
      <c r="M10" s="277">
        <f t="shared" si="3"/>
        <v>-42709</v>
      </c>
      <c r="N10" s="277">
        <f t="shared" si="6"/>
        <v>0</v>
      </c>
      <c r="O10" s="277">
        <f t="shared" si="4"/>
        <v>-26195.74407</v>
      </c>
      <c r="P10" s="264"/>
      <c r="Q10" s="264"/>
      <c r="R10" s="264"/>
      <c r="S10" s="264"/>
      <c r="T10" s="264"/>
      <c r="U10" s="264"/>
      <c r="V10" s="264"/>
      <c r="W10" s="264"/>
      <c r="X10" s="264"/>
      <c r="Y10" s="264"/>
      <c r="Z10" s="264"/>
      <c r="AA10" s="264"/>
      <c r="AB10" s="264"/>
      <c r="AC10" s="264"/>
      <c r="AD10" s="264"/>
      <c r="AE10" s="264"/>
    </row>
    <row r="11">
      <c r="A11" s="272" t="s">
        <v>795</v>
      </c>
      <c r="B11" s="272" t="s">
        <v>793</v>
      </c>
      <c r="C11" s="272" t="s">
        <v>794</v>
      </c>
      <c r="D11" s="279">
        <v>45790.0</v>
      </c>
      <c r="E11" s="267" t="str">
        <f t="shared" si="1"/>
        <v>05 may</v>
      </c>
      <c r="F11" s="274">
        <f t="shared" si="2"/>
        <v>2025</v>
      </c>
      <c r="G11" s="280" t="s">
        <v>802</v>
      </c>
      <c r="H11" s="280" t="s">
        <v>381</v>
      </c>
      <c r="I11" s="275">
        <v>1011360.0</v>
      </c>
      <c r="J11" s="276">
        <f>IF(ISBLANK(I11), "", VLOOKUP(E11&amp;" "&amp;F11, 'Info Tipo de Cambio y REM'!$A$24:$B$35, 2, FALSE))
</f>
        <v>1180</v>
      </c>
      <c r="K11" s="278">
        <f t="shared" si="7"/>
        <v>857.0847458</v>
      </c>
      <c r="L11" s="277">
        <f t="shared" si="5"/>
        <v>18474282</v>
      </c>
      <c r="M11" s="277">
        <f t="shared" si="3"/>
        <v>-42709</v>
      </c>
      <c r="N11" s="277">
        <f t="shared" si="6"/>
        <v>0</v>
      </c>
      <c r="O11" s="277">
        <f t="shared" si="4"/>
        <v>-27052.82881</v>
      </c>
      <c r="P11" s="264"/>
      <c r="Q11" s="264"/>
      <c r="R11" s="264"/>
      <c r="S11" s="264"/>
      <c r="T11" s="264"/>
      <c r="U11" s="264"/>
      <c r="V11" s="264"/>
      <c r="W11" s="264"/>
      <c r="X11" s="264"/>
      <c r="Y11" s="264"/>
      <c r="Z11" s="264"/>
      <c r="AA11" s="264"/>
      <c r="AB11" s="264"/>
      <c r="AC11" s="264"/>
      <c r="AD11" s="264"/>
      <c r="AE11" s="264"/>
    </row>
    <row r="12">
      <c r="A12" s="272" t="s">
        <v>795</v>
      </c>
      <c r="B12" s="272" t="s">
        <v>793</v>
      </c>
      <c r="C12" s="272" t="s">
        <v>794</v>
      </c>
      <c r="D12" s="279">
        <v>45785.0</v>
      </c>
      <c r="E12" s="267" t="str">
        <f t="shared" si="1"/>
        <v>05 may</v>
      </c>
      <c r="F12" s="274">
        <f t="shared" si="2"/>
        <v>2025</v>
      </c>
      <c r="G12" s="280" t="s">
        <v>803</v>
      </c>
      <c r="H12" s="280" t="s">
        <v>381</v>
      </c>
      <c r="I12" s="275">
        <v>1011360.0</v>
      </c>
      <c r="J12" s="276">
        <f>IF(ISBLANK(I12), "", VLOOKUP(E12&amp;" "&amp;F12, 'Info Tipo de Cambio y REM'!$A$24:$B$35, 2, FALSE))
</f>
        <v>1180</v>
      </c>
      <c r="K12" s="278">
        <f t="shared" si="7"/>
        <v>857.0847458</v>
      </c>
      <c r="L12" s="277">
        <f t="shared" si="5"/>
        <v>17462922</v>
      </c>
      <c r="M12" s="277">
        <f t="shared" si="3"/>
        <v>-42709</v>
      </c>
      <c r="N12" s="277">
        <f t="shared" si="6"/>
        <v>0</v>
      </c>
      <c r="O12" s="277">
        <f t="shared" si="4"/>
        <v>-27909.91356</v>
      </c>
      <c r="P12" s="264"/>
      <c r="Q12" s="264"/>
      <c r="R12" s="264"/>
      <c r="S12" s="264"/>
      <c r="T12" s="264"/>
      <c r="U12" s="264"/>
      <c r="V12" s="264"/>
      <c r="W12" s="264"/>
      <c r="X12" s="264"/>
      <c r="Y12" s="264"/>
      <c r="Z12" s="264"/>
      <c r="AA12" s="264"/>
      <c r="AB12" s="264"/>
      <c r="AC12" s="264"/>
      <c r="AD12" s="264"/>
      <c r="AE12" s="264"/>
    </row>
    <row r="13">
      <c r="A13" s="272" t="s">
        <v>795</v>
      </c>
      <c r="B13" s="272" t="s">
        <v>793</v>
      </c>
      <c r="C13" s="272" t="s">
        <v>794</v>
      </c>
      <c r="D13" s="279">
        <v>45785.0</v>
      </c>
      <c r="E13" s="267" t="str">
        <f t="shared" si="1"/>
        <v>05 may</v>
      </c>
      <c r="F13" s="274">
        <f t="shared" si="2"/>
        <v>2025</v>
      </c>
      <c r="G13" s="280" t="s">
        <v>804</v>
      </c>
      <c r="H13" s="280" t="s">
        <v>436</v>
      </c>
      <c r="I13" s="275">
        <v>1602000.0</v>
      </c>
      <c r="J13" s="276">
        <f>IF(ISBLANK(I13), "", VLOOKUP(E13&amp;" "&amp;F13, 'Info Tipo de Cambio y REM'!$A$24:$B$35, 2, FALSE))
</f>
        <v>1180</v>
      </c>
      <c r="K13" s="278">
        <f t="shared" si="7"/>
        <v>1357.627119</v>
      </c>
      <c r="L13" s="277">
        <f t="shared" si="5"/>
        <v>15860922</v>
      </c>
      <c r="M13" s="277">
        <f t="shared" si="3"/>
        <v>-42709</v>
      </c>
      <c r="N13" s="277">
        <f t="shared" si="6"/>
        <v>0</v>
      </c>
      <c r="O13" s="277">
        <f t="shared" si="4"/>
        <v>-29267.54068</v>
      </c>
      <c r="P13" s="264"/>
      <c r="Q13" s="264"/>
      <c r="R13" s="264"/>
      <c r="S13" s="264"/>
      <c r="T13" s="264"/>
      <c r="U13" s="264"/>
      <c r="V13" s="264"/>
      <c r="W13" s="264"/>
      <c r="X13" s="264"/>
      <c r="Y13" s="264"/>
      <c r="Z13" s="264"/>
      <c r="AA13" s="264"/>
      <c r="AB13" s="264"/>
      <c r="AC13" s="264"/>
      <c r="AD13" s="264"/>
      <c r="AE13" s="264"/>
    </row>
    <row r="14">
      <c r="A14" s="272" t="s">
        <v>795</v>
      </c>
      <c r="B14" s="272" t="s">
        <v>793</v>
      </c>
      <c r="C14" s="272" t="s">
        <v>794</v>
      </c>
      <c r="D14" s="279">
        <v>45790.0</v>
      </c>
      <c r="E14" s="267" t="str">
        <f t="shared" si="1"/>
        <v>05 may</v>
      </c>
      <c r="F14" s="274">
        <f t="shared" si="2"/>
        <v>2025</v>
      </c>
      <c r="G14" s="280" t="s">
        <v>805</v>
      </c>
      <c r="H14" s="280" t="s">
        <v>383</v>
      </c>
      <c r="I14" s="275">
        <v>537700.0</v>
      </c>
      <c r="J14" s="276">
        <f>IF(ISBLANK(I14), "", VLOOKUP(E14&amp;" "&amp;F14, 'Info Tipo de Cambio y REM'!$A$24:$B$35, 2, FALSE))
</f>
        <v>1180</v>
      </c>
      <c r="K14" s="278">
        <f t="shared" si="7"/>
        <v>455.6779661</v>
      </c>
      <c r="L14" s="277">
        <f t="shared" si="5"/>
        <v>15323222</v>
      </c>
      <c r="M14" s="277">
        <f t="shared" si="3"/>
        <v>-42709</v>
      </c>
      <c r="N14" s="277">
        <f t="shared" si="6"/>
        <v>0</v>
      </c>
      <c r="O14" s="277">
        <f t="shared" si="4"/>
        <v>-29723.21864</v>
      </c>
      <c r="P14" s="264"/>
      <c r="Q14" s="264"/>
      <c r="R14" s="264"/>
      <c r="S14" s="264"/>
      <c r="T14" s="264"/>
      <c r="U14" s="264"/>
      <c r="V14" s="264"/>
      <c r="W14" s="264"/>
      <c r="X14" s="264"/>
      <c r="Y14" s="264"/>
      <c r="Z14" s="264"/>
      <c r="AA14" s="264"/>
      <c r="AB14" s="264"/>
      <c r="AC14" s="264"/>
      <c r="AD14" s="264"/>
      <c r="AE14" s="264"/>
    </row>
    <row r="15">
      <c r="A15" s="272" t="s">
        <v>795</v>
      </c>
      <c r="B15" s="272" t="s">
        <v>793</v>
      </c>
      <c r="C15" s="272" t="s">
        <v>794</v>
      </c>
      <c r="D15" s="279">
        <v>45790.0</v>
      </c>
      <c r="E15" s="267" t="str">
        <f t="shared" si="1"/>
        <v>05 may</v>
      </c>
      <c r="F15" s="274">
        <f t="shared" si="2"/>
        <v>2025</v>
      </c>
      <c r="G15" s="280" t="s">
        <v>806</v>
      </c>
      <c r="H15" s="280" t="s">
        <v>387</v>
      </c>
      <c r="I15" s="275">
        <v>1450000.0</v>
      </c>
      <c r="J15" s="276">
        <f>IF(ISBLANK(I15), "", VLOOKUP(E15&amp;" "&amp;F15, 'Info Tipo de Cambio y REM'!$A$24:$B$35, 2, FALSE))
</f>
        <v>1180</v>
      </c>
      <c r="K15" s="278">
        <f t="shared" si="7"/>
        <v>1228.813559</v>
      </c>
      <c r="L15" s="277">
        <f t="shared" si="5"/>
        <v>13873222</v>
      </c>
      <c r="M15" s="277">
        <f t="shared" si="3"/>
        <v>-42709</v>
      </c>
      <c r="N15" s="277">
        <f t="shared" si="6"/>
        <v>0</v>
      </c>
      <c r="O15" s="277">
        <f t="shared" si="4"/>
        <v>-30952.0322</v>
      </c>
      <c r="P15" s="264"/>
      <c r="Q15" s="264"/>
      <c r="R15" s="264"/>
      <c r="S15" s="264"/>
      <c r="T15" s="264"/>
      <c r="U15" s="264"/>
      <c r="V15" s="264"/>
      <c r="W15" s="264"/>
      <c r="X15" s="264"/>
      <c r="Y15" s="264"/>
      <c r="Z15" s="264"/>
      <c r="AA15" s="264"/>
      <c r="AB15" s="264"/>
      <c r="AC15" s="264"/>
      <c r="AD15" s="264"/>
      <c r="AE15" s="264"/>
    </row>
    <row r="16">
      <c r="A16" s="272" t="s">
        <v>795</v>
      </c>
      <c r="B16" s="272" t="s">
        <v>793</v>
      </c>
      <c r="C16" s="272" t="s">
        <v>794</v>
      </c>
      <c r="D16" s="279">
        <v>45785.0</v>
      </c>
      <c r="E16" s="267" t="str">
        <f t="shared" si="1"/>
        <v>05 may</v>
      </c>
      <c r="F16" s="274">
        <f t="shared" si="2"/>
        <v>2025</v>
      </c>
      <c r="G16" s="280" t="s">
        <v>807</v>
      </c>
      <c r="H16" s="280" t="s">
        <v>387</v>
      </c>
      <c r="I16" s="275">
        <v>1450000.0</v>
      </c>
      <c r="J16" s="276">
        <f>IF(ISBLANK(I16), "", VLOOKUP(E16&amp;" "&amp;F16, 'Info Tipo de Cambio y REM'!$A$24:$B$35, 2, FALSE))
</f>
        <v>1180</v>
      </c>
      <c r="K16" s="278">
        <f t="shared" si="7"/>
        <v>1228.813559</v>
      </c>
      <c r="L16" s="277">
        <f t="shared" si="5"/>
        <v>12423222</v>
      </c>
      <c r="M16" s="277">
        <f t="shared" si="3"/>
        <v>-42709</v>
      </c>
      <c r="N16" s="277">
        <f t="shared" si="6"/>
        <v>0</v>
      </c>
      <c r="O16" s="277">
        <f t="shared" si="4"/>
        <v>-32180.84576</v>
      </c>
      <c r="P16" s="264"/>
      <c r="Q16" s="264"/>
      <c r="R16" s="264"/>
      <c r="S16" s="264"/>
      <c r="T16" s="264"/>
      <c r="U16" s="264"/>
      <c r="V16" s="264"/>
      <c r="W16" s="264"/>
      <c r="X16" s="264"/>
      <c r="Y16" s="264"/>
      <c r="Z16" s="264"/>
      <c r="AA16" s="264"/>
      <c r="AB16" s="264"/>
      <c r="AC16" s="264"/>
      <c r="AD16" s="264"/>
      <c r="AE16" s="264"/>
    </row>
    <row r="17">
      <c r="A17" s="272" t="s">
        <v>795</v>
      </c>
      <c r="B17" s="272" t="s">
        <v>793</v>
      </c>
      <c r="C17" s="272" t="s">
        <v>794</v>
      </c>
      <c r="D17" s="279">
        <v>45785.0</v>
      </c>
      <c r="E17" s="267" t="str">
        <f t="shared" si="1"/>
        <v>05 may</v>
      </c>
      <c r="F17" s="274">
        <f t="shared" si="2"/>
        <v>2025</v>
      </c>
      <c r="G17" s="280" t="s">
        <v>808</v>
      </c>
      <c r="H17" s="280" t="s">
        <v>389</v>
      </c>
      <c r="I17" s="275">
        <v>891000.0</v>
      </c>
      <c r="J17" s="276">
        <f>IF(ISBLANK(I17), "", VLOOKUP(E17&amp;" "&amp;F17, 'Info Tipo de Cambio y REM'!$A$24:$B$35, 2, FALSE))
</f>
        <v>1180</v>
      </c>
      <c r="K17" s="278">
        <f t="shared" si="7"/>
        <v>755.0847458</v>
      </c>
      <c r="L17" s="277">
        <f t="shared" si="5"/>
        <v>11532222</v>
      </c>
      <c r="M17" s="277">
        <f t="shared" si="3"/>
        <v>-42709</v>
      </c>
      <c r="N17" s="277">
        <f t="shared" si="6"/>
        <v>0</v>
      </c>
      <c r="O17" s="277">
        <f t="shared" si="4"/>
        <v>-32935.93051</v>
      </c>
      <c r="P17" s="264"/>
      <c r="Q17" s="264"/>
      <c r="R17" s="264"/>
      <c r="S17" s="264"/>
      <c r="T17" s="264"/>
      <c r="U17" s="264"/>
      <c r="V17" s="264"/>
      <c r="W17" s="264"/>
      <c r="X17" s="264"/>
      <c r="Y17" s="264"/>
      <c r="Z17" s="264"/>
      <c r="AA17" s="264"/>
      <c r="AB17" s="264"/>
      <c r="AC17" s="264"/>
      <c r="AD17" s="264"/>
      <c r="AE17" s="264"/>
    </row>
    <row r="18">
      <c r="A18" s="272" t="s">
        <v>795</v>
      </c>
      <c r="B18" s="272" t="s">
        <v>793</v>
      </c>
      <c r="C18" s="272" t="s">
        <v>794</v>
      </c>
      <c r="D18" s="279">
        <v>45785.0</v>
      </c>
      <c r="E18" s="267" t="str">
        <f t="shared" si="1"/>
        <v>05 may</v>
      </c>
      <c r="F18" s="274">
        <f t="shared" si="2"/>
        <v>2025</v>
      </c>
      <c r="G18" s="280" t="s">
        <v>809</v>
      </c>
      <c r="H18" s="280" t="s">
        <v>391</v>
      </c>
      <c r="I18" s="275">
        <v>1080125.0</v>
      </c>
      <c r="J18" s="276">
        <f>IF(ISBLANK(I18), "", VLOOKUP(E18&amp;" "&amp;F18, 'Info Tipo de Cambio y REM'!$A$24:$B$35, 2, FALSE))
</f>
        <v>1180</v>
      </c>
      <c r="K18" s="278">
        <f t="shared" si="7"/>
        <v>915.3601695</v>
      </c>
      <c r="L18" s="277">
        <f t="shared" si="5"/>
        <v>10452097</v>
      </c>
      <c r="M18" s="277">
        <f t="shared" si="3"/>
        <v>-42709</v>
      </c>
      <c r="N18" s="277">
        <f t="shared" si="6"/>
        <v>0</v>
      </c>
      <c r="O18" s="277">
        <f t="shared" si="4"/>
        <v>-33851.29068</v>
      </c>
      <c r="P18" s="264"/>
      <c r="Q18" s="264"/>
      <c r="R18" s="264"/>
      <c r="S18" s="264"/>
      <c r="T18" s="264"/>
      <c r="U18" s="264"/>
      <c r="V18" s="264"/>
      <c r="W18" s="264"/>
      <c r="X18" s="264"/>
      <c r="Y18" s="264"/>
      <c r="Z18" s="264"/>
      <c r="AA18" s="264"/>
      <c r="AB18" s="264"/>
      <c r="AC18" s="264"/>
      <c r="AD18" s="264"/>
      <c r="AE18" s="264"/>
    </row>
    <row r="19">
      <c r="A19" s="272" t="s">
        <v>795</v>
      </c>
      <c r="B19" s="272" t="s">
        <v>793</v>
      </c>
      <c r="C19" s="272" t="s">
        <v>794</v>
      </c>
      <c r="D19" s="279">
        <v>45790.0</v>
      </c>
      <c r="E19" s="267" t="str">
        <f t="shared" si="1"/>
        <v>05 may</v>
      </c>
      <c r="F19" s="274">
        <f t="shared" si="2"/>
        <v>2025</v>
      </c>
      <c r="G19" s="280" t="s">
        <v>810</v>
      </c>
      <c r="H19" s="280" t="s">
        <v>393</v>
      </c>
      <c r="I19" s="275">
        <v>1000000.0</v>
      </c>
      <c r="J19" s="276">
        <f>IF(ISBLANK(I19), "", VLOOKUP(E19&amp;" "&amp;F19, 'Info Tipo de Cambio y REM'!$A$24:$B$35, 2, FALSE))
</f>
        <v>1180</v>
      </c>
      <c r="K19" s="278">
        <f t="shared" si="7"/>
        <v>847.4576271</v>
      </c>
      <c r="L19" s="277">
        <f t="shared" si="5"/>
        <v>9452097</v>
      </c>
      <c r="M19" s="277">
        <f t="shared" si="3"/>
        <v>-42709</v>
      </c>
      <c r="N19" s="277">
        <f t="shared" si="6"/>
        <v>0</v>
      </c>
      <c r="O19" s="277">
        <f t="shared" si="4"/>
        <v>-34698.74831</v>
      </c>
      <c r="P19" s="264"/>
      <c r="Q19" s="264"/>
      <c r="R19" s="264"/>
      <c r="S19" s="264"/>
      <c r="T19" s="264"/>
      <c r="U19" s="264"/>
      <c r="V19" s="264"/>
      <c r="W19" s="264"/>
      <c r="X19" s="264"/>
      <c r="Y19" s="264"/>
      <c r="Z19" s="264"/>
      <c r="AA19" s="264"/>
      <c r="AB19" s="264"/>
      <c r="AC19" s="264"/>
      <c r="AD19" s="264"/>
      <c r="AE19" s="264"/>
    </row>
    <row r="20">
      <c r="A20" s="272" t="s">
        <v>795</v>
      </c>
      <c r="B20" s="272" t="s">
        <v>793</v>
      </c>
      <c r="C20" s="272" t="s">
        <v>794</v>
      </c>
      <c r="D20" s="282">
        <v>45790.0</v>
      </c>
      <c r="E20" s="267" t="str">
        <f t="shared" si="1"/>
        <v>05 may</v>
      </c>
      <c r="F20" s="274">
        <f t="shared" si="2"/>
        <v>2025</v>
      </c>
      <c r="G20" s="280" t="s">
        <v>811</v>
      </c>
      <c r="H20" s="280" t="s">
        <v>397</v>
      </c>
      <c r="I20" s="275">
        <v>456227.0</v>
      </c>
      <c r="J20" s="276">
        <f>IF(ISBLANK(I20), "", VLOOKUP(E20&amp;" "&amp;F20, 'Info Tipo de Cambio y REM'!$A$24:$B$35, 2, FALSE))
</f>
        <v>1180</v>
      </c>
      <c r="K20" s="278">
        <f t="shared" si="7"/>
        <v>386.6330508</v>
      </c>
      <c r="L20" s="277">
        <f t="shared" si="5"/>
        <v>8995870</v>
      </c>
      <c r="M20" s="277">
        <f t="shared" si="3"/>
        <v>-42709</v>
      </c>
      <c r="N20" s="277">
        <f t="shared" si="6"/>
        <v>0</v>
      </c>
      <c r="O20" s="277">
        <f t="shared" si="4"/>
        <v>-35085.38136</v>
      </c>
      <c r="P20" s="264"/>
      <c r="Q20" s="264"/>
      <c r="R20" s="264"/>
      <c r="S20" s="264"/>
      <c r="T20" s="264"/>
      <c r="U20" s="264"/>
      <c r="V20" s="264"/>
      <c r="W20" s="264"/>
      <c r="X20" s="264"/>
      <c r="Y20" s="264"/>
      <c r="Z20" s="264"/>
      <c r="AA20" s="264"/>
      <c r="AB20" s="264"/>
      <c r="AC20" s="264"/>
      <c r="AD20" s="264"/>
      <c r="AE20" s="264"/>
    </row>
    <row r="21">
      <c r="A21" s="272" t="s">
        <v>795</v>
      </c>
      <c r="B21" s="272" t="s">
        <v>793</v>
      </c>
      <c r="C21" s="272" t="s">
        <v>794</v>
      </c>
      <c r="D21" s="282">
        <v>45790.0</v>
      </c>
      <c r="E21" s="267" t="str">
        <f t="shared" si="1"/>
        <v>05 may</v>
      </c>
      <c r="F21" s="274">
        <f t="shared" si="2"/>
        <v>2025</v>
      </c>
      <c r="G21" s="280" t="s">
        <v>812</v>
      </c>
      <c r="H21" s="280" t="s">
        <v>399</v>
      </c>
      <c r="I21" s="275">
        <v>374498.0</v>
      </c>
      <c r="J21" s="276">
        <f>IF(ISBLANK(I21), "", VLOOKUP(E21&amp;" "&amp;F21, 'Info Tipo de Cambio y REM'!$A$24:$B$35, 2, FALSE))
</f>
        <v>1180</v>
      </c>
      <c r="K21" s="278">
        <f t="shared" si="7"/>
        <v>317.3711864</v>
      </c>
      <c r="L21" s="277">
        <f t="shared" si="5"/>
        <v>8621372</v>
      </c>
      <c r="M21" s="277">
        <f t="shared" si="3"/>
        <v>-42709</v>
      </c>
      <c r="N21" s="277">
        <f t="shared" si="6"/>
        <v>0</v>
      </c>
      <c r="O21" s="277">
        <f t="shared" si="4"/>
        <v>-35402.75254</v>
      </c>
      <c r="P21" s="264"/>
      <c r="Q21" s="264"/>
      <c r="R21" s="264"/>
      <c r="S21" s="264"/>
      <c r="T21" s="264"/>
      <c r="U21" s="264"/>
      <c r="V21" s="264"/>
      <c r="W21" s="264"/>
      <c r="X21" s="264"/>
      <c r="Y21" s="264"/>
      <c r="Z21" s="264"/>
      <c r="AA21" s="264"/>
      <c r="AB21" s="264"/>
      <c r="AC21" s="264"/>
      <c r="AD21" s="264"/>
      <c r="AE21" s="264"/>
    </row>
    <row r="22">
      <c r="A22" s="272" t="s">
        <v>795</v>
      </c>
      <c r="B22" s="272" t="s">
        <v>793</v>
      </c>
      <c r="C22" s="272" t="s">
        <v>794</v>
      </c>
      <c r="D22" s="282">
        <v>45790.0</v>
      </c>
      <c r="E22" s="267" t="str">
        <f t="shared" si="1"/>
        <v>05 may</v>
      </c>
      <c r="F22" s="274">
        <f t="shared" si="2"/>
        <v>2025</v>
      </c>
      <c r="G22" s="280" t="s">
        <v>813</v>
      </c>
      <c r="H22" s="280" t="s">
        <v>401</v>
      </c>
      <c r="I22" s="275">
        <v>617533.0</v>
      </c>
      <c r="J22" s="276">
        <f>IF(ISBLANK(I22), "", VLOOKUP(E22&amp;" "&amp;F22, 'Info Tipo de Cambio y REM'!$A$24:$B$35, 2, FALSE))
</f>
        <v>1180</v>
      </c>
      <c r="K22" s="278">
        <f t="shared" si="7"/>
        <v>523.3330508</v>
      </c>
      <c r="L22" s="277">
        <f t="shared" si="5"/>
        <v>8003839</v>
      </c>
      <c r="M22" s="277">
        <f t="shared" si="3"/>
        <v>-42709</v>
      </c>
      <c r="N22" s="277">
        <f t="shared" si="6"/>
        <v>0</v>
      </c>
      <c r="O22" s="277">
        <f t="shared" si="4"/>
        <v>-35926.08559</v>
      </c>
      <c r="P22" s="264"/>
      <c r="Q22" s="264"/>
      <c r="R22" s="264"/>
      <c r="S22" s="264"/>
      <c r="T22" s="264"/>
      <c r="U22" s="264"/>
      <c r="V22" s="264"/>
      <c r="W22" s="264"/>
      <c r="X22" s="264"/>
      <c r="Y22" s="264"/>
      <c r="Z22" s="264"/>
      <c r="AA22" s="264"/>
      <c r="AB22" s="264"/>
      <c r="AC22" s="264"/>
      <c r="AD22" s="264"/>
      <c r="AE22" s="264"/>
    </row>
    <row r="23">
      <c r="A23" s="272" t="s">
        <v>795</v>
      </c>
      <c r="B23" s="272" t="s">
        <v>793</v>
      </c>
      <c r="C23" s="272" t="s">
        <v>794</v>
      </c>
      <c r="D23" s="282">
        <v>45790.0</v>
      </c>
      <c r="E23" s="267" t="str">
        <f t="shared" si="1"/>
        <v>05 may</v>
      </c>
      <c r="F23" s="274">
        <f t="shared" si="2"/>
        <v>2025</v>
      </c>
      <c r="G23" s="280" t="s">
        <v>814</v>
      </c>
      <c r="H23" s="280" t="s">
        <v>403</v>
      </c>
      <c r="I23" s="275">
        <v>891250.0</v>
      </c>
      <c r="J23" s="276">
        <f>IF(ISBLANK(I23), "", VLOOKUP(E23&amp;" "&amp;F23, 'Info Tipo de Cambio y REM'!$A$24:$B$35, 2, FALSE))
</f>
        <v>1180</v>
      </c>
      <c r="K23" s="278">
        <f t="shared" si="7"/>
        <v>755.2966102</v>
      </c>
      <c r="L23" s="277">
        <f t="shared" si="5"/>
        <v>7112589</v>
      </c>
      <c r="M23" s="277">
        <f t="shared" si="3"/>
        <v>-42709</v>
      </c>
      <c r="N23" s="277">
        <f t="shared" si="6"/>
        <v>0</v>
      </c>
      <c r="O23" s="277">
        <f t="shared" si="4"/>
        <v>-36681.3822</v>
      </c>
      <c r="P23" s="264"/>
      <c r="Q23" s="264"/>
      <c r="R23" s="264"/>
      <c r="S23" s="264"/>
      <c r="T23" s="264"/>
      <c r="U23" s="264"/>
      <c r="V23" s="264"/>
      <c r="W23" s="264"/>
      <c r="X23" s="264"/>
      <c r="Y23" s="264"/>
      <c r="Z23" s="264"/>
      <c r="AA23" s="264"/>
      <c r="AB23" s="264"/>
      <c r="AC23" s="264"/>
      <c r="AD23" s="264"/>
      <c r="AE23" s="264"/>
    </row>
    <row r="24">
      <c r="A24" s="272" t="s">
        <v>795</v>
      </c>
      <c r="B24" s="272" t="s">
        <v>793</v>
      </c>
      <c r="C24" s="272" t="s">
        <v>794</v>
      </c>
      <c r="D24" s="282">
        <v>45785.0</v>
      </c>
      <c r="E24" s="267" t="str">
        <f t="shared" si="1"/>
        <v>05 may</v>
      </c>
      <c r="F24" s="274">
        <f t="shared" si="2"/>
        <v>2025</v>
      </c>
      <c r="G24" s="280" t="s">
        <v>815</v>
      </c>
      <c r="H24" s="280" t="s">
        <v>403</v>
      </c>
      <c r="I24" s="275">
        <v>891250.0</v>
      </c>
      <c r="J24" s="276">
        <f>IF(ISBLANK(I24), "", VLOOKUP(E24&amp;" "&amp;F24, 'Info Tipo de Cambio y REM'!$A$24:$B$35, 2, FALSE))
</f>
        <v>1180</v>
      </c>
      <c r="K24" s="278">
        <f t="shared" si="7"/>
        <v>755.2966102</v>
      </c>
      <c r="L24" s="277">
        <f t="shared" si="5"/>
        <v>6221339</v>
      </c>
      <c r="M24" s="277">
        <f t="shared" si="3"/>
        <v>-42709</v>
      </c>
      <c r="N24" s="277">
        <f t="shared" si="6"/>
        <v>0</v>
      </c>
      <c r="O24" s="277">
        <f t="shared" si="4"/>
        <v>-37436.67881</v>
      </c>
      <c r="P24" s="264"/>
      <c r="Q24" s="264"/>
      <c r="R24" s="264"/>
      <c r="S24" s="264"/>
      <c r="T24" s="264"/>
      <c r="U24" s="264"/>
      <c r="V24" s="264"/>
      <c r="W24" s="264"/>
      <c r="X24" s="264"/>
      <c r="Y24" s="264"/>
      <c r="Z24" s="264"/>
      <c r="AA24" s="264"/>
      <c r="AB24" s="264"/>
      <c r="AC24" s="264"/>
      <c r="AD24" s="264"/>
      <c r="AE24" s="264"/>
    </row>
    <row r="25">
      <c r="A25" s="272" t="s">
        <v>795</v>
      </c>
      <c r="B25" s="272" t="s">
        <v>793</v>
      </c>
      <c r="C25" s="272" t="s">
        <v>794</v>
      </c>
      <c r="D25" s="282">
        <v>45785.0</v>
      </c>
      <c r="E25" s="267" t="str">
        <f t="shared" si="1"/>
        <v>05 may</v>
      </c>
      <c r="F25" s="274">
        <f t="shared" si="2"/>
        <v>2025</v>
      </c>
      <c r="G25" s="280" t="s">
        <v>816</v>
      </c>
      <c r="H25" s="280" t="s">
        <v>413</v>
      </c>
      <c r="I25" s="275">
        <v>48399.0</v>
      </c>
      <c r="J25" s="276">
        <f>IF(ISBLANK(I25), "", VLOOKUP(E25&amp;" "&amp;F25, 'Info Tipo de Cambio y REM'!$A$24:$B$35, 2, FALSE))
</f>
        <v>1180</v>
      </c>
      <c r="K25" s="278">
        <f t="shared" si="7"/>
        <v>41.01610169</v>
      </c>
      <c r="L25" s="277">
        <f t="shared" si="5"/>
        <v>6172940</v>
      </c>
      <c r="M25" s="277">
        <f t="shared" si="3"/>
        <v>-42709</v>
      </c>
      <c r="N25" s="277">
        <f t="shared" si="6"/>
        <v>0</v>
      </c>
      <c r="O25" s="277">
        <f t="shared" si="4"/>
        <v>-37477.69492</v>
      </c>
      <c r="P25" s="264"/>
      <c r="Q25" s="264"/>
      <c r="R25" s="264"/>
      <c r="S25" s="264"/>
      <c r="T25" s="264"/>
      <c r="U25" s="264"/>
      <c r="V25" s="264"/>
      <c r="W25" s="264"/>
      <c r="X25" s="264"/>
      <c r="Y25" s="264"/>
      <c r="Z25" s="264"/>
      <c r="AA25" s="264"/>
      <c r="AB25" s="264"/>
      <c r="AC25" s="264"/>
      <c r="AD25" s="264"/>
      <c r="AE25" s="264"/>
    </row>
    <row r="26">
      <c r="A26" s="272" t="s">
        <v>795</v>
      </c>
      <c r="B26" s="272" t="s">
        <v>793</v>
      </c>
      <c r="C26" s="272" t="s">
        <v>794</v>
      </c>
      <c r="D26" s="282">
        <v>45785.0</v>
      </c>
      <c r="E26" s="267" t="str">
        <f t="shared" si="1"/>
        <v>05 may</v>
      </c>
      <c r="F26" s="274">
        <f t="shared" si="2"/>
        <v>2025</v>
      </c>
      <c r="G26" s="280" t="s">
        <v>817</v>
      </c>
      <c r="H26" s="280" t="s">
        <v>504</v>
      </c>
      <c r="I26" s="275">
        <v>131250.0</v>
      </c>
      <c r="J26" s="276">
        <f>IF(ISBLANK(I26), "", VLOOKUP(E26&amp;" "&amp;F26, 'Info Tipo de Cambio y REM'!$A$24:$B$35, 2, FALSE))
</f>
        <v>1180</v>
      </c>
      <c r="K26" s="278">
        <f t="shared" si="7"/>
        <v>111.2288136</v>
      </c>
      <c r="L26" s="277">
        <f t="shared" si="5"/>
        <v>6041690</v>
      </c>
      <c r="M26" s="277">
        <f t="shared" si="3"/>
        <v>-42709</v>
      </c>
      <c r="N26" s="277">
        <f t="shared" si="6"/>
        <v>0</v>
      </c>
      <c r="O26" s="277">
        <f t="shared" si="4"/>
        <v>-37588.92373</v>
      </c>
      <c r="P26" s="264"/>
      <c r="Q26" s="264"/>
      <c r="R26" s="264"/>
      <c r="S26" s="264"/>
      <c r="T26" s="264"/>
      <c r="U26" s="264"/>
      <c r="V26" s="264"/>
      <c r="W26" s="264"/>
      <c r="X26" s="264"/>
      <c r="Y26" s="264"/>
      <c r="Z26" s="264"/>
      <c r="AA26" s="264"/>
      <c r="AB26" s="264"/>
      <c r="AC26" s="264"/>
      <c r="AD26" s="264"/>
      <c r="AE26" s="264"/>
    </row>
    <row r="27">
      <c r="A27" s="272" t="s">
        <v>795</v>
      </c>
      <c r="B27" s="272" t="s">
        <v>793</v>
      </c>
      <c r="C27" s="272" t="s">
        <v>794</v>
      </c>
      <c r="D27" s="282">
        <v>45785.0</v>
      </c>
      <c r="E27" s="267" t="str">
        <f t="shared" si="1"/>
        <v>05 may</v>
      </c>
      <c r="F27" s="274">
        <f t="shared" si="2"/>
        <v>2025</v>
      </c>
      <c r="G27" s="280" t="s">
        <v>818</v>
      </c>
      <c r="H27" s="280" t="s">
        <v>580</v>
      </c>
      <c r="I27" s="275">
        <v>878172.0</v>
      </c>
      <c r="J27" s="276">
        <f>IF(ISBLANK(I27), "", VLOOKUP(E27&amp;" "&amp;F27, 'Info Tipo de Cambio y REM'!$A$24:$B$35, 2, FALSE))
</f>
        <v>1180</v>
      </c>
      <c r="K27" s="278">
        <f t="shared" si="7"/>
        <v>744.2135593</v>
      </c>
      <c r="L27" s="277">
        <f t="shared" si="5"/>
        <v>5163518</v>
      </c>
      <c r="M27" s="277">
        <f t="shared" si="3"/>
        <v>-42709</v>
      </c>
      <c r="N27" s="277">
        <f t="shared" si="6"/>
        <v>0</v>
      </c>
      <c r="O27" s="277">
        <f t="shared" si="4"/>
        <v>-38333.13729</v>
      </c>
      <c r="P27" s="264"/>
      <c r="Q27" s="264"/>
      <c r="R27" s="264"/>
      <c r="S27" s="264"/>
      <c r="T27" s="264"/>
      <c r="U27" s="264"/>
      <c r="V27" s="264"/>
      <c r="W27" s="264"/>
      <c r="X27" s="264"/>
      <c r="Y27" s="264"/>
      <c r="Z27" s="264"/>
      <c r="AA27" s="264"/>
      <c r="AB27" s="264"/>
      <c r="AC27" s="264"/>
      <c r="AD27" s="264"/>
      <c r="AE27" s="264"/>
    </row>
    <row r="28">
      <c r="A28" s="272" t="s">
        <v>795</v>
      </c>
      <c r="B28" s="272" t="s">
        <v>793</v>
      </c>
      <c r="C28" s="272" t="s">
        <v>794</v>
      </c>
      <c r="D28" s="279">
        <v>45785.0</v>
      </c>
      <c r="E28" s="267" t="str">
        <f t="shared" si="1"/>
        <v>05 may</v>
      </c>
      <c r="F28" s="274">
        <f t="shared" si="2"/>
        <v>2025</v>
      </c>
      <c r="G28" s="280" t="s">
        <v>819</v>
      </c>
      <c r="H28" s="280" t="s">
        <v>589</v>
      </c>
      <c r="I28" s="275">
        <v>1108317.0</v>
      </c>
      <c r="J28" s="276">
        <f>IF(ISBLANK(I28), "", VLOOKUP(E28&amp;" "&amp;F28, 'Info Tipo de Cambio y REM'!$A$24:$B$35, 2, FALSE))
</f>
        <v>1180</v>
      </c>
      <c r="K28" s="278">
        <f t="shared" si="7"/>
        <v>939.2516949</v>
      </c>
      <c r="L28" s="277">
        <f t="shared" si="5"/>
        <v>4055201</v>
      </c>
      <c r="M28" s="277">
        <f t="shared" si="3"/>
        <v>-42709</v>
      </c>
      <c r="N28" s="277">
        <f t="shared" si="6"/>
        <v>0</v>
      </c>
      <c r="O28" s="277">
        <f t="shared" si="4"/>
        <v>-39272.38898</v>
      </c>
      <c r="P28" s="264"/>
      <c r="Q28" s="264"/>
      <c r="R28" s="264"/>
      <c r="S28" s="264"/>
      <c r="T28" s="264"/>
      <c r="U28" s="264"/>
      <c r="V28" s="264"/>
      <c r="W28" s="264"/>
      <c r="X28" s="264"/>
      <c r="Y28" s="264"/>
      <c r="Z28" s="264"/>
      <c r="AA28" s="264"/>
      <c r="AB28" s="264"/>
      <c r="AC28" s="264"/>
      <c r="AD28" s="264"/>
      <c r="AE28" s="264"/>
    </row>
    <row r="29">
      <c r="A29" s="272" t="s">
        <v>795</v>
      </c>
      <c r="B29" s="272" t="s">
        <v>793</v>
      </c>
      <c r="C29" s="272" t="s">
        <v>794</v>
      </c>
      <c r="D29" s="279">
        <v>45790.0</v>
      </c>
      <c r="E29" s="267" t="str">
        <f t="shared" si="1"/>
        <v>05 may</v>
      </c>
      <c r="F29" s="274">
        <f t="shared" si="2"/>
        <v>2025</v>
      </c>
      <c r="G29" s="280" t="s">
        <v>820</v>
      </c>
      <c r="H29" s="280" t="s">
        <v>409</v>
      </c>
      <c r="I29" s="275">
        <v>552390.0</v>
      </c>
      <c r="J29" s="276">
        <f>IF(ISBLANK(I29), "", VLOOKUP(E29&amp;" "&amp;F29, 'Info Tipo de Cambio y REM'!$A$24:$B$35, 2, FALSE))
</f>
        <v>1180</v>
      </c>
      <c r="K29" s="278">
        <f t="shared" si="7"/>
        <v>468.1271186</v>
      </c>
      <c r="L29" s="277">
        <f t="shared" si="5"/>
        <v>3502811</v>
      </c>
      <c r="M29" s="277">
        <f t="shared" si="3"/>
        <v>-42709</v>
      </c>
      <c r="N29" s="277">
        <f t="shared" si="6"/>
        <v>0</v>
      </c>
      <c r="O29" s="277">
        <f t="shared" si="4"/>
        <v>-39740.5161</v>
      </c>
      <c r="P29" s="264"/>
      <c r="Q29" s="264"/>
      <c r="R29" s="264"/>
      <c r="S29" s="264"/>
      <c r="T29" s="264"/>
      <c r="U29" s="264"/>
      <c r="V29" s="264"/>
      <c r="W29" s="264"/>
      <c r="X29" s="264"/>
      <c r="Y29" s="264"/>
      <c r="Z29" s="264"/>
      <c r="AA29" s="264"/>
      <c r="AB29" s="264"/>
      <c r="AC29" s="264"/>
      <c r="AD29" s="264"/>
      <c r="AE29" s="264"/>
    </row>
    <row r="30">
      <c r="A30" s="272" t="s">
        <v>795</v>
      </c>
      <c r="B30" s="272" t="s">
        <v>793</v>
      </c>
      <c r="C30" s="272" t="s">
        <v>794</v>
      </c>
      <c r="D30" s="279">
        <v>45785.0</v>
      </c>
      <c r="E30" s="267" t="str">
        <f t="shared" si="1"/>
        <v>05 may</v>
      </c>
      <c r="F30" s="274">
        <f t="shared" si="2"/>
        <v>2025</v>
      </c>
      <c r="G30" s="280" t="s">
        <v>821</v>
      </c>
      <c r="H30" s="280" t="s">
        <v>409</v>
      </c>
      <c r="I30" s="275">
        <v>552390.0</v>
      </c>
      <c r="J30" s="276">
        <f>IF(ISBLANK(I30), "", VLOOKUP(E30&amp;" "&amp;F30, 'Info Tipo de Cambio y REM'!$A$24:$B$35, 2, FALSE))
</f>
        <v>1180</v>
      </c>
      <c r="K30" s="278">
        <f t="shared" si="7"/>
        <v>468.1271186</v>
      </c>
      <c r="L30" s="277">
        <f t="shared" si="5"/>
        <v>2950421</v>
      </c>
      <c r="M30" s="277">
        <f t="shared" si="3"/>
        <v>-42709</v>
      </c>
      <c r="N30" s="277">
        <f t="shared" si="6"/>
        <v>0</v>
      </c>
      <c r="O30" s="277">
        <f t="shared" si="4"/>
        <v>-40208.64322</v>
      </c>
      <c r="P30" s="264"/>
      <c r="Q30" s="264"/>
      <c r="R30" s="264"/>
      <c r="S30" s="264"/>
      <c r="T30" s="264"/>
      <c r="U30" s="264"/>
      <c r="V30" s="264"/>
      <c r="W30" s="264"/>
      <c r="X30" s="264"/>
      <c r="Y30" s="264"/>
      <c r="Z30" s="264"/>
      <c r="AA30" s="264"/>
      <c r="AB30" s="264"/>
      <c r="AC30" s="264"/>
      <c r="AD30" s="264"/>
      <c r="AE30" s="264"/>
    </row>
    <row r="31">
      <c r="A31" s="272" t="s">
        <v>795</v>
      </c>
      <c r="B31" s="272" t="s">
        <v>793</v>
      </c>
      <c r="C31" s="272" t="s">
        <v>794</v>
      </c>
      <c r="D31" s="279">
        <v>45790.0</v>
      </c>
      <c r="E31" s="267" t="str">
        <f t="shared" si="1"/>
        <v>05 may</v>
      </c>
      <c r="F31" s="274">
        <f t="shared" si="2"/>
        <v>2025</v>
      </c>
      <c r="G31" s="280" t="s">
        <v>822</v>
      </c>
      <c r="H31" s="280" t="s">
        <v>411</v>
      </c>
      <c r="I31" s="275">
        <v>886493.0</v>
      </c>
      <c r="J31" s="276">
        <f>IF(ISBLANK(I31), "", VLOOKUP(E31&amp;" "&amp;F31, 'Info Tipo de Cambio y REM'!$A$24:$B$35, 2, FALSE))
</f>
        <v>1180</v>
      </c>
      <c r="K31" s="278">
        <f t="shared" si="7"/>
        <v>751.2652542</v>
      </c>
      <c r="L31" s="277">
        <f t="shared" si="5"/>
        <v>2063928</v>
      </c>
      <c r="M31" s="277">
        <f t="shared" si="3"/>
        <v>-42709</v>
      </c>
      <c r="N31" s="277">
        <f t="shared" si="6"/>
        <v>0</v>
      </c>
      <c r="O31" s="277">
        <f t="shared" si="4"/>
        <v>-40959.90847</v>
      </c>
      <c r="P31" s="264"/>
      <c r="Q31" s="264"/>
      <c r="R31" s="264"/>
      <c r="S31" s="264"/>
      <c r="T31" s="264"/>
      <c r="U31" s="264"/>
      <c r="V31" s="264"/>
      <c r="W31" s="264"/>
      <c r="X31" s="264"/>
      <c r="Y31" s="264"/>
      <c r="Z31" s="264"/>
      <c r="AA31" s="264"/>
      <c r="AB31" s="264"/>
      <c r="AC31" s="264"/>
      <c r="AD31" s="264"/>
      <c r="AE31" s="264"/>
    </row>
    <row r="32">
      <c r="A32" s="272" t="s">
        <v>795</v>
      </c>
      <c r="B32" s="272" t="s">
        <v>793</v>
      </c>
      <c r="C32" s="272" t="s">
        <v>794</v>
      </c>
      <c r="D32" s="279">
        <v>45785.0</v>
      </c>
      <c r="E32" s="267" t="str">
        <f t="shared" si="1"/>
        <v>05 may</v>
      </c>
      <c r="F32" s="274">
        <f t="shared" si="2"/>
        <v>2025</v>
      </c>
      <c r="G32" s="280" t="s">
        <v>823</v>
      </c>
      <c r="H32" s="280" t="s">
        <v>411</v>
      </c>
      <c r="I32" s="275">
        <v>886493.0</v>
      </c>
      <c r="J32" s="276">
        <f>IF(ISBLANK(I32), "", VLOOKUP(E32&amp;" "&amp;F32, 'Info Tipo de Cambio y REM'!$A$24:$B$35, 2, FALSE))
</f>
        <v>1180</v>
      </c>
      <c r="K32" s="278">
        <f t="shared" si="7"/>
        <v>751.2652542</v>
      </c>
      <c r="L32" s="277">
        <f t="shared" si="5"/>
        <v>1177435</v>
      </c>
      <c r="M32" s="277">
        <f t="shared" si="3"/>
        <v>-42709</v>
      </c>
      <c r="N32" s="277">
        <f t="shared" si="6"/>
        <v>0</v>
      </c>
      <c r="O32" s="277">
        <f t="shared" si="4"/>
        <v>-41711.17373</v>
      </c>
      <c r="P32" s="264"/>
      <c r="Q32" s="264"/>
      <c r="R32" s="264"/>
      <c r="S32" s="264"/>
      <c r="T32" s="264"/>
      <c r="U32" s="264"/>
      <c r="V32" s="264"/>
      <c r="W32" s="264"/>
      <c r="X32" s="264"/>
      <c r="Y32" s="264"/>
      <c r="Z32" s="264"/>
      <c r="AA32" s="264"/>
      <c r="AB32" s="264"/>
      <c r="AC32" s="264"/>
      <c r="AD32" s="264"/>
      <c r="AE32" s="264"/>
    </row>
    <row r="33">
      <c r="A33" s="272" t="s">
        <v>795</v>
      </c>
      <c r="B33" s="272" t="s">
        <v>793</v>
      </c>
      <c r="C33" s="272" t="s">
        <v>794</v>
      </c>
      <c r="D33" s="279">
        <v>45785.0</v>
      </c>
      <c r="E33" s="267" t="str">
        <f t="shared" si="1"/>
        <v>05 may</v>
      </c>
      <c r="F33" s="274">
        <f t="shared" si="2"/>
        <v>2025</v>
      </c>
      <c r="G33" s="280" t="s">
        <v>824</v>
      </c>
      <c r="H33" s="280" t="s">
        <v>458</v>
      </c>
      <c r="I33" s="275">
        <v>1271818.0</v>
      </c>
      <c r="J33" s="276">
        <f>IF(ISBLANK(I33), "", VLOOKUP(E33&amp;" "&amp;F33, 'Info Tipo de Cambio y REM'!$A$24:$B$35, 2, FALSE))
</f>
        <v>1180</v>
      </c>
      <c r="K33" s="278">
        <f t="shared" si="7"/>
        <v>1077.811864</v>
      </c>
      <c r="L33" s="277">
        <f t="shared" si="5"/>
        <v>-94383</v>
      </c>
      <c r="M33" s="277">
        <f t="shared" si="3"/>
        <v>-42709</v>
      </c>
      <c r="N33" s="277">
        <f t="shared" si="6"/>
        <v>0</v>
      </c>
      <c r="O33" s="277">
        <f t="shared" si="4"/>
        <v>-42788.98559</v>
      </c>
      <c r="P33" s="264"/>
      <c r="Q33" s="264"/>
      <c r="R33" s="264"/>
      <c r="S33" s="264"/>
      <c r="T33" s="264"/>
      <c r="U33" s="264"/>
      <c r="V33" s="264"/>
      <c r="W33" s="264"/>
      <c r="X33" s="264"/>
      <c r="Y33" s="264"/>
      <c r="Z33" s="264"/>
      <c r="AA33" s="264"/>
      <c r="AB33" s="264"/>
      <c r="AC33" s="264"/>
      <c r="AD33" s="264"/>
      <c r="AE33" s="264"/>
    </row>
    <row r="34">
      <c r="A34" s="272" t="s">
        <v>795</v>
      </c>
      <c r="B34" s="272" t="s">
        <v>793</v>
      </c>
      <c r="C34" s="272" t="s">
        <v>794</v>
      </c>
      <c r="D34" s="279">
        <v>45785.0</v>
      </c>
      <c r="E34" s="267" t="str">
        <f t="shared" si="1"/>
        <v>05 may</v>
      </c>
      <c r="F34" s="274">
        <f t="shared" si="2"/>
        <v>2025</v>
      </c>
      <c r="G34" s="280" t="s">
        <v>825</v>
      </c>
      <c r="H34" s="280" t="s">
        <v>414</v>
      </c>
      <c r="I34" s="275">
        <v>703000.0</v>
      </c>
      <c r="J34" s="276">
        <f>IF(ISBLANK(I34), "", VLOOKUP(E34&amp;" "&amp;F34, 'Info Tipo de Cambio y REM'!$A$24:$B$35, 2, FALSE))
</f>
        <v>1180</v>
      </c>
      <c r="K34" s="278">
        <f t="shared" si="7"/>
        <v>595.7627119</v>
      </c>
      <c r="L34" s="277">
        <f t="shared" si="5"/>
        <v>-797383</v>
      </c>
      <c r="M34" s="277">
        <f t="shared" si="3"/>
        <v>-42709</v>
      </c>
      <c r="N34" s="277">
        <f t="shared" si="6"/>
        <v>0</v>
      </c>
      <c r="O34" s="277">
        <f t="shared" si="4"/>
        <v>-43384.74831</v>
      </c>
      <c r="P34" s="264"/>
      <c r="Q34" s="264"/>
      <c r="R34" s="264"/>
      <c r="S34" s="264"/>
      <c r="T34" s="264"/>
      <c r="U34" s="264"/>
      <c r="V34" s="264"/>
      <c r="W34" s="264"/>
      <c r="X34" s="264"/>
      <c r="Y34" s="264"/>
      <c r="Z34" s="264"/>
      <c r="AA34" s="264"/>
      <c r="AB34" s="264"/>
      <c r="AC34" s="264"/>
      <c r="AD34" s="264"/>
      <c r="AE34" s="264"/>
    </row>
    <row r="35">
      <c r="A35" s="272" t="s">
        <v>795</v>
      </c>
      <c r="B35" s="272" t="s">
        <v>793</v>
      </c>
      <c r="C35" s="272" t="s">
        <v>794</v>
      </c>
      <c r="D35" s="279">
        <v>45785.0</v>
      </c>
      <c r="E35" s="267" t="str">
        <f t="shared" si="1"/>
        <v>05 may</v>
      </c>
      <c r="F35" s="274">
        <f t="shared" si="2"/>
        <v>2025</v>
      </c>
      <c r="G35" s="280" t="s">
        <v>826</v>
      </c>
      <c r="H35" s="280" t="s">
        <v>827</v>
      </c>
      <c r="I35" s="275">
        <v>386580.0</v>
      </c>
      <c r="J35" s="276">
        <f>IF(ISBLANK(I35), "", VLOOKUP(E35&amp;" "&amp;F35, 'Info Tipo de Cambio y REM'!$A$24:$B$35, 2, FALSE))
</f>
        <v>1180</v>
      </c>
      <c r="K35" s="278">
        <f t="shared" si="7"/>
        <v>327.6101695</v>
      </c>
      <c r="L35" s="277">
        <f t="shared" si="5"/>
        <v>-1183963</v>
      </c>
      <c r="M35" s="277">
        <f t="shared" si="3"/>
        <v>-42709</v>
      </c>
      <c r="N35" s="277">
        <f t="shared" si="6"/>
        <v>0</v>
      </c>
      <c r="O35" s="277">
        <f t="shared" si="4"/>
        <v>-43712.35847</v>
      </c>
      <c r="P35" s="264"/>
      <c r="Q35" s="264"/>
      <c r="R35" s="264"/>
      <c r="S35" s="264"/>
      <c r="T35" s="264"/>
      <c r="U35" s="264"/>
      <c r="V35" s="264"/>
      <c r="W35" s="264"/>
      <c r="X35" s="264"/>
      <c r="Y35" s="264"/>
      <c r="Z35" s="264"/>
      <c r="AA35" s="264"/>
      <c r="AB35" s="264"/>
      <c r="AC35" s="264"/>
      <c r="AD35" s="264"/>
      <c r="AE35" s="264"/>
    </row>
    <row r="36">
      <c r="A36" s="272" t="s">
        <v>797</v>
      </c>
      <c r="B36" s="272" t="s">
        <v>793</v>
      </c>
      <c r="C36" s="272" t="s">
        <v>794</v>
      </c>
      <c r="D36" s="279">
        <v>45786.0</v>
      </c>
      <c r="E36" s="267" t="str">
        <f t="shared" si="1"/>
        <v>05 may</v>
      </c>
      <c r="F36" s="274">
        <f t="shared" si="2"/>
        <v>2025</v>
      </c>
      <c r="G36" s="280" t="s">
        <v>826</v>
      </c>
      <c r="H36" s="283" t="s">
        <v>828</v>
      </c>
      <c r="I36" s="284">
        <v>771250.0</v>
      </c>
      <c r="J36" s="276">
        <f>IF(ISBLANK(I36), "", VLOOKUP(E36&amp;" "&amp;F36, 'Info Tipo de Cambio y REM'!$A$24:$B$35, 2, FALSE))
</f>
        <v>1180</v>
      </c>
      <c r="K36" s="278">
        <f t="shared" si="7"/>
        <v>653.6016949</v>
      </c>
      <c r="L36" s="277">
        <f t="shared" si="5"/>
        <v>-412713</v>
      </c>
      <c r="M36" s="277">
        <f t="shared" si="3"/>
        <v>-42709</v>
      </c>
      <c r="N36" s="277">
        <f t="shared" si="6"/>
        <v>0</v>
      </c>
      <c r="O36" s="277">
        <f t="shared" si="4"/>
        <v>-43058.75678</v>
      </c>
      <c r="P36" s="264"/>
      <c r="Q36" s="264"/>
      <c r="R36" s="264"/>
      <c r="S36" s="264"/>
      <c r="T36" s="264"/>
      <c r="U36" s="264"/>
      <c r="V36" s="264"/>
      <c r="W36" s="264"/>
      <c r="X36" s="264"/>
      <c r="Y36" s="264"/>
      <c r="Z36" s="264"/>
      <c r="AA36" s="264"/>
      <c r="AB36" s="264"/>
      <c r="AC36" s="264"/>
      <c r="AD36" s="264"/>
      <c r="AE36" s="264"/>
    </row>
    <row r="37">
      <c r="A37" s="272" t="s">
        <v>795</v>
      </c>
      <c r="B37" s="272" t="s">
        <v>793</v>
      </c>
      <c r="C37" s="272" t="s">
        <v>794</v>
      </c>
      <c r="D37" s="279">
        <v>45786.0</v>
      </c>
      <c r="E37" s="267" t="str">
        <f t="shared" si="1"/>
        <v>05 may</v>
      </c>
      <c r="F37" s="274">
        <f t="shared" si="2"/>
        <v>2025</v>
      </c>
      <c r="G37" s="264"/>
      <c r="H37" s="285" t="s">
        <v>517</v>
      </c>
      <c r="I37" s="284">
        <v>53969.0</v>
      </c>
      <c r="J37" s="276">
        <f>IF(ISBLANK(I37), "", VLOOKUP(E37&amp;" "&amp;F37, 'Info Tipo de Cambio y REM'!$A$24:$B$35, 2, FALSE))
</f>
        <v>1180</v>
      </c>
      <c r="K37" s="278">
        <f t="shared" si="7"/>
        <v>45.73644068</v>
      </c>
      <c r="L37" s="277">
        <f t="shared" si="5"/>
        <v>-466682</v>
      </c>
      <c r="M37" s="277">
        <f t="shared" si="3"/>
        <v>-42709</v>
      </c>
      <c r="N37" s="277">
        <f t="shared" si="6"/>
        <v>0</v>
      </c>
      <c r="O37" s="277">
        <f t="shared" si="4"/>
        <v>-43104.49322</v>
      </c>
      <c r="P37" s="264"/>
      <c r="Q37" s="264"/>
      <c r="R37" s="264"/>
      <c r="S37" s="264"/>
      <c r="T37" s="264"/>
      <c r="U37" s="264"/>
      <c r="V37" s="264"/>
      <c r="W37" s="264"/>
      <c r="X37" s="264"/>
      <c r="Y37" s="264"/>
      <c r="Z37" s="264"/>
      <c r="AA37" s="264"/>
      <c r="AB37" s="264"/>
      <c r="AC37" s="264"/>
      <c r="AD37" s="264"/>
      <c r="AE37" s="264"/>
    </row>
    <row r="38">
      <c r="A38" s="272" t="s">
        <v>795</v>
      </c>
      <c r="B38" s="272" t="s">
        <v>793</v>
      </c>
      <c r="C38" s="272" t="s">
        <v>794</v>
      </c>
      <c r="D38" s="279">
        <v>45789.0</v>
      </c>
      <c r="E38" s="267" t="str">
        <f t="shared" si="1"/>
        <v>05 may</v>
      </c>
      <c r="F38" s="274">
        <f t="shared" si="2"/>
        <v>2025</v>
      </c>
      <c r="G38" s="264"/>
      <c r="H38" s="285" t="s">
        <v>521</v>
      </c>
      <c r="I38" s="275">
        <v>4500000.0</v>
      </c>
      <c r="J38" s="276">
        <f>IF(ISBLANK(I38), "", VLOOKUP(E38&amp;" "&amp;F38, 'Info Tipo de Cambio y REM'!$A$24:$B$35, 2, FALSE))
</f>
        <v>1180</v>
      </c>
      <c r="K38" s="278">
        <f t="shared" si="7"/>
        <v>3813.559322</v>
      </c>
      <c r="L38" s="277">
        <f t="shared" si="5"/>
        <v>-4966682</v>
      </c>
      <c r="M38" s="277">
        <f t="shared" si="3"/>
        <v>-42709</v>
      </c>
      <c r="N38" s="277">
        <f t="shared" si="6"/>
        <v>0</v>
      </c>
      <c r="O38" s="277">
        <f t="shared" si="4"/>
        <v>-46918.05254</v>
      </c>
      <c r="P38" s="264"/>
      <c r="Q38" s="264"/>
      <c r="R38" s="264"/>
      <c r="S38" s="264"/>
      <c r="T38" s="264"/>
      <c r="U38" s="264"/>
      <c r="V38" s="264"/>
      <c r="W38" s="264"/>
      <c r="X38" s="264"/>
      <c r="Y38" s="264"/>
      <c r="Z38" s="264"/>
      <c r="AA38" s="264"/>
      <c r="AB38" s="264"/>
      <c r="AC38" s="264"/>
      <c r="AD38" s="264"/>
      <c r="AE38" s="264"/>
    </row>
    <row r="39">
      <c r="A39" s="272" t="s">
        <v>795</v>
      </c>
      <c r="B39" s="272" t="s">
        <v>144</v>
      </c>
      <c r="C39" s="272" t="s">
        <v>791</v>
      </c>
      <c r="D39" s="279">
        <v>45790.0</v>
      </c>
      <c r="E39" s="267" t="str">
        <f t="shared" si="1"/>
        <v>05 may</v>
      </c>
      <c r="F39" s="274">
        <f t="shared" si="2"/>
        <v>2025</v>
      </c>
      <c r="G39" s="272" t="s">
        <v>796</v>
      </c>
      <c r="H39" s="264"/>
      <c r="I39" s="264"/>
      <c r="J39" s="276" t="str">
        <f>IF(ISBLANK(I39), "", VLOOKUP(E39&amp;" "&amp;F39, 'Info Tipo de Cambio y REM'!$A$24:$B$35, 2, FALSE))
</f>
        <v/>
      </c>
      <c r="K39" s="275">
        <v>6000.0</v>
      </c>
      <c r="L39" s="277">
        <f t="shared" si="5"/>
        <v>-4966682</v>
      </c>
      <c r="M39" s="277">
        <f t="shared" si="3"/>
        <v>-48709</v>
      </c>
      <c r="N39" s="277">
        <f t="shared" si="6"/>
        <v>0</v>
      </c>
      <c r="O39" s="277">
        <f t="shared" si="4"/>
        <v>-52918.05254</v>
      </c>
      <c r="P39" s="264"/>
      <c r="Q39" s="264"/>
      <c r="R39" s="264"/>
      <c r="S39" s="264"/>
      <c r="T39" s="264"/>
      <c r="U39" s="264"/>
      <c r="V39" s="264"/>
      <c r="W39" s="264"/>
      <c r="X39" s="264"/>
      <c r="Y39" s="264"/>
      <c r="Z39" s="264"/>
      <c r="AA39" s="264"/>
      <c r="AB39" s="264"/>
      <c r="AC39" s="264"/>
      <c r="AD39" s="264"/>
      <c r="AE39" s="264"/>
    </row>
    <row r="40">
      <c r="A40" s="272" t="s">
        <v>797</v>
      </c>
      <c r="B40" s="272" t="s">
        <v>793</v>
      </c>
      <c r="C40" s="272" t="s">
        <v>794</v>
      </c>
      <c r="D40" s="279">
        <v>45791.0</v>
      </c>
      <c r="E40" s="267" t="str">
        <f t="shared" si="1"/>
        <v>05 may</v>
      </c>
      <c r="F40" s="274">
        <f t="shared" si="2"/>
        <v>2025</v>
      </c>
      <c r="G40" s="272" t="s">
        <v>796</v>
      </c>
      <c r="H40" s="264"/>
      <c r="I40" s="284">
        <v>6900000.0</v>
      </c>
      <c r="J40" s="276">
        <f>IF(ISBLANK(I40), "", VLOOKUP(E40&amp;" "&amp;F40, 'Info Tipo de Cambio y REM'!$A$24:$B$35, 2, FALSE))
</f>
        <v>1180</v>
      </c>
      <c r="K40" s="286">
        <f t="shared" ref="K40:K43" si="8">I40/J40</f>
        <v>5847.457627</v>
      </c>
      <c r="L40" s="277">
        <f t="shared" si="5"/>
        <v>1933318</v>
      </c>
      <c r="M40" s="277">
        <f t="shared" si="3"/>
        <v>-48709</v>
      </c>
      <c r="N40" s="277">
        <f t="shared" si="6"/>
        <v>0</v>
      </c>
      <c r="O40" s="277">
        <f t="shared" si="4"/>
        <v>-47070.59492</v>
      </c>
      <c r="P40" s="264"/>
      <c r="Q40" s="264"/>
      <c r="R40" s="264"/>
      <c r="S40" s="264"/>
      <c r="T40" s="264"/>
      <c r="U40" s="264"/>
      <c r="V40" s="264"/>
      <c r="W40" s="264"/>
      <c r="X40" s="264"/>
      <c r="Y40" s="264"/>
      <c r="Z40" s="264"/>
      <c r="AA40" s="264"/>
      <c r="AB40" s="264"/>
      <c r="AC40" s="264"/>
      <c r="AD40" s="264"/>
      <c r="AE40" s="264"/>
    </row>
    <row r="41">
      <c r="A41" s="272" t="s">
        <v>795</v>
      </c>
      <c r="B41" s="272" t="s">
        <v>793</v>
      </c>
      <c r="C41" s="272" t="s">
        <v>794</v>
      </c>
      <c r="D41" s="279">
        <v>45795.0</v>
      </c>
      <c r="E41" s="267" t="str">
        <f t="shared" si="1"/>
        <v>05 may</v>
      </c>
      <c r="F41" s="274">
        <f t="shared" si="2"/>
        <v>2025</v>
      </c>
      <c r="G41" s="264"/>
      <c r="H41" s="285" t="s">
        <v>518</v>
      </c>
      <c r="I41" s="275">
        <v>329085.0</v>
      </c>
      <c r="J41" s="276">
        <f>IF(ISBLANK(I41), "", VLOOKUP(E41&amp;" "&amp;F41, 'Info Tipo de Cambio y REM'!$A$24:$B$35, 2, FALSE))
</f>
        <v>1180</v>
      </c>
      <c r="K41" s="286">
        <f t="shared" si="8"/>
        <v>278.8855932</v>
      </c>
      <c r="L41" s="277">
        <f t="shared" si="5"/>
        <v>1604233</v>
      </c>
      <c r="M41" s="277">
        <f t="shared" si="3"/>
        <v>-48709</v>
      </c>
      <c r="N41" s="277">
        <f t="shared" si="6"/>
        <v>0</v>
      </c>
      <c r="O41" s="277">
        <f t="shared" si="4"/>
        <v>-47349.48051</v>
      </c>
      <c r="P41" s="264"/>
      <c r="Q41" s="264"/>
      <c r="R41" s="264"/>
      <c r="S41" s="264"/>
      <c r="T41" s="264"/>
      <c r="U41" s="264"/>
      <c r="V41" s="264"/>
      <c r="W41" s="264"/>
      <c r="X41" s="264"/>
      <c r="Y41" s="264"/>
      <c r="Z41" s="264"/>
      <c r="AA41" s="264"/>
      <c r="AB41" s="264"/>
      <c r="AC41" s="264"/>
      <c r="AD41" s="264"/>
      <c r="AE41" s="264"/>
    </row>
    <row r="42">
      <c r="A42" s="272" t="s">
        <v>795</v>
      </c>
      <c r="B42" s="272" t="s">
        <v>793</v>
      </c>
      <c r="C42" s="272" t="s">
        <v>794</v>
      </c>
      <c r="D42" s="279">
        <v>45793.0</v>
      </c>
      <c r="E42" s="267" t="str">
        <f t="shared" si="1"/>
        <v>05 may</v>
      </c>
      <c r="F42" s="274">
        <f t="shared" si="2"/>
        <v>2025</v>
      </c>
      <c r="G42" s="264"/>
      <c r="H42" s="287" t="s">
        <v>519</v>
      </c>
      <c r="I42" s="284">
        <v>1694577.0</v>
      </c>
      <c r="J42" s="276">
        <f>IF(ISBLANK(I42), "", VLOOKUP(E42&amp;" "&amp;F42, 'Info Tipo de Cambio y REM'!$A$24:$B$35, 2, FALSE))
</f>
        <v>1180</v>
      </c>
      <c r="K42" s="286">
        <f t="shared" si="8"/>
        <v>1436.082203</v>
      </c>
      <c r="L42" s="277">
        <f t="shared" si="5"/>
        <v>-90344</v>
      </c>
      <c r="M42" s="277">
        <f t="shared" si="3"/>
        <v>-48709</v>
      </c>
      <c r="N42" s="277">
        <f t="shared" si="6"/>
        <v>0</v>
      </c>
      <c r="O42" s="277">
        <f t="shared" si="4"/>
        <v>-48785.56271</v>
      </c>
      <c r="P42" s="264"/>
      <c r="Q42" s="264"/>
      <c r="R42" s="264"/>
      <c r="S42" s="264"/>
      <c r="T42" s="264"/>
      <c r="U42" s="264"/>
      <c r="V42" s="264"/>
      <c r="W42" s="264"/>
      <c r="X42" s="264"/>
      <c r="Y42" s="264"/>
      <c r="Z42" s="264"/>
      <c r="AA42" s="264"/>
      <c r="AB42" s="264"/>
      <c r="AC42" s="264"/>
      <c r="AD42" s="264"/>
      <c r="AE42" s="264"/>
    </row>
    <row r="43">
      <c r="A43" s="288" t="s">
        <v>795</v>
      </c>
      <c r="B43" s="272" t="s">
        <v>793</v>
      </c>
      <c r="C43" s="272" t="s">
        <v>794</v>
      </c>
      <c r="D43" s="279">
        <v>45792.0</v>
      </c>
      <c r="E43" s="267" t="str">
        <f t="shared" si="1"/>
        <v>05 may</v>
      </c>
      <c r="F43" s="274">
        <f t="shared" si="2"/>
        <v>2025</v>
      </c>
      <c r="G43" s="280" t="s">
        <v>829</v>
      </c>
      <c r="H43" s="280" t="s">
        <v>534</v>
      </c>
      <c r="I43" s="284">
        <v>133705.0</v>
      </c>
      <c r="J43" s="276">
        <f>IF(ISBLANK(I43), "", VLOOKUP(E43&amp;" "&amp;F43, 'Info Tipo de Cambio y REM'!$A$24:$B$35, 2, FALSE))
</f>
        <v>1180</v>
      </c>
      <c r="K43" s="286">
        <f t="shared" si="8"/>
        <v>113.309322</v>
      </c>
      <c r="L43" s="277">
        <f t="shared" si="5"/>
        <v>-224049</v>
      </c>
      <c r="M43" s="277">
        <f t="shared" si="3"/>
        <v>-48709</v>
      </c>
      <c r="N43" s="277">
        <f t="shared" si="6"/>
        <v>0</v>
      </c>
      <c r="O43" s="277">
        <f t="shared" si="4"/>
        <v>-48898.87203</v>
      </c>
      <c r="P43" s="264"/>
      <c r="Q43" s="264"/>
      <c r="R43" s="264"/>
      <c r="S43" s="264"/>
      <c r="T43" s="264"/>
      <c r="U43" s="264"/>
      <c r="V43" s="264"/>
      <c r="W43" s="264"/>
      <c r="X43" s="264"/>
      <c r="Y43" s="264"/>
      <c r="Z43" s="264"/>
      <c r="AA43" s="264"/>
      <c r="AB43" s="264"/>
      <c r="AC43" s="264"/>
      <c r="AD43" s="264"/>
      <c r="AE43" s="264"/>
    </row>
    <row r="44">
      <c r="A44" s="288" t="s">
        <v>797</v>
      </c>
      <c r="B44" s="272" t="s">
        <v>144</v>
      </c>
      <c r="C44" s="272" t="s">
        <v>791</v>
      </c>
      <c r="D44" s="279">
        <v>45779.0</v>
      </c>
      <c r="E44" s="267" t="str">
        <f t="shared" si="1"/>
        <v>05 may</v>
      </c>
      <c r="F44" s="274">
        <f t="shared" si="2"/>
        <v>2025</v>
      </c>
      <c r="G44" s="289" t="s">
        <v>830</v>
      </c>
      <c r="H44" s="280"/>
      <c r="I44" s="275"/>
      <c r="J44" s="276" t="str">
        <f>IF(ISBLANK(I44), "", VLOOKUP(E44&amp;" "&amp;F44, 'Info Tipo de Cambio y REM'!$A$24:$B$35, 2, FALSE))
</f>
        <v/>
      </c>
      <c r="K44" s="278">
        <v>13450.0</v>
      </c>
      <c r="L44" s="277">
        <f t="shared" si="5"/>
        <v>-224049</v>
      </c>
      <c r="M44" s="277">
        <f t="shared" si="3"/>
        <v>-35259</v>
      </c>
      <c r="N44" s="277">
        <f t="shared" si="6"/>
        <v>0</v>
      </c>
      <c r="O44" s="277">
        <f t="shared" si="4"/>
        <v>-35448.87203</v>
      </c>
      <c r="P44" s="264"/>
      <c r="Q44" s="264"/>
      <c r="R44" s="264"/>
      <c r="S44" s="264"/>
      <c r="T44" s="264"/>
      <c r="U44" s="264"/>
      <c r="V44" s="264"/>
      <c r="W44" s="264"/>
      <c r="X44" s="264"/>
      <c r="Y44" s="264"/>
      <c r="Z44" s="264"/>
      <c r="AA44" s="264"/>
      <c r="AB44" s="264"/>
      <c r="AC44" s="264"/>
      <c r="AD44" s="264"/>
      <c r="AE44" s="264"/>
    </row>
    <row r="45">
      <c r="A45" s="272" t="s">
        <v>797</v>
      </c>
      <c r="B45" s="272" t="s">
        <v>144</v>
      </c>
      <c r="C45" s="272" t="s">
        <v>791</v>
      </c>
      <c r="D45" s="282">
        <v>45790.0</v>
      </c>
      <c r="E45" s="267" t="str">
        <f t="shared" si="1"/>
        <v>05 may</v>
      </c>
      <c r="F45" s="274">
        <f t="shared" si="2"/>
        <v>2025</v>
      </c>
      <c r="G45" s="289" t="s">
        <v>831</v>
      </c>
      <c r="H45" s="272" t="s">
        <v>248</v>
      </c>
      <c r="I45" s="277"/>
      <c r="J45" s="276" t="str">
        <f>IF(ISBLANK(I45), "", VLOOKUP(E45&amp;" "&amp;F45, 'Info Tipo de Cambio y REM'!$A$24:$B$35, 2, FALSE))
</f>
        <v/>
      </c>
      <c r="K45" s="278">
        <v>1750.0</v>
      </c>
      <c r="L45" s="277">
        <f t="shared" si="5"/>
        <v>-224049</v>
      </c>
      <c r="M45" s="277">
        <f t="shared" si="3"/>
        <v>-33509</v>
      </c>
      <c r="N45" s="277">
        <f t="shared" si="6"/>
        <v>0</v>
      </c>
      <c r="O45" s="277">
        <f t="shared" si="4"/>
        <v>-33698.87203</v>
      </c>
      <c r="P45" s="264"/>
      <c r="Q45" s="264"/>
      <c r="R45" s="264"/>
      <c r="S45" s="264"/>
      <c r="T45" s="264"/>
      <c r="U45" s="264"/>
      <c r="V45" s="264"/>
      <c r="W45" s="264"/>
      <c r="X45" s="264"/>
      <c r="Y45" s="264"/>
      <c r="Z45" s="264"/>
      <c r="AA45" s="264"/>
      <c r="AB45" s="264"/>
      <c r="AC45" s="264"/>
      <c r="AD45" s="264"/>
      <c r="AE45" s="264"/>
    </row>
    <row r="46">
      <c r="A46" s="272" t="s">
        <v>795</v>
      </c>
      <c r="B46" s="272" t="s">
        <v>144</v>
      </c>
      <c r="C46" s="272" t="s">
        <v>791</v>
      </c>
      <c r="D46" s="279">
        <v>45778.0</v>
      </c>
      <c r="E46" s="267" t="str">
        <f t="shared" si="1"/>
        <v>05 may</v>
      </c>
      <c r="F46" s="274">
        <f t="shared" si="2"/>
        <v>2025</v>
      </c>
      <c r="G46" s="289" t="s">
        <v>536</v>
      </c>
      <c r="H46" s="272"/>
      <c r="I46" s="277"/>
      <c r="J46" s="276" t="str">
        <f>IF(ISBLANK(I46), "", VLOOKUP(E46&amp;" "&amp;F46, 'Info Tipo de Cambio y REM'!$A$24:$B$35, 2, FALSE))
</f>
        <v/>
      </c>
      <c r="K46" s="290">
        <v>50.03</v>
      </c>
      <c r="L46" s="277">
        <f t="shared" si="5"/>
        <v>-224049</v>
      </c>
      <c r="M46" s="277">
        <f t="shared" si="3"/>
        <v>-33559.03</v>
      </c>
      <c r="N46" s="277">
        <f t="shared" si="6"/>
        <v>0</v>
      </c>
      <c r="O46" s="277">
        <f t="shared" si="4"/>
        <v>-33748.90203</v>
      </c>
      <c r="P46" s="264"/>
      <c r="Q46" s="264"/>
      <c r="R46" s="264"/>
      <c r="S46" s="264"/>
      <c r="T46" s="264"/>
      <c r="U46" s="264"/>
      <c r="V46" s="264"/>
      <c r="W46" s="264"/>
      <c r="X46" s="264"/>
      <c r="Y46" s="264"/>
      <c r="Z46" s="264"/>
      <c r="AA46" s="264"/>
      <c r="AB46" s="264"/>
      <c r="AC46" s="264"/>
      <c r="AD46" s="264"/>
      <c r="AE46" s="264"/>
    </row>
    <row r="47">
      <c r="A47" s="272" t="s">
        <v>795</v>
      </c>
      <c r="B47" s="272" t="s">
        <v>144</v>
      </c>
      <c r="C47" s="272" t="s">
        <v>791</v>
      </c>
      <c r="D47" s="279">
        <v>45778.0</v>
      </c>
      <c r="E47" s="267" t="str">
        <f t="shared" si="1"/>
        <v>05 may</v>
      </c>
      <c r="F47" s="274">
        <f t="shared" si="2"/>
        <v>2025</v>
      </c>
      <c r="G47" s="289" t="s">
        <v>832</v>
      </c>
      <c r="H47" s="272"/>
      <c r="I47" s="277"/>
      <c r="J47" s="276" t="str">
        <f>IF(ISBLANK(I47), "", VLOOKUP(E47&amp;" "&amp;F47, 'Info Tipo de Cambio y REM'!$A$24:$B$35, 2, FALSE))
</f>
        <v/>
      </c>
      <c r="K47" s="290">
        <v>12.0</v>
      </c>
      <c r="L47" s="277">
        <f t="shared" si="5"/>
        <v>-224049</v>
      </c>
      <c r="M47" s="277">
        <f t="shared" si="3"/>
        <v>-33571.03</v>
      </c>
      <c r="N47" s="277">
        <f t="shared" si="6"/>
        <v>0</v>
      </c>
      <c r="O47" s="277">
        <f t="shared" si="4"/>
        <v>-33760.90203</v>
      </c>
      <c r="P47" s="264"/>
      <c r="Q47" s="264"/>
      <c r="R47" s="264"/>
      <c r="S47" s="264"/>
      <c r="T47" s="264"/>
      <c r="U47" s="264"/>
      <c r="V47" s="264"/>
      <c r="W47" s="264"/>
      <c r="X47" s="264"/>
      <c r="Y47" s="264"/>
      <c r="Z47" s="264"/>
      <c r="AA47" s="264"/>
      <c r="AB47" s="264"/>
      <c r="AC47" s="264"/>
      <c r="AD47" s="264"/>
      <c r="AE47" s="264"/>
    </row>
    <row r="48">
      <c r="A48" s="272" t="s">
        <v>795</v>
      </c>
      <c r="B48" s="272" t="s">
        <v>144</v>
      </c>
      <c r="C48" s="272" t="s">
        <v>791</v>
      </c>
      <c r="D48" s="279">
        <v>45779.0</v>
      </c>
      <c r="E48" s="267" t="str">
        <f t="shared" si="1"/>
        <v>05 may</v>
      </c>
      <c r="F48" s="274">
        <f t="shared" si="2"/>
        <v>2025</v>
      </c>
      <c r="G48" s="289" t="s">
        <v>537</v>
      </c>
      <c r="H48" s="264"/>
      <c r="I48" s="277"/>
      <c r="J48" s="276" t="str">
        <f>IF(ISBLANK(I48), "", VLOOKUP(E48&amp;" "&amp;F48, 'Info Tipo de Cambio y REM'!$A$24:$B$35, 2, FALSE))
</f>
        <v/>
      </c>
      <c r="K48" s="290">
        <v>630.08</v>
      </c>
      <c r="L48" s="277">
        <f t="shared" si="5"/>
        <v>-224049</v>
      </c>
      <c r="M48" s="277">
        <f t="shared" si="3"/>
        <v>-34201.11</v>
      </c>
      <c r="N48" s="277">
        <f t="shared" si="6"/>
        <v>0</v>
      </c>
      <c r="O48" s="277">
        <f t="shared" si="4"/>
        <v>-34390.98203</v>
      </c>
      <c r="P48" s="264"/>
      <c r="Q48" s="264"/>
      <c r="R48" s="264"/>
      <c r="S48" s="264"/>
      <c r="T48" s="264"/>
      <c r="U48" s="264"/>
      <c r="V48" s="264"/>
      <c r="W48" s="264"/>
      <c r="X48" s="264"/>
      <c r="Y48" s="264"/>
      <c r="Z48" s="264"/>
      <c r="AA48" s="264"/>
      <c r="AB48" s="264"/>
      <c r="AC48" s="264"/>
      <c r="AD48" s="264"/>
      <c r="AE48" s="264"/>
    </row>
    <row r="49">
      <c r="A49" s="272" t="s">
        <v>795</v>
      </c>
      <c r="B49" s="272" t="s">
        <v>144</v>
      </c>
      <c r="C49" s="272" t="s">
        <v>791</v>
      </c>
      <c r="D49" s="279">
        <v>45779.0</v>
      </c>
      <c r="E49" s="267" t="str">
        <f t="shared" si="1"/>
        <v>05 may</v>
      </c>
      <c r="F49" s="274">
        <f t="shared" si="2"/>
        <v>2025</v>
      </c>
      <c r="G49" s="289" t="s">
        <v>833</v>
      </c>
      <c r="H49" s="264"/>
      <c r="I49" s="277"/>
      <c r="J49" s="276" t="str">
        <f>IF(ISBLANK(I49), "", VLOOKUP(E49&amp;" "&amp;F49, 'Info Tipo de Cambio y REM'!$A$24:$B$35, 2, FALSE))
</f>
        <v/>
      </c>
      <c r="K49" s="290">
        <v>7.07</v>
      </c>
      <c r="L49" s="277">
        <f t="shared" si="5"/>
        <v>-224049</v>
      </c>
      <c r="M49" s="277">
        <f t="shared" si="3"/>
        <v>-34208.18</v>
      </c>
      <c r="N49" s="277">
        <f t="shared" si="6"/>
        <v>0</v>
      </c>
      <c r="O49" s="277">
        <f t="shared" si="4"/>
        <v>-34398.05203</v>
      </c>
      <c r="P49" s="264"/>
      <c r="Q49" s="264"/>
      <c r="R49" s="264"/>
      <c r="S49" s="264"/>
      <c r="T49" s="264"/>
      <c r="U49" s="264"/>
      <c r="V49" s="264"/>
      <c r="W49" s="264"/>
      <c r="X49" s="264"/>
      <c r="Y49" s="264"/>
      <c r="Z49" s="264"/>
      <c r="AA49" s="264"/>
      <c r="AB49" s="264"/>
      <c r="AC49" s="264"/>
      <c r="AD49" s="264"/>
      <c r="AE49" s="264"/>
    </row>
    <row r="50">
      <c r="A50" s="272" t="s">
        <v>795</v>
      </c>
      <c r="B50" s="272" t="s">
        <v>144</v>
      </c>
      <c r="C50" s="272" t="s">
        <v>791</v>
      </c>
      <c r="D50" s="279">
        <v>45782.0</v>
      </c>
      <c r="E50" s="267" t="str">
        <f t="shared" si="1"/>
        <v>05 may</v>
      </c>
      <c r="F50" s="274">
        <f t="shared" si="2"/>
        <v>2025</v>
      </c>
      <c r="G50" s="289" t="s">
        <v>834</v>
      </c>
      <c r="H50" s="264"/>
      <c r="I50" s="277"/>
      <c r="J50" s="276" t="str">
        <f>IF(ISBLANK(I50), "", VLOOKUP(E50&amp;" "&amp;F50, 'Info Tipo de Cambio y REM'!$A$24:$B$35, 2, FALSE))
</f>
        <v/>
      </c>
      <c r="K50" s="290">
        <v>14.19</v>
      </c>
      <c r="L50" s="277">
        <f t="shared" si="5"/>
        <v>-224049</v>
      </c>
      <c r="M50" s="277">
        <f t="shared" si="3"/>
        <v>-34222.37</v>
      </c>
      <c r="N50" s="277">
        <f t="shared" si="6"/>
        <v>0</v>
      </c>
      <c r="O50" s="277">
        <f t="shared" si="4"/>
        <v>-34412.24203</v>
      </c>
      <c r="P50" s="264"/>
      <c r="Q50" s="264"/>
      <c r="R50" s="264"/>
      <c r="S50" s="264"/>
      <c r="T50" s="264"/>
      <c r="U50" s="264"/>
      <c r="V50" s="264"/>
      <c r="W50" s="264"/>
      <c r="X50" s="264"/>
      <c r="Y50" s="264"/>
      <c r="Z50" s="264"/>
      <c r="AA50" s="264"/>
      <c r="AB50" s="264"/>
      <c r="AC50" s="264"/>
      <c r="AD50" s="264"/>
      <c r="AE50" s="264"/>
    </row>
    <row r="51">
      <c r="A51" s="272" t="s">
        <v>795</v>
      </c>
      <c r="B51" s="272" t="s">
        <v>144</v>
      </c>
      <c r="C51" s="272" t="s">
        <v>791</v>
      </c>
      <c r="D51" s="279">
        <v>45782.0</v>
      </c>
      <c r="E51" s="267" t="str">
        <f t="shared" si="1"/>
        <v>05 may</v>
      </c>
      <c r="F51" s="274">
        <f t="shared" si="2"/>
        <v>2025</v>
      </c>
      <c r="G51" s="289" t="s">
        <v>538</v>
      </c>
      <c r="H51" s="264"/>
      <c r="I51" s="277"/>
      <c r="J51" s="276" t="str">
        <f>IF(ISBLANK(I51), "", VLOOKUP(E51&amp;" "&amp;F51, 'Info Tipo de Cambio y REM'!$A$24:$B$35, 2, FALSE))
</f>
        <v/>
      </c>
      <c r="K51" s="290">
        <v>22.99</v>
      </c>
      <c r="L51" s="277">
        <f t="shared" si="5"/>
        <v>-224049</v>
      </c>
      <c r="M51" s="277">
        <f t="shared" si="3"/>
        <v>-34245.36</v>
      </c>
      <c r="N51" s="277">
        <f t="shared" si="6"/>
        <v>0</v>
      </c>
      <c r="O51" s="277">
        <f t="shared" si="4"/>
        <v>-34435.23203</v>
      </c>
      <c r="P51" s="264"/>
      <c r="Q51" s="264"/>
      <c r="R51" s="264"/>
      <c r="S51" s="264"/>
      <c r="T51" s="264"/>
      <c r="U51" s="264"/>
      <c r="V51" s="264"/>
      <c r="W51" s="264"/>
      <c r="X51" s="264"/>
      <c r="Y51" s="264"/>
      <c r="Z51" s="264"/>
      <c r="AA51" s="264"/>
      <c r="AB51" s="264"/>
      <c r="AC51" s="264"/>
      <c r="AD51" s="264"/>
      <c r="AE51" s="264"/>
    </row>
    <row r="52">
      <c r="A52" s="272" t="s">
        <v>795</v>
      </c>
      <c r="B52" s="272" t="s">
        <v>144</v>
      </c>
      <c r="C52" s="272" t="s">
        <v>791</v>
      </c>
      <c r="D52" s="279">
        <v>45782.0</v>
      </c>
      <c r="E52" s="267" t="str">
        <f t="shared" si="1"/>
        <v>05 may</v>
      </c>
      <c r="F52" s="274">
        <f t="shared" si="2"/>
        <v>2025</v>
      </c>
      <c r="G52" s="289" t="s">
        <v>539</v>
      </c>
      <c r="H52" s="264"/>
      <c r="I52" s="277"/>
      <c r="J52" s="276" t="str">
        <f>IF(ISBLANK(I52), "", VLOOKUP(E52&amp;" "&amp;F52, 'Info Tipo de Cambio y REM'!$A$24:$B$35, 2, FALSE))
</f>
        <v/>
      </c>
      <c r="K52" s="290">
        <v>46.41</v>
      </c>
      <c r="L52" s="277">
        <f t="shared" si="5"/>
        <v>-224049</v>
      </c>
      <c r="M52" s="277">
        <f t="shared" si="3"/>
        <v>-34291.77</v>
      </c>
      <c r="N52" s="277">
        <f t="shared" si="6"/>
        <v>0</v>
      </c>
      <c r="O52" s="277">
        <f t="shared" si="4"/>
        <v>-34481.64203</v>
      </c>
      <c r="P52" s="264"/>
      <c r="Q52" s="264"/>
      <c r="R52" s="264"/>
      <c r="S52" s="264"/>
      <c r="T52" s="264"/>
      <c r="U52" s="264"/>
      <c r="V52" s="264"/>
      <c r="W52" s="264"/>
      <c r="X52" s="264"/>
      <c r="Y52" s="264"/>
      <c r="Z52" s="264"/>
      <c r="AA52" s="264"/>
      <c r="AB52" s="264"/>
      <c r="AC52" s="264"/>
      <c r="AD52" s="264"/>
      <c r="AE52" s="264"/>
    </row>
    <row r="53">
      <c r="A53" s="272" t="s">
        <v>795</v>
      </c>
      <c r="B53" s="272" t="s">
        <v>144</v>
      </c>
      <c r="C53" s="272" t="s">
        <v>791</v>
      </c>
      <c r="D53" s="279">
        <v>45783.0</v>
      </c>
      <c r="E53" s="267" t="str">
        <f t="shared" si="1"/>
        <v>05 may</v>
      </c>
      <c r="F53" s="274">
        <f t="shared" si="2"/>
        <v>2025</v>
      </c>
      <c r="G53" s="289" t="s">
        <v>540</v>
      </c>
      <c r="H53" s="264"/>
      <c r="I53" s="277"/>
      <c r="J53" s="276" t="str">
        <f>IF(ISBLANK(I53), "", VLOOKUP(E53&amp;" "&amp;F53, 'Info Tipo de Cambio y REM'!$A$24:$B$35, 2, FALSE))
</f>
        <v/>
      </c>
      <c r="K53" s="290">
        <v>500.47</v>
      </c>
      <c r="L53" s="277">
        <f t="shared" si="5"/>
        <v>-224049</v>
      </c>
      <c r="M53" s="277">
        <f t="shared" si="3"/>
        <v>-34792.24</v>
      </c>
      <c r="N53" s="277">
        <f t="shared" si="6"/>
        <v>0</v>
      </c>
      <c r="O53" s="277">
        <f t="shared" si="4"/>
        <v>-34982.11203</v>
      </c>
      <c r="P53" s="264"/>
      <c r="Q53" s="264"/>
      <c r="R53" s="264"/>
      <c r="S53" s="264"/>
      <c r="T53" s="264"/>
      <c r="U53" s="264"/>
      <c r="V53" s="264"/>
      <c r="W53" s="264"/>
      <c r="X53" s="264"/>
      <c r="Y53" s="264"/>
      <c r="Z53" s="264"/>
      <c r="AA53" s="264"/>
      <c r="AB53" s="264"/>
      <c r="AC53" s="264"/>
      <c r="AD53" s="264"/>
      <c r="AE53" s="264"/>
    </row>
    <row r="54">
      <c r="A54" s="272" t="s">
        <v>795</v>
      </c>
      <c r="B54" s="272" t="s">
        <v>144</v>
      </c>
      <c r="C54" s="272" t="s">
        <v>791</v>
      </c>
      <c r="D54" s="279">
        <v>45784.0</v>
      </c>
      <c r="E54" s="267" t="str">
        <f t="shared" si="1"/>
        <v>05 may</v>
      </c>
      <c r="F54" s="274">
        <f t="shared" si="2"/>
        <v>2025</v>
      </c>
      <c r="G54" s="289" t="s">
        <v>541</v>
      </c>
      <c r="H54" s="264"/>
      <c r="I54" s="277"/>
      <c r="J54" s="276" t="str">
        <f>IF(ISBLANK(I54), "", VLOOKUP(E54&amp;" "&amp;F54, 'Info Tipo de Cambio y REM'!$A$24:$B$35, 2, FALSE))
</f>
        <v/>
      </c>
      <c r="K54" s="290">
        <v>20.0</v>
      </c>
      <c r="L54" s="277">
        <f t="shared" si="5"/>
        <v>-224049</v>
      </c>
      <c r="M54" s="277">
        <f t="shared" si="3"/>
        <v>-34812.24</v>
      </c>
      <c r="N54" s="277">
        <f t="shared" si="6"/>
        <v>0</v>
      </c>
      <c r="O54" s="277">
        <f t="shared" si="4"/>
        <v>-35002.11203</v>
      </c>
      <c r="P54" s="264"/>
      <c r="Q54" s="264"/>
      <c r="R54" s="264"/>
      <c r="S54" s="264"/>
      <c r="T54" s="264"/>
      <c r="U54" s="264"/>
      <c r="V54" s="264"/>
      <c r="W54" s="264"/>
      <c r="X54" s="264"/>
      <c r="Y54" s="264"/>
      <c r="Z54" s="264"/>
      <c r="AA54" s="264"/>
      <c r="AB54" s="264"/>
      <c r="AC54" s="264"/>
      <c r="AD54" s="264"/>
      <c r="AE54" s="264"/>
    </row>
    <row r="55">
      <c r="A55" s="272" t="s">
        <v>795</v>
      </c>
      <c r="B55" s="272" t="s">
        <v>144</v>
      </c>
      <c r="C55" s="272" t="s">
        <v>791</v>
      </c>
      <c r="D55" s="279">
        <v>45785.0</v>
      </c>
      <c r="E55" s="267" t="str">
        <f t="shared" si="1"/>
        <v>05 may</v>
      </c>
      <c r="F55" s="274">
        <f t="shared" si="2"/>
        <v>2025</v>
      </c>
      <c r="G55" s="289" t="s">
        <v>542</v>
      </c>
      <c r="H55" s="264"/>
      <c r="I55" s="277"/>
      <c r="J55" s="276" t="str">
        <f>IF(ISBLANK(I55), "", VLOOKUP(E55&amp;" "&amp;F55, 'Info Tipo de Cambio y REM'!$A$24:$B$35, 2, FALSE))
</f>
        <v/>
      </c>
      <c r="K55" s="290">
        <v>6.49</v>
      </c>
      <c r="L55" s="277">
        <f t="shared" si="5"/>
        <v>-224049</v>
      </c>
      <c r="M55" s="277">
        <f t="shared" si="3"/>
        <v>-34818.73</v>
      </c>
      <c r="N55" s="277">
        <f t="shared" si="6"/>
        <v>0</v>
      </c>
      <c r="O55" s="277">
        <f t="shared" si="4"/>
        <v>-35008.60203</v>
      </c>
      <c r="P55" s="264"/>
      <c r="Q55" s="264"/>
      <c r="R55" s="264"/>
      <c r="S55" s="264"/>
      <c r="T55" s="264"/>
      <c r="U55" s="264"/>
      <c r="V55" s="264"/>
      <c r="W55" s="264"/>
      <c r="X55" s="264"/>
      <c r="Y55" s="264"/>
      <c r="Z55" s="264"/>
      <c r="AA55" s="264"/>
      <c r="AB55" s="264"/>
      <c r="AC55" s="264"/>
      <c r="AD55" s="264"/>
      <c r="AE55" s="264"/>
    </row>
    <row r="56">
      <c r="A56" s="272" t="s">
        <v>795</v>
      </c>
      <c r="B56" s="272" t="s">
        <v>144</v>
      </c>
      <c r="C56" s="272" t="s">
        <v>791</v>
      </c>
      <c r="D56" s="279">
        <v>45785.0</v>
      </c>
      <c r="E56" s="267" t="str">
        <f t="shared" si="1"/>
        <v>05 may</v>
      </c>
      <c r="F56" s="274">
        <f t="shared" si="2"/>
        <v>2025</v>
      </c>
      <c r="G56" s="289" t="s">
        <v>543</v>
      </c>
      <c r="H56" s="264"/>
      <c r="I56" s="277"/>
      <c r="J56" s="276" t="str">
        <f>IF(ISBLANK(I56), "", VLOOKUP(E56&amp;" "&amp;F56, 'Info Tipo de Cambio y REM'!$A$24:$B$35, 2, FALSE))
</f>
        <v/>
      </c>
      <c r="K56" s="290">
        <v>29.0</v>
      </c>
      <c r="L56" s="277">
        <f t="shared" si="5"/>
        <v>-224049</v>
      </c>
      <c r="M56" s="277">
        <f t="shared" si="3"/>
        <v>-34847.73</v>
      </c>
      <c r="N56" s="277">
        <f t="shared" si="6"/>
        <v>0</v>
      </c>
      <c r="O56" s="277">
        <f t="shared" si="4"/>
        <v>-35037.60203</v>
      </c>
      <c r="P56" s="264"/>
      <c r="Q56" s="264"/>
      <c r="R56" s="264"/>
      <c r="S56" s="264"/>
      <c r="T56" s="264"/>
      <c r="U56" s="264"/>
      <c r="V56" s="264"/>
      <c r="W56" s="264"/>
      <c r="X56" s="264"/>
      <c r="Y56" s="264"/>
      <c r="Z56" s="264"/>
      <c r="AA56" s="264"/>
      <c r="AB56" s="264"/>
      <c r="AC56" s="264"/>
      <c r="AD56" s="264"/>
      <c r="AE56" s="264"/>
    </row>
    <row r="57">
      <c r="A57" s="272" t="s">
        <v>795</v>
      </c>
      <c r="B57" s="272" t="s">
        <v>144</v>
      </c>
      <c r="C57" s="272" t="s">
        <v>791</v>
      </c>
      <c r="D57" s="279">
        <v>45785.0</v>
      </c>
      <c r="E57" s="267" t="str">
        <f t="shared" si="1"/>
        <v>05 may</v>
      </c>
      <c r="F57" s="274">
        <f t="shared" si="2"/>
        <v>2025</v>
      </c>
      <c r="G57" s="289" t="s">
        <v>835</v>
      </c>
      <c r="H57" s="264"/>
      <c r="I57" s="277"/>
      <c r="J57" s="276" t="str">
        <f>IF(ISBLANK(I57), "", VLOOKUP(E57&amp;" "&amp;F57, 'Info Tipo de Cambio y REM'!$A$24:$B$35, 2, FALSE))
</f>
        <v/>
      </c>
      <c r="K57" s="290">
        <v>600.0</v>
      </c>
      <c r="L57" s="277">
        <f t="shared" si="5"/>
        <v>-224049</v>
      </c>
      <c r="M57" s="277">
        <f t="shared" si="3"/>
        <v>-35447.73</v>
      </c>
      <c r="N57" s="277">
        <f t="shared" si="6"/>
        <v>0</v>
      </c>
      <c r="O57" s="277">
        <f t="shared" si="4"/>
        <v>-35637.60203</v>
      </c>
      <c r="P57" s="264"/>
      <c r="Q57" s="264"/>
      <c r="R57" s="264"/>
      <c r="S57" s="264"/>
      <c r="T57" s="264"/>
      <c r="U57" s="264"/>
      <c r="V57" s="264"/>
      <c r="W57" s="264"/>
      <c r="X57" s="264"/>
      <c r="Y57" s="264"/>
      <c r="Z57" s="264"/>
      <c r="AA57" s="264"/>
      <c r="AB57" s="264"/>
      <c r="AC57" s="264"/>
      <c r="AD57" s="264"/>
      <c r="AE57" s="264"/>
    </row>
    <row r="58">
      <c r="A58" s="272" t="s">
        <v>795</v>
      </c>
      <c r="B58" s="272" t="s">
        <v>144</v>
      </c>
      <c r="C58" s="272" t="s">
        <v>791</v>
      </c>
      <c r="D58" s="279">
        <v>45789.0</v>
      </c>
      <c r="E58" s="267" t="str">
        <f t="shared" si="1"/>
        <v>05 may</v>
      </c>
      <c r="F58" s="274">
        <f t="shared" si="2"/>
        <v>2025</v>
      </c>
      <c r="G58" s="289" t="s">
        <v>544</v>
      </c>
      <c r="H58" s="264"/>
      <c r="I58" s="277"/>
      <c r="J58" s="276" t="str">
        <f>IF(ISBLANK(I58), "", VLOOKUP(E58&amp;" "&amp;F58, 'Info Tipo de Cambio y REM'!$A$24:$B$35, 2, FALSE))
</f>
        <v/>
      </c>
      <c r="K58" s="290">
        <v>192.0</v>
      </c>
      <c r="L58" s="277">
        <f t="shared" si="5"/>
        <v>-224049</v>
      </c>
      <c r="M58" s="277">
        <f t="shared" si="3"/>
        <v>-35639.73</v>
      </c>
      <c r="N58" s="277">
        <f t="shared" si="6"/>
        <v>0</v>
      </c>
      <c r="O58" s="277">
        <f t="shared" si="4"/>
        <v>-35829.60203</v>
      </c>
      <c r="P58" s="264"/>
      <c r="Q58" s="264"/>
      <c r="R58" s="264"/>
      <c r="S58" s="264"/>
      <c r="T58" s="264"/>
      <c r="U58" s="264"/>
      <c r="V58" s="264"/>
      <c r="W58" s="264"/>
      <c r="X58" s="264"/>
      <c r="Y58" s="264"/>
      <c r="Z58" s="264"/>
      <c r="AA58" s="264"/>
      <c r="AB58" s="264"/>
      <c r="AC58" s="264"/>
      <c r="AD58" s="264"/>
      <c r="AE58" s="264"/>
    </row>
    <row r="59">
      <c r="A59" s="272" t="s">
        <v>795</v>
      </c>
      <c r="B59" s="272" t="s">
        <v>144</v>
      </c>
      <c r="C59" s="272" t="s">
        <v>791</v>
      </c>
      <c r="D59" s="279">
        <v>45789.0</v>
      </c>
      <c r="E59" s="267" t="str">
        <f t="shared" si="1"/>
        <v>05 may</v>
      </c>
      <c r="F59" s="274">
        <f t="shared" si="2"/>
        <v>2025</v>
      </c>
      <c r="G59" s="289" t="s">
        <v>545</v>
      </c>
      <c r="H59" s="264"/>
      <c r="I59" s="277"/>
      <c r="J59" s="276" t="str">
        <f>IF(ISBLANK(I59), "", VLOOKUP(E59&amp;" "&amp;F59, 'Info Tipo de Cambio y REM'!$A$24:$B$35, 2, FALSE))
</f>
        <v/>
      </c>
      <c r="K59" s="290">
        <v>20.0</v>
      </c>
      <c r="L59" s="277">
        <f t="shared" si="5"/>
        <v>-224049</v>
      </c>
      <c r="M59" s="277">
        <f t="shared" si="3"/>
        <v>-35659.73</v>
      </c>
      <c r="N59" s="277">
        <f t="shared" si="6"/>
        <v>0</v>
      </c>
      <c r="O59" s="277">
        <f t="shared" si="4"/>
        <v>-35849.60203</v>
      </c>
      <c r="P59" s="264"/>
      <c r="Q59" s="264"/>
      <c r="R59" s="264"/>
      <c r="S59" s="264"/>
      <c r="T59" s="264"/>
      <c r="U59" s="264"/>
      <c r="V59" s="264"/>
      <c r="W59" s="264"/>
      <c r="X59" s="264"/>
      <c r="Y59" s="264"/>
      <c r="Z59" s="264"/>
      <c r="AA59" s="264"/>
      <c r="AB59" s="264"/>
      <c r="AC59" s="264"/>
      <c r="AD59" s="264"/>
      <c r="AE59" s="264"/>
    </row>
    <row r="60">
      <c r="A60" s="272" t="s">
        <v>795</v>
      </c>
      <c r="B60" s="272" t="s">
        <v>144</v>
      </c>
      <c r="C60" s="272" t="s">
        <v>791</v>
      </c>
      <c r="D60" s="279">
        <v>45796.0</v>
      </c>
      <c r="E60" s="267" t="str">
        <f t="shared" si="1"/>
        <v>05 may</v>
      </c>
      <c r="F60" s="274">
        <f t="shared" si="2"/>
        <v>2025</v>
      </c>
      <c r="G60" s="289" t="s">
        <v>546</v>
      </c>
      <c r="H60" s="264"/>
      <c r="I60" s="277"/>
      <c r="J60" s="276" t="str">
        <f>IF(ISBLANK(I60), "", VLOOKUP(E60&amp;" "&amp;F60, 'Info Tipo de Cambio y REM'!$A$24:$B$35, 2, FALSE))
</f>
        <v/>
      </c>
      <c r="K60" s="290">
        <v>8.0</v>
      </c>
      <c r="L60" s="277">
        <f t="shared" si="5"/>
        <v>-224049</v>
      </c>
      <c r="M60" s="277">
        <f t="shared" si="3"/>
        <v>-35667.73</v>
      </c>
      <c r="N60" s="277">
        <f t="shared" si="6"/>
        <v>0</v>
      </c>
      <c r="O60" s="277">
        <f t="shared" si="4"/>
        <v>-35857.60203</v>
      </c>
      <c r="P60" s="264"/>
      <c r="Q60" s="264"/>
      <c r="R60" s="264"/>
      <c r="S60" s="264"/>
      <c r="T60" s="264"/>
      <c r="U60" s="264"/>
      <c r="V60" s="264"/>
      <c r="W60" s="264"/>
      <c r="X60" s="264"/>
      <c r="Y60" s="264"/>
      <c r="Z60" s="264"/>
      <c r="AA60" s="264"/>
      <c r="AB60" s="264"/>
      <c r="AC60" s="264"/>
      <c r="AD60" s="264"/>
      <c r="AE60" s="264"/>
    </row>
    <row r="61">
      <c r="A61" s="272" t="s">
        <v>795</v>
      </c>
      <c r="B61" s="272" t="s">
        <v>144</v>
      </c>
      <c r="C61" s="272" t="s">
        <v>791</v>
      </c>
      <c r="D61" s="279">
        <v>45797.0</v>
      </c>
      <c r="E61" s="267" t="str">
        <f t="shared" si="1"/>
        <v>05 may</v>
      </c>
      <c r="F61" s="274">
        <f t="shared" si="2"/>
        <v>2025</v>
      </c>
      <c r="G61" s="289" t="s">
        <v>547</v>
      </c>
      <c r="H61" s="264"/>
      <c r="I61" s="277"/>
      <c r="J61" s="276" t="str">
        <f>IF(ISBLANK(I61), "", VLOOKUP(E61&amp;" "&amp;F61, 'Info Tipo de Cambio y REM'!$A$24:$B$35, 2, FALSE))
</f>
        <v/>
      </c>
      <c r="K61" s="290">
        <v>25.3</v>
      </c>
      <c r="L61" s="277">
        <f t="shared" si="5"/>
        <v>-224049</v>
      </c>
      <c r="M61" s="277">
        <f t="shared" si="3"/>
        <v>-35693.03</v>
      </c>
      <c r="N61" s="277">
        <f t="shared" si="6"/>
        <v>0</v>
      </c>
      <c r="O61" s="277">
        <f t="shared" si="4"/>
        <v>-35882.90203</v>
      </c>
      <c r="P61" s="264"/>
      <c r="Q61" s="264"/>
      <c r="R61" s="264"/>
      <c r="S61" s="264"/>
      <c r="T61" s="264"/>
      <c r="U61" s="264"/>
      <c r="V61" s="264"/>
      <c r="W61" s="264"/>
      <c r="X61" s="264"/>
      <c r="Y61" s="264"/>
      <c r="Z61" s="264"/>
      <c r="AA61" s="264"/>
      <c r="AB61" s="264"/>
      <c r="AC61" s="264"/>
      <c r="AD61" s="264"/>
      <c r="AE61" s="264"/>
    </row>
    <row r="62">
      <c r="A62" s="272" t="s">
        <v>795</v>
      </c>
      <c r="B62" s="272" t="s">
        <v>144</v>
      </c>
      <c r="C62" s="272" t="s">
        <v>791</v>
      </c>
      <c r="D62" s="279">
        <v>45797.0</v>
      </c>
      <c r="E62" s="267" t="str">
        <f t="shared" si="1"/>
        <v>05 may</v>
      </c>
      <c r="F62" s="274">
        <f t="shared" si="2"/>
        <v>2025</v>
      </c>
      <c r="G62" s="289" t="s">
        <v>836</v>
      </c>
      <c r="H62" s="272" t="s">
        <v>458</v>
      </c>
      <c r="I62" s="277"/>
      <c r="J62" s="276" t="str">
        <f>IF(ISBLANK(I62), "", VLOOKUP(E62&amp;" "&amp;F62, 'Info Tipo de Cambio y REM'!$A$24:$B$35, 2, FALSE))
</f>
        <v/>
      </c>
      <c r="K62" s="290">
        <v>2000.0</v>
      </c>
      <c r="L62" s="277">
        <f t="shared" si="5"/>
        <v>-224049</v>
      </c>
      <c r="M62" s="277">
        <f t="shared" si="3"/>
        <v>-37693.03</v>
      </c>
      <c r="N62" s="277">
        <f t="shared" si="6"/>
        <v>0</v>
      </c>
      <c r="O62" s="277">
        <f t="shared" si="4"/>
        <v>-37882.90203</v>
      </c>
      <c r="P62" s="264"/>
      <c r="Q62" s="264"/>
      <c r="R62" s="264"/>
      <c r="S62" s="264"/>
      <c r="T62" s="264"/>
      <c r="U62" s="264"/>
      <c r="V62" s="264"/>
      <c r="W62" s="264"/>
      <c r="X62" s="264"/>
      <c r="Y62" s="264"/>
      <c r="Z62" s="264"/>
      <c r="AA62" s="264"/>
      <c r="AB62" s="264"/>
      <c r="AC62" s="264"/>
      <c r="AD62" s="264"/>
      <c r="AE62" s="264"/>
    </row>
    <row r="63">
      <c r="A63" s="272" t="s">
        <v>795</v>
      </c>
      <c r="B63" s="272" t="s">
        <v>144</v>
      </c>
      <c r="C63" s="272" t="s">
        <v>791</v>
      </c>
      <c r="D63" s="279">
        <v>45797.0</v>
      </c>
      <c r="E63" s="267" t="str">
        <f t="shared" si="1"/>
        <v>05 may</v>
      </c>
      <c r="F63" s="274">
        <f t="shared" si="2"/>
        <v>2025</v>
      </c>
      <c r="G63" s="289" t="s">
        <v>549</v>
      </c>
      <c r="H63" s="264"/>
      <c r="I63" s="277"/>
      <c r="J63" s="276" t="str">
        <f>IF(ISBLANK(I63), "", VLOOKUP(E63&amp;" "&amp;F63, 'Info Tipo de Cambio y REM'!$A$24:$B$35, 2, FALSE))
</f>
        <v/>
      </c>
      <c r="K63" s="290">
        <v>45.0</v>
      </c>
      <c r="L63" s="277">
        <f t="shared" si="5"/>
        <v>-224049</v>
      </c>
      <c r="M63" s="277">
        <f t="shared" si="3"/>
        <v>-37738.03</v>
      </c>
      <c r="N63" s="277">
        <f t="shared" si="6"/>
        <v>0</v>
      </c>
      <c r="O63" s="277">
        <f t="shared" si="4"/>
        <v>-37927.90203</v>
      </c>
      <c r="P63" s="264"/>
      <c r="Q63" s="264"/>
      <c r="R63" s="264"/>
      <c r="S63" s="264"/>
      <c r="T63" s="264"/>
      <c r="U63" s="264"/>
      <c r="V63" s="264"/>
      <c r="W63" s="264"/>
      <c r="X63" s="264"/>
      <c r="Y63" s="264"/>
      <c r="Z63" s="264"/>
      <c r="AA63" s="264"/>
      <c r="AB63" s="264"/>
      <c r="AC63" s="264"/>
      <c r="AD63" s="264"/>
      <c r="AE63" s="264"/>
    </row>
    <row r="64">
      <c r="A64" s="272" t="s">
        <v>795</v>
      </c>
      <c r="B64" s="272" t="s">
        <v>144</v>
      </c>
      <c r="C64" s="272" t="s">
        <v>791</v>
      </c>
      <c r="D64" s="279">
        <v>45799.0</v>
      </c>
      <c r="E64" s="267" t="str">
        <f t="shared" si="1"/>
        <v>05 may</v>
      </c>
      <c r="F64" s="274">
        <f t="shared" si="2"/>
        <v>2025</v>
      </c>
      <c r="G64" s="289" t="s">
        <v>173</v>
      </c>
      <c r="H64" s="272"/>
      <c r="I64" s="277"/>
      <c r="J64" s="276" t="str">
        <f>IF(ISBLANK(I64), "", VLOOKUP(E64&amp;" "&amp;F64, 'Info Tipo de Cambio y REM'!$A$24:$B$35, 2, FALSE))
</f>
        <v/>
      </c>
      <c r="K64" s="290">
        <v>7500.0</v>
      </c>
      <c r="L64" s="277">
        <f t="shared" si="5"/>
        <v>-224049</v>
      </c>
      <c r="M64" s="277">
        <f t="shared" si="3"/>
        <v>-45238.03</v>
      </c>
      <c r="N64" s="277">
        <f t="shared" si="6"/>
        <v>0</v>
      </c>
      <c r="O64" s="277">
        <f t="shared" si="4"/>
        <v>-45427.90203</v>
      </c>
      <c r="P64" s="264"/>
      <c r="Q64" s="264"/>
      <c r="R64" s="264"/>
      <c r="S64" s="264"/>
      <c r="T64" s="264"/>
      <c r="U64" s="264"/>
      <c r="V64" s="264"/>
      <c r="W64" s="264"/>
      <c r="X64" s="264"/>
      <c r="Y64" s="264"/>
      <c r="Z64" s="264"/>
      <c r="AA64" s="264"/>
      <c r="AB64" s="264"/>
      <c r="AC64" s="264"/>
      <c r="AD64" s="264"/>
      <c r="AE64" s="264"/>
    </row>
    <row r="65">
      <c r="A65" s="52" t="s">
        <v>795</v>
      </c>
      <c r="B65" s="52" t="s">
        <v>144</v>
      </c>
      <c r="C65" s="52" t="s">
        <v>791</v>
      </c>
      <c r="D65" s="291">
        <v>45800.0</v>
      </c>
      <c r="E65" s="267" t="str">
        <f t="shared" si="1"/>
        <v>05 may</v>
      </c>
      <c r="F65" s="274">
        <f t="shared" si="2"/>
        <v>2025</v>
      </c>
      <c r="G65" s="42" t="s">
        <v>553</v>
      </c>
      <c r="H65" s="292"/>
      <c r="I65" s="293"/>
      <c r="J65" s="276" t="str">
        <f>IF(ISBLANK(I65), "", VLOOKUP(E65&amp;" "&amp;F65, 'Info Tipo de Cambio y REM'!$A$24:$B$35, 2, FALSE))
</f>
        <v/>
      </c>
      <c r="K65" s="294">
        <v>29.99</v>
      </c>
      <c r="L65" s="293">
        <f t="shared" si="5"/>
        <v>-224049</v>
      </c>
      <c r="M65" s="293">
        <f t="shared" si="3"/>
        <v>-45268.02</v>
      </c>
      <c r="N65" s="293">
        <f t="shared" si="6"/>
        <v>0</v>
      </c>
      <c r="O65" s="277">
        <f t="shared" si="4"/>
        <v>-45457.89203</v>
      </c>
      <c r="P65" s="295"/>
      <c r="Q65" s="295"/>
      <c r="R65" s="295"/>
      <c r="S65" s="295"/>
      <c r="T65" s="295"/>
      <c r="U65" s="295"/>
      <c r="V65" s="295"/>
      <c r="W65" s="295"/>
      <c r="X65" s="295"/>
      <c r="Y65" s="295"/>
      <c r="Z65" s="295"/>
      <c r="AA65" s="295"/>
      <c r="AB65" s="295"/>
      <c r="AC65" s="295"/>
      <c r="AD65" s="295"/>
      <c r="AE65" s="295"/>
    </row>
    <row r="66">
      <c r="A66" s="52" t="s">
        <v>795</v>
      </c>
      <c r="B66" s="52" t="s">
        <v>144</v>
      </c>
      <c r="C66" s="52" t="s">
        <v>791</v>
      </c>
      <c r="D66" s="296">
        <v>45804.0</v>
      </c>
      <c r="E66" s="267" t="str">
        <f t="shared" si="1"/>
        <v>05 may</v>
      </c>
      <c r="F66" s="274">
        <f t="shared" si="2"/>
        <v>2025</v>
      </c>
      <c r="G66" s="42" t="s">
        <v>554</v>
      </c>
      <c r="H66" s="292"/>
      <c r="I66" s="293"/>
      <c r="J66" s="276" t="str">
        <f>IF(ISBLANK(I66), "", VLOOKUP(E66&amp;" "&amp;F66, 'Info Tipo de Cambio y REM'!$A$24:$B$35, 2, FALSE))
</f>
        <v/>
      </c>
      <c r="K66" s="294">
        <v>588.0</v>
      </c>
      <c r="L66" s="293">
        <f t="shared" si="5"/>
        <v>-224049</v>
      </c>
      <c r="M66" s="293">
        <f t="shared" si="3"/>
        <v>-45856.02</v>
      </c>
      <c r="N66" s="293">
        <f t="shared" si="6"/>
        <v>0</v>
      </c>
      <c r="O66" s="277">
        <f t="shared" si="4"/>
        <v>-46045.89203</v>
      </c>
      <c r="P66" s="295"/>
      <c r="Q66" s="295"/>
      <c r="R66" s="295"/>
      <c r="S66" s="295"/>
      <c r="T66" s="295"/>
      <c r="U66" s="295"/>
      <c r="V66" s="295"/>
      <c r="W66" s="295"/>
      <c r="X66" s="295"/>
      <c r="Y66" s="295"/>
      <c r="Z66" s="295"/>
      <c r="AA66" s="295"/>
      <c r="AB66" s="295"/>
      <c r="AC66" s="295"/>
      <c r="AD66" s="295"/>
      <c r="AE66" s="295"/>
    </row>
    <row r="67">
      <c r="A67" s="52" t="s">
        <v>795</v>
      </c>
      <c r="B67" s="52" t="s">
        <v>144</v>
      </c>
      <c r="C67" s="52" t="s">
        <v>791</v>
      </c>
      <c r="D67" s="291">
        <v>45804.0</v>
      </c>
      <c r="E67" s="267" t="str">
        <f t="shared" si="1"/>
        <v>05 may</v>
      </c>
      <c r="F67" s="274">
        <f t="shared" si="2"/>
        <v>2025</v>
      </c>
      <c r="G67" s="42" t="s">
        <v>555</v>
      </c>
      <c r="H67" s="292"/>
      <c r="I67" s="293"/>
      <c r="J67" s="276" t="str">
        <f>IF(ISBLANK(I67), "", VLOOKUP(E67&amp;" "&amp;F67, 'Info Tipo de Cambio y REM'!$A$24:$B$35, 2, FALSE))
</f>
        <v/>
      </c>
      <c r="K67" s="294">
        <v>609.8</v>
      </c>
      <c r="L67" s="293">
        <f t="shared" si="5"/>
        <v>-224049</v>
      </c>
      <c r="M67" s="293">
        <f t="shared" si="3"/>
        <v>-46465.82</v>
      </c>
      <c r="N67" s="293">
        <f t="shared" si="6"/>
        <v>0</v>
      </c>
      <c r="O67" s="277">
        <f t="shared" si="4"/>
        <v>-46655.69203</v>
      </c>
      <c r="P67" s="295"/>
      <c r="Q67" s="295"/>
      <c r="R67" s="295"/>
      <c r="S67" s="295"/>
      <c r="T67" s="295"/>
      <c r="U67" s="295"/>
      <c r="V67" s="295"/>
      <c r="W67" s="295"/>
      <c r="X67" s="295"/>
      <c r="Y67" s="295"/>
      <c r="Z67" s="295"/>
      <c r="AA67" s="295"/>
      <c r="AB67" s="295"/>
      <c r="AC67" s="295"/>
      <c r="AD67" s="295"/>
      <c r="AE67" s="295"/>
    </row>
    <row r="68">
      <c r="A68" s="52" t="s">
        <v>795</v>
      </c>
      <c r="B68" s="52" t="s">
        <v>144</v>
      </c>
      <c r="C68" s="52" t="s">
        <v>791</v>
      </c>
      <c r="D68" s="291">
        <v>45805.0</v>
      </c>
      <c r="E68" s="267" t="str">
        <f t="shared" si="1"/>
        <v>05 may</v>
      </c>
      <c r="F68" s="274">
        <f t="shared" si="2"/>
        <v>2025</v>
      </c>
      <c r="G68" s="42" t="s">
        <v>556</v>
      </c>
      <c r="H68" s="292"/>
      <c r="I68" s="293"/>
      <c r="J68" s="276" t="str">
        <f>IF(ISBLANK(I68), "", VLOOKUP(E68&amp;" "&amp;F68, 'Info Tipo de Cambio y REM'!$A$24:$B$35, 2, FALSE))
</f>
        <v/>
      </c>
      <c r="K68" s="294">
        <v>500.46</v>
      </c>
      <c r="L68" s="293">
        <f t="shared" si="5"/>
        <v>-224049</v>
      </c>
      <c r="M68" s="293">
        <f t="shared" si="3"/>
        <v>-46966.28</v>
      </c>
      <c r="N68" s="293">
        <f t="shared" si="6"/>
        <v>0</v>
      </c>
      <c r="O68" s="277">
        <f t="shared" si="4"/>
        <v>-47156.15203</v>
      </c>
      <c r="P68" s="295"/>
      <c r="Q68" s="295"/>
      <c r="R68" s="295"/>
      <c r="S68" s="295"/>
      <c r="T68" s="295"/>
      <c r="U68" s="295"/>
      <c r="V68" s="295"/>
      <c r="W68" s="295"/>
      <c r="X68" s="295"/>
      <c r="Y68" s="295"/>
      <c r="Z68" s="295"/>
      <c r="AA68" s="295"/>
      <c r="AB68" s="295"/>
      <c r="AC68" s="295"/>
      <c r="AD68" s="295"/>
      <c r="AE68" s="295"/>
    </row>
    <row r="69">
      <c r="A69" s="52" t="s">
        <v>795</v>
      </c>
      <c r="B69" s="52" t="s">
        <v>144</v>
      </c>
      <c r="C69" s="52" t="s">
        <v>791</v>
      </c>
      <c r="D69" s="291">
        <v>45806.0</v>
      </c>
      <c r="E69" s="267" t="str">
        <f t="shared" si="1"/>
        <v>05 may</v>
      </c>
      <c r="F69" s="274">
        <f t="shared" si="2"/>
        <v>2025</v>
      </c>
      <c r="G69" s="42" t="s">
        <v>557</v>
      </c>
      <c r="H69" s="292"/>
      <c r="I69" s="293"/>
      <c r="J69" s="276" t="str">
        <f>IF(ISBLANK(I69), "", VLOOKUP(E69&amp;" "&amp;F69, 'Info Tipo de Cambio y REM'!$A$24:$B$35, 2, FALSE))
</f>
        <v/>
      </c>
      <c r="K69" s="294">
        <v>6.15</v>
      </c>
      <c r="L69" s="293">
        <f t="shared" si="5"/>
        <v>-224049</v>
      </c>
      <c r="M69" s="293">
        <f t="shared" si="3"/>
        <v>-46972.43</v>
      </c>
      <c r="N69" s="293">
        <f t="shared" si="6"/>
        <v>0</v>
      </c>
      <c r="O69" s="277">
        <f t="shared" si="4"/>
        <v>-47162.30203</v>
      </c>
      <c r="P69" s="295"/>
      <c r="Q69" s="295"/>
      <c r="R69" s="295"/>
      <c r="S69" s="295"/>
      <c r="T69" s="295"/>
      <c r="U69" s="295"/>
      <c r="V69" s="295"/>
      <c r="W69" s="295"/>
      <c r="X69" s="295"/>
      <c r="Y69" s="295"/>
      <c r="Z69" s="295"/>
      <c r="AA69" s="295"/>
      <c r="AB69" s="295"/>
      <c r="AC69" s="295"/>
      <c r="AD69" s="295"/>
      <c r="AE69" s="295"/>
    </row>
    <row r="70">
      <c r="A70" s="52" t="s">
        <v>795</v>
      </c>
      <c r="B70" s="52" t="s">
        <v>144</v>
      </c>
      <c r="C70" s="52" t="s">
        <v>791</v>
      </c>
      <c r="D70" s="172">
        <v>45805.0</v>
      </c>
      <c r="E70" s="267" t="str">
        <f t="shared" si="1"/>
        <v>05 may</v>
      </c>
      <c r="F70" s="274">
        <f t="shared" si="2"/>
        <v>2025</v>
      </c>
      <c r="G70" s="297" t="s">
        <v>551</v>
      </c>
      <c r="H70" s="52" t="s">
        <v>387</v>
      </c>
      <c r="I70" s="293"/>
      <c r="J70" s="276" t="str">
        <f>IF(ISBLANK(I70), "", VLOOKUP(E70&amp;" "&amp;F70, 'Info Tipo de Cambio y REM'!$A$24:$B$35, 2, FALSE))
</f>
        <v/>
      </c>
      <c r="K70" s="294">
        <v>1000.0</v>
      </c>
      <c r="L70" s="293">
        <f t="shared" si="5"/>
        <v>-224049</v>
      </c>
      <c r="M70" s="293">
        <f t="shared" si="3"/>
        <v>-47972.43</v>
      </c>
      <c r="N70" s="293">
        <f t="shared" si="6"/>
        <v>0</v>
      </c>
      <c r="O70" s="277">
        <f t="shared" si="4"/>
        <v>-48162.30203</v>
      </c>
      <c r="P70" s="295"/>
      <c r="Q70" s="295"/>
      <c r="R70" s="295"/>
      <c r="S70" s="295"/>
      <c r="T70" s="295"/>
      <c r="U70" s="295"/>
      <c r="V70" s="295"/>
      <c r="W70" s="295"/>
      <c r="X70" s="295"/>
      <c r="Y70" s="295"/>
      <c r="Z70" s="295"/>
      <c r="AA70" s="295"/>
      <c r="AB70" s="295"/>
      <c r="AC70" s="295"/>
      <c r="AD70" s="295"/>
      <c r="AE70" s="295"/>
    </row>
    <row r="71">
      <c r="A71" s="52" t="s">
        <v>795</v>
      </c>
      <c r="B71" s="52" t="s">
        <v>144</v>
      </c>
      <c r="C71" s="52" t="s">
        <v>791</v>
      </c>
      <c r="D71" s="172">
        <v>45805.0</v>
      </c>
      <c r="E71" s="267" t="str">
        <f t="shared" si="1"/>
        <v>05 may</v>
      </c>
      <c r="F71" s="274">
        <f t="shared" si="2"/>
        <v>2025</v>
      </c>
      <c r="G71" s="52" t="s">
        <v>552</v>
      </c>
      <c r="H71" s="52" t="s">
        <v>387</v>
      </c>
      <c r="I71" s="293"/>
      <c r="J71" s="276" t="str">
        <f>IF(ISBLANK(I71), "", VLOOKUP(E71&amp;" "&amp;F71, 'Info Tipo de Cambio y REM'!$A$24:$B$35, 2, FALSE))
</f>
        <v/>
      </c>
      <c r="K71" s="294">
        <v>45.0</v>
      </c>
      <c r="L71" s="293">
        <f t="shared" si="5"/>
        <v>-224049</v>
      </c>
      <c r="M71" s="293">
        <f t="shared" si="3"/>
        <v>-48017.43</v>
      </c>
      <c r="N71" s="293">
        <f t="shared" si="6"/>
        <v>0</v>
      </c>
      <c r="O71" s="277">
        <f t="shared" si="4"/>
        <v>-48207.30203</v>
      </c>
      <c r="P71" s="295"/>
      <c r="Q71" s="295"/>
      <c r="R71" s="295"/>
      <c r="S71" s="295"/>
      <c r="T71" s="295"/>
      <c r="U71" s="295"/>
      <c r="V71" s="295"/>
      <c r="W71" s="295"/>
      <c r="X71" s="295"/>
      <c r="Y71" s="295"/>
      <c r="Z71" s="295"/>
      <c r="AA71" s="295"/>
      <c r="AB71" s="295"/>
      <c r="AC71" s="295"/>
      <c r="AD71" s="295"/>
      <c r="AE71" s="295"/>
    </row>
    <row r="72">
      <c r="A72" s="52" t="s">
        <v>795</v>
      </c>
      <c r="B72" s="52" t="s">
        <v>144</v>
      </c>
      <c r="C72" s="52" t="s">
        <v>791</v>
      </c>
      <c r="D72" s="172">
        <v>45805.0</v>
      </c>
      <c r="E72" s="267" t="str">
        <f t="shared" si="1"/>
        <v>05 may</v>
      </c>
      <c r="F72" s="274">
        <f t="shared" si="2"/>
        <v>2025</v>
      </c>
      <c r="G72" s="52" t="s">
        <v>551</v>
      </c>
      <c r="H72" s="41" t="s">
        <v>436</v>
      </c>
      <c r="I72" s="293"/>
      <c r="J72" s="276" t="str">
        <f>IF(ISBLANK(I72), "", VLOOKUP(E72&amp;" "&amp;F72, 'Info Tipo de Cambio y REM'!$A$24:$B$35, 2, FALSE))
</f>
        <v/>
      </c>
      <c r="K72" s="294">
        <v>1000.0</v>
      </c>
      <c r="L72" s="293">
        <f t="shared" si="5"/>
        <v>-224049</v>
      </c>
      <c r="M72" s="293">
        <f t="shared" si="3"/>
        <v>-49017.43</v>
      </c>
      <c r="N72" s="293">
        <f t="shared" si="6"/>
        <v>0</v>
      </c>
      <c r="O72" s="277">
        <f t="shared" si="4"/>
        <v>-49207.30203</v>
      </c>
      <c r="P72" s="295"/>
      <c r="Q72" s="295"/>
      <c r="R72" s="295"/>
      <c r="S72" s="295"/>
      <c r="T72" s="295"/>
      <c r="U72" s="295"/>
      <c r="V72" s="295"/>
      <c r="W72" s="295"/>
      <c r="X72" s="295"/>
      <c r="Y72" s="295"/>
      <c r="Z72" s="295"/>
      <c r="AA72" s="295"/>
      <c r="AB72" s="295"/>
      <c r="AC72" s="295"/>
      <c r="AD72" s="295"/>
      <c r="AE72" s="295"/>
    </row>
    <row r="73">
      <c r="A73" s="52" t="s">
        <v>795</v>
      </c>
      <c r="B73" s="52" t="s">
        <v>144</v>
      </c>
      <c r="C73" s="52" t="s">
        <v>791</v>
      </c>
      <c r="D73" s="172">
        <v>45805.0</v>
      </c>
      <c r="E73" s="267" t="str">
        <f t="shared" si="1"/>
        <v>05 may</v>
      </c>
      <c r="F73" s="274">
        <f t="shared" si="2"/>
        <v>2025</v>
      </c>
      <c r="G73" s="52" t="s">
        <v>552</v>
      </c>
      <c r="H73" s="41" t="s">
        <v>436</v>
      </c>
      <c r="I73" s="293"/>
      <c r="J73" s="276" t="str">
        <f>IF(ISBLANK(I73), "", VLOOKUP(E73&amp;" "&amp;F73, 'Info Tipo de Cambio y REM'!$A$24:$B$35, 2, FALSE))
</f>
        <v/>
      </c>
      <c r="K73" s="294">
        <v>45.0</v>
      </c>
      <c r="L73" s="293">
        <f t="shared" si="5"/>
        <v>-224049</v>
      </c>
      <c r="M73" s="293">
        <f t="shared" si="3"/>
        <v>-49062.43</v>
      </c>
      <c r="N73" s="293">
        <f t="shared" si="6"/>
        <v>0</v>
      </c>
      <c r="O73" s="277">
        <f t="shared" si="4"/>
        <v>-49252.30203</v>
      </c>
      <c r="P73" s="295"/>
      <c r="Q73" s="295"/>
      <c r="R73" s="295"/>
      <c r="S73" s="295"/>
      <c r="T73" s="295"/>
      <c r="U73" s="295"/>
      <c r="V73" s="295"/>
      <c r="W73" s="295"/>
      <c r="X73" s="295"/>
      <c r="Y73" s="295"/>
      <c r="Z73" s="295"/>
      <c r="AA73" s="295"/>
      <c r="AB73" s="295"/>
      <c r="AC73" s="295"/>
      <c r="AD73" s="295"/>
      <c r="AE73" s="295"/>
    </row>
    <row r="74">
      <c r="A74" s="52" t="s">
        <v>797</v>
      </c>
      <c r="B74" s="52" t="s">
        <v>793</v>
      </c>
      <c r="C74" s="52" t="s">
        <v>794</v>
      </c>
      <c r="D74" s="172">
        <v>45806.0</v>
      </c>
      <c r="E74" s="267" t="str">
        <f t="shared" si="1"/>
        <v>05 may</v>
      </c>
      <c r="F74" s="274">
        <f t="shared" si="2"/>
        <v>2025</v>
      </c>
      <c r="G74" s="298" t="s">
        <v>837</v>
      </c>
      <c r="H74" s="52" t="s">
        <v>245</v>
      </c>
      <c r="I74" s="299">
        <v>9665494.52</v>
      </c>
      <c r="J74" s="276">
        <f>IF(ISBLANK(I74), "", VLOOKUP(E74&amp;" "&amp;F74, 'Info Tipo de Cambio y REM'!$A$24:$B$35, 2, FALSE))
</f>
        <v>1180</v>
      </c>
      <c r="K74" s="294">
        <f t="shared" ref="K74:K77" si="9">I74/J74</f>
        <v>8191.097051</v>
      </c>
      <c r="L74" s="293">
        <f t="shared" si="5"/>
        <v>9441445.52</v>
      </c>
      <c r="M74" s="293">
        <f t="shared" si="3"/>
        <v>-49062.43</v>
      </c>
      <c r="N74" s="293">
        <f t="shared" si="6"/>
        <v>0</v>
      </c>
      <c r="O74" s="277">
        <f t="shared" si="4"/>
        <v>-41061.20498</v>
      </c>
      <c r="P74" s="295"/>
      <c r="Q74" s="295"/>
      <c r="R74" s="295"/>
      <c r="S74" s="295"/>
      <c r="T74" s="295"/>
      <c r="U74" s="295"/>
      <c r="V74" s="295"/>
      <c r="W74" s="295"/>
      <c r="X74" s="295"/>
      <c r="Y74" s="295"/>
      <c r="Z74" s="295"/>
      <c r="AA74" s="295"/>
      <c r="AB74" s="295"/>
      <c r="AC74" s="295"/>
      <c r="AD74" s="295"/>
      <c r="AE74" s="295"/>
    </row>
    <row r="75">
      <c r="A75" s="52" t="s">
        <v>795</v>
      </c>
      <c r="B75" s="52" t="s">
        <v>793</v>
      </c>
      <c r="C75" s="52" t="s">
        <v>794</v>
      </c>
      <c r="D75" s="172">
        <v>45806.0</v>
      </c>
      <c r="E75" s="267" t="str">
        <f t="shared" si="1"/>
        <v>05 may</v>
      </c>
      <c r="F75" s="274">
        <f t="shared" si="2"/>
        <v>2025</v>
      </c>
      <c r="G75" s="52" t="s">
        <v>838</v>
      </c>
      <c r="H75" s="42" t="s">
        <v>407</v>
      </c>
      <c r="I75" s="299">
        <v>1619384.0</v>
      </c>
      <c r="J75" s="276">
        <f>IF(ISBLANK(I75), "", VLOOKUP(E75&amp;" "&amp;F75, 'Info Tipo de Cambio y REM'!$A$24:$B$35, 2, FALSE))
</f>
        <v>1180</v>
      </c>
      <c r="K75" s="294">
        <f t="shared" si="9"/>
        <v>1372.359322</v>
      </c>
      <c r="L75" s="300">
        <f t="shared" si="5"/>
        <v>7822061.52</v>
      </c>
      <c r="M75" s="300">
        <f t="shared" si="3"/>
        <v>-49062.43</v>
      </c>
      <c r="N75" s="293">
        <f t="shared" si="6"/>
        <v>0</v>
      </c>
      <c r="O75" s="277">
        <f t="shared" si="4"/>
        <v>-42433.56431</v>
      </c>
      <c r="P75" s="295"/>
      <c r="Q75" s="295"/>
      <c r="R75" s="295"/>
      <c r="S75" s="295"/>
      <c r="T75" s="295"/>
      <c r="U75" s="295"/>
      <c r="V75" s="295"/>
      <c r="W75" s="295"/>
      <c r="X75" s="295"/>
      <c r="Y75" s="295"/>
      <c r="Z75" s="295"/>
      <c r="AA75" s="295"/>
      <c r="AB75" s="295"/>
      <c r="AC75" s="295"/>
      <c r="AD75" s="295"/>
      <c r="AE75" s="295"/>
    </row>
    <row r="76">
      <c r="A76" s="52" t="s">
        <v>795</v>
      </c>
      <c r="B76" s="52" t="s">
        <v>793</v>
      </c>
      <c r="C76" s="52" t="s">
        <v>794</v>
      </c>
      <c r="D76" s="172">
        <v>45813.0</v>
      </c>
      <c r="E76" s="267" t="str">
        <f t="shared" si="1"/>
        <v>06 jun</v>
      </c>
      <c r="F76" s="274">
        <f t="shared" si="2"/>
        <v>2025</v>
      </c>
      <c r="G76" s="121" t="s">
        <v>386</v>
      </c>
      <c r="H76" s="121" t="s">
        <v>387</v>
      </c>
      <c r="I76" s="275">
        <v>1770877.0</v>
      </c>
      <c r="J76" s="276">
        <f>IF(ISBLANK(I76), "", VLOOKUP(E76&amp;" "&amp;F76, 'Info Tipo de Cambio y REM'!$A$24:$B$35, 2, FALSE))
</f>
        <v>1215</v>
      </c>
      <c r="K76" s="294">
        <f t="shared" si="9"/>
        <v>1457.511934</v>
      </c>
      <c r="L76" s="293">
        <f t="shared" si="5"/>
        <v>6051184.52</v>
      </c>
      <c r="M76" s="293">
        <f t="shared" si="3"/>
        <v>-49062.43</v>
      </c>
      <c r="N76" s="293">
        <f t="shared" si="6"/>
        <v>0</v>
      </c>
      <c r="O76" s="277">
        <f t="shared" si="4"/>
        <v>-43891.07624</v>
      </c>
      <c r="P76" s="264"/>
      <c r="Q76" s="264"/>
      <c r="R76" s="264"/>
      <c r="S76" s="264"/>
      <c r="T76" s="264"/>
      <c r="U76" s="264"/>
      <c r="V76" s="264"/>
      <c r="W76" s="264"/>
      <c r="X76" s="264"/>
      <c r="Y76" s="264"/>
      <c r="Z76" s="264"/>
      <c r="AA76" s="264"/>
      <c r="AB76" s="264"/>
      <c r="AC76" s="264"/>
      <c r="AD76" s="264"/>
      <c r="AE76" s="264"/>
    </row>
    <row r="77">
      <c r="A77" s="52" t="s">
        <v>795</v>
      </c>
      <c r="B77" s="52" t="s">
        <v>793</v>
      </c>
      <c r="C77" s="52" t="s">
        <v>794</v>
      </c>
      <c r="D77" s="172">
        <v>45813.0</v>
      </c>
      <c r="E77" s="267" t="str">
        <f t="shared" si="1"/>
        <v>06 jun</v>
      </c>
      <c r="F77" s="274">
        <f t="shared" si="2"/>
        <v>2025</v>
      </c>
      <c r="G77" s="121" t="s">
        <v>570</v>
      </c>
      <c r="H77" s="121" t="s">
        <v>436</v>
      </c>
      <c r="I77" s="275">
        <v>785600.0</v>
      </c>
      <c r="J77" s="276">
        <f>IF(ISBLANK(I77), "", VLOOKUP(E77&amp;" "&amp;F77, 'Info Tipo de Cambio y REM'!$A$24:$B$35, 2, FALSE))
</f>
        <v>1215</v>
      </c>
      <c r="K77" s="294">
        <f t="shared" si="9"/>
        <v>646.5843621</v>
      </c>
      <c r="L77" s="293">
        <f t="shared" si="5"/>
        <v>5265584.52</v>
      </c>
      <c r="M77" s="293">
        <f t="shared" si="3"/>
        <v>-49062.43</v>
      </c>
      <c r="N77" s="293">
        <f t="shared" si="6"/>
        <v>0</v>
      </c>
      <c r="O77" s="277">
        <f t="shared" si="4"/>
        <v>-44537.6606</v>
      </c>
      <c r="P77" s="264"/>
      <c r="Q77" s="264"/>
      <c r="R77" s="264"/>
      <c r="S77" s="264"/>
      <c r="T77" s="264"/>
      <c r="U77" s="264"/>
      <c r="V77" s="264"/>
      <c r="W77" s="264"/>
      <c r="X77" s="264"/>
      <c r="Y77" s="264"/>
      <c r="Z77" s="264"/>
      <c r="AA77" s="264"/>
      <c r="AB77" s="264"/>
      <c r="AC77" s="264"/>
      <c r="AD77" s="264"/>
      <c r="AE77" s="264"/>
    </row>
    <row r="78">
      <c r="A78" s="52" t="s">
        <v>795</v>
      </c>
      <c r="B78" s="272" t="s">
        <v>144</v>
      </c>
      <c r="C78" s="272" t="s">
        <v>791</v>
      </c>
      <c r="D78" s="172">
        <v>45810.0</v>
      </c>
      <c r="E78" s="267" t="str">
        <f t="shared" si="1"/>
        <v>06 jun</v>
      </c>
      <c r="F78" s="274">
        <f t="shared" si="2"/>
        <v>2025</v>
      </c>
      <c r="G78" s="121" t="s">
        <v>586</v>
      </c>
      <c r="H78" s="301" t="s">
        <v>585</v>
      </c>
      <c r="I78" s="277"/>
      <c r="J78" s="276" t="str">
        <f>IF(ISBLANK(I78), "", VLOOKUP(E78&amp;" "&amp;F78, 'Info Tipo de Cambio y REM'!$A$24:$B$35, 2, FALSE))
</f>
        <v/>
      </c>
      <c r="K78" s="294">
        <v>4000.0</v>
      </c>
      <c r="L78" s="293">
        <f t="shared" si="5"/>
        <v>5265584.52</v>
      </c>
      <c r="M78" s="293">
        <f t="shared" si="3"/>
        <v>-53062.43</v>
      </c>
      <c r="N78" s="293">
        <f t="shared" si="6"/>
        <v>0</v>
      </c>
      <c r="O78" s="277">
        <f t="shared" si="4"/>
        <v>-48537.6606</v>
      </c>
      <c r="P78" s="264"/>
      <c r="Q78" s="264"/>
      <c r="R78" s="264"/>
      <c r="S78" s="264"/>
      <c r="T78" s="264"/>
      <c r="U78" s="264"/>
      <c r="V78" s="264"/>
      <c r="W78" s="264"/>
      <c r="X78" s="264"/>
      <c r="Y78" s="264"/>
      <c r="Z78" s="264"/>
      <c r="AA78" s="264"/>
      <c r="AB78" s="264"/>
      <c r="AC78" s="264"/>
      <c r="AD78" s="264"/>
      <c r="AE78" s="264"/>
    </row>
    <row r="79">
      <c r="A79" s="52" t="s">
        <v>795</v>
      </c>
      <c r="B79" s="272" t="s">
        <v>144</v>
      </c>
      <c r="C79" s="272" t="s">
        <v>791</v>
      </c>
      <c r="D79" s="172">
        <v>45810.0</v>
      </c>
      <c r="E79" s="267" t="str">
        <f t="shared" si="1"/>
        <v>06 jun</v>
      </c>
      <c r="F79" s="274">
        <f t="shared" si="2"/>
        <v>2025</v>
      </c>
      <c r="G79" s="43" t="s">
        <v>552</v>
      </c>
      <c r="H79" s="43" t="s">
        <v>589</v>
      </c>
      <c r="I79" s="277"/>
      <c r="J79" s="276" t="str">
        <f>IF(ISBLANK(I79), "", VLOOKUP(E79&amp;" "&amp;F79, 'Info Tipo de Cambio y REM'!$A$24:$B$35, 2, FALSE))
</f>
        <v/>
      </c>
      <c r="K79" s="294">
        <v>45.0</v>
      </c>
      <c r="L79" s="293">
        <f t="shared" si="5"/>
        <v>5265584.52</v>
      </c>
      <c r="M79" s="293">
        <f t="shared" si="3"/>
        <v>-53107.43</v>
      </c>
      <c r="N79" s="293">
        <f t="shared" si="6"/>
        <v>0</v>
      </c>
      <c r="O79" s="277">
        <f t="shared" si="4"/>
        <v>-48582.6606</v>
      </c>
      <c r="P79" s="264"/>
      <c r="Q79" s="264"/>
      <c r="R79" s="264"/>
      <c r="S79" s="264"/>
      <c r="T79" s="264"/>
      <c r="U79" s="264"/>
      <c r="V79" s="264"/>
      <c r="W79" s="264"/>
      <c r="X79" s="264"/>
      <c r="Y79" s="264"/>
      <c r="Z79" s="264"/>
      <c r="AA79" s="264"/>
      <c r="AB79" s="264"/>
      <c r="AC79" s="264"/>
      <c r="AD79" s="264"/>
      <c r="AE79" s="264"/>
    </row>
    <row r="80">
      <c r="A80" s="52" t="s">
        <v>795</v>
      </c>
      <c r="B80" s="272" t="s">
        <v>144</v>
      </c>
      <c r="C80" s="272" t="s">
        <v>791</v>
      </c>
      <c r="D80" s="172">
        <v>45813.0</v>
      </c>
      <c r="E80" s="267" t="str">
        <f t="shared" si="1"/>
        <v>06 jun</v>
      </c>
      <c r="F80" s="274">
        <f t="shared" si="2"/>
        <v>2025</v>
      </c>
      <c r="G80" s="121" t="s">
        <v>839</v>
      </c>
      <c r="H80" s="121" t="s">
        <v>840</v>
      </c>
      <c r="I80" s="277"/>
      <c r="J80" s="276" t="str">
        <f>IF(ISBLANK(I80), "", VLOOKUP(E80&amp;" "&amp;F80, 'Info Tipo de Cambio y REM'!$A$24:$B$35, 2, FALSE))
</f>
        <v/>
      </c>
      <c r="K80" s="302">
        <v>600.0</v>
      </c>
      <c r="L80" s="293">
        <f t="shared" si="5"/>
        <v>5265584.52</v>
      </c>
      <c r="M80" s="293">
        <f t="shared" si="3"/>
        <v>-53707.43</v>
      </c>
      <c r="N80" s="293">
        <f t="shared" si="6"/>
        <v>0</v>
      </c>
      <c r="O80" s="277">
        <f t="shared" si="4"/>
        <v>-49182.6606</v>
      </c>
      <c r="P80" s="264"/>
      <c r="Q80" s="264"/>
      <c r="R80" s="264"/>
      <c r="S80" s="264"/>
      <c r="T80" s="264"/>
      <c r="U80" s="264"/>
      <c r="V80" s="264"/>
      <c r="W80" s="264"/>
      <c r="X80" s="264"/>
      <c r="Y80" s="264"/>
      <c r="Z80" s="264"/>
      <c r="AA80" s="264"/>
      <c r="AB80" s="264"/>
      <c r="AC80" s="264"/>
      <c r="AD80" s="264"/>
      <c r="AE80" s="264"/>
    </row>
    <row r="81">
      <c r="A81" s="52" t="s">
        <v>795</v>
      </c>
      <c r="B81" s="272" t="s">
        <v>144</v>
      </c>
      <c r="C81" s="272" t="s">
        <v>791</v>
      </c>
      <c r="D81" s="172">
        <v>45810.0</v>
      </c>
      <c r="E81" s="267" t="str">
        <f t="shared" si="1"/>
        <v>06 jun</v>
      </c>
      <c r="F81" s="274">
        <f t="shared" si="2"/>
        <v>2025</v>
      </c>
      <c r="G81" s="43" t="s">
        <v>522</v>
      </c>
      <c r="H81" s="83" t="s">
        <v>592</v>
      </c>
      <c r="I81" s="277"/>
      <c r="J81" s="276" t="str">
        <f>IF(ISBLANK(I81), "", VLOOKUP(E81&amp;" "&amp;F81, 'Info Tipo de Cambio y REM'!$A$24:$B$35, 2, FALSE))
</f>
        <v/>
      </c>
      <c r="K81" s="302">
        <v>12.0</v>
      </c>
      <c r="L81" s="293">
        <f t="shared" si="5"/>
        <v>5265584.52</v>
      </c>
      <c r="M81" s="293">
        <f t="shared" si="3"/>
        <v>-53719.43</v>
      </c>
      <c r="N81" s="293">
        <f t="shared" si="6"/>
        <v>0</v>
      </c>
      <c r="O81" s="277">
        <f t="shared" si="4"/>
        <v>-49194.6606</v>
      </c>
      <c r="P81" s="264"/>
      <c r="Q81" s="264"/>
      <c r="R81" s="264"/>
      <c r="S81" s="264"/>
      <c r="T81" s="264"/>
      <c r="U81" s="264"/>
      <c r="V81" s="264"/>
      <c r="W81" s="264"/>
      <c r="X81" s="264"/>
      <c r="Y81" s="264"/>
      <c r="Z81" s="264"/>
      <c r="AA81" s="264"/>
      <c r="AB81" s="264"/>
      <c r="AC81" s="264"/>
      <c r="AD81" s="264"/>
      <c r="AE81" s="264"/>
    </row>
    <row r="82">
      <c r="A82" s="52" t="s">
        <v>795</v>
      </c>
      <c r="B82" s="272" t="s">
        <v>144</v>
      </c>
      <c r="C82" s="272" t="s">
        <v>791</v>
      </c>
      <c r="D82" s="172">
        <v>45810.0</v>
      </c>
      <c r="E82" s="267" t="str">
        <f t="shared" si="1"/>
        <v>06 jun</v>
      </c>
      <c r="F82" s="274">
        <f t="shared" si="2"/>
        <v>2025</v>
      </c>
      <c r="G82" s="43" t="s">
        <v>522</v>
      </c>
      <c r="H82" s="83" t="s">
        <v>593</v>
      </c>
      <c r="I82" s="277"/>
      <c r="J82" s="276" t="str">
        <f>IF(ISBLANK(I82), "", VLOOKUP(E82&amp;" "&amp;F82, 'Info Tipo de Cambio y REM'!$A$24:$B$35, 2, FALSE))
</f>
        <v/>
      </c>
      <c r="K82" s="302">
        <v>633.6</v>
      </c>
      <c r="L82" s="293">
        <f t="shared" si="5"/>
        <v>5265584.52</v>
      </c>
      <c r="M82" s="293">
        <f t="shared" si="3"/>
        <v>-54353.03</v>
      </c>
      <c r="N82" s="293">
        <f t="shared" si="6"/>
        <v>0</v>
      </c>
      <c r="O82" s="277">
        <f t="shared" si="4"/>
        <v>-49828.2606</v>
      </c>
      <c r="P82" s="264"/>
      <c r="Q82" s="264"/>
      <c r="R82" s="264"/>
      <c r="S82" s="264"/>
      <c r="T82" s="264"/>
      <c r="U82" s="264"/>
      <c r="V82" s="264"/>
      <c r="W82" s="264"/>
      <c r="X82" s="264"/>
      <c r="Y82" s="264"/>
      <c r="Z82" s="264"/>
      <c r="AA82" s="264"/>
      <c r="AB82" s="264"/>
      <c r="AC82" s="264"/>
      <c r="AD82" s="264"/>
      <c r="AE82" s="264"/>
    </row>
    <row r="83">
      <c r="A83" s="52" t="s">
        <v>795</v>
      </c>
      <c r="B83" s="272" t="s">
        <v>144</v>
      </c>
      <c r="C83" s="272" t="s">
        <v>791</v>
      </c>
      <c r="D83" s="172">
        <v>45810.0</v>
      </c>
      <c r="E83" s="267" t="str">
        <f t="shared" si="1"/>
        <v>06 jun</v>
      </c>
      <c r="F83" s="274">
        <f t="shared" si="2"/>
        <v>2025</v>
      </c>
      <c r="G83" s="43" t="s">
        <v>522</v>
      </c>
      <c r="H83" s="83" t="s">
        <v>594</v>
      </c>
      <c r="I83" s="277"/>
      <c r="J83" s="276" t="str">
        <f>IF(ISBLANK(I83), "", VLOOKUP(E83&amp;" "&amp;F83, 'Info Tipo de Cambio y REM'!$A$24:$B$35, 2, FALSE))
</f>
        <v/>
      </c>
      <c r="K83" s="302">
        <v>8.0</v>
      </c>
      <c r="L83" s="293">
        <f t="shared" si="5"/>
        <v>5265584.52</v>
      </c>
      <c r="M83" s="293">
        <f t="shared" si="3"/>
        <v>-54361.03</v>
      </c>
      <c r="N83" s="293">
        <f t="shared" si="6"/>
        <v>0</v>
      </c>
      <c r="O83" s="277">
        <f t="shared" si="4"/>
        <v>-49836.2606</v>
      </c>
      <c r="P83" s="264"/>
      <c r="Q83" s="264"/>
      <c r="R83" s="264"/>
      <c r="S83" s="264"/>
      <c r="T83" s="264"/>
      <c r="U83" s="264"/>
      <c r="V83" s="264"/>
      <c r="W83" s="264"/>
      <c r="X83" s="264"/>
      <c r="Y83" s="264"/>
      <c r="Z83" s="264"/>
      <c r="AA83" s="264"/>
      <c r="AB83" s="264"/>
      <c r="AC83" s="264"/>
      <c r="AD83" s="264"/>
      <c r="AE83" s="264"/>
    </row>
    <row r="84">
      <c r="A84" s="52" t="s">
        <v>795</v>
      </c>
      <c r="B84" s="272" t="s">
        <v>144</v>
      </c>
      <c r="C84" s="272" t="s">
        <v>791</v>
      </c>
      <c r="D84" s="172">
        <v>45810.0</v>
      </c>
      <c r="E84" s="267" t="str">
        <f t="shared" si="1"/>
        <v>06 jun</v>
      </c>
      <c r="F84" s="274">
        <f t="shared" si="2"/>
        <v>2025</v>
      </c>
      <c r="G84" s="43" t="s">
        <v>522</v>
      </c>
      <c r="H84" s="83" t="s">
        <v>595</v>
      </c>
      <c r="I84" s="277"/>
      <c r="J84" s="276" t="str">
        <f>IF(ISBLANK(I84), "", VLOOKUP(E84&amp;" "&amp;F84, 'Info Tipo de Cambio y REM'!$A$24:$B$35, 2, FALSE))
</f>
        <v/>
      </c>
      <c r="K84" s="302">
        <v>6.91</v>
      </c>
      <c r="L84" s="293">
        <f t="shared" si="5"/>
        <v>5265584.52</v>
      </c>
      <c r="M84" s="293">
        <f t="shared" si="3"/>
        <v>-54367.94</v>
      </c>
      <c r="N84" s="293">
        <f t="shared" si="6"/>
        <v>0</v>
      </c>
      <c r="O84" s="277">
        <f t="shared" si="4"/>
        <v>-49843.1706</v>
      </c>
      <c r="P84" s="264"/>
      <c r="Q84" s="264"/>
      <c r="R84" s="264"/>
      <c r="S84" s="264"/>
      <c r="T84" s="264"/>
      <c r="U84" s="264"/>
      <c r="V84" s="264"/>
      <c r="W84" s="264"/>
      <c r="X84" s="264"/>
      <c r="Y84" s="264"/>
      <c r="Z84" s="264"/>
      <c r="AA84" s="264"/>
      <c r="AB84" s="264"/>
      <c r="AC84" s="264"/>
      <c r="AD84" s="264"/>
      <c r="AE84" s="264"/>
    </row>
    <row r="85">
      <c r="A85" s="52" t="s">
        <v>795</v>
      </c>
      <c r="B85" s="272" t="s">
        <v>144</v>
      </c>
      <c r="C85" s="272" t="s">
        <v>791</v>
      </c>
      <c r="D85" s="172">
        <v>45810.0</v>
      </c>
      <c r="E85" s="267" t="str">
        <f t="shared" si="1"/>
        <v>06 jun</v>
      </c>
      <c r="F85" s="274">
        <f t="shared" si="2"/>
        <v>2025</v>
      </c>
      <c r="G85" s="43" t="s">
        <v>522</v>
      </c>
      <c r="H85" s="83" t="s">
        <v>596</v>
      </c>
      <c r="I85" s="277"/>
      <c r="J85" s="276" t="str">
        <f>IF(ISBLANK(I85), "", VLOOKUP(E85&amp;" "&amp;F85, 'Info Tipo de Cambio y REM'!$A$24:$B$35, 2, FALSE))
</f>
        <v/>
      </c>
      <c r="K85" s="302">
        <v>14.19</v>
      </c>
      <c r="L85" s="293">
        <f t="shared" si="5"/>
        <v>5265584.52</v>
      </c>
      <c r="M85" s="293">
        <f t="shared" si="3"/>
        <v>-54382.13</v>
      </c>
      <c r="N85" s="293">
        <f t="shared" si="6"/>
        <v>0</v>
      </c>
      <c r="O85" s="277">
        <f t="shared" si="4"/>
        <v>-49857.3606</v>
      </c>
      <c r="P85" s="264"/>
      <c r="Q85" s="264"/>
      <c r="R85" s="264"/>
      <c r="S85" s="264"/>
      <c r="T85" s="264"/>
      <c r="U85" s="264"/>
      <c r="V85" s="264"/>
      <c r="W85" s="264"/>
      <c r="X85" s="264"/>
      <c r="Y85" s="264"/>
      <c r="Z85" s="264"/>
      <c r="AA85" s="264"/>
      <c r="AB85" s="264"/>
      <c r="AC85" s="264"/>
      <c r="AD85" s="264"/>
      <c r="AE85" s="264"/>
    </row>
    <row r="86">
      <c r="A86" s="52" t="s">
        <v>795</v>
      </c>
      <c r="B86" s="272" t="s">
        <v>144</v>
      </c>
      <c r="C86" s="272" t="s">
        <v>791</v>
      </c>
      <c r="D86" s="172">
        <v>45810.0</v>
      </c>
      <c r="E86" s="267" t="str">
        <f t="shared" si="1"/>
        <v>06 jun</v>
      </c>
      <c r="F86" s="274">
        <f t="shared" si="2"/>
        <v>2025</v>
      </c>
      <c r="G86" s="43" t="s">
        <v>522</v>
      </c>
      <c r="H86" s="83" t="s">
        <v>597</v>
      </c>
      <c r="I86" s="277"/>
      <c r="J86" s="276" t="str">
        <f>IF(ISBLANK(I86), "", VLOOKUP(E86&amp;" "&amp;F86, 'Info Tipo de Cambio y REM'!$A$24:$B$35, 2, FALSE))
</f>
        <v/>
      </c>
      <c r="K86" s="302">
        <v>22.99</v>
      </c>
      <c r="L86" s="293">
        <f t="shared" si="5"/>
        <v>5265584.52</v>
      </c>
      <c r="M86" s="293">
        <f t="shared" si="3"/>
        <v>-54405.12</v>
      </c>
      <c r="N86" s="293">
        <f t="shared" si="6"/>
        <v>0</v>
      </c>
      <c r="O86" s="277">
        <f t="shared" si="4"/>
        <v>-49880.3506</v>
      </c>
      <c r="P86" s="264"/>
      <c r="Q86" s="264"/>
      <c r="R86" s="264"/>
      <c r="S86" s="264"/>
      <c r="T86" s="264"/>
      <c r="U86" s="264"/>
      <c r="V86" s="264"/>
      <c r="W86" s="264"/>
      <c r="X86" s="264"/>
      <c r="Y86" s="264"/>
      <c r="Z86" s="264"/>
      <c r="AA86" s="264"/>
      <c r="AB86" s="264"/>
      <c r="AC86" s="264"/>
      <c r="AD86" s="264"/>
      <c r="AE86" s="264"/>
    </row>
    <row r="87">
      <c r="A87" s="272" t="s">
        <v>797</v>
      </c>
      <c r="B87" s="272" t="s">
        <v>793</v>
      </c>
      <c r="C87" s="272" t="s">
        <v>794</v>
      </c>
      <c r="D87" s="172">
        <v>45811.0</v>
      </c>
      <c r="E87" s="267" t="str">
        <f t="shared" si="1"/>
        <v>06 jun</v>
      </c>
      <c r="F87" s="274">
        <f t="shared" si="2"/>
        <v>2025</v>
      </c>
      <c r="G87" s="64" t="s">
        <v>310</v>
      </c>
      <c r="H87" s="111" t="s">
        <v>244</v>
      </c>
      <c r="I87" s="275">
        <v>5095279.75</v>
      </c>
      <c r="J87" s="276">
        <f>IF(ISBLANK(I87), "", VLOOKUP(E87&amp;" "&amp;F87, 'Info Tipo de Cambio y REM'!$A$24:$B$35, 2, FALSE))
</f>
        <v>1215</v>
      </c>
      <c r="K87" s="294">
        <f t="shared" ref="K87:K109" si="10">I87/J87</f>
        <v>4193.645885</v>
      </c>
      <c r="L87" s="277">
        <f t="shared" si="5"/>
        <v>10360864.27</v>
      </c>
      <c r="M87" s="277">
        <f t="shared" si="3"/>
        <v>-54405.12</v>
      </c>
      <c r="N87" s="293">
        <f t="shared" si="6"/>
        <v>0</v>
      </c>
      <c r="O87" s="277">
        <f t="shared" si="4"/>
        <v>-45686.70472</v>
      </c>
      <c r="P87" s="264"/>
      <c r="Q87" s="264"/>
      <c r="R87" s="264"/>
      <c r="S87" s="264"/>
      <c r="T87" s="264"/>
      <c r="U87" s="264"/>
      <c r="V87" s="264"/>
      <c r="W87" s="264"/>
      <c r="X87" s="264"/>
      <c r="Y87" s="264"/>
      <c r="Z87" s="264"/>
      <c r="AA87" s="264"/>
      <c r="AB87" s="264"/>
      <c r="AC87" s="264"/>
      <c r="AD87" s="264"/>
      <c r="AE87" s="264"/>
    </row>
    <row r="88">
      <c r="A88" s="52" t="s">
        <v>795</v>
      </c>
      <c r="B88" s="272" t="s">
        <v>793</v>
      </c>
      <c r="C88" s="272" t="s">
        <v>794</v>
      </c>
      <c r="D88" s="303">
        <v>45821.0</v>
      </c>
      <c r="E88" s="267" t="str">
        <f t="shared" si="1"/>
        <v>06 jun</v>
      </c>
      <c r="F88" s="274">
        <f t="shared" si="2"/>
        <v>2025</v>
      </c>
      <c r="G88" s="59" t="s">
        <v>841</v>
      </c>
      <c r="H88" s="59" t="s">
        <v>399</v>
      </c>
      <c r="I88" s="304">
        <v>529405.0</v>
      </c>
      <c r="J88" s="276">
        <f>IF(ISBLANK(I88), "", VLOOKUP(E88&amp;" "&amp;F88, 'Info Tipo de Cambio y REM'!$A$24:$B$35, 2, FALSE))
</f>
        <v>1215</v>
      </c>
      <c r="K88" s="294">
        <f t="shared" si="10"/>
        <v>435.7242798</v>
      </c>
      <c r="L88" s="293">
        <f t="shared" si="5"/>
        <v>9831459.27</v>
      </c>
      <c r="M88" s="293">
        <f t="shared" si="3"/>
        <v>-54405.12</v>
      </c>
      <c r="N88" s="293">
        <f t="shared" si="6"/>
        <v>0</v>
      </c>
      <c r="O88" s="277">
        <f t="shared" si="4"/>
        <v>-46122.429</v>
      </c>
      <c r="P88" s="264"/>
      <c r="Q88" s="264"/>
      <c r="R88" s="264"/>
      <c r="S88" s="264"/>
      <c r="T88" s="264"/>
      <c r="U88" s="264"/>
      <c r="V88" s="264"/>
      <c r="W88" s="264"/>
      <c r="X88" s="264"/>
      <c r="Y88" s="264"/>
      <c r="Z88" s="264"/>
      <c r="AA88" s="264"/>
      <c r="AB88" s="264"/>
      <c r="AC88" s="264"/>
      <c r="AD88" s="264"/>
      <c r="AE88" s="264"/>
    </row>
    <row r="89">
      <c r="A89" s="52" t="s">
        <v>795</v>
      </c>
      <c r="B89" s="272" t="s">
        <v>793</v>
      </c>
      <c r="C89" s="272" t="s">
        <v>794</v>
      </c>
      <c r="D89" s="303">
        <v>45820.0</v>
      </c>
      <c r="E89" s="267" t="str">
        <f t="shared" si="1"/>
        <v>06 jun</v>
      </c>
      <c r="F89" s="274">
        <f t="shared" si="2"/>
        <v>2025</v>
      </c>
      <c r="G89" s="59" t="s">
        <v>842</v>
      </c>
      <c r="H89" s="59" t="s">
        <v>409</v>
      </c>
      <c r="I89" s="304">
        <v>1100658.0</v>
      </c>
      <c r="J89" s="276">
        <f>IF(ISBLANK(I89), "", VLOOKUP(E89&amp;" "&amp;F89, 'Info Tipo de Cambio y REM'!$A$24:$B$35, 2, FALSE))
</f>
        <v>1215</v>
      </c>
      <c r="K89" s="294">
        <f t="shared" si="10"/>
        <v>905.891358</v>
      </c>
      <c r="L89" s="293">
        <f t="shared" si="5"/>
        <v>8730801.27</v>
      </c>
      <c r="M89" s="293">
        <f t="shared" si="3"/>
        <v>-54405.12</v>
      </c>
      <c r="N89" s="293">
        <f t="shared" si="6"/>
        <v>0</v>
      </c>
      <c r="O89" s="277">
        <f t="shared" si="4"/>
        <v>-47028.32035</v>
      </c>
      <c r="P89" s="264"/>
      <c r="Q89" s="264"/>
      <c r="R89" s="264"/>
      <c r="S89" s="264"/>
      <c r="T89" s="264"/>
      <c r="U89" s="264"/>
      <c r="V89" s="264"/>
      <c r="W89" s="264"/>
      <c r="X89" s="264"/>
      <c r="Y89" s="264"/>
      <c r="Z89" s="264"/>
      <c r="AA89" s="264"/>
      <c r="AB89" s="264"/>
      <c r="AC89" s="264"/>
      <c r="AD89" s="264"/>
      <c r="AE89" s="264"/>
    </row>
    <row r="90">
      <c r="A90" s="52" t="s">
        <v>795</v>
      </c>
      <c r="B90" s="272" t="s">
        <v>793</v>
      </c>
      <c r="C90" s="272" t="s">
        <v>794</v>
      </c>
      <c r="D90" s="303">
        <v>45820.0</v>
      </c>
      <c r="E90" s="267" t="str">
        <f t="shared" si="1"/>
        <v>06 jun</v>
      </c>
      <c r="F90" s="274">
        <f t="shared" si="2"/>
        <v>2025</v>
      </c>
      <c r="G90" s="59" t="s">
        <v>843</v>
      </c>
      <c r="H90" s="59" t="s">
        <v>580</v>
      </c>
      <c r="I90" s="304">
        <v>1550000.0</v>
      </c>
      <c r="J90" s="276">
        <f>IF(ISBLANK(I90), "", VLOOKUP(E90&amp;" "&amp;F90, 'Info Tipo de Cambio y REM'!$A$24:$B$35, 2, FALSE))
</f>
        <v>1215</v>
      </c>
      <c r="K90" s="294">
        <f t="shared" si="10"/>
        <v>1275.720165</v>
      </c>
      <c r="L90" s="293">
        <f t="shared" si="5"/>
        <v>7180801.27</v>
      </c>
      <c r="M90" s="293">
        <f t="shared" si="3"/>
        <v>-54405.12</v>
      </c>
      <c r="N90" s="293">
        <f t="shared" si="6"/>
        <v>0</v>
      </c>
      <c r="O90" s="277">
        <f t="shared" si="4"/>
        <v>-48304.04052</v>
      </c>
      <c r="P90" s="264"/>
      <c r="Q90" s="264"/>
      <c r="R90" s="264"/>
      <c r="S90" s="264"/>
      <c r="T90" s="264"/>
      <c r="U90" s="264"/>
      <c r="V90" s="264"/>
      <c r="W90" s="264"/>
      <c r="X90" s="264"/>
      <c r="Y90" s="264"/>
      <c r="Z90" s="264"/>
      <c r="AA90" s="264"/>
      <c r="AB90" s="264"/>
      <c r="AC90" s="264"/>
      <c r="AD90" s="264"/>
      <c r="AE90" s="264"/>
    </row>
    <row r="91">
      <c r="A91" s="52" t="s">
        <v>795</v>
      </c>
      <c r="B91" s="272" t="s">
        <v>793</v>
      </c>
      <c r="C91" s="272" t="s">
        <v>794</v>
      </c>
      <c r="D91" s="303">
        <v>45820.0</v>
      </c>
      <c r="E91" s="267" t="str">
        <f t="shared" si="1"/>
        <v>06 jun</v>
      </c>
      <c r="F91" s="274">
        <f t="shared" si="2"/>
        <v>2025</v>
      </c>
      <c r="G91" s="59" t="s">
        <v>844</v>
      </c>
      <c r="H91" s="59" t="s">
        <v>504</v>
      </c>
      <c r="I91" s="304">
        <v>442500.0</v>
      </c>
      <c r="J91" s="276">
        <f>IF(ISBLANK(I91), "", VLOOKUP(E91&amp;" "&amp;F91, 'Info Tipo de Cambio y REM'!$A$24:$B$35, 2, FALSE))
</f>
        <v>1215</v>
      </c>
      <c r="K91" s="294">
        <f t="shared" si="10"/>
        <v>364.1975309</v>
      </c>
      <c r="L91" s="293">
        <f t="shared" si="5"/>
        <v>6738301.27</v>
      </c>
      <c r="M91" s="293">
        <f t="shared" si="3"/>
        <v>-54405.12</v>
      </c>
      <c r="N91" s="293">
        <f t="shared" si="6"/>
        <v>0</v>
      </c>
      <c r="O91" s="277">
        <f t="shared" si="4"/>
        <v>-48668.23805</v>
      </c>
      <c r="P91" s="264"/>
      <c r="Q91" s="264"/>
      <c r="R91" s="264"/>
      <c r="S91" s="264"/>
      <c r="T91" s="264"/>
      <c r="U91" s="264"/>
      <c r="V91" s="264"/>
      <c r="W91" s="264"/>
      <c r="X91" s="264"/>
      <c r="Y91" s="264"/>
      <c r="Z91" s="264"/>
      <c r="AA91" s="264"/>
      <c r="AB91" s="264"/>
      <c r="AC91" s="264"/>
      <c r="AD91" s="264"/>
      <c r="AE91" s="264"/>
    </row>
    <row r="92">
      <c r="A92" s="52" t="s">
        <v>795</v>
      </c>
      <c r="B92" s="272" t="s">
        <v>793</v>
      </c>
      <c r="C92" s="272" t="s">
        <v>794</v>
      </c>
      <c r="D92" s="303">
        <v>45820.0</v>
      </c>
      <c r="E92" s="267" t="str">
        <f t="shared" si="1"/>
        <v>06 jun</v>
      </c>
      <c r="F92" s="274">
        <f t="shared" si="2"/>
        <v>2025</v>
      </c>
      <c r="G92" s="59" t="s">
        <v>845</v>
      </c>
      <c r="H92" s="59" t="s">
        <v>577</v>
      </c>
      <c r="I92" s="304">
        <v>1700000.0</v>
      </c>
      <c r="J92" s="276">
        <f>IF(ISBLANK(I92), "", VLOOKUP(E92&amp;" "&amp;F92, 'Info Tipo de Cambio y REM'!$A$24:$B$35, 2, FALSE))
</f>
        <v>1215</v>
      </c>
      <c r="K92" s="294">
        <f t="shared" si="10"/>
        <v>1399.176955</v>
      </c>
      <c r="L92" s="293">
        <f t="shared" si="5"/>
        <v>5038301.27</v>
      </c>
      <c r="M92" s="293">
        <f t="shared" si="3"/>
        <v>-54405.12</v>
      </c>
      <c r="N92" s="293">
        <f t="shared" si="6"/>
        <v>0</v>
      </c>
      <c r="O92" s="277">
        <f t="shared" si="4"/>
        <v>-50067.415</v>
      </c>
      <c r="P92" s="264"/>
      <c r="Q92" s="264"/>
      <c r="R92" s="264"/>
      <c r="S92" s="264"/>
      <c r="T92" s="264"/>
      <c r="U92" s="264"/>
      <c r="V92" s="264"/>
      <c r="W92" s="264"/>
      <c r="X92" s="264"/>
      <c r="Y92" s="264"/>
      <c r="Z92" s="264"/>
      <c r="AA92" s="264"/>
      <c r="AB92" s="264"/>
      <c r="AC92" s="264"/>
      <c r="AD92" s="264"/>
      <c r="AE92" s="264"/>
    </row>
    <row r="93">
      <c r="A93" s="52" t="s">
        <v>795</v>
      </c>
      <c r="B93" s="272" t="s">
        <v>793</v>
      </c>
      <c r="C93" s="272" t="s">
        <v>794</v>
      </c>
      <c r="D93" s="303">
        <v>45820.0</v>
      </c>
      <c r="E93" s="267" t="str">
        <f t="shared" si="1"/>
        <v>06 jun</v>
      </c>
      <c r="F93" s="274">
        <f t="shared" si="2"/>
        <v>2025</v>
      </c>
      <c r="G93" s="59" t="s">
        <v>846</v>
      </c>
      <c r="H93" s="59" t="s">
        <v>403</v>
      </c>
      <c r="I93" s="304">
        <v>1929556.0</v>
      </c>
      <c r="J93" s="276">
        <f>IF(ISBLANK(I93), "", VLOOKUP(E93&amp;" "&amp;F93, 'Info Tipo de Cambio y REM'!$A$24:$B$35, 2, FALSE))
</f>
        <v>1215</v>
      </c>
      <c r="K93" s="294">
        <f t="shared" si="10"/>
        <v>1588.111934</v>
      </c>
      <c r="L93" s="293">
        <f t="shared" si="5"/>
        <v>3108745.27</v>
      </c>
      <c r="M93" s="293">
        <f t="shared" si="3"/>
        <v>-54405.12</v>
      </c>
      <c r="N93" s="293">
        <f t="shared" si="6"/>
        <v>0</v>
      </c>
      <c r="O93" s="277">
        <f t="shared" si="4"/>
        <v>-51655.52694</v>
      </c>
      <c r="P93" s="264"/>
      <c r="Q93" s="264"/>
      <c r="R93" s="264"/>
      <c r="S93" s="264"/>
      <c r="T93" s="264"/>
      <c r="U93" s="264"/>
      <c r="V93" s="264"/>
      <c r="W93" s="264"/>
      <c r="X93" s="264"/>
      <c r="Y93" s="264"/>
      <c r="Z93" s="264"/>
      <c r="AA93" s="264"/>
      <c r="AB93" s="264"/>
      <c r="AC93" s="264"/>
      <c r="AD93" s="264"/>
      <c r="AE93" s="264"/>
    </row>
    <row r="94">
      <c r="A94" s="52" t="s">
        <v>795</v>
      </c>
      <c r="B94" s="272" t="s">
        <v>793</v>
      </c>
      <c r="C94" s="272" t="s">
        <v>794</v>
      </c>
      <c r="D94" s="303">
        <v>45820.0</v>
      </c>
      <c r="E94" s="267" t="str">
        <f t="shared" si="1"/>
        <v>06 jun</v>
      </c>
      <c r="F94" s="274">
        <f t="shared" si="2"/>
        <v>2025</v>
      </c>
      <c r="G94" s="59" t="s">
        <v>847</v>
      </c>
      <c r="H94" s="59" t="s">
        <v>389</v>
      </c>
      <c r="I94" s="304">
        <v>1015300.0</v>
      </c>
      <c r="J94" s="276">
        <f>IF(ISBLANK(I94), "", VLOOKUP(E94&amp;" "&amp;F94, 'Info Tipo de Cambio y REM'!$A$24:$B$35, 2, FALSE))
</f>
        <v>1215</v>
      </c>
      <c r="K94" s="294">
        <f t="shared" si="10"/>
        <v>835.6378601</v>
      </c>
      <c r="L94" s="293">
        <f t="shared" si="5"/>
        <v>2093445.27</v>
      </c>
      <c r="M94" s="293">
        <f t="shared" si="3"/>
        <v>-54405.12</v>
      </c>
      <c r="N94" s="293">
        <f t="shared" si="6"/>
        <v>0</v>
      </c>
      <c r="O94" s="277">
        <f t="shared" si="4"/>
        <v>-52491.1648</v>
      </c>
      <c r="P94" s="264"/>
      <c r="Q94" s="264"/>
      <c r="R94" s="264"/>
      <c r="S94" s="264"/>
      <c r="T94" s="264"/>
      <c r="U94" s="264"/>
      <c r="V94" s="264"/>
      <c r="W94" s="264"/>
      <c r="X94" s="264"/>
      <c r="Y94" s="264"/>
      <c r="Z94" s="264"/>
      <c r="AA94" s="264"/>
      <c r="AB94" s="264"/>
      <c r="AC94" s="264"/>
      <c r="AD94" s="264"/>
      <c r="AE94" s="264"/>
    </row>
    <row r="95">
      <c r="A95" s="52" t="s">
        <v>795</v>
      </c>
      <c r="B95" s="272" t="s">
        <v>793</v>
      </c>
      <c r="C95" s="272" t="s">
        <v>794</v>
      </c>
      <c r="D95" s="303">
        <v>45820.0</v>
      </c>
      <c r="E95" s="267" t="str">
        <f t="shared" si="1"/>
        <v>06 jun</v>
      </c>
      <c r="F95" s="274">
        <f t="shared" si="2"/>
        <v>2025</v>
      </c>
      <c r="G95" s="59" t="s">
        <v>848</v>
      </c>
      <c r="H95" s="59" t="s">
        <v>566</v>
      </c>
      <c r="I95" s="304">
        <v>1600000.0</v>
      </c>
      <c r="J95" s="276">
        <f>IF(ISBLANK(I95), "", VLOOKUP(E95&amp;" "&amp;F95, 'Info Tipo de Cambio y REM'!$A$24:$B$35, 2, FALSE))
</f>
        <v>1215</v>
      </c>
      <c r="K95" s="294">
        <f t="shared" si="10"/>
        <v>1316.872428</v>
      </c>
      <c r="L95" s="293">
        <f t="shared" si="5"/>
        <v>493445.27</v>
      </c>
      <c r="M95" s="293">
        <f t="shared" si="3"/>
        <v>-54405.12</v>
      </c>
      <c r="N95" s="293">
        <f t="shared" si="6"/>
        <v>0</v>
      </c>
      <c r="O95" s="277">
        <f t="shared" si="4"/>
        <v>-53808.03723</v>
      </c>
      <c r="P95" s="264"/>
      <c r="Q95" s="264"/>
      <c r="R95" s="264"/>
      <c r="S95" s="264"/>
      <c r="T95" s="264"/>
      <c r="U95" s="264"/>
      <c r="V95" s="264"/>
      <c r="W95" s="264"/>
      <c r="X95" s="264"/>
      <c r="Y95" s="264"/>
      <c r="Z95" s="264"/>
      <c r="AA95" s="264"/>
      <c r="AB95" s="264"/>
      <c r="AC95" s="264"/>
      <c r="AD95" s="264"/>
      <c r="AE95" s="264"/>
    </row>
    <row r="96">
      <c r="A96" s="52" t="s">
        <v>795</v>
      </c>
      <c r="B96" s="272" t="s">
        <v>793</v>
      </c>
      <c r="C96" s="272" t="s">
        <v>794</v>
      </c>
      <c r="D96" s="303">
        <v>45820.0</v>
      </c>
      <c r="E96" s="267" t="str">
        <f t="shared" si="1"/>
        <v>06 jun</v>
      </c>
      <c r="F96" s="274">
        <f t="shared" si="2"/>
        <v>2025</v>
      </c>
      <c r="G96" s="59" t="s">
        <v>849</v>
      </c>
      <c r="H96" s="59" t="s">
        <v>379</v>
      </c>
      <c r="I96" s="304">
        <v>1173200.0</v>
      </c>
      <c r="J96" s="276">
        <f>IF(ISBLANK(I96), "", VLOOKUP(E96&amp;" "&amp;F96, 'Info Tipo de Cambio y REM'!$A$24:$B$35, 2, FALSE))
</f>
        <v>1215</v>
      </c>
      <c r="K96" s="294">
        <f t="shared" si="10"/>
        <v>965.5967078</v>
      </c>
      <c r="L96" s="293">
        <f t="shared" si="5"/>
        <v>-679754.73</v>
      </c>
      <c r="M96" s="293">
        <f t="shared" si="3"/>
        <v>-54405.12</v>
      </c>
      <c r="N96" s="293">
        <f t="shared" si="6"/>
        <v>0</v>
      </c>
      <c r="O96" s="277">
        <f t="shared" si="4"/>
        <v>-54773.63393</v>
      </c>
      <c r="P96" s="264"/>
      <c r="Q96" s="264"/>
      <c r="R96" s="264"/>
      <c r="S96" s="264"/>
      <c r="T96" s="264"/>
      <c r="U96" s="264"/>
      <c r="V96" s="264"/>
      <c r="W96" s="264"/>
      <c r="X96" s="264"/>
      <c r="Y96" s="264"/>
      <c r="Z96" s="264"/>
      <c r="AA96" s="264"/>
      <c r="AB96" s="264"/>
      <c r="AC96" s="264"/>
      <c r="AD96" s="264"/>
      <c r="AE96" s="264"/>
    </row>
    <row r="97">
      <c r="A97" s="52" t="s">
        <v>795</v>
      </c>
      <c r="B97" s="272" t="s">
        <v>793</v>
      </c>
      <c r="C97" s="272" t="s">
        <v>794</v>
      </c>
      <c r="D97" s="303">
        <v>45820.0</v>
      </c>
      <c r="E97" s="267" t="str">
        <f t="shared" si="1"/>
        <v>06 jun</v>
      </c>
      <c r="F97" s="274">
        <f t="shared" si="2"/>
        <v>2025</v>
      </c>
      <c r="G97" s="59" t="s">
        <v>850</v>
      </c>
      <c r="H97" s="59" t="s">
        <v>401</v>
      </c>
      <c r="I97" s="304">
        <v>998564.0</v>
      </c>
      <c r="J97" s="276">
        <f>IF(ISBLANK(I97), "", VLOOKUP(E97&amp;" "&amp;F97, 'Info Tipo de Cambio y REM'!$A$24:$B$35, 2, FALSE))
</f>
        <v>1215</v>
      </c>
      <c r="K97" s="294">
        <f t="shared" si="10"/>
        <v>821.8633745</v>
      </c>
      <c r="L97" s="293">
        <f t="shared" si="5"/>
        <v>-1678318.73</v>
      </c>
      <c r="M97" s="293">
        <f t="shared" si="3"/>
        <v>-54405.12</v>
      </c>
      <c r="N97" s="293">
        <f t="shared" si="6"/>
        <v>0</v>
      </c>
      <c r="O97" s="277">
        <f t="shared" si="4"/>
        <v>-55595.49731</v>
      </c>
      <c r="P97" s="264"/>
      <c r="Q97" s="264"/>
      <c r="R97" s="264"/>
      <c r="S97" s="264"/>
      <c r="T97" s="264"/>
      <c r="U97" s="264"/>
      <c r="V97" s="264"/>
      <c r="W97" s="264"/>
      <c r="X97" s="264"/>
      <c r="Y97" s="264"/>
      <c r="Z97" s="264"/>
      <c r="AA97" s="264"/>
      <c r="AB97" s="264"/>
      <c r="AC97" s="264"/>
      <c r="AD97" s="264"/>
      <c r="AE97" s="264"/>
    </row>
    <row r="98">
      <c r="A98" s="52" t="s">
        <v>795</v>
      </c>
      <c r="B98" s="272" t="s">
        <v>793</v>
      </c>
      <c r="C98" s="272" t="s">
        <v>794</v>
      </c>
      <c r="D98" s="303">
        <v>45820.0</v>
      </c>
      <c r="E98" s="267" t="str">
        <f t="shared" si="1"/>
        <v>06 jun</v>
      </c>
      <c r="F98" s="274">
        <f t="shared" si="2"/>
        <v>2025</v>
      </c>
      <c r="G98" s="59" t="s">
        <v>851</v>
      </c>
      <c r="H98" s="59" t="s">
        <v>413</v>
      </c>
      <c r="I98" s="304">
        <v>45658.4</v>
      </c>
      <c r="J98" s="276">
        <f>IF(ISBLANK(I98), "", VLOOKUP(E98&amp;" "&amp;F98, 'Info Tipo de Cambio y REM'!$A$24:$B$35, 2, FALSE))
</f>
        <v>1215</v>
      </c>
      <c r="K98" s="305">
        <f t="shared" si="10"/>
        <v>37.57893004</v>
      </c>
      <c r="L98" s="293">
        <f t="shared" si="5"/>
        <v>-1723977.13</v>
      </c>
      <c r="M98" s="293">
        <f t="shared" si="3"/>
        <v>-54405.12</v>
      </c>
      <c r="N98" s="293">
        <f t="shared" si="6"/>
        <v>0</v>
      </c>
      <c r="O98" s="277">
        <f t="shared" si="4"/>
        <v>-55633.07624</v>
      </c>
      <c r="P98" s="264"/>
      <c r="Q98" s="264"/>
      <c r="R98" s="264"/>
      <c r="S98" s="264"/>
      <c r="T98" s="264"/>
      <c r="U98" s="264"/>
      <c r="V98" s="264"/>
      <c r="W98" s="264"/>
      <c r="X98" s="264"/>
      <c r="Y98" s="264"/>
      <c r="Z98" s="264"/>
      <c r="AA98" s="264"/>
      <c r="AB98" s="264"/>
      <c r="AC98" s="264"/>
      <c r="AD98" s="264"/>
      <c r="AE98" s="264"/>
    </row>
    <row r="99">
      <c r="A99" s="52" t="s">
        <v>795</v>
      </c>
      <c r="B99" s="272" t="s">
        <v>793</v>
      </c>
      <c r="C99" s="272" t="s">
        <v>794</v>
      </c>
      <c r="D99" s="303">
        <v>45820.0</v>
      </c>
      <c r="E99" s="267" t="str">
        <f t="shared" si="1"/>
        <v>06 jun</v>
      </c>
      <c r="F99" s="274">
        <f t="shared" si="2"/>
        <v>2025</v>
      </c>
      <c r="G99" s="59" t="s">
        <v>852</v>
      </c>
      <c r="H99" s="59" t="s">
        <v>397</v>
      </c>
      <c r="I99" s="304">
        <v>117320.0</v>
      </c>
      <c r="J99" s="276">
        <f>IF(ISBLANK(I99), "", VLOOKUP(E99&amp;" "&amp;F99, 'Info Tipo de Cambio y REM'!$A$24:$B$35, 2, FALSE))
</f>
        <v>1215</v>
      </c>
      <c r="K99" s="294">
        <f t="shared" si="10"/>
        <v>96.55967078</v>
      </c>
      <c r="L99" s="293">
        <f t="shared" si="5"/>
        <v>-1841297.13</v>
      </c>
      <c r="M99" s="293">
        <f t="shared" si="3"/>
        <v>-54405.12</v>
      </c>
      <c r="N99" s="293">
        <f t="shared" si="6"/>
        <v>0</v>
      </c>
      <c r="O99" s="277">
        <f t="shared" si="4"/>
        <v>-55729.63591</v>
      </c>
      <c r="P99" s="264"/>
      <c r="Q99" s="264"/>
      <c r="R99" s="264"/>
      <c r="S99" s="264"/>
      <c r="T99" s="264"/>
      <c r="U99" s="264"/>
      <c r="V99" s="264"/>
      <c r="W99" s="264"/>
      <c r="X99" s="264"/>
      <c r="Y99" s="264"/>
      <c r="Z99" s="264"/>
      <c r="AA99" s="264"/>
      <c r="AB99" s="264"/>
      <c r="AC99" s="264"/>
      <c r="AD99" s="264"/>
      <c r="AE99" s="264"/>
    </row>
    <row r="100">
      <c r="A100" s="52" t="s">
        <v>795</v>
      </c>
      <c r="B100" s="272" t="s">
        <v>793</v>
      </c>
      <c r="C100" s="272" t="s">
        <v>794</v>
      </c>
      <c r="D100" s="303">
        <v>45820.0</v>
      </c>
      <c r="E100" s="267" t="str">
        <f t="shared" si="1"/>
        <v>06 jun</v>
      </c>
      <c r="F100" s="274">
        <f t="shared" si="2"/>
        <v>2025</v>
      </c>
      <c r="G100" s="59" t="s">
        <v>853</v>
      </c>
      <c r="H100" s="59" t="s">
        <v>411</v>
      </c>
      <c r="I100" s="304">
        <v>2038934.0</v>
      </c>
      <c r="J100" s="276">
        <f>IF(ISBLANK(I100), "", VLOOKUP(E100&amp;" "&amp;F100, 'Info Tipo de Cambio y REM'!$A$24:$B$35, 2, FALSE))
</f>
        <v>1215</v>
      </c>
      <c r="K100" s="294">
        <f t="shared" si="10"/>
        <v>1678.134979</v>
      </c>
      <c r="L100" s="293">
        <f t="shared" si="5"/>
        <v>-3880231.13</v>
      </c>
      <c r="M100" s="293">
        <f t="shared" si="3"/>
        <v>-54405.12</v>
      </c>
      <c r="N100" s="293">
        <f t="shared" si="6"/>
        <v>0</v>
      </c>
      <c r="O100" s="277">
        <f t="shared" si="4"/>
        <v>-57407.77089</v>
      </c>
      <c r="P100" s="264"/>
      <c r="Q100" s="264"/>
      <c r="R100" s="264"/>
      <c r="S100" s="264"/>
      <c r="T100" s="264"/>
      <c r="U100" s="264"/>
      <c r="V100" s="264"/>
      <c r="W100" s="264"/>
      <c r="X100" s="264"/>
      <c r="Y100" s="264"/>
      <c r="Z100" s="264"/>
      <c r="AA100" s="264"/>
      <c r="AB100" s="264"/>
      <c r="AC100" s="264"/>
      <c r="AD100" s="264"/>
      <c r="AE100" s="264"/>
    </row>
    <row r="101">
      <c r="A101" s="52" t="s">
        <v>795</v>
      </c>
      <c r="B101" s="272" t="s">
        <v>793</v>
      </c>
      <c r="C101" s="272" t="s">
        <v>794</v>
      </c>
      <c r="D101" s="303">
        <v>45820.0</v>
      </c>
      <c r="E101" s="267" t="str">
        <f t="shared" si="1"/>
        <v>06 jun</v>
      </c>
      <c r="F101" s="274">
        <f t="shared" si="2"/>
        <v>2025</v>
      </c>
      <c r="G101" s="59" t="s">
        <v>854</v>
      </c>
      <c r="H101" s="59" t="s">
        <v>383</v>
      </c>
      <c r="I101" s="304">
        <v>537700.0</v>
      </c>
      <c r="J101" s="276">
        <f>IF(ISBLANK(I101), "", VLOOKUP(E101&amp;" "&amp;F101, 'Info Tipo de Cambio y REM'!$A$24:$B$35, 2, FALSE))
</f>
        <v>1215</v>
      </c>
      <c r="K101" s="294">
        <f t="shared" si="10"/>
        <v>442.5514403</v>
      </c>
      <c r="L101" s="293">
        <f t="shared" si="5"/>
        <v>-4417931.13</v>
      </c>
      <c r="M101" s="293">
        <f t="shared" si="3"/>
        <v>-54405.12</v>
      </c>
      <c r="N101" s="293">
        <f t="shared" si="6"/>
        <v>0</v>
      </c>
      <c r="O101" s="277">
        <f t="shared" si="4"/>
        <v>-57850.32233</v>
      </c>
      <c r="P101" s="264"/>
      <c r="Q101" s="264"/>
      <c r="R101" s="264"/>
      <c r="S101" s="264"/>
      <c r="T101" s="264"/>
      <c r="U101" s="264"/>
      <c r="V101" s="264"/>
      <c r="W101" s="264"/>
      <c r="X101" s="264"/>
      <c r="Y101" s="264"/>
      <c r="Z101" s="264"/>
      <c r="AA101" s="264"/>
      <c r="AB101" s="264"/>
      <c r="AC101" s="264"/>
      <c r="AD101" s="264"/>
      <c r="AE101" s="264"/>
    </row>
    <row r="102">
      <c r="A102" s="52" t="s">
        <v>795</v>
      </c>
      <c r="B102" s="272" t="s">
        <v>793</v>
      </c>
      <c r="C102" s="272" t="s">
        <v>794</v>
      </c>
      <c r="D102" s="303">
        <v>45820.0</v>
      </c>
      <c r="E102" s="267" t="str">
        <f t="shared" si="1"/>
        <v>06 jun</v>
      </c>
      <c r="F102" s="274">
        <f t="shared" si="2"/>
        <v>2025</v>
      </c>
      <c r="G102" s="59" t="s">
        <v>855</v>
      </c>
      <c r="H102" s="59" t="s">
        <v>391</v>
      </c>
      <c r="I102" s="304">
        <v>701360.0</v>
      </c>
      <c r="J102" s="276">
        <f>IF(ISBLANK(I102), "", VLOOKUP(E102&amp;" "&amp;F102, 'Info Tipo de Cambio y REM'!$A$24:$B$35, 2, FALSE))
</f>
        <v>1215</v>
      </c>
      <c r="K102" s="294">
        <f t="shared" si="10"/>
        <v>577.2510288</v>
      </c>
      <c r="L102" s="293">
        <f t="shared" si="5"/>
        <v>-5119291.13</v>
      </c>
      <c r="M102" s="293">
        <f t="shared" si="3"/>
        <v>-54405.12</v>
      </c>
      <c r="N102" s="293">
        <f t="shared" si="6"/>
        <v>0</v>
      </c>
      <c r="O102" s="277">
        <f t="shared" si="4"/>
        <v>-58427.57336</v>
      </c>
      <c r="P102" s="264"/>
      <c r="Q102" s="264"/>
      <c r="R102" s="264"/>
      <c r="S102" s="264"/>
      <c r="T102" s="264"/>
      <c r="U102" s="264"/>
      <c r="V102" s="264"/>
      <c r="W102" s="264"/>
      <c r="X102" s="264"/>
      <c r="Y102" s="264"/>
      <c r="Z102" s="264"/>
      <c r="AA102" s="264"/>
      <c r="AB102" s="264"/>
      <c r="AC102" s="264"/>
      <c r="AD102" s="264"/>
      <c r="AE102" s="264"/>
    </row>
    <row r="103">
      <c r="A103" s="52" t="s">
        <v>795</v>
      </c>
      <c r="B103" s="272" t="s">
        <v>793</v>
      </c>
      <c r="C103" s="272" t="s">
        <v>794</v>
      </c>
      <c r="D103" s="303">
        <v>45820.0</v>
      </c>
      <c r="E103" s="267" t="str">
        <f t="shared" si="1"/>
        <v>06 jun</v>
      </c>
      <c r="F103" s="274">
        <f t="shared" si="2"/>
        <v>2025</v>
      </c>
      <c r="G103" s="59" t="s">
        <v>856</v>
      </c>
      <c r="H103" s="59" t="s">
        <v>407</v>
      </c>
      <c r="I103" s="304">
        <v>1757032.0</v>
      </c>
      <c r="J103" s="276">
        <f>IF(ISBLANK(I103), "", VLOOKUP(E103&amp;" "&amp;F103, 'Info Tipo de Cambio y REM'!$A$24:$B$35, 2, FALSE))
</f>
        <v>1215</v>
      </c>
      <c r="K103" s="294">
        <f t="shared" si="10"/>
        <v>1446.116872</v>
      </c>
      <c r="L103" s="293">
        <f t="shared" si="5"/>
        <v>-6876323.13</v>
      </c>
      <c r="M103" s="293">
        <f t="shared" si="3"/>
        <v>-54405.12</v>
      </c>
      <c r="N103" s="293">
        <f t="shared" si="6"/>
        <v>0</v>
      </c>
      <c r="O103" s="277">
        <f t="shared" si="4"/>
        <v>-59873.69023</v>
      </c>
      <c r="P103" s="264"/>
      <c r="Q103" s="264"/>
      <c r="R103" s="264"/>
      <c r="S103" s="264"/>
      <c r="T103" s="264"/>
      <c r="U103" s="264"/>
      <c r="V103" s="264"/>
      <c r="W103" s="264"/>
      <c r="X103" s="264"/>
      <c r="Y103" s="264"/>
      <c r="Z103" s="264"/>
      <c r="AA103" s="264"/>
      <c r="AB103" s="264"/>
      <c r="AC103" s="264"/>
      <c r="AD103" s="264"/>
      <c r="AE103" s="264"/>
    </row>
    <row r="104">
      <c r="A104" s="52" t="s">
        <v>795</v>
      </c>
      <c r="B104" s="272" t="s">
        <v>793</v>
      </c>
      <c r="C104" s="272" t="s">
        <v>794</v>
      </c>
      <c r="D104" s="303">
        <v>45820.0</v>
      </c>
      <c r="E104" s="267" t="str">
        <f t="shared" si="1"/>
        <v>06 jun</v>
      </c>
      <c r="F104" s="274">
        <f t="shared" si="2"/>
        <v>2025</v>
      </c>
      <c r="G104" s="59" t="s">
        <v>857</v>
      </c>
      <c r="H104" s="59" t="s">
        <v>381</v>
      </c>
      <c r="I104" s="304">
        <v>2829279.0</v>
      </c>
      <c r="J104" s="276">
        <f>IF(ISBLANK(I104), "", VLOOKUP(E104&amp;" "&amp;F104, 'Info Tipo de Cambio y REM'!$A$24:$B$35, 2, FALSE))
</f>
        <v>1215</v>
      </c>
      <c r="K104" s="294">
        <f t="shared" si="10"/>
        <v>2328.624691</v>
      </c>
      <c r="L104" s="293">
        <f t="shared" si="5"/>
        <v>-9705602.13</v>
      </c>
      <c r="M104" s="293">
        <f t="shared" si="3"/>
        <v>-54405.12</v>
      </c>
      <c r="N104" s="293">
        <f t="shared" si="6"/>
        <v>0</v>
      </c>
      <c r="O104" s="277">
        <f t="shared" si="4"/>
        <v>-62202.31492</v>
      </c>
      <c r="P104" s="264"/>
      <c r="Q104" s="264"/>
      <c r="R104" s="264"/>
      <c r="S104" s="264"/>
      <c r="T104" s="264"/>
      <c r="U104" s="264"/>
      <c r="V104" s="264"/>
      <c r="W104" s="264"/>
      <c r="X104" s="264"/>
      <c r="Y104" s="264"/>
      <c r="Z104" s="264"/>
      <c r="AA104" s="264"/>
      <c r="AB104" s="264"/>
      <c r="AC104" s="264"/>
      <c r="AD104" s="264"/>
      <c r="AE104" s="264"/>
    </row>
    <row r="105">
      <c r="A105" s="52" t="s">
        <v>795</v>
      </c>
      <c r="B105" s="272" t="s">
        <v>793</v>
      </c>
      <c r="C105" s="272" t="s">
        <v>794</v>
      </c>
      <c r="D105" s="303">
        <v>45820.0</v>
      </c>
      <c r="E105" s="267" t="str">
        <f t="shared" si="1"/>
        <v>06 jun</v>
      </c>
      <c r="F105" s="274">
        <f t="shared" si="2"/>
        <v>2025</v>
      </c>
      <c r="G105" s="59" t="s">
        <v>858</v>
      </c>
      <c r="H105" s="59" t="s">
        <v>414</v>
      </c>
      <c r="I105" s="304">
        <v>684000.0</v>
      </c>
      <c r="J105" s="276">
        <f>IF(ISBLANK(I105), "", VLOOKUP(E105&amp;" "&amp;F105, 'Info Tipo de Cambio y REM'!$A$24:$B$35, 2, FALSE))
</f>
        <v>1215</v>
      </c>
      <c r="K105" s="294">
        <f t="shared" si="10"/>
        <v>562.962963</v>
      </c>
      <c r="L105" s="293">
        <f t="shared" si="5"/>
        <v>-10389602.13</v>
      </c>
      <c r="M105" s="293">
        <f t="shared" si="3"/>
        <v>-54405.12</v>
      </c>
      <c r="N105" s="293">
        <f t="shared" si="6"/>
        <v>0</v>
      </c>
      <c r="O105" s="277">
        <f t="shared" si="4"/>
        <v>-62765.27789</v>
      </c>
      <c r="P105" s="264"/>
      <c r="Q105" s="264"/>
      <c r="R105" s="264"/>
      <c r="S105" s="264"/>
      <c r="T105" s="264"/>
      <c r="U105" s="264"/>
      <c r="V105" s="264"/>
      <c r="W105" s="264"/>
      <c r="X105" s="264"/>
      <c r="Y105" s="264"/>
      <c r="Z105" s="264"/>
      <c r="AA105" s="264"/>
      <c r="AB105" s="264"/>
      <c r="AC105" s="264"/>
      <c r="AD105" s="264"/>
      <c r="AE105" s="264"/>
    </row>
    <row r="106">
      <c r="A106" s="52" t="s">
        <v>795</v>
      </c>
      <c r="B106" s="272" t="s">
        <v>793</v>
      </c>
      <c r="C106" s="272" t="s">
        <v>794</v>
      </c>
      <c r="D106" s="303">
        <v>45818.0</v>
      </c>
      <c r="E106" s="267" t="str">
        <f t="shared" si="1"/>
        <v>06 jun</v>
      </c>
      <c r="F106" s="274">
        <f t="shared" si="2"/>
        <v>2025</v>
      </c>
      <c r="G106" s="59" t="s">
        <v>859</v>
      </c>
      <c r="H106" s="59" t="s">
        <v>589</v>
      </c>
      <c r="I106" s="304">
        <v>483647.0</v>
      </c>
      <c r="J106" s="276">
        <f>IF(ISBLANK(I106), "", VLOOKUP(E106&amp;" "&amp;F106, 'Info Tipo de Cambio y REM'!$A$24:$B$35, 2, FALSE))
</f>
        <v>1215</v>
      </c>
      <c r="K106" s="294">
        <f t="shared" si="10"/>
        <v>398.0633745</v>
      </c>
      <c r="L106" s="293">
        <f t="shared" si="5"/>
        <v>-10873249.13</v>
      </c>
      <c r="M106" s="293">
        <f t="shared" si="3"/>
        <v>-54405.12</v>
      </c>
      <c r="N106" s="293">
        <f t="shared" si="6"/>
        <v>0</v>
      </c>
      <c r="O106" s="277">
        <f t="shared" si="4"/>
        <v>-63163.34126</v>
      </c>
      <c r="P106" s="264"/>
      <c r="Q106" s="264"/>
      <c r="R106" s="264"/>
      <c r="S106" s="264"/>
      <c r="T106" s="264"/>
      <c r="U106" s="264"/>
      <c r="V106" s="264"/>
      <c r="W106" s="264"/>
      <c r="X106" s="264"/>
      <c r="Y106" s="264"/>
      <c r="Z106" s="264"/>
      <c r="AA106" s="264"/>
      <c r="AB106" s="264"/>
      <c r="AC106" s="264"/>
      <c r="AD106" s="264"/>
      <c r="AE106" s="264"/>
    </row>
    <row r="107">
      <c r="A107" s="52" t="s">
        <v>795</v>
      </c>
      <c r="B107" s="272" t="s">
        <v>793</v>
      </c>
      <c r="C107" s="272" t="s">
        <v>794</v>
      </c>
      <c r="D107" s="303">
        <v>45818.0</v>
      </c>
      <c r="E107" s="267" t="str">
        <f t="shared" si="1"/>
        <v>06 jun</v>
      </c>
      <c r="F107" s="274">
        <f t="shared" si="2"/>
        <v>2025</v>
      </c>
      <c r="G107" s="59" t="s">
        <v>860</v>
      </c>
      <c r="H107" s="59" t="s">
        <v>393</v>
      </c>
      <c r="I107" s="304">
        <v>1000000.0</v>
      </c>
      <c r="J107" s="276">
        <f>IF(ISBLANK(I107), "", VLOOKUP(E107&amp;" "&amp;F107, 'Info Tipo de Cambio y REM'!$A$24:$B$35, 2, FALSE))
</f>
        <v>1215</v>
      </c>
      <c r="K107" s="294">
        <f t="shared" si="10"/>
        <v>823.0452675</v>
      </c>
      <c r="L107" s="293">
        <f t="shared" si="5"/>
        <v>-11873249.13</v>
      </c>
      <c r="M107" s="293">
        <f t="shared" si="3"/>
        <v>-54405.12</v>
      </c>
      <c r="N107" s="293">
        <f t="shared" si="6"/>
        <v>0</v>
      </c>
      <c r="O107" s="277">
        <f t="shared" si="4"/>
        <v>-63986.38653</v>
      </c>
      <c r="P107" s="264"/>
      <c r="Q107" s="264"/>
      <c r="R107" s="264"/>
      <c r="S107" s="264"/>
      <c r="T107" s="264"/>
      <c r="U107" s="264"/>
      <c r="V107" s="264"/>
      <c r="W107" s="264"/>
      <c r="X107" s="264"/>
      <c r="Y107" s="264"/>
      <c r="Z107" s="264"/>
      <c r="AA107" s="264"/>
      <c r="AB107" s="264"/>
      <c r="AC107" s="264"/>
      <c r="AD107" s="264"/>
      <c r="AE107" s="264"/>
    </row>
    <row r="108">
      <c r="A108" s="52" t="s">
        <v>795</v>
      </c>
      <c r="B108" s="272" t="s">
        <v>793</v>
      </c>
      <c r="C108" s="272" t="s">
        <v>794</v>
      </c>
      <c r="D108" s="303">
        <v>45818.0</v>
      </c>
      <c r="E108" s="267" t="str">
        <f t="shared" si="1"/>
        <v>06 jun</v>
      </c>
      <c r="F108" s="274">
        <f t="shared" si="2"/>
        <v>2025</v>
      </c>
      <c r="G108" s="59" t="s">
        <v>861</v>
      </c>
      <c r="H108" s="59" t="s">
        <v>458</v>
      </c>
      <c r="I108" s="304">
        <v>702565.0</v>
      </c>
      <c r="J108" s="276">
        <f>IF(ISBLANK(I108), "", VLOOKUP(E108&amp;" "&amp;F108, 'Info Tipo de Cambio y REM'!$A$24:$B$35, 2, FALSE))
</f>
        <v>1215</v>
      </c>
      <c r="K108" s="294">
        <f t="shared" si="10"/>
        <v>578.2427984</v>
      </c>
      <c r="L108" s="293">
        <f t="shared" si="5"/>
        <v>-12575814.13</v>
      </c>
      <c r="M108" s="293">
        <f t="shared" si="3"/>
        <v>-54405.12</v>
      </c>
      <c r="N108" s="293">
        <f t="shared" si="6"/>
        <v>0</v>
      </c>
      <c r="O108" s="277">
        <f t="shared" si="4"/>
        <v>-64564.62933</v>
      </c>
      <c r="P108" s="264"/>
      <c r="Q108" s="264"/>
      <c r="R108" s="264"/>
      <c r="S108" s="264"/>
      <c r="T108" s="264"/>
      <c r="U108" s="264"/>
      <c r="V108" s="264"/>
      <c r="W108" s="264"/>
      <c r="X108" s="264"/>
      <c r="Y108" s="264"/>
      <c r="Z108" s="264"/>
      <c r="AA108" s="264"/>
      <c r="AB108" s="264"/>
      <c r="AC108" s="264"/>
      <c r="AD108" s="264"/>
      <c r="AE108" s="264"/>
    </row>
    <row r="109">
      <c r="A109" s="52" t="s">
        <v>795</v>
      </c>
      <c r="B109" s="272" t="s">
        <v>793</v>
      </c>
      <c r="C109" s="272" t="s">
        <v>794</v>
      </c>
      <c r="D109" s="303">
        <v>45820.0</v>
      </c>
      <c r="E109" s="267" t="str">
        <f t="shared" si="1"/>
        <v>06 jun</v>
      </c>
      <c r="F109" s="274">
        <f t="shared" si="2"/>
        <v>2025</v>
      </c>
      <c r="G109" s="42"/>
      <c r="H109" s="272" t="s">
        <v>377</v>
      </c>
      <c r="I109" s="275">
        <v>483820.0</v>
      </c>
      <c r="J109" s="276">
        <f>IF(ISBLANK(I109), "", VLOOKUP(E109&amp;" "&amp;F109, 'Info Tipo de Cambio y REM'!$A$24:$B$35, 2, FALSE))
</f>
        <v>1215</v>
      </c>
      <c r="K109" s="294">
        <f t="shared" si="10"/>
        <v>398.2057613</v>
      </c>
      <c r="L109" s="293">
        <f t="shared" si="5"/>
        <v>-13059634.13</v>
      </c>
      <c r="M109" s="293">
        <f t="shared" si="3"/>
        <v>-54405.12</v>
      </c>
      <c r="N109" s="293">
        <f t="shared" si="6"/>
        <v>0</v>
      </c>
      <c r="O109" s="277">
        <f t="shared" si="4"/>
        <v>-64962.83509</v>
      </c>
      <c r="P109" s="264"/>
      <c r="Q109" s="264"/>
      <c r="R109" s="264"/>
      <c r="S109" s="264"/>
      <c r="T109" s="264"/>
      <c r="U109" s="264"/>
      <c r="V109" s="264"/>
      <c r="W109" s="264"/>
      <c r="X109" s="264"/>
      <c r="Y109" s="264"/>
      <c r="Z109" s="264"/>
      <c r="AA109" s="264"/>
      <c r="AB109" s="264"/>
      <c r="AC109" s="264"/>
      <c r="AD109" s="264"/>
      <c r="AE109" s="264"/>
    </row>
    <row r="110">
      <c r="A110" s="52" t="s">
        <v>795</v>
      </c>
      <c r="B110" s="272" t="s">
        <v>144</v>
      </c>
      <c r="C110" s="272" t="s">
        <v>791</v>
      </c>
      <c r="D110" s="306">
        <v>45817.0</v>
      </c>
      <c r="E110" s="267" t="str">
        <f t="shared" si="1"/>
        <v>06 jun</v>
      </c>
      <c r="F110" s="274">
        <f t="shared" si="2"/>
        <v>2025</v>
      </c>
      <c r="G110" s="43" t="s">
        <v>522</v>
      </c>
      <c r="H110" s="121" t="s">
        <v>598</v>
      </c>
      <c r="I110" s="277"/>
      <c r="J110" s="276" t="str">
        <f>IF(ISBLANK(I110), "", VLOOKUP(E110&amp;" "&amp;F110, 'Info Tipo de Cambio y REM'!$A$24:$B$35, 2, FALSE))
</f>
        <v/>
      </c>
      <c r="K110" s="307">
        <v>20.0</v>
      </c>
      <c r="L110" s="293">
        <f t="shared" si="5"/>
        <v>-13059634.13</v>
      </c>
      <c r="M110" s="293">
        <f t="shared" si="3"/>
        <v>-54425.12</v>
      </c>
      <c r="N110" s="293">
        <f t="shared" si="6"/>
        <v>0</v>
      </c>
      <c r="O110" s="277">
        <f t="shared" si="4"/>
        <v>-64982.83509</v>
      </c>
      <c r="P110" s="264"/>
      <c r="Q110" s="264"/>
      <c r="R110" s="264"/>
      <c r="S110" s="264"/>
      <c r="T110" s="264"/>
      <c r="U110" s="264"/>
      <c r="V110" s="264"/>
      <c r="W110" s="264"/>
      <c r="X110" s="264"/>
      <c r="Y110" s="264"/>
      <c r="Z110" s="264"/>
      <c r="AA110" s="264"/>
      <c r="AB110" s="264"/>
      <c r="AC110" s="264"/>
      <c r="AD110" s="264"/>
      <c r="AE110" s="264"/>
    </row>
    <row r="111">
      <c r="A111" s="52" t="s">
        <v>795</v>
      </c>
      <c r="B111" s="272" t="s">
        <v>144</v>
      </c>
      <c r="C111" s="272" t="s">
        <v>791</v>
      </c>
      <c r="D111" s="306">
        <v>45817.0</v>
      </c>
      <c r="E111" s="267" t="str">
        <f t="shared" si="1"/>
        <v>06 jun</v>
      </c>
      <c r="F111" s="274">
        <f t="shared" si="2"/>
        <v>2025</v>
      </c>
      <c r="G111" s="43" t="s">
        <v>522</v>
      </c>
      <c r="H111" s="121" t="s">
        <v>599</v>
      </c>
      <c r="I111" s="277"/>
      <c r="J111" s="276" t="str">
        <f>IF(ISBLANK(I111), "", VLOOKUP(E111&amp;" "&amp;F111, 'Info Tipo de Cambio y REM'!$A$24:$B$35, 2, FALSE))
</f>
        <v/>
      </c>
      <c r="K111" s="307">
        <v>6.49</v>
      </c>
      <c r="L111" s="293">
        <f t="shared" si="5"/>
        <v>-13059634.13</v>
      </c>
      <c r="M111" s="293">
        <f t="shared" si="3"/>
        <v>-54431.61</v>
      </c>
      <c r="N111" s="293">
        <f t="shared" si="6"/>
        <v>0</v>
      </c>
      <c r="O111" s="277">
        <f t="shared" si="4"/>
        <v>-64989.32509</v>
      </c>
      <c r="P111" s="264"/>
      <c r="Q111" s="264"/>
      <c r="R111" s="264"/>
      <c r="S111" s="264"/>
      <c r="T111" s="264"/>
      <c r="U111" s="264"/>
      <c r="V111" s="264"/>
      <c r="W111" s="264"/>
      <c r="X111" s="264"/>
      <c r="Y111" s="264"/>
      <c r="Z111" s="264"/>
      <c r="AA111" s="264"/>
      <c r="AB111" s="264"/>
      <c r="AC111" s="264"/>
      <c r="AD111" s="264"/>
      <c r="AE111" s="264"/>
    </row>
    <row r="112">
      <c r="A112" s="52" t="s">
        <v>795</v>
      </c>
      <c r="B112" s="272" t="s">
        <v>144</v>
      </c>
      <c r="C112" s="272" t="s">
        <v>791</v>
      </c>
      <c r="D112" s="306">
        <v>45817.0</v>
      </c>
      <c r="E112" s="267" t="str">
        <f t="shared" si="1"/>
        <v>06 jun</v>
      </c>
      <c r="F112" s="274">
        <f t="shared" si="2"/>
        <v>2025</v>
      </c>
      <c r="G112" s="43" t="s">
        <v>522</v>
      </c>
      <c r="H112" s="121" t="s">
        <v>600</v>
      </c>
      <c r="I112" s="277"/>
      <c r="J112" s="276" t="str">
        <f>IF(ISBLANK(I112), "", VLOOKUP(E112&amp;" "&amp;F112, 'Info Tipo de Cambio y REM'!$A$24:$B$35, 2, FALSE))
</f>
        <v/>
      </c>
      <c r="K112" s="307">
        <v>29.0</v>
      </c>
      <c r="L112" s="293">
        <f t="shared" si="5"/>
        <v>-13059634.13</v>
      </c>
      <c r="M112" s="293">
        <f t="shared" si="3"/>
        <v>-54460.61</v>
      </c>
      <c r="N112" s="293">
        <f t="shared" si="6"/>
        <v>0</v>
      </c>
      <c r="O112" s="277">
        <f t="shared" si="4"/>
        <v>-65018.32509</v>
      </c>
      <c r="P112" s="264"/>
      <c r="Q112" s="264"/>
      <c r="R112" s="264"/>
      <c r="S112" s="264"/>
      <c r="T112" s="264"/>
      <c r="U112" s="264"/>
      <c r="V112" s="264"/>
      <c r="W112" s="264"/>
      <c r="X112" s="264"/>
      <c r="Y112" s="264"/>
      <c r="Z112" s="264"/>
      <c r="AA112" s="264"/>
      <c r="AB112" s="264"/>
      <c r="AC112" s="264"/>
      <c r="AD112" s="264"/>
      <c r="AE112" s="264"/>
    </row>
    <row r="113">
      <c r="A113" s="52" t="s">
        <v>795</v>
      </c>
      <c r="B113" s="272" t="s">
        <v>144</v>
      </c>
      <c r="C113" s="272" t="s">
        <v>791</v>
      </c>
      <c r="D113" s="306">
        <v>45817.0</v>
      </c>
      <c r="E113" s="267" t="str">
        <f t="shared" si="1"/>
        <v>06 jun</v>
      </c>
      <c r="F113" s="274">
        <f t="shared" si="2"/>
        <v>2025</v>
      </c>
      <c r="G113" s="43" t="s">
        <v>522</v>
      </c>
      <c r="H113" s="121" t="s">
        <v>601</v>
      </c>
      <c r="I113" s="277"/>
      <c r="J113" s="276" t="str">
        <f>IF(ISBLANK(I113), "", VLOOKUP(E113&amp;" "&amp;F113, 'Info Tipo de Cambio y REM'!$A$24:$B$35, 2, FALSE))
</f>
        <v/>
      </c>
      <c r="K113" s="307">
        <v>59.88</v>
      </c>
      <c r="L113" s="293">
        <f t="shared" si="5"/>
        <v>-13059634.13</v>
      </c>
      <c r="M113" s="293">
        <f t="shared" si="3"/>
        <v>-54520.49</v>
      </c>
      <c r="N113" s="293">
        <f t="shared" si="6"/>
        <v>0</v>
      </c>
      <c r="O113" s="277">
        <f t="shared" si="4"/>
        <v>-65078.20509</v>
      </c>
      <c r="P113" s="264"/>
      <c r="Q113" s="264"/>
      <c r="R113" s="264"/>
      <c r="S113" s="264"/>
      <c r="T113" s="264"/>
      <c r="U113" s="264"/>
      <c r="V113" s="264"/>
      <c r="W113" s="264"/>
      <c r="X113" s="264"/>
      <c r="Y113" s="264"/>
      <c r="Z113" s="264"/>
      <c r="AA113" s="264"/>
      <c r="AB113" s="264"/>
      <c r="AC113" s="264"/>
      <c r="AD113" s="264"/>
      <c r="AE113" s="264"/>
    </row>
    <row r="114">
      <c r="A114" s="52" t="s">
        <v>795</v>
      </c>
      <c r="B114" s="272" t="s">
        <v>144</v>
      </c>
      <c r="C114" s="272" t="s">
        <v>791</v>
      </c>
      <c r="D114" s="306">
        <v>45818.0</v>
      </c>
      <c r="E114" s="267" t="str">
        <f t="shared" si="1"/>
        <v>06 jun</v>
      </c>
      <c r="F114" s="274">
        <f t="shared" si="2"/>
        <v>2025</v>
      </c>
      <c r="G114" s="43" t="s">
        <v>522</v>
      </c>
      <c r="H114" s="121" t="s">
        <v>602</v>
      </c>
      <c r="I114" s="277"/>
      <c r="J114" s="276" t="str">
        <f>IF(ISBLANK(I114), "", VLOOKUP(E114&amp;" "&amp;F114, 'Info Tipo de Cambio y REM'!$A$24:$B$35, 2, FALSE))
</f>
        <v/>
      </c>
      <c r="K114" s="307">
        <v>22.17</v>
      </c>
      <c r="L114" s="293">
        <f t="shared" si="5"/>
        <v>-13059634.13</v>
      </c>
      <c r="M114" s="293">
        <f t="shared" si="3"/>
        <v>-54542.66</v>
      </c>
      <c r="N114" s="293">
        <f t="shared" si="6"/>
        <v>0</v>
      </c>
      <c r="O114" s="277">
        <f t="shared" si="4"/>
        <v>-65100.37509</v>
      </c>
      <c r="P114" s="264"/>
      <c r="Q114" s="264"/>
      <c r="R114" s="264"/>
      <c r="S114" s="264"/>
      <c r="T114" s="264"/>
      <c r="U114" s="264"/>
      <c r="V114" s="264"/>
      <c r="W114" s="264"/>
      <c r="X114" s="264"/>
      <c r="Y114" s="264"/>
      <c r="Z114" s="264"/>
      <c r="AA114" s="264"/>
      <c r="AB114" s="264"/>
      <c r="AC114" s="264"/>
      <c r="AD114" s="264"/>
      <c r="AE114" s="264"/>
    </row>
    <row r="115">
      <c r="A115" s="52" t="s">
        <v>795</v>
      </c>
      <c r="B115" s="272" t="s">
        <v>144</v>
      </c>
      <c r="C115" s="272" t="s">
        <v>791</v>
      </c>
      <c r="D115" s="306">
        <v>45818.0</v>
      </c>
      <c r="E115" s="267" t="str">
        <f t="shared" si="1"/>
        <v>06 jun</v>
      </c>
      <c r="F115" s="274">
        <f t="shared" si="2"/>
        <v>2025</v>
      </c>
      <c r="G115" s="43" t="s">
        <v>522</v>
      </c>
      <c r="H115" s="121" t="s">
        <v>603</v>
      </c>
      <c r="I115" s="277"/>
      <c r="J115" s="276" t="str">
        <f>IF(ISBLANK(I115), "", VLOOKUP(E115&amp;" "&amp;F115, 'Info Tipo de Cambio y REM'!$A$24:$B$35, 2, FALSE))
</f>
        <v/>
      </c>
      <c r="K115" s="307">
        <v>383.56</v>
      </c>
      <c r="L115" s="293">
        <f t="shared" si="5"/>
        <v>-13059634.13</v>
      </c>
      <c r="M115" s="293">
        <f t="shared" si="3"/>
        <v>-54926.22</v>
      </c>
      <c r="N115" s="293">
        <f t="shared" si="6"/>
        <v>0</v>
      </c>
      <c r="O115" s="277">
        <f t="shared" si="4"/>
        <v>-65483.93509</v>
      </c>
      <c r="P115" s="264"/>
      <c r="Q115" s="264"/>
      <c r="R115" s="264"/>
      <c r="S115" s="264"/>
      <c r="T115" s="264"/>
      <c r="U115" s="264"/>
      <c r="V115" s="264"/>
      <c r="W115" s="264"/>
      <c r="X115" s="264"/>
      <c r="Y115" s="264"/>
      <c r="Z115" s="264"/>
      <c r="AA115" s="264"/>
      <c r="AB115" s="264"/>
      <c r="AC115" s="264"/>
      <c r="AD115" s="264"/>
      <c r="AE115" s="264"/>
    </row>
    <row r="116">
      <c r="A116" s="52" t="s">
        <v>795</v>
      </c>
      <c r="B116" s="272" t="s">
        <v>144</v>
      </c>
      <c r="C116" s="272" t="s">
        <v>791</v>
      </c>
      <c r="D116" s="306">
        <v>45819.0</v>
      </c>
      <c r="E116" s="267" t="str">
        <f t="shared" si="1"/>
        <v>06 jun</v>
      </c>
      <c r="F116" s="274">
        <f t="shared" si="2"/>
        <v>2025</v>
      </c>
      <c r="G116" s="43" t="s">
        <v>522</v>
      </c>
      <c r="H116" s="121" t="s">
        <v>604</v>
      </c>
      <c r="I116" s="277"/>
      <c r="J116" s="276" t="str">
        <f>IF(ISBLANK(I116), "", VLOOKUP(E116&amp;" "&amp;F116, 'Info Tipo de Cambio y REM'!$A$24:$B$35, 2, FALSE))
</f>
        <v/>
      </c>
      <c r="K116" s="307">
        <v>6.11</v>
      </c>
      <c r="L116" s="293">
        <f t="shared" si="5"/>
        <v>-13059634.13</v>
      </c>
      <c r="M116" s="293">
        <f t="shared" si="3"/>
        <v>-54932.33</v>
      </c>
      <c r="N116" s="293">
        <f t="shared" si="6"/>
        <v>0</v>
      </c>
      <c r="O116" s="277">
        <f t="shared" si="4"/>
        <v>-65490.04509</v>
      </c>
      <c r="P116" s="264"/>
      <c r="Q116" s="264"/>
      <c r="R116" s="264"/>
      <c r="S116" s="264"/>
      <c r="T116" s="264"/>
      <c r="U116" s="264"/>
      <c r="V116" s="264"/>
      <c r="W116" s="264"/>
      <c r="X116" s="264"/>
      <c r="Y116" s="264"/>
      <c r="Z116" s="264"/>
      <c r="AA116" s="264"/>
      <c r="AB116" s="264"/>
      <c r="AC116" s="264"/>
      <c r="AD116" s="264"/>
      <c r="AE116" s="264"/>
    </row>
    <row r="117">
      <c r="A117" s="52" t="s">
        <v>795</v>
      </c>
      <c r="B117" s="272" t="s">
        <v>144</v>
      </c>
      <c r="C117" s="272" t="s">
        <v>791</v>
      </c>
      <c r="D117" s="306">
        <v>45820.0</v>
      </c>
      <c r="E117" s="267" t="str">
        <f t="shared" si="1"/>
        <v>06 jun</v>
      </c>
      <c r="F117" s="274">
        <f t="shared" si="2"/>
        <v>2025</v>
      </c>
      <c r="G117" s="43" t="s">
        <v>522</v>
      </c>
      <c r="H117" s="121" t="s">
        <v>605</v>
      </c>
      <c r="I117" s="277"/>
      <c r="J117" s="276" t="str">
        <f>IF(ISBLANK(I117), "", VLOOKUP(E117&amp;" "&amp;F117, 'Info Tipo de Cambio y REM'!$A$24:$B$35, 2, FALSE))
</f>
        <v/>
      </c>
      <c r="K117" s="307">
        <v>20.0</v>
      </c>
      <c r="L117" s="293">
        <f t="shared" si="5"/>
        <v>-13059634.13</v>
      </c>
      <c r="M117" s="293">
        <f t="shared" si="3"/>
        <v>-54952.33</v>
      </c>
      <c r="N117" s="293">
        <f t="shared" si="6"/>
        <v>0</v>
      </c>
      <c r="O117" s="277">
        <f t="shared" si="4"/>
        <v>-65510.04509</v>
      </c>
      <c r="P117" s="264"/>
      <c r="Q117" s="264"/>
      <c r="R117" s="264"/>
      <c r="S117" s="264"/>
      <c r="T117" s="264"/>
      <c r="U117" s="264"/>
      <c r="V117" s="264"/>
      <c r="W117" s="264"/>
      <c r="X117" s="264"/>
      <c r="Y117" s="264"/>
      <c r="Z117" s="264"/>
      <c r="AA117" s="264"/>
      <c r="AB117" s="264"/>
      <c r="AC117" s="264"/>
      <c r="AD117" s="264"/>
      <c r="AE117" s="264"/>
    </row>
    <row r="118">
      <c r="A118" s="52" t="s">
        <v>795</v>
      </c>
      <c r="B118" s="272" t="s">
        <v>793</v>
      </c>
      <c r="C118" s="272" t="s">
        <v>794</v>
      </c>
      <c r="D118" s="172">
        <v>45821.0</v>
      </c>
      <c r="E118" s="267" t="str">
        <f t="shared" si="1"/>
        <v>06 jun</v>
      </c>
      <c r="F118" s="274">
        <f t="shared" si="2"/>
        <v>2025</v>
      </c>
      <c r="G118" s="42" t="s">
        <v>178</v>
      </c>
      <c r="H118" s="301" t="s">
        <v>565</v>
      </c>
      <c r="I118" s="308">
        <v>223609.31</v>
      </c>
      <c r="J118" s="276">
        <f>IF(ISBLANK(I118), "", VLOOKUP(E118&amp;" "&amp;F118, 'Info Tipo de Cambio y REM'!$A$24:$B$35, 2, FALSE))
</f>
        <v>1215</v>
      </c>
      <c r="K118" s="294">
        <f t="shared" ref="K118:K119" si="11">I118/J118</f>
        <v>184.0405844</v>
      </c>
      <c r="L118" s="293">
        <f t="shared" si="5"/>
        <v>-13283243.44</v>
      </c>
      <c r="M118" s="293">
        <f t="shared" si="3"/>
        <v>-54952.33</v>
      </c>
      <c r="N118" s="293">
        <f t="shared" si="6"/>
        <v>0</v>
      </c>
      <c r="O118" s="277">
        <f t="shared" si="4"/>
        <v>-65694.08567</v>
      </c>
      <c r="P118" s="264"/>
      <c r="Q118" s="264"/>
      <c r="R118" s="264"/>
      <c r="S118" s="264"/>
      <c r="T118" s="264"/>
      <c r="U118" s="264"/>
      <c r="V118" s="264"/>
      <c r="W118" s="264"/>
      <c r="X118" s="264"/>
      <c r="Y118" s="264"/>
      <c r="Z118" s="264"/>
      <c r="AA118" s="264"/>
      <c r="AB118" s="264"/>
      <c r="AC118" s="264"/>
      <c r="AD118" s="264"/>
      <c r="AE118" s="264"/>
    </row>
    <row r="119">
      <c r="A119" s="52" t="s">
        <v>795</v>
      </c>
      <c r="B119" s="272" t="s">
        <v>793</v>
      </c>
      <c r="C119" s="272" t="s">
        <v>794</v>
      </c>
      <c r="D119" s="172">
        <v>45827.0</v>
      </c>
      <c r="E119" s="267" t="str">
        <f t="shared" si="1"/>
        <v>06 jun</v>
      </c>
      <c r="F119" s="274">
        <f t="shared" si="2"/>
        <v>2025</v>
      </c>
      <c r="G119" s="162" t="s">
        <v>516</v>
      </c>
      <c r="H119" s="162" t="s">
        <v>516</v>
      </c>
      <c r="I119" s="89">
        <v>49230.0</v>
      </c>
      <c r="J119" s="276">
        <f>IF(ISBLANK(I119), "", VLOOKUP(E119&amp;" "&amp;F119, 'Info Tipo de Cambio y REM'!$A$24:$B$35, 2, FALSE))
</f>
        <v>1215</v>
      </c>
      <c r="K119" s="294">
        <f t="shared" si="11"/>
        <v>40.51851852</v>
      </c>
      <c r="L119" s="293">
        <f t="shared" si="5"/>
        <v>-13332473.44</v>
      </c>
      <c r="M119" s="293">
        <f t="shared" si="3"/>
        <v>-54952.33</v>
      </c>
      <c r="N119" s="293">
        <f t="shared" si="6"/>
        <v>0</v>
      </c>
      <c r="O119" s="277">
        <f t="shared" si="4"/>
        <v>-65734.60419</v>
      </c>
      <c r="P119" s="264"/>
      <c r="Q119" s="264"/>
      <c r="R119" s="264"/>
      <c r="S119" s="264"/>
      <c r="T119" s="264"/>
      <c r="U119" s="264"/>
      <c r="V119" s="264"/>
      <c r="W119" s="264"/>
      <c r="X119" s="264"/>
      <c r="Y119" s="264"/>
      <c r="Z119" s="264"/>
      <c r="AA119" s="264"/>
      <c r="AB119" s="264"/>
      <c r="AC119" s="264"/>
      <c r="AD119" s="264"/>
      <c r="AE119" s="264"/>
    </row>
    <row r="120">
      <c r="A120" s="272" t="s">
        <v>795</v>
      </c>
      <c r="B120" s="272" t="s">
        <v>144</v>
      </c>
      <c r="C120" s="272" t="s">
        <v>791</v>
      </c>
      <c r="D120" s="172">
        <v>45827.0</v>
      </c>
      <c r="E120" s="267" t="str">
        <f t="shared" si="1"/>
        <v>06 jun</v>
      </c>
      <c r="F120" s="274">
        <f t="shared" si="2"/>
        <v>2025</v>
      </c>
      <c r="G120" s="272" t="s">
        <v>796</v>
      </c>
      <c r="H120" s="272"/>
      <c r="I120" s="277"/>
      <c r="J120" s="276" t="str">
        <f>IF(ISBLANK(I120), "", VLOOKUP(E120&amp;" "&amp;F120, 'Info Tipo de Cambio y REM'!$A$24:$B$35, 2, FALSE))
</f>
        <v/>
      </c>
      <c r="K120" s="309">
        <v>15000.0</v>
      </c>
      <c r="L120" s="293">
        <f t="shared" si="5"/>
        <v>-13332473.44</v>
      </c>
      <c r="M120" s="293">
        <f t="shared" si="3"/>
        <v>-69952.33</v>
      </c>
      <c r="N120" s="293">
        <f t="shared" si="6"/>
        <v>0</v>
      </c>
      <c r="O120" s="277">
        <f t="shared" si="4"/>
        <v>-80734.60419</v>
      </c>
      <c r="P120" s="264"/>
      <c r="Q120" s="264"/>
      <c r="R120" s="264"/>
      <c r="S120" s="264"/>
      <c r="T120" s="264"/>
      <c r="U120" s="264"/>
      <c r="V120" s="264"/>
      <c r="W120" s="264"/>
      <c r="X120" s="264"/>
      <c r="Y120" s="264"/>
      <c r="Z120" s="264"/>
      <c r="AA120" s="264"/>
      <c r="AB120" s="264"/>
      <c r="AC120" s="264"/>
      <c r="AD120" s="264"/>
      <c r="AE120" s="264"/>
    </row>
    <row r="121">
      <c r="A121" s="272" t="s">
        <v>797</v>
      </c>
      <c r="B121" s="272" t="s">
        <v>793</v>
      </c>
      <c r="C121" s="272" t="s">
        <v>794</v>
      </c>
      <c r="D121" s="172">
        <v>45827.0</v>
      </c>
      <c r="E121" s="267" t="str">
        <f t="shared" si="1"/>
        <v>06 jun</v>
      </c>
      <c r="F121" s="274">
        <f t="shared" si="2"/>
        <v>2025</v>
      </c>
      <c r="G121" s="272" t="s">
        <v>796</v>
      </c>
      <c r="H121" s="272"/>
      <c r="I121" s="277">
        <f>15000*1165</f>
        <v>17475000</v>
      </c>
      <c r="J121" s="276">
        <f>IF(ISBLANK(I121), "", VLOOKUP(E121&amp;" "&amp;F121, 'Info Tipo de Cambio y REM'!$A$24:$B$35, 2, FALSE))
</f>
        <v>1215</v>
      </c>
      <c r="K121" s="294">
        <f t="shared" ref="K121:K125" si="12">I121/J121</f>
        <v>14382.71605</v>
      </c>
      <c r="L121" s="293">
        <f t="shared" si="5"/>
        <v>4142526.56</v>
      </c>
      <c r="M121" s="293">
        <f t="shared" si="3"/>
        <v>-69952.33</v>
      </c>
      <c r="N121" s="293">
        <f t="shared" si="6"/>
        <v>0</v>
      </c>
      <c r="O121" s="277">
        <f t="shared" si="4"/>
        <v>-66351.88814</v>
      </c>
      <c r="P121" s="264"/>
      <c r="Q121" s="264"/>
      <c r="R121" s="264"/>
      <c r="S121" s="264"/>
      <c r="T121" s="264"/>
      <c r="U121" s="264"/>
      <c r="V121" s="264"/>
      <c r="W121" s="264"/>
      <c r="X121" s="264"/>
      <c r="Y121" s="264"/>
      <c r="Z121" s="264"/>
      <c r="AA121" s="264"/>
      <c r="AB121" s="264"/>
      <c r="AC121" s="264"/>
      <c r="AD121" s="264"/>
      <c r="AE121" s="264"/>
    </row>
    <row r="122">
      <c r="A122" s="272" t="s">
        <v>795</v>
      </c>
      <c r="B122" s="272" t="s">
        <v>793</v>
      </c>
      <c r="C122" s="272" t="s">
        <v>794</v>
      </c>
      <c r="D122" s="172">
        <v>45831.0</v>
      </c>
      <c r="E122" s="267" t="str">
        <f t="shared" si="1"/>
        <v>06 jun</v>
      </c>
      <c r="F122" s="274">
        <f t="shared" si="2"/>
        <v>2025</v>
      </c>
      <c r="G122" s="125" t="s">
        <v>559</v>
      </c>
      <c r="H122" s="125" t="s">
        <v>559</v>
      </c>
      <c r="I122" s="175">
        <v>1673785.0</v>
      </c>
      <c r="J122" s="276">
        <f>IF(ISBLANK(I122), "", VLOOKUP(E122&amp;" "&amp;F122, 'Info Tipo de Cambio y REM'!$A$24:$B$35, 2, FALSE))
</f>
        <v>1215</v>
      </c>
      <c r="K122" s="294">
        <f t="shared" si="12"/>
        <v>1377.600823</v>
      </c>
      <c r="L122" s="293">
        <f t="shared" si="5"/>
        <v>2468741.56</v>
      </c>
      <c r="M122" s="293">
        <f t="shared" si="3"/>
        <v>-69952.33</v>
      </c>
      <c r="N122" s="293">
        <f t="shared" si="6"/>
        <v>0</v>
      </c>
      <c r="O122" s="277">
        <f t="shared" si="4"/>
        <v>-67729.48896</v>
      </c>
      <c r="P122" s="264"/>
      <c r="Q122" s="264"/>
      <c r="R122" s="264"/>
      <c r="S122" s="264"/>
      <c r="T122" s="264"/>
      <c r="U122" s="264"/>
      <c r="V122" s="264"/>
      <c r="W122" s="264"/>
      <c r="X122" s="264"/>
      <c r="Y122" s="264"/>
      <c r="Z122" s="264"/>
      <c r="AA122" s="264"/>
      <c r="AB122" s="264"/>
      <c r="AC122" s="264"/>
      <c r="AD122" s="264"/>
      <c r="AE122" s="264"/>
    </row>
    <row r="123">
      <c r="A123" s="272" t="s">
        <v>795</v>
      </c>
      <c r="B123" s="272" t="s">
        <v>793</v>
      </c>
      <c r="C123" s="272" t="s">
        <v>794</v>
      </c>
      <c r="D123" s="172">
        <v>45831.0</v>
      </c>
      <c r="E123" s="267" t="str">
        <f t="shared" si="1"/>
        <v>06 jun</v>
      </c>
      <c r="F123" s="274">
        <f t="shared" si="2"/>
        <v>2025</v>
      </c>
      <c r="G123" s="125" t="s">
        <v>560</v>
      </c>
      <c r="H123" s="125" t="s">
        <v>560</v>
      </c>
      <c r="I123" s="176">
        <v>308917.53465000005</v>
      </c>
      <c r="J123" s="276">
        <f>IF(ISBLANK(I123), "", VLOOKUP(E123&amp;" "&amp;F123, 'Info Tipo de Cambio y REM'!$A$24:$B$35, 2, FALSE))
</f>
        <v>1215</v>
      </c>
      <c r="K123" s="294">
        <f t="shared" si="12"/>
        <v>254.2531149</v>
      </c>
      <c r="L123" s="293">
        <f t="shared" si="5"/>
        <v>2159824.025</v>
      </c>
      <c r="M123" s="293">
        <f t="shared" si="3"/>
        <v>-69952.33</v>
      </c>
      <c r="N123" s="293">
        <f t="shared" si="6"/>
        <v>0</v>
      </c>
      <c r="O123" s="277">
        <f t="shared" si="4"/>
        <v>-67983.74208</v>
      </c>
      <c r="P123" s="264"/>
      <c r="Q123" s="264"/>
      <c r="R123" s="264"/>
      <c r="S123" s="264"/>
      <c r="T123" s="264"/>
      <c r="U123" s="264"/>
      <c r="V123" s="264"/>
      <c r="W123" s="264"/>
      <c r="X123" s="264"/>
      <c r="Y123" s="264"/>
      <c r="Z123" s="264"/>
      <c r="AA123" s="264"/>
      <c r="AB123" s="264"/>
      <c r="AC123" s="264"/>
      <c r="AD123" s="264"/>
      <c r="AE123" s="264"/>
    </row>
    <row r="124">
      <c r="A124" s="272" t="s">
        <v>795</v>
      </c>
      <c r="B124" s="272" t="s">
        <v>793</v>
      </c>
      <c r="C124" s="272" t="s">
        <v>794</v>
      </c>
      <c r="D124" s="172">
        <v>45831.0</v>
      </c>
      <c r="E124" s="267" t="str">
        <f t="shared" si="1"/>
        <v>06 jun</v>
      </c>
      <c r="F124" s="274">
        <f t="shared" si="2"/>
        <v>2025</v>
      </c>
      <c r="G124" s="125" t="s">
        <v>564</v>
      </c>
      <c r="H124" s="125" t="s">
        <v>564</v>
      </c>
      <c r="I124" s="275">
        <v>4500000.0</v>
      </c>
      <c r="J124" s="276">
        <f>IF(ISBLANK(I124), "", VLOOKUP(E124&amp;" "&amp;F124, 'Info Tipo de Cambio y REM'!$A$24:$B$35, 2, FALSE))
</f>
        <v>1215</v>
      </c>
      <c r="K124" s="294">
        <f t="shared" si="12"/>
        <v>3703.703704</v>
      </c>
      <c r="L124" s="293">
        <f t="shared" si="5"/>
        <v>-2340175.975</v>
      </c>
      <c r="M124" s="293">
        <f t="shared" si="3"/>
        <v>-69952.33</v>
      </c>
      <c r="N124" s="293">
        <f t="shared" si="6"/>
        <v>0</v>
      </c>
      <c r="O124" s="277">
        <f t="shared" si="4"/>
        <v>-71687.44578</v>
      </c>
      <c r="P124" s="264"/>
      <c r="Q124" s="264"/>
      <c r="R124" s="264"/>
      <c r="S124" s="264"/>
      <c r="T124" s="264"/>
      <c r="U124" s="264"/>
      <c r="V124" s="264"/>
      <c r="W124" s="264"/>
      <c r="X124" s="264"/>
      <c r="Y124" s="264"/>
      <c r="Z124" s="264"/>
      <c r="AA124" s="264"/>
      <c r="AB124" s="264"/>
      <c r="AC124" s="264"/>
      <c r="AD124" s="264"/>
      <c r="AE124" s="264"/>
    </row>
    <row r="125">
      <c r="A125" s="272" t="s">
        <v>795</v>
      </c>
      <c r="B125" s="272" t="s">
        <v>793</v>
      </c>
      <c r="C125" s="272" t="s">
        <v>794</v>
      </c>
      <c r="D125" s="172">
        <v>45827.0</v>
      </c>
      <c r="E125" s="267" t="str">
        <f t="shared" si="1"/>
        <v>06 jun</v>
      </c>
      <c r="F125" s="274">
        <f t="shared" si="2"/>
        <v>2025</v>
      </c>
      <c r="G125" s="165" t="s">
        <v>534</v>
      </c>
      <c r="H125" s="43" t="s">
        <v>862</v>
      </c>
      <c r="I125" s="308">
        <v>143990.0</v>
      </c>
      <c r="J125" s="276">
        <f>IF(ISBLANK(I125), "", VLOOKUP(E125&amp;" "&amp;F125, 'Info Tipo de Cambio y REM'!$A$24:$B$35, 2, FALSE))
</f>
        <v>1215</v>
      </c>
      <c r="K125" s="294">
        <f t="shared" si="12"/>
        <v>118.5102881</v>
      </c>
      <c r="L125" s="293">
        <f t="shared" si="5"/>
        <v>-2484165.975</v>
      </c>
      <c r="M125" s="293">
        <f t="shared" si="3"/>
        <v>-69952.33</v>
      </c>
      <c r="N125" s="293">
        <f t="shared" si="6"/>
        <v>0</v>
      </c>
      <c r="O125" s="277">
        <f t="shared" si="4"/>
        <v>-71805.95607</v>
      </c>
      <c r="P125" s="264"/>
      <c r="Q125" s="264"/>
      <c r="R125" s="264"/>
      <c r="S125" s="264"/>
      <c r="T125" s="264"/>
      <c r="U125" s="264"/>
      <c r="V125" s="264"/>
      <c r="W125" s="264"/>
      <c r="X125" s="264"/>
      <c r="Y125" s="264"/>
      <c r="Z125" s="264"/>
      <c r="AA125" s="264"/>
      <c r="AB125" s="264"/>
      <c r="AC125" s="264"/>
      <c r="AD125" s="264"/>
      <c r="AE125" s="264"/>
    </row>
    <row r="126">
      <c r="A126" s="272" t="s">
        <v>795</v>
      </c>
      <c r="B126" s="272" t="s">
        <v>144</v>
      </c>
      <c r="C126" s="272" t="s">
        <v>791</v>
      </c>
      <c r="D126" s="172">
        <v>45826.0</v>
      </c>
      <c r="E126" s="267" t="str">
        <f t="shared" si="1"/>
        <v>06 jun</v>
      </c>
      <c r="F126" s="274">
        <f t="shared" si="2"/>
        <v>2025</v>
      </c>
      <c r="G126" s="43" t="s">
        <v>522</v>
      </c>
      <c r="H126" s="310" t="s">
        <v>606</v>
      </c>
      <c r="I126" s="277"/>
      <c r="J126" s="276" t="str">
        <f>IF(ISBLANK(I126), "", VLOOKUP(E126&amp;" "&amp;F126, 'Info Tipo de Cambio y REM'!$A$24:$B$35, 2, FALSE))
</f>
        <v/>
      </c>
      <c r="K126" s="294">
        <v>8.0</v>
      </c>
      <c r="L126" s="293">
        <f t="shared" si="5"/>
        <v>-2484165.975</v>
      </c>
      <c r="M126" s="293">
        <f t="shared" si="3"/>
        <v>-69960.33</v>
      </c>
      <c r="N126" s="293">
        <f t="shared" si="6"/>
        <v>0</v>
      </c>
      <c r="O126" s="277">
        <f t="shared" si="4"/>
        <v>-71813.95607</v>
      </c>
      <c r="P126" s="264"/>
      <c r="Q126" s="264"/>
      <c r="R126" s="264"/>
      <c r="S126" s="264"/>
      <c r="T126" s="264"/>
      <c r="U126" s="264"/>
      <c r="V126" s="264"/>
      <c r="W126" s="264"/>
      <c r="X126" s="264"/>
      <c r="Y126" s="264"/>
      <c r="Z126" s="264"/>
      <c r="AA126" s="264"/>
      <c r="AB126" s="264"/>
      <c r="AC126" s="264"/>
      <c r="AD126" s="264"/>
      <c r="AE126" s="264"/>
    </row>
    <row r="127">
      <c r="A127" s="272" t="s">
        <v>795</v>
      </c>
      <c r="B127" s="272" t="s">
        <v>144</v>
      </c>
      <c r="C127" s="272" t="s">
        <v>791</v>
      </c>
      <c r="D127" s="172">
        <v>45828.0</v>
      </c>
      <c r="E127" s="267" t="str">
        <f t="shared" si="1"/>
        <v>06 jun</v>
      </c>
      <c r="F127" s="274">
        <f t="shared" si="2"/>
        <v>2025</v>
      </c>
      <c r="G127" s="43" t="s">
        <v>522</v>
      </c>
      <c r="H127" s="310" t="s">
        <v>607</v>
      </c>
      <c r="I127" s="277"/>
      <c r="J127" s="276" t="str">
        <f>IF(ISBLANK(I127), "", VLOOKUP(E127&amp;" "&amp;F127, 'Info Tipo de Cambio y REM'!$A$24:$B$35, 2, FALSE))
</f>
        <v/>
      </c>
      <c r="K127" s="294">
        <v>25.19</v>
      </c>
      <c r="L127" s="293">
        <f t="shared" si="5"/>
        <v>-2484165.975</v>
      </c>
      <c r="M127" s="293">
        <f t="shared" si="3"/>
        <v>-69985.52</v>
      </c>
      <c r="N127" s="293">
        <f t="shared" si="6"/>
        <v>0</v>
      </c>
      <c r="O127" s="277">
        <f t="shared" si="4"/>
        <v>-71839.14607</v>
      </c>
      <c r="P127" s="264"/>
      <c r="Q127" s="264"/>
      <c r="R127" s="264"/>
      <c r="S127" s="264"/>
      <c r="T127" s="264"/>
      <c r="U127" s="264"/>
      <c r="V127" s="264"/>
      <c r="W127" s="264"/>
      <c r="X127" s="264"/>
      <c r="Y127" s="264"/>
      <c r="Z127" s="264"/>
      <c r="AA127" s="264"/>
      <c r="AB127" s="264"/>
      <c r="AC127" s="264"/>
      <c r="AD127" s="264"/>
      <c r="AE127" s="264"/>
    </row>
    <row r="128">
      <c r="A128" s="272" t="s">
        <v>797</v>
      </c>
      <c r="B128" s="272" t="s">
        <v>793</v>
      </c>
      <c r="C128" s="272" t="s">
        <v>794</v>
      </c>
      <c r="D128" s="172">
        <v>45831.0</v>
      </c>
      <c r="E128" s="267" t="str">
        <f t="shared" si="1"/>
        <v>06 jun</v>
      </c>
      <c r="F128" s="274">
        <f t="shared" si="2"/>
        <v>2025</v>
      </c>
      <c r="G128" s="42" t="s">
        <v>863</v>
      </c>
      <c r="H128" s="272" t="s">
        <v>864</v>
      </c>
      <c r="I128" s="275">
        <v>1051150.0</v>
      </c>
      <c r="J128" s="276">
        <f>IF(ISBLANK(I128), "", VLOOKUP(E128&amp;" "&amp;F128, 'Info Tipo de Cambio y REM'!$A$24:$B$35, 2, FALSE))
</f>
        <v>1215</v>
      </c>
      <c r="K128" s="294">
        <f>I128/J128</f>
        <v>865.1440329</v>
      </c>
      <c r="L128" s="293">
        <f t="shared" si="5"/>
        <v>-1433015.975</v>
      </c>
      <c r="M128" s="293">
        <f t="shared" si="3"/>
        <v>-69985.52</v>
      </c>
      <c r="N128" s="293">
        <f t="shared" si="6"/>
        <v>0</v>
      </c>
      <c r="O128" s="277">
        <f t="shared" si="4"/>
        <v>-70974.00204</v>
      </c>
      <c r="P128" s="264"/>
      <c r="Q128" s="264"/>
      <c r="R128" s="264"/>
      <c r="S128" s="264"/>
      <c r="T128" s="264"/>
      <c r="U128" s="264"/>
      <c r="V128" s="264"/>
      <c r="W128" s="264"/>
      <c r="X128" s="264"/>
      <c r="Y128" s="264"/>
      <c r="Z128" s="264"/>
      <c r="AA128" s="264"/>
      <c r="AB128" s="264"/>
      <c r="AC128" s="264"/>
      <c r="AD128" s="264"/>
      <c r="AE128" s="264"/>
    </row>
    <row r="129">
      <c r="A129" s="272" t="s">
        <v>797</v>
      </c>
      <c r="B129" s="272" t="s">
        <v>144</v>
      </c>
      <c r="C129" s="272" t="s">
        <v>791</v>
      </c>
      <c r="D129" s="279">
        <v>45838.0</v>
      </c>
      <c r="E129" s="267" t="str">
        <f t="shared" si="1"/>
        <v>06 jun</v>
      </c>
      <c r="F129" s="274">
        <f t="shared" si="2"/>
        <v>2025</v>
      </c>
      <c r="G129" s="43" t="s">
        <v>318</v>
      </c>
      <c r="H129" s="43" t="s">
        <v>249</v>
      </c>
      <c r="I129" s="277"/>
      <c r="J129" s="276" t="str">
        <f>IF(ISBLANK(I129), "", VLOOKUP(E129&amp;" "&amp;F129, 'Info Tipo de Cambio y REM'!$A$24:$B$35, 2, FALSE))
</f>
        <v/>
      </c>
      <c r="K129" s="290">
        <v>1750.0</v>
      </c>
      <c r="L129" s="277">
        <f t="shared" si="5"/>
        <v>-1433015.975</v>
      </c>
      <c r="M129" s="277">
        <f t="shared" si="3"/>
        <v>-68235.52</v>
      </c>
      <c r="N129" s="277">
        <f t="shared" si="6"/>
        <v>0</v>
      </c>
      <c r="O129" s="277">
        <f t="shared" si="4"/>
        <v>-69224.00204</v>
      </c>
      <c r="P129" s="264"/>
      <c r="Q129" s="264"/>
      <c r="R129" s="264"/>
      <c r="S129" s="264"/>
      <c r="T129" s="264"/>
      <c r="U129" s="264"/>
      <c r="V129" s="264"/>
      <c r="W129" s="264"/>
      <c r="X129" s="264"/>
      <c r="Y129" s="264"/>
      <c r="Z129" s="264"/>
      <c r="AA129" s="264"/>
      <c r="AB129" s="264"/>
      <c r="AC129" s="264"/>
      <c r="AD129" s="264"/>
      <c r="AE129" s="264"/>
    </row>
    <row r="130">
      <c r="A130" s="272" t="s">
        <v>797</v>
      </c>
      <c r="B130" s="272" t="s">
        <v>793</v>
      </c>
      <c r="C130" s="272" t="s">
        <v>794</v>
      </c>
      <c r="D130" s="279">
        <v>45835.0</v>
      </c>
      <c r="E130" s="267" t="str">
        <f t="shared" si="1"/>
        <v>06 jun</v>
      </c>
      <c r="F130" s="274">
        <f t="shared" si="2"/>
        <v>2025</v>
      </c>
      <c r="G130" s="59" t="s">
        <v>865</v>
      </c>
      <c r="H130" s="43" t="s">
        <v>245</v>
      </c>
      <c r="I130" s="112">
        <v>5275425.76</v>
      </c>
      <c r="J130" s="276">
        <f>IF(ISBLANK(I130), "", VLOOKUP(E130&amp;" "&amp;F130, 'Info Tipo de Cambio y REM'!$A$24:$B$35, 2, FALSE))
</f>
        <v>1215</v>
      </c>
      <c r="K130" s="290">
        <f>I130/J130</f>
        <v>4341.914206</v>
      </c>
      <c r="L130" s="277">
        <f t="shared" si="5"/>
        <v>3842409.785</v>
      </c>
      <c r="M130" s="277">
        <f t="shared" si="3"/>
        <v>-68235.52</v>
      </c>
      <c r="N130" s="277">
        <f t="shared" si="6"/>
        <v>0</v>
      </c>
      <c r="O130" s="277">
        <f t="shared" si="4"/>
        <v>-64882.08783</v>
      </c>
      <c r="P130" s="264"/>
      <c r="Q130" s="264"/>
      <c r="R130" s="264"/>
      <c r="S130" s="264"/>
      <c r="T130" s="264"/>
      <c r="U130" s="264"/>
      <c r="V130" s="264"/>
      <c r="W130" s="264"/>
      <c r="X130" s="264"/>
      <c r="Y130" s="264"/>
      <c r="Z130" s="264"/>
      <c r="AA130" s="264"/>
      <c r="AB130" s="264"/>
      <c r="AC130" s="264"/>
      <c r="AD130" s="264"/>
      <c r="AE130" s="264"/>
    </row>
    <row r="131">
      <c r="A131" s="272" t="s">
        <v>795</v>
      </c>
      <c r="B131" s="272" t="s">
        <v>144</v>
      </c>
      <c r="C131" s="272" t="s">
        <v>791</v>
      </c>
      <c r="D131" s="311">
        <v>45827.0</v>
      </c>
      <c r="E131" s="267" t="str">
        <f t="shared" si="1"/>
        <v>06 jun</v>
      </c>
      <c r="F131" s="274">
        <f t="shared" si="2"/>
        <v>2025</v>
      </c>
      <c r="G131" s="55" t="s">
        <v>458</v>
      </c>
      <c r="H131" s="169" t="s">
        <v>608</v>
      </c>
      <c r="I131" s="277"/>
      <c r="J131" s="276" t="str">
        <f>IF(ISBLANK(I131), "", VLOOKUP(E131&amp;" "&amp;F131, 'Info Tipo de Cambio y REM'!$A$24:$B$35, 2, FALSE))
</f>
        <v/>
      </c>
      <c r="K131" s="109">
        <v>3000.0</v>
      </c>
      <c r="L131" s="277">
        <f t="shared" si="5"/>
        <v>3842409.785</v>
      </c>
      <c r="M131" s="277">
        <f t="shared" si="3"/>
        <v>-71235.52</v>
      </c>
      <c r="N131" s="277">
        <f t="shared" si="6"/>
        <v>0</v>
      </c>
      <c r="O131" s="277">
        <f t="shared" si="4"/>
        <v>-67882.08783</v>
      </c>
      <c r="P131" s="264"/>
      <c r="Q131" s="264"/>
      <c r="R131" s="264"/>
      <c r="S131" s="264"/>
      <c r="T131" s="264"/>
      <c r="U131" s="264"/>
      <c r="V131" s="264"/>
      <c r="W131" s="264"/>
      <c r="X131" s="264"/>
      <c r="Y131" s="264"/>
      <c r="Z131" s="264"/>
      <c r="AA131" s="264"/>
      <c r="AB131" s="264"/>
      <c r="AC131" s="264"/>
      <c r="AD131" s="264"/>
      <c r="AE131" s="264"/>
    </row>
    <row r="132">
      <c r="A132" s="272" t="s">
        <v>795</v>
      </c>
      <c r="B132" s="272" t="s">
        <v>144</v>
      </c>
      <c r="C132" s="272" t="s">
        <v>791</v>
      </c>
      <c r="D132" s="311">
        <v>45827.0</v>
      </c>
      <c r="E132" s="267" t="str">
        <f t="shared" si="1"/>
        <v>06 jun</v>
      </c>
      <c r="F132" s="274">
        <f t="shared" si="2"/>
        <v>2025</v>
      </c>
      <c r="G132" s="55" t="s">
        <v>458</v>
      </c>
      <c r="H132" s="43" t="s">
        <v>552</v>
      </c>
      <c r="I132" s="277"/>
      <c r="J132" s="276" t="str">
        <f>IF(ISBLANK(I132), "", VLOOKUP(E132&amp;" "&amp;F132, 'Info Tipo de Cambio y REM'!$A$24:$B$35, 2, FALSE))
</f>
        <v/>
      </c>
      <c r="K132" s="109">
        <v>45.0</v>
      </c>
      <c r="L132" s="277">
        <f t="shared" si="5"/>
        <v>3842409.785</v>
      </c>
      <c r="M132" s="277">
        <f t="shared" si="3"/>
        <v>-71280.52</v>
      </c>
      <c r="N132" s="277">
        <f t="shared" si="6"/>
        <v>0</v>
      </c>
      <c r="O132" s="277">
        <f t="shared" si="4"/>
        <v>-67927.08783</v>
      </c>
      <c r="P132" s="264"/>
      <c r="Q132" s="264"/>
      <c r="R132" s="264"/>
      <c r="S132" s="264"/>
      <c r="T132" s="264"/>
      <c r="U132" s="264"/>
      <c r="V132" s="264"/>
      <c r="W132" s="264"/>
      <c r="X132" s="264"/>
      <c r="Y132" s="264"/>
      <c r="Z132" s="264"/>
      <c r="AA132" s="264"/>
      <c r="AB132" s="264"/>
      <c r="AC132" s="264"/>
      <c r="AD132" s="264"/>
      <c r="AE132" s="264"/>
    </row>
    <row r="133">
      <c r="A133" s="272" t="s">
        <v>795</v>
      </c>
      <c r="B133" s="272" t="s">
        <v>144</v>
      </c>
      <c r="C133" s="272" t="s">
        <v>791</v>
      </c>
      <c r="D133" s="312">
        <v>45831.0</v>
      </c>
      <c r="E133" s="267" t="str">
        <f t="shared" si="1"/>
        <v>06 jun</v>
      </c>
      <c r="F133" s="274">
        <f t="shared" si="2"/>
        <v>2025</v>
      </c>
      <c r="G133" s="165" t="s">
        <v>522</v>
      </c>
      <c r="H133" s="169" t="s">
        <v>609</v>
      </c>
      <c r="I133" s="277"/>
      <c r="J133" s="276" t="str">
        <f>IF(ISBLANK(I133), "", VLOOKUP(E133&amp;" "&amp;F133, 'Info Tipo de Cambio y REM'!$A$24:$B$35, 2, FALSE))
</f>
        <v/>
      </c>
      <c r="K133" s="171">
        <v>45.0</v>
      </c>
      <c r="L133" s="277">
        <f t="shared" si="5"/>
        <v>3842409.785</v>
      </c>
      <c r="M133" s="277">
        <f t="shared" si="3"/>
        <v>-71325.52</v>
      </c>
      <c r="N133" s="277">
        <f t="shared" si="6"/>
        <v>0</v>
      </c>
      <c r="O133" s="277">
        <f t="shared" si="4"/>
        <v>-67972.08783</v>
      </c>
      <c r="P133" s="264"/>
      <c r="Q133" s="264"/>
      <c r="R133" s="264"/>
      <c r="S133" s="264"/>
      <c r="T133" s="264"/>
      <c r="U133" s="264"/>
      <c r="V133" s="264"/>
      <c r="W133" s="264"/>
      <c r="X133" s="264"/>
      <c r="Y133" s="264"/>
      <c r="Z133" s="264"/>
      <c r="AA133" s="264"/>
      <c r="AB133" s="264"/>
      <c r="AC133" s="264"/>
      <c r="AD133" s="264"/>
      <c r="AE133" s="264"/>
    </row>
    <row r="134">
      <c r="A134" s="272" t="s">
        <v>795</v>
      </c>
      <c r="B134" s="272" t="s">
        <v>144</v>
      </c>
      <c r="C134" s="272" t="s">
        <v>791</v>
      </c>
      <c r="D134" s="312">
        <v>45831.0</v>
      </c>
      <c r="E134" s="267" t="str">
        <f t="shared" si="1"/>
        <v>06 jun</v>
      </c>
      <c r="F134" s="274">
        <f t="shared" si="2"/>
        <v>2025</v>
      </c>
      <c r="G134" s="165" t="s">
        <v>522</v>
      </c>
      <c r="H134" s="169" t="s">
        <v>610</v>
      </c>
      <c r="I134" s="277"/>
      <c r="J134" s="276" t="str">
        <f>IF(ISBLANK(I134), "", VLOOKUP(E134&amp;" "&amp;F134, 'Info Tipo de Cambio y REM'!$A$24:$B$35, 2, FALSE))
</f>
        <v/>
      </c>
      <c r="K134" s="171">
        <v>29.99</v>
      </c>
      <c r="L134" s="277">
        <f t="shared" si="5"/>
        <v>3842409.785</v>
      </c>
      <c r="M134" s="277">
        <f t="shared" si="3"/>
        <v>-71355.51</v>
      </c>
      <c r="N134" s="277">
        <f t="shared" si="6"/>
        <v>0</v>
      </c>
      <c r="O134" s="277">
        <f t="shared" si="4"/>
        <v>-68002.07783</v>
      </c>
      <c r="P134" s="264"/>
      <c r="Q134" s="264"/>
      <c r="R134" s="264"/>
      <c r="S134" s="264"/>
      <c r="T134" s="264"/>
      <c r="U134" s="264"/>
      <c r="V134" s="264"/>
      <c r="W134" s="264"/>
      <c r="X134" s="264"/>
      <c r="Y134" s="264"/>
      <c r="Z134" s="264"/>
      <c r="AA134" s="264"/>
      <c r="AB134" s="264"/>
      <c r="AC134" s="264"/>
      <c r="AD134" s="264"/>
      <c r="AE134" s="264"/>
    </row>
    <row r="135">
      <c r="A135" s="272" t="s">
        <v>795</v>
      </c>
      <c r="B135" s="272" t="s">
        <v>144</v>
      </c>
      <c r="C135" s="272" t="s">
        <v>791</v>
      </c>
      <c r="D135" s="312">
        <v>45831.0</v>
      </c>
      <c r="E135" s="267" t="str">
        <f t="shared" si="1"/>
        <v>06 jun</v>
      </c>
      <c r="F135" s="274">
        <f t="shared" si="2"/>
        <v>2025</v>
      </c>
      <c r="G135" s="165" t="s">
        <v>522</v>
      </c>
      <c r="H135" s="169" t="s">
        <v>611</v>
      </c>
      <c r="I135" s="277"/>
      <c r="J135" s="276" t="str">
        <f>IF(ISBLANK(I135), "", VLOOKUP(E135&amp;" "&amp;F135, 'Info Tipo de Cambio y REM'!$A$24:$B$35, 2, FALSE))
</f>
        <v/>
      </c>
      <c r="K135" s="171">
        <v>609.8</v>
      </c>
      <c r="L135" s="277">
        <f t="shared" si="5"/>
        <v>3842409.785</v>
      </c>
      <c r="M135" s="277">
        <f t="shared" si="3"/>
        <v>-71965.31</v>
      </c>
      <c r="N135" s="277">
        <f t="shared" si="6"/>
        <v>0</v>
      </c>
      <c r="O135" s="277">
        <f t="shared" si="4"/>
        <v>-68611.87783</v>
      </c>
      <c r="P135" s="264"/>
      <c r="Q135" s="264"/>
      <c r="R135" s="264"/>
      <c r="S135" s="264"/>
      <c r="T135" s="264"/>
      <c r="U135" s="264"/>
      <c r="V135" s="264"/>
      <c r="W135" s="264"/>
      <c r="X135" s="264"/>
      <c r="Y135" s="264"/>
      <c r="Z135" s="264"/>
      <c r="AA135" s="264"/>
      <c r="AB135" s="264"/>
      <c r="AC135" s="264"/>
      <c r="AD135" s="264"/>
      <c r="AE135" s="264"/>
    </row>
    <row r="136">
      <c r="A136" s="272" t="s">
        <v>795</v>
      </c>
      <c r="B136" s="272" t="s">
        <v>144</v>
      </c>
      <c r="C136" s="272" t="s">
        <v>791</v>
      </c>
      <c r="D136" s="313">
        <v>45832.0</v>
      </c>
      <c r="E136" s="267" t="str">
        <f t="shared" si="1"/>
        <v>06 jun</v>
      </c>
      <c r="F136" s="274">
        <f t="shared" si="2"/>
        <v>2025</v>
      </c>
      <c r="G136" s="165" t="s">
        <v>566</v>
      </c>
      <c r="H136" s="43" t="s">
        <v>612</v>
      </c>
      <c r="I136" s="277"/>
      <c r="J136" s="276" t="str">
        <f>IF(ISBLANK(I136), "", VLOOKUP(E136&amp;" "&amp;F136, 'Info Tipo de Cambio y REM'!$A$24:$B$35, 2, FALSE))
</f>
        <v/>
      </c>
      <c r="K136" s="89">
        <v>1440.0</v>
      </c>
      <c r="L136" s="277">
        <f t="shared" si="5"/>
        <v>3842409.785</v>
      </c>
      <c r="M136" s="277">
        <f t="shared" si="3"/>
        <v>-73405.31</v>
      </c>
      <c r="N136" s="277">
        <f t="shared" si="6"/>
        <v>0</v>
      </c>
      <c r="O136" s="277">
        <f t="shared" si="4"/>
        <v>-70051.87783</v>
      </c>
      <c r="P136" s="264"/>
      <c r="Q136" s="264"/>
      <c r="R136" s="264"/>
      <c r="S136" s="264"/>
      <c r="T136" s="264"/>
      <c r="U136" s="264"/>
      <c r="V136" s="264"/>
      <c r="W136" s="264"/>
      <c r="X136" s="264"/>
      <c r="Y136" s="264"/>
      <c r="Z136" s="264"/>
      <c r="AA136" s="264"/>
      <c r="AB136" s="264"/>
      <c r="AC136" s="264"/>
      <c r="AD136" s="264"/>
      <c r="AE136" s="264"/>
    </row>
    <row r="137">
      <c r="A137" s="272" t="s">
        <v>795</v>
      </c>
      <c r="B137" s="272" t="s">
        <v>144</v>
      </c>
      <c r="C137" s="272" t="s">
        <v>791</v>
      </c>
      <c r="D137" s="313">
        <v>45833.0</v>
      </c>
      <c r="E137" s="267" t="str">
        <f t="shared" si="1"/>
        <v>06 jun</v>
      </c>
      <c r="F137" s="274">
        <f t="shared" si="2"/>
        <v>2025</v>
      </c>
      <c r="G137" s="165" t="s">
        <v>389</v>
      </c>
      <c r="H137" s="43" t="s">
        <v>613</v>
      </c>
      <c r="I137" s="277"/>
      <c r="J137" s="276" t="str">
        <f>IF(ISBLANK(I137), "", VLOOKUP(E137&amp;" "&amp;F137, 'Info Tipo de Cambio y REM'!$A$24:$B$35, 2, FALSE))
</f>
        <v/>
      </c>
      <c r="K137" s="89">
        <v>597.0</v>
      </c>
      <c r="L137" s="277">
        <f t="shared" si="5"/>
        <v>3842409.785</v>
      </c>
      <c r="M137" s="277">
        <f t="shared" si="3"/>
        <v>-74002.31</v>
      </c>
      <c r="N137" s="277">
        <f t="shared" si="6"/>
        <v>0</v>
      </c>
      <c r="O137" s="277">
        <f t="shared" si="4"/>
        <v>-70648.87783</v>
      </c>
      <c r="P137" s="264"/>
      <c r="Q137" s="264"/>
      <c r="R137" s="264"/>
      <c r="S137" s="264"/>
      <c r="T137" s="264"/>
      <c r="U137" s="264"/>
      <c r="V137" s="264"/>
      <c r="W137" s="264"/>
      <c r="X137" s="264"/>
      <c r="Y137" s="264"/>
      <c r="Z137" s="264"/>
      <c r="AA137" s="264"/>
      <c r="AB137" s="264"/>
      <c r="AC137" s="264"/>
      <c r="AD137" s="264"/>
      <c r="AE137" s="264"/>
    </row>
    <row r="138">
      <c r="A138" s="272" t="s">
        <v>795</v>
      </c>
      <c r="B138" s="272" t="s">
        <v>144</v>
      </c>
      <c r="C138" s="272" t="s">
        <v>791</v>
      </c>
      <c r="D138" s="313">
        <v>45833.0</v>
      </c>
      <c r="E138" s="267" t="str">
        <f t="shared" si="1"/>
        <v>06 jun</v>
      </c>
      <c r="F138" s="274">
        <f t="shared" si="2"/>
        <v>2025</v>
      </c>
      <c r="G138" s="165" t="s">
        <v>387</v>
      </c>
      <c r="H138" s="43" t="s">
        <v>614</v>
      </c>
      <c r="I138" s="277"/>
      <c r="J138" s="276" t="str">
        <f>IF(ISBLANK(I138), "", VLOOKUP(E138&amp;" "&amp;F138, 'Info Tipo de Cambio y REM'!$A$24:$B$35, 2, FALSE))
</f>
        <v/>
      </c>
      <c r="K138" s="89">
        <v>2279.0</v>
      </c>
      <c r="L138" s="277">
        <f t="shared" si="5"/>
        <v>3842409.785</v>
      </c>
      <c r="M138" s="277">
        <f t="shared" si="3"/>
        <v>-76281.31</v>
      </c>
      <c r="N138" s="277">
        <f t="shared" si="6"/>
        <v>0</v>
      </c>
      <c r="O138" s="277">
        <f t="shared" si="4"/>
        <v>-72927.87783</v>
      </c>
      <c r="P138" s="264"/>
      <c r="Q138" s="264"/>
      <c r="R138" s="264"/>
      <c r="S138" s="264"/>
      <c r="T138" s="264"/>
      <c r="U138" s="264"/>
      <c r="V138" s="264"/>
      <c r="W138" s="264"/>
      <c r="X138" s="264"/>
      <c r="Y138" s="264"/>
      <c r="Z138" s="264"/>
      <c r="AA138" s="264"/>
      <c r="AB138" s="264"/>
      <c r="AC138" s="264"/>
      <c r="AD138" s="264"/>
      <c r="AE138" s="264"/>
    </row>
    <row r="139">
      <c r="A139" s="272" t="s">
        <v>795</v>
      </c>
      <c r="B139" s="272" t="s">
        <v>144</v>
      </c>
      <c r="C139" s="272" t="s">
        <v>791</v>
      </c>
      <c r="D139" s="313">
        <v>45834.0</v>
      </c>
      <c r="E139" s="267" t="str">
        <f t="shared" si="1"/>
        <v>06 jun</v>
      </c>
      <c r="F139" s="274">
        <f t="shared" si="2"/>
        <v>2025</v>
      </c>
      <c r="G139" s="165" t="s">
        <v>379</v>
      </c>
      <c r="H139" s="43" t="s">
        <v>615</v>
      </c>
      <c r="I139" s="277"/>
      <c r="J139" s="276" t="str">
        <f>IF(ISBLANK(I139), "", VLOOKUP(E139&amp;" "&amp;F139, 'Info Tipo de Cambio y REM'!$A$24:$B$35, 2, FALSE))
</f>
        <v/>
      </c>
      <c r="K139" s="89">
        <v>873.0</v>
      </c>
      <c r="L139" s="277">
        <f t="shared" si="5"/>
        <v>3842409.785</v>
      </c>
      <c r="M139" s="277">
        <f t="shared" si="3"/>
        <v>-77154.31</v>
      </c>
      <c r="N139" s="277">
        <f t="shared" si="6"/>
        <v>0</v>
      </c>
      <c r="O139" s="277">
        <f t="shared" si="4"/>
        <v>-73800.87783</v>
      </c>
      <c r="P139" s="264"/>
      <c r="Q139" s="264"/>
      <c r="R139" s="264"/>
      <c r="S139" s="264"/>
      <c r="T139" s="264"/>
      <c r="U139" s="264"/>
      <c r="V139" s="264"/>
      <c r="W139" s="264"/>
      <c r="X139" s="264"/>
      <c r="Y139" s="264"/>
      <c r="Z139" s="264"/>
      <c r="AA139" s="264"/>
      <c r="AB139" s="264"/>
      <c r="AC139" s="264"/>
      <c r="AD139" s="264"/>
      <c r="AE139" s="264"/>
    </row>
    <row r="140">
      <c r="A140" s="272" t="s">
        <v>795</v>
      </c>
      <c r="B140" s="272" t="s">
        <v>144</v>
      </c>
      <c r="C140" s="272" t="s">
        <v>791</v>
      </c>
      <c r="D140" s="313">
        <v>45834.0</v>
      </c>
      <c r="E140" s="267" t="str">
        <f t="shared" si="1"/>
        <v>06 jun</v>
      </c>
      <c r="F140" s="274">
        <f t="shared" si="2"/>
        <v>2025</v>
      </c>
      <c r="G140" s="165" t="s">
        <v>403</v>
      </c>
      <c r="H140" s="43" t="s">
        <v>615</v>
      </c>
      <c r="I140" s="277"/>
      <c r="J140" s="276" t="str">
        <f>IF(ISBLANK(I140), "", VLOOKUP(E140&amp;" "&amp;F140, 'Info Tipo de Cambio y REM'!$A$24:$B$35, 2, FALSE))
</f>
        <v/>
      </c>
      <c r="K140" s="89">
        <v>1469.0</v>
      </c>
      <c r="L140" s="277">
        <f t="shared" si="5"/>
        <v>3842409.785</v>
      </c>
      <c r="M140" s="277">
        <f t="shared" si="3"/>
        <v>-78623.31</v>
      </c>
      <c r="N140" s="277">
        <f t="shared" si="6"/>
        <v>0</v>
      </c>
      <c r="O140" s="277">
        <f t="shared" si="4"/>
        <v>-75269.87783</v>
      </c>
      <c r="P140" s="264"/>
      <c r="Q140" s="264"/>
      <c r="R140" s="264"/>
      <c r="S140" s="264"/>
      <c r="T140" s="264"/>
      <c r="U140" s="264"/>
      <c r="V140" s="264"/>
      <c r="W140" s="264"/>
      <c r="X140" s="264"/>
      <c r="Y140" s="264"/>
      <c r="Z140" s="264"/>
      <c r="AA140" s="264"/>
      <c r="AB140" s="264"/>
      <c r="AC140" s="264"/>
      <c r="AD140" s="264"/>
      <c r="AE140" s="264"/>
    </row>
    <row r="141">
      <c r="A141" s="272" t="s">
        <v>795</v>
      </c>
      <c r="B141" s="272" t="s">
        <v>144</v>
      </c>
      <c r="C141" s="272" t="s">
        <v>791</v>
      </c>
      <c r="D141" s="313">
        <v>45834.0</v>
      </c>
      <c r="E141" s="267" t="str">
        <f t="shared" si="1"/>
        <v>06 jun</v>
      </c>
      <c r="F141" s="274">
        <f t="shared" si="2"/>
        <v>2025</v>
      </c>
      <c r="G141" s="165" t="s">
        <v>580</v>
      </c>
      <c r="H141" s="43" t="s">
        <v>616</v>
      </c>
      <c r="I141" s="277"/>
      <c r="J141" s="276" t="str">
        <f>IF(ISBLANK(I141), "", VLOOKUP(E141&amp;" "&amp;F141, 'Info Tipo de Cambio y REM'!$A$24:$B$35, 2, FALSE))
</f>
        <v/>
      </c>
      <c r="K141" s="89">
        <v>1218.0</v>
      </c>
      <c r="L141" s="277">
        <f t="shared" si="5"/>
        <v>3842409.785</v>
      </c>
      <c r="M141" s="277">
        <f t="shared" si="3"/>
        <v>-79841.31</v>
      </c>
      <c r="N141" s="277">
        <f t="shared" si="6"/>
        <v>0</v>
      </c>
      <c r="O141" s="277">
        <f t="shared" si="4"/>
        <v>-76487.87783</v>
      </c>
      <c r="P141" s="264"/>
      <c r="Q141" s="264"/>
      <c r="R141" s="264"/>
      <c r="S141" s="264"/>
      <c r="T141" s="264"/>
      <c r="U141" s="264"/>
      <c r="V141" s="264"/>
      <c r="W141" s="264"/>
      <c r="X141" s="264"/>
      <c r="Y141" s="264"/>
      <c r="Z141" s="264"/>
      <c r="AA141" s="264"/>
      <c r="AB141" s="264"/>
      <c r="AC141" s="264"/>
      <c r="AD141" s="264"/>
      <c r="AE141" s="264"/>
    </row>
    <row r="142">
      <c r="A142" s="272" t="s">
        <v>795</v>
      </c>
      <c r="B142" s="272" t="s">
        <v>144</v>
      </c>
      <c r="C142" s="272" t="s">
        <v>791</v>
      </c>
      <c r="D142" s="313">
        <v>45835.0</v>
      </c>
      <c r="E142" s="267" t="str">
        <f t="shared" si="1"/>
        <v>06 jun</v>
      </c>
      <c r="F142" s="274">
        <f t="shared" si="2"/>
        <v>2025</v>
      </c>
      <c r="G142" s="165" t="s">
        <v>589</v>
      </c>
      <c r="H142" s="43" t="s">
        <v>617</v>
      </c>
      <c r="I142" s="277"/>
      <c r="J142" s="276" t="str">
        <f>IF(ISBLANK(I142), "", VLOOKUP(E142&amp;" "&amp;F142, 'Info Tipo de Cambio y REM'!$A$24:$B$35, 2, FALSE))
</f>
        <v/>
      </c>
      <c r="K142" s="89">
        <v>4500.0</v>
      </c>
      <c r="L142" s="277">
        <f t="shared" si="5"/>
        <v>3842409.785</v>
      </c>
      <c r="M142" s="277">
        <f t="shared" si="3"/>
        <v>-84341.31</v>
      </c>
      <c r="N142" s="277">
        <f t="shared" si="6"/>
        <v>0</v>
      </c>
      <c r="O142" s="277">
        <f t="shared" si="4"/>
        <v>-80987.87783</v>
      </c>
      <c r="P142" s="264"/>
      <c r="Q142" s="264"/>
      <c r="R142" s="264"/>
      <c r="S142" s="264"/>
      <c r="T142" s="264"/>
      <c r="U142" s="264"/>
      <c r="V142" s="264"/>
      <c r="W142" s="264"/>
      <c r="X142" s="264"/>
      <c r="Y142" s="264"/>
      <c r="Z142" s="264"/>
      <c r="AA142" s="264"/>
      <c r="AB142" s="264"/>
      <c r="AC142" s="264"/>
      <c r="AD142" s="264"/>
      <c r="AE142" s="264"/>
    </row>
    <row r="143">
      <c r="A143" s="272" t="s">
        <v>795</v>
      </c>
      <c r="B143" s="272" t="s">
        <v>144</v>
      </c>
      <c r="C143" s="272" t="s">
        <v>791</v>
      </c>
      <c r="D143" s="313">
        <v>45835.0</v>
      </c>
      <c r="E143" s="267" t="str">
        <f t="shared" si="1"/>
        <v>06 jun</v>
      </c>
      <c r="F143" s="274">
        <f t="shared" si="2"/>
        <v>2025</v>
      </c>
      <c r="G143" s="165" t="s">
        <v>407</v>
      </c>
      <c r="H143" s="43" t="s">
        <v>615</v>
      </c>
      <c r="I143" s="277"/>
      <c r="J143" s="276" t="str">
        <f>IF(ISBLANK(I143), "", VLOOKUP(E143&amp;" "&amp;F143, 'Info Tipo de Cambio y REM'!$A$24:$B$35, 2, FALSE))
</f>
        <v/>
      </c>
      <c r="K143" s="89">
        <v>1352.0</v>
      </c>
      <c r="L143" s="277">
        <f t="shared" si="5"/>
        <v>3842409.785</v>
      </c>
      <c r="M143" s="277">
        <f t="shared" si="3"/>
        <v>-85693.31</v>
      </c>
      <c r="N143" s="277">
        <f t="shared" si="6"/>
        <v>0</v>
      </c>
      <c r="O143" s="277">
        <f t="shared" si="4"/>
        <v>-82339.87783</v>
      </c>
      <c r="P143" s="264"/>
      <c r="Q143" s="264"/>
      <c r="R143" s="264"/>
      <c r="S143" s="264"/>
      <c r="T143" s="264"/>
      <c r="U143" s="264"/>
      <c r="V143" s="264"/>
      <c r="W143" s="264"/>
      <c r="X143" s="264"/>
      <c r="Y143" s="264"/>
      <c r="Z143" s="264"/>
      <c r="AA143" s="264"/>
      <c r="AB143" s="264"/>
      <c r="AC143" s="264"/>
      <c r="AD143" s="264"/>
      <c r="AE143" s="264"/>
    </row>
    <row r="144">
      <c r="A144" s="272" t="s">
        <v>795</v>
      </c>
      <c r="B144" s="272" t="s">
        <v>144</v>
      </c>
      <c r="C144" s="272" t="s">
        <v>791</v>
      </c>
      <c r="D144" s="313">
        <v>45835.0</v>
      </c>
      <c r="E144" s="267" t="str">
        <f t="shared" si="1"/>
        <v>06 jun</v>
      </c>
      <c r="F144" s="274">
        <f t="shared" si="2"/>
        <v>2025</v>
      </c>
      <c r="G144" s="165" t="s">
        <v>450</v>
      </c>
      <c r="H144" s="43" t="s">
        <v>615</v>
      </c>
      <c r="I144" s="277"/>
      <c r="J144" s="276" t="str">
        <f>IF(ISBLANK(I144), "", VLOOKUP(E144&amp;" "&amp;F144, 'Info Tipo de Cambio y REM'!$A$24:$B$35, 2, FALSE))
</f>
        <v/>
      </c>
      <c r="K144" s="89">
        <v>1557.0</v>
      </c>
      <c r="L144" s="277">
        <f t="shared" si="5"/>
        <v>3842409.785</v>
      </c>
      <c r="M144" s="277">
        <f t="shared" si="3"/>
        <v>-87250.31</v>
      </c>
      <c r="N144" s="277">
        <f t="shared" si="6"/>
        <v>0</v>
      </c>
      <c r="O144" s="277">
        <f t="shared" si="4"/>
        <v>-83896.87783</v>
      </c>
      <c r="P144" s="264"/>
      <c r="Q144" s="264"/>
      <c r="R144" s="264"/>
      <c r="S144" s="264"/>
      <c r="T144" s="264"/>
      <c r="U144" s="264"/>
      <c r="V144" s="264"/>
      <c r="W144" s="264"/>
      <c r="X144" s="264"/>
      <c r="Y144" s="264"/>
      <c r="Z144" s="264"/>
      <c r="AA144" s="264"/>
      <c r="AB144" s="264"/>
      <c r="AC144" s="264"/>
      <c r="AD144" s="264"/>
      <c r="AE144" s="264"/>
    </row>
    <row r="145">
      <c r="A145" s="272" t="s">
        <v>795</v>
      </c>
      <c r="B145" s="272" t="s">
        <v>144</v>
      </c>
      <c r="C145" s="272" t="s">
        <v>791</v>
      </c>
      <c r="D145" s="313">
        <v>45838.0</v>
      </c>
      <c r="E145" s="267" t="str">
        <f t="shared" si="1"/>
        <v>06 jun</v>
      </c>
      <c r="F145" s="274">
        <f t="shared" si="2"/>
        <v>2025</v>
      </c>
      <c r="G145" s="165" t="s">
        <v>436</v>
      </c>
      <c r="H145" s="43" t="s">
        <v>614</v>
      </c>
      <c r="I145" s="277"/>
      <c r="J145" s="276" t="str">
        <f>IF(ISBLANK(I145), "", VLOOKUP(E145&amp;" "&amp;F145, 'Info Tipo de Cambio y REM'!$A$24:$B$35, 2, FALSE))
</f>
        <v/>
      </c>
      <c r="K145" s="89">
        <v>1156.0</v>
      </c>
      <c r="L145" s="277">
        <f t="shared" si="5"/>
        <v>3842409.785</v>
      </c>
      <c r="M145" s="277">
        <f t="shared" si="3"/>
        <v>-88406.31</v>
      </c>
      <c r="N145" s="277">
        <f t="shared" si="6"/>
        <v>0</v>
      </c>
      <c r="O145" s="277">
        <f t="shared" si="4"/>
        <v>-85052.87783</v>
      </c>
      <c r="P145" s="264"/>
      <c r="Q145" s="264"/>
      <c r="R145" s="264"/>
      <c r="S145" s="264"/>
      <c r="T145" s="264"/>
      <c r="U145" s="264"/>
      <c r="V145" s="264"/>
      <c r="W145" s="264"/>
      <c r="X145" s="264"/>
      <c r="Y145" s="264"/>
      <c r="Z145" s="264"/>
      <c r="AA145" s="264"/>
      <c r="AB145" s="264"/>
      <c r="AC145" s="264"/>
      <c r="AD145" s="264"/>
      <c r="AE145" s="264"/>
    </row>
    <row r="146">
      <c r="A146" s="272" t="s">
        <v>795</v>
      </c>
      <c r="B146" s="272" t="s">
        <v>144</v>
      </c>
      <c r="C146" s="272" t="s">
        <v>791</v>
      </c>
      <c r="D146" s="313">
        <v>45838.0</v>
      </c>
      <c r="E146" s="267" t="str">
        <f t="shared" si="1"/>
        <v>06 jun</v>
      </c>
      <c r="F146" s="274">
        <f t="shared" si="2"/>
        <v>2025</v>
      </c>
      <c r="G146" s="165" t="s">
        <v>411</v>
      </c>
      <c r="H146" s="43" t="s">
        <v>615</v>
      </c>
      <c r="I146" s="277"/>
      <c r="J146" s="276" t="str">
        <f>IF(ISBLANK(I146), "", VLOOKUP(E146&amp;" "&amp;F146, 'Info Tipo de Cambio y REM'!$A$24:$B$35, 2, FALSE))
</f>
        <v/>
      </c>
      <c r="K146" s="89">
        <v>1568.0</v>
      </c>
      <c r="L146" s="277">
        <f t="shared" si="5"/>
        <v>3842409.785</v>
      </c>
      <c r="M146" s="277">
        <f t="shared" si="3"/>
        <v>-89974.31</v>
      </c>
      <c r="N146" s="277">
        <f t="shared" si="6"/>
        <v>0</v>
      </c>
      <c r="O146" s="277">
        <f t="shared" si="4"/>
        <v>-86620.87783</v>
      </c>
      <c r="P146" s="264"/>
      <c r="Q146" s="264"/>
      <c r="R146" s="264"/>
      <c r="S146" s="264"/>
      <c r="T146" s="264"/>
      <c r="U146" s="264"/>
      <c r="V146" s="264"/>
      <c r="W146" s="264"/>
      <c r="X146" s="264"/>
      <c r="Y146" s="264"/>
      <c r="Z146" s="264"/>
      <c r="AA146" s="264"/>
      <c r="AB146" s="264"/>
      <c r="AC146" s="264"/>
      <c r="AD146" s="264"/>
      <c r="AE146" s="264"/>
    </row>
    <row r="147">
      <c r="A147" s="272" t="s">
        <v>795</v>
      </c>
      <c r="B147" s="272" t="s">
        <v>144</v>
      </c>
      <c r="C147" s="272" t="s">
        <v>791</v>
      </c>
      <c r="D147" s="313">
        <v>45838.0</v>
      </c>
      <c r="E147" s="267" t="str">
        <f t="shared" si="1"/>
        <v>06 jun</v>
      </c>
      <c r="F147" s="274">
        <f t="shared" si="2"/>
        <v>2025</v>
      </c>
      <c r="G147" s="165" t="s">
        <v>577</v>
      </c>
      <c r="H147" s="43" t="s">
        <v>615</v>
      </c>
      <c r="I147" s="277"/>
      <c r="J147" s="276" t="str">
        <f>IF(ISBLANK(I147), "", VLOOKUP(E147&amp;" "&amp;F147, 'Info Tipo de Cambio y REM'!$A$24:$B$35, 2, FALSE))
</f>
        <v/>
      </c>
      <c r="K147" s="89">
        <v>1465.0</v>
      </c>
      <c r="L147" s="277">
        <f t="shared" si="5"/>
        <v>3842409.785</v>
      </c>
      <c r="M147" s="277">
        <f t="shared" si="3"/>
        <v>-91439.31</v>
      </c>
      <c r="N147" s="277">
        <f t="shared" si="6"/>
        <v>0</v>
      </c>
      <c r="O147" s="277">
        <f t="shared" si="4"/>
        <v>-88085.87783</v>
      </c>
      <c r="P147" s="264"/>
      <c r="Q147" s="264"/>
      <c r="R147" s="264"/>
      <c r="S147" s="264"/>
      <c r="T147" s="264"/>
      <c r="U147" s="264"/>
      <c r="V147" s="264"/>
      <c r="W147" s="264"/>
      <c r="X147" s="264"/>
      <c r="Y147" s="264"/>
      <c r="Z147" s="264"/>
      <c r="AA147" s="264"/>
      <c r="AB147" s="264"/>
      <c r="AC147" s="264"/>
      <c r="AD147" s="264"/>
      <c r="AE147" s="264"/>
    </row>
    <row r="148">
      <c r="A148" s="272" t="s">
        <v>795</v>
      </c>
      <c r="B148" s="272" t="s">
        <v>144</v>
      </c>
      <c r="C148" s="272" t="s">
        <v>791</v>
      </c>
      <c r="D148" s="313">
        <v>45832.0</v>
      </c>
      <c r="E148" s="267" t="str">
        <f t="shared" si="1"/>
        <v>06 jun</v>
      </c>
      <c r="F148" s="274">
        <f t="shared" si="2"/>
        <v>2025</v>
      </c>
      <c r="G148" s="165" t="s">
        <v>566</v>
      </c>
      <c r="H148" s="43" t="s">
        <v>552</v>
      </c>
      <c r="I148" s="277"/>
      <c r="J148" s="276" t="str">
        <f>IF(ISBLANK(I148), "", VLOOKUP(E148&amp;" "&amp;F148, 'Info Tipo de Cambio y REM'!$A$24:$B$35, 2, FALSE))
</f>
        <v/>
      </c>
      <c r="K148" s="89">
        <v>45.0</v>
      </c>
      <c r="L148" s="277">
        <f t="shared" si="5"/>
        <v>3842409.785</v>
      </c>
      <c r="M148" s="277">
        <f t="shared" si="3"/>
        <v>-91484.31</v>
      </c>
      <c r="N148" s="277">
        <f t="shared" si="6"/>
        <v>0</v>
      </c>
      <c r="O148" s="277">
        <f t="shared" si="4"/>
        <v>-88130.87783</v>
      </c>
      <c r="P148" s="264"/>
      <c r="Q148" s="264"/>
      <c r="R148" s="264"/>
      <c r="S148" s="264"/>
      <c r="T148" s="264"/>
      <c r="U148" s="264"/>
      <c r="V148" s="264"/>
      <c r="W148" s="264"/>
      <c r="X148" s="264"/>
      <c r="Y148" s="264"/>
      <c r="Z148" s="264"/>
      <c r="AA148" s="264"/>
      <c r="AB148" s="264"/>
      <c r="AC148" s="264"/>
      <c r="AD148" s="264"/>
      <c r="AE148" s="264"/>
    </row>
    <row r="149">
      <c r="A149" s="272" t="s">
        <v>795</v>
      </c>
      <c r="B149" s="272" t="s">
        <v>144</v>
      </c>
      <c r="C149" s="272" t="s">
        <v>791</v>
      </c>
      <c r="D149" s="313">
        <v>45833.0</v>
      </c>
      <c r="E149" s="267" t="str">
        <f t="shared" si="1"/>
        <v>06 jun</v>
      </c>
      <c r="F149" s="274">
        <f t="shared" si="2"/>
        <v>2025</v>
      </c>
      <c r="G149" s="165" t="s">
        <v>389</v>
      </c>
      <c r="H149" s="43" t="s">
        <v>552</v>
      </c>
      <c r="I149" s="277"/>
      <c r="J149" s="276" t="str">
        <f>IF(ISBLANK(I149), "", VLOOKUP(E149&amp;" "&amp;F149, 'Info Tipo de Cambio y REM'!$A$24:$B$35, 2, FALSE))
</f>
        <v/>
      </c>
      <c r="K149" s="89">
        <v>45.0</v>
      </c>
      <c r="L149" s="277">
        <f t="shared" si="5"/>
        <v>3842409.785</v>
      </c>
      <c r="M149" s="277">
        <f t="shared" si="3"/>
        <v>-91529.31</v>
      </c>
      <c r="N149" s="277">
        <f t="shared" si="6"/>
        <v>0</v>
      </c>
      <c r="O149" s="277">
        <f t="shared" si="4"/>
        <v>-88175.87783</v>
      </c>
      <c r="P149" s="264"/>
      <c r="Q149" s="264"/>
      <c r="R149" s="264"/>
      <c r="S149" s="264"/>
      <c r="T149" s="264"/>
      <c r="U149" s="264"/>
      <c r="V149" s="264"/>
      <c r="W149" s="264"/>
      <c r="X149" s="264"/>
      <c r="Y149" s="264"/>
      <c r="Z149" s="264"/>
      <c r="AA149" s="264"/>
      <c r="AB149" s="264"/>
      <c r="AC149" s="264"/>
      <c r="AD149" s="264"/>
      <c r="AE149" s="264"/>
    </row>
    <row r="150">
      <c r="A150" s="272" t="s">
        <v>795</v>
      </c>
      <c r="B150" s="272" t="s">
        <v>144</v>
      </c>
      <c r="C150" s="272" t="s">
        <v>791</v>
      </c>
      <c r="D150" s="313">
        <v>45833.0</v>
      </c>
      <c r="E150" s="267" t="str">
        <f t="shared" si="1"/>
        <v>06 jun</v>
      </c>
      <c r="F150" s="274">
        <f t="shared" si="2"/>
        <v>2025</v>
      </c>
      <c r="G150" s="165" t="s">
        <v>387</v>
      </c>
      <c r="H150" s="43" t="s">
        <v>552</v>
      </c>
      <c r="I150" s="277"/>
      <c r="J150" s="276" t="str">
        <f>IF(ISBLANK(I150), "", VLOOKUP(E150&amp;" "&amp;F150, 'Info Tipo de Cambio y REM'!$A$24:$B$35, 2, FALSE))
</f>
        <v/>
      </c>
      <c r="K150" s="89">
        <v>45.0</v>
      </c>
      <c r="L150" s="277">
        <f t="shared" si="5"/>
        <v>3842409.785</v>
      </c>
      <c r="M150" s="277">
        <f t="shared" si="3"/>
        <v>-91574.31</v>
      </c>
      <c r="N150" s="277">
        <f t="shared" si="6"/>
        <v>0</v>
      </c>
      <c r="O150" s="277">
        <f t="shared" si="4"/>
        <v>-88220.87783</v>
      </c>
      <c r="P150" s="264"/>
      <c r="Q150" s="264"/>
      <c r="R150" s="264"/>
      <c r="S150" s="264"/>
      <c r="T150" s="264"/>
      <c r="U150" s="264"/>
      <c r="V150" s="264"/>
      <c r="W150" s="264"/>
      <c r="X150" s="264"/>
      <c r="Y150" s="264"/>
      <c r="Z150" s="264"/>
      <c r="AA150" s="264"/>
      <c r="AB150" s="264"/>
      <c r="AC150" s="264"/>
      <c r="AD150" s="264"/>
      <c r="AE150" s="264"/>
    </row>
    <row r="151">
      <c r="A151" s="272" t="s">
        <v>795</v>
      </c>
      <c r="B151" s="272" t="s">
        <v>144</v>
      </c>
      <c r="C151" s="272" t="s">
        <v>791</v>
      </c>
      <c r="D151" s="313">
        <v>45834.0</v>
      </c>
      <c r="E151" s="267" t="str">
        <f t="shared" si="1"/>
        <v>06 jun</v>
      </c>
      <c r="F151" s="274">
        <f t="shared" si="2"/>
        <v>2025</v>
      </c>
      <c r="G151" s="165" t="s">
        <v>379</v>
      </c>
      <c r="H151" s="43" t="s">
        <v>552</v>
      </c>
      <c r="I151" s="277"/>
      <c r="J151" s="276" t="str">
        <f>IF(ISBLANK(I151), "", VLOOKUP(E151&amp;" "&amp;F151, 'Info Tipo de Cambio y REM'!$A$24:$B$35, 2, FALSE))
</f>
        <v/>
      </c>
      <c r="K151" s="89">
        <v>45.0</v>
      </c>
      <c r="L151" s="277">
        <f t="shared" si="5"/>
        <v>3842409.785</v>
      </c>
      <c r="M151" s="277">
        <f t="shared" si="3"/>
        <v>-91619.31</v>
      </c>
      <c r="N151" s="277">
        <f t="shared" si="6"/>
        <v>0</v>
      </c>
      <c r="O151" s="277">
        <f t="shared" si="4"/>
        <v>-88265.87783</v>
      </c>
      <c r="P151" s="264"/>
      <c r="Q151" s="264"/>
      <c r="R151" s="264"/>
      <c r="S151" s="264"/>
      <c r="T151" s="264"/>
      <c r="U151" s="264"/>
      <c r="V151" s="264"/>
      <c r="W151" s="264"/>
      <c r="X151" s="264"/>
      <c r="Y151" s="264"/>
      <c r="Z151" s="264"/>
      <c r="AA151" s="264"/>
      <c r="AB151" s="264"/>
      <c r="AC151" s="264"/>
      <c r="AD151" s="264"/>
      <c r="AE151" s="264"/>
    </row>
    <row r="152">
      <c r="A152" s="272" t="s">
        <v>795</v>
      </c>
      <c r="B152" s="272" t="s">
        <v>144</v>
      </c>
      <c r="C152" s="272" t="s">
        <v>791</v>
      </c>
      <c r="D152" s="313">
        <v>45834.0</v>
      </c>
      <c r="E152" s="267" t="str">
        <f t="shared" si="1"/>
        <v>06 jun</v>
      </c>
      <c r="F152" s="274">
        <f t="shared" si="2"/>
        <v>2025</v>
      </c>
      <c r="G152" s="165" t="s">
        <v>403</v>
      </c>
      <c r="H152" s="43" t="s">
        <v>552</v>
      </c>
      <c r="I152" s="277"/>
      <c r="J152" s="276" t="str">
        <f>IF(ISBLANK(I152), "", VLOOKUP(E152&amp;" "&amp;F152, 'Info Tipo de Cambio y REM'!$A$24:$B$35, 2, FALSE))
</f>
        <v/>
      </c>
      <c r="K152" s="89">
        <v>45.0</v>
      </c>
      <c r="L152" s="277">
        <f t="shared" si="5"/>
        <v>3842409.785</v>
      </c>
      <c r="M152" s="277">
        <f t="shared" si="3"/>
        <v>-91664.31</v>
      </c>
      <c r="N152" s="277">
        <f t="shared" si="6"/>
        <v>0</v>
      </c>
      <c r="O152" s="277">
        <f t="shared" si="4"/>
        <v>-88310.87783</v>
      </c>
      <c r="P152" s="264"/>
      <c r="Q152" s="264"/>
      <c r="R152" s="264"/>
      <c r="S152" s="264"/>
      <c r="T152" s="264"/>
      <c r="U152" s="264"/>
      <c r="V152" s="264"/>
      <c r="W152" s="264"/>
      <c r="X152" s="264"/>
      <c r="Y152" s="264"/>
      <c r="Z152" s="264"/>
      <c r="AA152" s="264"/>
      <c r="AB152" s="264"/>
      <c r="AC152" s="264"/>
      <c r="AD152" s="264"/>
      <c r="AE152" s="264"/>
    </row>
    <row r="153">
      <c r="A153" s="272" t="s">
        <v>795</v>
      </c>
      <c r="B153" s="272" t="s">
        <v>144</v>
      </c>
      <c r="C153" s="272" t="s">
        <v>791</v>
      </c>
      <c r="D153" s="313">
        <v>45834.0</v>
      </c>
      <c r="E153" s="267" t="str">
        <f t="shared" si="1"/>
        <v>06 jun</v>
      </c>
      <c r="F153" s="274">
        <f t="shared" si="2"/>
        <v>2025</v>
      </c>
      <c r="G153" s="165" t="s">
        <v>580</v>
      </c>
      <c r="H153" s="43" t="s">
        <v>552</v>
      </c>
      <c r="I153" s="277"/>
      <c r="J153" s="276" t="str">
        <f>IF(ISBLANK(I153), "", VLOOKUP(E153&amp;" "&amp;F153, 'Info Tipo de Cambio y REM'!$A$24:$B$35, 2, FALSE))
</f>
        <v/>
      </c>
      <c r="K153" s="89">
        <v>45.0</v>
      </c>
      <c r="L153" s="277">
        <f t="shared" si="5"/>
        <v>3842409.785</v>
      </c>
      <c r="M153" s="277">
        <f t="shared" si="3"/>
        <v>-91709.31</v>
      </c>
      <c r="N153" s="277">
        <f t="shared" si="6"/>
        <v>0</v>
      </c>
      <c r="O153" s="277">
        <f t="shared" si="4"/>
        <v>-88355.87783</v>
      </c>
      <c r="P153" s="264"/>
      <c r="Q153" s="264"/>
      <c r="R153" s="264"/>
      <c r="S153" s="264"/>
      <c r="T153" s="264"/>
      <c r="U153" s="264"/>
      <c r="V153" s="264"/>
      <c r="W153" s="264"/>
      <c r="X153" s="264"/>
      <c r="Y153" s="264"/>
      <c r="Z153" s="264"/>
      <c r="AA153" s="264"/>
      <c r="AB153" s="264"/>
      <c r="AC153" s="264"/>
      <c r="AD153" s="264"/>
      <c r="AE153" s="264"/>
    </row>
    <row r="154">
      <c r="A154" s="272" t="s">
        <v>795</v>
      </c>
      <c r="B154" s="272" t="s">
        <v>144</v>
      </c>
      <c r="C154" s="272" t="s">
        <v>791</v>
      </c>
      <c r="D154" s="313">
        <v>45835.0</v>
      </c>
      <c r="E154" s="267" t="str">
        <f t="shared" si="1"/>
        <v>06 jun</v>
      </c>
      <c r="F154" s="274">
        <f t="shared" si="2"/>
        <v>2025</v>
      </c>
      <c r="G154" s="165" t="s">
        <v>589</v>
      </c>
      <c r="H154" s="43" t="s">
        <v>552</v>
      </c>
      <c r="I154" s="277"/>
      <c r="J154" s="276" t="str">
        <f>IF(ISBLANK(I154), "", VLOOKUP(E154&amp;" "&amp;F154, 'Info Tipo de Cambio y REM'!$A$24:$B$35, 2, FALSE))
</f>
        <v/>
      </c>
      <c r="K154" s="89">
        <v>45.0</v>
      </c>
      <c r="L154" s="277">
        <f t="shared" si="5"/>
        <v>3842409.785</v>
      </c>
      <c r="M154" s="277">
        <f t="shared" si="3"/>
        <v>-91754.31</v>
      </c>
      <c r="N154" s="277">
        <f t="shared" si="6"/>
        <v>0</v>
      </c>
      <c r="O154" s="277">
        <f t="shared" si="4"/>
        <v>-88400.87783</v>
      </c>
      <c r="P154" s="264"/>
      <c r="Q154" s="264"/>
      <c r="R154" s="264"/>
      <c r="S154" s="264"/>
      <c r="T154" s="264"/>
      <c r="U154" s="264"/>
      <c r="V154" s="264"/>
      <c r="W154" s="264"/>
      <c r="X154" s="264"/>
      <c r="Y154" s="264"/>
      <c r="Z154" s="264"/>
      <c r="AA154" s="264"/>
      <c r="AB154" s="264"/>
      <c r="AC154" s="264"/>
      <c r="AD154" s="264"/>
      <c r="AE154" s="264"/>
    </row>
    <row r="155">
      <c r="A155" s="272" t="s">
        <v>795</v>
      </c>
      <c r="B155" s="272" t="s">
        <v>144</v>
      </c>
      <c r="C155" s="272" t="s">
        <v>791</v>
      </c>
      <c r="D155" s="313">
        <v>45835.0</v>
      </c>
      <c r="E155" s="267" t="str">
        <f t="shared" si="1"/>
        <v>06 jun</v>
      </c>
      <c r="F155" s="274">
        <f t="shared" si="2"/>
        <v>2025</v>
      </c>
      <c r="G155" s="165" t="s">
        <v>407</v>
      </c>
      <c r="H155" s="43" t="s">
        <v>552</v>
      </c>
      <c r="I155" s="277"/>
      <c r="J155" s="276" t="str">
        <f>IF(ISBLANK(I155), "", VLOOKUP(E155&amp;" "&amp;F155, 'Info Tipo de Cambio y REM'!$A$24:$B$35, 2, FALSE))
</f>
        <v/>
      </c>
      <c r="K155" s="89">
        <v>45.0</v>
      </c>
      <c r="L155" s="277">
        <f t="shared" si="5"/>
        <v>3842409.785</v>
      </c>
      <c r="M155" s="277">
        <f t="shared" si="3"/>
        <v>-91799.31</v>
      </c>
      <c r="N155" s="277">
        <f t="shared" si="6"/>
        <v>0</v>
      </c>
      <c r="O155" s="277">
        <f t="shared" si="4"/>
        <v>-88445.87783</v>
      </c>
      <c r="P155" s="264"/>
      <c r="Q155" s="264"/>
      <c r="R155" s="264"/>
      <c r="S155" s="264"/>
      <c r="T155" s="264"/>
      <c r="U155" s="264"/>
      <c r="V155" s="264"/>
      <c r="W155" s="264"/>
      <c r="X155" s="264"/>
      <c r="Y155" s="264"/>
      <c r="Z155" s="264"/>
      <c r="AA155" s="264"/>
      <c r="AB155" s="264"/>
      <c r="AC155" s="264"/>
      <c r="AD155" s="264"/>
      <c r="AE155" s="264"/>
    </row>
    <row r="156">
      <c r="A156" s="272" t="s">
        <v>795</v>
      </c>
      <c r="B156" s="272" t="s">
        <v>144</v>
      </c>
      <c r="C156" s="272" t="s">
        <v>791</v>
      </c>
      <c r="D156" s="313">
        <v>45835.0</v>
      </c>
      <c r="E156" s="267" t="str">
        <f t="shared" si="1"/>
        <v>06 jun</v>
      </c>
      <c r="F156" s="274">
        <f t="shared" si="2"/>
        <v>2025</v>
      </c>
      <c r="G156" s="165" t="s">
        <v>450</v>
      </c>
      <c r="H156" s="43" t="s">
        <v>552</v>
      </c>
      <c r="I156" s="277"/>
      <c r="J156" s="276" t="str">
        <f>IF(ISBLANK(I156), "", VLOOKUP(E156&amp;" "&amp;F156, 'Info Tipo de Cambio y REM'!$A$24:$B$35, 2, FALSE))
</f>
        <v/>
      </c>
      <c r="K156" s="89">
        <v>45.0</v>
      </c>
      <c r="L156" s="277">
        <f t="shared" si="5"/>
        <v>3842409.785</v>
      </c>
      <c r="M156" s="277">
        <f t="shared" si="3"/>
        <v>-91844.31</v>
      </c>
      <c r="N156" s="277">
        <f t="shared" si="6"/>
        <v>0</v>
      </c>
      <c r="O156" s="277">
        <f t="shared" si="4"/>
        <v>-88490.87783</v>
      </c>
      <c r="P156" s="264"/>
      <c r="Q156" s="264"/>
      <c r="R156" s="264"/>
      <c r="S156" s="264"/>
      <c r="T156" s="264"/>
      <c r="U156" s="264"/>
      <c r="V156" s="264"/>
      <c r="W156" s="264"/>
      <c r="X156" s="264"/>
      <c r="Y156" s="264"/>
      <c r="Z156" s="264"/>
      <c r="AA156" s="264"/>
      <c r="AB156" s="264"/>
      <c r="AC156" s="264"/>
      <c r="AD156" s="264"/>
      <c r="AE156" s="264"/>
    </row>
    <row r="157">
      <c r="A157" s="272" t="s">
        <v>795</v>
      </c>
      <c r="B157" s="272" t="s">
        <v>144</v>
      </c>
      <c r="C157" s="272" t="s">
        <v>791</v>
      </c>
      <c r="D157" s="313">
        <v>45838.0</v>
      </c>
      <c r="E157" s="267" t="str">
        <f t="shared" si="1"/>
        <v>06 jun</v>
      </c>
      <c r="F157" s="274">
        <f t="shared" si="2"/>
        <v>2025</v>
      </c>
      <c r="G157" s="165" t="s">
        <v>436</v>
      </c>
      <c r="H157" s="43" t="s">
        <v>552</v>
      </c>
      <c r="I157" s="277"/>
      <c r="J157" s="276" t="str">
        <f>IF(ISBLANK(I157), "", VLOOKUP(E157&amp;" "&amp;F157, 'Info Tipo de Cambio y REM'!$A$24:$B$35, 2, FALSE))
</f>
        <v/>
      </c>
      <c r="K157" s="89">
        <v>45.0</v>
      </c>
      <c r="L157" s="277">
        <f t="shared" si="5"/>
        <v>3842409.785</v>
      </c>
      <c r="M157" s="277">
        <f t="shared" si="3"/>
        <v>-91889.31</v>
      </c>
      <c r="N157" s="277">
        <f t="shared" si="6"/>
        <v>0</v>
      </c>
      <c r="O157" s="277">
        <f t="shared" si="4"/>
        <v>-88535.87783</v>
      </c>
      <c r="P157" s="264"/>
      <c r="Q157" s="264"/>
      <c r="R157" s="264"/>
      <c r="S157" s="264"/>
      <c r="T157" s="264"/>
      <c r="U157" s="264"/>
      <c r="V157" s="264"/>
      <c r="W157" s="264"/>
      <c r="X157" s="264"/>
      <c r="Y157" s="264"/>
      <c r="Z157" s="264"/>
      <c r="AA157" s="264"/>
      <c r="AB157" s="264"/>
      <c r="AC157" s="264"/>
      <c r="AD157" s="264"/>
      <c r="AE157" s="264"/>
    </row>
    <row r="158">
      <c r="A158" s="272" t="s">
        <v>795</v>
      </c>
      <c r="B158" s="272" t="s">
        <v>144</v>
      </c>
      <c r="C158" s="272" t="s">
        <v>791</v>
      </c>
      <c r="D158" s="313">
        <v>45838.0</v>
      </c>
      <c r="E158" s="267" t="str">
        <f t="shared" si="1"/>
        <v>06 jun</v>
      </c>
      <c r="F158" s="274">
        <f t="shared" si="2"/>
        <v>2025</v>
      </c>
      <c r="G158" s="165" t="s">
        <v>411</v>
      </c>
      <c r="H158" s="43" t="s">
        <v>552</v>
      </c>
      <c r="I158" s="277"/>
      <c r="J158" s="276" t="str">
        <f>IF(ISBLANK(I158), "", VLOOKUP(E158&amp;" "&amp;F158, 'Info Tipo de Cambio y REM'!$A$24:$B$35, 2, FALSE))
</f>
        <v/>
      </c>
      <c r="K158" s="89">
        <v>45.0</v>
      </c>
      <c r="L158" s="277">
        <f t="shared" si="5"/>
        <v>3842409.785</v>
      </c>
      <c r="M158" s="277">
        <f t="shared" si="3"/>
        <v>-91934.31</v>
      </c>
      <c r="N158" s="277">
        <f t="shared" si="6"/>
        <v>0</v>
      </c>
      <c r="O158" s="277">
        <f t="shared" si="4"/>
        <v>-88580.87783</v>
      </c>
      <c r="P158" s="264"/>
      <c r="Q158" s="264"/>
      <c r="R158" s="264"/>
      <c r="S158" s="264"/>
      <c r="T158" s="264"/>
      <c r="U158" s="264"/>
      <c r="V158" s="264"/>
      <c r="W158" s="264"/>
      <c r="X158" s="264"/>
      <c r="Y158" s="264"/>
      <c r="Z158" s="264"/>
      <c r="AA158" s="264"/>
      <c r="AB158" s="264"/>
      <c r="AC158" s="264"/>
      <c r="AD158" s="264"/>
      <c r="AE158" s="264"/>
    </row>
    <row r="159">
      <c r="A159" s="272" t="s">
        <v>795</v>
      </c>
      <c r="B159" s="272" t="s">
        <v>144</v>
      </c>
      <c r="C159" s="272" t="s">
        <v>791</v>
      </c>
      <c r="D159" s="313">
        <v>45838.0</v>
      </c>
      <c r="E159" s="267" t="str">
        <f t="shared" si="1"/>
        <v>06 jun</v>
      </c>
      <c r="F159" s="274">
        <f t="shared" si="2"/>
        <v>2025</v>
      </c>
      <c r="G159" s="165" t="s">
        <v>577</v>
      </c>
      <c r="H159" s="43" t="s">
        <v>552</v>
      </c>
      <c r="I159" s="277"/>
      <c r="J159" s="276" t="str">
        <f>IF(ISBLANK(I159), "", VLOOKUP(E159&amp;" "&amp;F159, 'Info Tipo de Cambio y REM'!$A$24:$B$35, 2, FALSE))
</f>
        <v/>
      </c>
      <c r="K159" s="89">
        <v>45.0</v>
      </c>
      <c r="L159" s="277">
        <f t="shared" si="5"/>
        <v>3842409.785</v>
      </c>
      <c r="M159" s="277">
        <f t="shared" si="3"/>
        <v>-91979.31</v>
      </c>
      <c r="N159" s="277">
        <f t="shared" si="6"/>
        <v>0</v>
      </c>
      <c r="O159" s="277">
        <f t="shared" si="4"/>
        <v>-88625.87783</v>
      </c>
      <c r="P159" s="264"/>
      <c r="Q159" s="264"/>
      <c r="R159" s="264"/>
      <c r="S159" s="264"/>
      <c r="T159" s="264"/>
      <c r="U159" s="264"/>
      <c r="V159" s="264"/>
      <c r="W159" s="264"/>
      <c r="X159" s="264"/>
      <c r="Y159" s="264"/>
      <c r="Z159" s="264"/>
      <c r="AA159" s="264"/>
      <c r="AB159" s="264"/>
      <c r="AC159" s="264"/>
      <c r="AD159" s="264"/>
      <c r="AE159" s="264"/>
    </row>
    <row r="160">
      <c r="A160" s="272" t="s">
        <v>795</v>
      </c>
      <c r="B160" s="272" t="s">
        <v>793</v>
      </c>
      <c r="C160" s="272" t="s">
        <v>794</v>
      </c>
      <c r="D160" s="279">
        <v>45838.0</v>
      </c>
      <c r="E160" s="267" t="str">
        <f t="shared" si="1"/>
        <v>06 jun</v>
      </c>
      <c r="F160" s="274">
        <f t="shared" si="2"/>
        <v>2025</v>
      </c>
      <c r="G160" s="289"/>
      <c r="H160" s="165" t="s">
        <v>626</v>
      </c>
      <c r="I160" s="275">
        <v>410000.0</v>
      </c>
      <c r="J160" s="276">
        <f>IF(ISBLANK(I160), "", VLOOKUP(E160&amp;" "&amp;F160, 'Info Tipo de Cambio y REM'!$A$24:$B$35, 2, FALSE))
</f>
        <v>1215</v>
      </c>
      <c r="K160" s="294">
        <f>I160/J160</f>
        <v>337.4485597</v>
      </c>
      <c r="L160" s="314">
        <f t="shared" si="5"/>
        <v>3432409.785</v>
      </c>
      <c r="M160" s="314">
        <f t="shared" si="3"/>
        <v>-91979.31</v>
      </c>
      <c r="N160" s="277">
        <f t="shared" si="6"/>
        <v>0</v>
      </c>
      <c r="O160" s="277">
        <f t="shared" si="4"/>
        <v>-88963.32639</v>
      </c>
      <c r="P160" s="264"/>
      <c r="Q160" s="264"/>
      <c r="R160" s="264"/>
      <c r="S160" s="264"/>
      <c r="T160" s="264"/>
      <c r="U160" s="264"/>
      <c r="V160" s="264"/>
      <c r="W160" s="264"/>
      <c r="X160" s="264"/>
      <c r="Y160" s="264"/>
      <c r="Z160" s="264"/>
      <c r="AA160" s="264"/>
      <c r="AB160" s="264"/>
      <c r="AC160" s="264"/>
      <c r="AD160" s="264"/>
      <c r="AE160" s="264"/>
    </row>
    <row r="161">
      <c r="A161" s="272" t="s">
        <v>797</v>
      </c>
      <c r="B161" s="272" t="s">
        <v>144</v>
      </c>
      <c r="C161" s="272" t="s">
        <v>791</v>
      </c>
      <c r="D161" s="172">
        <v>45845.0</v>
      </c>
      <c r="E161" s="267" t="str">
        <f t="shared" si="1"/>
        <v>07 jul</v>
      </c>
      <c r="F161" s="274">
        <f t="shared" si="2"/>
        <v>2025</v>
      </c>
      <c r="G161" s="42" t="s">
        <v>247</v>
      </c>
      <c r="H161" s="272" t="s">
        <v>866</v>
      </c>
      <c r="I161" s="277"/>
      <c r="J161" s="276" t="str">
        <f>IF(ISBLANK(I161), "", VLOOKUP(E161&amp;" "&amp;F161, 'Info Tipo de Cambio y REM'!$A$24:$B$35, 2, FALSE))
</f>
        <v/>
      </c>
      <c r="K161" s="309">
        <v>13450.0</v>
      </c>
      <c r="L161" s="293">
        <f t="shared" si="5"/>
        <v>3432409.785</v>
      </c>
      <c r="M161" s="293">
        <f t="shared" si="3"/>
        <v>-78529.31</v>
      </c>
      <c r="N161" s="293">
        <f t="shared" si="6"/>
        <v>0</v>
      </c>
      <c r="O161" s="277">
        <f t="shared" si="4"/>
        <v>-75513.32639</v>
      </c>
      <c r="P161" s="264"/>
      <c r="Q161" s="264"/>
      <c r="R161" s="264"/>
      <c r="S161" s="264"/>
      <c r="T161" s="264"/>
      <c r="U161" s="264"/>
      <c r="V161" s="264"/>
      <c r="W161" s="264"/>
      <c r="X161" s="264"/>
      <c r="Y161" s="264"/>
      <c r="Z161" s="264"/>
      <c r="AA161" s="264"/>
      <c r="AB161" s="264"/>
      <c r="AC161" s="264"/>
      <c r="AD161" s="264"/>
      <c r="AE161" s="264"/>
    </row>
    <row r="162">
      <c r="A162" s="272" t="s">
        <v>797</v>
      </c>
      <c r="B162" s="272" t="s">
        <v>144</v>
      </c>
      <c r="C162" s="272" t="s">
        <v>791</v>
      </c>
      <c r="D162" s="172">
        <v>45845.0</v>
      </c>
      <c r="E162" s="267" t="str">
        <f t="shared" si="1"/>
        <v>07 jul</v>
      </c>
      <c r="F162" s="274">
        <f t="shared" si="2"/>
        <v>2025</v>
      </c>
      <c r="G162" s="42" t="s">
        <v>247</v>
      </c>
      <c r="H162" s="272" t="s">
        <v>866</v>
      </c>
      <c r="I162" s="277"/>
      <c r="J162" s="276" t="str">
        <f>IF(ISBLANK(I162), "", VLOOKUP(E162&amp;" "&amp;F162, 'Info Tipo de Cambio y REM'!$A$24:$B$35, 2, FALSE))
</f>
        <v/>
      </c>
      <c r="K162" s="309">
        <v>13450.0</v>
      </c>
      <c r="L162" s="293">
        <f t="shared" si="5"/>
        <v>3432409.785</v>
      </c>
      <c r="M162" s="293">
        <f t="shared" si="3"/>
        <v>-65079.31</v>
      </c>
      <c r="N162" s="293">
        <f t="shared" si="6"/>
        <v>0</v>
      </c>
      <c r="O162" s="277">
        <f t="shared" si="4"/>
        <v>-62063.32639</v>
      </c>
      <c r="P162" s="264"/>
      <c r="Q162" s="264"/>
      <c r="R162" s="264"/>
      <c r="S162" s="264"/>
      <c r="T162" s="264"/>
      <c r="U162" s="264"/>
      <c r="V162" s="264"/>
      <c r="W162" s="264"/>
      <c r="X162" s="264"/>
      <c r="Y162" s="264"/>
      <c r="Z162" s="264"/>
      <c r="AA162" s="264"/>
      <c r="AB162" s="264"/>
      <c r="AC162" s="264"/>
      <c r="AD162" s="264"/>
      <c r="AE162" s="264"/>
    </row>
    <row r="163">
      <c r="A163" s="272" t="s">
        <v>795</v>
      </c>
      <c r="B163" s="272" t="s">
        <v>144</v>
      </c>
      <c r="C163" s="272" t="s">
        <v>791</v>
      </c>
      <c r="D163" s="313">
        <v>45842.0</v>
      </c>
      <c r="E163" s="267" t="str">
        <f t="shared" si="1"/>
        <v>07 jul</v>
      </c>
      <c r="F163" s="274">
        <f t="shared" si="2"/>
        <v>2025</v>
      </c>
      <c r="G163" s="165" t="s">
        <v>418</v>
      </c>
      <c r="H163" s="43" t="s">
        <v>867</v>
      </c>
      <c r="I163" s="277"/>
      <c r="J163" s="276" t="str">
        <f>IF(ISBLANK(I163), "", VLOOKUP(E163&amp;" "&amp;F163, 'Info Tipo de Cambio y REM'!$A$24:$B$35, 2, FALSE))
</f>
        <v/>
      </c>
      <c r="K163" s="309">
        <v>600.0</v>
      </c>
      <c r="L163" s="293">
        <f t="shared" si="5"/>
        <v>3432409.785</v>
      </c>
      <c r="M163" s="293">
        <f t="shared" si="3"/>
        <v>-65679.31</v>
      </c>
      <c r="N163" s="293">
        <f t="shared" si="6"/>
        <v>0</v>
      </c>
      <c r="O163" s="277">
        <f t="shared" si="4"/>
        <v>-62663.32639</v>
      </c>
      <c r="P163" s="264"/>
      <c r="Q163" s="264"/>
      <c r="R163" s="264"/>
      <c r="S163" s="264"/>
      <c r="T163" s="264"/>
      <c r="U163" s="264"/>
      <c r="V163" s="264"/>
      <c r="W163" s="264"/>
      <c r="X163" s="264"/>
      <c r="Y163" s="264"/>
      <c r="Z163" s="264"/>
      <c r="AA163" s="264"/>
      <c r="AB163" s="264"/>
      <c r="AC163" s="264"/>
      <c r="AD163" s="264"/>
      <c r="AE163" s="264"/>
    </row>
    <row r="164">
      <c r="A164" s="272" t="s">
        <v>795</v>
      </c>
      <c r="B164" s="272" t="s">
        <v>793</v>
      </c>
      <c r="C164" s="272" t="s">
        <v>794</v>
      </c>
      <c r="D164" s="172">
        <v>45845.0</v>
      </c>
      <c r="E164" s="267" t="str">
        <f t="shared" si="1"/>
        <v>07 jul</v>
      </c>
      <c r="F164" s="274">
        <f t="shared" si="2"/>
        <v>2025</v>
      </c>
      <c r="G164" s="202" t="s">
        <v>628</v>
      </c>
      <c r="H164" s="203" t="s">
        <v>629</v>
      </c>
      <c r="I164" s="89">
        <v>392090.0</v>
      </c>
      <c r="J164" s="276">
        <f>IF(ISBLANK(I164), "", VLOOKUP(E164&amp;" "&amp;F164, 'Info Tipo de Cambio y REM'!$A$24:$B$35, 2, FALSE))
</f>
        <v>1320</v>
      </c>
      <c r="K164" s="294">
        <f t="shared" ref="K164:K176" si="13">I164/J164</f>
        <v>297.0378788</v>
      </c>
      <c r="L164" s="293">
        <f t="shared" si="5"/>
        <v>3040319.785</v>
      </c>
      <c r="M164" s="293">
        <f t="shared" si="3"/>
        <v>-65679.31</v>
      </c>
      <c r="N164" s="293">
        <f t="shared" si="6"/>
        <v>0</v>
      </c>
      <c r="O164" s="277">
        <f t="shared" si="4"/>
        <v>-62960.36427</v>
      </c>
      <c r="P164" s="264"/>
      <c r="Q164" s="264"/>
      <c r="R164" s="264"/>
      <c r="S164" s="264"/>
      <c r="T164" s="264"/>
      <c r="U164" s="264"/>
      <c r="V164" s="264"/>
      <c r="W164" s="264"/>
      <c r="X164" s="264"/>
      <c r="Y164" s="264"/>
      <c r="Z164" s="264"/>
      <c r="AA164" s="264"/>
      <c r="AB164" s="264"/>
      <c r="AC164" s="264"/>
      <c r="AD164" s="264"/>
      <c r="AE164" s="264"/>
    </row>
    <row r="165">
      <c r="A165" s="272" t="s">
        <v>795</v>
      </c>
      <c r="B165" s="272" t="s">
        <v>793</v>
      </c>
      <c r="C165" s="272" t="s">
        <v>794</v>
      </c>
      <c r="D165" s="172">
        <v>45845.0</v>
      </c>
      <c r="E165" s="267" t="str">
        <f t="shared" si="1"/>
        <v>07 jul</v>
      </c>
      <c r="F165" s="274">
        <f t="shared" si="2"/>
        <v>2025</v>
      </c>
      <c r="G165" s="203" t="s">
        <v>630</v>
      </c>
      <c r="H165" s="203" t="s">
        <v>566</v>
      </c>
      <c r="I165" s="89">
        <v>60123.0</v>
      </c>
      <c r="J165" s="276">
        <f>IF(ISBLANK(I165), "", VLOOKUP(E165&amp;" "&amp;F165, 'Info Tipo de Cambio y REM'!$A$24:$B$35, 2, FALSE))
</f>
        <v>1320</v>
      </c>
      <c r="K165" s="294">
        <f t="shared" si="13"/>
        <v>45.54772727</v>
      </c>
      <c r="L165" s="293">
        <f t="shared" si="5"/>
        <v>2980196.785</v>
      </c>
      <c r="M165" s="293">
        <f t="shared" si="3"/>
        <v>-65679.31</v>
      </c>
      <c r="N165" s="293">
        <f t="shared" si="6"/>
        <v>0</v>
      </c>
      <c r="O165" s="277">
        <f t="shared" si="4"/>
        <v>-63005.912</v>
      </c>
      <c r="P165" s="264"/>
      <c r="Q165" s="264"/>
      <c r="R165" s="264"/>
      <c r="S165" s="264"/>
      <c r="T165" s="264"/>
      <c r="U165" s="264"/>
      <c r="V165" s="264"/>
      <c r="W165" s="264"/>
      <c r="X165" s="264"/>
      <c r="Y165" s="264"/>
      <c r="Z165" s="264"/>
      <c r="AA165" s="264"/>
      <c r="AB165" s="264"/>
      <c r="AC165" s="264"/>
      <c r="AD165" s="264"/>
      <c r="AE165" s="264"/>
    </row>
    <row r="166">
      <c r="A166" s="272" t="s">
        <v>795</v>
      </c>
      <c r="B166" s="272" t="s">
        <v>793</v>
      </c>
      <c r="C166" s="272" t="s">
        <v>794</v>
      </c>
      <c r="D166" s="172">
        <v>45845.0</v>
      </c>
      <c r="E166" s="267" t="str">
        <f t="shared" si="1"/>
        <v>07 jul</v>
      </c>
      <c r="F166" s="274">
        <f t="shared" si="2"/>
        <v>2025</v>
      </c>
      <c r="G166" s="203" t="s">
        <v>631</v>
      </c>
      <c r="H166" s="203" t="s">
        <v>379</v>
      </c>
      <c r="I166" s="89">
        <v>401555.0</v>
      </c>
      <c r="J166" s="276">
        <f>IF(ISBLANK(I166), "", VLOOKUP(E166&amp;" "&amp;F166, 'Info Tipo de Cambio y REM'!$A$24:$B$35, 2, FALSE))
</f>
        <v>1320</v>
      </c>
      <c r="K166" s="294">
        <f t="shared" si="13"/>
        <v>304.2083333</v>
      </c>
      <c r="L166" s="293">
        <f t="shared" si="5"/>
        <v>2578641.785</v>
      </c>
      <c r="M166" s="293">
        <f t="shared" si="3"/>
        <v>-65679.31</v>
      </c>
      <c r="N166" s="293">
        <f t="shared" si="6"/>
        <v>0</v>
      </c>
      <c r="O166" s="277">
        <f t="shared" si="4"/>
        <v>-63310.12033</v>
      </c>
      <c r="P166" s="264"/>
      <c r="Q166" s="264"/>
      <c r="R166" s="264"/>
      <c r="S166" s="264"/>
      <c r="T166" s="264"/>
      <c r="U166" s="264"/>
      <c r="V166" s="264"/>
      <c r="W166" s="264"/>
      <c r="X166" s="264"/>
      <c r="Y166" s="264"/>
      <c r="Z166" s="264"/>
      <c r="AA166" s="264"/>
      <c r="AB166" s="264"/>
      <c r="AC166" s="264"/>
      <c r="AD166" s="264"/>
      <c r="AE166" s="264"/>
    </row>
    <row r="167">
      <c r="A167" s="272" t="s">
        <v>795</v>
      </c>
      <c r="B167" s="272" t="s">
        <v>793</v>
      </c>
      <c r="C167" s="272" t="s">
        <v>794</v>
      </c>
      <c r="D167" s="172">
        <v>45845.0</v>
      </c>
      <c r="E167" s="267" t="str">
        <f t="shared" si="1"/>
        <v>07 jul</v>
      </c>
      <c r="F167" s="274">
        <f t="shared" si="2"/>
        <v>2025</v>
      </c>
      <c r="G167" s="203" t="s">
        <v>632</v>
      </c>
      <c r="H167" s="203" t="s">
        <v>381</v>
      </c>
      <c r="I167" s="89">
        <v>338952.0</v>
      </c>
      <c r="J167" s="276">
        <f>IF(ISBLANK(I167), "", VLOOKUP(E167&amp;" "&amp;F167, 'Info Tipo de Cambio y REM'!$A$24:$B$35, 2, FALSE))
</f>
        <v>1320</v>
      </c>
      <c r="K167" s="294">
        <f t="shared" si="13"/>
        <v>256.7818182</v>
      </c>
      <c r="L167" s="293">
        <f t="shared" si="5"/>
        <v>2239689.785</v>
      </c>
      <c r="M167" s="293">
        <f t="shared" si="3"/>
        <v>-65679.31</v>
      </c>
      <c r="N167" s="293">
        <f t="shared" si="6"/>
        <v>0</v>
      </c>
      <c r="O167" s="277">
        <f t="shared" si="4"/>
        <v>-63566.90215</v>
      </c>
      <c r="P167" s="264"/>
      <c r="Q167" s="264"/>
      <c r="R167" s="264"/>
      <c r="S167" s="264"/>
      <c r="T167" s="264"/>
      <c r="U167" s="264"/>
      <c r="V167" s="264"/>
      <c r="W167" s="264"/>
      <c r="X167" s="264"/>
      <c r="Y167" s="264"/>
      <c r="Z167" s="264"/>
      <c r="AA167" s="264"/>
      <c r="AB167" s="264"/>
      <c r="AC167" s="264"/>
      <c r="AD167" s="264"/>
      <c r="AE167" s="264"/>
    </row>
    <row r="168">
      <c r="A168" s="272" t="s">
        <v>795</v>
      </c>
      <c r="B168" s="272" t="s">
        <v>793</v>
      </c>
      <c r="C168" s="272" t="s">
        <v>794</v>
      </c>
      <c r="D168" s="172">
        <v>45845.0</v>
      </c>
      <c r="E168" s="267" t="str">
        <f t="shared" si="1"/>
        <v>07 jul</v>
      </c>
      <c r="F168" s="274">
        <f t="shared" si="2"/>
        <v>2025</v>
      </c>
      <c r="G168" s="203" t="s">
        <v>573</v>
      </c>
      <c r="H168" s="203" t="s">
        <v>387</v>
      </c>
      <c r="I168" s="89">
        <v>281174.0</v>
      </c>
      <c r="J168" s="276">
        <f>IF(ISBLANK(I168), "", VLOOKUP(E168&amp;" "&amp;F168, 'Info Tipo de Cambio y REM'!$A$24:$B$35, 2, FALSE))
</f>
        <v>1320</v>
      </c>
      <c r="K168" s="294">
        <f t="shared" si="13"/>
        <v>213.0106061</v>
      </c>
      <c r="L168" s="293">
        <f t="shared" si="5"/>
        <v>1958515.785</v>
      </c>
      <c r="M168" s="293">
        <f t="shared" si="3"/>
        <v>-65679.31</v>
      </c>
      <c r="N168" s="293">
        <f t="shared" si="6"/>
        <v>0</v>
      </c>
      <c r="O168" s="277">
        <f t="shared" si="4"/>
        <v>-63779.91275</v>
      </c>
      <c r="P168" s="264"/>
      <c r="Q168" s="264"/>
      <c r="R168" s="264"/>
      <c r="S168" s="264"/>
      <c r="T168" s="264"/>
      <c r="U168" s="264"/>
      <c r="V168" s="264"/>
      <c r="W168" s="264"/>
      <c r="X168" s="264"/>
      <c r="Y168" s="264"/>
      <c r="Z168" s="264"/>
      <c r="AA168" s="264"/>
      <c r="AB168" s="264"/>
      <c r="AC168" s="264"/>
      <c r="AD168" s="264"/>
      <c r="AE168" s="264"/>
    </row>
    <row r="169">
      <c r="A169" s="272" t="s">
        <v>795</v>
      </c>
      <c r="B169" s="272" t="s">
        <v>793</v>
      </c>
      <c r="C169" s="272" t="s">
        <v>794</v>
      </c>
      <c r="D169" s="172">
        <v>45845.0</v>
      </c>
      <c r="E169" s="267" t="str">
        <f t="shared" si="1"/>
        <v>07 jul</v>
      </c>
      <c r="F169" s="274">
        <f t="shared" si="2"/>
        <v>2025</v>
      </c>
      <c r="G169" s="203" t="s">
        <v>634</v>
      </c>
      <c r="H169" s="203" t="s">
        <v>389</v>
      </c>
      <c r="I169" s="89">
        <v>245242.0</v>
      </c>
      <c r="J169" s="276">
        <f>IF(ISBLANK(I169), "", VLOOKUP(E169&amp;" "&amp;F169, 'Info Tipo de Cambio y REM'!$A$24:$B$35, 2, FALSE))
</f>
        <v>1320</v>
      </c>
      <c r="K169" s="294">
        <f t="shared" si="13"/>
        <v>185.7893939</v>
      </c>
      <c r="L169" s="293">
        <f t="shared" si="5"/>
        <v>1713273.785</v>
      </c>
      <c r="M169" s="293">
        <f t="shared" si="3"/>
        <v>-65679.31</v>
      </c>
      <c r="N169" s="293">
        <f t="shared" si="6"/>
        <v>0</v>
      </c>
      <c r="O169" s="277">
        <f t="shared" si="4"/>
        <v>-63965.70215</v>
      </c>
      <c r="P169" s="264"/>
      <c r="Q169" s="264"/>
      <c r="R169" s="264"/>
      <c r="S169" s="264"/>
      <c r="T169" s="264"/>
      <c r="U169" s="264"/>
      <c r="V169" s="264"/>
      <c r="W169" s="264"/>
      <c r="X169" s="264"/>
      <c r="Y169" s="264"/>
      <c r="Z169" s="264"/>
      <c r="AA169" s="264"/>
      <c r="AB169" s="264"/>
      <c r="AC169" s="264"/>
      <c r="AD169" s="264"/>
      <c r="AE169" s="264"/>
    </row>
    <row r="170">
      <c r="A170" s="272" t="s">
        <v>795</v>
      </c>
      <c r="B170" s="272" t="s">
        <v>793</v>
      </c>
      <c r="C170" s="272" t="s">
        <v>794</v>
      </c>
      <c r="D170" s="172">
        <v>45845.0</v>
      </c>
      <c r="E170" s="267" t="str">
        <f t="shared" si="1"/>
        <v>07 jul</v>
      </c>
      <c r="F170" s="274">
        <f t="shared" si="2"/>
        <v>2025</v>
      </c>
      <c r="G170" s="203" t="s">
        <v>637</v>
      </c>
      <c r="H170" s="203" t="s">
        <v>403</v>
      </c>
      <c r="I170" s="284">
        <v>251466.0</v>
      </c>
      <c r="J170" s="276">
        <f>IF(ISBLANK(I170), "", VLOOKUP(E170&amp;" "&amp;F170, 'Info Tipo de Cambio y REM'!$A$24:$B$35, 2, FALSE))
</f>
        <v>1320</v>
      </c>
      <c r="K170" s="294">
        <f t="shared" si="13"/>
        <v>190.5045455</v>
      </c>
      <c r="L170" s="293">
        <f t="shared" si="5"/>
        <v>1461807.785</v>
      </c>
      <c r="M170" s="293">
        <f t="shared" si="3"/>
        <v>-65679.31</v>
      </c>
      <c r="N170" s="293">
        <f t="shared" si="6"/>
        <v>0</v>
      </c>
      <c r="O170" s="277">
        <f t="shared" si="4"/>
        <v>-64156.20669</v>
      </c>
      <c r="P170" s="264"/>
      <c r="Q170" s="264"/>
      <c r="R170" s="264"/>
      <c r="S170" s="264"/>
      <c r="T170" s="264"/>
      <c r="U170" s="264"/>
      <c r="V170" s="264"/>
      <c r="W170" s="264"/>
      <c r="X170" s="264"/>
      <c r="Y170" s="264"/>
      <c r="Z170" s="264"/>
      <c r="AA170" s="264"/>
      <c r="AB170" s="264"/>
      <c r="AC170" s="264"/>
      <c r="AD170" s="264"/>
      <c r="AE170" s="264"/>
    </row>
    <row r="171">
      <c r="A171" s="272" t="s">
        <v>795</v>
      </c>
      <c r="B171" s="272" t="s">
        <v>793</v>
      </c>
      <c r="C171" s="272" t="s">
        <v>794</v>
      </c>
      <c r="D171" s="172">
        <v>45845.0</v>
      </c>
      <c r="E171" s="267" t="str">
        <f t="shared" si="1"/>
        <v>07 jul</v>
      </c>
      <c r="F171" s="274">
        <f t="shared" si="2"/>
        <v>2025</v>
      </c>
      <c r="G171" s="203" t="s">
        <v>638</v>
      </c>
      <c r="H171" s="203" t="s">
        <v>577</v>
      </c>
      <c r="I171" s="284">
        <v>183868.0</v>
      </c>
      <c r="J171" s="276">
        <f>IF(ISBLANK(I171), "", VLOOKUP(E171&amp;" "&amp;F171, 'Info Tipo de Cambio y REM'!$A$24:$B$35, 2, FALSE))
</f>
        <v>1320</v>
      </c>
      <c r="K171" s="294">
        <f t="shared" si="13"/>
        <v>139.2939394</v>
      </c>
      <c r="L171" s="293">
        <f t="shared" si="5"/>
        <v>1277939.785</v>
      </c>
      <c r="M171" s="293">
        <f t="shared" si="3"/>
        <v>-65679.31</v>
      </c>
      <c r="N171" s="293">
        <f t="shared" si="6"/>
        <v>0</v>
      </c>
      <c r="O171" s="277">
        <f t="shared" si="4"/>
        <v>-64295.50063</v>
      </c>
      <c r="P171" s="264"/>
      <c r="Q171" s="264"/>
      <c r="R171" s="264"/>
      <c r="S171" s="264"/>
      <c r="T171" s="264"/>
      <c r="U171" s="264"/>
      <c r="V171" s="264"/>
      <c r="W171" s="264"/>
      <c r="X171" s="264"/>
      <c r="Y171" s="264"/>
      <c r="Z171" s="264"/>
      <c r="AA171" s="264"/>
      <c r="AB171" s="264"/>
      <c r="AC171" s="264"/>
      <c r="AD171" s="264"/>
      <c r="AE171" s="264"/>
    </row>
    <row r="172">
      <c r="A172" s="272" t="s">
        <v>795</v>
      </c>
      <c r="B172" s="272" t="s">
        <v>793</v>
      </c>
      <c r="C172" s="272" t="s">
        <v>794</v>
      </c>
      <c r="D172" s="172">
        <v>45845.0</v>
      </c>
      <c r="E172" s="267" t="str">
        <f t="shared" si="1"/>
        <v>07 jul</v>
      </c>
      <c r="F172" s="274">
        <f t="shared" si="2"/>
        <v>2025</v>
      </c>
      <c r="G172" s="203" t="s">
        <v>640</v>
      </c>
      <c r="H172" s="203" t="s">
        <v>580</v>
      </c>
      <c r="I172" s="284">
        <v>164136.0</v>
      </c>
      <c r="J172" s="276">
        <f>IF(ISBLANK(I172), "", VLOOKUP(E172&amp;" "&amp;F172, 'Info Tipo de Cambio y REM'!$A$24:$B$35, 2, FALSE))
</f>
        <v>1320</v>
      </c>
      <c r="K172" s="294">
        <f t="shared" si="13"/>
        <v>124.3454545</v>
      </c>
      <c r="L172" s="293">
        <f t="shared" si="5"/>
        <v>1113803.785</v>
      </c>
      <c r="M172" s="293">
        <f t="shared" si="3"/>
        <v>-65679.31</v>
      </c>
      <c r="N172" s="293">
        <f t="shared" si="6"/>
        <v>0</v>
      </c>
      <c r="O172" s="277">
        <f t="shared" si="4"/>
        <v>-64419.84609</v>
      </c>
      <c r="P172" s="264"/>
      <c r="Q172" s="264"/>
      <c r="R172" s="264"/>
      <c r="S172" s="264"/>
      <c r="T172" s="264"/>
      <c r="U172" s="264"/>
      <c r="V172" s="264"/>
      <c r="W172" s="264"/>
      <c r="X172" s="264"/>
      <c r="Y172" s="264"/>
      <c r="Z172" s="264"/>
      <c r="AA172" s="264"/>
      <c r="AB172" s="264"/>
      <c r="AC172" s="264"/>
      <c r="AD172" s="264"/>
      <c r="AE172" s="264"/>
    </row>
    <row r="173">
      <c r="A173" s="272" t="s">
        <v>795</v>
      </c>
      <c r="B173" s="272" t="s">
        <v>793</v>
      </c>
      <c r="C173" s="272" t="s">
        <v>794</v>
      </c>
      <c r="D173" s="172">
        <v>45845.0</v>
      </c>
      <c r="E173" s="267" t="str">
        <f t="shared" si="1"/>
        <v>07 jul</v>
      </c>
      <c r="F173" s="274">
        <f t="shared" si="2"/>
        <v>2025</v>
      </c>
      <c r="G173" s="203" t="s">
        <v>641</v>
      </c>
      <c r="H173" s="203" t="s">
        <v>407</v>
      </c>
      <c r="I173" s="284">
        <v>250356.0</v>
      </c>
      <c r="J173" s="276">
        <f>IF(ISBLANK(I173), "", VLOOKUP(E173&amp;" "&amp;F173, 'Info Tipo de Cambio y REM'!$A$24:$B$35, 2, FALSE))
</f>
        <v>1320</v>
      </c>
      <c r="K173" s="294">
        <f t="shared" si="13"/>
        <v>189.6636364</v>
      </c>
      <c r="L173" s="293">
        <f t="shared" si="5"/>
        <v>863447.7853</v>
      </c>
      <c r="M173" s="293">
        <f t="shared" si="3"/>
        <v>-65679.31</v>
      </c>
      <c r="N173" s="293">
        <f t="shared" si="6"/>
        <v>0</v>
      </c>
      <c r="O173" s="277">
        <f t="shared" si="4"/>
        <v>-64609.50972</v>
      </c>
      <c r="P173" s="264"/>
      <c r="Q173" s="264"/>
      <c r="R173" s="264"/>
      <c r="S173" s="264"/>
      <c r="T173" s="264"/>
      <c r="U173" s="264"/>
      <c r="V173" s="264"/>
      <c r="W173" s="264"/>
      <c r="X173" s="264"/>
      <c r="Y173" s="264"/>
      <c r="Z173" s="264"/>
      <c r="AA173" s="264"/>
      <c r="AB173" s="264"/>
      <c r="AC173" s="264"/>
      <c r="AD173" s="264"/>
      <c r="AE173" s="264"/>
    </row>
    <row r="174">
      <c r="A174" s="272" t="s">
        <v>795</v>
      </c>
      <c r="B174" s="272" t="s">
        <v>793</v>
      </c>
      <c r="C174" s="272" t="s">
        <v>794</v>
      </c>
      <c r="D174" s="172">
        <v>45845.0</v>
      </c>
      <c r="E174" s="267" t="str">
        <f t="shared" si="1"/>
        <v>07 jul</v>
      </c>
      <c r="F174" s="274">
        <f t="shared" si="2"/>
        <v>2025</v>
      </c>
      <c r="G174" s="203" t="s">
        <v>643</v>
      </c>
      <c r="H174" s="203" t="s">
        <v>411</v>
      </c>
      <c r="I174" s="315">
        <v>232403.0</v>
      </c>
      <c r="J174" s="276">
        <f>IF(ISBLANK(I174), "", VLOOKUP(E174&amp;" "&amp;F174, 'Info Tipo de Cambio y REM'!$A$24:$B$35, 2, FALSE))
</f>
        <v>1320</v>
      </c>
      <c r="K174" s="294">
        <f t="shared" si="13"/>
        <v>176.0628788</v>
      </c>
      <c r="L174" s="293">
        <f t="shared" si="5"/>
        <v>631044.7853</v>
      </c>
      <c r="M174" s="293">
        <f t="shared" si="3"/>
        <v>-65679.31</v>
      </c>
      <c r="N174" s="293">
        <f t="shared" si="6"/>
        <v>0</v>
      </c>
      <c r="O174" s="277">
        <f t="shared" si="4"/>
        <v>-64785.5726</v>
      </c>
      <c r="P174" s="264"/>
      <c r="Q174" s="264"/>
      <c r="R174" s="264"/>
      <c r="S174" s="264"/>
      <c r="T174" s="264"/>
      <c r="U174" s="264"/>
      <c r="V174" s="264"/>
      <c r="W174" s="264"/>
      <c r="X174" s="264"/>
      <c r="Y174" s="264"/>
      <c r="Z174" s="264"/>
      <c r="AA174" s="264"/>
      <c r="AB174" s="264"/>
      <c r="AC174" s="264"/>
      <c r="AD174" s="264"/>
      <c r="AE174" s="264"/>
    </row>
    <row r="175">
      <c r="A175" s="272" t="s">
        <v>795</v>
      </c>
      <c r="B175" s="272" t="s">
        <v>793</v>
      </c>
      <c r="C175" s="272" t="s">
        <v>794</v>
      </c>
      <c r="D175" s="172">
        <v>45845.0</v>
      </c>
      <c r="E175" s="267" t="str">
        <f t="shared" si="1"/>
        <v>07 jul</v>
      </c>
      <c r="F175" s="274">
        <f t="shared" si="2"/>
        <v>2025</v>
      </c>
      <c r="G175" s="203" t="s">
        <v>509</v>
      </c>
      <c r="H175" s="203" t="s">
        <v>377</v>
      </c>
      <c r="I175" s="316">
        <v>284750.0</v>
      </c>
      <c r="J175" s="276">
        <f>IF(ISBLANK(I175), "", VLOOKUP(E175&amp;" "&amp;F175, 'Info Tipo de Cambio y REM'!$A$24:$B$35, 2, FALSE))
</f>
        <v>1320</v>
      </c>
      <c r="K175" s="294">
        <f t="shared" si="13"/>
        <v>215.719697</v>
      </c>
      <c r="L175" s="293">
        <f t="shared" si="5"/>
        <v>346294.7853</v>
      </c>
      <c r="M175" s="293">
        <f t="shared" si="3"/>
        <v>-65679.31</v>
      </c>
      <c r="N175" s="293">
        <f t="shared" si="6"/>
        <v>0</v>
      </c>
      <c r="O175" s="277">
        <f t="shared" si="4"/>
        <v>-65001.2923</v>
      </c>
      <c r="P175" s="264"/>
      <c r="Q175" s="264"/>
      <c r="R175" s="264"/>
      <c r="S175" s="264"/>
      <c r="T175" s="264"/>
      <c r="U175" s="264"/>
      <c r="V175" s="264"/>
      <c r="W175" s="264"/>
      <c r="X175" s="264"/>
      <c r="Y175" s="264"/>
      <c r="Z175" s="264"/>
      <c r="AA175" s="264"/>
      <c r="AB175" s="264"/>
      <c r="AC175" s="264"/>
      <c r="AD175" s="264"/>
      <c r="AE175" s="264"/>
    </row>
    <row r="176">
      <c r="A176" s="272" t="s">
        <v>795</v>
      </c>
      <c r="B176" s="272" t="s">
        <v>793</v>
      </c>
      <c r="C176" s="272" t="s">
        <v>794</v>
      </c>
      <c r="D176" s="172">
        <v>45845.0</v>
      </c>
      <c r="E176" s="267" t="str">
        <f t="shared" si="1"/>
        <v>07 jul</v>
      </c>
      <c r="F176" s="274">
        <f t="shared" si="2"/>
        <v>2025</v>
      </c>
      <c r="G176" s="202" t="s">
        <v>647</v>
      </c>
      <c r="H176" s="43" t="s">
        <v>646</v>
      </c>
      <c r="I176" s="89">
        <v>515961.0</v>
      </c>
      <c r="J176" s="276">
        <f>IF(ISBLANK(I176), "", VLOOKUP(E176&amp;" "&amp;F176, 'Info Tipo de Cambio y REM'!$A$24:$B$35, 2, FALSE))
</f>
        <v>1320</v>
      </c>
      <c r="K176" s="294">
        <f t="shared" si="13"/>
        <v>390.8795455</v>
      </c>
      <c r="L176" s="293">
        <f t="shared" si="5"/>
        <v>-169666.2147</v>
      </c>
      <c r="M176" s="293">
        <f t="shared" si="3"/>
        <v>-65679.31</v>
      </c>
      <c r="N176" s="293">
        <f t="shared" si="6"/>
        <v>0</v>
      </c>
      <c r="O176" s="277">
        <f t="shared" si="4"/>
        <v>-65392.17185</v>
      </c>
      <c r="P176" s="264"/>
      <c r="Q176" s="264"/>
      <c r="R176" s="264"/>
      <c r="S176" s="264"/>
      <c r="T176" s="264"/>
      <c r="U176" s="264"/>
      <c r="V176" s="264"/>
      <c r="W176" s="264"/>
      <c r="X176" s="264"/>
      <c r="Y176" s="264"/>
      <c r="Z176" s="264"/>
      <c r="AA176" s="264"/>
      <c r="AB176" s="264"/>
      <c r="AC176" s="264"/>
      <c r="AD176" s="264"/>
      <c r="AE176" s="264"/>
    </row>
    <row r="177">
      <c r="A177" s="272" t="s">
        <v>795</v>
      </c>
      <c r="B177" s="272" t="s">
        <v>144</v>
      </c>
      <c r="C177" s="272" t="s">
        <v>791</v>
      </c>
      <c r="D177" s="313">
        <v>45839.0</v>
      </c>
      <c r="E177" s="267" t="str">
        <f t="shared" si="1"/>
        <v>07 jul</v>
      </c>
      <c r="F177" s="274">
        <f t="shared" si="2"/>
        <v>2025</v>
      </c>
      <c r="G177" s="165" t="s">
        <v>731</v>
      </c>
      <c r="H177" s="165" t="s">
        <v>650</v>
      </c>
      <c r="I177" s="277"/>
      <c r="J177" s="276" t="str">
        <f>IF(ISBLANK(I177), "", VLOOKUP(E177&amp;" "&amp;F177, 'Info Tipo de Cambio y REM'!$A$24:$B$35, 2, FALSE))
</f>
        <v/>
      </c>
      <c r="K177" s="89">
        <v>14.82</v>
      </c>
      <c r="L177" s="293">
        <f t="shared" si="5"/>
        <v>-169666.2147</v>
      </c>
      <c r="M177" s="293">
        <f t="shared" si="3"/>
        <v>-65694.13</v>
      </c>
      <c r="N177" s="293">
        <f t="shared" si="6"/>
        <v>0</v>
      </c>
      <c r="O177" s="277">
        <f t="shared" si="4"/>
        <v>-65406.99185</v>
      </c>
      <c r="P177" s="264"/>
      <c r="Q177" s="264"/>
      <c r="R177" s="264"/>
      <c r="S177" s="264"/>
      <c r="T177" s="264"/>
      <c r="U177" s="264"/>
      <c r="V177" s="264"/>
      <c r="W177" s="264"/>
      <c r="X177" s="264"/>
      <c r="Y177" s="264"/>
      <c r="Z177" s="264"/>
      <c r="AA177" s="264"/>
      <c r="AB177" s="264"/>
      <c r="AC177" s="264"/>
      <c r="AD177" s="264"/>
      <c r="AE177" s="264"/>
    </row>
    <row r="178">
      <c r="A178" s="272" t="s">
        <v>795</v>
      </c>
      <c r="B178" s="272" t="s">
        <v>144</v>
      </c>
      <c r="C178" s="272" t="s">
        <v>791</v>
      </c>
      <c r="D178" s="313">
        <v>45840.0</v>
      </c>
      <c r="E178" s="267" t="str">
        <f t="shared" si="1"/>
        <v>07 jul</v>
      </c>
      <c r="F178" s="274">
        <f t="shared" si="2"/>
        <v>2025</v>
      </c>
      <c r="G178" s="165" t="s">
        <v>731</v>
      </c>
      <c r="H178" s="165" t="s">
        <v>651</v>
      </c>
      <c r="I178" s="277"/>
      <c r="J178" s="276" t="str">
        <f>IF(ISBLANK(I178), "", VLOOKUP(E178&amp;" "&amp;F178, 'Info Tipo de Cambio y REM'!$A$24:$B$35, 2, FALSE))
</f>
        <v/>
      </c>
      <c r="K178" s="89">
        <v>633.6</v>
      </c>
      <c r="L178" s="293">
        <f t="shared" si="5"/>
        <v>-169666.2147</v>
      </c>
      <c r="M178" s="293">
        <f t="shared" si="3"/>
        <v>-66327.73</v>
      </c>
      <c r="N178" s="293">
        <f t="shared" si="6"/>
        <v>0</v>
      </c>
      <c r="O178" s="277">
        <f t="shared" si="4"/>
        <v>-66040.59185</v>
      </c>
      <c r="P178" s="264"/>
      <c r="Q178" s="264"/>
      <c r="R178" s="264"/>
      <c r="S178" s="264"/>
      <c r="T178" s="264"/>
      <c r="U178" s="264"/>
      <c r="V178" s="264"/>
      <c r="W178" s="264"/>
      <c r="X178" s="264"/>
      <c r="Y178" s="264"/>
      <c r="Z178" s="264"/>
      <c r="AA178" s="264"/>
      <c r="AB178" s="264"/>
      <c r="AC178" s="264"/>
      <c r="AD178" s="264"/>
      <c r="AE178" s="264"/>
    </row>
    <row r="179">
      <c r="A179" s="272" t="s">
        <v>795</v>
      </c>
      <c r="B179" s="272" t="s">
        <v>144</v>
      </c>
      <c r="C179" s="272" t="s">
        <v>791</v>
      </c>
      <c r="D179" s="313">
        <v>45840.0</v>
      </c>
      <c r="E179" s="267" t="str">
        <f t="shared" si="1"/>
        <v>07 jul</v>
      </c>
      <c r="F179" s="274">
        <f t="shared" si="2"/>
        <v>2025</v>
      </c>
      <c r="G179" s="165" t="s">
        <v>731</v>
      </c>
      <c r="H179" s="165" t="s">
        <v>652</v>
      </c>
      <c r="I179" s="277"/>
      <c r="J179" s="276" t="str">
        <f>IF(ISBLANK(I179), "", VLOOKUP(E179&amp;" "&amp;F179, 'Info Tipo de Cambio y REM'!$A$24:$B$35, 2, FALSE))
</f>
        <v/>
      </c>
      <c r="K179" s="89">
        <v>6.91</v>
      </c>
      <c r="L179" s="293">
        <f t="shared" si="5"/>
        <v>-169666.2147</v>
      </c>
      <c r="M179" s="293">
        <f t="shared" si="3"/>
        <v>-66334.64</v>
      </c>
      <c r="N179" s="293">
        <f t="shared" si="6"/>
        <v>0</v>
      </c>
      <c r="O179" s="277">
        <f t="shared" si="4"/>
        <v>-66047.50185</v>
      </c>
      <c r="P179" s="264"/>
      <c r="Q179" s="264"/>
      <c r="R179" s="264"/>
      <c r="S179" s="264"/>
      <c r="T179" s="264"/>
      <c r="U179" s="264"/>
      <c r="V179" s="264"/>
      <c r="W179" s="264"/>
      <c r="X179" s="264"/>
      <c r="Y179" s="264"/>
      <c r="Z179" s="264"/>
      <c r="AA179" s="264"/>
      <c r="AB179" s="264"/>
      <c r="AC179" s="264"/>
      <c r="AD179" s="264"/>
      <c r="AE179" s="264"/>
    </row>
    <row r="180">
      <c r="A180" s="272" t="s">
        <v>795</v>
      </c>
      <c r="B180" s="272" t="s">
        <v>144</v>
      </c>
      <c r="C180" s="272" t="s">
        <v>791</v>
      </c>
      <c r="D180" s="313">
        <v>45840.0</v>
      </c>
      <c r="E180" s="267" t="str">
        <f t="shared" si="1"/>
        <v>07 jul</v>
      </c>
      <c r="F180" s="274">
        <f t="shared" si="2"/>
        <v>2025</v>
      </c>
      <c r="G180" s="165" t="s">
        <v>731</v>
      </c>
      <c r="H180" s="165" t="s">
        <v>653</v>
      </c>
      <c r="I180" s="277"/>
      <c r="J180" s="276" t="str">
        <f>IF(ISBLANK(I180), "", VLOOKUP(E180&amp;" "&amp;F180, 'Info Tipo de Cambio y REM'!$A$24:$B$35, 2, FALSE))
</f>
        <v/>
      </c>
      <c r="K180" s="89">
        <v>11.0</v>
      </c>
      <c r="L180" s="293">
        <f t="shared" si="5"/>
        <v>-169666.2147</v>
      </c>
      <c r="M180" s="293">
        <f t="shared" si="3"/>
        <v>-66345.64</v>
      </c>
      <c r="N180" s="293">
        <f t="shared" si="6"/>
        <v>0</v>
      </c>
      <c r="O180" s="277">
        <f t="shared" si="4"/>
        <v>-66058.50185</v>
      </c>
      <c r="P180" s="264"/>
      <c r="Q180" s="264"/>
      <c r="R180" s="264"/>
      <c r="S180" s="264"/>
      <c r="T180" s="264"/>
      <c r="U180" s="264"/>
      <c r="V180" s="264"/>
      <c r="W180" s="264"/>
      <c r="X180" s="264"/>
      <c r="Y180" s="264"/>
      <c r="Z180" s="264"/>
      <c r="AA180" s="264"/>
      <c r="AB180" s="264"/>
      <c r="AC180" s="264"/>
      <c r="AD180" s="264"/>
      <c r="AE180" s="264"/>
    </row>
    <row r="181">
      <c r="A181" s="272" t="s">
        <v>795</v>
      </c>
      <c r="B181" s="272" t="s">
        <v>144</v>
      </c>
      <c r="C181" s="272" t="s">
        <v>791</v>
      </c>
      <c r="D181" s="313">
        <v>45841.0</v>
      </c>
      <c r="E181" s="267" t="str">
        <f t="shared" si="1"/>
        <v>07 jul</v>
      </c>
      <c r="F181" s="274">
        <f t="shared" si="2"/>
        <v>2025</v>
      </c>
      <c r="G181" s="165" t="s">
        <v>731</v>
      </c>
      <c r="H181" s="165" t="s">
        <v>654</v>
      </c>
      <c r="I181" s="277"/>
      <c r="J181" s="276" t="str">
        <f>IF(ISBLANK(I181), "", VLOOKUP(E181&amp;" "&amp;F181, 'Info Tipo de Cambio y REM'!$A$24:$B$35, 2, FALSE))
</f>
        <v/>
      </c>
      <c r="K181" s="89">
        <v>14.19</v>
      </c>
      <c r="L181" s="293">
        <f t="shared" si="5"/>
        <v>-169666.2147</v>
      </c>
      <c r="M181" s="293">
        <f t="shared" si="3"/>
        <v>-66359.83</v>
      </c>
      <c r="N181" s="293">
        <f t="shared" si="6"/>
        <v>0</v>
      </c>
      <c r="O181" s="277">
        <f t="shared" si="4"/>
        <v>-66072.69185</v>
      </c>
      <c r="P181" s="264"/>
      <c r="Q181" s="264"/>
      <c r="R181" s="264"/>
      <c r="S181" s="264"/>
      <c r="T181" s="264"/>
      <c r="U181" s="264"/>
      <c r="V181" s="264"/>
      <c r="W181" s="264"/>
      <c r="X181" s="264"/>
      <c r="Y181" s="264"/>
      <c r="Z181" s="264"/>
      <c r="AA181" s="264"/>
      <c r="AB181" s="264"/>
      <c r="AC181" s="264"/>
      <c r="AD181" s="264"/>
      <c r="AE181" s="264"/>
    </row>
    <row r="182">
      <c r="A182" s="272" t="s">
        <v>795</v>
      </c>
      <c r="B182" s="272" t="s">
        <v>144</v>
      </c>
      <c r="C182" s="272" t="s">
        <v>791</v>
      </c>
      <c r="D182" s="313">
        <v>45841.0</v>
      </c>
      <c r="E182" s="267" t="str">
        <f t="shared" si="1"/>
        <v>07 jul</v>
      </c>
      <c r="F182" s="274">
        <f t="shared" si="2"/>
        <v>2025</v>
      </c>
      <c r="G182" s="165" t="s">
        <v>731</v>
      </c>
      <c r="H182" s="165" t="s">
        <v>655</v>
      </c>
      <c r="I182" s="277"/>
      <c r="J182" s="276" t="str">
        <f>IF(ISBLANK(I182), "", VLOOKUP(E182&amp;" "&amp;F182, 'Info Tipo de Cambio y REM'!$A$24:$B$35, 2, FALSE))
</f>
        <v/>
      </c>
      <c r="K182" s="89">
        <v>507.4</v>
      </c>
      <c r="L182" s="293">
        <f t="shared" si="5"/>
        <v>-169666.2147</v>
      </c>
      <c r="M182" s="293">
        <f t="shared" si="3"/>
        <v>-66867.23</v>
      </c>
      <c r="N182" s="293">
        <f t="shared" si="6"/>
        <v>0</v>
      </c>
      <c r="O182" s="277">
        <f t="shared" si="4"/>
        <v>-66580.09185</v>
      </c>
      <c r="P182" s="264"/>
      <c r="Q182" s="264"/>
      <c r="R182" s="264"/>
      <c r="S182" s="264"/>
      <c r="T182" s="264"/>
      <c r="U182" s="264"/>
      <c r="V182" s="264"/>
      <c r="W182" s="264"/>
      <c r="X182" s="264"/>
      <c r="Y182" s="264"/>
      <c r="Z182" s="264"/>
      <c r="AA182" s="264"/>
      <c r="AB182" s="264"/>
      <c r="AC182" s="264"/>
      <c r="AD182" s="264"/>
      <c r="AE182" s="264"/>
    </row>
    <row r="183">
      <c r="A183" s="272" t="s">
        <v>797</v>
      </c>
      <c r="B183" s="272" t="s">
        <v>793</v>
      </c>
      <c r="C183" s="272" t="s">
        <v>794</v>
      </c>
      <c r="D183" s="172">
        <v>45846.0</v>
      </c>
      <c r="E183" s="267" t="str">
        <f t="shared" si="1"/>
        <v>07 jul</v>
      </c>
      <c r="F183" s="274">
        <f t="shared" si="2"/>
        <v>2025</v>
      </c>
      <c r="G183" s="317" t="s">
        <v>315</v>
      </c>
      <c r="H183" s="192" t="s">
        <v>244</v>
      </c>
      <c r="I183" s="112">
        <v>5562007.0</v>
      </c>
      <c r="J183" s="276">
        <f>IF(ISBLANK(I183), "", VLOOKUP(E183&amp;" "&amp;F183, 'Info Tipo de Cambio y REM'!$A$24:$B$35, 2, FALSE))
</f>
        <v>1320</v>
      </c>
      <c r="K183" s="294">
        <f>I183/J183</f>
        <v>4213.641667</v>
      </c>
      <c r="L183" s="293">
        <f t="shared" si="5"/>
        <v>5392340.785</v>
      </c>
      <c r="M183" s="293">
        <f t="shared" si="3"/>
        <v>-66867.23</v>
      </c>
      <c r="N183" s="293">
        <f t="shared" si="6"/>
        <v>0</v>
      </c>
      <c r="O183" s="277">
        <f t="shared" si="4"/>
        <v>-62366.45018</v>
      </c>
      <c r="P183" s="264"/>
      <c r="Q183" s="264"/>
      <c r="R183" s="264"/>
      <c r="S183" s="264"/>
      <c r="T183" s="264"/>
      <c r="U183" s="264"/>
      <c r="V183" s="264"/>
      <c r="W183" s="264"/>
      <c r="X183" s="264"/>
      <c r="Y183" s="264"/>
      <c r="Z183" s="264"/>
      <c r="AA183" s="264"/>
      <c r="AB183" s="264"/>
      <c r="AC183" s="264"/>
      <c r="AD183" s="264"/>
      <c r="AE183" s="264"/>
    </row>
    <row r="184">
      <c r="A184" s="272" t="s">
        <v>795</v>
      </c>
      <c r="B184" s="272" t="s">
        <v>144</v>
      </c>
      <c r="C184" s="272" t="s">
        <v>791</v>
      </c>
      <c r="D184" s="213">
        <v>45845.0</v>
      </c>
      <c r="E184" s="267" t="str">
        <f t="shared" si="1"/>
        <v>07 jul</v>
      </c>
      <c r="F184" s="274">
        <f t="shared" si="2"/>
        <v>2025</v>
      </c>
      <c r="G184" s="83" t="s">
        <v>868</v>
      </c>
      <c r="H184" s="83" t="s">
        <v>656</v>
      </c>
      <c r="I184" s="214"/>
      <c r="J184" s="276" t="str">
        <f>IF(ISBLANK(I184), "", VLOOKUP(E184&amp;" "&amp;F184, 'Info Tipo de Cambio y REM'!$A$24:$B$35, 2, FALSE))
</f>
        <v/>
      </c>
      <c r="K184" s="214">
        <v>22.99</v>
      </c>
      <c r="L184" s="293">
        <f t="shared" si="5"/>
        <v>5392340.785</v>
      </c>
      <c r="M184" s="293">
        <f t="shared" si="3"/>
        <v>-66890.22</v>
      </c>
      <c r="N184" s="293">
        <f t="shared" si="6"/>
        <v>0</v>
      </c>
      <c r="O184" s="277">
        <f t="shared" si="4"/>
        <v>-62389.44018</v>
      </c>
      <c r="P184" s="264"/>
      <c r="Q184" s="264"/>
      <c r="R184" s="264"/>
      <c r="S184" s="264"/>
      <c r="T184" s="264"/>
      <c r="U184" s="264"/>
      <c r="V184" s="264"/>
      <c r="W184" s="264"/>
      <c r="X184" s="264"/>
      <c r="Y184" s="264"/>
      <c r="Z184" s="264"/>
      <c r="AA184" s="264"/>
      <c r="AB184" s="264"/>
      <c r="AC184" s="264"/>
      <c r="AD184" s="264"/>
      <c r="AE184" s="264"/>
    </row>
    <row r="185">
      <c r="A185" s="272" t="s">
        <v>795</v>
      </c>
      <c r="B185" s="272" t="s">
        <v>144</v>
      </c>
      <c r="C185" s="272" t="s">
        <v>791</v>
      </c>
      <c r="D185" s="213">
        <v>45845.0</v>
      </c>
      <c r="E185" s="267" t="str">
        <f t="shared" si="1"/>
        <v>07 jul</v>
      </c>
      <c r="F185" s="274">
        <f t="shared" si="2"/>
        <v>2025</v>
      </c>
      <c r="G185" s="83" t="s">
        <v>868</v>
      </c>
      <c r="H185" s="83" t="s">
        <v>657</v>
      </c>
      <c r="I185" s="214"/>
      <c r="J185" s="276" t="str">
        <f>IF(ISBLANK(I185), "", VLOOKUP(E185&amp;" "&amp;F185, 'Info Tipo de Cambio y REM'!$A$24:$B$35, 2, FALSE))
</f>
        <v/>
      </c>
      <c r="K185" s="214">
        <v>20.0</v>
      </c>
      <c r="L185" s="293">
        <f t="shared" si="5"/>
        <v>5392340.785</v>
      </c>
      <c r="M185" s="293">
        <f t="shared" si="3"/>
        <v>-66910.22</v>
      </c>
      <c r="N185" s="293">
        <f t="shared" si="6"/>
        <v>0</v>
      </c>
      <c r="O185" s="277">
        <f t="shared" si="4"/>
        <v>-62409.44018</v>
      </c>
      <c r="P185" s="264"/>
      <c r="Q185" s="264"/>
      <c r="R185" s="264"/>
      <c r="S185" s="264"/>
      <c r="T185" s="264"/>
      <c r="U185" s="264"/>
      <c r="V185" s="264"/>
      <c r="W185" s="264"/>
      <c r="X185" s="264"/>
      <c r="Y185" s="264"/>
      <c r="Z185" s="264"/>
      <c r="AA185" s="264"/>
      <c r="AB185" s="264"/>
      <c r="AC185" s="264"/>
      <c r="AD185" s="264"/>
      <c r="AE185" s="264"/>
    </row>
    <row r="186">
      <c r="A186" s="272" t="s">
        <v>795</v>
      </c>
      <c r="B186" s="272" t="s">
        <v>144</v>
      </c>
      <c r="C186" s="272" t="s">
        <v>791</v>
      </c>
      <c r="D186" s="213">
        <v>45845.0</v>
      </c>
      <c r="E186" s="267" t="str">
        <f t="shared" si="1"/>
        <v>07 jul</v>
      </c>
      <c r="F186" s="274">
        <f t="shared" si="2"/>
        <v>2025</v>
      </c>
      <c r="G186" s="83" t="s">
        <v>868</v>
      </c>
      <c r="H186" s="83" t="s">
        <v>658</v>
      </c>
      <c r="I186" s="214"/>
      <c r="J186" s="276" t="str">
        <f>IF(ISBLANK(I186), "", VLOOKUP(E186&amp;" "&amp;F186, 'Info Tipo de Cambio y REM'!$A$24:$B$35, 2, FALSE))
</f>
        <v/>
      </c>
      <c r="K186" s="214">
        <v>6.49</v>
      </c>
      <c r="L186" s="293">
        <f t="shared" si="5"/>
        <v>5392340.785</v>
      </c>
      <c r="M186" s="293">
        <f t="shared" si="3"/>
        <v>-66916.71</v>
      </c>
      <c r="N186" s="293">
        <f t="shared" si="6"/>
        <v>0</v>
      </c>
      <c r="O186" s="277">
        <f t="shared" si="4"/>
        <v>-62415.93018</v>
      </c>
      <c r="P186" s="264"/>
      <c r="Q186" s="264"/>
      <c r="R186" s="264"/>
      <c r="S186" s="264"/>
      <c r="T186" s="264"/>
      <c r="U186" s="264"/>
      <c r="V186" s="264"/>
      <c r="W186" s="264"/>
      <c r="X186" s="264"/>
      <c r="Y186" s="264"/>
      <c r="Z186" s="264"/>
      <c r="AA186" s="264"/>
      <c r="AB186" s="264"/>
      <c r="AC186" s="264"/>
      <c r="AD186" s="264"/>
      <c r="AE186" s="264"/>
    </row>
    <row r="187">
      <c r="A187" s="272" t="s">
        <v>795</v>
      </c>
      <c r="B187" s="272" t="s">
        <v>144</v>
      </c>
      <c r="C187" s="272" t="s">
        <v>791</v>
      </c>
      <c r="D187" s="213">
        <v>45846.0</v>
      </c>
      <c r="E187" s="267" t="str">
        <f t="shared" si="1"/>
        <v>07 jul</v>
      </c>
      <c r="F187" s="274">
        <f t="shared" si="2"/>
        <v>2025</v>
      </c>
      <c r="G187" s="83" t="s">
        <v>868</v>
      </c>
      <c r="H187" s="83" t="s">
        <v>659</v>
      </c>
      <c r="I187" s="214"/>
      <c r="J187" s="276" t="str">
        <f>IF(ISBLANK(I187), "", VLOOKUP(E187&amp;" "&amp;F187, 'Info Tipo de Cambio y REM'!$A$24:$B$35, 2, FALSE))
</f>
        <v/>
      </c>
      <c r="K187" s="214">
        <v>29.0</v>
      </c>
      <c r="L187" s="293">
        <f t="shared" si="5"/>
        <v>5392340.785</v>
      </c>
      <c r="M187" s="293">
        <f t="shared" si="3"/>
        <v>-66945.71</v>
      </c>
      <c r="N187" s="293">
        <f t="shared" si="6"/>
        <v>0</v>
      </c>
      <c r="O187" s="277">
        <f t="shared" si="4"/>
        <v>-62444.93018</v>
      </c>
      <c r="P187" s="264"/>
      <c r="Q187" s="264"/>
      <c r="R187" s="264"/>
      <c r="S187" s="264"/>
      <c r="T187" s="264"/>
      <c r="U187" s="264"/>
      <c r="V187" s="264"/>
      <c r="W187" s="264"/>
      <c r="X187" s="264"/>
      <c r="Y187" s="264"/>
      <c r="Z187" s="264"/>
      <c r="AA187" s="264"/>
      <c r="AB187" s="264"/>
      <c r="AC187" s="264"/>
      <c r="AD187" s="264"/>
      <c r="AE187" s="264"/>
    </row>
    <row r="188">
      <c r="A188" s="272" t="s">
        <v>795</v>
      </c>
      <c r="B188" s="272" t="s">
        <v>144</v>
      </c>
      <c r="C188" s="272" t="s">
        <v>791</v>
      </c>
      <c r="D188" s="213">
        <v>45848.0</v>
      </c>
      <c r="E188" s="267" t="str">
        <f t="shared" si="1"/>
        <v>07 jul</v>
      </c>
      <c r="F188" s="274">
        <f t="shared" si="2"/>
        <v>2025</v>
      </c>
      <c r="G188" s="83" t="s">
        <v>868</v>
      </c>
      <c r="H188" s="83" t="s">
        <v>660</v>
      </c>
      <c r="I188" s="214"/>
      <c r="J188" s="276" t="str">
        <f>IF(ISBLANK(I188), "", VLOOKUP(E188&amp;" "&amp;F188, 'Info Tipo de Cambio y REM'!$A$24:$B$35, 2, FALSE))
</f>
        <v/>
      </c>
      <c r="K188" s="214">
        <v>132.72</v>
      </c>
      <c r="L188" s="293">
        <f t="shared" si="5"/>
        <v>5392340.785</v>
      </c>
      <c r="M188" s="293">
        <f t="shared" si="3"/>
        <v>-67078.43</v>
      </c>
      <c r="N188" s="293">
        <f t="shared" si="6"/>
        <v>0</v>
      </c>
      <c r="O188" s="277">
        <f t="shared" si="4"/>
        <v>-62577.65018</v>
      </c>
      <c r="P188" s="264"/>
      <c r="Q188" s="264"/>
      <c r="R188" s="264"/>
      <c r="S188" s="264"/>
      <c r="T188" s="264"/>
      <c r="U188" s="264"/>
      <c r="V188" s="264"/>
      <c r="W188" s="264"/>
      <c r="X188" s="264"/>
      <c r="Y188" s="264"/>
      <c r="Z188" s="264"/>
      <c r="AA188" s="264"/>
      <c r="AB188" s="264"/>
      <c r="AC188" s="264"/>
      <c r="AD188" s="264"/>
      <c r="AE188" s="264"/>
    </row>
    <row r="189">
      <c r="A189" s="272" t="s">
        <v>795</v>
      </c>
      <c r="B189" s="272" t="s">
        <v>793</v>
      </c>
      <c r="C189" s="272" t="s">
        <v>794</v>
      </c>
      <c r="D189" s="318">
        <v>45848.0</v>
      </c>
      <c r="E189" s="267" t="str">
        <f t="shared" si="1"/>
        <v>07 jul</v>
      </c>
      <c r="F189" s="274">
        <f t="shared" si="2"/>
        <v>2025</v>
      </c>
      <c r="G189" s="63" t="s">
        <v>869</v>
      </c>
      <c r="H189" s="63" t="s">
        <v>399</v>
      </c>
      <c r="I189" s="215">
        <v>802040.0</v>
      </c>
      <c r="J189" s="276">
        <f>IF(ISBLANK(I189), "", VLOOKUP(E189&amp;" "&amp;F189, 'Info Tipo de Cambio y REM'!$A$24:$B$35, 2, FALSE))
</f>
        <v>1320</v>
      </c>
      <c r="K189" s="294">
        <f t="shared" ref="K189:K199" si="14">I189/J189</f>
        <v>607.6060606</v>
      </c>
      <c r="L189" s="293">
        <f t="shared" si="5"/>
        <v>4590300.785</v>
      </c>
      <c r="M189" s="293">
        <f t="shared" si="3"/>
        <v>-67078.43</v>
      </c>
      <c r="N189" s="293">
        <f t="shared" si="6"/>
        <v>0</v>
      </c>
      <c r="O189" s="277">
        <f t="shared" si="4"/>
        <v>-63185.25624</v>
      </c>
      <c r="P189" s="264"/>
      <c r="Q189" s="264"/>
      <c r="R189" s="264"/>
      <c r="S189" s="264"/>
      <c r="T189" s="264"/>
      <c r="U189" s="264"/>
      <c r="V189" s="264"/>
      <c r="W189" s="264"/>
      <c r="X189" s="264"/>
      <c r="Y189" s="264"/>
      <c r="Z189" s="264"/>
      <c r="AA189" s="264"/>
      <c r="AB189" s="264"/>
      <c r="AC189" s="264"/>
      <c r="AD189" s="264"/>
      <c r="AE189" s="264"/>
    </row>
    <row r="190">
      <c r="A190" s="272" t="s">
        <v>795</v>
      </c>
      <c r="B190" s="272" t="s">
        <v>793</v>
      </c>
      <c r="C190" s="272" t="s">
        <v>794</v>
      </c>
      <c r="D190" s="318">
        <v>45848.0</v>
      </c>
      <c r="E190" s="267" t="str">
        <f t="shared" si="1"/>
        <v>07 jul</v>
      </c>
      <c r="F190" s="274">
        <f t="shared" si="2"/>
        <v>2025</v>
      </c>
      <c r="G190" s="63" t="s">
        <v>870</v>
      </c>
      <c r="H190" s="63" t="s">
        <v>504</v>
      </c>
      <c r="I190" s="304">
        <v>408375.0</v>
      </c>
      <c r="J190" s="276">
        <f>IF(ISBLANK(I190), "", VLOOKUP(E190&amp;" "&amp;F190, 'Info Tipo de Cambio y REM'!$A$24:$B$35, 2, FALSE))
</f>
        <v>1320</v>
      </c>
      <c r="K190" s="294">
        <f t="shared" si="14"/>
        <v>309.375</v>
      </c>
      <c r="L190" s="293">
        <f t="shared" si="5"/>
        <v>4181925.785</v>
      </c>
      <c r="M190" s="293">
        <f t="shared" si="3"/>
        <v>-67078.43</v>
      </c>
      <c r="N190" s="293">
        <f t="shared" si="6"/>
        <v>0</v>
      </c>
      <c r="O190" s="277">
        <f t="shared" si="4"/>
        <v>-63494.63124</v>
      </c>
      <c r="P190" s="264"/>
      <c r="Q190" s="264"/>
      <c r="R190" s="264"/>
      <c r="S190" s="264"/>
      <c r="T190" s="264"/>
      <c r="U190" s="264"/>
      <c r="V190" s="264"/>
      <c r="W190" s="264"/>
      <c r="X190" s="264"/>
      <c r="Y190" s="264"/>
      <c r="Z190" s="264"/>
      <c r="AA190" s="264"/>
      <c r="AB190" s="264"/>
      <c r="AC190" s="264"/>
      <c r="AD190" s="264"/>
      <c r="AE190" s="264"/>
    </row>
    <row r="191">
      <c r="A191" s="272" t="s">
        <v>795</v>
      </c>
      <c r="B191" s="272" t="s">
        <v>793</v>
      </c>
      <c r="C191" s="272" t="s">
        <v>794</v>
      </c>
      <c r="D191" s="318">
        <v>45848.0</v>
      </c>
      <c r="E191" s="267" t="str">
        <f t="shared" si="1"/>
        <v>07 jul</v>
      </c>
      <c r="F191" s="274">
        <f t="shared" si="2"/>
        <v>2025</v>
      </c>
      <c r="G191" s="63" t="s">
        <v>871</v>
      </c>
      <c r="H191" s="63" t="s">
        <v>401</v>
      </c>
      <c r="I191" s="304">
        <v>394178.0</v>
      </c>
      <c r="J191" s="276">
        <f>IF(ISBLANK(I191), "", VLOOKUP(E191&amp;" "&amp;F191, 'Info Tipo de Cambio y REM'!$A$24:$B$35, 2, FALSE))
</f>
        <v>1320</v>
      </c>
      <c r="K191" s="294">
        <f t="shared" si="14"/>
        <v>298.619697</v>
      </c>
      <c r="L191" s="293">
        <f t="shared" si="5"/>
        <v>3787747.785</v>
      </c>
      <c r="M191" s="293">
        <f t="shared" si="3"/>
        <v>-67078.43</v>
      </c>
      <c r="N191" s="293">
        <f t="shared" si="6"/>
        <v>0</v>
      </c>
      <c r="O191" s="277">
        <f t="shared" si="4"/>
        <v>-63793.25094</v>
      </c>
      <c r="P191" s="264"/>
      <c r="Q191" s="264"/>
      <c r="R191" s="264"/>
      <c r="S191" s="264"/>
      <c r="T191" s="264"/>
      <c r="U191" s="264"/>
      <c r="V191" s="264"/>
      <c r="W191" s="264"/>
      <c r="X191" s="264"/>
      <c r="Y191" s="264"/>
      <c r="Z191" s="264"/>
      <c r="AA191" s="264"/>
      <c r="AB191" s="264"/>
      <c r="AC191" s="264"/>
      <c r="AD191" s="264"/>
      <c r="AE191" s="264"/>
    </row>
    <row r="192">
      <c r="A192" s="272" t="s">
        <v>795</v>
      </c>
      <c r="B192" s="272" t="s">
        <v>793</v>
      </c>
      <c r="C192" s="272" t="s">
        <v>794</v>
      </c>
      <c r="D192" s="318">
        <v>45848.0</v>
      </c>
      <c r="E192" s="267" t="str">
        <f t="shared" si="1"/>
        <v>07 jul</v>
      </c>
      <c r="F192" s="274">
        <f t="shared" si="2"/>
        <v>2025</v>
      </c>
      <c r="G192" s="63" t="s">
        <v>872</v>
      </c>
      <c r="H192" s="63" t="s">
        <v>413</v>
      </c>
      <c r="I192" s="304">
        <v>22829.2</v>
      </c>
      <c r="J192" s="276">
        <f>IF(ISBLANK(I192), "", VLOOKUP(E192&amp;" "&amp;F192, 'Info Tipo de Cambio y REM'!$A$24:$B$35, 2, FALSE))
</f>
        <v>1320</v>
      </c>
      <c r="K192" s="294">
        <f t="shared" si="14"/>
        <v>17.29484848</v>
      </c>
      <c r="L192" s="293">
        <f t="shared" si="5"/>
        <v>3764918.585</v>
      </c>
      <c r="M192" s="293">
        <f t="shared" si="3"/>
        <v>-67078.43</v>
      </c>
      <c r="N192" s="293">
        <f t="shared" si="6"/>
        <v>0</v>
      </c>
      <c r="O192" s="277">
        <f t="shared" si="4"/>
        <v>-63810.54579</v>
      </c>
      <c r="P192" s="264"/>
      <c r="Q192" s="264"/>
      <c r="R192" s="264"/>
      <c r="S192" s="264"/>
      <c r="T192" s="264"/>
      <c r="U192" s="264"/>
      <c r="V192" s="264"/>
      <c r="W192" s="264"/>
      <c r="X192" s="264"/>
      <c r="Y192" s="264"/>
      <c r="Z192" s="264"/>
      <c r="AA192" s="264"/>
      <c r="AB192" s="264"/>
      <c r="AC192" s="264"/>
      <c r="AD192" s="264"/>
      <c r="AE192" s="264"/>
    </row>
    <row r="193">
      <c r="A193" s="272" t="s">
        <v>795</v>
      </c>
      <c r="B193" s="272" t="s">
        <v>793</v>
      </c>
      <c r="C193" s="272" t="s">
        <v>794</v>
      </c>
      <c r="D193" s="318">
        <v>45848.0</v>
      </c>
      <c r="E193" s="267" t="str">
        <f t="shared" si="1"/>
        <v>07 jul</v>
      </c>
      <c r="F193" s="274">
        <f t="shared" si="2"/>
        <v>2025</v>
      </c>
      <c r="G193" s="63" t="s">
        <v>873</v>
      </c>
      <c r="H193" s="63" t="s">
        <v>397</v>
      </c>
      <c r="I193" s="304">
        <v>201120.0</v>
      </c>
      <c r="J193" s="276">
        <f>IF(ISBLANK(I193), "", VLOOKUP(E193&amp;" "&amp;F193, 'Info Tipo de Cambio y REM'!$A$24:$B$35, 2, FALSE))
</f>
        <v>1320</v>
      </c>
      <c r="K193" s="294">
        <f t="shared" si="14"/>
        <v>152.3636364</v>
      </c>
      <c r="L193" s="293">
        <f t="shared" si="5"/>
        <v>3563798.585</v>
      </c>
      <c r="M193" s="293">
        <f t="shared" si="3"/>
        <v>-67078.43</v>
      </c>
      <c r="N193" s="293">
        <f t="shared" si="6"/>
        <v>0</v>
      </c>
      <c r="O193" s="277">
        <f t="shared" si="4"/>
        <v>-63962.90942</v>
      </c>
      <c r="P193" s="264"/>
      <c r="Q193" s="264"/>
      <c r="R193" s="264"/>
      <c r="S193" s="264"/>
      <c r="T193" s="264"/>
      <c r="U193" s="264"/>
      <c r="V193" s="264"/>
      <c r="W193" s="264"/>
      <c r="X193" s="264"/>
      <c r="Y193" s="264"/>
      <c r="Z193" s="264"/>
      <c r="AA193" s="264"/>
      <c r="AB193" s="264"/>
      <c r="AC193" s="264"/>
      <c r="AD193" s="264"/>
      <c r="AE193" s="264"/>
    </row>
    <row r="194">
      <c r="A194" s="272" t="s">
        <v>795</v>
      </c>
      <c r="B194" s="272" t="s">
        <v>793</v>
      </c>
      <c r="C194" s="272" t="s">
        <v>794</v>
      </c>
      <c r="D194" s="318">
        <v>45848.0</v>
      </c>
      <c r="E194" s="267" t="str">
        <f t="shared" si="1"/>
        <v>07 jul</v>
      </c>
      <c r="F194" s="274">
        <f t="shared" si="2"/>
        <v>2025</v>
      </c>
      <c r="G194" s="63" t="s">
        <v>874</v>
      </c>
      <c r="H194" s="63" t="s">
        <v>383</v>
      </c>
      <c r="I194" s="304">
        <v>537700.0</v>
      </c>
      <c r="J194" s="276">
        <f>IF(ISBLANK(I194), "", VLOOKUP(E194&amp;" "&amp;F194, 'Info Tipo de Cambio y REM'!$A$24:$B$35, 2, FALSE))
</f>
        <v>1320</v>
      </c>
      <c r="K194" s="294">
        <f t="shared" si="14"/>
        <v>407.3484848</v>
      </c>
      <c r="L194" s="293">
        <f t="shared" si="5"/>
        <v>3026098.585</v>
      </c>
      <c r="M194" s="293">
        <f t="shared" si="3"/>
        <v>-67078.43</v>
      </c>
      <c r="N194" s="293">
        <f t="shared" si="6"/>
        <v>0</v>
      </c>
      <c r="O194" s="277">
        <f t="shared" si="4"/>
        <v>-64370.25791</v>
      </c>
      <c r="P194" s="264"/>
      <c r="Q194" s="264"/>
      <c r="R194" s="264"/>
      <c r="S194" s="264"/>
      <c r="T194" s="264"/>
      <c r="U194" s="264"/>
      <c r="V194" s="264"/>
      <c r="W194" s="264"/>
      <c r="X194" s="264"/>
      <c r="Y194" s="264"/>
      <c r="Z194" s="264"/>
      <c r="AA194" s="264"/>
      <c r="AB194" s="264"/>
      <c r="AC194" s="264"/>
      <c r="AD194" s="264"/>
      <c r="AE194" s="264"/>
    </row>
    <row r="195">
      <c r="A195" s="272" t="s">
        <v>795</v>
      </c>
      <c r="B195" s="272" t="s">
        <v>793</v>
      </c>
      <c r="C195" s="272" t="s">
        <v>794</v>
      </c>
      <c r="D195" s="318">
        <v>45848.0</v>
      </c>
      <c r="E195" s="267" t="str">
        <f t="shared" si="1"/>
        <v>07 jul</v>
      </c>
      <c r="F195" s="274">
        <f t="shared" si="2"/>
        <v>2025</v>
      </c>
      <c r="G195" s="63" t="s">
        <v>875</v>
      </c>
      <c r="H195" s="63" t="s">
        <v>391</v>
      </c>
      <c r="I195" s="304">
        <v>671880.0</v>
      </c>
      <c r="J195" s="276">
        <f>IF(ISBLANK(I195), "", VLOOKUP(E195&amp;" "&amp;F195, 'Info Tipo de Cambio y REM'!$A$24:$B$35, 2, FALSE))
</f>
        <v>1320</v>
      </c>
      <c r="K195" s="294">
        <f t="shared" si="14"/>
        <v>509</v>
      </c>
      <c r="L195" s="293">
        <f t="shared" si="5"/>
        <v>2354218.585</v>
      </c>
      <c r="M195" s="293">
        <f t="shared" si="3"/>
        <v>-67078.43</v>
      </c>
      <c r="N195" s="293">
        <f t="shared" si="6"/>
        <v>0</v>
      </c>
      <c r="O195" s="277">
        <f t="shared" si="4"/>
        <v>-64879.25791</v>
      </c>
      <c r="P195" s="264"/>
      <c r="Q195" s="264"/>
      <c r="R195" s="264"/>
      <c r="S195" s="264"/>
      <c r="T195" s="264"/>
      <c r="U195" s="264"/>
      <c r="V195" s="264"/>
      <c r="W195" s="264"/>
      <c r="X195" s="264"/>
      <c r="Y195" s="264"/>
      <c r="Z195" s="264"/>
      <c r="AA195" s="264"/>
      <c r="AB195" s="264"/>
      <c r="AC195" s="264"/>
      <c r="AD195" s="264"/>
      <c r="AE195" s="264"/>
    </row>
    <row r="196">
      <c r="A196" s="272" t="s">
        <v>795</v>
      </c>
      <c r="B196" s="272" t="s">
        <v>793</v>
      </c>
      <c r="C196" s="272" t="s">
        <v>794</v>
      </c>
      <c r="D196" s="318">
        <v>45848.0</v>
      </c>
      <c r="E196" s="267" t="str">
        <f t="shared" si="1"/>
        <v>07 jul</v>
      </c>
      <c r="F196" s="274">
        <f t="shared" si="2"/>
        <v>2025</v>
      </c>
      <c r="G196" s="63" t="s">
        <v>876</v>
      </c>
      <c r="H196" s="63" t="s">
        <v>409</v>
      </c>
      <c r="I196" s="304">
        <v>750055.0</v>
      </c>
      <c r="J196" s="276">
        <f>IF(ISBLANK(I196), "", VLOOKUP(E196&amp;" "&amp;F196, 'Info Tipo de Cambio y REM'!$A$24:$B$35, 2, FALSE))
</f>
        <v>1320</v>
      </c>
      <c r="K196" s="294">
        <f t="shared" si="14"/>
        <v>568.2234848</v>
      </c>
      <c r="L196" s="293">
        <f t="shared" si="5"/>
        <v>1604163.585</v>
      </c>
      <c r="M196" s="293">
        <f t="shared" si="3"/>
        <v>-67078.43</v>
      </c>
      <c r="N196" s="293">
        <f t="shared" si="6"/>
        <v>0</v>
      </c>
      <c r="O196" s="277">
        <f t="shared" si="4"/>
        <v>-65447.48139</v>
      </c>
      <c r="P196" s="264"/>
      <c r="Q196" s="264"/>
      <c r="R196" s="264"/>
      <c r="S196" s="264"/>
      <c r="T196" s="264"/>
      <c r="U196" s="264"/>
      <c r="V196" s="264"/>
      <c r="W196" s="264"/>
      <c r="X196" s="264"/>
      <c r="Y196" s="264"/>
      <c r="Z196" s="264"/>
      <c r="AA196" s="264"/>
      <c r="AB196" s="264"/>
      <c r="AC196" s="264"/>
      <c r="AD196" s="264"/>
      <c r="AE196" s="264"/>
    </row>
    <row r="197">
      <c r="A197" s="272" t="s">
        <v>795</v>
      </c>
      <c r="B197" s="272" t="s">
        <v>793</v>
      </c>
      <c r="C197" s="272" t="s">
        <v>794</v>
      </c>
      <c r="D197" s="172">
        <v>45849.0</v>
      </c>
      <c r="E197" s="267" t="str">
        <f t="shared" si="1"/>
        <v>07 jul</v>
      </c>
      <c r="F197" s="274">
        <f t="shared" si="2"/>
        <v>2025</v>
      </c>
      <c r="G197" s="63" t="s">
        <v>877</v>
      </c>
      <c r="H197" s="63" t="s">
        <v>534</v>
      </c>
      <c r="I197" s="215">
        <v>143990.0</v>
      </c>
      <c r="J197" s="276">
        <f>IF(ISBLANK(I197), "", VLOOKUP(E197&amp;" "&amp;F197, 'Info Tipo de Cambio y REM'!$A$24:$B$35, 2, FALSE))
</f>
        <v>1320</v>
      </c>
      <c r="K197" s="294">
        <f t="shared" si="14"/>
        <v>109.0833333</v>
      </c>
      <c r="L197" s="293">
        <f t="shared" si="5"/>
        <v>1460173.585</v>
      </c>
      <c r="M197" s="293">
        <f t="shared" si="3"/>
        <v>-67078.43</v>
      </c>
      <c r="N197" s="293">
        <f t="shared" si="6"/>
        <v>0</v>
      </c>
      <c r="O197" s="277">
        <f t="shared" si="4"/>
        <v>-65556.56472</v>
      </c>
      <c r="P197" s="264"/>
      <c r="Q197" s="264"/>
      <c r="R197" s="264"/>
      <c r="S197" s="264"/>
      <c r="T197" s="264"/>
      <c r="U197" s="264"/>
      <c r="V197" s="264"/>
      <c r="W197" s="264"/>
      <c r="X197" s="264"/>
      <c r="Y197" s="264"/>
      <c r="Z197" s="264"/>
      <c r="AA197" s="264"/>
      <c r="AB197" s="264"/>
      <c r="AC197" s="264"/>
      <c r="AD197" s="264"/>
      <c r="AE197" s="264"/>
    </row>
    <row r="198">
      <c r="A198" s="272" t="s">
        <v>797</v>
      </c>
      <c r="B198" s="272" t="s">
        <v>793</v>
      </c>
      <c r="C198" s="272" t="s">
        <v>794</v>
      </c>
      <c r="D198" s="172">
        <v>45849.0</v>
      </c>
      <c r="E198" s="267" t="str">
        <f t="shared" si="1"/>
        <v>07 jul</v>
      </c>
      <c r="F198" s="274">
        <f t="shared" si="2"/>
        <v>2025</v>
      </c>
      <c r="G198" s="42" t="s">
        <v>878</v>
      </c>
      <c r="H198" s="272" t="s">
        <v>251</v>
      </c>
      <c r="I198" s="275">
        <v>836890.0</v>
      </c>
      <c r="J198" s="276">
        <f>IF(ISBLANK(I198), "", VLOOKUP(E198&amp;" "&amp;F198, 'Info Tipo de Cambio y REM'!$A$24:$B$35, 2, FALSE))
</f>
        <v>1320</v>
      </c>
      <c r="K198" s="294">
        <f t="shared" si="14"/>
        <v>634.0075758</v>
      </c>
      <c r="L198" s="293">
        <f t="shared" si="5"/>
        <v>2297063.585</v>
      </c>
      <c r="M198" s="293">
        <f t="shared" si="3"/>
        <v>-67078.43</v>
      </c>
      <c r="N198" s="293">
        <f t="shared" si="6"/>
        <v>0</v>
      </c>
      <c r="O198" s="277">
        <f t="shared" si="4"/>
        <v>-64922.55715</v>
      </c>
      <c r="P198" s="264"/>
      <c r="Q198" s="264"/>
      <c r="R198" s="264"/>
      <c r="S198" s="264"/>
      <c r="T198" s="264"/>
      <c r="U198" s="264"/>
      <c r="V198" s="264"/>
      <c r="W198" s="264"/>
      <c r="X198" s="264"/>
      <c r="Y198" s="264"/>
      <c r="Z198" s="264"/>
      <c r="AA198" s="264"/>
      <c r="AB198" s="264"/>
      <c r="AC198" s="264"/>
      <c r="AD198" s="264"/>
      <c r="AE198" s="264"/>
    </row>
    <row r="199">
      <c r="A199" s="272" t="s">
        <v>797</v>
      </c>
      <c r="B199" s="272" t="s">
        <v>793</v>
      </c>
      <c r="C199" s="272" t="s">
        <v>794</v>
      </c>
      <c r="D199" s="172">
        <v>45863.0</v>
      </c>
      <c r="E199" s="267" t="str">
        <f t="shared" si="1"/>
        <v>07 jul</v>
      </c>
      <c r="F199" s="274">
        <f t="shared" si="2"/>
        <v>2025</v>
      </c>
      <c r="G199" s="319" t="s">
        <v>321</v>
      </c>
      <c r="H199" s="319" t="s">
        <v>245</v>
      </c>
      <c r="I199" s="320">
        <v>5275425.76</v>
      </c>
      <c r="J199" s="276">
        <f>IF(ISBLANK(I199), "", VLOOKUP(E199&amp;" "&amp;F199, 'Info Tipo de Cambio y REM'!$A$24:$B$35, 2, FALSE))
</f>
        <v>1320</v>
      </c>
      <c r="K199" s="294">
        <f t="shared" si="14"/>
        <v>3996.534667</v>
      </c>
      <c r="L199" s="293">
        <f t="shared" si="5"/>
        <v>7572489.345</v>
      </c>
      <c r="M199" s="293">
        <f t="shared" si="3"/>
        <v>-67078.43</v>
      </c>
      <c r="N199" s="293">
        <f t="shared" si="6"/>
        <v>0</v>
      </c>
      <c r="O199" s="277">
        <f t="shared" si="4"/>
        <v>-60926.02248</v>
      </c>
      <c r="P199" s="264"/>
      <c r="Q199" s="264"/>
      <c r="R199" s="264"/>
      <c r="S199" s="264"/>
      <c r="T199" s="264"/>
      <c r="U199" s="264"/>
      <c r="V199" s="264"/>
      <c r="W199" s="264"/>
      <c r="X199" s="264"/>
      <c r="Y199" s="264"/>
      <c r="Z199" s="264"/>
      <c r="AA199" s="264"/>
      <c r="AB199" s="264"/>
      <c r="AC199" s="264"/>
      <c r="AD199" s="264"/>
      <c r="AE199" s="264"/>
    </row>
    <row r="200">
      <c r="A200" s="272" t="s">
        <v>797</v>
      </c>
      <c r="B200" s="272" t="s">
        <v>144</v>
      </c>
      <c r="C200" s="272" t="s">
        <v>791</v>
      </c>
      <c r="D200" s="172">
        <v>45861.0</v>
      </c>
      <c r="E200" s="267" t="str">
        <f t="shared" si="1"/>
        <v>07 jul</v>
      </c>
      <c r="F200" s="274">
        <f t="shared" si="2"/>
        <v>2025</v>
      </c>
      <c r="G200" s="321" t="s">
        <v>247</v>
      </c>
      <c r="H200" s="83" t="s">
        <v>879</v>
      </c>
      <c r="I200" s="277"/>
      <c r="J200" s="276" t="str">
        <f>IF(ISBLANK(I200), "", VLOOKUP(E200&amp;" "&amp;F200, 'Info Tipo de Cambio y REM'!$A$24:$B$35, 2, FALSE))
</f>
        <v/>
      </c>
      <c r="K200" s="294">
        <v>1300.0</v>
      </c>
      <c r="L200" s="293">
        <f t="shared" si="5"/>
        <v>7572489.345</v>
      </c>
      <c r="M200" s="293">
        <f t="shared" si="3"/>
        <v>-65778.43</v>
      </c>
      <c r="N200" s="293">
        <f t="shared" si="6"/>
        <v>0</v>
      </c>
      <c r="O200" s="277">
        <f t="shared" si="4"/>
        <v>-59626.02248</v>
      </c>
      <c r="P200" s="264"/>
      <c r="Q200" s="264"/>
      <c r="R200" s="264"/>
      <c r="S200" s="264"/>
      <c r="T200" s="264"/>
      <c r="U200" s="264"/>
      <c r="V200" s="264"/>
      <c r="W200" s="264"/>
      <c r="X200" s="264"/>
      <c r="Y200" s="264"/>
      <c r="Z200" s="264"/>
      <c r="AA200" s="264"/>
      <c r="AB200" s="264"/>
      <c r="AC200" s="264"/>
      <c r="AD200" s="264"/>
      <c r="AE200" s="264"/>
    </row>
    <row r="201">
      <c r="A201" s="272" t="s">
        <v>795</v>
      </c>
      <c r="B201" s="272" t="s">
        <v>793</v>
      </c>
      <c r="C201" s="272" t="s">
        <v>794</v>
      </c>
      <c r="D201" s="172">
        <v>45866.0</v>
      </c>
      <c r="E201" s="267" t="str">
        <f t="shared" si="1"/>
        <v>07 jul</v>
      </c>
      <c r="F201" s="274">
        <f t="shared" si="2"/>
        <v>2025</v>
      </c>
      <c r="G201" s="42" t="s">
        <v>880</v>
      </c>
      <c r="H201" s="165" t="s">
        <v>561</v>
      </c>
      <c r="I201" s="275">
        <v>49230.0</v>
      </c>
      <c r="J201" s="276">
        <f>IF(ISBLANK(I201), "", VLOOKUP(E201&amp;" "&amp;F201, 'Info Tipo de Cambio y REM'!$A$24:$B$35, 2, FALSE))
</f>
        <v>1320</v>
      </c>
      <c r="K201" s="294">
        <f t="shared" ref="K201:K208" si="15">I201/J201</f>
        <v>37.29545455</v>
      </c>
      <c r="L201" s="293">
        <f t="shared" si="5"/>
        <v>7523259.345</v>
      </c>
      <c r="M201" s="293">
        <f t="shared" si="3"/>
        <v>-65778.43</v>
      </c>
      <c r="N201" s="293">
        <f t="shared" si="6"/>
        <v>0</v>
      </c>
      <c r="O201" s="277">
        <f t="shared" si="4"/>
        <v>-59663.31794</v>
      </c>
      <c r="P201" s="264"/>
      <c r="Q201" s="264"/>
      <c r="R201" s="264"/>
      <c r="S201" s="264"/>
      <c r="T201" s="264"/>
      <c r="U201" s="264"/>
      <c r="V201" s="264"/>
      <c r="W201" s="264"/>
      <c r="X201" s="264"/>
      <c r="Y201" s="264"/>
      <c r="Z201" s="264"/>
      <c r="AA201" s="264"/>
      <c r="AB201" s="264"/>
      <c r="AC201" s="264"/>
      <c r="AD201" s="264"/>
      <c r="AE201" s="264"/>
    </row>
    <row r="202">
      <c r="A202" s="272" t="s">
        <v>795</v>
      </c>
      <c r="B202" s="272" t="s">
        <v>793</v>
      </c>
      <c r="C202" s="272" t="s">
        <v>794</v>
      </c>
      <c r="D202" s="172">
        <v>45866.0</v>
      </c>
      <c r="E202" s="267" t="str">
        <f t="shared" si="1"/>
        <v>07 jul</v>
      </c>
      <c r="F202" s="274">
        <f t="shared" si="2"/>
        <v>2025</v>
      </c>
      <c r="G202" s="165" t="s">
        <v>619</v>
      </c>
      <c r="H202" s="264"/>
      <c r="I202" s="89">
        <v>1835920.0</v>
      </c>
      <c r="J202" s="276">
        <f>IF(ISBLANK(I202), "", VLOOKUP(E202&amp;" "&amp;F202, 'Info Tipo de Cambio y REM'!$A$24:$B$35, 2, FALSE))
</f>
        <v>1320</v>
      </c>
      <c r="K202" s="294">
        <f t="shared" si="15"/>
        <v>1390.848485</v>
      </c>
      <c r="L202" s="293">
        <f t="shared" si="5"/>
        <v>5687339.345</v>
      </c>
      <c r="M202" s="293">
        <f t="shared" si="3"/>
        <v>-65778.43</v>
      </c>
      <c r="N202" s="293">
        <f t="shared" si="6"/>
        <v>0</v>
      </c>
      <c r="O202" s="277">
        <f t="shared" si="4"/>
        <v>-61054.16642</v>
      </c>
      <c r="P202" s="264"/>
      <c r="Q202" s="264"/>
      <c r="R202" s="264"/>
      <c r="S202" s="264"/>
      <c r="T202" s="264"/>
      <c r="U202" s="264"/>
      <c r="V202" s="264"/>
      <c r="W202" s="264"/>
      <c r="X202" s="264"/>
      <c r="Y202" s="264"/>
      <c r="Z202" s="264"/>
      <c r="AA202" s="264"/>
      <c r="AB202" s="264"/>
      <c r="AC202" s="264"/>
      <c r="AD202" s="264"/>
      <c r="AE202" s="264"/>
    </row>
    <row r="203">
      <c r="A203" s="272" t="s">
        <v>795</v>
      </c>
      <c r="B203" s="272" t="s">
        <v>793</v>
      </c>
      <c r="C203" s="272" t="s">
        <v>794</v>
      </c>
      <c r="D203" s="172">
        <v>45866.0</v>
      </c>
      <c r="E203" s="267" t="str">
        <f t="shared" si="1"/>
        <v>07 jul</v>
      </c>
      <c r="F203" s="274">
        <f t="shared" si="2"/>
        <v>2025</v>
      </c>
      <c r="G203" s="165" t="s">
        <v>620</v>
      </c>
      <c r="H203" s="264"/>
      <c r="I203" s="89">
        <v>337214.0</v>
      </c>
      <c r="J203" s="276">
        <f>IF(ISBLANK(I203), "", VLOOKUP(E203&amp;" "&amp;F203, 'Info Tipo de Cambio y REM'!$A$24:$B$35, 2, FALSE))
</f>
        <v>1320</v>
      </c>
      <c r="K203" s="294">
        <f t="shared" si="15"/>
        <v>255.4651515</v>
      </c>
      <c r="L203" s="293">
        <f t="shared" si="5"/>
        <v>5350125.345</v>
      </c>
      <c r="M203" s="293">
        <f t="shared" si="3"/>
        <v>-65778.43</v>
      </c>
      <c r="N203" s="293">
        <f t="shared" si="6"/>
        <v>0</v>
      </c>
      <c r="O203" s="277">
        <f t="shared" si="4"/>
        <v>-61309.63157</v>
      </c>
      <c r="P203" s="264"/>
      <c r="Q203" s="264"/>
      <c r="R203" s="264"/>
      <c r="S203" s="264"/>
      <c r="T203" s="264"/>
      <c r="U203" s="264"/>
      <c r="V203" s="264"/>
      <c r="W203" s="264"/>
      <c r="X203" s="264"/>
      <c r="Y203" s="264"/>
      <c r="Z203" s="264"/>
      <c r="AA203" s="264"/>
      <c r="AB203" s="264"/>
      <c r="AC203" s="264"/>
      <c r="AD203" s="264"/>
      <c r="AE203" s="264"/>
    </row>
    <row r="204">
      <c r="A204" s="272" t="s">
        <v>795</v>
      </c>
      <c r="B204" s="272" t="s">
        <v>793</v>
      </c>
      <c r="C204" s="272" t="s">
        <v>794</v>
      </c>
      <c r="D204" s="172">
        <v>45866.0</v>
      </c>
      <c r="E204" s="267" t="str">
        <f t="shared" si="1"/>
        <v>07 jul</v>
      </c>
      <c r="F204" s="274">
        <f t="shared" si="2"/>
        <v>2025</v>
      </c>
      <c r="G204" s="165" t="s">
        <v>624</v>
      </c>
      <c r="H204" s="264"/>
      <c r="I204" s="89">
        <v>4910000.0</v>
      </c>
      <c r="J204" s="276">
        <f>IF(ISBLANK(I204), "", VLOOKUP(E204&amp;" "&amp;F204, 'Info Tipo de Cambio y REM'!$A$24:$B$35, 2, FALSE))
</f>
        <v>1320</v>
      </c>
      <c r="K204" s="294">
        <f t="shared" si="15"/>
        <v>3719.69697</v>
      </c>
      <c r="L204" s="293">
        <f t="shared" si="5"/>
        <v>440125.3453</v>
      </c>
      <c r="M204" s="293">
        <f t="shared" si="3"/>
        <v>-65778.43</v>
      </c>
      <c r="N204" s="293">
        <f t="shared" si="6"/>
        <v>0</v>
      </c>
      <c r="O204" s="277">
        <f t="shared" si="4"/>
        <v>-65029.32854</v>
      </c>
      <c r="P204" s="264"/>
      <c r="Q204" s="264"/>
      <c r="R204" s="264"/>
      <c r="S204" s="264"/>
      <c r="T204" s="264"/>
      <c r="U204" s="264"/>
      <c r="V204" s="264"/>
      <c r="W204" s="264"/>
      <c r="X204" s="264"/>
      <c r="Y204" s="264"/>
      <c r="Z204" s="264"/>
      <c r="AA204" s="264"/>
      <c r="AB204" s="264"/>
      <c r="AC204" s="264"/>
      <c r="AD204" s="264"/>
      <c r="AE204" s="264"/>
    </row>
    <row r="205">
      <c r="A205" s="272" t="s">
        <v>795</v>
      </c>
      <c r="B205" s="272" t="s">
        <v>793</v>
      </c>
      <c r="C205" s="272" t="s">
        <v>794</v>
      </c>
      <c r="D205" s="172">
        <v>45866.0</v>
      </c>
      <c r="E205" s="267" t="str">
        <f t="shared" si="1"/>
        <v>07 jul</v>
      </c>
      <c r="F205" s="274">
        <f t="shared" si="2"/>
        <v>2025</v>
      </c>
      <c r="G205" s="184" t="s">
        <v>625</v>
      </c>
      <c r="H205" s="264"/>
      <c r="I205" s="201">
        <v>111382.0</v>
      </c>
      <c r="J205" s="276">
        <f>IF(ISBLANK(I205), "", VLOOKUP(E205&amp;" "&amp;F205, 'Info Tipo de Cambio y REM'!$A$24:$B$35, 2, FALSE))
</f>
        <v>1320</v>
      </c>
      <c r="K205" s="294">
        <f t="shared" si="15"/>
        <v>84.38030303</v>
      </c>
      <c r="L205" s="293">
        <f t="shared" si="5"/>
        <v>328743.3453</v>
      </c>
      <c r="M205" s="293">
        <f t="shared" si="3"/>
        <v>-65778.43</v>
      </c>
      <c r="N205" s="293">
        <f t="shared" si="6"/>
        <v>0</v>
      </c>
      <c r="O205" s="277">
        <f t="shared" si="4"/>
        <v>-65113.70885</v>
      </c>
      <c r="P205" s="264"/>
      <c r="Q205" s="264"/>
      <c r="R205" s="264"/>
      <c r="S205" s="264"/>
      <c r="T205" s="264"/>
      <c r="U205" s="264"/>
      <c r="V205" s="264"/>
      <c r="W205" s="264"/>
      <c r="X205" s="264"/>
      <c r="Y205" s="264"/>
      <c r="Z205" s="264"/>
      <c r="AA205" s="264"/>
      <c r="AB205" s="264"/>
      <c r="AC205" s="264"/>
      <c r="AD205" s="264"/>
      <c r="AE205" s="264"/>
    </row>
    <row r="206">
      <c r="A206" s="272" t="s">
        <v>795</v>
      </c>
      <c r="B206" s="272" t="s">
        <v>793</v>
      </c>
      <c r="C206" s="272" t="s">
        <v>794</v>
      </c>
      <c r="D206" s="172">
        <v>45866.0</v>
      </c>
      <c r="E206" s="267" t="str">
        <f t="shared" si="1"/>
        <v>07 jul</v>
      </c>
      <c r="F206" s="274">
        <f t="shared" si="2"/>
        <v>2025</v>
      </c>
      <c r="G206" s="202" t="s">
        <v>881</v>
      </c>
      <c r="H206" s="264"/>
      <c r="I206" s="212">
        <v>674500.0</v>
      </c>
      <c r="J206" s="276">
        <f>IF(ISBLANK(I206), "", VLOOKUP(E206&amp;" "&amp;F206, 'Info Tipo de Cambio y REM'!$A$24:$B$35, 2, FALSE))
</f>
        <v>1320</v>
      </c>
      <c r="K206" s="294">
        <f t="shared" si="15"/>
        <v>510.9848485</v>
      </c>
      <c r="L206" s="293">
        <f t="shared" si="5"/>
        <v>-345756.6547</v>
      </c>
      <c r="M206" s="293">
        <f t="shared" si="3"/>
        <v>-65778.43</v>
      </c>
      <c r="N206" s="293">
        <f t="shared" si="6"/>
        <v>0</v>
      </c>
      <c r="O206" s="277">
        <f t="shared" si="4"/>
        <v>-65624.69369</v>
      </c>
      <c r="P206" s="264"/>
      <c r="Q206" s="264"/>
      <c r="R206" s="264"/>
      <c r="S206" s="264"/>
      <c r="T206" s="264"/>
      <c r="U206" s="264"/>
      <c r="V206" s="264"/>
      <c r="W206" s="264"/>
      <c r="X206" s="264"/>
      <c r="Y206" s="264"/>
      <c r="Z206" s="264"/>
      <c r="AA206" s="264"/>
      <c r="AB206" s="264"/>
      <c r="AC206" s="264"/>
      <c r="AD206" s="264"/>
      <c r="AE206" s="264"/>
    </row>
    <row r="207">
      <c r="A207" s="272" t="s">
        <v>795</v>
      </c>
      <c r="B207" s="272" t="s">
        <v>793</v>
      </c>
      <c r="C207" s="272" t="s">
        <v>794</v>
      </c>
      <c r="D207" s="172">
        <v>45866.0</v>
      </c>
      <c r="E207" s="267" t="str">
        <f t="shared" si="1"/>
        <v>07 jul</v>
      </c>
      <c r="F207" s="274">
        <f t="shared" si="2"/>
        <v>2025</v>
      </c>
      <c r="G207" s="217" t="s">
        <v>663</v>
      </c>
      <c r="H207" s="264"/>
      <c r="I207" s="218">
        <v>72726.0</v>
      </c>
      <c r="J207" s="276">
        <f>IF(ISBLANK(I207), "", VLOOKUP(E207&amp;" "&amp;F207, 'Info Tipo de Cambio y REM'!$A$24:$B$35, 2, FALSE))
</f>
        <v>1320</v>
      </c>
      <c r="K207" s="294">
        <f t="shared" si="15"/>
        <v>55.09545455</v>
      </c>
      <c r="L207" s="293">
        <f t="shared" si="5"/>
        <v>-418482.6547</v>
      </c>
      <c r="M207" s="293">
        <f t="shared" si="3"/>
        <v>-65778.43</v>
      </c>
      <c r="N207" s="293">
        <f t="shared" si="6"/>
        <v>0</v>
      </c>
      <c r="O207" s="277">
        <f t="shared" si="4"/>
        <v>-65679.78915</v>
      </c>
      <c r="P207" s="264"/>
      <c r="Q207" s="264"/>
      <c r="R207" s="264"/>
      <c r="S207" s="264"/>
      <c r="T207" s="264"/>
      <c r="U207" s="264"/>
      <c r="V207" s="264"/>
      <c r="W207" s="264"/>
      <c r="X207" s="264"/>
      <c r="Y207" s="264"/>
      <c r="Z207" s="264"/>
      <c r="AA207" s="264"/>
      <c r="AB207" s="264"/>
      <c r="AC207" s="264"/>
      <c r="AD207" s="264"/>
      <c r="AE207" s="264"/>
    </row>
    <row r="208">
      <c r="A208" s="272" t="s">
        <v>795</v>
      </c>
      <c r="B208" s="272" t="s">
        <v>793</v>
      </c>
      <c r="C208" s="272" t="s">
        <v>794</v>
      </c>
      <c r="D208" s="172">
        <v>45866.0</v>
      </c>
      <c r="E208" s="267" t="str">
        <f t="shared" si="1"/>
        <v>07 jul</v>
      </c>
      <c r="F208" s="274">
        <f t="shared" si="2"/>
        <v>2025</v>
      </c>
      <c r="G208" s="165" t="s">
        <v>664</v>
      </c>
      <c r="H208" s="264"/>
      <c r="I208" s="89">
        <v>161500.0</v>
      </c>
      <c r="J208" s="276">
        <f>IF(ISBLANK(I208), "", VLOOKUP(E208&amp;" "&amp;F208, 'Info Tipo de Cambio y REM'!$A$24:$B$35, 2, FALSE))
</f>
        <v>1320</v>
      </c>
      <c r="K208" s="294">
        <f t="shared" si="15"/>
        <v>122.3484848</v>
      </c>
      <c r="L208" s="293">
        <f t="shared" si="5"/>
        <v>-579982.6547</v>
      </c>
      <c r="M208" s="293">
        <f t="shared" si="3"/>
        <v>-65778.43</v>
      </c>
      <c r="N208" s="293">
        <f t="shared" si="6"/>
        <v>0</v>
      </c>
      <c r="O208" s="277">
        <f t="shared" si="4"/>
        <v>-65802.13763</v>
      </c>
      <c r="P208" s="264"/>
      <c r="Q208" s="264"/>
      <c r="R208" s="264"/>
      <c r="S208" s="264"/>
      <c r="T208" s="264"/>
      <c r="U208" s="264"/>
      <c r="V208" s="264"/>
      <c r="W208" s="264"/>
      <c r="X208" s="264"/>
      <c r="Y208" s="264"/>
      <c r="Z208" s="264"/>
      <c r="AA208" s="264"/>
      <c r="AB208" s="264"/>
      <c r="AC208" s="264"/>
      <c r="AD208" s="264"/>
      <c r="AE208" s="264"/>
    </row>
    <row r="209">
      <c r="A209" s="272" t="s">
        <v>795</v>
      </c>
      <c r="B209" s="272" t="s">
        <v>144</v>
      </c>
      <c r="C209" s="272" t="s">
        <v>791</v>
      </c>
      <c r="D209" s="172">
        <v>45852.0</v>
      </c>
      <c r="E209" s="267" t="str">
        <f t="shared" si="1"/>
        <v>07 jul</v>
      </c>
      <c r="F209" s="274">
        <f t="shared" si="2"/>
        <v>2025</v>
      </c>
      <c r="G209" s="83" t="s">
        <v>868</v>
      </c>
      <c r="H209" s="83" t="s">
        <v>665</v>
      </c>
      <c r="I209" s="277"/>
      <c r="J209" s="276" t="str">
        <f>IF(ISBLANK(I209), "", VLOOKUP(E209&amp;" "&amp;F209, 'Info Tipo de Cambio y REM'!$A$24:$B$35, 2, FALSE))
</f>
        <v/>
      </c>
      <c r="K209" s="123">
        <v>20.0</v>
      </c>
      <c r="L209" s="293">
        <f t="shared" si="5"/>
        <v>-579982.6547</v>
      </c>
      <c r="M209" s="293">
        <f t="shared" si="3"/>
        <v>-65798.43</v>
      </c>
      <c r="N209" s="293">
        <f t="shared" si="6"/>
        <v>0</v>
      </c>
      <c r="O209" s="277">
        <f t="shared" si="4"/>
        <v>-65822.13763</v>
      </c>
      <c r="P209" s="264"/>
      <c r="Q209" s="264"/>
      <c r="R209" s="264"/>
      <c r="S209" s="264"/>
      <c r="T209" s="264"/>
      <c r="U209" s="264"/>
      <c r="V209" s="264"/>
      <c r="W209" s="264"/>
      <c r="X209" s="264"/>
      <c r="Y209" s="264"/>
      <c r="Z209" s="264"/>
      <c r="AA209" s="264"/>
      <c r="AB209" s="264"/>
      <c r="AC209" s="264"/>
      <c r="AD209" s="264"/>
      <c r="AE209" s="264"/>
    </row>
    <row r="210">
      <c r="A210" s="272" t="s">
        <v>795</v>
      </c>
      <c r="B210" s="272" t="s">
        <v>144</v>
      </c>
      <c r="C210" s="272" t="s">
        <v>791</v>
      </c>
      <c r="D210" s="172">
        <v>45856.0</v>
      </c>
      <c r="E210" s="267" t="str">
        <f t="shared" si="1"/>
        <v>07 jul</v>
      </c>
      <c r="F210" s="274">
        <f t="shared" si="2"/>
        <v>2025</v>
      </c>
      <c r="G210" s="83" t="s">
        <v>868</v>
      </c>
      <c r="H210" s="83" t="s">
        <v>666</v>
      </c>
      <c r="I210" s="277"/>
      <c r="J210" s="276" t="str">
        <f>IF(ISBLANK(I210), "", VLOOKUP(E210&amp;" "&amp;F210, 'Info Tipo de Cambio y REM'!$A$24:$B$35, 2, FALSE))
</f>
        <v/>
      </c>
      <c r="K210" s="123">
        <v>5.0</v>
      </c>
      <c r="L210" s="293">
        <f t="shared" si="5"/>
        <v>-579982.6547</v>
      </c>
      <c r="M210" s="293">
        <f t="shared" si="3"/>
        <v>-65803.43</v>
      </c>
      <c r="N210" s="293">
        <f t="shared" si="6"/>
        <v>0</v>
      </c>
      <c r="O210" s="277">
        <f t="shared" si="4"/>
        <v>-65827.13763</v>
      </c>
      <c r="P210" s="264"/>
      <c r="Q210" s="264"/>
      <c r="R210" s="264"/>
      <c r="S210" s="264"/>
      <c r="T210" s="264"/>
      <c r="U210" s="264"/>
      <c r="V210" s="264"/>
      <c r="W210" s="264"/>
      <c r="X210" s="264"/>
      <c r="Y210" s="264"/>
      <c r="Z210" s="264"/>
      <c r="AA210" s="264"/>
      <c r="AB210" s="264"/>
      <c r="AC210" s="264"/>
      <c r="AD210" s="264"/>
      <c r="AE210" s="264"/>
    </row>
    <row r="211">
      <c r="A211" s="272" t="s">
        <v>795</v>
      </c>
      <c r="B211" s="272" t="s">
        <v>144</v>
      </c>
      <c r="C211" s="272" t="s">
        <v>791</v>
      </c>
      <c r="D211" s="172">
        <v>45859.0</v>
      </c>
      <c r="E211" s="267" t="str">
        <f t="shared" si="1"/>
        <v>07 jul</v>
      </c>
      <c r="F211" s="274">
        <f t="shared" si="2"/>
        <v>2025</v>
      </c>
      <c r="G211" s="83" t="s">
        <v>868</v>
      </c>
      <c r="H211" s="83" t="s">
        <v>667</v>
      </c>
      <c r="I211" s="277"/>
      <c r="J211" s="276" t="str">
        <f>IF(ISBLANK(I211), "", VLOOKUP(E211&amp;" "&amp;F211, 'Info Tipo de Cambio y REM'!$A$24:$B$35, 2, FALSE))
</f>
        <v/>
      </c>
      <c r="K211" s="123">
        <v>22.52</v>
      </c>
      <c r="L211" s="293">
        <f t="shared" si="5"/>
        <v>-579982.6547</v>
      </c>
      <c r="M211" s="293">
        <f t="shared" si="3"/>
        <v>-65825.95</v>
      </c>
      <c r="N211" s="293">
        <f t="shared" si="6"/>
        <v>0</v>
      </c>
      <c r="O211" s="277">
        <f t="shared" si="4"/>
        <v>-65849.65763</v>
      </c>
      <c r="P211" s="264"/>
      <c r="Q211" s="264"/>
      <c r="R211" s="264"/>
      <c r="S211" s="264"/>
      <c r="T211" s="264"/>
      <c r="U211" s="264"/>
      <c r="V211" s="264"/>
      <c r="W211" s="264"/>
      <c r="X211" s="264"/>
      <c r="Y211" s="264"/>
      <c r="Z211" s="264"/>
      <c r="AA211" s="264"/>
      <c r="AB211" s="264"/>
      <c r="AC211" s="264"/>
      <c r="AD211" s="264"/>
      <c r="AE211" s="264"/>
    </row>
    <row r="212">
      <c r="A212" s="272" t="s">
        <v>795</v>
      </c>
      <c r="B212" s="272" t="s">
        <v>144</v>
      </c>
      <c r="C212" s="272" t="s">
        <v>791</v>
      </c>
      <c r="D212" s="172">
        <v>45860.0</v>
      </c>
      <c r="E212" s="267" t="str">
        <f t="shared" si="1"/>
        <v>07 jul</v>
      </c>
      <c r="F212" s="274">
        <f t="shared" si="2"/>
        <v>2025</v>
      </c>
      <c r="G212" s="83" t="s">
        <v>868</v>
      </c>
      <c r="H212" s="83" t="s">
        <v>668</v>
      </c>
      <c r="I212" s="277"/>
      <c r="J212" s="276" t="str">
        <f>IF(ISBLANK(I212), "", VLOOKUP(E212&amp;" "&amp;F212, 'Info Tipo de Cambio y REM'!$A$24:$B$35, 2, FALSE))
</f>
        <v/>
      </c>
      <c r="K212" s="123">
        <v>45.0</v>
      </c>
      <c r="L212" s="293">
        <f t="shared" si="5"/>
        <v>-579982.6547</v>
      </c>
      <c r="M212" s="293">
        <f t="shared" si="3"/>
        <v>-65870.95</v>
      </c>
      <c r="N212" s="293">
        <f t="shared" si="6"/>
        <v>0</v>
      </c>
      <c r="O212" s="277">
        <f t="shared" si="4"/>
        <v>-65894.65763</v>
      </c>
      <c r="P212" s="264"/>
      <c r="Q212" s="264"/>
      <c r="R212" s="264"/>
      <c r="S212" s="264"/>
      <c r="T212" s="264"/>
      <c r="U212" s="264"/>
      <c r="V212" s="264"/>
      <c r="W212" s="264"/>
      <c r="X212" s="264"/>
      <c r="Y212" s="264"/>
      <c r="Z212" s="264"/>
      <c r="AA212" s="264"/>
      <c r="AB212" s="264"/>
      <c r="AC212" s="264"/>
      <c r="AD212" s="264"/>
      <c r="AE212" s="264"/>
    </row>
    <row r="213">
      <c r="A213" s="272" t="s">
        <v>795</v>
      </c>
      <c r="B213" s="272" t="s">
        <v>144</v>
      </c>
      <c r="C213" s="272" t="s">
        <v>791</v>
      </c>
      <c r="D213" s="172">
        <v>45861.0</v>
      </c>
      <c r="E213" s="267" t="str">
        <f t="shared" si="1"/>
        <v>07 jul</v>
      </c>
      <c r="F213" s="274">
        <f t="shared" si="2"/>
        <v>2025</v>
      </c>
      <c r="G213" s="83" t="s">
        <v>868</v>
      </c>
      <c r="H213" s="83" t="s">
        <v>669</v>
      </c>
      <c r="I213" s="277"/>
      <c r="J213" s="276" t="str">
        <f>IF(ISBLANK(I213), "", VLOOKUP(E213&amp;" "&amp;F213, 'Info Tipo de Cambio y REM'!$A$24:$B$35, 2, FALSE))
</f>
        <v/>
      </c>
      <c r="K213" s="123">
        <v>29.99</v>
      </c>
      <c r="L213" s="293">
        <f t="shared" si="5"/>
        <v>-579982.6547</v>
      </c>
      <c r="M213" s="293">
        <f t="shared" si="3"/>
        <v>-65900.94</v>
      </c>
      <c r="N213" s="293">
        <f t="shared" si="6"/>
        <v>0</v>
      </c>
      <c r="O213" s="277">
        <f t="shared" si="4"/>
        <v>-65924.64763</v>
      </c>
      <c r="P213" s="264"/>
      <c r="Q213" s="264"/>
      <c r="R213" s="264"/>
      <c r="S213" s="264"/>
      <c r="T213" s="264"/>
      <c r="U213" s="264"/>
      <c r="V213" s="264"/>
      <c r="W213" s="264"/>
      <c r="X213" s="264"/>
      <c r="Y213" s="264"/>
      <c r="Z213" s="264"/>
      <c r="AA213" s="264"/>
      <c r="AB213" s="264"/>
      <c r="AC213" s="264"/>
      <c r="AD213" s="264"/>
      <c r="AE213" s="264"/>
    </row>
    <row r="214">
      <c r="A214" s="272" t="s">
        <v>795</v>
      </c>
      <c r="B214" s="272" t="s">
        <v>144</v>
      </c>
      <c r="C214" s="272" t="s">
        <v>791</v>
      </c>
      <c r="D214" s="172">
        <v>45863.0</v>
      </c>
      <c r="E214" s="267" t="str">
        <f t="shared" si="1"/>
        <v>07 jul</v>
      </c>
      <c r="F214" s="274">
        <f t="shared" si="2"/>
        <v>2025</v>
      </c>
      <c r="G214" s="83" t="s">
        <v>868</v>
      </c>
      <c r="H214" s="83" t="s">
        <v>670</v>
      </c>
      <c r="I214" s="277"/>
      <c r="J214" s="276" t="str">
        <f>IF(ISBLANK(I214), "", VLOOKUP(E214&amp;" "&amp;F214, 'Info Tipo de Cambio y REM'!$A$24:$B$35, 2, FALSE))
</f>
        <v/>
      </c>
      <c r="K214" s="123">
        <v>502.07</v>
      </c>
      <c r="L214" s="293">
        <f t="shared" si="5"/>
        <v>-579982.6547</v>
      </c>
      <c r="M214" s="293">
        <f t="shared" si="3"/>
        <v>-66403.01</v>
      </c>
      <c r="N214" s="293">
        <f t="shared" si="6"/>
        <v>0</v>
      </c>
      <c r="O214" s="277">
        <f t="shared" si="4"/>
        <v>-66426.71763</v>
      </c>
      <c r="P214" s="264"/>
      <c r="Q214" s="264"/>
      <c r="R214" s="264"/>
      <c r="S214" s="264"/>
      <c r="T214" s="264"/>
      <c r="U214" s="264"/>
      <c r="V214" s="264"/>
      <c r="W214" s="264"/>
      <c r="X214" s="264"/>
      <c r="Y214" s="264"/>
      <c r="Z214" s="264"/>
      <c r="AA214" s="264"/>
      <c r="AB214" s="264"/>
      <c r="AC214" s="264"/>
      <c r="AD214" s="264"/>
      <c r="AE214" s="264"/>
    </row>
    <row r="215">
      <c r="A215" s="272" t="s">
        <v>795</v>
      </c>
      <c r="B215" s="272" t="s">
        <v>144</v>
      </c>
      <c r="C215" s="272" t="s">
        <v>791</v>
      </c>
      <c r="D215" s="172">
        <v>45867.0</v>
      </c>
      <c r="E215" s="267" t="str">
        <f t="shared" si="1"/>
        <v>07 jul</v>
      </c>
      <c r="F215" s="274">
        <f t="shared" si="2"/>
        <v>2025</v>
      </c>
      <c r="G215" s="42" t="s">
        <v>418</v>
      </c>
      <c r="H215" s="272" t="s">
        <v>618</v>
      </c>
      <c r="I215" s="277"/>
      <c r="J215" s="276" t="str">
        <f>IF(ISBLANK(I215), "", VLOOKUP(E215&amp;" "&amp;F215, 'Info Tipo de Cambio y REM'!$A$24:$B$35, 2, FALSE))
</f>
        <v/>
      </c>
      <c r="K215" s="294">
        <v>600.0</v>
      </c>
      <c r="L215" s="293">
        <f t="shared" si="5"/>
        <v>-579982.6547</v>
      </c>
      <c r="M215" s="293">
        <f t="shared" si="3"/>
        <v>-67003.01</v>
      </c>
      <c r="N215" s="293">
        <f t="shared" si="6"/>
        <v>0</v>
      </c>
      <c r="O215" s="277">
        <f t="shared" si="4"/>
        <v>-67026.71763</v>
      </c>
      <c r="P215" s="264"/>
      <c r="Q215" s="264"/>
      <c r="R215" s="264"/>
      <c r="S215" s="264"/>
      <c r="T215" s="264"/>
      <c r="U215" s="264"/>
      <c r="V215" s="264"/>
      <c r="W215" s="264"/>
      <c r="X215" s="264"/>
      <c r="Y215" s="264"/>
      <c r="Z215" s="264"/>
      <c r="AA215" s="264"/>
      <c r="AB215" s="264"/>
      <c r="AC215" s="264"/>
      <c r="AD215" s="264"/>
      <c r="AE215" s="264"/>
    </row>
    <row r="216">
      <c r="A216" s="272" t="s">
        <v>795</v>
      </c>
      <c r="B216" s="272" t="s">
        <v>144</v>
      </c>
      <c r="C216" s="272" t="s">
        <v>791</v>
      </c>
      <c r="D216" s="172">
        <v>45866.0</v>
      </c>
      <c r="E216" s="267" t="str">
        <f t="shared" si="1"/>
        <v>07 jul</v>
      </c>
      <c r="F216" s="274">
        <f t="shared" si="2"/>
        <v>2025</v>
      </c>
      <c r="G216" s="83" t="s">
        <v>868</v>
      </c>
      <c r="H216" s="83" t="s">
        <v>692</v>
      </c>
      <c r="I216" s="277"/>
      <c r="J216" s="276" t="str">
        <f>IF(ISBLANK(I216), "", VLOOKUP(E216&amp;" "&amp;F216, 'Info Tipo de Cambio y REM'!$A$24:$B$35, 2, FALSE))
</f>
        <v/>
      </c>
      <c r="K216" s="231">
        <v>609.8</v>
      </c>
      <c r="L216" s="293">
        <f t="shared" si="5"/>
        <v>-579982.6547</v>
      </c>
      <c r="M216" s="293">
        <f t="shared" si="3"/>
        <v>-67612.81</v>
      </c>
      <c r="N216" s="293">
        <f t="shared" si="6"/>
        <v>0</v>
      </c>
      <c r="O216" s="277">
        <f t="shared" si="4"/>
        <v>-67636.51763</v>
      </c>
      <c r="P216" s="264"/>
      <c r="Q216" s="264"/>
      <c r="R216" s="264"/>
      <c r="S216" s="264"/>
      <c r="T216" s="264"/>
      <c r="U216" s="264"/>
      <c r="V216" s="264"/>
      <c r="W216" s="264"/>
      <c r="X216" s="264"/>
      <c r="Y216" s="264"/>
      <c r="Z216" s="264"/>
      <c r="AA216" s="264"/>
      <c r="AB216" s="264"/>
      <c r="AC216" s="264"/>
      <c r="AD216" s="264"/>
      <c r="AE216" s="264"/>
    </row>
    <row r="217">
      <c r="A217" s="272" t="s">
        <v>795</v>
      </c>
      <c r="B217" s="272" t="s">
        <v>144</v>
      </c>
      <c r="C217" s="272" t="s">
        <v>791</v>
      </c>
      <c r="D217" s="172">
        <v>45866.0</v>
      </c>
      <c r="E217" s="267" t="str">
        <f t="shared" si="1"/>
        <v>07 jul</v>
      </c>
      <c r="F217" s="274">
        <f t="shared" si="2"/>
        <v>2025</v>
      </c>
      <c r="G217" s="83" t="s">
        <v>868</v>
      </c>
      <c r="H217" s="83" t="s">
        <v>693</v>
      </c>
      <c r="I217" s="277"/>
      <c r="J217" s="276" t="str">
        <f>IF(ISBLANK(I217), "", VLOOKUP(E217&amp;" "&amp;F217, 'Info Tipo de Cambio y REM'!$A$24:$B$35, 2, FALSE))
</f>
        <v/>
      </c>
      <c r="K217" s="231">
        <v>49.0</v>
      </c>
      <c r="L217" s="293">
        <f t="shared" si="5"/>
        <v>-579982.6547</v>
      </c>
      <c r="M217" s="293">
        <f t="shared" si="3"/>
        <v>-67661.81</v>
      </c>
      <c r="N217" s="293">
        <f t="shared" si="6"/>
        <v>0</v>
      </c>
      <c r="O217" s="277">
        <f t="shared" si="4"/>
        <v>-67685.51763</v>
      </c>
      <c r="P217" s="264"/>
      <c r="Q217" s="264"/>
      <c r="R217" s="264"/>
      <c r="S217" s="264"/>
      <c r="T217" s="264"/>
      <c r="U217" s="264"/>
      <c r="V217" s="264"/>
      <c r="W217" s="264"/>
      <c r="X217" s="264"/>
      <c r="Y217" s="264"/>
      <c r="Z217" s="264"/>
      <c r="AA217" s="264"/>
      <c r="AB217" s="264"/>
      <c r="AC217" s="264"/>
      <c r="AD217" s="264"/>
      <c r="AE217" s="264"/>
    </row>
    <row r="218">
      <c r="A218" s="272" t="s">
        <v>795</v>
      </c>
      <c r="B218" s="272" t="s">
        <v>144</v>
      </c>
      <c r="C218" s="272" t="s">
        <v>791</v>
      </c>
      <c r="D218" s="172">
        <v>45867.0</v>
      </c>
      <c r="E218" s="267" t="str">
        <f t="shared" si="1"/>
        <v>07 jul</v>
      </c>
      <c r="F218" s="274">
        <f t="shared" si="2"/>
        <v>2025</v>
      </c>
      <c r="G218" s="83" t="s">
        <v>868</v>
      </c>
      <c r="H218" s="83" t="s">
        <v>694</v>
      </c>
      <c r="I218" s="277"/>
      <c r="J218" s="276" t="str">
        <f>IF(ISBLANK(I218), "", VLOOKUP(E218&amp;" "&amp;F218, 'Info Tipo de Cambio y REM'!$A$24:$B$35, 2, FALSE))
</f>
        <v/>
      </c>
      <c r="K218" s="231">
        <v>139.95</v>
      </c>
      <c r="L218" s="293">
        <f t="shared" si="5"/>
        <v>-579982.6547</v>
      </c>
      <c r="M218" s="293">
        <f t="shared" si="3"/>
        <v>-67801.76</v>
      </c>
      <c r="N218" s="293">
        <f t="shared" si="6"/>
        <v>0</v>
      </c>
      <c r="O218" s="277">
        <f t="shared" si="4"/>
        <v>-67825.46763</v>
      </c>
      <c r="P218" s="264"/>
      <c r="Q218" s="264"/>
      <c r="R218" s="264"/>
      <c r="S218" s="264"/>
      <c r="T218" s="264"/>
      <c r="U218" s="264"/>
      <c r="V218" s="264"/>
      <c r="W218" s="264"/>
      <c r="X218" s="264"/>
      <c r="Y218" s="264"/>
      <c r="Z218" s="264"/>
      <c r="AA218" s="264"/>
      <c r="AB218" s="264"/>
      <c r="AC218" s="264"/>
      <c r="AD218" s="264"/>
      <c r="AE218" s="264"/>
    </row>
    <row r="219">
      <c r="A219" s="272" t="s">
        <v>795</v>
      </c>
      <c r="B219" s="272" t="s">
        <v>144</v>
      </c>
      <c r="C219" s="272" t="s">
        <v>791</v>
      </c>
      <c r="D219" s="172">
        <v>45867.0</v>
      </c>
      <c r="E219" s="267" t="str">
        <f t="shared" si="1"/>
        <v>07 jul</v>
      </c>
      <c r="F219" s="274">
        <f t="shared" si="2"/>
        <v>2025</v>
      </c>
      <c r="G219" s="83" t="s">
        <v>868</v>
      </c>
      <c r="H219" s="83" t="s">
        <v>695</v>
      </c>
      <c r="I219" s="277"/>
      <c r="J219" s="276" t="str">
        <f>IF(ISBLANK(I219), "", VLOOKUP(E219&amp;" "&amp;F219, 'Info Tipo de Cambio y REM'!$A$24:$B$35, 2, FALSE))
</f>
        <v/>
      </c>
      <c r="K219" s="231">
        <v>500.54</v>
      </c>
      <c r="L219" s="300">
        <f t="shared" si="5"/>
        <v>-579982.6547</v>
      </c>
      <c r="M219" s="300">
        <f t="shared" si="3"/>
        <v>-68302.3</v>
      </c>
      <c r="N219" s="293">
        <f t="shared" si="6"/>
        <v>0</v>
      </c>
      <c r="O219" s="277">
        <f t="shared" si="4"/>
        <v>-68326.00763</v>
      </c>
      <c r="P219" s="264"/>
      <c r="Q219" s="264"/>
      <c r="R219" s="264"/>
      <c r="S219" s="264"/>
      <c r="T219" s="264"/>
      <c r="U219" s="264"/>
      <c r="V219" s="264"/>
      <c r="W219" s="264"/>
      <c r="X219" s="264"/>
      <c r="Y219" s="264"/>
      <c r="Z219" s="264"/>
      <c r="AA219" s="264"/>
      <c r="AB219" s="264"/>
      <c r="AC219" s="264"/>
      <c r="AD219" s="264"/>
      <c r="AE219" s="264"/>
    </row>
    <row r="220">
      <c r="A220" s="272" t="s">
        <v>795</v>
      </c>
      <c r="B220" s="272" t="s">
        <v>144</v>
      </c>
      <c r="C220" s="272" t="s">
        <v>791</v>
      </c>
      <c r="D220" s="279">
        <v>45870.0</v>
      </c>
      <c r="E220" s="267" t="str">
        <f t="shared" si="1"/>
        <v>08 ago</v>
      </c>
      <c r="F220" s="274">
        <f t="shared" si="2"/>
        <v>2025</v>
      </c>
      <c r="G220" s="43" t="s">
        <v>676</v>
      </c>
      <c r="H220" s="125" t="s">
        <v>566</v>
      </c>
      <c r="I220" s="125"/>
      <c r="J220" s="276" t="str">
        <f>IF(ISBLANK(I220), "", VLOOKUP(E220&amp;" "&amp;F220, 'Info Tipo de Cambio y REM'!$A$24:$B$35, 2, FALSE))
</f>
        <v/>
      </c>
      <c r="K220" s="89">
        <v>1141.0</v>
      </c>
      <c r="L220" s="277">
        <f t="shared" si="5"/>
        <v>-579982.6547</v>
      </c>
      <c r="M220" s="277">
        <f t="shared" si="3"/>
        <v>-69443.3</v>
      </c>
      <c r="N220" s="277">
        <f t="shared" si="6"/>
        <v>0</v>
      </c>
      <c r="O220" s="277">
        <f t="shared" si="4"/>
        <v>-69467.00763</v>
      </c>
      <c r="P220" s="264"/>
      <c r="Q220" s="264"/>
      <c r="R220" s="264"/>
      <c r="S220" s="264"/>
      <c r="T220" s="264"/>
      <c r="U220" s="264"/>
      <c r="V220" s="264"/>
      <c r="W220" s="264"/>
      <c r="X220" s="264"/>
      <c r="Y220" s="264"/>
      <c r="Z220" s="264"/>
      <c r="AA220" s="264"/>
      <c r="AB220" s="264"/>
      <c r="AC220" s="264"/>
      <c r="AD220" s="264"/>
      <c r="AE220" s="264"/>
    </row>
    <row r="221">
      <c r="A221" s="272" t="s">
        <v>795</v>
      </c>
      <c r="B221" s="272" t="s">
        <v>144</v>
      </c>
      <c r="C221" s="272" t="s">
        <v>791</v>
      </c>
      <c r="D221" s="279">
        <v>45871.0</v>
      </c>
      <c r="E221" s="267" t="str">
        <f t="shared" si="1"/>
        <v>08 ago</v>
      </c>
      <c r="F221" s="274">
        <f t="shared" si="2"/>
        <v>2025</v>
      </c>
      <c r="G221" s="43" t="s">
        <v>677</v>
      </c>
      <c r="H221" s="125" t="s">
        <v>389</v>
      </c>
      <c r="I221" s="125"/>
      <c r="J221" s="276" t="str">
        <f>IF(ISBLANK(I221), "", VLOOKUP(E221&amp;" "&amp;F221, 'Info Tipo de Cambio y REM'!$A$24:$B$35, 2, FALSE))
</f>
        <v/>
      </c>
      <c r="K221" s="89">
        <v>614.0</v>
      </c>
      <c r="L221" s="277">
        <f t="shared" si="5"/>
        <v>-579982.6547</v>
      </c>
      <c r="M221" s="277">
        <f t="shared" si="3"/>
        <v>-70057.3</v>
      </c>
      <c r="N221" s="277">
        <f t="shared" si="6"/>
        <v>0</v>
      </c>
      <c r="O221" s="277">
        <f t="shared" si="4"/>
        <v>-70081.00763</v>
      </c>
      <c r="P221" s="264"/>
      <c r="Q221" s="264"/>
      <c r="R221" s="264"/>
      <c r="S221" s="264"/>
      <c r="T221" s="264"/>
      <c r="U221" s="264"/>
      <c r="V221" s="264"/>
      <c r="W221" s="264"/>
      <c r="X221" s="264"/>
      <c r="Y221" s="264"/>
      <c r="Z221" s="264"/>
      <c r="AA221" s="264"/>
      <c r="AB221" s="264"/>
      <c r="AC221" s="264"/>
      <c r="AD221" s="264"/>
      <c r="AE221" s="264"/>
    </row>
    <row r="222">
      <c r="A222" s="272" t="s">
        <v>795</v>
      </c>
      <c r="B222" s="272" t="s">
        <v>144</v>
      </c>
      <c r="C222" s="272" t="s">
        <v>791</v>
      </c>
      <c r="D222" s="279">
        <v>45872.0</v>
      </c>
      <c r="E222" s="267" t="str">
        <f t="shared" si="1"/>
        <v>08 ago</v>
      </c>
      <c r="F222" s="274">
        <f t="shared" si="2"/>
        <v>2025</v>
      </c>
      <c r="G222" s="43" t="s">
        <v>678</v>
      </c>
      <c r="H222" s="125" t="s">
        <v>387</v>
      </c>
      <c r="I222" s="125"/>
      <c r="J222" s="276" t="str">
        <f>IF(ISBLANK(I222), "", VLOOKUP(E222&amp;" "&amp;F222, 'Info Tipo de Cambio y REM'!$A$24:$B$35, 2, FALSE))
</f>
        <v/>
      </c>
      <c r="K222" s="89">
        <v>2722.0</v>
      </c>
      <c r="L222" s="277">
        <f t="shared" si="5"/>
        <v>-579982.6547</v>
      </c>
      <c r="M222" s="277">
        <f t="shared" si="3"/>
        <v>-72779.3</v>
      </c>
      <c r="N222" s="277">
        <f t="shared" si="6"/>
        <v>0</v>
      </c>
      <c r="O222" s="277">
        <f t="shared" si="4"/>
        <v>-72803.00763</v>
      </c>
      <c r="P222" s="264"/>
      <c r="Q222" s="264"/>
      <c r="R222" s="264"/>
      <c r="S222" s="264"/>
      <c r="T222" s="264"/>
      <c r="U222" s="264"/>
      <c r="V222" s="264"/>
      <c r="W222" s="264"/>
      <c r="X222" s="264"/>
      <c r="Y222" s="264"/>
      <c r="Z222" s="264"/>
      <c r="AA222" s="264"/>
      <c r="AB222" s="264"/>
      <c r="AC222" s="264"/>
      <c r="AD222" s="264"/>
      <c r="AE222" s="264"/>
    </row>
    <row r="223">
      <c r="A223" s="272" t="s">
        <v>795</v>
      </c>
      <c r="B223" s="272" t="s">
        <v>144</v>
      </c>
      <c r="C223" s="272" t="s">
        <v>791</v>
      </c>
      <c r="D223" s="279">
        <v>45873.0</v>
      </c>
      <c r="E223" s="267" t="str">
        <f t="shared" si="1"/>
        <v>08 ago</v>
      </c>
      <c r="F223" s="274">
        <f t="shared" si="2"/>
        <v>2025</v>
      </c>
      <c r="G223" s="43" t="s">
        <v>676</v>
      </c>
      <c r="H223" s="125" t="s">
        <v>379</v>
      </c>
      <c r="I223" s="125"/>
      <c r="J223" s="276" t="str">
        <f>IF(ISBLANK(I223), "", VLOOKUP(E223&amp;" "&amp;F223, 'Info Tipo de Cambio y REM'!$A$24:$B$35, 2, FALSE))
</f>
        <v/>
      </c>
      <c r="K223" s="89">
        <v>1366.0</v>
      </c>
      <c r="L223" s="277">
        <f t="shared" si="5"/>
        <v>-579982.6547</v>
      </c>
      <c r="M223" s="277">
        <f t="shared" si="3"/>
        <v>-74145.3</v>
      </c>
      <c r="N223" s="277">
        <f t="shared" si="6"/>
        <v>0</v>
      </c>
      <c r="O223" s="277">
        <f t="shared" si="4"/>
        <v>-74169.00763</v>
      </c>
      <c r="P223" s="264"/>
      <c r="Q223" s="264"/>
      <c r="R223" s="264"/>
      <c r="S223" s="264"/>
      <c r="T223" s="264"/>
      <c r="U223" s="264"/>
      <c r="V223" s="264"/>
      <c r="W223" s="264"/>
      <c r="X223" s="264"/>
      <c r="Y223" s="264"/>
      <c r="Z223" s="264"/>
      <c r="AA223" s="264"/>
      <c r="AB223" s="264"/>
      <c r="AC223" s="264"/>
      <c r="AD223" s="264"/>
      <c r="AE223" s="264"/>
    </row>
    <row r="224">
      <c r="A224" s="272" t="s">
        <v>795</v>
      </c>
      <c r="B224" s="272" t="s">
        <v>144</v>
      </c>
      <c r="C224" s="272" t="s">
        <v>791</v>
      </c>
      <c r="D224" s="279">
        <v>45874.0</v>
      </c>
      <c r="E224" s="267" t="str">
        <f t="shared" si="1"/>
        <v>08 ago</v>
      </c>
      <c r="F224" s="274">
        <f t="shared" si="2"/>
        <v>2025</v>
      </c>
      <c r="G224" s="43" t="s">
        <v>676</v>
      </c>
      <c r="H224" s="125" t="s">
        <v>403</v>
      </c>
      <c r="I224" s="125"/>
      <c r="J224" s="276" t="str">
        <f>IF(ISBLANK(I224), "", VLOOKUP(E224&amp;" "&amp;F224, 'Info Tipo de Cambio y REM'!$A$24:$B$35, 2, FALSE))
</f>
        <v/>
      </c>
      <c r="K224" s="89">
        <v>1412.0</v>
      </c>
      <c r="L224" s="277">
        <f t="shared" si="5"/>
        <v>-579982.6547</v>
      </c>
      <c r="M224" s="277">
        <f t="shared" si="3"/>
        <v>-75557.3</v>
      </c>
      <c r="N224" s="277">
        <f t="shared" si="6"/>
        <v>0</v>
      </c>
      <c r="O224" s="277">
        <f t="shared" si="4"/>
        <v>-75581.00763</v>
      </c>
      <c r="P224" s="264"/>
      <c r="Q224" s="264"/>
      <c r="R224" s="264"/>
      <c r="S224" s="264"/>
      <c r="T224" s="264"/>
      <c r="U224" s="264"/>
      <c r="V224" s="264"/>
      <c r="W224" s="264"/>
      <c r="X224" s="264"/>
      <c r="Y224" s="264"/>
      <c r="Z224" s="264"/>
      <c r="AA224" s="264"/>
      <c r="AB224" s="264"/>
      <c r="AC224" s="264"/>
      <c r="AD224" s="264"/>
      <c r="AE224" s="264"/>
    </row>
    <row r="225">
      <c r="A225" s="272" t="s">
        <v>795</v>
      </c>
      <c r="B225" s="272" t="s">
        <v>144</v>
      </c>
      <c r="C225" s="272" t="s">
        <v>791</v>
      </c>
      <c r="D225" s="279">
        <v>45875.0</v>
      </c>
      <c r="E225" s="267" t="str">
        <f t="shared" si="1"/>
        <v>08 ago</v>
      </c>
      <c r="F225" s="274">
        <f t="shared" si="2"/>
        <v>2025</v>
      </c>
      <c r="G225" s="43" t="s">
        <v>679</v>
      </c>
      <c r="H225" s="125" t="s">
        <v>580</v>
      </c>
      <c r="I225" s="125"/>
      <c r="J225" s="276" t="str">
        <f>IF(ISBLANK(I225), "", VLOOKUP(E225&amp;" "&amp;F225, 'Info Tipo de Cambio y REM'!$A$24:$B$35, 2, FALSE))
</f>
        <v/>
      </c>
      <c r="K225" s="89">
        <v>1313.0</v>
      </c>
      <c r="L225" s="277">
        <f t="shared" si="5"/>
        <v>-579982.6547</v>
      </c>
      <c r="M225" s="277">
        <f t="shared" si="3"/>
        <v>-76870.3</v>
      </c>
      <c r="N225" s="277">
        <f t="shared" si="6"/>
        <v>0</v>
      </c>
      <c r="O225" s="277">
        <f t="shared" si="4"/>
        <v>-76894.00763</v>
      </c>
      <c r="P225" s="264"/>
      <c r="Q225" s="264"/>
      <c r="R225" s="264"/>
      <c r="S225" s="264"/>
      <c r="T225" s="264"/>
      <c r="U225" s="264"/>
      <c r="V225" s="264"/>
      <c r="W225" s="264"/>
      <c r="X225" s="264"/>
      <c r="Y225" s="264"/>
      <c r="Z225" s="264"/>
      <c r="AA225" s="264"/>
      <c r="AB225" s="264"/>
      <c r="AC225" s="264"/>
      <c r="AD225" s="264"/>
      <c r="AE225" s="264"/>
    </row>
    <row r="226">
      <c r="A226" s="272" t="s">
        <v>795</v>
      </c>
      <c r="B226" s="272" t="s">
        <v>144</v>
      </c>
      <c r="C226" s="272" t="s">
        <v>791</v>
      </c>
      <c r="D226" s="279">
        <v>45876.0</v>
      </c>
      <c r="E226" s="267" t="str">
        <f t="shared" si="1"/>
        <v>08 ago</v>
      </c>
      <c r="F226" s="274">
        <f t="shared" si="2"/>
        <v>2025</v>
      </c>
      <c r="G226" s="43" t="s">
        <v>676</v>
      </c>
      <c r="H226" s="125" t="s">
        <v>450</v>
      </c>
      <c r="I226" s="125"/>
      <c r="J226" s="276" t="str">
        <f>IF(ISBLANK(I226), "", VLOOKUP(E226&amp;" "&amp;F226, 'Info Tipo de Cambio y REM'!$A$24:$B$35, 2, FALSE))
</f>
        <v/>
      </c>
      <c r="K226" s="89">
        <v>1978.0</v>
      </c>
      <c r="L226" s="277">
        <f t="shared" si="5"/>
        <v>-579982.6547</v>
      </c>
      <c r="M226" s="277">
        <f t="shared" si="3"/>
        <v>-78848.3</v>
      </c>
      <c r="N226" s="277">
        <f t="shared" si="6"/>
        <v>0</v>
      </c>
      <c r="O226" s="277">
        <f t="shared" si="4"/>
        <v>-78872.00763</v>
      </c>
      <c r="P226" s="264"/>
      <c r="Q226" s="264"/>
      <c r="R226" s="264"/>
      <c r="S226" s="264"/>
      <c r="T226" s="264"/>
      <c r="U226" s="264"/>
      <c r="V226" s="264"/>
      <c r="W226" s="264"/>
      <c r="X226" s="264"/>
      <c r="Y226" s="264"/>
      <c r="Z226" s="264"/>
      <c r="AA226" s="264"/>
      <c r="AB226" s="264"/>
      <c r="AC226" s="264"/>
      <c r="AD226" s="264"/>
      <c r="AE226" s="264"/>
    </row>
    <row r="227">
      <c r="A227" s="272" t="s">
        <v>795</v>
      </c>
      <c r="B227" s="272" t="s">
        <v>144</v>
      </c>
      <c r="C227" s="272" t="s">
        <v>791</v>
      </c>
      <c r="D227" s="279">
        <v>45877.0</v>
      </c>
      <c r="E227" s="267" t="str">
        <f t="shared" si="1"/>
        <v>08 ago</v>
      </c>
      <c r="F227" s="274">
        <f t="shared" si="2"/>
        <v>2025</v>
      </c>
      <c r="G227" s="43" t="s">
        <v>676</v>
      </c>
      <c r="H227" s="125" t="s">
        <v>577</v>
      </c>
      <c r="I227" s="125"/>
      <c r="J227" s="276" t="str">
        <f>IF(ISBLANK(I227), "", VLOOKUP(E227&amp;" "&amp;F227, 'Info Tipo de Cambio y REM'!$A$24:$B$35, 2, FALSE))
</f>
        <v/>
      </c>
      <c r="K227" s="89">
        <v>1526.0</v>
      </c>
      <c r="L227" s="277">
        <f t="shared" si="5"/>
        <v>-579982.6547</v>
      </c>
      <c r="M227" s="277">
        <f t="shared" si="3"/>
        <v>-80374.3</v>
      </c>
      <c r="N227" s="277">
        <f t="shared" si="6"/>
        <v>0</v>
      </c>
      <c r="O227" s="277">
        <f t="shared" si="4"/>
        <v>-80398.00763</v>
      </c>
      <c r="P227" s="264"/>
      <c r="Q227" s="264"/>
      <c r="R227" s="264"/>
      <c r="S227" s="264"/>
      <c r="T227" s="264"/>
      <c r="U227" s="264"/>
      <c r="V227" s="264"/>
      <c r="W227" s="264"/>
      <c r="X227" s="264"/>
      <c r="Y227" s="264"/>
      <c r="Z227" s="264"/>
      <c r="AA227" s="264"/>
      <c r="AB227" s="264"/>
      <c r="AC227" s="264"/>
      <c r="AD227" s="264"/>
      <c r="AE227" s="264"/>
    </row>
    <row r="228">
      <c r="A228" s="272" t="s">
        <v>795</v>
      </c>
      <c r="B228" s="272" t="s">
        <v>144</v>
      </c>
      <c r="C228" s="272" t="s">
        <v>791</v>
      </c>
      <c r="D228" s="279">
        <v>45878.0</v>
      </c>
      <c r="E228" s="267" t="str">
        <f t="shared" si="1"/>
        <v>08 ago</v>
      </c>
      <c r="F228" s="274">
        <f t="shared" si="2"/>
        <v>2025</v>
      </c>
      <c r="G228" s="43" t="s">
        <v>676</v>
      </c>
      <c r="H228" s="43" t="s">
        <v>411</v>
      </c>
      <c r="I228" s="43"/>
      <c r="J228" s="276" t="str">
        <f>IF(ISBLANK(I228), "", VLOOKUP(E228&amp;" "&amp;F228, 'Info Tipo de Cambio y REM'!$A$24:$B$35, 2, FALSE))
</f>
        <v/>
      </c>
      <c r="K228" s="89">
        <v>1791.0</v>
      </c>
      <c r="L228" s="277">
        <f t="shared" si="5"/>
        <v>-579982.6547</v>
      </c>
      <c r="M228" s="277">
        <f t="shared" si="3"/>
        <v>-82165.3</v>
      </c>
      <c r="N228" s="277">
        <f t="shared" si="6"/>
        <v>0</v>
      </c>
      <c r="O228" s="277">
        <f t="shared" si="4"/>
        <v>-82189.00763</v>
      </c>
      <c r="P228" s="264"/>
      <c r="Q228" s="264"/>
      <c r="R228" s="264"/>
      <c r="S228" s="264"/>
      <c r="T228" s="264"/>
      <c r="U228" s="264"/>
      <c r="V228" s="264"/>
      <c r="W228" s="264"/>
      <c r="X228" s="264"/>
      <c r="Y228" s="264"/>
      <c r="Z228" s="264"/>
      <c r="AA228" s="264"/>
      <c r="AB228" s="264"/>
      <c r="AC228" s="264"/>
      <c r="AD228" s="264"/>
      <c r="AE228" s="264"/>
    </row>
    <row r="229">
      <c r="A229" s="272" t="s">
        <v>795</v>
      </c>
      <c r="B229" s="272" t="s">
        <v>144</v>
      </c>
      <c r="C229" s="272" t="s">
        <v>791</v>
      </c>
      <c r="D229" s="279">
        <v>45879.0</v>
      </c>
      <c r="E229" s="267" t="str">
        <f t="shared" si="1"/>
        <v>08 ago</v>
      </c>
      <c r="F229" s="274">
        <f t="shared" si="2"/>
        <v>2025</v>
      </c>
      <c r="G229" s="43" t="s">
        <v>678</v>
      </c>
      <c r="H229" s="124" t="s">
        <v>680</v>
      </c>
      <c r="I229" s="124"/>
      <c r="J229" s="276" t="str">
        <f>IF(ISBLANK(I229), "", VLOOKUP(E229&amp;" "&amp;F229, 'Info Tipo de Cambio y REM'!$A$24:$B$35, 2, FALSE))
</f>
        <v/>
      </c>
      <c r="K229" s="89">
        <v>1429.0</v>
      </c>
      <c r="L229" s="277">
        <f t="shared" si="5"/>
        <v>-579982.6547</v>
      </c>
      <c r="M229" s="277">
        <f t="shared" si="3"/>
        <v>-83594.3</v>
      </c>
      <c r="N229" s="277">
        <f t="shared" si="6"/>
        <v>0</v>
      </c>
      <c r="O229" s="277">
        <f t="shared" si="4"/>
        <v>-83618.00763</v>
      </c>
      <c r="P229" s="264"/>
      <c r="Q229" s="264"/>
      <c r="R229" s="264"/>
      <c r="S229" s="264"/>
      <c r="T229" s="264"/>
      <c r="U229" s="264"/>
      <c r="V229" s="264"/>
      <c r="W229" s="264"/>
      <c r="X229" s="264"/>
      <c r="Y229" s="264"/>
      <c r="Z229" s="264"/>
      <c r="AA229" s="264"/>
      <c r="AB229" s="264"/>
      <c r="AC229" s="264"/>
      <c r="AD229" s="264"/>
      <c r="AE229" s="264"/>
    </row>
    <row r="230">
      <c r="A230" s="272" t="s">
        <v>795</v>
      </c>
      <c r="B230" s="272" t="s">
        <v>144</v>
      </c>
      <c r="C230" s="272" t="s">
        <v>791</v>
      </c>
      <c r="D230" s="279">
        <v>45880.0</v>
      </c>
      <c r="E230" s="267" t="str">
        <f t="shared" si="1"/>
        <v>08 ago</v>
      </c>
      <c r="F230" s="274">
        <f t="shared" si="2"/>
        <v>2025</v>
      </c>
      <c r="G230" s="43" t="s">
        <v>551</v>
      </c>
      <c r="H230" s="43" t="s">
        <v>681</v>
      </c>
      <c r="I230" s="43"/>
      <c r="J230" s="276" t="str">
        <f>IF(ISBLANK(I230), "", VLOOKUP(E230&amp;" "&amp;F230, 'Info Tipo de Cambio y REM'!$A$24:$B$35, 2, FALSE))
</f>
        <v/>
      </c>
      <c r="K230" s="89">
        <v>614.0</v>
      </c>
      <c r="L230" s="277">
        <f t="shared" si="5"/>
        <v>-579982.6547</v>
      </c>
      <c r="M230" s="277">
        <f t="shared" si="3"/>
        <v>-84208.3</v>
      </c>
      <c r="N230" s="277">
        <f t="shared" si="6"/>
        <v>0</v>
      </c>
      <c r="O230" s="277">
        <f t="shared" si="4"/>
        <v>-84232.00763</v>
      </c>
      <c r="P230" s="264"/>
      <c r="Q230" s="264"/>
      <c r="R230" s="264"/>
      <c r="S230" s="264"/>
      <c r="T230" s="264"/>
      <c r="U230" s="264"/>
      <c r="V230" s="264"/>
      <c r="W230" s="264"/>
      <c r="X230" s="264"/>
      <c r="Y230" s="264"/>
      <c r="Z230" s="264"/>
      <c r="AA230" s="264"/>
      <c r="AB230" s="264"/>
      <c r="AC230" s="264"/>
      <c r="AD230" s="264"/>
      <c r="AE230" s="264"/>
    </row>
    <row r="231">
      <c r="A231" s="272" t="s">
        <v>795</v>
      </c>
      <c r="B231" s="272" t="s">
        <v>144</v>
      </c>
      <c r="C231" s="272" t="s">
        <v>791</v>
      </c>
      <c r="D231" s="279">
        <v>45881.0</v>
      </c>
      <c r="E231" s="267" t="str">
        <f t="shared" si="1"/>
        <v>08 ago</v>
      </c>
      <c r="F231" s="274">
        <f t="shared" si="2"/>
        <v>2025</v>
      </c>
      <c r="G231" s="43" t="s">
        <v>682</v>
      </c>
      <c r="H231" s="124" t="s">
        <v>458</v>
      </c>
      <c r="I231" s="124"/>
      <c r="J231" s="276" t="str">
        <f>IF(ISBLANK(I231), "", VLOOKUP(E231&amp;" "&amp;F231, 'Info Tipo de Cambio y REM'!$A$24:$B$35, 2, FALSE))
</f>
        <v/>
      </c>
      <c r="K231" s="89">
        <v>2200.0</v>
      </c>
      <c r="L231" s="277">
        <f t="shared" si="5"/>
        <v>-579982.6547</v>
      </c>
      <c r="M231" s="277">
        <f t="shared" si="3"/>
        <v>-86408.3</v>
      </c>
      <c r="N231" s="277">
        <f t="shared" si="6"/>
        <v>0</v>
      </c>
      <c r="O231" s="277">
        <f t="shared" si="4"/>
        <v>-86432.00763</v>
      </c>
      <c r="P231" s="264"/>
      <c r="Q231" s="264"/>
      <c r="R231" s="264"/>
      <c r="S231" s="264"/>
      <c r="T231" s="264"/>
      <c r="U231" s="264"/>
      <c r="V231" s="264"/>
      <c r="W231" s="264"/>
      <c r="X231" s="264"/>
      <c r="Y231" s="264"/>
      <c r="Z231" s="264"/>
      <c r="AA231" s="264"/>
      <c r="AB231" s="264"/>
      <c r="AC231" s="264"/>
      <c r="AD231" s="264"/>
      <c r="AE231" s="264"/>
    </row>
    <row r="232">
      <c r="A232" s="272" t="s">
        <v>795</v>
      </c>
      <c r="B232" s="272" t="s">
        <v>144</v>
      </c>
      <c r="C232" s="272" t="s">
        <v>791</v>
      </c>
      <c r="D232" s="279">
        <v>45882.0</v>
      </c>
      <c r="E232" s="267" t="str">
        <f t="shared" si="1"/>
        <v>08 ago</v>
      </c>
      <c r="F232" s="274">
        <f t="shared" si="2"/>
        <v>2025</v>
      </c>
      <c r="G232" s="43" t="s">
        <v>551</v>
      </c>
      <c r="H232" s="43" t="s">
        <v>683</v>
      </c>
      <c r="I232" s="43"/>
      <c r="J232" s="276" t="str">
        <f>IF(ISBLANK(I232), "", VLOOKUP(E232&amp;" "&amp;F232, 'Info Tipo de Cambio y REM'!$A$24:$B$35, 2, FALSE))
</f>
        <v/>
      </c>
      <c r="K232" s="89">
        <v>1500.0</v>
      </c>
      <c r="L232" s="277">
        <f t="shared" si="5"/>
        <v>-579982.6547</v>
      </c>
      <c r="M232" s="277">
        <f t="shared" si="3"/>
        <v>-87908.3</v>
      </c>
      <c r="N232" s="277">
        <f t="shared" si="6"/>
        <v>0</v>
      </c>
      <c r="O232" s="277">
        <f t="shared" si="4"/>
        <v>-87932.00763</v>
      </c>
      <c r="P232" s="264"/>
      <c r="Q232" s="264"/>
      <c r="R232" s="264"/>
      <c r="S232" s="264"/>
      <c r="T232" s="264"/>
      <c r="U232" s="264"/>
      <c r="V232" s="264"/>
      <c r="W232" s="264"/>
      <c r="X232" s="264"/>
      <c r="Y232" s="264"/>
      <c r="Z232" s="264"/>
      <c r="AA232" s="264"/>
      <c r="AB232" s="264"/>
      <c r="AC232" s="264"/>
      <c r="AD232" s="264"/>
      <c r="AE232" s="264"/>
    </row>
    <row r="233">
      <c r="A233" s="272" t="s">
        <v>795</v>
      </c>
      <c r="B233" s="272" t="s">
        <v>144</v>
      </c>
      <c r="C233" s="272" t="s">
        <v>791</v>
      </c>
      <c r="D233" s="170">
        <v>45870.0</v>
      </c>
      <c r="E233" s="267" t="str">
        <f t="shared" si="1"/>
        <v>08 ago</v>
      </c>
      <c r="F233" s="274">
        <f t="shared" si="2"/>
        <v>2025</v>
      </c>
      <c r="G233" s="169" t="s">
        <v>549</v>
      </c>
      <c r="H233" s="272"/>
      <c r="I233" s="277"/>
      <c r="J233" s="276" t="str">
        <f>IF(ISBLANK(I233), "", VLOOKUP(E233&amp;" "&amp;F233, 'Info Tipo de Cambio y REM'!$A$24:$B$35, 2, FALSE))
</f>
        <v/>
      </c>
      <c r="K233" s="171">
        <v>45.0</v>
      </c>
      <c r="L233" s="277">
        <f t="shared" si="5"/>
        <v>-579982.6547</v>
      </c>
      <c r="M233" s="277">
        <f t="shared" si="3"/>
        <v>-87953.3</v>
      </c>
      <c r="N233" s="277">
        <f t="shared" si="6"/>
        <v>0</v>
      </c>
      <c r="O233" s="277">
        <f t="shared" si="4"/>
        <v>-87977.00763</v>
      </c>
      <c r="P233" s="264"/>
      <c r="Q233" s="264"/>
      <c r="R233" s="264"/>
      <c r="S233" s="264"/>
      <c r="T233" s="264"/>
      <c r="U233" s="264"/>
      <c r="V233" s="264"/>
      <c r="W233" s="264"/>
      <c r="X233" s="264"/>
      <c r="Y233" s="264"/>
      <c r="Z233" s="264"/>
      <c r="AA233" s="264"/>
      <c r="AB233" s="264"/>
      <c r="AC233" s="264"/>
      <c r="AD233" s="264"/>
      <c r="AE233" s="264"/>
    </row>
    <row r="234">
      <c r="A234" s="272" t="s">
        <v>795</v>
      </c>
      <c r="B234" s="272" t="s">
        <v>144</v>
      </c>
      <c r="C234" s="272" t="s">
        <v>791</v>
      </c>
      <c r="D234" s="170">
        <v>45871.0</v>
      </c>
      <c r="E234" s="267" t="str">
        <f t="shared" si="1"/>
        <v>08 ago</v>
      </c>
      <c r="F234" s="274">
        <f t="shared" si="2"/>
        <v>2025</v>
      </c>
      <c r="G234" s="169" t="s">
        <v>549</v>
      </c>
      <c r="H234" s="272"/>
      <c r="I234" s="277"/>
      <c r="J234" s="276" t="str">
        <f>IF(ISBLANK(I234), "", VLOOKUP(E234&amp;" "&amp;F234, 'Info Tipo de Cambio y REM'!$A$24:$B$35, 2, FALSE))
</f>
        <v/>
      </c>
      <c r="K234" s="171">
        <v>45.0</v>
      </c>
      <c r="L234" s="277">
        <f t="shared" si="5"/>
        <v>-579982.6547</v>
      </c>
      <c r="M234" s="277">
        <f t="shared" si="3"/>
        <v>-87998.3</v>
      </c>
      <c r="N234" s="277">
        <f t="shared" si="6"/>
        <v>0</v>
      </c>
      <c r="O234" s="277">
        <f t="shared" si="4"/>
        <v>-88022.00763</v>
      </c>
      <c r="P234" s="264"/>
      <c r="Q234" s="264"/>
      <c r="R234" s="264"/>
      <c r="S234" s="264"/>
      <c r="T234" s="264"/>
      <c r="U234" s="264"/>
      <c r="V234" s="264"/>
      <c r="W234" s="264"/>
      <c r="X234" s="264"/>
      <c r="Y234" s="264"/>
      <c r="Z234" s="264"/>
      <c r="AA234" s="264"/>
      <c r="AB234" s="264"/>
      <c r="AC234" s="264"/>
      <c r="AD234" s="264"/>
      <c r="AE234" s="264"/>
    </row>
    <row r="235">
      <c r="A235" s="272" t="s">
        <v>795</v>
      </c>
      <c r="B235" s="272" t="s">
        <v>144</v>
      </c>
      <c r="C235" s="272" t="s">
        <v>791</v>
      </c>
      <c r="D235" s="170">
        <v>45872.0</v>
      </c>
      <c r="E235" s="267" t="str">
        <f t="shared" si="1"/>
        <v>08 ago</v>
      </c>
      <c r="F235" s="274">
        <f t="shared" si="2"/>
        <v>2025</v>
      </c>
      <c r="G235" s="169" t="s">
        <v>549</v>
      </c>
      <c r="H235" s="272"/>
      <c r="I235" s="277"/>
      <c r="J235" s="276" t="str">
        <f>IF(ISBLANK(I235), "", VLOOKUP(E235&amp;" "&amp;F235, 'Info Tipo de Cambio y REM'!$A$24:$B$35, 2, FALSE))
</f>
        <v/>
      </c>
      <c r="K235" s="171">
        <v>45.0</v>
      </c>
      <c r="L235" s="277">
        <f t="shared" si="5"/>
        <v>-579982.6547</v>
      </c>
      <c r="M235" s="277">
        <f t="shared" si="3"/>
        <v>-88043.3</v>
      </c>
      <c r="N235" s="277">
        <f t="shared" si="6"/>
        <v>0</v>
      </c>
      <c r="O235" s="277">
        <f t="shared" si="4"/>
        <v>-88067.00763</v>
      </c>
      <c r="P235" s="264"/>
      <c r="Q235" s="264"/>
      <c r="R235" s="264"/>
      <c r="S235" s="264"/>
      <c r="T235" s="264"/>
      <c r="U235" s="264"/>
      <c r="V235" s="264"/>
      <c r="W235" s="264"/>
      <c r="X235" s="264"/>
      <c r="Y235" s="264"/>
      <c r="Z235" s="264"/>
      <c r="AA235" s="264"/>
      <c r="AB235" s="264"/>
      <c r="AC235" s="264"/>
      <c r="AD235" s="264"/>
      <c r="AE235" s="264"/>
    </row>
    <row r="236">
      <c r="A236" s="272" t="s">
        <v>795</v>
      </c>
      <c r="B236" s="272" t="s">
        <v>144</v>
      </c>
      <c r="C236" s="272" t="s">
        <v>791</v>
      </c>
      <c r="D236" s="170">
        <v>45873.0</v>
      </c>
      <c r="E236" s="267" t="str">
        <f t="shared" si="1"/>
        <v>08 ago</v>
      </c>
      <c r="F236" s="274">
        <f t="shared" si="2"/>
        <v>2025</v>
      </c>
      <c r="G236" s="169" t="s">
        <v>549</v>
      </c>
      <c r="H236" s="272"/>
      <c r="I236" s="277"/>
      <c r="J236" s="276" t="str">
        <f>IF(ISBLANK(I236), "", VLOOKUP(E236&amp;" "&amp;F236, 'Info Tipo de Cambio y REM'!$A$24:$B$35, 2, FALSE))
</f>
        <v/>
      </c>
      <c r="K236" s="171">
        <v>45.0</v>
      </c>
      <c r="L236" s="277">
        <f t="shared" si="5"/>
        <v>-579982.6547</v>
      </c>
      <c r="M236" s="277">
        <f t="shared" si="3"/>
        <v>-88088.3</v>
      </c>
      <c r="N236" s="277">
        <f t="shared" si="6"/>
        <v>0</v>
      </c>
      <c r="O236" s="277">
        <f t="shared" si="4"/>
        <v>-88112.00763</v>
      </c>
      <c r="P236" s="264"/>
      <c r="Q236" s="264"/>
      <c r="R236" s="264"/>
      <c r="S236" s="264"/>
      <c r="T236" s="264"/>
      <c r="U236" s="264"/>
      <c r="V236" s="264"/>
      <c r="W236" s="264"/>
      <c r="X236" s="264"/>
      <c r="Y236" s="264"/>
      <c r="Z236" s="264"/>
      <c r="AA236" s="264"/>
      <c r="AB236" s="264"/>
      <c r="AC236" s="264"/>
      <c r="AD236" s="264"/>
      <c r="AE236" s="264"/>
    </row>
    <row r="237">
      <c r="A237" s="272" t="s">
        <v>795</v>
      </c>
      <c r="B237" s="272" t="s">
        <v>144</v>
      </c>
      <c r="C237" s="272" t="s">
        <v>791</v>
      </c>
      <c r="D237" s="170">
        <v>45874.0</v>
      </c>
      <c r="E237" s="267" t="str">
        <f t="shared" si="1"/>
        <v>08 ago</v>
      </c>
      <c r="F237" s="274">
        <f t="shared" si="2"/>
        <v>2025</v>
      </c>
      <c r="G237" s="169" t="s">
        <v>549</v>
      </c>
      <c r="H237" s="272"/>
      <c r="I237" s="277"/>
      <c r="J237" s="276" t="str">
        <f>IF(ISBLANK(I237), "", VLOOKUP(E237&amp;" "&amp;F237, 'Info Tipo de Cambio y REM'!$A$24:$B$35, 2, FALSE))
</f>
        <v/>
      </c>
      <c r="K237" s="171">
        <v>45.0</v>
      </c>
      <c r="L237" s="277">
        <f t="shared" si="5"/>
        <v>-579982.6547</v>
      </c>
      <c r="M237" s="277">
        <f t="shared" si="3"/>
        <v>-88133.3</v>
      </c>
      <c r="N237" s="277">
        <f t="shared" si="6"/>
        <v>0</v>
      </c>
      <c r="O237" s="277">
        <f t="shared" si="4"/>
        <v>-88157.00763</v>
      </c>
      <c r="P237" s="264"/>
      <c r="Q237" s="264"/>
      <c r="R237" s="264"/>
      <c r="S237" s="264"/>
      <c r="T237" s="264"/>
      <c r="U237" s="264"/>
      <c r="V237" s="264"/>
      <c r="W237" s="264"/>
      <c r="X237" s="264"/>
      <c r="Y237" s="264"/>
      <c r="Z237" s="264"/>
      <c r="AA237" s="264"/>
      <c r="AB237" s="264"/>
      <c r="AC237" s="264"/>
      <c r="AD237" s="264"/>
      <c r="AE237" s="264"/>
    </row>
    <row r="238">
      <c r="A238" s="272" t="s">
        <v>795</v>
      </c>
      <c r="B238" s="272" t="s">
        <v>144</v>
      </c>
      <c r="C238" s="272" t="s">
        <v>791</v>
      </c>
      <c r="D238" s="170">
        <v>45875.0</v>
      </c>
      <c r="E238" s="267" t="str">
        <f t="shared" si="1"/>
        <v>08 ago</v>
      </c>
      <c r="F238" s="274">
        <f t="shared" si="2"/>
        <v>2025</v>
      </c>
      <c r="G238" s="169" t="s">
        <v>549</v>
      </c>
      <c r="H238" s="272"/>
      <c r="I238" s="277"/>
      <c r="J238" s="276" t="str">
        <f>IF(ISBLANK(I238), "", VLOOKUP(E238&amp;" "&amp;F238, 'Info Tipo de Cambio y REM'!$A$24:$B$35, 2, FALSE))
</f>
        <v/>
      </c>
      <c r="K238" s="171">
        <v>45.0</v>
      </c>
      <c r="L238" s="277">
        <f t="shared" si="5"/>
        <v>-579982.6547</v>
      </c>
      <c r="M238" s="277">
        <f t="shared" si="3"/>
        <v>-88178.3</v>
      </c>
      <c r="N238" s="277">
        <f t="shared" si="6"/>
        <v>0</v>
      </c>
      <c r="O238" s="277">
        <f t="shared" si="4"/>
        <v>-88202.00763</v>
      </c>
      <c r="P238" s="264"/>
      <c r="Q238" s="264"/>
      <c r="R238" s="264"/>
      <c r="S238" s="264"/>
      <c r="T238" s="264"/>
      <c r="U238" s="264"/>
      <c r="V238" s="264"/>
      <c r="W238" s="264"/>
      <c r="X238" s="264"/>
      <c r="Y238" s="264"/>
      <c r="Z238" s="264"/>
      <c r="AA238" s="264"/>
      <c r="AB238" s="264"/>
      <c r="AC238" s="264"/>
      <c r="AD238" s="264"/>
      <c r="AE238" s="264"/>
    </row>
    <row r="239">
      <c r="A239" s="272" t="s">
        <v>795</v>
      </c>
      <c r="B239" s="272" t="s">
        <v>144</v>
      </c>
      <c r="C239" s="272" t="s">
        <v>791</v>
      </c>
      <c r="D239" s="170">
        <v>45876.0</v>
      </c>
      <c r="E239" s="267" t="str">
        <f t="shared" si="1"/>
        <v>08 ago</v>
      </c>
      <c r="F239" s="274">
        <f t="shared" si="2"/>
        <v>2025</v>
      </c>
      <c r="G239" s="169" t="s">
        <v>549</v>
      </c>
      <c r="H239" s="272"/>
      <c r="I239" s="277"/>
      <c r="J239" s="276" t="str">
        <f>IF(ISBLANK(I239), "", VLOOKUP(E239&amp;" "&amp;F239, 'Info Tipo de Cambio y REM'!$A$24:$B$35, 2, FALSE))
</f>
        <v/>
      </c>
      <c r="K239" s="171">
        <v>45.0</v>
      </c>
      <c r="L239" s="277">
        <f t="shared" si="5"/>
        <v>-579982.6547</v>
      </c>
      <c r="M239" s="277">
        <f t="shared" si="3"/>
        <v>-88223.3</v>
      </c>
      <c r="N239" s="277">
        <f t="shared" si="6"/>
        <v>0</v>
      </c>
      <c r="O239" s="277">
        <f t="shared" si="4"/>
        <v>-88247.00763</v>
      </c>
      <c r="P239" s="264"/>
      <c r="Q239" s="264"/>
      <c r="R239" s="264"/>
      <c r="S239" s="264"/>
      <c r="T239" s="264"/>
      <c r="U239" s="264"/>
      <c r="V239" s="264"/>
      <c r="W239" s="264"/>
      <c r="X239" s="264"/>
      <c r="Y239" s="264"/>
      <c r="Z239" s="264"/>
      <c r="AA239" s="264"/>
      <c r="AB239" s="264"/>
      <c r="AC239" s="264"/>
      <c r="AD239" s="264"/>
      <c r="AE239" s="264"/>
    </row>
    <row r="240">
      <c r="A240" s="272" t="s">
        <v>795</v>
      </c>
      <c r="B240" s="272" t="s">
        <v>144</v>
      </c>
      <c r="C240" s="272" t="s">
        <v>791</v>
      </c>
      <c r="D240" s="170">
        <v>45877.0</v>
      </c>
      <c r="E240" s="267" t="str">
        <f t="shared" si="1"/>
        <v>08 ago</v>
      </c>
      <c r="F240" s="274">
        <f t="shared" si="2"/>
        <v>2025</v>
      </c>
      <c r="G240" s="169" t="s">
        <v>549</v>
      </c>
      <c r="H240" s="272"/>
      <c r="I240" s="277"/>
      <c r="J240" s="276" t="str">
        <f>IF(ISBLANK(I240), "", VLOOKUP(E240&amp;" "&amp;F240, 'Info Tipo de Cambio y REM'!$A$24:$B$35, 2, FALSE))
</f>
        <v/>
      </c>
      <c r="K240" s="171">
        <v>45.0</v>
      </c>
      <c r="L240" s="277">
        <f t="shared" si="5"/>
        <v>-579982.6547</v>
      </c>
      <c r="M240" s="277">
        <f t="shared" si="3"/>
        <v>-88268.3</v>
      </c>
      <c r="N240" s="277">
        <f t="shared" si="6"/>
        <v>0</v>
      </c>
      <c r="O240" s="277">
        <f t="shared" si="4"/>
        <v>-88292.00763</v>
      </c>
      <c r="P240" s="264"/>
      <c r="Q240" s="264"/>
      <c r="R240" s="264"/>
      <c r="S240" s="264"/>
      <c r="T240" s="264"/>
      <c r="U240" s="264"/>
      <c r="V240" s="264"/>
      <c r="W240" s="264"/>
      <c r="X240" s="264"/>
      <c r="Y240" s="264"/>
      <c r="Z240" s="264"/>
      <c r="AA240" s="264"/>
      <c r="AB240" s="264"/>
      <c r="AC240" s="264"/>
      <c r="AD240" s="264"/>
      <c r="AE240" s="264"/>
    </row>
    <row r="241">
      <c r="A241" s="272" t="s">
        <v>795</v>
      </c>
      <c r="B241" s="272" t="s">
        <v>144</v>
      </c>
      <c r="C241" s="272" t="s">
        <v>791</v>
      </c>
      <c r="D241" s="170">
        <v>45878.0</v>
      </c>
      <c r="E241" s="267" t="str">
        <f t="shared" si="1"/>
        <v>08 ago</v>
      </c>
      <c r="F241" s="274">
        <f t="shared" si="2"/>
        <v>2025</v>
      </c>
      <c r="G241" s="169" t="s">
        <v>549</v>
      </c>
      <c r="H241" s="272"/>
      <c r="I241" s="277"/>
      <c r="J241" s="276" t="str">
        <f>IF(ISBLANK(I241), "", VLOOKUP(E241&amp;" "&amp;F241, 'Info Tipo de Cambio y REM'!$A$24:$B$35, 2, FALSE))
</f>
        <v/>
      </c>
      <c r="K241" s="171">
        <v>45.0</v>
      </c>
      <c r="L241" s="277">
        <f t="shared" si="5"/>
        <v>-579982.6547</v>
      </c>
      <c r="M241" s="277">
        <f t="shared" si="3"/>
        <v>-88313.3</v>
      </c>
      <c r="N241" s="277">
        <f t="shared" si="6"/>
        <v>0</v>
      </c>
      <c r="O241" s="277">
        <f t="shared" si="4"/>
        <v>-88337.00763</v>
      </c>
      <c r="P241" s="264"/>
      <c r="Q241" s="264"/>
      <c r="R241" s="264"/>
      <c r="S241" s="264"/>
      <c r="T241" s="264"/>
      <c r="U241" s="264"/>
      <c r="V241" s="264"/>
      <c r="W241" s="264"/>
      <c r="X241" s="264"/>
      <c r="Y241" s="264"/>
      <c r="Z241" s="264"/>
      <c r="AA241" s="264"/>
      <c r="AB241" s="264"/>
      <c r="AC241" s="264"/>
      <c r="AD241" s="264"/>
      <c r="AE241" s="264"/>
    </row>
    <row r="242">
      <c r="A242" s="272" t="s">
        <v>795</v>
      </c>
      <c r="B242" s="272" t="s">
        <v>144</v>
      </c>
      <c r="C242" s="272" t="s">
        <v>791</v>
      </c>
      <c r="D242" s="170">
        <v>45879.0</v>
      </c>
      <c r="E242" s="267" t="str">
        <f t="shared" si="1"/>
        <v>08 ago</v>
      </c>
      <c r="F242" s="274">
        <f t="shared" si="2"/>
        <v>2025</v>
      </c>
      <c r="G242" s="169" t="s">
        <v>549</v>
      </c>
      <c r="H242" s="272"/>
      <c r="I242" s="277"/>
      <c r="J242" s="276" t="str">
        <f>IF(ISBLANK(I242), "", VLOOKUP(E242&amp;" "&amp;F242, 'Info Tipo de Cambio y REM'!$A$24:$B$35, 2, FALSE))
</f>
        <v/>
      </c>
      <c r="K242" s="171">
        <v>45.0</v>
      </c>
      <c r="L242" s="277">
        <f t="shared" si="5"/>
        <v>-579982.6547</v>
      </c>
      <c r="M242" s="277">
        <f t="shared" si="3"/>
        <v>-88358.3</v>
      </c>
      <c r="N242" s="277">
        <f t="shared" si="6"/>
        <v>0</v>
      </c>
      <c r="O242" s="277">
        <f t="shared" si="4"/>
        <v>-88382.00763</v>
      </c>
      <c r="P242" s="264"/>
      <c r="Q242" s="264"/>
      <c r="R242" s="264"/>
      <c r="S242" s="264"/>
      <c r="T242" s="264"/>
      <c r="U242" s="264"/>
      <c r="V242" s="264"/>
      <c r="W242" s="264"/>
      <c r="X242" s="264"/>
      <c r="Y242" s="264"/>
      <c r="Z242" s="264"/>
      <c r="AA242" s="264"/>
      <c r="AB242" s="264"/>
      <c r="AC242" s="264"/>
      <c r="AD242" s="264"/>
      <c r="AE242" s="264"/>
    </row>
    <row r="243">
      <c r="A243" s="272" t="s">
        <v>795</v>
      </c>
      <c r="B243" s="272" t="s">
        <v>144</v>
      </c>
      <c r="C243" s="272" t="s">
        <v>791</v>
      </c>
      <c r="D243" s="170">
        <v>45880.0</v>
      </c>
      <c r="E243" s="267" t="str">
        <f t="shared" si="1"/>
        <v>08 ago</v>
      </c>
      <c r="F243" s="274">
        <f t="shared" si="2"/>
        <v>2025</v>
      </c>
      <c r="G243" s="169" t="s">
        <v>549</v>
      </c>
      <c r="H243" s="272"/>
      <c r="I243" s="277"/>
      <c r="J243" s="276" t="str">
        <f>IF(ISBLANK(I243), "", VLOOKUP(E243&amp;" "&amp;F243, 'Info Tipo de Cambio y REM'!$A$24:$B$35, 2, FALSE))
</f>
        <v/>
      </c>
      <c r="K243" s="171">
        <v>45.0</v>
      </c>
      <c r="L243" s="277">
        <f t="shared" si="5"/>
        <v>-579982.6547</v>
      </c>
      <c r="M243" s="277">
        <f t="shared" si="3"/>
        <v>-88403.3</v>
      </c>
      <c r="N243" s="277">
        <f t="shared" si="6"/>
        <v>0</v>
      </c>
      <c r="O243" s="277">
        <f t="shared" si="4"/>
        <v>-88427.00763</v>
      </c>
      <c r="P243" s="264"/>
      <c r="Q243" s="264"/>
      <c r="R243" s="264"/>
      <c r="S243" s="264"/>
      <c r="T243" s="264"/>
      <c r="U243" s="264"/>
      <c r="V243" s="264"/>
      <c r="W243" s="264"/>
      <c r="X243" s="264"/>
      <c r="Y243" s="264"/>
      <c r="Z243" s="264"/>
      <c r="AA243" s="264"/>
      <c r="AB243" s="264"/>
      <c r="AC243" s="264"/>
      <c r="AD243" s="264"/>
      <c r="AE243" s="264"/>
    </row>
    <row r="244">
      <c r="A244" s="272" t="s">
        <v>795</v>
      </c>
      <c r="B244" s="272" t="s">
        <v>144</v>
      </c>
      <c r="C244" s="272" t="s">
        <v>791</v>
      </c>
      <c r="D244" s="170">
        <v>45881.0</v>
      </c>
      <c r="E244" s="267" t="str">
        <f t="shared" si="1"/>
        <v>08 ago</v>
      </c>
      <c r="F244" s="274">
        <f t="shared" si="2"/>
        <v>2025</v>
      </c>
      <c r="G244" s="169" t="s">
        <v>549</v>
      </c>
      <c r="H244" s="272"/>
      <c r="I244" s="277"/>
      <c r="J244" s="276" t="str">
        <f>IF(ISBLANK(I244), "", VLOOKUP(E244&amp;" "&amp;F244, 'Info Tipo de Cambio y REM'!$A$24:$B$35, 2, FALSE))
</f>
        <v/>
      </c>
      <c r="K244" s="89">
        <v>45.0</v>
      </c>
      <c r="L244" s="277">
        <f t="shared" si="5"/>
        <v>-579982.6547</v>
      </c>
      <c r="M244" s="277">
        <f t="shared" si="3"/>
        <v>-88448.3</v>
      </c>
      <c r="N244" s="277">
        <f t="shared" si="6"/>
        <v>0</v>
      </c>
      <c r="O244" s="277">
        <f t="shared" si="4"/>
        <v>-88472.00763</v>
      </c>
      <c r="P244" s="264"/>
      <c r="Q244" s="264"/>
      <c r="R244" s="264"/>
      <c r="S244" s="264"/>
      <c r="T244" s="264"/>
      <c r="U244" s="264"/>
      <c r="V244" s="264"/>
      <c r="W244" s="264"/>
      <c r="X244" s="264"/>
      <c r="Y244" s="264"/>
      <c r="Z244" s="264"/>
      <c r="AA244" s="264"/>
      <c r="AB244" s="264"/>
      <c r="AC244" s="264"/>
      <c r="AD244" s="264"/>
      <c r="AE244" s="264"/>
    </row>
    <row r="245">
      <c r="A245" s="272" t="s">
        <v>795</v>
      </c>
      <c r="B245" s="272" t="s">
        <v>144</v>
      </c>
      <c r="C245" s="272" t="s">
        <v>791</v>
      </c>
      <c r="D245" s="170">
        <v>45882.0</v>
      </c>
      <c r="E245" s="267" t="str">
        <f t="shared" si="1"/>
        <v>08 ago</v>
      </c>
      <c r="F245" s="274">
        <f t="shared" si="2"/>
        <v>2025</v>
      </c>
      <c r="G245" s="169" t="s">
        <v>549</v>
      </c>
      <c r="H245" s="272"/>
      <c r="I245" s="277"/>
      <c r="J245" s="276" t="str">
        <f>IF(ISBLANK(I245), "", VLOOKUP(E245&amp;" "&amp;F245, 'Info Tipo de Cambio y REM'!$A$24:$B$35, 2, FALSE))
</f>
        <v/>
      </c>
      <c r="K245" s="89">
        <v>45.0</v>
      </c>
      <c r="L245" s="277">
        <f t="shared" si="5"/>
        <v>-579982.6547</v>
      </c>
      <c r="M245" s="277">
        <f t="shared" si="3"/>
        <v>-88493.3</v>
      </c>
      <c r="N245" s="277">
        <f t="shared" si="6"/>
        <v>0</v>
      </c>
      <c r="O245" s="277">
        <f t="shared" si="4"/>
        <v>-88517.00763</v>
      </c>
      <c r="P245" s="264"/>
      <c r="Q245" s="264"/>
      <c r="R245" s="264"/>
      <c r="S245" s="264"/>
      <c r="T245" s="264"/>
      <c r="U245" s="264"/>
      <c r="V245" s="264"/>
      <c r="W245" s="264"/>
      <c r="X245" s="264"/>
      <c r="Y245" s="264"/>
      <c r="Z245" s="264"/>
      <c r="AA245" s="264"/>
      <c r="AB245" s="264"/>
      <c r="AC245" s="264"/>
      <c r="AD245" s="264"/>
      <c r="AE245" s="264"/>
    </row>
    <row r="246">
      <c r="A246" s="272" t="s">
        <v>795</v>
      </c>
      <c r="B246" s="272" t="s">
        <v>144</v>
      </c>
      <c r="C246" s="272" t="s">
        <v>791</v>
      </c>
      <c r="D246" s="170">
        <v>45883.0</v>
      </c>
      <c r="E246" s="267" t="str">
        <f t="shared" si="1"/>
        <v>08 ago</v>
      </c>
      <c r="F246" s="274">
        <f t="shared" si="2"/>
        <v>2025</v>
      </c>
      <c r="G246" s="169" t="s">
        <v>549</v>
      </c>
      <c r="H246" s="272"/>
      <c r="I246" s="277"/>
      <c r="J246" s="276" t="str">
        <f>IF(ISBLANK(I246), "", VLOOKUP(E246&amp;" "&amp;F246, 'Info Tipo de Cambio y REM'!$A$24:$B$35, 2, FALSE))
</f>
        <v/>
      </c>
      <c r="K246" s="89">
        <v>45.0</v>
      </c>
      <c r="L246" s="277">
        <f t="shared" si="5"/>
        <v>-579982.6547</v>
      </c>
      <c r="M246" s="277">
        <f t="shared" si="3"/>
        <v>-88538.3</v>
      </c>
      <c r="N246" s="277">
        <f t="shared" si="6"/>
        <v>0</v>
      </c>
      <c r="O246" s="277">
        <f t="shared" si="4"/>
        <v>-88562.00763</v>
      </c>
      <c r="P246" s="264"/>
      <c r="Q246" s="264"/>
      <c r="R246" s="264"/>
      <c r="S246" s="264"/>
      <c r="T246" s="264"/>
      <c r="U246" s="264"/>
      <c r="V246" s="264"/>
      <c r="W246" s="264"/>
      <c r="X246" s="264"/>
      <c r="Y246" s="264"/>
      <c r="Z246" s="264"/>
      <c r="AA246" s="264"/>
      <c r="AB246" s="264"/>
      <c r="AC246" s="264"/>
      <c r="AD246" s="264"/>
      <c r="AE246" s="264"/>
    </row>
    <row r="247">
      <c r="A247" s="272" t="s">
        <v>795</v>
      </c>
      <c r="B247" s="272" t="s">
        <v>144</v>
      </c>
      <c r="C247" s="272" t="s">
        <v>791</v>
      </c>
      <c r="D247" s="279">
        <v>45874.0</v>
      </c>
      <c r="E247" s="267" t="str">
        <f t="shared" si="1"/>
        <v>08 ago</v>
      </c>
      <c r="F247" s="274">
        <f t="shared" si="2"/>
        <v>2025</v>
      </c>
      <c r="G247" s="169" t="s">
        <v>407</v>
      </c>
      <c r="H247" s="169" t="s">
        <v>407</v>
      </c>
      <c r="I247" s="277"/>
      <c r="J247" s="276" t="str">
        <f>IF(ISBLANK(I247), "", VLOOKUP(E247&amp;" "&amp;F247, 'Info Tipo de Cambio y REM'!$A$24:$B$35, 2, FALSE))
</f>
        <v/>
      </c>
      <c r="K247" s="290">
        <v>1489.0</v>
      </c>
      <c r="L247" s="277">
        <f t="shared" si="5"/>
        <v>-579982.6547</v>
      </c>
      <c r="M247" s="277">
        <f t="shared" si="3"/>
        <v>-90027.3</v>
      </c>
      <c r="N247" s="277">
        <f t="shared" si="6"/>
        <v>0</v>
      </c>
      <c r="O247" s="277">
        <f t="shared" si="4"/>
        <v>-90051.00763</v>
      </c>
      <c r="P247" s="264"/>
      <c r="Q247" s="264"/>
      <c r="R247" s="264"/>
      <c r="S247" s="264"/>
      <c r="T247" s="264"/>
      <c r="U247" s="264"/>
      <c r="V247" s="264"/>
      <c r="W247" s="264"/>
      <c r="X247" s="264"/>
      <c r="Y247" s="264"/>
      <c r="Z247" s="264"/>
      <c r="AA247" s="264"/>
      <c r="AB247" s="264"/>
      <c r="AC247" s="264"/>
      <c r="AD247" s="264"/>
      <c r="AE247" s="264"/>
    </row>
    <row r="248">
      <c r="A248" s="272" t="s">
        <v>795</v>
      </c>
      <c r="B248" s="272" t="s">
        <v>144</v>
      </c>
      <c r="C248" s="272" t="s">
        <v>791</v>
      </c>
      <c r="D248" s="279">
        <v>45870.0</v>
      </c>
      <c r="E248" s="267" t="str">
        <f t="shared" si="1"/>
        <v>08 ago</v>
      </c>
      <c r="F248" s="274">
        <f t="shared" si="2"/>
        <v>2025</v>
      </c>
      <c r="G248" s="169" t="s">
        <v>700</v>
      </c>
      <c r="H248" s="272"/>
      <c r="I248" s="277"/>
      <c r="J248" s="276" t="str">
        <f>IF(ISBLANK(I248), "", VLOOKUP(E248&amp;" "&amp;F248, 'Info Tipo de Cambio y REM'!$A$24:$B$35, 2, FALSE))
</f>
        <v/>
      </c>
      <c r="K248" s="89">
        <v>14.0</v>
      </c>
      <c r="L248" s="277">
        <f t="shared" si="5"/>
        <v>-579982.6547</v>
      </c>
      <c r="M248" s="277">
        <f t="shared" si="3"/>
        <v>-90041.3</v>
      </c>
      <c r="N248" s="277">
        <f t="shared" si="6"/>
        <v>0</v>
      </c>
      <c r="O248" s="277">
        <f t="shared" si="4"/>
        <v>-90065.00763</v>
      </c>
      <c r="P248" s="264"/>
      <c r="Q248" s="264"/>
      <c r="R248" s="264"/>
      <c r="S248" s="264"/>
      <c r="T248" s="264"/>
      <c r="U248" s="264"/>
      <c r="V248" s="264"/>
      <c r="W248" s="264"/>
      <c r="X248" s="264"/>
      <c r="Y248" s="264"/>
      <c r="Z248" s="264"/>
      <c r="AA248" s="264"/>
      <c r="AB248" s="264"/>
      <c r="AC248" s="264"/>
      <c r="AD248" s="264"/>
      <c r="AE248" s="264"/>
    </row>
    <row r="249">
      <c r="A249" s="272" t="s">
        <v>795</v>
      </c>
      <c r="B249" s="272" t="s">
        <v>144</v>
      </c>
      <c r="C249" s="272" t="s">
        <v>791</v>
      </c>
      <c r="D249" s="279">
        <v>45873.0</v>
      </c>
      <c r="E249" s="267" t="str">
        <f t="shared" si="1"/>
        <v>08 ago</v>
      </c>
      <c r="F249" s="274">
        <f t="shared" si="2"/>
        <v>2025</v>
      </c>
      <c r="G249" s="169" t="s">
        <v>701</v>
      </c>
      <c r="H249" s="272"/>
      <c r="I249" s="277"/>
      <c r="J249" s="276" t="str">
        <f>IF(ISBLANK(I249), "", VLOOKUP(E249&amp;" "&amp;F249, 'Info Tipo de Cambio y REM'!$A$24:$B$35, 2, FALSE))
</f>
        <v/>
      </c>
      <c r="K249" s="89">
        <v>633.6</v>
      </c>
      <c r="L249" s="277">
        <f t="shared" si="5"/>
        <v>-579982.6547</v>
      </c>
      <c r="M249" s="277">
        <f t="shared" si="3"/>
        <v>-90674.9</v>
      </c>
      <c r="N249" s="277">
        <f t="shared" si="6"/>
        <v>0</v>
      </c>
      <c r="O249" s="277">
        <f t="shared" si="4"/>
        <v>-90698.60763</v>
      </c>
      <c r="P249" s="264"/>
      <c r="Q249" s="264"/>
      <c r="R249" s="264"/>
      <c r="S249" s="264"/>
      <c r="T249" s="264"/>
      <c r="U249" s="264"/>
      <c r="V249" s="264"/>
      <c r="W249" s="264"/>
      <c r="X249" s="264"/>
      <c r="Y249" s="264"/>
      <c r="Z249" s="264"/>
      <c r="AA249" s="264"/>
      <c r="AB249" s="264"/>
      <c r="AC249" s="264"/>
      <c r="AD249" s="264"/>
      <c r="AE249" s="264"/>
    </row>
    <row r="250">
      <c r="A250" s="272" t="s">
        <v>795</v>
      </c>
      <c r="B250" s="272" t="s">
        <v>144</v>
      </c>
      <c r="C250" s="272" t="s">
        <v>791</v>
      </c>
      <c r="D250" s="279">
        <v>45873.0</v>
      </c>
      <c r="E250" s="267" t="str">
        <f t="shared" si="1"/>
        <v>08 ago</v>
      </c>
      <c r="F250" s="274">
        <f t="shared" si="2"/>
        <v>2025</v>
      </c>
      <c r="G250" s="169" t="s">
        <v>702</v>
      </c>
      <c r="H250" s="272"/>
      <c r="I250" s="277"/>
      <c r="J250" s="276" t="str">
        <f>IF(ISBLANK(I250), "", VLOOKUP(E250&amp;" "&amp;F250, 'Info Tipo de Cambio y REM'!$A$24:$B$35, 2, FALSE))
</f>
        <v/>
      </c>
      <c r="K250" s="89">
        <v>6.08</v>
      </c>
      <c r="L250" s="277">
        <f t="shared" si="5"/>
        <v>-579982.6547</v>
      </c>
      <c r="M250" s="277">
        <f t="shared" si="3"/>
        <v>-90680.98</v>
      </c>
      <c r="N250" s="277">
        <f t="shared" si="6"/>
        <v>0</v>
      </c>
      <c r="O250" s="277">
        <f t="shared" si="4"/>
        <v>-90704.68763</v>
      </c>
      <c r="P250" s="264"/>
      <c r="Q250" s="264"/>
      <c r="R250" s="264"/>
      <c r="S250" s="264"/>
      <c r="T250" s="264"/>
      <c r="U250" s="264"/>
      <c r="V250" s="264"/>
      <c r="W250" s="264"/>
      <c r="X250" s="264"/>
      <c r="Y250" s="264"/>
      <c r="Z250" s="264"/>
      <c r="AA250" s="264"/>
      <c r="AB250" s="264"/>
      <c r="AC250" s="264"/>
      <c r="AD250" s="264"/>
      <c r="AE250" s="264"/>
    </row>
    <row r="251">
      <c r="A251" s="272" t="s">
        <v>795</v>
      </c>
      <c r="B251" s="272" t="s">
        <v>144</v>
      </c>
      <c r="C251" s="272" t="s">
        <v>791</v>
      </c>
      <c r="D251" s="279">
        <v>45873.0</v>
      </c>
      <c r="E251" s="267" t="str">
        <f t="shared" si="1"/>
        <v>08 ago</v>
      </c>
      <c r="F251" s="274">
        <f t="shared" si="2"/>
        <v>2025</v>
      </c>
      <c r="G251" s="169" t="s">
        <v>703</v>
      </c>
      <c r="H251" s="272"/>
      <c r="I251" s="277"/>
      <c r="J251" s="276" t="str">
        <f>IF(ISBLANK(I251), "", VLOOKUP(E251&amp;" "&amp;F251, 'Info Tipo de Cambio y REM'!$A$24:$B$35, 2, FALSE))
</f>
        <v/>
      </c>
      <c r="K251" s="89">
        <v>14.19</v>
      </c>
      <c r="L251" s="277">
        <f t="shared" si="5"/>
        <v>-579982.6547</v>
      </c>
      <c r="M251" s="277">
        <f t="shared" si="3"/>
        <v>-90695.17</v>
      </c>
      <c r="N251" s="277">
        <f t="shared" si="6"/>
        <v>0</v>
      </c>
      <c r="O251" s="277">
        <f t="shared" si="4"/>
        <v>-90718.87763</v>
      </c>
      <c r="P251" s="264"/>
      <c r="Q251" s="264"/>
      <c r="R251" s="264"/>
      <c r="S251" s="264"/>
      <c r="T251" s="264"/>
      <c r="U251" s="264"/>
      <c r="V251" s="264"/>
      <c r="W251" s="264"/>
      <c r="X251" s="264"/>
      <c r="Y251" s="264"/>
      <c r="Z251" s="264"/>
      <c r="AA251" s="264"/>
      <c r="AB251" s="264"/>
      <c r="AC251" s="264"/>
      <c r="AD251" s="264"/>
      <c r="AE251" s="264"/>
    </row>
    <row r="252">
      <c r="A252" s="272" t="s">
        <v>795</v>
      </c>
      <c r="B252" s="272" t="s">
        <v>144</v>
      </c>
      <c r="C252" s="272" t="s">
        <v>791</v>
      </c>
      <c r="D252" s="279">
        <v>45873.0</v>
      </c>
      <c r="E252" s="267" t="str">
        <f t="shared" si="1"/>
        <v>08 ago</v>
      </c>
      <c r="F252" s="274">
        <f t="shared" si="2"/>
        <v>2025</v>
      </c>
      <c r="G252" s="169" t="s">
        <v>704</v>
      </c>
      <c r="H252" s="272"/>
      <c r="I252" s="277"/>
      <c r="J252" s="276" t="str">
        <f>IF(ISBLANK(I252), "", VLOOKUP(E252&amp;" "&amp;F252, 'Info Tipo de Cambio y REM'!$A$24:$B$35, 2, FALSE))
</f>
        <v/>
      </c>
      <c r="K252" s="89">
        <v>22.99</v>
      </c>
      <c r="L252" s="277">
        <f t="shared" si="5"/>
        <v>-579982.6547</v>
      </c>
      <c r="M252" s="277">
        <f t="shared" si="3"/>
        <v>-90718.16</v>
      </c>
      <c r="N252" s="277">
        <f t="shared" si="6"/>
        <v>0</v>
      </c>
      <c r="O252" s="277">
        <f t="shared" si="4"/>
        <v>-90741.86763</v>
      </c>
      <c r="P252" s="264"/>
      <c r="Q252" s="264"/>
      <c r="R252" s="264"/>
      <c r="S252" s="264"/>
      <c r="T252" s="264"/>
      <c r="U252" s="264"/>
      <c r="V252" s="264"/>
      <c r="W252" s="264"/>
      <c r="X252" s="264"/>
      <c r="Y252" s="264"/>
      <c r="Z252" s="264"/>
      <c r="AA252" s="264"/>
      <c r="AB252" s="264"/>
      <c r="AC252" s="264"/>
      <c r="AD252" s="264"/>
      <c r="AE252" s="264"/>
    </row>
    <row r="253">
      <c r="A253" s="272" t="s">
        <v>795</v>
      </c>
      <c r="B253" s="272" t="s">
        <v>144</v>
      </c>
      <c r="C253" s="272" t="s">
        <v>791</v>
      </c>
      <c r="D253" s="279">
        <v>45876.0</v>
      </c>
      <c r="E253" s="267" t="str">
        <f t="shared" si="1"/>
        <v>08 ago</v>
      </c>
      <c r="F253" s="274">
        <f t="shared" si="2"/>
        <v>2025</v>
      </c>
      <c r="G253" s="169" t="s">
        <v>705</v>
      </c>
      <c r="H253" s="272"/>
      <c r="I253" s="277"/>
      <c r="J253" s="276" t="str">
        <f>IF(ISBLANK(I253), "", VLOOKUP(E253&amp;" "&amp;F253, 'Info Tipo de Cambio y REM'!$A$24:$B$35, 2, FALSE))
</f>
        <v/>
      </c>
      <c r="K253" s="89">
        <v>20.0</v>
      </c>
      <c r="L253" s="277">
        <f t="shared" si="5"/>
        <v>-579982.6547</v>
      </c>
      <c r="M253" s="277">
        <f t="shared" si="3"/>
        <v>-90738.16</v>
      </c>
      <c r="N253" s="277">
        <f t="shared" si="6"/>
        <v>0</v>
      </c>
      <c r="O253" s="277">
        <f t="shared" si="4"/>
        <v>-90761.86763</v>
      </c>
      <c r="P253" s="264"/>
      <c r="Q253" s="264"/>
      <c r="R253" s="264"/>
      <c r="S253" s="264"/>
      <c r="T253" s="264"/>
      <c r="U253" s="264"/>
      <c r="V253" s="264"/>
      <c r="W253" s="264"/>
      <c r="X253" s="264"/>
      <c r="Y253" s="264"/>
      <c r="Z253" s="264"/>
      <c r="AA253" s="264"/>
      <c r="AB253" s="264"/>
      <c r="AC253" s="264"/>
      <c r="AD253" s="264"/>
      <c r="AE253" s="264"/>
    </row>
    <row r="254">
      <c r="A254" s="272" t="s">
        <v>795</v>
      </c>
      <c r="B254" s="272" t="s">
        <v>144</v>
      </c>
      <c r="C254" s="272" t="s">
        <v>791</v>
      </c>
      <c r="D254" s="279">
        <v>45876.0</v>
      </c>
      <c r="E254" s="267" t="str">
        <f t="shared" si="1"/>
        <v>08 ago</v>
      </c>
      <c r="F254" s="274">
        <f t="shared" si="2"/>
        <v>2025</v>
      </c>
      <c r="G254" s="169" t="s">
        <v>706</v>
      </c>
      <c r="H254" s="272"/>
      <c r="I254" s="277"/>
      <c r="J254" s="276" t="str">
        <f>IF(ISBLANK(I254), "", VLOOKUP(E254&amp;" "&amp;F254, 'Info Tipo de Cambio y REM'!$A$24:$B$35, 2, FALSE))
</f>
        <v/>
      </c>
      <c r="K254" s="89">
        <v>6.49</v>
      </c>
      <c r="L254" s="277">
        <f t="shared" si="5"/>
        <v>-579982.6547</v>
      </c>
      <c r="M254" s="277">
        <f t="shared" si="3"/>
        <v>-90744.65</v>
      </c>
      <c r="N254" s="277">
        <f t="shared" si="6"/>
        <v>0</v>
      </c>
      <c r="O254" s="277">
        <f t="shared" si="4"/>
        <v>-90768.35763</v>
      </c>
      <c r="P254" s="264"/>
      <c r="Q254" s="264"/>
      <c r="R254" s="264"/>
      <c r="S254" s="264"/>
      <c r="T254" s="264"/>
      <c r="U254" s="264"/>
      <c r="V254" s="264"/>
      <c r="W254" s="264"/>
      <c r="X254" s="264"/>
      <c r="Y254" s="264"/>
      <c r="Z254" s="264"/>
      <c r="AA254" s="264"/>
      <c r="AB254" s="264"/>
      <c r="AC254" s="264"/>
      <c r="AD254" s="264"/>
      <c r="AE254" s="264"/>
    </row>
    <row r="255">
      <c r="A255" s="272" t="s">
        <v>795</v>
      </c>
      <c r="B255" s="272" t="s">
        <v>144</v>
      </c>
      <c r="C255" s="272" t="s">
        <v>791</v>
      </c>
      <c r="D255" s="279">
        <v>45877.0</v>
      </c>
      <c r="E255" s="267" t="str">
        <f t="shared" si="1"/>
        <v>08 ago</v>
      </c>
      <c r="F255" s="274">
        <f t="shared" si="2"/>
        <v>2025</v>
      </c>
      <c r="G255" s="169" t="s">
        <v>707</v>
      </c>
      <c r="H255" s="272"/>
      <c r="I255" s="277"/>
      <c r="J255" s="276" t="str">
        <f>IF(ISBLANK(I255), "", VLOOKUP(E255&amp;" "&amp;F255, 'Info Tipo de Cambio y REM'!$A$24:$B$35, 2, FALSE))
</f>
        <v/>
      </c>
      <c r="K255" s="89">
        <v>29.0</v>
      </c>
      <c r="L255" s="277">
        <f t="shared" si="5"/>
        <v>-579982.6547</v>
      </c>
      <c r="M255" s="277">
        <f t="shared" si="3"/>
        <v>-90773.65</v>
      </c>
      <c r="N255" s="277">
        <f t="shared" si="6"/>
        <v>0</v>
      </c>
      <c r="O255" s="277">
        <f t="shared" si="4"/>
        <v>-90797.35763</v>
      </c>
      <c r="P255" s="264"/>
      <c r="Q255" s="264"/>
      <c r="R255" s="264"/>
      <c r="S255" s="264"/>
      <c r="T255" s="264"/>
      <c r="U255" s="264"/>
      <c r="V255" s="264"/>
      <c r="W255" s="264"/>
      <c r="X255" s="264"/>
      <c r="Y255" s="264"/>
      <c r="Z255" s="264"/>
      <c r="AA255" s="264"/>
      <c r="AB255" s="264"/>
      <c r="AC255" s="264"/>
      <c r="AD255" s="264"/>
      <c r="AE255" s="264"/>
    </row>
    <row r="256">
      <c r="A256" s="272" t="s">
        <v>795</v>
      </c>
      <c r="B256" s="272" t="s">
        <v>144</v>
      </c>
      <c r="C256" s="272" t="s">
        <v>791</v>
      </c>
      <c r="D256" s="279">
        <v>45880.0</v>
      </c>
      <c r="E256" s="267" t="str">
        <f t="shared" si="1"/>
        <v>08 ago</v>
      </c>
      <c r="F256" s="274">
        <f t="shared" si="2"/>
        <v>2025</v>
      </c>
      <c r="G256" s="169" t="s">
        <v>708</v>
      </c>
      <c r="H256" s="272"/>
      <c r="I256" s="277"/>
      <c r="J256" s="276" t="str">
        <f>IF(ISBLANK(I256), "", VLOOKUP(E256&amp;" "&amp;F256, 'Info Tipo de Cambio y REM'!$A$24:$B$35, 2, FALSE))
</f>
        <v/>
      </c>
      <c r="K256" s="89">
        <v>491.63</v>
      </c>
      <c r="L256" s="277">
        <f t="shared" si="5"/>
        <v>-579982.6547</v>
      </c>
      <c r="M256" s="277">
        <f t="shared" si="3"/>
        <v>-91265.28</v>
      </c>
      <c r="N256" s="277">
        <f t="shared" si="6"/>
        <v>0</v>
      </c>
      <c r="O256" s="277">
        <f t="shared" si="4"/>
        <v>-91288.98763</v>
      </c>
      <c r="P256" s="264"/>
      <c r="Q256" s="264"/>
      <c r="R256" s="264"/>
      <c r="S256" s="264"/>
      <c r="T256" s="264"/>
      <c r="U256" s="264"/>
      <c r="V256" s="264"/>
      <c r="W256" s="264"/>
      <c r="X256" s="264"/>
      <c r="Y256" s="264"/>
      <c r="Z256" s="264"/>
      <c r="AA256" s="264"/>
      <c r="AB256" s="264"/>
      <c r="AC256" s="264"/>
      <c r="AD256" s="264"/>
      <c r="AE256" s="264"/>
    </row>
    <row r="257">
      <c r="A257" s="272" t="s">
        <v>795</v>
      </c>
      <c r="B257" s="272" t="s">
        <v>144</v>
      </c>
      <c r="C257" s="272" t="s">
        <v>791</v>
      </c>
      <c r="D257" s="279">
        <v>45881.0</v>
      </c>
      <c r="E257" s="267" t="str">
        <f t="shared" si="1"/>
        <v>08 ago</v>
      </c>
      <c r="F257" s="274">
        <f t="shared" si="2"/>
        <v>2025</v>
      </c>
      <c r="G257" s="169" t="s">
        <v>709</v>
      </c>
      <c r="H257" s="272"/>
      <c r="I257" s="277"/>
      <c r="J257" s="276" t="str">
        <f>IF(ISBLANK(I257), "", VLOOKUP(E257&amp;" "&amp;F257, 'Info Tipo de Cambio y REM'!$A$24:$B$35, 2, FALSE))
</f>
        <v/>
      </c>
      <c r="K257" s="89">
        <v>20.0</v>
      </c>
      <c r="L257" s="277">
        <f t="shared" si="5"/>
        <v>-579982.6547</v>
      </c>
      <c r="M257" s="277">
        <f t="shared" si="3"/>
        <v>-91285.28</v>
      </c>
      <c r="N257" s="277">
        <f t="shared" si="6"/>
        <v>0</v>
      </c>
      <c r="O257" s="277">
        <f t="shared" si="4"/>
        <v>-91308.98763</v>
      </c>
      <c r="P257" s="264"/>
      <c r="Q257" s="264"/>
      <c r="R257" s="264"/>
      <c r="S257" s="264"/>
      <c r="T257" s="264"/>
      <c r="U257" s="264"/>
      <c r="V257" s="264"/>
      <c r="W257" s="264"/>
      <c r="X257" s="264"/>
      <c r="Y257" s="264"/>
      <c r="Z257" s="264"/>
      <c r="AA257" s="264"/>
      <c r="AB257" s="264"/>
      <c r="AC257" s="264"/>
      <c r="AD257" s="264"/>
      <c r="AE257" s="264"/>
    </row>
    <row r="258">
      <c r="A258" s="272" t="s">
        <v>795</v>
      </c>
      <c r="B258" s="272" t="s">
        <v>144</v>
      </c>
      <c r="C258" s="272" t="s">
        <v>791</v>
      </c>
      <c r="D258" s="279">
        <v>45883.0</v>
      </c>
      <c r="E258" s="267" t="str">
        <f t="shared" si="1"/>
        <v>08 ago</v>
      </c>
      <c r="F258" s="274">
        <f t="shared" si="2"/>
        <v>2025</v>
      </c>
      <c r="G258" s="169" t="s">
        <v>419</v>
      </c>
      <c r="H258" s="272"/>
      <c r="I258" s="277"/>
      <c r="J258" s="276" t="str">
        <f>IF(ISBLANK(I258), "", VLOOKUP(E258&amp;" "&amp;F258, 'Info Tipo de Cambio y REM'!$A$24:$B$35, 2, FALSE))
</f>
        <v/>
      </c>
      <c r="K258" s="89">
        <v>10634.0</v>
      </c>
      <c r="L258" s="277">
        <f t="shared" si="5"/>
        <v>-579982.6547</v>
      </c>
      <c r="M258" s="277">
        <f t="shared" si="3"/>
        <v>-101919.28</v>
      </c>
      <c r="N258" s="277">
        <f t="shared" si="6"/>
        <v>0</v>
      </c>
      <c r="O258" s="277">
        <f t="shared" si="4"/>
        <v>-101942.9876</v>
      </c>
      <c r="P258" s="264"/>
      <c r="Q258" s="264"/>
      <c r="R258" s="264"/>
      <c r="S258" s="264"/>
      <c r="T258" s="264"/>
      <c r="U258" s="264"/>
      <c r="V258" s="264"/>
      <c r="W258" s="264"/>
      <c r="X258" s="264"/>
      <c r="Y258" s="264"/>
      <c r="Z258" s="264"/>
      <c r="AA258" s="264"/>
      <c r="AB258" s="264"/>
      <c r="AC258" s="264"/>
      <c r="AD258" s="264"/>
      <c r="AE258" s="264"/>
    </row>
    <row r="259">
      <c r="A259" s="272" t="s">
        <v>795</v>
      </c>
      <c r="B259" s="272" t="s">
        <v>793</v>
      </c>
      <c r="C259" s="272" t="s">
        <v>794</v>
      </c>
      <c r="D259" s="279">
        <v>45882.0</v>
      </c>
      <c r="E259" s="267" t="str">
        <f t="shared" si="1"/>
        <v>08 ago</v>
      </c>
      <c r="F259" s="274">
        <f t="shared" si="2"/>
        <v>2025</v>
      </c>
      <c r="G259" s="59" t="s">
        <v>710</v>
      </c>
      <c r="H259" s="59" t="s">
        <v>534</v>
      </c>
      <c r="I259" s="245">
        <v>143990.0</v>
      </c>
      <c r="J259" s="276">
        <f>IF(ISBLANK(I259), "", VLOOKUP(E259&amp;" "&amp;F259, 'Info Tipo de Cambio y REM'!$A$24:$B$35, 2, FALSE))
</f>
        <v>1345</v>
      </c>
      <c r="K259" s="294">
        <f t="shared" ref="K259:K279" si="16">I259/J259</f>
        <v>107.0557621</v>
      </c>
      <c r="L259" s="277">
        <f t="shared" si="5"/>
        <v>-723972.6547</v>
      </c>
      <c r="M259" s="277">
        <f t="shared" si="3"/>
        <v>-101919.28</v>
      </c>
      <c r="N259" s="277">
        <f t="shared" si="6"/>
        <v>0</v>
      </c>
      <c r="O259" s="277">
        <f t="shared" si="4"/>
        <v>-102050.0434</v>
      </c>
      <c r="P259" s="264"/>
      <c r="Q259" s="264"/>
      <c r="R259" s="264"/>
      <c r="S259" s="264"/>
      <c r="T259" s="264"/>
      <c r="U259" s="264"/>
      <c r="V259" s="264"/>
      <c r="W259" s="264"/>
      <c r="X259" s="264"/>
      <c r="Y259" s="264"/>
      <c r="Z259" s="264"/>
      <c r="AA259" s="264"/>
      <c r="AB259" s="264"/>
      <c r="AC259" s="264"/>
      <c r="AD259" s="264"/>
      <c r="AE259" s="264"/>
    </row>
    <row r="260">
      <c r="A260" s="272" t="s">
        <v>795</v>
      </c>
      <c r="B260" s="272" t="s">
        <v>793</v>
      </c>
      <c r="C260" s="272" t="s">
        <v>794</v>
      </c>
      <c r="D260" s="279">
        <v>45882.0</v>
      </c>
      <c r="E260" s="267" t="str">
        <f t="shared" si="1"/>
        <v>08 ago</v>
      </c>
      <c r="F260" s="274">
        <f t="shared" si="2"/>
        <v>2025</v>
      </c>
      <c r="G260" s="59" t="s">
        <v>711</v>
      </c>
      <c r="H260" s="59" t="s">
        <v>712</v>
      </c>
      <c r="I260" s="245">
        <v>72000.0</v>
      </c>
      <c r="J260" s="276">
        <f>IF(ISBLANK(I260), "", VLOOKUP(E260&amp;" "&amp;F260, 'Info Tipo de Cambio y REM'!$A$24:$B$35, 2, FALSE))
</f>
        <v>1345</v>
      </c>
      <c r="K260" s="294">
        <f t="shared" si="16"/>
        <v>53.53159851</v>
      </c>
      <c r="L260" s="277">
        <f t="shared" si="5"/>
        <v>-795972.6547</v>
      </c>
      <c r="M260" s="277">
        <f t="shared" si="3"/>
        <v>-101919.28</v>
      </c>
      <c r="N260" s="277">
        <f t="shared" si="6"/>
        <v>0</v>
      </c>
      <c r="O260" s="277">
        <f t="shared" si="4"/>
        <v>-102103.575</v>
      </c>
      <c r="P260" s="264"/>
      <c r="Q260" s="264"/>
      <c r="R260" s="264"/>
      <c r="S260" s="264"/>
      <c r="T260" s="264"/>
      <c r="U260" s="264"/>
      <c r="V260" s="264"/>
      <c r="W260" s="264"/>
      <c r="X260" s="264"/>
      <c r="Y260" s="264"/>
      <c r="Z260" s="264"/>
      <c r="AA260" s="264"/>
      <c r="AB260" s="264"/>
      <c r="AC260" s="264"/>
      <c r="AD260" s="264"/>
      <c r="AE260" s="264"/>
    </row>
    <row r="261">
      <c r="A261" s="272" t="s">
        <v>795</v>
      </c>
      <c r="B261" s="272" t="s">
        <v>793</v>
      </c>
      <c r="C261" s="272" t="s">
        <v>794</v>
      </c>
      <c r="D261" s="279">
        <v>45881.0</v>
      </c>
      <c r="E261" s="267" t="str">
        <f t="shared" si="1"/>
        <v>08 ago</v>
      </c>
      <c r="F261" s="274">
        <f t="shared" si="2"/>
        <v>2025</v>
      </c>
      <c r="G261" s="59" t="s">
        <v>713</v>
      </c>
      <c r="H261" s="59" t="s">
        <v>577</v>
      </c>
      <c r="I261" s="245">
        <v>169473.0</v>
      </c>
      <c r="J261" s="276">
        <f>IF(ISBLANK(I261), "", VLOOKUP(E261&amp;" "&amp;F261, 'Info Tipo de Cambio y REM'!$A$24:$B$35, 2, FALSE))
</f>
        <v>1345</v>
      </c>
      <c r="K261" s="294">
        <f t="shared" si="16"/>
        <v>126.0022305</v>
      </c>
      <c r="L261" s="277">
        <f t="shared" si="5"/>
        <v>-965445.6547</v>
      </c>
      <c r="M261" s="277">
        <f t="shared" si="3"/>
        <v>-101919.28</v>
      </c>
      <c r="N261" s="277">
        <f t="shared" si="6"/>
        <v>0</v>
      </c>
      <c r="O261" s="277">
        <f t="shared" si="4"/>
        <v>-102229.5772</v>
      </c>
      <c r="P261" s="264"/>
      <c r="Q261" s="264"/>
      <c r="R261" s="264"/>
      <c r="S261" s="264"/>
      <c r="T261" s="264"/>
      <c r="U261" s="264"/>
      <c r="V261" s="264"/>
      <c r="W261" s="264"/>
      <c r="X261" s="264"/>
      <c r="Y261" s="264"/>
      <c r="Z261" s="264"/>
      <c r="AA261" s="264"/>
      <c r="AB261" s="264"/>
      <c r="AC261" s="264"/>
      <c r="AD261" s="264"/>
      <c r="AE261" s="264"/>
    </row>
    <row r="262">
      <c r="A262" s="272" t="s">
        <v>795</v>
      </c>
      <c r="B262" s="272" t="s">
        <v>793</v>
      </c>
      <c r="C262" s="272" t="s">
        <v>794</v>
      </c>
      <c r="D262" s="279">
        <v>45881.0</v>
      </c>
      <c r="E262" s="267" t="str">
        <f t="shared" si="1"/>
        <v>08 ago</v>
      </c>
      <c r="F262" s="274">
        <f t="shared" si="2"/>
        <v>2025</v>
      </c>
      <c r="G262" s="59" t="s">
        <v>714</v>
      </c>
      <c r="H262" s="59" t="s">
        <v>389</v>
      </c>
      <c r="I262" s="245">
        <v>26385.0</v>
      </c>
      <c r="J262" s="276">
        <f>IF(ISBLANK(I262), "", VLOOKUP(E262&amp;" "&amp;F262, 'Info Tipo de Cambio y REM'!$A$24:$B$35, 2, FALSE))
</f>
        <v>1345</v>
      </c>
      <c r="K262" s="294">
        <f t="shared" si="16"/>
        <v>19.61710037</v>
      </c>
      <c r="L262" s="277">
        <f t="shared" si="5"/>
        <v>-991830.6547</v>
      </c>
      <c r="M262" s="277">
        <f t="shared" si="3"/>
        <v>-101919.28</v>
      </c>
      <c r="N262" s="277">
        <f t="shared" si="6"/>
        <v>0</v>
      </c>
      <c r="O262" s="277">
        <f t="shared" si="4"/>
        <v>-102249.1943</v>
      </c>
      <c r="P262" s="264"/>
      <c r="Q262" s="264"/>
      <c r="R262" s="264"/>
      <c r="S262" s="264"/>
      <c r="T262" s="264"/>
      <c r="U262" s="264"/>
      <c r="V262" s="264"/>
      <c r="W262" s="264"/>
      <c r="X262" s="264"/>
      <c r="Y262" s="264"/>
      <c r="Z262" s="264"/>
      <c r="AA262" s="264"/>
      <c r="AB262" s="264"/>
      <c r="AC262" s="264"/>
      <c r="AD262" s="264"/>
      <c r="AE262" s="264"/>
    </row>
    <row r="263">
      <c r="A263" s="272" t="s">
        <v>795</v>
      </c>
      <c r="B263" s="272" t="s">
        <v>793</v>
      </c>
      <c r="C263" s="272" t="s">
        <v>794</v>
      </c>
      <c r="D263" s="279">
        <v>45881.0</v>
      </c>
      <c r="E263" s="267" t="str">
        <f t="shared" si="1"/>
        <v>08 ago</v>
      </c>
      <c r="F263" s="274">
        <f t="shared" si="2"/>
        <v>2025</v>
      </c>
      <c r="G263" s="59" t="s">
        <v>715</v>
      </c>
      <c r="H263" s="59" t="s">
        <v>504</v>
      </c>
      <c r="I263" s="245">
        <v>436875.0</v>
      </c>
      <c r="J263" s="276">
        <f>IF(ISBLANK(I263), "", VLOOKUP(E263&amp;" "&amp;F263, 'Info Tipo de Cambio y REM'!$A$24:$B$35, 2, FALSE))
</f>
        <v>1345</v>
      </c>
      <c r="K263" s="294">
        <f t="shared" si="16"/>
        <v>324.8141264</v>
      </c>
      <c r="L263" s="277">
        <f t="shared" si="5"/>
        <v>-1428705.655</v>
      </c>
      <c r="M263" s="277">
        <f t="shared" si="3"/>
        <v>-101919.28</v>
      </c>
      <c r="N263" s="277">
        <f t="shared" si="6"/>
        <v>0</v>
      </c>
      <c r="O263" s="277">
        <f t="shared" si="4"/>
        <v>-102574.0085</v>
      </c>
      <c r="P263" s="264"/>
      <c r="Q263" s="264"/>
      <c r="R263" s="264"/>
      <c r="S263" s="264"/>
      <c r="T263" s="264"/>
      <c r="U263" s="264"/>
      <c r="V263" s="264"/>
      <c r="W263" s="264"/>
      <c r="X263" s="264"/>
      <c r="Y263" s="264"/>
      <c r="Z263" s="264"/>
      <c r="AA263" s="264"/>
      <c r="AB263" s="264"/>
      <c r="AC263" s="264"/>
      <c r="AD263" s="264"/>
      <c r="AE263" s="264"/>
    </row>
    <row r="264">
      <c r="A264" s="272" t="s">
        <v>795</v>
      </c>
      <c r="B264" s="272" t="s">
        <v>793</v>
      </c>
      <c r="C264" s="272" t="s">
        <v>794</v>
      </c>
      <c r="D264" s="279">
        <v>45881.0</v>
      </c>
      <c r="E264" s="267" t="str">
        <f t="shared" si="1"/>
        <v>08 ago</v>
      </c>
      <c r="F264" s="274">
        <f t="shared" si="2"/>
        <v>2025</v>
      </c>
      <c r="G264" s="59" t="s">
        <v>716</v>
      </c>
      <c r="H264" s="59" t="s">
        <v>379</v>
      </c>
      <c r="I264" s="245">
        <v>89131.0</v>
      </c>
      <c r="J264" s="276">
        <f>IF(ISBLANK(I264), "", VLOOKUP(E264&amp;" "&amp;F264, 'Info Tipo de Cambio y REM'!$A$24:$B$35, 2, FALSE))
</f>
        <v>1345</v>
      </c>
      <c r="K264" s="294">
        <f t="shared" si="16"/>
        <v>66.26840149</v>
      </c>
      <c r="L264" s="277">
        <f t="shared" si="5"/>
        <v>-1517836.655</v>
      </c>
      <c r="M264" s="277">
        <f t="shared" si="3"/>
        <v>-101919.28</v>
      </c>
      <c r="N264" s="277">
        <f t="shared" si="6"/>
        <v>0</v>
      </c>
      <c r="O264" s="277">
        <f t="shared" si="4"/>
        <v>-102640.2769</v>
      </c>
      <c r="P264" s="264"/>
      <c r="Q264" s="264"/>
      <c r="R264" s="264"/>
      <c r="S264" s="264"/>
      <c r="T264" s="264"/>
      <c r="U264" s="264"/>
      <c r="V264" s="264"/>
      <c r="W264" s="264"/>
      <c r="X264" s="264"/>
      <c r="Y264" s="264"/>
      <c r="Z264" s="264"/>
      <c r="AA264" s="264"/>
      <c r="AB264" s="264"/>
      <c r="AC264" s="264"/>
      <c r="AD264" s="264"/>
      <c r="AE264" s="264"/>
    </row>
    <row r="265">
      <c r="A265" s="272" t="s">
        <v>795</v>
      </c>
      <c r="B265" s="272" t="s">
        <v>793</v>
      </c>
      <c r="C265" s="272" t="s">
        <v>794</v>
      </c>
      <c r="D265" s="279">
        <v>45881.0</v>
      </c>
      <c r="E265" s="267" t="str">
        <f t="shared" si="1"/>
        <v>08 ago</v>
      </c>
      <c r="F265" s="274">
        <f t="shared" si="2"/>
        <v>2025</v>
      </c>
      <c r="G265" s="59" t="s">
        <v>717</v>
      </c>
      <c r="H265" s="59" t="s">
        <v>401</v>
      </c>
      <c r="I265" s="245">
        <v>1049356.0</v>
      </c>
      <c r="J265" s="276">
        <f>IF(ISBLANK(I265), "", VLOOKUP(E265&amp;" "&amp;F265, 'Info Tipo de Cambio y REM'!$A$24:$B$35, 2, FALSE))
</f>
        <v>1345</v>
      </c>
      <c r="K265" s="294">
        <f t="shared" si="16"/>
        <v>780.1903346</v>
      </c>
      <c r="L265" s="277">
        <f t="shared" si="5"/>
        <v>-2567192.655</v>
      </c>
      <c r="M265" s="277">
        <f t="shared" si="3"/>
        <v>-101919.28</v>
      </c>
      <c r="N265" s="277">
        <f t="shared" si="6"/>
        <v>0</v>
      </c>
      <c r="O265" s="277">
        <f t="shared" si="4"/>
        <v>-103420.4672</v>
      </c>
      <c r="P265" s="264"/>
      <c r="Q265" s="264"/>
      <c r="R265" s="264"/>
      <c r="S265" s="264"/>
      <c r="T265" s="264"/>
      <c r="U265" s="264"/>
      <c r="V265" s="264"/>
      <c r="W265" s="264"/>
      <c r="X265" s="264"/>
      <c r="Y265" s="264"/>
      <c r="Z265" s="264"/>
      <c r="AA265" s="264"/>
      <c r="AB265" s="264"/>
      <c r="AC265" s="264"/>
      <c r="AD265" s="264"/>
      <c r="AE265" s="264"/>
    </row>
    <row r="266">
      <c r="A266" s="272" t="s">
        <v>795</v>
      </c>
      <c r="B266" s="272" t="s">
        <v>793</v>
      </c>
      <c r="C266" s="272" t="s">
        <v>794</v>
      </c>
      <c r="D266" s="279">
        <v>45881.0</v>
      </c>
      <c r="E266" s="267" t="str">
        <f t="shared" si="1"/>
        <v>08 ago</v>
      </c>
      <c r="F266" s="274">
        <f t="shared" si="2"/>
        <v>2025</v>
      </c>
      <c r="G266" s="59" t="s">
        <v>718</v>
      </c>
      <c r="H266" s="59" t="s">
        <v>397</v>
      </c>
      <c r="I266" s="245">
        <v>326820.0</v>
      </c>
      <c r="J266" s="276">
        <f>IF(ISBLANK(I266), "", VLOOKUP(E266&amp;" "&amp;F266, 'Info Tipo de Cambio y REM'!$A$24:$B$35, 2, FALSE))
</f>
        <v>1345</v>
      </c>
      <c r="K266" s="294">
        <f t="shared" si="16"/>
        <v>242.9888476</v>
      </c>
      <c r="L266" s="277">
        <f t="shared" si="5"/>
        <v>-2894012.655</v>
      </c>
      <c r="M266" s="277">
        <f t="shared" si="3"/>
        <v>-101919.28</v>
      </c>
      <c r="N266" s="277">
        <f t="shared" si="6"/>
        <v>0</v>
      </c>
      <c r="O266" s="277">
        <f t="shared" si="4"/>
        <v>-103663.456</v>
      </c>
      <c r="P266" s="264"/>
      <c r="Q266" s="264"/>
      <c r="R266" s="264"/>
      <c r="S266" s="264"/>
      <c r="T266" s="264"/>
      <c r="U266" s="264"/>
      <c r="V266" s="264"/>
      <c r="W266" s="264"/>
      <c r="X266" s="264"/>
      <c r="Y266" s="264"/>
      <c r="Z266" s="264"/>
      <c r="AA266" s="264"/>
      <c r="AB266" s="264"/>
      <c r="AC266" s="264"/>
      <c r="AD266" s="264"/>
      <c r="AE266" s="264"/>
    </row>
    <row r="267">
      <c r="A267" s="272" t="s">
        <v>795</v>
      </c>
      <c r="B267" s="272" t="s">
        <v>793</v>
      </c>
      <c r="C267" s="272" t="s">
        <v>794</v>
      </c>
      <c r="D267" s="279">
        <v>45881.0</v>
      </c>
      <c r="E267" s="267" t="str">
        <f t="shared" si="1"/>
        <v>08 ago</v>
      </c>
      <c r="F267" s="274">
        <f t="shared" si="2"/>
        <v>2025</v>
      </c>
      <c r="G267" s="59" t="s">
        <v>719</v>
      </c>
      <c r="H267" s="59" t="s">
        <v>411</v>
      </c>
      <c r="I267" s="245">
        <v>111181.0</v>
      </c>
      <c r="J267" s="276">
        <f>IF(ISBLANK(I267), "", VLOOKUP(E267&amp;" "&amp;F267, 'Info Tipo de Cambio y REM'!$A$24:$B$35, 2, FALSE))
</f>
        <v>1345</v>
      </c>
      <c r="K267" s="294">
        <f t="shared" si="16"/>
        <v>82.66245353</v>
      </c>
      <c r="L267" s="277">
        <f t="shared" si="5"/>
        <v>-3005193.655</v>
      </c>
      <c r="M267" s="277">
        <f t="shared" si="3"/>
        <v>-101919.28</v>
      </c>
      <c r="N267" s="277">
        <f t="shared" si="6"/>
        <v>0</v>
      </c>
      <c r="O267" s="277">
        <f t="shared" si="4"/>
        <v>-103746.1185</v>
      </c>
      <c r="P267" s="264"/>
      <c r="Q267" s="264"/>
      <c r="R267" s="264"/>
      <c r="S267" s="264"/>
      <c r="T267" s="264"/>
      <c r="U267" s="264"/>
      <c r="V267" s="264"/>
      <c r="W267" s="264"/>
      <c r="X267" s="264"/>
      <c r="Y267" s="264"/>
      <c r="Z267" s="264"/>
      <c r="AA267" s="264"/>
      <c r="AB267" s="264"/>
      <c r="AC267" s="264"/>
      <c r="AD267" s="264"/>
      <c r="AE267" s="264"/>
    </row>
    <row r="268">
      <c r="A268" s="272" t="s">
        <v>795</v>
      </c>
      <c r="B268" s="272" t="s">
        <v>793</v>
      </c>
      <c r="C268" s="272" t="s">
        <v>794</v>
      </c>
      <c r="D268" s="279">
        <v>45881.0</v>
      </c>
      <c r="E268" s="267" t="str">
        <f t="shared" si="1"/>
        <v>08 ago</v>
      </c>
      <c r="F268" s="274">
        <f t="shared" si="2"/>
        <v>2025</v>
      </c>
      <c r="G268" s="59" t="s">
        <v>720</v>
      </c>
      <c r="H268" s="59" t="s">
        <v>383</v>
      </c>
      <c r="I268" s="245">
        <v>537700.0</v>
      </c>
      <c r="J268" s="276">
        <f>IF(ISBLANK(I268), "", VLOOKUP(E268&amp;" "&amp;F268, 'Info Tipo de Cambio y REM'!$A$24:$B$35, 2, FALSE))
</f>
        <v>1345</v>
      </c>
      <c r="K268" s="294">
        <f t="shared" si="16"/>
        <v>399.7769517</v>
      </c>
      <c r="L268" s="277">
        <f t="shared" si="5"/>
        <v>-3542893.655</v>
      </c>
      <c r="M268" s="277">
        <f t="shared" si="3"/>
        <v>-101919.28</v>
      </c>
      <c r="N268" s="277">
        <f t="shared" si="6"/>
        <v>0</v>
      </c>
      <c r="O268" s="277">
        <f t="shared" si="4"/>
        <v>-104145.8954</v>
      </c>
      <c r="P268" s="264"/>
      <c r="Q268" s="264"/>
      <c r="R268" s="264"/>
      <c r="S268" s="264"/>
      <c r="T268" s="264"/>
      <c r="U268" s="264"/>
      <c r="V268" s="264"/>
      <c r="W268" s="264"/>
      <c r="X268" s="264"/>
      <c r="Y268" s="264"/>
      <c r="Z268" s="264"/>
      <c r="AA268" s="264"/>
      <c r="AB268" s="264"/>
      <c r="AC268" s="264"/>
      <c r="AD268" s="264"/>
      <c r="AE268" s="264"/>
    </row>
    <row r="269">
      <c r="A269" s="272" t="s">
        <v>795</v>
      </c>
      <c r="B269" s="272" t="s">
        <v>793</v>
      </c>
      <c r="C269" s="272" t="s">
        <v>794</v>
      </c>
      <c r="D269" s="279">
        <v>45881.0</v>
      </c>
      <c r="E269" s="267" t="str">
        <f t="shared" si="1"/>
        <v>08 ago</v>
      </c>
      <c r="F269" s="274">
        <f t="shared" si="2"/>
        <v>2025</v>
      </c>
      <c r="G269" s="59" t="s">
        <v>721</v>
      </c>
      <c r="H269" s="59" t="s">
        <v>391</v>
      </c>
      <c r="I269" s="245">
        <v>1150600.0</v>
      </c>
      <c r="J269" s="276">
        <f>IF(ISBLANK(I269), "", VLOOKUP(E269&amp;" "&amp;F269, 'Info Tipo de Cambio y REM'!$A$24:$B$35, 2, FALSE))
</f>
        <v>1345</v>
      </c>
      <c r="K269" s="294">
        <f t="shared" si="16"/>
        <v>855.464684</v>
      </c>
      <c r="L269" s="277">
        <f t="shared" si="5"/>
        <v>-4693493.655</v>
      </c>
      <c r="M269" s="277">
        <f t="shared" si="3"/>
        <v>-101919.28</v>
      </c>
      <c r="N269" s="277">
        <f t="shared" si="6"/>
        <v>0</v>
      </c>
      <c r="O269" s="277">
        <f t="shared" si="4"/>
        <v>-105001.3601</v>
      </c>
      <c r="P269" s="264"/>
      <c r="Q269" s="264"/>
      <c r="R269" s="264"/>
      <c r="S269" s="264"/>
      <c r="T269" s="264"/>
      <c r="U269" s="264"/>
      <c r="V269" s="264"/>
      <c r="W269" s="264"/>
      <c r="X269" s="264"/>
      <c r="Y269" s="264"/>
      <c r="Z269" s="264"/>
      <c r="AA269" s="264"/>
      <c r="AB269" s="264"/>
      <c r="AC269" s="264"/>
      <c r="AD269" s="264"/>
      <c r="AE269" s="264"/>
    </row>
    <row r="270">
      <c r="A270" s="272" t="s">
        <v>795</v>
      </c>
      <c r="B270" s="272" t="s">
        <v>793</v>
      </c>
      <c r="C270" s="272" t="s">
        <v>794</v>
      </c>
      <c r="D270" s="279">
        <v>45881.0</v>
      </c>
      <c r="E270" s="267" t="str">
        <f t="shared" si="1"/>
        <v>08 ago</v>
      </c>
      <c r="F270" s="274">
        <f t="shared" si="2"/>
        <v>2025</v>
      </c>
      <c r="G270" s="59" t="s">
        <v>722</v>
      </c>
      <c r="H270" s="59" t="s">
        <v>407</v>
      </c>
      <c r="I270" s="245">
        <v>237372.0</v>
      </c>
      <c r="J270" s="276">
        <f>IF(ISBLANK(I270), "", VLOOKUP(E270&amp;" "&amp;F270, 'Info Tipo de Cambio y REM'!$A$24:$B$35, 2, FALSE))
</f>
        <v>1345</v>
      </c>
      <c r="K270" s="294">
        <f t="shared" si="16"/>
        <v>176.4847584</v>
      </c>
      <c r="L270" s="277">
        <f t="shared" si="5"/>
        <v>-4930865.655</v>
      </c>
      <c r="M270" s="277">
        <f t="shared" si="3"/>
        <v>-101919.28</v>
      </c>
      <c r="N270" s="277">
        <f t="shared" si="6"/>
        <v>0</v>
      </c>
      <c r="O270" s="277">
        <f t="shared" si="4"/>
        <v>-105177.8449</v>
      </c>
      <c r="P270" s="264"/>
      <c r="Q270" s="264"/>
      <c r="R270" s="264"/>
      <c r="S270" s="264"/>
      <c r="T270" s="264"/>
      <c r="U270" s="264"/>
      <c r="V270" s="264"/>
      <c r="W270" s="264"/>
      <c r="X270" s="264"/>
      <c r="Y270" s="264"/>
      <c r="Z270" s="264"/>
      <c r="AA270" s="264"/>
      <c r="AB270" s="264"/>
      <c r="AC270" s="264"/>
      <c r="AD270" s="264"/>
      <c r="AE270" s="264"/>
    </row>
    <row r="271">
      <c r="A271" s="272" t="s">
        <v>795</v>
      </c>
      <c r="B271" s="272" t="s">
        <v>793</v>
      </c>
      <c r="C271" s="272" t="s">
        <v>794</v>
      </c>
      <c r="D271" s="279">
        <v>45881.0</v>
      </c>
      <c r="E271" s="267" t="str">
        <f t="shared" si="1"/>
        <v>08 ago</v>
      </c>
      <c r="F271" s="274">
        <f t="shared" si="2"/>
        <v>2025</v>
      </c>
      <c r="G271" s="59" t="s">
        <v>723</v>
      </c>
      <c r="H271" s="59" t="s">
        <v>381</v>
      </c>
      <c r="I271" s="245">
        <v>260763.0</v>
      </c>
      <c r="J271" s="276">
        <f>IF(ISBLANK(I271), "", VLOOKUP(E271&amp;" "&amp;F271, 'Info Tipo de Cambio y REM'!$A$24:$B$35, 2, FALSE))
</f>
        <v>1345</v>
      </c>
      <c r="K271" s="294">
        <f t="shared" si="16"/>
        <v>193.8758364</v>
      </c>
      <c r="L271" s="277">
        <f t="shared" si="5"/>
        <v>-5191628.655</v>
      </c>
      <c r="M271" s="277">
        <f t="shared" si="3"/>
        <v>-101919.28</v>
      </c>
      <c r="N271" s="277">
        <f t="shared" si="6"/>
        <v>0</v>
      </c>
      <c r="O271" s="277">
        <f t="shared" si="4"/>
        <v>-105371.7207</v>
      </c>
      <c r="P271" s="264"/>
      <c r="Q271" s="264"/>
      <c r="R271" s="264"/>
      <c r="S271" s="264"/>
      <c r="T271" s="264"/>
      <c r="U271" s="264"/>
      <c r="V271" s="264"/>
      <c r="W271" s="264"/>
      <c r="X271" s="264"/>
      <c r="Y271" s="264"/>
      <c r="Z271" s="264"/>
      <c r="AA271" s="264"/>
      <c r="AB271" s="264"/>
      <c r="AC271" s="264"/>
      <c r="AD271" s="264"/>
      <c r="AE271" s="264"/>
    </row>
    <row r="272">
      <c r="A272" s="272" t="s">
        <v>795</v>
      </c>
      <c r="B272" s="272" t="s">
        <v>793</v>
      </c>
      <c r="C272" s="272" t="s">
        <v>794</v>
      </c>
      <c r="D272" s="279">
        <v>45881.0</v>
      </c>
      <c r="E272" s="267" t="str">
        <f t="shared" si="1"/>
        <v>08 ago</v>
      </c>
      <c r="F272" s="274">
        <f t="shared" si="2"/>
        <v>2025</v>
      </c>
      <c r="G272" s="59" t="s">
        <v>724</v>
      </c>
      <c r="H272" s="59" t="s">
        <v>414</v>
      </c>
      <c r="I272" s="245">
        <v>912000.0</v>
      </c>
      <c r="J272" s="276">
        <f>IF(ISBLANK(I272), "", VLOOKUP(E272&amp;" "&amp;F272, 'Info Tipo de Cambio y REM'!$A$24:$B$35, 2, FALSE))
</f>
        <v>1345</v>
      </c>
      <c r="K272" s="294">
        <f t="shared" si="16"/>
        <v>678.0669145</v>
      </c>
      <c r="L272" s="277">
        <f t="shared" si="5"/>
        <v>-6103628.655</v>
      </c>
      <c r="M272" s="277">
        <f t="shared" si="3"/>
        <v>-101919.28</v>
      </c>
      <c r="N272" s="277">
        <f t="shared" si="6"/>
        <v>0</v>
      </c>
      <c r="O272" s="277">
        <f t="shared" si="4"/>
        <v>-106049.7876</v>
      </c>
      <c r="P272" s="264"/>
      <c r="Q272" s="264"/>
      <c r="R272" s="264"/>
      <c r="S272" s="264"/>
      <c r="T272" s="264"/>
      <c r="U272" s="264"/>
      <c r="V272" s="264"/>
      <c r="W272" s="264"/>
      <c r="X272" s="264"/>
      <c r="Y272" s="264"/>
      <c r="Z272" s="264"/>
      <c r="AA272" s="264"/>
      <c r="AB272" s="264"/>
      <c r="AC272" s="264"/>
      <c r="AD272" s="264"/>
      <c r="AE272" s="264"/>
    </row>
    <row r="273">
      <c r="A273" s="272" t="s">
        <v>795</v>
      </c>
      <c r="B273" s="272" t="s">
        <v>793</v>
      </c>
      <c r="C273" s="272" t="s">
        <v>794</v>
      </c>
      <c r="D273" s="279">
        <v>45881.0</v>
      </c>
      <c r="E273" s="267" t="str">
        <f t="shared" si="1"/>
        <v>08 ago</v>
      </c>
      <c r="F273" s="274">
        <f t="shared" si="2"/>
        <v>2025</v>
      </c>
      <c r="G273" s="59" t="s">
        <v>725</v>
      </c>
      <c r="H273" s="59" t="s">
        <v>409</v>
      </c>
      <c r="I273" s="245">
        <v>318008.0</v>
      </c>
      <c r="J273" s="276">
        <f>IF(ISBLANK(I273), "", VLOOKUP(E273&amp;" "&amp;F273, 'Info Tipo de Cambio y REM'!$A$24:$B$35, 2, FALSE))
</f>
        <v>1345</v>
      </c>
      <c r="K273" s="294">
        <f t="shared" si="16"/>
        <v>236.4371747</v>
      </c>
      <c r="L273" s="277">
        <f t="shared" si="5"/>
        <v>-6421636.655</v>
      </c>
      <c r="M273" s="277">
        <f t="shared" si="3"/>
        <v>-101919.28</v>
      </c>
      <c r="N273" s="277">
        <f t="shared" si="6"/>
        <v>0</v>
      </c>
      <c r="O273" s="277">
        <f t="shared" si="4"/>
        <v>-106286.2248</v>
      </c>
      <c r="P273" s="264"/>
      <c r="Q273" s="264"/>
      <c r="R273" s="264"/>
      <c r="S273" s="264"/>
      <c r="T273" s="264"/>
      <c r="U273" s="264"/>
      <c r="V273" s="264"/>
      <c r="W273" s="264"/>
      <c r="X273" s="264"/>
      <c r="Y273" s="264"/>
      <c r="Z273" s="264"/>
      <c r="AA273" s="264"/>
      <c r="AB273" s="264"/>
      <c r="AC273" s="264"/>
      <c r="AD273" s="264"/>
      <c r="AE273" s="264"/>
    </row>
    <row r="274">
      <c r="A274" s="272" t="s">
        <v>795</v>
      </c>
      <c r="B274" s="272" t="s">
        <v>793</v>
      </c>
      <c r="C274" s="272" t="s">
        <v>794</v>
      </c>
      <c r="D274" s="279">
        <v>45881.0</v>
      </c>
      <c r="E274" s="267" t="str">
        <f t="shared" si="1"/>
        <v>08 ago</v>
      </c>
      <c r="F274" s="274">
        <f t="shared" si="2"/>
        <v>2025</v>
      </c>
      <c r="G274" s="59" t="s">
        <v>726</v>
      </c>
      <c r="H274" s="59" t="s">
        <v>403</v>
      </c>
      <c r="I274" s="245">
        <v>503308.0</v>
      </c>
      <c r="J274" s="276">
        <f>IF(ISBLANK(I274), "", VLOOKUP(E274&amp;" "&amp;F274, 'Info Tipo de Cambio y REM'!$A$24:$B$35, 2, FALSE))
</f>
        <v>1345</v>
      </c>
      <c r="K274" s="294">
        <f t="shared" si="16"/>
        <v>374.2066914</v>
      </c>
      <c r="L274" s="277">
        <f t="shared" si="5"/>
        <v>-6924944.655</v>
      </c>
      <c r="M274" s="277">
        <f t="shared" si="3"/>
        <v>-101919.28</v>
      </c>
      <c r="N274" s="277">
        <f t="shared" si="6"/>
        <v>0</v>
      </c>
      <c r="O274" s="277">
        <f t="shared" si="4"/>
        <v>-106660.4315</v>
      </c>
      <c r="P274" s="264"/>
      <c r="Q274" s="264"/>
      <c r="R274" s="264"/>
      <c r="S274" s="264"/>
      <c r="T274" s="264"/>
      <c r="U274" s="264"/>
      <c r="V274" s="264"/>
      <c r="W274" s="264"/>
      <c r="X274" s="264"/>
      <c r="Y274" s="264"/>
      <c r="Z274" s="264"/>
      <c r="AA274" s="264"/>
      <c r="AB274" s="264"/>
      <c r="AC274" s="264"/>
      <c r="AD274" s="264"/>
      <c r="AE274" s="264"/>
    </row>
    <row r="275">
      <c r="A275" s="272" t="s">
        <v>795</v>
      </c>
      <c r="B275" s="272" t="s">
        <v>793</v>
      </c>
      <c r="C275" s="272" t="s">
        <v>794</v>
      </c>
      <c r="D275" s="279">
        <v>45881.0</v>
      </c>
      <c r="E275" s="267" t="str">
        <f t="shared" si="1"/>
        <v>08 ago</v>
      </c>
      <c r="F275" s="274">
        <f t="shared" si="2"/>
        <v>2025</v>
      </c>
      <c r="G275" s="59" t="s">
        <v>727</v>
      </c>
      <c r="H275" s="59" t="s">
        <v>436</v>
      </c>
      <c r="I275" s="245">
        <v>296488.0</v>
      </c>
      <c r="J275" s="276">
        <f>IF(ISBLANK(I275), "", VLOOKUP(E275&amp;" "&amp;F275, 'Info Tipo de Cambio y REM'!$A$24:$B$35, 2, FALSE))
</f>
        <v>1345</v>
      </c>
      <c r="K275" s="294">
        <f t="shared" si="16"/>
        <v>220.4371747</v>
      </c>
      <c r="L275" s="277">
        <f t="shared" si="5"/>
        <v>-7221432.655</v>
      </c>
      <c r="M275" s="277">
        <f t="shared" si="3"/>
        <v>-101919.28</v>
      </c>
      <c r="N275" s="277">
        <f t="shared" si="6"/>
        <v>0</v>
      </c>
      <c r="O275" s="277">
        <f t="shared" si="4"/>
        <v>-106880.8687</v>
      </c>
      <c r="P275" s="264"/>
      <c r="Q275" s="264"/>
      <c r="R275" s="264"/>
      <c r="S275" s="264"/>
      <c r="T275" s="264"/>
      <c r="U275" s="264"/>
      <c r="V275" s="264"/>
      <c r="W275" s="264"/>
      <c r="X275" s="264"/>
      <c r="Y275" s="264"/>
      <c r="Z275" s="264"/>
      <c r="AA275" s="264"/>
      <c r="AB275" s="264"/>
      <c r="AC275" s="264"/>
      <c r="AD275" s="264"/>
      <c r="AE275" s="264"/>
    </row>
    <row r="276">
      <c r="A276" s="272" t="s">
        <v>795</v>
      </c>
      <c r="B276" s="272" t="s">
        <v>793</v>
      </c>
      <c r="C276" s="272" t="s">
        <v>794</v>
      </c>
      <c r="D276" s="279">
        <v>45876.0</v>
      </c>
      <c r="E276" s="267" t="str">
        <f t="shared" si="1"/>
        <v>08 ago</v>
      </c>
      <c r="F276" s="274">
        <f t="shared" si="2"/>
        <v>2025</v>
      </c>
      <c r="G276" s="59" t="s">
        <v>728</v>
      </c>
      <c r="H276" s="59" t="s">
        <v>399</v>
      </c>
      <c r="I276" s="245">
        <v>712040.0</v>
      </c>
      <c r="J276" s="276">
        <f>IF(ISBLANK(I276), "", VLOOKUP(E276&amp;" "&amp;F276, 'Info Tipo de Cambio y REM'!$A$24:$B$35, 2, FALSE))
</f>
        <v>1345</v>
      </c>
      <c r="K276" s="294">
        <f t="shared" si="16"/>
        <v>529.3977695</v>
      </c>
      <c r="L276" s="277">
        <f t="shared" si="5"/>
        <v>-7933472.655</v>
      </c>
      <c r="M276" s="277">
        <f t="shared" si="3"/>
        <v>-101919.28</v>
      </c>
      <c r="N276" s="277">
        <f t="shared" si="6"/>
        <v>0</v>
      </c>
      <c r="O276" s="277">
        <f t="shared" si="4"/>
        <v>-107410.2664</v>
      </c>
      <c r="P276" s="264"/>
      <c r="Q276" s="264"/>
      <c r="R276" s="264"/>
      <c r="S276" s="264"/>
      <c r="T276" s="264"/>
      <c r="U276" s="264"/>
      <c r="V276" s="264"/>
      <c r="W276" s="264"/>
      <c r="X276" s="264"/>
      <c r="Y276" s="264"/>
      <c r="Z276" s="264"/>
      <c r="AA276" s="264"/>
      <c r="AB276" s="264"/>
      <c r="AC276" s="264"/>
      <c r="AD276" s="264"/>
      <c r="AE276" s="264"/>
    </row>
    <row r="277">
      <c r="A277" s="272" t="s">
        <v>795</v>
      </c>
      <c r="B277" s="272" t="s">
        <v>793</v>
      </c>
      <c r="C277" s="272" t="s">
        <v>794</v>
      </c>
      <c r="D277" s="279">
        <v>45881.0</v>
      </c>
      <c r="E277" s="267" t="str">
        <f t="shared" si="1"/>
        <v>08 ago</v>
      </c>
      <c r="F277" s="274">
        <f t="shared" si="2"/>
        <v>2025</v>
      </c>
      <c r="G277" s="59" t="s">
        <v>729</v>
      </c>
      <c r="H277" s="59" t="s">
        <v>413</v>
      </c>
      <c r="I277" s="245">
        <v>38048.66</v>
      </c>
      <c r="J277" s="276">
        <f>IF(ISBLANK(I277), "", VLOOKUP(E277&amp;" "&amp;F277, 'Info Tipo de Cambio y REM'!$A$24:$B$35, 2, FALSE))
</f>
        <v>1345</v>
      </c>
      <c r="K277" s="294">
        <f t="shared" si="16"/>
        <v>28.28896654</v>
      </c>
      <c r="L277" s="277">
        <f t="shared" si="5"/>
        <v>-7971521.315</v>
      </c>
      <c r="M277" s="277">
        <f t="shared" si="3"/>
        <v>-101919.28</v>
      </c>
      <c r="N277" s="277">
        <f t="shared" si="6"/>
        <v>0</v>
      </c>
      <c r="O277" s="277">
        <f t="shared" si="4"/>
        <v>-107438.5554</v>
      </c>
      <c r="P277" s="264"/>
      <c r="Q277" s="264"/>
      <c r="R277" s="264"/>
      <c r="S277" s="264"/>
      <c r="T277" s="264"/>
      <c r="U277" s="264"/>
      <c r="V277" s="264"/>
      <c r="W277" s="264"/>
      <c r="X277" s="264"/>
      <c r="Y277" s="264"/>
      <c r="Z277" s="264"/>
      <c r="AA277" s="264"/>
      <c r="AB277" s="264"/>
      <c r="AC277" s="264"/>
      <c r="AD277" s="264"/>
      <c r="AE277" s="264"/>
    </row>
    <row r="278">
      <c r="A278" s="272" t="s">
        <v>797</v>
      </c>
      <c r="B278" s="272" t="s">
        <v>793</v>
      </c>
      <c r="C278" s="272" t="s">
        <v>794</v>
      </c>
      <c r="D278" s="279">
        <v>45876.0</v>
      </c>
      <c r="E278" s="267" t="str">
        <f t="shared" si="1"/>
        <v>08 ago</v>
      </c>
      <c r="F278" s="274">
        <f t="shared" si="2"/>
        <v>2025</v>
      </c>
      <c r="G278" s="118" t="s">
        <v>323</v>
      </c>
      <c r="H278" s="272" t="s">
        <v>882</v>
      </c>
      <c r="I278" s="117">
        <v>5562007.0</v>
      </c>
      <c r="J278" s="276">
        <f>IF(ISBLANK(I278), "", VLOOKUP(E278&amp;" "&amp;F278, 'Info Tipo de Cambio y REM'!$A$24:$B$35, 2, FALSE))
</f>
        <v>1345</v>
      </c>
      <c r="K278" s="294">
        <f t="shared" si="16"/>
        <v>4135.32119</v>
      </c>
      <c r="L278" s="277">
        <f t="shared" si="5"/>
        <v>-2409514.315</v>
      </c>
      <c r="M278" s="277">
        <f t="shared" si="3"/>
        <v>-101919.28</v>
      </c>
      <c r="N278" s="277">
        <f t="shared" si="6"/>
        <v>0</v>
      </c>
      <c r="O278" s="277">
        <f t="shared" si="4"/>
        <v>-103303.2342</v>
      </c>
      <c r="P278" s="264"/>
      <c r="Q278" s="264"/>
      <c r="R278" s="264"/>
      <c r="S278" s="264"/>
      <c r="T278" s="264"/>
      <c r="U278" s="264"/>
      <c r="V278" s="264"/>
      <c r="W278" s="264"/>
      <c r="X278" s="264"/>
      <c r="Y278" s="264"/>
      <c r="Z278" s="264"/>
      <c r="AA278" s="264"/>
      <c r="AB278" s="264"/>
      <c r="AC278" s="264"/>
      <c r="AD278" s="264"/>
      <c r="AE278" s="264"/>
    </row>
    <row r="279">
      <c r="A279" s="272" t="s">
        <v>797</v>
      </c>
      <c r="B279" s="272" t="s">
        <v>793</v>
      </c>
      <c r="C279" s="272" t="s">
        <v>794</v>
      </c>
      <c r="D279" s="279">
        <v>45870.0</v>
      </c>
      <c r="E279" s="267" t="str">
        <f t="shared" si="1"/>
        <v>08 ago</v>
      </c>
      <c r="F279" s="274">
        <f t="shared" si="2"/>
        <v>2025</v>
      </c>
      <c r="G279" s="43" t="s">
        <v>326</v>
      </c>
      <c r="H279" s="272" t="s">
        <v>883</v>
      </c>
      <c r="I279" s="112">
        <v>1052700.0</v>
      </c>
      <c r="J279" s="276">
        <f>IF(ISBLANK(I279), "", VLOOKUP(E279&amp;" "&amp;F279, 'Info Tipo de Cambio y REM'!$A$24:$B$35, 2, FALSE))
</f>
        <v>1345</v>
      </c>
      <c r="K279" s="294">
        <f t="shared" si="16"/>
        <v>782.6765799</v>
      </c>
      <c r="L279" s="277">
        <f t="shared" si="5"/>
        <v>-1356814.315</v>
      </c>
      <c r="M279" s="277">
        <f t="shared" si="3"/>
        <v>-101919.28</v>
      </c>
      <c r="N279" s="277">
        <f t="shared" si="6"/>
        <v>0</v>
      </c>
      <c r="O279" s="277">
        <f t="shared" si="4"/>
        <v>-102520.5576</v>
      </c>
      <c r="P279" s="264"/>
      <c r="Q279" s="264"/>
      <c r="R279" s="264"/>
      <c r="S279" s="264"/>
      <c r="T279" s="264"/>
      <c r="U279" s="264"/>
      <c r="V279" s="264"/>
      <c r="W279" s="264"/>
      <c r="X279" s="264"/>
      <c r="Y279" s="264"/>
      <c r="Z279" s="264"/>
      <c r="AA279" s="264"/>
      <c r="AB279" s="264"/>
      <c r="AC279" s="264"/>
      <c r="AD279" s="264"/>
      <c r="AE279" s="264"/>
    </row>
    <row r="280">
      <c r="A280" s="272" t="s">
        <v>797</v>
      </c>
      <c r="B280" s="272" t="s">
        <v>144</v>
      </c>
      <c r="C280" s="272" t="s">
        <v>791</v>
      </c>
      <c r="D280" s="172">
        <v>45877.0</v>
      </c>
      <c r="E280" s="267" t="str">
        <f t="shared" si="1"/>
        <v>08 ago</v>
      </c>
      <c r="F280" s="274">
        <f t="shared" si="2"/>
        <v>2025</v>
      </c>
      <c r="G280" s="272" t="s">
        <v>334</v>
      </c>
      <c r="H280" s="272" t="s">
        <v>334</v>
      </c>
      <c r="I280" s="277"/>
      <c r="J280" s="276" t="str">
        <f>IF(ISBLANK(I280), "", VLOOKUP(E280&amp;" "&amp;F280, 'Info Tipo de Cambio y REM'!$A$24:$B$35, 2, FALSE))
</f>
        <v/>
      </c>
      <c r="K280" s="294">
        <v>29230.0</v>
      </c>
      <c r="L280" s="293">
        <f t="shared" si="5"/>
        <v>-1356814.315</v>
      </c>
      <c r="M280" s="293">
        <f t="shared" si="3"/>
        <v>-72689.28</v>
      </c>
      <c r="N280" s="293">
        <f t="shared" si="6"/>
        <v>0</v>
      </c>
      <c r="O280" s="277">
        <f t="shared" si="4"/>
        <v>-73290.55764</v>
      </c>
      <c r="P280" s="264"/>
      <c r="Q280" s="264"/>
      <c r="R280" s="264"/>
      <c r="S280" s="264"/>
      <c r="T280" s="264"/>
      <c r="U280" s="264"/>
      <c r="V280" s="264"/>
      <c r="W280" s="264"/>
      <c r="X280" s="264"/>
      <c r="Y280" s="264"/>
      <c r="Z280" s="264"/>
      <c r="AA280" s="264"/>
      <c r="AB280" s="264"/>
      <c r="AC280" s="264"/>
      <c r="AD280" s="264"/>
      <c r="AE280" s="264"/>
    </row>
    <row r="281">
      <c r="A281" s="272" t="s">
        <v>795</v>
      </c>
      <c r="B281" s="272" t="s">
        <v>793</v>
      </c>
      <c r="C281" s="272" t="s">
        <v>794</v>
      </c>
      <c r="D281" s="172">
        <v>45881.0</v>
      </c>
      <c r="E281" s="267" t="str">
        <f t="shared" si="1"/>
        <v>08 ago</v>
      </c>
      <c r="F281" s="274">
        <f t="shared" si="2"/>
        <v>2025</v>
      </c>
      <c r="G281" s="165" t="s">
        <v>671</v>
      </c>
      <c r="H281" s="272" t="s">
        <v>403</v>
      </c>
      <c r="I281" s="275">
        <v>142300.0</v>
      </c>
      <c r="J281" s="276">
        <f>IF(ISBLANK(I281), "", VLOOKUP(E281&amp;" "&amp;F281, 'Info Tipo de Cambio y REM'!$A$24:$B$35, 2, FALSE))
</f>
        <v>1345</v>
      </c>
      <c r="K281" s="294">
        <f t="shared" ref="K281:K284" si="17">I281/J281</f>
        <v>105.7992565</v>
      </c>
      <c r="L281" s="293">
        <f t="shared" si="5"/>
        <v>-1499114.315</v>
      </c>
      <c r="M281" s="293">
        <f t="shared" si="3"/>
        <v>-72689.28</v>
      </c>
      <c r="N281" s="293">
        <f t="shared" si="6"/>
        <v>0</v>
      </c>
      <c r="O281" s="277">
        <f t="shared" si="4"/>
        <v>-73396.3569</v>
      </c>
      <c r="P281" s="264"/>
      <c r="Q281" s="264"/>
      <c r="R281" s="264"/>
      <c r="S281" s="264"/>
      <c r="T281" s="264"/>
      <c r="U281" s="264"/>
      <c r="V281" s="264"/>
      <c r="W281" s="264"/>
      <c r="X281" s="264"/>
      <c r="Y281" s="264"/>
      <c r="Z281" s="264"/>
      <c r="AA281" s="264"/>
      <c r="AB281" s="264"/>
      <c r="AC281" s="264"/>
      <c r="AD281" s="264"/>
      <c r="AE281" s="264"/>
    </row>
    <row r="282">
      <c r="A282" s="272" t="s">
        <v>795</v>
      </c>
      <c r="B282" s="272" t="s">
        <v>793</v>
      </c>
      <c r="C282" s="272" t="s">
        <v>794</v>
      </c>
      <c r="D282" s="172">
        <v>45881.0</v>
      </c>
      <c r="E282" s="267" t="str">
        <f t="shared" si="1"/>
        <v>08 ago</v>
      </c>
      <c r="F282" s="274">
        <f t="shared" si="2"/>
        <v>2025</v>
      </c>
      <c r="G282" s="165" t="s">
        <v>673</v>
      </c>
      <c r="H282" s="272" t="s">
        <v>674</v>
      </c>
      <c r="I282" s="275">
        <v>20000.0</v>
      </c>
      <c r="J282" s="276">
        <f>IF(ISBLANK(I282), "", VLOOKUP(E282&amp;" "&amp;F282, 'Info Tipo de Cambio y REM'!$A$24:$B$35, 2, FALSE))
</f>
        <v>1345</v>
      </c>
      <c r="K282" s="294">
        <f t="shared" si="17"/>
        <v>14.86988848</v>
      </c>
      <c r="L282" s="293">
        <f t="shared" si="5"/>
        <v>-1519114.315</v>
      </c>
      <c r="M282" s="293">
        <f t="shared" si="3"/>
        <v>-72689.28</v>
      </c>
      <c r="N282" s="293">
        <f t="shared" si="6"/>
        <v>0</v>
      </c>
      <c r="O282" s="277">
        <f t="shared" si="4"/>
        <v>-73411.22679</v>
      </c>
      <c r="P282" s="264"/>
      <c r="Q282" s="264"/>
      <c r="R282" s="264"/>
      <c r="S282" s="264"/>
      <c r="T282" s="264"/>
      <c r="U282" s="264"/>
      <c r="V282" s="264"/>
      <c r="W282" s="264"/>
      <c r="X282" s="264"/>
      <c r="Y282" s="264"/>
      <c r="Z282" s="264"/>
      <c r="AA282" s="264"/>
      <c r="AB282" s="264"/>
      <c r="AC282" s="264"/>
      <c r="AD282" s="264"/>
      <c r="AE282" s="264"/>
    </row>
    <row r="283">
      <c r="A283" s="272" t="s">
        <v>795</v>
      </c>
      <c r="B283" s="272" t="s">
        <v>793</v>
      </c>
      <c r="C283" s="272" t="s">
        <v>794</v>
      </c>
      <c r="D283" s="172">
        <v>45881.0</v>
      </c>
      <c r="E283" s="267" t="str">
        <f t="shared" si="1"/>
        <v>08 ago</v>
      </c>
      <c r="F283" s="274">
        <f t="shared" si="2"/>
        <v>2025</v>
      </c>
      <c r="G283" s="165" t="s">
        <v>675</v>
      </c>
      <c r="H283" s="272" t="s">
        <v>458</v>
      </c>
      <c r="I283" s="275">
        <v>132000.0</v>
      </c>
      <c r="J283" s="276">
        <f>IF(ISBLANK(I283), "", VLOOKUP(E283&amp;" "&amp;F283, 'Info Tipo de Cambio y REM'!$A$24:$B$35, 2, FALSE))
</f>
        <v>1345</v>
      </c>
      <c r="K283" s="294">
        <f t="shared" si="17"/>
        <v>98.14126394</v>
      </c>
      <c r="L283" s="293">
        <f t="shared" si="5"/>
        <v>-1651114.315</v>
      </c>
      <c r="M283" s="293">
        <f t="shared" si="3"/>
        <v>-72689.28</v>
      </c>
      <c r="N283" s="293">
        <f t="shared" si="6"/>
        <v>0</v>
      </c>
      <c r="O283" s="277">
        <f t="shared" si="4"/>
        <v>-73509.36805</v>
      </c>
      <c r="P283" s="264"/>
      <c r="Q283" s="264"/>
      <c r="R283" s="264"/>
      <c r="S283" s="264"/>
      <c r="T283" s="264"/>
      <c r="U283" s="264"/>
      <c r="V283" s="264"/>
      <c r="W283" s="264"/>
      <c r="X283" s="264"/>
      <c r="Y283" s="264"/>
      <c r="Z283" s="264"/>
      <c r="AA283" s="264"/>
      <c r="AB283" s="264"/>
      <c r="AC283" s="264"/>
      <c r="AD283" s="264"/>
      <c r="AE283" s="264"/>
    </row>
    <row r="284">
      <c r="A284" s="272" t="s">
        <v>797</v>
      </c>
      <c r="B284" s="272" t="s">
        <v>793</v>
      </c>
      <c r="C284" s="272" t="s">
        <v>794</v>
      </c>
      <c r="D284" s="172">
        <v>45889.0</v>
      </c>
      <c r="E284" s="267" t="str">
        <f t="shared" si="1"/>
        <v>08 ago</v>
      </c>
      <c r="F284" s="274">
        <f t="shared" si="2"/>
        <v>2025</v>
      </c>
      <c r="G284" s="42" t="s">
        <v>884</v>
      </c>
      <c r="H284" s="272" t="s">
        <v>885</v>
      </c>
      <c r="I284" s="275">
        <v>1806885.0</v>
      </c>
      <c r="J284" s="276">
        <f>IF(ISBLANK(I284), "", VLOOKUP(E284&amp;" "&amp;F284, 'Info Tipo de Cambio y REM'!$A$24:$B$35, 2, FALSE))
</f>
        <v>1345</v>
      </c>
      <c r="K284" s="294">
        <f t="shared" si="17"/>
        <v>1343.408922</v>
      </c>
      <c r="L284" s="293">
        <f t="shared" si="5"/>
        <v>155770.6853</v>
      </c>
      <c r="M284" s="293">
        <f t="shared" si="3"/>
        <v>-72689.28</v>
      </c>
      <c r="N284" s="293">
        <f t="shared" si="6"/>
        <v>0</v>
      </c>
      <c r="O284" s="277">
        <f t="shared" si="4"/>
        <v>-72165.95913</v>
      </c>
      <c r="P284" s="264"/>
      <c r="Q284" s="264"/>
      <c r="R284" s="264"/>
      <c r="S284" s="264"/>
      <c r="T284" s="264"/>
      <c r="U284" s="264"/>
      <c r="V284" s="264"/>
      <c r="W284" s="264"/>
      <c r="X284" s="264"/>
      <c r="Y284" s="264"/>
      <c r="Z284" s="264"/>
      <c r="AA284" s="264"/>
      <c r="AB284" s="264"/>
      <c r="AC284" s="264"/>
      <c r="AD284" s="264"/>
      <c r="AE284" s="264"/>
    </row>
    <row r="285">
      <c r="A285" s="272" t="s">
        <v>797</v>
      </c>
      <c r="B285" s="272" t="s">
        <v>144</v>
      </c>
      <c r="C285" s="272" t="s">
        <v>791</v>
      </c>
      <c r="D285" s="172">
        <v>45884.0</v>
      </c>
      <c r="E285" s="267" t="str">
        <f t="shared" si="1"/>
        <v>08 ago</v>
      </c>
      <c r="F285" s="274">
        <f t="shared" si="2"/>
        <v>2025</v>
      </c>
      <c r="G285" s="83" t="s">
        <v>886</v>
      </c>
      <c r="H285" s="83" t="s">
        <v>250</v>
      </c>
      <c r="I285" s="277"/>
      <c r="J285" s="276" t="str">
        <f>IF(ISBLANK(I285), "", VLOOKUP(E285&amp;" "&amp;F285, 'Info Tipo de Cambio y REM'!$A$24:$B$35, 2, FALSE))
</f>
        <v/>
      </c>
      <c r="K285" s="294">
        <v>7350.0</v>
      </c>
      <c r="L285" s="293">
        <f t="shared" si="5"/>
        <v>155770.6853</v>
      </c>
      <c r="M285" s="293">
        <f t="shared" si="3"/>
        <v>-65339.28</v>
      </c>
      <c r="N285" s="293">
        <f t="shared" si="6"/>
        <v>0</v>
      </c>
      <c r="O285" s="277">
        <f t="shared" si="4"/>
        <v>-64815.95913</v>
      </c>
      <c r="P285" s="264"/>
      <c r="Q285" s="264"/>
      <c r="R285" s="264"/>
      <c r="S285" s="264"/>
      <c r="T285" s="264"/>
      <c r="U285" s="264"/>
      <c r="V285" s="264"/>
      <c r="W285" s="264"/>
      <c r="X285" s="264"/>
      <c r="Y285" s="264"/>
      <c r="Z285" s="264"/>
      <c r="AA285" s="264"/>
      <c r="AB285" s="264"/>
      <c r="AC285" s="264"/>
      <c r="AD285" s="264"/>
      <c r="AE285" s="264"/>
    </row>
    <row r="286">
      <c r="A286" s="272" t="s">
        <v>795</v>
      </c>
      <c r="B286" s="272" t="s">
        <v>144</v>
      </c>
      <c r="C286" s="272" t="s">
        <v>791</v>
      </c>
      <c r="D286" s="172">
        <v>45887.0</v>
      </c>
      <c r="E286" s="267" t="str">
        <f t="shared" si="1"/>
        <v>08 ago</v>
      </c>
      <c r="F286" s="274">
        <f t="shared" si="2"/>
        <v>2025</v>
      </c>
      <c r="G286" s="83" t="s">
        <v>730</v>
      </c>
      <c r="H286" s="264"/>
      <c r="I286" s="277"/>
      <c r="J286" s="276" t="str">
        <f>IF(ISBLANK(I286), "", VLOOKUP(E286&amp;" "&amp;F286, 'Info Tipo de Cambio y REM'!$A$24:$B$35, 2, FALSE))
</f>
        <v/>
      </c>
      <c r="K286" s="294">
        <v>5.0</v>
      </c>
      <c r="L286" s="293">
        <f t="shared" si="5"/>
        <v>155770.6853</v>
      </c>
      <c r="M286" s="293">
        <f t="shared" si="3"/>
        <v>-65344.28</v>
      </c>
      <c r="N286" s="293">
        <f t="shared" si="6"/>
        <v>0</v>
      </c>
      <c r="O286" s="277">
        <f t="shared" si="4"/>
        <v>-64820.95913</v>
      </c>
      <c r="P286" s="264"/>
      <c r="Q286" s="264"/>
      <c r="R286" s="264"/>
      <c r="S286" s="264"/>
      <c r="T286" s="264"/>
      <c r="U286" s="264"/>
      <c r="V286" s="264"/>
      <c r="W286" s="264"/>
      <c r="X286" s="264"/>
      <c r="Y286" s="264"/>
      <c r="Z286" s="264"/>
      <c r="AA286" s="264"/>
      <c r="AB286" s="264"/>
      <c r="AC286" s="264"/>
      <c r="AD286" s="264"/>
      <c r="AE286" s="264"/>
    </row>
    <row r="287">
      <c r="A287" s="272" t="s">
        <v>795</v>
      </c>
      <c r="B287" s="272" t="s">
        <v>144</v>
      </c>
      <c r="C287" s="272" t="s">
        <v>791</v>
      </c>
      <c r="D287" s="172">
        <v>45888.0</v>
      </c>
      <c r="E287" s="267" t="str">
        <f t="shared" si="1"/>
        <v>08 ago</v>
      </c>
      <c r="F287" s="274">
        <f t="shared" si="2"/>
        <v>2025</v>
      </c>
      <c r="G287" s="83" t="s">
        <v>732</v>
      </c>
      <c r="H287" s="264"/>
      <c r="I287" s="277"/>
      <c r="J287" s="276" t="str">
        <f>IF(ISBLANK(I287), "", VLOOKUP(E287&amp;" "&amp;F287, 'Info Tipo de Cambio y REM'!$A$24:$B$35, 2, FALSE))
</f>
        <v/>
      </c>
      <c r="K287" s="123">
        <v>501.77</v>
      </c>
      <c r="L287" s="293">
        <f t="shared" si="5"/>
        <v>155770.6853</v>
      </c>
      <c r="M287" s="293">
        <f t="shared" si="3"/>
        <v>-65846.05</v>
      </c>
      <c r="N287" s="293">
        <f t="shared" si="6"/>
        <v>0</v>
      </c>
      <c r="O287" s="277">
        <f t="shared" si="4"/>
        <v>-65322.72913</v>
      </c>
      <c r="P287" s="264"/>
      <c r="Q287" s="264"/>
      <c r="R287" s="264"/>
      <c r="S287" s="264"/>
      <c r="T287" s="264"/>
      <c r="U287" s="264"/>
      <c r="V287" s="264"/>
      <c r="W287" s="264"/>
      <c r="X287" s="264"/>
      <c r="Y287" s="264"/>
      <c r="Z287" s="264"/>
      <c r="AA287" s="264"/>
      <c r="AB287" s="264"/>
      <c r="AC287" s="264"/>
      <c r="AD287" s="264"/>
      <c r="AE287" s="264"/>
    </row>
    <row r="288">
      <c r="A288" s="272" t="s">
        <v>795</v>
      </c>
      <c r="B288" s="272" t="s">
        <v>144</v>
      </c>
      <c r="C288" s="272" t="s">
        <v>791</v>
      </c>
      <c r="D288" s="172">
        <v>45888.0</v>
      </c>
      <c r="E288" s="267" t="str">
        <f t="shared" si="1"/>
        <v>08 ago</v>
      </c>
      <c r="F288" s="274">
        <f t="shared" si="2"/>
        <v>2025</v>
      </c>
      <c r="G288" s="83" t="s">
        <v>733</v>
      </c>
      <c r="H288" s="264"/>
      <c r="I288" s="277"/>
      <c r="J288" s="276" t="str">
        <f>IF(ISBLANK(I288), "", VLOOKUP(E288&amp;" "&amp;F288, 'Info Tipo de Cambio y REM'!$A$24:$B$35, 2, FALSE))
</f>
        <v/>
      </c>
      <c r="K288" s="123">
        <v>22.26</v>
      </c>
      <c r="L288" s="293">
        <f t="shared" si="5"/>
        <v>155770.6853</v>
      </c>
      <c r="M288" s="293">
        <f t="shared" si="3"/>
        <v>-65868.31</v>
      </c>
      <c r="N288" s="293">
        <f t="shared" si="6"/>
        <v>0</v>
      </c>
      <c r="O288" s="277">
        <f t="shared" si="4"/>
        <v>-65344.98913</v>
      </c>
      <c r="P288" s="264"/>
      <c r="Q288" s="264"/>
      <c r="R288" s="264"/>
      <c r="S288" s="264"/>
      <c r="T288" s="264"/>
      <c r="U288" s="264"/>
      <c r="V288" s="264"/>
      <c r="W288" s="264"/>
      <c r="X288" s="264"/>
      <c r="Y288" s="264"/>
      <c r="Z288" s="264"/>
      <c r="AA288" s="264"/>
      <c r="AB288" s="264"/>
      <c r="AC288" s="264"/>
      <c r="AD288" s="264"/>
      <c r="AE288" s="264"/>
    </row>
    <row r="289">
      <c r="A289" s="272" t="s">
        <v>795</v>
      </c>
      <c r="B289" s="272" t="s">
        <v>144</v>
      </c>
      <c r="C289" s="272" t="s">
        <v>791</v>
      </c>
      <c r="D289" s="172">
        <v>45891.0</v>
      </c>
      <c r="E289" s="267" t="str">
        <f t="shared" si="1"/>
        <v>08 ago</v>
      </c>
      <c r="F289" s="274">
        <f t="shared" si="2"/>
        <v>2025</v>
      </c>
      <c r="G289" s="83" t="s">
        <v>734</v>
      </c>
      <c r="H289" s="264"/>
      <c r="I289" s="277"/>
      <c r="J289" s="276" t="str">
        <f>IF(ISBLANK(I289), "", VLOOKUP(E289&amp;" "&amp;F289, 'Info Tipo de Cambio y REM'!$A$24:$B$35, 2, FALSE))
</f>
        <v/>
      </c>
      <c r="K289" s="123">
        <v>45.0</v>
      </c>
      <c r="L289" s="293">
        <f t="shared" si="5"/>
        <v>155770.6853</v>
      </c>
      <c r="M289" s="293">
        <f t="shared" si="3"/>
        <v>-65913.31</v>
      </c>
      <c r="N289" s="293">
        <f t="shared" si="6"/>
        <v>0</v>
      </c>
      <c r="O289" s="277">
        <f t="shared" si="4"/>
        <v>-65389.98913</v>
      </c>
      <c r="P289" s="264"/>
      <c r="Q289" s="264"/>
      <c r="R289" s="264"/>
      <c r="S289" s="264"/>
      <c r="T289" s="264"/>
      <c r="U289" s="264"/>
      <c r="V289" s="264"/>
      <c r="W289" s="264"/>
      <c r="X289" s="264"/>
      <c r="Y289" s="264"/>
      <c r="Z289" s="264"/>
      <c r="AA289" s="264"/>
      <c r="AB289" s="264"/>
      <c r="AC289" s="264"/>
      <c r="AD289" s="264"/>
      <c r="AE289" s="264"/>
    </row>
    <row r="290">
      <c r="A290" s="272" t="s">
        <v>795</v>
      </c>
      <c r="B290" s="272" t="s">
        <v>793</v>
      </c>
      <c r="C290" s="272" t="s">
        <v>794</v>
      </c>
      <c r="D290" s="172">
        <v>45894.0</v>
      </c>
      <c r="E290" s="267" t="str">
        <f t="shared" si="1"/>
        <v>08 ago</v>
      </c>
      <c r="F290" s="274">
        <f t="shared" si="2"/>
        <v>2025</v>
      </c>
      <c r="G290" s="165" t="s">
        <v>698</v>
      </c>
      <c r="H290" s="264"/>
      <c r="I290" s="275">
        <v>59568.0</v>
      </c>
      <c r="J290" s="276">
        <f>IF(ISBLANK(I290), "", VLOOKUP(E290&amp;" "&amp;F290, 'Info Tipo de Cambio y REM'!$A$24:$B$35, 2, FALSE))
</f>
        <v>1345</v>
      </c>
      <c r="K290" s="294">
        <f t="shared" ref="K290:K294" si="18">I290/J290</f>
        <v>44.28847584</v>
      </c>
      <c r="L290" s="293">
        <f t="shared" si="5"/>
        <v>96202.68535</v>
      </c>
      <c r="M290" s="293">
        <f t="shared" si="3"/>
        <v>-65913.31</v>
      </c>
      <c r="N290" s="293">
        <f t="shared" si="6"/>
        <v>0</v>
      </c>
      <c r="O290" s="277">
        <f t="shared" si="4"/>
        <v>-65434.2776</v>
      </c>
      <c r="P290" s="264"/>
      <c r="Q290" s="264"/>
      <c r="R290" s="264"/>
      <c r="S290" s="264"/>
      <c r="T290" s="264"/>
      <c r="U290" s="264"/>
      <c r="V290" s="264"/>
      <c r="W290" s="264"/>
      <c r="X290" s="264"/>
      <c r="Y290" s="264"/>
      <c r="Z290" s="264"/>
      <c r="AA290" s="264"/>
      <c r="AB290" s="264"/>
      <c r="AC290" s="264"/>
      <c r="AD290" s="264"/>
      <c r="AE290" s="264"/>
    </row>
    <row r="291">
      <c r="A291" s="272" t="s">
        <v>795</v>
      </c>
      <c r="B291" s="272" t="s">
        <v>793</v>
      </c>
      <c r="C291" s="272" t="s">
        <v>794</v>
      </c>
      <c r="D291" s="172">
        <v>45894.0</v>
      </c>
      <c r="E291" s="267" t="str">
        <f t="shared" si="1"/>
        <v>08 ago</v>
      </c>
      <c r="F291" s="274">
        <f t="shared" si="2"/>
        <v>2025</v>
      </c>
      <c r="G291" s="165" t="s">
        <v>689</v>
      </c>
      <c r="H291" s="264"/>
      <c r="I291" s="89">
        <v>4910000.0</v>
      </c>
      <c r="J291" s="276">
        <f>IF(ISBLANK(I291), "", VLOOKUP(E291&amp;" "&amp;F291, 'Info Tipo de Cambio y REM'!$A$24:$B$35, 2, FALSE))
</f>
        <v>1345</v>
      </c>
      <c r="K291" s="294">
        <f t="shared" si="18"/>
        <v>3650.557621</v>
      </c>
      <c r="L291" s="293">
        <f t="shared" si="5"/>
        <v>-4813797.315</v>
      </c>
      <c r="M291" s="293">
        <f t="shared" si="3"/>
        <v>-65913.31</v>
      </c>
      <c r="N291" s="293">
        <f t="shared" si="6"/>
        <v>0</v>
      </c>
      <c r="O291" s="277">
        <f t="shared" si="4"/>
        <v>-69084.83522</v>
      </c>
      <c r="P291" s="264"/>
      <c r="Q291" s="264"/>
      <c r="R291" s="264"/>
      <c r="S291" s="264"/>
      <c r="T291" s="264"/>
      <c r="U291" s="264"/>
      <c r="V291" s="264"/>
      <c r="W291" s="264"/>
      <c r="X291" s="264"/>
      <c r="Y291" s="264"/>
      <c r="Z291" s="264"/>
      <c r="AA291" s="264"/>
      <c r="AB291" s="264"/>
      <c r="AC291" s="264"/>
      <c r="AD291" s="264"/>
      <c r="AE291" s="264"/>
    </row>
    <row r="292">
      <c r="A292" s="272" t="s">
        <v>795</v>
      </c>
      <c r="B292" s="272" t="s">
        <v>793</v>
      </c>
      <c r="C292" s="272" t="s">
        <v>794</v>
      </c>
      <c r="D292" s="172">
        <v>45894.0</v>
      </c>
      <c r="E292" s="267" t="str">
        <f t="shared" si="1"/>
        <v>08 ago</v>
      </c>
      <c r="F292" s="274">
        <f t="shared" si="2"/>
        <v>2025</v>
      </c>
      <c r="G292" s="184" t="s">
        <v>690</v>
      </c>
      <c r="H292" s="264"/>
      <c r="I292" s="229">
        <v>118200.0</v>
      </c>
      <c r="J292" s="276">
        <f>IF(ISBLANK(I292), "", VLOOKUP(E292&amp;" "&amp;F292, 'Info Tipo de Cambio y REM'!$A$24:$B$35, 2, FALSE))
</f>
        <v>1345</v>
      </c>
      <c r="K292" s="294">
        <f t="shared" si="18"/>
        <v>87.88104089</v>
      </c>
      <c r="L292" s="293">
        <f t="shared" si="5"/>
        <v>-4931997.315</v>
      </c>
      <c r="M292" s="293">
        <f t="shared" si="3"/>
        <v>-65913.31</v>
      </c>
      <c r="N292" s="293">
        <f t="shared" si="6"/>
        <v>0</v>
      </c>
      <c r="O292" s="277">
        <f t="shared" si="4"/>
        <v>-69172.71627</v>
      </c>
      <c r="P292" s="264"/>
      <c r="Q292" s="264"/>
      <c r="R292" s="264"/>
      <c r="S292" s="264"/>
      <c r="T292" s="264"/>
      <c r="U292" s="264"/>
      <c r="V292" s="264"/>
      <c r="W292" s="264"/>
      <c r="X292" s="264"/>
      <c r="Y292" s="264"/>
      <c r="Z292" s="264"/>
      <c r="AA292" s="264"/>
      <c r="AB292" s="264"/>
      <c r="AC292" s="264"/>
      <c r="AD292" s="264"/>
      <c r="AE292" s="264"/>
    </row>
    <row r="293">
      <c r="A293" s="272" t="s">
        <v>795</v>
      </c>
      <c r="B293" s="272" t="s">
        <v>793</v>
      </c>
      <c r="C293" s="272" t="s">
        <v>794</v>
      </c>
      <c r="D293" s="172">
        <v>45894.0</v>
      </c>
      <c r="E293" s="267" t="str">
        <f t="shared" si="1"/>
        <v>08 ago</v>
      </c>
      <c r="F293" s="274">
        <f t="shared" si="2"/>
        <v>2025</v>
      </c>
      <c r="G293" s="165" t="s">
        <v>684</v>
      </c>
      <c r="H293" s="264"/>
      <c r="I293" s="229">
        <v>2012802.0</v>
      </c>
      <c r="J293" s="276">
        <f>IF(ISBLANK(I293), "", VLOOKUP(E293&amp;" "&amp;F293, 'Info Tipo de Cambio y REM'!$A$24:$B$35, 2, FALSE))
</f>
        <v>1345</v>
      </c>
      <c r="K293" s="294">
        <f t="shared" si="18"/>
        <v>1496.507063</v>
      </c>
      <c r="L293" s="293">
        <f t="shared" si="5"/>
        <v>-6944799.315</v>
      </c>
      <c r="M293" s="293">
        <f t="shared" si="3"/>
        <v>-65913.31</v>
      </c>
      <c r="N293" s="293">
        <f t="shared" si="6"/>
        <v>0</v>
      </c>
      <c r="O293" s="277">
        <f t="shared" si="4"/>
        <v>-70669.22333</v>
      </c>
      <c r="P293" s="264"/>
      <c r="Q293" s="264"/>
      <c r="R293" s="264"/>
      <c r="S293" s="264"/>
      <c r="T293" s="264"/>
      <c r="U293" s="264"/>
      <c r="V293" s="264"/>
      <c r="W293" s="264"/>
      <c r="X293" s="264"/>
      <c r="Y293" s="264"/>
      <c r="Z293" s="264"/>
      <c r="AA293" s="264"/>
      <c r="AB293" s="264"/>
      <c r="AC293" s="264"/>
      <c r="AD293" s="264"/>
      <c r="AE293" s="264"/>
    </row>
    <row r="294">
      <c r="A294" s="272" t="s">
        <v>795</v>
      </c>
      <c r="B294" s="272" t="s">
        <v>793</v>
      </c>
      <c r="C294" s="272" t="s">
        <v>794</v>
      </c>
      <c r="D294" s="172">
        <v>45894.0</v>
      </c>
      <c r="E294" s="267" t="str">
        <f t="shared" si="1"/>
        <v>08 ago</v>
      </c>
      <c r="F294" s="274">
        <f t="shared" si="2"/>
        <v>2025</v>
      </c>
      <c r="G294" s="165" t="s">
        <v>685</v>
      </c>
      <c r="H294" s="264"/>
      <c r="I294" s="275">
        <v>369970.0</v>
      </c>
      <c r="J294" s="276">
        <f>IF(ISBLANK(I294), "", VLOOKUP(E294&amp;" "&amp;F294, 'Info Tipo de Cambio y REM'!$A$24:$B$35, 2, FALSE))
</f>
        <v>1345</v>
      </c>
      <c r="K294" s="294">
        <f t="shared" si="18"/>
        <v>275.070632</v>
      </c>
      <c r="L294" s="293">
        <f t="shared" si="5"/>
        <v>-7314769.315</v>
      </c>
      <c r="M294" s="293">
        <f t="shared" si="3"/>
        <v>-65913.31</v>
      </c>
      <c r="N294" s="293">
        <f t="shared" si="6"/>
        <v>0</v>
      </c>
      <c r="O294" s="277">
        <f t="shared" si="4"/>
        <v>-70944.29396</v>
      </c>
      <c r="P294" s="264"/>
      <c r="Q294" s="264"/>
      <c r="R294" s="264"/>
      <c r="S294" s="264"/>
      <c r="T294" s="264"/>
      <c r="U294" s="264"/>
      <c r="V294" s="264"/>
      <c r="W294" s="264"/>
      <c r="X294" s="264"/>
      <c r="Y294" s="264"/>
      <c r="Z294" s="264"/>
      <c r="AA294" s="264"/>
      <c r="AB294" s="264"/>
      <c r="AC294" s="264"/>
      <c r="AD294" s="264"/>
      <c r="AE294" s="264"/>
    </row>
    <row r="295">
      <c r="A295" s="272" t="s">
        <v>795</v>
      </c>
      <c r="B295" s="272" t="s">
        <v>144</v>
      </c>
      <c r="C295" s="272" t="s">
        <v>791</v>
      </c>
      <c r="D295" s="172">
        <v>45894.0</v>
      </c>
      <c r="E295" s="267" t="str">
        <f t="shared" si="1"/>
        <v>08 ago</v>
      </c>
      <c r="F295" s="274">
        <f t="shared" si="2"/>
        <v>2025</v>
      </c>
      <c r="G295" s="83" t="s">
        <v>760</v>
      </c>
      <c r="H295" s="264"/>
      <c r="I295" s="277"/>
      <c r="J295" s="276" t="str">
        <f>IF(ISBLANK(I295), "", VLOOKUP(E295&amp;" "&amp;F295, 'Info Tipo de Cambio y REM'!$A$24:$B$35, 2, FALSE))
</f>
        <v/>
      </c>
      <c r="K295" s="89">
        <v>29.99</v>
      </c>
      <c r="L295" s="293">
        <f t="shared" si="5"/>
        <v>-7314769.315</v>
      </c>
      <c r="M295" s="293">
        <f t="shared" si="3"/>
        <v>-65943.3</v>
      </c>
      <c r="N295" s="293">
        <f t="shared" si="6"/>
        <v>0</v>
      </c>
      <c r="O295" s="277">
        <f t="shared" si="4"/>
        <v>-70974.28396</v>
      </c>
      <c r="P295" s="264"/>
      <c r="Q295" s="264"/>
      <c r="R295" s="264"/>
      <c r="S295" s="264"/>
      <c r="T295" s="264"/>
      <c r="U295" s="264"/>
      <c r="V295" s="264"/>
      <c r="W295" s="264"/>
      <c r="X295" s="264"/>
      <c r="Y295" s="264"/>
      <c r="Z295" s="264"/>
      <c r="AA295" s="264"/>
      <c r="AB295" s="264"/>
      <c r="AC295" s="264"/>
      <c r="AD295" s="264"/>
      <c r="AE295" s="264"/>
    </row>
    <row r="296">
      <c r="A296" s="272" t="s">
        <v>795</v>
      </c>
      <c r="B296" s="272" t="s">
        <v>144</v>
      </c>
      <c r="C296" s="272" t="s">
        <v>791</v>
      </c>
      <c r="D296" s="172">
        <v>45896.0</v>
      </c>
      <c r="E296" s="267" t="str">
        <f t="shared" si="1"/>
        <v>08 ago</v>
      </c>
      <c r="F296" s="274">
        <f t="shared" si="2"/>
        <v>2025</v>
      </c>
      <c r="G296" s="83" t="s">
        <v>761</v>
      </c>
      <c r="H296" s="264"/>
      <c r="I296" s="277"/>
      <c r="J296" s="276" t="str">
        <f>IF(ISBLANK(I296), "", VLOOKUP(E296&amp;" "&amp;F296, 'Info Tipo de Cambio y REM'!$A$24:$B$35, 2, FALSE))
</f>
        <v/>
      </c>
      <c r="K296" s="89">
        <v>500.07</v>
      </c>
      <c r="L296" s="293">
        <f t="shared" si="5"/>
        <v>-7314769.315</v>
      </c>
      <c r="M296" s="293">
        <f t="shared" si="3"/>
        <v>-66443.37</v>
      </c>
      <c r="N296" s="293">
        <f t="shared" si="6"/>
        <v>0</v>
      </c>
      <c r="O296" s="277">
        <f t="shared" si="4"/>
        <v>-71474.35396</v>
      </c>
      <c r="P296" s="264"/>
      <c r="Q296" s="264"/>
      <c r="R296" s="264"/>
      <c r="S296" s="264"/>
      <c r="T296" s="264"/>
      <c r="U296" s="264"/>
      <c r="V296" s="264"/>
      <c r="W296" s="264"/>
      <c r="X296" s="264"/>
      <c r="Y296" s="264"/>
      <c r="Z296" s="264"/>
      <c r="AA296" s="264"/>
      <c r="AB296" s="264"/>
      <c r="AC296" s="264"/>
      <c r="AD296" s="264"/>
      <c r="AE296" s="264"/>
    </row>
    <row r="297">
      <c r="A297" s="272" t="s">
        <v>795</v>
      </c>
      <c r="B297" s="272" t="s">
        <v>144</v>
      </c>
      <c r="C297" s="272" t="s">
        <v>791</v>
      </c>
      <c r="D297" s="172">
        <v>45896.0</v>
      </c>
      <c r="E297" s="267" t="str">
        <f t="shared" si="1"/>
        <v>08 ago</v>
      </c>
      <c r="F297" s="274">
        <f t="shared" si="2"/>
        <v>2025</v>
      </c>
      <c r="G297" s="83" t="s">
        <v>762</v>
      </c>
      <c r="H297" s="264"/>
      <c r="I297" s="277"/>
      <c r="J297" s="276" t="str">
        <f>IF(ISBLANK(I297), "", VLOOKUP(E297&amp;" "&amp;F297, 'Info Tipo de Cambio y REM'!$A$24:$B$35, 2, FALSE))
</f>
        <v/>
      </c>
      <c r="K297" s="89">
        <v>609.8</v>
      </c>
      <c r="L297" s="293">
        <f t="shared" si="5"/>
        <v>-7314769.315</v>
      </c>
      <c r="M297" s="293">
        <f t="shared" si="3"/>
        <v>-67053.17</v>
      </c>
      <c r="N297" s="293">
        <f t="shared" si="6"/>
        <v>0</v>
      </c>
      <c r="O297" s="277">
        <f t="shared" si="4"/>
        <v>-72084.15396</v>
      </c>
      <c r="P297" s="264"/>
      <c r="Q297" s="264"/>
      <c r="R297" s="264"/>
      <c r="S297" s="264"/>
      <c r="T297" s="264"/>
      <c r="U297" s="264"/>
      <c r="V297" s="264"/>
      <c r="W297" s="264"/>
      <c r="X297" s="264"/>
      <c r="Y297" s="264"/>
      <c r="Z297" s="264"/>
      <c r="AA297" s="264"/>
      <c r="AB297" s="264"/>
      <c r="AC297" s="264"/>
      <c r="AD297" s="264"/>
      <c r="AE297" s="264"/>
    </row>
    <row r="298">
      <c r="A298" s="272" t="s">
        <v>797</v>
      </c>
      <c r="B298" s="272" t="s">
        <v>144</v>
      </c>
      <c r="C298" s="272" t="s">
        <v>791</v>
      </c>
      <c r="D298" s="172">
        <v>45898.0</v>
      </c>
      <c r="E298" s="267" t="str">
        <f t="shared" si="1"/>
        <v>08 ago</v>
      </c>
      <c r="F298" s="274">
        <f t="shared" si="2"/>
        <v>2025</v>
      </c>
      <c r="G298" s="272" t="s">
        <v>334</v>
      </c>
      <c r="H298" s="272" t="s">
        <v>334</v>
      </c>
      <c r="I298" s="322"/>
      <c r="J298" s="276" t="str">
        <f>IF(ISBLANK(I298), "", VLOOKUP(E298&amp;" "&amp;F298, 'Info Tipo de Cambio y REM'!$A$24:$B$35, 2, FALSE))
</f>
        <v/>
      </c>
      <c r="K298" s="294">
        <v>29230.0</v>
      </c>
      <c r="L298" s="293">
        <f t="shared" si="5"/>
        <v>-7314769.315</v>
      </c>
      <c r="M298" s="293">
        <f t="shared" si="3"/>
        <v>-37823.17</v>
      </c>
      <c r="N298" s="293">
        <f t="shared" si="6"/>
        <v>0</v>
      </c>
      <c r="O298" s="277">
        <f t="shared" si="4"/>
        <v>-42854.15396</v>
      </c>
      <c r="P298" s="264"/>
      <c r="Q298" s="264"/>
      <c r="R298" s="264"/>
      <c r="S298" s="264"/>
      <c r="T298" s="264"/>
      <c r="U298" s="264"/>
      <c r="V298" s="264"/>
      <c r="W298" s="264"/>
      <c r="X298" s="264"/>
      <c r="Y298" s="264"/>
      <c r="Z298" s="264"/>
      <c r="AA298" s="264"/>
      <c r="AB298" s="264"/>
      <c r="AC298" s="264"/>
      <c r="AD298" s="264"/>
      <c r="AE298" s="264"/>
    </row>
    <row r="299">
      <c r="A299" s="272" t="s">
        <v>795</v>
      </c>
      <c r="B299" s="272" t="s">
        <v>144</v>
      </c>
      <c r="C299" s="272" t="s">
        <v>791</v>
      </c>
      <c r="D299" s="172">
        <v>45875.0</v>
      </c>
      <c r="E299" s="267" t="str">
        <f t="shared" si="1"/>
        <v>08 ago</v>
      </c>
      <c r="F299" s="274">
        <f t="shared" si="2"/>
        <v>2025</v>
      </c>
      <c r="G299" s="42" t="s">
        <v>887</v>
      </c>
      <c r="H299" s="264"/>
      <c r="I299" s="277"/>
      <c r="J299" s="276" t="str">
        <f>IF(ISBLANK(I299), "", VLOOKUP(E299&amp;" "&amp;F299, 'Info Tipo de Cambio y REM'!$A$24:$B$35, 2, FALSE))
</f>
        <v/>
      </c>
      <c r="K299" s="294">
        <v>3000.0</v>
      </c>
      <c r="L299" s="293">
        <f t="shared" si="5"/>
        <v>-7314769.315</v>
      </c>
      <c r="M299" s="293">
        <f t="shared" si="3"/>
        <v>-40823.17</v>
      </c>
      <c r="N299" s="293">
        <f t="shared" si="6"/>
        <v>0</v>
      </c>
      <c r="O299" s="277">
        <f t="shared" si="4"/>
        <v>-45854.15396</v>
      </c>
      <c r="P299" s="264"/>
      <c r="Q299" s="264"/>
      <c r="R299" s="264"/>
      <c r="S299" s="264"/>
      <c r="T299" s="264"/>
      <c r="U299" s="264"/>
      <c r="V299" s="264"/>
      <c r="W299" s="264"/>
      <c r="X299" s="264"/>
      <c r="Y299" s="264"/>
      <c r="Z299" s="264"/>
      <c r="AA299" s="264"/>
      <c r="AB299" s="264"/>
      <c r="AC299" s="264"/>
      <c r="AD299" s="264"/>
      <c r="AE299" s="264"/>
    </row>
    <row r="300">
      <c r="A300" s="272" t="s">
        <v>795</v>
      </c>
      <c r="B300" s="272" t="s">
        <v>144</v>
      </c>
      <c r="C300" s="272" t="s">
        <v>791</v>
      </c>
      <c r="D300" s="172">
        <v>45881.0</v>
      </c>
      <c r="E300" s="267" t="str">
        <f t="shared" si="1"/>
        <v>08 ago</v>
      </c>
      <c r="F300" s="274">
        <f t="shared" si="2"/>
        <v>2025</v>
      </c>
      <c r="G300" s="42" t="s">
        <v>888</v>
      </c>
      <c r="H300" s="264"/>
      <c r="I300" s="277"/>
      <c r="J300" s="276" t="str">
        <f>IF(ISBLANK(I300), "", VLOOKUP(E300&amp;" "&amp;F300, 'Info Tipo de Cambio y REM'!$A$24:$B$35, 2, FALSE))
</f>
        <v/>
      </c>
      <c r="K300" s="294">
        <v>1640.0</v>
      </c>
      <c r="L300" s="293">
        <f t="shared" si="5"/>
        <v>-7314769.315</v>
      </c>
      <c r="M300" s="293">
        <f t="shared" si="3"/>
        <v>-42463.17</v>
      </c>
      <c r="N300" s="293">
        <f t="shared" si="6"/>
        <v>0</v>
      </c>
      <c r="O300" s="277">
        <f t="shared" si="4"/>
        <v>-47494.15396</v>
      </c>
      <c r="P300" s="264"/>
      <c r="Q300" s="264"/>
      <c r="R300" s="264"/>
      <c r="S300" s="264"/>
      <c r="T300" s="264"/>
      <c r="U300" s="264"/>
      <c r="V300" s="264"/>
      <c r="W300" s="264"/>
      <c r="X300" s="264"/>
      <c r="Y300" s="264"/>
      <c r="Z300" s="264"/>
      <c r="AA300" s="264"/>
      <c r="AB300" s="264"/>
      <c r="AC300" s="264"/>
      <c r="AD300" s="264"/>
      <c r="AE300" s="264"/>
    </row>
    <row r="301">
      <c r="A301" s="272" t="s">
        <v>795</v>
      </c>
      <c r="B301" s="272" t="s">
        <v>144</v>
      </c>
      <c r="C301" s="272" t="s">
        <v>791</v>
      </c>
      <c r="D301" s="172">
        <v>45900.0</v>
      </c>
      <c r="E301" s="267" t="str">
        <f t="shared" si="1"/>
        <v>08 ago</v>
      </c>
      <c r="F301" s="274">
        <f t="shared" si="2"/>
        <v>2025</v>
      </c>
      <c r="G301" s="169" t="s">
        <v>549</v>
      </c>
      <c r="H301" s="264"/>
      <c r="I301" s="277"/>
      <c r="J301" s="276" t="str">
        <f>IF(ISBLANK(I301), "", VLOOKUP(E301&amp;" "&amp;F301, 'Info Tipo de Cambio y REM'!$A$24:$B$35, 2, FALSE))
</f>
        <v/>
      </c>
      <c r="K301" s="294">
        <v>45.0</v>
      </c>
      <c r="L301" s="293">
        <f t="shared" si="5"/>
        <v>-7314769.315</v>
      </c>
      <c r="M301" s="293">
        <f t="shared" si="3"/>
        <v>-42508.17</v>
      </c>
      <c r="N301" s="293">
        <f t="shared" si="6"/>
        <v>0</v>
      </c>
      <c r="O301" s="277">
        <f t="shared" si="4"/>
        <v>-47539.15396</v>
      </c>
      <c r="P301" s="264"/>
      <c r="Q301" s="264"/>
      <c r="R301" s="264"/>
      <c r="S301" s="264"/>
      <c r="T301" s="264"/>
      <c r="U301" s="264"/>
      <c r="V301" s="264"/>
      <c r="W301" s="264"/>
      <c r="X301" s="264"/>
      <c r="Y301" s="264"/>
      <c r="Z301" s="264"/>
      <c r="AA301" s="264"/>
      <c r="AB301" s="264"/>
      <c r="AC301" s="264"/>
      <c r="AD301" s="264"/>
      <c r="AE301" s="264"/>
    </row>
    <row r="302">
      <c r="A302" s="272" t="s">
        <v>795</v>
      </c>
      <c r="B302" s="272" t="s">
        <v>144</v>
      </c>
      <c r="C302" s="272" t="s">
        <v>791</v>
      </c>
      <c r="D302" s="172">
        <v>45900.0</v>
      </c>
      <c r="E302" s="267" t="str">
        <f t="shared" si="1"/>
        <v>08 ago</v>
      </c>
      <c r="F302" s="274">
        <f t="shared" si="2"/>
        <v>2025</v>
      </c>
      <c r="G302" s="169" t="s">
        <v>549</v>
      </c>
      <c r="H302" s="264"/>
      <c r="I302" s="277"/>
      <c r="J302" s="276" t="str">
        <f>IF(ISBLANK(I302), "", VLOOKUP(E302&amp;" "&amp;F302, 'Info Tipo de Cambio y REM'!$A$24:$B$35, 2, FALSE))
</f>
        <v/>
      </c>
      <c r="K302" s="294">
        <v>45.0</v>
      </c>
      <c r="L302" s="293">
        <f t="shared" si="5"/>
        <v>-7314769.315</v>
      </c>
      <c r="M302" s="293">
        <f t="shared" si="3"/>
        <v>-42553.17</v>
      </c>
      <c r="N302" s="293">
        <f t="shared" si="6"/>
        <v>0</v>
      </c>
      <c r="O302" s="277">
        <f t="shared" si="4"/>
        <v>-47584.15396</v>
      </c>
      <c r="P302" s="264"/>
      <c r="Q302" s="264"/>
      <c r="R302" s="264"/>
      <c r="S302" s="264"/>
      <c r="T302" s="264"/>
      <c r="U302" s="264"/>
      <c r="V302" s="264"/>
      <c r="W302" s="264"/>
      <c r="X302" s="264"/>
      <c r="Y302" s="264"/>
      <c r="Z302" s="264"/>
      <c r="AA302" s="264"/>
      <c r="AB302" s="264"/>
      <c r="AC302" s="264"/>
      <c r="AD302" s="264"/>
      <c r="AE302" s="264"/>
    </row>
    <row r="303">
      <c r="A303" s="272" t="s">
        <v>797</v>
      </c>
      <c r="B303" s="272" t="s">
        <v>793</v>
      </c>
      <c r="C303" s="272" t="s">
        <v>794</v>
      </c>
      <c r="D303" s="172">
        <v>45911.0</v>
      </c>
      <c r="E303" s="267" t="s">
        <v>171</v>
      </c>
      <c r="F303" s="274">
        <f t="shared" si="2"/>
        <v>2025</v>
      </c>
      <c r="G303" s="42" t="s">
        <v>347</v>
      </c>
      <c r="H303" s="272" t="s">
        <v>251</v>
      </c>
      <c r="I303" s="275">
        <v>1114000.0</v>
      </c>
      <c r="J303" s="276">
        <f>IF(ISBLANK(I303), "", VLOOKUP(E303&amp;" "&amp;F303, 'Info Tipo de Cambio y REM'!$A$24:$B$35, 2, FALSE))
</f>
        <v>1445</v>
      </c>
      <c r="K303" s="107">
        <f t="shared" ref="K303:K307" si="19">IF(NOT(ISBLANK(I303)), I303 / J303, IF(NOT(ISBLANK(I303)), I303, ""))</f>
        <v>770.9342561</v>
      </c>
      <c r="L303" s="293">
        <f t="shared" si="5"/>
        <v>-6200769.315</v>
      </c>
      <c r="M303" s="293">
        <f t="shared" si="3"/>
        <v>-42553.17</v>
      </c>
      <c r="N303" s="293">
        <f t="shared" si="6"/>
        <v>0</v>
      </c>
      <c r="O303" s="277">
        <f t="shared" si="4"/>
        <v>-46813.2197</v>
      </c>
      <c r="P303" s="264"/>
      <c r="Q303" s="264"/>
      <c r="R303" s="264"/>
      <c r="S303" s="264"/>
      <c r="T303" s="264"/>
      <c r="U303" s="264"/>
      <c r="V303" s="264"/>
      <c r="W303" s="264"/>
      <c r="X303" s="264"/>
      <c r="Y303" s="264"/>
      <c r="Z303" s="264"/>
      <c r="AA303" s="264"/>
      <c r="AB303" s="264"/>
      <c r="AC303" s="264"/>
      <c r="AD303" s="264"/>
      <c r="AE303" s="264"/>
    </row>
    <row r="304">
      <c r="A304" s="272" t="s">
        <v>797</v>
      </c>
      <c r="B304" s="272" t="s">
        <v>793</v>
      </c>
      <c r="C304" s="272" t="s">
        <v>794</v>
      </c>
      <c r="D304" s="172">
        <v>45912.0</v>
      </c>
      <c r="E304" s="267" t="s">
        <v>171</v>
      </c>
      <c r="F304" s="274">
        <f t="shared" si="2"/>
        <v>2025</v>
      </c>
      <c r="G304" s="42" t="s">
        <v>889</v>
      </c>
      <c r="H304" s="272" t="s">
        <v>256</v>
      </c>
      <c r="I304" s="275">
        <v>2000000.0</v>
      </c>
      <c r="J304" s="276">
        <f>IF(ISBLANK(I304), "", VLOOKUP(E304&amp;" "&amp;F304, 'Info Tipo de Cambio y REM'!$A$24:$B$35, 2, FALSE))
</f>
        <v>1445</v>
      </c>
      <c r="K304" s="107">
        <f t="shared" si="19"/>
        <v>1384.083045</v>
      </c>
      <c r="L304" s="293">
        <f t="shared" si="5"/>
        <v>-4200769.315</v>
      </c>
      <c r="M304" s="293">
        <f t="shared" si="3"/>
        <v>-42553.17</v>
      </c>
      <c r="N304" s="293">
        <f t="shared" si="6"/>
        <v>0</v>
      </c>
      <c r="O304" s="277">
        <f t="shared" si="4"/>
        <v>-45429.13666</v>
      </c>
      <c r="P304" s="264"/>
      <c r="Q304" s="264"/>
      <c r="R304" s="264"/>
      <c r="S304" s="264"/>
      <c r="T304" s="264"/>
      <c r="U304" s="264"/>
      <c r="V304" s="264"/>
      <c r="W304" s="264"/>
      <c r="X304" s="264"/>
      <c r="Y304" s="264"/>
      <c r="Z304" s="264"/>
      <c r="AA304" s="264"/>
      <c r="AB304" s="264"/>
      <c r="AC304" s="264"/>
      <c r="AD304" s="264"/>
      <c r="AE304" s="264"/>
    </row>
    <row r="305">
      <c r="A305" s="272" t="s">
        <v>797</v>
      </c>
      <c r="B305" s="272" t="s">
        <v>793</v>
      </c>
      <c r="C305" s="272" t="s">
        <v>794</v>
      </c>
      <c r="D305" s="172">
        <v>45909.0</v>
      </c>
      <c r="E305" s="267" t="s">
        <v>171</v>
      </c>
      <c r="F305" s="274">
        <f t="shared" si="2"/>
        <v>2025</v>
      </c>
      <c r="G305" s="59" t="s">
        <v>890</v>
      </c>
      <c r="H305" s="59" t="s">
        <v>244</v>
      </c>
      <c r="I305" s="304">
        <v>3720750.0</v>
      </c>
      <c r="J305" s="276">
        <f>IF(ISBLANK(I305), "", VLOOKUP(E305&amp;" "&amp;F305, 'Info Tipo de Cambio y REM'!$A$24:$B$35, 2, FALSE))
</f>
        <v>1445</v>
      </c>
      <c r="K305" s="107">
        <f t="shared" si="19"/>
        <v>2574.913495</v>
      </c>
      <c r="L305" s="293">
        <f t="shared" si="5"/>
        <v>-480019.3147</v>
      </c>
      <c r="M305" s="293">
        <f t="shared" si="3"/>
        <v>-42553.17</v>
      </c>
      <c r="N305" s="293">
        <f t="shared" si="6"/>
        <v>0</v>
      </c>
      <c r="O305" s="277">
        <f t="shared" si="4"/>
        <v>-42854.22316</v>
      </c>
      <c r="P305" s="264"/>
      <c r="Q305" s="264"/>
      <c r="R305" s="264"/>
      <c r="S305" s="264"/>
      <c r="T305" s="264"/>
      <c r="U305" s="264"/>
      <c r="V305" s="264"/>
      <c r="W305" s="264"/>
      <c r="X305" s="264"/>
      <c r="Y305" s="264"/>
      <c r="Z305" s="264"/>
      <c r="AA305" s="264"/>
      <c r="AB305" s="264"/>
      <c r="AC305" s="264"/>
      <c r="AD305" s="264"/>
      <c r="AE305" s="264"/>
    </row>
    <row r="306">
      <c r="A306" s="272" t="s">
        <v>797</v>
      </c>
      <c r="B306" s="272" t="s">
        <v>793</v>
      </c>
      <c r="C306" s="272" t="s">
        <v>794</v>
      </c>
      <c r="D306" s="172">
        <v>45904.0</v>
      </c>
      <c r="E306" s="267" t="s">
        <v>171</v>
      </c>
      <c r="F306" s="274">
        <f t="shared" si="2"/>
        <v>2025</v>
      </c>
      <c r="G306" s="59" t="s">
        <v>891</v>
      </c>
      <c r="H306" s="59" t="s">
        <v>245</v>
      </c>
      <c r="I306" s="304">
        <v>5275425.76</v>
      </c>
      <c r="J306" s="276">
        <f>IF(ISBLANK(I306), "", VLOOKUP(E306&amp;" "&amp;F306, 'Info Tipo de Cambio y REM'!$A$24:$B$35, 2, FALSE))
</f>
        <v>1445</v>
      </c>
      <c r="K306" s="107">
        <f t="shared" si="19"/>
        <v>3650.813675</v>
      </c>
      <c r="L306" s="293">
        <f t="shared" si="5"/>
        <v>4795406.445</v>
      </c>
      <c r="M306" s="293">
        <f t="shared" si="3"/>
        <v>-42553.17</v>
      </c>
      <c r="N306" s="293">
        <f t="shared" si="6"/>
        <v>0</v>
      </c>
      <c r="O306" s="277">
        <f t="shared" si="4"/>
        <v>-39203.40949</v>
      </c>
      <c r="P306" s="264"/>
      <c r="Q306" s="264"/>
      <c r="R306" s="264"/>
      <c r="S306" s="264"/>
      <c r="T306" s="264"/>
      <c r="U306" s="264"/>
      <c r="V306" s="264"/>
      <c r="W306" s="264"/>
      <c r="X306" s="264"/>
      <c r="Y306" s="264"/>
      <c r="Z306" s="264"/>
      <c r="AA306" s="264"/>
      <c r="AB306" s="264"/>
      <c r="AC306" s="264"/>
      <c r="AD306" s="264"/>
      <c r="AE306" s="264"/>
    </row>
    <row r="307">
      <c r="A307" s="272" t="s">
        <v>797</v>
      </c>
      <c r="B307" s="272" t="s">
        <v>793</v>
      </c>
      <c r="C307" s="272" t="s">
        <v>794</v>
      </c>
      <c r="D307" s="172">
        <v>45904.0</v>
      </c>
      <c r="E307" s="267" t="s">
        <v>171</v>
      </c>
      <c r="F307" s="274">
        <f t="shared" si="2"/>
        <v>2025</v>
      </c>
      <c r="G307" s="59" t="s">
        <v>892</v>
      </c>
      <c r="H307" s="59" t="s">
        <v>254</v>
      </c>
      <c r="I307" s="304">
        <v>2042746.2</v>
      </c>
      <c r="J307" s="276">
        <f>IF(ISBLANK(I307), "", VLOOKUP(E307&amp;" "&amp;F307, 'Info Tipo de Cambio y REM'!$A$24:$B$35, 2, FALSE))
</f>
        <v>1445</v>
      </c>
      <c r="K307" s="107">
        <f t="shared" si="19"/>
        <v>1413.66519</v>
      </c>
      <c r="L307" s="293">
        <f t="shared" si="5"/>
        <v>6838152.645</v>
      </c>
      <c r="M307" s="293">
        <f t="shared" si="3"/>
        <v>-42553.17</v>
      </c>
      <c r="N307" s="293">
        <f t="shared" si="6"/>
        <v>0</v>
      </c>
      <c r="O307" s="277">
        <f t="shared" si="4"/>
        <v>-37789.7443</v>
      </c>
      <c r="P307" s="264"/>
      <c r="Q307" s="264"/>
      <c r="R307" s="264"/>
      <c r="S307" s="264"/>
      <c r="T307" s="264"/>
      <c r="U307" s="264"/>
      <c r="V307" s="264"/>
      <c r="W307" s="264"/>
      <c r="X307" s="264"/>
      <c r="Y307" s="264"/>
      <c r="Z307" s="264"/>
      <c r="AA307" s="264"/>
      <c r="AB307" s="264"/>
      <c r="AC307" s="264"/>
      <c r="AD307" s="264"/>
      <c r="AE307" s="264"/>
    </row>
    <row r="308">
      <c r="A308" s="272" t="s">
        <v>795</v>
      </c>
      <c r="B308" s="272" t="s">
        <v>144</v>
      </c>
      <c r="C308" s="272" t="s">
        <v>791</v>
      </c>
      <c r="D308" s="172">
        <v>45902.0</v>
      </c>
      <c r="E308" s="267" t="s">
        <v>171</v>
      </c>
      <c r="F308" s="274">
        <f t="shared" si="2"/>
        <v>2025</v>
      </c>
      <c r="G308" s="83" t="s">
        <v>893</v>
      </c>
      <c r="H308" s="272" t="s">
        <v>894</v>
      </c>
      <c r="I308" s="277"/>
      <c r="J308" s="276" t="str">
        <f>IF(ISBLANK(I308), "", VLOOKUP(E308&amp;" "&amp;F308, 'Info Tipo de Cambio y REM'!$A$24:$B$35, 2, FALSE))
</f>
        <v/>
      </c>
      <c r="K308" s="307">
        <v>1116.0</v>
      </c>
      <c r="L308" s="293">
        <f t="shared" si="5"/>
        <v>6838152.645</v>
      </c>
      <c r="M308" s="293">
        <f t="shared" si="3"/>
        <v>-43669.17</v>
      </c>
      <c r="N308" s="293">
        <f t="shared" si="6"/>
        <v>0</v>
      </c>
      <c r="O308" s="277">
        <f t="shared" si="4"/>
        <v>-38905.7443</v>
      </c>
      <c r="P308" s="264"/>
      <c r="Q308" s="264"/>
      <c r="R308" s="264"/>
      <c r="S308" s="264"/>
      <c r="T308" s="264"/>
      <c r="U308" s="264"/>
      <c r="V308" s="264"/>
      <c r="W308" s="264"/>
      <c r="X308" s="264"/>
      <c r="Y308" s="264"/>
      <c r="Z308" s="264"/>
      <c r="AA308" s="264"/>
      <c r="AB308" s="264"/>
      <c r="AC308" s="264"/>
      <c r="AD308" s="264"/>
      <c r="AE308" s="264"/>
    </row>
    <row r="309">
      <c r="A309" s="272" t="s">
        <v>795</v>
      </c>
      <c r="B309" s="272" t="s">
        <v>144</v>
      </c>
      <c r="C309" s="272" t="s">
        <v>791</v>
      </c>
      <c r="D309" s="172">
        <v>45902.0</v>
      </c>
      <c r="E309" s="267" t="s">
        <v>171</v>
      </c>
      <c r="F309" s="274">
        <f t="shared" si="2"/>
        <v>2025</v>
      </c>
      <c r="G309" s="83" t="s">
        <v>895</v>
      </c>
      <c r="H309" s="59" t="s">
        <v>436</v>
      </c>
      <c r="I309" s="277"/>
      <c r="J309" s="276" t="str">
        <f>IF(ISBLANK(I309), "", VLOOKUP(E309&amp;" "&amp;F309, 'Info Tipo de Cambio y REM'!$A$24:$B$35, 2, FALSE))
</f>
        <v/>
      </c>
      <c r="K309" s="307">
        <v>1084.0</v>
      </c>
      <c r="L309" s="293">
        <f t="shared" si="5"/>
        <v>6838152.645</v>
      </c>
      <c r="M309" s="293">
        <f t="shared" si="3"/>
        <v>-44753.17</v>
      </c>
      <c r="N309" s="293">
        <f t="shared" si="6"/>
        <v>0</v>
      </c>
      <c r="O309" s="277">
        <f t="shared" si="4"/>
        <v>-39989.7443</v>
      </c>
      <c r="P309" s="264"/>
      <c r="Q309" s="264"/>
      <c r="R309" s="264"/>
      <c r="S309" s="264"/>
      <c r="T309" s="264"/>
      <c r="U309" s="264"/>
      <c r="V309" s="264"/>
      <c r="W309" s="264"/>
      <c r="X309" s="264"/>
      <c r="Y309" s="264"/>
      <c r="Z309" s="264"/>
      <c r="AA309" s="264"/>
      <c r="AB309" s="264"/>
      <c r="AC309" s="264"/>
      <c r="AD309" s="264"/>
      <c r="AE309" s="264"/>
    </row>
    <row r="310">
      <c r="A310" s="272" t="s">
        <v>795</v>
      </c>
      <c r="B310" s="272" t="s">
        <v>144</v>
      </c>
      <c r="C310" s="272" t="s">
        <v>791</v>
      </c>
      <c r="D310" s="172">
        <v>45902.0</v>
      </c>
      <c r="E310" s="267" t="s">
        <v>171</v>
      </c>
      <c r="F310" s="274">
        <f t="shared" si="2"/>
        <v>2025</v>
      </c>
      <c r="G310" s="83" t="s">
        <v>896</v>
      </c>
      <c r="H310" s="280" t="s">
        <v>387</v>
      </c>
      <c r="I310" s="277"/>
      <c r="J310" s="276" t="str">
        <f>IF(ISBLANK(I310), "", VLOOKUP(E310&amp;" "&amp;F310, 'Info Tipo de Cambio y REM'!$A$24:$B$35, 2, FALSE))
</f>
        <v/>
      </c>
      <c r="K310" s="307">
        <v>2140.0</v>
      </c>
      <c r="L310" s="293">
        <f t="shared" si="5"/>
        <v>6838152.645</v>
      </c>
      <c r="M310" s="293">
        <f t="shared" si="3"/>
        <v>-46893.17</v>
      </c>
      <c r="N310" s="293">
        <f t="shared" si="6"/>
        <v>0</v>
      </c>
      <c r="O310" s="277">
        <f t="shared" si="4"/>
        <v>-42129.7443</v>
      </c>
      <c r="P310" s="264"/>
      <c r="Q310" s="264"/>
      <c r="R310" s="264"/>
      <c r="S310" s="264"/>
      <c r="T310" s="264"/>
      <c r="U310" s="264"/>
      <c r="V310" s="264"/>
      <c r="W310" s="264"/>
      <c r="X310" s="264"/>
      <c r="Y310" s="264"/>
      <c r="Z310" s="264"/>
      <c r="AA310" s="264"/>
      <c r="AB310" s="264"/>
      <c r="AC310" s="264"/>
      <c r="AD310" s="264"/>
      <c r="AE310" s="264"/>
    </row>
    <row r="311">
      <c r="A311" s="272" t="s">
        <v>795</v>
      </c>
      <c r="B311" s="272" t="s">
        <v>144</v>
      </c>
      <c r="C311" s="272" t="s">
        <v>791</v>
      </c>
      <c r="D311" s="172">
        <v>45902.0</v>
      </c>
      <c r="E311" s="267" t="s">
        <v>171</v>
      </c>
      <c r="F311" s="274">
        <f t="shared" si="2"/>
        <v>2025</v>
      </c>
      <c r="G311" s="83" t="s">
        <v>897</v>
      </c>
      <c r="H311" s="272" t="s">
        <v>566</v>
      </c>
      <c r="I311" s="277"/>
      <c r="J311" s="276" t="str">
        <f>IF(ISBLANK(I311), "", VLOOKUP(E311&amp;" "&amp;F311, 'Info Tipo de Cambio y REM'!$A$24:$B$35, 2, FALSE))
</f>
        <v/>
      </c>
      <c r="K311" s="307">
        <v>408.0</v>
      </c>
      <c r="L311" s="293">
        <f t="shared" si="5"/>
        <v>6838152.645</v>
      </c>
      <c r="M311" s="293">
        <f t="shared" si="3"/>
        <v>-47301.17</v>
      </c>
      <c r="N311" s="293">
        <f t="shared" si="6"/>
        <v>0</v>
      </c>
      <c r="O311" s="277">
        <f t="shared" si="4"/>
        <v>-42537.7443</v>
      </c>
      <c r="P311" s="264"/>
      <c r="Q311" s="264"/>
      <c r="R311" s="264"/>
      <c r="S311" s="264"/>
      <c r="T311" s="264"/>
      <c r="U311" s="264"/>
      <c r="V311" s="264"/>
      <c r="W311" s="264"/>
      <c r="X311" s="264"/>
      <c r="Y311" s="264"/>
      <c r="Z311" s="264"/>
      <c r="AA311" s="264"/>
      <c r="AB311" s="264"/>
      <c r="AC311" s="264"/>
      <c r="AD311" s="264"/>
      <c r="AE311" s="264"/>
    </row>
    <row r="312">
      <c r="A312" s="272" t="s">
        <v>795</v>
      </c>
      <c r="B312" s="272" t="s">
        <v>144</v>
      </c>
      <c r="C312" s="272" t="s">
        <v>791</v>
      </c>
      <c r="D312" s="172">
        <v>45902.0</v>
      </c>
      <c r="E312" s="267" t="s">
        <v>171</v>
      </c>
      <c r="F312" s="274">
        <f t="shared" si="2"/>
        <v>2025</v>
      </c>
      <c r="G312" s="83" t="s">
        <v>898</v>
      </c>
      <c r="H312" s="272" t="s">
        <v>389</v>
      </c>
      <c r="I312" s="277"/>
      <c r="J312" s="276" t="str">
        <f>IF(ISBLANK(I312), "", VLOOKUP(E312&amp;" "&amp;F312, 'Info Tipo de Cambio y REM'!$A$24:$B$35, 2, FALSE))
</f>
        <v/>
      </c>
      <c r="K312" s="307">
        <v>455.0</v>
      </c>
      <c r="L312" s="293">
        <f t="shared" si="5"/>
        <v>6838152.645</v>
      </c>
      <c r="M312" s="293">
        <f t="shared" si="3"/>
        <v>-47756.17</v>
      </c>
      <c r="N312" s="293">
        <f t="shared" si="6"/>
        <v>0</v>
      </c>
      <c r="O312" s="277">
        <f t="shared" si="4"/>
        <v>-42992.7443</v>
      </c>
      <c r="P312" s="264"/>
      <c r="Q312" s="264"/>
      <c r="R312" s="264"/>
      <c r="S312" s="264"/>
      <c r="T312" s="264"/>
      <c r="U312" s="264"/>
      <c r="V312" s="264"/>
      <c r="W312" s="264"/>
      <c r="X312" s="264"/>
      <c r="Y312" s="264"/>
      <c r="Z312" s="264"/>
      <c r="AA312" s="264"/>
      <c r="AB312" s="264"/>
      <c r="AC312" s="264"/>
      <c r="AD312" s="264"/>
      <c r="AE312" s="264"/>
    </row>
    <row r="313">
      <c r="A313" s="272" t="s">
        <v>795</v>
      </c>
      <c r="B313" s="272" t="s">
        <v>144</v>
      </c>
      <c r="C313" s="272" t="s">
        <v>791</v>
      </c>
      <c r="D313" s="172">
        <v>45902.0</v>
      </c>
      <c r="E313" s="267" t="s">
        <v>171</v>
      </c>
      <c r="F313" s="274">
        <f t="shared" si="2"/>
        <v>2025</v>
      </c>
      <c r="G313" s="83" t="s">
        <v>899</v>
      </c>
      <c r="H313" s="272" t="s">
        <v>900</v>
      </c>
      <c r="I313" s="277"/>
      <c r="J313" s="276" t="str">
        <f>IF(ISBLANK(I313), "", VLOOKUP(E313&amp;" "&amp;F313, 'Info Tipo de Cambio y REM'!$A$24:$B$35, 2, FALSE))
</f>
        <v/>
      </c>
      <c r="K313" s="307">
        <v>1469.0</v>
      </c>
      <c r="L313" s="293">
        <f t="shared" si="5"/>
        <v>6838152.645</v>
      </c>
      <c r="M313" s="293">
        <f t="shared" si="3"/>
        <v>-49225.17</v>
      </c>
      <c r="N313" s="293">
        <f t="shared" si="6"/>
        <v>0</v>
      </c>
      <c r="O313" s="277">
        <f t="shared" si="4"/>
        <v>-44461.7443</v>
      </c>
      <c r="P313" s="264"/>
      <c r="Q313" s="264"/>
      <c r="R313" s="264"/>
      <c r="S313" s="264"/>
      <c r="T313" s="264"/>
      <c r="U313" s="264"/>
      <c r="V313" s="264"/>
      <c r="W313" s="264"/>
      <c r="X313" s="264"/>
      <c r="Y313" s="264"/>
      <c r="Z313" s="264"/>
      <c r="AA313" s="264"/>
      <c r="AB313" s="264"/>
      <c r="AC313" s="264"/>
      <c r="AD313" s="264"/>
      <c r="AE313" s="264"/>
    </row>
    <row r="314">
      <c r="A314" s="272" t="s">
        <v>795</v>
      </c>
      <c r="B314" s="272" t="s">
        <v>144</v>
      </c>
      <c r="C314" s="272" t="s">
        <v>791</v>
      </c>
      <c r="D314" s="172">
        <v>45902.0</v>
      </c>
      <c r="E314" s="267" t="s">
        <v>171</v>
      </c>
      <c r="F314" s="274">
        <f t="shared" si="2"/>
        <v>2025</v>
      </c>
      <c r="G314" s="83" t="s">
        <v>901</v>
      </c>
      <c r="H314" s="272" t="s">
        <v>902</v>
      </c>
      <c r="I314" s="277"/>
      <c r="J314" s="276" t="str">
        <f>IF(ISBLANK(I314), "", VLOOKUP(E314&amp;" "&amp;F314, 'Info Tipo de Cambio y REM'!$A$24:$B$35, 2, FALSE))
</f>
        <v/>
      </c>
      <c r="K314" s="307">
        <v>1120.0</v>
      </c>
      <c r="L314" s="293">
        <f t="shared" si="5"/>
        <v>6838152.645</v>
      </c>
      <c r="M314" s="293">
        <f t="shared" si="3"/>
        <v>-50345.17</v>
      </c>
      <c r="N314" s="293">
        <f t="shared" si="6"/>
        <v>0</v>
      </c>
      <c r="O314" s="277">
        <f t="shared" si="4"/>
        <v>-45581.7443</v>
      </c>
      <c r="P314" s="264"/>
      <c r="Q314" s="264"/>
      <c r="R314" s="264"/>
      <c r="S314" s="264"/>
      <c r="T314" s="264"/>
      <c r="U314" s="264"/>
      <c r="V314" s="264"/>
      <c r="W314" s="264"/>
      <c r="X314" s="264"/>
      <c r="Y314" s="264"/>
      <c r="Z314" s="264"/>
      <c r="AA314" s="264"/>
      <c r="AB314" s="264"/>
      <c r="AC314" s="264"/>
      <c r="AD314" s="264"/>
      <c r="AE314" s="264"/>
    </row>
    <row r="315">
      <c r="A315" s="272" t="s">
        <v>795</v>
      </c>
      <c r="B315" s="272" t="s">
        <v>144</v>
      </c>
      <c r="C315" s="272" t="s">
        <v>791</v>
      </c>
      <c r="D315" s="172">
        <v>45902.0</v>
      </c>
      <c r="E315" s="267" t="s">
        <v>171</v>
      </c>
      <c r="F315" s="274">
        <f t="shared" si="2"/>
        <v>2025</v>
      </c>
      <c r="G315" s="83" t="s">
        <v>903</v>
      </c>
      <c r="H315" s="272" t="s">
        <v>407</v>
      </c>
      <c r="I315" s="277"/>
      <c r="J315" s="276" t="str">
        <f>IF(ISBLANK(I315), "", VLOOKUP(E315&amp;" "&amp;F315, 'Info Tipo de Cambio y REM'!$A$24:$B$35, 2, FALSE))
</f>
        <v/>
      </c>
      <c r="K315" s="307">
        <v>1284.0</v>
      </c>
      <c r="L315" s="293">
        <f t="shared" si="5"/>
        <v>6838152.645</v>
      </c>
      <c r="M315" s="293">
        <f t="shared" si="3"/>
        <v>-51629.17</v>
      </c>
      <c r="N315" s="293">
        <f t="shared" si="6"/>
        <v>0</v>
      </c>
      <c r="O315" s="277">
        <f t="shared" si="4"/>
        <v>-46865.7443</v>
      </c>
      <c r="P315" s="264"/>
      <c r="Q315" s="264"/>
      <c r="R315" s="264"/>
      <c r="S315" s="264"/>
      <c r="T315" s="264"/>
      <c r="U315" s="264"/>
      <c r="V315" s="264"/>
      <c r="W315" s="264"/>
      <c r="X315" s="264"/>
      <c r="Y315" s="264"/>
      <c r="Z315" s="264"/>
      <c r="AA315" s="264"/>
      <c r="AB315" s="264"/>
      <c r="AC315" s="264"/>
      <c r="AD315" s="264"/>
      <c r="AE315" s="264"/>
    </row>
    <row r="316">
      <c r="A316" s="272" t="s">
        <v>795</v>
      </c>
      <c r="B316" s="272" t="s">
        <v>144</v>
      </c>
      <c r="C316" s="272" t="s">
        <v>791</v>
      </c>
      <c r="D316" s="172">
        <v>45902.0</v>
      </c>
      <c r="E316" s="267" t="s">
        <v>171</v>
      </c>
      <c r="F316" s="274">
        <f t="shared" si="2"/>
        <v>2025</v>
      </c>
      <c r="G316" s="83" t="s">
        <v>904</v>
      </c>
      <c r="H316" s="272" t="s">
        <v>450</v>
      </c>
      <c r="I316" s="277"/>
      <c r="J316" s="276" t="str">
        <f>IF(ISBLANK(I316), "", VLOOKUP(E316&amp;" "&amp;F316, 'Info Tipo de Cambio y REM'!$A$24:$B$35, 2, FALSE))
</f>
        <v/>
      </c>
      <c r="K316" s="307">
        <v>1516.0</v>
      </c>
      <c r="L316" s="293">
        <f t="shared" si="5"/>
        <v>6838152.645</v>
      </c>
      <c r="M316" s="293">
        <f t="shared" si="3"/>
        <v>-53145.17</v>
      </c>
      <c r="N316" s="293">
        <f t="shared" si="6"/>
        <v>0</v>
      </c>
      <c r="O316" s="277">
        <f t="shared" si="4"/>
        <v>-48381.7443</v>
      </c>
      <c r="P316" s="264"/>
      <c r="Q316" s="264"/>
      <c r="R316" s="264"/>
      <c r="S316" s="264"/>
      <c r="T316" s="264"/>
      <c r="U316" s="264"/>
      <c r="V316" s="264"/>
      <c r="W316" s="264"/>
      <c r="X316" s="264"/>
      <c r="Y316" s="264"/>
      <c r="Z316" s="264"/>
      <c r="AA316" s="264"/>
      <c r="AB316" s="264"/>
      <c r="AC316" s="264"/>
      <c r="AD316" s="264"/>
      <c r="AE316" s="264"/>
    </row>
    <row r="317">
      <c r="A317" s="272" t="s">
        <v>795</v>
      </c>
      <c r="B317" s="272" t="s">
        <v>144</v>
      </c>
      <c r="C317" s="272" t="s">
        <v>791</v>
      </c>
      <c r="D317" s="172">
        <v>45902.0</v>
      </c>
      <c r="E317" s="267" t="s">
        <v>171</v>
      </c>
      <c r="F317" s="274">
        <f t="shared" si="2"/>
        <v>2025</v>
      </c>
      <c r="G317" s="83" t="s">
        <v>905</v>
      </c>
      <c r="H317" s="272" t="s">
        <v>577</v>
      </c>
      <c r="I317" s="277"/>
      <c r="J317" s="276" t="str">
        <f>IF(ISBLANK(I317), "", VLOOKUP(E317&amp;" "&amp;F317, 'Info Tipo de Cambio y REM'!$A$24:$B$35, 2, FALSE))
</f>
        <v/>
      </c>
      <c r="K317" s="307">
        <v>1354.0</v>
      </c>
      <c r="L317" s="293">
        <f t="shared" si="5"/>
        <v>6838152.645</v>
      </c>
      <c r="M317" s="293">
        <f t="shared" si="3"/>
        <v>-54499.17</v>
      </c>
      <c r="N317" s="293">
        <f t="shared" si="6"/>
        <v>0</v>
      </c>
      <c r="O317" s="277">
        <f t="shared" si="4"/>
        <v>-49735.7443</v>
      </c>
      <c r="P317" s="264"/>
      <c r="Q317" s="264"/>
      <c r="R317" s="264"/>
      <c r="S317" s="264"/>
      <c r="T317" s="264"/>
      <c r="U317" s="264"/>
      <c r="V317" s="264"/>
      <c r="W317" s="264"/>
      <c r="X317" s="264"/>
      <c r="Y317" s="264"/>
      <c r="Z317" s="264"/>
      <c r="AA317" s="264"/>
      <c r="AB317" s="264"/>
      <c r="AC317" s="264"/>
      <c r="AD317" s="264"/>
      <c r="AE317" s="264"/>
    </row>
    <row r="318">
      <c r="A318" s="272" t="s">
        <v>795</v>
      </c>
      <c r="B318" s="272" t="s">
        <v>144</v>
      </c>
      <c r="C318" s="272" t="s">
        <v>791</v>
      </c>
      <c r="D318" s="172">
        <v>45902.0</v>
      </c>
      <c r="E318" s="267" t="s">
        <v>171</v>
      </c>
      <c r="F318" s="274">
        <f t="shared" si="2"/>
        <v>2025</v>
      </c>
      <c r="G318" s="83" t="s">
        <v>906</v>
      </c>
      <c r="H318" s="272" t="s">
        <v>411</v>
      </c>
      <c r="I318" s="277"/>
      <c r="J318" s="276" t="str">
        <f>IF(ISBLANK(I318), "", VLOOKUP(E318&amp;" "&amp;F318, 'Info Tipo de Cambio y REM'!$A$24:$B$35, 2, FALSE))
</f>
        <v/>
      </c>
      <c r="K318" s="307">
        <v>1472.0</v>
      </c>
      <c r="L318" s="293">
        <f t="shared" si="5"/>
        <v>6838152.645</v>
      </c>
      <c r="M318" s="293">
        <f t="shared" si="3"/>
        <v>-55971.17</v>
      </c>
      <c r="N318" s="293">
        <f t="shared" si="6"/>
        <v>0</v>
      </c>
      <c r="O318" s="277">
        <f t="shared" si="4"/>
        <v>-51207.7443</v>
      </c>
      <c r="P318" s="264"/>
      <c r="Q318" s="264"/>
      <c r="R318" s="264"/>
      <c r="S318" s="264"/>
      <c r="T318" s="264"/>
      <c r="U318" s="264"/>
      <c r="V318" s="264"/>
      <c r="W318" s="264"/>
      <c r="X318" s="264"/>
      <c r="Y318" s="264"/>
      <c r="Z318" s="264"/>
      <c r="AA318" s="264"/>
      <c r="AB318" s="264"/>
      <c r="AC318" s="264"/>
      <c r="AD318" s="264"/>
      <c r="AE318" s="264"/>
    </row>
    <row r="319">
      <c r="A319" s="272" t="s">
        <v>795</v>
      </c>
      <c r="B319" s="272" t="s">
        <v>144</v>
      </c>
      <c r="C319" s="272" t="s">
        <v>791</v>
      </c>
      <c r="D319" s="172">
        <v>45902.0</v>
      </c>
      <c r="E319" s="267" t="s">
        <v>171</v>
      </c>
      <c r="F319" s="274">
        <f t="shared" si="2"/>
        <v>2025</v>
      </c>
      <c r="G319" s="83" t="s">
        <v>907</v>
      </c>
      <c r="H319" s="272" t="s">
        <v>458</v>
      </c>
      <c r="I319" s="277"/>
      <c r="J319" s="276" t="str">
        <f>IF(ISBLANK(I319), "", VLOOKUP(E319&amp;" "&amp;F319, 'Info Tipo de Cambio y REM'!$A$24:$B$35, 2, FALSE))
</f>
        <v/>
      </c>
      <c r="K319" s="307">
        <v>2200.0</v>
      </c>
      <c r="L319" s="293">
        <f t="shared" si="5"/>
        <v>6838152.645</v>
      </c>
      <c r="M319" s="293">
        <f t="shared" si="3"/>
        <v>-58171.17</v>
      </c>
      <c r="N319" s="293">
        <f t="shared" si="6"/>
        <v>0</v>
      </c>
      <c r="O319" s="277">
        <f t="shared" si="4"/>
        <v>-53407.7443</v>
      </c>
      <c r="P319" s="264"/>
      <c r="Q319" s="264"/>
      <c r="R319" s="264"/>
      <c r="S319" s="264"/>
      <c r="T319" s="264"/>
      <c r="U319" s="264"/>
      <c r="V319" s="264"/>
      <c r="W319" s="264"/>
      <c r="X319" s="264"/>
      <c r="Y319" s="264"/>
      <c r="Z319" s="264"/>
      <c r="AA319" s="264"/>
      <c r="AB319" s="264"/>
      <c r="AC319" s="264"/>
      <c r="AD319" s="264"/>
      <c r="AE319" s="264"/>
    </row>
    <row r="320">
      <c r="A320" s="272" t="s">
        <v>795</v>
      </c>
      <c r="B320" s="272" t="s">
        <v>144</v>
      </c>
      <c r="C320" s="272" t="s">
        <v>791</v>
      </c>
      <c r="D320" s="172">
        <v>45902.0</v>
      </c>
      <c r="E320" s="267" t="s">
        <v>171</v>
      </c>
      <c r="F320" s="274">
        <f t="shared" si="2"/>
        <v>2025</v>
      </c>
      <c r="G320" s="83" t="s">
        <v>908</v>
      </c>
      <c r="H320" s="272" t="s">
        <v>409</v>
      </c>
      <c r="I320" s="277"/>
      <c r="J320" s="276" t="str">
        <f>IF(ISBLANK(I320), "", VLOOKUP(E320&amp;" "&amp;F320, 'Info Tipo de Cambio y REM'!$A$24:$B$35, 2, FALSE))
</f>
        <v/>
      </c>
      <c r="K320" s="307">
        <v>607.0</v>
      </c>
      <c r="L320" s="293">
        <f t="shared" si="5"/>
        <v>6838152.645</v>
      </c>
      <c r="M320" s="293">
        <f t="shared" si="3"/>
        <v>-58778.17</v>
      </c>
      <c r="N320" s="293">
        <f t="shared" si="6"/>
        <v>0</v>
      </c>
      <c r="O320" s="277">
        <f t="shared" si="4"/>
        <v>-54014.7443</v>
      </c>
      <c r="P320" s="264"/>
      <c r="Q320" s="264"/>
      <c r="R320" s="264"/>
      <c r="S320" s="264"/>
      <c r="T320" s="264"/>
      <c r="U320" s="264"/>
      <c r="V320" s="264"/>
      <c r="W320" s="264"/>
      <c r="X320" s="264"/>
      <c r="Y320" s="264"/>
      <c r="Z320" s="264"/>
      <c r="AA320" s="264"/>
      <c r="AB320" s="264"/>
      <c r="AC320" s="264"/>
      <c r="AD320" s="264"/>
      <c r="AE320" s="264"/>
    </row>
    <row r="321">
      <c r="A321" s="272" t="s">
        <v>795</v>
      </c>
      <c r="B321" s="272" t="s">
        <v>144</v>
      </c>
      <c r="C321" s="272" t="s">
        <v>791</v>
      </c>
      <c r="D321" s="172">
        <v>45902.0</v>
      </c>
      <c r="E321" s="267" t="s">
        <v>171</v>
      </c>
      <c r="F321" s="274">
        <f t="shared" si="2"/>
        <v>2025</v>
      </c>
      <c r="G321" s="323" t="s">
        <v>909</v>
      </c>
      <c r="H321" s="272" t="s">
        <v>683</v>
      </c>
      <c r="I321" s="277"/>
      <c r="J321" s="276" t="str">
        <f>IF(ISBLANK(I321), "", VLOOKUP(E321&amp;" "&amp;F321, 'Info Tipo de Cambio y REM'!$A$24:$B$35, 2, FALSE))
</f>
        <v/>
      </c>
      <c r="K321" s="294">
        <v>1000.0</v>
      </c>
      <c r="L321" s="293">
        <f t="shared" si="5"/>
        <v>6838152.645</v>
      </c>
      <c r="M321" s="293">
        <f t="shared" si="3"/>
        <v>-59778.17</v>
      </c>
      <c r="N321" s="293">
        <f t="shared" si="6"/>
        <v>0</v>
      </c>
      <c r="O321" s="277">
        <f t="shared" si="4"/>
        <v>-55014.7443</v>
      </c>
      <c r="P321" s="264"/>
      <c r="Q321" s="264"/>
      <c r="R321" s="264"/>
      <c r="S321" s="264"/>
      <c r="T321" s="264"/>
      <c r="U321" s="264"/>
      <c r="V321" s="264"/>
      <c r="W321" s="264"/>
      <c r="X321" s="264"/>
      <c r="Y321" s="264"/>
      <c r="Z321" s="264"/>
      <c r="AA321" s="264"/>
      <c r="AB321" s="264"/>
      <c r="AC321" s="264"/>
      <c r="AD321" s="264"/>
      <c r="AE321" s="264"/>
    </row>
    <row r="322">
      <c r="A322" s="272" t="s">
        <v>795</v>
      </c>
      <c r="B322" s="272" t="s">
        <v>144</v>
      </c>
      <c r="C322" s="272" t="s">
        <v>791</v>
      </c>
      <c r="D322" s="104">
        <v>45902.0</v>
      </c>
      <c r="E322" s="267" t="s">
        <v>171</v>
      </c>
      <c r="F322" s="274">
        <f t="shared" si="2"/>
        <v>2025</v>
      </c>
      <c r="G322" s="83" t="s">
        <v>910</v>
      </c>
      <c r="H322" s="264"/>
      <c r="I322" s="277"/>
      <c r="J322" s="276" t="str">
        <f>IF(ISBLANK(I322), "", VLOOKUP(E322&amp;" "&amp;F322, 'Info Tipo de Cambio y REM'!$A$24:$B$35, 2, FALSE))
</f>
        <v/>
      </c>
      <c r="K322" s="123">
        <v>500.96</v>
      </c>
      <c r="L322" s="293">
        <f t="shared" si="5"/>
        <v>6838152.645</v>
      </c>
      <c r="M322" s="293">
        <f t="shared" si="3"/>
        <v>-60279.13</v>
      </c>
      <c r="N322" s="293">
        <f t="shared" si="6"/>
        <v>0</v>
      </c>
      <c r="O322" s="277">
        <f t="shared" si="4"/>
        <v>-55515.7043</v>
      </c>
      <c r="P322" s="264"/>
      <c r="Q322" s="264"/>
      <c r="R322" s="264"/>
      <c r="S322" s="264"/>
      <c r="T322" s="264"/>
      <c r="U322" s="264"/>
      <c r="V322" s="264"/>
      <c r="W322" s="264"/>
      <c r="X322" s="264"/>
      <c r="Y322" s="264"/>
      <c r="Z322" s="264"/>
      <c r="AA322" s="264"/>
      <c r="AB322" s="264"/>
      <c r="AC322" s="264"/>
      <c r="AD322" s="264"/>
      <c r="AE322" s="264"/>
    </row>
    <row r="323">
      <c r="A323" s="272" t="s">
        <v>795</v>
      </c>
      <c r="B323" s="272" t="s">
        <v>144</v>
      </c>
      <c r="C323" s="272" t="s">
        <v>791</v>
      </c>
      <c r="D323" s="104">
        <v>45902.0</v>
      </c>
      <c r="E323" s="267" t="s">
        <v>171</v>
      </c>
      <c r="F323" s="274">
        <f t="shared" si="2"/>
        <v>2025</v>
      </c>
      <c r="G323" s="83" t="s">
        <v>911</v>
      </c>
      <c r="H323" s="264"/>
      <c r="I323" s="277"/>
      <c r="J323" s="276" t="str">
        <f>IF(ISBLANK(I323), "", VLOOKUP(E323&amp;" "&amp;F323, 'Info Tipo de Cambio y REM'!$A$24:$B$35, 2, FALSE))
</f>
        <v/>
      </c>
      <c r="K323" s="123">
        <v>14.0</v>
      </c>
      <c r="L323" s="293">
        <f t="shared" si="5"/>
        <v>6838152.645</v>
      </c>
      <c r="M323" s="293">
        <f t="shared" si="3"/>
        <v>-60293.13</v>
      </c>
      <c r="N323" s="293">
        <f t="shared" si="6"/>
        <v>0</v>
      </c>
      <c r="O323" s="277">
        <f t="shared" si="4"/>
        <v>-55529.7043</v>
      </c>
      <c r="P323" s="264"/>
      <c r="Q323" s="264"/>
      <c r="R323" s="264"/>
      <c r="S323" s="264"/>
      <c r="T323" s="264"/>
      <c r="U323" s="264"/>
      <c r="V323" s="264"/>
      <c r="W323" s="264"/>
      <c r="X323" s="264"/>
      <c r="Y323" s="264"/>
      <c r="Z323" s="264"/>
      <c r="AA323" s="264"/>
      <c r="AB323" s="264"/>
      <c r="AC323" s="264"/>
      <c r="AD323" s="264"/>
      <c r="AE323" s="264"/>
    </row>
    <row r="324">
      <c r="A324" s="272" t="s">
        <v>795</v>
      </c>
      <c r="B324" s="272" t="s">
        <v>144</v>
      </c>
      <c r="C324" s="272" t="s">
        <v>791</v>
      </c>
      <c r="D324" s="104">
        <v>45902.0</v>
      </c>
      <c r="E324" s="267" t="s">
        <v>171</v>
      </c>
      <c r="F324" s="274">
        <f t="shared" si="2"/>
        <v>2025</v>
      </c>
      <c r="G324" s="83" t="s">
        <v>912</v>
      </c>
      <c r="H324" s="264"/>
      <c r="I324" s="277"/>
      <c r="J324" s="276" t="str">
        <f>IF(ISBLANK(I324), "", VLOOKUP(E324&amp;" "&amp;F324, 'Info Tipo de Cambio y REM'!$A$24:$B$35, 2, FALSE))
</f>
        <v/>
      </c>
      <c r="K324" s="123">
        <v>607.42</v>
      </c>
      <c r="L324" s="293">
        <f t="shared" si="5"/>
        <v>6838152.645</v>
      </c>
      <c r="M324" s="293">
        <f t="shared" si="3"/>
        <v>-60900.55</v>
      </c>
      <c r="N324" s="293">
        <f t="shared" si="6"/>
        <v>0</v>
      </c>
      <c r="O324" s="277">
        <f t="shared" si="4"/>
        <v>-56137.1243</v>
      </c>
      <c r="P324" s="264"/>
      <c r="Q324" s="264"/>
      <c r="R324" s="264"/>
      <c r="S324" s="264"/>
      <c r="T324" s="264"/>
      <c r="U324" s="264"/>
      <c r="V324" s="264"/>
      <c r="W324" s="264"/>
      <c r="X324" s="264"/>
      <c r="Y324" s="264"/>
      <c r="Z324" s="264"/>
      <c r="AA324" s="264"/>
      <c r="AB324" s="264"/>
      <c r="AC324" s="264"/>
      <c r="AD324" s="264"/>
      <c r="AE324" s="264"/>
    </row>
    <row r="325">
      <c r="A325" s="272" t="s">
        <v>795</v>
      </c>
      <c r="B325" s="272" t="s">
        <v>144</v>
      </c>
      <c r="C325" s="272" t="s">
        <v>791</v>
      </c>
      <c r="D325" s="104">
        <v>45902.0</v>
      </c>
      <c r="E325" s="267" t="s">
        <v>171</v>
      </c>
      <c r="F325" s="274">
        <f t="shared" si="2"/>
        <v>2025</v>
      </c>
      <c r="G325" s="83" t="s">
        <v>913</v>
      </c>
      <c r="H325" s="264"/>
      <c r="I325" s="277"/>
      <c r="J325" s="276" t="str">
        <f>IF(ISBLANK(I325), "", VLOOKUP(E325&amp;" "&amp;F325, 'Info Tipo de Cambio y REM'!$A$24:$B$35, 2, FALSE))
</f>
        <v/>
      </c>
      <c r="K325" s="123">
        <v>6.05</v>
      </c>
      <c r="L325" s="293">
        <f t="shared" si="5"/>
        <v>6838152.645</v>
      </c>
      <c r="M325" s="293">
        <f t="shared" si="3"/>
        <v>-60906.6</v>
      </c>
      <c r="N325" s="293">
        <f t="shared" si="6"/>
        <v>0</v>
      </c>
      <c r="O325" s="277">
        <f t="shared" si="4"/>
        <v>-56143.1743</v>
      </c>
      <c r="P325" s="264"/>
      <c r="Q325" s="264"/>
      <c r="R325" s="264"/>
      <c r="S325" s="264"/>
      <c r="T325" s="264"/>
      <c r="U325" s="264"/>
      <c r="V325" s="264"/>
      <c r="W325" s="264"/>
      <c r="X325" s="264"/>
      <c r="Y325" s="264"/>
      <c r="Z325" s="264"/>
      <c r="AA325" s="264"/>
      <c r="AB325" s="264"/>
      <c r="AC325" s="264"/>
      <c r="AD325" s="264"/>
      <c r="AE325" s="264"/>
    </row>
    <row r="326">
      <c r="A326" s="272" t="s">
        <v>795</v>
      </c>
      <c r="B326" s="272" t="s">
        <v>144</v>
      </c>
      <c r="C326" s="272" t="s">
        <v>791</v>
      </c>
      <c r="D326" s="104">
        <v>45903.0</v>
      </c>
      <c r="E326" s="267" t="s">
        <v>171</v>
      </c>
      <c r="F326" s="274">
        <f t="shared" si="2"/>
        <v>2025</v>
      </c>
      <c r="G326" s="83" t="s">
        <v>914</v>
      </c>
      <c r="H326" s="264"/>
      <c r="I326" s="277"/>
      <c r="J326" s="276" t="str">
        <f>IF(ISBLANK(I326), "", VLOOKUP(E326&amp;" "&amp;F326, 'Info Tipo de Cambio y REM'!$A$24:$B$35, 2, FALSE))
</f>
        <v/>
      </c>
      <c r="K326" s="123">
        <v>14.19</v>
      </c>
      <c r="L326" s="293">
        <f t="shared" si="5"/>
        <v>6838152.645</v>
      </c>
      <c r="M326" s="293">
        <f t="shared" si="3"/>
        <v>-60920.79</v>
      </c>
      <c r="N326" s="293">
        <f t="shared" si="6"/>
        <v>0</v>
      </c>
      <c r="O326" s="277">
        <f t="shared" si="4"/>
        <v>-56157.3643</v>
      </c>
      <c r="P326" s="264"/>
      <c r="Q326" s="264"/>
      <c r="R326" s="264"/>
      <c r="S326" s="264"/>
      <c r="T326" s="264"/>
      <c r="U326" s="264"/>
      <c r="V326" s="264"/>
      <c r="W326" s="264"/>
      <c r="X326" s="264"/>
      <c r="Y326" s="264"/>
      <c r="Z326" s="264"/>
      <c r="AA326" s="264"/>
      <c r="AB326" s="264"/>
      <c r="AC326" s="264"/>
      <c r="AD326" s="264"/>
      <c r="AE326" s="264"/>
    </row>
    <row r="327">
      <c r="A327" s="272" t="s">
        <v>795</v>
      </c>
      <c r="B327" s="272" t="s">
        <v>144</v>
      </c>
      <c r="C327" s="272" t="s">
        <v>791</v>
      </c>
      <c r="D327" s="104">
        <v>45903.0</v>
      </c>
      <c r="E327" s="267" t="s">
        <v>171</v>
      </c>
      <c r="F327" s="274">
        <f t="shared" si="2"/>
        <v>2025</v>
      </c>
      <c r="G327" s="83" t="s">
        <v>915</v>
      </c>
      <c r="H327" s="264"/>
      <c r="I327" s="277"/>
      <c r="J327" s="276" t="str">
        <f>IF(ISBLANK(I327), "", VLOOKUP(E327&amp;" "&amp;F327, 'Info Tipo de Cambio y REM'!$A$24:$B$35, 2, FALSE))
</f>
        <v/>
      </c>
      <c r="K327" s="123">
        <v>22.99</v>
      </c>
      <c r="L327" s="293">
        <f t="shared" si="5"/>
        <v>6838152.645</v>
      </c>
      <c r="M327" s="293">
        <f t="shared" si="3"/>
        <v>-60943.78</v>
      </c>
      <c r="N327" s="293">
        <f t="shared" si="6"/>
        <v>0</v>
      </c>
      <c r="O327" s="277">
        <f t="shared" si="4"/>
        <v>-56180.3543</v>
      </c>
      <c r="P327" s="264"/>
      <c r="Q327" s="264"/>
      <c r="R327" s="264"/>
      <c r="S327" s="264"/>
      <c r="T327" s="264"/>
      <c r="U327" s="264"/>
      <c r="V327" s="264"/>
      <c r="W327" s="264"/>
      <c r="X327" s="264"/>
      <c r="Y327" s="264"/>
      <c r="Z327" s="264"/>
      <c r="AA327" s="264"/>
      <c r="AB327" s="264"/>
      <c r="AC327" s="264"/>
      <c r="AD327" s="264"/>
      <c r="AE327" s="264"/>
    </row>
    <row r="328">
      <c r="A328" s="272" t="s">
        <v>795</v>
      </c>
      <c r="B328" s="272" t="s">
        <v>144</v>
      </c>
      <c r="C328" s="272" t="s">
        <v>791</v>
      </c>
      <c r="D328" s="104">
        <v>45908.0</v>
      </c>
      <c r="E328" s="267" t="s">
        <v>171</v>
      </c>
      <c r="F328" s="274">
        <f t="shared" si="2"/>
        <v>2025</v>
      </c>
      <c r="G328" s="83" t="s">
        <v>916</v>
      </c>
      <c r="H328" s="264"/>
      <c r="I328" s="277"/>
      <c r="J328" s="276" t="str">
        <f>IF(ISBLANK(I328), "", VLOOKUP(E328&amp;" "&amp;F328, 'Info Tipo de Cambio y REM'!$A$24:$B$35, 2, FALSE))
</f>
        <v/>
      </c>
      <c r="K328" s="123">
        <v>20.0</v>
      </c>
      <c r="L328" s="293">
        <f t="shared" si="5"/>
        <v>6838152.645</v>
      </c>
      <c r="M328" s="293">
        <f t="shared" si="3"/>
        <v>-60963.78</v>
      </c>
      <c r="N328" s="293">
        <f t="shared" si="6"/>
        <v>0</v>
      </c>
      <c r="O328" s="277">
        <f t="shared" si="4"/>
        <v>-56200.3543</v>
      </c>
      <c r="P328" s="264"/>
      <c r="Q328" s="264"/>
      <c r="R328" s="264"/>
      <c r="S328" s="264"/>
      <c r="T328" s="264"/>
      <c r="U328" s="264"/>
      <c r="V328" s="264"/>
      <c r="W328" s="264"/>
      <c r="X328" s="264"/>
      <c r="Y328" s="264"/>
      <c r="Z328" s="264"/>
      <c r="AA328" s="264"/>
      <c r="AB328" s="264"/>
      <c r="AC328" s="264"/>
      <c r="AD328" s="264"/>
      <c r="AE328" s="264"/>
    </row>
    <row r="329">
      <c r="A329" s="272" t="s">
        <v>795</v>
      </c>
      <c r="B329" s="272" t="s">
        <v>144</v>
      </c>
      <c r="C329" s="272" t="s">
        <v>791</v>
      </c>
      <c r="D329" s="104">
        <v>45908.0</v>
      </c>
      <c r="E329" s="267" t="s">
        <v>171</v>
      </c>
      <c r="F329" s="274">
        <f t="shared" si="2"/>
        <v>2025</v>
      </c>
      <c r="G329" s="83" t="s">
        <v>917</v>
      </c>
      <c r="H329" s="264"/>
      <c r="I329" s="277"/>
      <c r="J329" s="276" t="str">
        <f>IF(ISBLANK(I329), "", VLOOKUP(E329&amp;" "&amp;F329, 'Info Tipo de Cambio y REM'!$A$24:$B$35, 2, FALSE))
</f>
        <v/>
      </c>
      <c r="K329" s="123">
        <v>6.49</v>
      </c>
      <c r="L329" s="293">
        <f t="shared" si="5"/>
        <v>6838152.645</v>
      </c>
      <c r="M329" s="293">
        <f t="shared" si="3"/>
        <v>-60970.27</v>
      </c>
      <c r="N329" s="293">
        <f t="shared" si="6"/>
        <v>0</v>
      </c>
      <c r="O329" s="277">
        <f t="shared" si="4"/>
        <v>-56206.8443</v>
      </c>
      <c r="P329" s="264"/>
      <c r="Q329" s="264"/>
      <c r="R329" s="264"/>
      <c r="S329" s="264"/>
      <c r="T329" s="264"/>
      <c r="U329" s="264"/>
      <c r="V329" s="264"/>
      <c r="W329" s="264"/>
      <c r="X329" s="264"/>
      <c r="Y329" s="264"/>
      <c r="Z329" s="264"/>
      <c r="AA329" s="264"/>
      <c r="AB329" s="264"/>
      <c r="AC329" s="264"/>
      <c r="AD329" s="264"/>
      <c r="AE329" s="264"/>
    </row>
    <row r="330">
      <c r="A330" s="272" t="s">
        <v>795</v>
      </c>
      <c r="B330" s="272" t="s">
        <v>144</v>
      </c>
      <c r="C330" s="272" t="s">
        <v>791</v>
      </c>
      <c r="D330" s="104">
        <v>45908.0</v>
      </c>
      <c r="E330" s="267" t="s">
        <v>171</v>
      </c>
      <c r="F330" s="274">
        <f t="shared" si="2"/>
        <v>2025</v>
      </c>
      <c r="G330" s="83" t="s">
        <v>918</v>
      </c>
      <c r="H330" s="264"/>
      <c r="I330" s="277"/>
      <c r="J330" s="276" t="str">
        <f>IF(ISBLANK(I330), "", VLOOKUP(E330&amp;" "&amp;F330, 'Info Tipo de Cambio y REM'!$A$24:$B$35, 2, FALSE))
</f>
        <v/>
      </c>
      <c r="K330" s="123">
        <v>29.0</v>
      </c>
      <c r="L330" s="293">
        <f t="shared" si="5"/>
        <v>6838152.645</v>
      </c>
      <c r="M330" s="293">
        <f t="shared" si="3"/>
        <v>-60999.27</v>
      </c>
      <c r="N330" s="293">
        <f t="shared" si="6"/>
        <v>0</v>
      </c>
      <c r="O330" s="277">
        <f t="shared" si="4"/>
        <v>-56235.8443</v>
      </c>
      <c r="P330" s="264"/>
      <c r="Q330" s="264"/>
      <c r="R330" s="264"/>
      <c r="S330" s="264"/>
      <c r="T330" s="264"/>
      <c r="U330" s="264"/>
      <c r="V330" s="264"/>
      <c r="W330" s="264"/>
      <c r="X330" s="264"/>
      <c r="Y330" s="264"/>
      <c r="Z330" s="264"/>
      <c r="AA330" s="264"/>
      <c r="AB330" s="264"/>
      <c r="AC330" s="264"/>
      <c r="AD330" s="264"/>
      <c r="AE330" s="264"/>
    </row>
    <row r="331">
      <c r="A331" s="272" t="s">
        <v>795</v>
      </c>
      <c r="B331" s="272" t="s">
        <v>144</v>
      </c>
      <c r="C331" s="272" t="s">
        <v>791</v>
      </c>
      <c r="D331" s="104">
        <v>45909.0</v>
      </c>
      <c r="E331" s="267" t="s">
        <v>171</v>
      </c>
      <c r="F331" s="274">
        <f t="shared" si="2"/>
        <v>2025</v>
      </c>
      <c r="G331" s="83" t="s">
        <v>919</v>
      </c>
      <c r="H331" s="264"/>
      <c r="I331" s="277"/>
      <c r="J331" s="276" t="str">
        <f>IF(ISBLANK(I331), "", VLOOKUP(E331&amp;" "&amp;F331, 'Info Tipo de Cambio y REM'!$A$24:$B$35, 2, FALSE))
</f>
        <v/>
      </c>
      <c r="K331" s="123">
        <v>500.2</v>
      </c>
      <c r="L331" s="293">
        <f t="shared" si="5"/>
        <v>6838152.645</v>
      </c>
      <c r="M331" s="293">
        <f t="shared" si="3"/>
        <v>-61499.47</v>
      </c>
      <c r="N331" s="293">
        <f t="shared" si="6"/>
        <v>0</v>
      </c>
      <c r="O331" s="277">
        <f t="shared" si="4"/>
        <v>-56736.0443</v>
      </c>
      <c r="P331" s="264"/>
      <c r="Q331" s="264"/>
      <c r="R331" s="264"/>
      <c r="S331" s="264"/>
      <c r="T331" s="264"/>
      <c r="U331" s="264"/>
      <c r="V331" s="264"/>
      <c r="W331" s="264"/>
      <c r="X331" s="264"/>
      <c r="Y331" s="264"/>
      <c r="Z331" s="264"/>
      <c r="AA331" s="264"/>
      <c r="AB331" s="264"/>
      <c r="AC331" s="264"/>
      <c r="AD331" s="264"/>
      <c r="AE331" s="264"/>
    </row>
    <row r="332">
      <c r="A332" s="272" t="s">
        <v>795</v>
      </c>
      <c r="B332" s="272" t="s">
        <v>144</v>
      </c>
      <c r="C332" s="272" t="s">
        <v>791</v>
      </c>
      <c r="D332" s="104">
        <v>45910.0</v>
      </c>
      <c r="E332" s="267" t="s">
        <v>171</v>
      </c>
      <c r="F332" s="274">
        <f t="shared" si="2"/>
        <v>2025</v>
      </c>
      <c r="G332" s="83" t="s">
        <v>920</v>
      </c>
      <c r="H332" s="264"/>
      <c r="I332" s="277"/>
      <c r="J332" s="276" t="str">
        <f>IF(ISBLANK(I332), "", VLOOKUP(E332&amp;" "&amp;F332, 'Info Tipo de Cambio y REM'!$A$24:$B$35, 2, FALSE))
</f>
        <v/>
      </c>
      <c r="K332" s="123">
        <v>171.47</v>
      </c>
      <c r="L332" s="293">
        <f t="shared" si="5"/>
        <v>6838152.645</v>
      </c>
      <c r="M332" s="293">
        <f t="shared" si="3"/>
        <v>-61670.94</v>
      </c>
      <c r="N332" s="293">
        <f t="shared" si="6"/>
        <v>0</v>
      </c>
      <c r="O332" s="277">
        <f t="shared" si="4"/>
        <v>-56907.5143</v>
      </c>
      <c r="P332" s="264"/>
      <c r="Q332" s="264"/>
      <c r="R332" s="264"/>
      <c r="S332" s="264"/>
      <c r="T332" s="264"/>
      <c r="U332" s="264"/>
      <c r="V332" s="264"/>
      <c r="W332" s="264"/>
      <c r="X332" s="264"/>
      <c r="Y332" s="264"/>
      <c r="Z332" s="264"/>
      <c r="AA332" s="264"/>
      <c r="AB332" s="264"/>
      <c r="AC332" s="264"/>
      <c r="AD332" s="264"/>
      <c r="AE332" s="264"/>
    </row>
    <row r="333">
      <c r="A333" s="272" t="s">
        <v>795</v>
      </c>
      <c r="B333" s="272" t="s">
        <v>144</v>
      </c>
      <c r="C333" s="272" t="s">
        <v>791</v>
      </c>
      <c r="D333" s="104">
        <v>45912.0</v>
      </c>
      <c r="E333" s="267" t="s">
        <v>171</v>
      </c>
      <c r="F333" s="274">
        <f t="shared" si="2"/>
        <v>2025</v>
      </c>
      <c r="G333" s="83" t="s">
        <v>921</v>
      </c>
      <c r="H333" s="264"/>
      <c r="I333" s="277"/>
      <c r="J333" s="276" t="str">
        <f>IF(ISBLANK(I333), "", VLOOKUP(E333&amp;" "&amp;F333, 'Info Tipo de Cambio y REM'!$A$24:$B$35, 2, FALSE))
</f>
        <v/>
      </c>
      <c r="K333" s="123">
        <v>20.0</v>
      </c>
      <c r="L333" s="293">
        <f t="shared" si="5"/>
        <v>6838152.645</v>
      </c>
      <c r="M333" s="293">
        <f t="shared" si="3"/>
        <v>-61690.94</v>
      </c>
      <c r="N333" s="293">
        <f t="shared" si="6"/>
        <v>0</v>
      </c>
      <c r="O333" s="277">
        <f t="shared" si="4"/>
        <v>-56927.5143</v>
      </c>
      <c r="P333" s="264"/>
      <c r="Q333" s="264"/>
      <c r="R333" s="264"/>
      <c r="S333" s="264"/>
      <c r="T333" s="264"/>
      <c r="U333" s="264"/>
      <c r="V333" s="264"/>
      <c r="W333" s="264"/>
      <c r="X333" s="264"/>
      <c r="Y333" s="264"/>
      <c r="Z333" s="264"/>
      <c r="AA333" s="264"/>
      <c r="AB333" s="264"/>
      <c r="AC333" s="264"/>
      <c r="AD333" s="264"/>
      <c r="AE333" s="264"/>
    </row>
    <row r="334">
      <c r="A334" s="272" t="s">
        <v>795</v>
      </c>
      <c r="B334" s="272" t="s">
        <v>144</v>
      </c>
      <c r="C334" s="272" t="s">
        <v>791</v>
      </c>
      <c r="D334" s="104">
        <v>45902.0</v>
      </c>
      <c r="E334" s="267" t="s">
        <v>171</v>
      </c>
      <c r="F334" s="274">
        <f t="shared" si="2"/>
        <v>2025</v>
      </c>
      <c r="G334" s="83" t="s">
        <v>549</v>
      </c>
      <c r="H334" s="264"/>
      <c r="I334" s="277"/>
      <c r="J334" s="276" t="str">
        <f>IF(ISBLANK(I334), "", VLOOKUP(E334&amp;" "&amp;F334, 'Info Tipo de Cambio y REM'!$A$24:$B$35, 2, FALSE))
</f>
        <v/>
      </c>
      <c r="K334" s="89">
        <v>45.0</v>
      </c>
      <c r="L334" s="293">
        <f t="shared" si="5"/>
        <v>6838152.645</v>
      </c>
      <c r="M334" s="293">
        <f t="shared" si="3"/>
        <v>-61735.94</v>
      </c>
      <c r="N334" s="293">
        <f t="shared" si="6"/>
        <v>0</v>
      </c>
      <c r="O334" s="277">
        <f t="shared" si="4"/>
        <v>-56972.5143</v>
      </c>
      <c r="P334" s="264"/>
      <c r="Q334" s="264"/>
      <c r="R334" s="264"/>
      <c r="S334" s="264"/>
      <c r="T334" s="264"/>
      <c r="U334" s="264"/>
      <c r="V334" s="264"/>
      <c r="W334" s="264"/>
      <c r="X334" s="264"/>
      <c r="Y334" s="264"/>
      <c r="Z334" s="264"/>
      <c r="AA334" s="264"/>
      <c r="AB334" s="264"/>
      <c r="AC334" s="264"/>
      <c r="AD334" s="264"/>
      <c r="AE334" s="264"/>
    </row>
    <row r="335">
      <c r="A335" s="272" t="s">
        <v>795</v>
      </c>
      <c r="B335" s="272" t="s">
        <v>144</v>
      </c>
      <c r="C335" s="272" t="s">
        <v>791</v>
      </c>
      <c r="D335" s="104">
        <v>45902.0</v>
      </c>
      <c r="E335" s="267" t="s">
        <v>171</v>
      </c>
      <c r="F335" s="274">
        <f t="shared" si="2"/>
        <v>2025</v>
      </c>
      <c r="G335" s="83" t="s">
        <v>549</v>
      </c>
      <c r="H335" s="264"/>
      <c r="I335" s="277"/>
      <c r="J335" s="276" t="str">
        <f>IF(ISBLANK(I335), "", VLOOKUP(E335&amp;" "&amp;F335, 'Info Tipo de Cambio y REM'!$A$24:$B$35, 2, FALSE))
</f>
        <v/>
      </c>
      <c r="K335" s="89">
        <v>45.0</v>
      </c>
      <c r="L335" s="293">
        <f t="shared" si="5"/>
        <v>6838152.645</v>
      </c>
      <c r="M335" s="293">
        <f t="shared" si="3"/>
        <v>-61780.94</v>
      </c>
      <c r="N335" s="293">
        <f t="shared" si="6"/>
        <v>0</v>
      </c>
      <c r="O335" s="277">
        <f t="shared" si="4"/>
        <v>-57017.5143</v>
      </c>
      <c r="P335" s="264"/>
      <c r="Q335" s="264"/>
      <c r="R335" s="264"/>
      <c r="S335" s="264"/>
      <c r="T335" s="264"/>
      <c r="U335" s="264"/>
      <c r="V335" s="264"/>
      <c r="W335" s="264"/>
      <c r="X335" s="264"/>
      <c r="Y335" s="264"/>
      <c r="Z335" s="264"/>
      <c r="AA335" s="264"/>
      <c r="AB335" s="264"/>
      <c r="AC335" s="264"/>
      <c r="AD335" s="264"/>
      <c r="AE335" s="264"/>
    </row>
    <row r="336">
      <c r="A336" s="272" t="s">
        <v>795</v>
      </c>
      <c r="B336" s="272" t="s">
        <v>144</v>
      </c>
      <c r="C336" s="272" t="s">
        <v>791</v>
      </c>
      <c r="D336" s="104">
        <v>45902.0</v>
      </c>
      <c r="E336" s="267" t="s">
        <v>171</v>
      </c>
      <c r="F336" s="274">
        <f t="shared" si="2"/>
        <v>2025</v>
      </c>
      <c r="G336" s="83" t="s">
        <v>549</v>
      </c>
      <c r="H336" s="264"/>
      <c r="I336" s="277"/>
      <c r="J336" s="276" t="str">
        <f>IF(ISBLANK(I336), "", VLOOKUP(E336&amp;" "&amp;F336, 'Info Tipo de Cambio y REM'!$A$24:$B$35, 2, FALSE))
</f>
        <v/>
      </c>
      <c r="K336" s="89">
        <v>45.0</v>
      </c>
      <c r="L336" s="293">
        <f t="shared" si="5"/>
        <v>6838152.645</v>
      </c>
      <c r="M336" s="293">
        <f t="shared" si="3"/>
        <v>-61825.94</v>
      </c>
      <c r="N336" s="293">
        <f t="shared" si="6"/>
        <v>0</v>
      </c>
      <c r="O336" s="277">
        <f t="shared" si="4"/>
        <v>-57062.5143</v>
      </c>
      <c r="P336" s="264"/>
      <c r="Q336" s="264"/>
      <c r="R336" s="264"/>
      <c r="S336" s="264"/>
      <c r="T336" s="264"/>
      <c r="U336" s="264"/>
      <c r="V336" s="264"/>
      <c r="W336" s="264"/>
      <c r="X336" s="264"/>
      <c r="Y336" s="264"/>
      <c r="Z336" s="264"/>
      <c r="AA336" s="264"/>
      <c r="AB336" s="264"/>
      <c r="AC336" s="264"/>
      <c r="AD336" s="264"/>
      <c r="AE336" s="264"/>
    </row>
    <row r="337">
      <c r="A337" s="272" t="s">
        <v>795</v>
      </c>
      <c r="B337" s="272" t="s">
        <v>144</v>
      </c>
      <c r="C337" s="272" t="s">
        <v>791</v>
      </c>
      <c r="D337" s="104">
        <v>45902.0</v>
      </c>
      <c r="E337" s="267" t="s">
        <v>171</v>
      </c>
      <c r="F337" s="274">
        <f t="shared" si="2"/>
        <v>2025</v>
      </c>
      <c r="G337" s="83" t="s">
        <v>549</v>
      </c>
      <c r="H337" s="264"/>
      <c r="I337" s="277"/>
      <c r="J337" s="276" t="str">
        <f>IF(ISBLANK(I337), "", VLOOKUP(E337&amp;" "&amp;F337, 'Info Tipo de Cambio y REM'!$A$24:$B$35, 2, FALSE))
</f>
        <v/>
      </c>
      <c r="K337" s="89">
        <v>45.0</v>
      </c>
      <c r="L337" s="293">
        <f t="shared" si="5"/>
        <v>6838152.645</v>
      </c>
      <c r="M337" s="293">
        <f t="shared" si="3"/>
        <v>-61870.94</v>
      </c>
      <c r="N337" s="293">
        <f t="shared" si="6"/>
        <v>0</v>
      </c>
      <c r="O337" s="277">
        <f t="shared" si="4"/>
        <v>-57107.5143</v>
      </c>
      <c r="P337" s="264"/>
      <c r="Q337" s="264"/>
      <c r="R337" s="264"/>
      <c r="S337" s="264"/>
      <c r="T337" s="264"/>
      <c r="U337" s="264"/>
      <c r="V337" s="264"/>
      <c r="W337" s="264"/>
      <c r="X337" s="264"/>
      <c r="Y337" s="264"/>
      <c r="Z337" s="264"/>
      <c r="AA337" s="264"/>
      <c r="AB337" s="264"/>
      <c r="AC337" s="264"/>
      <c r="AD337" s="264"/>
      <c r="AE337" s="264"/>
    </row>
    <row r="338">
      <c r="A338" s="272" t="s">
        <v>795</v>
      </c>
      <c r="B338" s="272" t="s">
        <v>144</v>
      </c>
      <c r="C338" s="272" t="s">
        <v>791</v>
      </c>
      <c r="D338" s="104">
        <v>45902.0</v>
      </c>
      <c r="E338" s="267" t="s">
        <v>171</v>
      </c>
      <c r="F338" s="274">
        <f t="shared" si="2"/>
        <v>2025</v>
      </c>
      <c r="G338" s="83" t="s">
        <v>549</v>
      </c>
      <c r="H338" s="264"/>
      <c r="I338" s="277"/>
      <c r="J338" s="276" t="str">
        <f>IF(ISBLANK(I338), "", VLOOKUP(E338&amp;" "&amp;F338, 'Info Tipo de Cambio y REM'!$A$24:$B$35, 2, FALSE))
</f>
        <v/>
      </c>
      <c r="K338" s="89">
        <v>45.0</v>
      </c>
      <c r="L338" s="293">
        <f t="shared" si="5"/>
        <v>6838152.645</v>
      </c>
      <c r="M338" s="293">
        <f t="shared" si="3"/>
        <v>-61915.94</v>
      </c>
      <c r="N338" s="293">
        <f t="shared" si="6"/>
        <v>0</v>
      </c>
      <c r="O338" s="277">
        <f t="shared" si="4"/>
        <v>-57152.5143</v>
      </c>
      <c r="P338" s="264"/>
      <c r="Q338" s="264"/>
      <c r="R338" s="264"/>
      <c r="S338" s="264"/>
      <c r="T338" s="264"/>
      <c r="U338" s="264"/>
      <c r="V338" s="264"/>
      <c r="W338" s="264"/>
      <c r="X338" s="264"/>
      <c r="Y338" s="264"/>
      <c r="Z338" s="264"/>
      <c r="AA338" s="264"/>
      <c r="AB338" s="264"/>
      <c r="AC338" s="264"/>
      <c r="AD338" s="264"/>
      <c r="AE338" s="264"/>
    </row>
    <row r="339">
      <c r="A339" s="272" t="s">
        <v>795</v>
      </c>
      <c r="B339" s="272" t="s">
        <v>144</v>
      </c>
      <c r="C339" s="272" t="s">
        <v>791</v>
      </c>
      <c r="D339" s="104">
        <v>45902.0</v>
      </c>
      <c r="E339" s="267" t="s">
        <v>171</v>
      </c>
      <c r="F339" s="274">
        <f t="shared" si="2"/>
        <v>2025</v>
      </c>
      <c r="G339" s="83" t="s">
        <v>549</v>
      </c>
      <c r="H339" s="264"/>
      <c r="I339" s="277"/>
      <c r="J339" s="276" t="str">
        <f>IF(ISBLANK(I339), "", VLOOKUP(E339&amp;" "&amp;F339, 'Info Tipo de Cambio y REM'!$A$24:$B$35, 2, FALSE))
</f>
        <v/>
      </c>
      <c r="K339" s="89">
        <v>45.0</v>
      </c>
      <c r="L339" s="293">
        <f t="shared" si="5"/>
        <v>6838152.645</v>
      </c>
      <c r="M339" s="293">
        <f t="shared" si="3"/>
        <v>-61960.94</v>
      </c>
      <c r="N339" s="293">
        <f t="shared" si="6"/>
        <v>0</v>
      </c>
      <c r="O339" s="277">
        <f t="shared" si="4"/>
        <v>-57197.5143</v>
      </c>
      <c r="P339" s="264"/>
      <c r="Q339" s="264"/>
      <c r="R339" s="264"/>
      <c r="S339" s="264"/>
      <c r="T339" s="264"/>
      <c r="U339" s="264"/>
      <c r="V339" s="264"/>
      <c r="W339" s="264"/>
      <c r="X339" s="264"/>
      <c r="Y339" s="264"/>
      <c r="Z339" s="264"/>
      <c r="AA339" s="264"/>
      <c r="AB339" s="264"/>
      <c r="AC339" s="264"/>
      <c r="AD339" s="264"/>
      <c r="AE339" s="264"/>
    </row>
    <row r="340">
      <c r="A340" s="272" t="s">
        <v>795</v>
      </c>
      <c r="B340" s="272" t="s">
        <v>144</v>
      </c>
      <c r="C340" s="272" t="s">
        <v>791</v>
      </c>
      <c r="D340" s="104">
        <v>45902.0</v>
      </c>
      <c r="E340" s="267" t="s">
        <v>171</v>
      </c>
      <c r="F340" s="274">
        <f t="shared" si="2"/>
        <v>2025</v>
      </c>
      <c r="G340" s="83" t="s">
        <v>549</v>
      </c>
      <c r="H340" s="264"/>
      <c r="I340" s="277"/>
      <c r="J340" s="276" t="str">
        <f>IF(ISBLANK(I340), "", VLOOKUP(E340&amp;" "&amp;F340, 'Info Tipo de Cambio y REM'!$A$24:$B$35, 2, FALSE))
</f>
        <v/>
      </c>
      <c r="K340" s="89">
        <v>45.0</v>
      </c>
      <c r="L340" s="293">
        <f t="shared" si="5"/>
        <v>6838152.645</v>
      </c>
      <c r="M340" s="293">
        <f t="shared" si="3"/>
        <v>-62005.94</v>
      </c>
      <c r="N340" s="293">
        <f t="shared" si="6"/>
        <v>0</v>
      </c>
      <c r="O340" s="277">
        <f t="shared" si="4"/>
        <v>-57242.5143</v>
      </c>
      <c r="P340" s="264"/>
      <c r="Q340" s="264"/>
      <c r="R340" s="264"/>
      <c r="S340" s="264"/>
      <c r="T340" s="264"/>
      <c r="U340" s="264"/>
      <c r="V340" s="264"/>
      <c r="W340" s="264"/>
      <c r="X340" s="264"/>
      <c r="Y340" s="264"/>
      <c r="Z340" s="264"/>
      <c r="AA340" s="264"/>
      <c r="AB340" s="264"/>
      <c r="AC340" s="264"/>
      <c r="AD340" s="264"/>
      <c r="AE340" s="264"/>
    </row>
    <row r="341">
      <c r="A341" s="272" t="s">
        <v>795</v>
      </c>
      <c r="B341" s="272" t="s">
        <v>144</v>
      </c>
      <c r="C341" s="272" t="s">
        <v>791</v>
      </c>
      <c r="D341" s="104">
        <v>45902.0</v>
      </c>
      <c r="E341" s="267" t="s">
        <v>171</v>
      </c>
      <c r="F341" s="274">
        <f t="shared" si="2"/>
        <v>2025</v>
      </c>
      <c r="G341" s="83" t="s">
        <v>549</v>
      </c>
      <c r="H341" s="264"/>
      <c r="I341" s="277"/>
      <c r="J341" s="276" t="str">
        <f>IF(ISBLANK(I341), "", VLOOKUP(E341&amp;" "&amp;F341, 'Info Tipo de Cambio y REM'!$A$24:$B$35, 2, FALSE))
</f>
        <v/>
      </c>
      <c r="K341" s="89">
        <v>45.0</v>
      </c>
      <c r="L341" s="293">
        <f t="shared" si="5"/>
        <v>6838152.645</v>
      </c>
      <c r="M341" s="293">
        <f t="shared" si="3"/>
        <v>-62050.94</v>
      </c>
      <c r="N341" s="293">
        <f t="shared" si="6"/>
        <v>0</v>
      </c>
      <c r="O341" s="277">
        <f t="shared" si="4"/>
        <v>-57287.5143</v>
      </c>
      <c r="P341" s="264"/>
      <c r="Q341" s="264"/>
      <c r="R341" s="264"/>
      <c r="S341" s="264"/>
      <c r="T341" s="264"/>
      <c r="U341" s="264"/>
      <c r="V341" s="264"/>
      <c r="W341" s="264"/>
      <c r="X341" s="264"/>
      <c r="Y341" s="264"/>
      <c r="Z341" s="264"/>
      <c r="AA341" s="264"/>
      <c r="AB341" s="264"/>
      <c r="AC341" s="264"/>
      <c r="AD341" s="264"/>
      <c r="AE341" s="264"/>
    </row>
    <row r="342">
      <c r="A342" s="272" t="s">
        <v>795</v>
      </c>
      <c r="B342" s="272" t="s">
        <v>144</v>
      </c>
      <c r="C342" s="272" t="s">
        <v>791</v>
      </c>
      <c r="D342" s="104">
        <v>45902.0</v>
      </c>
      <c r="E342" s="267" t="s">
        <v>171</v>
      </c>
      <c r="F342" s="274">
        <f t="shared" si="2"/>
        <v>2025</v>
      </c>
      <c r="G342" s="83" t="s">
        <v>549</v>
      </c>
      <c r="H342" s="264"/>
      <c r="I342" s="277"/>
      <c r="J342" s="276" t="str">
        <f>IF(ISBLANK(I342), "", VLOOKUP(E342&amp;" "&amp;F342, 'Info Tipo de Cambio y REM'!$A$24:$B$35, 2, FALSE))
</f>
        <v/>
      </c>
      <c r="K342" s="89">
        <v>45.0</v>
      </c>
      <c r="L342" s="293">
        <f t="shared" si="5"/>
        <v>6838152.645</v>
      </c>
      <c r="M342" s="293">
        <f t="shared" si="3"/>
        <v>-62095.94</v>
      </c>
      <c r="N342" s="293">
        <f t="shared" si="6"/>
        <v>0</v>
      </c>
      <c r="O342" s="277">
        <f t="shared" si="4"/>
        <v>-57332.5143</v>
      </c>
      <c r="P342" s="264"/>
      <c r="Q342" s="264"/>
      <c r="R342" s="264"/>
      <c r="S342" s="264"/>
      <c r="T342" s="264"/>
      <c r="U342" s="264"/>
      <c r="V342" s="264"/>
      <c r="W342" s="264"/>
      <c r="X342" s="264"/>
      <c r="Y342" s="264"/>
      <c r="Z342" s="264"/>
      <c r="AA342" s="264"/>
      <c r="AB342" s="264"/>
      <c r="AC342" s="264"/>
      <c r="AD342" s="264"/>
      <c r="AE342" s="264"/>
    </row>
    <row r="343">
      <c r="A343" s="272" t="s">
        <v>795</v>
      </c>
      <c r="B343" s="272" t="s">
        <v>144</v>
      </c>
      <c r="C343" s="272" t="s">
        <v>791</v>
      </c>
      <c r="D343" s="104">
        <v>45902.0</v>
      </c>
      <c r="E343" s="267" t="s">
        <v>171</v>
      </c>
      <c r="F343" s="274">
        <f t="shared" si="2"/>
        <v>2025</v>
      </c>
      <c r="G343" s="83" t="s">
        <v>549</v>
      </c>
      <c r="H343" s="264"/>
      <c r="I343" s="277"/>
      <c r="J343" s="276" t="str">
        <f>IF(ISBLANK(I343), "", VLOOKUP(E343&amp;" "&amp;F343, 'Info Tipo de Cambio y REM'!$A$24:$B$35, 2, FALSE))
</f>
        <v/>
      </c>
      <c r="K343" s="89">
        <v>45.0</v>
      </c>
      <c r="L343" s="293">
        <f t="shared" si="5"/>
        <v>6838152.645</v>
      </c>
      <c r="M343" s="293">
        <f t="shared" si="3"/>
        <v>-62140.94</v>
      </c>
      <c r="N343" s="293">
        <f t="shared" si="6"/>
        <v>0</v>
      </c>
      <c r="O343" s="277">
        <f t="shared" si="4"/>
        <v>-57377.5143</v>
      </c>
      <c r="P343" s="264"/>
      <c r="Q343" s="264"/>
      <c r="R343" s="264"/>
      <c r="S343" s="264"/>
      <c r="T343" s="264"/>
      <c r="U343" s="264"/>
      <c r="V343" s="264"/>
      <c r="W343" s="264"/>
      <c r="X343" s="264"/>
      <c r="Y343" s="264"/>
      <c r="Z343" s="264"/>
      <c r="AA343" s="264"/>
      <c r="AB343" s="264"/>
      <c r="AC343" s="264"/>
      <c r="AD343" s="264"/>
      <c r="AE343" s="264"/>
    </row>
    <row r="344">
      <c r="A344" s="272" t="s">
        <v>795</v>
      </c>
      <c r="B344" s="272" t="s">
        <v>144</v>
      </c>
      <c r="C344" s="272" t="s">
        <v>791</v>
      </c>
      <c r="D344" s="104">
        <v>45902.0</v>
      </c>
      <c r="E344" s="267" t="s">
        <v>171</v>
      </c>
      <c r="F344" s="274">
        <f t="shared" si="2"/>
        <v>2025</v>
      </c>
      <c r="G344" s="83" t="s">
        <v>549</v>
      </c>
      <c r="H344" s="264"/>
      <c r="I344" s="277"/>
      <c r="J344" s="276" t="str">
        <f>IF(ISBLANK(I344), "", VLOOKUP(E344&amp;" "&amp;F344, 'Info Tipo de Cambio y REM'!$A$24:$B$35, 2, FALSE))
</f>
        <v/>
      </c>
      <c r="K344" s="89">
        <v>45.0</v>
      </c>
      <c r="L344" s="293">
        <f t="shared" si="5"/>
        <v>6838152.645</v>
      </c>
      <c r="M344" s="293">
        <f t="shared" si="3"/>
        <v>-62185.94</v>
      </c>
      <c r="N344" s="293">
        <f t="shared" si="6"/>
        <v>0</v>
      </c>
      <c r="O344" s="277">
        <f t="shared" si="4"/>
        <v>-57422.5143</v>
      </c>
      <c r="P344" s="264"/>
      <c r="Q344" s="264"/>
      <c r="R344" s="264"/>
      <c r="S344" s="264"/>
      <c r="T344" s="264"/>
      <c r="U344" s="264"/>
      <c r="V344" s="264"/>
      <c r="W344" s="264"/>
      <c r="X344" s="264"/>
      <c r="Y344" s="264"/>
      <c r="Z344" s="264"/>
      <c r="AA344" s="264"/>
      <c r="AB344" s="264"/>
      <c r="AC344" s="264"/>
      <c r="AD344" s="264"/>
      <c r="AE344" s="264"/>
    </row>
    <row r="345">
      <c r="A345" s="272" t="s">
        <v>795</v>
      </c>
      <c r="B345" s="272" t="s">
        <v>144</v>
      </c>
      <c r="C345" s="272" t="s">
        <v>791</v>
      </c>
      <c r="D345" s="104">
        <v>45902.0</v>
      </c>
      <c r="E345" s="267" t="s">
        <v>171</v>
      </c>
      <c r="F345" s="274">
        <f t="shared" si="2"/>
        <v>2025</v>
      </c>
      <c r="G345" s="83" t="s">
        <v>549</v>
      </c>
      <c r="H345" s="264"/>
      <c r="I345" s="277"/>
      <c r="J345" s="276" t="str">
        <f>IF(ISBLANK(I345), "", VLOOKUP(E345&amp;" "&amp;F345, 'Info Tipo de Cambio y REM'!$A$24:$B$35, 2, FALSE))
</f>
        <v/>
      </c>
      <c r="K345" s="89">
        <v>45.0</v>
      </c>
      <c r="L345" s="293">
        <f t="shared" si="5"/>
        <v>6838152.645</v>
      </c>
      <c r="M345" s="293">
        <f t="shared" si="3"/>
        <v>-62230.94</v>
      </c>
      <c r="N345" s="293">
        <f t="shared" si="6"/>
        <v>0</v>
      </c>
      <c r="O345" s="277">
        <f t="shared" si="4"/>
        <v>-57467.5143</v>
      </c>
      <c r="P345" s="264"/>
      <c r="Q345" s="264"/>
      <c r="R345" s="264"/>
      <c r="S345" s="264"/>
      <c r="T345" s="264"/>
      <c r="U345" s="264"/>
      <c r="V345" s="264"/>
      <c r="W345" s="264"/>
      <c r="X345" s="264"/>
      <c r="Y345" s="264"/>
      <c r="Z345" s="264"/>
      <c r="AA345" s="264"/>
      <c r="AB345" s="264"/>
      <c r="AC345" s="264"/>
      <c r="AD345" s="264"/>
      <c r="AE345" s="264"/>
    </row>
    <row r="346">
      <c r="A346" s="272" t="s">
        <v>795</v>
      </c>
      <c r="B346" s="272" t="s">
        <v>144</v>
      </c>
      <c r="C346" s="272" t="s">
        <v>791</v>
      </c>
      <c r="D346" s="104">
        <v>45902.0</v>
      </c>
      <c r="E346" s="267" t="s">
        <v>171</v>
      </c>
      <c r="F346" s="274">
        <f t="shared" si="2"/>
        <v>2025</v>
      </c>
      <c r="G346" s="83" t="s">
        <v>549</v>
      </c>
      <c r="H346" s="264"/>
      <c r="I346" s="277"/>
      <c r="J346" s="276" t="str">
        <f>IF(ISBLANK(I346), "", VLOOKUP(E346&amp;" "&amp;F346, 'Info Tipo de Cambio y REM'!$A$24:$B$35, 2, FALSE))
</f>
        <v/>
      </c>
      <c r="K346" s="89">
        <v>45.0</v>
      </c>
      <c r="L346" s="293">
        <f t="shared" si="5"/>
        <v>6838152.645</v>
      </c>
      <c r="M346" s="293">
        <f t="shared" si="3"/>
        <v>-62275.94</v>
      </c>
      <c r="N346" s="293">
        <f t="shared" si="6"/>
        <v>0</v>
      </c>
      <c r="O346" s="277">
        <f t="shared" si="4"/>
        <v>-57512.5143</v>
      </c>
      <c r="P346" s="264"/>
      <c r="Q346" s="264"/>
      <c r="R346" s="264"/>
      <c r="S346" s="264"/>
      <c r="T346" s="264"/>
      <c r="U346" s="264"/>
      <c r="V346" s="264"/>
      <c r="W346" s="264"/>
      <c r="X346" s="264"/>
      <c r="Y346" s="264"/>
      <c r="Z346" s="264"/>
      <c r="AA346" s="264"/>
      <c r="AB346" s="264"/>
      <c r="AC346" s="264"/>
      <c r="AD346" s="264"/>
      <c r="AE346" s="264"/>
    </row>
    <row r="347">
      <c r="A347" s="272" t="s">
        <v>795</v>
      </c>
      <c r="B347" s="272" t="s">
        <v>144</v>
      </c>
      <c r="C347" s="272" t="s">
        <v>791</v>
      </c>
      <c r="D347" s="104">
        <v>45902.0</v>
      </c>
      <c r="E347" s="267" t="s">
        <v>171</v>
      </c>
      <c r="F347" s="274">
        <f t="shared" si="2"/>
        <v>2025</v>
      </c>
      <c r="G347" s="83" t="s">
        <v>549</v>
      </c>
      <c r="H347" s="264"/>
      <c r="I347" s="277"/>
      <c r="J347" s="276" t="str">
        <f>IF(ISBLANK(I347), "", VLOOKUP(E347&amp;" "&amp;F347, 'Info Tipo de Cambio y REM'!$A$24:$B$35, 2, FALSE))
</f>
        <v/>
      </c>
      <c r="K347" s="89">
        <v>45.0</v>
      </c>
      <c r="L347" s="293">
        <f t="shared" si="5"/>
        <v>6838152.645</v>
      </c>
      <c r="M347" s="293">
        <f t="shared" si="3"/>
        <v>-62320.94</v>
      </c>
      <c r="N347" s="293">
        <f t="shared" si="6"/>
        <v>0</v>
      </c>
      <c r="O347" s="277">
        <f t="shared" si="4"/>
        <v>-57557.5143</v>
      </c>
      <c r="P347" s="264"/>
      <c r="Q347" s="264"/>
      <c r="R347" s="264"/>
      <c r="S347" s="264"/>
      <c r="T347" s="264"/>
      <c r="U347" s="264"/>
      <c r="V347" s="264"/>
      <c r="W347" s="264"/>
      <c r="X347" s="264"/>
      <c r="Y347" s="264"/>
      <c r="Z347" s="264"/>
      <c r="AA347" s="264"/>
      <c r="AB347" s="264"/>
      <c r="AC347" s="264"/>
      <c r="AD347" s="264"/>
      <c r="AE347" s="264"/>
    </row>
    <row r="348">
      <c r="A348" s="272" t="s">
        <v>795</v>
      </c>
      <c r="B348" s="272" t="s">
        <v>144</v>
      </c>
      <c r="C348" s="272" t="s">
        <v>791</v>
      </c>
      <c r="D348" s="104">
        <v>45902.0</v>
      </c>
      <c r="E348" s="267" t="s">
        <v>171</v>
      </c>
      <c r="F348" s="274">
        <f t="shared" si="2"/>
        <v>2025</v>
      </c>
      <c r="G348" s="83" t="s">
        <v>549</v>
      </c>
      <c r="H348" s="264"/>
      <c r="I348" s="277"/>
      <c r="J348" s="276" t="str">
        <f>IF(ISBLANK(I348), "", VLOOKUP(E348&amp;" "&amp;F348, 'Info Tipo de Cambio y REM'!$A$24:$B$35, 2, FALSE))
</f>
        <v/>
      </c>
      <c r="K348" s="89">
        <v>45.0</v>
      </c>
      <c r="L348" s="293">
        <f t="shared" si="5"/>
        <v>6838152.645</v>
      </c>
      <c r="M348" s="293">
        <f t="shared" si="3"/>
        <v>-62365.94</v>
      </c>
      <c r="N348" s="293">
        <f t="shared" si="6"/>
        <v>0</v>
      </c>
      <c r="O348" s="277">
        <f t="shared" si="4"/>
        <v>-57602.5143</v>
      </c>
      <c r="P348" s="264"/>
      <c r="Q348" s="264"/>
      <c r="R348" s="264"/>
      <c r="S348" s="264"/>
      <c r="T348" s="264"/>
      <c r="U348" s="264"/>
      <c r="V348" s="264"/>
      <c r="W348" s="264"/>
      <c r="X348" s="264"/>
      <c r="Y348" s="264"/>
      <c r="Z348" s="264"/>
      <c r="AA348" s="264"/>
      <c r="AB348" s="264"/>
      <c r="AC348" s="264"/>
      <c r="AD348" s="264"/>
      <c r="AE348" s="264"/>
    </row>
    <row r="349">
      <c r="A349" s="272" t="s">
        <v>795</v>
      </c>
      <c r="B349" s="272" t="s">
        <v>793</v>
      </c>
      <c r="C349" s="272" t="s">
        <v>794</v>
      </c>
      <c r="D349" s="129">
        <v>45910.0</v>
      </c>
      <c r="E349" s="267" t="s">
        <v>171</v>
      </c>
      <c r="F349" s="274">
        <f t="shared" si="2"/>
        <v>2025</v>
      </c>
      <c r="G349" s="59" t="s">
        <v>922</v>
      </c>
      <c r="H349" s="59" t="s">
        <v>566</v>
      </c>
      <c r="I349" s="304">
        <v>411785.0</v>
      </c>
      <c r="J349" s="276">
        <f>IF(ISBLANK(I349), "", VLOOKUP(E349&amp;" "&amp;F349, 'Info Tipo de Cambio y REM'!$A$24:$B$35, 2, FALSE))
</f>
        <v>1445</v>
      </c>
      <c r="K349" s="137">
        <f t="shared" ref="K349:K374" si="20">IF(NOT(ISBLANK(I349)), I349 / J349, IF(NOT(ISBLANK(I349)), I349, ""))</f>
        <v>284.9723183</v>
      </c>
      <c r="L349" s="293">
        <f t="shared" si="5"/>
        <v>6426367.645</v>
      </c>
      <c r="M349" s="293">
        <f t="shared" si="3"/>
        <v>-62365.94</v>
      </c>
      <c r="N349" s="293">
        <f t="shared" si="6"/>
        <v>0</v>
      </c>
      <c r="O349" s="277">
        <f t="shared" si="4"/>
        <v>-57887.48662</v>
      </c>
      <c r="P349" s="264"/>
      <c r="Q349" s="264"/>
      <c r="R349" s="264"/>
      <c r="S349" s="264"/>
      <c r="T349" s="264"/>
      <c r="U349" s="264"/>
      <c r="V349" s="264"/>
      <c r="W349" s="264"/>
      <c r="X349" s="264"/>
      <c r="Y349" s="264"/>
      <c r="Z349" s="264"/>
      <c r="AA349" s="264"/>
      <c r="AB349" s="264"/>
      <c r="AC349" s="264"/>
      <c r="AD349" s="264"/>
      <c r="AE349" s="264"/>
    </row>
    <row r="350">
      <c r="A350" s="272" t="s">
        <v>795</v>
      </c>
      <c r="B350" s="272" t="s">
        <v>793</v>
      </c>
      <c r="C350" s="272" t="s">
        <v>794</v>
      </c>
      <c r="D350" s="129">
        <v>45910.0</v>
      </c>
      <c r="E350" s="267" t="s">
        <v>171</v>
      </c>
      <c r="F350" s="274">
        <f t="shared" si="2"/>
        <v>2025</v>
      </c>
      <c r="G350" s="59" t="s">
        <v>923</v>
      </c>
      <c r="H350" s="59" t="s">
        <v>379</v>
      </c>
      <c r="I350" s="304">
        <v>155249.0</v>
      </c>
      <c r="J350" s="276">
        <f>IF(ISBLANK(I350), "", VLOOKUP(E350&amp;" "&amp;F350, 'Info Tipo de Cambio y REM'!$A$24:$B$35, 2, FALSE))
</f>
        <v>1445</v>
      </c>
      <c r="K350" s="137">
        <f t="shared" si="20"/>
        <v>107.4387543</v>
      </c>
      <c r="L350" s="293">
        <f t="shared" si="5"/>
        <v>6271118.645</v>
      </c>
      <c r="M350" s="293">
        <f t="shared" si="3"/>
        <v>-62365.94</v>
      </c>
      <c r="N350" s="293">
        <f t="shared" si="6"/>
        <v>0</v>
      </c>
      <c r="O350" s="277">
        <f t="shared" si="4"/>
        <v>-57994.92537</v>
      </c>
      <c r="P350" s="264"/>
      <c r="Q350" s="264"/>
      <c r="R350" s="264"/>
      <c r="S350" s="264"/>
      <c r="T350" s="264"/>
      <c r="U350" s="264"/>
      <c r="V350" s="264"/>
      <c r="W350" s="264"/>
      <c r="X350" s="264"/>
      <c r="Y350" s="264"/>
      <c r="Z350" s="264"/>
      <c r="AA350" s="264"/>
      <c r="AB350" s="264"/>
      <c r="AC350" s="264"/>
      <c r="AD350" s="264"/>
      <c r="AE350" s="264"/>
    </row>
    <row r="351">
      <c r="A351" s="272" t="s">
        <v>795</v>
      </c>
      <c r="B351" s="272" t="s">
        <v>793</v>
      </c>
      <c r="C351" s="272" t="s">
        <v>794</v>
      </c>
      <c r="D351" s="129">
        <v>45910.0</v>
      </c>
      <c r="E351" s="267" t="s">
        <v>171</v>
      </c>
      <c r="F351" s="274">
        <f t="shared" si="2"/>
        <v>2025</v>
      </c>
      <c r="G351" s="59" t="s">
        <v>924</v>
      </c>
      <c r="H351" s="59" t="s">
        <v>381</v>
      </c>
      <c r="I351" s="304">
        <v>614374.0</v>
      </c>
      <c r="J351" s="276">
        <f>IF(ISBLANK(I351), "", VLOOKUP(E351&amp;" "&amp;F351, 'Info Tipo de Cambio y REM'!$A$24:$B$35, 2, FALSE))
</f>
        <v>1445</v>
      </c>
      <c r="K351" s="137">
        <f t="shared" si="20"/>
        <v>425.1723183</v>
      </c>
      <c r="L351" s="293">
        <f t="shared" si="5"/>
        <v>5656744.645</v>
      </c>
      <c r="M351" s="293">
        <f t="shared" si="3"/>
        <v>-62365.94</v>
      </c>
      <c r="N351" s="293">
        <f t="shared" si="6"/>
        <v>0</v>
      </c>
      <c r="O351" s="277">
        <f t="shared" si="4"/>
        <v>-58420.09769</v>
      </c>
      <c r="P351" s="264"/>
      <c r="Q351" s="264"/>
      <c r="R351" s="264"/>
      <c r="S351" s="264"/>
      <c r="T351" s="264"/>
      <c r="U351" s="264"/>
      <c r="V351" s="264"/>
      <c r="W351" s="264"/>
      <c r="X351" s="264"/>
      <c r="Y351" s="264"/>
      <c r="Z351" s="264"/>
      <c r="AA351" s="264"/>
      <c r="AB351" s="264"/>
      <c r="AC351" s="264"/>
      <c r="AD351" s="264"/>
      <c r="AE351" s="264"/>
    </row>
    <row r="352">
      <c r="A352" s="272" t="s">
        <v>795</v>
      </c>
      <c r="B352" s="272" t="s">
        <v>793</v>
      </c>
      <c r="C352" s="272" t="s">
        <v>794</v>
      </c>
      <c r="D352" s="129">
        <v>45910.0</v>
      </c>
      <c r="E352" s="267" t="s">
        <v>171</v>
      </c>
      <c r="F352" s="274">
        <f t="shared" si="2"/>
        <v>2025</v>
      </c>
      <c r="G352" s="59" t="s">
        <v>925</v>
      </c>
      <c r="H352" s="59" t="s">
        <v>383</v>
      </c>
      <c r="I352" s="304">
        <v>537000.0</v>
      </c>
      <c r="J352" s="276">
        <f>IF(ISBLANK(I352), "", VLOOKUP(E352&amp;" "&amp;F352, 'Info Tipo de Cambio y REM'!$A$24:$B$35, 2, FALSE))
</f>
        <v>1445</v>
      </c>
      <c r="K352" s="137">
        <f t="shared" si="20"/>
        <v>371.6262976</v>
      </c>
      <c r="L352" s="293">
        <f t="shared" si="5"/>
        <v>5119744.645</v>
      </c>
      <c r="M352" s="293">
        <f t="shared" si="3"/>
        <v>-62365.94</v>
      </c>
      <c r="N352" s="293">
        <f t="shared" si="6"/>
        <v>0</v>
      </c>
      <c r="O352" s="277">
        <f t="shared" si="4"/>
        <v>-58791.72399</v>
      </c>
      <c r="P352" s="264"/>
      <c r="Q352" s="264"/>
      <c r="R352" s="264"/>
      <c r="S352" s="264"/>
      <c r="T352" s="264"/>
      <c r="U352" s="264"/>
      <c r="V352" s="264"/>
      <c r="W352" s="264"/>
      <c r="X352" s="264"/>
      <c r="Y352" s="264"/>
      <c r="Z352" s="264"/>
      <c r="AA352" s="264"/>
      <c r="AB352" s="264"/>
      <c r="AC352" s="264"/>
      <c r="AD352" s="264"/>
      <c r="AE352" s="264"/>
    </row>
    <row r="353">
      <c r="A353" s="272" t="s">
        <v>795</v>
      </c>
      <c r="B353" s="272" t="s">
        <v>793</v>
      </c>
      <c r="C353" s="272" t="s">
        <v>794</v>
      </c>
      <c r="D353" s="129">
        <v>45909.0</v>
      </c>
      <c r="E353" s="267" t="s">
        <v>171</v>
      </c>
      <c r="F353" s="274">
        <f t="shared" si="2"/>
        <v>2025</v>
      </c>
      <c r="G353" s="59" t="s">
        <v>926</v>
      </c>
      <c r="H353" s="59" t="s">
        <v>387</v>
      </c>
      <c r="I353" s="304">
        <v>666467.0</v>
      </c>
      <c r="J353" s="276">
        <f>IF(ISBLANK(I353), "", VLOOKUP(E353&amp;" "&amp;F353, 'Info Tipo de Cambio y REM'!$A$24:$B$35, 2, FALSE))
</f>
        <v>1445</v>
      </c>
      <c r="K353" s="137">
        <f t="shared" si="20"/>
        <v>461.2228374</v>
      </c>
      <c r="L353" s="293">
        <f t="shared" si="5"/>
        <v>4453277.645</v>
      </c>
      <c r="M353" s="293">
        <f t="shared" si="3"/>
        <v>-62365.94</v>
      </c>
      <c r="N353" s="293">
        <f t="shared" si="6"/>
        <v>0</v>
      </c>
      <c r="O353" s="277">
        <f t="shared" si="4"/>
        <v>-59252.94683</v>
      </c>
      <c r="P353" s="264"/>
      <c r="Q353" s="264"/>
      <c r="R353" s="264"/>
      <c r="S353" s="264"/>
      <c r="T353" s="264"/>
      <c r="U353" s="264"/>
      <c r="V353" s="264"/>
      <c r="W353" s="264"/>
      <c r="X353" s="264"/>
      <c r="Y353" s="264"/>
      <c r="Z353" s="264"/>
      <c r="AA353" s="264"/>
      <c r="AB353" s="264"/>
      <c r="AC353" s="264"/>
      <c r="AD353" s="264"/>
      <c r="AE353" s="264"/>
    </row>
    <row r="354">
      <c r="A354" s="272" t="s">
        <v>795</v>
      </c>
      <c r="B354" s="272" t="s">
        <v>793</v>
      </c>
      <c r="C354" s="272" t="s">
        <v>794</v>
      </c>
      <c r="D354" s="129">
        <v>45910.0</v>
      </c>
      <c r="E354" s="267" t="s">
        <v>171</v>
      </c>
      <c r="F354" s="274">
        <f t="shared" si="2"/>
        <v>2025</v>
      </c>
      <c r="G354" s="59" t="s">
        <v>927</v>
      </c>
      <c r="H354" s="59" t="s">
        <v>389</v>
      </c>
      <c r="I354" s="304">
        <v>384121.0</v>
      </c>
      <c r="J354" s="276">
        <f>IF(ISBLANK(I354), "", VLOOKUP(E354&amp;" "&amp;F354, 'Info Tipo de Cambio y REM'!$A$24:$B$35, 2, FALSE))
</f>
        <v>1445</v>
      </c>
      <c r="K354" s="137">
        <f t="shared" si="20"/>
        <v>265.8276817</v>
      </c>
      <c r="L354" s="293">
        <f t="shared" si="5"/>
        <v>4069156.645</v>
      </c>
      <c r="M354" s="293">
        <f t="shared" si="3"/>
        <v>-62365.94</v>
      </c>
      <c r="N354" s="293">
        <f t="shared" si="6"/>
        <v>0</v>
      </c>
      <c r="O354" s="277">
        <f t="shared" si="4"/>
        <v>-59518.77451</v>
      </c>
      <c r="P354" s="264"/>
      <c r="Q354" s="264"/>
      <c r="R354" s="264"/>
      <c r="S354" s="264"/>
      <c r="T354" s="264"/>
      <c r="U354" s="264"/>
      <c r="V354" s="264"/>
      <c r="W354" s="264"/>
      <c r="X354" s="264"/>
      <c r="Y354" s="264"/>
      <c r="Z354" s="264"/>
      <c r="AA354" s="264"/>
      <c r="AB354" s="264"/>
      <c r="AC354" s="264"/>
      <c r="AD354" s="264"/>
      <c r="AE354" s="264"/>
    </row>
    <row r="355">
      <c r="A355" s="272" t="s">
        <v>795</v>
      </c>
      <c r="B355" s="272" t="s">
        <v>793</v>
      </c>
      <c r="C355" s="272" t="s">
        <v>794</v>
      </c>
      <c r="D355" s="129">
        <v>45910.0</v>
      </c>
      <c r="E355" s="267" t="s">
        <v>171</v>
      </c>
      <c r="F355" s="274">
        <f t="shared" si="2"/>
        <v>2025</v>
      </c>
      <c r="G355" s="59" t="s">
        <v>928</v>
      </c>
      <c r="H355" s="59" t="s">
        <v>391</v>
      </c>
      <c r="I355" s="304">
        <v>1171485.0</v>
      </c>
      <c r="J355" s="276">
        <f>IF(ISBLANK(I355), "", VLOOKUP(E355&amp;" "&amp;F355, 'Info Tipo de Cambio y REM'!$A$24:$B$35, 2, FALSE))
</f>
        <v>1445</v>
      </c>
      <c r="K355" s="137">
        <f t="shared" si="20"/>
        <v>810.716263</v>
      </c>
      <c r="L355" s="293">
        <f t="shared" si="5"/>
        <v>2897671.645</v>
      </c>
      <c r="M355" s="293">
        <f t="shared" si="3"/>
        <v>-62365.94</v>
      </c>
      <c r="N355" s="293">
        <f t="shared" si="6"/>
        <v>0</v>
      </c>
      <c r="O355" s="277">
        <f t="shared" si="4"/>
        <v>-60329.49077</v>
      </c>
      <c r="P355" s="264"/>
      <c r="Q355" s="264"/>
      <c r="R355" s="264"/>
      <c r="S355" s="264"/>
      <c r="T355" s="264"/>
      <c r="U355" s="264"/>
      <c r="V355" s="264"/>
      <c r="W355" s="264"/>
      <c r="X355" s="264"/>
      <c r="Y355" s="264"/>
      <c r="Z355" s="264"/>
      <c r="AA355" s="264"/>
      <c r="AB355" s="264"/>
      <c r="AC355" s="264"/>
      <c r="AD355" s="264"/>
      <c r="AE355" s="264"/>
    </row>
    <row r="356">
      <c r="A356" s="272" t="s">
        <v>795</v>
      </c>
      <c r="B356" s="272" t="s">
        <v>793</v>
      </c>
      <c r="C356" s="272" t="s">
        <v>794</v>
      </c>
      <c r="D356" s="129">
        <v>45910.0</v>
      </c>
      <c r="E356" s="267" t="s">
        <v>171</v>
      </c>
      <c r="F356" s="274">
        <f t="shared" si="2"/>
        <v>2025</v>
      </c>
      <c r="G356" s="59" t="s">
        <v>929</v>
      </c>
      <c r="H356" s="59" t="s">
        <v>397</v>
      </c>
      <c r="I356" s="304">
        <v>450425.0</v>
      </c>
      <c r="J356" s="276">
        <f>IF(ISBLANK(I356), "", VLOOKUP(E356&amp;" "&amp;F356, 'Info Tipo de Cambio y REM'!$A$24:$B$35, 2, FALSE))
</f>
        <v>1445</v>
      </c>
      <c r="K356" s="137">
        <f t="shared" si="20"/>
        <v>311.7128028</v>
      </c>
      <c r="L356" s="293">
        <f t="shared" si="5"/>
        <v>2447246.645</v>
      </c>
      <c r="M356" s="293">
        <f t="shared" si="3"/>
        <v>-62365.94</v>
      </c>
      <c r="N356" s="293">
        <f t="shared" si="6"/>
        <v>0</v>
      </c>
      <c r="O356" s="277">
        <f t="shared" si="4"/>
        <v>-60641.20357</v>
      </c>
      <c r="P356" s="264"/>
      <c r="Q356" s="264"/>
      <c r="R356" s="264"/>
      <c r="S356" s="264"/>
      <c r="T356" s="264"/>
      <c r="U356" s="264"/>
      <c r="V356" s="264"/>
      <c r="W356" s="264"/>
      <c r="X356" s="264"/>
      <c r="Y356" s="264"/>
      <c r="Z356" s="264"/>
      <c r="AA356" s="264"/>
      <c r="AB356" s="264"/>
      <c r="AC356" s="264"/>
      <c r="AD356" s="264"/>
      <c r="AE356" s="264"/>
    </row>
    <row r="357">
      <c r="A357" s="272" t="s">
        <v>795</v>
      </c>
      <c r="B357" s="272" t="s">
        <v>793</v>
      </c>
      <c r="C357" s="272" t="s">
        <v>794</v>
      </c>
      <c r="D357" s="129">
        <v>45909.0</v>
      </c>
      <c r="E357" s="267" t="s">
        <v>171</v>
      </c>
      <c r="F357" s="274">
        <f t="shared" si="2"/>
        <v>2025</v>
      </c>
      <c r="G357" s="59" t="s">
        <v>930</v>
      </c>
      <c r="H357" s="59" t="s">
        <v>399</v>
      </c>
      <c r="I357" s="304">
        <v>962040.0</v>
      </c>
      <c r="J357" s="276">
        <f>IF(ISBLANK(I357), "", VLOOKUP(E357&amp;" "&amp;F357, 'Info Tipo de Cambio y REM'!$A$24:$B$35, 2, FALSE))
</f>
        <v>1445</v>
      </c>
      <c r="K357" s="137">
        <f t="shared" si="20"/>
        <v>665.7716263</v>
      </c>
      <c r="L357" s="293">
        <f t="shared" si="5"/>
        <v>1485206.645</v>
      </c>
      <c r="M357" s="293">
        <f t="shared" si="3"/>
        <v>-62365.94</v>
      </c>
      <c r="N357" s="293">
        <f t="shared" si="6"/>
        <v>0</v>
      </c>
      <c r="O357" s="277">
        <f t="shared" si="4"/>
        <v>-61306.9752</v>
      </c>
      <c r="P357" s="264"/>
      <c r="Q357" s="264"/>
      <c r="R357" s="264"/>
      <c r="S357" s="264"/>
      <c r="T357" s="264"/>
      <c r="U357" s="264"/>
      <c r="V357" s="264"/>
      <c r="W357" s="264"/>
      <c r="X357" s="264"/>
      <c r="Y357" s="264"/>
      <c r="Z357" s="264"/>
      <c r="AA357" s="264"/>
      <c r="AB357" s="264"/>
      <c r="AC357" s="264"/>
      <c r="AD357" s="264"/>
      <c r="AE357" s="264"/>
    </row>
    <row r="358">
      <c r="A358" s="272" t="s">
        <v>795</v>
      </c>
      <c r="B358" s="272" t="s">
        <v>793</v>
      </c>
      <c r="C358" s="272" t="s">
        <v>794</v>
      </c>
      <c r="D358" s="129">
        <v>45909.0</v>
      </c>
      <c r="E358" s="267" t="s">
        <v>171</v>
      </c>
      <c r="F358" s="274">
        <f t="shared" si="2"/>
        <v>2025</v>
      </c>
      <c r="G358" s="59" t="s">
        <v>931</v>
      </c>
      <c r="H358" s="59" t="s">
        <v>403</v>
      </c>
      <c r="I358" s="304">
        <v>155290.0</v>
      </c>
      <c r="J358" s="276">
        <f>IF(ISBLANK(I358), "", VLOOKUP(E358&amp;" "&amp;F358, 'Info Tipo de Cambio y REM'!$A$24:$B$35, 2, FALSE))
</f>
        <v>1445</v>
      </c>
      <c r="K358" s="137">
        <f t="shared" si="20"/>
        <v>107.467128</v>
      </c>
      <c r="L358" s="293">
        <f t="shared" si="5"/>
        <v>1329916.645</v>
      </c>
      <c r="M358" s="293">
        <f t="shared" si="3"/>
        <v>-62365.94</v>
      </c>
      <c r="N358" s="293">
        <f t="shared" si="6"/>
        <v>0</v>
      </c>
      <c r="O358" s="277">
        <f t="shared" si="4"/>
        <v>-61414.44233</v>
      </c>
      <c r="P358" s="264"/>
      <c r="Q358" s="264"/>
      <c r="R358" s="264"/>
      <c r="S358" s="264"/>
      <c r="T358" s="264"/>
      <c r="U358" s="264"/>
      <c r="V358" s="264"/>
      <c r="W358" s="264"/>
      <c r="X358" s="264"/>
      <c r="Y358" s="264"/>
      <c r="Z358" s="264"/>
      <c r="AA358" s="264"/>
      <c r="AB358" s="264"/>
      <c r="AC358" s="264"/>
      <c r="AD358" s="264"/>
      <c r="AE358" s="264"/>
    </row>
    <row r="359">
      <c r="A359" s="272" t="s">
        <v>795</v>
      </c>
      <c r="B359" s="272" t="s">
        <v>793</v>
      </c>
      <c r="C359" s="272" t="s">
        <v>794</v>
      </c>
      <c r="D359" s="129">
        <v>45910.0</v>
      </c>
      <c r="E359" s="267" t="s">
        <v>171</v>
      </c>
      <c r="F359" s="274">
        <f t="shared" si="2"/>
        <v>2025</v>
      </c>
      <c r="G359" s="59" t="s">
        <v>932</v>
      </c>
      <c r="H359" s="59" t="s">
        <v>577</v>
      </c>
      <c r="I359" s="304">
        <v>275935.0</v>
      </c>
      <c r="J359" s="276">
        <f>IF(ISBLANK(I359), "", VLOOKUP(E359&amp;" "&amp;F359, 'Info Tipo de Cambio y REM'!$A$24:$B$35, 2, FALSE))
</f>
        <v>1445</v>
      </c>
      <c r="K359" s="137">
        <f t="shared" si="20"/>
        <v>190.9584775</v>
      </c>
      <c r="L359" s="293">
        <f t="shared" si="5"/>
        <v>1053981.645</v>
      </c>
      <c r="M359" s="293">
        <f t="shared" si="3"/>
        <v>-62365.94</v>
      </c>
      <c r="N359" s="293">
        <f t="shared" si="6"/>
        <v>0</v>
      </c>
      <c r="O359" s="277">
        <f t="shared" si="4"/>
        <v>-61605.40081</v>
      </c>
      <c r="P359" s="264"/>
      <c r="Q359" s="264"/>
      <c r="R359" s="264"/>
      <c r="S359" s="264"/>
      <c r="T359" s="264"/>
      <c r="U359" s="264"/>
      <c r="V359" s="264"/>
      <c r="W359" s="264"/>
      <c r="X359" s="264"/>
      <c r="Y359" s="264"/>
      <c r="Z359" s="264"/>
      <c r="AA359" s="264"/>
      <c r="AB359" s="264"/>
      <c r="AC359" s="264"/>
      <c r="AD359" s="264"/>
      <c r="AE359" s="264"/>
    </row>
    <row r="360">
      <c r="A360" s="272" t="s">
        <v>795</v>
      </c>
      <c r="B360" s="272" t="s">
        <v>793</v>
      </c>
      <c r="C360" s="272" t="s">
        <v>794</v>
      </c>
      <c r="D360" s="129">
        <v>45910.0</v>
      </c>
      <c r="E360" s="267" t="s">
        <v>171</v>
      </c>
      <c r="F360" s="274">
        <f t="shared" si="2"/>
        <v>2025</v>
      </c>
      <c r="G360" s="59" t="s">
        <v>933</v>
      </c>
      <c r="H360" s="59" t="s">
        <v>504</v>
      </c>
      <c r="I360" s="304">
        <v>397500.0</v>
      </c>
      <c r="J360" s="276">
        <f>IF(ISBLANK(I360), "", VLOOKUP(E360&amp;" "&amp;F360, 'Info Tipo de Cambio y REM'!$A$24:$B$35, 2, FALSE))
</f>
        <v>1445</v>
      </c>
      <c r="K360" s="137">
        <f t="shared" si="20"/>
        <v>275.0865052</v>
      </c>
      <c r="L360" s="293">
        <f t="shared" si="5"/>
        <v>656481.6453</v>
      </c>
      <c r="M360" s="293">
        <f t="shared" si="3"/>
        <v>-62365.94</v>
      </c>
      <c r="N360" s="293">
        <f t="shared" si="6"/>
        <v>0</v>
      </c>
      <c r="O360" s="277">
        <f t="shared" si="4"/>
        <v>-61880.48731</v>
      </c>
      <c r="P360" s="264"/>
      <c r="Q360" s="264"/>
      <c r="R360" s="264"/>
      <c r="S360" s="264"/>
      <c r="T360" s="264"/>
      <c r="U360" s="264"/>
      <c r="V360" s="264"/>
      <c r="W360" s="264"/>
      <c r="X360" s="264"/>
      <c r="Y360" s="264"/>
      <c r="Z360" s="264"/>
      <c r="AA360" s="264"/>
      <c r="AB360" s="264"/>
      <c r="AC360" s="264"/>
      <c r="AD360" s="264"/>
      <c r="AE360" s="264"/>
    </row>
    <row r="361">
      <c r="A361" s="272" t="s">
        <v>795</v>
      </c>
      <c r="B361" s="272" t="s">
        <v>793</v>
      </c>
      <c r="C361" s="272" t="s">
        <v>794</v>
      </c>
      <c r="D361" s="129">
        <v>45910.0</v>
      </c>
      <c r="E361" s="267" t="s">
        <v>171</v>
      </c>
      <c r="F361" s="274">
        <f t="shared" si="2"/>
        <v>2025</v>
      </c>
      <c r="G361" s="59" t="s">
        <v>934</v>
      </c>
      <c r="H361" s="59" t="s">
        <v>407</v>
      </c>
      <c r="I361" s="304">
        <v>203711.0</v>
      </c>
      <c r="J361" s="276">
        <f>IF(ISBLANK(I361), "", VLOOKUP(E361&amp;" "&amp;F361, 'Info Tipo de Cambio y REM'!$A$24:$B$35, 2, FALSE))
</f>
        <v>1445</v>
      </c>
      <c r="K361" s="137">
        <f t="shared" si="20"/>
        <v>140.9764706</v>
      </c>
      <c r="L361" s="293">
        <f t="shared" si="5"/>
        <v>452770.6453</v>
      </c>
      <c r="M361" s="293">
        <f t="shared" si="3"/>
        <v>-62365.94</v>
      </c>
      <c r="N361" s="293">
        <f t="shared" si="6"/>
        <v>0</v>
      </c>
      <c r="O361" s="277">
        <f t="shared" si="4"/>
        <v>-62021.46378</v>
      </c>
      <c r="P361" s="264"/>
      <c r="Q361" s="264"/>
      <c r="R361" s="264"/>
      <c r="S361" s="264"/>
      <c r="T361" s="264"/>
      <c r="U361" s="264"/>
      <c r="V361" s="264"/>
      <c r="W361" s="264"/>
      <c r="X361" s="264"/>
      <c r="Y361" s="264"/>
      <c r="Z361" s="264"/>
      <c r="AA361" s="264"/>
      <c r="AB361" s="264"/>
      <c r="AC361" s="264"/>
      <c r="AD361" s="264"/>
      <c r="AE361" s="264"/>
    </row>
    <row r="362">
      <c r="A362" s="272" t="s">
        <v>795</v>
      </c>
      <c r="B362" s="272" t="s">
        <v>793</v>
      </c>
      <c r="C362" s="272" t="s">
        <v>794</v>
      </c>
      <c r="D362" s="129">
        <v>45909.0</v>
      </c>
      <c r="E362" s="267" t="s">
        <v>171</v>
      </c>
      <c r="F362" s="274">
        <f t="shared" si="2"/>
        <v>2025</v>
      </c>
      <c r="G362" s="59" t="s">
        <v>935</v>
      </c>
      <c r="H362" s="59" t="s">
        <v>409</v>
      </c>
      <c r="I362" s="304">
        <v>621186.0</v>
      </c>
      <c r="J362" s="276">
        <f>IF(ISBLANK(I362), "", VLOOKUP(E362&amp;" "&amp;F362, 'Info Tipo de Cambio y REM'!$A$24:$B$35, 2, FALSE))
</f>
        <v>1445</v>
      </c>
      <c r="K362" s="137">
        <f t="shared" si="20"/>
        <v>429.8865052</v>
      </c>
      <c r="L362" s="293">
        <f t="shared" si="5"/>
        <v>-168415.3547</v>
      </c>
      <c r="M362" s="293">
        <f t="shared" si="3"/>
        <v>-62365.94</v>
      </c>
      <c r="N362" s="293">
        <f t="shared" si="6"/>
        <v>0</v>
      </c>
      <c r="O362" s="277">
        <f t="shared" si="4"/>
        <v>-62451.35029</v>
      </c>
      <c r="P362" s="264"/>
      <c r="Q362" s="264"/>
      <c r="R362" s="264"/>
      <c r="S362" s="264"/>
      <c r="T362" s="264"/>
      <c r="U362" s="264"/>
      <c r="V362" s="264"/>
      <c r="W362" s="264"/>
      <c r="X362" s="264"/>
      <c r="Y362" s="264"/>
      <c r="Z362" s="264"/>
      <c r="AA362" s="264"/>
      <c r="AB362" s="264"/>
      <c r="AC362" s="264"/>
      <c r="AD362" s="264"/>
      <c r="AE362" s="264"/>
    </row>
    <row r="363">
      <c r="A363" s="272" t="s">
        <v>795</v>
      </c>
      <c r="B363" s="272" t="s">
        <v>793</v>
      </c>
      <c r="C363" s="272" t="s">
        <v>794</v>
      </c>
      <c r="D363" s="129">
        <v>45910.0</v>
      </c>
      <c r="E363" s="267" t="s">
        <v>171</v>
      </c>
      <c r="F363" s="274">
        <f t="shared" si="2"/>
        <v>2025</v>
      </c>
      <c r="G363" s="59" t="s">
        <v>936</v>
      </c>
      <c r="H363" s="59" t="s">
        <v>411</v>
      </c>
      <c r="I363" s="304">
        <v>199810.0</v>
      </c>
      <c r="J363" s="276">
        <f>IF(ISBLANK(I363), "", VLOOKUP(E363&amp;" "&amp;F363, 'Info Tipo de Cambio y REM'!$A$24:$B$35, 2, FALSE))
</f>
        <v>1445</v>
      </c>
      <c r="K363" s="137">
        <f t="shared" si="20"/>
        <v>138.2768166</v>
      </c>
      <c r="L363" s="293">
        <f t="shared" si="5"/>
        <v>-368225.3547</v>
      </c>
      <c r="M363" s="293">
        <f t="shared" si="3"/>
        <v>-62365.94</v>
      </c>
      <c r="N363" s="293">
        <f t="shared" si="6"/>
        <v>0</v>
      </c>
      <c r="O363" s="277">
        <f t="shared" si="4"/>
        <v>-62589.6271</v>
      </c>
      <c r="P363" s="264"/>
      <c r="Q363" s="264"/>
      <c r="R363" s="264"/>
      <c r="S363" s="264"/>
      <c r="T363" s="264"/>
      <c r="U363" s="264"/>
      <c r="V363" s="264"/>
      <c r="W363" s="264"/>
      <c r="X363" s="264"/>
      <c r="Y363" s="264"/>
      <c r="Z363" s="264"/>
      <c r="AA363" s="264"/>
      <c r="AB363" s="264"/>
      <c r="AC363" s="264"/>
      <c r="AD363" s="264"/>
      <c r="AE363" s="264"/>
    </row>
    <row r="364">
      <c r="A364" s="272" t="s">
        <v>795</v>
      </c>
      <c r="B364" s="272" t="s">
        <v>793</v>
      </c>
      <c r="C364" s="272" t="s">
        <v>794</v>
      </c>
      <c r="D364" s="129">
        <v>45910.0</v>
      </c>
      <c r="E364" s="267" t="s">
        <v>171</v>
      </c>
      <c r="F364" s="274">
        <f t="shared" si="2"/>
        <v>2025</v>
      </c>
      <c r="G364" s="59" t="s">
        <v>937</v>
      </c>
      <c r="H364" s="59" t="s">
        <v>414</v>
      </c>
      <c r="I364" s="304">
        <v>950380.0</v>
      </c>
      <c r="J364" s="276">
        <f>IF(ISBLANK(I364), "", VLOOKUP(E364&amp;" "&amp;F364, 'Info Tipo de Cambio y REM'!$A$24:$B$35, 2, FALSE))
</f>
        <v>1445</v>
      </c>
      <c r="K364" s="137">
        <f t="shared" si="20"/>
        <v>657.7024221</v>
      </c>
      <c r="L364" s="293">
        <f t="shared" si="5"/>
        <v>-1318605.355</v>
      </c>
      <c r="M364" s="293">
        <f t="shared" si="3"/>
        <v>-62365.94</v>
      </c>
      <c r="N364" s="293">
        <f t="shared" si="6"/>
        <v>0</v>
      </c>
      <c r="O364" s="277">
        <f t="shared" si="4"/>
        <v>-63247.32952</v>
      </c>
      <c r="P364" s="264"/>
      <c r="Q364" s="264"/>
      <c r="R364" s="264"/>
      <c r="S364" s="264"/>
      <c r="T364" s="264"/>
      <c r="U364" s="264"/>
      <c r="V364" s="264"/>
      <c r="W364" s="264"/>
      <c r="X364" s="264"/>
      <c r="Y364" s="264"/>
      <c r="Z364" s="264"/>
      <c r="AA364" s="264"/>
      <c r="AB364" s="264"/>
      <c r="AC364" s="264"/>
      <c r="AD364" s="264"/>
      <c r="AE364" s="264"/>
    </row>
    <row r="365">
      <c r="A365" s="272" t="s">
        <v>795</v>
      </c>
      <c r="B365" s="272" t="s">
        <v>793</v>
      </c>
      <c r="C365" s="272" t="s">
        <v>794</v>
      </c>
      <c r="D365" s="129">
        <v>45910.0</v>
      </c>
      <c r="E365" s="267" t="s">
        <v>171</v>
      </c>
      <c r="F365" s="274">
        <f t="shared" si="2"/>
        <v>2025</v>
      </c>
      <c r="G365" s="59" t="s">
        <v>938</v>
      </c>
      <c r="H365" s="59" t="s">
        <v>413</v>
      </c>
      <c r="I365" s="304">
        <v>61260.57</v>
      </c>
      <c r="J365" s="276">
        <f>IF(ISBLANK(I365), "", VLOOKUP(E365&amp;" "&amp;F365, 'Info Tipo de Cambio y REM'!$A$24:$B$35, 2, FALSE))
</f>
        <v>1445</v>
      </c>
      <c r="K365" s="137">
        <f t="shared" si="20"/>
        <v>42.39485813</v>
      </c>
      <c r="L365" s="293">
        <f t="shared" si="5"/>
        <v>-1379865.925</v>
      </c>
      <c r="M365" s="293">
        <f t="shared" si="3"/>
        <v>-62365.94</v>
      </c>
      <c r="N365" s="293">
        <f t="shared" si="6"/>
        <v>0</v>
      </c>
      <c r="O365" s="277">
        <f t="shared" si="4"/>
        <v>-63289.72438</v>
      </c>
      <c r="P365" s="264"/>
      <c r="Q365" s="264"/>
      <c r="R365" s="264"/>
      <c r="S365" s="264"/>
      <c r="T365" s="264"/>
      <c r="U365" s="264"/>
      <c r="V365" s="264"/>
      <c r="W365" s="264"/>
      <c r="X365" s="264"/>
      <c r="Y365" s="264"/>
      <c r="Z365" s="264"/>
      <c r="AA365" s="264"/>
      <c r="AB365" s="264"/>
      <c r="AC365" s="264"/>
      <c r="AD365" s="264"/>
      <c r="AE365" s="264"/>
    </row>
    <row r="366">
      <c r="A366" s="272" t="s">
        <v>795</v>
      </c>
      <c r="B366" s="272" t="s">
        <v>793</v>
      </c>
      <c r="C366" s="272" t="s">
        <v>794</v>
      </c>
      <c r="D366" s="129">
        <v>45911.0</v>
      </c>
      <c r="E366" s="267" t="s">
        <v>171</v>
      </c>
      <c r="F366" s="274">
        <f t="shared" si="2"/>
        <v>2025</v>
      </c>
      <c r="G366" s="59" t="s">
        <v>939</v>
      </c>
      <c r="H366" s="59" t="s">
        <v>534</v>
      </c>
      <c r="I366" s="304">
        <v>143990.0</v>
      </c>
      <c r="J366" s="276">
        <f>IF(ISBLANK(I366), "", VLOOKUP(E366&amp;" "&amp;F366, 'Info Tipo de Cambio y REM'!$A$24:$B$35, 2, FALSE))
</f>
        <v>1445</v>
      </c>
      <c r="K366" s="137">
        <f t="shared" si="20"/>
        <v>99.64705882</v>
      </c>
      <c r="L366" s="293">
        <f t="shared" si="5"/>
        <v>-1523855.925</v>
      </c>
      <c r="M366" s="293">
        <f t="shared" si="3"/>
        <v>-62365.94</v>
      </c>
      <c r="N366" s="293">
        <f t="shared" si="6"/>
        <v>0</v>
      </c>
      <c r="O366" s="277">
        <f t="shared" si="4"/>
        <v>-63389.37144</v>
      </c>
      <c r="P366" s="264"/>
      <c r="Q366" s="264"/>
      <c r="R366" s="264"/>
      <c r="S366" s="264"/>
      <c r="T366" s="264"/>
      <c r="U366" s="264"/>
      <c r="V366" s="264"/>
      <c r="W366" s="264"/>
      <c r="X366" s="264"/>
      <c r="Y366" s="264"/>
      <c r="Z366" s="264"/>
      <c r="AA366" s="264"/>
      <c r="AB366" s="264"/>
      <c r="AC366" s="264"/>
      <c r="AD366" s="264"/>
      <c r="AE366" s="264"/>
    </row>
    <row r="367">
      <c r="A367" s="272" t="s">
        <v>797</v>
      </c>
      <c r="B367" s="272" t="s">
        <v>793</v>
      </c>
      <c r="C367" s="272" t="s">
        <v>794</v>
      </c>
      <c r="D367" s="104">
        <v>45919.0</v>
      </c>
      <c r="E367" s="267" t="s">
        <v>171</v>
      </c>
      <c r="F367" s="274">
        <f t="shared" si="2"/>
        <v>2025</v>
      </c>
      <c r="G367" s="63" t="s">
        <v>940</v>
      </c>
      <c r="H367" s="63" t="s">
        <v>941</v>
      </c>
      <c r="I367" s="275">
        <v>2026750.0</v>
      </c>
      <c r="J367" s="276">
        <f>IF(ISBLANK(I367), "", VLOOKUP(E367&amp;" "&amp;F367, 'Info Tipo de Cambio y REM'!$A$24:$B$35, 2, FALSE))
</f>
        <v>1445</v>
      </c>
      <c r="K367" s="107">
        <f t="shared" si="20"/>
        <v>1402.595156</v>
      </c>
      <c r="L367" s="293">
        <f t="shared" si="5"/>
        <v>502894.0753</v>
      </c>
      <c r="M367" s="293">
        <f t="shared" si="3"/>
        <v>-62365.94</v>
      </c>
      <c r="N367" s="293">
        <f t="shared" si="6"/>
        <v>0</v>
      </c>
      <c r="O367" s="277">
        <f t="shared" si="4"/>
        <v>-61986.77629</v>
      </c>
      <c r="P367" s="264"/>
      <c r="Q367" s="264"/>
      <c r="R367" s="264"/>
      <c r="S367" s="264"/>
      <c r="T367" s="264"/>
      <c r="U367" s="264"/>
      <c r="V367" s="264"/>
      <c r="W367" s="264"/>
      <c r="X367" s="264"/>
      <c r="Y367" s="264"/>
      <c r="Z367" s="264"/>
      <c r="AA367" s="264"/>
      <c r="AB367" s="264"/>
      <c r="AC367" s="264"/>
      <c r="AD367" s="264"/>
      <c r="AE367" s="264"/>
    </row>
    <row r="368">
      <c r="A368" s="272" t="s">
        <v>795</v>
      </c>
      <c r="B368" s="272" t="s">
        <v>793</v>
      </c>
      <c r="C368" s="272" t="s">
        <v>794</v>
      </c>
      <c r="D368" s="104">
        <v>45916.0</v>
      </c>
      <c r="E368" s="267" t="s">
        <v>171</v>
      </c>
      <c r="F368" s="274">
        <f t="shared" si="2"/>
        <v>2025</v>
      </c>
      <c r="G368" s="63" t="s">
        <v>942</v>
      </c>
      <c r="H368" s="63" t="s">
        <v>436</v>
      </c>
      <c r="I368" s="215">
        <v>289910.0</v>
      </c>
      <c r="J368" s="276">
        <f>IF(ISBLANK(I368), "", VLOOKUP(E368&amp;" "&amp;F368, 'Info Tipo de Cambio y REM'!$A$24:$B$35, 2, FALSE))
</f>
        <v>1445</v>
      </c>
      <c r="K368" s="107">
        <f t="shared" si="20"/>
        <v>200.6297578</v>
      </c>
      <c r="L368" s="293">
        <f t="shared" si="5"/>
        <v>212984.0753</v>
      </c>
      <c r="M368" s="293">
        <f t="shared" si="3"/>
        <v>-62365.94</v>
      </c>
      <c r="N368" s="293">
        <f t="shared" si="6"/>
        <v>0</v>
      </c>
      <c r="O368" s="277">
        <f t="shared" si="4"/>
        <v>-62187.40604</v>
      </c>
      <c r="P368" s="264"/>
      <c r="Q368" s="264"/>
      <c r="R368" s="264"/>
      <c r="S368" s="264"/>
      <c r="T368" s="264"/>
      <c r="U368" s="264"/>
      <c r="V368" s="264"/>
      <c r="W368" s="264"/>
      <c r="X368" s="264"/>
      <c r="Y368" s="264"/>
      <c r="Z368" s="264"/>
      <c r="AA368" s="264"/>
      <c r="AB368" s="264"/>
      <c r="AC368" s="264"/>
      <c r="AD368" s="264"/>
      <c r="AE368" s="264"/>
    </row>
    <row r="369">
      <c r="A369" s="272" t="s">
        <v>795</v>
      </c>
      <c r="B369" s="272" t="s">
        <v>793</v>
      </c>
      <c r="C369" s="272" t="s">
        <v>794</v>
      </c>
      <c r="D369" s="104">
        <v>45916.0</v>
      </c>
      <c r="E369" s="267" t="s">
        <v>171</v>
      </c>
      <c r="F369" s="274">
        <f t="shared" si="2"/>
        <v>2025</v>
      </c>
      <c r="G369" s="63" t="s">
        <v>943</v>
      </c>
      <c r="H369" s="63" t="s">
        <v>458</v>
      </c>
      <c r="I369" s="215">
        <v>250000.0</v>
      </c>
      <c r="J369" s="276">
        <f>IF(ISBLANK(I369), "", VLOOKUP(E369&amp;" "&amp;F369, 'Info Tipo de Cambio y REM'!$A$24:$B$35, 2, FALSE))
</f>
        <v>1445</v>
      </c>
      <c r="K369" s="107">
        <f t="shared" si="20"/>
        <v>173.0103806</v>
      </c>
      <c r="L369" s="293">
        <f t="shared" si="5"/>
        <v>-37015.92465</v>
      </c>
      <c r="M369" s="293">
        <f t="shared" si="3"/>
        <v>-62365.94</v>
      </c>
      <c r="N369" s="293">
        <f t="shared" si="6"/>
        <v>0</v>
      </c>
      <c r="O369" s="277">
        <f t="shared" si="4"/>
        <v>-62360.41642</v>
      </c>
      <c r="P369" s="264"/>
      <c r="Q369" s="264"/>
      <c r="R369" s="264"/>
      <c r="S369" s="264"/>
      <c r="T369" s="264"/>
      <c r="U369" s="264"/>
      <c r="V369" s="264"/>
      <c r="W369" s="264"/>
      <c r="X369" s="264"/>
      <c r="Y369" s="264"/>
      <c r="Z369" s="264"/>
      <c r="AA369" s="264"/>
      <c r="AB369" s="264"/>
      <c r="AC369" s="264"/>
      <c r="AD369" s="264"/>
      <c r="AE369" s="264"/>
    </row>
    <row r="370">
      <c r="A370" s="272" t="s">
        <v>795</v>
      </c>
      <c r="B370" s="272" t="s">
        <v>793</v>
      </c>
      <c r="C370" s="272" t="s">
        <v>794</v>
      </c>
      <c r="D370" s="104">
        <v>45916.0</v>
      </c>
      <c r="E370" s="267" t="s">
        <v>171</v>
      </c>
      <c r="F370" s="274">
        <f t="shared" si="2"/>
        <v>2025</v>
      </c>
      <c r="G370" s="63" t="s">
        <v>944</v>
      </c>
      <c r="H370" s="63" t="s">
        <v>401</v>
      </c>
      <c r="I370" s="215">
        <v>836948.0</v>
      </c>
      <c r="J370" s="276">
        <f>IF(ISBLANK(I370), "", VLOOKUP(E370&amp;" "&amp;F370, 'Info Tipo de Cambio y REM'!$A$24:$B$35, 2, FALSE))
</f>
        <v>1445</v>
      </c>
      <c r="K370" s="107">
        <f t="shared" si="20"/>
        <v>579.2027682</v>
      </c>
      <c r="L370" s="293">
        <f t="shared" si="5"/>
        <v>-873963.9247</v>
      </c>
      <c r="M370" s="293">
        <f t="shared" si="3"/>
        <v>-62365.94</v>
      </c>
      <c r="N370" s="293">
        <f t="shared" si="6"/>
        <v>0</v>
      </c>
      <c r="O370" s="277">
        <f t="shared" si="4"/>
        <v>-62939.61919</v>
      </c>
      <c r="P370" s="264"/>
      <c r="Q370" s="264"/>
      <c r="R370" s="264"/>
      <c r="S370" s="264"/>
      <c r="T370" s="264"/>
      <c r="U370" s="264"/>
      <c r="V370" s="264"/>
      <c r="W370" s="264"/>
      <c r="X370" s="264"/>
      <c r="Y370" s="264"/>
      <c r="Z370" s="264"/>
      <c r="AA370" s="264"/>
      <c r="AB370" s="264"/>
      <c r="AC370" s="264"/>
      <c r="AD370" s="264"/>
      <c r="AE370" s="264"/>
    </row>
    <row r="371">
      <c r="A371" s="272" t="s">
        <v>795</v>
      </c>
      <c r="B371" s="272" t="s">
        <v>793</v>
      </c>
      <c r="C371" s="272" t="s">
        <v>794</v>
      </c>
      <c r="D371" s="104">
        <v>45922.0</v>
      </c>
      <c r="E371" s="267" t="s">
        <v>171</v>
      </c>
      <c r="F371" s="274">
        <f t="shared" si="2"/>
        <v>2025</v>
      </c>
      <c r="G371" s="59" t="s">
        <v>764</v>
      </c>
      <c r="H371" s="59" t="s">
        <v>764</v>
      </c>
      <c r="I371" s="43">
        <v>1876795.0</v>
      </c>
      <c r="J371" s="276">
        <f>IF(ISBLANK(I371), "", VLOOKUP(E371&amp;" "&amp;F371, 'Info Tipo de Cambio y REM'!$A$24:$B$35, 2, FALSE))
</f>
        <v>1445</v>
      </c>
      <c r="K371" s="137">
        <f t="shared" si="20"/>
        <v>1298.820069</v>
      </c>
      <c r="L371" s="293">
        <f t="shared" si="5"/>
        <v>-2750758.925</v>
      </c>
      <c r="M371" s="293">
        <f t="shared" si="3"/>
        <v>-62365.94</v>
      </c>
      <c r="N371" s="293">
        <f t="shared" si="6"/>
        <v>0</v>
      </c>
      <c r="O371" s="277">
        <f t="shared" si="4"/>
        <v>-64238.43926</v>
      </c>
      <c r="P371" s="264"/>
      <c r="Q371" s="264"/>
      <c r="R371" s="264"/>
      <c r="S371" s="264"/>
      <c r="T371" s="264"/>
      <c r="U371" s="264"/>
      <c r="V371" s="264"/>
      <c r="W371" s="264"/>
      <c r="X371" s="264"/>
      <c r="Y371" s="264"/>
      <c r="Z371" s="264"/>
      <c r="AA371" s="264"/>
      <c r="AB371" s="264"/>
      <c r="AC371" s="264"/>
      <c r="AD371" s="264"/>
      <c r="AE371" s="264"/>
    </row>
    <row r="372">
      <c r="A372" s="272" t="s">
        <v>795</v>
      </c>
      <c r="B372" s="272" t="s">
        <v>793</v>
      </c>
      <c r="C372" s="272" t="s">
        <v>794</v>
      </c>
      <c r="D372" s="104">
        <v>45922.0</v>
      </c>
      <c r="E372" s="267" t="s">
        <v>171</v>
      </c>
      <c r="F372" s="274">
        <f t="shared" si="2"/>
        <v>2025</v>
      </c>
      <c r="G372" s="272" t="s">
        <v>765</v>
      </c>
      <c r="H372" s="272" t="s">
        <v>765</v>
      </c>
      <c r="I372" s="43">
        <v>342986.0</v>
      </c>
      <c r="J372" s="276">
        <f>IF(ISBLANK(I372), "", VLOOKUP(E372&amp;" "&amp;F372, 'Info Tipo de Cambio y REM'!$A$24:$B$35, 2, FALSE))
</f>
        <v>1445</v>
      </c>
      <c r="K372" s="137">
        <f t="shared" si="20"/>
        <v>237.3605536</v>
      </c>
      <c r="L372" s="293">
        <f t="shared" si="5"/>
        <v>-3093744.925</v>
      </c>
      <c r="M372" s="293">
        <f t="shared" si="3"/>
        <v>-62365.94</v>
      </c>
      <c r="N372" s="293">
        <f t="shared" si="6"/>
        <v>0</v>
      </c>
      <c r="O372" s="277">
        <f t="shared" si="4"/>
        <v>-64475.79982</v>
      </c>
      <c r="P372" s="264"/>
      <c r="Q372" s="264"/>
      <c r="R372" s="264"/>
      <c r="S372" s="264"/>
      <c r="T372" s="264"/>
      <c r="U372" s="264"/>
      <c r="V372" s="264"/>
      <c r="W372" s="264"/>
      <c r="X372" s="264"/>
      <c r="Y372" s="264"/>
      <c r="Z372" s="264"/>
      <c r="AA372" s="264"/>
      <c r="AB372" s="264"/>
      <c r="AC372" s="264"/>
      <c r="AD372" s="264"/>
      <c r="AE372" s="264"/>
    </row>
    <row r="373">
      <c r="A373" s="272" t="s">
        <v>795</v>
      </c>
      <c r="B373" s="272" t="s">
        <v>793</v>
      </c>
      <c r="C373" s="272" t="s">
        <v>794</v>
      </c>
      <c r="D373" s="104">
        <v>45922.0</v>
      </c>
      <c r="E373" s="267" t="s">
        <v>171</v>
      </c>
      <c r="F373" s="274">
        <f t="shared" si="2"/>
        <v>2025</v>
      </c>
      <c r="G373" s="272" t="s">
        <v>945</v>
      </c>
      <c r="H373" s="272" t="s">
        <v>945</v>
      </c>
      <c r="I373" s="43">
        <v>5302886.0</v>
      </c>
      <c r="J373" s="276">
        <f>IF(ISBLANK(I373), "", VLOOKUP(E373&amp;" "&amp;F373, 'Info Tipo de Cambio y REM'!$A$24:$B$35, 2, FALSE))
</f>
        <v>1445</v>
      </c>
      <c r="K373" s="137">
        <f t="shared" si="20"/>
        <v>3669.817301</v>
      </c>
      <c r="L373" s="293">
        <f t="shared" si="5"/>
        <v>-8396630.925</v>
      </c>
      <c r="M373" s="293">
        <f t="shared" si="3"/>
        <v>-62365.94</v>
      </c>
      <c r="N373" s="293">
        <f t="shared" si="6"/>
        <v>0</v>
      </c>
      <c r="O373" s="277">
        <f t="shared" si="4"/>
        <v>-68145.61712</v>
      </c>
      <c r="P373" s="264"/>
      <c r="Q373" s="264"/>
      <c r="R373" s="264"/>
      <c r="S373" s="264"/>
      <c r="T373" s="264"/>
      <c r="U373" s="264"/>
      <c r="V373" s="264"/>
      <c r="W373" s="264"/>
      <c r="X373" s="264"/>
      <c r="Y373" s="264"/>
      <c r="Z373" s="264"/>
      <c r="AA373" s="264"/>
      <c r="AB373" s="264"/>
      <c r="AC373" s="264"/>
      <c r="AD373" s="264"/>
      <c r="AE373" s="264"/>
    </row>
    <row r="374">
      <c r="A374" s="272" t="s">
        <v>795</v>
      </c>
      <c r="B374" s="272" t="s">
        <v>793</v>
      </c>
      <c r="C374" s="272" t="s">
        <v>794</v>
      </c>
      <c r="D374" s="104">
        <v>45922.0</v>
      </c>
      <c r="E374" s="267" t="s">
        <v>171</v>
      </c>
      <c r="F374" s="274">
        <f t="shared" si="2"/>
        <v>2025</v>
      </c>
      <c r="G374" s="165" t="s">
        <v>686</v>
      </c>
      <c r="H374" s="165" t="s">
        <v>686</v>
      </c>
      <c r="I374" s="275">
        <v>71341.0</v>
      </c>
      <c r="J374" s="276">
        <f>IF(ISBLANK(I374), "", VLOOKUP(E374&amp;" "&amp;F374, 'Info Tipo de Cambio y REM'!$A$24:$B$35, 2, FALSE))
</f>
        <v>1445</v>
      </c>
      <c r="K374" s="137">
        <f t="shared" si="20"/>
        <v>49.37093426</v>
      </c>
      <c r="L374" s="293">
        <f t="shared" si="5"/>
        <v>-8467971.925</v>
      </c>
      <c r="M374" s="293">
        <f t="shared" si="3"/>
        <v>-62365.94</v>
      </c>
      <c r="N374" s="293">
        <f t="shared" si="6"/>
        <v>0</v>
      </c>
      <c r="O374" s="277">
        <f t="shared" si="4"/>
        <v>-68194.98805</v>
      </c>
      <c r="P374" s="264"/>
      <c r="Q374" s="264"/>
      <c r="R374" s="264"/>
      <c r="S374" s="264"/>
      <c r="T374" s="264"/>
      <c r="U374" s="264"/>
      <c r="V374" s="264"/>
      <c r="W374" s="264"/>
      <c r="X374" s="264"/>
      <c r="Y374" s="264"/>
      <c r="Z374" s="264"/>
      <c r="AA374" s="264"/>
      <c r="AB374" s="264"/>
      <c r="AC374" s="264"/>
      <c r="AD374" s="264"/>
      <c r="AE374" s="264"/>
    </row>
    <row r="375">
      <c r="A375" s="272" t="s">
        <v>795</v>
      </c>
      <c r="B375" s="272" t="s">
        <v>144</v>
      </c>
      <c r="C375" s="272" t="s">
        <v>791</v>
      </c>
      <c r="D375" s="172">
        <v>45915.0</v>
      </c>
      <c r="E375" s="267" t="s">
        <v>171</v>
      </c>
      <c r="F375" s="274">
        <f t="shared" si="2"/>
        <v>2025</v>
      </c>
      <c r="G375" s="121" t="s">
        <v>946</v>
      </c>
      <c r="H375" s="264"/>
      <c r="I375" s="277"/>
      <c r="J375" s="276" t="str">
        <f>IF(ISBLANK(I375), "", VLOOKUP(E375&amp;" "&amp;F375, 'Info Tipo de Cambio y REM'!$A$24:$B$35, 2, FALSE))
</f>
        <v/>
      </c>
      <c r="K375" s="123">
        <v>501.0</v>
      </c>
      <c r="L375" s="293">
        <f t="shared" si="5"/>
        <v>-8467971.925</v>
      </c>
      <c r="M375" s="293">
        <f t="shared" si="3"/>
        <v>-62866.94</v>
      </c>
      <c r="N375" s="293">
        <f t="shared" si="6"/>
        <v>0</v>
      </c>
      <c r="O375" s="277">
        <f t="shared" si="4"/>
        <v>-68695.98805</v>
      </c>
      <c r="P375" s="264"/>
      <c r="Q375" s="264"/>
      <c r="R375" s="264"/>
      <c r="S375" s="264"/>
      <c r="T375" s="264"/>
      <c r="U375" s="264"/>
      <c r="V375" s="264"/>
      <c r="W375" s="264"/>
      <c r="X375" s="264"/>
      <c r="Y375" s="264"/>
      <c r="Z375" s="264"/>
      <c r="AA375" s="264"/>
      <c r="AB375" s="264"/>
      <c r="AC375" s="264"/>
      <c r="AD375" s="264"/>
      <c r="AE375" s="264"/>
    </row>
    <row r="376">
      <c r="A376" s="272" t="s">
        <v>795</v>
      </c>
      <c r="B376" s="272" t="s">
        <v>144</v>
      </c>
      <c r="C376" s="272" t="s">
        <v>791</v>
      </c>
      <c r="D376" s="172">
        <v>45917.0</v>
      </c>
      <c r="E376" s="267" t="s">
        <v>171</v>
      </c>
      <c r="F376" s="274">
        <f t="shared" si="2"/>
        <v>2025</v>
      </c>
      <c r="G376" s="121" t="s">
        <v>947</v>
      </c>
      <c r="H376" s="264"/>
      <c r="I376" s="277"/>
      <c r="J376" s="276" t="str">
        <f>IF(ISBLANK(I376), "", VLOOKUP(E376&amp;" "&amp;F376, 'Info Tipo de Cambio y REM'!$A$24:$B$35, 2, FALSE))
</f>
        <v/>
      </c>
      <c r="K376" s="123">
        <v>5.0</v>
      </c>
      <c r="L376" s="293">
        <f t="shared" si="5"/>
        <v>-8467971.925</v>
      </c>
      <c r="M376" s="293">
        <f t="shared" si="3"/>
        <v>-62871.94</v>
      </c>
      <c r="N376" s="293">
        <f t="shared" si="6"/>
        <v>0</v>
      </c>
      <c r="O376" s="277">
        <f t="shared" si="4"/>
        <v>-68700.98805</v>
      </c>
      <c r="P376" s="264"/>
      <c r="Q376" s="264"/>
      <c r="R376" s="264"/>
      <c r="S376" s="264"/>
      <c r="T376" s="264"/>
      <c r="U376" s="264"/>
      <c r="V376" s="264"/>
      <c r="W376" s="264"/>
      <c r="X376" s="264"/>
      <c r="Y376" s="264"/>
      <c r="Z376" s="264"/>
      <c r="AA376" s="264"/>
      <c r="AB376" s="264"/>
      <c r="AC376" s="264"/>
      <c r="AD376" s="264"/>
      <c r="AE376" s="264"/>
    </row>
    <row r="377">
      <c r="A377" s="272" t="s">
        <v>795</v>
      </c>
      <c r="B377" s="272" t="s">
        <v>144</v>
      </c>
      <c r="C377" s="272" t="s">
        <v>791</v>
      </c>
      <c r="D377" s="172">
        <v>45919.0</v>
      </c>
      <c r="E377" s="267" t="s">
        <v>171</v>
      </c>
      <c r="F377" s="274">
        <f t="shared" si="2"/>
        <v>2025</v>
      </c>
      <c r="G377" s="272" t="s">
        <v>796</v>
      </c>
      <c r="H377" s="264"/>
      <c r="I377" s="277"/>
      <c r="J377" s="276" t="str">
        <f>IF(ISBLANK(I377), "", VLOOKUP(E377&amp;" "&amp;F377, 'Info Tipo de Cambio y REM'!$A$24:$B$35, 2, FALSE))
</f>
        <v/>
      </c>
      <c r="K377" s="294">
        <v>6165.0</v>
      </c>
      <c r="L377" s="293">
        <f t="shared" si="5"/>
        <v>-8467971.925</v>
      </c>
      <c r="M377" s="293">
        <f t="shared" si="3"/>
        <v>-69036.94</v>
      </c>
      <c r="N377" s="293">
        <f t="shared" si="6"/>
        <v>0</v>
      </c>
      <c r="O377" s="277">
        <f t="shared" si="4"/>
        <v>-74865.98805</v>
      </c>
      <c r="P377" s="264"/>
      <c r="Q377" s="264"/>
      <c r="R377" s="264"/>
      <c r="S377" s="264"/>
      <c r="T377" s="264"/>
      <c r="U377" s="264"/>
      <c r="V377" s="264"/>
      <c r="W377" s="264"/>
      <c r="X377" s="264"/>
      <c r="Y377" s="264"/>
      <c r="Z377" s="264"/>
      <c r="AA377" s="264"/>
      <c r="AB377" s="264"/>
      <c r="AC377" s="264"/>
      <c r="AD377" s="264"/>
      <c r="AE377" s="264"/>
    </row>
    <row r="378">
      <c r="A378" s="272" t="s">
        <v>797</v>
      </c>
      <c r="B378" s="272" t="s">
        <v>793</v>
      </c>
      <c r="C378" s="272" t="s">
        <v>794</v>
      </c>
      <c r="D378" s="172">
        <v>45919.0</v>
      </c>
      <c r="E378" s="267" t="s">
        <v>171</v>
      </c>
      <c r="F378" s="274">
        <f t="shared" si="2"/>
        <v>2025</v>
      </c>
      <c r="G378" s="272" t="s">
        <v>796</v>
      </c>
      <c r="H378" s="264"/>
      <c r="I378" s="275">
        <v>9000900.0</v>
      </c>
      <c r="J378" s="276">
        <f>IF(ISBLANK(I378), "", VLOOKUP(E378&amp;" "&amp;F378, 'Info Tipo de Cambio y REM'!$A$24:$B$35, 2, FALSE))
</f>
        <v>1445</v>
      </c>
      <c r="K378" s="107">
        <f t="shared" ref="K378:K379" si="21">IF(NOT(ISBLANK(I378)), I378 / J378, IF(NOT(ISBLANK(I378)), I378, ""))</f>
        <v>6228.99654</v>
      </c>
      <c r="L378" s="293">
        <f t="shared" si="5"/>
        <v>532928.0753</v>
      </c>
      <c r="M378" s="293">
        <f t="shared" si="3"/>
        <v>-69036.94</v>
      </c>
      <c r="N378" s="293">
        <f t="shared" si="6"/>
        <v>0</v>
      </c>
      <c r="O378" s="277">
        <f t="shared" si="4"/>
        <v>-68636.99151</v>
      </c>
      <c r="P378" s="264"/>
      <c r="Q378" s="264"/>
      <c r="R378" s="264"/>
      <c r="S378" s="264"/>
      <c r="T378" s="264"/>
      <c r="U378" s="264"/>
      <c r="V378" s="264"/>
      <c r="W378" s="264"/>
      <c r="X378" s="264"/>
      <c r="Y378" s="264"/>
      <c r="Z378" s="264"/>
      <c r="AA378" s="264"/>
      <c r="AB378" s="264"/>
      <c r="AC378" s="264"/>
      <c r="AD378" s="264"/>
      <c r="AE378" s="264"/>
    </row>
    <row r="379">
      <c r="A379" s="272" t="s">
        <v>795</v>
      </c>
      <c r="B379" s="272" t="s">
        <v>793</v>
      </c>
      <c r="C379" s="272" t="s">
        <v>794</v>
      </c>
      <c r="D379" s="172">
        <v>45919.0</v>
      </c>
      <c r="E379" s="267" t="s">
        <v>171</v>
      </c>
      <c r="F379" s="274">
        <f t="shared" si="2"/>
        <v>2025</v>
      </c>
      <c r="G379" s="42" t="s">
        <v>948</v>
      </c>
      <c r="H379" s="264"/>
      <c r="I379" s="275">
        <v>130000.0</v>
      </c>
      <c r="J379" s="276">
        <f>IF(ISBLANK(I379), "", VLOOKUP(E379&amp;" "&amp;F379, 'Info Tipo de Cambio y REM'!$A$24:$B$35, 2, FALSE))
</f>
        <v>1445</v>
      </c>
      <c r="K379" s="137">
        <f t="shared" si="21"/>
        <v>89.96539792</v>
      </c>
      <c r="L379" s="293">
        <f t="shared" si="5"/>
        <v>402928.0753</v>
      </c>
      <c r="M379" s="293">
        <f t="shared" si="3"/>
        <v>-69036.94</v>
      </c>
      <c r="N379" s="293">
        <f t="shared" si="6"/>
        <v>0</v>
      </c>
      <c r="O379" s="277">
        <f t="shared" si="4"/>
        <v>-68726.95691</v>
      </c>
      <c r="P379" s="264"/>
      <c r="Q379" s="264"/>
      <c r="R379" s="264"/>
      <c r="S379" s="264"/>
      <c r="T379" s="264"/>
      <c r="U379" s="264"/>
      <c r="V379" s="264"/>
      <c r="W379" s="264"/>
      <c r="X379" s="264"/>
      <c r="Y379" s="264"/>
      <c r="Z379" s="264"/>
      <c r="AA379" s="264"/>
      <c r="AB379" s="264"/>
      <c r="AC379" s="264"/>
      <c r="AD379" s="264"/>
      <c r="AE379" s="264"/>
    </row>
    <row r="380">
      <c r="A380" s="272" t="s">
        <v>795</v>
      </c>
      <c r="B380" s="272" t="s">
        <v>144</v>
      </c>
      <c r="C380" s="272" t="s">
        <v>791</v>
      </c>
      <c r="D380" s="104">
        <v>45922.0</v>
      </c>
      <c r="E380" s="267" t="s">
        <v>171</v>
      </c>
      <c r="F380" s="274">
        <f t="shared" si="2"/>
        <v>2025</v>
      </c>
      <c r="G380" s="165" t="s">
        <v>949</v>
      </c>
      <c r="H380" s="264"/>
      <c r="I380" s="277"/>
      <c r="J380" s="276" t="str">
        <f>IF(ISBLANK(I380), "", VLOOKUP(E380&amp;" "&amp;F380, 'Info Tipo de Cambio y REM'!$A$24:$B$35, 2, FALSE))
</f>
        <v/>
      </c>
      <c r="K380" s="89">
        <v>20.0</v>
      </c>
      <c r="L380" s="277">
        <f t="shared" si="5"/>
        <v>402928.0753</v>
      </c>
      <c r="M380" s="277">
        <f t="shared" si="3"/>
        <v>-69056.94</v>
      </c>
      <c r="N380" s="277">
        <f t="shared" si="6"/>
        <v>0</v>
      </c>
      <c r="O380" s="277">
        <f t="shared" si="4"/>
        <v>-68746.95691</v>
      </c>
      <c r="P380" s="264"/>
      <c r="Q380" s="264"/>
      <c r="R380" s="264"/>
      <c r="S380" s="264"/>
      <c r="T380" s="264"/>
      <c r="U380" s="264"/>
      <c r="V380" s="264"/>
      <c r="W380" s="264"/>
      <c r="X380" s="264"/>
      <c r="Y380" s="264"/>
      <c r="Z380" s="264"/>
      <c r="AA380" s="264"/>
      <c r="AB380" s="264"/>
      <c r="AC380" s="264"/>
      <c r="AD380" s="264"/>
      <c r="AE380" s="264"/>
    </row>
    <row r="381">
      <c r="A381" s="272" t="s">
        <v>795</v>
      </c>
      <c r="B381" s="272" t="s">
        <v>144</v>
      </c>
      <c r="C381" s="272" t="s">
        <v>791</v>
      </c>
      <c r="D381" s="104">
        <v>45923.0</v>
      </c>
      <c r="E381" s="267" t="s">
        <v>171</v>
      </c>
      <c r="F381" s="274">
        <f t="shared" si="2"/>
        <v>2025</v>
      </c>
      <c r="G381" s="165" t="s">
        <v>950</v>
      </c>
      <c r="H381" s="264"/>
      <c r="I381" s="277"/>
      <c r="J381" s="276" t="str">
        <f>IF(ISBLANK(I381), "", VLOOKUP(E381&amp;" "&amp;F381, 'Info Tipo de Cambio y REM'!$A$24:$B$35, 2, FALSE))
</f>
        <v/>
      </c>
      <c r="K381" s="89">
        <v>45.0</v>
      </c>
      <c r="L381" s="277">
        <f t="shared" si="5"/>
        <v>402928.0753</v>
      </c>
      <c r="M381" s="277">
        <f t="shared" si="3"/>
        <v>-69101.94</v>
      </c>
      <c r="N381" s="277">
        <f t="shared" si="6"/>
        <v>0</v>
      </c>
      <c r="O381" s="277">
        <f t="shared" si="4"/>
        <v>-68791.95691</v>
      </c>
      <c r="P381" s="264"/>
      <c r="Q381" s="264"/>
      <c r="R381" s="264"/>
      <c r="S381" s="264"/>
      <c r="T381" s="264"/>
      <c r="U381" s="264"/>
      <c r="V381" s="264"/>
      <c r="W381" s="264"/>
      <c r="X381" s="264"/>
      <c r="Y381" s="264"/>
      <c r="Z381" s="264"/>
      <c r="AA381" s="264"/>
      <c r="AB381" s="264"/>
      <c r="AC381" s="264"/>
      <c r="AD381" s="264"/>
      <c r="AE381" s="264"/>
    </row>
    <row r="382">
      <c r="A382" s="272" t="s">
        <v>795</v>
      </c>
      <c r="B382" s="272" t="s">
        <v>144</v>
      </c>
      <c r="C382" s="272" t="s">
        <v>791</v>
      </c>
      <c r="D382" s="104">
        <v>45923.0</v>
      </c>
      <c r="E382" s="267" t="s">
        <v>171</v>
      </c>
      <c r="F382" s="274">
        <f t="shared" si="2"/>
        <v>2025</v>
      </c>
      <c r="G382" s="165" t="s">
        <v>951</v>
      </c>
      <c r="H382" s="264"/>
      <c r="I382" s="277"/>
      <c r="J382" s="276" t="str">
        <f>IF(ISBLANK(I382), "", VLOOKUP(E382&amp;" "&amp;F382, 'Info Tipo de Cambio y REM'!$A$24:$B$35, 2, FALSE))
</f>
        <v/>
      </c>
      <c r="K382" s="89">
        <v>30.0</v>
      </c>
      <c r="L382" s="277">
        <f t="shared" si="5"/>
        <v>402928.0753</v>
      </c>
      <c r="M382" s="277">
        <f t="shared" si="3"/>
        <v>-69131.94</v>
      </c>
      <c r="N382" s="277">
        <f t="shared" si="6"/>
        <v>0</v>
      </c>
      <c r="O382" s="277">
        <f t="shared" si="4"/>
        <v>-68821.95691</v>
      </c>
      <c r="P382" s="264"/>
      <c r="Q382" s="264"/>
      <c r="R382" s="264"/>
      <c r="S382" s="264"/>
      <c r="T382" s="264"/>
      <c r="U382" s="264"/>
      <c r="V382" s="264"/>
      <c r="W382" s="264"/>
      <c r="X382" s="264"/>
      <c r="Y382" s="264"/>
      <c r="Z382" s="264"/>
      <c r="AA382" s="264"/>
      <c r="AB382" s="264"/>
      <c r="AC382" s="264"/>
      <c r="AD382" s="264"/>
      <c r="AE382" s="264"/>
    </row>
    <row r="383">
      <c r="A383" s="272" t="s">
        <v>795</v>
      </c>
      <c r="B383" s="272" t="s">
        <v>144</v>
      </c>
      <c r="C383" s="272" t="s">
        <v>791</v>
      </c>
      <c r="D383" s="104">
        <v>45924.0</v>
      </c>
      <c r="E383" s="267" t="s">
        <v>171</v>
      </c>
      <c r="F383" s="274">
        <f t="shared" si="2"/>
        <v>2025</v>
      </c>
      <c r="G383" s="165" t="s">
        <v>952</v>
      </c>
      <c r="H383" s="264"/>
      <c r="I383" s="277"/>
      <c r="J383" s="276" t="str">
        <f>IF(ISBLANK(I383), "", VLOOKUP(E383&amp;" "&amp;F383, 'Info Tipo de Cambio y REM'!$A$24:$B$35, 2, FALSE))
</f>
        <v/>
      </c>
      <c r="K383" s="89">
        <v>502.0</v>
      </c>
      <c r="L383" s="277">
        <f t="shared" si="5"/>
        <v>402928.0753</v>
      </c>
      <c r="M383" s="277">
        <f t="shared" si="3"/>
        <v>-69633.94</v>
      </c>
      <c r="N383" s="277">
        <f t="shared" si="6"/>
        <v>0</v>
      </c>
      <c r="O383" s="277">
        <f t="shared" si="4"/>
        <v>-69323.95691</v>
      </c>
      <c r="P383" s="264"/>
      <c r="Q383" s="264"/>
      <c r="R383" s="264"/>
      <c r="S383" s="264"/>
      <c r="T383" s="264"/>
      <c r="U383" s="264"/>
      <c r="V383" s="264"/>
      <c r="W383" s="264"/>
      <c r="X383" s="264"/>
      <c r="Y383" s="264"/>
      <c r="Z383" s="264"/>
      <c r="AA383" s="264"/>
      <c r="AB383" s="264"/>
      <c r="AC383" s="264"/>
      <c r="AD383" s="264"/>
      <c r="AE383" s="264"/>
    </row>
    <row r="384">
      <c r="A384" s="272" t="s">
        <v>795</v>
      </c>
      <c r="B384" s="272" t="s">
        <v>144</v>
      </c>
      <c r="C384" s="272" t="s">
        <v>791</v>
      </c>
      <c r="D384" s="104">
        <v>45929.0</v>
      </c>
      <c r="E384" s="267" t="s">
        <v>171</v>
      </c>
      <c r="F384" s="274">
        <f t="shared" si="2"/>
        <v>2025</v>
      </c>
      <c r="G384" s="165" t="s">
        <v>953</v>
      </c>
      <c r="H384" s="264"/>
      <c r="I384" s="277"/>
      <c r="J384" s="276" t="str">
        <f>IF(ISBLANK(I384), "", VLOOKUP(E384&amp;" "&amp;F384, 'Info Tipo de Cambio y REM'!$A$24:$B$35, 2, FALSE))
</f>
        <v/>
      </c>
      <c r="K384" s="89">
        <v>610.0</v>
      </c>
      <c r="L384" s="277">
        <f t="shared" si="5"/>
        <v>402928.0753</v>
      </c>
      <c r="M384" s="277">
        <f t="shared" si="3"/>
        <v>-70243.94</v>
      </c>
      <c r="N384" s="277">
        <f t="shared" si="6"/>
        <v>0</v>
      </c>
      <c r="O384" s="277">
        <f t="shared" si="4"/>
        <v>-69933.95691</v>
      </c>
      <c r="P384" s="264"/>
      <c r="Q384" s="264"/>
      <c r="R384" s="264"/>
      <c r="S384" s="264"/>
      <c r="T384" s="264"/>
      <c r="U384" s="264"/>
      <c r="V384" s="264"/>
      <c r="W384" s="264"/>
      <c r="X384" s="264"/>
      <c r="Y384" s="264"/>
      <c r="Z384" s="264"/>
      <c r="AA384" s="264"/>
      <c r="AB384" s="264"/>
      <c r="AC384" s="264"/>
      <c r="AD384" s="264"/>
      <c r="AE384" s="264"/>
    </row>
    <row r="385">
      <c r="A385" s="272" t="s">
        <v>795</v>
      </c>
      <c r="B385" s="272" t="s">
        <v>144</v>
      </c>
      <c r="C385" s="272" t="s">
        <v>791</v>
      </c>
      <c r="D385" s="104">
        <v>45902.0</v>
      </c>
      <c r="E385" s="267" t="s">
        <v>171</v>
      </c>
      <c r="F385" s="324">
        <f t="shared" si="2"/>
        <v>2025</v>
      </c>
      <c r="G385" s="325" t="s">
        <v>954</v>
      </c>
      <c r="H385" s="264"/>
      <c r="I385" s="277"/>
      <c r="J385" s="276" t="str">
        <f>IF(ISBLANK(I385), "", VLOOKUP(E385&amp;" "&amp;F385, 'Info Tipo de Cambio y REM'!$A$24:$B$35, 2, FALSE))
</f>
        <v/>
      </c>
      <c r="K385" s="114">
        <v>2800.0</v>
      </c>
      <c r="L385" s="277">
        <f t="shared" si="5"/>
        <v>402928.0753</v>
      </c>
      <c r="M385" s="277">
        <f t="shared" si="3"/>
        <v>-73043.94</v>
      </c>
      <c r="N385" s="277">
        <f t="shared" si="6"/>
        <v>0</v>
      </c>
      <c r="O385" s="277">
        <f t="shared" si="4"/>
        <v>-72733.95691</v>
      </c>
      <c r="P385" s="264"/>
      <c r="Q385" s="264"/>
      <c r="R385" s="264"/>
      <c r="S385" s="264"/>
      <c r="T385" s="264"/>
      <c r="U385" s="264"/>
      <c r="V385" s="264"/>
      <c r="W385" s="264"/>
      <c r="X385" s="264"/>
      <c r="Y385" s="264"/>
      <c r="Z385" s="264"/>
      <c r="AA385" s="264"/>
      <c r="AB385" s="264"/>
      <c r="AC385" s="264"/>
      <c r="AD385" s="264"/>
      <c r="AE385" s="264"/>
    </row>
    <row r="386">
      <c r="A386" s="272" t="s">
        <v>795</v>
      </c>
      <c r="B386" s="272" t="s">
        <v>144</v>
      </c>
      <c r="C386" s="272" t="s">
        <v>791</v>
      </c>
      <c r="D386" s="279">
        <v>45904.0</v>
      </c>
      <c r="E386" s="267" t="s">
        <v>171</v>
      </c>
      <c r="F386" s="324">
        <f t="shared" si="2"/>
        <v>2025</v>
      </c>
      <c r="G386" s="169" t="s">
        <v>955</v>
      </c>
      <c r="H386" s="264"/>
      <c r="I386" s="277"/>
      <c r="J386" s="276" t="str">
        <f>IF(ISBLANK(I386), "", VLOOKUP(E386&amp;" "&amp;F386, 'Info Tipo de Cambio y REM'!$A$24:$B$35, 2, FALSE))
</f>
        <v/>
      </c>
      <c r="K386" s="114">
        <v>1276.0</v>
      </c>
      <c r="L386" s="277">
        <f t="shared" si="5"/>
        <v>402928.0753</v>
      </c>
      <c r="M386" s="277">
        <f t="shared" si="3"/>
        <v>-74319.94</v>
      </c>
      <c r="N386" s="277">
        <f t="shared" si="6"/>
        <v>0</v>
      </c>
      <c r="O386" s="277">
        <f t="shared" si="4"/>
        <v>-74009.95691</v>
      </c>
      <c r="P386" s="264"/>
      <c r="Q386" s="264"/>
      <c r="R386" s="264"/>
      <c r="S386" s="264"/>
      <c r="T386" s="264"/>
      <c r="U386" s="264"/>
      <c r="V386" s="264"/>
      <c r="W386" s="264"/>
      <c r="X386" s="264"/>
      <c r="Y386" s="264"/>
      <c r="Z386" s="264"/>
      <c r="AA386" s="264"/>
      <c r="AB386" s="264"/>
      <c r="AC386" s="264"/>
      <c r="AD386" s="264"/>
      <c r="AE386" s="264"/>
    </row>
    <row r="387">
      <c r="A387" s="272" t="s">
        <v>797</v>
      </c>
      <c r="B387" s="272" t="s">
        <v>144</v>
      </c>
      <c r="C387" s="272" t="s">
        <v>791</v>
      </c>
      <c r="D387" s="172">
        <v>45933.0</v>
      </c>
      <c r="E387" s="267" t="str">
        <f t="shared" ref="E387:E2058" si="22">IF(D387="","",TEXT(D387,"mm mmm"))
</f>
        <v>10 oct</v>
      </c>
      <c r="F387" s="274">
        <f t="shared" si="2"/>
        <v>2025</v>
      </c>
      <c r="G387" s="121" t="s">
        <v>956</v>
      </c>
      <c r="H387" s="272" t="s">
        <v>334</v>
      </c>
      <c r="I387" s="277"/>
      <c r="J387" s="276" t="str">
        <f>IF(ISBLANK(I387), "", VLOOKUP(E387&amp;" "&amp;F387, 'Info Tipo de Cambio y REM'!$A$24:$B$35, 2, FALSE))
</f>
        <v/>
      </c>
      <c r="K387" s="114">
        <v>29230.0</v>
      </c>
      <c r="L387" s="293">
        <f t="shared" si="5"/>
        <v>402928.0753</v>
      </c>
      <c r="M387" s="293">
        <f t="shared" si="3"/>
        <v>-45089.94</v>
      </c>
      <c r="N387" s="293">
        <f t="shared" si="6"/>
        <v>0</v>
      </c>
      <c r="O387" s="277">
        <f t="shared" si="4"/>
        <v>-44779.95691</v>
      </c>
      <c r="P387" s="264"/>
      <c r="Q387" s="264"/>
      <c r="R387" s="264"/>
      <c r="S387" s="264"/>
      <c r="T387" s="264"/>
      <c r="U387" s="264"/>
      <c r="V387" s="264"/>
      <c r="W387" s="264"/>
      <c r="X387" s="264"/>
      <c r="Y387" s="264"/>
      <c r="Z387" s="264"/>
      <c r="AA387" s="264"/>
      <c r="AB387" s="264"/>
      <c r="AC387" s="264"/>
      <c r="AD387" s="264"/>
      <c r="AE387" s="264"/>
    </row>
    <row r="388">
      <c r="A388" s="272" t="s">
        <v>797</v>
      </c>
      <c r="B388" s="272" t="s">
        <v>793</v>
      </c>
      <c r="C388" s="272" t="s">
        <v>794</v>
      </c>
      <c r="D388" s="172">
        <v>45936.0</v>
      </c>
      <c r="E388" s="267" t="str">
        <f t="shared" si="22"/>
        <v>10 oct</v>
      </c>
      <c r="F388" s="274">
        <f t="shared" si="2"/>
        <v>2025</v>
      </c>
      <c r="G388" s="121" t="s">
        <v>957</v>
      </c>
      <c r="H388" s="121" t="s">
        <v>254</v>
      </c>
      <c r="I388" s="131">
        <v>1645600.0</v>
      </c>
      <c r="J388" s="276">
        <f>IF(ISBLANK(I388), "", VLOOKUP(E388&amp;" "&amp;F388, 'Info Tipo de Cambio y REM'!$A$24:$B$35, 2, FALSE))
</f>
        <v>1440</v>
      </c>
      <c r="K388" s="107">
        <f>IF(NOT(ISBLANK(I388)), I388 / J388, IF(NOT(ISBLANK(I388)), I388, ""))</f>
        <v>1142.777778</v>
      </c>
      <c r="L388" s="293">
        <f t="shared" si="5"/>
        <v>2048528.075</v>
      </c>
      <c r="M388" s="293">
        <f t="shared" si="3"/>
        <v>-45089.94</v>
      </c>
      <c r="N388" s="293">
        <f t="shared" si="6"/>
        <v>0</v>
      </c>
      <c r="O388" s="277">
        <f t="shared" si="4"/>
        <v>-43637.17913</v>
      </c>
      <c r="P388" s="264"/>
      <c r="Q388" s="264"/>
      <c r="R388" s="264"/>
      <c r="S388" s="264"/>
      <c r="T388" s="264"/>
      <c r="U388" s="264"/>
      <c r="V388" s="264"/>
      <c r="W388" s="264"/>
      <c r="X388" s="264"/>
      <c r="Y388" s="264"/>
      <c r="Z388" s="264"/>
      <c r="AA388" s="264"/>
      <c r="AB388" s="264"/>
      <c r="AC388" s="264"/>
      <c r="AD388" s="264"/>
      <c r="AE388" s="264"/>
    </row>
    <row r="389">
      <c r="A389" s="272" t="s">
        <v>795</v>
      </c>
      <c r="B389" s="272" t="s">
        <v>144</v>
      </c>
      <c r="C389" s="272" t="s">
        <v>791</v>
      </c>
      <c r="D389" s="172">
        <v>45931.0</v>
      </c>
      <c r="E389" s="267" t="str">
        <f t="shared" si="22"/>
        <v>10 oct</v>
      </c>
      <c r="F389" s="274">
        <f t="shared" si="2"/>
        <v>2025</v>
      </c>
      <c r="G389" s="83" t="s">
        <v>958</v>
      </c>
      <c r="H389" s="272" t="s">
        <v>628</v>
      </c>
      <c r="I389" s="277"/>
      <c r="J389" s="276" t="str">
        <f>IF(ISBLANK(I389), "", VLOOKUP(E389&amp;" "&amp;F389, 'Info Tipo de Cambio y REM'!$A$24:$B$35, 2, FALSE))
</f>
        <v/>
      </c>
      <c r="K389" s="114">
        <v>972.0</v>
      </c>
      <c r="L389" s="293">
        <f t="shared" si="5"/>
        <v>2048528.075</v>
      </c>
      <c r="M389" s="293">
        <f t="shared" si="3"/>
        <v>-46061.94</v>
      </c>
      <c r="N389" s="293">
        <f t="shared" si="6"/>
        <v>0</v>
      </c>
      <c r="O389" s="277">
        <f t="shared" si="4"/>
        <v>-44609.17913</v>
      </c>
      <c r="P389" s="264"/>
      <c r="Q389" s="264"/>
      <c r="R389" s="264"/>
      <c r="S389" s="264"/>
      <c r="T389" s="264"/>
      <c r="U389" s="264"/>
      <c r="V389" s="264"/>
      <c r="W389" s="264"/>
      <c r="X389" s="264"/>
      <c r="Y389" s="264"/>
      <c r="Z389" s="264"/>
      <c r="AA389" s="264"/>
      <c r="AB389" s="264"/>
      <c r="AC389" s="264"/>
      <c r="AD389" s="264"/>
      <c r="AE389" s="264"/>
    </row>
    <row r="390">
      <c r="A390" s="272" t="s">
        <v>795</v>
      </c>
      <c r="B390" s="272" t="s">
        <v>144</v>
      </c>
      <c r="C390" s="272" t="s">
        <v>791</v>
      </c>
      <c r="D390" s="172">
        <v>45931.0</v>
      </c>
      <c r="E390" s="267" t="str">
        <f t="shared" si="22"/>
        <v>10 oct</v>
      </c>
      <c r="F390" s="274">
        <f t="shared" si="2"/>
        <v>2025</v>
      </c>
      <c r="G390" s="83" t="s">
        <v>959</v>
      </c>
      <c r="H390" s="272" t="s">
        <v>456</v>
      </c>
      <c r="I390" s="277"/>
      <c r="J390" s="276" t="str">
        <f>IF(ISBLANK(I390), "", VLOOKUP(E390&amp;" "&amp;F390, 'Info Tipo de Cambio y REM'!$A$24:$B$35, 2, FALSE))
</f>
        <v/>
      </c>
      <c r="K390" s="114">
        <v>2200.0</v>
      </c>
      <c r="L390" s="293">
        <f t="shared" si="5"/>
        <v>2048528.075</v>
      </c>
      <c r="M390" s="293">
        <f t="shared" si="3"/>
        <v>-48261.94</v>
      </c>
      <c r="N390" s="293">
        <f t="shared" si="6"/>
        <v>0</v>
      </c>
      <c r="O390" s="277">
        <f t="shared" si="4"/>
        <v>-46809.17913</v>
      </c>
      <c r="P390" s="264"/>
      <c r="Q390" s="264"/>
      <c r="R390" s="264"/>
      <c r="S390" s="264"/>
      <c r="T390" s="264"/>
      <c r="U390" s="264"/>
      <c r="V390" s="264"/>
      <c r="W390" s="264"/>
      <c r="X390" s="264"/>
      <c r="Y390" s="264"/>
      <c r="Z390" s="264"/>
      <c r="AA390" s="264"/>
      <c r="AB390" s="264"/>
      <c r="AC390" s="264"/>
      <c r="AD390" s="264"/>
      <c r="AE390" s="264"/>
    </row>
    <row r="391">
      <c r="A391" s="272" t="s">
        <v>795</v>
      </c>
      <c r="B391" s="272" t="s">
        <v>144</v>
      </c>
      <c r="C391" s="272" t="s">
        <v>791</v>
      </c>
      <c r="D391" s="172">
        <v>45931.0</v>
      </c>
      <c r="E391" s="267" t="str">
        <f t="shared" si="22"/>
        <v>10 oct</v>
      </c>
      <c r="F391" s="274">
        <f t="shared" si="2"/>
        <v>2025</v>
      </c>
      <c r="G391" s="83" t="s">
        <v>960</v>
      </c>
      <c r="H391" s="272" t="s">
        <v>961</v>
      </c>
      <c r="I391" s="277"/>
      <c r="J391" s="276" t="str">
        <f>IF(ISBLANK(I391), "", VLOOKUP(E391&amp;" "&amp;F391, 'Info Tipo de Cambio y REM'!$A$24:$B$35, 2, FALSE))
</f>
        <v/>
      </c>
      <c r="K391" s="114">
        <v>1151.0</v>
      </c>
      <c r="L391" s="293">
        <f t="shared" si="5"/>
        <v>2048528.075</v>
      </c>
      <c r="M391" s="293">
        <f t="shared" si="3"/>
        <v>-49412.94</v>
      </c>
      <c r="N391" s="293">
        <f t="shared" si="6"/>
        <v>0</v>
      </c>
      <c r="O391" s="277">
        <f t="shared" si="4"/>
        <v>-47960.17913</v>
      </c>
      <c r="P391" s="264"/>
      <c r="Q391" s="264"/>
      <c r="R391" s="264"/>
      <c r="S391" s="264"/>
      <c r="T391" s="264"/>
      <c r="U391" s="264"/>
      <c r="V391" s="264"/>
      <c r="W391" s="264"/>
      <c r="X391" s="264"/>
      <c r="Y391" s="264"/>
      <c r="Z391" s="264"/>
      <c r="AA391" s="264"/>
      <c r="AB391" s="264"/>
      <c r="AC391" s="264"/>
      <c r="AD391" s="264"/>
      <c r="AE391" s="264"/>
    </row>
    <row r="392">
      <c r="A392" s="272" t="s">
        <v>795</v>
      </c>
      <c r="B392" s="272" t="s">
        <v>144</v>
      </c>
      <c r="C392" s="272" t="s">
        <v>791</v>
      </c>
      <c r="D392" s="172">
        <v>45931.0</v>
      </c>
      <c r="E392" s="267" t="str">
        <f t="shared" si="22"/>
        <v>10 oct</v>
      </c>
      <c r="F392" s="274">
        <f t="shared" si="2"/>
        <v>2025</v>
      </c>
      <c r="G392" s="83" t="s">
        <v>962</v>
      </c>
      <c r="H392" s="272" t="s">
        <v>389</v>
      </c>
      <c r="I392" s="277"/>
      <c r="J392" s="276" t="str">
        <f>IF(ISBLANK(I392), "", VLOOKUP(E392&amp;" "&amp;F392, 'Info Tipo de Cambio y REM'!$A$24:$B$35, 2, FALSE))
</f>
        <v/>
      </c>
      <c r="K392" s="114">
        <v>473.0</v>
      </c>
      <c r="L392" s="293">
        <f t="shared" si="5"/>
        <v>2048528.075</v>
      </c>
      <c r="M392" s="293">
        <f t="shared" si="3"/>
        <v>-49885.94</v>
      </c>
      <c r="N392" s="293">
        <f t="shared" si="6"/>
        <v>0</v>
      </c>
      <c r="O392" s="277">
        <f t="shared" si="4"/>
        <v>-48433.17913</v>
      </c>
      <c r="P392" s="264"/>
      <c r="Q392" s="264"/>
      <c r="R392" s="264"/>
      <c r="S392" s="264"/>
      <c r="T392" s="264"/>
      <c r="U392" s="264"/>
      <c r="V392" s="264"/>
      <c r="W392" s="264"/>
      <c r="X392" s="264"/>
      <c r="Y392" s="264"/>
      <c r="Z392" s="264"/>
      <c r="AA392" s="264"/>
      <c r="AB392" s="264"/>
      <c r="AC392" s="264"/>
      <c r="AD392" s="264"/>
      <c r="AE392" s="264"/>
    </row>
    <row r="393">
      <c r="A393" s="272" t="s">
        <v>795</v>
      </c>
      <c r="B393" s="272" t="s">
        <v>144</v>
      </c>
      <c r="C393" s="272" t="s">
        <v>791</v>
      </c>
      <c r="D393" s="172">
        <v>45931.0</v>
      </c>
      <c r="E393" s="267" t="str">
        <f t="shared" si="22"/>
        <v>10 oct</v>
      </c>
      <c r="F393" s="274">
        <f t="shared" si="2"/>
        <v>2025</v>
      </c>
      <c r="G393" s="83" t="s">
        <v>963</v>
      </c>
      <c r="H393" s="272" t="s">
        <v>379</v>
      </c>
      <c r="I393" s="277"/>
      <c r="J393" s="276" t="str">
        <f>IF(ISBLANK(I393), "", VLOOKUP(E393&amp;" "&amp;F393, 'Info Tipo de Cambio y REM'!$A$24:$B$35, 2, FALSE))
</f>
        <v/>
      </c>
      <c r="K393" s="114">
        <v>1099.0</v>
      </c>
      <c r="L393" s="293">
        <f t="shared" si="5"/>
        <v>2048528.075</v>
      </c>
      <c r="M393" s="293">
        <f t="shared" si="3"/>
        <v>-50984.94</v>
      </c>
      <c r="N393" s="293">
        <f t="shared" si="6"/>
        <v>0</v>
      </c>
      <c r="O393" s="277">
        <f t="shared" si="4"/>
        <v>-49532.17913</v>
      </c>
      <c r="P393" s="264"/>
      <c r="Q393" s="264"/>
      <c r="R393" s="264"/>
      <c r="S393" s="264"/>
      <c r="T393" s="264"/>
      <c r="U393" s="264"/>
      <c r="V393" s="264"/>
      <c r="W393" s="264"/>
      <c r="X393" s="264"/>
      <c r="Y393" s="264"/>
      <c r="Z393" s="264"/>
      <c r="AA393" s="264"/>
      <c r="AB393" s="264"/>
      <c r="AC393" s="264"/>
      <c r="AD393" s="264"/>
      <c r="AE393" s="264"/>
    </row>
    <row r="394">
      <c r="A394" s="272" t="s">
        <v>795</v>
      </c>
      <c r="B394" s="272" t="s">
        <v>144</v>
      </c>
      <c r="C394" s="272" t="s">
        <v>791</v>
      </c>
      <c r="D394" s="172">
        <v>45931.0</v>
      </c>
      <c r="E394" s="267" t="str">
        <f t="shared" si="22"/>
        <v>10 oct</v>
      </c>
      <c r="F394" s="274">
        <f t="shared" si="2"/>
        <v>2025</v>
      </c>
      <c r="G394" s="83" t="s">
        <v>964</v>
      </c>
      <c r="H394" s="272" t="s">
        <v>900</v>
      </c>
      <c r="I394" s="277"/>
      <c r="J394" s="276" t="str">
        <f>IF(ISBLANK(I394), "", VLOOKUP(E394&amp;" "&amp;F394, 'Info Tipo de Cambio y REM'!$A$24:$B$35, 2, FALSE))
</f>
        <v/>
      </c>
      <c r="K394" s="114">
        <v>1375.0</v>
      </c>
      <c r="L394" s="293">
        <f t="shared" si="5"/>
        <v>2048528.075</v>
      </c>
      <c r="M394" s="293">
        <f t="shared" si="3"/>
        <v>-52359.94</v>
      </c>
      <c r="N394" s="293">
        <f t="shared" si="6"/>
        <v>0</v>
      </c>
      <c r="O394" s="277">
        <f t="shared" si="4"/>
        <v>-50907.17913</v>
      </c>
      <c r="P394" s="264"/>
      <c r="Q394" s="264"/>
      <c r="R394" s="264"/>
      <c r="S394" s="264"/>
      <c r="T394" s="264"/>
      <c r="U394" s="264"/>
      <c r="V394" s="264"/>
      <c r="W394" s="264"/>
      <c r="X394" s="264"/>
      <c r="Y394" s="264"/>
      <c r="Z394" s="264"/>
      <c r="AA394" s="264"/>
      <c r="AB394" s="264"/>
      <c r="AC394" s="264"/>
      <c r="AD394" s="264"/>
      <c r="AE394" s="264"/>
    </row>
    <row r="395">
      <c r="A395" s="272" t="s">
        <v>795</v>
      </c>
      <c r="B395" s="272" t="s">
        <v>144</v>
      </c>
      <c r="C395" s="272" t="s">
        <v>791</v>
      </c>
      <c r="D395" s="172">
        <v>45931.0</v>
      </c>
      <c r="E395" s="267" t="str">
        <f t="shared" si="22"/>
        <v>10 oct</v>
      </c>
      <c r="F395" s="274">
        <f t="shared" si="2"/>
        <v>2025</v>
      </c>
      <c r="G395" s="83" t="s">
        <v>965</v>
      </c>
      <c r="H395" s="272" t="s">
        <v>580</v>
      </c>
      <c r="I395" s="277"/>
      <c r="J395" s="276" t="str">
        <f>IF(ISBLANK(I395), "", VLOOKUP(E395&amp;" "&amp;F395, 'Info Tipo de Cambio y REM'!$A$24:$B$35, 2, FALSE))
</f>
        <v/>
      </c>
      <c r="K395" s="114">
        <v>1112.0</v>
      </c>
      <c r="L395" s="293">
        <f t="shared" si="5"/>
        <v>2048528.075</v>
      </c>
      <c r="M395" s="293">
        <f t="shared" si="3"/>
        <v>-53471.94</v>
      </c>
      <c r="N395" s="293">
        <f t="shared" si="6"/>
        <v>0</v>
      </c>
      <c r="O395" s="277">
        <f t="shared" si="4"/>
        <v>-52019.17913</v>
      </c>
      <c r="P395" s="264"/>
      <c r="Q395" s="264"/>
      <c r="R395" s="264"/>
      <c r="S395" s="264"/>
      <c r="T395" s="264"/>
      <c r="U395" s="264"/>
      <c r="V395" s="264"/>
      <c r="W395" s="264"/>
      <c r="X395" s="264"/>
      <c r="Y395" s="264"/>
      <c r="Z395" s="264"/>
      <c r="AA395" s="264"/>
      <c r="AB395" s="264"/>
      <c r="AC395" s="264"/>
      <c r="AD395" s="264"/>
      <c r="AE395" s="264"/>
    </row>
    <row r="396">
      <c r="A396" s="272" t="s">
        <v>795</v>
      </c>
      <c r="B396" s="272" t="s">
        <v>144</v>
      </c>
      <c r="C396" s="272" t="s">
        <v>791</v>
      </c>
      <c r="D396" s="172">
        <v>45931.0</v>
      </c>
      <c r="E396" s="267" t="str">
        <f t="shared" si="22"/>
        <v>10 oct</v>
      </c>
      <c r="F396" s="274">
        <f t="shared" si="2"/>
        <v>2025</v>
      </c>
      <c r="G396" s="83" t="s">
        <v>966</v>
      </c>
      <c r="H396" s="272" t="s">
        <v>407</v>
      </c>
      <c r="I396" s="277"/>
      <c r="J396" s="276" t="str">
        <f>IF(ISBLANK(I396), "", VLOOKUP(E396&amp;" "&amp;F396, 'Info Tipo de Cambio y REM'!$A$24:$B$35, 2, FALSE))
</f>
        <v/>
      </c>
      <c r="K396" s="114">
        <v>1299.0</v>
      </c>
      <c r="L396" s="293">
        <f t="shared" si="5"/>
        <v>2048528.075</v>
      </c>
      <c r="M396" s="293">
        <f t="shared" si="3"/>
        <v>-54770.94</v>
      </c>
      <c r="N396" s="293">
        <f t="shared" si="6"/>
        <v>0</v>
      </c>
      <c r="O396" s="277">
        <f t="shared" si="4"/>
        <v>-53318.17913</v>
      </c>
      <c r="P396" s="264"/>
      <c r="Q396" s="264"/>
      <c r="R396" s="264"/>
      <c r="S396" s="264"/>
      <c r="T396" s="264"/>
      <c r="U396" s="264"/>
      <c r="V396" s="264"/>
      <c r="W396" s="264"/>
      <c r="X396" s="264"/>
      <c r="Y396" s="264"/>
      <c r="Z396" s="264"/>
      <c r="AA396" s="264"/>
      <c r="AB396" s="264"/>
      <c r="AC396" s="264"/>
      <c r="AD396" s="264"/>
      <c r="AE396" s="264"/>
    </row>
    <row r="397">
      <c r="A397" s="272" t="s">
        <v>795</v>
      </c>
      <c r="B397" s="272" t="s">
        <v>144</v>
      </c>
      <c r="C397" s="272" t="s">
        <v>791</v>
      </c>
      <c r="D397" s="172">
        <v>45931.0</v>
      </c>
      <c r="E397" s="267" t="str">
        <f t="shared" si="22"/>
        <v>10 oct</v>
      </c>
      <c r="F397" s="274">
        <f t="shared" si="2"/>
        <v>2025</v>
      </c>
      <c r="G397" s="83" t="s">
        <v>967</v>
      </c>
      <c r="H397" s="272" t="s">
        <v>450</v>
      </c>
      <c r="I397" s="277"/>
      <c r="J397" s="276" t="str">
        <f>IF(ISBLANK(I397), "", VLOOKUP(E397&amp;" "&amp;F397, 'Info Tipo de Cambio y REM'!$A$24:$B$35, 2, FALSE))
</f>
        <v/>
      </c>
      <c r="K397" s="114">
        <v>1339.0</v>
      </c>
      <c r="L397" s="293">
        <f t="shared" si="5"/>
        <v>2048528.075</v>
      </c>
      <c r="M397" s="293">
        <f t="shared" si="3"/>
        <v>-56109.94</v>
      </c>
      <c r="N397" s="293">
        <f t="shared" si="6"/>
        <v>0</v>
      </c>
      <c r="O397" s="277">
        <f t="shared" si="4"/>
        <v>-54657.17913</v>
      </c>
      <c r="P397" s="264"/>
      <c r="Q397" s="264"/>
      <c r="R397" s="264"/>
      <c r="S397" s="264"/>
      <c r="T397" s="264"/>
      <c r="U397" s="264"/>
      <c r="V397" s="264"/>
      <c r="W397" s="264"/>
      <c r="X397" s="264"/>
      <c r="Y397" s="264"/>
      <c r="Z397" s="264"/>
      <c r="AA397" s="264"/>
      <c r="AB397" s="264"/>
      <c r="AC397" s="264"/>
      <c r="AD397" s="264"/>
      <c r="AE397" s="264"/>
    </row>
    <row r="398">
      <c r="A398" s="272" t="s">
        <v>795</v>
      </c>
      <c r="B398" s="272" t="s">
        <v>144</v>
      </c>
      <c r="C398" s="272" t="s">
        <v>791</v>
      </c>
      <c r="D398" s="172">
        <v>45931.0</v>
      </c>
      <c r="E398" s="267" t="str">
        <f t="shared" si="22"/>
        <v>10 oct</v>
      </c>
      <c r="F398" s="274">
        <f t="shared" si="2"/>
        <v>2025</v>
      </c>
      <c r="G398" s="83" t="s">
        <v>968</v>
      </c>
      <c r="H398" s="272" t="s">
        <v>577</v>
      </c>
      <c r="I398" s="277"/>
      <c r="J398" s="276" t="str">
        <f>IF(ISBLANK(I398), "", VLOOKUP(E398&amp;" "&amp;F398, 'Info Tipo de Cambio y REM'!$A$24:$B$35, 2, FALSE))
</f>
        <v/>
      </c>
      <c r="K398" s="114">
        <v>1369.0</v>
      </c>
      <c r="L398" s="293">
        <f t="shared" si="5"/>
        <v>2048528.075</v>
      </c>
      <c r="M398" s="293">
        <f t="shared" si="3"/>
        <v>-57478.94</v>
      </c>
      <c r="N398" s="293">
        <f t="shared" si="6"/>
        <v>0</v>
      </c>
      <c r="O398" s="277">
        <f t="shared" si="4"/>
        <v>-56026.17913</v>
      </c>
      <c r="P398" s="264"/>
      <c r="Q398" s="264"/>
      <c r="R398" s="264"/>
      <c r="S398" s="264"/>
      <c r="T398" s="264"/>
      <c r="U398" s="264"/>
      <c r="V398" s="264"/>
      <c r="W398" s="264"/>
      <c r="X398" s="264"/>
      <c r="Y398" s="264"/>
      <c r="Z398" s="264"/>
      <c r="AA398" s="264"/>
      <c r="AB398" s="264"/>
      <c r="AC398" s="264"/>
      <c r="AD398" s="264"/>
      <c r="AE398" s="264"/>
    </row>
    <row r="399">
      <c r="A399" s="272" t="s">
        <v>795</v>
      </c>
      <c r="B399" s="272" t="s">
        <v>144</v>
      </c>
      <c r="C399" s="272" t="s">
        <v>791</v>
      </c>
      <c r="D399" s="172">
        <v>45931.0</v>
      </c>
      <c r="E399" s="267" t="str">
        <f t="shared" si="22"/>
        <v>10 oct</v>
      </c>
      <c r="F399" s="274">
        <f t="shared" si="2"/>
        <v>2025</v>
      </c>
      <c r="G399" s="83" t="s">
        <v>969</v>
      </c>
      <c r="H399" s="272" t="s">
        <v>411</v>
      </c>
      <c r="I399" s="277"/>
      <c r="J399" s="276" t="str">
        <f>IF(ISBLANK(I399), "", VLOOKUP(E399&amp;" "&amp;F399, 'Info Tipo de Cambio y REM'!$A$24:$B$35, 2, FALSE))
</f>
        <v/>
      </c>
      <c r="K399" s="114">
        <v>1478.0</v>
      </c>
      <c r="L399" s="293">
        <f t="shared" si="5"/>
        <v>2048528.075</v>
      </c>
      <c r="M399" s="293">
        <f t="shared" si="3"/>
        <v>-58956.94</v>
      </c>
      <c r="N399" s="293">
        <f t="shared" si="6"/>
        <v>0</v>
      </c>
      <c r="O399" s="277">
        <f t="shared" si="4"/>
        <v>-57504.17913</v>
      </c>
      <c r="P399" s="264"/>
      <c r="Q399" s="264"/>
      <c r="R399" s="264"/>
      <c r="S399" s="264"/>
      <c r="T399" s="264"/>
      <c r="U399" s="264"/>
      <c r="V399" s="264"/>
      <c r="W399" s="264"/>
      <c r="X399" s="264"/>
      <c r="Y399" s="264"/>
      <c r="Z399" s="264"/>
      <c r="AA399" s="264"/>
      <c r="AB399" s="264"/>
      <c r="AC399" s="264"/>
      <c r="AD399" s="264"/>
      <c r="AE399" s="264"/>
    </row>
    <row r="400">
      <c r="A400" s="272" t="s">
        <v>795</v>
      </c>
      <c r="B400" s="272" t="s">
        <v>144</v>
      </c>
      <c r="C400" s="272" t="s">
        <v>791</v>
      </c>
      <c r="D400" s="172">
        <v>45931.0</v>
      </c>
      <c r="E400" s="267" t="str">
        <f t="shared" si="22"/>
        <v>10 oct</v>
      </c>
      <c r="F400" s="274">
        <f t="shared" si="2"/>
        <v>2025</v>
      </c>
      <c r="G400" s="83" t="s">
        <v>970</v>
      </c>
      <c r="H400" s="272" t="s">
        <v>458</v>
      </c>
      <c r="I400" s="277"/>
      <c r="J400" s="276" t="str">
        <f>IF(ISBLANK(I400), "", VLOOKUP(E400&amp;" "&amp;F400, 'Info Tipo de Cambio y REM'!$A$24:$B$35, 2, FALSE))
</f>
        <v/>
      </c>
      <c r="K400" s="114">
        <v>2200.0</v>
      </c>
      <c r="L400" s="293">
        <f t="shared" si="5"/>
        <v>2048528.075</v>
      </c>
      <c r="M400" s="293">
        <f t="shared" si="3"/>
        <v>-61156.94</v>
      </c>
      <c r="N400" s="293">
        <f t="shared" si="6"/>
        <v>0</v>
      </c>
      <c r="O400" s="277">
        <f t="shared" si="4"/>
        <v>-59704.17913</v>
      </c>
      <c r="P400" s="264"/>
      <c r="Q400" s="264"/>
      <c r="R400" s="264"/>
      <c r="S400" s="264"/>
      <c r="T400" s="264"/>
      <c r="U400" s="264"/>
      <c r="V400" s="264"/>
      <c r="W400" s="264"/>
      <c r="X400" s="264"/>
      <c r="Y400" s="264"/>
      <c r="Z400" s="264"/>
      <c r="AA400" s="264"/>
      <c r="AB400" s="264"/>
      <c r="AC400" s="264"/>
      <c r="AD400" s="264"/>
      <c r="AE400" s="264"/>
    </row>
    <row r="401">
      <c r="A401" s="272" t="s">
        <v>795</v>
      </c>
      <c r="B401" s="272" t="s">
        <v>144</v>
      </c>
      <c r="C401" s="272" t="s">
        <v>791</v>
      </c>
      <c r="D401" s="172">
        <v>45931.0</v>
      </c>
      <c r="E401" s="267" t="str">
        <f t="shared" si="22"/>
        <v>10 oct</v>
      </c>
      <c r="F401" s="274">
        <f t="shared" si="2"/>
        <v>2025</v>
      </c>
      <c r="G401" s="83" t="s">
        <v>971</v>
      </c>
      <c r="H401" s="272" t="s">
        <v>683</v>
      </c>
      <c r="I401" s="277"/>
      <c r="J401" s="276" t="str">
        <f>IF(ISBLANK(I401), "", VLOOKUP(E401&amp;" "&amp;F401, 'Info Tipo de Cambio y REM'!$A$24:$B$35, 2, FALSE))
</f>
        <v/>
      </c>
      <c r="K401" s="114">
        <v>1000.0</v>
      </c>
      <c r="L401" s="293">
        <f t="shared" si="5"/>
        <v>2048528.075</v>
      </c>
      <c r="M401" s="293">
        <f t="shared" si="3"/>
        <v>-62156.94</v>
      </c>
      <c r="N401" s="293">
        <f t="shared" si="6"/>
        <v>0</v>
      </c>
      <c r="O401" s="277">
        <f t="shared" si="4"/>
        <v>-60704.17913</v>
      </c>
      <c r="P401" s="264"/>
      <c r="Q401" s="264"/>
      <c r="R401" s="264"/>
      <c r="S401" s="264"/>
      <c r="T401" s="264"/>
      <c r="U401" s="264"/>
      <c r="V401" s="264"/>
      <c r="W401" s="264"/>
      <c r="X401" s="264"/>
      <c r="Y401" s="264"/>
      <c r="Z401" s="264"/>
      <c r="AA401" s="264"/>
      <c r="AB401" s="264"/>
      <c r="AC401" s="264"/>
      <c r="AD401" s="264"/>
      <c r="AE401" s="264"/>
    </row>
    <row r="402">
      <c r="A402" s="272" t="s">
        <v>795</v>
      </c>
      <c r="B402" s="272" t="s">
        <v>144</v>
      </c>
      <c r="C402" s="272" t="s">
        <v>791</v>
      </c>
      <c r="D402" s="172">
        <v>45931.0</v>
      </c>
      <c r="E402" s="267" t="str">
        <f t="shared" si="22"/>
        <v>10 oct</v>
      </c>
      <c r="F402" s="274">
        <f t="shared" si="2"/>
        <v>2025</v>
      </c>
      <c r="G402" s="83" t="s">
        <v>972</v>
      </c>
      <c r="H402" s="272" t="s">
        <v>681</v>
      </c>
      <c r="I402" s="277"/>
      <c r="J402" s="276" t="str">
        <f>IF(ISBLANK(I402), "", VLOOKUP(E402&amp;" "&amp;F402, 'Info Tipo de Cambio y REM'!$A$24:$B$35, 2, FALSE))
</f>
        <v/>
      </c>
      <c r="K402" s="114">
        <v>629.0</v>
      </c>
      <c r="L402" s="293">
        <f t="shared" si="5"/>
        <v>2048528.075</v>
      </c>
      <c r="M402" s="293">
        <f t="shared" si="3"/>
        <v>-62785.94</v>
      </c>
      <c r="N402" s="293">
        <f t="shared" si="6"/>
        <v>0</v>
      </c>
      <c r="O402" s="277">
        <f t="shared" si="4"/>
        <v>-61333.17913</v>
      </c>
      <c r="P402" s="264"/>
      <c r="Q402" s="264"/>
      <c r="R402" s="264"/>
      <c r="S402" s="264"/>
      <c r="T402" s="264"/>
      <c r="U402" s="264"/>
      <c r="V402" s="264"/>
      <c r="W402" s="264"/>
      <c r="X402" s="264"/>
      <c r="Y402" s="264"/>
      <c r="Z402" s="264"/>
      <c r="AA402" s="264"/>
      <c r="AB402" s="264"/>
      <c r="AC402" s="264"/>
      <c r="AD402" s="264"/>
      <c r="AE402" s="264"/>
    </row>
    <row r="403">
      <c r="A403" s="272" t="s">
        <v>795</v>
      </c>
      <c r="B403" s="272" t="s">
        <v>144</v>
      </c>
      <c r="C403" s="272" t="s">
        <v>791</v>
      </c>
      <c r="D403" s="172">
        <v>45931.0</v>
      </c>
      <c r="E403" s="267" t="str">
        <f t="shared" si="22"/>
        <v>10 oct</v>
      </c>
      <c r="F403" s="274">
        <f t="shared" si="2"/>
        <v>2025</v>
      </c>
      <c r="G403" s="83" t="s">
        <v>973</v>
      </c>
      <c r="H403" s="272" t="s">
        <v>974</v>
      </c>
      <c r="I403" s="277"/>
      <c r="J403" s="276" t="str">
        <f>IF(ISBLANK(I403), "", VLOOKUP(E403&amp;" "&amp;F403, 'Info Tipo de Cambio y REM'!$A$24:$B$35, 2, FALSE))
</f>
        <v/>
      </c>
      <c r="K403" s="114">
        <v>2500.0</v>
      </c>
      <c r="L403" s="293">
        <f t="shared" si="5"/>
        <v>2048528.075</v>
      </c>
      <c r="M403" s="293">
        <f t="shared" si="3"/>
        <v>-65285.94</v>
      </c>
      <c r="N403" s="293">
        <f t="shared" si="6"/>
        <v>0</v>
      </c>
      <c r="O403" s="277">
        <f t="shared" si="4"/>
        <v>-63833.17913</v>
      </c>
      <c r="P403" s="264"/>
      <c r="Q403" s="264"/>
      <c r="R403" s="264"/>
      <c r="S403" s="264"/>
      <c r="T403" s="264"/>
      <c r="U403" s="264"/>
      <c r="V403" s="264"/>
      <c r="W403" s="264"/>
      <c r="X403" s="264"/>
      <c r="Y403" s="264"/>
      <c r="Z403" s="264"/>
      <c r="AA403" s="264"/>
      <c r="AB403" s="264"/>
      <c r="AC403" s="264"/>
      <c r="AD403" s="264"/>
      <c r="AE403" s="264"/>
    </row>
    <row r="404">
      <c r="A404" s="272" t="s">
        <v>795</v>
      </c>
      <c r="B404" s="272" t="s">
        <v>144</v>
      </c>
      <c r="C404" s="272" t="s">
        <v>791</v>
      </c>
      <c r="D404" s="172">
        <v>45933.0</v>
      </c>
      <c r="E404" s="267" t="str">
        <f t="shared" si="22"/>
        <v>10 oct</v>
      </c>
      <c r="F404" s="274">
        <f t="shared" si="2"/>
        <v>2025</v>
      </c>
      <c r="G404" s="83" t="s">
        <v>975</v>
      </c>
      <c r="H404" s="272" t="s">
        <v>589</v>
      </c>
      <c r="I404" s="277"/>
      <c r="J404" s="276" t="str">
        <f>IF(ISBLANK(I404), "", VLOOKUP(E404&amp;" "&amp;F404, 'Info Tipo de Cambio y REM'!$A$24:$B$35, 2, FALSE))
</f>
        <v/>
      </c>
      <c r="K404" s="114">
        <v>1361.64</v>
      </c>
      <c r="L404" s="293">
        <f t="shared" si="5"/>
        <v>2048528.075</v>
      </c>
      <c r="M404" s="293">
        <f t="shared" si="3"/>
        <v>-66647.58</v>
      </c>
      <c r="N404" s="293">
        <f t="shared" si="6"/>
        <v>0</v>
      </c>
      <c r="O404" s="277">
        <f t="shared" si="4"/>
        <v>-65194.81913</v>
      </c>
      <c r="P404" s="264"/>
      <c r="Q404" s="264"/>
      <c r="R404" s="264"/>
      <c r="S404" s="264"/>
      <c r="T404" s="264"/>
      <c r="U404" s="264"/>
      <c r="V404" s="264"/>
      <c r="W404" s="264"/>
      <c r="X404" s="264"/>
      <c r="Y404" s="264"/>
      <c r="Z404" s="264"/>
      <c r="AA404" s="264"/>
      <c r="AB404" s="264"/>
      <c r="AC404" s="264"/>
      <c r="AD404" s="264"/>
      <c r="AE404" s="264"/>
    </row>
    <row r="405">
      <c r="A405" s="272" t="s">
        <v>795</v>
      </c>
      <c r="B405" s="272" t="s">
        <v>144</v>
      </c>
      <c r="C405" s="272" t="s">
        <v>791</v>
      </c>
      <c r="D405" s="172">
        <v>45931.0</v>
      </c>
      <c r="E405" s="267" t="str">
        <f t="shared" si="22"/>
        <v>10 oct</v>
      </c>
      <c r="F405" s="274">
        <f t="shared" si="2"/>
        <v>2025</v>
      </c>
      <c r="G405" s="83" t="s">
        <v>976</v>
      </c>
      <c r="H405" s="264"/>
      <c r="I405" s="277"/>
      <c r="J405" s="276" t="str">
        <f>IF(ISBLANK(I405), "", VLOOKUP(E405&amp;" "&amp;F405, 'Info Tipo de Cambio y REM'!$A$24:$B$35, 2, FALSE))
</f>
        <v/>
      </c>
      <c r="K405" s="114">
        <v>2.25</v>
      </c>
      <c r="L405" s="293">
        <f t="shared" si="5"/>
        <v>2048528.075</v>
      </c>
      <c r="M405" s="293">
        <f t="shared" si="3"/>
        <v>-66649.83</v>
      </c>
      <c r="N405" s="293">
        <f t="shared" si="6"/>
        <v>0</v>
      </c>
      <c r="O405" s="277">
        <f t="shared" si="4"/>
        <v>-65197.06913</v>
      </c>
      <c r="P405" s="264"/>
      <c r="Q405" s="264"/>
      <c r="R405" s="264"/>
      <c r="S405" s="264"/>
      <c r="T405" s="264"/>
      <c r="U405" s="264"/>
      <c r="V405" s="264"/>
      <c r="W405" s="264"/>
      <c r="X405" s="264"/>
      <c r="Y405" s="264"/>
      <c r="Z405" s="264"/>
      <c r="AA405" s="264"/>
      <c r="AB405" s="264"/>
      <c r="AC405" s="264"/>
      <c r="AD405" s="264"/>
      <c r="AE405" s="264"/>
    </row>
    <row r="406">
      <c r="A406" s="272" t="s">
        <v>795</v>
      </c>
      <c r="B406" s="272" t="s">
        <v>144</v>
      </c>
      <c r="C406" s="272" t="s">
        <v>791</v>
      </c>
      <c r="D406" s="172">
        <v>45932.0</v>
      </c>
      <c r="E406" s="267" t="str">
        <f t="shared" si="22"/>
        <v>10 oct</v>
      </c>
      <c r="F406" s="274">
        <f t="shared" si="2"/>
        <v>2025</v>
      </c>
      <c r="G406" s="83" t="s">
        <v>977</v>
      </c>
      <c r="H406" s="264"/>
      <c r="I406" s="277"/>
      <c r="J406" s="276" t="str">
        <f>IF(ISBLANK(I406), "", VLOOKUP(E406&amp;" "&amp;F406, 'Info Tipo de Cambio y REM'!$A$24:$B$35, 2, FALSE))
</f>
        <v/>
      </c>
      <c r="K406" s="307">
        <v>609.36</v>
      </c>
      <c r="L406" s="293">
        <f t="shared" si="5"/>
        <v>2048528.075</v>
      </c>
      <c r="M406" s="293">
        <f t="shared" si="3"/>
        <v>-67259.19</v>
      </c>
      <c r="N406" s="293">
        <f t="shared" si="6"/>
        <v>0</v>
      </c>
      <c r="O406" s="277">
        <f t="shared" si="4"/>
        <v>-65806.42913</v>
      </c>
      <c r="P406" s="264"/>
      <c r="Q406" s="264"/>
      <c r="R406" s="264"/>
      <c r="S406" s="264"/>
      <c r="T406" s="264"/>
      <c r="U406" s="264"/>
      <c r="V406" s="264"/>
      <c r="W406" s="264"/>
      <c r="X406" s="264"/>
      <c r="Y406" s="264"/>
      <c r="Z406" s="264"/>
      <c r="AA406" s="264"/>
      <c r="AB406" s="264"/>
      <c r="AC406" s="264"/>
      <c r="AD406" s="264"/>
      <c r="AE406" s="264"/>
    </row>
    <row r="407">
      <c r="A407" s="272" t="s">
        <v>795</v>
      </c>
      <c r="B407" s="272" t="s">
        <v>144</v>
      </c>
      <c r="C407" s="272" t="s">
        <v>791</v>
      </c>
      <c r="D407" s="172">
        <v>45932.0</v>
      </c>
      <c r="E407" s="267" t="str">
        <f t="shared" si="22"/>
        <v>10 oct</v>
      </c>
      <c r="F407" s="274">
        <f t="shared" si="2"/>
        <v>2025</v>
      </c>
      <c r="G407" s="83" t="s">
        <v>978</v>
      </c>
      <c r="H407" s="264"/>
      <c r="I407" s="277"/>
      <c r="J407" s="276" t="str">
        <f>IF(ISBLANK(I407), "", VLOOKUP(E407&amp;" "&amp;F407, 'Info Tipo de Cambio y REM'!$A$24:$B$35, 2, FALSE))
</f>
        <v/>
      </c>
      <c r="K407" s="307">
        <v>5.82</v>
      </c>
      <c r="L407" s="293">
        <f t="shared" si="5"/>
        <v>2048528.075</v>
      </c>
      <c r="M407" s="293">
        <f t="shared" si="3"/>
        <v>-67265.01</v>
      </c>
      <c r="N407" s="293">
        <f t="shared" si="6"/>
        <v>0</v>
      </c>
      <c r="O407" s="277">
        <f t="shared" si="4"/>
        <v>-65812.24913</v>
      </c>
      <c r="P407" s="264"/>
      <c r="Q407" s="264"/>
      <c r="R407" s="264"/>
      <c r="S407" s="264"/>
      <c r="T407" s="264"/>
      <c r="U407" s="264"/>
      <c r="V407" s="264"/>
      <c r="W407" s="264"/>
      <c r="X407" s="264"/>
      <c r="Y407" s="264"/>
      <c r="Z407" s="264"/>
      <c r="AA407" s="264"/>
      <c r="AB407" s="264"/>
      <c r="AC407" s="264"/>
      <c r="AD407" s="264"/>
      <c r="AE407" s="264"/>
    </row>
    <row r="408">
      <c r="A408" s="272" t="s">
        <v>795</v>
      </c>
      <c r="B408" s="272" t="s">
        <v>144</v>
      </c>
      <c r="C408" s="272" t="s">
        <v>791</v>
      </c>
      <c r="D408" s="172">
        <v>45933.0</v>
      </c>
      <c r="E408" s="267" t="str">
        <f t="shared" si="22"/>
        <v>10 oct</v>
      </c>
      <c r="F408" s="274">
        <f t="shared" si="2"/>
        <v>2025</v>
      </c>
      <c r="G408" s="83" t="s">
        <v>979</v>
      </c>
      <c r="H408" s="264"/>
      <c r="I408" s="277"/>
      <c r="J408" s="276" t="str">
        <f>IF(ISBLANK(I408), "", VLOOKUP(E408&amp;" "&amp;F408, 'Info Tipo de Cambio y REM'!$A$24:$B$35, 2, FALSE))
</f>
        <v/>
      </c>
      <c r="K408" s="114">
        <v>14.19</v>
      </c>
      <c r="L408" s="293">
        <f t="shared" si="5"/>
        <v>2048528.075</v>
      </c>
      <c r="M408" s="293">
        <f t="shared" si="3"/>
        <v>-67279.2</v>
      </c>
      <c r="N408" s="293">
        <f t="shared" si="6"/>
        <v>0</v>
      </c>
      <c r="O408" s="277">
        <f t="shared" si="4"/>
        <v>-65826.43913</v>
      </c>
      <c r="P408" s="264"/>
      <c r="Q408" s="264"/>
      <c r="R408" s="264"/>
      <c r="S408" s="264"/>
      <c r="T408" s="264"/>
      <c r="U408" s="264"/>
      <c r="V408" s="264"/>
      <c r="W408" s="264"/>
      <c r="X408" s="264"/>
      <c r="Y408" s="264"/>
      <c r="Z408" s="264"/>
      <c r="AA408" s="264"/>
      <c r="AB408" s="264"/>
      <c r="AC408" s="264"/>
      <c r="AD408" s="264"/>
      <c r="AE408" s="264"/>
    </row>
    <row r="409">
      <c r="A409" s="272" t="s">
        <v>795</v>
      </c>
      <c r="B409" s="272" t="s">
        <v>144</v>
      </c>
      <c r="C409" s="272" t="s">
        <v>791</v>
      </c>
      <c r="D409" s="172">
        <v>45936.0</v>
      </c>
      <c r="E409" s="267" t="str">
        <f t="shared" si="22"/>
        <v>10 oct</v>
      </c>
      <c r="F409" s="274">
        <f t="shared" si="2"/>
        <v>2025</v>
      </c>
      <c r="G409" s="83" t="s">
        <v>980</v>
      </c>
      <c r="H409" s="264"/>
      <c r="I409" s="277"/>
      <c r="J409" s="276" t="str">
        <f>IF(ISBLANK(I409), "", VLOOKUP(E409&amp;" "&amp;F409, 'Info Tipo de Cambio y REM'!$A$24:$B$35, 2, FALSE))
</f>
        <v/>
      </c>
      <c r="K409" s="307">
        <v>22.99</v>
      </c>
      <c r="L409" s="293">
        <f t="shared" si="5"/>
        <v>2048528.075</v>
      </c>
      <c r="M409" s="293">
        <f t="shared" si="3"/>
        <v>-67302.19</v>
      </c>
      <c r="N409" s="293">
        <f t="shared" si="6"/>
        <v>0</v>
      </c>
      <c r="O409" s="277">
        <f t="shared" si="4"/>
        <v>-65849.42913</v>
      </c>
      <c r="P409" s="264"/>
      <c r="Q409" s="264"/>
      <c r="R409" s="264"/>
      <c r="S409" s="264"/>
      <c r="T409" s="264"/>
      <c r="U409" s="264"/>
      <c r="V409" s="264"/>
      <c r="W409" s="264"/>
      <c r="X409" s="264"/>
      <c r="Y409" s="264"/>
      <c r="Z409" s="264"/>
      <c r="AA409" s="264"/>
      <c r="AB409" s="264"/>
      <c r="AC409" s="264"/>
      <c r="AD409" s="264"/>
      <c r="AE409" s="264"/>
    </row>
    <row r="410">
      <c r="A410" s="272" t="s">
        <v>795</v>
      </c>
      <c r="B410" s="272" t="s">
        <v>144</v>
      </c>
      <c r="C410" s="272" t="s">
        <v>791</v>
      </c>
      <c r="D410" s="172">
        <v>45936.0</v>
      </c>
      <c r="E410" s="267" t="str">
        <f t="shared" si="22"/>
        <v>10 oct</v>
      </c>
      <c r="F410" s="274">
        <f t="shared" si="2"/>
        <v>2025</v>
      </c>
      <c r="G410" s="83" t="s">
        <v>981</v>
      </c>
      <c r="H410" s="264"/>
      <c r="I410" s="277"/>
      <c r="J410" s="276" t="str">
        <f>IF(ISBLANK(I410), "", VLOOKUP(E410&amp;" "&amp;F410, 'Info Tipo de Cambio y REM'!$A$24:$B$35, 2, FALSE))
</f>
        <v/>
      </c>
      <c r="K410" s="307">
        <v>6.24</v>
      </c>
      <c r="L410" s="293">
        <f t="shared" si="5"/>
        <v>2048528.075</v>
      </c>
      <c r="M410" s="293">
        <f t="shared" si="3"/>
        <v>-67308.43</v>
      </c>
      <c r="N410" s="293">
        <f t="shared" si="6"/>
        <v>0</v>
      </c>
      <c r="O410" s="277">
        <f t="shared" si="4"/>
        <v>-65855.66913</v>
      </c>
      <c r="P410" s="264"/>
      <c r="Q410" s="264"/>
      <c r="R410" s="264"/>
      <c r="S410" s="264"/>
      <c r="T410" s="264"/>
      <c r="U410" s="264"/>
      <c r="V410" s="264"/>
      <c r="W410" s="264"/>
      <c r="X410" s="264"/>
      <c r="Y410" s="264"/>
      <c r="Z410" s="264"/>
      <c r="AA410" s="264"/>
      <c r="AB410" s="264"/>
      <c r="AC410" s="264"/>
      <c r="AD410" s="264"/>
      <c r="AE410" s="264"/>
    </row>
    <row r="411">
      <c r="A411" s="272" t="s">
        <v>795</v>
      </c>
      <c r="B411" s="272" t="s">
        <v>144</v>
      </c>
      <c r="C411" s="272" t="s">
        <v>791</v>
      </c>
      <c r="D411" s="172">
        <v>45937.0</v>
      </c>
      <c r="E411" s="267" t="str">
        <f t="shared" si="22"/>
        <v>10 oct</v>
      </c>
      <c r="F411" s="274">
        <f t="shared" si="2"/>
        <v>2025</v>
      </c>
      <c r="G411" s="83" t="s">
        <v>982</v>
      </c>
      <c r="H411" s="264"/>
      <c r="I411" s="277"/>
      <c r="J411" s="276" t="str">
        <f>IF(ISBLANK(I411), "", VLOOKUP(E411&amp;" "&amp;F411, 'Info Tipo de Cambio y REM'!$A$24:$B$35, 2, FALSE))
</f>
        <v/>
      </c>
      <c r="K411" s="307">
        <v>20.0</v>
      </c>
      <c r="L411" s="293">
        <f t="shared" si="5"/>
        <v>2048528.075</v>
      </c>
      <c r="M411" s="293">
        <f t="shared" si="3"/>
        <v>-67328.43</v>
      </c>
      <c r="N411" s="293">
        <f t="shared" si="6"/>
        <v>0</v>
      </c>
      <c r="O411" s="277">
        <f t="shared" si="4"/>
        <v>-65875.66913</v>
      </c>
      <c r="P411" s="264"/>
      <c r="Q411" s="264"/>
      <c r="R411" s="264"/>
      <c r="S411" s="264"/>
      <c r="T411" s="264"/>
      <c r="U411" s="264"/>
      <c r="V411" s="264"/>
      <c r="W411" s="264"/>
      <c r="X411" s="264"/>
      <c r="Y411" s="264"/>
      <c r="Z411" s="264"/>
      <c r="AA411" s="264"/>
      <c r="AB411" s="264"/>
      <c r="AC411" s="264"/>
      <c r="AD411" s="264"/>
      <c r="AE411" s="264"/>
    </row>
    <row r="412">
      <c r="A412" s="272" t="s">
        <v>795</v>
      </c>
      <c r="B412" s="272" t="s">
        <v>144</v>
      </c>
      <c r="C412" s="272" t="s">
        <v>791</v>
      </c>
      <c r="D412" s="172">
        <v>45937.0</v>
      </c>
      <c r="E412" s="267" t="str">
        <f t="shared" si="22"/>
        <v>10 oct</v>
      </c>
      <c r="F412" s="274">
        <f t="shared" si="2"/>
        <v>2025</v>
      </c>
      <c r="G412" s="83" t="s">
        <v>983</v>
      </c>
      <c r="H412" s="264"/>
      <c r="I412" s="277"/>
      <c r="J412" s="276" t="str">
        <f>IF(ISBLANK(I412), "", VLOOKUP(E412&amp;" "&amp;F412, 'Info Tipo de Cambio y REM'!$A$24:$B$35, 2, FALSE))
</f>
        <v/>
      </c>
      <c r="K412" s="307">
        <v>29.0</v>
      </c>
      <c r="L412" s="293">
        <f t="shared" si="5"/>
        <v>2048528.075</v>
      </c>
      <c r="M412" s="293">
        <f t="shared" si="3"/>
        <v>-67357.43</v>
      </c>
      <c r="N412" s="293">
        <f t="shared" si="6"/>
        <v>0</v>
      </c>
      <c r="O412" s="277">
        <f t="shared" si="4"/>
        <v>-65904.66913</v>
      </c>
      <c r="P412" s="264"/>
      <c r="Q412" s="264"/>
      <c r="R412" s="264"/>
      <c r="S412" s="264"/>
      <c r="T412" s="264"/>
      <c r="U412" s="264"/>
      <c r="V412" s="264"/>
      <c r="W412" s="264"/>
      <c r="X412" s="264"/>
      <c r="Y412" s="264"/>
      <c r="Z412" s="264"/>
      <c r="AA412" s="264"/>
      <c r="AB412" s="264"/>
      <c r="AC412" s="264"/>
      <c r="AD412" s="264"/>
      <c r="AE412" s="264"/>
    </row>
    <row r="413">
      <c r="A413" s="272" t="s">
        <v>795</v>
      </c>
      <c r="B413" s="272" t="s">
        <v>144</v>
      </c>
      <c r="C413" s="272" t="s">
        <v>791</v>
      </c>
      <c r="D413" s="172">
        <v>45938.0</v>
      </c>
      <c r="E413" s="267" t="str">
        <f t="shared" si="22"/>
        <v>10 oct</v>
      </c>
      <c r="F413" s="274">
        <f t="shared" si="2"/>
        <v>2025</v>
      </c>
      <c r="G413" s="83" t="s">
        <v>984</v>
      </c>
      <c r="H413" s="264"/>
      <c r="I413" s="277"/>
      <c r="J413" s="276" t="str">
        <f>IF(ISBLANK(I413), "", VLOOKUP(E413&amp;" "&amp;F413, 'Info Tipo de Cambio y REM'!$A$24:$B$35, 2, FALSE))
</f>
        <v/>
      </c>
      <c r="K413" s="307">
        <v>6.49</v>
      </c>
      <c r="L413" s="293">
        <f t="shared" si="5"/>
        <v>2048528.075</v>
      </c>
      <c r="M413" s="293">
        <f t="shared" si="3"/>
        <v>-67363.92</v>
      </c>
      <c r="N413" s="293">
        <f t="shared" si="6"/>
        <v>0</v>
      </c>
      <c r="O413" s="277">
        <f t="shared" si="4"/>
        <v>-65911.15913</v>
      </c>
      <c r="P413" s="264"/>
      <c r="Q413" s="264"/>
      <c r="R413" s="264"/>
      <c r="S413" s="264"/>
      <c r="T413" s="264"/>
      <c r="U413" s="264"/>
      <c r="V413" s="264"/>
      <c r="W413" s="264"/>
      <c r="X413" s="264"/>
      <c r="Y413" s="264"/>
      <c r="Z413" s="264"/>
      <c r="AA413" s="264"/>
      <c r="AB413" s="264"/>
      <c r="AC413" s="264"/>
      <c r="AD413" s="264"/>
      <c r="AE413" s="264"/>
    </row>
    <row r="414">
      <c r="A414" s="272" t="s">
        <v>795</v>
      </c>
      <c r="B414" s="272" t="s">
        <v>144</v>
      </c>
      <c r="C414" s="272" t="s">
        <v>791</v>
      </c>
      <c r="D414" s="172">
        <v>45940.0</v>
      </c>
      <c r="E414" s="267" t="str">
        <f t="shared" si="22"/>
        <v>10 oct</v>
      </c>
      <c r="F414" s="274">
        <f t="shared" si="2"/>
        <v>2025</v>
      </c>
      <c r="G414" s="83" t="s">
        <v>985</v>
      </c>
      <c r="H414" s="264"/>
      <c r="I414" s="277"/>
      <c r="J414" s="276" t="str">
        <f>IF(ISBLANK(I414), "", VLOOKUP(E414&amp;" "&amp;F414, 'Info Tipo de Cambio y REM'!$A$24:$B$35, 2, FALSE))
</f>
        <v/>
      </c>
      <c r="K414" s="307">
        <v>490.49</v>
      </c>
      <c r="L414" s="293">
        <f t="shared" si="5"/>
        <v>2048528.075</v>
      </c>
      <c r="M414" s="293">
        <f t="shared" si="3"/>
        <v>-67854.41</v>
      </c>
      <c r="N414" s="293">
        <f t="shared" si="6"/>
        <v>0</v>
      </c>
      <c r="O414" s="277">
        <f t="shared" si="4"/>
        <v>-66401.64913</v>
      </c>
      <c r="P414" s="264"/>
      <c r="Q414" s="264"/>
      <c r="R414" s="264"/>
      <c r="S414" s="264"/>
      <c r="T414" s="264"/>
      <c r="U414" s="264"/>
      <c r="V414" s="264"/>
      <c r="W414" s="264"/>
      <c r="X414" s="264"/>
      <c r="Y414" s="264"/>
      <c r="Z414" s="264"/>
      <c r="AA414" s="264"/>
      <c r="AB414" s="264"/>
      <c r="AC414" s="264"/>
      <c r="AD414" s="264"/>
      <c r="AE414" s="264"/>
    </row>
    <row r="415">
      <c r="A415" s="272" t="s">
        <v>795</v>
      </c>
      <c r="B415" s="272" t="s">
        <v>144</v>
      </c>
      <c r="C415" s="272" t="s">
        <v>791</v>
      </c>
      <c r="D415" s="172">
        <v>45931.0</v>
      </c>
      <c r="E415" s="267" t="str">
        <f t="shared" si="22"/>
        <v>10 oct</v>
      </c>
      <c r="F415" s="274">
        <f t="shared" si="2"/>
        <v>2025</v>
      </c>
      <c r="G415" s="83" t="s">
        <v>549</v>
      </c>
      <c r="H415" s="264"/>
      <c r="I415" s="277"/>
      <c r="J415" s="276" t="str">
        <f>IF(ISBLANK(I415), "", VLOOKUP(E415&amp;" "&amp;F415, 'Info Tipo de Cambio y REM'!$A$24:$B$35, 2, FALSE))
</f>
        <v/>
      </c>
      <c r="K415" s="114">
        <v>45.0</v>
      </c>
      <c r="L415" s="293">
        <f t="shared" si="5"/>
        <v>2048528.075</v>
      </c>
      <c r="M415" s="293">
        <f t="shared" si="3"/>
        <v>-67899.41</v>
      </c>
      <c r="N415" s="293">
        <f t="shared" si="6"/>
        <v>0</v>
      </c>
      <c r="O415" s="277">
        <f t="shared" si="4"/>
        <v>-66446.64913</v>
      </c>
      <c r="P415" s="264"/>
      <c r="Q415" s="264"/>
      <c r="R415" s="264"/>
      <c r="S415" s="264"/>
      <c r="T415" s="264"/>
      <c r="U415" s="264"/>
      <c r="V415" s="264"/>
      <c r="W415" s="264"/>
      <c r="X415" s="264"/>
      <c r="Y415" s="264"/>
      <c r="Z415" s="264"/>
      <c r="AA415" s="264"/>
      <c r="AB415" s="264"/>
      <c r="AC415" s="264"/>
      <c r="AD415" s="264"/>
      <c r="AE415" s="264"/>
    </row>
    <row r="416">
      <c r="A416" s="272" t="s">
        <v>795</v>
      </c>
      <c r="B416" s="272" t="s">
        <v>144</v>
      </c>
      <c r="C416" s="272" t="s">
        <v>791</v>
      </c>
      <c r="D416" s="172">
        <v>45931.0</v>
      </c>
      <c r="E416" s="267" t="str">
        <f t="shared" si="22"/>
        <v>10 oct</v>
      </c>
      <c r="F416" s="274">
        <f t="shared" si="2"/>
        <v>2025</v>
      </c>
      <c r="G416" s="83" t="s">
        <v>549</v>
      </c>
      <c r="H416" s="264"/>
      <c r="I416" s="277"/>
      <c r="J416" s="276" t="str">
        <f>IF(ISBLANK(I416), "", VLOOKUP(E416&amp;" "&amp;F416, 'Info Tipo de Cambio y REM'!$A$24:$B$35, 2, FALSE))
</f>
        <v/>
      </c>
      <c r="K416" s="114">
        <v>45.0</v>
      </c>
      <c r="L416" s="293">
        <f t="shared" si="5"/>
        <v>2048528.075</v>
      </c>
      <c r="M416" s="293">
        <f t="shared" si="3"/>
        <v>-67944.41</v>
      </c>
      <c r="N416" s="293">
        <f t="shared" si="6"/>
        <v>0</v>
      </c>
      <c r="O416" s="277">
        <f t="shared" si="4"/>
        <v>-66491.64913</v>
      </c>
      <c r="P416" s="264"/>
      <c r="Q416" s="264"/>
      <c r="R416" s="264"/>
      <c r="S416" s="264"/>
      <c r="T416" s="264"/>
      <c r="U416" s="264"/>
      <c r="V416" s="264"/>
      <c r="W416" s="264"/>
      <c r="X416" s="264"/>
      <c r="Y416" s="264"/>
      <c r="Z416" s="264"/>
      <c r="AA416" s="264"/>
      <c r="AB416" s="264"/>
      <c r="AC416" s="264"/>
      <c r="AD416" s="264"/>
      <c r="AE416" s="264"/>
    </row>
    <row r="417">
      <c r="A417" s="272" t="s">
        <v>795</v>
      </c>
      <c r="B417" s="272" t="s">
        <v>144</v>
      </c>
      <c r="C417" s="272" t="s">
        <v>791</v>
      </c>
      <c r="D417" s="172">
        <v>45931.0</v>
      </c>
      <c r="E417" s="267" t="str">
        <f t="shared" si="22"/>
        <v>10 oct</v>
      </c>
      <c r="F417" s="274">
        <f t="shared" si="2"/>
        <v>2025</v>
      </c>
      <c r="G417" s="83" t="s">
        <v>549</v>
      </c>
      <c r="H417" s="264"/>
      <c r="I417" s="277"/>
      <c r="J417" s="276" t="str">
        <f>IF(ISBLANK(I417), "", VLOOKUP(E417&amp;" "&amp;F417, 'Info Tipo de Cambio y REM'!$A$24:$B$35, 2, FALSE))
</f>
        <v/>
      </c>
      <c r="K417" s="114">
        <v>45.0</v>
      </c>
      <c r="L417" s="293">
        <f t="shared" si="5"/>
        <v>2048528.075</v>
      </c>
      <c r="M417" s="293">
        <f t="shared" si="3"/>
        <v>-67989.41</v>
      </c>
      <c r="N417" s="293">
        <f t="shared" si="6"/>
        <v>0</v>
      </c>
      <c r="O417" s="277">
        <f t="shared" si="4"/>
        <v>-66536.64913</v>
      </c>
      <c r="P417" s="264"/>
      <c r="Q417" s="264"/>
      <c r="R417" s="264"/>
      <c r="S417" s="264"/>
      <c r="T417" s="264"/>
      <c r="U417" s="264"/>
      <c r="V417" s="264"/>
      <c r="W417" s="264"/>
      <c r="X417" s="264"/>
      <c r="Y417" s="264"/>
      <c r="Z417" s="264"/>
      <c r="AA417" s="264"/>
      <c r="AB417" s="264"/>
      <c r="AC417" s="264"/>
      <c r="AD417" s="264"/>
      <c r="AE417" s="264"/>
    </row>
    <row r="418">
      <c r="A418" s="272" t="s">
        <v>795</v>
      </c>
      <c r="B418" s="272" t="s">
        <v>144</v>
      </c>
      <c r="C418" s="272" t="s">
        <v>791</v>
      </c>
      <c r="D418" s="172">
        <v>45931.0</v>
      </c>
      <c r="E418" s="267" t="str">
        <f t="shared" si="22"/>
        <v>10 oct</v>
      </c>
      <c r="F418" s="274">
        <f t="shared" si="2"/>
        <v>2025</v>
      </c>
      <c r="G418" s="83" t="s">
        <v>549</v>
      </c>
      <c r="H418" s="264"/>
      <c r="I418" s="277"/>
      <c r="J418" s="276" t="str">
        <f>IF(ISBLANK(I418), "", VLOOKUP(E418&amp;" "&amp;F418, 'Info Tipo de Cambio y REM'!$A$24:$B$35, 2, FALSE))
</f>
        <v/>
      </c>
      <c r="K418" s="114">
        <v>45.0</v>
      </c>
      <c r="L418" s="293">
        <f t="shared" si="5"/>
        <v>2048528.075</v>
      </c>
      <c r="M418" s="293">
        <f t="shared" si="3"/>
        <v>-68034.41</v>
      </c>
      <c r="N418" s="293">
        <f t="shared" si="6"/>
        <v>0</v>
      </c>
      <c r="O418" s="277">
        <f t="shared" si="4"/>
        <v>-66581.64913</v>
      </c>
      <c r="P418" s="264"/>
      <c r="Q418" s="264"/>
      <c r="R418" s="264"/>
      <c r="S418" s="264"/>
      <c r="T418" s="264"/>
      <c r="U418" s="264"/>
      <c r="V418" s="264"/>
      <c r="W418" s="264"/>
      <c r="X418" s="264"/>
      <c r="Y418" s="264"/>
      <c r="Z418" s="264"/>
      <c r="AA418" s="264"/>
      <c r="AB418" s="264"/>
      <c r="AC418" s="264"/>
      <c r="AD418" s="264"/>
      <c r="AE418" s="264"/>
    </row>
    <row r="419">
      <c r="A419" s="272" t="s">
        <v>795</v>
      </c>
      <c r="B419" s="272" t="s">
        <v>144</v>
      </c>
      <c r="C419" s="272" t="s">
        <v>791</v>
      </c>
      <c r="D419" s="172">
        <v>45931.0</v>
      </c>
      <c r="E419" s="267" t="str">
        <f t="shared" si="22"/>
        <v>10 oct</v>
      </c>
      <c r="F419" s="274">
        <f t="shared" si="2"/>
        <v>2025</v>
      </c>
      <c r="G419" s="83" t="s">
        <v>549</v>
      </c>
      <c r="H419" s="264"/>
      <c r="I419" s="277"/>
      <c r="J419" s="276" t="str">
        <f>IF(ISBLANK(I419), "", VLOOKUP(E419&amp;" "&amp;F419, 'Info Tipo de Cambio y REM'!$A$24:$B$35, 2, FALSE))
</f>
        <v/>
      </c>
      <c r="K419" s="114">
        <v>45.0</v>
      </c>
      <c r="L419" s="293">
        <f t="shared" si="5"/>
        <v>2048528.075</v>
      </c>
      <c r="M419" s="293">
        <f t="shared" si="3"/>
        <v>-68079.41</v>
      </c>
      <c r="N419" s="293">
        <f t="shared" si="6"/>
        <v>0</v>
      </c>
      <c r="O419" s="277">
        <f t="shared" si="4"/>
        <v>-66626.64913</v>
      </c>
      <c r="P419" s="264"/>
      <c r="Q419" s="264"/>
      <c r="R419" s="264"/>
      <c r="S419" s="264"/>
      <c r="T419" s="264"/>
      <c r="U419" s="264"/>
      <c r="V419" s="264"/>
      <c r="W419" s="264"/>
      <c r="X419" s="264"/>
      <c r="Y419" s="264"/>
      <c r="Z419" s="264"/>
      <c r="AA419" s="264"/>
      <c r="AB419" s="264"/>
      <c r="AC419" s="264"/>
      <c r="AD419" s="264"/>
      <c r="AE419" s="264"/>
    </row>
    <row r="420">
      <c r="A420" s="272" t="s">
        <v>795</v>
      </c>
      <c r="B420" s="272" t="s">
        <v>144</v>
      </c>
      <c r="C420" s="272" t="s">
        <v>791</v>
      </c>
      <c r="D420" s="172">
        <v>45931.0</v>
      </c>
      <c r="E420" s="267" t="str">
        <f t="shared" si="22"/>
        <v>10 oct</v>
      </c>
      <c r="F420" s="274">
        <f t="shared" si="2"/>
        <v>2025</v>
      </c>
      <c r="G420" s="83" t="s">
        <v>549</v>
      </c>
      <c r="H420" s="264"/>
      <c r="I420" s="277"/>
      <c r="J420" s="276" t="str">
        <f>IF(ISBLANK(I420), "", VLOOKUP(E420&amp;" "&amp;F420, 'Info Tipo de Cambio y REM'!$A$24:$B$35, 2, FALSE))
</f>
        <v/>
      </c>
      <c r="K420" s="114">
        <v>45.0</v>
      </c>
      <c r="L420" s="293">
        <f t="shared" si="5"/>
        <v>2048528.075</v>
      </c>
      <c r="M420" s="293">
        <f t="shared" si="3"/>
        <v>-68124.41</v>
      </c>
      <c r="N420" s="293">
        <f t="shared" si="6"/>
        <v>0</v>
      </c>
      <c r="O420" s="277">
        <f t="shared" si="4"/>
        <v>-66671.64913</v>
      </c>
      <c r="P420" s="264"/>
      <c r="Q420" s="264"/>
      <c r="R420" s="264"/>
      <c r="S420" s="264"/>
      <c r="T420" s="264"/>
      <c r="U420" s="264"/>
      <c r="V420" s="264"/>
      <c r="W420" s="264"/>
      <c r="X420" s="264"/>
      <c r="Y420" s="264"/>
      <c r="Z420" s="264"/>
      <c r="AA420" s="264"/>
      <c r="AB420" s="264"/>
      <c r="AC420" s="264"/>
      <c r="AD420" s="264"/>
      <c r="AE420" s="264"/>
    </row>
    <row r="421">
      <c r="A421" s="272" t="s">
        <v>795</v>
      </c>
      <c r="B421" s="272" t="s">
        <v>144</v>
      </c>
      <c r="C421" s="272" t="s">
        <v>791</v>
      </c>
      <c r="D421" s="172">
        <v>45931.0</v>
      </c>
      <c r="E421" s="267" t="str">
        <f t="shared" si="22"/>
        <v>10 oct</v>
      </c>
      <c r="F421" s="274">
        <f t="shared" si="2"/>
        <v>2025</v>
      </c>
      <c r="G421" s="83" t="s">
        <v>549</v>
      </c>
      <c r="H421" s="264"/>
      <c r="I421" s="277"/>
      <c r="J421" s="276" t="str">
        <f>IF(ISBLANK(I421), "", VLOOKUP(E421&amp;" "&amp;F421, 'Info Tipo de Cambio y REM'!$A$24:$B$35, 2, FALSE))
</f>
        <v/>
      </c>
      <c r="K421" s="114">
        <v>45.0</v>
      </c>
      <c r="L421" s="293">
        <f t="shared" si="5"/>
        <v>2048528.075</v>
      </c>
      <c r="M421" s="293">
        <f t="shared" si="3"/>
        <v>-68169.41</v>
      </c>
      <c r="N421" s="293">
        <f t="shared" si="6"/>
        <v>0</v>
      </c>
      <c r="O421" s="277">
        <f t="shared" si="4"/>
        <v>-66716.64913</v>
      </c>
      <c r="P421" s="264"/>
      <c r="Q421" s="264"/>
      <c r="R421" s="264"/>
      <c r="S421" s="264"/>
      <c r="T421" s="264"/>
      <c r="U421" s="264"/>
      <c r="V421" s="264"/>
      <c r="W421" s="264"/>
      <c r="X421" s="264"/>
      <c r="Y421" s="264"/>
      <c r="Z421" s="264"/>
      <c r="AA421" s="264"/>
      <c r="AB421" s="264"/>
      <c r="AC421" s="264"/>
      <c r="AD421" s="264"/>
      <c r="AE421" s="264"/>
    </row>
    <row r="422">
      <c r="A422" s="272" t="s">
        <v>795</v>
      </c>
      <c r="B422" s="272" t="s">
        <v>144</v>
      </c>
      <c r="C422" s="272" t="s">
        <v>791</v>
      </c>
      <c r="D422" s="172">
        <v>45931.0</v>
      </c>
      <c r="E422" s="267" t="str">
        <f t="shared" si="22"/>
        <v>10 oct</v>
      </c>
      <c r="F422" s="274">
        <f t="shared" si="2"/>
        <v>2025</v>
      </c>
      <c r="G422" s="83" t="s">
        <v>549</v>
      </c>
      <c r="H422" s="264"/>
      <c r="I422" s="277"/>
      <c r="J422" s="276" t="str">
        <f>IF(ISBLANK(I422), "", VLOOKUP(E422&amp;" "&amp;F422, 'Info Tipo de Cambio y REM'!$A$24:$B$35, 2, FALSE))
</f>
        <v/>
      </c>
      <c r="K422" s="114">
        <v>45.0</v>
      </c>
      <c r="L422" s="293">
        <f t="shared" si="5"/>
        <v>2048528.075</v>
      </c>
      <c r="M422" s="293">
        <f t="shared" si="3"/>
        <v>-68214.41</v>
      </c>
      <c r="N422" s="293">
        <f t="shared" si="6"/>
        <v>0</v>
      </c>
      <c r="O422" s="277">
        <f t="shared" si="4"/>
        <v>-66761.64913</v>
      </c>
      <c r="P422" s="264"/>
      <c r="Q422" s="264"/>
      <c r="R422" s="264"/>
      <c r="S422" s="264"/>
      <c r="T422" s="264"/>
      <c r="U422" s="264"/>
      <c r="V422" s="264"/>
      <c r="W422" s="264"/>
      <c r="X422" s="264"/>
      <c r="Y422" s="264"/>
      <c r="Z422" s="264"/>
      <c r="AA422" s="264"/>
      <c r="AB422" s="264"/>
      <c r="AC422" s="264"/>
      <c r="AD422" s="264"/>
      <c r="AE422" s="264"/>
    </row>
    <row r="423">
      <c r="A423" s="272" t="s">
        <v>795</v>
      </c>
      <c r="B423" s="272" t="s">
        <v>144</v>
      </c>
      <c r="C423" s="272" t="s">
        <v>791</v>
      </c>
      <c r="D423" s="172">
        <v>45931.0</v>
      </c>
      <c r="E423" s="267" t="str">
        <f t="shared" si="22"/>
        <v>10 oct</v>
      </c>
      <c r="F423" s="274">
        <f t="shared" si="2"/>
        <v>2025</v>
      </c>
      <c r="G423" s="83" t="s">
        <v>549</v>
      </c>
      <c r="H423" s="264"/>
      <c r="I423" s="277"/>
      <c r="J423" s="276" t="str">
        <f>IF(ISBLANK(I423), "", VLOOKUP(E423&amp;" "&amp;F423, 'Info Tipo de Cambio y REM'!$A$24:$B$35, 2, FALSE))
</f>
        <v/>
      </c>
      <c r="K423" s="114">
        <v>45.0</v>
      </c>
      <c r="L423" s="293">
        <f t="shared" si="5"/>
        <v>2048528.075</v>
      </c>
      <c r="M423" s="293">
        <f t="shared" si="3"/>
        <v>-68259.41</v>
      </c>
      <c r="N423" s="293">
        <f t="shared" si="6"/>
        <v>0</v>
      </c>
      <c r="O423" s="277">
        <f t="shared" si="4"/>
        <v>-66806.64913</v>
      </c>
      <c r="P423" s="264"/>
      <c r="Q423" s="264"/>
      <c r="R423" s="264"/>
      <c r="S423" s="264"/>
      <c r="T423" s="264"/>
      <c r="U423" s="264"/>
      <c r="V423" s="264"/>
      <c r="W423" s="264"/>
      <c r="X423" s="264"/>
      <c r="Y423" s="264"/>
      <c r="Z423" s="264"/>
      <c r="AA423" s="264"/>
      <c r="AB423" s="264"/>
      <c r="AC423" s="264"/>
      <c r="AD423" s="264"/>
      <c r="AE423" s="264"/>
    </row>
    <row r="424">
      <c r="A424" s="272" t="s">
        <v>795</v>
      </c>
      <c r="B424" s="272" t="s">
        <v>144</v>
      </c>
      <c r="C424" s="272" t="s">
        <v>791</v>
      </c>
      <c r="D424" s="172">
        <v>45931.0</v>
      </c>
      <c r="E424" s="267" t="str">
        <f t="shared" si="22"/>
        <v>10 oct</v>
      </c>
      <c r="F424" s="274">
        <f t="shared" si="2"/>
        <v>2025</v>
      </c>
      <c r="G424" s="83" t="s">
        <v>549</v>
      </c>
      <c r="H424" s="264"/>
      <c r="I424" s="277"/>
      <c r="J424" s="276" t="str">
        <f>IF(ISBLANK(I424), "", VLOOKUP(E424&amp;" "&amp;F424, 'Info Tipo de Cambio y REM'!$A$24:$B$35, 2, FALSE))
</f>
        <v/>
      </c>
      <c r="K424" s="114">
        <v>45.0</v>
      </c>
      <c r="L424" s="293">
        <f t="shared" si="5"/>
        <v>2048528.075</v>
      </c>
      <c r="M424" s="293">
        <f t="shared" si="3"/>
        <v>-68304.41</v>
      </c>
      <c r="N424" s="293">
        <f t="shared" si="6"/>
        <v>0</v>
      </c>
      <c r="O424" s="277">
        <f t="shared" si="4"/>
        <v>-66851.64913</v>
      </c>
      <c r="P424" s="264"/>
      <c r="Q424" s="264"/>
      <c r="R424" s="264"/>
      <c r="S424" s="264"/>
      <c r="T424" s="264"/>
      <c r="U424" s="264"/>
      <c r="V424" s="264"/>
      <c r="W424" s="264"/>
      <c r="X424" s="264"/>
      <c r="Y424" s="264"/>
      <c r="Z424" s="264"/>
      <c r="AA424" s="264"/>
      <c r="AB424" s="264"/>
      <c r="AC424" s="264"/>
      <c r="AD424" s="264"/>
      <c r="AE424" s="264"/>
    </row>
    <row r="425">
      <c r="A425" s="272" t="s">
        <v>795</v>
      </c>
      <c r="B425" s="272" t="s">
        <v>144</v>
      </c>
      <c r="C425" s="272" t="s">
        <v>791</v>
      </c>
      <c r="D425" s="172">
        <v>45931.0</v>
      </c>
      <c r="E425" s="267" t="str">
        <f t="shared" si="22"/>
        <v>10 oct</v>
      </c>
      <c r="F425" s="274">
        <f t="shared" si="2"/>
        <v>2025</v>
      </c>
      <c r="G425" s="83" t="s">
        <v>549</v>
      </c>
      <c r="H425" s="264"/>
      <c r="I425" s="277"/>
      <c r="J425" s="276" t="str">
        <f>IF(ISBLANK(I425), "", VLOOKUP(E425&amp;" "&amp;F425, 'Info Tipo de Cambio y REM'!$A$24:$B$35, 2, FALSE))
</f>
        <v/>
      </c>
      <c r="K425" s="114">
        <v>45.0</v>
      </c>
      <c r="L425" s="293">
        <f t="shared" si="5"/>
        <v>2048528.075</v>
      </c>
      <c r="M425" s="293">
        <f t="shared" si="3"/>
        <v>-68349.41</v>
      </c>
      <c r="N425" s="293">
        <f t="shared" si="6"/>
        <v>0</v>
      </c>
      <c r="O425" s="277">
        <f t="shared" si="4"/>
        <v>-66896.64913</v>
      </c>
      <c r="P425" s="264"/>
      <c r="Q425" s="264"/>
      <c r="R425" s="264"/>
      <c r="S425" s="264"/>
      <c r="T425" s="264"/>
      <c r="U425" s="264"/>
      <c r="V425" s="264"/>
      <c r="W425" s="264"/>
      <c r="X425" s="264"/>
      <c r="Y425" s="264"/>
      <c r="Z425" s="264"/>
      <c r="AA425" s="264"/>
      <c r="AB425" s="264"/>
      <c r="AC425" s="264"/>
      <c r="AD425" s="264"/>
      <c r="AE425" s="264"/>
    </row>
    <row r="426">
      <c r="A426" s="272" t="s">
        <v>795</v>
      </c>
      <c r="B426" s="272" t="s">
        <v>144</v>
      </c>
      <c r="C426" s="272" t="s">
        <v>791</v>
      </c>
      <c r="D426" s="172">
        <v>45931.0</v>
      </c>
      <c r="E426" s="267" t="str">
        <f t="shared" si="22"/>
        <v>10 oct</v>
      </c>
      <c r="F426" s="274">
        <f t="shared" si="2"/>
        <v>2025</v>
      </c>
      <c r="G426" s="83" t="s">
        <v>549</v>
      </c>
      <c r="H426" s="264"/>
      <c r="I426" s="277"/>
      <c r="J426" s="276" t="str">
        <f>IF(ISBLANK(I426), "", VLOOKUP(E426&amp;" "&amp;F426, 'Info Tipo de Cambio y REM'!$A$24:$B$35, 2, FALSE))
</f>
        <v/>
      </c>
      <c r="K426" s="114">
        <v>45.0</v>
      </c>
      <c r="L426" s="293">
        <f t="shared" si="5"/>
        <v>2048528.075</v>
      </c>
      <c r="M426" s="293">
        <f t="shared" si="3"/>
        <v>-68394.41</v>
      </c>
      <c r="N426" s="293">
        <f t="shared" si="6"/>
        <v>0</v>
      </c>
      <c r="O426" s="277">
        <f t="shared" si="4"/>
        <v>-66941.64913</v>
      </c>
      <c r="P426" s="264"/>
      <c r="Q426" s="264"/>
      <c r="R426" s="264"/>
      <c r="S426" s="264"/>
      <c r="T426" s="264"/>
      <c r="U426" s="264"/>
      <c r="V426" s="264"/>
      <c r="W426" s="264"/>
      <c r="X426" s="264"/>
      <c r="Y426" s="264"/>
      <c r="Z426" s="264"/>
      <c r="AA426" s="264"/>
      <c r="AB426" s="264"/>
      <c r="AC426" s="264"/>
      <c r="AD426" s="264"/>
      <c r="AE426" s="264"/>
    </row>
    <row r="427">
      <c r="A427" s="272" t="s">
        <v>795</v>
      </c>
      <c r="B427" s="272" t="s">
        <v>144</v>
      </c>
      <c r="C427" s="272" t="s">
        <v>791</v>
      </c>
      <c r="D427" s="172">
        <v>45931.0</v>
      </c>
      <c r="E427" s="267" t="str">
        <f t="shared" si="22"/>
        <v>10 oct</v>
      </c>
      <c r="F427" s="274">
        <f t="shared" si="2"/>
        <v>2025</v>
      </c>
      <c r="G427" s="83" t="s">
        <v>549</v>
      </c>
      <c r="H427" s="264"/>
      <c r="I427" s="277"/>
      <c r="J427" s="276" t="str">
        <f>IF(ISBLANK(I427), "", VLOOKUP(E427&amp;" "&amp;F427, 'Info Tipo de Cambio y REM'!$A$24:$B$35, 2, FALSE))
</f>
        <v/>
      </c>
      <c r="K427" s="114">
        <v>45.0</v>
      </c>
      <c r="L427" s="293">
        <f t="shared" si="5"/>
        <v>2048528.075</v>
      </c>
      <c r="M427" s="293">
        <f t="shared" si="3"/>
        <v>-68439.41</v>
      </c>
      <c r="N427" s="293">
        <f t="shared" si="6"/>
        <v>0</v>
      </c>
      <c r="O427" s="277">
        <f t="shared" si="4"/>
        <v>-66986.64913</v>
      </c>
      <c r="P427" s="264"/>
      <c r="Q427" s="264"/>
      <c r="R427" s="264"/>
      <c r="S427" s="264"/>
      <c r="T427" s="264"/>
      <c r="U427" s="264"/>
      <c r="V427" s="264"/>
      <c r="W427" s="264"/>
      <c r="X427" s="264"/>
      <c r="Y427" s="264"/>
      <c r="Z427" s="264"/>
      <c r="AA427" s="264"/>
      <c r="AB427" s="264"/>
      <c r="AC427" s="264"/>
      <c r="AD427" s="264"/>
      <c r="AE427" s="264"/>
    </row>
    <row r="428">
      <c r="A428" s="272" t="s">
        <v>795</v>
      </c>
      <c r="B428" s="272" t="s">
        <v>144</v>
      </c>
      <c r="C428" s="272" t="s">
        <v>791</v>
      </c>
      <c r="D428" s="172">
        <v>45931.0</v>
      </c>
      <c r="E428" s="267" t="str">
        <f t="shared" si="22"/>
        <v>10 oct</v>
      </c>
      <c r="F428" s="274">
        <f t="shared" si="2"/>
        <v>2025</v>
      </c>
      <c r="G428" s="83" t="s">
        <v>549</v>
      </c>
      <c r="H428" s="264"/>
      <c r="I428" s="277"/>
      <c r="J428" s="276" t="str">
        <f>IF(ISBLANK(I428), "", VLOOKUP(E428&amp;" "&amp;F428, 'Info Tipo de Cambio y REM'!$A$24:$B$35, 2, FALSE))
</f>
        <v/>
      </c>
      <c r="K428" s="114">
        <v>45.0</v>
      </c>
      <c r="L428" s="293">
        <f t="shared" si="5"/>
        <v>2048528.075</v>
      </c>
      <c r="M428" s="293">
        <f t="shared" si="3"/>
        <v>-68484.41</v>
      </c>
      <c r="N428" s="293">
        <f t="shared" si="6"/>
        <v>0</v>
      </c>
      <c r="O428" s="277">
        <f t="shared" si="4"/>
        <v>-67031.64913</v>
      </c>
      <c r="P428" s="264"/>
      <c r="Q428" s="264"/>
      <c r="R428" s="264"/>
      <c r="S428" s="264"/>
      <c r="T428" s="264"/>
      <c r="U428" s="264"/>
      <c r="V428" s="264"/>
      <c r="W428" s="264"/>
      <c r="X428" s="264"/>
      <c r="Y428" s="264"/>
      <c r="Z428" s="264"/>
      <c r="AA428" s="264"/>
      <c r="AB428" s="264"/>
      <c r="AC428" s="264"/>
      <c r="AD428" s="264"/>
      <c r="AE428" s="264"/>
    </row>
    <row r="429">
      <c r="A429" s="272" t="s">
        <v>795</v>
      </c>
      <c r="B429" s="272" t="s">
        <v>144</v>
      </c>
      <c r="C429" s="272" t="s">
        <v>791</v>
      </c>
      <c r="D429" s="172">
        <v>45931.0</v>
      </c>
      <c r="E429" s="267" t="str">
        <f t="shared" si="22"/>
        <v>10 oct</v>
      </c>
      <c r="F429" s="274">
        <f t="shared" si="2"/>
        <v>2025</v>
      </c>
      <c r="G429" s="83" t="s">
        <v>549</v>
      </c>
      <c r="H429" s="264"/>
      <c r="I429" s="277"/>
      <c r="J429" s="276" t="str">
        <f>IF(ISBLANK(I429), "", VLOOKUP(E429&amp;" "&amp;F429, 'Info Tipo de Cambio y REM'!$A$24:$B$35, 2, FALSE))
</f>
        <v/>
      </c>
      <c r="K429" s="114">
        <v>45.0</v>
      </c>
      <c r="L429" s="293">
        <f t="shared" si="5"/>
        <v>2048528.075</v>
      </c>
      <c r="M429" s="293">
        <f t="shared" si="3"/>
        <v>-68529.41</v>
      </c>
      <c r="N429" s="293">
        <f t="shared" si="6"/>
        <v>0</v>
      </c>
      <c r="O429" s="277">
        <f t="shared" si="4"/>
        <v>-67076.64913</v>
      </c>
      <c r="P429" s="264"/>
      <c r="Q429" s="264"/>
      <c r="R429" s="264"/>
      <c r="S429" s="264"/>
      <c r="T429" s="264"/>
      <c r="U429" s="264"/>
      <c r="V429" s="264"/>
      <c r="W429" s="264"/>
      <c r="X429" s="264"/>
      <c r="Y429" s="264"/>
      <c r="Z429" s="264"/>
      <c r="AA429" s="264"/>
      <c r="AB429" s="264"/>
      <c r="AC429" s="264"/>
      <c r="AD429" s="264"/>
      <c r="AE429" s="264"/>
    </row>
    <row r="430">
      <c r="A430" s="272" t="s">
        <v>795</v>
      </c>
      <c r="B430" s="272" t="s">
        <v>144</v>
      </c>
      <c r="C430" s="272" t="s">
        <v>791</v>
      </c>
      <c r="D430" s="172">
        <v>45933.0</v>
      </c>
      <c r="E430" s="267" t="str">
        <f t="shared" si="22"/>
        <v>10 oct</v>
      </c>
      <c r="F430" s="274">
        <f t="shared" si="2"/>
        <v>2025</v>
      </c>
      <c r="G430" s="83" t="s">
        <v>549</v>
      </c>
      <c r="H430" s="264"/>
      <c r="I430" s="277"/>
      <c r="J430" s="276" t="str">
        <f>IF(ISBLANK(I430), "", VLOOKUP(E430&amp;" "&amp;F430, 'Info Tipo de Cambio y REM'!$A$24:$B$35, 2, FALSE))
</f>
        <v/>
      </c>
      <c r="K430" s="114">
        <v>45.0</v>
      </c>
      <c r="L430" s="293">
        <f t="shared" si="5"/>
        <v>2048528.075</v>
      </c>
      <c r="M430" s="293">
        <f t="shared" si="3"/>
        <v>-68574.41</v>
      </c>
      <c r="N430" s="293">
        <f t="shared" si="6"/>
        <v>0</v>
      </c>
      <c r="O430" s="277">
        <f t="shared" si="4"/>
        <v>-67121.64913</v>
      </c>
      <c r="P430" s="264"/>
      <c r="Q430" s="264"/>
      <c r="R430" s="264"/>
      <c r="S430" s="264"/>
      <c r="T430" s="264"/>
      <c r="U430" s="264"/>
      <c r="V430" s="264"/>
      <c r="W430" s="264"/>
      <c r="X430" s="264"/>
      <c r="Y430" s="264"/>
      <c r="Z430" s="264"/>
      <c r="AA430" s="264"/>
      <c r="AB430" s="264"/>
      <c r="AC430" s="264"/>
      <c r="AD430" s="264"/>
      <c r="AE430" s="264"/>
    </row>
    <row r="431">
      <c r="A431" s="272" t="s">
        <v>795</v>
      </c>
      <c r="B431" s="272" t="s">
        <v>793</v>
      </c>
      <c r="C431" s="272" t="s">
        <v>794</v>
      </c>
      <c r="D431" s="129">
        <v>45938.0</v>
      </c>
      <c r="E431" s="267" t="str">
        <f t="shared" si="22"/>
        <v>10 oct</v>
      </c>
      <c r="F431" s="274">
        <f t="shared" si="2"/>
        <v>2025</v>
      </c>
      <c r="G431" s="59" t="s">
        <v>986</v>
      </c>
      <c r="H431" s="59" t="s">
        <v>397</v>
      </c>
      <c r="I431" s="304">
        <v>270255.0</v>
      </c>
      <c r="J431" s="276">
        <f>IF(ISBLANK(I431), "", VLOOKUP(E431&amp;" "&amp;F431, 'Info Tipo de Cambio y REM'!$A$24:$B$35, 2, FALSE))
</f>
        <v>1440</v>
      </c>
      <c r="K431" s="107">
        <f t="shared" ref="K431:K1065" si="23">IF(NOT(ISBLANK(I431)), I431 / J431, IF(NOT(ISBLANK(I431)), I431, ""))</f>
        <v>187.6770833</v>
      </c>
      <c r="L431" s="293">
        <f t="shared" si="5"/>
        <v>1778273.075</v>
      </c>
      <c r="M431" s="293">
        <f t="shared" si="3"/>
        <v>-68574.41</v>
      </c>
      <c r="N431" s="293">
        <f t="shared" si="6"/>
        <v>0</v>
      </c>
      <c r="O431" s="277">
        <f t="shared" si="4"/>
        <v>-67309.32621</v>
      </c>
      <c r="P431" s="264"/>
      <c r="Q431" s="264"/>
      <c r="R431" s="264"/>
      <c r="S431" s="264"/>
      <c r="T431" s="264"/>
      <c r="U431" s="264"/>
      <c r="V431" s="264"/>
      <c r="W431" s="264"/>
      <c r="X431" s="264"/>
      <c r="Y431" s="264"/>
      <c r="Z431" s="264"/>
      <c r="AA431" s="264"/>
      <c r="AB431" s="264"/>
      <c r="AC431" s="264"/>
      <c r="AD431" s="264"/>
      <c r="AE431" s="264"/>
    </row>
    <row r="432">
      <c r="A432" s="272" t="s">
        <v>795</v>
      </c>
      <c r="B432" s="272" t="s">
        <v>793</v>
      </c>
      <c r="C432" s="272" t="s">
        <v>794</v>
      </c>
      <c r="D432" s="129">
        <v>45938.0</v>
      </c>
      <c r="E432" s="267" t="str">
        <f t="shared" si="22"/>
        <v>10 oct</v>
      </c>
      <c r="F432" s="274">
        <f t="shared" si="2"/>
        <v>2025</v>
      </c>
      <c r="G432" s="59" t="s">
        <v>987</v>
      </c>
      <c r="H432" s="59" t="s">
        <v>988</v>
      </c>
      <c r="I432" s="304">
        <v>860000.0</v>
      </c>
      <c r="J432" s="276">
        <f>IF(ISBLANK(I432), "", VLOOKUP(E432&amp;" "&amp;F432, 'Info Tipo de Cambio y REM'!$A$24:$B$35, 2, FALSE))
</f>
        <v>1440</v>
      </c>
      <c r="K432" s="107">
        <f t="shared" si="23"/>
        <v>597.2222222</v>
      </c>
      <c r="L432" s="293">
        <f t="shared" si="5"/>
        <v>918273.0753</v>
      </c>
      <c r="M432" s="293">
        <f t="shared" si="3"/>
        <v>-68574.41</v>
      </c>
      <c r="N432" s="293">
        <f t="shared" si="6"/>
        <v>0</v>
      </c>
      <c r="O432" s="277">
        <f t="shared" si="4"/>
        <v>-67906.54844</v>
      </c>
      <c r="P432" s="264"/>
      <c r="Q432" s="264"/>
      <c r="R432" s="264"/>
      <c r="S432" s="264"/>
      <c r="T432" s="264"/>
      <c r="U432" s="264"/>
      <c r="V432" s="264"/>
      <c r="W432" s="264"/>
      <c r="X432" s="264"/>
      <c r="Y432" s="264"/>
      <c r="Z432" s="264"/>
      <c r="AA432" s="264"/>
      <c r="AB432" s="264"/>
      <c r="AC432" s="264"/>
      <c r="AD432" s="264"/>
      <c r="AE432" s="264"/>
    </row>
    <row r="433">
      <c r="A433" s="272" t="s">
        <v>795</v>
      </c>
      <c r="B433" s="272" t="s">
        <v>793</v>
      </c>
      <c r="C433" s="272" t="s">
        <v>794</v>
      </c>
      <c r="D433" s="129">
        <v>45938.0</v>
      </c>
      <c r="E433" s="267" t="str">
        <f t="shared" si="22"/>
        <v>10 oct</v>
      </c>
      <c r="F433" s="274">
        <f t="shared" si="2"/>
        <v>2025</v>
      </c>
      <c r="G433" s="59" t="s">
        <v>989</v>
      </c>
      <c r="H433" s="59" t="s">
        <v>414</v>
      </c>
      <c r="I433" s="304">
        <v>805000.0</v>
      </c>
      <c r="J433" s="276">
        <f>IF(ISBLANK(I433), "", VLOOKUP(E433&amp;" "&amp;F433, 'Info Tipo de Cambio y REM'!$A$24:$B$35, 2, FALSE))
</f>
        <v>1440</v>
      </c>
      <c r="K433" s="107">
        <f t="shared" si="23"/>
        <v>559.0277778</v>
      </c>
      <c r="L433" s="293">
        <f t="shared" si="5"/>
        <v>113273.0753</v>
      </c>
      <c r="M433" s="293">
        <f t="shared" si="3"/>
        <v>-68574.41</v>
      </c>
      <c r="N433" s="293">
        <f t="shared" si="6"/>
        <v>0</v>
      </c>
      <c r="O433" s="277">
        <f t="shared" si="4"/>
        <v>-68465.57621</v>
      </c>
      <c r="P433" s="264"/>
      <c r="Q433" s="264"/>
      <c r="R433" s="264"/>
      <c r="S433" s="264"/>
      <c r="T433" s="264"/>
      <c r="U433" s="264"/>
      <c r="V433" s="264"/>
      <c r="W433" s="264"/>
      <c r="X433" s="264"/>
      <c r="Y433" s="264"/>
      <c r="Z433" s="264"/>
      <c r="AA433" s="264"/>
      <c r="AB433" s="264"/>
      <c r="AC433" s="264"/>
      <c r="AD433" s="264"/>
      <c r="AE433" s="264"/>
    </row>
    <row r="434">
      <c r="A434" s="272" t="s">
        <v>795</v>
      </c>
      <c r="B434" s="272" t="s">
        <v>793</v>
      </c>
      <c r="C434" s="272" t="s">
        <v>794</v>
      </c>
      <c r="D434" s="129">
        <v>45938.0</v>
      </c>
      <c r="E434" s="267" t="str">
        <f t="shared" si="22"/>
        <v>10 oct</v>
      </c>
      <c r="F434" s="274">
        <f t="shared" si="2"/>
        <v>2025</v>
      </c>
      <c r="G434" s="59" t="s">
        <v>990</v>
      </c>
      <c r="H434" s="59" t="s">
        <v>411</v>
      </c>
      <c r="I434" s="304">
        <v>102978.0</v>
      </c>
      <c r="J434" s="276">
        <f>IF(ISBLANK(I434), "", VLOOKUP(E434&amp;" "&amp;F434, 'Info Tipo de Cambio y REM'!$A$24:$B$35, 2, FALSE))
</f>
        <v>1440</v>
      </c>
      <c r="K434" s="107">
        <f t="shared" si="23"/>
        <v>71.5125</v>
      </c>
      <c r="L434" s="293">
        <f t="shared" si="5"/>
        <v>10295.07535</v>
      </c>
      <c r="M434" s="293">
        <f t="shared" si="3"/>
        <v>-68574.41</v>
      </c>
      <c r="N434" s="293">
        <f t="shared" si="6"/>
        <v>0</v>
      </c>
      <c r="O434" s="277">
        <f t="shared" si="4"/>
        <v>-68537.08871</v>
      </c>
      <c r="P434" s="264"/>
      <c r="Q434" s="264"/>
      <c r="R434" s="264"/>
      <c r="S434" s="264"/>
      <c r="T434" s="264"/>
      <c r="U434" s="264"/>
      <c r="V434" s="264"/>
      <c r="W434" s="264"/>
      <c r="X434" s="264"/>
      <c r="Y434" s="264"/>
      <c r="Z434" s="264"/>
      <c r="AA434" s="264"/>
      <c r="AB434" s="264"/>
      <c r="AC434" s="264"/>
      <c r="AD434" s="264"/>
      <c r="AE434" s="264"/>
    </row>
    <row r="435">
      <c r="A435" s="272" t="s">
        <v>795</v>
      </c>
      <c r="B435" s="272" t="s">
        <v>793</v>
      </c>
      <c r="C435" s="272" t="s">
        <v>794</v>
      </c>
      <c r="D435" s="129">
        <v>45938.0</v>
      </c>
      <c r="E435" s="267" t="str">
        <f t="shared" si="22"/>
        <v>10 oct</v>
      </c>
      <c r="F435" s="274">
        <f t="shared" si="2"/>
        <v>2025</v>
      </c>
      <c r="G435" s="59" t="s">
        <v>991</v>
      </c>
      <c r="H435" s="59" t="s">
        <v>504</v>
      </c>
      <c r="I435" s="304">
        <v>487500.0</v>
      </c>
      <c r="J435" s="276">
        <f>IF(ISBLANK(I435), "", VLOOKUP(E435&amp;" "&amp;F435, 'Info Tipo de Cambio y REM'!$A$24:$B$35, 2, FALSE))
</f>
        <v>1440</v>
      </c>
      <c r="K435" s="107">
        <f t="shared" si="23"/>
        <v>338.5416667</v>
      </c>
      <c r="L435" s="293">
        <f t="shared" si="5"/>
        <v>-477204.9247</v>
      </c>
      <c r="M435" s="293">
        <f t="shared" si="3"/>
        <v>-68574.41</v>
      </c>
      <c r="N435" s="293">
        <f t="shared" si="6"/>
        <v>0</v>
      </c>
      <c r="O435" s="277">
        <f t="shared" si="4"/>
        <v>-68875.63038</v>
      </c>
      <c r="P435" s="264"/>
      <c r="Q435" s="264"/>
      <c r="R435" s="264"/>
      <c r="S435" s="264"/>
      <c r="T435" s="264"/>
      <c r="U435" s="264"/>
      <c r="V435" s="264"/>
      <c r="W435" s="264"/>
      <c r="X435" s="264"/>
      <c r="Y435" s="264"/>
      <c r="Z435" s="264"/>
      <c r="AA435" s="264"/>
      <c r="AB435" s="264"/>
      <c r="AC435" s="264"/>
      <c r="AD435" s="264"/>
      <c r="AE435" s="264"/>
    </row>
    <row r="436">
      <c r="A436" s="272" t="s">
        <v>795</v>
      </c>
      <c r="B436" s="272" t="s">
        <v>793</v>
      </c>
      <c r="C436" s="272" t="s">
        <v>794</v>
      </c>
      <c r="D436" s="129">
        <v>45938.0</v>
      </c>
      <c r="E436" s="267" t="str">
        <f t="shared" si="22"/>
        <v>10 oct</v>
      </c>
      <c r="F436" s="274">
        <f t="shared" si="2"/>
        <v>2025</v>
      </c>
      <c r="G436" s="59" t="s">
        <v>992</v>
      </c>
      <c r="H436" s="59" t="s">
        <v>391</v>
      </c>
      <c r="I436" s="304">
        <v>1364748.0</v>
      </c>
      <c r="J436" s="276">
        <f>IF(ISBLANK(I436), "", VLOOKUP(E436&amp;" "&amp;F436, 'Info Tipo de Cambio y REM'!$A$24:$B$35, 2, FALSE))
</f>
        <v>1440</v>
      </c>
      <c r="K436" s="107">
        <f t="shared" si="23"/>
        <v>947.7416667</v>
      </c>
      <c r="L436" s="293">
        <f t="shared" si="5"/>
        <v>-1841952.925</v>
      </c>
      <c r="M436" s="293">
        <f t="shared" si="3"/>
        <v>-68574.41</v>
      </c>
      <c r="N436" s="293">
        <f t="shared" si="6"/>
        <v>0</v>
      </c>
      <c r="O436" s="277">
        <f t="shared" si="4"/>
        <v>-69823.37205</v>
      </c>
      <c r="P436" s="264"/>
      <c r="Q436" s="264"/>
      <c r="R436" s="264"/>
      <c r="S436" s="264"/>
      <c r="T436" s="264"/>
      <c r="U436" s="264"/>
      <c r="V436" s="264"/>
      <c r="W436" s="264"/>
      <c r="X436" s="264"/>
      <c r="Y436" s="264"/>
      <c r="Z436" s="264"/>
      <c r="AA436" s="264"/>
      <c r="AB436" s="264"/>
      <c r="AC436" s="264"/>
      <c r="AD436" s="264"/>
      <c r="AE436" s="264"/>
    </row>
    <row r="437">
      <c r="A437" s="272" t="s">
        <v>795</v>
      </c>
      <c r="B437" s="272" t="s">
        <v>793</v>
      </c>
      <c r="C437" s="272" t="s">
        <v>794</v>
      </c>
      <c r="D437" s="129">
        <v>45938.0</v>
      </c>
      <c r="E437" s="267" t="str">
        <f t="shared" si="22"/>
        <v>10 oct</v>
      </c>
      <c r="F437" s="274">
        <f t="shared" si="2"/>
        <v>2025</v>
      </c>
      <c r="G437" s="59" t="s">
        <v>993</v>
      </c>
      <c r="H437" s="59" t="s">
        <v>389</v>
      </c>
      <c r="I437" s="304">
        <v>316575.0</v>
      </c>
      <c r="J437" s="276">
        <f>IF(ISBLANK(I437), "", VLOOKUP(E437&amp;" "&amp;F437, 'Info Tipo de Cambio y REM'!$A$24:$B$35, 2, FALSE))
</f>
        <v>1440</v>
      </c>
      <c r="K437" s="107">
        <f t="shared" si="23"/>
        <v>219.84375</v>
      </c>
      <c r="L437" s="293">
        <f t="shared" si="5"/>
        <v>-2158527.925</v>
      </c>
      <c r="M437" s="293">
        <f t="shared" si="3"/>
        <v>-68574.41</v>
      </c>
      <c r="N437" s="293">
        <f t="shared" si="6"/>
        <v>0</v>
      </c>
      <c r="O437" s="277">
        <f t="shared" si="4"/>
        <v>-70043.2158</v>
      </c>
      <c r="P437" s="264"/>
      <c r="Q437" s="264"/>
      <c r="R437" s="264"/>
      <c r="S437" s="264"/>
      <c r="T437" s="264"/>
      <c r="U437" s="264"/>
      <c r="V437" s="264"/>
      <c r="W437" s="264"/>
      <c r="X437" s="264"/>
      <c r="Y437" s="264"/>
      <c r="Z437" s="264"/>
      <c r="AA437" s="264"/>
      <c r="AB437" s="264"/>
      <c r="AC437" s="264"/>
      <c r="AD437" s="264"/>
      <c r="AE437" s="264"/>
    </row>
    <row r="438">
      <c r="A438" s="272" t="s">
        <v>795</v>
      </c>
      <c r="B438" s="272" t="s">
        <v>793</v>
      </c>
      <c r="C438" s="272" t="s">
        <v>794</v>
      </c>
      <c r="D438" s="129">
        <v>45938.0</v>
      </c>
      <c r="E438" s="267" t="str">
        <f t="shared" si="22"/>
        <v>10 oct</v>
      </c>
      <c r="F438" s="274">
        <f t="shared" si="2"/>
        <v>2025</v>
      </c>
      <c r="G438" s="59" t="s">
        <v>994</v>
      </c>
      <c r="H438" s="59" t="s">
        <v>383</v>
      </c>
      <c r="I438" s="304">
        <v>675800.0</v>
      </c>
      <c r="J438" s="276">
        <f>IF(ISBLANK(I438), "", VLOOKUP(E438&amp;" "&amp;F438, 'Info Tipo de Cambio y REM'!$A$24:$B$35, 2, FALSE))
</f>
        <v>1440</v>
      </c>
      <c r="K438" s="107">
        <f t="shared" si="23"/>
        <v>469.3055556</v>
      </c>
      <c r="L438" s="293">
        <f t="shared" si="5"/>
        <v>-2834327.925</v>
      </c>
      <c r="M438" s="293">
        <f t="shared" si="3"/>
        <v>-68574.41</v>
      </c>
      <c r="N438" s="293">
        <f t="shared" si="6"/>
        <v>0</v>
      </c>
      <c r="O438" s="277">
        <f t="shared" si="4"/>
        <v>-70512.52135</v>
      </c>
      <c r="P438" s="264"/>
      <c r="Q438" s="264"/>
      <c r="R438" s="264"/>
      <c r="S438" s="264"/>
      <c r="T438" s="264"/>
      <c r="U438" s="264"/>
      <c r="V438" s="264"/>
      <c r="W438" s="264"/>
      <c r="X438" s="264"/>
      <c r="Y438" s="264"/>
      <c r="Z438" s="264"/>
      <c r="AA438" s="264"/>
      <c r="AB438" s="264"/>
      <c r="AC438" s="264"/>
      <c r="AD438" s="264"/>
      <c r="AE438" s="264"/>
    </row>
    <row r="439">
      <c r="A439" s="272" t="s">
        <v>795</v>
      </c>
      <c r="B439" s="272" t="s">
        <v>793</v>
      </c>
      <c r="C439" s="272" t="s">
        <v>794</v>
      </c>
      <c r="D439" s="129">
        <v>45938.0</v>
      </c>
      <c r="E439" s="267" t="str">
        <f t="shared" si="22"/>
        <v>10 oct</v>
      </c>
      <c r="F439" s="274">
        <f t="shared" si="2"/>
        <v>2025</v>
      </c>
      <c r="G439" s="59" t="s">
        <v>995</v>
      </c>
      <c r="H439" s="59" t="s">
        <v>381</v>
      </c>
      <c r="I439" s="304">
        <v>317047.0</v>
      </c>
      <c r="J439" s="276">
        <f>IF(ISBLANK(I439), "", VLOOKUP(E439&amp;" "&amp;F439, 'Info Tipo de Cambio y REM'!$A$24:$B$35, 2, FALSE))
</f>
        <v>1440</v>
      </c>
      <c r="K439" s="107">
        <f t="shared" si="23"/>
        <v>220.1715278</v>
      </c>
      <c r="L439" s="293">
        <f t="shared" si="5"/>
        <v>-3151374.925</v>
      </c>
      <c r="M439" s="293">
        <f t="shared" si="3"/>
        <v>-68574.41</v>
      </c>
      <c r="N439" s="293">
        <f t="shared" si="6"/>
        <v>0</v>
      </c>
      <c r="O439" s="277">
        <f t="shared" si="4"/>
        <v>-70732.69288</v>
      </c>
      <c r="P439" s="264"/>
      <c r="Q439" s="264"/>
      <c r="R439" s="264"/>
      <c r="S439" s="264"/>
      <c r="T439" s="264"/>
      <c r="U439" s="264"/>
      <c r="V439" s="264"/>
      <c r="W439" s="264"/>
      <c r="X439" s="264"/>
      <c r="Y439" s="264"/>
      <c r="Z439" s="264"/>
      <c r="AA439" s="264"/>
      <c r="AB439" s="264"/>
      <c r="AC439" s="264"/>
      <c r="AD439" s="264"/>
      <c r="AE439" s="264"/>
    </row>
    <row r="440">
      <c r="A440" s="272" t="s">
        <v>795</v>
      </c>
      <c r="B440" s="272" t="s">
        <v>793</v>
      </c>
      <c r="C440" s="272" t="s">
        <v>794</v>
      </c>
      <c r="D440" s="129">
        <v>45938.0</v>
      </c>
      <c r="E440" s="267" t="str">
        <f t="shared" si="22"/>
        <v>10 oct</v>
      </c>
      <c r="F440" s="274">
        <f t="shared" si="2"/>
        <v>2025</v>
      </c>
      <c r="G440" s="59" t="s">
        <v>996</v>
      </c>
      <c r="H440" s="59" t="s">
        <v>379</v>
      </c>
      <c r="I440" s="304">
        <v>103069.0</v>
      </c>
      <c r="J440" s="276">
        <f>IF(ISBLANK(I440), "", VLOOKUP(E440&amp;" "&amp;F440, 'Info Tipo de Cambio y REM'!$A$24:$B$35, 2, FALSE))
</f>
        <v>1440</v>
      </c>
      <c r="K440" s="107">
        <f t="shared" si="23"/>
        <v>71.57569444</v>
      </c>
      <c r="L440" s="293">
        <f t="shared" si="5"/>
        <v>-3254443.925</v>
      </c>
      <c r="M440" s="293">
        <f t="shared" si="3"/>
        <v>-68574.41</v>
      </c>
      <c r="N440" s="293">
        <f t="shared" si="6"/>
        <v>0</v>
      </c>
      <c r="O440" s="277">
        <f t="shared" si="4"/>
        <v>-70804.26858</v>
      </c>
      <c r="P440" s="264"/>
      <c r="Q440" s="264"/>
      <c r="R440" s="264"/>
      <c r="S440" s="264"/>
      <c r="T440" s="264"/>
      <c r="U440" s="264"/>
      <c r="V440" s="264"/>
      <c r="W440" s="264"/>
      <c r="X440" s="264"/>
      <c r="Y440" s="264"/>
      <c r="Z440" s="264"/>
      <c r="AA440" s="264"/>
      <c r="AB440" s="264"/>
      <c r="AC440" s="264"/>
      <c r="AD440" s="264"/>
      <c r="AE440" s="264"/>
    </row>
    <row r="441">
      <c r="A441" s="272" t="s">
        <v>795</v>
      </c>
      <c r="B441" s="272" t="s">
        <v>793</v>
      </c>
      <c r="C441" s="272" t="s">
        <v>794</v>
      </c>
      <c r="D441" s="129">
        <v>45938.0</v>
      </c>
      <c r="E441" s="267" t="str">
        <f t="shared" si="22"/>
        <v>10 oct</v>
      </c>
      <c r="F441" s="274">
        <f t="shared" si="2"/>
        <v>2025</v>
      </c>
      <c r="G441" s="59" t="s">
        <v>997</v>
      </c>
      <c r="H441" s="59" t="s">
        <v>409</v>
      </c>
      <c r="I441" s="304">
        <v>222501.0</v>
      </c>
      <c r="J441" s="276">
        <f>IF(ISBLANK(I441), "", VLOOKUP(E441&amp;" "&amp;F441, 'Info Tipo de Cambio y REM'!$A$24:$B$35, 2, FALSE))
</f>
        <v>1440</v>
      </c>
      <c r="K441" s="107">
        <f t="shared" si="23"/>
        <v>154.5145833</v>
      </c>
      <c r="L441" s="293">
        <f t="shared" si="5"/>
        <v>-3476944.925</v>
      </c>
      <c r="M441" s="293">
        <f t="shared" si="3"/>
        <v>-68574.41</v>
      </c>
      <c r="N441" s="293">
        <f t="shared" si="6"/>
        <v>0</v>
      </c>
      <c r="O441" s="277">
        <f t="shared" si="4"/>
        <v>-70958.78316</v>
      </c>
      <c r="P441" s="264"/>
      <c r="Q441" s="264"/>
      <c r="R441" s="264"/>
      <c r="S441" s="264"/>
      <c r="T441" s="264"/>
      <c r="U441" s="264"/>
      <c r="V441" s="264"/>
      <c r="W441" s="264"/>
      <c r="X441" s="264"/>
      <c r="Y441" s="264"/>
      <c r="Z441" s="264"/>
      <c r="AA441" s="264"/>
      <c r="AB441" s="264"/>
      <c r="AC441" s="264"/>
      <c r="AD441" s="264"/>
      <c r="AE441" s="264"/>
    </row>
    <row r="442">
      <c r="A442" s="272" t="s">
        <v>795</v>
      </c>
      <c r="B442" s="272" t="s">
        <v>793</v>
      </c>
      <c r="C442" s="272" t="s">
        <v>794</v>
      </c>
      <c r="D442" s="129">
        <v>45938.0</v>
      </c>
      <c r="E442" s="267" t="str">
        <f t="shared" si="22"/>
        <v>10 oct</v>
      </c>
      <c r="F442" s="274">
        <f t="shared" si="2"/>
        <v>2025</v>
      </c>
      <c r="G442" s="59" t="s">
        <v>998</v>
      </c>
      <c r="H442" s="59" t="s">
        <v>403</v>
      </c>
      <c r="I442" s="304">
        <v>110561.0</v>
      </c>
      <c r="J442" s="276">
        <f>IF(ISBLANK(I442), "", VLOOKUP(E442&amp;" "&amp;F442, 'Info Tipo de Cambio y REM'!$A$24:$B$35, 2, FALSE))
</f>
        <v>1440</v>
      </c>
      <c r="K442" s="107">
        <f t="shared" si="23"/>
        <v>76.77847222</v>
      </c>
      <c r="L442" s="293">
        <f t="shared" si="5"/>
        <v>-3587505.925</v>
      </c>
      <c r="M442" s="293">
        <f t="shared" si="3"/>
        <v>-68574.41</v>
      </c>
      <c r="N442" s="293">
        <f t="shared" si="6"/>
        <v>0</v>
      </c>
      <c r="O442" s="277">
        <f t="shared" si="4"/>
        <v>-71035.56163</v>
      </c>
      <c r="P442" s="264"/>
      <c r="Q442" s="264"/>
      <c r="R442" s="264"/>
      <c r="S442" s="264"/>
      <c r="T442" s="264"/>
      <c r="U442" s="264"/>
      <c r="V442" s="264"/>
      <c r="W442" s="264"/>
      <c r="X442" s="264"/>
      <c r="Y442" s="264"/>
      <c r="Z442" s="264"/>
      <c r="AA442" s="264"/>
      <c r="AB442" s="264"/>
      <c r="AC442" s="264"/>
      <c r="AD442" s="264"/>
      <c r="AE442" s="264"/>
    </row>
    <row r="443">
      <c r="A443" s="272" t="s">
        <v>795</v>
      </c>
      <c r="B443" s="272" t="s">
        <v>793</v>
      </c>
      <c r="C443" s="272" t="s">
        <v>794</v>
      </c>
      <c r="D443" s="129">
        <v>45938.0</v>
      </c>
      <c r="E443" s="267" t="str">
        <f t="shared" si="22"/>
        <v>10 oct</v>
      </c>
      <c r="F443" s="274">
        <f t="shared" si="2"/>
        <v>2025</v>
      </c>
      <c r="G443" s="59" t="s">
        <v>999</v>
      </c>
      <c r="H443" s="59" t="s">
        <v>436</v>
      </c>
      <c r="I443" s="304">
        <v>296603.0</v>
      </c>
      <c r="J443" s="276">
        <f>IF(ISBLANK(I443), "", VLOOKUP(E443&amp;" "&amp;F443, 'Info Tipo de Cambio y REM'!$A$24:$B$35, 2, FALSE))
</f>
        <v>1440</v>
      </c>
      <c r="K443" s="107">
        <f t="shared" si="23"/>
        <v>205.9743056</v>
      </c>
      <c r="L443" s="293">
        <f t="shared" si="5"/>
        <v>-3884108.925</v>
      </c>
      <c r="M443" s="293">
        <f t="shared" si="3"/>
        <v>-68574.41</v>
      </c>
      <c r="N443" s="293">
        <f t="shared" si="6"/>
        <v>0</v>
      </c>
      <c r="O443" s="277">
        <f t="shared" si="4"/>
        <v>-71241.53594</v>
      </c>
      <c r="P443" s="264"/>
      <c r="Q443" s="264"/>
      <c r="R443" s="264"/>
      <c r="S443" s="264"/>
      <c r="T443" s="264"/>
      <c r="U443" s="264"/>
      <c r="V443" s="264"/>
      <c r="W443" s="264"/>
      <c r="X443" s="264"/>
      <c r="Y443" s="264"/>
      <c r="Z443" s="264"/>
      <c r="AA443" s="264"/>
      <c r="AB443" s="264"/>
      <c r="AC443" s="264"/>
      <c r="AD443" s="264"/>
      <c r="AE443" s="264"/>
    </row>
    <row r="444">
      <c r="A444" s="272" t="s">
        <v>795</v>
      </c>
      <c r="B444" s="272" t="s">
        <v>793</v>
      </c>
      <c r="C444" s="272" t="s">
        <v>794</v>
      </c>
      <c r="D444" s="129">
        <v>45938.0</v>
      </c>
      <c r="E444" s="267" t="str">
        <f t="shared" si="22"/>
        <v>10 oct</v>
      </c>
      <c r="F444" s="274">
        <f t="shared" si="2"/>
        <v>2025</v>
      </c>
      <c r="G444" s="59" t="s">
        <v>1000</v>
      </c>
      <c r="H444" s="59" t="s">
        <v>413</v>
      </c>
      <c r="I444" s="304">
        <v>87515.1</v>
      </c>
      <c r="J444" s="276">
        <f>IF(ISBLANK(I444), "", VLOOKUP(E444&amp;" "&amp;F444, 'Info Tipo de Cambio y REM'!$A$24:$B$35, 2, FALSE))
</f>
        <v>1440</v>
      </c>
      <c r="K444" s="107">
        <f t="shared" si="23"/>
        <v>60.774375</v>
      </c>
      <c r="L444" s="293">
        <f t="shared" si="5"/>
        <v>-3971624.025</v>
      </c>
      <c r="M444" s="293">
        <f t="shared" si="3"/>
        <v>-68574.41</v>
      </c>
      <c r="N444" s="293">
        <f t="shared" si="6"/>
        <v>0</v>
      </c>
      <c r="O444" s="277">
        <f t="shared" si="4"/>
        <v>-71302.31031</v>
      </c>
      <c r="P444" s="264"/>
      <c r="Q444" s="264"/>
      <c r="R444" s="264"/>
      <c r="S444" s="264"/>
      <c r="T444" s="264"/>
      <c r="U444" s="264"/>
      <c r="V444" s="264"/>
      <c r="W444" s="264"/>
      <c r="X444" s="264"/>
      <c r="Y444" s="264"/>
      <c r="Z444" s="264"/>
      <c r="AA444" s="264"/>
      <c r="AB444" s="264"/>
      <c r="AC444" s="264"/>
      <c r="AD444" s="264"/>
      <c r="AE444" s="264"/>
    </row>
    <row r="445">
      <c r="A445" s="272" t="s">
        <v>795</v>
      </c>
      <c r="B445" s="272" t="s">
        <v>793</v>
      </c>
      <c r="C445" s="272" t="s">
        <v>794</v>
      </c>
      <c r="D445" s="172">
        <v>45939.0</v>
      </c>
      <c r="E445" s="267" t="str">
        <f t="shared" si="22"/>
        <v>10 oct</v>
      </c>
      <c r="F445" s="274">
        <f t="shared" si="2"/>
        <v>2025</v>
      </c>
      <c r="G445" s="59" t="s">
        <v>1001</v>
      </c>
      <c r="H445" s="59" t="s">
        <v>399</v>
      </c>
      <c r="I445" s="275">
        <v>762594.0</v>
      </c>
      <c r="J445" s="276">
        <f>IF(ISBLANK(I445), "", VLOOKUP(E445&amp;" "&amp;F445, 'Info Tipo de Cambio y REM'!$A$24:$B$35, 2, FALSE))
</f>
        <v>1440</v>
      </c>
      <c r="K445" s="107">
        <f t="shared" si="23"/>
        <v>529.5791667</v>
      </c>
      <c r="L445" s="293">
        <f t="shared" si="5"/>
        <v>-4734218.025</v>
      </c>
      <c r="M445" s="293">
        <f t="shared" si="3"/>
        <v>-68574.41</v>
      </c>
      <c r="N445" s="293">
        <f t="shared" si="6"/>
        <v>0</v>
      </c>
      <c r="O445" s="277">
        <f t="shared" si="4"/>
        <v>-71831.88948</v>
      </c>
      <c r="P445" s="264"/>
      <c r="Q445" s="264"/>
      <c r="R445" s="264"/>
      <c r="S445" s="264"/>
      <c r="T445" s="264"/>
      <c r="U445" s="264"/>
      <c r="V445" s="264"/>
      <c r="W445" s="264"/>
      <c r="X445" s="264"/>
      <c r="Y445" s="264"/>
      <c r="Z445" s="264"/>
      <c r="AA445" s="264"/>
      <c r="AB445" s="264"/>
      <c r="AC445" s="264"/>
      <c r="AD445" s="264"/>
      <c r="AE445" s="264"/>
    </row>
    <row r="446">
      <c r="A446" s="272" t="s">
        <v>795</v>
      </c>
      <c r="B446" s="272" t="s">
        <v>793</v>
      </c>
      <c r="C446" s="272" t="s">
        <v>794</v>
      </c>
      <c r="D446" s="172">
        <v>45939.0</v>
      </c>
      <c r="E446" s="267" t="str">
        <f t="shared" si="22"/>
        <v>10 oct</v>
      </c>
      <c r="F446" s="274">
        <f t="shared" si="2"/>
        <v>2025</v>
      </c>
      <c r="G446" s="59" t="s">
        <v>1002</v>
      </c>
      <c r="H446" s="59" t="s">
        <v>387</v>
      </c>
      <c r="I446" s="304">
        <v>369517.0</v>
      </c>
      <c r="J446" s="276">
        <f>IF(ISBLANK(I446), "", VLOOKUP(E446&amp;" "&amp;F446, 'Info Tipo de Cambio y REM'!$A$24:$B$35, 2, FALSE))
</f>
        <v>1440</v>
      </c>
      <c r="K446" s="107">
        <f t="shared" si="23"/>
        <v>256.6090278</v>
      </c>
      <c r="L446" s="293">
        <f t="shared" si="5"/>
        <v>-5103735.025</v>
      </c>
      <c r="M446" s="293">
        <f t="shared" si="3"/>
        <v>-68574.41</v>
      </c>
      <c r="N446" s="293">
        <f t="shared" si="6"/>
        <v>0</v>
      </c>
      <c r="O446" s="277">
        <f t="shared" si="4"/>
        <v>-72088.49851</v>
      </c>
      <c r="P446" s="264"/>
      <c r="Q446" s="264"/>
      <c r="R446" s="264"/>
      <c r="S446" s="264"/>
      <c r="T446" s="264"/>
      <c r="U446" s="264"/>
      <c r="V446" s="264"/>
      <c r="W446" s="264"/>
      <c r="X446" s="264"/>
      <c r="Y446" s="264"/>
      <c r="Z446" s="264"/>
      <c r="AA446" s="264"/>
      <c r="AB446" s="264"/>
      <c r="AC446" s="264"/>
      <c r="AD446" s="264"/>
      <c r="AE446" s="264"/>
    </row>
    <row r="447">
      <c r="A447" s="272" t="s">
        <v>795</v>
      </c>
      <c r="B447" s="272" t="s">
        <v>793</v>
      </c>
      <c r="C447" s="272" t="s">
        <v>794</v>
      </c>
      <c r="D447" s="172">
        <v>45939.0</v>
      </c>
      <c r="E447" s="267" t="str">
        <f t="shared" si="22"/>
        <v>10 oct</v>
      </c>
      <c r="F447" s="274">
        <f t="shared" si="2"/>
        <v>2025</v>
      </c>
      <c r="G447" s="59" t="s">
        <v>1003</v>
      </c>
      <c r="H447" s="59" t="s">
        <v>577</v>
      </c>
      <c r="I447" s="275">
        <v>83680.0</v>
      </c>
      <c r="J447" s="276">
        <f>IF(ISBLANK(I447), "", VLOOKUP(E447&amp;" "&amp;F447, 'Info Tipo de Cambio y REM'!$A$24:$B$35, 2, FALSE))
</f>
        <v>1440</v>
      </c>
      <c r="K447" s="107">
        <f t="shared" si="23"/>
        <v>58.11111111</v>
      </c>
      <c r="L447" s="293">
        <f t="shared" si="5"/>
        <v>-5187415.025</v>
      </c>
      <c r="M447" s="293">
        <f t="shared" si="3"/>
        <v>-68574.41</v>
      </c>
      <c r="N447" s="293">
        <f t="shared" si="6"/>
        <v>0</v>
      </c>
      <c r="O447" s="277">
        <f t="shared" si="4"/>
        <v>-72146.60962</v>
      </c>
      <c r="P447" s="264"/>
      <c r="Q447" s="264"/>
      <c r="R447" s="264"/>
      <c r="S447" s="264"/>
      <c r="T447" s="264"/>
      <c r="U447" s="264"/>
      <c r="V447" s="264"/>
      <c r="W447" s="264"/>
      <c r="X447" s="264"/>
      <c r="Y447" s="264"/>
      <c r="Z447" s="264"/>
      <c r="AA447" s="264"/>
      <c r="AB447" s="264"/>
      <c r="AC447" s="264"/>
      <c r="AD447" s="264"/>
      <c r="AE447" s="264"/>
    </row>
    <row r="448">
      <c r="A448" s="272"/>
      <c r="B448" s="272"/>
      <c r="C448" s="272"/>
      <c r="D448" s="172"/>
      <c r="E448" s="267" t="str">
        <f t="shared" si="22"/>
        <v/>
      </c>
      <c r="F448" s="274" t="str">
        <f t="shared" si="2"/>
        <v/>
      </c>
      <c r="G448" s="42"/>
      <c r="H448" s="264"/>
      <c r="I448" s="277"/>
      <c r="J448" s="276" t="str">
        <f>IF(ISBLANK(I448), "", VLOOKUP(E448&amp;" "&amp;F448, 'Info Tipo de Cambio y REM'!$A$24:$B$35, 2, FALSE))
</f>
        <v/>
      </c>
      <c r="K448" s="107" t="str">
        <f t="shared" si="23"/>
        <v/>
      </c>
      <c r="L448" s="293">
        <f t="shared" si="5"/>
        <v>-5187415.025</v>
      </c>
      <c r="M448" s="293">
        <f t="shared" si="3"/>
        <v>-68574.41</v>
      </c>
      <c r="N448" s="293">
        <f t="shared" si="6"/>
        <v>0</v>
      </c>
      <c r="O448" s="277">
        <f t="shared" si="4"/>
        <v>-72146.60962</v>
      </c>
      <c r="P448" s="264"/>
      <c r="Q448" s="264"/>
      <c r="R448" s="264"/>
      <c r="S448" s="264"/>
      <c r="T448" s="264"/>
      <c r="U448" s="264"/>
      <c r="V448" s="264"/>
      <c r="W448" s="264"/>
      <c r="X448" s="264"/>
      <c r="Y448" s="264"/>
      <c r="Z448" s="264"/>
      <c r="AA448" s="264"/>
      <c r="AB448" s="264"/>
      <c r="AC448" s="264"/>
      <c r="AD448" s="264"/>
      <c r="AE448" s="264"/>
    </row>
    <row r="449">
      <c r="A449" s="272"/>
      <c r="B449" s="272"/>
      <c r="C449" s="272"/>
      <c r="D449" s="172"/>
      <c r="E449" s="267" t="str">
        <f t="shared" si="22"/>
        <v/>
      </c>
      <c r="F449" s="274" t="str">
        <f t="shared" si="2"/>
        <v/>
      </c>
      <c r="G449" s="42"/>
      <c r="H449" s="264"/>
      <c r="I449" s="277"/>
      <c r="J449" s="276" t="str">
        <f>IF(ISBLANK(I449), "", VLOOKUP(E449&amp;" "&amp;F449, 'Info Tipo de Cambio y REM'!$A$24:$B$35, 2, FALSE))
</f>
        <v/>
      </c>
      <c r="K449" s="107" t="str">
        <f t="shared" si="23"/>
        <v/>
      </c>
      <c r="L449" s="293">
        <f t="shared" si="5"/>
        <v>-5187415.025</v>
      </c>
      <c r="M449" s="293">
        <f t="shared" si="3"/>
        <v>-68574.41</v>
      </c>
      <c r="N449" s="293">
        <f t="shared" si="6"/>
        <v>0</v>
      </c>
      <c r="O449" s="277">
        <f t="shared" si="4"/>
        <v>-72146.60962</v>
      </c>
      <c r="P449" s="264"/>
      <c r="Q449" s="264"/>
      <c r="R449" s="264"/>
      <c r="S449" s="264"/>
      <c r="T449" s="264"/>
      <c r="U449" s="264"/>
      <c r="V449" s="264"/>
      <c r="W449" s="264"/>
      <c r="X449" s="264"/>
      <c r="Y449" s="264"/>
      <c r="Z449" s="264"/>
      <c r="AA449" s="264"/>
      <c r="AB449" s="264"/>
      <c r="AC449" s="264"/>
      <c r="AD449" s="264"/>
      <c r="AE449" s="264"/>
    </row>
    <row r="450">
      <c r="A450" s="272"/>
      <c r="B450" s="272"/>
      <c r="C450" s="272"/>
      <c r="D450" s="172"/>
      <c r="E450" s="267" t="str">
        <f t="shared" si="22"/>
        <v/>
      </c>
      <c r="F450" s="274" t="str">
        <f t="shared" si="2"/>
        <v/>
      </c>
      <c r="G450" s="42"/>
      <c r="H450" s="264"/>
      <c r="I450" s="277"/>
      <c r="J450" s="276" t="str">
        <f>IF(ISBLANK(I450), "", VLOOKUP(E450&amp;" "&amp;F450, 'Info Tipo de Cambio y REM'!$A$24:$B$35, 2, FALSE))
</f>
        <v/>
      </c>
      <c r="K450" s="107" t="str">
        <f t="shared" si="23"/>
        <v/>
      </c>
      <c r="L450" s="293">
        <f t="shared" si="5"/>
        <v>-5187415.025</v>
      </c>
      <c r="M450" s="293">
        <f t="shared" si="3"/>
        <v>-68574.41</v>
      </c>
      <c r="N450" s="293">
        <f t="shared" si="6"/>
        <v>0</v>
      </c>
      <c r="O450" s="277">
        <f t="shared" si="4"/>
        <v>-72146.60962</v>
      </c>
      <c r="P450" s="264"/>
      <c r="Q450" s="264"/>
      <c r="R450" s="264"/>
      <c r="S450" s="264"/>
      <c r="T450" s="264"/>
      <c r="U450" s="264"/>
      <c r="V450" s="264"/>
      <c r="W450" s="264"/>
      <c r="X450" s="264"/>
      <c r="Y450" s="264"/>
      <c r="Z450" s="264"/>
      <c r="AA450" s="264"/>
      <c r="AB450" s="264"/>
      <c r="AC450" s="264"/>
      <c r="AD450" s="264"/>
      <c r="AE450" s="264"/>
    </row>
    <row r="451">
      <c r="A451" s="272"/>
      <c r="B451" s="272"/>
      <c r="C451" s="272"/>
      <c r="D451" s="172"/>
      <c r="E451" s="267" t="str">
        <f t="shared" si="22"/>
        <v/>
      </c>
      <c r="F451" s="274" t="str">
        <f t="shared" si="2"/>
        <v/>
      </c>
      <c r="G451" s="42"/>
      <c r="H451" s="264"/>
      <c r="I451" s="277"/>
      <c r="J451" s="276" t="str">
        <f>IF(ISBLANK(I451), "", VLOOKUP(E451&amp;" "&amp;F451, 'Info Tipo de Cambio y REM'!$A$24:$B$35, 2, FALSE))
</f>
        <v/>
      </c>
      <c r="K451" s="107" t="str">
        <f t="shared" si="23"/>
        <v/>
      </c>
      <c r="L451" s="293">
        <f t="shared" si="5"/>
        <v>-5187415.025</v>
      </c>
      <c r="M451" s="293">
        <f t="shared" si="3"/>
        <v>-68574.41</v>
      </c>
      <c r="N451" s="293">
        <f t="shared" si="6"/>
        <v>0</v>
      </c>
      <c r="O451" s="277">
        <f t="shared" si="4"/>
        <v>-72146.60962</v>
      </c>
      <c r="P451" s="264"/>
      <c r="Q451" s="264"/>
      <c r="R451" s="264"/>
      <c r="S451" s="264"/>
      <c r="T451" s="264"/>
      <c r="U451" s="264"/>
      <c r="V451" s="264"/>
      <c r="W451" s="264"/>
      <c r="X451" s="264"/>
      <c r="Y451" s="264"/>
      <c r="Z451" s="264"/>
      <c r="AA451" s="264"/>
      <c r="AB451" s="264"/>
      <c r="AC451" s="264"/>
      <c r="AD451" s="264"/>
      <c r="AE451" s="264"/>
    </row>
    <row r="452">
      <c r="A452" s="272"/>
      <c r="B452" s="272"/>
      <c r="C452" s="272"/>
      <c r="D452" s="172"/>
      <c r="E452" s="267" t="str">
        <f t="shared" si="22"/>
        <v/>
      </c>
      <c r="F452" s="274" t="str">
        <f t="shared" si="2"/>
        <v/>
      </c>
      <c r="G452" s="42"/>
      <c r="H452" s="264"/>
      <c r="I452" s="277"/>
      <c r="J452" s="276" t="str">
        <f>IF(ISBLANK(I452), "", VLOOKUP(E452&amp;" "&amp;F452, 'Info Tipo de Cambio y REM'!$A$24:$B$35, 2, FALSE))
</f>
        <v/>
      </c>
      <c r="K452" s="107" t="str">
        <f t="shared" si="23"/>
        <v/>
      </c>
      <c r="L452" s="293">
        <f t="shared" si="5"/>
        <v>-5187415.025</v>
      </c>
      <c r="M452" s="293">
        <f t="shared" si="3"/>
        <v>-68574.41</v>
      </c>
      <c r="N452" s="293">
        <f t="shared" si="6"/>
        <v>0</v>
      </c>
      <c r="O452" s="277">
        <f t="shared" si="4"/>
        <v>-72146.60962</v>
      </c>
      <c r="P452" s="264"/>
      <c r="Q452" s="264"/>
      <c r="R452" s="264"/>
      <c r="S452" s="264"/>
      <c r="T452" s="264"/>
      <c r="U452" s="264"/>
      <c r="V452" s="264"/>
      <c r="W452" s="264"/>
      <c r="X452" s="264"/>
      <c r="Y452" s="264"/>
      <c r="Z452" s="264"/>
      <c r="AA452" s="264"/>
      <c r="AB452" s="264"/>
      <c r="AC452" s="264"/>
      <c r="AD452" s="264"/>
      <c r="AE452" s="264"/>
    </row>
    <row r="453">
      <c r="A453" s="272"/>
      <c r="B453" s="272"/>
      <c r="C453" s="272"/>
      <c r="D453" s="172"/>
      <c r="E453" s="267" t="str">
        <f t="shared" si="22"/>
        <v/>
      </c>
      <c r="F453" s="274" t="str">
        <f t="shared" si="2"/>
        <v/>
      </c>
      <c r="G453" s="42"/>
      <c r="H453" s="264"/>
      <c r="I453" s="277"/>
      <c r="J453" s="276" t="str">
        <f>IF(ISBLANK(I453), "", VLOOKUP(E453&amp;" "&amp;F453, 'Info Tipo de Cambio y REM'!$A$24:$B$35, 2, FALSE))
</f>
        <v/>
      </c>
      <c r="K453" s="107" t="str">
        <f t="shared" si="23"/>
        <v/>
      </c>
      <c r="L453" s="293">
        <f t="shared" si="5"/>
        <v>-5187415.025</v>
      </c>
      <c r="M453" s="293">
        <f t="shared" si="3"/>
        <v>-68574.41</v>
      </c>
      <c r="N453" s="293">
        <f t="shared" si="6"/>
        <v>0</v>
      </c>
      <c r="O453" s="277">
        <f t="shared" si="4"/>
        <v>-72146.60962</v>
      </c>
      <c r="P453" s="264"/>
      <c r="Q453" s="264"/>
      <c r="R453" s="264"/>
      <c r="S453" s="264"/>
      <c r="T453" s="264"/>
      <c r="U453" s="264"/>
      <c r="V453" s="264"/>
      <c r="W453" s="264"/>
      <c r="X453" s="264"/>
      <c r="Y453" s="264"/>
      <c r="Z453" s="264"/>
      <c r="AA453" s="264"/>
      <c r="AB453" s="264"/>
      <c r="AC453" s="264"/>
      <c r="AD453" s="264"/>
      <c r="AE453" s="264"/>
    </row>
    <row r="454">
      <c r="A454" s="272"/>
      <c r="B454" s="272"/>
      <c r="C454" s="272"/>
      <c r="D454" s="172"/>
      <c r="E454" s="267" t="str">
        <f t="shared" si="22"/>
        <v/>
      </c>
      <c r="F454" s="274" t="str">
        <f t="shared" si="2"/>
        <v/>
      </c>
      <c r="G454" s="42"/>
      <c r="H454" s="264"/>
      <c r="I454" s="277"/>
      <c r="J454" s="276" t="str">
        <f>IF(ISBLANK(I454), "", VLOOKUP(E454&amp;" "&amp;F454, 'Info Tipo de Cambio y REM'!$A$24:$B$35, 2, FALSE))
</f>
        <v/>
      </c>
      <c r="K454" s="107" t="str">
        <f t="shared" si="23"/>
        <v/>
      </c>
      <c r="L454" s="293">
        <f t="shared" si="5"/>
        <v>-5187415.025</v>
      </c>
      <c r="M454" s="293">
        <f t="shared" si="3"/>
        <v>-68574.41</v>
      </c>
      <c r="N454" s="293">
        <f t="shared" si="6"/>
        <v>0</v>
      </c>
      <c r="O454" s="277">
        <f t="shared" si="4"/>
        <v>-72146.60962</v>
      </c>
      <c r="P454" s="264"/>
      <c r="Q454" s="264"/>
      <c r="R454" s="264"/>
      <c r="S454" s="264"/>
      <c r="T454" s="264"/>
      <c r="U454" s="264"/>
      <c r="V454" s="264"/>
      <c r="W454" s="264"/>
      <c r="X454" s="264"/>
      <c r="Y454" s="264"/>
      <c r="Z454" s="264"/>
      <c r="AA454" s="264"/>
      <c r="AB454" s="264"/>
      <c r="AC454" s="264"/>
      <c r="AD454" s="264"/>
      <c r="AE454" s="264"/>
    </row>
    <row r="455">
      <c r="A455" s="272"/>
      <c r="B455" s="272"/>
      <c r="C455" s="272"/>
      <c r="D455" s="172"/>
      <c r="E455" s="267" t="str">
        <f t="shared" si="22"/>
        <v/>
      </c>
      <c r="F455" s="274" t="str">
        <f t="shared" si="2"/>
        <v/>
      </c>
      <c r="G455" s="42"/>
      <c r="H455" s="264"/>
      <c r="I455" s="277"/>
      <c r="J455" s="276" t="str">
        <f>IF(ISBLANK(I455), "", VLOOKUP(E455&amp;" "&amp;F455, 'Info Tipo de Cambio y REM'!$A$24:$B$35, 2, FALSE))
</f>
        <v/>
      </c>
      <c r="K455" s="107" t="str">
        <f t="shared" si="23"/>
        <v/>
      </c>
      <c r="L455" s="293">
        <f t="shared" si="5"/>
        <v>-5187415.025</v>
      </c>
      <c r="M455" s="293">
        <f t="shared" si="3"/>
        <v>-68574.41</v>
      </c>
      <c r="N455" s="293">
        <f t="shared" si="6"/>
        <v>0</v>
      </c>
      <c r="O455" s="277">
        <f t="shared" si="4"/>
        <v>-72146.60962</v>
      </c>
      <c r="P455" s="264"/>
      <c r="Q455" s="264"/>
      <c r="R455" s="264"/>
      <c r="S455" s="264"/>
      <c r="T455" s="264"/>
      <c r="U455" s="264"/>
      <c r="V455" s="264"/>
      <c r="W455" s="264"/>
      <c r="X455" s="264"/>
      <c r="Y455" s="264"/>
      <c r="Z455" s="264"/>
      <c r="AA455" s="264"/>
      <c r="AB455" s="264"/>
      <c r="AC455" s="264"/>
      <c r="AD455" s="264"/>
      <c r="AE455" s="264"/>
    </row>
    <row r="456">
      <c r="A456" s="272"/>
      <c r="B456" s="272"/>
      <c r="C456" s="272"/>
      <c r="D456" s="172"/>
      <c r="E456" s="267" t="str">
        <f t="shared" si="22"/>
        <v/>
      </c>
      <c r="F456" s="274" t="str">
        <f t="shared" si="2"/>
        <v/>
      </c>
      <c r="G456" s="42"/>
      <c r="H456" s="264"/>
      <c r="I456" s="277"/>
      <c r="J456" s="276" t="str">
        <f>IF(ISBLANK(I456), "", VLOOKUP(E456&amp;" "&amp;F456, 'Info Tipo de Cambio y REM'!$A$24:$B$35, 2, FALSE))
</f>
        <v/>
      </c>
      <c r="K456" s="107" t="str">
        <f t="shared" si="23"/>
        <v/>
      </c>
      <c r="L456" s="293">
        <f t="shared" si="5"/>
        <v>-5187415.025</v>
      </c>
      <c r="M456" s="293">
        <f t="shared" si="3"/>
        <v>-68574.41</v>
      </c>
      <c r="N456" s="293">
        <f t="shared" si="6"/>
        <v>0</v>
      </c>
      <c r="O456" s="277">
        <f t="shared" si="4"/>
        <v>-72146.60962</v>
      </c>
      <c r="P456" s="264"/>
      <c r="Q456" s="264"/>
      <c r="R456" s="264"/>
      <c r="S456" s="264"/>
      <c r="T456" s="264"/>
      <c r="U456" s="264"/>
      <c r="V456" s="264"/>
      <c r="W456" s="264"/>
      <c r="X456" s="264"/>
      <c r="Y456" s="264"/>
      <c r="Z456" s="264"/>
      <c r="AA456" s="264"/>
      <c r="AB456" s="264"/>
      <c r="AC456" s="264"/>
      <c r="AD456" s="264"/>
      <c r="AE456" s="264"/>
    </row>
    <row r="457">
      <c r="A457" s="272"/>
      <c r="B457" s="272"/>
      <c r="C457" s="272"/>
      <c r="D457" s="172"/>
      <c r="E457" s="267" t="str">
        <f t="shared" si="22"/>
        <v/>
      </c>
      <c r="F457" s="274" t="str">
        <f t="shared" si="2"/>
        <v/>
      </c>
      <c r="G457" s="42"/>
      <c r="H457" s="264"/>
      <c r="I457" s="277"/>
      <c r="J457" s="276" t="str">
        <f>IF(ISBLANK(I457), "", VLOOKUP(E457&amp;" "&amp;F457, 'Info Tipo de Cambio y REM'!$A$24:$B$35, 2, FALSE))
</f>
        <v/>
      </c>
      <c r="K457" s="107" t="str">
        <f t="shared" si="23"/>
        <v/>
      </c>
      <c r="L457" s="293">
        <f t="shared" si="5"/>
        <v>-5187415.025</v>
      </c>
      <c r="M457" s="293">
        <f t="shared" si="3"/>
        <v>-68574.41</v>
      </c>
      <c r="N457" s="293">
        <f t="shared" si="6"/>
        <v>0</v>
      </c>
      <c r="O457" s="277">
        <f t="shared" si="4"/>
        <v>-72146.60962</v>
      </c>
      <c r="P457" s="264"/>
      <c r="Q457" s="264"/>
      <c r="R457" s="264"/>
      <c r="S457" s="264"/>
      <c r="T457" s="264"/>
      <c r="U457" s="264"/>
      <c r="V457" s="264"/>
      <c r="W457" s="264"/>
      <c r="X457" s="264"/>
      <c r="Y457" s="264"/>
      <c r="Z457" s="264"/>
      <c r="AA457" s="264"/>
      <c r="AB457" s="264"/>
      <c r="AC457" s="264"/>
      <c r="AD457" s="264"/>
      <c r="AE457" s="264"/>
    </row>
    <row r="458">
      <c r="A458" s="272"/>
      <c r="B458" s="272"/>
      <c r="C458" s="272"/>
      <c r="D458" s="172"/>
      <c r="E458" s="267" t="str">
        <f t="shared" si="22"/>
        <v/>
      </c>
      <c r="F458" s="274" t="str">
        <f t="shared" si="2"/>
        <v/>
      </c>
      <c r="G458" s="42"/>
      <c r="H458" s="264"/>
      <c r="I458" s="277"/>
      <c r="J458" s="276" t="str">
        <f>IF(ISBLANK(I458), "", VLOOKUP(E458&amp;" "&amp;F458, 'Info Tipo de Cambio y REM'!$A$24:$B$35, 2, FALSE))
</f>
        <v/>
      </c>
      <c r="K458" s="107" t="str">
        <f t="shared" si="23"/>
        <v/>
      </c>
      <c r="L458" s="293">
        <f t="shared" si="5"/>
        <v>-5187415.025</v>
      </c>
      <c r="M458" s="293">
        <f t="shared" si="3"/>
        <v>-68574.41</v>
      </c>
      <c r="N458" s="293">
        <f t="shared" si="6"/>
        <v>0</v>
      </c>
      <c r="O458" s="277">
        <f t="shared" si="4"/>
        <v>-72146.60962</v>
      </c>
      <c r="P458" s="264"/>
      <c r="Q458" s="264"/>
      <c r="R458" s="264"/>
      <c r="S458" s="264"/>
      <c r="T458" s="264"/>
      <c r="U458" s="264"/>
      <c r="V458" s="264"/>
      <c r="W458" s="264"/>
      <c r="X458" s="264"/>
      <c r="Y458" s="264"/>
      <c r="Z458" s="264"/>
      <c r="AA458" s="264"/>
      <c r="AB458" s="264"/>
      <c r="AC458" s="264"/>
      <c r="AD458" s="264"/>
      <c r="AE458" s="264"/>
    </row>
    <row r="459">
      <c r="A459" s="272"/>
      <c r="B459" s="272"/>
      <c r="C459" s="272"/>
      <c r="D459" s="172"/>
      <c r="E459" s="267" t="str">
        <f t="shared" si="22"/>
        <v/>
      </c>
      <c r="F459" s="274" t="str">
        <f t="shared" si="2"/>
        <v/>
      </c>
      <c r="G459" s="42"/>
      <c r="H459" s="264"/>
      <c r="I459" s="277"/>
      <c r="J459" s="276" t="str">
        <f>IF(ISBLANK(I459), "", VLOOKUP(E459&amp;" "&amp;F459, 'Info Tipo de Cambio y REM'!$A$24:$B$35, 2, FALSE))
</f>
        <v/>
      </c>
      <c r="K459" s="107" t="str">
        <f t="shared" si="23"/>
        <v/>
      </c>
      <c r="L459" s="293">
        <f t="shared" si="5"/>
        <v>-5187415.025</v>
      </c>
      <c r="M459" s="293">
        <f t="shared" si="3"/>
        <v>-68574.41</v>
      </c>
      <c r="N459" s="293">
        <f t="shared" si="6"/>
        <v>0</v>
      </c>
      <c r="O459" s="277">
        <f t="shared" si="4"/>
        <v>-72146.60962</v>
      </c>
      <c r="P459" s="264"/>
      <c r="Q459" s="264"/>
      <c r="R459" s="264"/>
      <c r="S459" s="264"/>
      <c r="T459" s="264"/>
      <c r="U459" s="264"/>
      <c r="V459" s="264"/>
      <c r="W459" s="264"/>
      <c r="X459" s="264"/>
      <c r="Y459" s="264"/>
      <c r="Z459" s="264"/>
      <c r="AA459" s="264"/>
      <c r="AB459" s="264"/>
      <c r="AC459" s="264"/>
      <c r="AD459" s="264"/>
      <c r="AE459" s="264"/>
    </row>
    <row r="460">
      <c r="A460" s="272"/>
      <c r="B460" s="272"/>
      <c r="C460" s="272"/>
      <c r="D460" s="172"/>
      <c r="E460" s="267" t="str">
        <f t="shared" si="22"/>
        <v/>
      </c>
      <c r="F460" s="274" t="str">
        <f t="shared" si="2"/>
        <v/>
      </c>
      <c r="G460" s="42"/>
      <c r="H460" s="264"/>
      <c r="I460" s="277"/>
      <c r="J460" s="276" t="str">
        <f>IF(ISBLANK(I460), "", VLOOKUP(E460&amp;" "&amp;F460, 'Info Tipo de Cambio y REM'!$A$24:$B$35, 2, FALSE))
</f>
        <v/>
      </c>
      <c r="K460" s="107" t="str">
        <f t="shared" si="23"/>
        <v/>
      </c>
      <c r="L460" s="293">
        <f t="shared" si="5"/>
        <v>-5187415.025</v>
      </c>
      <c r="M460" s="293">
        <f t="shared" si="3"/>
        <v>-68574.41</v>
      </c>
      <c r="N460" s="293">
        <f t="shared" si="6"/>
        <v>0</v>
      </c>
      <c r="O460" s="277">
        <f t="shared" si="4"/>
        <v>-72146.60962</v>
      </c>
      <c r="P460" s="264"/>
      <c r="Q460" s="264"/>
      <c r="R460" s="264"/>
      <c r="S460" s="264"/>
      <c r="T460" s="264"/>
      <c r="U460" s="264"/>
      <c r="V460" s="264"/>
      <c r="W460" s="264"/>
      <c r="X460" s="264"/>
      <c r="Y460" s="264"/>
      <c r="Z460" s="264"/>
      <c r="AA460" s="264"/>
      <c r="AB460" s="264"/>
      <c r="AC460" s="264"/>
      <c r="AD460" s="264"/>
      <c r="AE460" s="264"/>
    </row>
    <row r="461">
      <c r="A461" s="272"/>
      <c r="B461" s="272"/>
      <c r="C461" s="272"/>
      <c r="D461" s="172"/>
      <c r="E461" s="267" t="str">
        <f t="shared" si="22"/>
        <v/>
      </c>
      <c r="F461" s="274" t="str">
        <f t="shared" si="2"/>
        <v/>
      </c>
      <c r="G461" s="42"/>
      <c r="H461" s="264"/>
      <c r="I461" s="277"/>
      <c r="J461" s="276" t="str">
        <f>IF(ISBLANK(I461), "", VLOOKUP(E461&amp;" "&amp;F461, 'Info Tipo de Cambio y REM'!$A$24:$B$35, 2, FALSE))
</f>
        <v/>
      </c>
      <c r="K461" s="107" t="str">
        <f t="shared" si="23"/>
        <v/>
      </c>
      <c r="L461" s="293">
        <f t="shared" si="5"/>
        <v>-5187415.025</v>
      </c>
      <c r="M461" s="293">
        <f t="shared" si="3"/>
        <v>-68574.41</v>
      </c>
      <c r="N461" s="293">
        <f t="shared" si="6"/>
        <v>0</v>
      </c>
      <c r="O461" s="277">
        <f t="shared" si="4"/>
        <v>-72146.60962</v>
      </c>
      <c r="P461" s="264"/>
      <c r="Q461" s="264"/>
      <c r="R461" s="264"/>
      <c r="S461" s="264"/>
      <c r="T461" s="264"/>
      <c r="U461" s="264"/>
      <c r="V461" s="264"/>
      <c r="W461" s="264"/>
      <c r="X461" s="264"/>
      <c r="Y461" s="264"/>
      <c r="Z461" s="264"/>
      <c r="AA461" s="264"/>
      <c r="AB461" s="264"/>
      <c r="AC461" s="264"/>
      <c r="AD461" s="264"/>
      <c r="AE461" s="264"/>
    </row>
    <row r="462">
      <c r="A462" s="272"/>
      <c r="B462" s="272"/>
      <c r="C462" s="272"/>
      <c r="D462" s="172"/>
      <c r="E462" s="267" t="str">
        <f t="shared" si="22"/>
        <v/>
      </c>
      <c r="F462" s="274" t="str">
        <f t="shared" si="2"/>
        <v/>
      </c>
      <c r="G462" s="42"/>
      <c r="H462" s="264"/>
      <c r="I462" s="277"/>
      <c r="J462" s="276" t="str">
        <f>IF(ISBLANK(I462), "", VLOOKUP(E462&amp;" "&amp;F462, 'Info Tipo de Cambio y REM'!$A$24:$B$35, 2, FALSE))
</f>
        <v/>
      </c>
      <c r="K462" s="107" t="str">
        <f t="shared" si="23"/>
        <v/>
      </c>
      <c r="L462" s="293">
        <f t="shared" si="5"/>
        <v>-5187415.025</v>
      </c>
      <c r="M462" s="293">
        <f t="shared" si="3"/>
        <v>-68574.41</v>
      </c>
      <c r="N462" s="293">
        <f t="shared" si="6"/>
        <v>0</v>
      </c>
      <c r="O462" s="277">
        <f t="shared" si="4"/>
        <v>-72146.60962</v>
      </c>
      <c r="P462" s="264"/>
      <c r="Q462" s="264"/>
      <c r="R462" s="264"/>
      <c r="S462" s="264"/>
      <c r="T462" s="264"/>
      <c r="U462" s="264"/>
      <c r="V462" s="264"/>
      <c r="W462" s="264"/>
      <c r="X462" s="264"/>
      <c r="Y462" s="264"/>
      <c r="Z462" s="264"/>
      <c r="AA462" s="264"/>
      <c r="AB462" s="264"/>
      <c r="AC462" s="264"/>
      <c r="AD462" s="264"/>
      <c r="AE462" s="264"/>
    </row>
    <row r="463">
      <c r="A463" s="272"/>
      <c r="B463" s="272"/>
      <c r="C463" s="272"/>
      <c r="D463" s="172"/>
      <c r="E463" s="267" t="str">
        <f t="shared" si="22"/>
        <v/>
      </c>
      <c r="F463" s="274" t="str">
        <f t="shared" si="2"/>
        <v/>
      </c>
      <c r="G463" s="42"/>
      <c r="H463" s="264"/>
      <c r="I463" s="277"/>
      <c r="J463" s="276" t="str">
        <f>IF(ISBLANK(I463), "", VLOOKUP(E463&amp;" "&amp;F463, 'Info Tipo de Cambio y REM'!$A$24:$B$35, 2, FALSE))
</f>
        <v/>
      </c>
      <c r="K463" s="107" t="str">
        <f t="shared" si="23"/>
        <v/>
      </c>
      <c r="L463" s="293">
        <f t="shared" si="5"/>
        <v>-5187415.025</v>
      </c>
      <c r="M463" s="293">
        <f t="shared" si="3"/>
        <v>-68574.41</v>
      </c>
      <c r="N463" s="293">
        <f t="shared" si="6"/>
        <v>0</v>
      </c>
      <c r="O463" s="277">
        <f t="shared" si="4"/>
        <v>-72146.60962</v>
      </c>
      <c r="P463" s="264"/>
      <c r="Q463" s="264"/>
      <c r="R463" s="264"/>
      <c r="S463" s="264"/>
      <c r="T463" s="264"/>
      <c r="U463" s="264"/>
      <c r="V463" s="264"/>
      <c r="W463" s="264"/>
      <c r="X463" s="264"/>
      <c r="Y463" s="264"/>
      <c r="Z463" s="264"/>
      <c r="AA463" s="264"/>
      <c r="AB463" s="264"/>
      <c r="AC463" s="264"/>
      <c r="AD463" s="264"/>
      <c r="AE463" s="264"/>
    </row>
    <row r="464">
      <c r="A464" s="272"/>
      <c r="B464" s="272"/>
      <c r="C464" s="272"/>
      <c r="D464" s="172"/>
      <c r="E464" s="267" t="str">
        <f t="shared" si="22"/>
        <v/>
      </c>
      <c r="F464" s="274" t="str">
        <f t="shared" si="2"/>
        <v/>
      </c>
      <c r="G464" s="42"/>
      <c r="H464" s="264"/>
      <c r="I464" s="277"/>
      <c r="J464" s="276" t="str">
        <f>IF(ISBLANK(I464), "", VLOOKUP(E464&amp;" "&amp;F464, 'Info Tipo de Cambio y REM'!$A$24:$B$35, 2, FALSE))
</f>
        <v/>
      </c>
      <c r="K464" s="107" t="str">
        <f t="shared" si="23"/>
        <v/>
      </c>
      <c r="L464" s="293">
        <f t="shared" si="5"/>
        <v>-5187415.025</v>
      </c>
      <c r="M464" s="293">
        <f t="shared" si="3"/>
        <v>-68574.41</v>
      </c>
      <c r="N464" s="293">
        <f t="shared" si="6"/>
        <v>0</v>
      </c>
      <c r="O464" s="277">
        <f t="shared" si="4"/>
        <v>-72146.60962</v>
      </c>
      <c r="P464" s="264"/>
      <c r="Q464" s="264"/>
      <c r="R464" s="264"/>
      <c r="S464" s="264"/>
      <c r="T464" s="264"/>
      <c r="U464" s="264"/>
      <c r="V464" s="264"/>
      <c r="W464" s="264"/>
      <c r="X464" s="264"/>
      <c r="Y464" s="264"/>
      <c r="Z464" s="264"/>
      <c r="AA464" s="264"/>
      <c r="AB464" s="264"/>
      <c r="AC464" s="264"/>
      <c r="AD464" s="264"/>
      <c r="AE464" s="264"/>
    </row>
    <row r="465">
      <c r="A465" s="272"/>
      <c r="B465" s="272"/>
      <c r="C465" s="272"/>
      <c r="D465" s="172"/>
      <c r="E465" s="267" t="str">
        <f t="shared" si="22"/>
        <v/>
      </c>
      <c r="F465" s="274" t="str">
        <f t="shared" si="2"/>
        <v/>
      </c>
      <c r="G465" s="42"/>
      <c r="H465" s="264"/>
      <c r="I465" s="277"/>
      <c r="J465" s="276" t="str">
        <f>IF(ISBLANK(I465), "", VLOOKUP(E465&amp;" "&amp;F465, 'Info Tipo de Cambio y REM'!$A$24:$B$35, 2, FALSE))
</f>
        <v/>
      </c>
      <c r="K465" s="107" t="str">
        <f t="shared" si="23"/>
        <v/>
      </c>
      <c r="L465" s="293">
        <f t="shared" si="5"/>
        <v>-5187415.025</v>
      </c>
      <c r="M465" s="293">
        <f t="shared" si="3"/>
        <v>-68574.41</v>
      </c>
      <c r="N465" s="293">
        <f t="shared" si="6"/>
        <v>0</v>
      </c>
      <c r="O465" s="277">
        <f t="shared" si="4"/>
        <v>-72146.60962</v>
      </c>
      <c r="P465" s="264"/>
      <c r="Q465" s="264"/>
      <c r="R465" s="264"/>
      <c r="S465" s="264"/>
      <c r="T465" s="264"/>
      <c r="U465" s="264"/>
      <c r="V465" s="264"/>
      <c r="W465" s="264"/>
      <c r="X465" s="264"/>
      <c r="Y465" s="264"/>
      <c r="Z465" s="264"/>
      <c r="AA465" s="264"/>
      <c r="AB465" s="264"/>
      <c r="AC465" s="264"/>
      <c r="AD465" s="264"/>
      <c r="AE465" s="264"/>
    </row>
    <row r="466">
      <c r="A466" s="272"/>
      <c r="B466" s="272"/>
      <c r="C466" s="272"/>
      <c r="D466" s="172"/>
      <c r="E466" s="267" t="str">
        <f t="shared" si="22"/>
        <v/>
      </c>
      <c r="F466" s="274" t="str">
        <f t="shared" si="2"/>
        <v/>
      </c>
      <c r="G466" s="42"/>
      <c r="H466" s="264"/>
      <c r="I466" s="277"/>
      <c r="J466" s="276" t="str">
        <f>IF(ISBLANK(I466), "", VLOOKUP(E466&amp;" "&amp;F466, 'Info Tipo de Cambio y REM'!$A$24:$B$35, 2, FALSE))
</f>
        <v/>
      </c>
      <c r="K466" s="107" t="str">
        <f t="shared" si="23"/>
        <v/>
      </c>
      <c r="L466" s="293">
        <f t="shared" si="5"/>
        <v>-5187415.025</v>
      </c>
      <c r="M466" s="293">
        <f t="shared" si="3"/>
        <v>-68574.41</v>
      </c>
      <c r="N466" s="293">
        <f t="shared" si="6"/>
        <v>0</v>
      </c>
      <c r="O466" s="277">
        <f t="shared" si="4"/>
        <v>-72146.60962</v>
      </c>
      <c r="P466" s="264"/>
      <c r="Q466" s="264"/>
      <c r="R466" s="264"/>
      <c r="S466" s="264"/>
      <c r="T466" s="264"/>
      <c r="U466" s="264"/>
      <c r="V466" s="264"/>
      <c r="W466" s="264"/>
      <c r="X466" s="264"/>
      <c r="Y466" s="264"/>
      <c r="Z466" s="264"/>
      <c r="AA466" s="264"/>
      <c r="AB466" s="264"/>
      <c r="AC466" s="264"/>
      <c r="AD466" s="264"/>
      <c r="AE466" s="264"/>
    </row>
    <row r="467">
      <c r="A467" s="272"/>
      <c r="B467" s="272"/>
      <c r="C467" s="272"/>
      <c r="D467" s="172"/>
      <c r="E467" s="267" t="str">
        <f t="shared" si="22"/>
        <v/>
      </c>
      <c r="F467" s="274" t="str">
        <f t="shared" si="2"/>
        <v/>
      </c>
      <c r="G467" s="42"/>
      <c r="H467" s="264"/>
      <c r="I467" s="277"/>
      <c r="J467" s="276" t="str">
        <f>IF(ISBLANK(I467), "", VLOOKUP(E467&amp;" "&amp;F467, 'Info Tipo de Cambio y REM'!$A$24:$B$35, 2, FALSE))
</f>
        <v/>
      </c>
      <c r="K467" s="107" t="str">
        <f t="shared" si="23"/>
        <v/>
      </c>
      <c r="L467" s="293">
        <f t="shared" si="5"/>
        <v>-5187415.025</v>
      </c>
      <c r="M467" s="293">
        <f t="shared" si="3"/>
        <v>-68574.41</v>
      </c>
      <c r="N467" s="293">
        <f t="shared" si="6"/>
        <v>0</v>
      </c>
      <c r="O467" s="277">
        <f t="shared" si="4"/>
        <v>-72146.60962</v>
      </c>
      <c r="P467" s="264"/>
      <c r="Q467" s="264"/>
      <c r="R467" s="264"/>
      <c r="S467" s="264"/>
      <c r="T467" s="264"/>
      <c r="U467" s="264"/>
      <c r="V467" s="264"/>
      <c r="W467" s="264"/>
      <c r="X467" s="264"/>
      <c r="Y467" s="264"/>
      <c r="Z467" s="264"/>
      <c r="AA467" s="264"/>
      <c r="AB467" s="264"/>
      <c r="AC467" s="264"/>
      <c r="AD467" s="264"/>
      <c r="AE467" s="264"/>
    </row>
    <row r="468">
      <c r="A468" s="272"/>
      <c r="B468" s="272"/>
      <c r="C468" s="272"/>
      <c r="D468" s="172"/>
      <c r="E468" s="267" t="str">
        <f t="shared" si="22"/>
        <v/>
      </c>
      <c r="F468" s="274" t="str">
        <f t="shared" si="2"/>
        <v/>
      </c>
      <c r="G468" s="42"/>
      <c r="H468" s="264"/>
      <c r="I468" s="277"/>
      <c r="J468" s="276" t="str">
        <f>IF(ISBLANK(I468), "", VLOOKUP(E468&amp;" "&amp;F468, 'Info Tipo de Cambio y REM'!$A$24:$B$35, 2, FALSE))
</f>
        <v/>
      </c>
      <c r="K468" s="107" t="str">
        <f t="shared" si="23"/>
        <v/>
      </c>
      <c r="L468" s="293">
        <f t="shared" si="5"/>
        <v>-5187415.025</v>
      </c>
      <c r="M468" s="293">
        <f t="shared" si="3"/>
        <v>-68574.41</v>
      </c>
      <c r="N468" s="293">
        <f t="shared" si="6"/>
        <v>0</v>
      </c>
      <c r="O468" s="277">
        <f t="shared" si="4"/>
        <v>-72146.60962</v>
      </c>
      <c r="P468" s="264"/>
      <c r="Q468" s="264"/>
      <c r="R468" s="264"/>
      <c r="S468" s="264"/>
      <c r="T468" s="264"/>
      <c r="U468" s="264"/>
      <c r="V468" s="264"/>
      <c r="W468" s="264"/>
      <c r="X468" s="264"/>
      <c r="Y468" s="264"/>
      <c r="Z468" s="264"/>
      <c r="AA468" s="264"/>
      <c r="AB468" s="264"/>
      <c r="AC468" s="264"/>
      <c r="AD468" s="264"/>
      <c r="AE468" s="264"/>
    </row>
    <row r="469">
      <c r="A469" s="272"/>
      <c r="B469" s="272"/>
      <c r="C469" s="272"/>
      <c r="D469" s="172"/>
      <c r="E469" s="267" t="str">
        <f t="shared" si="22"/>
        <v/>
      </c>
      <c r="F469" s="274" t="str">
        <f t="shared" si="2"/>
        <v/>
      </c>
      <c r="G469" s="42"/>
      <c r="H469" s="264"/>
      <c r="I469" s="277"/>
      <c r="J469" s="276" t="str">
        <f>IF(ISBLANK(I469), "", VLOOKUP(E469&amp;" "&amp;F469, 'Info Tipo de Cambio y REM'!$A$24:$B$35, 2, FALSE))
</f>
        <v/>
      </c>
      <c r="K469" s="107" t="str">
        <f t="shared" si="23"/>
        <v/>
      </c>
      <c r="L469" s="293">
        <f t="shared" si="5"/>
        <v>-5187415.025</v>
      </c>
      <c r="M469" s="293">
        <f t="shared" si="3"/>
        <v>-68574.41</v>
      </c>
      <c r="N469" s="293">
        <f t="shared" si="6"/>
        <v>0</v>
      </c>
      <c r="O469" s="277">
        <f t="shared" si="4"/>
        <v>-72146.60962</v>
      </c>
      <c r="P469" s="264"/>
      <c r="Q469" s="264"/>
      <c r="R469" s="264"/>
      <c r="S469" s="264"/>
      <c r="T469" s="264"/>
      <c r="U469" s="264"/>
      <c r="V469" s="264"/>
      <c r="W469" s="264"/>
      <c r="X469" s="264"/>
      <c r="Y469" s="264"/>
      <c r="Z469" s="264"/>
      <c r="AA469" s="264"/>
      <c r="AB469" s="264"/>
      <c r="AC469" s="264"/>
      <c r="AD469" s="264"/>
      <c r="AE469" s="264"/>
    </row>
    <row r="470">
      <c r="A470" s="272"/>
      <c r="B470" s="272"/>
      <c r="C470" s="272"/>
      <c r="D470" s="172"/>
      <c r="E470" s="267" t="str">
        <f t="shared" si="22"/>
        <v/>
      </c>
      <c r="F470" s="274" t="str">
        <f t="shared" si="2"/>
        <v/>
      </c>
      <c r="G470" s="42"/>
      <c r="H470" s="264"/>
      <c r="I470" s="277"/>
      <c r="J470" s="276" t="str">
        <f>IF(ISBLANK(I470), "", VLOOKUP(E470&amp;" "&amp;F470, 'Info Tipo de Cambio y REM'!$A$24:$B$35, 2, FALSE))
</f>
        <v/>
      </c>
      <c r="K470" s="107" t="str">
        <f t="shared" si="23"/>
        <v/>
      </c>
      <c r="L470" s="293">
        <f t="shared" si="5"/>
        <v>-5187415.025</v>
      </c>
      <c r="M470" s="293">
        <f t="shared" si="3"/>
        <v>-68574.41</v>
      </c>
      <c r="N470" s="293">
        <f t="shared" si="6"/>
        <v>0</v>
      </c>
      <c r="O470" s="277">
        <f t="shared" si="4"/>
        <v>-72146.60962</v>
      </c>
      <c r="P470" s="264"/>
      <c r="Q470" s="264"/>
      <c r="R470" s="264"/>
      <c r="S470" s="264"/>
      <c r="T470" s="264"/>
      <c r="U470" s="264"/>
      <c r="V470" s="264"/>
      <c r="W470" s="264"/>
      <c r="X470" s="264"/>
      <c r="Y470" s="264"/>
      <c r="Z470" s="264"/>
      <c r="AA470" s="264"/>
      <c r="AB470" s="264"/>
      <c r="AC470" s="264"/>
      <c r="AD470" s="264"/>
      <c r="AE470" s="264"/>
    </row>
    <row r="471">
      <c r="A471" s="272"/>
      <c r="B471" s="272"/>
      <c r="C471" s="272"/>
      <c r="D471" s="172"/>
      <c r="E471" s="267" t="str">
        <f t="shared" si="22"/>
        <v/>
      </c>
      <c r="F471" s="274" t="str">
        <f t="shared" si="2"/>
        <v/>
      </c>
      <c r="G471" s="42"/>
      <c r="H471" s="264"/>
      <c r="I471" s="277"/>
      <c r="J471" s="276" t="str">
        <f>IF(ISBLANK(I471), "", VLOOKUP(E471&amp;" "&amp;F471, 'Info Tipo de Cambio y REM'!$A$24:$B$35, 2, FALSE))
</f>
        <v/>
      </c>
      <c r="K471" s="107" t="str">
        <f t="shared" si="23"/>
        <v/>
      </c>
      <c r="L471" s="293">
        <f t="shared" si="5"/>
        <v>-5187415.025</v>
      </c>
      <c r="M471" s="293">
        <f t="shared" si="3"/>
        <v>-68574.41</v>
      </c>
      <c r="N471" s="293">
        <f t="shared" si="6"/>
        <v>0</v>
      </c>
      <c r="O471" s="277">
        <f t="shared" si="4"/>
        <v>-72146.60962</v>
      </c>
      <c r="P471" s="264"/>
      <c r="Q471" s="264"/>
      <c r="R471" s="264"/>
      <c r="S471" s="264"/>
      <c r="T471" s="264"/>
      <c r="U471" s="264"/>
      <c r="V471" s="264"/>
      <c r="W471" s="264"/>
      <c r="X471" s="264"/>
      <c r="Y471" s="264"/>
      <c r="Z471" s="264"/>
      <c r="AA471" s="264"/>
      <c r="AB471" s="264"/>
      <c r="AC471" s="264"/>
      <c r="AD471" s="264"/>
      <c r="AE471" s="264"/>
    </row>
    <row r="472">
      <c r="A472" s="272"/>
      <c r="B472" s="272"/>
      <c r="C472" s="272"/>
      <c r="D472" s="172"/>
      <c r="E472" s="267" t="str">
        <f t="shared" si="22"/>
        <v/>
      </c>
      <c r="F472" s="274" t="str">
        <f t="shared" si="2"/>
        <v/>
      </c>
      <c r="G472" s="42"/>
      <c r="H472" s="264"/>
      <c r="I472" s="277"/>
      <c r="J472" s="276" t="str">
        <f>IF(ISBLANK(I472), "", VLOOKUP(E472&amp;" "&amp;F472, 'Info Tipo de Cambio y REM'!$A$24:$B$35, 2, FALSE))
</f>
        <v/>
      </c>
      <c r="K472" s="107" t="str">
        <f t="shared" si="23"/>
        <v/>
      </c>
      <c r="L472" s="293">
        <f t="shared" si="5"/>
        <v>-5187415.025</v>
      </c>
      <c r="M472" s="293">
        <f t="shared" si="3"/>
        <v>-68574.41</v>
      </c>
      <c r="N472" s="293">
        <f t="shared" si="6"/>
        <v>0</v>
      </c>
      <c r="O472" s="277">
        <f t="shared" si="4"/>
        <v>-72146.60962</v>
      </c>
      <c r="P472" s="264"/>
      <c r="Q472" s="264"/>
      <c r="R472" s="264"/>
      <c r="S472" s="264"/>
      <c r="T472" s="264"/>
      <c r="U472" s="264"/>
      <c r="V472" s="264"/>
      <c r="W472" s="264"/>
      <c r="X472" s="264"/>
      <c r="Y472" s="264"/>
      <c r="Z472" s="264"/>
      <c r="AA472" s="264"/>
      <c r="AB472" s="264"/>
      <c r="AC472" s="264"/>
      <c r="AD472" s="264"/>
      <c r="AE472" s="264"/>
    </row>
    <row r="473">
      <c r="A473" s="272"/>
      <c r="B473" s="272"/>
      <c r="C473" s="272"/>
      <c r="D473" s="172"/>
      <c r="E473" s="267" t="str">
        <f t="shared" si="22"/>
        <v/>
      </c>
      <c r="F473" s="274" t="str">
        <f t="shared" si="2"/>
        <v/>
      </c>
      <c r="G473" s="42"/>
      <c r="H473" s="264"/>
      <c r="I473" s="277"/>
      <c r="J473" s="276" t="str">
        <f>IF(ISBLANK(I473), "", VLOOKUP(E473&amp;" "&amp;F473, 'Info Tipo de Cambio y REM'!$A$24:$B$35, 2, FALSE))
</f>
        <v/>
      </c>
      <c r="K473" s="107" t="str">
        <f t="shared" si="23"/>
        <v/>
      </c>
      <c r="L473" s="293">
        <f t="shared" si="5"/>
        <v>-5187415.025</v>
      </c>
      <c r="M473" s="293">
        <f t="shared" si="3"/>
        <v>-68574.41</v>
      </c>
      <c r="N473" s="293">
        <f t="shared" si="6"/>
        <v>0</v>
      </c>
      <c r="O473" s="277">
        <f t="shared" si="4"/>
        <v>-72146.60962</v>
      </c>
      <c r="P473" s="264"/>
      <c r="Q473" s="264"/>
      <c r="R473" s="264"/>
      <c r="S473" s="264"/>
      <c r="T473" s="264"/>
      <c r="U473" s="264"/>
      <c r="V473" s="264"/>
      <c r="W473" s="264"/>
      <c r="X473" s="264"/>
      <c r="Y473" s="264"/>
      <c r="Z473" s="264"/>
      <c r="AA473" s="264"/>
      <c r="AB473" s="264"/>
      <c r="AC473" s="264"/>
      <c r="AD473" s="264"/>
      <c r="AE473" s="264"/>
    </row>
    <row r="474">
      <c r="A474" s="272"/>
      <c r="B474" s="272"/>
      <c r="C474" s="272"/>
      <c r="D474" s="172"/>
      <c r="E474" s="267" t="str">
        <f t="shared" si="22"/>
        <v/>
      </c>
      <c r="F474" s="274" t="str">
        <f t="shared" si="2"/>
        <v/>
      </c>
      <c r="G474" s="42"/>
      <c r="H474" s="264"/>
      <c r="I474" s="277"/>
      <c r="J474" s="276" t="str">
        <f>IF(ISBLANK(I474), "", VLOOKUP(E474&amp;" "&amp;F474, 'Info Tipo de Cambio y REM'!$A$24:$B$35, 2, FALSE))
</f>
        <v/>
      </c>
      <c r="K474" s="107" t="str">
        <f t="shared" si="23"/>
        <v/>
      </c>
      <c r="L474" s="293">
        <f t="shared" si="5"/>
        <v>-5187415.025</v>
      </c>
      <c r="M474" s="293">
        <f t="shared" si="3"/>
        <v>-68574.41</v>
      </c>
      <c r="N474" s="293">
        <f t="shared" si="6"/>
        <v>0</v>
      </c>
      <c r="O474" s="277">
        <f t="shared" si="4"/>
        <v>-72146.60962</v>
      </c>
      <c r="P474" s="264"/>
      <c r="Q474" s="264"/>
      <c r="R474" s="264"/>
      <c r="S474" s="264"/>
      <c r="T474" s="264"/>
      <c r="U474" s="264"/>
      <c r="V474" s="264"/>
      <c r="W474" s="264"/>
      <c r="X474" s="264"/>
      <c r="Y474" s="264"/>
      <c r="Z474" s="264"/>
      <c r="AA474" s="264"/>
      <c r="AB474" s="264"/>
      <c r="AC474" s="264"/>
      <c r="AD474" s="264"/>
      <c r="AE474" s="264"/>
    </row>
    <row r="475">
      <c r="A475" s="272"/>
      <c r="B475" s="272"/>
      <c r="C475" s="272"/>
      <c r="D475" s="172"/>
      <c r="E475" s="267" t="str">
        <f t="shared" si="22"/>
        <v/>
      </c>
      <c r="F475" s="274" t="str">
        <f t="shared" si="2"/>
        <v/>
      </c>
      <c r="G475" s="42"/>
      <c r="H475" s="264"/>
      <c r="I475" s="277"/>
      <c r="J475" s="276" t="str">
        <f>IF(ISBLANK(I475), "", VLOOKUP(E475&amp;" "&amp;F475, 'Info Tipo de Cambio y REM'!$A$24:$B$35, 2, FALSE))
</f>
        <v/>
      </c>
      <c r="K475" s="107" t="str">
        <f t="shared" si="23"/>
        <v/>
      </c>
      <c r="L475" s="293">
        <f t="shared" si="5"/>
        <v>-5187415.025</v>
      </c>
      <c r="M475" s="293">
        <f t="shared" si="3"/>
        <v>-68574.41</v>
      </c>
      <c r="N475" s="293">
        <f t="shared" si="6"/>
        <v>0</v>
      </c>
      <c r="O475" s="277">
        <f t="shared" si="4"/>
        <v>-72146.60962</v>
      </c>
      <c r="P475" s="264"/>
      <c r="Q475" s="264"/>
      <c r="R475" s="264"/>
      <c r="S475" s="264"/>
      <c r="T475" s="264"/>
      <c r="U475" s="264"/>
      <c r="V475" s="264"/>
      <c r="W475" s="264"/>
      <c r="X475" s="264"/>
      <c r="Y475" s="264"/>
      <c r="Z475" s="264"/>
      <c r="AA475" s="264"/>
      <c r="AB475" s="264"/>
      <c r="AC475" s="264"/>
      <c r="AD475" s="264"/>
      <c r="AE475" s="264"/>
    </row>
    <row r="476">
      <c r="A476" s="272"/>
      <c r="B476" s="272"/>
      <c r="C476" s="272"/>
      <c r="D476" s="172"/>
      <c r="E476" s="267" t="str">
        <f t="shared" si="22"/>
        <v/>
      </c>
      <c r="F476" s="274" t="str">
        <f t="shared" si="2"/>
        <v/>
      </c>
      <c r="G476" s="42"/>
      <c r="H476" s="264"/>
      <c r="I476" s="277"/>
      <c r="J476" s="276" t="str">
        <f>IF(ISBLANK(I476), "", VLOOKUP(E476&amp;" "&amp;F476, 'Info Tipo de Cambio y REM'!$A$24:$B$35, 2, FALSE))
</f>
        <v/>
      </c>
      <c r="K476" s="107" t="str">
        <f t="shared" si="23"/>
        <v/>
      </c>
      <c r="L476" s="293">
        <f t="shared" si="5"/>
        <v>-5187415.025</v>
      </c>
      <c r="M476" s="293">
        <f t="shared" si="3"/>
        <v>-68574.41</v>
      </c>
      <c r="N476" s="293">
        <f t="shared" si="6"/>
        <v>0</v>
      </c>
      <c r="O476" s="277">
        <f t="shared" si="4"/>
        <v>-72146.60962</v>
      </c>
      <c r="P476" s="264"/>
      <c r="Q476" s="264"/>
      <c r="R476" s="264"/>
      <c r="S476" s="264"/>
      <c r="T476" s="264"/>
      <c r="U476" s="264"/>
      <c r="V476" s="264"/>
      <c r="W476" s="264"/>
      <c r="X476" s="264"/>
      <c r="Y476" s="264"/>
      <c r="Z476" s="264"/>
      <c r="AA476" s="264"/>
      <c r="AB476" s="264"/>
      <c r="AC476" s="264"/>
      <c r="AD476" s="264"/>
      <c r="AE476" s="264"/>
    </row>
    <row r="477">
      <c r="A477" s="272"/>
      <c r="B477" s="272"/>
      <c r="C477" s="272"/>
      <c r="D477" s="172"/>
      <c r="E477" s="267" t="str">
        <f t="shared" si="22"/>
        <v/>
      </c>
      <c r="F477" s="274" t="str">
        <f t="shared" si="2"/>
        <v/>
      </c>
      <c r="G477" s="42"/>
      <c r="H477" s="264"/>
      <c r="I477" s="277"/>
      <c r="J477" s="276" t="str">
        <f>IF(ISBLANK(I477), "", VLOOKUP(E477&amp;" "&amp;F477, 'Info Tipo de Cambio y REM'!$A$24:$B$35, 2, FALSE))
</f>
        <v/>
      </c>
      <c r="K477" s="107" t="str">
        <f t="shared" si="23"/>
        <v/>
      </c>
      <c r="L477" s="293">
        <f t="shared" si="5"/>
        <v>-5187415.025</v>
      </c>
      <c r="M477" s="293">
        <f t="shared" si="3"/>
        <v>-68574.41</v>
      </c>
      <c r="N477" s="293">
        <f t="shared" si="6"/>
        <v>0</v>
      </c>
      <c r="O477" s="277">
        <f t="shared" si="4"/>
        <v>-72146.60962</v>
      </c>
      <c r="P477" s="264"/>
      <c r="Q477" s="264"/>
      <c r="R477" s="264"/>
      <c r="S477" s="264"/>
      <c r="T477" s="264"/>
      <c r="U477" s="264"/>
      <c r="V477" s="264"/>
      <c r="W477" s="264"/>
      <c r="X477" s="264"/>
      <c r="Y477" s="264"/>
      <c r="Z477" s="264"/>
      <c r="AA477" s="264"/>
      <c r="AB477" s="264"/>
      <c r="AC477" s="264"/>
      <c r="AD477" s="264"/>
      <c r="AE477" s="264"/>
    </row>
    <row r="478">
      <c r="A478" s="272"/>
      <c r="B478" s="272"/>
      <c r="C478" s="272"/>
      <c r="D478" s="172"/>
      <c r="E478" s="267" t="str">
        <f t="shared" si="22"/>
        <v/>
      </c>
      <c r="F478" s="274" t="str">
        <f t="shared" si="2"/>
        <v/>
      </c>
      <c r="G478" s="42"/>
      <c r="H478" s="264"/>
      <c r="I478" s="277"/>
      <c r="J478" s="276" t="str">
        <f>IF(ISBLANK(I478), "", VLOOKUP(E478&amp;" "&amp;F478, 'Info Tipo de Cambio y REM'!$A$24:$B$35, 2, FALSE))
</f>
        <v/>
      </c>
      <c r="K478" s="107" t="str">
        <f t="shared" si="23"/>
        <v/>
      </c>
      <c r="L478" s="293">
        <f t="shared" si="5"/>
        <v>-5187415.025</v>
      </c>
      <c r="M478" s="293">
        <f t="shared" si="3"/>
        <v>-68574.41</v>
      </c>
      <c r="N478" s="293">
        <f t="shared" si="6"/>
        <v>0</v>
      </c>
      <c r="O478" s="277">
        <f t="shared" si="4"/>
        <v>-72146.60962</v>
      </c>
      <c r="P478" s="264"/>
      <c r="Q478" s="264"/>
      <c r="R478" s="264"/>
      <c r="S478" s="264"/>
      <c r="T478" s="264"/>
      <c r="U478" s="264"/>
      <c r="V478" s="264"/>
      <c r="W478" s="264"/>
      <c r="X478" s="264"/>
      <c r="Y478" s="264"/>
      <c r="Z478" s="264"/>
      <c r="AA478" s="264"/>
      <c r="AB478" s="264"/>
      <c r="AC478" s="264"/>
      <c r="AD478" s="264"/>
      <c r="AE478" s="264"/>
    </row>
    <row r="479">
      <c r="A479" s="272"/>
      <c r="B479" s="272"/>
      <c r="C479" s="272"/>
      <c r="D479" s="172"/>
      <c r="E479" s="267" t="str">
        <f t="shared" si="22"/>
        <v/>
      </c>
      <c r="F479" s="274" t="str">
        <f t="shared" si="2"/>
        <v/>
      </c>
      <c r="G479" s="42"/>
      <c r="H479" s="264"/>
      <c r="I479" s="277"/>
      <c r="J479" s="276" t="str">
        <f>IF(ISBLANK(I479), "", VLOOKUP(E479&amp;" "&amp;F479, 'Info Tipo de Cambio y REM'!$A$24:$B$35, 2, FALSE))
</f>
        <v/>
      </c>
      <c r="K479" s="107" t="str">
        <f t="shared" si="23"/>
        <v/>
      </c>
      <c r="L479" s="293">
        <f t="shared" si="5"/>
        <v>-5187415.025</v>
      </c>
      <c r="M479" s="293">
        <f t="shared" si="3"/>
        <v>-68574.41</v>
      </c>
      <c r="N479" s="293">
        <f t="shared" si="6"/>
        <v>0</v>
      </c>
      <c r="O479" s="277">
        <f t="shared" si="4"/>
        <v>-72146.60962</v>
      </c>
      <c r="P479" s="264"/>
      <c r="Q479" s="264"/>
      <c r="R479" s="264"/>
      <c r="S479" s="264"/>
      <c r="T479" s="264"/>
      <c r="U479" s="264"/>
      <c r="V479" s="264"/>
      <c r="W479" s="264"/>
      <c r="X479" s="264"/>
      <c r="Y479" s="264"/>
      <c r="Z479" s="264"/>
      <c r="AA479" s="264"/>
      <c r="AB479" s="264"/>
      <c r="AC479" s="264"/>
      <c r="AD479" s="264"/>
      <c r="AE479" s="264"/>
    </row>
    <row r="480">
      <c r="A480" s="272"/>
      <c r="B480" s="272"/>
      <c r="C480" s="272"/>
      <c r="D480" s="172"/>
      <c r="E480" s="267" t="str">
        <f t="shared" si="22"/>
        <v/>
      </c>
      <c r="F480" s="274" t="str">
        <f t="shared" si="2"/>
        <v/>
      </c>
      <c r="G480" s="42"/>
      <c r="H480" s="264"/>
      <c r="I480" s="277"/>
      <c r="J480" s="276" t="str">
        <f>IF(ISBLANK(I480), "", VLOOKUP(E480&amp;" "&amp;F480, 'Info Tipo de Cambio y REM'!$A$24:$B$35, 2, FALSE))
</f>
        <v/>
      </c>
      <c r="K480" s="107" t="str">
        <f t="shared" si="23"/>
        <v/>
      </c>
      <c r="L480" s="293">
        <f t="shared" si="5"/>
        <v>-5187415.025</v>
      </c>
      <c r="M480" s="293">
        <f t="shared" si="3"/>
        <v>-68574.41</v>
      </c>
      <c r="N480" s="293">
        <f t="shared" si="6"/>
        <v>0</v>
      </c>
      <c r="O480" s="277">
        <f t="shared" si="4"/>
        <v>-72146.60962</v>
      </c>
      <c r="P480" s="264"/>
      <c r="Q480" s="264"/>
      <c r="R480" s="264"/>
      <c r="S480" s="264"/>
      <c r="T480" s="264"/>
      <c r="U480" s="264"/>
      <c r="V480" s="264"/>
      <c r="W480" s="264"/>
      <c r="X480" s="264"/>
      <c r="Y480" s="264"/>
      <c r="Z480" s="264"/>
      <c r="AA480" s="264"/>
      <c r="AB480" s="264"/>
      <c r="AC480" s="264"/>
      <c r="AD480" s="264"/>
      <c r="AE480" s="264"/>
    </row>
    <row r="481">
      <c r="A481" s="272"/>
      <c r="B481" s="272"/>
      <c r="C481" s="272"/>
      <c r="D481" s="172"/>
      <c r="E481" s="267" t="str">
        <f t="shared" si="22"/>
        <v/>
      </c>
      <c r="F481" s="274" t="str">
        <f t="shared" si="2"/>
        <v/>
      </c>
      <c r="G481" s="42"/>
      <c r="H481" s="264"/>
      <c r="I481" s="277"/>
      <c r="J481" s="276" t="str">
        <f>IF(ISBLANK(I481), "", VLOOKUP(E481&amp;" "&amp;F481, 'Info Tipo de Cambio y REM'!$A$24:$B$35, 2, FALSE))
</f>
        <v/>
      </c>
      <c r="K481" s="107" t="str">
        <f t="shared" si="23"/>
        <v/>
      </c>
      <c r="L481" s="293">
        <f t="shared" si="5"/>
        <v>-5187415.025</v>
      </c>
      <c r="M481" s="293">
        <f t="shared" si="3"/>
        <v>-68574.41</v>
      </c>
      <c r="N481" s="293">
        <f t="shared" si="6"/>
        <v>0</v>
      </c>
      <c r="O481" s="277">
        <f t="shared" si="4"/>
        <v>-72146.60962</v>
      </c>
      <c r="P481" s="264"/>
      <c r="Q481" s="264"/>
      <c r="R481" s="264"/>
      <c r="S481" s="264"/>
      <c r="T481" s="264"/>
      <c r="U481" s="264"/>
      <c r="V481" s="264"/>
      <c r="W481" s="264"/>
      <c r="X481" s="264"/>
      <c r="Y481" s="264"/>
      <c r="Z481" s="264"/>
      <c r="AA481" s="264"/>
      <c r="AB481" s="264"/>
      <c r="AC481" s="264"/>
      <c r="AD481" s="264"/>
      <c r="AE481" s="264"/>
    </row>
    <row r="482">
      <c r="A482" s="272"/>
      <c r="B482" s="272"/>
      <c r="C482" s="272"/>
      <c r="D482" s="172"/>
      <c r="E482" s="267" t="str">
        <f t="shared" si="22"/>
        <v/>
      </c>
      <c r="F482" s="274" t="str">
        <f t="shared" si="2"/>
        <v/>
      </c>
      <c r="G482" s="42"/>
      <c r="H482" s="264"/>
      <c r="I482" s="277"/>
      <c r="J482" s="276" t="str">
        <f>IF(ISBLANK(I482), "", VLOOKUP(E482&amp;" "&amp;F482, 'Info Tipo de Cambio y REM'!$A$24:$B$35, 2, FALSE))
</f>
        <v/>
      </c>
      <c r="K482" s="107" t="str">
        <f t="shared" si="23"/>
        <v/>
      </c>
      <c r="L482" s="293">
        <f t="shared" si="5"/>
        <v>-5187415.025</v>
      </c>
      <c r="M482" s="293">
        <f t="shared" si="3"/>
        <v>-68574.41</v>
      </c>
      <c r="N482" s="293">
        <f t="shared" si="6"/>
        <v>0</v>
      </c>
      <c r="O482" s="277">
        <f t="shared" si="4"/>
        <v>-72146.60962</v>
      </c>
      <c r="P482" s="264"/>
      <c r="Q482" s="264"/>
      <c r="R482" s="264"/>
      <c r="S482" s="264"/>
      <c r="T482" s="264"/>
      <c r="U482" s="264"/>
      <c r="V482" s="264"/>
      <c r="W482" s="264"/>
      <c r="X482" s="264"/>
      <c r="Y482" s="264"/>
      <c r="Z482" s="264"/>
      <c r="AA482" s="264"/>
      <c r="AB482" s="264"/>
      <c r="AC482" s="264"/>
      <c r="AD482" s="264"/>
      <c r="AE482" s="264"/>
    </row>
    <row r="483">
      <c r="A483" s="272"/>
      <c r="B483" s="272"/>
      <c r="C483" s="272"/>
      <c r="D483" s="172"/>
      <c r="E483" s="267" t="str">
        <f t="shared" si="22"/>
        <v/>
      </c>
      <c r="F483" s="274" t="str">
        <f t="shared" si="2"/>
        <v/>
      </c>
      <c r="G483" s="42"/>
      <c r="H483" s="264"/>
      <c r="I483" s="277"/>
      <c r="J483" s="276" t="str">
        <f>IF(ISBLANK(I483), "", VLOOKUP(E483&amp;" "&amp;F483, 'Info Tipo de Cambio y REM'!$A$24:$B$35, 2, FALSE))
</f>
        <v/>
      </c>
      <c r="K483" s="107" t="str">
        <f t="shared" si="23"/>
        <v/>
      </c>
      <c r="L483" s="293">
        <f t="shared" si="5"/>
        <v>-5187415.025</v>
      </c>
      <c r="M483" s="293">
        <f t="shared" si="3"/>
        <v>-68574.41</v>
      </c>
      <c r="N483" s="293">
        <f t="shared" si="6"/>
        <v>0</v>
      </c>
      <c r="O483" s="277">
        <f t="shared" si="4"/>
        <v>-72146.60962</v>
      </c>
      <c r="P483" s="264"/>
      <c r="Q483" s="264"/>
      <c r="R483" s="264"/>
      <c r="S483" s="264"/>
      <c r="T483" s="264"/>
      <c r="U483" s="264"/>
      <c r="V483" s="264"/>
      <c r="W483" s="264"/>
      <c r="X483" s="264"/>
      <c r="Y483" s="264"/>
      <c r="Z483" s="264"/>
      <c r="AA483" s="264"/>
      <c r="AB483" s="264"/>
      <c r="AC483" s="264"/>
      <c r="AD483" s="264"/>
      <c r="AE483" s="264"/>
    </row>
    <row r="484">
      <c r="A484" s="272"/>
      <c r="B484" s="272"/>
      <c r="C484" s="272"/>
      <c r="D484" s="172"/>
      <c r="E484" s="267" t="str">
        <f t="shared" si="22"/>
        <v/>
      </c>
      <c r="F484" s="274" t="str">
        <f t="shared" si="2"/>
        <v/>
      </c>
      <c r="G484" s="42"/>
      <c r="H484" s="264"/>
      <c r="I484" s="277"/>
      <c r="J484" s="276" t="str">
        <f>IF(ISBLANK(I484), "", VLOOKUP(E484&amp;" "&amp;F484, 'Info Tipo de Cambio y REM'!$A$24:$B$35, 2, FALSE))
</f>
        <v/>
      </c>
      <c r="K484" s="107" t="str">
        <f t="shared" si="23"/>
        <v/>
      </c>
      <c r="L484" s="293">
        <f t="shared" si="5"/>
        <v>-5187415.025</v>
      </c>
      <c r="M484" s="293">
        <f t="shared" si="3"/>
        <v>-68574.41</v>
      </c>
      <c r="N484" s="293">
        <f t="shared" si="6"/>
        <v>0</v>
      </c>
      <c r="O484" s="277">
        <f t="shared" si="4"/>
        <v>-72146.60962</v>
      </c>
      <c r="P484" s="264"/>
      <c r="Q484" s="264"/>
      <c r="R484" s="264"/>
      <c r="S484" s="264"/>
      <c r="T484" s="264"/>
      <c r="U484" s="264"/>
      <c r="V484" s="264"/>
      <c r="W484" s="264"/>
      <c r="X484" s="264"/>
      <c r="Y484" s="264"/>
      <c r="Z484" s="264"/>
      <c r="AA484" s="264"/>
      <c r="AB484" s="264"/>
      <c r="AC484" s="264"/>
      <c r="AD484" s="264"/>
      <c r="AE484" s="264"/>
    </row>
    <row r="485">
      <c r="A485" s="272"/>
      <c r="B485" s="272"/>
      <c r="C485" s="272"/>
      <c r="D485" s="172"/>
      <c r="E485" s="267" t="str">
        <f t="shared" si="22"/>
        <v/>
      </c>
      <c r="F485" s="274" t="str">
        <f t="shared" si="2"/>
        <v/>
      </c>
      <c r="G485" s="42"/>
      <c r="H485" s="264"/>
      <c r="I485" s="277"/>
      <c r="J485" s="276" t="str">
        <f>IF(ISBLANK(I485), "", VLOOKUP(E485&amp;" "&amp;F485, 'Info Tipo de Cambio y REM'!$A$24:$B$35, 2, FALSE))
</f>
        <v/>
      </c>
      <c r="K485" s="107" t="str">
        <f t="shared" si="23"/>
        <v/>
      </c>
      <c r="L485" s="293">
        <f t="shared" si="5"/>
        <v>-5187415.025</v>
      </c>
      <c r="M485" s="293">
        <f t="shared" si="3"/>
        <v>-68574.41</v>
      </c>
      <c r="N485" s="293">
        <f t="shared" si="6"/>
        <v>0</v>
      </c>
      <c r="O485" s="277">
        <f t="shared" si="4"/>
        <v>-72146.60962</v>
      </c>
      <c r="P485" s="264"/>
      <c r="Q485" s="264"/>
      <c r="R485" s="264"/>
      <c r="S485" s="264"/>
      <c r="T485" s="264"/>
      <c r="U485" s="264"/>
      <c r="V485" s="264"/>
      <c r="W485" s="264"/>
      <c r="X485" s="264"/>
      <c r="Y485" s="264"/>
      <c r="Z485" s="264"/>
      <c r="AA485" s="264"/>
      <c r="AB485" s="264"/>
      <c r="AC485" s="264"/>
      <c r="AD485" s="264"/>
      <c r="AE485" s="264"/>
    </row>
    <row r="486">
      <c r="A486" s="272"/>
      <c r="B486" s="272"/>
      <c r="C486" s="272"/>
      <c r="D486" s="172"/>
      <c r="E486" s="267" t="str">
        <f t="shared" si="22"/>
        <v/>
      </c>
      <c r="F486" s="274" t="str">
        <f t="shared" si="2"/>
        <v/>
      </c>
      <c r="G486" s="42"/>
      <c r="H486" s="264"/>
      <c r="I486" s="277"/>
      <c r="J486" s="276" t="str">
        <f>IF(ISBLANK(I486), "", VLOOKUP(E486&amp;" "&amp;F486, 'Info Tipo de Cambio y REM'!$A$24:$B$35, 2, FALSE))
</f>
        <v/>
      </c>
      <c r="K486" s="107" t="str">
        <f t="shared" si="23"/>
        <v/>
      </c>
      <c r="L486" s="293">
        <f t="shared" si="5"/>
        <v>-5187415.025</v>
      </c>
      <c r="M486" s="293">
        <f t="shared" si="3"/>
        <v>-68574.41</v>
      </c>
      <c r="N486" s="293">
        <f t="shared" si="6"/>
        <v>0</v>
      </c>
      <c r="O486" s="277">
        <f t="shared" si="4"/>
        <v>-72146.60962</v>
      </c>
      <c r="P486" s="264"/>
      <c r="Q486" s="264"/>
      <c r="R486" s="264"/>
      <c r="S486" s="264"/>
      <c r="T486" s="264"/>
      <c r="U486" s="264"/>
      <c r="V486" s="264"/>
      <c r="W486" s="264"/>
      <c r="X486" s="264"/>
      <c r="Y486" s="264"/>
      <c r="Z486" s="264"/>
      <c r="AA486" s="264"/>
      <c r="AB486" s="264"/>
      <c r="AC486" s="264"/>
      <c r="AD486" s="264"/>
      <c r="AE486" s="264"/>
    </row>
    <row r="487">
      <c r="A487" s="272"/>
      <c r="B487" s="272"/>
      <c r="C487" s="272"/>
      <c r="D487" s="172"/>
      <c r="E487" s="267" t="str">
        <f t="shared" si="22"/>
        <v/>
      </c>
      <c r="F487" s="274" t="str">
        <f t="shared" si="2"/>
        <v/>
      </c>
      <c r="G487" s="42"/>
      <c r="H487" s="264"/>
      <c r="I487" s="277"/>
      <c r="J487" s="276" t="str">
        <f>IF(ISBLANK(I487), "", VLOOKUP(E487&amp;" "&amp;F487, 'Info Tipo de Cambio y REM'!$A$24:$B$35, 2, FALSE))
</f>
        <v/>
      </c>
      <c r="K487" s="107" t="str">
        <f t="shared" si="23"/>
        <v/>
      </c>
      <c r="L487" s="293">
        <f t="shared" si="5"/>
        <v>-5187415.025</v>
      </c>
      <c r="M487" s="293">
        <f t="shared" si="3"/>
        <v>-68574.41</v>
      </c>
      <c r="N487" s="293">
        <f t="shared" si="6"/>
        <v>0</v>
      </c>
      <c r="O487" s="277">
        <f t="shared" si="4"/>
        <v>-72146.60962</v>
      </c>
      <c r="P487" s="264"/>
      <c r="Q487" s="264"/>
      <c r="R487" s="264"/>
      <c r="S487" s="264"/>
      <c r="T487" s="264"/>
      <c r="U487" s="264"/>
      <c r="V487" s="264"/>
      <c r="W487" s="264"/>
      <c r="X487" s="264"/>
      <c r="Y487" s="264"/>
      <c r="Z487" s="264"/>
      <c r="AA487" s="264"/>
      <c r="AB487" s="264"/>
      <c r="AC487" s="264"/>
      <c r="AD487" s="264"/>
      <c r="AE487" s="264"/>
    </row>
    <row r="488">
      <c r="A488" s="272"/>
      <c r="B488" s="272"/>
      <c r="C488" s="272"/>
      <c r="D488" s="172"/>
      <c r="E488" s="267" t="str">
        <f t="shared" si="22"/>
        <v/>
      </c>
      <c r="F488" s="274" t="str">
        <f t="shared" si="2"/>
        <v/>
      </c>
      <c r="G488" s="42"/>
      <c r="H488" s="264"/>
      <c r="I488" s="277"/>
      <c r="J488" s="276" t="str">
        <f>IF(ISBLANK(I488), "", VLOOKUP(E488&amp;" "&amp;F488, 'Info Tipo de Cambio y REM'!$A$24:$B$35, 2, FALSE))
</f>
        <v/>
      </c>
      <c r="K488" s="107" t="str">
        <f t="shared" si="23"/>
        <v/>
      </c>
      <c r="L488" s="293">
        <f t="shared" si="5"/>
        <v>-5187415.025</v>
      </c>
      <c r="M488" s="293">
        <f t="shared" si="3"/>
        <v>-68574.41</v>
      </c>
      <c r="N488" s="293">
        <f t="shared" si="6"/>
        <v>0</v>
      </c>
      <c r="O488" s="277">
        <f t="shared" si="4"/>
        <v>-72146.60962</v>
      </c>
      <c r="P488" s="264"/>
      <c r="Q488" s="264"/>
      <c r="R488" s="264"/>
      <c r="S488" s="264"/>
      <c r="T488" s="264"/>
      <c r="U488" s="264"/>
      <c r="V488" s="264"/>
      <c r="W488" s="264"/>
      <c r="X488" s="264"/>
      <c r="Y488" s="264"/>
      <c r="Z488" s="264"/>
      <c r="AA488" s="264"/>
      <c r="AB488" s="264"/>
      <c r="AC488" s="264"/>
      <c r="AD488" s="264"/>
      <c r="AE488" s="264"/>
    </row>
    <row r="489">
      <c r="A489" s="272"/>
      <c r="B489" s="272"/>
      <c r="C489" s="272"/>
      <c r="D489" s="172"/>
      <c r="E489" s="267" t="str">
        <f t="shared" si="22"/>
        <v/>
      </c>
      <c r="F489" s="274" t="str">
        <f t="shared" si="2"/>
        <v/>
      </c>
      <c r="G489" s="42"/>
      <c r="H489" s="264"/>
      <c r="I489" s="277"/>
      <c r="J489" s="276" t="str">
        <f>IF(ISBLANK(I489), "", VLOOKUP(E489&amp;" "&amp;F489, 'Info Tipo de Cambio y REM'!$A$24:$B$35, 2, FALSE))
</f>
        <v/>
      </c>
      <c r="K489" s="107" t="str">
        <f t="shared" si="23"/>
        <v/>
      </c>
      <c r="L489" s="293">
        <f t="shared" si="5"/>
        <v>-5187415.025</v>
      </c>
      <c r="M489" s="293">
        <f t="shared" si="3"/>
        <v>-68574.41</v>
      </c>
      <c r="N489" s="293">
        <f t="shared" si="6"/>
        <v>0</v>
      </c>
      <c r="O489" s="277">
        <f t="shared" si="4"/>
        <v>-72146.60962</v>
      </c>
      <c r="P489" s="264"/>
      <c r="Q489" s="264"/>
      <c r="R489" s="264"/>
      <c r="S489" s="264"/>
      <c r="T489" s="264"/>
      <c r="U489" s="264"/>
      <c r="V489" s="264"/>
      <c r="W489" s="264"/>
      <c r="X489" s="264"/>
      <c r="Y489" s="264"/>
      <c r="Z489" s="264"/>
      <c r="AA489" s="264"/>
      <c r="AB489" s="264"/>
      <c r="AC489" s="264"/>
      <c r="AD489" s="264"/>
      <c r="AE489" s="264"/>
    </row>
    <row r="490">
      <c r="A490" s="272"/>
      <c r="B490" s="272"/>
      <c r="C490" s="272"/>
      <c r="D490" s="172"/>
      <c r="E490" s="267" t="str">
        <f t="shared" si="22"/>
        <v/>
      </c>
      <c r="F490" s="274" t="str">
        <f t="shared" si="2"/>
        <v/>
      </c>
      <c r="G490" s="42"/>
      <c r="H490" s="264"/>
      <c r="I490" s="277"/>
      <c r="J490" s="276" t="str">
        <f>IF(ISBLANK(I490), "", VLOOKUP(E490&amp;" "&amp;F490, 'Info Tipo de Cambio y REM'!$A$24:$B$35, 2, FALSE))
</f>
        <v/>
      </c>
      <c r="K490" s="107" t="str">
        <f t="shared" si="23"/>
        <v/>
      </c>
      <c r="L490" s="293">
        <f t="shared" si="5"/>
        <v>-5187415.025</v>
      </c>
      <c r="M490" s="293">
        <f t="shared" si="3"/>
        <v>-68574.41</v>
      </c>
      <c r="N490" s="293">
        <f t="shared" si="6"/>
        <v>0</v>
      </c>
      <c r="O490" s="277">
        <f t="shared" si="4"/>
        <v>-72146.60962</v>
      </c>
      <c r="P490" s="264"/>
      <c r="Q490" s="264"/>
      <c r="R490" s="264"/>
      <c r="S490" s="264"/>
      <c r="T490" s="264"/>
      <c r="U490" s="264"/>
      <c r="V490" s="264"/>
      <c r="W490" s="264"/>
      <c r="X490" s="264"/>
      <c r="Y490" s="264"/>
      <c r="Z490" s="264"/>
      <c r="AA490" s="264"/>
      <c r="AB490" s="264"/>
      <c r="AC490" s="264"/>
      <c r="AD490" s="264"/>
      <c r="AE490" s="264"/>
    </row>
    <row r="491">
      <c r="A491" s="272"/>
      <c r="B491" s="272"/>
      <c r="C491" s="272"/>
      <c r="D491" s="172"/>
      <c r="E491" s="267" t="str">
        <f t="shared" si="22"/>
        <v/>
      </c>
      <c r="F491" s="274" t="str">
        <f t="shared" si="2"/>
        <v/>
      </c>
      <c r="G491" s="42"/>
      <c r="H491" s="264"/>
      <c r="I491" s="277"/>
      <c r="J491" s="276" t="str">
        <f>IF(ISBLANK(I491), "", VLOOKUP(E491&amp;" "&amp;F491, 'Info Tipo de Cambio y REM'!$A$24:$B$35, 2, FALSE))
</f>
        <v/>
      </c>
      <c r="K491" s="107" t="str">
        <f t="shared" si="23"/>
        <v/>
      </c>
      <c r="L491" s="293">
        <f t="shared" si="5"/>
        <v>-5187415.025</v>
      </c>
      <c r="M491" s="293">
        <f t="shared" si="3"/>
        <v>-68574.41</v>
      </c>
      <c r="N491" s="293">
        <f t="shared" si="6"/>
        <v>0</v>
      </c>
      <c r="O491" s="277">
        <f t="shared" si="4"/>
        <v>-72146.60962</v>
      </c>
      <c r="P491" s="264"/>
      <c r="Q491" s="264"/>
      <c r="R491" s="264"/>
      <c r="S491" s="264"/>
      <c r="T491" s="264"/>
      <c r="U491" s="264"/>
      <c r="V491" s="264"/>
      <c r="W491" s="264"/>
      <c r="X491" s="264"/>
      <c r="Y491" s="264"/>
      <c r="Z491" s="264"/>
      <c r="AA491" s="264"/>
      <c r="AB491" s="264"/>
      <c r="AC491" s="264"/>
      <c r="AD491" s="264"/>
      <c r="AE491" s="264"/>
    </row>
    <row r="492">
      <c r="A492" s="272"/>
      <c r="B492" s="272"/>
      <c r="C492" s="272"/>
      <c r="D492" s="172"/>
      <c r="E492" s="267" t="str">
        <f t="shared" si="22"/>
        <v/>
      </c>
      <c r="F492" s="274" t="str">
        <f t="shared" si="2"/>
        <v/>
      </c>
      <c r="G492" s="42"/>
      <c r="H492" s="264"/>
      <c r="I492" s="277"/>
      <c r="J492" s="276" t="str">
        <f>IF(ISBLANK(I492), "", VLOOKUP(E492&amp;" "&amp;F492, 'Info Tipo de Cambio y REM'!$A$24:$B$35, 2, FALSE))
</f>
        <v/>
      </c>
      <c r="K492" s="107" t="str">
        <f t="shared" si="23"/>
        <v/>
      </c>
      <c r="L492" s="293">
        <f t="shared" si="5"/>
        <v>-5187415.025</v>
      </c>
      <c r="M492" s="293">
        <f t="shared" si="3"/>
        <v>-68574.41</v>
      </c>
      <c r="N492" s="293">
        <f t="shared" si="6"/>
        <v>0</v>
      </c>
      <c r="O492" s="277">
        <f t="shared" si="4"/>
        <v>-72146.60962</v>
      </c>
      <c r="P492" s="264"/>
      <c r="Q492" s="264"/>
      <c r="R492" s="264"/>
      <c r="S492" s="264"/>
      <c r="T492" s="264"/>
      <c r="U492" s="264"/>
      <c r="V492" s="264"/>
      <c r="W492" s="264"/>
      <c r="X492" s="264"/>
      <c r="Y492" s="264"/>
      <c r="Z492" s="264"/>
      <c r="AA492" s="264"/>
      <c r="AB492" s="264"/>
      <c r="AC492" s="264"/>
      <c r="AD492" s="264"/>
      <c r="AE492" s="264"/>
    </row>
    <row r="493">
      <c r="A493" s="272"/>
      <c r="B493" s="272"/>
      <c r="C493" s="272"/>
      <c r="D493" s="172"/>
      <c r="E493" s="267" t="str">
        <f t="shared" si="22"/>
        <v/>
      </c>
      <c r="F493" s="274" t="str">
        <f t="shared" si="2"/>
        <v/>
      </c>
      <c r="G493" s="42"/>
      <c r="H493" s="264"/>
      <c r="I493" s="277"/>
      <c r="J493" s="276" t="str">
        <f>IF(ISBLANK(I493), "", VLOOKUP(E493&amp;" "&amp;F493, 'Info Tipo de Cambio y REM'!$A$24:$B$35, 2, FALSE))
</f>
        <v/>
      </c>
      <c r="K493" s="107" t="str">
        <f t="shared" si="23"/>
        <v/>
      </c>
      <c r="L493" s="293">
        <f t="shared" si="5"/>
        <v>-5187415.025</v>
      </c>
      <c r="M493" s="293">
        <f t="shared" si="3"/>
        <v>-68574.41</v>
      </c>
      <c r="N493" s="293">
        <f t="shared" si="6"/>
        <v>0</v>
      </c>
      <c r="O493" s="277">
        <f t="shared" si="4"/>
        <v>-72146.60962</v>
      </c>
      <c r="P493" s="264"/>
      <c r="Q493" s="264"/>
      <c r="R493" s="264"/>
      <c r="S493" s="264"/>
      <c r="T493" s="264"/>
      <c r="U493" s="264"/>
      <c r="V493" s="264"/>
      <c r="W493" s="264"/>
      <c r="X493" s="264"/>
      <c r="Y493" s="264"/>
      <c r="Z493" s="264"/>
      <c r="AA493" s="264"/>
      <c r="AB493" s="264"/>
      <c r="AC493" s="264"/>
      <c r="AD493" s="264"/>
      <c r="AE493" s="264"/>
    </row>
    <row r="494">
      <c r="A494" s="272"/>
      <c r="B494" s="272"/>
      <c r="C494" s="272"/>
      <c r="D494" s="172"/>
      <c r="E494" s="267" t="str">
        <f t="shared" si="22"/>
        <v/>
      </c>
      <c r="F494" s="274" t="str">
        <f t="shared" si="2"/>
        <v/>
      </c>
      <c r="G494" s="42"/>
      <c r="H494" s="264"/>
      <c r="I494" s="277"/>
      <c r="J494" s="276" t="str">
        <f>IF(ISBLANK(I494), "", VLOOKUP(E494&amp;" "&amp;F494, 'Info Tipo de Cambio y REM'!$A$24:$B$35, 2, FALSE))
</f>
        <v/>
      </c>
      <c r="K494" s="107" t="str">
        <f t="shared" si="23"/>
        <v/>
      </c>
      <c r="L494" s="293">
        <f t="shared" si="5"/>
        <v>-5187415.025</v>
      </c>
      <c r="M494" s="293">
        <f t="shared" si="3"/>
        <v>-68574.41</v>
      </c>
      <c r="N494" s="293">
        <f t="shared" si="6"/>
        <v>0</v>
      </c>
      <c r="O494" s="277">
        <f t="shared" si="4"/>
        <v>-72146.60962</v>
      </c>
      <c r="P494" s="264"/>
      <c r="Q494" s="264"/>
      <c r="R494" s="264"/>
      <c r="S494" s="264"/>
      <c r="T494" s="264"/>
      <c r="U494" s="264"/>
      <c r="V494" s="264"/>
      <c r="W494" s="264"/>
      <c r="X494" s="264"/>
      <c r="Y494" s="264"/>
      <c r="Z494" s="264"/>
      <c r="AA494" s="264"/>
      <c r="AB494" s="264"/>
      <c r="AC494" s="264"/>
      <c r="AD494" s="264"/>
      <c r="AE494" s="264"/>
    </row>
    <row r="495">
      <c r="A495" s="272"/>
      <c r="B495" s="272"/>
      <c r="C495" s="272"/>
      <c r="D495" s="172"/>
      <c r="E495" s="267" t="str">
        <f t="shared" si="22"/>
        <v/>
      </c>
      <c r="F495" s="274" t="str">
        <f t="shared" si="2"/>
        <v/>
      </c>
      <c r="G495" s="42"/>
      <c r="H495" s="264"/>
      <c r="I495" s="277"/>
      <c r="J495" s="276" t="str">
        <f>IF(ISBLANK(I495), "", VLOOKUP(E495&amp;" "&amp;F495, 'Info Tipo de Cambio y REM'!$A$24:$B$35, 2, FALSE))
</f>
        <v/>
      </c>
      <c r="K495" s="107" t="str">
        <f t="shared" si="23"/>
        <v/>
      </c>
      <c r="L495" s="293">
        <f t="shared" si="5"/>
        <v>-5187415.025</v>
      </c>
      <c r="M495" s="293">
        <f t="shared" si="3"/>
        <v>-68574.41</v>
      </c>
      <c r="N495" s="293">
        <f t="shared" si="6"/>
        <v>0</v>
      </c>
      <c r="O495" s="277">
        <f t="shared" si="4"/>
        <v>-72146.60962</v>
      </c>
      <c r="P495" s="264"/>
      <c r="Q495" s="264"/>
      <c r="R495" s="264"/>
      <c r="S495" s="264"/>
      <c r="T495" s="264"/>
      <c r="U495" s="264"/>
      <c r="V495" s="264"/>
      <c r="W495" s="264"/>
      <c r="X495" s="264"/>
      <c r="Y495" s="264"/>
      <c r="Z495" s="264"/>
      <c r="AA495" s="264"/>
      <c r="AB495" s="264"/>
      <c r="AC495" s="264"/>
      <c r="AD495" s="264"/>
      <c r="AE495" s="264"/>
    </row>
    <row r="496">
      <c r="A496" s="272"/>
      <c r="B496" s="272"/>
      <c r="C496" s="272"/>
      <c r="D496" s="172"/>
      <c r="E496" s="267" t="str">
        <f t="shared" si="22"/>
        <v/>
      </c>
      <c r="F496" s="274" t="str">
        <f t="shared" si="2"/>
        <v/>
      </c>
      <c r="G496" s="42"/>
      <c r="H496" s="264"/>
      <c r="I496" s="277"/>
      <c r="J496" s="276" t="str">
        <f>IF(ISBLANK(I496), "", VLOOKUP(E496&amp;" "&amp;F496, 'Info Tipo de Cambio y REM'!$A$24:$B$35, 2, FALSE))
</f>
        <v/>
      </c>
      <c r="K496" s="107" t="str">
        <f t="shared" si="23"/>
        <v/>
      </c>
      <c r="L496" s="293">
        <f t="shared" si="5"/>
        <v>-5187415.025</v>
      </c>
      <c r="M496" s="293">
        <f t="shared" si="3"/>
        <v>-68574.41</v>
      </c>
      <c r="N496" s="293">
        <f t="shared" si="6"/>
        <v>0</v>
      </c>
      <c r="O496" s="277">
        <f t="shared" si="4"/>
        <v>-72146.60962</v>
      </c>
      <c r="P496" s="264"/>
      <c r="Q496" s="264"/>
      <c r="R496" s="264"/>
      <c r="S496" s="264"/>
      <c r="T496" s="264"/>
      <c r="U496" s="264"/>
      <c r="V496" s="264"/>
      <c r="W496" s="264"/>
      <c r="X496" s="264"/>
      <c r="Y496" s="264"/>
      <c r="Z496" s="264"/>
      <c r="AA496" s="264"/>
      <c r="AB496" s="264"/>
      <c r="AC496" s="264"/>
      <c r="AD496" s="264"/>
      <c r="AE496" s="264"/>
    </row>
    <row r="497">
      <c r="A497" s="272"/>
      <c r="B497" s="272"/>
      <c r="C497" s="272"/>
      <c r="D497" s="172"/>
      <c r="E497" s="267" t="str">
        <f t="shared" si="22"/>
        <v/>
      </c>
      <c r="F497" s="274" t="str">
        <f t="shared" si="2"/>
        <v/>
      </c>
      <c r="G497" s="42"/>
      <c r="H497" s="264"/>
      <c r="I497" s="277"/>
      <c r="J497" s="276" t="str">
        <f>IF(ISBLANK(I497), "", VLOOKUP(E497&amp;" "&amp;F497, 'Info Tipo de Cambio y REM'!$A$24:$B$35, 2, FALSE))
</f>
        <v/>
      </c>
      <c r="K497" s="107" t="str">
        <f t="shared" si="23"/>
        <v/>
      </c>
      <c r="L497" s="293">
        <f t="shared" si="5"/>
        <v>-5187415.025</v>
      </c>
      <c r="M497" s="293">
        <f t="shared" si="3"/>
        <v>-68574.41</v>
      </c>
      <c r="N497" s="293">
        <f t="shared" si="6"/>
        <v>0</v>
      </c>
      <c r="O497" s="277">
        <f t="shared" si="4"/>
        <v>-72146.60962</v>
      </c>
      <c r="P497" s="264"/>
      <c r="Q497" s="264"/>
      <c r="R497" s="264"/>
      <c r="S497" s="264"/>
      <c r="T497" s="264"/>
      <c r="U497" s="264"/>
      <c r="V497" s="264"/>
      <c r="W497" s="264"/>
      <c r="X497" s="264"/>
      <c r="Y497" s="264"/>
      <c r="Z497" s="264"/>
      <c r="AA497" s="264"/>
      <c r="AB497" s="264"/>
      <c r="AC497" s="264"/>
      <c r="AD497" s="264"/>
      <c r="AE497" s="264"/>
    </row>
    <row r="498">
      <c r="A498" s="272"/>
      <c r="B498" s="272"/>
      <c r="C498" s="272"/>
      <c r="D498" s="172"/>
      <c r="E498" s="267" t="str">
        <f t="shared" si="22"/>
        <v/>
      </c>
      <c r="F498" s="274" t="str">
        <f t="shared" si="2"/>
        <v/>
      </c>
      <c r="G498" s="42"/>
      <c r="H498" s="264"/>
      <c r="I498" s="277"/>
      <c r="J498" s="276" t="str">
        <f>IF(ISBLANK(I498), "", VLOOKUP(E498&amp;" "&amp;F498, 'Info Tipo de Cambio y REM'!$A$24:$B$35, 2, FALSE))
</f>
        <v/>
      </c>
      <c r="K498" s="107" t="str">
        <f t="shared" si="23"/>
        <v/>
      </c>
      <c r="L498" s="293">
        <f t="shared" si="5"/>
        <v>-5187415.025</v>
      </c>
      <c r="M498" s="293">
        <f t="shared" si="3"/>
        <v>-68574.41</v>
      </c>
      <c r="N498" s="293">
        <f t="shared" si="6"/>
        <v>0</v>
      </c>
      <c r="O498" s="277">
        <f t="shared" si="4"/>
        <v>-72146.60962</v>
      </c>
      <c r="P498" s="264"/>
      <c r="Q498" s="264"/>
      <c r="R498" s="264"/>
      <c r="S498" s="264"/>
      <c r="T498" s="264"/>
      <c r="U498" s="264"/>
      <c r="V498" s="264"/>
      <c r="W498" s="264"/>
      <c r="X498" s="264"/>
      <c r="Y498" s="264"/>
      <c r="Z498" s="264"/>
      <c r="AA498" s="264"/>
      <c r="AB498" s="264"/>
      <c r="AC498" s="264"/>
      <c r="AD498" s="264"/>
      <c r="AE498" s="264"/>
    </row>
    <row r="499">
      <c r="A499" s="272"/>
      <c r="B499" s="272"/>
      <c r="C499" s="272"/>
      <c r="D499" s="172"/>
      <c r="E499" s="267" t="str">
        <f t="shared" si="22"/>
        <v/>
      </c>
      <c r="F499" s="274" t="str">
        <f t="shared" si="2"/>
        <v/>
      </c>
      <c r="G499" s="42"/>
      <c r="H499" s="264"/>
      <c r="I499" s="277"/>
      <c r="J499" s="276" t="str">
        <f>IF(ISBLANK(I499), "", VLOOKUP(E499&amp;" "&amp;F499, 'Info Tipo de Cambio y REM'!$A$24:$B$35, 2, FALSE))
</f>
        <v/>
      </c>
      <c r="K499" s="107" t="str">
        <f t="shared" si="23"/>
        <v/>
      </c>
      <c r="L499" s="293">
        <f t="shared" si="5"/>
        <v>-5187415.025</v>
      </c>
      <c r="M499" s="293">
        <f t="shared" si="3"/>
        <v>-68574.41</v>
      </c>
      <c r="N499" s="293">
        <f t="shared" si="6"/>
        <v>0</v>
      </c>
      <c r="O499" s="277">
        <f t="shared" si="4"/>
        <v>-72146.60962</v>
      </c>
      <c r="P499" s="264"/>
      <c r="Q499" s="264"/>
      <c r="R499" s="264"/>
      <c r="S499" s="264"/>
      <c r="T499" s="264"/>
      <c r="U499" s="264"/>
      <c r="V499" s="264"/>
      <c r="W499" s="264"/>
      <c r="X499" s="264"/>
      <c r="Y499" s="264"/>
      <c r="Z499" s="264"/>
      <c r="AA499" s="264"/>
      <c r="AB499" s="264"/>
      <c r="AC499" s="264"/>
      <c r="AD499" s="264"/>
      <c r="AE499" s="264"/>
    </row>
    <row r="500">
      <c r="A500" s="272"/>
      <c r="B500" s="272"/>
      <c r="C500" s="272"/>
      <c r="D500" s="172"/>
      <c r="E500" s="267" t="str">
        <f t="shared" si="22"/>
        <v/>
      </c>
      <c r="F500" s="274" t="str">
        <f t="shared" si="2"/>
        <v/>
      </c>
      <c r="G500" s="42"/>
      <c r="H500" s="264"/>
      <c r="I500" s="277"/>
      <c r="J500" s="276" t="str">
        <f>IF(ISBLANK(I500), "", VLOOKUP(E500&amp;" "&amp;F500, 'Info Tipo de Cambio y REM'!$A$24:$B$35, 2, FALSE))
</f>
        <v/>
      </c>
      <c r="K500" s="107" t="str">
        <f t="shared" si="23"/>
        <v/>
      </c>
      <c r="L500" s="293">
        <f t="shared" si="5"/>
        <v>-5187415.025</v>
      </c>
      <c r="M500" s="293">
        <f t="shared" si="3"/>
        <v>-68574.41</v>
      </c>
      <c r="N500" s="293">
        <f t="shared" si="6"/>
        <v>0</v>
      </c>
      <c r="O500" s="277">
        <f t="shared" si="4"/>
        <v>-72146.60962</v>
      </c>
      <c r="P500" s="264"/>
      <c r="Q500" s="264"/>
      <c r="R500" s="264"/>
      <c r="S500" s="264"/>
      <c r="T500" s="264"/>
      <c r="U500" s="264"/>
      <c r="V500" s="264"/>
      <c r="W500" s="264"/>
      <c r="X500" s="264"/>
      <c r="Y500" s="264"/>
      <c r="Z500" s="264"/>
      <c r="AA500" s="264"/>
      <c r="AB500" s="264"/>
      <c r="AC500" s="264"/>
      <c r="AD500" s="264"/>
      <c r="AE500" s="264"/>
    </row>
    <row r="501">
      <c r="A501" s="272"/>
      <c r="B501" s="272"/>
      <c r="C501" s="272"/>
      <c r="D501" s="172"/>
      <c r="E501" s="267" t="str">
        <f t="shared" si="22"/>
        <v/>
      </c>
      <c r="F501" s="274" t="str">
        <f t="shared" si="2"/>
        <v/>
      </c>
      <c r="G501" s="42"/>
      <c r="H501" s="264"/>
      <c r="I501" s="277"/>
      <c r="J501" s="276" t="str">
        <f>IF(ISBLANK(I501), "", VLOOKUP(E501&amp;" "&amp;F501, 'Info Tipo de Cambio y REM'!$A$24:$B$35, 2, FALSE))
</f>
        <v/>
      </c>
      <c r="K501" s="107" t="str">
        <f t="shared" si="23"/>
        <v/>
      </c>
      <c r="L501" s="293">
        <f t="shared" si="5"/>
        <v>-5187415.025</v>
      </c>
      <c r="M501" s="293">
        <f t="shared" si="3"/>
        <v>-68574.41</v>
      </c>
      <c r="N501" s="293">
        <f t="shared" si="6"/>
        <v>0</v>
      </c>
      <c r="O501" s="277">
        <f t="shared" si="4"/>
        <v>-72146.60962</v>
      </c>
      <c r="P501" s="264"/>
      <c r="Q501" s="264"/>
      <c r="R501" s="264"/>
      <c r="S501" s="264"/>
      <c r="T501" s="264"/>
      <c r="U501" s="264"/>
      <c r="V501" s="264"/>
      <c r="W501" s="264"/>
      <c r="X501" s="264"/>
      <c r="Y501" s="264"/>
      <c r="Z501" s="264"/>
      <c r="AA501" s="264"/>
      <c r="AB501" s="264"/>
      <c r="AC501" s="264"/>
      <c r="AD501" s="264"/>
      <c r="AE501" s="264"/>
    </row>
    <row r="502">
      <c r="A502" s="272"/>
      <c r="B502" s="272"/>
      <c r="C502" s="272"/>
      <c r="D502" s="172"/>
      <c r="E502" s="267" t="str">
        <f t="shared" si="22"/>
        <v/>
      </c>
      <c r="F502" s="274" t="str">
        <f t="shared" si="2"/>
        <v/>
      </c>
      <c r="G502" s="42"/>
      <c r="H502" s="264"/>
      <c r="I502" s="277"/>
      <c r="J502" s="276" t="str">
        <f>IF(ISBLANK(I502), "", VLOOKUP(E502&amp;" "&amp;F502, 'Info Tipo de Cambio y REM'!$A$24:$B$35, 2, FALSE))
</f>
        <v/>
      </c>
      <c r="K502" s="107" t="str">
        <f t="shared" si="23"/>
        <v/>
      </c>
      <c r="L502" s="293">
        <f t="shared" si="5"/>
        <v>-5187415.025</v>
      </c>
      <c r="M502" s="293">
        <f t="shared" si="3"/>
        <v>-68574.41</v>
      </c>
      <c r="N502" s="293">
        <f t="shared" si="6"/>
        <v>0</v>
      </c>
      <c r="O502" s="277">
        <f t="shared" si="4"/>
        <v>-72146.60962</v>
      </c>
      <c r="P502" s="264"/>
      <c r="Q502" s="264"/>
      <c r="R502" s="264"/>
      <c r="S502" s="264"/>
      <c r="T502" s="264"/>
      <c r="U502" s="264"/>
      <c r="V502" s="264"/>
      <c r="W502" s="264"/>
      <c r="X502" s="264"/>
      <c r="Y502" s="264"/>
      <c r="Z502" s="264"/>
      <c r="AA502" s="264"/>
      <c r="AB502" s="264"/>
      <c r="AC502" s="264"/>
      <c r="AD502" s="264"/>
      <c r="AE502" s="264"/>
    </row>
    <row r="503">
      <c r="A503" s="272"/>
      <c r="B503" s="272"/>
      <c r="C503" s="272"/>
      <c r="D503" s="172"/>
      <c r="E503" s="267" t="str">
        <f t="shared" si="22"/>
        <v/>
      </c>
      <c r="F503" s="274" t="str">
        <f t="shared" si="2"/>
        <v/>
      </c>
      <c r="G503" s="42"/>
      <c r="H503" s="264"/>
      <c r="I503" s="277"/>
      <c r="J503" s="276" t="str">
        <f>IF(ISBLANK(I503), "", VLOOKUP(E503&amp;" "&amp;F503, 'Info Tipo de Cambio y REM'!$A$24:$B$35, 2, FALSE))
</f>
        <v/>
      </c>
      <c r="K503" s="107" t="str">
        <f t="shared" si="23"/>
        <v/>
      </c>
      <c r="L503" s="293">
        <f t="shared" si="5"/>
        <v>-5187415.025</v>
      </c>
      <c r="M503" s="293">
        <f t="shared" si="3"/>
        <v>-68574.41</v>
      </c>
      <c r="N503" s="293">
        <f t="shared" si="6"/>
        <v>0</v>
      </c>
      <c r="O503" s="277">
        <f t="shared" si="4"/>
        <v>-72146.60962</v>
      </c>
      <c r="P503" s="264"/>
      <c r="Q503" s="264"/>
      <c r="R503" s="264"/>
      <c r="S503" s="264"/>
      <c r="T503" s="264"/>
      <c r="U503" s="264"/>
      <c r="V503" s="264"/>
      <c r="W503" s="264"/>
      <c r="X503" s="264"/>
      <c r="Y503" s="264"/>
      <c r="Z503" s="264"/>
      <c r="AA503" s="264"/>
      <c r="AB503" s="264"/>
      <c r="AC503" s="264"/>
      <c r="AD503" s="264"/>
      <c r="AE503" s="264"/>
    </row>
    <row r="504">
      <c r="A504" s="272"/>
      <c r="B504" s="272"/>
      <c r="C504" s="272"/>
      <c r="D504" s="172"/>
      <c r="E504" s="267" t="str">
        <f t="shared" si="22"/>
        <v/>
      </c>
      <c r="F504" s="274" t="str">
        <f t="shared" si="2"/>
        <v/>
      </c>
      <c r="G504" s="42"/>
      <c r="H504" s="264"/>
      <c r="I504" s="277"/>
      <c r="J504" s="276" t="str">
        <f>IF(ISBLANK(I504), "", VLOOKUP(E504&amp;" "&amp;F504, 'Info Tipo de Cambio y REM'!$A$24:$B$35, 2, FALSE))
</f>
        <v/>
      </c>
      <c r="K504" s="107" t="str">
        <f t="shared" si="23"/>
        <v/>
      </c>
      <c r="L504" s="293">
        <f t="shared" si="5"/>
        <v>-5187415.025</v>
      </c>
      <c r="M504" s="293">
        <f t="shared" si="3"/>
        <v>-68574.41</v>
      </c>
      <c r="N504" s="293">
        <f t="shared" si="6"/>
        <v>0</v>
      </c>
      <c r="O504" s="277">
        <f t="shared" si="4"/>
        <v>-72146.60962</v>
      </c>
      <c r="P504" s="264"/>
      <c r="Q504" s="264"/>
      <c r="R504" s="264"/>
      <c r="S504" s="264"/>
      <c r="T504" s="264"/>
      <c r="U504" s="264"/>
      <c r="V504" s="264"/>
      <c r="W504" s="264"/>
      <c r="X504" s="264"/>
      <c r="Y504" s="264"/>
      <c r="Z504" s="264"/>
      <c r="AA504" s="264"/>
      <c r="AB504" s="264"/>
      <c r="AC504" s="264"/>
      <c r="AD504" s="264"/>
      <c r="AE504" s="264"/>
    </row>
    <row r="505">
      <c r="A505" s="272"/>
      <c r="B505" s="272"/>
      <c r="C505" s="272"/>
      <c r="D505" s="172"/>
      <c r="E505" s="267" t="str">
        <f t="shared" si="22"/>
        <v/>
      </c>
      <c r="F505" s="274" t="str">
        <f t="shared" si="2"/>
        <v/>
      </c>
      <c r="G505" s="42"/>
      <c r="H505" s="264"/>
      <c r="I505" s="277"/>
      <c r="J505" s="276" t="str">
        <f>IF(ISBLANK(I505), "", VLOOKUP(E505&amp;" "&amp;F505, 'Info Tipo de Cambio y REM'!$A$24:$B$35, 2, FALSE))
</f>
        <v/>
      </c>
      <c r="K505" s="107" t="str">
        <f t="shared" si="23"/>
        <v/>
      </c>
      <c r="L505" s="293">
        <f t="shared" si="5"/>
        <v>-5187415.025</v>
      </c>
      <c r="M505" s="293">
        <f t="shared" si="3"/>
        <v>-68574.41</v>
      </c>
      <c r="N505" s="293">
        <f t="shared" si="6"/>
        <v>0</v>
      </c>
      <c r="O505" s="277">
        <f t="shared" si="4"/>
        <v>-72146.60962</v>
      </c>
      <c r="P505" s="264"/>
      <c r="Q505" s="264"/>
      <c r="R505" s="264"/>
      <c r="S505" s="264"/>
      <c r="T505" s="264"/>
      <c r="U505" s="264"/>
      <c r="V505" s="264"/>
      <c r="W505" s="264"/>
      <c r="X505" s="264"/>
      <c r="Y505" s="264"/>
      <c r="Z505" s="264"/>
      <c r="AA505" s="264"/>
      <c r="AB505" s="264"/>
      <c r="AC505" s="264"/>
      <c r="AD505" s="264"/>
      <c r="AE505" s="264"/>
    </row>
    <row r="506">
      <c r="A506" s="272"/>
      <c r="B506" s="272"/>
      <c r="C506" s="272"/>
      <c r="D506" s="172"/>
      <c r="E506" s="267" t="str">
        <f t="shared" si="22"/>
        <v/>
      </c>
      <c r="F506" s="274" t="str">
        <f t="shared" si="2"/>
        <v/>
      </c>
      <c r="G506" s="42"/>
      <c r="H506" s="264"/>
      <c r="I506" s="277"/>
      <c r="J506" s="276" t="str">
        <f>IF(ISBLANK(I506), "", VLOOKUP(E506&amp;" "&amp;F506, 'Info Tipo de Cambio y REM'!$A$24:$B$35, 2, FALSE))
</f>
        <v/>
      </c>
      <c r="K506" s="107" t="str">
        <f t="shared" si="23"/>
        <v/>
      </c>
      <c r="L506" s="293">
        <f t="shared" si="5"/>
        <v>-5187415.025</v>
      </c>
      <c r="M506" s="293">
        <f t="shared" si="3"/>
        <v>-68574.41</v>
      </c>
      <c r="N506" s="293">
        <f t="shared" si="6"/>
        <v>0</v>
      </c>
      <c r="O506" s="277">
        <f t="shared" si="4"/>
        <v>-72146.60962</v>
      </c>
      <c r="P506" s="264"/>
      <c r="Q506" s="264"/>
      <c r="R506" s="264"/>
      <c r="S506" s="264"/>
      <c r="T506" s="264"/>
      <c r="U506" s="264"/>
      <c r="V506" s="264"/>
      <c r="W506" s="264"/>
      <c r="X506" s="264"/>
      <c r="Y506" s="264"/>
      <c r="Z506" s="264"/>
      <c r="AA506" s="264"/>
      <c r="AB506" s="264"/>
      <c r="AC506" s="264"/>
      <c r="AD506" s="264"/>
      <c r="AE506" s="264"/>
    </row>
    <row r="507">
      <c r="A507" s="272"/>
      <c r="B507" s="272"/>
      <c r="C507" s="272"/>
      <c r="D507" s="172"/>
      <c r="E507" s="267" t="str">
        <f t="shared" si="22"/>
        <v/>
      </c>
      <c r="F507" s="274" t="str">
        <f t="shared" si="2"/>
        <v/>
      </c>
      <c r="G507" s="42"/>
      <c r="H507" s="264"/>
      <c r="I507" s="277"/>
      <c r="J507" s="276" t="str">
        <f>IF(ISBLANK(I507), "", VLOOKUP(E507&amp;" "&amp;F507, 'Info Tipo de Cambio y REM'!$A$24:$B$35, 2, FALSE))
</f>
        <v/>
      </c>
      <c r="K507" s="107" t="str">
        <f t="shared" si="23"/>
        <v/>
      </c>
      <c r="L507" s="293">
        <f t="shared" si="5"/>
        <v>-5187415.025</v>
      </c>
      <c r="M507" s="293">
        <f t="shared" si="3"/>
        <v>-68574.41</v>
      </c>
      <c r="N507" s="293">
        <f t="shared" si="6"/>
        <v>0</v>
      </c>
      <c r="O507" s="277">
        <f t="shared" si="4"/>
        <v>-72146.60962</v>
      </c>
      <c r="P507" s="264"/>
      <c r="Q507" s="264"/>
      <c r="R507" s="264"/>
      <c r="S507" s="264"/>
      <c r="T507" s="264"/>
      <c r="U507" s="264"/>
      <c r="V507" s="264"/>
      <c r="W507" s="264"/>
      <c r="X507" s="264"/>
      <c r="Y507" s="264"/>
      <c r="Z507" s="264"/>
      <c r="AA507" s="264"/>
      <c r="AB507" s="264"/>
      <c r="AC507" s="264"/>
      <c r="AD507" s="264"/>
      <c r="AE507" s="264"/>
    </row>
    <row r="508">
      <c r="A508" s="272"/>
      <c r="B508" s="272"/>
      <c r="C508" s="272"/>
      <c r="D508" s="172"/>
      <c r="E508" s="267" t="str">
        <f t="shared" si="22"/>
        <v/>
      </c>
      <c r="F508" s="274" t="str">
        <f t="shared" si="2"/>
        <v/>
      </c>
      <c r="G508" s="42"/>
      <c r="H508" s="264"/>
      <c r="I508" s="277"/>
      <c r="J508" s="276" t="str">
        <f>IF(ISBLANK(I508), "", VLOOKUP(E508&amp;" "&amp;F508, 'Info Tipo de Cambio y REM'!$A$24:$B$35, 2, FALSE))
</f>
        <v/>
      </c>
      <c r="K508" s="107" t="str">
        <f t="shared" si="23"/>
        <v/>
      </c>
      <c r="L508" s="293">
        <f t="shared" si="5"/>
        <v>-5187415.025</v>
      </c>
      <c r="M508" s="293">
        <f t="shared" si="3"/>
        <v>-68574.41</v>
      </c>
      <c r="N508" s="293">
        <f t="shared" si="6"/>
        <v>0</v>
      </c>
      <c r="O508" s="277">
        <f t="shared" si="4"/>
        <v>-72146.60962</v>
      </c>
      <c r="P508" s="264"/>
      <c r="Q508" s="264"/>
      <c r="R508" s="264"/>
      <c r="S508" s="264"/>
      <c r="T508" s="264"/>
      <c r="U508" s="264"/>
      <c r="V508" s="264"/>
      <c r="W508" s="264"/>
      <c r="X508" s="264"/>
      <c r="Y508" s="264"/>
      <c r="Z508" s="264"/>
      <c r="AA508" s="264"/>
      <c r="AB508" s="264"/>
      <c r="AC508" s="264"/>
      <c r="AD508" s="264"/>
      <c r="AE508" s="264"/>
    </row>
    <row r="509">
      <c r="A509" s="272"/>
      <c r="B509" s="272"/>
      <c r="C509" s="272"/>
      <c r="D509" s="172"/>
      <c r="E509" s="267" t="str">
        <f t="shared" si="22"/>
        <v/>
      </c>
      <c r="F509" s="274" t="str">
        <f t="shared" si="2"/>
        <v/>
      </c>
      <c r="G509" s="42"/>
      <c r="H509" s="264"/>
      <c r="I509" s="277"/>
      <c r="J509" s="276" t="str">
        <f>IF(ISBLANK(I509), "", VLOOKUP(E509&amp;" "&amp;F509, 'Info Tipo de Cambio y REM'!$A$24:$B$35, 2, FALSE))
</f>
        <v/>
      </c>
      <c r="K509" s="107" t="str">
        <f t="shared" si="23"/>
        <v/>
      </c>
      <c r="L509" s="293">
        <f t="shared" si="5"/>
        <v>-5187415.025</v>
      </c>
      <c r="M509" s="293">
        <f t="shared" si="3"/>
        <v>-68574.41</v>
      </c>
      <c r="N509" s="293">
        <f t="shared" si="6"/>
        <v>0</v>
      </c>
      <c r="O509" s="277">
        <f t="shared" si="4"/>
        <v>-72146.60962</v>
      </c>
      <c r="P509" s="264"/>
      <c r="Q509" s="264"/>
      <c r="R509" s="264"/>
      <c r="S509" s="264"/>
      <c r="T509" s="264"/>
      <c r="U509" s="264"/>
      <c r="V509" s="264"/>
      <c r="W509" s="264"/>
      <c r="X509" s="264"/>
      <c r="Y509" s="264"/>
      <c r="Z509" s="264"/>
      <c r="AA509" s="264"/>
      <c r="AB509" s="264"/>
      <c r="AC509" s="264"/>
      <c r="AD509" s="264"/>
      <c r="AE509" s="264"/>
    </row>
    <row r="510">
      <c r="A510" s="272"/>
      <c r="B510" s="272"/>
      <c r="C510" s="272"/>
      <c r="D510" s="172"/>
      <c r="E510" s="267" t="str">
        <f t="shared" si="22"/>
        <v/>
      </c>
      <c r="F510" s="274" t="str">
        <f t="shared" si="2"/>
        <v/>
      </c>
      <c r="G510" s="42"/>
      <c r="H510" s="264"/>
      <c r="I510" s="277"/>
      <c r="J510" s="276" t="str">
        <f>IF(ISBLANK(I510), "", VLOOKUP(E510&amp;" "&amp;F510, 'Info Tipo de Cambio y REM'!$A$24:$B$35, 2, FALSE))
</f>
        <v/>
      </c>
      <c r="K510" s="107" t="str">
        <f t="shared" si="23"/>
        <v/>
      </c>
      <c r="L510" s="293">
        <f t="shared" si="5"/>
        <v>-5187415.025</v>
      </c>
      <c r="M510" s="293">
        <f t="shared" si="3"/>
        <v>-68574.41</v>
      </c>
      <c r="N510" s="293">
        <f t="shared" si="6"/>
        <v>0</v>
      </c>
      <c r="O510" s="277">
        <f t="shared" si="4"/>
        <v>-72146.60962</v>
      </c>
      <c r="P510" s="264"/>
      <c r="Q510" s="264"/>
      <c r="R510" s="264"/>
      <c r="S510" s="264"/>
      <c r="T510" s="264"/>
      <c r="U510" s="264"/>
      <c r="V510" s="264"/>
      <c r="W510" s="264"/>
      <c r="X510" s="264"/>
      <c r="Y510" s="264"/>
      <c r="Z510" s="264"/>
      <c r="AA510" s="264"/>
      <c r="AB510" s="264"/>
      <c r="AC510" s="264"/>
      <c r="AD510" s="264"/>
      <c r="AE510" s="264"/>
    </row>
    <row r="511">
      <c r="A511" s="272"/>
      <c r="B511" s="272"/>
      <c r="C511" s="272"/>
      <c r="D511" s="172"/>
      <c r="E511" s="267" t="str">
        <f t="shared" si="22"/>
        <v/>
      </c>
      <c r="F511" s="274" t="str">
        <f t="shared" si="2"/>
        <v/>
      </c>
      <c r="G511" s="42"/>
      <c r="H511" s="264"/>
      <c r="I511" s="277"/>
      <c r="J511" s="276" t="str">
        <f>IF(ISBLANK(I511), "", VLOOKUP(E511&amp;" "&amp;F511, 'Info Tipo de Cambio y REM'!$A$24:$B$35, 2, FALSE))
</f>
        <v/>
      </c>
      <c r="K511" s="107" t="str">
        <f t="shared" si="23"/>
        <v/>
      </c>
      <c r="L511" s="293">
        <f t="shared" si="5"/>
        <v>-5187415.025</v>
      </c>
      <c r="M511" s="293">
        <f t="shared" si="3"/>
        <v>-68574.41</v>
      </c>
      <c r="N511" s="293">
        <f t="shared" si="6"/>
        <v>0</v>
      </c>
      <c r="O511" s="277">
        <f t="shared" si="4"/>
        <v>-72146.60962</v>
      </c>
      <c r="P511" s="264"/>
      <c r="Q511" s="264"/>
      <c r="R511" s="264"/>
      <c r="S511" s="264"/>
      <c r="T511" s="264"/>
      <c r="U511" s="264"/>
      <c r="V511" s="264"/>
      <c r="W511" s="264"/>
      <c r="X511" s="264"/>
      <c r="Y511" s="264"/>
      <c r="Z511" s="264"/>
      <c r="AA511" s="264"/>
      <c r="AB511" s="264"/>
      <c r="AC511" s="264"/>
      <c r="AD511" s="264"/>
      <c r="AE511" s="264"/>
    </row>
    <row r="512">
      <c r="A512" s="272"/>
      <c r="B512" s="272"/>
      <c r="C512" s="272"/>
      <c r="D512" s="172"/>
      <c r="E512" s="267" t="str">
        <f t="shared" si="22"/>
        <v/>
      </c>
      <c r="F512" s="274" t="str">
        <f t="shared" si="2"/>
        <v/>
      </c>
      <c r="G512" s="42"/>
      <c r="H512" s="264"/>
      <c r="I512" s="277"/>
      <c r="J512" s="276" t="str">
        <f>IF(ISBLANK(I512), "", VLOOKUP(E512&amp;" "&amp;F512, 'Info Tipo de Cambio y REM'!$A$24:$B$35, 2, FALSE))
</f>
        <v/>
      </c>
      <c r="K512" s="107" t="str">
        <f t="shared" si="23"/>
        <v/>
      </c>
      <c r="L512" s="293">
        <f t="shared" si="5"/>
        <v>-5187415.025</v>
      </c>
      <c r="M512" s="293">
        <f t="shared" si="3"/>
        <v>-68574.41</v>
      </c>
      <c r="N512" s="293">
        <f t="shared" si="6"/>
        <v>0</v>
      </c>
      <c r="O512" s="277">
        <f t="shared" si="4"/>
        <v>-72146.60962</v>
      </c>
      <c r="P512" s="264"/>
      <c r="Q512" s="264"/>
      <c r="R512" s="264"/>
      <c r="S512" s="264"/>
      <c r="T512" s="264"/>
      <c r="U512" s="264"/>
      <c r="V512" s="264"/>
      <c r="W512" s="264"/>
      <c r="X512" s="264"/>
      <c r="Y512" s="264"/>
      <c r="Z512" s="264"/>
      <c r="AA512" s="264"/>
      <c r="AB512" s="264"/>
      <c r="AC512" s="264"/>
      <c r="AD512" s="264"/>
      <c r="AE512" s="264"/>
    </row>
    <row r="513">
      <c r="A513" s="272"/>
      <c r="B513" s="272"/>
      <c r="C513" s="272"/>
      <c r="D513" s="172"/>
      <c r="E513" s="267" t="str">
        <f t="shared" si="22"/>
        <v/>
      </c>
      <c r="F513" s="274" t="str">
        <f t="shared" si="2"/>
        <v/>
      </c>
      <c r="G513" s="42"/>
      <c r="H513" s="264"/>
      <c r="I513" s="277"/>
      <c r="J513" s="276" t="str">
        <f>IF(ISBLANK(I513), "", VLOOKUP(E513&amp;" "&amp;F513, 'Info Tipo de Cambio y REM'!$A$24:$B$35, 2, FALSE))
</f>
        <v/>
      </c>
      <c r="K513" s="107" t="str">
        <f t="shared" si="23"/>
        <v/>
      </c>
      <c r="L513" s="293">
        <f t="shared" si="5"/>
        <v>-5187415.025</v>
      </c>
      <c r="M513" s="293">
        <f t="shared" si="3"/>
        <v>-68574.41</v>
      </c>
      <c r="N513" s="293">
        <f t="shared" si="6"/>
        <v>0</v>
      </c>
      <c r="O513" s="277">
        <f t="shared" si="4"/>
        <v>-72146.60962</v>
      </c>
      <c r="P513" s="264"/>
      <c r="Q513" s="264"/>
      <c r="R513" s="264"/>
      <c r="S513" s="264"/>
      <c r="T513" s="264"/>
      <c r="U513" s="264"/>
      <c r="V513" s="264"/>
      <c r="W513" s="264"/>
      <c r="X513" s="264"/>
      <c r="Y513" s="264"/>
      <c r="Z513" s="264"/>
      <c r="AA513" s="264"/>
      <c r="AB513" s="264"/>
      <c r="AC513" s="264"/>
      <c r="AD513" s="264"/>
      <c r="AE513" s="264"/>
    </row>
    <row r="514">
      <c r="A514" s="272"/>
      <c r="B514" s="272"/>
      <c r="C514" s="272"/>
      <c r="D514" s="172"/>
      <c r="E514" s="267" t="str">
        <f t="shared" si="22"/>
        <v/>
      </c>
      <c r="F514" s="274" t="str">
        <f t="shared" si="2"/>
        <v/>
      </c>
      <c r="G514" s="42"/>
      <c r="H514" s="264"/>
      <c r="I514" s="277"/>
      <c r="J514" s="276" t="str">
        <f>IF(ISBLANK(I514), "", VLOOKUP(E514&amp;" "&amp;F514, 'Info Tipo de Cambio y REM'!$A$24:$B$35, 2, FALSE))
</f>
        <v/>
      </c>
      <c r="K514" s="107" t="str">
        <f t="shared" si="23"/>
        <v/>
      </c>
      <c r="L514" s="293">
        <f t="shared" si="5"/>
        <v>-5187415.025</v>
      </c>
      <c r="M514" s="293">
        <f t="shared" si="3"/>
        <v>-68574.41</v>
      </c>
      <c r="N514" s="293">
        <f t="shared" si="6"/>
        <v>0</v>
      </c>
      <c r="O514" s="277">
        <f t="shared" si="4"/>
        <v>-72146.60962</v>
      </c>
      <c r="P514" s="264"/>
      <c r="Q514" s="264"/>
      <c r="R514" s="264"/>
      <c r="S514" s="264"/>
      <c r="T514" s="264"/>
      <c r="U514" s="264"/>
      <c r="V514" s="264"/>
      <c r="W514" s="264"/>
      <c r="X514" s="264"/>
      <c r="Y514" s="264"/>
      <c r="Z514" s="264"/>
      <c r="AA514" s="264"/>
      <c r="AB514" s="264"/>
      <c r="AC514" s="264"/>
      <c r="AD514" s="264"/>
      <c r="AE514" s="264"/>
    </row>
    <row r="515">
      <c r="A515" s="272"/>
      <c r="B515" s="272"/>
      <c r="C515" s="272"/>
      <c r="D515" s="172"/>
      <c r="E515" s="267" t="str">
        <f t="shared" si="22"/>
        <v/>
      </c>
      <c r="F515" s="274" t="str">
        <f t="shared" si="2"/>
        <v/>
      </c>
      <c r="G515" s="42"/>
      <c r="H515" s="264"/>
      <c r="I515" s="277"/>
      <c r="J515" s="276" t="str">
        <f>IF(ISBLANK(I515), "", VLOOKUP(E515&amp;" "&amp;F515, 'Info Tipo de Cambio y REM'!$A$24:$B$35, 2, FALSE))
</f>
        <v/>
      </c>
      <c r="K515" s="107" t="str">
        <f t="shared" si="23"/>
        <v/>
      </c>
      <c r="L515" s="293">
        <f t="shared" si="5"/>
        <v>-5187415.025</v>
      </c>
      <c r="M515" s="293">
        <f t="shared" si="3"/>
        <v>-68574.41</v>
      </c>
      <c r="N515" s="293">
        <f t="shared" si="6"/>
        <v>0</v>
      </c>
      <c r="O515" s="277">
        <f t="shared" si="4"/>
        <v>-72146.60962</v>
      </c>
      <c r="P515" s="264"/>
      <c r="Q515" s="264"/>
      <c r="R515" s="264"/>
      <c r="S515" s="264"/>
      <c r="T515" s="264"/>
      <c r="U515" s="264"/>
      <c r="V515" s="264"/>
      <c r="W515" s="264"/>
      <c r="X515" s="264"/>
      <c r="Y515" s="264"/>
      <c r="Z515" s="264"/>
      <c r="AA515" s="264"/>
      <c r="AB515" s="264"/>
      <c r="AC515" s="264"/>
      <c r="AD515" s="264"/>
      <c r="AE515" s="264"/>
    </row>
    <row r="516">
      <c r="A516" s="272"/>
      <c r="B516" s="272"/>
      <c r="C516" s="272"/>
      <c r="D516" s="172"/>
      <c r="E516" s="267" t="str">
        <f t="shared" si="22"/>
        <v/>
      </c>
      <c r="F516" s="274" t="str">
        <f t="shared" si="2"/>
        <v/>
      </c>
      <c r="G516" s="42"/>
      <c r="H516" s="264"/>
      <c r="I516" s="277"/>
      <c r="J516" s="276" t="str">
        <f>IF(ISBLANK(I516), "", VLOOKUP(E516&amp;" "&amp;F516, 'Info Tipo de Cambio y REM'!$A$24:$B$35, 2, FALSE))
</f>
        <v/>
      </c>
      <c r="K516" s="107" t="str">
        <f t="shared" si="23"/>
        <v/>
      </c>
      <c r="L516" s="293">
        <f t="shared" si="5"/>
        <v>-5187415.025</v>
      </c>
      <c r="M516" s="293">
        <f t="shared" si="3"/>
        <v>-68574.41</v>
      </c>
      <c r="N516" s="293">
        <f t="shared" si="6"/>
        <v>0</v>
      </c>
      <c r="O516" s="277">
        <f t="shared" si="4"/>
        <v>-72146.60962</v>
      </c>
      <c r="P516" s="264"/>
      <c r="Q516" s="264"/>
      <c r="R516" s="264"/>
      <c r="S516" s="264"/>
      <c r="T516" s="264"/>
      <c r="U516" s="264"/>
      <c r="V516" s="264"/>
      <c r="W516" s="264"/>
      <c r="X516" s="264"/>
      <c r="Y516" s="264"/>
      <c r="Z516" s="264"/>
      <c r="AA516" s="264"/>
      <c r="AB516" s="264"/>
      <c r="AC516" s="264"/>
      <c r="AD516" s="264"/>
      <c r="AE516" s="264"/>
    </row>
    <row r="517">
      <c r="A517" s="272"/>
      <c r="B517" s="272"/>
      <c r="C517" s="272"/>
      <c r="D517" s="172"/>
      <c r="E517" s="267" t="str">
        <f t="shared" si="22"/>
        <v/>
      </c>
      <c r="F517" s="274" t="str">
        <f t="shared" si="2"/>
        <v/>
      </c>
      <c r="G517" s="42"/>
      <c r="H517" s="264"/>
      <c r="I517" s="277"/>
      <c r="J517" s="276" t="str">
        <f>IF(ISBLANK(I517), "", VLOOKUP(E517&amp;" "&amp;F517, 'Info Tipo de Cambio y REM'!$A$24:$B$35, 2, FALSE))
</f>
        <v/>
      </c>
      <c r="K517" s="107" t="str">
        <f t="shared" si="23"/>
        <v/>
      </c>
      <c r="L517" s="293">
        <f t="shared" si="5"/>
        <v>-5187415.025</v>
      </c>
      <c r="M517" s="293">
        <f t="shared" si="3"/>
        <v>-68574.41</v>
      </c>
      <c r="N517" s="293">
        <f t="shared" si="6"/>
        <v>0</v>
      </c>
      <c r="O517" s="277">
        <f t="shared" si="4"/>
        <v>-72146.60962</v>
      </c>
      <c r="P517" s="264"/>
      <c r="Q517" s="264"/>
      <c r="R517" s="264"/>
      <c r="S517" s="264"/>
      <c r="T517" s="264"/>
      <c r="U517" s="264"/>
      <c r="V517" s="264"/>
      <c r="W517" s="264"/>
      <c r="X517" s="264"/>
      <c r="Y517" s="264"/>
      <c r="Z517" s="264"/>
      <c r="AA517" s="264"/>
      <c r="AB517" s="264"/>
      <c r="AC517" s="264"/>
      <c r="AD517" s="264"/>
      <c r="AE517" s="264"/>
    </row>
    <row r="518">
      <c r="A518" s="272"/>
      <c r="B518" s="272"/>
      <c r="C518" s="272"/>
      <c r="D518" s="172"/>
      <c r="E518" s="267" t="str">
        <f t="shared" si="22"/>
        <v/>
      </c>
      <c r="F518" s="274" t="str">
        <f t="shared" si="2"/>
        <v/>
      </c>
      <c r="G518" s="42"/>
      <c r="H518" s="264"/>
      <c r="I518" s="277"/>
      <c r="J518" s="276" t="str">
        <f>IF(ISBLANK(I518), "", VLOOKUP(E518&amp;" "&amp;F518, 'Info Tipo de Cambio y REM'!$A$24:$B$35, 2, FALSE))
</f>
        <v/>
      </c>
      <c r="K518" s="107" t="str">
        <f t="shared" si="23"/>
        <v/>
      </c>
      <c r="L518" s="293">
        <f t="shared" si="5"/>
        <v>-5187415.025</v>
      </c>
      <c r="M518" s="293">
        <f t="shared" si="3"/>
        <v>-68574.41</v>
      </c>
      <c r="N518" s="293">
        <f t="shared" si="6"/>
        <v>0</v>
      </c>
      <c r="O518" s="277">
        <f t="shared" si="4"/>
        <v>-72146.60962</v>
      </c>
      <c r="P518" s="264"/>
      <c r="Q518" s="264"/>
      <c r="R518" s="264"/>
      <c r="S518" s="264"/>
      <c r="T518" s="264"/>
      <c r="U518" s="264"/>
      <c r="V518" s="264"/>
      <c r="W518" s="264"/>
      <c r="X518" s="264"/>
      <c r="Y518" s="264"/>
      <c r="Z518" s="264"/>
      <c r="AA518" s="264"/>
      <c r="AB518" s="264"/>
      <c r="AC518" s="264"/>
      <c r="AD518" s="264"/>
      <c r="AE518" s="264"/>
    </row>
    <row r="519">
      <c r="A519" s="272"/>
      <c r="B519" s="272"/>
      <c r="C519" s="272"/>
      <c r="D519" s="172"/>
      <c r="E519" s="267" t="str">
        <f t="shared" si="22"/>
        <v/>
      </c>
      <c r="F519" s="274" t="str">
        <f t="shared" si="2"/>
        <v/>
      </c>
      <c r="G519" s="42"/>
      <c r="H519" s="264"/>
      <c r="I519" s="277"/>
      <c r="J519" s="276" t="str">
        <f>IF(ISBLANK(I519), "", VLOOKUP(E519&amp;" "&amp;F519, 'Info Tipo de Cambio y REM'!$A$24:$B$35, 2, FALSE))
</f>
        <v/>
      </c>
      <c r="K519" s="107" t="str">
        <f t="shared" si="23"/>
        <v/>
      </c>
      <c r="L519" s="293">
        <f t="shared" si="5"/>
        <v>-5187415.025</v>
      </c>
      <c r="M519" s="293">
        <f t="shared" si="3"/>
        <v>-68574.41</v>
      </c>
      <c r="N519" s="293">
        <f t="shared" si="6"/>
        <v>0</v>
      </c>
      <c r="O519" s="277">
        <f t="shared" si="4"/>
        <v>-72146.60962</v>
      </c>
      <c r="P519" s="264"/>
      <c r="Q519" s="264"/>
      <c r="R519" s="264"/>
      <c r="S519" s="264"/>
      <c r="T519" s="264"/>
      <c r="U519" s="264"/>
      <c r="V519" s="264"/>
      <c r="W519" s="264"/>
      <c r="X519" s="264"/>
      <c r="Y519" s="264"/>
      <c r="Z519" s="264"/>
      <c r="AA519" s="264"/>
      <c r="AB519" s="264"/>
      <c r="AC519" s="264"/>
      <c r="AD519" s="264"/>
      <c r="AE519" s="264"/>
    </row>
    <row r="520">
      <c r="A520" s="272"/>
      <c r="B520" s="272"/>
      <c r="C520" s="272"/>
      <c r="D520" s="172"/>
      <c r="E520" s="267" t="str">
        <f t="shared" si="22"/>
        <v/>
      </c>
      <c r="F520" s="274" t="str">
        <f t="shared" si="2"/>
        <v/>
      </c>
      <c r="G520" s="42"/>
      <c r="H520" s="264"/>
      <c r="I520" s="277"/>
      <c r="J520" s="276" t="str">
        <f>IF(ISBLANK(I520), "", VLOOKUP(E520&amp;" "&amp;F520, 'Info Tipo de Cambio y REM'!$A$24:$B$35, 2, FALSE))
</f>
        <v/>
      </c>
      <c r="K520" s="107" t="str">
        <f t="shared" si="23"/>
        <v/>
      </c>
      <c r="L520" s="293">
        <f t="shared" si="5"/>
        <v>-5187415.025</v>
      </c>
      <c r="M520" s="293">
        <f t="shared" si="3"/>
        <v>-68574.41</v>
      </c>
      <c r="N520" s="293">
        <f t="shared" si="6"/>
        <v>0</v>
      </c>
      <c r="O520" s="277">
        <f t="shared" si="4"/>
        <v>-72146.60962</v>
      </c>
      <c r="P520" s="264"/>
      <c r="Q520" s="264"/>
      <c r="R520" s="264"/>
      <c r="S520" s="264"/>
      <c r="T520" s="264"/>
      <c r="U520" s="264"/>
      <c r="V520" s="264"/>
      <c r="W520" s="264"/>
      <c r="X520" s="264"/>
      <c r="Y520" s="264"/>
      <c r="Z520" s="264"/>
      <c r="AA520" s="264"/>
      <c r="AB520" s="264"/>
      <c r="AC520" s="264"/>
      <c r="AD520" s="264"/>
      <c r="AE520" s="264"/>
    </row>
    <row r="521">
      <c r="A521" s="272"/>
      <c r="B521" s="272"/>
      <c r="C521" s="272"/>
      <c r="D521" s="172"/>
      <c r="E521" s="267" t="str">
        <f t="shared" si="22"/>
        <v/>
      </c>
      <c r="F521" s="274" t="str">
        <f t="shared" si="2"/>
        <v/>
      </c>
      <c r="G521" s="42"/>
      <c r="H521" s="264"/>
      <c r="I521" s="277"/>
      <c r="J521" s="276" t="str">
        <f>IF(ISBLANK(I521), "", VLOOKUP(E521&amp;" "&amp;F521, 'Info Tipo de Cambio y REM'!$A$24:$B$35, 2, FALSE))
</f>
        <v/>
      </c>
      <c r="K521" s="107" t="str">
        <f t="shared" si="23"/>
        <v/>
      </c>
      <c r="L521" s="293">
        <f t="shared" si="5"/>
        <v>-5187415.025</v>
      </c>
      <c r="M521" s="293">
        <f t="shared" si="3"/>
        <v>-68574.41</v>
      </c>
      <c r="N521" s="293">
        <f t="shared" si="6"/>
        <v>0</v>
      </c>
      <c r="O521" s="277">
        <f t="shared" si="4"/>
        <v>-72146.60962</v>
      </c>
      <c r="P521" s="264"/>
      <c r="Q521" s="264"/>
      <c r="R521" s="264"/>
      <c r="S521" s="264"/>
      <c r="T521" s="264"/>
      <c r="U521" s="264"/>
      <c r="V521" s="264"/>
      <c r="W521" s="264"/>
      <c r="X521" s="264"/>
      <c r="Y521" s="264"/>
      <c r="Z521" s="264"/>
      <c r="AA521" s="264"/>
      <c r="AB521" s="264"/>
      <c r="AC521" s="264"/>
      <c r="AD521" s="264"/>
      <c r="AE521" s="264"/>
    </row>
    <row r="522">
      <c r="A522" s="272"/>
      <c r="B522" s="272"/>
      <c r="C522" s="272"/>
      <c r="D522" s="172"/>
      <c r="E522" s="267" t="str">
        <f t="shared" si="22"/>
        <v/>
      </c>
      <c r="F522" s="274" t="str">
        <f t="shared" si="2"/>
        <v/>
      </c>
      <c r="G522" s="42"/>
      <c r="H522" s="264"/>
      <c r="I522" s="277"/>
      <c r="J522" s="276" t="str">
        <f>IF(ISBLANK(I522), "", VLOOKUP(E522&amp;" "&amp;F522, 'Info Tipo de Cambio y REM'!$A$24:$B$35, 2, FALSE))
</f>
        <v/>
      </c>
      <c r="K522" s="107" t="str">
        <f t="shared" si="23"/>
        <v/>
      </c>
      <c r="L522" s="293">
        <f t="shared" si="5"/>
        <v>-5187415.025</v>
      </c>
      <c r="M522" s="293">
        <f t="shared" si="3"/>
        <v>-68574.41</v>
      </c>
      <c r="N522" s="293">
        <f t="shared" si="6"/>
        <v>0</v>
      </c>
      <c r="O522" s="277">
        <f t="shared" si="4"/>
        <v>-72146.60962</v>
      </c>
      <c r="P522" s="264"/>
      <c r="Q522" s="264"/>
      <c r="R522" s="264"/>
      <c r="S522" s="264"/>
      <c r="T522" s="264"/>
      <c r="U522" s="264"/>
      <c r="V522" s="264"/>
      <c r="W522" s="264"/>
      <c r="X522" s="264"/>
      <c r="Y522" s="264"/>
      <c r="Z522" s="264"/>
      <c r="AA522" s="264"/>
      <c r="AB522" s="264"/>
      <c r="AC522" s="264"/>
      <c r="AD522" s="264"/>
      <c r="AE522" s="264"/>
    </row>
    <row r="523">
      <c r="A523" s="272"/>
      <c r="B523" s="272"/>
      <c r="C523" s="272"/>
      <c r="D523" s="172"/>
      <c r="E523" s="267" t="str">
        <f t="shared" si="22"/>
        <v/>
      </c>
      <c r="F523" s="274" t="str">
        <f t="shared" si="2"/>
        <v/>
      </c>
      <c r="G523" s="42"/>
      <c r="H523" s="264"/>
      <c r="I523" s="277"/>
      <c r="J523" s="276" t="str">
        <f>IF(ISBLANK(I523), "", VLOOKUP(E523&amp;" "&amp;F523, 'Info Tipo de Cambio y REM'!$A$24:$B$35, 2, FALSE))
</f>
        <v/>
      </c>
      <c r="K523" s="107" t="str">
        <f t="shared" si="23"/>
        <v/>
      </c>
      <c r="L523" s="293">
        <f t="shared" si="5"/>
        <v>-5187415.025</v>
      </c>
      <c r="M523" s="293">
        <f t="shared" si="3"/>
        <v>-68574.41</v>
      </c>
      <c r="N523" s="293">
        <f t="shared" si="6"/>
        <v>0</v>
      </c>
      <c r="O523" s="277">
        <f t="shared" si="4"/>
        <v>-72146.60962</v>
      </c>
      <c r="P523" s="264"/>
      <c r="Q523" s="264"/>
      <c r="R523" s="264"/>
      <c r="S523" s="264"/>
      <c r="T523" s="264"/>
      <c r="U523" s="264"/>
      <c r="V523" s="264"/>
      <c r="W523" s="264"/>
      <c r="X523" s="264"/>
      <c r="Y523" s="264"/>
      <c r="Z523" s="264"/>
      <c r="AA523" s="264"/>
      <c r="AB523" s="264"/>
      <c r="AC523" s="264"/>
      <c r="AD523" s="264"/>
      <c r="AE523" s="264"/>
    </row>
    <row r="524">
      <c r="A524" s="272"/>
      <c r="B524" s="272"/>
      <c r="C524" s="272"/>
      <c r="D524" s="172"/>
      <c r="E524" s="267" t="str">
        <f t="shared" si="22"/>
        <v/>
      </c>
      <c r="F524" s="274" t="str">
        <f t="shared" si="2"/>
        <v/>
      </c>
      <c r="G524" s="42"/>
      <c r="H524" s="264"/>
      <c r="I524" s="277"/>
      <c r="J524" s="276" t="str">
        <f>IF(ISBLANK(I524), "", VLOOKUP(E524&amp;" "&amp;F524, 'Info Tipo de Cambio y REM'!$A$24:$B$35, 2, FALSE))
</f>
        <v/>
      </c>
      <c r="K524" s="107" t="str">
        <f t="shared" si="23"/>
        <v/>
      </c>
      <c r="L524" s="293">
        <f t="shared" si="5"/>
        <v>-5187415.025</v>
      </c>
      <c r="M524" s="293">
        <f t="shared" si="3"/>
        <v>-68574.41</v>
      </c>
      <c r="N524" s="293">
        <f t="shared" si="6"/>
        <v>0</v>
      </c>
      <c r="O524" s="277">
        <f t="shared" si="4"/>
        <v>-72146.60962</v>
      </c>
      <c r="P524" s="264"/>
      <c r="Q524" s="264"/>
      <c r="R524" s="264"/>
      <c r="S524" s="264"/>
      <c r="T524" s="264"/>
      <c r="U524" s="264"/>
      <c r="V524" s="264"/>
      <c r="W524" s="264"/>
      <c r="X524" s="264"/>
      <c r="Y524" s="264"/>
      <c r="Z524" s="264"/>
      <c r="AA524" s="264"/>
      <c r="AB524" s="264"/>
      <c r="AC524" s="264"/>
      <c r="AD524" s="264"/>
      <c r="AE524" s="264"/>
    </row>
    <row r="525">
      <c r="A525" s="272"/>
      <c r="B525" s="272"/>
      <c r="C525" s="272"/>
      <c r="D525" s="172"/>
      <c r="E525" s="267" t="str">
        <f t="shared" si="22"/>
        <v/>
      </c>
      <c r="F525" s="274" t="str">
        <f t="shared" si="2"/>
        <v/>
      </c>
      <c r="G525" s="42"/>
      <c r="H525" s="264"/>
      <c r="I525" s="277"/>
      <c r="J525" s="276" t="str">
        <f>IF(ISBLANK(I525), "", VLOOKUP(E525&amp;" "&amp;F525, 'Info Tipo de Cambio y REM'!$A$24:$B$35, 2, FALSE))
</f>
        <v/>
      </c>
      <c r="K525" s="107" t="str">
        <f t="shared" si="23"/>
        <v/>
      </c>
      <c r="L525" s="293">
        <f t="shared" si="5"/>
        <v>-5187415.025</v>
      </c>
      <c r="M525" s="293">
        <f t="shared" si="3"/>
        <v>-68574.41</v>
      </c>
      <c r="N525" s="293">
        <f t="shared" si="6"/>
        <v>0</v>
      </c>
      <c r="O525" s="277">
        <f t="shared" si="4"/>
        <v>-72146.60962</v>
      </c>
      <c r="P525" s="264"/>
      <c r="Q525" s="264"/>
      <c r="R525" s="264"/>
      <c r="S525" s="264"/>
      <c r="T525" s="264"/>
      <c r="U525" s="264"/>
      <c r="V525" s="264"/>
      <c r="W525" s="264"/>
      <c r="X525" s="264"/>
      <c r="Y525" s="264"/>
      <c r="Z525" s="264"/>
      <c r="AA525" s="264"/>
      <c r="AB525" s="264"/>
      <c r="AC525" s="264"/>
      <c r="AD525" s="264"/>
      <c r="AE525" s="264"/>
    </row>
    <row r="526">
      <c r="A526" s="272"/>
      <c r="B526" s="272"/>
      <c r="C526" s="272"/>
      <c r="D526" s="172"/>
      <c r="E526" s="267" t="str">
        <f t="shared" si="22"/>
        <v/>
      </c>
      <c r="F526" s="274" t="str">
        <f t="shared" si="2"/>
        <v/>
      </c>
      <c r="G526" s="42"/>
      <c r="H526" s="264"/>
      <c r="I526" s="277"/>
      <c r="J526" s="276" t="str">
        <f>IF(ISBLANK(I526), "", VLOOKUP(E526&amp;" "&amp;F526, 'Info Tipo de Cambio y REM'!$A$24:$B$35, 2, FALSE))
</f>
        <v/>
      </c>
      <c r="K526" s="107" t="str">
        <f t="shared" si="23"/>
        <v/>
      </c>
      <c r="L526" s="293">
        <f t="shared" si="5"/>
        <v>-5187415.025</v>
      </c>
      <c r="M526" s="293">
        <f t="shared" si="3"/>
        <v>-68574.41</v>
      </c>
      <c r="N526" s="293">
        <f t="shared" si="6"/>
        <v>0</v>
      </c>
      <c r="O526" s="277">
        <f t="shared" si="4"/>
        <v>-72146.60962</v>
      </c>
      <c r="P526" s="264"/>
      <c r="Q526" s="264"/>
      <c r="R526" s="264"/>
      <c r="S526" s="264"/>
      <c r="T526" s="264"/>
      <c r="U526" s="264"/>
      <c r="V526" s="264"/>
      <c r="W526" s="264"/>
      <c r="X526" s="264"/>
      <c r="Y526" s="264"/>
      <c r="Z526" s="264"/>
      <c r="AA526" s="264"/>
      <c r="AB526" s="264"/>
      <c r="AC526" s="264"/>
      <c r="AD526" s="264"/>
      <c r="AE526" s="264"/>
    </row>
    <row r="527">
      <c r="A527" s="272"/>
      <c r="B527" s="272"/>
      <c r="C527" s="272"/>
      <c r="D527" s="172"/>
      <c r="E527" s="267" t="str">
        <f t="shared" si="22"/>
        <v/>
      </c>
      <c r="F527" s="274" t="str">
        <f t="shared" si="2"/>
        <v/>
      </c>
      <c r="G527" s="42"/>
      <c r="H527" s="264"/>
      <c r="I527" s="277"/>
      <c r="J527" s="276" t="str">
        <f>IF(ISBLANK(I527), "", VLOOKUP(E527&amp;" "&amp;F527, 'Info Tipo de Cambio y REM'!$A$24:$B$35, 2, FALSE))
</f>
        <v/>
      </c>
      <c r="K527" s="107" t="str">
        <f t="shared" si="23"/>
        <v/>
      </c>
      <c r="L527" s="293">
        <f t="shared" si="5"/>
        <v>-5187415.025</v>
      </c>
      <c r="M527" s="293">
        <f t="shared" si="3"/>
        <v>-68574.41</v>
      </c>
      <c r="N527" s="293">
        <f t="shared" si="6"/>
        <v>0</v>
      </c>
      <c r="O527" s="277">
        <f t="shared" si="4"/>
        <v>-72146.60962</v>
      </c>
      <c r="P527" s="264"/>
      <c r="Q527" s="264"/>
      <c r="R527" s="264"/>
      <c r="S527" s="264"/>
      <c r="T527" s="264"/>
      <c r="U527" s="264"/>
      <c r="V527" s="264"/>
      <c r="W527" s="264"/>
      <c r="X527" s="264"/>
      <c r="Y527" s="264"/>
      <c r="Z527" s="264"/>
      <c r="AA527" s="264"/>
      <c r="AB527" s="264"/>
      <c r="AC527" s="264"/>
      <c r="AD527" s="264"/>
      <c r="AE527" s="264"/>
    </row>
    <row r="528">
      <c r="A528" s="272"/>
      <c r="B528" s="272"/>
      <c r="C528" s="272"/>
      <c r="D528" s="172"/>
      <c r="E528" s="267" t="str">
        <f t="shared" si="22"/>
        <v/>
      </c>
      <c r="F528" s="274" t="str">
        <f t="shared" si="2"/>
        <v/>
      </c>
      <c r="G528" s="42"/>
      <c r="H528" s="264"/>
      <c r="I528" s="277"/>
      <c r="J528" s="276" t="str">
        <f>IF(ISBLANK(I528), "", VLOOKUP(E528&amp;" "&amp;F528, 'Info Tipo de Cambio y REM'!$A$24:$B$35, 2, FALSE))
</f>
        <v/>
      </c>
      <c r="K528" s="107" t="str">
        <f t="shared" si="23"/>
        <v/>
      </c>
      <c r="L528" s="293">
        <f t="shared" si="5"/>
        <v>-5187415.025</v>
      </c>
      <c r="M528" s="293">
        <f t="shared" si="3"/>
        <v>-68574.41</v>
      </c>
      <c r="N528" s="293">
        <f t="shared" si="6"/>
        <v>0</v>
      </c>
      <c r="O528" s="277">
        <f t="shared" si="4"/>
        <v>-72146.60962</v>
      </c>
      <c r="P528" s="264"/>
      <c r="Q528" s="264"/>
      <c r="R528" s="264"/>
      <c r="S528" s="264"/>
      <c r="T528" s="264"/>
      <c r="U528" s="264"/>
      <c r="V528" s="264"/>
      <c r="W528" s="264"/>
      <c r="X528" s="264"/>
      <c r="Y528" s="264"/>
      <c r="Z528" s="264"/>
      <c r="AA528" s="264"/>
      <c r="AB528" s="264"/>
      <c r="AC528" s="264"/>
      <c r="AD528" s="264"/>
      <c r="AE528" s="264"/>
    </row>
    <row r="529">
      <c r="A529" s="272"/>
      <c r="B529" s="272"/>
      <c r="C529" s="272"/>
      <c r="D529" s="172"/>
      <c r="E529" s="267" t="str">
        <f t="shared" si="22"/>
        <v/>
      </c>
      <c r="F529" s="274" t="str">
        <f t="shared" si="2"/>
        <v/>
      </c>
      <c r="G529" s="42"/>
      <c r="H529" s="264"/>
      <c r="I529" s="277"/>
      <c r="J529" s="276" t="str">
        <f>IF(ISBLANK(I529), "", VLOOKUP(E529&amp;" "&amp;F529, 'Info Tipo de Cambio y REM'!$A$24:$B$35, 2, FALSE))
</f>
        <v/>
      </c>
      <c r="K529" s="107" t="str">
        <f t="shared" si="23"/>
        <v/>
      </c>
      <c r="L529" s="293">
        <f t="shared" si="5"/>
        <v>-5187415.025</v>
      </c>
      <c r="M529" s="293">
        <f t="shared" si="3"/>
        <v>-68574.41</v>
      </c>
      <c r="N529" s="293">
        <f t="shared" si="6"/>
        <v>0</v>
      </c>
      <c r="O529" s="277">
        <f t="shared" si="4"/>
        <v>-72146.60962</v>
      </c>
      <c r="P529" s="264"/>
      <c r="Q529" s="264"/>
      <c r="R529" s="264"/>
      <c r="S529" s="264"/>
      <c r="T529" s="264"/>
      <c r="U529" s="264"/>
      <c r="V529" s="264"/>
      <c r="W529" s="264"/>
      <c r="X529" s="264"/>
      <c r="Y529" s="264"/>
      <c r="Z529" s="264"/>
      <c r="AA529" s="264"/>
      <c r="AB529" s="264"/>
      <c r="AC529" s="264"/>
      <c r="AD529" s="264"/>
      <c r="AE529" s="264"/>
    </row>
    <row r="530">
      <c r="A530" s="272"/>
      <c r="B530" s="272"/>
      <c r="C530" s="272"/>
      <c r="D530" s="172"/>
      <c r="E530" s="267" t="str">
        <f t="shared" si="22"/>
        <v/>
      </c>
      <c r="F530" s="274" t="str">
        <f t="shared" si="2"/>
        <v/>
      </c>
      <c r="G530" s="42"/>
      <c r="H530" s="264"/>
      <c r="I530" s="277"/>
      <c r="J530" s="276" t="str">
        <f>IF(ISBLANK(I530), "", VLOOKUP(E530&amp;" "&amp;F530, 'Info Tipo de Cambio y REM'!$A$24:$B$35, 2, FALSE))
</f>
        <v/>
      </c>
      <c r="K530" s="107" t="str">
        <f t="shared" si="23"/>
        <v/>
      </c>
      <c r="L530" s="293">
        <f t="shared" si="5"/>
        <v>-5187415.025</v>
      </c>
      <c r="M530" s="293">
        <f t="shared" si="3"/>
        <v>-68574.41</v>
      </c>
      <c r="N530" s="293">
        <f t="shared" si="6"/>
        <v>0</v>
      </c>
      <c r="O530" s="277">
        <f t="shared" si="4"/>
        <v>-72146.60962</v>
      </c>
      <c r="P530" s="264"/>
      <c r="Q530" s="264"/>
      <c r="R530" s="264"/>
      <c r="S530" s="264"/>
      <c r="T530" s="264"/>
      <c r="U530" s="264"/>
      <c r="V530" s="264"/>
      <c r="W530" s="264"/>
      <c r="X530" s="264"/>
      <c r="Y530" s="264"/>
      <c r="Z530" s="264"/>
      <c r="AA530" s="264"/>
      <c r="AB530" s="264"/>
      <c r="AC530" s="264"/>
      <c r="AD530" s="264"/>
      <c r="AE530" s="264"/>
    </row>
    <row r="531">
      <c r="A531" s="272"/>
      <c r="B531" s="272"/>
      <c r="C531" s="272"/>
      <c r="D531" s="172"/>
      <c r="E531" s="267" t="str">
        <f t="shared" si="22"/>
        <v/>
      </c>
      <c r="F531" s="274" t="str">
        <f t="shared" si="2"/>
        <v/>
      </c>
      <c r="G531" s="42"/>
      <c r="H531" s="264"/>
      <c r="I531" s="277"/>
      <c r="J531" s="276" t="str">
        <f>IF(ISBLANK(I531), "", VLOOKUP(E531&amp;" "&amp;F531, 'Info Tipo de Cambio y REM'!$A$24:$B$35, 2, FALSE))
</f>
        <v/>
      </c>
      <c r="K531" s="107" t="str">
        <f t="shared" si="23"/>
        <v/>
      </c>
      <c r="L531" s="293">
        <f t="shared" si="5"/>
        <v>-5187415.025</v>
      </c>
      <c r="M531" s="293">
        <f t="shared" si="3"/>
        <v>-68574.41</v>
      </c>
      <c r="N531" s="293">
        <f t="shared" si="6"/>
        <v>0</v>
      </c>
      <c r="O531" s="277">
        <f t="shared" si="4"/>
        <v>-72146.60962</v>
      </c>
      <c r="P531" s="264"/>
      <c r="Q531" s="264"/>
      <c r="R531" s="264"/>
      <c r="S531" s="264"/>
      <c r="T531" s="264"/>
      <c r="U531" s="264"/>
      <c r="V531" s="264"/>
      <c r="W531" s="264"/>
      <c r="X531" s="264"/>
      <c r="Y531" s="264"/>
      <c r="Z531" s="264"/>
      <c r="AA531" s="264"/>
      <c r="AB531" s="264"/>
      <c r="AC531" s="264"/>
      <c r="AD531" s="264"/>
      <c r="AE531" s="264"/>
    </row>
    <row r="532">
      <c r="A532" s="272"/>
      <c r="B532" s="272"/>
      <c r="C532" s="272"/>
      <c r="D532" s="172"/>
      <c r="E532" s="267" t="str">
        <f t="shared" si="22"/>
        <v/>
      </c>
      <c r="F532" s="274" t="str">
        <f t="shared" si="2"/>
        <v/>
      </c>
      <c r="G532" s="42"/>
      <c r="H532" s="264"/>
      <c r="I532" s="277"/>
      <c r="J532" s="276" t="str">
        <f>IF(ISBLANK(I532), "", VLOOKUP(E532&amp;" "&amp;F532, 'Info Tipo de Cambio y REM'!$A$24:$B$35, 2, FALSE))
</f>
        <v/>
      </c>
      <c r="K532" s="107" t="str">
        <f t="shared" si="23"/>
        <v/>
      </c>
      <c r="L532" s="293">
        <f t="shared" si="5"/>
        <v>-5187415.025</v>
      </c>
      <c r="M532" s="293">
        <f t="shared" si="3"/>
        <v>-68574.41</v>
      </c>
      <c r="N532" s="293">
        <f t="shared" si="6"/>
        <v>0</v>
      </c>
      <c r="O532" s="277">
        <f t="shared" si="4"/>
        <v>-72146.60962</v>
      </c>
      <c r="P532" s="264"/>
      <c r="Q532" s="264"/>
      <c r="R532" s="264"/>
      <c r="S532" s="264"/>
      <c r="T532" s="264"/>
      <c r="U532" s="264"/>
      <c r="V532" s="264"/>
      <c r="W532" s="264"/>
      <c r="X532" s="264"/>
      <c r="Y532" s="264"/>
      <c r="Z532" s="264"/>
      <c r="AA532" s="264"/>
      <c r="AB532" s="264"/>
      <c r="AC532" s="264"/>
      <c r="AD532" s="264"/>
      <c r="AE532" s="264"/>
    </row>
    <row r="533">
      <c r="A533" s="272"/>
      <c r="B533" s="272"/>
      <c r="C533" s="272"/>
      <c r="D533" s="172"/>
      <c r="E533" s="267" t="str">
        <f t="shared" si="22"/>
        <v/>
      </c>
      <c r="F533" s="274" t="str">
        <f t="shared" si="2"/>
        <v/>
      </c>
      <c r="G533" s="42"/>
      <c r="H533" s="264"/>
      <c r="I533" s="277"/>
      <c r="J533" s="276" t="str">
        <f>IF(ISBLANK(I533), "", VLOOKUP(E533&amp;" "&amp;F533, 'Info Tipo de Cambio y REM'!$A$24:$B$35, 2, FALSE))
</f>
        <v/>
      </c>
      <c r="K533" s="107" t="str">
        <f t="shared" si="23"/>
        <v/>
      </c>
      <c r="L533" s="293">
        <f t="shared" si="5"/>
        <v>-5187415.025</v>
      </c>
      <c r="M533" s="293">
        <f t="shared" si="3"/>
        <v>-68574.41</v>
      </c>
      <c r="N533" s="293">
        <f t="shared" si="6"/>
        <v>0</v>
      </c>
      <c r="O533" s="277">
        <f t="shared" si="4"/>
        <v>-72146.60962</v>
      </c>
      <c r="P533" s="264"/>
      <c r="Q533" s="264"/>
      <c r="R533" s="264"/>
      <c r="S533" s="264"/>
      <c r="T533" s="264"/>
      <c r="U533" s="264"/>
      <c r="V533" s="264"/>
      <c r="W533" s="264"/>
      <c r="X533" s="264"/>
      <c r="Y533" s="264"/>
      <c r="Z533" s="264"/>
      <c r="AA533" s="264"/>
      <c r="AB533" s="264"/>
      <c r="AC533" s="264"/>
      <c r="AD533" s="264"/>
      <c r="AE533" s="264"/>
    </row>
    <row r="534">
      <c r="A534" s="272"/>
      <c r="B534" s="272"/>
      <c r="C534" s="272"/>
      <c r="D534" s="172"/>
      <c r="E534" s="267" t="str">
        <f t="shared" si="22"/>
        <v/>
      </c>
      <c r="F534" s="274" t="str">
        <f t="shared" si="2"/>
        <v/>
      </c>
      <c r="G534" s="42"/>
      <c r="H534" s="264"/>
      <c r="I534" s="277"/>
      <c r="J534" s="276" t="str">
        <f>IF(ISBLANK(I534), "", VLOOKUP(E534&amp;" "&amp;F534, 'Info Tipo de Cambio y REM'!$A$24:$B$35, 2, FALSE))
</f>
        <v/>
      </c>
      <c r="K534" s="107" t="str">
        <f t="shared" si="23"/>
        <v/>
      </c>
      <c r="L534" s="293">
        <f t="shared" si="5"/>
        <v>-5187415.025</v>
      </c>
      <c r="M534" s="293">
        <f t="shared" si="3"/>
        <v>-68574.41</v>
      </c>
      <c r="N534" s="293">
        <f t="shared" si="6"/>
        <v>0</v>
      </c>
      <c r="O534" s="277">
        <f t="shared" si="4"/>
        <v>-72146.60962</v>
      </c>
      <c r="P534" s="264"/>
      <c r="Q534" s="264"/>
      <c r="R534" s="264"/>
      <c r="S534" s="264"/>
      <c r="T534" s="264"/>
      <c r="U534" s="264"/>
      <c r="V534" s="264"/>
      <c r="W534" s="264"/>
      <c r="X534" s="264"/>
      <c r="Y534" s="264"/>
      <c r="Z534" s="264"/>
      <c r="AA534" s="264"/>
      <c r="AB534" s="264"/>
      <c r="AC534" s="264"/>
      <c r="AD534" s="264"/>
      <c r="AE534" s="264"/>
    </row>
    <row r="535">
      <c r="A535" s="272"/>
      <c r="B535" s="272"/>
      <c r="C535" s="272"/>
      <c r="D535" s="172"/>
      <c r="E535" s="267" t="str">
        <f t="shared" si="22"/>
        <v/>
      </c>
      <c r="F535" s="274" t="str">
        <f t="shared" si="2"/>
        <v/>
      </c>
      <c r="G535" s="42"/>
      <c r="H535" s="264"/>
      <c r="I535" s="277"/>
      <c r="J535" s="276" t="str">
        <f>IF(ISBLANK(I535), "", VLOOKUP(E535&amp;" "&amp;F535, 'Info Tipo de Cambio y REM'!$A$24:$B$35, 2, FALSE))
</f>
        <v/>
      </c>
      <c r="K535" s="107" t="str">
        <f t="shared" si="23"/>
        <v/>
      </c>
      <c r="L535" s="293">
        <f t="shared" si="5"/>
        <v>-5187415.025</v>
      </c>
      <c r="M535" s="293">
        <f t="shared" si="3"/>
        <v>-68574.41</v>
      </c>
      <c r="N535" s="293">
        <f t="shared" si="6"/>
        <v>0</v>
      </c>
      <c r="O535" s="277">
        <f t="shared" si="4"/>
        <v>-72146.60962</v>
      </c>
      <c r="P535" s="264"/>
      <c r="Q535" s="264"/>
      <c r="R535" s="264"/>
      <c r="S535" s="264"/>
      <c r="T535" s="264"/>
      <c r="U535" s="264"/>
      <c r="V535" s="264"/>
      <c r="W535" s="264"/>
      <c r="X535" s="264"/>
      <c r="Y535" s="264"/>
      <c r="Z535" s="264"/>
      <c r="AA535" s="264"/>
      <c r="AB535" s="264"/>
      <c r="AC535" s="264"/>
      <c r="AD535" s="264"/>
      <c r="AE535" s="264"/>
    </row>
    <row r="536">
      <c r="A536" s="272"/>
      <c r="B536" s="272"/>
      <c r="C536" s="272"/>
      <c r="D536" s="172"/>
      <c r="E536" s="267" t="str">
        <f t="shared" si="22"/>
        <v/>
      </c>
      <c r="F536" s="274" t="str">
        <f t="shared" si="2"/>
        <v/>
      </c>
      <c r="G536" s="42"/>
      <c r="H536" s="264"/>
      <c r="I536" s="277"/>
      <c r="J536" s="276" t="str">
        <f>IF(ISBLANK(I536), "", VLOOKUP(E536&amp;" "&amp;F536, 'Info Tipo de Cambio y REM'!$A$24:$B$35, 2, FALSE))
</f>
        <v/>
      </c>
      <c r="K536" s="107" t="str">
        <f t="shared" si="23"/>
        <v/>
      </c>
      <c r="L536" s="293">
        <f t="shared" si="5"/>
        <v>-5187415.025</v>
      </c>
      <c r="M536" s="293">
        <f t="shared" si="3"/>
        <v>-68574.41</v>
      </c>
      <c r="N536" s="293">
        <f t="shared" si="6"/>
        <v>0</v>
      </c>
      <c r="O536" s="277">
        <f t="shared" si="4"/>
        <v>-72146.60962</v>
      </c>
      <c r="P536" s="264"/>
      <c r="Q536" s="264"/>
      <c r="R536" s="264"/>
      <c r="S536" s="264"/>
      <c r="T536" s="264"/>
      <c r="U536" s="264"/>
      <c r="V536" s="264"/>
      <c r="W536" s="264"/>
      <c r="X536" s="264"/>
      <c r="Y536" s="264"/>
      <c r="Z536" s="264"/>
      <c r="AA536" s="264"/>
      <c r="AB536" s="264"/>
      <c r="AC536" s="264"/>
      <c r="AD536" s="264"/>
      <c r="AE536" s="264"/>
    </row>
    <row r="537">
      <c r="A537" s="272"/>
      <c r="B537" s="272"/>
      <c r="C537" s="272"/>
      <c r="D537" s="172"/>
      <c r="E537" s="267" t="str">
        <f t="shared" si="22"/>
        <v/>
      </c>
      <c r="F537" s="274" t="str">
        <f t="shared" si="2"/>
        <v/>
      </c>
      <c r="G537" s="42"/>
      <c r="H537" s="264"/>
      <c r="I537" s="277"/>
      <c r="J537" s="276" t="str">
        <f>IF(ISBLANK(I537), "", VLOOKUP(E537&amp;" "&amp;F537, 'Info Tipo de Cambio y REM'!$A$24:$B$35, 2, FALSE))
</f>
        <v/>
      </c>
      <c r="K537" s="107" t="str">
        <f t="shared" si="23"/>
        <v/>
      </c>
      <c r="L537" s="293">
        <f t="shared" si="5"/>
        <v>-5187415.025</v>
      </c>
      <c r="M537" s="293">
        <f t="shared" si="3"/>
        <v>-68574.41</v>
      </c>
      <c r="N537" s="293">
        <f t="shared" si="6"/>
        <v>0</v>
      </c>
      <c r="O537" s="277">
        <f t="shared" si="4"/>
        <v>-72146.60962</v>
      </c>
      <c r="P537" s="264"/>
      <c r="Q537" s="264"/>
      <c r="R537" s="264"/>
      <c r="S537" s="264"/>
      <c r="T537" s="264"/>
      <c r="U537" s="264"/>
      <c r="V537" s="264"/>
      <c r="W537" s="264"/>
      <c r="X537" s="264"/>
      <c r="Y537" s="264"/>
      <c r="Z537" s="264"/>
      <c r="AA537" s="264"/>
      <c r="AB537" s="264"/>
      <c r="AC537" s="264"/>
      <c r="AD537" s="264"/>
      <c r="AE537" s="264"/>
    </row>
    <row r="538">
      <c r="A538" s="272"/>
      <c r="B538" s="272"/>
      <c r="C538" s="272"/>
      <c r="D538" s="172"/>
      <c r="E538" s="267" t="str">
        <f t="shared" si="22"/>
        <v/>
      </c>
      <c r="F538" s="274" t="str">
        <f t="shared" si="2"/>
        <v/>
      </c>
      <c r="G538" s="42"/>
      <c r="H538" s="264"/>
      <c r="I538" s="277"/>
      <c r="J538" s="276" t="str">
        <f>IF(ISBLANK(I538), "", VLOOKUP(E538&amp;" "&amp;F538, 'Info Tipo de Cambio y REM'!$A$24:$B$35, 2, FALSE))
</f>
        <v/>
      </c>
      <c r="K538" s="107" t="str">
        <f t="shared" si="23"/>
        <v/>
      </c>
      <c r="L538" s="293">
        <f t="shared" si="5"/>
        <v>-5187415.025</v>
      </c>
      <c r="M538" s="293">
        <f t="shared" si="3"/>
        <v>-68574.41</v>
      </c>
      <c r="N538" s="293">
        <f t="shared" si="6"/>
        <v>0</v>
      </c>
      <c r="O538" s="277">
        <f t="shared" si="4"/>
        <v>-72146.60962</v>
      </c>
      <c r="P538" s="264"/>
      <c r="Q538" s="264"/>
      <c r="R538" s="264"/>
      <c r="S538" s="264"/>
      <c r="T538" s="264"/>
      <c r="U538" s="264"/>
      <c r="V538" s="264"/>
      <c r="W538" s="264"/>
      <c r="X538" s="264"/>
      <c r="Y538" s="264"/>
      <c r="Z538" s="264"/>
      <c r="AA538" s="264"/>
      <c r="AB538" s="264"/>
      <c r="AC538" s="264"/>
      <c r="AD538" s="264"/>
      <c r="AE538" s="264"/>
    </row>
    <row r="539">
      <c r="A539" s="272"/>
      <c r="B539" s="272"/>
      <c r="C539" s="272"/>
      <c r="D539" s="172"/>
      <c r="E539" s="267" t="str">
        <f t="shared" si="22"/>
        <v/>
      </c>
      <c r="F539" s="274" t="str">
        <f t="shared" si="2"/>
        <v/>
      </c>
      <c r="G539" s="42"/>
      <c r="H539" s="264"/>
      <c r="I539" s="277"/>
      <c r="J539" s="276" t="str">
        <f>IF(ISBLANK(I539), "", VLOOKUP(E539&amp;" "&amp;F539, 'Info Tipo de Cambio y REM'!$A$24:$B$35, 2, FALSE))
</f>
        <v/>
      </c>
      <c r="K539" s="107" t="str">
        <f t="shared" si="23"/>
        <v/>
      </c>
      <c r="L539" s="293">
        <f t="shared" si="5"/>
        <v>-5187415.025</v>
      </c>
      <c r="M539" s="293">
        <f t="shared" si="3"/>
        <v>-68574.41</v>
      </c>
      <c r="N539" s="293">
        <f t="shared" si="6"/>
        <v>0</v>
      </c>
      <c r="O539" s="277">
        <f t="shared" si="4"/>
        <v>-72146.60962</v>
      </c>
      <c r="P539" s="264"/>
      <c r="Q539" s="264"/>
      <c r="R539" s="264"/>
      <c r="S539" s="264"/>
      <c r="T539" s="264"/>
      <c r="U539" s="264"/>
      <c r="V539" s="264"/>
      <c r="W539" s="264"/>
      <c r="X539" s="264"/>
      <c r="Y539" s="264"/>
      <c r="Z539" s="264"/>
      <c r="AA539" s="264"/>
      <c r="AB539" s="264"/>
      <c r="AC539" s="264"/>
      <c r="AD539" s="264"/>
      <c r="AE539" s="264"/>
    </row>
    <row r="540">
      <c r="A540" s="272"/>
      <c r="B540" s="272"/>
      <c r="C540" s="272"/>
      <c r="D540" s="172"/>
      <c r="E540" s="267" t="str">
        <f t="shared" si="22"/>
        <v/>
      </c>
      <c r="F540" s="274" t="str">
        <f t="shared" si="2"/>
        <v/>
      </c>
      <c r="G540" s="42"/>
      <c r="H540" s="264"/>
      <c r="I540" s="277"/>
      <c r="J540" s="276" t="str">
        <f>IF(ISBLANK(I540), "", VLOOKUP(E540&amp;" "&amp;F540, 'Info Tipo de Cambio y REM'!$A$24:$B$35, 2, FALSE))
</f>
        <v/>
      </c>
      <c r="K540" s="107" t="str">
        <f t="shared" si="23"/>
        <v/>
      </c>
      <c r="L540" s="293">
        <f t="shared" si="5"/>
        <v>-5187415.025</v>
      </c>
      <c r="M540" s="293">
        <f t="shared" si="3"/>
        <v>-68574.41</v>
      </c>
      <c r="N540" s="293">
        <f t="shared" si="6"/>
        <v>0</v>
      </c>
      <c r="O540" s="277">
        <f t="shared" si="4"/>
        <v>-72146.60962</v>
      </c>
      <c r="P540" s="264"/>
      <c r="Q540" s="264"/>
      <c r="R540" s="264"/>
      <c r="S540" s="264"/>
      <c r="T540" s="264"/>
      <c r="U540" s="264"/>
      <c r="V540" s="264"/>
      <c r="W540" s="264"/>
      <c r="X540" s="264"/>
      <c r="Y540" s="264"/>
      <c r="Z540" s="264"/>
      <c r="AA540" s="264"/>
      <c r="AB540" s="264"/>
      <c r="AC540" s="264"/>
      <c r="AD540" s="264"/>
      <c r="AE540" s="264"/>
    </row>
    <row r="541">
      <c r="A541" s="272"/>
      <c r="B541" s="272"/>
      <c r="C541" s="272"/>
      <c r="D541" s="172"/>
      <c r="E541" s="267" t="str">
        <f t="shared" si="22"/>
        <v/>
      </c>
      <c r="F541" s="274" t="str">
        <f t="shared" si="2"/>
        <v/>
      </c>
      <c r="G541" s="42"/>
      <c r="H541" s="264"/>
      <c r="I541" s="277"/>
      <c r="J541" s="276" t="str">
        <f>IF(ISBLANK(I541), "", VLOOKUP(E541&amp;" "&amp;F541, 'Info Tipo de Cambio y REM'!$A$24:$B$35, 2, FALSE))
</f>
        <v/>
      </c>
      <c r="K541" s="107" t="str">
        <f t="shared" si="23"/>
        <v/>
      </c>
      <c r="L541" s="293">
        <f t="shared" si="5"/>
        <v>-5187415.025</v>
      </c>
      <c r="M541" s="293">
        <f t="shared" si="3"/>
        <v>-68574.41</v>
      </c>
      <c r="N541" s="293">
        <f t="shared" si="6"/>
        <v>0</v>
      </c>
      <c r="O541" s="277">
        <f t="shared" si="4"/>
        <v>-72146.60962</v>
      </c>
      <c r="P541" s="264"/>
      <c r="Q541" s="264"/>
      <c r="R541" s="264"/>
      <c r="S541" s="264"/>
      <c r="T541" s="264"/>
      <c r="U541" s="264"/>
      <c r="V541" s="264"/>
      <c r="W541" s="264"/>
      <c r="X541" s="264"/>
      <c r="Y541" s="264"/>
      <c r="Z541" s="264"/>
      <c r="AA541" s="264"/>
      <c r="AB541" s="264"/>
      <c r="AC541" s="264"/>
      <c r="AD541" s="264"/>
      <c r="AE541" s="264"/>
    </row>
    <row r="542">
      <c r="A542" s="272"/>
      <c r="B542" s="272"/>
      <c r="C542" s="272"/>
      <c r="D542" s="172"/>
      <c r="E542" s="267" t="str">
        <f t="shared" si="22"/>
        <v/>
      </c>
      <c r="F542" s="274" t="str">
        <f t="shared" si="2"/>
        <v/>
      </c>
      <c r="G542" s="42"/>
      <c r="H542" s="264"/>
      <c r="I542" s="277"/>
      <c r="J542" s="276" t="str">
        <f>IF(ISBLANK(I542), "", VLOOKUP(E542&amp;" "&amp;F542, 'Info Tipo de Cambio y REM'!$A$24:$B$35, 2, FALSE))
</f>
        <v/>
      </c>
      <c r="K542" s="107" t="str">
        <f t="shared" si="23"/>
        <v/>
      </c>
      <c r="L542" s="293">
        <f t="shared" si="5"/>
        <v>-5187415.025</v>
      </c>
      <c r="M542" s="293">
        <f t="shared" si="3"/>
        <v>-68574.41</v>
      </c>
      <c r="N542" s="293">
        <f t="shared" si="6"/>
        <v>0</v>
      </c>
      <c r="O542" s="277">
        <f t="shared" si="4"/>
        <v>-72146.60962</v>
      </c>
      <c r="P542" s="264"/>
      <c r="Q542" s="264"/>
      <c r="R542" s="264"/>
      <c r="S542" s="264"/>
      <c r="T542" s="264"/>
      <c r="U542" s="264"/>
      <c r="V542" s="264"/>
      <c r="W542" s="264"/>
      <c r="X542" s="264"/>
      <c r="Y542" s="264"/>
      <c r="Z542" s="264"/>
      <c r="AA542" s="264"/>
      <c r="AB542" s="264"/>
      <c r="AC542" s="264"/>
      <c r="AD542" s="264"/>
      <c r="AE542" s="264"/>
    </row>
    <row r="543">
      <c r="A543" s="272"/>
      <c r="B543" s="272"/>
      <c r="C543" s="272"/>
      <c r="D543" s="172"/>
      <c r="E543" s="267" t="str">
        <f t="shared" si="22"/>
        <v/>
      </c>
      <c r="F543" s="274" t="str">
        <f t="shared" si="2"/>
        <v/>
      </c>
      <c r="G543" s="42"/>
      <c r="H543" s="264"/>
      <c r="I543" s="277"/>
      <c r="J543" s="276" t="str">
        <f>IF(ISBLANK(I543), "", VLOOKUP(E543&amp;" "&amp;F543, 'Info Tipo de Cambio y REM'!$A$24:$B$35, 2, FALSE))
</f>
        <v/>
      </c>
      <c r="K543" s="107" t="str">
        <f t="shared" si="23"/>
        <v/>
      </c>
      <c r="L543" s="293">
        <f t="shared" si="5"/>
        <v>-5187415.025</v>
      </c>
      <c r="M543" s="293">
        <f t="shared" si="3"/>
        <v>-68574.41</v>
      </c>
      <c r="N543" s="293">
        <f t="shared" si="6"/>
        <v>0</v>
      </c>
      <c r="O543" s="277">
        <f t="shared" si="4"/>
        <v>-72146.60962</v>
      </c>
      <c r="P543" s="264"/>
      <c r="Q543" s="264"/>
      <c r="R543" s="264"/>
      <c r="S543" s="264"/>
      <c r="T543" s="264"/>
      <c r="U543" s="264"/>
      <c r="V543" s="264"/>
      <c r="W543" s="264"/>
      <c r="X543" s="264"/>
      <c r="Y543" s="264"/>
      <c r="Z543" s="264"/>
      <c r="AA543" s="264"/>
      <c r="AB543" s="264"/>
      <c r="AC543" s="264"/>
      <c r="AD543" s="264"/>
      <c r="AE543" s="264"/>
    </row>
    <row r="544">
      <c r="A544" s="272"/>
      <c r="B544" s="272"/>
      <c r="C544" s="272"/>
      <c r="D544" s="172"/>
      <c r="E544" s="267" t="str">
        <f t="shared" si="22"/>
        <v/>
      </c>
      <c r="F544" s="274" t="str">
        <f t="shared" si="2"/>
        <v/>
      </c>
      <c r="G544" s="42"/>
      <c r="H544" s="264"/>
      <c r="I544" s="277"/>
      <c r="J544" s="276" t="str">
        <f>IF(ISBLANK(I544), "", VLOOKUP(E544&amp;" "&amp;F544, 'Info Tipo de Cambio y REM'!$A$24:$B$35, 2, FALSE))
</f>
        <v/>
      </c>
      <c r="K544" s="107" t="str">
        <f t="shared" si="23"/>
        <v/>
      </c>
      <c r="L544" s="293">
        <f t="shared" si="5"/>
        <v>-5187415.025</v>
      </c>
      <c r="M544" s="293">
        <f t="shared" si="3"/>
        <v>-68574.41</v>
      </c>
      <c r="N544" s="293">
        <f t="shared" si="6"/>
        <v>0</v>
      </c>
      <c r="O544" s="277">
        <f t="shared" si="4"/>
        <v>-72146.60962</v>
      </c>
      <c r="P544" s="264"/>
      <c r="Q544" s="264"/>
      <c r="R544" s="264"/>
      <c r="S544" s="264"/>
      <c r="T544" s="264"/>
      <c r="U544" s="264"/>
      <c r="V544" s="264"/>
      <c r="W544" s="264"/>
      <c r="X544" s="264"/>
      <c r="Y544" s="264"/>
      <c r="Z544" s="264"/>
      <c r="AA544" s="264"/>
      <c r="AB544" s="264"/>
      <c r="AC544" s="264"/>
      <c r="AD544" s="264"/>
      <c r="AE544" s="264"/>
    </row>
    <row r="545">
      <c r="A545" s="272"/>
      <c r="B545" s="272"/>
      <c r="C545" s="272"/>
      <c r="D545" s="172"/>
      <c r="E545" s="267" t="str">
        <f t="shared" si="22"/>
        <v/>
      </c>
      <c r="F545" s="274" t="str">
        <f t="shared" si="2"/>
        <v/>
      </c>
      <c r="G545" s="42"/>
      <c r="H545" s="264"/>
      <c r="I545" s="277"/>
      <c r="J545" s="276" t="str">
        <f>IF(ISBLANK(I545), "", VLOOKUP(E545&amp;" "&amp;F545, 'Info Tipo de Cambio y REM'!$A$24:$B$35, 2, FALSE))
</f>
        <v/>
      </c>
      <c r="K545" s="107" t="str">
        <f t="shared" si="23"/>
        <v/>
      </c>
      <c r="L545" s="293">
        <f t="shared" si="5"/>
        <v>-5187415.025</v>
      </c>
      <c r="M545" s="293">
        <f t="shared" si="3"/>
        <v>-68574.41</v>
      </c>
      <c r="N545" s="293">
        <f t="shared" si="6"/>
        <v>0</v>
      </c>
      <c r="O545" s="277">
        <f t="shared" si="4"/>
        <v>-72146.60962</v>
      </c>
      <c r="P545" s="264"/>
      <c r="Q545" s="264"/>
      <c r="R545" s="264"/>
      <c r="S545" s="264"/>
      <c r="T545" s="264"/>
      <c r="U545" s="264"/>
      <c r="V545" s="264"/>
      <c r="W545" s="264"/>
      <c r="X545" s="264"/>
      <c r="Y545" s="264"/>
      <c r="Z545" s="264"/>
      <c r="AA545" s="264"/>
      <c r="AB545" s="264"/>
      <c r="AC545" s="264"/>
      <c r="AD545" s="264"/>
      <c r="AE545" s="264"/>
    </row>
    <row r="546">
      <c r="A546" s="272"/>
      <c r="B546" s="272"/>
      <c r="C546" s="272"/>
      <c r="D546" s="172"/>
      <c r="E546" s="267" t="str">
        <f t="shared" si="22"/>
        <v/>
      </c>
      <c r="F546" s="274" t="str">
        <f t="shared" si="2"/>
        <v/>
      </c>
      <c r="G546" s="42"/>
      <c r="H546" s="264"/>
      <c r="I546" s="277"/>
      <c r="J546" s="276" t="str">
        <f>IF(ISBLANK(I546), "", VLOOKUP(E546&amp;" "&amp;F546, 'Info Tipo de Cambio y REM'!$A$24:$B$35, 2, FALSE))
</f>
        <v/>
      </c>
      <c r="K546" s="107" t="str">
        <f t="shared" si="23"/>
        <v/>
      </c>
      <c r="L546" s="293">
        <f t="shared" si="5"/>
        <v>-5187415.025</v>
      </c>
      <c r="M546" s="293">
        <f t="shared" si="3"/>
        <v>-68574.41</v>
      </c>
      <c r="N546" s="293">
        <f t="shared" si="6"/>
        <v>0</v>
      </c>
      <c r="O546" s="277">
        <f t="shared" si="4"/>
        <v>-72146.60962</v>
      </c>
      <c r="P546" s="264"/>
      <c r="Q546" s="264"/>
      <c r="R546" s="264"/>
      <c r="S546" s="264"/>
      <c r="T546" s="264"/>
      <c r="U546" s="264"/>
      <c r="V546" s="264"/>
      <c r="W546" s="264"/>
      <c r="X546" s="264"/>
      <c r="Y546" s="264"/>
      <c r="Z546" s="264"/>
      <c r="AA546" s="264"/>
      <c r="AB546" s="264"/>
      <c r="AC546" s="264"/>
      <c r="AD546" s="264"/>
      <c r="AE546" s="264"/>
    </row>
    <row r="547">
      <c r="A547" s="272"/>
      <c r="B547" s="272"/>
      <c r="C547" s="272"/>
      <c r="D547" s="172"/>
      <c r="E547" s="267" t="str">
        <f t="shared" si="22"/>
        <v/>
      </c>
      <c r="F547" s="274" t="str">
        <f t="shared" si="2"/>
        <v/>
      </c>
      <c r="G547" s="42"/>
      <c r="H547" s="264"/>
      <c r="I547" s="277"/>
      <c r="J547" s="276" t="str">
        <f>IF(ISBLANK(I547), "", VLOOKUP(E547&amp;" "&amp;F547, 'Info Tipo de Cambio y REM'!$A$24:$B$35, 2, FALSE))
</f>
        <v/>
      </c>
      <c r="K547" s="107" t="str">
        <f t="shared" si="23"/>
        <v/>
      </c>
      <c r="L547" s="293">
        <f t="shared" si="5"/>
        <v>-5187415.025</v>
      </c>
      <c r="M547" s="293">
        <f t="shared" si="3"/>
        <v>-68574.41</v>
      </c>
      <c r="N547" s="293">
        <f t="shared" si="6"/>
        <v>0</v>
      </c>
      <c r="O547" s="277">
        <f t="shared" si="4"/>
        <v>-72146.60962</v>
      </c>
      <c r="P547" s="264"/>
      <c r="Q547" s="264"/>
      <c r="R547" s="264"/>
      <c r="S547" s="264"/>
      <c r="T547" s="264"/>
      <c r="U547" s="264"/>
      <c r="V547" s="264"/>
      <c r="W547" s="264"/>
      <c r="X547" s="264"/>
      <c r="Y547" s="264"/>
      <c r="Z547" s="264"/>
      <c r="AA547" s="264"/>
      <c r="AB547" s="264"/>
      <c r="AC547" s="264"/>
      <c r="AD547" s="264"/>
      <c r="AE547" s="264"/>
    </row>
    <row r="548">
      <c r="A548" s="272"/>
      <c r="B548" s="272"/>
      <c r="C548" s="272"/>
      <c r="D548" s="172"/>
      <c r="E548" s="267" t="str">
        <f t="shared" si="22"/>
        <v/>
      </c>
      <c r="F548" s="274" t="str">
        <f t="shared" si="2"/>
        <v/>
      </c>
      <c r="G548" s="42"/>
      <c r="H548" s="264"/>
      <c r="I548" s="277"/>
      <c r="J548" s="276" t="str">
        <f>IF(ISBLANK(I548), "", VLOOKUP(E548&amp;" "&amp;F548, 'Info Tipo de Cambio y REM'!$A$24:$B$35, 2, FALSE))
</f>
        <v/>
      </c>
      <c r="K548" s="107" t="str">
        <f t="shared" si="23"/>
        <v/>
      </c>
      <c r="L548" s="293">
        <f t="shared" si="5"/>
        <v>-5187415.025</v>
      </c>
      <c r="M548" s="293">
        <f t="shared" si="3"/>
        <v>-68574.41</v>
      </c>
      <c r="N548" s="293">
        <f t="shared" si="6"/>
        <v>0</v>
      </c>
      <c r="O548" s="277">
        <f t="shared" si="4"/>
        <v>-72146.60962</v>
      </c>
      <c r="P548" s="264"/>
      <c r="Q548" s="264"/>
      <c r="R548" s="264"/>
      <c r="S548" s="264"/>
      <c r="T548" s="264"/>
      <c r="U548" s="264"/>
      <c r="V548" s="264"/>
      <c r="W548" s="264"/>
      <c r="X548" s="264"/>
      <c r="Y548" s="264"/>
      <c r="Z548" s="264"/>
      <c r="AA548" s="264"/>
      <c r="AB548" s="264"/>
      <c r="AC548" s="264"/>
      <c r="AD548" s="264"/>
      <c r="AE548" s="264"/>
    </row>
    <row r="549">
      <c r="A549" s="272"/>
      <c r="B549" s="272"/>
      <c r="C549" s="272"/>
      <c r="D549" s="172"/>
      <c r="E549" s="267" t="str">
        <f t="shared" si="22"/>
        <v/>
      </c>
      <c r="F549" s="274" t="str">
        <f t="shared" si="2"/>
        <v/>
      </c>
      <c r="G549" s="42"/>
      <c r="H549" s="264"/>
      <c r="I549" s="277"/>
      <c r="J549" s="276" t="str">
        <f>IF(ISBLANK(I549), "", VLOOKUP(E549&amp;" "&amp;F549, 'Info Tipo de Cambio y REM'!$A$24:$B$35, 2, FALSE))
</f>
        <v/>
      </c>
      <c r="K549" s="107" t="str">
        <f t="shared" si="23"/>
        <v/>
      </c>
      <c r="L549" s="293">
        <f t="shared" si="5"/>
        <v>-5187415.025</v>
      </c>
      <c r="M549" s="293">
        <f t="shared" si="3"/>
        <v>-68574.41</v>
      </c>
      <c r="N549" s="293">
        <f t="shared" si="6"/>
        <v>0</v>
      </c>
      <c r="O549" s="277">
        <f t="shared" si="4"/>
        <v>-72146.60962</v>
      </c>
      <c r="P549" s="264"/>
      <c r="Q549" s="264"/>
      <c r="R549" s="264"/>
      <c r="S549" s="264"/>
      <c r="T549" s="264"/>
      <c r="U549" s="264"/>
      <c r="V549" s="264"/>
      <c r="W549" s="264"/>
      <c r="X549" s="264"/>
      <c r="Y549" s="264"/>
      <c r="Z549" s="264"/>
      <c r="AA549" s="264"/>
      <c r="AB549" s="264"/>
      <c r="AC549" s="264"/>
      <c r="AD549" s="264"/>
      <c r="AE549" s="264"/>
    </row>
    <row r="550">
      <c r="A550" s="272"/>
      <c r="B550" s="272"/>
      <c r="C550" s="272"/>
      <c r="D550" s="172"/>
      <c r="E550" s="267" t="str">
        <f t="shared" si="22"/>
        <v/>
      </c>
      <c r="F550" s="274" t="str">
        <f t="shared" si="2"/>
        <v/>
      </c>
      <c r="G550" s="42"/>
      <c r="H550" s="264"/>
      <c r="I550" s="277"/>
      <c r="J550" s="276" t="str">
        <f>IF(ISBLANK(I550), "", VLOOKUP(E550&amp;" "&amp;F550, 'Info Tipo de Cambio y REM'!$A$24:$B$35, 2, FALSE))
</f>
        <v/>
      </c>
      <c r="K550" s="107" t="str">
        <f t="shared" si="23"/>
        <v/>
      </c>
      <c r="L550" s="293">
        <f t="shared" si="5"/>
        <v>-5187415.025</v>
      </c>
      <c r="M550" s="293">
        <f t="shared" si="3"/>
        <v>-68574.41</v>
      </c>
      <c r="N550" s="293">
        <f t="shared" si="6"/>
        <v>0</v>
      </c>
      <c r="O550" s="277">
        <f t="shared" si="4"/>
        <v>-72146.60962</v>
      </c>
      <c r="P550" s="264"/>
      <c r="Q550" s="264"/>
      <c r="R550" s="264"/>
      <c r="S550" s="264"/>
      <c r="T550" s="264"/>
      <c r="U550" s="264"/>
      <c r="V550" s="264"/>
      <c r="W550" s="264"/>
      <c r="X550" s="264"/>
      <c r="Y550" s="264"/>
      <c r="Z550" s="264"/>
      <c r="AA550" s="264"/>
      <c r="AB550" s="264"/>
      <c r="AC550" s="264"/>
      <c r="AD550" s="264"/>
      <c r="AE550" s="264"/>
    </row>
    <row r="551">
      <c r="A551" s="272"/>
      <c r="B551" s="272"/>
      <c r="C551" s="272"/>
      <c r="D551" s="172"/>
      <c r="E551" s="267" t="str">
        <f t="shared" si="22"/>
        <v/>
      </c>
      <c r="F551" s="274" t="str">
        <f t="shared" si="2"/>
        <v/>
      </c>
      <c r="G551" s="42"/>
      <c r="H551" s="264"/>
      <c r="I551" s="277"/>
      <c r="J551" s="276" t="str">
        <f>IF(ISBLANK(I551), "", VLOOKUP(E551&amp;" "&amp;F551, 'Info Tipo de Cambio y REM'!$A$24:$B$35, 2, FALSE))
</f>
        <v/>
      </c>
      <c r="K551" s="107" t="str">
        <f t="shared" si="23"/>
        <v/>
      </c>
      <c r="L551" s="293">
        <f t="shared" si="5"/>
        <v>-5187415.025</v>
      </c>
      <c r="M551" s="293">
        <f t="shared" si="3"/>
        <v>-68574.41</v>
      </c>
      <c r="N551" s="293">
        <f t="shared" si="6"/>
        <v>0</v>
      </c>
      <c r="O551" s="277">
        <f t="shared" si="4"/>
        <v>-72146.60962</v>
      </c>
      <c r="P551" s="264"/>
      <c r="Q551" s="264"/>
      <c r="R551" s="264"/>
      <c r="S551" s="264"/>
      <c r="T551" s="264"/>
      <c r="U551" s="264"/>
      <c r="V551" s="264"/>
      <c r="W551" s="264"/>
      <c r="X551" s="264"/>
      <c r="Y551" s="264"/>
      <c r="Z551" s="264"/>
      <c r="AA551" s="264"/>
      <c r="AB551" s="264"/>
      <c r="AC551" s="264"/>
      <c r="AD551" s="264"/>
      <c r="AE551" s="264"/>
    </row>
    <row r="552">
      <c r="A552" s="272"/>
      <c r="B552" s="272"/>
      <c r="C552" s="272"/>
      <c r="D552" s="172"/>
      <c r="E552" s="267" t="str">
        <f t="shared" si="22"/>
        <v/>
      </c>
      <c r="F552" s="274" t="str">
        <f t="shared" si="2"/>
        <v/>
      </c>
      <c r="G552" s="42"/>
      <c r="H552" s="264"/>
      <c r="I552" s="277"/>
      <c r="J552" s="276" t="str">
        <f>IF(ISBLANK(I552), "", VLOOKUP(E552&amp;" "&amp;F552, 'Info Tipo de Cambio y REM'!$A$24:$B$35, 2, FALSE))
</f>
        <v/>
      </c>
      <c r="K552" s="107" t="str">
        <f t="shared" si="23"/>
        <v/>
      </c>
      <c r="L552" s="293">
        <f t="shared" si="5"/>
        <v>-5187415.025</v>
      </c>
      <c r="M552" s="293">
        <f t="shared" si="3"/>
        <v>-68574.41</v>
      </c>
      <c r="N552" s="293">
        <f t="shared" si="6"/>
        <v>0</v>
      </c>
      <c r="O552" s="277">
        <f t="shared" si="4"/>
        <v>-72146.60962</v>
      </c>
      <c r="P552" s="264"/>
      <c r="Q552" s="264"/>
      <c r="R552" s="264"/>
      <c r="S552" s="264"/>
      <c r="T552" s="264"/>
      <c r="U552" s="264"/>
      <c r="V552" s="264"/>
      <c r="W552" s="264"/>
      <c r="X552" s="264"/>
      <c r="Y552" s="264"/>
      <c r="Z552" s="264"/>
      <c r="AA552" s="264"/>
      <c r="AB552" s="264"/>
      <c r="AC552" s="264"/>
      <c r="AD552" s="264"/>
      <c r="AE552" s="264"/>
    </row>
    <row r="553">
      <c r="A553" s="272"/>
      <c r="B553" s="272"/>
      <c r="C553" s="272"/>
      <c r="D553" s="172"/>
      <c r="E553" s="267" t="str">
        <f t="shared" si="22"/>
        <v/>
      </c>
      <c r="F553" s="274" t="str">
        <f t="shared" si="2"/>
        <v/>
      </c>
      <c r="G553" s="42"/>
      <c r="H553" s="264"/>
      <c r="I553" s="277"/>
      <c r="J553" s="276" t="str">
        <f>IF(ISBLANK(I553), "", VLOOKUP(E553&amp;" "&amp;F553, 'Info Tipo de Cambio y REM'!$A$24:$B$35, 2, FALSE))
</f>
        <v/>
      </c>
      <c r="K553" s="107" t="str">
        <f t="shared" si="23"/>
        <v/>
      </c>
      <c r="L553" s="293">
        <f t="shared" si="5"/>
        <v>-5187415.025</v>
      </c>
      <c r="M553" s="293">
        <f t="shared" si="3"/>
        <v>-68574.41</v>
      </c>
      <c r="N553" s="293">
        <f t="shared" si="6"/>
        <v>0</v>
      </c>
      <c r="O553" s="277">
        <f t="shared" si="4"/>
        <v>-72146.60962</v>
      </c>
      <c r="P553" s="264"/>
      <c r="Q553" s="264"/>
      <c r="R553" s="264"/>
      <c r="S553" s="264"/>
      <c r="T553" s="264"/>
      <c r="U553" s="264"/>
      <c r="V553" s="264"/>
      <c r="W553" s="264"/>
      <c r="X553" s="264"/>
      <c r="Y553" s="264"/>
      <c r="Z553" s="264"/>
      <c r="AA553" s="264"/>
      <c r="AB553" s="264"/>
      <c r="AC553" s="264"/>
      <c r="AD553" s="264"/>
      <c r="AE553" s="264"/>
    </row>
    <row r="554">
      <c r="A554" s="272"/>
      <c r="B554" s="272"/>
      <c r="C554" s="272"/>
      <c r="D554" s="172"/>
      <c r="E554" s="267" t="str">
        <f t="shared" si="22"/>
        <v/>
      </c>
      <c r="F554" s="274" t="str">
        <f t="shared" si="2"/>
        <v/>
      </c>
      <c r="G554" s="42"/>
      <c r="H554" s="264"/>
      <c r="I554" s="277"/>
      <c r="J554" s="276" t="str">
        <f>IF(ISBLANK(I554), "", VLOOKUP(E554&amp;" "&amp;F554, 'Info Tipo de Cambio y REM'!$A$24:$B$35, 2, FALSE))
</f>
        <v/>
      </c>
      <c r="K554" s="107" t="str">
        <f t="shared" si="23"/>
        <v/>
      </c>
      <c r="L554" s="293">
        <f t="shared" si="5"/>
        <v>-5187415.025</v>
      </c>
      <c r="M554" s="293">
        <f t="shared" si="3"/>
        <v>-68574.41</v>
      </c>
      <c r="N554" s="293">
        <f t="shared" si="6"/>
        <v>0</v>
      </c>
      <c r="O554" s="277">
        <f t="shared" si="4"/>
        <v>-72146.60962</v>
      </c>
      <c r="P554" s="264"/>
      <c r="Q554" s="264"/>
      <c r="R554" s="264"/>
      <c r="S554" s="264"/>
      <c r="T554" s="264"/>
      <c r="U554" s="264"/>
      <c r="V554" s="264"/>
      <c r="W554" s="264"/>
      <c r="X554" s="264"/>
      <c r="Y554" s="264"/>
      <c r="Z554" s="264"/>
      <c r="AA554" s="264"/>
      <c r="AB554" s="264"/>
      <c r="AC554" s="264"/>
      <c r="AD554" s="264"/>
      <c r="AE554" s="264"/>
    </row>
    <row r="555">
      <c r="A555" s="272"/>
      <c r="B555" s="272"/>
      <c r="C555" s="272"/>
      <c r="D555" s="172"/>
      <c r="E555" s="267" t="str">
        <f t="shared" si="22"/>
        <v/>
      </c>
      <c r="F555" s="274" t="str">
        <f t="shared" si="2"/>
        <v/>
      </c>
      <c r="G555" s="42"/>
      <c r="H555" s="264"/>
      <c r="I555" s="277"/>
      <c r="J555" s="276" t="str">
        <f>IF(ISBLANK(I555), "", VLOOKUP(E555&amp;" "&amp;F555, 'Info Tipo de Cambio y REM'!$A$24:$B$35, 2, FALSE))
</f>
        <v/>
      </c>
      <c r="K555" s="107" t="str">
        <f t="shared" si="23"/>
        <v/>
      </c>
      <c r="L555" s="293">
        <f t="shared" si="5"/>
        <v>-5187415.025</v>
      </c>
      <c r="M555" s="293">
        <f t="shared" si="3"/>
        <v>-68574.41</v>
      </c>
      <c r="N555" s="293">
        <f t="shared" si="6"/>
        <v>0</v>
      </c>
      <c r="O555" s="277">
        <f t="shared" si="4"/>
        <v>-72146.60962</v>
      </c>
      <c r="P555" s="264"/>
      <c r="Q555" s="264"/>
      <c r="R555" s="264"/>
      <c r="S555" s="264"/>
      <c r="T555" s="264"/>
      <c r="U555" s="264"/>
      <c r="V555" s="264"/>
      <c r="W555" s="264"/>
      <c r="X555" s="264"/>
      <c r="Y555" s="264"/>
      <c r="Z555" s="264"/>
      <c r="AA555" s="264"/>
      <c r="AB555" s="264"/>
      <c r="AC555" s="264"/>
      <c r="AD555" s="264"/>
      <c r="AE555" s="264"/>
    </row>
    <row r="556">
      <c r="A556" s="272"/>
      <c r="B556" s="272"/>
      <c r="C556" s="272"/>
      <c r="D556" s="172"/>
      <c r="E556" s="267" t="str">
        <f t="shared" si="22"/>
        <v/>
      </c>
      <c r="F556" s="274" t="str">
        <f t="shared" si="2"/>
        <v/>
      </c>
      <c r="G556" s="42"/>
      <c r="H556" s="264"/>
      <c r="I556" s="277"/>
      <c r="J556" s="276" t="str">
        <f>IF(ISBLANK(I556), "", VLOOKUP(E556&amp;" "&amp;F556, 'Info Tipo de Cambio y REM'!$A$24:$B$35, 2, FALSE))
</f>
        <v/>
      </c>
      <c r="K556" s="107" t="str">
        <f t="shared" si="23"/>
        <v/>
      </c>
      <c r="L556" s="293">
        <f t="shared" si="5"/>
        <v>-5187415.025</v>
      </c>
      <c r="M556" s="293">
        <f t="shared" si="3"/>
        <v>-68574.41</v>
      </c>
      <c r="N556" s="293">
        <f t="shared" si="6"/>
        <v>0</v>
      </c>
      <c r="O556" s="277">
        <f t="shared" si="4"/>
        <v>-72146.60962</v>
      </c>
      <c r="P556" s="264"/>
      <c r="Q556" s="264"/>
      <c r="R556" s="264"/>
      <c r="S556" s="264"/>
      <c r="T556" s="264"/>
      <c r="U556" s="264"/>
      <c r="V556" s="264"/>
      <c r="W556" s="264"/>
      <c r="X556" s="264"/>
      <c r="Y556" s="264"/>
      <c r="Z556" s="264"/>
      <c r="AA556" s="264"/>
      <c r="AB556" s="264"/>
      <c r="AC556" s="264"/>
      <c r="AD556" s="264"/>
      <c r="AE556" s="264"/>
    </row>
    <row r="557">
      <c r="A557" s="272"/>
      <c r="B557" s="272"/>
      <c r="C557" s="272"/>
      <c r="D557" s="172"/>
      <c r="E557" s="267" t="str">
        <f t="shared" si="22"/>
        <v/>
      </c>
      <c r="F557" s="274" t="str">
        <f t="shared" si="2"/>
        <v/>
      </c>
      <c r="G557" s="42"/>
      <c r="H557" s="264"/>
      <c r="I557" s="277"/>
      <c r="J557" s="276" t="str">
        <f>IF(ISBLANK(I557), "", VLOOKUP(E557&amp;" "&amp;F557, 'Info Tipo de Cambio y REM'!$A$24:$B$35, 2, FALSE))
</f>
        <v/>
      </c>
      <c r="K557" s="107" t="str">
        <f t="shared" si="23"/>
        <v/>
      </c>
      <c r="L557" s="293">
        <f t="shared" si="5"/>
        <v>-5187415.025</v>
      </c>
      <c r="M557" s="293">
        <f t="shared" si="3"/>
        <v>-68574.41</v>
      </c>
      <c r="N557" s="293">
        <f t="shared" si="6"/>
        <v>0</v>
      </c>
      <c r="O557" s="277">
        <f t="shared" si="4"/>
        <v>-72146.60962</v>
      </c>
      <c r="P557" s="264"/>
      <c r="Q557" s="264"/>
      <c r="R557" s="264"/>
      <c r="S557" s="264"/>
      <c r="T557" s="264"/>
      <c r="U557" s="264"/>
      <c r="V557" s="264"/>
      <c r="W557" s="264"/>
      <c r="X557" s="264"/>
      <c r="Y557" s="264"/>
      <c r="Z557" s="264"/>
      <c r="AA557" s="264"/>
      <c r="AB557" s="264"/>
      <c r="AC557" s="264"/>
      <c r="AD557" s="264"/>
      <c r="AE557" s="264"/>
    </row>
    <row r="558">
      <c r="A558" s="272"/>
      <c r="B558" s="272"/>
      <c r="C558" s="272"/>
      <c r="D558" s="172"/>
      <c r="E558" s="267" t="str">
        <f t="shared" si="22"/>
        <v/>
      </c>
      <c r="F558" s="274" t="str">
        <f t="shared" si="2"/>
        <v/>
      </c>
      <c r="G558" s="42"/>
      <c r="H558" s="264"/>
      <c r="I558" s="277"/>
      <c r="J558" s="276" t="str">
        <f>IF(ISBLANK(I558), "", VLOOKUP(E558&amp;" "&amp;F558, 'Info Tipo de Cambio y REM'!$A$24:$B$35, 2, FALSE))
</f>
        <v/>
      </c>
      <c r="K558" s="107" t="str">
        <f t="shared" si="23"/>
        <v/>
      </c>
      <c r="L558" s="293">
        <f t="shared" si="5"/>
        <v>-5187415.025</v>
      </c>
      <c r="M558" s="293">
        <f t="shared" si="3"/>
        <v>-68574.41</v>
      </c>
      <c r="N558" s="293">
        <f t="shared" si="6"/>
        <v>0</v>
      </c>
      <c r="O558" s="277">
        <f t="shared" si="4"/>
        <v>-72146.60962</v>
      </c>
      <c r="P558" s="264"/>
      <c r="Q558" s="264"/>
      <c r="R558" s="264"/>
      <c r="S558" s="264"/>
      <c r="T558" s="264"/>
      <c r="U558" s="264"/>
      <c r="V558" s="264"/>
      <c r="W558" s="264"/>
      <c r="X558" s="264"/>
      <c r="Y558" s="264"/>
      <c r="Z558" s="264"/>
      <c r="AA558" s="264"/>
      <c r="AB558" s="264"/>
      <c r="AC558" s="264"/>
      <c r="AD558" s="264"/>
      <c r="AE558" s="264"/>
    </row>
    <row r="559">
      <c r="A559" s="272"/>
      <c r="B559" s="272"/>
      <c r="C559" s="272"/>
      <c r="D559" s="172"/>
      <c r="E559" s="267" t="str">
        <f t="shared" si="22"/>
        <v/>
      </c>
      <c r="F559" s="274" t="str">
        <f t="shared" si="2"/>
        <v/>
      </c>
      <c r="G559" s="42"/>
      <c r="H559" s="264"/>
      <c r="I559" s="277"/>
      <c r="J559" s="276" t="str">
        <f>IF(ISBLANK(I559), "", VLOOKUP(E559&amp;" "&amp;F559, 'Info Tipo de Cambio y REM'!$A$24:$B$35, 2, FALSE))
</f>
        <v/>
      </c>
      <c r="K559" s="107" t="str">
        <f t="shared" si="23"/>
        <v/>
      </c>
      <c r="L559" s="293">
        <f t="shared" si="5"/>
        <v>-5187415.025</v>
      </c>
      <c r="M559" s="293">
        <f t="shared" si="3"/>
        <v>-68574.41</v>
      </c>
      <c r="N559" s="293">
        <f t="shared" si="6"/>
        <v>0</v>
      </c>
      <c r="O559" s="277">
        <f t="shared" si="4"/>
        <v>-72146.60962</v>
      </c>
      <c r="P559" s="264"/>
      <c r="Q559" s="264"/>
      <c r="R559" s="264"/>
      <c r="S559" s="264"/>
      <c r="T559" s="264"/>
      <c r="U559" s="264"/>
      <c r="V559" s="264"/>
      <c r="W559" s="264"/>
      <c r="X559" s="264"/>
      <c r="Y559" s="264"/>
      <c r="Z559" s="264"/>
      <c r="AA559" s="264"/>
      <c r="AB559" s="264"/>
      <c r="AC559" s="264"/>
      <c r="AD559" s="264"/>
      <c r="AE559" s="264"/>
    </row>
    <row r="560">
      <c r="A560" s="272"/>
      <c r="B560" s="272"/>
      <c r="C560" s="272"/>
      <c r="D560" s="172"/>
      <c r="E560" s="267" t="str">
        <f t="shared" si="22"/>
        <v/>
      </c>
      <c r="F560" s="274" t="str">
        <f t="shared" si="2"/>
        <v/>
      </c>
      <c r="G560" s="42"/>
      <c r="H560" s="264"/>
      <c r="I560" s="277"/>
      <c r="J560" s="276" t="str">
        <f>IF(ISBLANK(I560), "", VLOOKUP(E560&amp;" "&amp;F560, 'Info Tipo de Cambio y REM'!$A$24:$B$35, 2, FALSE))
</f>
        <v/>
      </c>
      <c r="K560" s="107" t="str">
        <f t="shared" si="23"/>
        <v/>
      </c>
      <c r="L560" s="293">
        <f t="shared" si="5"/>
        <v>-5187415.025</v>
      </c>
      <c r="M560" s="293">
        <f t="shared" si="3"/>
        <v>-68574.41</v>
      </c>
      <c r="N560" s="293">
        <f t="shared" si="6"/>
        <v>0</v>
      </c>
      <c r="O560" s="277">
        <f t="shared" si="4"/>
        <v>-72146.60962</v>
      </c>
      <c r="P560" s="264"/>
      <c r="Q560" s="264"/>
      <c r="R560" s="264"/>
      <c r="S560" s="264"/>
      <c r="T560" s="264"/>
      <c r="U560" s="264"/>
      <c r="V560" s="264"/>
      <c r="W560" s="264"/>
      <c r="X560" s="264"/>
      <c r="Y560" s="264"/>
      <c r="Z560" s="264"/>
      <c r="AA560" s="264"/>
      <c r="AB560" s="264"/>
      <c r="AC560" s="264"/>
      <c r="AD560" s="264"/>
      <c r="AE560" s="264"/>
    </row>
    <row r="561">
      <c r="A561" s="272"/>
      <c r="B561" s="272"/>
      <c r="C561" s="272"/>
      <c r="D561" s="172"/>
      <c r="E561" s="267" t="str">
        <f t="shared" si="22"/>
        <v/>
      </c>
      <c r="F561" s="274" t="str">
        <f t="shared" si="2"/>
        <v/>
      </c>
      <c r="G561" s="42"/>
      <c r="H561" s="264"/>
      <c r="I561" s="277"/>
      <c r="J561" s="276" t="str">
        <f>IF(ISBLANK(I561), "", VLOOKUP(E561&amp;" "&amp;F561, 'Info Tipo de Cambio y REM'!$A$24:$B$35, 2, FALSE))
</f>
        <v/>
      </c>
      <c r="K561" s="107" t="str">
        <f t="shared" si="23"/>
        <v/>
      </c>
      <c r="L561" s="293">
        <f t="shared" si="5"/>
        <v>-5187415.025</v>
      </c>
      <c r="M561" s="293">
        <f t="shared" si="3"/>
        <v>-68574.41</v>
      </c>
      <c r="N561" s="293">
        <f t="shared" si="6"/>
        <v>0</v>
      </c>
      <c r="O561" s="277">
        <f t="shared" si="4"/>
        <v>-72146.60962</v>
      </c>
      <c r="P561" s="264"/>
      <c r="Q561" s="264"/>
      <c r="R561" s="264"/>
      <c r="S561" s="264"/>
      <c r="T561" s="264"/>
      <c r="U561" s="264"/>
      <c r="V561" s="264"/>
      <c r="W561" s="264"/>
      <c r="X561" s="264"/>
      <c r="Y561" s="264"/>
      <c r="Z561" s="264"/>
      <c r="AA561" s="264"/>
      <c r="AB561" s="264"/>
      <c r="AC561" s="264"/>
      <c r="AD561" s="264"/>
      <c r="AE561" s="264"/>
    </row>
    <row r="562">
      <c r="A562" s="272"/>
      <c r="B562" s="272"/>
      <c r="C562" s="272"/>
      <c r="D562" s="172"/>
      <c r="E562" s="267" t="str">
        <f t="shared" si="22"/>
        <v/>
      </c>
      <c r="F562" s="274" t="str">
        <f t="shared" si="2"/>
        <v/>
      </c>
      <c r="G562" s="42"/>
      <c r="H562" s="264"/>
      <c r="I562" s="277"/>
      <c r="J562" s="276" t="str">
        <f>IF(ISBLANK(I562), "", VLOOKUP(E562&amp;" "&amp;F562, 'Info Tipo de Cambio y REM'!$A$24:$B$35, 2, FALSE))
</f>
        <v/>
      </c>
      <c r="K562" s="107" t="str">
        <f t="shared" si="23"/>
        <v/>
      </c>
      <c r="L562" s="293">
        <f t="shared" si="5"/>
        <v>-5187415.025</v>
      </c>
      <c r="M562" s="293">
        <f t="shared" si="3"/>
        <v>-68574.41</v>
      </c>
      <c r="N562" s="293">
        <f t="shared" si="6"/>
        <v>0</v>
      </c>
      <c r="O562" s="277">
        <f t="shared" si="4"/>
        <v>-72146.60962</v>
      </c>
      <c r="P562" s="264"/>
      <c r="Q562" s="264"/>
      <c r="R562" s="264"/>
      <c r="S562" s="264"/>
      <c r="T562" s="264"/>
      <c r="U562" s="264"/>
      <c r="V562" s="264"/>
      <c r="W562" s="264"/>
      <c r="X562" s="264"/>
      <c r="Y562" s="264"/>
      <c r="Z562" s="264"/>
      <c r="AA562" s="264"/>
      <c r="AB562" s="264"/>
      <c r="AC562" s="264"/>
      <c r="AD562" s="264"/>
      <c r="AE562" s="264"/>
    </row>
    <row r="563">
      <c r="A563" s="272"/>
      <c r="B563" s="272"/>
      <c r="C563" s="272"/>
      <c r="D563" s="172"/>
      <c r="E563" s="267" t="str">
        <f t="shared" si="22"/>
        <v/>
      </c>
      <c r="F563" s="274" t="str">
        <f t="shared" si="2"/>
        <v/>
      </c>
      <c r="G563" s="42"/>
      <c r="H563" s="264"/>
      <c r="I563" s="277"/>
      <c r="J563" s="276" t="str">
        <f>IF(ISBLANK(I563), "", VLOOKUP(E563&amp;" "&amp;F563, 'Info Tipo de Cambio y REM'!$A$24:$B$35, 2, FALSE))
</f>
        <v/>
      </c>
      <c r="K563" s="107" t="str">
        <f t="shared" si="23"/>
        <v/>
      </c>
      <c r="L563" s="293">
        <f t="shared" si="5"/>
        <v>-5187415.025</v>
      </c>
      <c r="M563" s="293">
        <f t="shared" si="3"/>
        <v>-68574.41</v>
      </c>
      <c r="N563" s="293">
        <f t="shared" si="6"/>
        <v>0</v>
      </c>
      <c r="O563" s="277">
        <f t="shared" si="4"/>
        <v>-72146.60962</v>
      </c>
      <c r="P563" s="264"/>
      <c r="Q563" s="264"/>
      <c r="R563" s="264"/>
      <c r="S563" s="264"/>
      <c r="T563" s="264"/>
      <c r="U563" s="264"/>
      <c r="V563" s="264"/>
      <c r="W563" s="264"/>
      <c r="X563" s="264"/>
      <c r="Y563" s="264"/>
      <c r="Z563" s="264"/>
      <c r="AA563" s="264"/>
      <c r="AB563" s="264"/>
      <c r="AC563" s="264"/>
      <c r="AD563" s="264"/>
      <c r="AE563" s="264"/>
    </row>
    <row r="564">
      <c r="A564" s="272"/>
      <c r="B564" s="272"/>
      <c r="C564" s="272"/>
      <c r="D564" s="172"/>
      <c r="E564" s="267" t="str">
        <f t="shared" si="22"/>
        <v/>
      </c>
      <c r="F564" s="274" t="str">
        <f t="shared" si="2"/>
        <v/>
      </c>
      <c r="G564" s="42"/>
      <c r="H564" s="264"/>
      <c r="I564" s="277"/>
      <c r="J564" s="276" t="str">
        <f>IF(ISBLANK(I564), "", VLOOKUP(E564&amp;" "&amp;F564, 'Info Tipo de Cambio y REM'!$A$24:$B$35, 2, FALSE))
</f>
        <v/>
      </c>
      <c r="K564" s="107" t="str">
        <f t="shared" si="23"/>
        <v/>
      </c>
      <c r="L564" s="293">
        <f t="shared" si="5"/>
        <v>-5187415.025</v>
      </c>
      <c r="M564" s="293">
        <f t="shared" si="3"/>
        <v>-68574.41</v>
      </c>
      <c r="N564" s="293">
        <f t="shared" si="6"/>
        <v>0</v>
      </c>
      <c r="O564" s="277">
        <f t="shared" si="4"/>
        <v>-72146.60962</v>
      </c>
      <c r="P564" s="264"/>
      <c r="Q564" s="264"/>
      <c r="R564" s="264"/>
      <c r="S564" s="264"/>
      <c r="T564" s="264"/>
      <c r="U564" s="264"/>
      <c r="V564" s="264"/>
      <c r="W564" s="264"/>
      <c r="X564" s="264"/>
      <c r="Y564" s="264"/>
      <c r="Z564" s="264"/>
      <c r="AA564" s="264"/>
      <c r="AB564" s="264"/>
      <c r="AC564" s="264"/>
      <c r="AD564" s="264"/>
      <c r="AE564" s="264"/>
    </row>
    <row r="565">
      <c r="A565" s="272"/>
      <c r="B565" s="272"/>
      <c r="C565" s="272"/>
      <c r="D565" s="172"/>
      <c r="E565" s="267" t="str">
        <f t="shared" si="22"/>
        <v/>
      </c>
      <c r="F565" s="274" t="str">
        <f t="shared" si="2"/>
        <v/>
      </c>
      <c r="G565" s="42"/>
      <c r="H565" s="264"/>
      <c r="I565" s="277"/>
      <c r="J565" s="276" t="str">
        <f>IF(ISBLANK(I565), "", VLOOKUP(E565&amp;" "&amp;F565, 'Info Tipo de Cambio y REM'!$A$24:$B$35, 2, FALSE))
</f>
        <v/>
      </c>
      <c r="K565" s="107" t="str">
        <f t="shared" si="23"/>
        <v/>
      </c>
      <c r="L565" s="293">
        <f t="shared" si="5"/>
        <v>-5187415.025</v>
      </c>
      <c r="M565" s="293">
        <f t="shared" si="3"/>
        <v>-68574.41</v>
      </c>
      <c r="N565" s="293">
        <f t="shared" si="6"/>
        <v>0</v>
      </c>
      <c r="O565" s="277">
        <f t="shared" si="4"/>
        <v>-72146.60962</v>
      </c>
      <c r="P565" s="264"/>
      <c r="Q565" s="264"/>
      <c r="R565" s="264"/>
      <c r="S565" s="264"/>
      <c r="T565" s="264"/>
      <c r="U565" s="264"/>
      <c r="V565" s="264"/>
      <c r="W565" s="264"/>
      <c r="X565" s="264"/>
      <c r="Y565" s="264"/>
      <c r="Z565" s="264"/>
      <c r="AA565" s="264"/>
      <c r="AB565" s="264"/>
      <c r="AC565" s="264"/>
      <c r="AD565" s="264"/>
      <c r="AE565" s="264"/>
    </row>
    <row r="566">
      <c r="A566" s="272"/>
      <c r="B566" s="272"/>
      <c r="C566" s="272"/>
      <c r="D566" s="172"/>
      <c r="E566" s="267" t="str">
        <f t="shared" si="22"/>
        <v/>
      </c>
      <c r="F566" s="274" t="str">
        <f t="shared" si="2"/>
        <v/>
      </c>
      <c r="G566" s="42"/>
      <c r="H566" s="264"/>
      <c r="I566" s="277"/>
      <c r="J566" s="276" t="str">
        <f>IF(ISBLANK(I566), "", VLOOKUP(E566&amp;" "&amp;F566, 'Info Tipo de Cambio y REM'!$A$24:$B$35, 2, FALSE))
</f>
        <v/>
      </c>
      <c r="K566" s="107" t="str">
        <f t="shared" si="23"/>
        <v/>
      </c>
      <c r="L566" s="293">
        <f t="shared" si="5"/>
        <v>-5187415.025</v>
      </c>
      <c r="M566" s="293">
        <f t="shared" si="3"/>
        <v>-68574.41</v>
      </c>
      <c r="N566" s="293">
        <f t="shared" si="6"/>
        <v>0</v>
      </c>
      <c r="O566" s="277">
        <f t="shared" si="4"/>
        <v>-72146.60962</v>
      </c>
      <c r="P566" s="264"/>
      <c r="Q566" s="264"/>
      <c r="R566" s="264"/>
      <c r="S566" s="264"/>
      <c r="T566" s="264"/>
      <c r="U566" s="264"/>
      <c r="V566" s="264"/>
      <c r="W566" s="264"/>
      <c r="X566" s="264"/>
      <c r="Y566" s="264"/>
      <c r="Z566" s="264"/>
      <c r="AA566" s="264"/>
      <c r="AB566" s="264"/>
      <c r="AC566" s="264"/>
      <c r="AD566" s="264"/>
      <c r="AE566" s="264"/>
    </row>
    <row r="567">
      <c r="A567" s="272"/>
      <c r="B567" s="272"/>
      <c r="C567" s="272"/>
      <c r="D567" s="172"/>
      <c r="E567" s="267" t="str">
        <f t="shared" si="22"/>
        <v/>
      </c>
      <c r="F567" s="274" t="str">
        <f t="shared" si="2"/>
        <v/>
      </c>
      <c r="G567" s="42"/>
      <c r="H567" s="264"/>
      <c r="I567" s="277"/>
      <c r="J567" s="276" t="str">
        <f>IF(ISBLANK(I567), "", VLOOKUP(E567&amp;" "&amp;F567, 'Info Tipo de Cambio y REM'!$A$24:$B$35, 2, FALSE))
</f>
        <v/>
      </c>
      <c r="K567" s="107" t="str">
        <f t="shared" si="23"/>
        <v/>
      </c>
      <c r="L567" s="293">
        <f t="shared" si="5"/>
        <v>-5187415.025</v>
      </c>
      <c r="M567" s="293">
        <f t="shared" si="3"/>
        <v>-68574.41</v>
      </c>
      <c r="N567" s="293">
        <f t="shared" si="6"/>
        <v>0</v>
      </c>
      <c r="O567" s="277">
        <f t="shared" si="4"/>
        <v>-72146.60962</v>
      </c>
      <c r="P567" s="264"/>
      <c r="Q567" s="264"/>
      <c r="R567" s="264"/>
      <c r="S567" s="264"/>
      <c r="T567" s="264"/>
      <c r="U567" s="264"/>
      <c r="V567" s="264"/>
      <c r="W567" s="264"/>
      <c r="X567" s="264"/>
      <c r="Y567" s="264"/>
      <c r="Z567" s="264"/>
      <c r="AA567" s="264"/>
      <c r="AB567" s="264"/>
      <c r="AC567" s="264"/>
      <c r="AD567" s="264"/>
      <c r="AE567" s="264"/>
    </row>
    <row r="568">
      <c r="A568" s="272"/>
      <c r="B568" s="272"/>
      <c r="C568" s="272"/>
      <c r="D568" s="172"/>
      <c r="E568" s="267" t="str">
        <f t="shared" si="22"/>
        <v/>
      </c>
      <c r="F568" s="274" t="str">
        <f t="shared" si="2"/>
        <v/>
      </c>
      <c r="G568" s="42"/>
      <c r="H568" s="264"/>
      <c r="I568" s="277"/>
      <c r="J568" s="276" t="str">
        <f>IF(ISBLANK(I568), "", VLOOKUP(E568&amp;" "&amp;F568, 'Info Tipo de Cambio y REM'!$A$24:$B$35, 2, FALSE))
</f>
        <v/>
      </c>
      <c r="K568" s="107" t="str">
        <f t="shared" si="23"/>
        <v/>
      </c>
      <c r="L568" s="293">
        <f t="shared" si="5"/>
        <v>-5187415.025</v>
      </c>
      <c r="M568" s="293">
        <f t="shared" si="3"/>
        <v>-68574.41</v>
      </c>
      <c r="N568" s="293">
        <f t="shared" si="6"/>
        <v>0</v>
      </c>
      <c r="O568" s="277">
        <f t="shared" si="4"/>
        <v>-72146.60962</v>
      </c>
      <c r="P568" s="264"/>
      <c r="Q568" s="264"/>
      <c r="R568" s="264"/>
      <c r="S568" s="264"/>
      <c r="T568" s="264"/>
      <c r="U568" s="264"/>
      <c r="V568" s="264"/>
      <c r="W568" s="264"/>
      <c r="X568" s="264"/>
      <c r="Y568" s="264"/>
      <c r="Z568" s="264"/>
      <c r="AA568" s="264"/>
      <c r="AB568" s="264"/>
      <c r="AC568" s="264"/>
      <c r="AD568" s="264"/>
      <c r="AE568" s="264"/>
    </row>
    <row r="569">
      <c r="A569" s="272"/>
      <c r="B569" s="272"/>
      <c r="C569" s="272"/>
      <c r="D569" s="172"/>
      <c r="E569" s="267" t="str">
        <f t="shared" si="22"/>
        <v/>
      </c>
      <c r="F569" s="274" t="str">
        <f t="shared" si="2"/>
        <v/>
      </c>
      <c r="G569" s="42"/>
      <c r="H569" s="264"/>
      <c r="I569" s="277"/>
      <c r="J569" s="276" t="str">
        <f>IF(ISBLANK(I569), "", VLOOKUP(E569&amp;" "&amp;F569, 'Info Tipo de Cambio y REM'!$A$24:$B$35, 2, FALSE))
</f>
        <v/>
      </c>
      <c r="K569" s="107" t="str">
        <f t="shared" si="23"/>
        <v/>
      </c>
      <c r="L569" s="293">
        <f t="shared" si="5"/>
        <v>-5187415.025</v>
      </c>
      <c r="M569" s="293">
        <f t="shared" si="3"/>
        <v>-68574.41</v>
      </c>
      <c r="N569" s="293">
        <f t="shared" si="6"/>
        <v>0</v>
      </c>
      <c r="O569" s="277">
        <f t="shared" si="4"/>
        <v>-72146.60962</v>
      </c>
      <c r="P569" s="264"/>
      <c r="Q569" s="264"/>
      <c r="R569" s="264"/>
      <c r="S569" s="264"/>
      <c r="T569" s="264"/>
      <c r="U569" s="264"/>
      <c r="V569" s="264"/>
      <c r="W569" s="264"/>
      <c r="X569" s="264"/>
      <c r="Y569" s="264"/>
      <c r="Z569" s="264"/>
      <c r="AA569" s="264"/>
      <c r="AB569" s="264"/>
      <c r="AC569" s="264"/>
      <c r="AD569" s="264"/>
      <c r="AE569" s="264"/>
    </row>
    <row r="570">
      <c r="A570" s="272"/>
      <c r="B570" s="272"/>
      <c r="C570" s="272"/>
      <c r="D570" s="172"/>
      <c r="E570" s="267" t="str">
        <f t="shared" si="22"/>
        <v/>
      </c>
      <c r="F570" s="274" t="str">
        <f t="shared" si="2"/>
        <v/>
      </c>
      <c r="G570" s="42"/>
      <c r="H570" s="264"/>
      <c r="I570" s="277"/>
      <c r="J570" s="276" t="str">
        <f>IF(ISBLANK(I570), "", VLOOKUP(E570&amp;" "&amp;F570, 'Info Tipo de Cambio y REM'!$A$24:$B$35, 2, FALSE))
</f>
        <v/>
      </c>
      <c r="K570" s="107" t="str">
        <f t="shared" si="23"/>
        <v/>
      </c>
      <c r="L570" s="293">
        <f t="shared" si="5"/>
        <v>-5187415.025</v>
      </c>
      <c r="M570" s="293">
        <f t="shared" si="3"/>
        <v>-68574.41</v>
      </c>
      <c r="N570" s="293">
        <f t="shared" si="6"/>
        <v>0</v>
      </c>
      <c r="O570" s="277">
        <f t="shared" si="4"/>
        <v>-72146.60962</v>
      </c>
      <c r="P570" s="264"/>
      <c r="Q570" s="264"/>
      <c r="R570" s="264"/>
      <c r="S570" s="264"/>
      <c r="T570" s="264"/>
      <c r="U570" s="264"/>
      <c r="V570" s="264"/>
      <c r="W570" s="264"/>
      <c r="X570" s="264"/>
      <c r="Y570" s="264"/>
      <c r="Z570" s="264"/>
      <c r="AA570" s="264"/>
      <c r="AB570" s="264"/>
      <c r="AC570" s="264"/>
      <c r="AD570" s="264"/>
      <c r="AE570" s="264"/>
    </row>
    <row r="571">
      <c r="A571" s="272"/>
      <c r="B571" s="272"/>
      <c r="C571" s="272"/>
      <c r="D571" s="172"/>
      <c r="E571" s="267" t="str">
        <f t="shared" si="22"/>
        <v/>
      </c>
      <c r="F571" s="274" t="str">
        <f t="shared" si="2"/>
        <v/>
      </c>
      <c r="G571" s="42"/>
      <c r="H571" s="264"/>
      <c r="I571" s="277"/>
      <c r="J571" s="276" t="str">
        <f>IF(ISBLANK(I571), "", VLOOKUP(E571&amp;" "&amp;F571, 'Info Tipo de Cambio y REM'!$A$24:$B$35, 2, FALSE))
</f>
        <v/>
      </c>
      <c r="K571" s="107" t="str">
        <f t="shared" si="23"/>
        <v/>
      </c>
      <c r="L571" s="293">
        <f t="shared" si="5"/>
        <v>-5187415.025</v>
      </c>
      <c r="M571" s="293">
        <f t="shared" si="3"/>
        <v>-68574.41</v>
      </c>
      <c r="N571" s="293">
        <f t="shared" si="6"/>
        <v>0</v>
      </c>
      <c r="O571" s="277">
        <f t="shared" si="4"/>
        <v>-72146.60962</v>
      </c>
      <c r="P571" s="264"/>
      <c r="Q571" s="264"/>
      <c r="R571" s="264"/>
      <c r="S571" s="264"/>
      <c r="T571" s="264"/>
      <c r="U571" s="264"/>
      <c r="V571" s="264"/>
      <c r="W571" s="264"/>
      <c r="X571" s="264"/>
      <c r="Y571" s="264"/>
      <c r="Z571" s="264"/>
      <c r="AA571" s="264"/>
      <c r="AB571" s="264"/>
      <c r="AC571" s="264"/>
      <c r="AD571" s="264"/>
      <c r="AE571" s="264"/>
    </row>
    <row r="572">
      <c r="A572" s="272"/>
      <c r="B572" s="272"/>
      <c r="C572" s="272"/>
      <c r="D572" s="172"/>
      <c r="E572" s="267" t="str">
        <f t="shared" si="22"/>
        <v/>
      </c>
      <c r="F572" s="274" t="str">
        <f t="shared" si="2"/>
        <v/>
      </c>
      <c r="G572" s="42"/>
      <c r="H572" s="264"/>
      <c r="I572" s="277"/>
      <c r="J572" s="276" t="str">
        <f>IF(ISBLANK(I572), "", VLOOKUP(E572&amp;" "&amp;F572, 'Info Tipo de Cambio y REM'!$A$24:$B$35, 2, FALSE))
</f>
        <v/>
      </c>
      <c r="K572" s="107" t="str">
        <f t="shared" si="23"/>
        <v/>
      </c>
      <c r="L572" s="293">
        <f t="shared" si="5"/>
        <v>-5187415.025</v>
      </c>
      <c r="M572" s="293">
        <f t="shared" si="3"/>
        <v>-68574.41</v>
      </c>
      <c r="N572" s="293">
        <f t="shared" si="6"/>
        <v>0</v>
      </c>
      <c r="O572" s="277">
        <f t="shared" si="4"/>
        <v>-72146.60962</v>
      </c>
      <c r="P572" s="264"/>
      <c r="Q572" s="264"/>
      <c r="R572" s="264"/>
      <c r="S572" s="264"/>
      <c r="T572" s="264"/>
      <c r="U572" s="264"/>
      <c r="V572" s="264"/>
      <c r="W572" s="264"/>
      <c r="X572" s="264"/>
      <c r="Y572" s="264"/>
      <c r="Z572" s="264"/>
      <c r="AA572" s="264"/>
      <c r="AB572" s="264"/>
      <c r="AC572" s="264"/>
      <c r="AD572" s="264"/>
      <c r="AE572" s="264"/>
    </row>
    <row r="573">
      <c r="A573" s="272"/>
      <c r="B573" s="272"/>
      <c r="C573" s="272"/>
      <c r="D573" s="172"/>
      <c r="E573" s="267" t="str">
        <f t="shared" si="22"/>
        <v/>
      </c>
      <c r="F573" s="274" t="str">
        <f t="shared" si="2"/>
        <v/>
      </c>
      <c r="G573" s="42"/>
      <c r="H573" s="264"/>
      <c r="I573" s="277"/>
      <c r="J573" s="276" t="str">
        <f>IF(ISBLANK(I573), "", VLOOKUP(E573&amp;" "&amp;F573, 'Info Tipo de Cambio y REM'!$A$24:$B$35, 2, FALSE))
</f>
        <v/>
      </c>
      <c r="K573" s="107" t="str">
        <f t="shared" si="23"/>
        <v/>
      </c>
      <c r="L573" s="293">
        <f t="shared" si="5"/>
        <v>-5187415.025</v>
      </c>
      <c r="M573" s="293">
        <f t="shared" si="3"/>
        <v>-68574.41</v>
      </c>
      <c r="N573" s="293">
        <f t="shared" si="6"/>
        <v>0</v>
      </c>
      <c r="O573" s="277">
        <f t="shared" si="4"/>
        <v>-72146.60962</v>
      </c>
      <c r="P573" s="264"/>
      <c r="Q573" s="264"/>
      <c r="R573" s="264"/>
      <c r="S573" s="264"/>
      <c r="T573" s="264"/>
      <c r="U573" s="264"/>
      <c r="V573" s="264"/>
      <c r="W573" s="264"/>
      <c r="X573" s="264"/>
      <c r="Y573" s="264"/>
      <c r="Z573" s="264"/>
      <c r="AA573" s="264"/>
      <c r="AB573" s="264"/>
      <c r="AC573" s="264"/>
      <c r="AD573" s="264"/>
      <c r="AE573" s="264"/>
    </row>
    <row r="574">
      <c r="A574" s="272"/>
      <c r="B574" s="272"/>
      <c r="C574" s="272"/>
      <c r="D574" s="172"/>
      <c r="E574" s="267" t="str">
        <f t="shared" si="22"/>
        <v/>
      </c>
      <c r="F574" s="274" t="str">
        <f t="shared" si="2"/>
        <v/>
      </c>
      <c r="G574" s="42"/>
      <c r="H574" s="264"/>
      <c r="I574" s="277"/>
      <c r="J574" s="276" t="str">
        <f>IF(ISBLANK(I574), "", VLOOKUP(E574&amp;" "&amp;F574, 'Info Tipo de Cambio y REM'!$A$24:$B$35, 2, FALSE))
</f>
        <v/>
      </c>
      <c r="K574" s="107" t="str">
        <f t="shared" si="23"/>
        <v/>
      </c>
      <c r="L574" s="293">
        <f t="shared" si="5"/>
        <v>-5187415.025</v>
      </c>
      <c r="M574" s="293">
        <f t="shared" si="3"/>
        <v>-68574.41</v>
      </c>
      <c r="N574" s="293">
        <f t="shared" si="6"/>
        <v>0</v>
      </c>
      <c r="O574" s="277">
        <f t="shared" si="4"/>
        <v>-72146.60962</v>
      </c>
      <c r="P574" s="264"/>
      <c r="Q574" s="264"/>
      <c r="R574" s="264"/>
      <c r="S574" s="264"/>
      <c r="T574" s="264"/>
      <c r="U574" s="264"/>
      <c r="V574" s="264"/>
      <c r="W574" s="264"/>
      <c r="X574" s="264"/>
      <c r="Y574" s="264"/>
      <c r="Z574" s="264"/>
      <c r="AA574" s="264"/>
      <c r="AB574" s="264"/>
      <c r="AC574" s="264"/>
      <c r="AD574" s="264"/>
      <c r="AE574" s="264"/>
    </row>
    <row r="575">
      <c r="A575" s="272"/>
      <c r="B575" s="272"/>
      <c r="C575" s="272"/>
      <c r="D575" s="172"/>
      <c r="E575" s="267" t="str">
        <f t="shared" si="22"/>
        <v/>
      </c>
      <c r="F575" s="274" t="str">
        <f t="shared" si="2"/>
        <v/>
      </c>
      <c r="G575" s="42"/>
      <c r="H575" s="264"/>
      <c r="I575" s="277"/>
      <c r="J575" s="276" t="str">
        <f>IF(ISBLANK(I575), "", VLOOKUP(E575&amp;" "&amp;F575, 'Info Tipo de Cambio y REM'!$A$24:$B$35, 2, FALSE))
</f>
        <v/>
      </c>
      <c r="K575" s="107" t="str">
        <f t="shared" si="23"/>
        <v/>
      </c>
      <c r="L575" s="293">
        <f t="shared" si="5"/>
        <v>-5187415.025</v>
      </c>
      <c r="M575" s="293">
        <f t="shared" si="3"/>
        <v>-68574.41</v>
      </c>
      <c r="N575" s="293">
        <f t="shared" si="6"/>
        <v>0</v>
      </c>
      <c r="O575" s="277">
        <f t="shared" si="4"/>
        <v>-72146.60962</v>
      </c>
      <c r="P575" s="264"/>
      <c r="Q575" s="264"/>
      <c r="R575" s="264"/>
      <c r="S575" s="264"/>
      <c r="T575" s="264"/>
      <c r="U575" s="264"/>
      <c r="V575" s="264"/>
      <c r="W575" s="264"/>
      <c r="X575" s="264"/>
      <c r="Y575" s="264"/>
      <c r="Z575" s="264"/>
      <c r="AA575" s="264"/>
      <c r="AB575" s="264"/>
      <c r="AC575" s="264"/>
      <c r="AD575" s="264"/>
      <c r="AE575" s="264"/>
    </row>
    <row r="576">
      <c r="A576" s="272"/>
      <c r="B576" s="272"/>
      <c r="C576" s="272"/>
      <c r="D576" s="172"/>
      <c r="E576" s="267" t="str">
        <f t="shared" si="22"/>
        <v/>
      </c>
      <c r="F576" s="274" t="str">
        <f t="shared" si="2"/>
        <v/>
      </c>
      <c r="G576" s="42"/>
      <c r="H576" s="264"/>
      <c r="I576" s="277"/>
      <c r="J576" s="276" t="str">
        <f>IF(ISBLANK(I576), "", VLOOKUP(E576&amp;" "&amp;F576, 'Info Tipo de Cambio y REM'!$A$24:$B$35, 2, FALSE))
</f>
        <v/>
      </c>
      <c r="K576" s="107" t="str">
        <f t="shared" si="23"/>
        <v/>
      </c>
      <c r="L576" s="293">
        <f t="shared" si="5"/>
        <v>-5187415.025</v>
      </c>
      <c r="M576" s="293">
        <f t="shared" si="3"/>
        <v>-68574.41</v>
      </c>
      <c r="N576" s="293">
        <f t="shared" si="6"/>
        <v>0</v>
      </c>
      <c r="O576" s="277">
        <f t="shared" si="4"/>
        <v>-72146.60962</v>
      </c>
      <c r="P576" s="264"/>
      <c r="Q576" s="264"/>
      <c r="R576" s="264"/>
      <c r="S576" s="264"/>
      <c r="T576" s="264"/>
      <c r="U576" s="264"/>
      <c r="V576" s="264"/>
      <c r="W576" s="264"/>
      <c r="X576" s="264"/>
      <c r="Y576" s="264"/>
      <c r="Z576" s="264"/>
      <c r="AA576" s="264"/>
      <c r="AB576" s="264"/>
      <c r="AC576" s="264"/>
      <c r="AD576" s="264"/>
      <c r="AE576" s="264"/>
    </row>
    <row r="577">
      <c r="A577" s="272"/>
      <c r="B577" s="272"/>
      <c r="C577" s="272"/>
      <c r="D577" s="172"/>
      <c r="E577" s="267" t="str">
        <f t="shared" si="22"/>
        <v/>
      </c>
      <c r="F577" s="274" t="str">
        <f t="shared" si="2"/>
        <v/>
      </c>
      <c r="G577" s="42"/>
      <c r="H577" s="264"/>
      <c r="I577" s="277"/>
      <c r="J577" s="276" t="str">
        <f>IF(ISBLANK(I577), "", VLOOKUP(E577&amp;" "&amp;F577, 'Info Tipo de Cambio y REM'!$A$24:$B$35, 2, FALSE))
</f>
        <v/>
      </c>
      <c r="K577" s="107" t="str">
        <f t="shared" si="23"/>
        <v/>
      </c>
      <c r="L577" s="293">
        <f t="shared" si="5"/>
        <v>-5187415.025</v>
      </c>
      <c r="M577" s="293">
        <f t="shared" si="3"/>
        <v>-68574.41</v>
      </c>
      <c r="N577" s="293">
        <f t="shared" si="6"/>
        <v>0</v>
      </c>
      <c r="O577" s="277">
        <f t="shared" si="4"/>
        <v>-72146.60962</v>
      </c>
      <c r="P577" s="264"/>
      <c r="Q577" s="264"/>
      <c r="R577" s="264"/>
      <c r="S577" s="264"/>
      <c r="T577" s="264"/>
      <c r="U577" s="264"/>
      <c r="V577" s="264"/>
      <c r="W577" s="264"/>
      <c r="X577" s="264"/>
      <c r="Y577" s="264"/>
      <c r="Z577" s="264"/>
      <c r="AA577" s="264"/>
      <c r="AB577" s="264"/>
      <c r="AC577" s="264"/>
      <c r="AD577" s="264"/>
      <c r="AE577" s="264"/>
    </row>
    <row r="578">
      <c r="A578" s="272"/>
      <c r="B578" s="272"/>
      <c r="C578" s="272"/>
      <c r="D578" s="172"/>
      <c r="E578" s="267" t="str">
        <f t="shared" si="22"/>
        <v/>
      </c>
      <c r="F578" s="274" t="str">
        <f t="shared" si="2"/>
        <v/>
      </c>
      <c r="G578" s="42"/>
      <c r="H578" s="264"/>
      <c r="I578" s="277"/>
      <c r="J578" s="276" t="str">
        <f>IF(ISBLANK(I578), "", VLOOKUP(E578&amp;" "&amp;F578, 'Info Tipo de Cambio y REM'!$A$24:$B$35, 2, FALSE))
</f>
        <v/>
      </c>
      <c r="K578" s="107" t="str">
        <f t="shared" si="23"/>
        <v/>
      </c>
      <c r="L578" s="293">
        <f t="shared" si="5"/>
        <v>-5187415.025</v>
      </c>
      <c r="M578" s="293">
        <f t="shared" si="3"/>
        <v>-68574.41</v>
      </c>
      <c r="N578" s="293">
        <f t="shared" si="6"/>
        <v>0</v>
      </c>
      <c r="O578" s="277">
        <f t="shared" si="4"/>
        <v>-72146.60962</v>
      </c>
      <c r="P578" s="264"/>
      <c r="Q578" s="264"/>
      <c r="R578" s="264"/>
      <c r="S578" s="264"/>
      <c r="T578" s="264"/>
      <c r="U578" s="264"/>
      <c r="V578" s="264"/>
      <c r="W578" s="264"/>
      <c r="X578" s="264"/>
      <c r="Y578" s="264"/>
      <c r="Z578" s="264"/>
      <c r="AA578" s="264"/>
      <c r="AB578" s="264"/>
      <c r="AC578" s="264"/>
      <c r="AD578" s="264"/>
      <c r="AE578" s="264"/>
    </row>
    <row r="579">
      <c r="A579" s="272"/>
      <c r="B579" s="272"/>
      <c r="C579" s="272"/>
      <c r="D579" s="172"/>
      <c r="E579" s="267" t="str">
        <f t="shared" si="22"/>
        <v/>
      </c>
      <c r="F579" s="274" t="str">
        <f t="shared" si="2"/>
        <v/>
      </c>
      <c r="G579" s="42"/>
      <c r="H579" s="264"/>
      <c r="I579" s="277"/>
      <c r="J579" s="276" t="str">
        <f>IF(ISBLANK(I579), "", VLOOKUP(E579&amp;" "&amp;F579, 'Info Tipo de Cambio y REM'!$A$24:$B$35, 2, FALSE))
</f>
        <v/>
      </c>
      <c r="K579" s="107" t="str">
        <f t="shared" si="23"/>
        <v/>
      </c>
      <c r="L579" s="293">
        <f t="shared" si="5"/>
        <v>-5187415.025</v>
      </c>
      <c r="M579" s="293">
        <f t="shared" si="3"/>
        <v>-68574.41</v>
      </c>
      <c r="N579" s="293">
        <f t="shared" si="6"/>
        <v>0</v>
      </c>
      <c r="O579" s="277">
        <f t="shared" si="4"/>
        <v>-72146.60962</v>
      </c>
      <c r="P579" s="264"/>
      <c r="Q579" s="264"/>
      <c r="R579" s="264"/>
      <c r="S579" s="264"/>
      <c r="T579" s="264"/>
      <c r="U579" s="264"/>
      <c r="V579" s="264"/>
      <c r="W579" s="264"/>
      <c r="X579" s="264"/>
      <c r="Y579" s="264"/>
      <c r="Z579" s="264"/>
      <c r="AA579" s="264"/>
      <c r="AB579" s="264"/>
      <c r="AC579" s="264"/>
      <c r="AD579" s="264"/>
      <c r="AE579" s="264"/>
    </row>
    <row r="580">
      <c r="A580" s="272"/>
      <c r="B580" s="272"/>
      <c r="C580" s="272"/>
      <c r="D580" s="172"/>
      <c r="E580" s="267" t="str">
        <f t="shared" si="22"/>
        <v/>
      </c>
      <c r="F580" s="274" t="str">
        <f t="shared" si="2"/>
        <v/>
      </c>
      <c r="G580" s="42"/>
      <c r="H580" s="264"/>
      <c r="I580" s="277"/>
      <c r="J580" s="276" t="str">
        <f>IF(ISBLANK(I580), "", VLOOKUP(E580&amp;" "&amp;F580, 'Info Tipo de Cambio y REM'!$A$24:$B$35, 2, FALSE))
</f>
        <v/>
      </c>
      <c r="K580" s="107" t="str">
        <f t="shared" si="23"/>
        <v/>
      </c>
      <c r="L580" s="293">
        <f t="shared" si="5"/>
        <v>-5187415.025</v>
      </c>
      <c r="M580" s="293">
        <f t="shared" si="3"/>
        <v>-68574.41</v>
      </c>
      <c r="N580" s="293">
        <f t="shared" si="6"/>
        <v>0</v>
      </c>
      <c r="O580" s="277">
        <f t="shared" si="4"/>
        <v>-72146.60962</v>
      </c>
      <c r="P580" s="264"/>
      <c r="Q580" s="264"/>
      <c r="R580" s="264"/>
      <c r="S580" s="264"/>
      <c r="T580" s="264"/>
      <c r="U580" s="264"/>
      <c r="V580" s="264"/>
      <c r="W580" s="264"/>
      <c r="X580" s="264"/>
      <c r="Y580" s="264"/>
      <c r="Z580" s="264"/>
      <c r="AA580" s="264"/>
      <c r="AB580" s="264"/>
      <c r="AC580" s="264"/>
      <c r="AD580" s="264"/>
      <c r="AE580" s="264"/>
    </row>
    <row r="581">
      <c r="A581" s="272"/>
      <c r="B581" s="272"/>
      <c r="C581" s="272"/>
      <c r="D581" s="172"/>
      <c r="E581" s="267" t="str">
        <f t="shared" si="22"/>
        <v/>
      </c>
      <c r="F581" s="274" t="str">
        <f t="shared" si="2"/>
        <v/>
      </c>
      <c r="G581" s="42"/>
      <c r="H581" s="264"/>
      <c r="I581" s="277"/>
      <c r="J581" s="276" t="str">
        <f>IF(ISBLANK(I581), "", VLOOKUP(E581&amp;" "&amp;F581, 'Info Tipo de Cambio y REM'!$A$24:$B$35, 2, FALSE))
</f>
        <v/>
      </c>
      <c r="K581" s="107" t="str">
        <f t="shared" si="23"/>
        <v/>
      </c>
      <c r="L581" s="293">
        <f t="shared" si="5"/>
        <v>-5187415.025</v>
      </c>
      <c r="M581" s="293">
        <f t="shared" si="3"/>
        <v>-68574.41</v>
      </c>
      <c r="N581" s="293">
        <f t="shared" si="6"/>
        <v>0</v>
      </c>
      <c r="O581" s="277">
        <f t="shared" si="4"/>
        <v>-72146.60962</v>
      </c>
      <c r="P581" s="264"/>
      <c r="Q581" s="264"/>
      <c r="R581" s="264"/>
      <c r="S581" s="264"/>
      <c r="T581" s="264"/>
      <c r="U581" s="264"/>
      <c r="V581" s="264"/>
      <c r="W581" s="264"/>
      <c r="X581" s="264"/>
      <c r="Y581" s="264"/>
      <c r="Z581" s="264"/>
      <c r="AA581" s="264"/>
      <c r="AB581" s="264"/>
      <c r="AC581" s="264"/>
      <c r="AD581" s="264"/>
      <c r="AE581" s="264"/>
    </row>
    <row r="582">
      <c r="A582" s="272"/>
      <c r="B582" s="272"/>
      <c r="C582" s="272"/>
      <c r="D582" s="172"/>
      <c r="E582" s="267" t="str">
        <f t="shared" si="22"/>
        <v/>
      </c>
      <c r="F582" s="274" t="str">
        <f t="shared" si="2"/>
        <v/>
      </c>
      <c r="G582" s="42"/>
      <c r="H582" s="264"/>
      <c r="I582" s="277"/>
      <c r="J582" s="276" t="str">
        <f>IF(ISBLANK(I582), "", VLOOKUP(E582&amp;" "&amp;F582, 'Info Tipo de Cambio y REM'!$A$24:$B$35, 2, FALSE))
</f>
        <v/>
      </c>
      <c r="K582" s="107" t="str">
        <f t="shared" si="23"/>
        <v/>
      </c>
      <c r="L582" s="293">
        <f t="shared" si="5"/>
        <v>-5187415.025</v>
      </c>
      <c r="M582" s="293">
        <f t="shared" si="3"/>
        <v>-68574.41</v>
      </c>
      <c r="N582" s="293">
        <f t="shared" si="6"/>
        <v>0</v>
      </c>
      <c r="O582" s="277">
        <f t="shared" si="4"/>
        <v>-72146.60962</v>
      </c>
      <c r="P582" s="264"/>
      <c r="Q582" s="264"/>
      <c r="R582" s="264"/>
      <c r="S582" s="264"/>
      <c r="T582" s="264"/>
      <c r="U582" s="264"/>
      <c r="V582" s="264"/>
      <c r="W582" s="264"/>
      <c r="X582" s="264"/>
      <c r="Y582" s="264"/>
      <c r="Z582" s="264"/>
      <c r="AA582" s="264"/>
      <c r="AB582" s="264"/>
      <c r="AC582" s="264"/>
      <c r="AD582" s="264"/>
      <c r="AE582" s="264"/>
    </row>
    <row r="583">
      <c r="A583" s="272"/>
      <c r="B583" s="272"/>
      <c r="C583" s="272"/>
      <c r="D583" s="172"/>
      <c r="E583" s="267" t="str">
        <f t="shared" si="22"/>
        <v/>
      </c>
      <c r="F583" s="274" t="str">
        <f t="shared" si="2"/>
        <v/>
      </c>
      <c r="G583" s="42"/>
      <c r="H583" s="264"/>
      <c r="I583" s="277"/>
      <c r="J583" s="276" t="str">
        <f>IF(ISBLANK(I583), "", VLOOKUP(E583&amp;" "&amp;F583, 'Info Tipo de Cambio y REM'!$A$24:$B$35, 2, FALSE))
</f>
        <v/>
      </c>
      <c r="K583" s="107" t="str">
        <f t="shared" si="23"/>
        <v/>
      </c>
      <c r="L583" s="293">
        <f t="shared" si="5"/>
        <v>-5187415.025</v>
      </c>
      <c r="M583" s="293">
        <f t="shared" si="3"/>
        <v>-68574.41</v>
      </c>
      <c r="N583" s="293">
        <f t="shared" si="6"/>
        <v>0</v>
      </c>
      <c r="O583" s="277">
        <f t="shared" si="4"/>
        <v>-72146.60962</v>
      </c>
      <c r="P583" s="264"/>
      <c r="Q583" s="264"/>
      <c r="R583" s="264"/>
      <c r="S583" s="264"/>
      <c r="T583" s="264"/>
      <c r="U583" s="264"/>
      <c r="V583" s="264"/>
      <c r="W583" s="264"/>
      <c r="X583" s="264"/>
      <c r="Y583" s="264"/>
      <c r="Z583" s="264"/>
      <c r="AA583" s="264"/>
      <c r="AB583" s="264"/>
      <c r="AC583" s="264"/>
      <c r="AD583" s="264"/>
      <c r="AE583" s="264"/>
    </row>
    <row r="584">
      <c r="A584" s="272"/>
      <c r="B584" s="272"/>
      <c r="C584" s="272"/>
      <c r="D584" s="172"/>
      <c r="E584" s="267" t="str">
        <f t="shared" si="22"/>
        <v/>
      </c>
      <c r="F584" s="274" t="str">
        <f t="shared" si="2"/>
        <v/>
      </c>
      <c r="G584" s="42"/>
      <c r="H584" s="264"/>
      <c r="I584" s="277"/>
      <c r="J584" s="276" t="str">
        <f>IF(ISBLANK(I584), "", VLOOKUP(E584&amp;" "&amp;F584, 'Info Tipo de Cambio y REM'!$A$24:$B$35, 2, FALSE))
</f>
        <v/>
      </c>
      <c r="K584" s="107" t="str">
        <f t="shared" si="23"/>
        <v/>
      </c>
      <c r="L584" s="293">
        <f t="shared" si="5"/>
        <v>-5187415.025</v>
      </c>
      <c r="M584" s="293">
        <f t="shared" si="3"/>
        <v>-68574.41</v>
      </c>
      <c r="N584" s="293">
        <f t="shared" si="6"/>
        <v>0</v>
      </c>
      <c r="O584" s="277">
        <f t="shared" si="4"/>
        <v>-72146.60962</v>
      </c>
      <c r="P584" s="264"/>
      <c r="Q584" s="264"/>
      <c r="R584" s="264"/>
      <c r="S584" s="264"/>
      <c r="T584" s="264"/>
      <c r="U584" s="264"/>
      <c r="V584" s="264"/>
      <c r="W584" s="264"/>
      <c r="X584" s="264"/>
      <c r="Y584" s="264"/>
      <c r="Z584" s="264"/>
      <c r="AA584" s="264"/>
      <c r="AB584" s="264"/>
      <c r="AC584" s="264"/>
      <c r="AD584" s="264"/>
      <c r="AE584" s="264"/>
    </row>
    <row r="585">
      <c r="A585" s="272"/>
      <c r="B585" s="272"/>
      <c r="C585" s="272"/>
      <c r="D585" s="172"/>
      <c r="E585" s="267" t="str">
        <f t="shared" si="22"/>
        <v/>
      </c>
      <c r="F585" s="274" t="str">
        <f t="shared" si="2"/>
        <v/>
      </c>
      <c r="G585" s="42"/>
      <c r="H585" s="264"/>
      <c r="I585" s="277"/>
      <c r="J585" s="276" t="str">
        <f>IF(ISBLANK(I585), "", VLOOKUP(E585&amp;" "&amp;F585, 'Info Tipo de Cambio y REM'!$A$24:$B$35, 2, FALSE))
</f>
        <v/>
      </c>
      <c r="K585" s="107" t="str">
        <f t="shared" si="23"/>
        <v/>
      </c>
      <c r="L585" s="293">
        <f t="shared" si="5"/>
        <v>-5187415.025</v>
      </c>
      <c r="M585" s="293">
        <f t="shared" si="3"/>
        <v>-68574.41</v>
      </c>
      <c r="N585" s="293">
        <f t="shared" si="6"/>
        <v>0</v>
      </c>
      <c r="O585" s="277">
        <f t="shared" si="4"/>
        <v>-72146.60962</v>
      </c>
      <c r="P585" s="264"/>
      <c r="Q585" s="264"/>
      <c r="R585" s="264"/>
      <c r="S585" s="264"/>
      <c r="T585" s="264"/>
      <c r="U585" s="264"/>
      <c r="V585" s="264"/>
      <c r="W585" s="264"/>
      <c r="X585" s="264"/>
      <c r="Y585" s="264"/>
      <c r="Z585" s="264"/>
      <c r="AA585" s="264"/>
      <c r="AB585" s="264"/>
      <c r="AC585" s="264"/>
      <c r="AD585" s="264"/>
      <c r="AE585" s="264"/>
    </row>
    <row r="586">
      <c r="A586" s="272"/>
      <c r="B586" s="272"/>
      <c r="C586" s="272"/>
      <c r="D586" s="172"/>
      <c r="E586" s="267" t="str">
        <f t="shared" si="22"/>
        <v/>
      </c>
      <c r="F586" s="274" t="str">
        <f t="shared" si="2"/>
        <v/>
      </c>
      <c r="G586" s="42"/>
      <c r="H586" s="264"/>
      <c r="I586" s="277"/>
      <c r="J586" s="276" t="str">
        <f>IF(ISBLANK(I586), "", VLOOKUP(E586&amp;" "&amp;F586, 'Info Tipo de Cambio y REM'!$A$24:$B$35, 2, FALSE))
</f>
        <v/>
      </c>
      <c r="K586" s="107" t="str">
        <f t="shared" si="23"/>
        <v/>
      </c>
      <c r="L586" s="293">
        <f t="shared" si="5"/>
        <v>-5187415.025</v>
      </c>
      <c r="M586" s="293">
        <f t="shared" si="3"/>
        <v>-68574.41</v>
      </c>
      <c r="N586" s="293">
        <f t="shared" si="6"/>
        <v>0</v>
      </c>
      <c r="O586" s="277">
        <f t="shared" si="4"/>
        <v>-72146.60962</v>
      </c>
      <c r="P586" s="264"/>
      <c r="Q586" s="264"/>
      <c r="R586" s="264"/>
      <c r="S586" s="264"/>
      <c r="T586" s="264"/>
      <c r="U586" s="264"/>
      <c r="V586" s="264"/>
      <c r="W586" s="264"/>
      <c r="X586" s="264"/>
      <c r="Y586" s="264"/>
      <c r="Z586" s="264"/>
      <c r="AA586" s="264"/>
      <c r="AB586" s="264"/>
      <c r="AC586" s="264"/>
      <c r="AD586" s="264"/>
      <c r="AE586" s="264"/>
    </row>
    <row r="587">
      <c r="A587" s="272"/>
      <c r="B587" s="272"/>
      <c r="C587" s="272"/>
      <c r="D587" s="172"/>
      <c r="E587" s="267" t="str">
        <f t="shared" si="22"/>
        <v/>
      </c>
      <c r="F587" s="274" t="str">
        <f t="shared" si="2"/>
        <v/>
      </c>
      <c r="G587" s="42"/>
      <c r="H587" s="264"/>
      <c r="I587" s="277"/>
      <c r="J587" s="276" t="str">
        <f>IF(ISBLANK(I587), "", VLOOKUP(E587&amp;" "&amp;F587, 'Info Tipo de Cambio y REM'!$A$24:$B$35, 2, FALSE))
</f>
        <v/>
      </c>
      <c r="K587" s="107" t="str">
        <f t="shared" si="23"/>
        <v/>
      </c>
      <c r="L587" s="293">
        <f t="shared" si="5"/>
        <v>-5187415.025</v>
      </c>
      <c r="M587" s="293">
        <f t="shared" si="3"/>
        <v>-68574.41</v>
      </c>
      <c r="N587" s="293">
        <f t="shared" si="6"/>
        <v>0</v>
      </c>
      <c r="O587" s="277">
        <f t="shared" si="4"/>
        <v>-72146.60962</v>
      </c>
      <c r="P587" s="264"/>
      <c r="Q587" s="264"/>
      <c r="R587" s="264"/>
      <c r="S587" s="264"/>
      <c r="T587" s="264"/>
      <c r="U587" s="264"/>
      <c r="V587" s="264"/>
      <c r="W587" s="264"/>
      <c r="X587" s="264"/>
      <c r="Y587" s="264"/>
      <c r="Z587" s="264"/>
      <c r="AA587" s="264"/>
      <c r="AB587" s="264"/>
      <c r="AC587" s="264"/>
      <c r="AD587" s="264"/>
      <c r="AE587" s="264"/>
    </row>
    <row r="588">
      <c r="A588" s="272"/>
      <c r="B588" s="272"/>
      <c r="C588" s="272"/>
      <c r="D588" s="172"/>
      <c r="E588" s="267" t="str">
        <f t="shared" si="22"/>
        <v/>
      </c>
      <c r="F588" s="274" t="str">
        <f t="shared" si="2"/>
        <v/>
      </c>
      <c r="G588" s="42"/>
      <c r="H588" s="264"/>
      <c r="I588" s="277"/>
      <c r="J588" s="276" t="str">
        <f>IF(ISBLANK(I588), "", VLOOKUP(E588&amp;" "&amp;F588, 'Info Tipo de Cambio y REM'!$A$24:$B$35, 2, FALSE))
</f>
        <v/>
      </c>
      <c r="K588" s="107" t="str">
        <f t="shared" si="23"/>
        <v/>
      </c>
      <c r="L588" s="293">
        <f t="shared" si="5"/>
        <v>-5187415.025</v>
      </c>
      <c r="M588" s="293">
        <f t="shared" si="3"/>
        <v>-68574.41</v>
      </c>
      <c r="N588" s="293">
        <f t="shared" si="6"/>
        <v>0</v>
      </c>
      <c r="O588" s="277">
        <f t="shared" si="4"/>
        <v>-72146.60962</v>
      </c>
      <c r="P588" s="264"/>
      <c r="Q588" s="264"/>
      <c r="R588" s="264"/>
      <c r="S588" s="264"/>
      <c r="T588" s="264"/>
      <c r="U588" s="264"/>
      <c r="V588" s="264"/>
      <c r="W588" s="264"/>
      <c r="X588" s="264"/>
      <c r="Y588" s="264"/>
      <c r="Z588" s="264"/>
      <c r="AA588" s="264"/>
      <c r="AB588" s="264"/>
      <c r="AC588" s="264"/>
      <c r="AD588" s="264"/>
      <c r="AE588" s="264"/>
    </row>
    <row r="589">
      <c r="A589" s="272"/>
      <c r="B589" s="272"/>
      <c r="C589" s="272"/>
      <c r="D589" s="172"/>
      <c r="E589" s="267" t="str">
        <f t="shared" si="22"/>
        <v/>
      </c>
      <c r="F589" s="274" t="str">
        <f t="shared" si="2"/>
        <v/>
      </c>
      <c r="G589" s="42"/>
      <c r="H589" s="264"/>
      <c r="I589" s="277"/>
      <c r="J589" s="276" t="str">
        <f>IF(ISBLANK(I589), "", VLOOKUP(E589&amp;" "&amp;F589, 'Info Tipo de Cambio y REM'!$A$24:$B$35, 2, FALSE))
</f>
        <v/>
      </c>
      <c r="K589" s="107" t="str">
        <f t="shared" si="23"/>
        <v/>
      </c>
      <c r="L589" s="293">
        <f t="shared" si="5"/>
        <v>-5187415.025</v>
      </c>
      <c r="M589" s="293">
        <f t="shared" si="3"/>
        <v>-68574.41</v>
      </c>
      <c r="N589" s="293">
        <f t="shared" si="6"/>
        <v>0</v>
      </c>
      <c r="O589" s="277">
        <f t="shared" si="4"/>
        <v>-72146.60962</v>
      </c>
      <c r="P589" s="264"/>
      <c r="Q589" s="264"/>
      <c r="R589" s="264"/>
      <c r="S589" s="264"/>
      <c r="T589" s="264"/>
      <c r="U589" s="264"/>
      <c r="V589" s="264"/>
      <c r="W589" s="264"/>
      <c r="X589" s="264"/>
      <c r="Y589" s="264"/>
      <c r="Z589" s="264"/>
      <c r="AA589" s="264"/>
      <c r="AB589" s="264"/>
      <c r="AC589" s="264"/>
      <c r="AD589" s="264"/>
      <c r="AE589" s="264"/>
    </row>
    <row r="590">
      <c r="A590" s="272"/>
      <c r="B590" s="272"/>
      <c r="C590" s="272"/>
      <c r="D590" s="172"/>
      <c r="E590" s="267" t="str">
        <f t="shared" si="22"/>
        <v/>
      </c>
      <c r="F590" s="274" t="str">
        <f t="shared" si="2"/>
        <v/>
      </c>
      <c r="G590" s="42"/>
      <c r="H590" s="264"/>
      <c r="I590" s="277"/>
      <c r="J590" s="276" t="str">
        <f>IF(ISBLANK(I590), "", VLOOKUP(E590&amp;" "&amp;F590, 'Info Tipo de Cambio y REM'!$A$24:$B$35, 2, FALSE))
</f>
        <v/>
      </c>
      <c r="K590" s="107" t="str">
        <f t="shared" si="23"/>
        <v/>
      </c>
      <c r="L590" s="293">
        <f t="shared" si="5"/>
        <v>-5187415.025</v>
      </c>
      <c r="M590" s="293">
        <f t="shared" si="3"/>
        <v>-68574.41</v>
      </c>
      <c r="N590" s="293">
        <f t="shared" si="6"/>
        <v>0</v>
      </c>
      <c r="O590" s="277">
        <f t="shared" si="4"/>
        <v>-72146.60962</v>
      </c>
      <c r="P590" s="264"/>
      <c r="Q590" s="264"/>
      <c r="R590" s="264"/>
      <c r="S590" s="264"/>
      <c r="T590" s="264"/>
      <c r="U590" s="264"/>
      <c r="V590" s="264"/>
      <c r="W590" s="264"/>
      <c r="X590" s="264"/>
      <c r="Y590" s="264"/>
      <c r="Z590" s="264"/>
      <c r="AA590" s="264"/>
      <c r="AB590" s="264"/>
      <c r="AC590" s="264"/>
      <c r="AD590" s="264"/>
      <c r="AE590" s="264"/>
    </row>
    <row r="591">
      <c r="A591" s="272"/>
      <c r="B591" s="272"/>
      <c r="C591" s="272"/>
      <c r="D591" s="172"/>
      <c r="E591" s="267" t="str">
        <f t="shared" si="22"/>
        <v/>
      </c>
      <c r="F591" s="274" t="str">
        <f t="shared" si="2"/>
        <v/>
      </c>
      <c r="G591" s="42"/>
      <c r="H591" s="264"/>
      <c r="I591" s="277"/>
      <c r="J591" s="276" t="str">
        <f>IF(ISBLANK(I591), "", VLOOKUP(E591&amp;" "&amp;F591, 'Info Tipo de Cambio y REM'!$A$24:$B$35, 2, FALSE))
</f>
        <v/>
      </c>
      <c r="K591" s="107" t="str">
        <f t="shared" si="23"/>
        <v/>
      </c>
      <c r="L591" s="293">
        <f t="shared" si="5"/>
        <v>-5187415.025</v>
      </c>
      <c r="M591" s="293">
        <f t="shared" si="3"/>
        <v>-68574.41</v>
      </c>
      <c r="N591" s="293">
        <f t="shared" si="6"/>
        <v>0</v>
      </c>
      <c r="O591" s="277">
        <f t="shared" si="4"/>
        <v>-72146.60962</v>
      </c>
      <c r="P591" s="264"/>
      <c r="Q591" s="264"/>
      <c r="R591" s="264"/>
      <c r="S591" s="264"/>
      <c r="T591" s="264"/>
      <c r="U591" s="264"/>
      <c r="V591" s="264"/>
      <c r="W591" s="264"/>
      <c r="X591" s="264"/>
      <c r="Y591" s="264"/>
      <c r="Z591" s="264"/>
      <c r="AA591" s="264"/>
      <c r="AB591" s="264"/>
      <c r="AC591" s="264"/>
      <c r="AD591" s="264"/>
      <c r="AE591" s="264"/>
    </row>
    <row r="592">
      <c r="A592" s="272"/>
      <c r="B592" s="272"/>
      <c r="C592" s="272"/>
      <c r="D592" s="172"/>
      <c r="E592" s="267" t="str">
        <f t="shared" si="22"/>
        <v/>
      </c>
      <c r="F592" s="274" t="str">
        <f t="shared" si="2"/>
        <v/>
      </c>
      <c r="G592" s="42"/>
      <c r="H592" s="264"/>
      <c r="I592" s="277"/>
      <c r="J592" s="276" t="str">
        <f>IF(ISBLANK(I592), "", VLOOKUP(E592&amp;" "&amp;F592, 'Info Tipo de Cambio y REM'!$A$24:$B$35, 2, FALSE))
</f>
        <v/>
      </c>
      <c r="K592" s="107" t="str">
        <f t="shared" si="23"/>
        <v/>
      </c>
      <c r="L592" s="293">
        <f t="shared" si="5"/>
        <v>-5187415.025</v>
      </c>
      <c r="M592" s="293">
        <f t="shared" si="3"/>
        <v>-68574.41</v>
      </c>
      <c r="N592" s="293">
        <f t="shared" si="6"/>
        <v>0</v>
      </c>
      <c r="O592" s="277">
        <f t="shared" si="4"/>
        <v>-72146.60962</v>
      </c>
      <c r="P592" s="264"/>
      <c r="Q592" s="264"/>
      <c r="R592" s="264"/>
      <c r="S592" s="264"/>
      <c r="T592" s="264"/>
      <c r="U592" s="264"/>
      <c r="V592" s="264"/>
      <c r="W592" s="264"/>
      <c r="X592" s="264"/>
      <c r="Y592" s="264"/>
      <c r="Z592" s="264"/>
      <c r="AA592" s="264"/>
      <c r="AB592" s="264"/>
      <c r="AC592" s="264"/>
      <c r="AD592" s="264"/>
      <c r="AE592" s="264"/>
    </row>
    <row r="593">
      <c r="A593" s="272"/>
      <c r="B593" s="272"/>
      <c r="C593" s="272"/>
      <c r="D593" s="172"/>
      <c r="E593" s="267" t="str">
        <f t="shared" si="22"/>
        <v/>
      </c>
      <c r="F593" s="274" t="str">
        <f t="shared" si="2"/>
        <v/>
      </c>
      <c r="G593" s="42"/>
      <c r="H593" s="264"/>
      <c r="I593" s="277"/>
      <c r="J593" s="276" t="str">
        <f>IF(ISBLANK(I593), "", VLOOKUP(E593&amp;" "&amp;F593, 'Info Tipo de Cambio y REM'!$A$24:$B$35, 2, FALSE))
</f>
        <v/>
      </c>
      <c r="K593" s="107" t="str">
        <f t="shared" si="23"/>
        <v/>
      </c>
      <c r="L593" s="293">
        <f t="shared" si="5"/>
        <v>-5187415.025</v>
      </c>
      <c r="M593" s="293">
        <f t="shared" si="3"/>
        <v>-68574.41</v>
      </c>
      <c r="N593" s="293">
        <f t="shared" si="6"/>
        <v>0</v>
      </c>
      <c r="O593" s="277">
        <f t="shared" si="4"/>
        <v>-72146.60962</v>
      </c>
      <c r="P593" s="264"/>
      <c r="Q593" s="264"/>
      <c r="R593" s="264"/>
      <c r="S593" s="264"/>
      <c r="T593" s="264"/>
      <c r="U593" s="264"/>
      <c r="V593" s="264"/>
      <c r="W593" s="264"/>
      <c r="X593" s="264"/>
      <c r="Y593" s="264"/>
      <c r="Z593" s="264"/>
      <c r="AA593" s="264"/>
      <c r="AB593" s="264"/>
      <c r="AC593" s="264"/>
      <c r="AD593" s="264"/>
      <c r="AE593" s="264"/>
    </row>
    <row r="594">
      <c r="A594" s="272"/>
      <c r="B594" s="272"/>
      <c r="C594" s="272"/>
      <c r="D594" s="172"/>
      <c r="E594" s="267" t="str">
        <f t="shared" si="22"/>
        <v/>
      </c>
      <c r="F594" s="274" t="str">
        <f t="shared" si="2"/>
        <v/>
      </c>
      <c r="G594" s="42"/>
      <c r="H594" s="264"/>
      <c r="I594" s="277"/>
      <c r="J594" s="276" t="str">
        <f>IF(ISBLANK(I594), "", VLOOKUP(E594&amp;" "&amp;F594, 'Info Tipo de Cambio y REM'!$A$24:$B$35, 2, FALSE))
</f>
        <v/>
      </c>
      <c r="K594" s="107" t="str">
        <f t="shared" si="23"/>
        <v/>
      </c>
      <c r="L594" s="293">
        <f t="shared" si="5"/>
        <v>-5187415.025</v>
      </c>
      <c r="M594" s="293">
        <f t="shared" si="3"/>
        <v>-68574.41</v>
      </c>
      <c r="N594" s="293">
        <f t="shared" si="6"/>
        <v>0</v>
      </c>
      <c r="O594" s="277">
        <f t="shared" si="4"/>
        <v>-72146.60962</v>
      </c>
      <c r="P594" s="264"/>
      <c r="Q594" s="264"/>
      <c r="R594" s="264"/>
      <c r="S594" s="264"/>
      <c r="T594" s="264"/>
      <c r="U594" s="264"/>
      <c r="V594" s="264"/>
      <c r="W594" s="264"/>
      <c r="X594" s="264"/>
      <c r="Y594" s="264"/>
      <c r="Z594" s="264"/>
      <c r="AA594" s="264"/>
      <c r="AB594" s="264"/>
      <c r="AC594" s="264"/>
      <c r="AD594" s="264"/>
      <c r="AE594" s="264"/>
    </row>
    <row r="595">
      <c r="A595" s="272"/>
      <c r="B595" s="272"/>
      <c r="C595" s="272"/>
      <c r="D595" s="172"/>
      <c r="E595" s="267" t="str">
        <f t="shared" si="22"/>
        <v/>
      </c>
      <c r="F595" s="274" t="str">
        <f t="shared" si="2"/>
        <v/>
      </c>
      <c r="G595" s="42"/>
      <c r="H595" s="264"/>
      <c r="I595" s="277"/>
      <c r="J595" s="276" t="str">
        <f>IF(ISBLANK(I595), "", VLOOKUP(E595&amp;" "&amp;F595, 'Info Tipo de Cambio y REM'!$A$24:$B$35, 2, FALSE))
</f>
        <v/>
      </c>
      <c r="K595" s="107" t="str">
        <f t="shared" si="23"/>
        <v/>
      </c>
      <c r="L595" s="293">
        <f t="shared" si="5"/>
        <v>-5187415.025</v>
      </c>
      <c r="M595" s="293">
        <f t="shared" si="3"/>
        <v>-68574.41</v>
      </c>
      <c r="N595" s="293">
        <f t="shared" si="6"/>
        <v>0</v>
      </c>
      <c r="O595" s="277">
        <f t="shared" si="4"/>
        <v>-72146.60962</v>
      </c>
      <c r="P595" s="264"/>
      <c r="Q595" s="264"/>
      <c r="R595" s="264"/>
      <c r="S595" s="264"/>
      <c r="T595" s="264"/>
      <c r="U595" s="264"/>
      <c r="V595" s="264"/>
      <c r="W595" s="264"/>
      <c r="X595" s="264"/>
      <c r="Y595" s="264"/>
      <c r="Z595" s="264"/>
      <c r="AA595" s="264"/>
      <c r="AB595" s="264"/>
      <c r="AC595" s="264"/>
      <c r="AD595" s="264"/>
      <c r="AE595" s="264"/>
    </row>
    <row r="596">
      <c r="A596" s="272"/>
      <c r="B596" s="272"/>
      <c r="C596" s="272"/>
      <c r="D596" s="172"/>
      <c r="E596" s="267" t="str">
        <f t="shared" si="22"/>
        <v/>
      </c>
      <c r="F596" s="274" t="str">
        <f t="shared" si="2"/>
        <v/>
      </c>
      <c r="G596" s="42"/>
      <c r="H596" s="264"/>
      <c r="I596" s="277"/>
      <c r="J596" s="276" t="str">
        <f>IF(ISBLANK(I596), "", VLOOKUP(E596&amp;" "&amp;F596, 'Info Tipo de Cambio y REM'!$A$24:$B$35, 2, FALSE))
</f>
        <v/>
      </c>
      <c r="K596" s="107" t="str">
        <f t="shared" si="23"/>
        <v/>
      </c>
      <c r="L596" s="293">
        <f t="shared" si="5"/>
        <v>-5187415.025</v>
      </c>
      <c r="M596" s="293">
        <f t="shared" si="3"/>
        <v>-68574.41</v>
      </c>
      <c r="N596" s="293">
        <f t="shared" si="6"/>
        <v>0</v>
      </c>
      <c r="O596" s="277">
        <f t="shared" si="4"/>
        <v>-72146.60962</v>
      </c>
      <c r="P596" s="264"/>
      <c r="Q596" s="264"/>
      <c r="R596" s="264"/>
      <c r="S596" s="264"/>
      <c r="T596" s="264"/>
      <c r="U596" s="264"/>
      <c r="V596" s="264"/>
      <c r="W596" s="264"/>
      <c r="X596" s="264"/>
      <c r="Y596" s="264"/>
      <c r="Z596" s="264"/>
      <c r="AA596" s="264"/>
      <c r="AB596" s="264"/>
      <c r="AC596" s="264"/>
      <c r="AD596" s="264"/>
      <c r="AE596" s="264"/>
    </row>
    <row r="597">
      <c r="A597" s="272"/>
      <c r="B597" s="272"/>
      <c r="C597" s="272"/>
      <c r="D597" s="172"/>
      <c r="E597" s="267" t="str">
        <f t="shared" si="22"/>
        <v/>
      </c>
      <c r="F597" s="274" t="str">
        <f t="shared" si="2"/>
        <v/>
      </c>
      <c r="G597" s="42"/>
      <c r="H597" s="264"/>
      <c r="I597" s="277"/>
      <c r="J597" s="276" t="str">
        <f>IF(ISBLANK(I597), "", VLOOKUP(E597&amp;" "&amp;F597, 'Info Tipo de Cambio y REM'!$A$24:$B$35, 2, FALSE))
</f>
        <v/>
      </c>
      <c r="K597" s="107" t="str">
        <f t="shared" si="23"/>
        <v/>
      </c>
      <c r="L597" s="293">
        <f t="shared" si="5"/>
        <v>-5187415.025</v>
      </c>
      <c r="M597" s="293">
        <f t="shared" si="3"/>
        <v>-68574.41</v>
      </c>
      <c r="N597" s="293">
        <f t="shared" si="6"/>
        <v>0</v>
      </c>
      <c r="O597" s="277">
        <f t="shared" si="4"/>
        <v>-72146.60962</v>
      </c>
      <c r="P597" s="264"/>
      <c r="Q597" s="264"/>
      <c r="R597" s="264"/>
      <c r="S597" s="264"/>
      <c r="T597" s="264"/>
      <c r="U597" s="264"/>
      <c r="V597" s="264"/>
      <c r="W597" s="264"/>
      <c r="X597" s="264"/>
      <c r="Y597" s="264"/>
      <c r="Z597" s="264"/>
      <c r="AA597" s="264"/>
      <c r="AB597" s="264"/>
      <c r="AC597" s="264"/>
      <c r="AD597" s="264"/>
      <c r="AE597" s="264"/>
    </row>
    <row r="598">
      <c r="A598" s="272"/>
      <c r="B598" s="272"/>
      <c r="C598" s="272"/>
      <c r="D598" s="172"/>
      <c r="E598" s="267" t="str">
        <f t="shared" si="22"/>
        <v/>
      </c>
      <c r="F598" s="274" t="str">
        <f t="shared" si="2"/>
        <v/>
      </c>
      <c r="G598" s="42"/>
      <c r="H598" s="264"/>
      <c r="I598" s="277"/>
      <c r="J598" s="276" t="str">
        <f>IF(ISBLANK(I598), "", VLOOKUP(E598&amp;" "&amp;F598, 'Info Tipo de Cambio y REM'!$A$24:$B$35, 2, FALSE))
</f>
        <v/>
      </c>
      <c r="K598" s="107" t="str">
        <f t="shared" si="23"/>
        <v/>
      </c>
      <c r="L598" s="293">
        <f t="shared" si="5"/>
        <v>-5187415.025</v>
      </c>
      <c r="M598" s="293">
        <f t="shared" si="3"/>
        <v>-68574.41</v>
      </c>
      <c r="N598" s="293">
        <f t="shared" si="6"/>
        <v>0</v>
      </c>
      <c r="O598" s="277">
        <f t="shared" si="4"/>
        <v>-72146.60962</v>
      </c>
      <c r="P598" s="264"/>
      <c r="Q598" s="264"/>
      <c r="R598" s="264"/>
      <c r="S598" s="264"/>
      <c r="T598" s="264"/>
      <c r="U598" s="264"/>
      <c r="V598" s="264"/>
      <c r="W598" s="264"/>
      <c r="X598" s="264"/>
      <c r="Y598" s="264"/>
      <c r="Z598" s="264"/>
      <c r="AA598" s="264"/>
      <c r="AB598" s="264"/>
      <c r="AC598" s="264"/>
      <c r="AD598" s="264"/>
      <c r="AE598" s="264"/>
    </row>
    <row r="599">
      <c r="A599" s="272"/>
      <c r="B599" s="272"/>
      <c r="C599" s="272"/>
      <c r="D599" s="172"/>
      <c r="E599" s="267" t="str">
        <f t="shared" si="22"/>
        <v/>
      </c>
      <c r="F599" s="274" t="str">
        <f t="shared" si="2"/>
        <v/>
      </c>
      <c r="G599" s="42"/>
      <c r="H599" s="264"/>
      <c r="I599" s="277"/>
      <c r="J599" s="276" t="str">
        <f>IF(ISBLANK(I599), "", VLOOKUP(E599&amp;" "&amp;F599, 'Info Tipo de Cambio y REM'!$A$24:$B$35, 2, FALSE))
</f>
        <v/>
      </c>
      <c r="K599" s="107" t="str">
        <f t="shared" si="23"/>
        <v/>
      </c>
      <c r="L599" s="293">
        <f t="shared" si="5"/>
        <v>-5187415.025</v>
      </c>
      <c r="M599" s="293">
        <f t="shared" si="3"/>
        <v>-68574.41</v>
      </c>
      <c r="N599" s="293">
        <f t="shared" si="6"/>
        <v>0</v>
      </c>
      <c r="O599" s="277">
        <f t="shared" si="4"/>
        <v>-72146.60962</v>
      </c>
      <c r="P599" s="264"/>
      <c r="Q599" s="264"/>
      <c r="R599" s="264"/>
      <c r="S599" s="264"/>
      <c r="T599" s="264"/>
      <c r="U599" s="264"/>
      <c r="V599" s="264"/>
      <c r="W599" s="264"/>
      <c r="X599" s="264"/>
      <c r="Y599" s="264"/>
      <c r="Z599" s="264"/>
      <c r="AA599" s="264"/>
      <c r="AB599" s="264"/>
      <c r="AC599" s="264"/>
      <c r="AD599" s="264"/>
      <c r="AE599" s="264"/>
    </row>
    <row r="600">
      <c r="A600" s="272"/>
      <c r="B600" s="272"/>
      <c r="C600" s="272"/>
      <c r="D600" s="172"/>
      <c r="E600" s="267" t="str">
        <f t="shared" si="22"/>
        <v/>
      </c>
      <c r="F600" s="274" t="str">
        <f t="shared" si="2"/>
        <v/>
      </c>
      <c r="G600" s="42"/>
      <c r="H600" s="264"/>
      <c r="I600" s="277"/>
      <c r="J600" s="276" t="str">
        <f>IF(ISBLANK(I600), "", VLOOKUP(E600&amp;" "&amp;F600, 'Info Tipo de Cambio y REM'!$A$24:$B$35, 2, FALSE))
</f>
        <v/>
      </c>
      <c r="K600" s="107" t="str">
        <f t="shared" si="23"/>
        <v/>
      </c>
      <c r="L600" s="293">
        <f t="shared" si="5"/>
        <v>-5187415.025</v>
      </c>
      <c r="M600" s="293">
        <f t="shared" si="3"/>
        <v>-68574.41</v>
      </c>
      <c r="N600" s="293">
        <f t="shared" si="6"/>
        <v>0</v>
      </c>
      <c r="O600" s="277">
        <f t="shared" si="4"/>
        <v>-72146.60962</v>
      </c>
      <c r="P600" s="264"/>
      <c r="Q600" s="264"/>
      <c r="R600" s="264"/>
      <c r="S600" s="264"/>
      <c r="T600" s="264"/>
      <c r="U600" s="264"/>
      <c r="V600" s="264"/>
      <c r="W600" s="264"/>
      <c r="X600" s="264"/>
      <c r="Y600" s="264"/>
      <c r="Z600" s="264"/>
      <c r="AA600" s="264"/>
      <c r="AB600" s="264"/>
      <c r="AC600" s="264"/>
      <c r="AD600" s="264"/>
      <c r="AE600" s="264"/>
    </row>
    <row r="601">
      <c r="A601" s="272"/>
      <c r="B601" s="272"/>
      <c r="C601" s="272"/>
      <c r="D601" s="172"/>
      <c r="E601" s="267" t="str">
        <f t="shared" si="22"/>
        <v/>
      </c>
      <c r="F601" s="274" t="str">
        <f t="shared" si="2"/>
        <v/>
      </c>
      <c r="G601" s="42"/>
      <c r="H601" s="264"/>
      <c r="I601" s="277"/>
      <c r="J601" s="276" t="str">
        <f>IF(ISBLANK(I601), "", VLOOKUP(E601&amp;" "&amp;F601, 'Info Tipo de Cambio y REM'!$A$24:$B$35, 2, FALSE))
</f>
        <v/>
      </c>
      <c r="K601" s="107" t="str">
        <f t="shared" si="23"/>
        <v/>
      </c>
      <c r="L601" s="293">
        <f t="shared" si="5"/>
        <v>-5187415.025</v>
      </c>
      <c r="M601" s="293">
        <f t="shared" si="3"/>
        <v>-68574.41</v>
      </c>
      <c r="N601" s="293">
        <f t="shared" si="6"/>
        <v>0</v>
      </c>
      <c r="O601" s="277">
        <f t="shared" si="4"/>
        <v>-72146.60962</v>
      </c>
      <c r="P601" s="264"/>
      <c r="Q601" s="264"/>
      <c r="R601" s="264"/>
      <c r="S601" s="264"/>
      <c r="T601" s="264"/>
      <c r="U601" s="264"/>
      <c r="V601" s="264"/>
      <c r="W601" s="264"/>
      <c r="X601" s="264"/>
      <c r="Y601" s="264"/>
      <c r="Z601" s="264"/>
      <c r="AA601" s="264"/>
      <c r="AB601" s="264"/>
      <c r="AC601" s="264"/>
      <c r="AD601" s="264"/>
      <c r="AE601" s="264"/>
    </row>
    <row r="602">
      <c r="A602" s="272"/>
      <c r="B602" s="272"/>
      <c r="C602" s="272"/>
      <c r="D602" s="172"/>
      <c r="E602" s="267" t="str">
        <f t="shared" si="22"/>
        <v/>
      </c>
      <c r="F602" s="274" t="str">
        <f t="shared" si="2"/>
        <v/>
      </c>
      <c r="G602" s="42"/>
      <c r="H602" s="264"/>
      <c r="I602" s="277"/>
      <c r="J602" s="276" t="str">
        <f>IF(ISBLANK(I602), "", VLOOKUP(E602&amp;" "&amp;F602, 'Info Tipo de Cambio y REM'!$A$24:$B$35, 2, FALSE))
</f>
        <v/>
      </c>
      <c r="K602" s="107" t="str">
        <f t="shared" si="23"/>
        <v/>
      </c>
      <c r="L602" s="293">
        <f t="shared" si="5"/>
        <v>-5187415.025</v>
      </c>
      <c r="M602" s="293">
        <f t="shared" si="3"/>
        <v>-68574.41</v>
      </c>
      <c r="N602" s="293">
        <f t="shared" si="6"/>
        <v>0</v>
      </c>
      <c r="O602" s="277">
        <f t="shared" si="4"/>
        <v>-72146.60962</v>
      </c>
      <c r="P602" s="264"/>
      <c r="Q602" s="264"/>
      <c r="R602" s="264"/>
      <c r="S602" s="264"/>
      <c r="T602" s="264"/>
      <c r="U602" s="264"/>
      <c r="V602" s="264"/>
      <c r="W602" s="264"/>
      <c r="X602" s="264"/>
      <c r="Y602" s="264"/>
      <c r="Z602" s="264"/>
      <c r="AA602" s="264"/>
      <c r="AB602" s="264"/>
      <c r="AC602" s="264"/>
      <c r="AD602" s="264"/>
      <c r="AE602" s="264"/>
    </row>
    <row r="603">
      <c r="A603" s="272"/>
      <c r="B603" s="272"/>
      <c r="C603" s="272"/>
      <c r="D603" s="172"/>
      <c r="E603" s="267" t="str">
        <f t="shared" si="22"/>
        <v/>
      </c>
      <c r="F603" s="274" t="str">
        <f t="shared" si="2"/>
        <v/>
      </c>
      <c r="G603" s="42"/>
      <c r="H603" s="264"/>
      <c r="I603" s="277"/>
      <c r="J603" s="276" t="str">
        <f>IF(ISBLANK(I603), "", VLOOKUP(E603&amp;" "&amp;F603, 'Info Tipo de Cambio y REM'!$A$24:$B$35, 2, FALSE))
</f>
        <v/>
      </c>
      <c r="K603" s="107" t="str">
        <f t="shared" si="23"/>
        <v/>
      </c>
      <c r="L603" s="293">
        <f t="shared" si="5"/>
        <v>-5187415.025</v>
      </c>
      <c r="M603" s="293">
        <f t="shared" si="3"/>
        <v>-68574.41</v>
      </c>
      <c r="N603" s="293">
        <f t="shared" si="6"/>
        <v>0</v>
      </c>
      <c r="O603" s="277">
        <f t="shared" si="4"/>
        <v>-72146.60962</v>
      </c>
      <c r="P603" s="264"/>
      <c r="Q603" s="264"/>
      <c r="R603" s="264"/>
      <c r="S603" s="264"/>
      <c r="T603" s="264"/>
      <c r="U603" s="264"/>
      <c r="V603" s="264"/>
      <c r="W603" s="264"/>
      <c r="X603" s="264"/>
      <c r="Y603" s="264"/>
      <c r="Z603" s="264"/>
      <c r="AA603" s="264"/>
      <c r="AB603" s="264"/>
      <c r="AC603" s="264"/>
      <c r="AD603" s="264"/>
      <c r="AE603" s="264"/>
    </row>
    <row r="604">
      <c r="A604" s="272"/>
      <c r="B604" s="272"/>
      <c r="C604" s="272"/>
      <c r="D604" s="172"/>
      <c r="E604" s="267" t="str">
        <f t="shared" si="22"/>
        <v/>
      </c>
      <c r="F604" s="274" t="str">
        <f t="shared" si="2"/>
        <v/>
      </c>
      <c r="G604" s="42"/>
      <c r="H604" s="264"/>
      <c r="I604" s="277"/>
      <c r="J604" s="276" t="str">
        <f>IF(ISBLANK(I604), "", VLOOKUP(E604&amp;" "&amp;F604, 'Info Tipo de Cambio y REM'!$A$24:$B$35, 2, FALSE))
</f>
        <v/>
      </c>
      <c r="K604" s="107" t="str">
        <f t="shared" si="23"/>
        <v/>
      </c>
      <c r="L604" s="293">
        <f t="shared" si="5"/>
        <v>-5187415.025</v>
      </c>
      <c r="M604" s="293">
        <f t="shared" si="3"/>
        <v>-68574.41</v>
      </c>
      <c r="N604" s="293">
        <f t="shared" si="6"/>
        <v>0</v>
      </c>
      <c r="O604" s="277">
        <f t="shared" si="4"/>
        <v>-72146.60962</v>
      </c>
      <c r="P604" s="264"/>
      <c r="Q604" s="264"/>
      <c r="R604" s="264"/>
      <c r="S604" s="264"/>
      <c r="T604" s="264"/>
      <c r="U604" s="264"/>
      <c r="V604" s="264"/>
      <c r="W604" s="264"/>
      <c r="X604" s="264"/>
      <c r="Y604" s="264"/>
      <c r="Z604" s="264"/>
      <c r="AA604" s="264"/>
      <c r="AB604" s="264"/>
      <c r="AC604" s="264"/>
      <c r="AD604" s="264"/>
      <c r="AE604" s="264"/>
    </row>
    <row r="605">
      <c r="A605" s="272"/>
      <c r="B605" s="272"/>
      <c r="C605" s="272"/>
      <c r="D605" s="172"/>
      <c r="E605" s="267" t="str">
        <f t="shared" si="22"/>
        <v/>
      </c>
      <c r="F605" s="274" t="str">
        <f t="shared" si="2"/>
        <v/>
      </c>
      <c r="G605" s="42"/>
      <c r="H605" s="264"/>
      <c r="I605" s="277"/>
      <c r="J605" s="276" t="str">
        <f>IF(ISBLANK(I605), "", VLOOKUP(E605&amp;" "&amp;F605, 'Info Tipo de Cambio y REM'!$A$24:$B$35, 2, FALSE))
</f>
        <v/>
      </c>
      <c r="K605" s="107" t="str">
        <f t="shared" si="23"/>
        <v/>
      </c>
      <c r="L605" s="293">
        <f t="shared" si="5"/>
        <v>-5187415.025</v>
      </c>
      <c r="M605" s="293">
        <f t="shared" si="3"/>
        <v>-68574.41</v>
      </c>
      <c r="N605" s="293">
        <f t="shared" si="6"/>
        <v>0</v>
      </c>
      <c r="O605" s="277">
        <f t="shared" si="4"/>
        <v>-72146.60962</v>
      </c>
      <c r="P605" s="264"/>
      <c r="Q605" s="264"/>
      <c r="R605" s="264"/>
      <c r="S605" s="264"/>
      <c r="T605" s="264"/>
      <c r="U605" s="264"/>
      <c r="V605" s="264"/>
      <c r="W605" s="264"/>
      <c r="X605" s="264"/>
      <c r="Y605" s="264"/>
      <c r="Z605" s="264"/>
      <c r="AA605" s="264"/>
      <c r="AB605" s="264"/>
      <c r="AC605" s="264"/>
      <c r="AD605" s="264"/>
      <c r="AE605" s="264"/>
    </row>
    <row r="606">
      <c r="A606" s="272"/>
      <c r="B606" s="272"/>
      <c r="C606" s="272"/>
      <c r="D606" s="172"/>
      <c r="E606" s="267" t="str">
        <f t="shared" si="22"/>
        <v/>
      </c>
      <c r="F606" s="274" t="str">
        <f t="shared" si="2"/>
        <v/>
      </c>
      <c r="G606" s="42"/>
      <c r="H606" s="264"/>
      <c r="I606" s="277"/>
      <c r="J606" s="276" t="str">
        <f>IF(ISBLANK(I606), "", VLOOKUP(E606&amp;" "&amp;F606, 'Info Tipo de Cambio y REM'!$A$24:$B$35, 2, FALSE))
</f>
        <v/>
      </c>
      <c r="K606" s="107" t="str">
        <f t="shared" si="23"/>
        <v/>
      </c>
      <c r="L606" s="293">
        <f t="shared" si="5"/>
        <v>-5187415.025</v>
      </c>
      <c r="M606" s="293">
        <f t="shared" si="3"/>
        <v>-68574.41</v>
      </c>
      <c r="N606" s="293">
        <f t="shared" si="6"/>
        <v>0</v>
      </c>
      <c r="O606" s="277">
        <f t="shared" si="4"/>
        <v>-72146.60962</v>
      </c>
      <c r="P606" s="264"/>
      <c r="Q606" s="264"/>
      <c r="R606" s="264"/>
      <c r="S606" s="264"/>
      <c r="T606" s="264"/>
      <c r="U606" s="264"/>
      <c r="V606" s="264"/>
      <c r="W606" s="264"/>
      <c r="X606" s="264"/>
      <c r="Y606" s="264"/>
      <c r="Z606" s="264"/>
      <c r="AA606" s="264"/>
      <c r="AB606" s="264"/>
      <c r="AC606" s="264"/>
      <c r="AD606" s="264"/>
      <c r="AE606" s="264"/>
    </row>
    <row r="607">
      <c r="A607" s="272"/>
      <c r="B607" s="272"/>
      <c r="C607" s="272"/>
      <c r="D607" s="172"/>
      <c r="E607" s="267" t="str">
        <f t="shared" si="22"/>
        <v/>
      </c>
      <c r="F607" s="274" t="str">
        <f t="shared" si="2"/>
        <v/>
      </c>
      <c r="G607" s="42"/>
      <c r="H607" s="264"/>
      <c r="I607" s="277"/>
      <c r="J607" s="276" t="str">
        <f>IF(ISBLANK(I607), "", VLOOKUP(E607&amp;" "&amp;F607, 'Info Tipo de Cambio y REM'!$A$24:$B$35, 2, FALSE))
</f>
        <v/>
      </c>
      <c r="K607" s="107" t="str">
        <f t="shared" si="23"/>
        <v/>
      </c>
      <c r="L607" s="293">
        <f t="shared" si="5"/>
        <v>-5187415.025</v>
      </c>
      <c r="M607" s="293">
        <f t="shared" si="3"/>
        <v>-68574.41</v>
      </c>
      <c r="N607" s="293">
        <f t="shared" si="6"/>
        <v>0</v>
      </c>
      <c r="O607" s="277">
        <f t="shared" si="4"/>
        <v>-72146.60962</v>
      </c>
      <c r="P607" s="264"/>
      <c r="Q607" s="264"/>
      <c r="R607" s="264"/>
      <c r="S607" s="264"/>
      <c r="T607" s="264"/>
      <c r="U607" s="264"/>
      <c r="V607" s="264"/>
      <c r="W607" s="264"/>
      <c r="X607" s="264"/>
      <c r="Y607" s="264"/>
      <c r="Z607" s="264"/>
      <c r="AA607" s="264"/>
      <c r="AB607" s="264"/>
      <c r="AC607" s="264"/>
      <c r="AD607" s="264"/>
      <c r="AE607" s="264"/>
    </row>
    <row r="608">
      <c r="A608" s="272"/>
      <c r="B608" s="272"/>
      <c r="C608" s="272"/>
      <c r="D608" s="172"/>
      <c r="E608" s="267" t="str">
        <f t="shared" si="22"/>
        <v/>
      </c>
      <c r="F608" s="274" t="str">
        <f t="shared" si="2"/>
        <v/>
      </c>
      <c r="G608" s="42"/>
      <c r="H608" s="264"/>
      <c r="I608" s="277"/>
      <c r="J608" s="276" t="str">
        <f>IF(ISBLANK(I608), "", VLOOKUP(E608&amp;" "&amp;F608, 'Info Tipo de Cambio y REM'!$A$24:$B$35, 2, FALSE))
</f>
        <v/>
      </c>
      <c r="K608" s="107" t="str">
        <f t="shared" si="23"/>
        <v/>
      </c>
      <c r="L608" s="293">
        <f t="shared" si="5"/>
        <v>-5187415.025</v>
      </c>
      <c r="M608" s="293">
        <f t="shared" si="3"/>
        <v>-68574.41</v>
      </c>
      <c r="N608" s="293">
        <f t="shared" si="6"/>
        <v>0</v>
      </c>
      <c r="O608" s="277">
        <f t="shared" si="4"/>
        <v>-72146.60962</v>
      </c>
      <c r="P608" s="264"/>
      <c r="Q608" s="264"/>
      <c r="R608" s="264"/>
      <c r="S608" s="264"/>
      <c r="T608" s="264"/>
      <c r="U608" s="264"/>
      <c r="V608" s="264"/>
      <c r="W608" s="264"/>
      <c r="X608" s="264"/>
      <c r="Y608" s="264"/>
      <c r="Z608" s="264"/>
      <c r="AA608" s="264"/>
      <c r="AB608" s="264"/>
      <c r="AC608" s="264"/>
      <c r="AD608" s="264"/>
      <c r="AE608" s="264"/>
    </row>
    <row r="609">
      <c r="A609" s="272"/>
      <c r="B609" s="272"/>
      <c r="C609" s="272"/>
      <c r="D609" s="172"/>
      <c r="E609" s="267" t="str">
        <f t="shared" si="22"/>
        <v/>
      </c>
      <c r="F609" s="274" t="str">
        <f t="shared" si="2"/>
        <v/>
      </c>
      <c r="G609" s="42"/>
      <c r="H609" s="264"/>
      <c r="I609" s="277"/>
      <c r="J609" s="276" t="str">
        <f>IF(ISBLANK(I609), "", VLOOKUP(E609&amp;" "&amp;F609, 'Info Tipo de Cambio y REM'!$A$24:$B$35, 2, FALSE))
</f>
        <v/>
      </c>
      <c r="K609" s="107" t="str">
        <f t="shared" si="23"/>
        <v/>
      </c>
      <c r="L609" s="293">
        <f t="shared" si="5"/>
        <v>-5187415.025</v>
      </c>
      <c r="M609" s="293">
        <f t="shared" si="3"/>
        <v>-68574.41</v>
      </c>
      <c r="N609" s="293">
        <f t="shared" si="6"/>
        <v>0</v>
      </c>
      <c r="O609" s="277">
        <f t="shared" si="4"/>
        <v>-72146.60962</v>
      </c>
      <c r="P609" s="264"/>
      <c r="Q609" s="264"/>
      <c r="R609" s="264"/>
      <c r="S609" s="264"/>
      <c r="T609" s="264"/>
      <c r="U609" s="264"/>
      <c r="V609" s="264"/>
      <c r="W609" s="264"/>
      <c r="X609" s="264"/>
      <c r="Y609" s="264"/>
      <c r="Z609" s="264"/>
      <c r="AA609" s="264"/>
      <c r="AB609" s="264"/>
      <c r="AC609" s="264"/>
      <c r="AD609" s="264"/>
      <c r="AE609" s="264"/>
    </row>
    <row r="610">
      <c r="A610" s="272"/>
      <c r="B610" s="272"/>
      <c r="C610" s="272"/>
      <c r="D610" s="172"/>
      <c r="E610" s="267" t="str">
        <f t="shared" si="22"/>
        <v/>
      </c>
      <c r="F610" s="274" t="str">
        <f t="shared" si="2"/>
        <v/>
      </c>
      <c r="G610" s="42"/>
      <c r="H610" s="264"/>
      <c r="I610" s="277"/>
      <c r="J610" s="276" t="str">
        <f>IF(ISBLANK(I610), "", VLOOKUP(E610&amp;" "&amp;F610, 'Info Tipo de Cambio y REM'!$A$24:$B$35, 2, FALSE))
</f>
        <v/>
      </c>
      <c r="K610" s="107" t="str">
        <f t="shared" si="23"/>
        <v/>
      </c>
      <c r="L610" s="293">
        <f t="shared" si="5"/>
        <v>-5187415.025</v>
      </c>
      <c r="M610" s="293">
        <f t="shared" si="3"/>
        <v>-68574.41</v>
      </c>
      <c r="N610" s="293">
        <f t="shared" si="6"/>
        <v>0</v>
      </c>
      <c r="O610" s="277">
        <f t="shared" si="4"/>
        <v>-72146.60962</v>
      </c>
      <c r="P610" s="264"/>
      <c r="Q610" s="264"/>
      <c r="R610" s="264"/>
      <c r="S610" s="264"/>
      <c r="T610" s="264"/>
      <c r="U610" s="264"/>
      <c r="V610" s="264"/>
      <c r="W610" s="264"/>
      <c r="X610" s="264"/>
      <c r="Y610" s="264"/>
      <c r="Z610" s="264"/>
      <c r="AA610" s="264"/>
      <c r="AB610" s="264"/>
      <c r="AC610" s="264"/>
      <c r="AD610" s="264"/>
      <c r="AE610" s="264"/>
    </row>
    <row r="611">
      <c r="A611" s="272"/>
      <c r="B611" s="272"/>
      <c r="C611" s="272"/>
      <c r="D611" s="172"/>
      <c r="E611" s="267" t="str">
        <f t="shared" si="22"/>
        <v/>
      </c>
      <c r="F611" s="274" t="str">
        <f t="shared" si="2"/>
        <v/>
      </c>
      <c r="G611" s="42"/>
      <c r="H611" s="264"/>
      <c r="I611" s="277"/>
      <c r="J611" s="276" t="str">
        <f>IF(ISBLANK(I611), "", VLOOKUP(E611&amp;" "&amp;F611, 'Info Tipo de Cambio y REM'!$A$24:$B$35, 2, FALSE))
</f>
        <v/>
      </c>
      <c r="K611" s="107" t="str">
        <f t="shared" si="23"/>
        <v/>
      </c>
      <c r="L611" s="293">
        <f t="shared" si="5"/>
        <v>-5187415.025</v>
      </c>
      <c r="M611" s="293">
        <f t="shared" si="3"/>
        <v>-68574.41</v>
      </c>
      <c r="N611" s="293">
        <f t="shared" si="6"/>
        <v>0</v>
      </c>
      <c r="O611" s="277">
        <f t="shared" si="4"/>
        <v>-72146.60962</v>
      </c>
      <c r="P611" s="264"/>
      <c r="Q611" s="264"/>
      <c r="R611" s="264"/>
      <c r="S611" s="264"/>
      <c r="T611" s="264"/>
      <c r="U611" s="264"/>
      <c r="V611" s="264"/>
      <c r="W611" s="264"/>
      <c r="X611" s="264"/>
      <c r="Y611" s="264"/>
      <c r="Z611" s="264"/>
      <c r="AA611" s="264"/>
      <c r="AB611" s="264"/>
      <c r="AC611" s="264"/>
      <c r="AD611" s="264"/>
      <c r="AE611" s="264"/>
    </row>
    <row r="612">
      <c r="A612" s="272"/>
      <c r="B612" s="272"/>
      <c r="C612" s="272"/>
      <c r="D612" s="172"/>
      <c r="E612" s="267" t="str">
        <f t="shared" si="22"/>
        <v/>
      </c>
      <c r="F612" s="274" t="str">
        <f t="shared" si="2"/>
        <v/>
      </c>
      <c r="G612" s="42"/>
      <c r="H612" s="264"/>
      <c r="I612" s="277"/>
      <c r="J612" s="276" t="str">
        <f>IF(ISBLANK(I612), "", VLOOKUP(E612&amp;" "&amp;F612, 'Info Tipo de Cambio y REM'!$A$24:$B$35, 2, FALSE))
</f>
        <v/>
      </c>
      <c r="K612" s="107" t="str">
        <f t="shared" si="23"/>
        <v/>
      </c>
      <c r="L612" s="293">
        <f t="shared" si="5"/>
        <v>-5187415.025</v>
      </c>
      <c r="M612" s="293">
        <f t="shared" si="3"/>
        <v>-68574.41</v>
      </c>
      <c r="N612" s="293">
        <f t="shared" si="6"/>
        <v>0</v>
      </c>
      <c r="O612" s="277">
        <f t="shared" si="4"/>
        <v>-72146.60962</v>
      </c>
      <c r="P612" s="264"/>
      <c r="Q612" s="264"/>
      <c r="R612" s="264"/>
      <c r="S612" s="264"/>
      <c r="T612" s="264"/>
      <c r="U612" s="264"/>
      <c r="V612" s="264"/>
      <c r="W612" s="264"/>
      <c r="X612" s="264"/>
      <c r="Y612" s="264"/>
      <c r="Z612" s="264"/>
      <c r="AA612" s="264"/>
      <c r="AB612" s="264"/>
      <c r="AC612" s="264"/>
      <c r="AD612" s="264"/>
      <c r="AE612" s="264"/>
    </row>
    <row r="613">
      <c r="A613" s="272"/>
      <c r="B613" s="272"/>
      <c r="C613" s="272"/>
      <c r="D613" s="172"/>
      <c r="E613" s="267" t="str">
        <f t="shared" si="22"/>
        <v/>
      </c>
      <c r="F613" s="274" t="str">
        <f t="shared" si="2"/>
        <v/>
      </c>
      <c r="G613" s="42"/>
      <c r="H613" s="264"/>
      <c r="I613" s="277"/>
      <c r="J613" s="276" t="str">
        <f>IF(ISBLANK(I613), "", VLOOKUP(E613&amp;" "&amp;F613, 'Info Tipo de Cambio y REM'!$A$24:$B$35, 2, FALSE))
</f>
        <v/>
      </c>
      <c r="K613" s="107" t="str">
        <f t="shared" si="23"/>
        <v/>
      </c>
      <c r="L613" s="293">
        <f t="shared" si="5"/>
        <v>-5187415.025</v>
      </c>
      <c r="M613" s="293">
        <f t="shared" si="3"/>
        <v>-68574.41</v>
      </c>
      <c r="N613" s="293">
        <f t="shared" si="6"/>
        <v>0</v>
      </c>
      <c r="O613" s="277">
        <f t="shared" si="4"/>
        <v>-72146.60962</v>
      </c>
      <c r="P613" s="264"/>
      <c r="Q613" s="264"/>
      <c r="R613" s="264"/>
      <c r="S613" s="264"/>
      <c r="T613" s="264"/>
      <c r="U613" s="264"/>
      <c r="V613" s="264"/>
      <c r="W613" s="264"/>
      <c r="X613" s="264"/>
      <c r="Y613" s="264"/>
      <c r="Z613" s="264"/>
      <c r="AA613" s="264"/>
      <c r="AB613" s="264"/>
      <c r="AC613" s="264"/>
      <c r="AD613" s="264"/>
      <c r="AE613" s="264"/>
    </row>
    <row r="614">
      <c r="A614" s="272"/>
      <c r="B614" s="272"/>
      <c r="C614" s="272"/>
      <c r="D614" s="172"/>
      <c r="E614" s="267" t="str">
        <f t="shared" si="22"/>
        <v/>
      </c>
      <c r="F614" s="274" t="str">
        <f t="shared" si="2"/>
        <v/>
      </c>
      <c r="G614" s="42"/>
      <c r="H614" s="264"/>
      <c r="I614" s="277"/>
      <c r="J614" s="276" t="str">
        <f>IF(ISBLANK(I614), "", VLOOKUP(E614&amp;" "&amp;F614, 'Info Tipo de Cambio y REM'!$A$24:$B$35, 2, FALSE))
</f>
        <v/>
      </c>
      <c r="K614" s="107" t="str">
        <f t="shared" si="23"/>
        <v/>
      </c>
      <c r="L614" s="293">
        <f t="shared" si="5"/>
        <v>-5187415.025</v>
      </c>
      <c r="M614" s="293">
        <f t="shared" si="3"/>
        <v>-68574.41</v>
      </c>
      <c r="N614" s="293">
        <f t="shared" si="6"/>
        <v>0</v>
      </c>
      <c r="O614" s="277">
        <f t="shared" si="4"/>
        <v>-72146.60962</v>
      </c>
      <c r="P614" s="264"/>
      <c r="Q614" s="264"/>
      <c r="R614" s="264"/>
      <c r="S614" s="264"/>
      <c r="T614" s="264"/>
      <c r="U614" s="264"/>
      <c r="V614" s="264"/>
      <c r="W614" s="264"/>
      <c r="X614" s="264"/>
      <c r="Y614" s="264"/>
      <c r="Z614" s="264"/>
      <c r="AA614" s="264"/>
      <c r="AB614" s="264"/>
      <c r="AC614" s="264"/>
      <c r="AD614" s="264"/>
      <c r="AE614" s="264"/>
    </row>
    <row r="615">
      <c r="A615" s="272"/>
      <c r="B615" s="272"/>
      <c r="C615" s="272"/>
      <c r="D615" s="172"/>
      <c r="E615" s="267" t="str">
        <f t="shared" si="22"/>
        <v/>
      </c>
      <c r="F615" s="274" t="str">
        <f t="shared" si="2"/>
        <v/>
      </c>
      <c r="G615" s="42"/>
      <c r="H615" s="264"/>
      <c r="I615" s="277"/>
      <c r="J615" s="276" t="str">
        <f>IF(ISBLANK(I615), "", VLOOKUP(E615&amp;" "&amp;F615, 'Info Tipo de Cambio y REM'!$A$24:$B$35, 2, FALSE))
</f>
        <v/>
      </c>
      <c r="K615" s="107" t="str">
        <f t="shared" si="23"/>
        <v/>
      </c>
      <c r="L615" s="293">
        <f t="shared" si="5"/>
        <v>-5187415.025</v>
      </c>
      <c r="M615" s="293">
        <f t="shared" si="3"/>
        <v>-68574.41</v>
      </c>
      <c r="N615" s="293">
        <f t="shared" si="6"/>
        <v>0</v>
      </c>
      <c r="O615" s="277">
        <f t="shared" si="4"/>
        <v>-72146.60962</v>
      </c>
      <c r="P615" s="264"/>
      <c r="Q615" s="264"/>
      <c r="R615" s="264"/>
      <c r="S615" s="264"/>
      <c r="T615" s="264"/>
      <c r="U615" s="264"/>
      <c r="V615" s="264"/>
      <c r="W615" s="264"/>
      <c r="X615" s="264"/>
      <c r="Y615" s="264"/>
      <c r="Z615" s="264"/>
      <c r="AA615" s="264"/>
      <c r="AB615" s="264"/>
      <c r="AC615" s="264"/>
      <c r="AD615" s="264"/>
      <c r="AE615" s="264"/>
    </row>
    <row r="616">
      <c r="A616" s="272"/>
      <c r="B616" s="272"/>
      <c r="C616" s="272"/>
      <c r="D616" s="172"/>
      <c r="E616" s="267" t="str">
        <f t="shared" si="22"/>
        <v/>
      </c>
      <c r="F616" s="274" t="str">
        <f t="shared" si="2"/>
        <v/>
      </c>
      <c r="G616" s="42"/>
      <c r="H616" s="264"/>
      <c r="I616" s="277"/>
      <c r="J616" s="276" t="str">
        <f>IF(ISBLANK(I616), "", VLOOKUP(E616&amp;" "&amp;F616, 'Info Tipo de Cambio y REM'!$A$24:$B$35, 2, FALSE))
</f>
        <v/>
      </c>
      <c r="K616" s="107" t="str">
        <f t="shared" si="23"/>
        <v/>
      </c>
      <c r="L616" s="293">
        <f t="shared" si="5"/>
        <v>-5187415.025</v>
      </c>
      <c r="M616" s="293">
        <f t="shared" si="3"/>
        <v>-68574.41</v>
      </c>
      <c r="N616" s="293">
        <f t="shared" si="6"/>
        <v>0</v>
      </c>
      <c r="O616" s="277">
        <f t="shared" si="4"/>
        <v>-72146.60962</v>
      </c>
      <c r="P616" s="264"/>
      <c r="Q616" s="264"/>
      <c r="R616" s="264"/>
      <c r="S616" s="264"/>
      <c r="T616" s="264"/>
      <c r="U616" s="264"/>
      <c r="V616" s="264"/>
      <c r="W616" s="264"/>
      <c r="X616" s="264"/>
      <c r="Y616" s="264"/>
      <c r="Z616" s="264"/>
      <c r="AA616" s="264"/>
      <c r="AB616" s="264"/>
      <c r="AC616" s="264"/>
      <c r="AD616" s="264"/>
      <c r="AE616" s="264"/>
    </row>
    <row r="617">
      <c r="A617" s="272"/>
      <c r="B617" s="272"/>
      <c r="C617" s="272"/>
      <c r="D617" s="172"/>
      <c r="E617" s="267" t="str">
        <f t="shared" si="22"/>
        <v/>
      </c>
      <c r="F617" s="274" t="str">
        <f t="shared" si="2"/>
        <v/>
      </c>
      <c r="G617" s="42"/>
      <c r="H617" s="264"/>
      <c r="I617" s="277"/>
      <c r="J617" s="276" t="str">
        <f>IF(ISBLANK(I617), "", VLOOKUP(E617&amp;" "&amp;F617, 'Info Tipo de Cambio y REM'!$A$24:$B$35, 2, FALSE))
</f>
        <v/>
      </c>
      <c r="K617" s="107" t="str">
        <f t="shared" si="23"/>
        <v/>
      </c>
      <c r="L617" s="293">
        <f t="shared" si="5"/>
        <v>-5187415.025</v>
      </c>
      <c r="M617" s="293">
        <f t="shared" si="3"/>
        <v>-68574.41</v>
      </c>
      <c r="N617" s="293">
        <f t="shared" si="6"/>
        <v>0</v>
      </c>
      <c r="O617" s="277">
        <f t="shared" si="4"/>
        <v>-72146.60962</v>
      </c>
      <c r="P617" s="264"/>
      <c r="Q617" s="264"/>
      <c r="R617" s="264"/>
      <c r="S617" s="264"/>
      <c r="T617" s="264"/>
      <c r="U617" s="264"/>
      <c r="V617" s="264"/>
      <c r="W617" s="264"/>
      <c r="X617" s="264"/>
      <c r="Y617" s="264"/>
      <c r="Z617" s="264"/>
      <c r="AA617" s="264"/>
      <c r="AB617" s="264"/>
      <c r="AC617" s="264"/>
      <c r="AD617" s="264"/>
      <c r="AE617" s="264"/>
    </row>
    <row r="618">
      <c r="A618" s="272"/>
      <c r="B618" s="272"/>
      <c r="C618" s="272"/>
      <c r="D618" s="172"/>
      <c r="E618" s="267" t="str">
        <f t="shared" si="22"/>
        <v/>
      </c>
      <c r="F618" s="274" t="str">
        <f t="shared" si="2"/>
        <v/>
      </c>
      <c r="G618" s="42"/>
      <c r="H618" s="264"/>
      <c r="I618" s="277"/>
      <c r="J618" s="276" t="str">
        <f>IF(ISBLANK(I618), "", VLOOKUP(E618&amp;" "&amp;F618, 'Info Tipo de Cambio y REM'!$A$24:$B$35, 2, FALSE))
</f>
        <v/>
      </c>
      <c r="K618" s="107" t="str">
        <f t="shared" si="23"/>
        <v/>
      </c>
      <c r="L618" s="293">
        <f t="shared" si="5"/>
        <v>-5187415.025</v>
      </c>
      <c r="M618" s="293">
        <f t="shared" si="3"/>
        <v>-68574.41</v>
      </c>
      <c r="N618" s="293">
        <f t="shared" si="6"/>
        <v>0</v>
      </c>
      <c r="O618" s="277">
        <f t="shared" si="4"/>
        <v>-72146.60962</v>
      </c>
      <c r="P618" s="264"/>
      <c r="Q618" s="264"/>
      <c r="R618" s="264"/>
      <c r="S618" s="264"/>
      <c r="T618" s="264"/>
      <c r="U618" s="264"/>
      <c r="V618" s="264"/>
      <c r="W618" s="264"/>
      <c r="X618" s="264"/>
      <c r="Y618" s="264"/>
      <c r="Z618" s="264"/>
      <c r="AA618" s="264"/>
      <c r="AB618" s="264"/>
      <c r="AC618" s="264"/>
      <c r="AD618" s="264"/>
      <c r="AE618" s="264"/>
    </row>
    <row r="619">
      <c r="A619" s="272"/>
      <c r="B619" s="272"/>
      <c r="C619" s="272"/>
      <c r="D619" s="172"/>
      <c r="E619" s="267" t="str">
        <f t="shared" si="22"/>
        <v/>
      </c>
      <c r="F619" s="274" t="str">
        <f t="shared" si="2"/>
        <v/>
      </c>
      <c r="G619" s="42"/>
      <c r="H619" s="264"/>
      <c r="I619" s="277"/>
      <c r="J619" s="276" t="str">
        <f>IF(ISBLANK(I619), "", VLOOKUP(E619&amp;" "&amp;F619, 'Info Tipo de Cambio y REM'!$A$24:$B$35, 2, FALSE))
</f>
        <v/>
      </c>
      <c r="K619" s="107" t="str">
        <f t="shared" si="23"/>
        <v/>
      </c>
      <c r="L619" s="293">
        <f t="shared" si="5"/>
        <v>-5187415.025</v>
      </c>
      <c r="M619" s="293">
        <f t="shared" si="3"/>
        <v>-68574.41</v>
      </c>
      <c r="N619" s="293">
        <f t="shared" si="6"/>
        <v>0</v>
      </c>
      <c r="O619" s="277">
        <f t="shared" si="4"/>
        <v>-72146.60962</v>
      </c>
      <c r="P619" s="264"/>
      <c r="Q619" s="264"/>
      <c r="R619" s="264"/>
      <c r="S619" s="264"/>
      <c r="T619" s="264"/>
      <c r="U619" s="264"/>
      <c r="V619" s="264"/>
      <c r="W619" s="264"/>
      <c r="X619" s="264"/>
      <c r="Y619" s="264"/>
      <c r="Z619" s="264"/>
      <c r="AA619" s="264"/>
      <c r="AB619" s="264"/>
      <c r="AC619" s="264"/>
      <c r="AD619" s="264"/>
      <c r="AE619" s="264"/>
    </row>
    <row r="620">
      <c r="A620" s="272"/>
      <c r="B620" s="272"/>
      <c r="C620" s="272"/>
      <c r="D620" s="172"/>
      <c r="E620" s="267" t="str">
        <f t="shared" si="22"/>
        <v/>
      </c>
      <c r="F620" s="274" t="str">
        <f t="shared" si="2"/>
        <v/>
      </c>
      <c r="G620" s="42"/>
      <c r="H620" s="264"/>
      <c r="I620" s="277"/>
      <c r="J620" s="276" t="str">
        <f>IF(ISBLANK(I620), "", VLOOKUP(E620&amp;" "&amp;F620, 'Info Tipo de Cambio y REM'!$A$24:$B$35, 2, FALSE))
</f>
        <v/>
      </c>
      <c r="K620" s="107" t="str">
        <f t="shared" si="23"/>
        <v/>
      </c>
      <c r="L620" s="293">
        <f t="shared" si="5"/>
        <v>-5187415.025</v>
      </c>
      <c r="M620" s="293">
        <f t="shared" si="3"/>
        <v>-68574.41</v>
      </c>
      <c r="N620" s="293">
        <f t="shared" si="6"/>
        <v>0</v>
      </c>
      <c r="O620" s="277">
        <f t="shared" si="4"/>
        <v>-72146.60962</v>
      </c>
      <c r="P620" s="264"/>
      <c r="Q620" s="264"/>
      <c r="R620" s="264"/>
      <c r="S620" s="264"/>
      <c r="T620" s="264"/>
      <c r="U620" s="264"/>
      <c r="V620" s="264"/>
      <c r="W620" s="264"/>
      <c r="X620" s="264"/>
      <c r="Y620" s="264"/>
      <c r="Z620" s="264"/>
      <c r="AA620" s="264"/>
      <c r="AB620" s="264"/>
      <c r="AC620" s="264"/>
      <c r="AD620" s="264"/>
      <c r="AE620" s="264"/>
    </row>
    <row r="621">
      <c r="A621" s="272"/>
      <c r="B621" s="272"/>
      <c r="C621" s="272"/>
      <c r="D621" s="172"/>
      <c r="E621" s="267" t="str">
        <f t="shared" si="22"/>
        <v/>
      </c>
      <c r="F621" s="274" t="str">
        <f t="shared" si="2"/>
        <v/>
      </c>
      <c r="G621" s="42"/>
      <c r="H621" s="264"/>
      <c r="I621" s="277"/>
      <c r="J621" s="276" t="str">
        <f>IF(ISBLANK(I621), "", VLOOKUP(E621&amp;" "&amp;F621, 'Info Tipo de Cambio y REM'!$A$24:$B$35, 2, FALSE))
</f>
        <v/>
      </c>
      <c r="K621" s="107" t="str">
        <f t="shared" si="23"/>
        <v/>
      </c>
      <c r="L621" s="293">
        <f t="shared" si="5"/>
        <v>-5187415.025</v>
      </c>
      <c r="M621" s="293">
        <f t="shared" si="3"/>
        <v>-68574.41</v>
      </c>
      <c r="N621" s="293">
        <f t="shared" si="6"/>
        <v>0</v>
      </c>
      <c r="O621" s="277">
        <f t="shared" si="4"/>
        <v>-72146.60962</v>
      </c>
      <c r="P621" s="264"/>
      <c r="Q621" s="264"/>
      <c r="R621" s="264"/>
      <c r="S621" s="264"/>
      <c r="T621" s="264"/>
      <c r="U621" s="264"/>
      <c r="V621" s="264"/>
      <c r="W621" s="264"/>
      <c r="X621" s="264"/>
      <c r="Y621" s="264"/>
      <c r="Z621" s="264"/>
      <c r="AA621" s="264"/>
      <c r="AB621" s="264"/>
      <c r="AC621" s="264"/>
      <c r="AD621" s="264"/>
      <c r="AE621" s="264"/>
    </row>
    <row r="622">
      <c r="A622" s="272"/>
      <c r="B622" s="272"/>
      <c r="C622" s="272"/>
      <c r="D622" s="172"/>
      <c r="E622" s="267" t="str">
        <f t="shared" si="22"/>
        <v/>
      </c>
      <c r="F622" s="274" t="str">
        <f t="shared" si="2"/>
        <v/>
      </c>
      <c r="G622" s="42"/>
      <c r="H622" s="264"/>
      <c r="I622" s="277"/>
      <c r="J622" s="276" t="str">
        <f>IF(ISBLANK(I622), "", VLOOKUP(E622&amp;" "&amp;F622, 'Info Tipo de Cambio y REM'!$A$24:$B$35, 2, FALSE))
</f>
        <v/>
      </c>
      <c r="K622" s="107" t="str">
        <f t="shared" si="23"/>
        <v/>
      </c>
      <c r="L622" s="293">
        <f t="shared" si="5"/>
        <v>-5187415.025</v>
      </c>
      <c r="M622" s="293">
        <f t="shared" si="3"/>
        <v>-68574.41</v>
      </c>
      <c r="N622" s="293">
        <f t="shared" si="6"/>
        <v>0</v>
      </c>
      <c r="O622" s="277">
        <f t="shared" si="4"/>
        <v>-72146.60962</v>
      </c>
      <c r="P622" s="264"/>
      <c r="Q622" s="264"/>
      <c r="R622" s="264"/>
      <c r="S622" s="264"/>
      <c r="T622" s="264"/>
      <c r="U622" s="264"/>
      <c r="V622" s="264"/>
      <c r="W622" s="264"/>
      <c r="X622" s="264"/>
      <c r="Y622" s="264"/>
      <c r="Z622" s="264"/>
      <c r="AA622" s="264"/>
      <c r="AB622" s="264"/>
      <c r="AC622" s="264"/>
      <c r="AD622" s="264"/>
      <c r="AE622" s="264"/>
    </row>
    <row r="623">
      <c r="A623" s="272"/>
      <c r="B623" s="272"/>
      <c r="C623" s="272"/>
      <c r="D623" s="172"/>
      <c r="E623" s="267" t="str">
        <f t="shared" si="22"/>
        <v/>
      </c>
      <c r="F623" s="274" t="str">
        <f t="shared" si="2"/>
        <v/>
      </c>
      <c r="G623" s="42"/>
      <c r="H623" s="264"/>
      <c r="I623" s="277"/>
      <c r="J623" s="276" t="str">
        <f>IF(ISBLANK(I623), "", VLOOKUP(E623&amp;" "&amp;F623, 'Info Tipo de Cambio y REM'!$A$24:$B$35, 2, FALSE))
</f>
        <v/>
      </c>
      <c r="K623" s="107" t="str">
        <f t="shared" si="23"/>
        <v/>
      </c>
      <c r="L623" s="293">
        <f t="shared" si="5"/>
        <v>-5187415.025</v>
      </c>
      <c r="M623" s="293">
        <f t="shared" si="3"/>
        <v>-68574.41</v>
      </c>
      <c r="N623" s="293">
        <f t="shared" si="6"/>
        <v>0</v>
      </c>
      <c r="O623" s="277">
        <f t="shared" si="4"/>
        <v>-72146.60962</v>
      </c>
      <c r="P623" s="264"/>
      <c r="Q623" s="264"/>
      <c r="R623" s="264"/>
      <c r="S623" s="264"/>
      <c r="T623" s="264"/>
      <c r="U623" s="264"/>
      <c r="V623" s="264"/>
      <c r="W623" s="264"/>
      <c r="X623" s="264"/>
      <c r="Y623" s="264"/>
      <c r="Z623" s="264"/>
      <c r="AA623" s="264"/>
      <c r="AB623" s="264"/>
      <c r="AC623" s="264"/>
      <c r="AD623" s="264"/>
      <c r="AE623" s="264"/>
    </row>
    <row r="624">
      <c r="A624" s="272"/>
      <c r="B624" s="272"/>
      <c r="C624" s="272"/>
      <c r="D624" s="172"/>
      <c r="E624" s="267" t="str">
        <f t="shared" si="22"/>
        <v/>
      </c>
      <c r="F624" s="274" t="str">
        <f t="shared" si="2"/>
        <v/>
      </c>
      <c r="G624" s="42"/>
      <c r="H624" s="264"/>
      <c r="I624" s="277"/>
      <c r="J624" s="276" t="str">
        <f>IF(ISBLANK(I624), "", VLOOKUP(E624&amp;" "&amp;F624, 'Info Tipo de Cambio y REM'!$A$24:$B$35, 2, FALSE))
</f>
        <v/>
      </c>
      <c r="K624" s="107" t="str">
        <f t="shared" si="23"/>
        <v/>
      </c>
      <c r="L624" s="293">
        <f t="shared" si="5"/>
        <v>-5187415.025</v>
      </c>
      <c r="M624" s="293">
        <f t="shared" si="3"/>
        <v>-68574.41</v>
      </c>
      <c r="N624" s="293">
        <f t="shared" si="6"/>
        <v>0</v>
      </c>
      <c r="O624" s="277">
        <f t="shared" si="4"/>
        <v>-72146.60962</v>
      </c>
      <c r="P624" s="264"/>
      <c r="Q624" s="264"/>
      <c r="R624" s="264"/>
      <c r="S624" s="264"/>
      <c r="T624" s="264"/>
      <c r="U624" s="264"/>
      <c r="V624" s="264"/>
      <c r="W624" s="264"/>
      <c r="X624" s="264"/>
      <c r="Y624" s="264"/>
      <c r="Z624" s="264"/>
      <c r="AA624" s="264"/>
      <c r="AB624" s="264"/>
      <c r="AC624" s="264"/>
      <c r="AD624" s="264"/>
      <c r="AE624" s="264"/>
    </row>
    <row r="625">
      <c r="A625" s="272"/>
      <c r="B625" s="272"/>
      <c r="C625" s="272"/>
      <c r="D625" s="172"/>
      <c r="E625" s="267" t="str">
        <f t="shared" si="22"/>
        <v/>
      </c>
      <c r="F625" s="274" t="str">
        <f t="shared" si="2"/>
        <v/>
      </c>
      <c r="G625" s="42"/>
      <c r="H625" s="264"/>
      <c r="I625" s="277"/>
      <c r="J625" s="276" t="str">
        <f>IF(ISBLANK(I625), "", VLOOKUP(E625&amp;" "&amp;F625, 'Info Tipo de Cambio y REM'!$A$24:$B$35, 2, FALSE))
</f>
        <v/>
      </c>
      <c r="K625" s="107" t="str">
        <f t="shared" si="23"/>
        <v/>
      </c>
      <c r="L625" s="293">
        <f t="shared" si="5"/>
        <v>-5187415.025</v>
      </c>
      <c r="M625" s="293">
        <f t="shared" si="3"/>
        <v>-68574.41</v>
      </c>
      <c r="N625" s="293">
        <f t="shared" si="6"/>
        <v>0</v>
      </c>
      <c r="O625" s="277">
        <f t="shared" si="4"/>
        <v>-72146.60962</v>
      </c>
      <c r="P625" s="264"/>
      <c r="Q625" s="264"/>
      <c r="R625" s="264"/>
      <c r="S625" s="264"/>
      <c r="T625" s="264"/>
      <c r="U625" s="264"/>
      <c r="V625" s="264"/>
      <c r="W625" s="264"/>
      <c r="X625" s="264"/>
      <c r="Y625" s="264"/>
      <c r="Z625" s="264"/>
      <c r="AA625" s="264"/>
      <c r="AB625" s="264"/>
      <c r="AC625" s="264"/>
      <c r="AD625" s="264"/>
      <c r="AE625" s="264"/>
    </row>
    <row r="626">
      <c r="A626" s="272"/>
      <c r="B626" s="272"/>
      <c r="C626" s="272"/>
      <c r="D626" s="172"/>
      <c r="E626" s="267" t="str">
        <f t="shared" si="22"/>
        <v/>
      </c>
      <c r="F626" s="274" t="str">
        <f t="shared" si="2"/>
        <v/>
      </c>
      <c r="G626" s="42"/>
      <c r="H626" s="264"/>
      <c r="I626" s="277"/>
      <c r="J626" s="276" t="str">
        <f>IF(ISBLANK(I626), "", VLOOKUP(E626&amp;" "&amp;F626, 'Info Tipo de Cambio y REM'!$A$24:$B$35, 2, FALSE))
</f>
        <v/>
      </c>
      <c r="K626" s="107" t="str">
        <f t="shared" si="23"/>
        <v/>
      </c>
      <c r="L626" s="293">
        <f t="shared" si="5"/>
        <v>-5187415.025</v>
      </c>
      <c r="M626" s="293">
        <f t="shared" si="3"/>
        <v>-68574.41</v>
      </c>
      <c r="N626" s="293">
        <f t="shared" si="6"/>
        <v>0</v>
      </c>
      <c r="O626" s="277">
        <f t="shared" si="4"/>
        <v>-72146.60962</v>
      </c>
      <c r="P626" s="264"/>
      <c r="Q626" s="264"/>
      <c r="R626" s="264"/>
      <c r="S626" s="264"/>
      <c r="T626" s="264"/>
      <c r="U626" s="264"/>
      <c r="V626" s="264"/>
      <c r="W626" s="264"/>
      <c r="X626" s="264"/>
      <c r="Y626" s="264"/>
      <c r="Z626" s="264"/>
      <c r="AA626" s="264"/>
      <c r="AB626" s="264"/>
      <c r="AC626" s="264"/>
      <c r="AD626" s="264"/>
      <c r="AE626" s="264"/>
    </row>
    <row r="627">
      <c r="A627" s="272"/>
      <c r="B627" s="272"/>
      <c r="C627" s="272"/>
      <c r="D627" s="172"/>
      <c r="E627" s="267" t="str">
        <f t="shared" si="22"/>
        <v/>
      </c>
      <c r="F627" s="274" t="str">
        <f t="shared" si="2"/>
        <v/>
      </c>
      <c r="G627" s="42"/>
      <c r="H627" s="264"/>
      <c r="I627" s="277"/>
      <c r="J627" s="276" t="str">
        <f>IF(ISBLANK(I627), "", VLOOKUP(E627&amp;" "&amp;F627, 'Info Tipo de Cambio y REM'!$A$24:$B$35, 2, FALSE))
</f>
        <v/>
      </c>
      <c r="K627" s="107" t="str">
        <f t="shared" si="23"/>
        <v/>
      </c>
      <c r="L627" s="293">
        <f t="shared" si="5"/>
        <v>-5187415.025</v>
      </c>
      <c r="M627" s="293">
        <f t="shared" si="3"/>
        <v>-68574.41</v>
      </c>
      <c r="N627" s="293">
        <f t="shared" si="6"/>
        <v>0</v>
      </c>
      <c r="O627" s="277">
        <f t="shared" si="4"/>
        <v>-72146.60962</v>
      </c>
      <c r="P627" s="264"/>
      <c r="Q627" s="264"/>
      <c r="R627" s="264"/>
      <c r="S627" s="264"/>
      <c r="T627" s="264"/>
      <c r="U627" s="264"/>
      <c r="V627" s="264"/>
      <c r="W627" s="264"/>
      <c r="X627" s="264"/>
      <c r="Y627" s="264"/>
      <c r="Z627" s="264"/>
      <c r="AA627" s="264"/>
      <c r="AB627" s="264"/>
      <c r="AC627" s="264"/>
      <c r="AD627" s="264"/>
      <c r="AE627" s="264"/>
    </row>
    <row r="628">
      <c r="A628" s="272"/>
      <c r="B628" s="272"/>
      <c r="C628" s="272"/>
      <c r="D628" s="172"/>
      <c r="E628" s="267" t="str">
        <f t="shared" si="22"/>
        <v/>
      </c>
      <c r="F628" s="274" t="str">
        <f t="shared" si="2"/>
        <v/>
      </c>
      <c r="G628" s="42"/>
      <c r="H628" s="264"/>
      <c r="I628" s="277"/>
      <c r="J628" s="276" t="str">
        <f>IF(ISBLANK(I628), "", VLOOKUP(E628&amp;" "&amp;F628, 'Info Tipo de Cambio y REM'!$A$24:$B$35, 2, FALSE))
</f>
        <v/>
      </c>
      <c r="K628" s="107" t="str">
        <f t="shared" si="23"/>
        <v/>
      </c>
      <c r="L628" s="293">
        <f t="shared" si="5"/>
        <v>-5187415.025</v>
      </c>
      <c r="M628" s="293">
        <f t="shared" si="3"/>
        <v>-68574.41</v>
      </c>
      <c r="N628" s="293">
        <f t="shared" si="6"/>
        <v>0</v>
      </c>
      <c r="O628" s="277">
        <f t="shared" si="4"/>
        <v>-72146.60962</v>
      </c>
      <c r="P628" s="264"/>
      <c r="Q628" s="264"/>
      <c r="R628" s="264"/>
      <c r="S628" s="264"/>
      <c r="T628" s="264"/>
      <c r="U628" s="264"/>
      <c r="V628" s="264"/>
      <c r="W628" s="264"/>
      <c r="X628" s="264"/>
      <c r="Y628" s="264"/>
      <c r="Z628" s="264"/>
      <c r="AA628" s="264"/>
      <c r="AB628" s="264"/>
      <c r="AC628" s="264"/>
      <c r="AD628" s="264"/>
      <c r="AE628" s="264"/>
    </row>
    <row r="629">
      <c r="A629" s="272"/>
      <c r="B629" s="272"/>
      <c r="C629" s="272"/>
      <c r="D629" s="172"/>
      <c r="E629" s="267" t="str">
        <f t="shared" si="22"/>
        <v/>
      </c>
      <c r="F629" s="274" t="str">
        <f t="shared" si="2"/>
        <v/>
      </c>
      <c r="G629" s="42"/>
      <c r="H629" s="264"/>
      <c r="I629" s="277"/>
      <c r="J629" s="276" t="str">
        <f>IF(ISBLANK(I629), "", VLOOKUP(E629&amp;" "&amp;F629, 'Info Tipo de Cambio y REM'!$A$24:$B$35, 2, FALSE))
</f>
        <v/>
      </c>
      <c r="K629" s="107" t="str">
        <f t="shared" si="23"/>
        <v/>
      </c>
      <c r="L629" s="293">
        <f t="shared" si="5"/>
        <v>-5187415.025</v>
      </c>
      <c r="M629" s="293">
        <f t="shared" si="3"/>
        <v>-68574.41</v>
      </c>
      <c r="N629" s="293">
        <f t="shared" si="6"/>
        <v>0</v>
      </c>
      <c r="O629" s="277">
        <f t="shared" si="4"/>
        <v>-72146.60962</v>
      </c>
      <c r="P629" s="264"/>
      <c r="Q629" s="264"/>
      <c r="R629" s="264"/>
      <c r="S629" s="264"/>
      <c r="T629" s="264"/>
      <c r="U629" s="264"/>
      <c r="V629" s="264"/>
      <c r="W629" s="264"/>
      <c r="X629" s="264"/>
      <c r="Y629" s="264"/>
      <c r="Z629" s="264"/>
      <c r="AA629" s="264"/>
      <c r="AB629" s="264"/>
      <c r="AC629" s="264"/>
      <c r="AD629" s="264"/>
      <c r="AE629" s="264"/>
    </row>
    <row r="630">
      <c r="A630" s="272"/>
      <c r="B630" s="272"/>
      <c r="C630" s="272"/>
      <c r="D630" s="172"/>
      <c r="E630" s="267" t="str">
        <f t="shared" si="22"/>
        <v/>
      </c>
      <c r="F630" s="274" t="str">
        <f t="shared" si="2"/>
        <v/>
      </c>
      <c r="G630" s="42"/>
      <c r="H630" s="264"/>
      <c r="I630" s="277"/>
      <c r="J630" s="276" t="str">
        <f>IF(ISBLANK(I630), "", VLOOKUP(E630&amp;" "&amp;F630, 'Info Tipo de Cambio y REM'!$A$24:$B$35, 2, FALSE))
</f>
        <v/>
      </c>
      <c r="K630" s="107" t="str">
        <f t="shared" si="23"/>
        <v/>
      </c>
      <c r="L630" s="293">
        <f t="shared" si="5"/>
        <v>-5187415.025</v>
      </c>
      <c r="M630" s="293">
        <f t="shared" si="3"/>
        <v>-68574.41</v>
      </c>
      <c r="N630" s="293">
        <f t="shared" si="6"/>
        <v>0</v>
      </c>
      <c r="O630" s="277">
        <f t="shared" si="4"/>
        <v>-72146.60962</v>
      </c>
      <c r="P630" s="264"/>
      <c r="Q630" s="264"/>
      <c r="R630" s="264"/>
      <c r="S630" s="264"/>
      <c r="T630" s="264"/>
      <c r="U630" s="264"/>
      <c r="V630" s="264"/>
      <c r="W630" s="264"/>
      <c r="X630" s="264"/>
      <c r="Y630" s="264"/>
      <c r="Z630" s="264"/>
      <c r="AA630" s="264"/>
      <c r="AB630" s="264"/>
      <c r="AC630" s="264"/>
      <c r="AD630" s="264"/>
      <c r="AE630" s="264"/>
    </row>
    <row r="631">
      <c r="A631" s="272"/>
      <c r="B631" s="272"/>
      <c r="C631" s="272"/>
      <c r="D631" s="172"/>
      <c r="E631" s="267" t="str">
        <f t="shared" si="22"/>
        <v/>
      </c>
      <c r="F631" s="274" t="str">
        <f t="shared" si="2"/>
        <v/>
      </c>
      <c r="G631" s="42"/>
      <c r="H631" s="264"/>
      <c r="I631" s="277"/>
      <c r="J631" s="276" t="str">
        <f>IF(ISBLANK(I631), "", VLOOKUP(E631&amp;" "&amp;F631, 'Info Tipo de Cambio y REM'!$A$24:$B$35, 2, FALSE))
</f>
        <v/>
      </c>
      <c r="K631" s="107" t="str">
        <f t="shared" si="23"/>
        <v/>
      </c>
      <c r="L631" s="293">
        <f t="shared" si="5"/>
        <v>-5187415.025</v>
      </c>
      <c r="M631" s="293">
        <f t="shared" si="3"/>
        <v>-68574.41</v>
      </c>
      <c r="N631" s="293">
        <f t="shared" si="6"/>
        <v>0</v>
      </c>
      <c r="O631" s="277">
        <f t="shared" si="4"/>
        <v>-72146.60962</v>
      </c>
      <c r="P631" s="264"/>
      <c r="Q631" s="264"/>
      <c r="R631" s="264"/>
      <c r="S631" s="264"/>
      <c r="T631" s="264"/>
      <c r="U631" s="264"/>
      <c r="V631" s="264"/>
      <c r="W631" s="264"/>
      <c r="X631" s="264"/>
      <c r="Y631" s="264"/>
      <c r="Z631" s="264"/>
      <c r="AA631" s="264"/>
      <c r="AB631" s="264"/>
      <c r="AC631" s="264"/>
      <c r="AD631" s="264"/>
      <c r="AE631" s="264"/>
    </row>
    <row r="632">
      <c r="A632" s="272"/>
      <c r="B632" s="272"/>
      <c r="C632" s="272"/>
      <c r="D632" s="172"/>
      <c r="E632" s="267" t="str">
        <f t="shared" si="22"/>
        <v/>
      </c>
      <c r="F632" s="274" t="str">
        <f t="shared" si="2"/>
        <v/>
      </c>
      <c r="G632" s="42"/>
      <c r="H632" s="264"/>
      <c r="I632" s="277"/>
      <c r="J632" s="276" t="str">
        <f>IF(ISBLANK(I632), "", VLOOKUP(E632&amp;" "&amp;F632, 'Info Tipo de Cambio y REM'!$A$24:$B$35, 2, FALSE))
</f>
        <v/>
      </c>
      <c r="K632" s="107" t="str">
        <f t="shared" si="23"/>
        <v/>
      </c>
      <c r="L632" s="293">
        <f t="shared" si="5"/>
        <v>-5187415.025</v>
      </c>
      <c r="M632" s="293">
        <f t="shared" si="3"/>
        <v>-68574.41</v>
      </c>
      <c r="N632" s="293">
        <f t="shared" si="6"/>
        <v>0</v>
      </c>
      <c r="O632" s="277">
        <f t="shared" si="4"/>
        <v>-72146.60962</v>
      </c>
      <c r="P632" s="264"/>
      <c r="Q632" s="264"/>
      <c r="R632" s="264"/>
      <c r="S632" s="264"/>
      <c r="T632" s="264"/>
      <c r="U632" s="264"/>
      <c r="V632" s="264"/>
      <c r="W632" s="264"/>
      <c r="X632" s="264"/>
      <c r="Y632" s="264"/>
      <c r="Z632" s="264"/>
      <c r="AA632" s="264"/>
      <c r="AB632" s="264"/>
      <c r="AC632" s="264"/>
      <c r="AD632" s="264"/>
      <c r="AE632" s="264"/>
    </row>
    <row r="633">
      <c r="A633" s="272"/>
      <c r="B633" s="272"/>
      <c r="C633" s="272"/>
      <c r="D633" s="172"/>
      <c r="E633" s="267" t="str">
        <f t="shared" si="22"/>
        <v/>
      </c>
      <c r="F633" s="274" t="str">
        <f t="shared" si="2"/>
        <v/>
      </c>
      <c r="G633" s="42"/>
      <c r="H633" s="264"/>
      <c r="I633" s="277"/>
      <c r="J633" s="276" t="str">
        <f>IF(ISBLANK(I633), "", VLOOKUP(E633&amp;" "&amp;F633, 'Info Tipo de Cambio y REM'!$A$24:$B$35, 2, FALSE))
</f>
        <v/>
      </c>
      <c r="K633" s="107" t="str">
        <f t="shared" si="23"/>
        <v/>
      </c>
      <c r="L633" s="293">
        <f t="shared" si="5"/>
        <v>-5187415.025</v>
      </c>
      <c r="M633" s="293">
        <f t="shared" si="3"/>
        <v>-68574.41</v>
      </c>
      <c r="N633" s="293">
        <f t="shared" si="6"/>
        <v>0</v>
      </c>
      <c r="O633" s="277">
        <f t="shared" si="4"/>
        <v>-72146.60962</v>
      </c>
      <c r="P633" s="264"/>
      <c r="Q633" s="264"/>
      <c r="R633" s="264"/>
      <c r="S633" s="264"/>
      <c r="T633" s="264"/>
      <c r="U633" s="264"/>
      <c r="V633" s="264"/>
      <c r="W633" s="264"/>
      <c r="X633" s="264"/>
      <c r="Y633" s="264"/>
      <c r="Z633" s="264"/>
      <c r="AA633" s="264"/>
      <c r="AB633" s="264"/>
      <c r="AC633" s="264"/>
      <c r="AD633" s="264"/>
      <c r="AE633" s="264"/>
    </row>
    <row r="634">
      <c r="A634" s="272"/>
      <c r="B634" s="272"/>
      <c r="C634" s="272"/>
      <c r="D634" s="172"/>
      <c r="E634" s="267" t="str">
        <f t="shared" si="22"/>
        <v/>
      </c>
      <c r="F634" s="274" t="str">
        <f t="shared" si="2"/>
        <v/>
      </c>
      <c r="G634" s="42"/>
      <c r="H634" s="264"/>
      <c r="I634" s="277"/>
      <c r="J634" s="276" t="str">
        <f>IF(ISBLANK(I634), "", VLOOKUP(E634&amp;" "&amp;F634, 'Info Tipo de Cambio y REM'!$A$24:$B$35, 2, FALSE))
</f>
        <v/>
      </c>
      <c r="K634" s="107" t="str">
        <f t="shared" si="23"/>
        <v/>
      </c>
      <c r="L634" s="293">
        <f t="shared" si="5"/>
        <v>-5187415.025</v>
      </c>
      <c r="M634" s="293">
        <f t="shared" si="3"/>
        <v>-68574.41</v>
      </c>
      <c r="N634" s="293">
        <f t="shared" si="6"/>
        <v>0</v>
      </c>
      <c r="O634" s="277">
        <f t="shared" si="4"/>
        <v>-72146.60962</v>
      </c>
      <c r="P634" s="264"/>
      <c r="Q634" s="264"/>
      <c r="R634" s="264"/>
      <c r="S634" s="264"/>
      <c r="T634" s="264"/>
      <c r="U634" s="264"/>
      <c r="V634" s="264"/>
      <c r="W634" s="264"/>
      <c r="X634" s="264"/>
      <c r="Y634" s="264"/>
      <c r="Z634" s="264"/>
      <c r="AA634" s="264"/>
      <c r="AB634" s="264"/>
      <c r="AC634" s="264"/>
      <c r="AD634" s="264"/>
      <c r="AE634" s="264"/>
    </row>
    <row r="635">
      <c r="A635" s="272"/>
      <c r="B635" s="272"/>
      <c r="C635" s="272"/>
      <c r="D635" s="172"/>
      <c r="E635" s="267" t="str">
        <f t="shared" si="22"/>
        <v/>
      </c>
      <c r="F635" s="274" t="str">
        <f t="shared" si="2"/>
        <v/>
      </c>
      <c r="G635" s="42"/>
      <c r="H635" s="264"/>
      <c r="I635" s="277"/>
      <c r="J635" s="276" t="str">
        <f>IF(ISBLANK(I635), "", VLOOKUP(E635&amp;" "&amp;F635, 'Info Tipo de Cambio y REM'!$A$24:$B$35, 2, FALSE))
</f>
        <v/>
      </c>
      <c r="K635" s="107" t="str">
        <f t="shared" si="23"/>
        <v/>
      </c>
      <c r="L635" s="293">
        <f t="shared" si="5"/>
        <v>-5187415.025</v>
      </c>
      <c r="M635" s="293">
        <f t="shared" si="3"/>
        <v>-68574.41</v>
      </c>
      <c r="N635" s="293">
        <f t="shared" si="6"/>
        <v>0</v>
      </c>
      <c r="O635" s="277">
        <f t="shared" si="4"/>
        <v>-72146.60962</v>
      </c>
      <c r="P635" s="264"/>
      <c r="Q635" s="264"/>
      <c r="R635" s="264"/>
      <c r="S635" s="264"/>
      <c r="T635" s="264"/>
      <c r="U635" s="264"/>
      <c r="V635" s="264"/>
      <c r="W635" s="264"/>
      <c r="X635" s="264"/>
      <c r="Y635" s="264"/>
      <c r="Z635" s="264"/>
      <c r="AA635" s="264"/>
      <c r="AB635" s="264"/>
      <c r="AC635" s="264"/>
      <c r="AD635" s="264"/>
      <c r="AE635" s="264"/>
    </row>
    <row r="636">
      <c r="A636" s="272"/>
      <c r="B636" s="272"/>
      <c r="C636" s="272"/>
      <c r="D636" s="172"/>
      <c r="E636" s="267" t="str">
        <f t="shared" si="22"/>
        <v/>
      </c>
      <c r="F636" s="274" t="str">
        <f t="shared" si="2"/>
        <v/>
      </c>
      <c r="G636" s="42"/>
      <c r="H636" s="264"/>
      <c r="I636" s="277"/>
      <c r="J636" s="276" t="str">
        <f>IF(ISBLANK(I636), "", VLOOKUP(E636&amp;" "&amp;F636, 'Info Tipo de Cambio y REM'!$A$24:$B$35, 2, FALSE))
</f>
        <v/>
      </c>
      <c r="K636" s="107" t="str">
        <f t="shared" si="23"/>
        <v/>
      </c>
      <c r="L636" s="293">
        <f t="shared" si="5"/>
        <v>-5187415.025</v>
      </c>
      <c r="M636" s="293">
        <f t="shared" si="3"/>
        <v>-68574.41</v>
      </c>
      <c r="N636" s="293">
        <f t="shared" si="6"/>
        <v>0</v>
      </c>
      <c r="O636" s="277">
        <f t="shared" si="4"/>
        <v>-72146.60962</v>
      </c>
      <c r="P636" s="264"/>
      <c r="Q636" s="264"/>
      <c r="R636" s="264"/>
      <c r="S636" s="264"/>
      <c r="T636" s="264"/>
      <c r="U636" s="264"/>
      <c r="V636" s="264"/>
      <c r="W636" s="264"/>
      <c r="X636" s="264"/>
      <c r="Y636" s="264"/>
      <c r="Z636" s="264"/>
      <c r="AA636" s="264"/>
      <c r="AB636" s="264"/>
      <c r="AC636" s="264"/>
      <c r="AD636" s="264"/>
      <c r="AE636" s="264"/>
    </row>
    <row r="637">
      <c r="A637" s="272"/>
      <c r="B637" s="272"/>
      <c r="C637" s="272"/>
      <c r="D637" s="172"/>
      <c r="E637" s="267" t="str">
        <f t="shared" si="22"/>
        <v/>
      </c>
      <c r="F637" s="274" t="str">
        <f t="shared" si="2"/>
        <v/>
      </c>
      <c r="G637" s="42"/>
      <c r="H637" s="264"/>
      <c r="I637" s="277"/>
      <c r="J637" s="276" t="str">
        <f>IF(ISBLANK(I637), "", VLOOKUP(E637&amp;" "&amp;F637, 'Info Tipo de Cambio y REM'!$A$24:$B$35, 2, FALSE))
</f>
        <v/>
      </c>
      <c r="K637" s="107" t="str">
        <f t="shared" si="23"/>
        <v/>
      </c>
      <c r="L637" s="293">
        <f t="shared" si="5"/>
        <v>-5187415.025</v>
      </c>
      <c r="M637" s="293">
        <f t="shared" si="3"/>
        <v>-68574.41</v>
      </c>
      <c r="N637" s="293">
        <f t="shared" si="6"/>
        <v>0</v>
      </c>
      <c r="O637" s="277">
        <f t="shared" si="4"/>
        <v>-72146.60962</v>
      </c>
      <c r="P637" s="264"/>
      <c r="Q637" s="264"/>
      <c r="R637" s="264"/>
      <c r="S637" s="264"/>
      <c r="T637" s="264"/>
      <c r="U637" s="264"/>
      <c r="V637" s="264"/>
      <c r="W637" s="264"/>
      <c r="X637" s="264"/>
      <c r="Y637" s="264"/>
      <c r="Z637" s="264"/>
      <c r="AA637" s="264"/>
      <c r="AB637" s="264"/>
      <c r="AC637" s="264"/>
      <c r="AD637" s="264"/>
      <c r="AE637" s="264"/>
    </row>
    <row r="638">
      <c r="A638" s="272"/>
      <c r="B638" s="272"/>
      <c r="C638" s="272"/>
      <c r="D638" s="172"/>
      <c r="E638" s="267" t="str">
        <f t="shared" si="22"/>
        <v/>
      </c>
      <c r="F638" s="274" t="str">
        <f t="shared" si="2"/>
        <v/>
      </c>
      <c r="G638" s="42"/>
      <c r="H638" s="264"/>
      <c r="I638" s="277"/>
      <c r="J638" s="276" t="str">
        <f>IF(ISBLANK(I638), "", VLOOKUP(E638&amp;" "&amp;F638, 'Info Tipo de Cambio y REM'!$A$24:$B$35, 2, FALSE))
</f>
        <v/>
      </c>
      <c r="K638" s="107" t="str">
        <f t="shared" si="23"/>
        <v/>
      </c>
      <c r="L638" s="293">
        <f t="shared" si="5"/>
        <v>-5187415.025</v>
      </c>
      <c r="M638" s="293">
        <f t="shared" si="3"/>
        <v>-68574.41</v>
      </c>
      <c r="N638" s="293">
        <f t="shared" si="6"/>
        <v>0</v>
      </c>
      <c r="O638" s="277">
        <f t="shared" si="4"/>
        <v>-72146.60962</v>
      </c>
      <c r="P638" s="264"/>
      <c r="Q638" s="264"/>
      <c r="R638" s="264"/>
      <c r="S638" s="264"/>
      <c r="T638" s="264"/>
      <c r="U638" s="264"/>
      <c r="V638" s="264"/>
      <c r="W638" s="264"/>
      <c r="X638" s="264"/>
      <c r="Y638" s="264"/>
      <c r="Z638" s="264"/>
      <c r="AA638" s="264"/>
      <c r="AB638" s="264"/>
      <c r="AC638" s="264"/>
      <c r="AD638" s="264"/>
      <c r="AE638" s="264"/>
    </row>
    <row r="639">
      <c r="A639" s="272"/>
      <c r="B639" s="272"/>
      <c r="C639" s="272"/>
      <c r="D639" s="172"/>
      <c r="E639" s="267" t="str">
        <f t="shared" si="22"/>
        <v/>
      </c>
      <c r="F639" s="274" t="str">
        <f t="shared" si="2"/>
        <v/>
      </c>
      <c r="G639" s="42"/>
      <c r="H639" s="264"/>
      <c r="I639" s="277"/>
      <c r="J639" s="276" t="str">
        <f>IF(ISBLANK(I639), "", VLOOKUP(E639&amp;" "&amp;F639, 'Info Tipo de Cambio y REM'!$A$24:$B$35, 2, FALSE))
</f>
        <v/>
      </c>
      <c r="K639" s="107" t="str">
        <f t="shared" si="23"/>
        <v/>
      </c>
      <c r="L639" s="293">
        <f t="shared" si="5"/>
        <v>-5187415.025</v>
      </c>
      <c r="M639" s="293">
        <f t="shared" si="3"/>
        <v>-68574.41</v>
      </c>
      <c r="N639" s="293">
        <f t="shared" si="6"/>
        <v>0</v>
      </c>
      <c r="O639" s="277">
        <f t="shared" si="4"/>
        <v>-72146.60962</v>
      </c>
      <c r="P639" s="264"/>
      <c r="Q639" s="264"/>
      <c r="R639" s="264"/>
      <c r="S639" s="264"/>
      <c r="T639" s="264"/>
      <c r="U639" s="264"/>
      <c r="V639" s="264"/>
      <c r="W639" s="264"/>
      <c r="X639" s="264"/>
      <c r="Y639" s="264"/>
      <c r="Z639" s="264"/>
      <c r="AA639" s="264"/>
      <c r="AB639" s="264"/>
      <c r="AC639" s="264"/>
      <c r="AD639" s="264"/>
      <c r="AE639" s="264"/>
    </row>
    <row r="640">
      <c r="A640" s="272"/>
      <c r="B640" s="272"/>
      <c r="C640" s="272"/>
      <c r="D640" s="172"/>
      <c r="E640" s="267" t="str">
        <f t="shared" si="22"/>
        <v/>
      </c>
      <c r="F640" s="274" t="str">
        <f t="shared" si="2"/>
        <v/>
      </c>
      <c r="G640" s="42"/>
      <c r="H640" s="264"/>
      <c r="I640" s="277"/>
      <c r="J640" s="276" t="str">
        <f>IF(ISBLANK(I640), "", VLOOKUP(E640&amp;" "&amp;F640, 'Info Tipo de Cambio y REM'!$A$24:$B$35, 2, FALSE))
</f>
        <v/>
      </c>
      <c r="K640" s="107" t="str">
        <f t="shared" si="23"/>
        <v/>
      </c>
      <c r="L640" s="293">
        <f t="shared" si="5"/>
        <v>-5187415.025</v>
      </c>
      <c r="M640" s="293">
        <f t="shared" si="3"/>
        <v>-68574.41</v>
      </c>
      <c r="N640" s="293">
        <f t="shared" si="6"/>
        <v>0</v>
      </c>
      <c r="O640" s="277">
        <f t="shared" si="4"/>
        <v>-72146.60962</v>
      </c>
      <c r="P640" s="264"/>
      <c r="Q640" s="264"/>
      <c r="R640" s="264"/>
      <c r="S640" s="264"/>
      <c r="T640" s="264"/>
      <c r="U640" s="264"/>
      <c r="V640" s="264"/>
      <c r="W640" s="264"/>
      <c r="X640" s="264"/>
      <c r="Y640" s="264"/>
      <c r="Z640" s="264"/>
      <c r="AA640" s="264"/>
      <c r="AB640" s="264"/>
      <c r="AC640" s="264"/>
      <c r="AD640" s="264"/>
      <c r="AE640" s="264"/>
    </row>
    <row r="641">
      <c r="A641" s="272"/>
      <c r="B641" s="272"/>
      <c r="C641" s="272"/>
      <c r="D641" s="172"/>
      <c r="E641" s="267" t="str">
        <f t="shared" si="22"/>
        <v/>
      </c>
      <c r="F641" s="274" t="str">
        <f t="shared" si="2"/>
        <v/>
      </c>
      <c r="G641" s="42"/>
      <c r="H641" s="264"/>
      <c r="I641" s="277"/>
      <c r="J641" s="276" t="str">
        <f>IF(ISBLANK(I641), "", VLOOKUP(E641&amp;" "&amp;F641, 'Info Tipo de Cambio y REM'!$A$24:$B$35, 2, FALSE))
</f>
        <v/>
      </c>
      <c r="K641" s="107" t="str">
        <f t="shared" si="23"/>
        <v/>
      </c>
      <c r="L641" s="293">
        <f t="shared" si="5"/>
        <v>-5187415.025</v>
      </c>
      <c r="M641" s="293">
        <f t="shared" si="3"/>
        <v>-68574.41</v>
      </c>
      <c r="N641" s="293">
        <f t="shared" si="6"/>
        <v>0</v>
      </c>
      <c r="O641" s="277">
        <f t="shared" si="4"/>
        <v>-72146.60962</v>
      </c>
      <c r="P641" s="264"/>
      <c r="Q641" s="264"/>
      <c r="R641" s="264"/>
      <c r="S641" s="264"/>
      <c r="T641" s="264"/>
      <c r="U641" s="264"/>
      <c r="V641" s="264"/>
      <c r="W641" s="264"/>
      <c r="X641" s="264"/>
      <c r="Y641" s="264"/>
      <c r="Z641" s="264"/>
      <c r="AA641" s="264"/>
      <c r="AB641" s="264"/>
      <c r="AC641" s="264"/>
      <c r="AD641" s="264"/>
      <c r="AE641" s="264"/>
    </row>
    <row r="642">
      <c r="A642" s="272"/>
      <c r="B642" s="272"/>
      <c r="C642" s="272"/>
      <c r="D642" s="172"/>
      <c r="E642" s="267" t="str">
        <f t="shared" si="22"/>
        <v/>
      </c>
      <c r="F642" s="274" t="str">
        <f t="shared" si="2"/>
        <v/>
      </c>
      <c r="G642" s="42"/>
      <c r="H642" s="264"/>
      <c r="I642" s="277"/>
      <c r="J642" s="276" t="str">
        <f>IF(ISBLANK(I642), "", VLOOKUP(E642&amp;" "&amp;F642, 'Info Tipo de Cambio y REM'!$A$24:$B$35, 2, FALSE))
</f>
        <v/>
      </c>
      <c r="K642" s="107" t="str">
        <f t="shared" si="23"/>
        <v/>
      </c>
      <c r="L642" s="293">
        <f t="shared" si="5"/>
        <v>-5187415.025</v>
      </c>
      <c r="M642" s="293">
        <f t="shared" si="3"/>
        <v>-68574.41</v>
      </c>
      <c r="N642" s="293">
        <f t="shared" si="6"/>
        <v>0</v>
      </c>
      <c r="O642" s="277">
        <f t="shared" si="4"/>
        <v>-72146.60962</v>
      </c>
      <c r="P642" s="264"/>
      <c r="Q642" s="264"/>
      <c r="R642" s="264"/>
      <c r="S642" s="264"/>
      <c r="T642" s="264"/>
      <c r="U642" s="264"/>
      <c r="V642" s="264"/>
      <c r="W642" s="264"/>
      <c r="X642" s="264"/>
      <c r="Y642" s="264"/>
      <c r="Z642" s="264"/>
      <c r="AA642" s="264"/>
      <c r="AB642" s="264"/>
      <c r="AC642" s="264"/>
      <c r="AD642" s="264"/>
      <c r="AE642" s="264"/>
    </row>
    <row r="643">
      <c r="A643" s="272"/>
      <c r="B643" s="272"/>
      <c r="C643" s="272"/>
      <c r="D643" s="172"/>
      <c r="E643" s="267" t="str">
        <f t="shared" si="22"/>
        <v/>
      </c>
      <c r="F643" s="274" t="str">
        <f t="shared" si="2"/>
        <v/>
      </c>
      <c r="G643" s="42"/>
      <c r="H643" s="264"/>
      <c r="I643" s="277"/>
      <c r="J643" s="276" t="str">
        <f>IF(ISBLANK(I643), "", VLOOKUP(E643&amp;" "&amp;F643, 'Info Tipo de Cambio y REM'!$A$24:$B$35, 2, FALSE))
</f>
        <v/>
      </c>
      <c r="K643" s="107" t="str">
        <f t="shared" si="23"/>
        <v/>
      </c>
      <c r="L643" s="293">
        <f t="shared" si="5"/>
        <v>-5187415.025</v>
      </c>
      <c r="M643" s="293">
        <f t="shared" si="3"/>
        <v>-68574.41</v>
      </c>
      <c r="N643" s="293">
        <f t="shared" si="6"/>
        <v>0</v>
      </c>
      <c r="O643" s="277">
        <f t="shared" si="4"/>
        <v>-72146.60962</v>
      </c>
      <c r="P643" s="264"/>
      <c r="Q643" s="264"/>
      <c r="R643" s="264"/>
      <c r="S643" s="264"/>
      <c r="T643" s="264"/>
      <c r="U643" s="264"/>
      <c r="V643" s="264"/>
      <c r="W643" s="264"/>
      <c r="X643" s="264"/>
      <c r="Y643" s="264"/>
      <c r="Z643" s="264"/>
      <c r="AA643" s="264"/>
      <c r="AB643" s="264"/>
      <c r="AC643" s="264"/>
      <c r="AD643" s="264"/>
      <c r="AE643" s="264"/>
    </row>
    <row r="644">
      <c r="A644" s="272"/>
      <c r="B644" s="272"/>
      <c r="C644" s="272"/>
      <c r="D644" s="172"/>
      <c r="E644" s="267" t="str">
        <f t="shared" si="22"/>
        <v/>
      </c>
      <c r="F644" s="274" t="str">
        <f t="shared" si="2"/>
        <v/>
      </c>
      <c r="G644" s="42"/>
      <c r="H644" s="264"/>
      <c r="I644" s="277"/>
      <c r="J644" s="276" t="str">
        <f>IF(ISBLANK(I644), "", VLOOKUP(E644&amp;" "&amp;F644, 'Info Tipo de Cambio y REM'!$A$24:$B$35, 2, FALSE))
</f>
        <v/>
      </c>
      <c r="K644" s="107" t="str">
        <f t="shared" si="23"/>
        <v/>
      </c>
      <c r="L644" s="293">
        <f t="shared" si="5"/>
        <v>-5187415.025</v>
      </c>
      <c r="M644" s="293">
        <f t="shared" si="3"/>
        <v>-68574.41</v>
      </c>
      <c r="N644" s="293">
        <f t="shared" si="6"/>
        <v>0</v>
      </c>
      <c r="O644" s="277">
        <f t="shared" si="4"/>
        <v>-72146.60962</v>
      </c>
      <c r="P644" s="264"/>
      <c r="Q644" s="264"/>
      <c r="R644" s="264"/>
      <c r="S644" s="264"/>
      <c r="T644" s="264"/>
      <c r="U644" s="264"/>
      <c r="V644" s="264"/>
      <c r="W644" s="264"/>
      <c r="X644" s="264"/>
      <c r="Y644" s="264"/>
      <c r="Z644" s="264"/>
      <c r="AA644" s="264"/>
      <c r="AB644" s="264"/>
      <c r="AC644" s="264"/>
      <c r="AD644" s="264"/>
      <c r="AE644" s="264"/>
    </row>
    <row r="645">
      <c r="A645" s="272"/>
      <c r="B645" s="272"/>
      <c r="C645" s="272"/>
      <c r="D645" s="172"/>
      <c r="E645" s="267" t="str">
        <f t="shared" si="22"/>
        <v/>
      </c>
      <c r="F645" s="274" t="str">
        <f t="shared" si="2"/>
        <v/>
      </c>
      <c r="G645" s="42"/>
      <c r="H645" s="264"/>
      <c r="I645" s="277"/>
      <c r="J645" s="276" t="str">
        <f>IF(ISBLANK(I645), "", VLOOKUP(E645&amp;" "&amp;F645, 'Info Tipo de Cambio y REM'!$A$24:$B$35, 2, FALSE))
</f>
        <v/>
      </c>
      <c r="K645" s="107" t="str">
        <f t="shared" si="23"/>
        <v/>
      </c>
      <c r="L645" s="293">
        <f t="shared" si="5"/>
        <v>-5187415.025</v>
      </c>
      <c r="M645" s="293">
        <f t="shared" si="3"/>
        <v>-68574.41</v>
      </c>
      <c r="N645" s="293">
        <f t="shared" si="6"/>
        <v>0</v>
      </c>
      <c r="O645" s="277">
        <f t="shared" si="4"/>
        <v>-72146.60962</v>
      </c>
      <c r="P645" s="264"/>
      <c r="Q645" s="264"/>
      <c r="R645" s="264"/>
      <c r="S645" s="264"/>
      <c r="T645" s="264"/>
      <c r="U645" s="264"/>
      <c r="V645" s="264"/>
      <c r="W645" s="264"/>
      <c r="X645" s="264"/>
      <c r="Y645" s="264"/>
      <c r="Z645" s="264"/>
      <c r="AA645" s="264"/>
      <c r="AB645" s="264"/>
      <c r="AC645" s="264"/>
      <c r="AD645" s="264"/>
      <c r="AE645" s="264"/>
    </row>
    <row r="646">
      <c r="A646" s="272"/>
      <c r="B646" s="272"/>
      <c r="C646" s="272"/>
      <c r="D646" s="172"/>
      <c r="E646" s="267" t="str">
        <f t="shared" si="22"/>
        <v/>
      </c>
      <c r="F646" s="274" t="str">
        <f t="shared" si="2"/>
        <v/>
      </c>
      <c r="G646" s="42"/>
      <c r="H646" s="264"/>
      <c r="I646" s="277"/>
      <c r="J646" s="276" t="str">
        <f>IF(ISBLANK(I646), "", VLOOKUP(E646&amp;" "&amp;F646, 'Info Tipo de Cambio y REM'!$A$24:$B$35, 2, FALSE))
</f>
        <v/>
      </c>
      <c r="K646" s="107" t="str">
        <f t="shared" si="23"/>
        <v/>
      </c>
      <c r="L646" s="293">
        <f t="shared" si="5"/>
        <v>-5187415.025</v>
      </c>
      <c r="M646" s="293">
        <f t="shared" si="3"/>
        <v>-68574.41</v>
      </c>
      <c r="N646" s="293">
        <f t="shared" si="6"/>
        <v>0</v>
      </c>
      <c r="O646" s="277">
        <f t="shared" si="4"/>
        <v>-72146.60962</v>
      </c>
      <c r="P646" s="264"/>
      <c r="Q646" s="264"/>
      <c r="R646" s="264"/>
      <c r="S646" s="264"/>
      <c r="T646" s="264"/>
      <c r="U646" s="264"/>
      <c r="V646" s="264"/>
      <c r="W646" s="264"/>
      <c r="X646" s="264"/>
      <c r="Y646" s="264"/>
      <c r="Z646" s="264"/>
      <c r="AA646" s="264"/>
      <c r="AB646" s="264"/>
      <c r="AC646" s="264"/>
      <c r="AD646" s="264"/>
      <c r="AE646" s="264"/>
    </row>
    <row r="647">
      <c r="A647" s="272"/>
      <c r="B647" s="272"/>
      <c r="C647" s="272"/>
      <c r="D647" s="172"/>
      <c r="E647" s="267" t="str">
        <f t="shared" si="22"/>
        <v/>
      </c>
      <c r="F647" s="274" t="str">
        <f t="shared" si="2"/>
        <v/>
      </c>
      <c r="G647" s="42"/>
      <c r="H647" s="264"/>
      <c r="I647" s="277"/>
      <c r="J647" s="276" t="str">
        <f>IF(ISBLANK(I647), "", VLOOKUP(E647&amp;" "&amp;F647, 'Info Tipo de Cambio y REM'!$A$24:$B$35, 2, FALSE))
</f>
        <v/>
      </c>
      <c r="K647" s="107" t="str">
        <f t="shared" si="23"/>
        <v/>
      </c>
      <c r="L647" s="293">
        <f t="shared" si="5"/>
        <v>-5187415.025</v>
      </c>
      <c r="M647" s="293">
        <f t="shared" si="3"/>
        <v>-68574.41</v>
      </c>
      <c r="N647" s="293">
        <f t="shared" si="6"/>
        <v>0</v>
      </c>
      <c r="O647" s="277">
        <f t="shared" si="4"/>
        <v>-72146.60962</v>
      </c>
      <c r="P647" s="264"/>
      <c r="Q647" s="264"/>
      <c r="R647" s="264"/>
      <c r="S647" s="264"/>
      <c r="T647" s="264"/>
      <c r="U647" s="264"/>
      <c r="V647" s="264"/>
      <c r="W647" s="264"/>
      <c r="X647" s="264"/>
      <c r="Y647" s="264"/>
      <c r="Z647" s="264"/>
      <c r="AA647" s="264"/>
      <c r="AB647" s="264"/>
      <c r="AC647" s="264"/>
      <c r="AD647" s="264"/>
      <c r="AE647" s="264"/>
    </row>
    <row r="648">
      <c r="A648" s="272"/>
      <c r="B648" s="272"/>
      <c r="C648" s="272"/>
      <c r="D648" s="172"/>
      <c r="E648" s="267" t="str">
        <f t="shared" si="22"/>
        <v/>
      </c>
      <c r="F648" s="274" t="str">
        <f t="shared" si="2"/>
        <v/>
      </c>
      <c r="G648" s="42"/>
      <c r="H648" s="264"/>
      <c r="I648" s="277"/>
      <c r="J648" s="276" t="str">
        <f>IF(ISBLANK(I648), "", VLOOKUP(E648&amp;" "&amp;F648, 'Info Tipo de Cambio y REM'!$A$24:$B$35, 2, FALSE))
</f>
        <v/>
      </c>
      <c r="K648" s="107" t="str">
        <f t="shared" si="23"/>
        <v/>
      </c>
      <c r="L648" s="293">
        <f t="shared" si="5"/>
        <v>-5187415.025</v>
      </c>
      <c r="M648" s="293">
        <f t="shared" si="3"/>
        <v>-68574.41</v>
      </c>
      <c r="N648" s="293">
        <f t="shared" si="6"/>
        <v>0</v>
      </c>
      <c r="O648" s="277">
        <f t="shared" si="4"/>
        <v>-72146.60962</v>
      </c>
      <c r="P648" s="264"/>
      <c r="Q648" s="264"/>
      <c r="R648" s="264"/>
      <c r="S648" s="264"/>
      <c r="T648" s="264"/>
      <c r="U648" s="264"/>
      <c r="V648" s="264"/>
      <c r="W648" s="264"/>
      <c r="X648" s="264"/>
      <c r="Y648" s="264"/>
      <c r="Z648" s="264"/>
      <c r="AA648" s="264"/>
      <c r="AB648" s="264"/>
      <c r="AC648" s="264"/>
      <c r="AD648" s="264"/>
      <c r="AE648" s="264"/>
    </row>
    <row r="649">
      <c r="A649" s="272"/>
      <c r="B649" s="272"/>
      <c r="C649" s="272"/>
      <c r="D649" s="172"/>
      <c r="E649" s="267" t="str">
        <f t="shared" si="22"/>
        <v/>
      </c>
      <c r="F649" s="274" t="str">
        <f t="shared" si="2"/>
        <v/>
      </c>
      <c r="G649" s="42"/>
      <c r="H649" s="264"/>
      <c r="I649" s="277"/>
      <c r="J649" s="276" t="str">
        <f>IF(ISBLANK(I649), "", VLOOKUP(E649&amp;" "&amp;F649, 'Info Tipo de Cambio y REM'!$A$24:$B$35, 2, FALSE))
</f>
        <v/>
      </c>
      <c r="K649" s="107" t="str">
        <f t="shared" si="23"/>
        <v/>
      </c>
      <c r="L649" s="293">
        <f t="shared" si="5"/>
        <v>-5187415.025</v>
      </c>
      <c r="M649" s="293">
        <f t="shared" si="3"/>
        <v>-68574.41</v>
      </c>
      <c r="N649" s="293">
        <f t="shared" si="6"/>
        <v>0</v>
      </c>
      <c r="O649" s="277">
        <f t="shared" si="4"/>
        <v>-72146.60962</v>
      </c>
      <c r="P649" s="264"/>
      <c r="Q649" s="264"/>
      <c r="R649" s="264"/>
      <c r="S649" s="264"/>
      <c r="T649" s="264"/>
      <c r="U649" s="264"/>
      <c r="V649" s="264"/>
      <c r="W649" s="264"/>
      <c r="X649" s="264"/>
      <c r="Y649" s="264"/>
      <c r="Z649" s="264"/>
      <c r="AA649" s="264"/>
      <c r="AB649" s="264"/>
      <c r="AC649" s="264"/>
      <c r="AD649" s="264"/>
      <c r="AE649" s="264"/>
    </row>
    <row r="650">
      <c r="A650" s="272"/>
      <c r="B650" s="272"/>
      <c r="C650" s="272"/>
      <c r="D650" s="172"/>
      <c r="E650" s="267" t="str">
        <f t="shared" si="22"/>
        <v/>
      </c>
      <c r="F650" s="274" t="str">
        <f t="shared" si="2"/>
        <v/>
      </c>
      <c r="G650" s="42"/>
      <c r="H650" s="264"/>
      <c r="I650" s="277"/>
      <c r="J650" s="276" t="str">
        <f>IF(ISBLANK(I650), "", VLOOKUP(E650&amp;" "&amp;F650, 'Info Tipo de Cambio y REM'!$A$24:$B$35, 2, FALSE))
</f>
        <v/>
      </c>
      <c r="K650" s="107" t="str">
        <f t="shared" si="23"/>
        <v/>
      </c>
      <c r="L650" s="293">
        <f t="shared" si="5"/>
        <v>-5187415.025</v>
      </c>
      <c r="M650" s="293">
        <f t="shared" si="3"/>
        <v>-68574.41</v>
      </c>
      <c r="N650" s="293">
        <f t="shared" si="6"/>
        <v>0</v>
      </c>
      <c r="O650" s="277">
        <f t="shared" si="4"/>
        <v>-72146.60962</v>
      </c>
      <c r="P650" s="264"/>
      <c r="Q650" s="264"/>
      <c r="R650" s="264"/>
      <c r="S650" s="264"/>
      <c r="T650" s="264"/>
      <c r="U650" s="264"/>
      <c r="V650" s="264"/>
      <c r="W650" s="264"/>
      <c r="X650" s="264"/>
      <c r="Y650" s="264"/>
      <c r="Z650" s="264"/>
      <c r="AA650" s="264"/>
      <c r="AB650" s="264"/>
      <c r="AC650" s="264"/>
      <c r="AD650" s="264"/>
      <c r="AE650" s="264"/>
    </row>
    <row r="651">
      <c r="A651" s="272"/>
      <c r="B651" s="272"/>
      <c r="C651" s="272"/>
      <c r="D651" s="172"/>
      <c r="E651" s="267" t="str">
        <f t="shared" si="22"/>
        <v/>
      </c>
      <c r="F651" s="274" t="str">
        <f t="shared" si="2"/>
        <v/>
      </c>
      <c r="G651" s="42"/>
      <c r="H651" s="264"/>
      <c r="I651" s="277"/>
      <c r="J651" s="276" t="str">
        <f>IF(ISBLANK(I651), "", VLOOKUP(E651&amp;" "&amp;F651, 'Info Tipo de Cambio y REM'!$A$24:$B$35, 2, FALSE))
</f>
        <v/>
      </c>
      <c r="K651" s="107" t="str">
        <f t="shared" si="23"/>
        <v/>
      </c>
      <c r="L651" s="293">
        <f t="shared" si="5"/>
        <v>-5187415.025</v>
      </c>
      <c r="M651" s="293">
        <f t="shared" si="3"/>
        <v>-68574.41</v>
      </c>
      <c r="N651" s="293">
        <f t="shared" si="6"/>
        <v>0</v>
      </c>
      <c r="O651" s="277">
        <f t="shared" si="4"/>
        <v>-72146.60962</v>
      </c>
      <c r="P651" s="264"/>
      <c r="Q651" s="264"/>
      <c r="R651" s="264"/>
      <c r="S651" s="264"/>
      <c r="T651" s="264"/>
      <c r="U651" s="264"/>
      <c r="V651" s="264"/>
      <c r="W651" s="264"/>
      <c r="X651" s="264"/>
      <c r="Y651" s="264"/>
      <c r="Z651" s="264"/>
      <c r="AA651" s="264"/>
      <c r="AB651" s="264"/>
      <c r="AC651" s="264"/>
      <c r="AD651" s="264"/>
      <c r="AE651" s="264"/>
    </row>
    <row r="652">
      <c r="A652" s="272"/>
      <c r="B652" s="272"/>
      <c r="C652" s="272"/>
      <c r="D652" s="172"/>
      <c r="E652" s="267" t="str">
        <f t="shared" si="22"/>
        <v/>
      </c>
      <c r="F652" s="274" t="str">
        <f t="shared" si="2"/>
        <v/>
      </c>
      <c r="G652" s="42"/>
      <c r="H652" s="264"/>
      <c r="I652" s="277"/>
      <c r="J652" s="276" t="str">
        <f>IF(ISBLANK(I652), "", VLOOKUP(E652&amp;" "&amp;F652, 'Info Tipo de Cambio y REM'!$A$24:$B$35, 2, FALSE))
</f>
        <v/>
      </c>
      <c r="K652" s="107" t="str">
        <f t="shared" si="23"/>
        <v/>
      </c>
      <c r="L652" s="293">
        <f t="shared" si="5"/>
        <v>-5187415.025</v>
      </c>
      <c r="M652" s="293">
        <f t="shared" si="3"/>
        <v>-68574.41</v>
      </c>
      <c r="N652" s="293">
        <f t="shared" si="6"/>
        <v>0</v>
      </c>
      <c r="O652" s="277">
        <f t="shared" si="4"/>
        <v>-72146.60962</v>
      </c>
      <c r="P652" s="264"/>
      <c r="Q652" s="264"/>
      <c r="R652" s="264"/>
      <c r="S652" s="264"/>
      <c r="T652" s="264"/>
      <c r="U652" s="264"/>
      <c r="V652" s="264"/>
      <c r="W652" s="264"/>
      <c r="X652" s="264"/>
      <c r="Y652" s="264"/>
      <c r="Z652" s="264"/>
      <c r="AA652" s="264"/>
      <c r="AB652" s="264"/>
      <c r="AC652" s="264"/>
      <c r="AD652" s="264"/>
      <c r="AE652" s="264"/>
    </row>
    <row r="653">
      <c r="A653" s="272"/>
      <c r="B653" s="272"/>
      <c r="C653" s="272"/>
      <c r="D653" s="172"/>
      <c r="E653" s="267" t="str">
        <f t="shared" si="22"/>
        <v/>
      </c>
      <c r="F653" s="274" t="str">
        <f t="shared" si="2"/>
        <v/>
      </c>
      <c r="G653" s="42"/>
      <c r="H653" s="264"/>
      <c r="I653" s="277"/>
      <c r="J653" s="276" t="str">
        <f>IF(ISBLANK(I653), "", VLOOKUP(E653&amp;" "&amp;F653, 'Info Tipo de Cambio y REM'!$A$24:$B$35, 2, FALSE))
</f>
        <v/>
      </c>
      <c r="K653" s="107" t="str">
        <f t="shared" si="23"/>
        <v/>
      </c>
      <c r="L653" s="293">
        <f t="shared" si="5"/>
        <v>-5187415.025</v>
      </c>
      <c r="M653" s="293">
        <f t="shared" si="3"/>
        <v>-68574.41</v>
      </c>
      <c r="N653" s="293">
        <f t="shared" si="6"/>
        <v>0</v>
      </c>
      <c r="O653" s="277">
        <f t="shared" si="4"/>
        <v>-72146.60962</v>
      </c>
      <c r="P653" s="264"/>
      <c r="Q653" s="264"/>
      <c r="R653" s="264"/>
      <c r="S653" s="264"/>
      <c r="T653" s="264"/>
      <c r="U653" s="264"/>
      <c r="V653" s="264"/>
      <c r="W653" s="264"/>
      <c r="X653" s="264"/>
      <c r="Y653" s="264"/>
      <c r="Z653" s="264"/>
      <c r="AA653" s="264"/>
      <c r="AB653" s="264"/>
      <c r="AC653" s="264"/>
      <c r="AD653" s="264"/>
      <c r="AE653" s="264"/>
    </row>
    <row r="654">
      <c r="A654" s="272"/>
      <c r="B654" s="272"/>
      <c r="C654" s="272"/>
      <c r="D654" s="172"/>
      <c r="E654" s="267" t="str">
        <f t="shared" si="22"/>
        <v/>
      </c>
      <c r="F654" s="274" t="str">
        <f t="shared" si="2"/>
        <v/>
      </c>
      <c r="G654" s="42"/>
      <c r="H654" s="264"/>
      <c r="I654" s="277"/>
      <c r="J654" s="276" t="str">
        <f>IF(ISBLANK(I654), "", VLOOKUP(E654&amp;" "&amp;F654, 'Info Tipo de Cambio y REM'!$A$24:$B$35, 2, FALSE))
</f>
        <v/>
      </c>
      <c r="K654" s="107" t="str">
        <f t="shared" si="23"/>
        <v/>
      </c>
      <c r="L654" s="293">
        <f t="shared" si="5"/>
        <v>-5187415.025</v>
      </c>
      <c r="M654" s="293">
        <f t="shared" si="3"/>
        <v>-68574.41</v>
      </c>
      <c r="N654" s="293">
        <f t="shared" si="6"/>
        <v>0</v>
      </c>
      <c r="O654" s="277">
        <f t="shared" si="4"/>
        <v>-72146.60962</v>
      </c>
      <c r="P654" s="264"/>
      <c r="Q654" s="264"/>
      <c r="R654" s="264"/>
      <c r="S654" s="264"/>
      <c r="T654" s="264"/>
      <c r="U654" s="264"/>
      <c r="V654" s="264"/>
      <c r="W654" s="264"/>
      <c r="X654" s="264"/>
      <c r="Y654" s="264"/>
      <c r="Z654" s="264"/>
      <c r="AA654" s="264"/>
      <c r="AB654" s="264"/>
      <c r="AC654" s="264"/>
      <c r="AD654" s="264"/>
      <c r="AE654" s="264"/>
    </row>
    <row r="655">
      <c r="A655" s="272"/>
      <c r="B655" s="272"/>
      <c r="C655" s="272"/>
      <c r="D655" s="172"/>
      <c r="E655" s="267" t="str">
        <f t="shared" si="22"/>
        <v/>
      </c>
      <c r="F655" s="274" t="str">
        <f t="shared" si="2"/>
        <v/>
      </c>
      <c r="G655" s="42"/>
      <c r="H655" s="264"/>
      <c r="I655" s="277"/>
      <c r="J655" s="276" t="str">
        <f>IF(ISBLANK(I655), "", VLOOKUP(E655&amp;" "&amp;F655, 'Info Tipo de Cambio y REM'!$A$24:$B$35, 2, FALSE))
</f>
        <v/>
      </c>
      <c r="K655" s="107" t="str">
        <f t="shared" si="23"/>
        <v/>
      </c>
      <c r="L655" s="293">
        <f t="shared" si="5"/>
        <v>-5187415.025</v>
      </c>
      <c r="M655" s="293">
        <f t="shared" si="3"/>
        <v>-68574.41</v>
      </c>
      <c r="N655" s="293">
        <f t="shared" si="6"/>
        <v>0</v>
      </c>
      <c r="O655" s="277">
        <f t="shared" si="4"/>
        <v>-72146.60962</v>
      </c>
      <c r="P655" s="264"/>
      <c r="Q655" s="264"/>
      <c r="R655" s="264"/>
      <c r="S655" s="264"/>
      <c r="T655" s="264"/>
      <c r="U655" s="264"/>
      <c r="V655" s="264"/>
      <c r="W655" s="264"/>
      <c r="X655" s="264"/>
      <c r="Y655" s="264"/>
      <c r="Z655" s="264"/>
      <c r="AA655" s="264"/>
      <c r="AB655" s="264"/>
      <c r="AC655" s="264"/>
      <c r="AD655" s="264"/>
      <c r="AE655" s="264"/>
    </row>
    <row r="656">
      <c r="A656" s="272"/>
      <c r="B656" s="272"/>
      <c r="C656" s="272"/>
      <c r="D656" s="172"/>
      <c r="E656" s="267" t="str">
        <f t="shared" si="22"/>
        <v/>
      </c>
      <c r="F656" s="274" t="str">
        <f t="shared" si="2"/>
        <v/>
      </c>
      <c r="G656" s="42"/>
      <c r="H656" s="264"/>
      <c r="I656" s="277"/>
      <c r="J656" s="276" t="str">
        <f>IF(ISBLANK(I656), "", VLOOKUP(E656&amp;" "&amp;F656, 'Info Tipo de Cambio y REM'!$A$24:$B$35, 2, FALSE))
</f>
        <v/>
      </c>
      <c r="K656" s="107" t="str">
        <f t="shared" si="23"/>
        <v/>
      </c>
      <c r="L656" s="293">
        <f t="shared" si="5"/>
        <v>-5187415.025</v>
      </c>
      <c r="M656" s="293">
        <f t="shared" si="3"/>
        <v>-68574.41</v>
      </c>
      <c r="N656" s="293">
        <f t="shared" si="6"/>
        <v>0</v>
      </c>
      <c r="O656" s="277">
        <f t="shared" si="4"/>
        <v>-72146.60962</v>
      </c>
      <c r="P656" s="264"/>
      <c r="Q656" s="264"/>
      <c r="R656" s="264"/>
      <c r="S656" s="264"/>
      <c r="T656" s="264"/>
      <c r="U656" s="264"/>
      <c r="V656" s="264"/>
      <c r="W656" s="264"/>
      <c r="X656" s="264"/>
      <c r="Y656" s="264"/>
      <c r="Z656" s="264"/>
      <c r="AA656" s="264"/>
      <c r="AB656" s="264"/>
      <c r="AC656" s="264"/>
      <c r="AD656" s="264"/>
      <c r="AE656" s="264"/>
    </row>
    <row r="657">
      <c r="A657" s="272"/>
      <c r="B657" s="272"/>
      <c r="C657" s="272"/>
      <c r="D657" s="172"/>
      <c r="E657" s="267" t="str">
        <f t="shared" si="22"/>
        <v/>
      </c>
      <c r="F657" s="274" t="str">
        <f t="shared" si="2"/>
        <v/>
      </c>
      <c r="G657" s="42"/>
      <c r="H657" s="264"/>
      <c r="I657" s="277"/>
      <c r="J657" s="276" t="str">
        <f>IF(ISBLANK(I657), "", VLOOKUP(E657&amp;" "&amp;F657, 'Info Tipo de Cambio y REM'!$A$24:$B$35, 2, FALSE))
</f>
        <v/>
      </c>
      <c r="K657" s="107" t="str">
        <f t="shared" si="23"/>
        <v/>
      </c>
      <c r="L657" s="293">
        <f t="shared" si="5"/>
        <v>-5187415.025</v>
      </c>
      <c r="M657" s="293">
        <f t="shared" si="3"/>
        <v>-68574.41</v>
      </c>
      <c r="N657" s="293">
        <f t="shared" si="6"/>
        <v>0</v>
      </c>
      <c r="O657" s="277">
        <f t="shared" si="4"/>
        <v>-72146.60962</v>
      </c>
      <c r="P657" s="264"/>
      <c r="Q657" s="264"/>
      <c r="R657" s="264"/>
      <c r="S657" s="264"/>
      <c r="T657" s="264"/>
      <c r="U657" s="264"/>
      <c r="V657" s="264"/>
      <c r="W657" s="264"/>
      <c r="X657" s="264"/>
      <c r="Y657" s="264"/>
      <c r="Z657" s="264"/>
      <c r="AA657" s="264"/>
      <c r="AB657" s="264"/>
      <c r="AC657" s="264"/>
      <c r="AD657" s="264"/>
      <c r="AE657" s="264"/>
    </row>
    <row r="658">
      <c r="A658" s="272"/>
      <c r="B658" s="272"/>
      <c r="C658" s="272"/>
      <c r="D658" s="172"/>
      <c r="E658" s="267" t="str">
        <f t="shared" si="22"/>
        <v/>
      </c>
      <c r="F658" s="274" t="str">
        <f t="shared" si="2"/>
        <v/>
      </c>
      <c r="G658" s="42"/>
      <c r="H658" s="264"/>
      <c r="I658" s="277"/>
      <c r="J658" s="276" t="str">
        <f>IF(ISBLANK(I658), "", VLOOKUP(E658&amp;" "&amp;F658, 'Info Tipo de Cambio y REM'!$A$24:$B$35, 2, FALSE))
</f>
        <v/>
      </c>
      <c r="K658" s="107" t="str">
        <f t="shared" si="23"/>
        <v/>
      </c>
      <c r="L658" s="293">
        <f t="shared" si="5"/>
        <v>-5187415.025</v>
      </c>
      <c r="M658" s="293">
        <f t="shared" si="3"/>
        <v>-68574.41</v>
      </c>
      <c r="N658" s="293">
        <f t="shared" si="6"/>
        <v>0</v>
      </c>
      <c r="O658" s="277">
        <f t="shared" si="4"/>
        <v>-72146.60962</v>
      </c>
      <c r="P658" s="264"/>
      <c r="Q658" s="264"/>
      <c r="R658" s="264"/>
      <c r="S658" s="264"/>
      <c r="T658" s="264"/>
      <c r="U658" s="264"/>
      <c r="V658" s="264"/>
      <c r="W658" s="264"/>
      <c r="X658" s="264"/>
      <c r="Y658" s="264"/>
      <c r="Z658" s="264"/>
      <c r="AA658" s="264"/>
      <c r="AB658" s="264"/>
      <c r="AC658" s="264"/>
      <c r="AD658" s="264"/>
      <c r="AE658" s="264"/>
    </row>
    <row r="659">
      <c r="A659" s="272"/>
      <c r="B659" s="272"/>
      <c r="C659" s="272"/>
      <c r="D659" s="172"/>
      <c r="E659" s="267" t="str">
        <f t="shared" si="22"/>
        <v/>
      </c>
      <c r="F659" s="274" t="str">
        <f t="shared" si="2"/>
        <v/>
      </c>
      <c r="G659" s="42"/>
      <c r="H659" s="264"/>
      <c r="I659" s="277"/>
      <c r="J659" s="276" t="str">
        <f>IF(ISBLANK(I659), "", VLOOKUP(E659&amp;" "&amp;F659, 'Info Tipo de Cambio y REM'!$A$24:$B$35, 2, FALSE))
</f>
        <v/>
      </c>
      <c r="K659" s="107" t="str">
        <f t="shared" si="23"/>
        <v/>
      </c>
      <c r="L659" s="293">
        <f t="shared" si="5"/>
        <v>-5187415.025</v>
      </c>
      <c r="M659" s="293">
        <f t="shared" si="3"/>
        <v>-68574.41</v>
      </c>
      <c r="N659" s="293">
        <f t="shared" si="6"/>
        <v>0</v>
      </c>
      <c r="O659" s="277">
        <f t="shared" si="4"/>
        <v>-72146.60962</v>
      </c>
      <c r="P659" s="264"/>
      <c r="Q659" s="264"/>
      <c r="R659" s="264"/>
      <c r="S659" s="264"/>
      <c r="T659" s="264"/>
      <c r="U659" s="264"/>
      <c r="V659" s="264"/>
      <c r="W659" s="264"/>
      <c r="X659" s="264"/>
      <c r="Y659" s="264"/>
      <c r="Z659" s="264"/>
      <c r="AA659" s="264"/>
      <c r="AB659" s="264"/>
      <c r="AC659" s="264"/>
      <c r="AD659" s="264"/>
      <c r="AE659" s="264"/>
    </row>
    <row r="660">
      <c r="A660" s="272"/>
      <c r="B660" s="272"/>
      <c r="C660" s="272"/>
      <c r="D660" s="172"/>
      <c r="E660" s="267" t="str">
        <f t="shared" si="22"/>
        <v/>
      </c>
      <c r="F660" s="274" t="str">
        <f t="shared" si="2"/>
        <v/>
      </c>
      <c r="G660" s="42"/>
      <c r="H660" s="264"/>
      <c r="I660" s="277"/>
      <c r="J660" s="276" t="str">
        <f>IF(ISBLANK(I660), "", VLOOKUP(E660&amp;" "&amp;F660, 'Info Tipo de Cambio y REM'!$A$24:$B$35, 2, FALSE))
</f>
        <v/>
      </c>
      <c r="K660" s="107" t="str">
        <f t="shared" si="23"/>
        <v/>
      </c>
      <c r="L660" s="293">
        <f t="shared" si="5"/>
        <v>-5187415.025</v>
      </c>
      <c r="M660" s="293">
        <f t="shared" si="3"/>
        <v>-68574.41</v>
      </c>
      <c r="N660" s="293">
        <f t="shared" si="6"/>
        <v>0</v>
      </c>
      <c r="O660" s="277">
        <f t="shared" si="4"/>
        <v>-72146.60962</v>
      </c>
      <c r="P660" s="264"/>
      <c r="Q660" s="264"/>
      <c r="R660" s="264"/>
      <c r="S660" s="264"/>
      <c r="T660" s="264"/>
      <c r="U660" s="264"/>
      <c r="V660" s="264"/>
      <c r="W660" s="264"/>
      <c r="X660" s="264"/>
      <c r="Y660" s="264"/>
      <c r="Z660" s="264"/>
      <c r="AA660" s="264"/>
      <c r="AB660" s="264"/>
      <c r="AC660" s="264"/>
      <c r="AD660" s="264"/>
      <c r="AE660" s="264"/>
    </row>
    <row r="661">
      <c r="A661" s="272"/>
      <c r="B661" s="272"/>
      <c r="C661" s="272"/>
      <c r="D661" s="172"/>
      <c r="E661" s="267" t="str">
        <f t="shared" si="22"/>
        <v/>
      </c>
      <c r="F661" s="274" t="str">
        <f t="shared" si="2"/>
        <v/>
      </c>
      <c r="G661" s="42"/>
      <c r="H661" s="264"/>
      <c r="I661" s="277"/>
      <c r="J661" s="276" t="str">
        <f>IF(ISBLANK(I661), "", VLOOKUP(E661&amp;" "&amp;F661, 'Info Tipo de Cambio y REM'!$A$24:$B$35, 2, FALSE))
</f>
        <v/>
      </c>
      <c r="K661" s="107" t="str">
        <f t="shared" si="23"/>
        <v/>
      </c>
      <c r="L661" s="293">
        <f t="shared" si="5"/>
        <v>-5187415.025</v>
      </c>
      <c r="M661" s="293">
        <f t="shared" si="3"/>
        <v>-68574.41</v>
      </c>
      <c r="N661" s="293">
        <f t="shared" si="6"/>
        <v>0</v>
      </c>
      <c r="O661" s="277">
        <f t="shared" si="4"/>
        <v>-72146.60962</v>
      </c>
      <c r="P661" s="264"/>
      <c r="Q661" s="264"/>
      <c r="R661" s="264"/>
      <c r="S661" s="264"/>
      <c r="T661" s="264"/>
      <c r="U661" s="264"/>
      <c r="V661" s="264"/>
      <c r="W661" s="264"/>
      <c r="X661" s="264"/>
      <c r="Y661" s="264"/>
      <c r="Z661" s="264"/>
      <c r="AA661" s="264"/>
      <c r="AB661" s="264"/>
      <c r="AC661" s="264"/>
      <c r="AD661" s="264"/>
      <c r="AE661" s="264"/>
    </row>
    <row r="662">
      <c r="A662" s="272"/>
      <c r="B662" s="272"/>
      <c r="C662" s="272"/>
      <c r="D662" s="172"/>
      <c r="E662" s="267" t="str">
        <f t="shared" si="22"/>
        <v/>
      </c>
      <c r="F662" s="274" t="str">
        <f t="shared" si="2"/>
        <v/>
      </c>
      <c r="G662" s="42"/>
      <c r="H662" s="264"/>
      <c r="I662" s="277"/>
      <c r="J662" s="276" t="str">
        <f>IF(ISBLANK(I662), "", VLOOKUP(E662&amp;" "&amp;F662, 'Info Tipo de Cambio y REM'!$A$24:$B$35, 2, FALSE))
</f>
        <v/>
      </c>
      <c r="K662" s="107" t="str">
        <f t="shared" si="23"/>
        <v/>
      </c>
      <c r="L662" s="293">
        <f t="shared" si="5"/>
        <v>-5187415.025</v>
      </c>
      <c r="M662" s="293">
        <f t="shared" si="3"/>
        <v>-68574.41</v>
      </c>
      <c r="N662" s="293">
        <f t="shared" si="6"/>
        <v>0</v>
      </c>
      <c r="O662" s="277">
        <f t="shared" si="4"/>
        <v>-72146.60962</v>
      </c>
      <c r="P662" s="264"/>
      <c r="Q662" s="264"/>
      <c r="R662" s="264"/>
      <c r="S662" s="264"/>
      <c r="T662" s="264"/>
      <c r="U662" s="264"/>
      <c r="V662" s="264"/>
      <c r="W662" s="264"/>
      <c r="X662" s="264"/>
      <c r="Y662" s="264"/>
      <c r="Z662" s="264"/>
      <c r="AA662" s="264"/>
      <c r="AB662" s="264"/>
      <c r="AC662" s="264"/>
      <c r="AD662" s="264"/>
      <c r="AE662" s="264"/>
    </row>
    <row r="663">
      <c r="A663" s="272"/>
      <c r="B663" s="272"/>
      <c r="C663" s="272"/>
      <c r="D663" s="172"/>
      <c r="E663" s="267" t="str">
        <f t="shared" si="22"/>
        <v/>
      </c>
      <c r="F663" s="274" t="str">
        <f t="shared" si="2"/>
        <v/>
      </c>
      <c r="G663" s="42"/>
      <c r="H663" s="264"/>
      <c r="I663" s="277"/>
      <c r="J663" s="276" t="str">
        <f>IF(ISBLANK(I663), "", VLOOKUP(E663&amp;" "&amp;F663, 'Info Tipo de Cambio y REM'!$A$24:$B$35, 2, FALSE))
</f>
        <v/>
      </c>
      <c r="K663" s="107" t="str">
        <f t="shared" si="23"/>
        <v/>
      </c>
      <c r="L663" s="293">
        <f t="shared" si="5"/>
        <v>-5187415.025</v>
      </c>
      <c r="M663" s="293">
        <f t="shared" si="3"/>
        <v>-68574.41</v>
      </c>
      <c r="N663" s="293">
        <f t="shared" si="6"/>
        <v>0</v>
      </c>
      <c r="O663" s="277">
        <f t="shared" si="4"/>
        <v>-72146.60962</v>
      </c>
      <c r="P663" s="264"/>
      <c r="Q663" s="264"/>
      <c r="R663" s="264"/>
      <c r="S663" s="264"/>
      <c r="T663" s="264"/>
      <c r="U663" s="264"/>
      <c r="V663" s="264"/>
      <c r="W663" s="264"/>
      <c r="X663" s="264"/>
      <c r="Y663" s="264"/>
      <c r="Z663" s="264"/>
      <c r="AA663" s="264"/>
      <c r="AB663" s="264"/>
      <c r="AC663" s="264"/>
      <c r="AD663" s="264"/>
      <c r="AE663" s="264"/>
    </row>
    <row r="664">
      <c r="A664" s="272"/>
      <c r="B664" s="272"/>
      <c r="C664" s="272"/>
      <c r="D664" s="172"/>
      <c r="E664" s="267" t="str">
        <f t="shared" si="22"/>
        <v/>
      </c>
      <c r="F664" s="274" t="str">
        <f t="shared" si="2"/>
        <v/>
      </c>
      <c r="G664" s="42"/>
      <c r="H664" s="264"/>
      <c r="I664" s="277"/>
      <c r="J664" s="276" t="str">
        <f>IF(ISBLANK(I664), "", VLOOKUP(E664&amp;" "&amp;F664, 'Info Tipo de Cambio y REM'!$A$24:$B$35, 2, FALSE))
</f>
        <v/>
      </c>
      <c r="K664" s="107" t="str">
        <f t="shared" si="23"/>
        <v/>
      </c>
      <c r="L664" s="293">
        <f t="shared" si="5"/>
        <v>-5187415.025</v>
      </c>
      <c r="M664" s="293">
        <f t="shared" si="3"/>
        <v>-68574.41</v>
      </c>
      <c r="N664" s="293">
        <f t="shared" si="6"/>
        <v>0</v>
      </c>
      <c r="O664" s="277">
        <f t="shared" si="4"/>
        <v>-72146.60962</v>
      </c>
      <c r="P664" s="264"/>
      <c r="Q664" s="264"/>
      <c r="R664" s="264"/>
      <c r="S664" s="264"/>
      <c r="T664" s="264"/>
      <c r="U664" s="264"/>
      <c r="V664" s="264"/>
      <c r="W664" s="264"/>
      <c r="X664" s="264"/>
      <c r="Y664" s="264"/>
      <c r="Z664" s="264"/>
      <c r="AA664" s="264"/>
      <c r="AB664" s="264"/>
      <c r="AC664" s="264"/>
      <c r="AD664" s="264"/>
      <c r="AE664" s="264"/>
    </row>
    <row r="665">
      <c r="A665" s="272"/>
      <c r="B665" s="272"/>
      <c r="C665" s="272"/>
      <c r="D665" s="172"/>
      <c r="E665" s="267" t="str">
        <f t="shared" si="22"/>
        <v/>
      </c>
      <c r="F665" s="274" t="str">
        <f t="shared" si="2"/>
        <v/>
      </c>
      <c r="G665" s="42"/>
      <c r="H665" s="264"/>
      <c r="I665" s="277"/>
      <c r="J665" s="276" t="str">
        <f>IF(ISBLANK(I665), "", VLOOKUP(E665&amp;" "&amp;F665, 'Info Tipo de Cambio y REM'!$A$24:$B$35, 2, FALSE))
</f>
        <v/>
      </c>
      <c r="K665" s="107" t="str">
        <f t="shared" si="23"/>
        <v/>
      </c>
      <c r="L665" s="293">
        <f t="shared" si="5"/>
        <v>-5187415.025</v>
      </c>
      <c r="M665" s="293">
        <f t="shared" si="3"/>
        <v>-68574.41</v>
      </c>
      <c r="N665" s="293">
        <f t="shared" si="6"/>
        <v>0</v>
      </c>
      <c r="O665" s="277">
        <f t="shared" si="4"/>
        <v>-72146.60962</v>
      </c>
      <c r="P665" s="264"/>
      <c r="Q665" s="264"/>
      <c r="R665" s="264"/>
      <c r="S665" s="264"/>
      <c r="T665" s="264"/>
      <c r="U665" s="264"/>
      <c r="V665" s="264"/>
      <c r="W665" s="264"/>
      <c r="X665" s="264"/>
      <c r="Y665" s="264"/>
      <c r="Z665" s="264"/>
      <c r="AA665" s="264"/>
      <c r="AB665" s="264"/>
      <c r="AC665" s="264"/>
      <c r="AD665" s="264"/>
      <c r="AE665" s="264"/>
    </row>
    <row r="666">
      <c r="A666" s="272"/>
      <c r="B666" s="272"/>
      <c r="C666" s="272"/>
      <c r="D666" s="172"/>
      <c r="E666" s="267" t="str">
        <f t="shared" si="22"/>
        <v/>
      </c>
      <c r="F666" s="274" t="str">
        <f t="shared" si="2"/>
        <v/>
      </c>
      <c r="G666" s="42"/>
      <c r="H666" s="264"/>
      <c r="I666" s="277"/>
      <c r="J666" s="276" t="str">
        <f>IF(ISBLANK(I666), "", VLOOKUP(E666&amp;" "&amp;F666, 'Info Tipo de Cambio y REM'!$A$24:$B$35, 2, FALSE))
</f>
        <v/>
      </c>
      <c r="K666" s="107" t="str">
        <f t="shared" si="23"/>
        <v/>
      </c>
      <c r="L666" s="293">
        <f t="shared" si="5"/>
        <v>-5187415.025</v>
      </c>
      <c r="M666" s="293">
        <f t="shared" si="3"/>
        <v>-68574.41</v>
      </c>
      <c r="N666" s="293">
        <f t="shared" si="6"/>
        <v>0</v>
      </c>
      <c r="O666" s="277">
        <f t="shared" si="4"/>
        <v>-72146.60962</v>
      </c>
      <c r="P666" s="264"/>
      <c r="Q666" s="264"/>
      <c r="R666" s="264"/>
      <c r="S666" s="264"/>
      <c r="T666" s="264"/>
      <c r="U666" s="264"/>
      <c r="V666" s="264"/>
      <c r="W666" s="264"/>
      <c r="X666" s="264"/>
      <c r="Y666" s="264"/>
      <c r="Z666" s="264"/>
      <c r="AA666" s="264"/>
      <c r="AB666" s="264"/>
      <c r="AC666" s="264"/>
      <c r="AD666" s="264"/>
      <c r="AE666" s="264"/>
    </row>
    <row r="667">
      <c r="A667" s="272"/>
      <c r="B667" s="272"/>
      <c r="C667" s="272"/>
      <c r="D667" s="172"/>
      <c r="E667" s="267" t="str">
        <f t="shared" si="22"/>
        <v/>
      </c>
      <c r="F667" s="274" t="str">
        <f t="shared" si="2"/>
        <v/>
      </c>
      <c r="G667" s="42"/>
      <c r="H667" s="264"/>
      <c r="I667" s="277"/>
      <c r="J667" s="276" t="str">
        <f>IF(ISBLANK(I667), "", VLOOKUP(E667&amp;" "&amp;F667, 'Info Tipo de Cambio y REM'!$A$24:$B$35, 2, FALSE))
</f>
        <v/>
      </c>
      <c r="K667" s="107" t="str">
        <f t="shared" si="23"/>
        <v/>
      </c>
      <c r="L667" s="293">
        <f t="shared" si="5"/>
        <v>-5187415.025</v>
      </c>
      <c r="M667" s="293">
        <f t="shared" si="3"/>
        <v>-68574.41</v>
      </c>
      <c r="N667" s="293">
        <f t="shared" si="6"/>
        <v>0</v>
      </c>
      <c r="O667" s="277">
        <f t="shared" si="4"/>
        <v>-72146.60962</v>
      </c>
      <c r="P667" s="264"/>
      <c r="Q667" s="264"/>
      <c r="R667" s="264"/>
      <c r="S667" s="264"/>
      <c r="T667" s="264"/>
      <c r="U667" s="264"/>
      <c r="V667" s="264"/>
      <c r="W667" s="264"/>
      <c r="X667" s="264"/>
      <c r="Y667" s="264"/>
      <c r="Z667" s="264"/>
      <c r="AA667" s="264"/>
      <c r="AB667" s="264"/>
      <c r="AC667" s="264"/>
      <c r="AD667" s="264"/>
      <c r="AE667" s="264"/>
    </row>
    <row r="668">
      <c r="A668" s="272"/>
      <c r="B668" s="272"/>
      <c r="C668" s="272"/>
      <c r="D668" s="172"/>
      <c r="E668" s="267" t="str">
        <f t="shared" si="22"/>
        <v/>
      </c>
      <c r="F668" s="274" t="str">
        <f t="shared" si="2"/>
        <v/>
      </c>
      <c r="G668" s="42"/>
      <c r="H668" s="264"/>
      <c r="I668" s="277"/>
      <c r="J668" s="276" t="str">
        <f>IF(ISBLANK(I668), "", VLOOKUP(E668&amp;" "&amp;F668, 'Info Tipo de Cambio y REM'!$A$24:$B$35, 2, FALSE))
</f>
        <v/>
      </c>
      <c r="K668" s="107" t="str">
        <f t="shared" si="23"/>
        <v/>
      </c>
      <c r="L668" s="293">
        <f t="shared" si="5"/>
        <v>-5187415.025</v>
      </c>
      <c r="M668" s="293">
        <f t="shared" si="3"/>
        <v>-68574.41</v>
      </c>
      <c r="N668" s="293">
        <f t="shared" si="6"/>
        <v>0</v>
      </c>
      <c r="O668" s="277">
        <f t="shared" si="4"/>
        <v>-72146.60962</v>
      </c>
      <c r="P668" s="264"/>
      <c r="Q668" s="264"/>
      <c r="R668" s="264"/>
      <c r="S668" s="264"/>
      <c r="T668" s="264"/>
      <c r="U668" s="264"/>
      <c r="V668" s="264"/>
      <c r="W668" s="264"/>
      <c r="X668" s="264"/>
      <c r="Y668" s="264"/>
      <c r="Z668" s="264"/>
      <c r="AA668" s="264"/>
      <c r="AB668" s="264"/>
      <c r="AC668" s="264"/>
      <c r="AD668" s="264"/>
      <c r="AE668" s="264"/>
    </row>
    <row r="669">
      <c r="A669" s="272"/>
      <c r="B669" s="272"/>
      <c r="C669" s="272"/>
      <c r="D669" s="172"/>
      <c r="E669" s="267" t="str">
        <f t="shared" si="22"/>
        <v/>
      </c>
      <c r="F669" s="274" t="str">
        <f t="shared" si="2"/>
        <v/>
      </c>
      <c r="G669" s="42"/>
      <c r="H669" s="264"/>
      <c r="I669" s="277"/>
      <c r="J669" s="276" t="str">
        <f>IF(ISBLANK(I669), "", VLOOKUP(E669&amp;" "&amp;F669, 'Info Tipo de Cambio y REM'!$A$24:$B$35, 2, FALSE))
</f>
        <v/>
      </c>
      <c r="K669" s="107" t="str">
        <f t="shared" si="23"/>
        <v/>
      </c>
      <c r="L669" s="293">
        <f t="shared" si="5"/>
        <v>-5187415.025</v>
      </c>
      <c r="M669" s="293">
        <f t="shared" si="3"/>
        <v>-68574.41</v>
      </c>
      <c r="N669" s="293">
        <f t="shared" si="6"/>
        <v>0</v>
      </c>
      <c r="O669" s="277">
        <f t="shared" si="4"/>
        <v>-72146.60962</v>
      </c>
      <c r="P669" s="264"/>
      <c r="Q669" s="264"/>
      <c r="R669" s="264"/>
      <c r="S669" s="264"/>
      <c r="T669" s="264"/>
      <c r="U669" s="264"/>
      <c r="V669" s="264"/>
      <c r="W669" s="264"/>
      <c r="X669" s="264"/>
      <c r="Y669" s="264"/>
      <c r="Z669" s="264"/>
      <c r="AA669" s="264"/>
      <c r="AB669" s="264"/>
      <c r="AC669" s="264"/>
      <c r="AD669" s="264"/>
      <c r="AE669" s="264"/>
    </row>
    <row r="670">
      <c r="A670" s="272"/>
      <c r="B670" s="272"/>
      <c r="C670" s="272"/>
      <c r="D670" s="172"/>
      <c r="E670" s="267" t="str">
        <f t="shared" si="22"/>
        <v/>
      </c>
      <c r="F670" s="274" t="str">
        <f t="shared" si="2"/>
        <v/>
      </c>
      <c r="G670" s="42"/>
      <c r="H670" s="264"/>
      <c r="I670" s="277"/>
      <c r="J670" s="276" t="str">
        <f>IF(ISBLANK(I670), "", VLOOKUP(E670&amp;" "&amp;F670, 'Info Tipo de Cambio y REM'!$A$24:$B$35, 2, FALSE))
</f>
        <v/>
      </c>
      <c r="K670" s="107" t="str">
        <f t="shared" si="23"/>
        <v/>
      </c>
      <c r="L670" s="293">
        <f t="shared" si="5"/>
        <v>-5187415.025</v>
      </c>
      <c r="M670" s="293">
        <f t="shared" si="3"/>
        <v>-68574.41</v>
      </c>
      <c r="N670" s="293">
        <f t="shared" si="6"/>
        <v>0</v>
      </c>
      <c r="O670" s="277">
        <f t="shared" si="4"/>
        <v>-72146.60962</v>
      </c>
      <c r="P670" s="264"/>
      <c r="Q670" s="264"/>
      <c r="R670" s="264"/>
      <c r="S670" s="264"/>
      <c r="T670" s="264"/>
      <c r="U670" s="264"/>
      <c r="V670" s="264"/>
      <c r="W670" s="264"/>
      <c r="X670" s="264"/>
      <c r="Y670" s="264"/>
      <c r="Z670" s="264"/>
      <c r="AA670" s="264"/>
      <c r="AB670" s="264"/>
      <c r="AC670" s="264"/>
      <c r="AD670" s="264"/>
      <c r="AE670" s="264"/>
    </row>
    <row r="671">
      <c r="A671" s="272"/>
      <c r="B671" s="272"/>
      <c r="C671" s="272"/>
      <c r="D671" s="172"/>
      <c r="E671" s="267" t="str">
        <f t="shared" si="22"/>
        <v/>
      </c>
      <c r="F671" s="274" t="str">
        <f t="shared" si="2"/>
        <v/>
      </c>
      <c r="G671" s="42"/>
      <c r="H671" s="264"/>
      <c r="I671" s="277"/>
      <c r="J671" s="276" t="str">
        <f>IF(ISBLANK(I671), "", VLOOKUP(E671&amp;" "&amp;F671, 'Info Tipo de Cambio y REM'!$A$24:$B$35, 2, FALSE))
</f>
        <v/>
      </c>
      <c r="K671" s="107" t="str">
        <f t="shared" si="23"/>
        <v/>
      </c>
      <c r="L671" s="293">
        <f t="shared" si="5"/>
        <v>-5187415.025</v>
      </c>
      <c r="M671" s="293">
        <f t="shared" si="3"/>
        <v>-68574.41</v>
      </c>
      <c r="N671" s="293">
        <f t="shared" si="6"/>
        <v>0</v>
      </c>
      <c r="O671" s="277">
        <f t="shared" si="4"/>
        <v>-72146.60962</v>
      </c>
      <c r="P671" s="264"/>
      <c r="Q671" s="264"/>
      <c r="R671" s="264"/>
      <c r="S671" s="264"/>
      <c r="T671" s="264"/>
      <c r="U671" s="264"/>
      <c r="V671" s="264"/>
      <c r="W671" s="264"/>
      <c r="X671" s="264"/>
      <c r="Y671" s="264"/>
      <c r="Z671" s="264"/>
      <c r="AA671" s="264"/>
      <c r="AB671" s="264"/>
      <c r="AC671" s="264"/>
      <c r="AD671" s="264"/>
      <c r="AE671" s="264"/>
    </row>
    <row r="672">
      <c r="A672" s="272"/>
      <c r="B672" s="272"/>
      <c r="C672" s="272"/>
      <c r="D672" s="172"/>
      <c r="E672" s="267" t="str">
        <f t="shared" si="22"/>
        <v/>
      </c>
      <c r="F672" s="274" t="str">
        <f t="shared" si="2"/>
        <v/>
      </c>
      <c r="G672" s="42"/>
      <c r="H672" s="264"/>
      <c r="I672" s="277"/>
      <c r="J672" s="276" t="str">
        <f>IF(ISBLANK(I672), "", VLOOKUP(E672&amp;" "&amp;F672, 'Info Tipo de Cambio y REM'!$A$24:$B$35, 2, FALSE))
</f>
        <v/>
      </c>
      <c r="K672" s="107" t="str">
        <f t="shared" si="23"/>
        <v/>
      </c>
      <c r="L672" s="293">
        <f t="shared" si="5"/>
        <v>-5187415.025</v>
      </c>
      <c r="M672" s="293">
        <f t="shared" si="3"/>
        <v>-68574.41</v>
      </c>
      <c r="N672" s="293">
        <f t="shared" si="6"/>
        <v>0</v>
      </c>
      <c r="O672" s="277">
        <f t="shared" si="4"/>
        <v>-72146.60962</v>
      </c>
      <c r="P672" s="264"/>
      <c r="Q672" s="264"/>
      <c r="R672" s="264"/>
      <c r="S672" s="264"/>
      <c r="T672" s="264"/>
      <c r="U672" s="264"/>
      <c r="V672" s="264"/>
      <c r="W672" s="264"/>
      <c r="X672" s="264"/>
      <c r="Y672" s="264"/>
      <c r="Z672" s="264"/>
      <c r="AA672" s="264"/>
      <c r="AB672" s="264"/>
      <c r="AC672" s="264"/>
      <c r="AD672" s="264"/>
      <c r="AE672" s="264"/>
    </row>
    <row r="673">
      <c r="A673" s="272"/>
      <c r="B673" s="272"/>
      <c r="C673" s="272"/>
      <c r="D673" s="172"/>
      <c r="E673" s="267" t="str">
        <f t="shared" si="22"/>
        <v/>
      </c>
      <c r="F673" s="274" t="str">
        <f t="shared" si="2"/>
        <v/>
      </c>
      <c r="G673" s="42"/>
      <c r="H673" s="264"/>
      <c r="I673" s="277"/>
      <c r="J673" s="276" t="str">
        <f>IF(ISBLANK(I673), "", VLOOKUP(E673&amp;" "&amp;F673, 'Info Tipo de Cambio y REM'!$A$24:$B$35, 2, FALSE))
</f>
        <v/>
      </c>
      <c r="K673" s="107" t="str">
        <f t="shared" si="23"/>
        <v/>
      </c>
      <c r="L673" s="293">
        <f t="shared" si="5"/>
        <v>-5187415.025</v>
      </c>
      <c r="M673" s="293">
        <f t="shared" si="3"/>
        <v>-68574.41</v>
      </c>
      <c r="N673" s="293">
        <f t="shared" si="6"/>
        <v>0</v>
      </c>
      <c r="O673" s="277">
        <f t="shared" si="4"/>
        <v>-72146.60962</v>
      </c>
      <c r="P673" s="264"/>
      <c r="Q673" s="264"/>
      <c r="R673" s="264"/>
      <c r="S673" s="264"/>
      <c r="T673" s="264"/>
      <c r="U673" s="264"/>
      <c r="V673" s="264"/>
      <c r="W673" s="264"/>
      <c r="X673" s="264"/>
      <c r="Y673" s="264"/>
      <c r="Z673" s="264"/>
      <c r="AA673" s="264"/>
      <c r="AB673" s="264"/>
      <c r="AC673" s="264"/>
      <c r="AD673" s="264"/>
      <c r="AE673" s="264"/>
    </row>
    <row r="674">
      <c r="A674" s="272"/>
      <c r="B674" s="272"/>
      <c r="C674" s="272"/>
      <c r="D674" s="172"/>
      <c r="E674" s="267" t="str">
        <f t="shared" si="22"/>
        <v/>
      </c>
      <c r="F674" s="274" t="str">
        <f t="shared" si="2"/>
        <v/>
      </c>
      <c r="G674" s="42"/>
      <c r="H674" s="264"/>
      <c r="I674" s="277"/>
      <c r="J674" s="276" t="str">
        <f>IF(ISBLANK(I674), "", VLOOKUP(E674&amp;" "&amp;F674, 'Info Tipo de Cambio y REM'!$A$24:$B$35, 2, FALSE))
</f>
        <v/>
      </c>
      <c r="K674" s="107" t="str">
        <f t="shared" si="23"/>
        <v/>
      </c>
      <c r="L674" s="293">
        <f t="shared" si="5"/>
        <v>-5187415.025</v>
      </c>
      <c r="M674" s="293">
        <f t="shared" si="3"/>
        <v>-68574.41</v>
      </c>
      <c r="N674" s="293">
        <f t="shared" si="6"/>
        <v>0</v>
      </c>
      <c r="O674" s="277">
        <f t="shared" si="4"/>
        <v>-72146.60962</v>
      </c>
      <c r="P674" s="264"/>
      <c r="Q674" s="264"/>
      <c r="R674" s="264"/>
      <c r="S674" s="264"/>
      <c r="T674" s="264"/>
      <c r="U674" s="264"/>
      <c r="V674" s="264"/>
      <c r="W674" s="264"/>
      <c r="X674" s="264"/>
      <c r="Y674" s="264"/>
      <c r="Z674" s="264"/>
      <c r="AA674" s="264"/>
      <c r="AB674" s="264"/>
      <c r="AC674" s="264"/>
      <c r="AD674" s="264"/>
      <c r="AE674" s="264"/>
    </row>
    <row r="675">
      <c r="A675" s="272"/>
      <c r="B675" s="272"/>
      <c r="C675" s="272"/>
      <c r="D675" s="172"/>
      <c r="E675" s="267" t="str">
        <f t="shared" si="22"/>
        <v/>
      </c>
      <c r="F675" s="274" t="str">
        <f t="shared" si="2"/>
        <v/>
      </c>
      <c r="G675" s="42"/>
      <c r="H675" s="264"/>
      <c r="I675" s="277"/>
      <c r="J675" s="276" t="str">
        <f>IF(ISBLANK(I675), "", VLOOKUP(E675&amp;" "&amp;F675, 'Info Tipo de Cambio y REM'!$A$24:$B$35, 2, FALSE))
</f>
        <v/>
      </c>
      <c r="K675" s="107" t="str">
        <f t="shared" si="23"/>
        <v/>
      </c>
      <c r="L675" s="293">
        <f t="shared" si="5"/>
        <v>-5187415.025</v>
      </c>
      <c r="M675" s="293">
        <f t="shared" si="3"/>
        <v>-68574.41</v>
      </c>
      <c r="N675" s="293">
        <f t="shared" si="6"/>
        <v>0</v>
      </c>
      <c r="O675" s="277">
        <f t="shared" si="4"/>
        <v>-72146.60962</v>
      </c>
      <c r="P675" s="264"/>
      <c r="Q675" s="264"/>
      <c r="R675" s="264"/>
      <c r="S675" s="264"/>
      <c r="T675" s="264"/>
      <c r="U675" s="264"/>
      <c r="V675" s="264"/>
      <c r="W675" s="264"/>
      <c r="X675" s="264"/>
      <c r="Y675" s="264"/>
      <c r="Z675" s="264"/>
      <c r="AA675" s="264"/>
      <c r="AB675" s="264"/>
      <c r="AC675" s="264"/>
      <c r="AD675" s="264"/>
      <c r="AE675" s="264"/>
    </row>
    <row r="676">
      <c r="A676" s="272"/>
      <c r="B676" s="272"/>
      <c r="C676" s="272"/>
      <c r="D676" s="172"/>
      <c r="E676" s="267" t="str">
        <f t="shared" si="22"/>
        <v/>
      </c>
      <c r="F676" s="274" t="str">
        <f t="shared" si="2"/>
        <v/>
      </c>
      <c r="G676" s="42"/>
      <c r="H676" s="264"/>
      <c r="I676" s="277"/>
      <c r="J676" s="276" t="str">
        <f>IF(ISBLANK(I676), "", VLOOKUP(E676&amp;" "&amp;F676, 'Info Tipo de Cambio y REM'!$A$24:$B$35, 2, FALSE))
</f>
        <v/>
      </c>
      <c r="K676" s="107" t="str">
        <f t="shared" si="23"/>
        <v/>
      </c>
      <c r="L676" s="293">
        <f t="shared" si="5"/>
        <v>-5187415.025</v>
      </c>
      <c r="M676" s="293">
        <f t="shared" si="3"/>
        <v>-68574.41</v>
      </c>
      <c r="N676" s="293">
        <f t="shared" si="6"/>
        <v>0</v>
      </c>
      <c r="O676" s="277">
        <f t="shared" si="4"/>
        <v>-72146.60962</v>
      </c>
      <c r="P676" s="264"/>
      <c r="Q676" s="264"/>
      <c r="R676" s="264"/>
      <c r="S676" s="264"/>
      <c r="T676" s="264"/>
      <c r="U676" s="264"/>
      <c r="V676" s="264"/>
      <c r="W676" s="264"/>
      <c r="X676" s="264"/>
      <c r="Y676" s="264"/>
      <c r="Z676" s="264"/>
      <c r="AA676" s="264"/>
      <c r="AB676" s="264"/>
      <c r="AC676" s="264"/>
      <c r="AD676" s="264"/>
      <c r="AE676" s="264"/>
    </row>
    <row r="677">
      <c r="A677" s="272"/>
      <c r="B677" s="272"/>
      <c r="C677" s="272"/>
      <c r="D677" s="172"/>
      <c r="E677" s="267" t="str">
        <f t="shared" si="22"/>
        <v/>
      </c>
      <c r="F677" s="274" t="str">
        <f t="shared" si="2"/>
        <v/>
      </c>
      <c r="G677" s="42"/>
      <c r="H677" s="264"/>
      <c r="I677" s="277"/>
      <c r="J677" s="276" t="str">
        <f>IF(ISBLANK(I677), "", VLOOKUP(E677&amp;" "&amp;F677, 'Info Tipo de Cambio y REM'!$A$24:$B$35, 2, FALSE))
</f>
        <v/>
      </c>
      <c r="K677" s="107" t="str">
        <f t="shared" si="23"/>
        <v/>
      </c>
      <c r="L677" s="293">
        <f t="shared" si="5"/>
        <v>-5187415.025</v>
      </c>
      <c r="M677" s="293">
        <f t="shared" si="3"/>
        <v>-68574.41</v>
      </c>
      <c r="N677" s="293">
        <f t="shared" si="6"/>
        <v>0</v>
      </c>
      <c r="O677" s="277">
        <f t="shared" si="4"/>
        <v>-72146.60962</v>
      </c>
      <c r="P677" s="264"/>
      <c r="Q677" s="264"/>
      <c r="R677" s="264"/>
      <c r="S677" s="264"/>
      <c r="T677" s="264"/>
      <c r="U677" s="264"/>
      <c r="V677" s="264"/>
      <c r="W677" s="264"/>
      <c r="X677" s="264"/>
      <c r="Y677" s="264"/>
      <c r="Z677" s="264"/>
      <c r="AA677" s="264"/>
      <c r="AB677" s="264"/>
      <c r="AC677" s="264"/>
      <c r="AD677" s="264"/>
      <c r="AE677" s="264"/>
    </row>
    <row r="678">
      <c r="A678" s="272"/>
      <c r="B678" s="272"/>
      <c r="C678" s="272"/>
      <c r="D678" s="172"/>
      <c r="E678" s="267" t="str">
        <f t="shared" si="22"/>
        <v/>
      </c>
      <c r="F678" s="274" t="str">
        <f t="shared" si="2"/>
        <v/>
      </c>
      <c r="G678" s="42"/>
      <c r="H678" s="264"/>
      <c r="I678" s="277"/>
      <c r="J678" s="276" t="str">
        <f>IF(ISBLANK(I678), "", VLOOKUP(E678&amp;" "&amp;F678, 'Info Tipo de Cambio y REM'!$A$24:$B$35, 2, FALSE))
</f>
        <v/>
      </c>
      <c r="K678" s="107" t="str">
        <f t="shared" si="23"/>
        <v/>
      </c>
      <c r="L678" s="293">
        <f t="shared" si="5"/>
        <v>-5187415.025</v>
      </c>
      <c r="M678" s="293">
        <f t="shared" si="3"/>
        <v>-68574.41</v>
      </c>
      <c r="N678" s="293">
        <f t="shared" si="6"/>
        <v>0</v>
      </c>
      <c r="O678" s="277">
        <f t="shared" si="4"/>
        <v>-72146.60962</v>
      </c>
      <c r="P678" s="264"/>
      <c r="Q678" s="264"/>
      <c r="R678" s="264"/>
      <c r="S678" s="264"/>
      <c r="T678" s="264"/>
      <c r="U678" s="264"/>
      <c r="V678" s="264"/>
      <c r="W678" s="264"/>
      <c r="X678" s="264"/>
      <c r="Y678" s="264"/>
      <c r="Z678" s="264"/>
      <c r="AA678" s="264"/>
      <c r="AB678" s="264"/>
      <c r="AC678" s="264"/>
      <c r="AD678" s="264"/>
      <c r="AE678" s="264"/>
    </row>
    <row r="679">
      <c r="A679" s="272"/>
      <c r="B679" s="272"/>
      <c r="C679" s="272"/>
      <c r="D679" s="172"/>
      <c r="E679" s="267" t="str">
        <f t="shared" si="22"/>
        <v/>
      </c>
      <c r="F679" s="274" t="str">
        <f t="shared" si="2"/>
        <v/>
      </c>
      <c r="G679" s="42"/>
      <c r="H679" s="264"/>
      <c r="I679" s="277"/>
      <c r="J679" s="276" t="str">
        <f>IF(ISBLANK(I679), "", VLOOKUP(E679&amp;" "&amp;F679, 'Info Tipo de Cambio y REM'!$A$24:$B$35, 2, FALSE))
</f>
        <v/>
      </c>
      <c r="K679" s="107" t="str">
        <f t="shared" si="23"/>
        <v/>
      </c>
      <c r="L679" s="293">
        <f t="shared" si="5"/>
        <v>-5187415.025</v>
      </c>
      <c r="M679" s="293">
        <f t="shared" si="3"/>
        <v>-68574.41</v>
      </c>
      <c r="N679" s="293">
        <f t="shared" si="6"/>
        <v>0</v>
      </c>
      <c r="O679" s="277">
        <f t="shared" si="4"/>
        <v>-72146.60962</v>
      </c>
      <c r="P679" s="264"/>
      <c r="Q679" s="264"/>
      <c r="R679" s="264"/>
      <c r="S679" s="264"/>
      <c r="T679" s="264"/>
      <c r="U679" s="264"/>
      <c r="V679" s="264"/>
      <c r="W679" s="264"/>
      <c r="X679" s="264"/>
      <c r="Y679" s="264"/>
      <c r="Z679" s="264"/>
      <c r="AA679" s="264"/>
      <c r="AB679" s="264"/>
      <c r="AC679" s="264"/>
      <c r="AD679" s="264"/>
      <c r="AE679" s="264"/>
    </row>
    <row r="680">
      <c r="A680" s="272"/>
      <c r="B680" s="272"/>
      <c r="C680" s="272"/>
      <c r="D680" s="172"/>
      <c r="E680" s="267" t="str">
        <f t="shared" si="22"/>
        <v/>
      </c>
      <c r="F680" s="274" t="str">
        <f t="shared" si="2"/>
        <v/>
      </c>
      <c r="G680" s="42"/>
      <c r="H680" s="264"/>
      <c r="I680" s="277"/>
      <c r="J680" s="276" t="str">
        <f>IF(ISBLANK(I680), "", VLOOKUP(E680&amp;" "&amp;F680, 'Info Tipo de Cambio y REM'!$A$24:$B$35, 2, FALSE))
</f>
        <v/>
      </c>
      <c r="K680" s="107" t="str">
        <f t="shared" si="23"/>
        <v/>
      </c>
      <c r="L680" s="293">
        <f t="shared" si="5"/>
        <v>-5187415.025</v>
      </c>
      <c r="M680" s="293">
        <f t="shared" si="3"/>
        <v>-68574.41</v>
      </c>
      <c r="N680" s="293">
        <f t="shared" si="6"/>
        <v>0</v>
      </c>
      <c r="O680" s="277">
        <f t="shared" si="4"/>
        <v>-72146.60962</v>
      </c>
      <c r="P680" s="264"/>
      <c r="Q680" s="264"/>
      <c r="R680" s="264"/>
      <c r="S680" s="264"/>
      <c r="T680" s="264"/>
      <c r="U680" s="264"/>
      <c r="V680" s="264"/>
      <c r="W680" s="264"/>
      <c r="X680" s="264"/>
      <c r="Y680" s="264"/>
      <c r="Z680" s="264"/>
      <c r="AA680" s="264"/>
      <c r="AB680" s="264"/>
      <c r="AC680" s="264"/>
      <c r="AD680" s="264"/>
      <c r="AE680" s="264"/>
    </row>
    <row r="681">
      <c r="A681" s="272"/>
      <c r="B681" s="272"/>
      <c r="C681" s="272"/>
      <c r="D681" s="172"/>
      <c r="E681" s="267" t="str">
        <f t="shared" si="22"/>
        <v/>
      </c>
      <c r="F681" s="274" t="str">
        <f t="shared" si="2"/>
        <v/>
      </c>
      <c r="G681" s="42"/>
      <c r="H681" s="264"/>
      <c r="I681" s="277"/>
      <c r="J681" s="276" t="str">
        <f>IF(ISBLANK(I681), "", VLOOKUP(E681&amp;" "&amp;F681, 'Info Tipo de Cambio y REM'!$A$24:$B$35, 2, FALSE))
</f>
        <v/>
      </c>
      <c r="K681" s="107" t="str">
        <f t="shared" si="23"/>
        <v/>
      </c>
      <c r="L681" s="293">
        <f t="shared" si="5"/>
        <v>-5187415.025</v>
      </c>
      <c r="M681" s="293">
        <f t="shared" si="3"/>
        <v>-68574.41</v>
      </c>
      <c r="N681" s="293">
        <f t="shared" si="6"/>
        <v>0</v>
      </c>
      <c r="O681" s="277">
        <f t="shared" si="4"/>
        <v>-72146.60962</v>
      </c>
      <c r="P681" s="264"/>
      <c r="Q681" s="264"/>
      <c r="R681" s="264"/>
      <c r="S681" s="264"/>
      <c r="T681" s="264"/>
      <c r="U681" s="264"/>
      <c r="V681" s="264"/>
      <c r="W681" s="264"/>
      <c r="X681" s="264"/>
      <c r="Y681" s="264"/>
      <c r="Z681" s="264"/>
      <c r="AA681" s="264"/>
      <c r="AB681" s="264"/>
      <c r="AC681" s="264"/>
      <c r="AD681" s="264"/>
      <c r="AE681" s="264"/>
    </row>
    <row r="682">
      <c r="A682" s="272"/>
      <c r="B682" s="272"/>
      <c r="C682" s="272"/>
      <c r="D682" s="172"/>
      <c r="E682" s="267" t="str">
        <f t="shared" si="22"/>
        <v/>
      </c>
      <c r="F682" s="274" t="str">
        <f t="shared" si="2"/>
        <v/>
      </c>
      <c r="G682" s="42"/>
      <c r="H682" s="264"/>
      <c r="I682" s="277"/>
      <c r="J682" s="276" t="str">
        <f>IF(ISBLANK(I682), "", VLOOKUP(E682&amp;" "&amp;F682, 'Info Tipo de Cambio y REM'!$A$24:$B$35, 2, FALSE))
</f>
        <v/>
      </c>
      <c r="K682" s="107" t="str">
        <f t="shared" si="23"/>
        <v/>
      </c>
      <c r="L682" s="293">
        <f t="shared" si="5"/>
        <v>-5187415.025</v>
      </c>
      <c r="M682" s="293">
        <f t="shared" si="3"/>
        <v>-68574.41</v>
      </c>
      <c r="N682" s="293">
        <f t="shared" si="6"/>
        <v>0</v>
      </c>
      <c r="O682" s="277">
        <f t="shared" si="4"/>
        <v>-72146.60962</v>
      </c>
      <c r="P682" s="264"/>
      <c r="Q682" s="264"/>
      <c r="R682" s="264"/>
      <c r="S682" s="264"/>
      <c r="T682" s="264"/>
      <c r="U682" s="264"/>
      <c r="V682" s="264"/>
      <c r="W682" s="264"/>
      <c r="X682" s="264"/>
      <c r="Y682" s="264"/>
      <c r="Z682" s="264"/>
      <c r="AA682" s="264"/>
      <c r="AB682" s="264"/>
      <c r="AC682" s="264"/>
      <c r="AD682" s="264"/>
      <c r="AE682" s="264"/>
    </row>
    <row r="683">
      <c r="A683" s="272"/>
      <c r="B683" s="272"/>
      <c r="C683" s="272"/>
      <c r="D683" s="172"/>
      <c r="E683" s="267" t="str">
        <f t="shared" si="22"/>
        <v/>
      </c>
      <c r="F683" s="274" t="str">
        <f t="shared" si="2"/>
        <v/>
      </c>
      <c r="G683" s="42"/>
      <c r="H683" s="264"/>
      <c r="I683" s="277"/>
      <c r="J683" s="276" t="str">
        <f>IF(ISBLANK(I683), "", VLOOKUP(E683&amp;" "&amp;F683, 'Info Tipo de Cambio y REM'!$A$24:$B$35, 2, FALSE))
</f>
        <v/>
      </c>
      <c r="K683" s="107" t="str">
        <f t="shared" si="23"/>
        <v/>
      </c>
      <c r="L683" s="293">
        <f t="shared" si="5"/>
        <v>-5187415.025</v>
      </c>
      <c r="M683" s="293">
        <f t="shared" si="3"/>
        <v>-68574.41</v>
      </c>
      <c r="N683" s="293">
        <f t="shared" si="6"/>
        <v>0</v>
      </c>
      <c r="O683" s="277">
        <f t="shared" si="4"/>
        <v>-72146.60962</v>
      </c>
      <c r="P683" s="264"/>
      <c r="Q683" s="264"/>
      <c r="R683" s="264"/>
      <c r="S683" s="264"/>
      <c r="T683" s="264"/>
      <c r="U683" s="264"/>
      <c r="V683" s="264"/>
      <c r="W683" s="264"/>
      <c r="X683" s="264"/>
      <c r="Y683" s="264"/>
      <c r="Z683" s="264"/>
      <c r="AA683" s="264"/>
      <c r="AB683" s="264"/>
      <c r="AC683" s="264"/>
      <c r="AD683" s="264"/>
      <c r="AE683" s="264"/>
    </row>
    <row r="684">
      <c r="A684" s="272"/>
      <c r="B684" s="272"/>
      <c r="C684" s="272"/>
      <c r="D684" s="172"/>
      <c r="E684" s="267" t="str">
        <f t="shared" si="22"/>
        <v/>
      </c>
      <c r="F684" s="274" t="str">
        <f t="shared" si="2"/>
        <v/>
      </c>
      <c r="G684" s="42"/>
      <c r="H684" s="264"/>
      <c r="I684" s="277"/>
      <c r="J684" s="276" t="str">
        <f>IF(ISBLANK(I684), "", VLOOKUP(E684&amp;" "&amp;F684, 'Info Tipo de Cambio y REM'!$A$24:$B$35, 2, FALSE))
</f>
        <v/>
      </c>
      <c r="K684" s="107" t="str">
        <f t="shared" si="23"/>
        <v/>
      </c>
      <c r="L684" s="293">
        <f t="shared" si="5"/>
        <v>-5187415.025</v>
      </c>
      <c r="M684" s="293">
        <f t="shared" si="3"/>
        <v>-68574.41</v>
      </c>
      <c r="N684" s="293">
        <f t="shared" si="6"/>
        <v>0</v>
      </c>
      <c r="O684" s="277">
        <f t="shared" si="4"/>
        <v>-72146.60962</v>
      </c>
      <c r="P684" s="264"/>
      <c r="Q684" s="264"/>
      <c r="R684" s="264"/>
      <c r="S684" s="264"/>
      <c r="T684" s="264"/>
      <c r="U684" s="264"/>
      <c r="V684" s="264"/>
      <c r="W684" s="264"/>
      <c r="X684" s="264"/>
      <c r="Y684" s="264"/>
      <c r="Z684" s="264"/>
      <c r="AA684" s="264"/>
      <c r="AB684" s="264"/>
      <c r="AC684" s="264"/>
      <c r="AD684" s="264"/>
      <c r="AE684" s="264"/>
    </row>
    <row r="685">
      <c r="A685" s="272"/>
      <c r="B685" s="272"/>
      <c r="C685" s="272"/>
      <c r="D685" s="172"/>
      <c r="E685" s="267" t="str">
        <f t="shared" si="22"/>
        <v/>
      </c>
      <c r="F685" s="274" t="str">
        <f t="shared" si="2"/>
        <v/>
      </c>
      <c r="G685" s="42"/>
      <c r="H685" s="264"/>
      <c r="I685" s="277"/>
      <c r="J685" s="276" t="str">
        <f>IF(ISBLANK(I685), "", VLOOKUP(E685&amp;" "&amp;F685, 'Info Tipo de Cambio y REM'!$A$24:$B$35, 2, FALSE))
</f>
        <v/>
      </c>
      <c r="K685" s="107" t="str">
        <f t="shared" si="23"/>
        <v/>
      </c>
      <c r="L685" s="293">
        <f t="shared" si="5"/>
        <v>-5187415.025</v>
      </c>
      <c r="M685" s="293">
        <f t="shared" si="3"/>
        <v>-68574.41</v>
      </c>
      <c r="N685" s="293">
        <f t="shared" si="6"/>
        <v>0</v>
      </c>
      <c r="O685" s="277">
        <f t="shared" si="4"/>
        <v>-72146.60962</v>
      </c>
      <c r="P685" s="264"/>
      <c r="Q685" s="264"/>
      <c r="R685" s="264"/>
      <c r="S685" s="264"/>
      <c r="T685" s="264"/>
      <c r="U685" s="264"/>
      <c r="V685" s="264"/>
      <c r="W685" s="264"/>
      <c r="X685" s="264"/>
      <c r="Y685" s="264"/>
      <c r="Z685" s="264"/>
      <c r="AA685" s="264"/>
      <c r="AB685" s="264"/>
      <c r="AC685" s="264"/>
      <c r="AD685" s="264"/>
      <c r="AE685" s="264"/>
    </row>
    <row r="686">
      <c r="A686" s="272"/>
      <c r="B686" s="272"/>
      <c r="C686" s="272"/>
      <c r="D686" s="172"/>
      <c r="E686" s="267" t="str">
        <f t="shared" si="22"/>
        <v/>
      </c>
      <c r="F686" s="274" t="str">
        <f t="shared" si="2"/>
        <v/>
      </c>
      <c r="G686" s="42"/>
      <c r="H686" s="264"/>
      <c r="I686" s="277"/>
      <c r="J686" s="276" t="str">
        <f>IF(ISBLANK(I686), "", VLOOKUP(E686&amp;" "&amp;F686, 'Info Tipo de Cambio y REM'!$A$24:$B$35, 2, FALSE))
</f>
        <v/>
      </c>
      <c r="K686" s="107" t="str">
        <f t="shared" si="23"/>
        <v/>
      </c>
      <c r="L686" s="293">
        <f t="shared" si="5"/>
        <v>-5187415.025</v>
      </c>
      <c r="M686" s="293">
        <f t="shared" si="3"/>
        <v>-68574.41</v>
      </c>
      <c r="N686" s="293">
        <f t="shared" si="6"/>
        <v>0</v>
      </c>
      <c r="O686" s="277">
        <f t="shared" si="4"/>
        <v>-72146.60962</v>
      </c>
      <c r="P686" s="264"/>
      <c r="Q686" s="264"/>
      <c r="R686" s="264"/>
      <c r="S686" s="264"/>
      <c r="T686" s="264"/>
      <c r="U686" s="264"/>
      <c r="V686" s="264"/>
      <c r="W686" s="264"/>
      <c r="X686" s="264"/>
      <c r="Y686" s="264"/>
      <c r="Z686" s="264"/>
      <c r="AA686" s="264"/>
      <c r="AB686" s="264"/>
      <c r="AC686" s="264"/>
      <c r="AD686" s="264"/>
      <c r="AE686" s="264"/>
    </row>
    <row r="687">
      <c r="A687" s="272"/>
      <c r="B687" s="272"/>
      <c r="C687" s="272"/>
      <c r="D687" s="172"/>
      <c r="E687" s="267" t="str">
        <f t="shared" si="22"/>
        <v/>
      </c>
      <c r="F687" s="274" t="str">
        <f t="shared" si="2"/>
        <v/>
      </c>
      <c r="G687" s="42"/>
      <c r="H687" s="264"/>
      <c r="I687" s="277"/>
      <c r="J687" s="276" t="str">
        <f>IF(ISBLANK(I687), "", VLOOKUP(E687&amp;" "&amp;F687, 'Info Tipo de Cambio y REM'!$A$24:$B$35, 2, FALSE))
</f>
        <v/>
      </c>
      <c r="K687" s="107" t="str">
        <f t="shared" si="23"/>
        <v/>
      </c>
      <c r="L687" s="293">
        <f t="shared" si="5"/>
        <v>-5187415.025</v>
      </c>
      <c r="M687" s="293">
        <f t="shared" si="3"/>
        <v>-68574.41</v>
      </c>
      <c r="N687" s="293">
        <f t="shared" si="6"/>
        <v>0</v>
      </c>
      <c r="O687" s="277">
        <f t="shared" si="4"/>
        <v>-72146.60962</v>
      </c>
      <c r="P687" s="264"/>
      <c r="Q687" s="264"/>
      <c r="R687" s="264"/>
      <c r="S687" s="264"/>
      <c r="T687" s="264"/>
      <c r="U687" s="264"/>
      <c r="V687" s="264"/>
      <c r="W687" s="264"/>
      <c r="X687" s="264"/>
      <c r="Y687" s="264"/>
      <c r="Z687" s="264"/>
      <c r="AA687" s="264"/>
      <c r="AB687" s="264"/>
      <c r="AC687" s="264"/>
      <c r="AD687" s="264"/>
      <c r="AE687" s="264"/>
    </row>
    <row r="688">
      <c r="A688" s="272"/>
      <c r="B688" s="272"/>
      <c r="C688" s="272"/>
      <c r="D688" s="172"/>
      <c r="E688" s="267" t="str">
        <f t="shared" si="22"/>
        <v/>
      </c>
      <c r="F688" s="274" t="str">
        <f t="shared" si="2"/>
        <v/>
      </c>
      <c r="G688" s="42"/>
      <c r="H688" s="264"/>
      <c r="I688" s="277"/>
      <c r="J688" s="276" t="str">
        <f>IF(ISBLANK(I688), "", VLOOKUP(E688&amp;" "&amp;F688, 'Info Tipo de Cambio y REM'!$A$24:$B$35, 2, FALSE))
</f>
        <v/>
      </c>
      <c r="K688" s="107" t="str">
        <f t="shared" si="23"/>
        <v/>
      </c>
      <c r="L688" s="293">
        <f t="shared" si="5"/>
        <v>-5187415.025</v>
      </c>
      <c r="M688" s="293">
        <f t="shared" si="3"/>
        <v>-68574.41</v>
      </c>
      <c r="N688" s="293">
        <f t="shared" si="6"/>
        <v>0</v>
      </c>
      <c r="O688" s="277">
        <f t="shared" si="4"/>
        <v>-72146.60962</v>
      </c>
      <c r="P688" s="264"/>
      <c r="Q688" s="264"/>
      <c r="R688" s="264"/>
      <c r="S688" s="264"/>
      <c r="T688" s="264"/>
      <c r="U688" s="264"/>
      <c r="V688" s="264"/>
      <c r="W688" s="264"/>
      <c r="X688" s="264"/>
      <c r="Y688" s="264"/>
      <c r="Z688" s="264"/>
      <c r="AA688" s="264"/>
      <c r="AB688" s="264"/>
      <c r="AC688" s="264"/>
      <c r="AD688" s="264"/>
      <c r="AE688" s="264"/>
    </row>
    <row r="689">
      <c r="A689" s="272"/>
      <c r="B689" s="272"/>
      <c r="C689" s="272"/>
      <c r="D689" s="172"/>
      <c r="E689" s="267" t="str">
        <f t="shared" si="22"/>
        <v/>
      </c>
      <c r="F689" s="274" t="str">
        <f t="shared" si="2"/>
        <v/>
      </c>
      <c r="G689" s="42"/>
      <c r="H689" s="264"/>
      <c r="I689" s="277"/>
      <c r="J689" s="276" t="str">
        <f>IF(ISBLANK(I689), "", VLOOKUP(E689&amp;" "&amp;F689, 'Info Tipo de Cambio y REM'!$A$24:$B$35, 2, FALSE))
</f>
        <v/>
      </c>
      <c r="K689" s="107" t="str">
        <f t="shared" si="23"/>
        <v/>
      </c>
      <c r="L689" s="293">
        <f t="shared" si="5"/>
        <v>-5187415.025</v>
      </c>
      <c r="M689" s="293">
        <f t="shared" si="3"/>
        <v>-68574.41</v>
      </c>
      <c r="N689" s="293">
        <f t="shared" si="6"/>
        <v>0</v>
      </c>
      <c r="O689" s="277">
        <f t="shared" si="4"/>
        <v>-72146.60962</v>
      </c>
      <c r="P689" s="264"/>
      <c r="Q689" s="264"/>
      <c r="R689" s="264"/>
      <c r="S689" s="264"/>
      <c r="T689" s="264"/>
      <c r="U689" s="264"/>
      <c r="V689" s="264"/>
      <c r="W689" s="264"/>
      <c r="X689" s="264"/>
      <c r="Y689" s="264"/>
      <c r="Z689" s="264"/>
      <c r="AA689" s="264"/>
      <c r="AB689" s="264"/>
      <c r="AC689" s="264"/>
      <c r="AD689" s="264"/>
      <c r="AE689" s="264"/>
    </row>
    <row r="690">
      <c r="A690" s="272"/>
      <c r="B690" s="272"/>
      <c r="C690" s="272"/>
      <c r="D690" s="172"/>
      <c r="E690" s="267" t="str">
        <f t="shared" si="22"/>
        <v/>
      </c>
      <c r="F690" s="274" t="str">
        <f t="shared" si="2"/>
        <v/>
      </c>
      <c r="G690" s="42"/>
      <c r="H690" s="264"/>
      <c r="I690" s="277"/>
      <c r="J690" s="276" t="str">
        <f>IF(ISBLANK(I690), "", VLOOKUP(E690&amp;" "&amp;F690, 'Info Tipo de Cambio y REM'!$A$24:$B$35, 2, FALSE))
</f>
        <v/>
      </c>
      <c r="K690" s="107" t="str">
        <f t="shared" si="23"/>
        <v/>
      </c>
      <c r="L690" s="293">
        <f t="shared" si="5"/>
        <v>-5187415.025</v>
      </c>
      <c r="M690" s="293">
        <f t="shared" si="3"/>
        <v>-68574.41</v>
      </c>
      <c r="N690" s="293">
        <f t="shared" si="6"/>
        <v>0</v>
      </c>
      <c r="O690" s="277">
        <f t="shared" si="4"/>
        <v>-72146.60962</v>
      </c>
      <c r="P690" s="264"/>
      <c r="Q690" s="264"/>
      <c r="R690" s="264"/>
      <c r="S690" s="264"/>
      <c r="T690" s="264"/>
      <c r="U690" s="264"/>
      <c r="V690" s="264"/>
      <c r="W690" s="264"/>
      <c r="X690" s="264"/>
      <c r="Y690" s="264"/>
      <c r="Z690" s="264"/>
      <c r="AA690" s="264"/>
      <c r="AB690" s="264"/>
      <c r="AC690" s="264"/>
      <c r="AD690" s="264"/>
      <c r="AE690" s="264"/>
    </row>
    <row r="691">
      <c r="A691" s="272"/>
      <c r="B691" s="272"/>
      <c r="C691" s="272"/>
      <c r="D691" s="172"/>
      <c r="E691" s="267" t="str">
        <f t="shared" si="22"/>
        <v/>
      </c>
      <c r="F691" s="274" t="str">
        <f t="shared" si="2"/>
        <v/>
      </c>
      <c r="G691" s="42"/>
      <c r="H691" s="264"/>
      <c r="I691" s="277"/>
      <c r="J691" s="276" t="str">
        <f>IF(ISBLANK(I691), "", VLOOKUP(E691&amp;" "&amp;F691, 'Info Tipo de Cambio y REM'!$A$24:$B$35, 2, FALSE))
</f>
        <v/>
      </c>
      <c r="K691" s="107" t="str">
        <f t="shared" si="23"/>
        <v/>
      </c>
      <c r="L691" s="293">
        <f t="shared" si="5"/>
        <v>-5187415.025</v>
      </c>
      <c r="M691" s="293">
        <f t="shared" si="3"/>
        <v>-68574.41</v>
      </c>
      <c r="N691" s="293">
        <f t="shared" si="6"/>
        <v>0</v>
      </c>
      <c r="O691" s="277">
        <f t="shared" si="4"/>
        <v>-72146.60962</v>
      </c>
      <c r="P691" s="264"/>
      <c r="Q691" s="264"/>
      <c r="R691" s="264"/>
      <c r="S691" s="264"/>
      <c r="T691" s="264"/>
      <c r="U691" s="264"/>
      <c r="V691" s="264"/>
      <c r="W691" s="264"/>
      <c r="X691" s="264"/>
      <c r="Y691" s="264"/>
      <c r="Z691" s="264"/>
      <c r="AA691" s="264"/>
      <c r="AB691" s="264"/>
      <c r="AC691" s="264"/>
      <c r="AD691" s="264"/>
      <c r="AE691" s="264"/>
    </row>
    <row r="692">
      <c r="A692" s="272"/>
      <c r="B692" s="272"/>
      <c r="C692" s="272"/>
      <c r="D692" s="172"/>
      <c r="E692" s="267" t="str">
        <f t="shared" si="22"/>
        <v/>
      </c>
      <c r="F692" s="274" t="str">
        <f t="shared" si="2"/>
        <v/>
      </c>
      <c r="G692" s="42"/>
      <c r="H692" s="264"/>
      <c r="I692" s="277"/>
      <c r="J692" s="276" t="str">
        <f>IF(ISBLANK(I692), "", VLOOKUP(E692&amp;" "&amp;F692, 'Info Tipo de Cambio y REM'!$A$24:$B$35, 2, FALSE))
</f>
        <v/>
      </c>
      <c r="K692" s="107" t="str">
        <f t="shared" si="23"/>
        <v/>
      </c>
      <c r="L692" s="293">
        <f t="shared" si="5"/>
        <v>-5187415.025</v>
      </c>
      <c r="M692" s="293">
        <f t="shared" si="3"/>
        <v>-68574.41</v>
      </c>
      <c r="N692" s="293">
        <f t="shared" si="6"/>
        <v>0</v>
      </c>
      <c r="O692" s="277">
        <f t="shared" si="4"/>
        <v>-72146.60962</v>
      </c>
      <c r="P692" s="264"/>
      <c r="Q692" s="264"/>
      <c r="R692" s="264"/>
      <c r="S692" s="264"/>
      <c r="T692" s="264"/>
      <c r="U692" s="264"/>
      <c r="V692" s="264"/>
      <c r="W692" s="264"/>
      <c r="X692" s="264"/>
      <c r="Y692" s="264"/>
      <c r="Z692" s="264"/>
      <c r="AA692" s="264"/>
      <c r="AB692" s="264"/>
      <c r="AC692" s="264"/>
      <c r="AD692" s="264"/>
      <c r="AE692" s="264"/>
    </row>
    <row r="693">
      <c r="A693" s="272"/>
      <c r="B693" s="272"/>
      <c r="C693" s="272"/>
      <c r="D693" s="172"/>
      <c r="E693" s="267" t="str">
        <f t="shared" si="22"/>
        <v/>
      </c>
      <c r="F693" s="274" t="str">
        <f t="shared" si="2"/>
        <v/>
      </c>
      <c r="G693" s="42"/>
      <c r="H693" s="264"/>
      <c r="I693" s="277"/>
      <c r="J693" s="276" t="str">
        <f>IF(ISBLANK(I693), "", VLOOKUP(E693&amp;" "&amp;F693, 'Info Tipo de Cambio y REM'!$A$24:$B$35, 2, FALSE))
</f>
        <v/>
      </c>
      <c r="K693" s="107" t="str">
        <f t="shared" si="23"/>
        <v/>
      </c>
      <c r="L693" s="293">
        <f t="shared" si="5"/>
        <v>-5187415.025</v>
      </c>
      <c r="M693" s="293">
        <f t="shared" si="3"/>
        <v>-68574.41</v>
      </c>
      <c r="N693" s="293">
        <f t="shared" si="6"/>
        <v>0</v>
      </c>
      <c r="O693" s="277">
        <f t="shared" si="4"/>
        <v>-72146.60962</v>
      </c>
      <c r="P693" s="264"/>
      <c r="Q693" s="264"/>
      <c r="R693" s="264"/>
      <c r="S693" s="264"/>
      <c r="T693" s="264"/>
      <c r="U693" s="264"/>
      <c r="V693" s="264"/>
      <c r="W693" s="264"/>
      <c r="X693" s="264"/>
      <c r="Y693" s="264"/>
      <c r="Z693" s="264"/>
      <c r="AA693" s="264"/>
      <c r="AB693" s="264"/>
      <c r="AC693" s="264"/>
      <c r="AD693" s="264"/>
      <c r="AE693" s="264"/>
    </row>
    <row r="694">
      <c r="A694" s="272"/>
      <c r="B694" s="272"/>
      <c r="C694" s="272"/>
      <c r="D694" s="172"/>
      <c r="E694" s="267" t="str">
        <f t="shared" si="22"/>
        <v/>
      </c>
      <c r="F694" s="274" t="str">
        <f t="shared" si="2"/>
        <v/>
      </c>
      <c r="G694" s="42"/>
      <c r="H694" s="264"/>
      <c r="I694" s="277"/>
      <c r="J694" s="276" t="str">
        <f>IF(ISBLANK(I694), "", VLOOKUP(E694&amp;" "&amp;F694, 'Info Tipo de Cambio y REM'!$A$24:$B$35, 2, FALSE))
</f>
        <v/>
      </c>
      <c r="K694" s="107" t="str">
        <f t="shared" si="23"/>
        <v/>
      </c>
      <c r="L694" s="293">
        <f t="shared" si="5"/>
        <v>-5187415.025</v>
      </c>
      <c r="M694" s="293">
        <f t="shared" si="3"/>
        <v>-68574.41</v>
      </c>
      <c r="N694" s="293">
        <f t="shared" si="6"/>
        <v>0</v>
      </c>
      <c r="O694" s="277">
        <f t="shared" si="4"/>
        <v>-72146.60962</v>
      </c>
      <c r="P694" s="264"/>
      <c r="Q694" s="264"/>
      <c r="R694" s="264"/>
      <c r="S694" s="264"/>
      <c r="T694" s="264"/>
      <c r="U694" s="264"/>
      <c r="V694" s="264"/>
      <c r="W694" s="264"/>
      <c r="X694" s="264"/>
      <c r="Y694" s="264"/>
      <c r="Z694" s="264"/>
      <c r="AA694" s="264"/>
      <c r="AB694" s="264"/>
      <c r="AC694" s="264"/>
      <c r="AD694" s="264"/>
      <c r="AE694" s="264"/>
    </row>
    <row r="695">
      <c r="A695" s="272"/>
      <c r="B695" s="272"/>
      <c r="C695" s="272"/>
      <c r="D695" s="172"/>
      <c r="E695" s="267" t="str">
        <f t="shared" si="22"/>
        <v/>
      </c>
      <c r="F695" s="274" t="str">
        <f t="shared" si="2"/>
        <v/>
      </c>
      <c r="G695" s="42"/>
      <c r="H695" s="264"/>
      <c r="I695" s="277"/>
      <c r="J695" s="276" t="str">
        <f>IF(ISBLANK(I695), "", VLOOKUP(E695&amp;" "&amp;F695, 'Info Tipo de Cambio y REM'!$A$24:$B$35, 2, FALSE))
</f>
        <v/>
      </c>
      <c r="K695" s="107" t="str">
        <f t="shared" si="23"/>
        <v/>
      </c>
      <c r="L695" s="293">
        <f t="shared" si="5"/>
        <v>-5187415.025</v>
      </c>
      <c r="M695" s="293">
        <f t="shared" si="3"/>
        <v>-68574.41</v>
      </c>
      <c r="N695" s="293">
        <f t="shared" si="6"/>
        <v>0</v>
      </c>
      <c r="O695" s="277">
        <f t="shared" si="4"/>
        <v>-72146.60962</v>
      </c>
      <c r="P695" s="264"/>
      <c r="Q695" s="264"/>
      <c r="R695" s="264"/>
      <c r="S695" s="264"/>
      <c r="T695" s="264"/>
      <c r="U695" s="264"/>
      <c r="V695" s="264"/>
      <c r="W695" s="264"/>
      <c r="X695" s="264"/>
      <c r="Y695" s="264"/>
      <c r="Z695" s="264"/>
      <c r="AA695" s="264"/>
      <c r="AB695" s="264"/>
      <c r="AC695" s="264"/>
      <c r="AD695" s="264"/>
      <c r="AE695" s="264"/>
    </row>
    <row r="696">
      <c r="A696" s="272"/>
      <c r="B696" s="272"/>
      <c r="C696" s="272"/>
      <c r="D696" s="172"/>
      <c r="E696" s="267" t="str">
        <f t="shared" si="22"/>
        <v/>
      </c>
      <c r="F696" s="274" t="str">
        <f t="shared" si="2"/>
        <v/>
      </c>
      <c r="G696" s="42"/>
      <c r="H696" s="264"/>
      <c r="I696" s="277"/>
      <c r="J696" s="276" t="str">
        <f>IF(ISBLANK(I696), "", VLOOKUP(E696&amp;" "&amp;F696, 'Info Tipo de Cambio y REM'!$A$24:$B$35, 2, FALSE))
</f>
        <v/>
      </c>
      <c r="K696" s="107" t="str">
        <f t="shared" si="23"/>
        <v/>
      </c>
      <c r="L696" s="293">
        <f t="shared" si="5"/>
        <v>-5187415.025</v>
      </c>
      <c r="M696" s="293">
        <f t="shared" si="3"/>
        <v>-68574.41</v>
      </c>
      <c r="N696" s="293">
        <f t="shared" si="6"/>
        <v>0</v>
      </c>
      <c r="O696" s="277">
        <f t="shared" si="4"/>
        <v>-72146.60962</v>
      </c>
      <c r="P696" s="264"/>
      <c r="Q696" s="264"/>
      <c r="R696" s="264"/>
      <c r="S696" s="264"/>
      <c r="T696" s="264"/>
      <c r="U696" s="264"/>
      <c r="V696" s="264"/>
      <c r="W696" s="264"/>
      <c r="X696" s="264"/>
      <c r="Y696" s="264"/>
      <c r="Z696" s="264"/>
      <c r="AA696" s="264"/>
      <c r="AB696" s="264"/>
      <c r="AC696" s="264"/>
      <c r="AD696" s="264"/>
      <c r="AE696" s="264"/>
    </row>
    <row r="697">
      <c r="A697" s="272"/>
      <c r="B697" s="272"/>
      <c r="C697" s="272"/>
      <c r="D697" s="172"/>
      <c r="E697" s="267" t="str">
        <f t="shared" si="22"/>
        <v/>
      </c>
      <c r="F697" s="274" t="str">
        <f t="shared" si="2"/>
        <v/>
      </c>
      <c r="G697" s="42"/>
      <c r="H697" s="264"/>
      <c r="I697" s="277"/>
      <c r="J697" s="276" t="str">
        <f>IF(ISBLANK(I697), "", VLOOKUP(E697&amp;" "&amp;F697, 'Info Tipo de Cambio y REM'!$A$24:$B$35, 2, FALSE))
</f>
        <v/>
      </c>
      <c r="K697" s="107" t="str">
        <f t="shared" si="23"/>
        <v/>
      </c>
      <c r="L697" s="293">
        <f t="shared" si="5"/>
        <v>-5187415.025</v>
      </c>
      <c r="M697" s="293">
        <f t="shared" si="3"/>
        <v>-68574.41</v>
      </c>
      <c r="N697" s="293">
        <f t="shared" si="6"/>
        <v>0</v>
      </c>
      <c r="O697" s="277">
        <f t="shared" si="4"/>
        <v>-72146.60962</v>
      </c>
      <c r="P697" s="264"/>
      <c r="Q697" s="264"/>
      <c r="R697" s="264"/>
      <c r="S697" s="264"/>
      <c r="T697" s="264"/>
      <c r="U697" s="264"/>
      <c r="V697" s="264"/>
      <c r="W697" s="264"/>
      <c r="X697" s="264"/>
      <c r="Y697" s="264"/>
      <c r="Z697" s="264"/>
      <c r="AA697" s="264"/>
      <c r="AB697" s="264"/>
      <c r="AC697" s="264"/>
      <c r="AD697" s="264"/>
      <c r="AE697" s="264"/>
    </row>
    <row r="698">
      <c r="A698" s="272"/>
      <c r="B698" s="272"/>
      <c r="C698" s="272"/>
      <c r="D698" s="172"/>
      <c r="E698" s="267" t="str">
        <f t="shared" si="22"/>
        <v/>
      </c>
      <c r="F698" s="274" t="str">
        <f t="shared" si="2"/>
        <v/>
      </c>
      <c r="G698" s="42"/>
      <c r="H698" s="264"/>
      <c r="I698" s="277"/>
      <c r="J698" s="276" t="str">
        <f>IF(ISBLANK(I698), "", VLOOKUP(E698&amp;" "&amp;F698, 'Info Tipo de Cambio y REM'!$A$24:$B$35, 2, FALSE))
</f>
        <v/>
      </c>
      <c r="K698" s="107" t="str">
        <f t="shared" si="23"/>
        <v/>
      </c>
      <c r="L698" s="293">
        <f t="shared" si="5"/>
        <v>-5187415.025</v>
      </c>
      <c r="M698" s="293">
        <f t="shared" si="3"/>
        <v>-68574.41</v>
      </c>
      <c r="N698" s="293">
        <f t="shared" si="6"/>
        <v>0</v>
      </c>
      <c r="O698" s="277">
        <f t="shared" si="4"/>
        <v>-72146.60962</v>
      </c>
      <c r="P698" s="264"/>
      <c r="Q698" s="264"/>
      <c r="R698" s="264"/>
      <c r="S698" s="264"/>
      <c r="T698" s="264"/>
      <c r="U698" s="264"/>
      <c r="V698" s="264"/>
      <c r="W698" s="264"/>
      <c r="X698" s="264"/>
      <c r="Y698" s="264"/>
      <c r="Z698" s="264"/>
      <c r="AA698" s="264"/>
      <c r="AB698" s="264"/>
      <c r="AC698" s="264"/>
      <c r="AD698" s="264"/>
      <c r="AE698" s="264"/>
    </row>
    <row r="699">
      <c r="A699" s="272"/>
      <c r="B699" s="272"/>
      <c r="C699" s="272"/>
      <c r="D699" s="172"/>
      <c r="E699" s="267" t="str">
        <f t="shared" si="22"/>
        <v/>
      </c>
      <c r="F699" s="274" t="str">
        <f t="shared" si="2"/>
        <v/>
      </c>
      <c r="G699" s="42"/>
      <c r="H699" s="264"/>
      <c r="I699" s="277"/>
      <c r="J699" s="276" t="str">
        <f>IF(ISBLANK(I699), "", VLOOKUP(E699&amp;" "&amp;F699, 'Info Tipo de Cambio y REM'!$A$24:$B$35, 2, FALSE))
</f>
        <v/>
      </c>
      <c r="K699" s="107" t="str">
        <f t="shared" si="23"/>
        <v/>
      </c>
      <c r="L699" s="293">
        <f t="shared" si="5"/>
        <v>-5187415.025</v>
      </c>
      <c r="M699" s="293">
        <f t="shared" si="3"/>
        <v>-68574.41</v>
      </c>
      <c r="N699" s="293">
        <f t="shared" si="6"/>
        <v>0</v>
      </c>
      <c r="O699" s="277">
        <f t="shared" si="4"/>
        <v>-72146.60962</v>
      </c>
      <c r="P699" s="264"/>
      <c r="Q699" s="264"/>
      <c r="R699" s="264"/>
      <c r="S699" s="264"/>
      <c r="T699" s="264"/>
      <c r="U699" s="264"/>
      <c r="V699" s="264"/>
      <c r="W699" s="264"/>
      <c r="X699" s="264"/>
      <c r="Y699" s="264"/>
      <c r="Z699" s="264"/>
      <c r="AA699" s="264"/>
      <c r="AB699" s="264"/>
      <c r="AC699" s="264"/>
      <c r="AD699" s="264"/>
      <c r="AE699" s="264"/>
    </row>
    <row r="700">
      <c r="A700" s="272"/>
      <c r="B700" s="272"/>
      <c r="C700" s="272"/>
      <c r="D700" s="172"/>
      <c r="E700" s="267" t="str">
        <f t="shared" si="22"/>
        <v/>
      </c>
      <c r="F700" s="274" t="str">
        <f t="shared" si="2"/>
        <v/>
      </c>
      <c r="G700" s="42"/>
      <c r="H700" s="264"/>
      <c r="I700" s="277"/>
      <c r="J700" s="276" t="str">
        <f>IF(ISBLANK(I700), "", VLOOKUP(E700&amp;" "&amp;F700, 'Info Tipo de Cambio y REM'!$A$24:$B$35, 2, FALSE))
</f>
        <v/>
      </c>
      <c r="K700" s="107" t="str">
        <f t="shared" si="23"/>
        <v/>
      </c>
      <c r="L700" s="293">
        <f t="shared" si="5"/>
        <v>-5187415.025</v>
      </c>
      <c r="M700" s="293">
        <f t="shared" si="3"/>
        <v>-68574.41</v>
      </c>
      <c r="N700" s="293">
        <f t="shared" si="6"/>
        <v>0</v>
      </c>
      <c r="O700" s="277">
        <f t="shared" si="4"/>
        <v>-72146.60962</v>
      </c>
      <c r="P700" s="264"/>
      <c r="Q700" s="264"/>
      <c r="R700" s="264"/>
      <c r="S700" s="264"/>
      <c r="T700" s="264"/>
      <c r="U700" s="264"/>
      <c r="V700" s="264"/>
      <c r="W700" s="264"/>
      <c r="X700" s="264"/>
      <c r="Y700" s="264"/>
      <c r="Z700" s="264"/>
      <c r="AA700" s="264"/>
      <c r="AB700" s="264"/>
      <c r="AC700" s="264"/>
      <c r="AD700" s="264"/>
      <c r="AE700" s="264"/>
    </row>
    <row r="701">
      <c r="A701" s="272"/>
      <c r="B701" s="272"/>
      <c r="C701" s="272"/>
      <c r="D701" s="172"/>
      <c r="E701" s="267" t="str">
        <f t="shared" si="22"/>
        <v/>
      </c>
      <c r="F701" s="274" t="str">
        <f t="shared" si="2"/>
        <v/>
      </c>
      <c r="G701" s="42"/>
      <c r="H701" s="264"/>
      <c r="I701" s="277"/>
      <c r="J701" s="276" t="str">
        <f>IF(ISBLANK(I701), "", VLOOKUP(E701&amp;" "&amp;F701, 'Info Tipo de Cambio y REM'!$A$24:$B$35, 2, FALSE))
</f>
        <v/>
      </c>
      <c r="K701" s="107" t="str">
        <f t="shared" si="23"/>
        <v/>
      </c>
      <c r="L701" s="293">
        <f t="shared" si="5"/>
        <v>-5187415.025</v>
      </c>
      <c r="M701" s="293">
        <f t="shared" si="3"/>
        <v>-68574.41</v>
      </c>
      <c r="N701" s="293">
        <f t="shared" si="6"/>
        <v>0</v>
      </c>
      <c r="O701" s="277">
        <f t="shared" si="4"/>
        <v>-72146.60962</v>
      </c>
      <c r="P701" s="264"/>
      <c r="Q701" s="264"/>
      <c r="R701" s="264"/>
      <c r="S701" s="264"/>
      <c r="T701" s="264"/>
      <c r="U701" s="264"/>
      <c r="V701" s="264"/>
      <c r="W701" s="264"/>
      <c r="X701" s="264"/>
      <c r="Y701" s="264"/>
      <c r="Z701" s="264"/>
      <c r="AA701" s="264"/>
      <c r="AB701" s="264"/>
      <c r="AC701" s="264"/>
      <c r="AD701" s="264"/>
      <c r="AE701" s="264"/>
    </row>
    <row r="702">
      <c r="A702" s="272"/>
      <c r="B702" s="272"/>
      <c r="C702" s="272"/>
      <c r="D702" s="172"/>
      <c r="E702" s="267" t="str">
        <f t="shared" si="22"/>
        <v/>
      </c>
      <c r="F702" s="274" t="str">
        <f t="shared" si="2"/>
        <v/>
      </c>
      <c r="G702" s="42"/>
      <c r="H702" s="264"/>
      <c r="I702" s="277"/>
      <c r="J702" s="276" t="str">
        <f>IF(ISBLANK(I702), "", VLOOKUP(E702&amp;" "&amp;F702, 'Info Tipo de Cambio y REM'!$A$24:$B$35, 2, FALSE))
</f>
        <v/>
      </c>
      <c r="K702" s="107" t="str">
        <f t="shared" si="23"/>
        <v/>
      </c>
      <c r="L702" s="293">
        <f t="shared" si="5"/>
        <v>-5187415.025</v>
      </c>
      <c r="M702" s="293">
        <f t="shared" si="3"/>
        <v>-68574.41</v>
      </c>
      <c r="N702" s="293">
        <f t="shared" si="6"/>
        <v>0</v>
      </c>
      <c r="O702" s="277">
        <f t="shared" si="4"/>
        <v>-72146.60962</v>
      </c>
      <c r="P702" s="264"/>
      <c r="Q702" s="264"/>
      <c r="R702" s="264"/>
      <c r="S702" s="264"/>
      <c r="T702" s="264"/>
      <c r="U702" s="264"/>
      <c r="V702" s="264"/>
      <c r="W702" s="264"/>
      <c r="X702" s="264"/>
      <c r="Y702" s="264"/>
      <c r="Z702" s="264"/>
      <c r="AA702" s="264"/>
      <c r="AB702" s="264"/>
      <c r="AC702" s="264"/>
      <c r="AD702" s="264"/>
      <c r="AE702" s="264"/>
    </row>
    <row r="703">
      <c r="A703" s="272"/>
      <c r="B703" s="272"/>
      <c r="C703" s="272"/>
      <c r="D703" s="172"/>
      <c r="E703" s="267" t="str">
        <f t="shared" si="22"/>
        <v/>
      </c>
      <c r="F703" s="274" t="str">
        <f t="shared" si="2"/>
        <v/>
      </c>
      <c r="G703" s="42"/>
      <c r="H703" s="264"/>
      <c r="I703" s="277"/>
      <c r="J703" s="276" t="str">
        <f>IF(ISBLANK(I703), "", VLOOKUP(E703&amp;" "&amp;F703, 'Info Tipo de Cambio y REM'!$A$24:$B$35, 2, FALSE))
</f>
        <v/>
      </c>
      <c r="K703" s="107" t="str">
        <f t="shared" si="23"/>
        <v/>
      </c>
      <c r="L703" s="293">
        <f t="shared" si="5"/>
        <v>-5187415.025</v>
      </c>
      <c r="M703" s="293">
        <f t="shared" si="3"/>
        <v>-68574.41</v>
      </c>
      <c r="N703" s="293">
        <f t="shared" si="6"/>
        <v>0</v>
      </c>
      <c r="O703" s="277">
        <f t="shared" si="4"/>
        <v>-72146.60962</v>
      </c>
      <c r="P703" s="264"/>
      <c r="Q703" s="264"/>
      <c r="R703" s="264"/>
      <c r="S703" s="264"/>
      <c r="T703" s="264"/>
      <c r="U703" s="264"/>
      <c r="V703" s="264"/>
      <c r="W703" s="264"/>
      <c r="X703" s="264"/>
      <c r="Y703" s="264"/>
      <c r="Z703" s="264"/>
      <c r="AA703" s="264"/>
      <c r="AB703" s="264"/>
      <c r="AC703" s="264"/>
      <c r="AD703" s="264"/>
      <c r="AE703" s="264"/>
    </row>
    <row r="704">
      <c r="A704" s="272"/>
      <c r="B704" s="272"/>
      <c r="C704" s="272"/>
      <c r="D704" s="172"/>
      <c r="E704" s="267" t="str">
        <f t="shared" si="22"/>
        <v/>
      </c>
      <c r="F704" s="274" t="str">
        <f t="shared" si="2"/>
        <v/>
      </c>
      <c r="G704" s="42"/>
      <c r="H704" s="264"/>
      <c r="I704" s="277"/>
      <c r="J704" s="276" t="str">
        <f>IF(ISBLANK(I704), "", VLOOKUP(E704&amp;" "&amp;F704, 'Info Tipo de Cambio y REM'!$A$24:$B$35, 2, FALSE))
</f>
        <v/>
      </c>
      <c r="K704" s="107" t="str">
        <f t="shared" si="23"/>
        <v/>
      </c>
      <c r="L704" s="293">
        <f t="shared" si="5"/>
        <v>-5187415.025</v>
      </c>
      <c r="M704" s="293">
        <f t="shared" si="3"/>
        <v>-68574.41</v>
      </c>
      <c r="N704" s="293">
        <f t="shared" si="6"/>
        <v>0</v>
      </c>
      <c r="O704" s="277">
        <f t="shared" si="4"/>
        <v>-72146.60962</v>
      </c>
      <c r="P704" s="264"/>
      <c r="Q704" s="264"/>
      <c r="R704" s="264"/>
      <c r="S704" s="264"/>
      <c r="T704" s="264"/>
      <c r="U704" s="264"/>
      <c r="V704" s="264"/>
      <c r="W704" s="264"/>
      <c r="X704" s="264"/>
      <c r="Y704" s="264"/>
      <c r="Z704" s="264"/>
      <c r="AA704" s="264"/>
      <c r="AB704" s="264"/>
      <c r="AC704" s="264"/>
      <c r="AD704" s="264"/>
      <c r="AE704" s="264"/>
    </row>
    <row r="705">
      <c r="A705" s="272"/>
      <c r="B705" s="272"/>
      <c r="C705" s="272"/>
      <c r="D705" s="172"/>
      <c r="E705" s="267" t="str">
        <f t="shared" si="22"/>
        <v/>
      </c>
      <c r="F705" s="274" t="str">
        <f t="shared" si="2"/>
        <v/>
      </c>
      <c r="G705" s="42"/>
      <c r="H705" s="264"/>
      <c r="I705" s="277"/>
      <c r="J705" s="276" t="str">
        <f>IF(ISBLANK(I705), "", VLOOKUP(E705&amp;" "&amp;F705, 'Info Tipo de Cambio y REM'!$A$24:$B$35, 2, FALSE))
</f>
        <v/>
      </c>
      <c r="K705" s="107" t="str">
        <f t="shared" si="23"/>
        <v/>
      </c>
      <c r="L705" s="293">
        <f t="shared" si="5"/>
        <v>-5187415.025</v>
      </c>
      <c r="M705" s="293">
        <f t="shared" si="3"/>
        <v>-68574.41</v>
      </c>
      <c r="N705" s="293">
        <f t="shared" si="6"/>
        <v>0</v>
      </c>
      <c r="O705" s="277">
        <f t="shared" si="4"/>
        <v>-72146.60962</v>
      </c>
      <c r="P705" s="264"/>
      <c r="Q705" s="264"/>
      <c r="R705" s="264"/>
      <c r="S705" s="264"/>
      <c r="T705" s="264"/>
      <c r="U705" s="264"/>
      <c r="V705" s="264"/>
      <c r="W705" s="264"/>
      <c r="X705" s="264"/>
      <c r="Y705" s="264"/>
      <c r="Z705" s="264"/>
      <c r="AA705" s="264"/>
      <c r="AB705" s="264"/>
      <c r="AC705" s="264"/>
      <c r="AD705" s="264"/>
      <c r="AE705" s="264"/>
    </row>
    <row r="706">
      <c r="A706" s="272"/>
      <c r="B706" s="272"/>
      <c r="C706" s="272"/>
      <c r="D706" s="172"/>
      <c r="E706" s="267" t="str">
        <f t="shared" si="22"/>
        <v/>
      </c>
      <c r="F706" s="274" t="str">
        <f t="shared" si="2"/>
        <v/>
      </c>
      <c r="G706" s="42"/>
      <c r="H706" s="264"/>
      <c r="I706" s="277"/>
      <c r="J706" s="276" t="str">
        <f>IF(ISBLANK(I706), "", VLOOKUP(E706&amp;" "&amp;F706, 'Info Tipo de Cambio y REM'!$A$24:$B$35, 2, FALSE))
</f>
        <v/>
      </c>
      <c r="K706" s="107" t="str">
        <f t="shared" si="23"/>
        <v/>
      </c>
      <c r="L706" s="293">
        <f t="shared" si="5"/>
        <v>-5187415.025</v>
      </c>
      <c r="M706" s="293">
        <f t="shared" si="3"/>
        <v>-68574.41</v>
      </c>
      <c r="N706" s="293">
        <f t="shared" si="6"/>
        <v>0</v>
      </c>
      <c r="O706" s="277">
        <f t="shared" si="4"/>
        <v>-72146.60962</v>
      </c>
      <c r="P706" s="264"/>
      <c r="Q706" s="264"/>
      <c r="R706" s="264"/>
      <c r="S706" s="264"/>
      <c r="T706" s="264"/>
      <c r="U706" s="264"/>
      <c r="V706" s="264"/>
      <c r="W706" s="264"/>
      <c r="X706" s="264"/>
      <c r="Y706" s="264"/>
      <c r="Z706" s="264"/>
      <c r="AA706" s="264"/>
      <c r="AB706" s="264"/>
      <c r="AC706" s="264"/>
      <c r="AD706" s="264"/>
      <c r="AE706" s="264"/>
    </row>
    <row r="707">
      <c r="A707" s="272"/>
      <c r="B707" s="272"/>
      <c r="C707" s="272"/>
      <c r="D707" s="172"/>
      <c r="E707" s="267" t="str">
        <f t="shared" si="22"/>
        <v/>
      </c>
      <c r="F707" s="274" t="str">
        <f t="shared" si="2"/>
        <v/>
      </c>
      <c r="G707" s="42"/>
      <c r="H707" s="264"/>
      <c r="I707" s="277"/>
      <c r="J707" s="276" t="str">
        <f>IF(ISBLANK(I707), "", VLOOKUP(E707&amp;" "&amp;F707, 'Info Tipo de Cambio y REM'!$A$24:$B$35, 2, FALSE))
</f>
        <v/>
      </c>
      <c r="K707" s="107" t="str">
        <f t="shared" si="23"/>
        <v/>
      </c>
      <c r="L707" s="293">
        <f t="shared" si="5"/>
        <v>-5187415.025</v>
      </c>
      <c r="M707" s="293">
        <f t="shared" si="3"/>
        <v>-68574.41</v>
      </c>
      <c r="N707" s="293">
        <f t="shared" si="6"/>
        <v>0</v>
      </c>
      <c r="O707" s="277">
        <f t="shared" si="4"/>
        <v>-72146.60962</v>
      </c>
      <c r="P707" s="264"/>
      <c r="Q707" s="264"/>
      <c r="R707" s="264"/>
      <c r="S707" s="264"/>
      <c r="T707" s="264"/>
      <c r="U707" s="264"/>
      <c r="V707" s="264"/>
      <c r="W707" s="264"/>
      <c r="X707" s="264"/>
      <c r="Y707" s="264"/>
      <c r="Z707" s="264"/>
      <c r="AA707" s="264"/>
      <c r="AB707" s="264"/>
      <c r="AC707" s="264"/>
      <c r="AD707" s="264"/>
      <c r="AE707" s="264"/>
    </row>
    <row r="708">
      <c r="A708" s="272"/>
      <c r="B708" s="272"/>
      <c r="C708" s="272"/>
      <c r="D708" s="172"/>
      <c r="E708" s="267" t="str">
        <f t="shared" si="22"/>
        <v/>
      </c>
      <c r="F708" s="274" t="str">
        <f t="shared" si="2"/>
        <v/>
      </c>
      <c r="G708" s="42"/>
      <c r="H708" s="264"/>
      <c r="I708" s="277"/>
      <c r="J708" s="276" t="str">
        <f>IF(ISBLANK(I708), "", VLOOKUP(E708&amp;" "&amp;F708, 'Info Tipo de Cambio y REM'!$A$24:$B$35, 2, FALSE))
</f>
        <v/>
      </c>
      <c r="K708" s="107" t="str">
        <f t="shared" si="23"/>
        <v/>
      </c>
      <c r="L708" s="293">
        <f t="shared" si="5"/>
        <v>-5187415.025</v>
      </c>
      <c r="M708" s="293">
        <f t="shared" si="3"/>
        <v>-68574.41</v>
      </c>
      <c r="N708" s="293">
        <f t="shared" si="6"/>
        <v>0</v>
      </c>
      <c r="O708" s="277">
        <f t="shared" si="4"/>
        <v>-72146.60962</v>
      </c>
      <c r="P708" s="264"/>
      <c r="Q708" s="264"/>
      <c r="R708" s="264"/>
      <c r="S708" s="264"/>
      <c r="T708" s="264"/>
      <c r="U708" s="264"/>
      <c r="V708" s="264"/>
      <c r="W708" s="264"/>
      <c r="X708" s="264"/>
      <c r="Y708" s="264"/>
      <c r="Z708" s="264"/>
      <c r="AA708" s="264"/>
      <c r="AB708" s="264"/>
      <c r="AC708" s="264"/>
      <c r="AD708" s="264"/>
      <c r="AE708" s="264"/>
    </row>
    <row r="709">
      <c r="A709" s="272"/>
      <c r="B709" s="272"/>
      <c r="C709" s="272"/>
      <c r="D709" s="172"/>
      <c r="E709" s="267" t="str">
        <f t="shared" si="22"/>
        <v/>
      </c>
      <c r="F709" s="274" t="str">
        <f t="shared" si="2"/>
        <v/>
      </c>
      <c r="G709" s="42"/>
      <c r="H709" s="264"/>
      <c r="I709" s="277"/>
      <c r="J709" s="276" t="str">
        <f>IF(ISBLANK(I709), "", VLOOKUP(E709&amp;" "&amp;F709, 'Info Tipo de Cambio y REM'!$A$24:$B$35, 2, FALSE))
</f>
        <v/>
      </c>
      <c r="K709" s="107" t="str">
        <f t="shared" si="23"/>
        <v/>
      </c>
      <c r="L709" s="293">
        <f t="shared" si="5"/>
        <v>-5187415.025</v>
      </c>
      <c r="M709" s="293">
        <f t="shared" si="3"/>
        <v>-68574.41</v>
      </c>
      <c r="N709" s="293">
        <f t="shared" si="6"/>
        <v>0</v>
      </c>
      <c r="O709" s="277">
        <f t="shared" si="4"/>
        <v>-72146.60962</v>
      </c>
      <c r="P709" s="264"/>
      <c r="Q709" s="264"/>
      <c r="R709" s="264"/>
      <c r="S709" s="264"/>
      <c r="T709" s="264"/>
      <c r="U709" s="264"/>
      <c r="V709" s="264"/>
      <c r="W709" s="264"/>
      <c r="X709" s="264"/>
      <c r="Y709" s="264"/>
      <c r="Z709" s="264"/>
      <c r="AA709" s="264"/>
      <c r="AB709" s="264"/>
      <c r="AC709" s="264"/>
      <c r="AD709" s="264"/>
      <c r="AE709" s="264"/>
    </row>
    <row r="710">
      <c r="A710" s="272"/>
      <c r="B710" s="272"/>
      <c r="C710" s="272"/>
      <c r="D710" s="172"/>
      <c r="E710" s="267" t="str">
        <f t="shared" si="22"/>
        <v/>
      </c>
      <c r="F710" s="274" t="str">
        <f t="shared" si="2"/>
        <v/>
      </c>
      <c r="G710" s="42"/>
      <c r="H710" s="264"/>
      <c r="I710" s="277"/>
      <c r="J710" s="276" t="str">
        <f>IF(ISBLANK(I710), "", VLOOKUP(E710&amp;" "&amp;F710, 'Info Tipo de Cambio y REM'!$A$24:$B$35, 2, FALSE))
</f>
        <v/>
      </c>
      <c r="K710" s="107" t="str">
        <f t="shared" si="23"/>
        <v/>
      </c>
      <c r="L710" s="293">
        <f t="shared" si="5"/>
        <v>-5187415.025</v>
      </c>
      <c r="M710" s="293">
        <f t="shared" si="3"/>
        <v>-68574.41</v>
      </c>
      <c r="N710" s="293">
        <f t="shared" si="6"/>
        <v>0</v>
      </c>
      <c r="O710" s="277">
        <f t="shared" si="4"/>
        <v>-72146.60962</v>
      </c>
      <c r="P710" s="264"/>
      <c r="Q710" s="264"/>
      <c r="R710" s="264"/>
      <c r="S710" s="264"/>
      <c r="T710" s="264"/>
      <c r="U710" s="264"/>
      <c r="V710" s="264"/>
      <c r="W710" s="264"/>
      <c r="X710" s="264"/>
      <c r="Y710" s="264"/>
      <c r="Z710" s="264"/>
      <c r="AA710" s="264"/>
      <c r="AB710" s="264"/>
      <c r="AC710" s="264"/>
      <c r="AD710" s="264"/>
      <c r="AE710" s="264"/>
    </row>
    <row r="711">
      <c r="A711" s="272"/>
      <c r="B711" s="272"/>
      <c r="C711" s="272"/>
      <c r="D711" s="172"/>
      <c r="E711" s="267" t="str">
        <f t="shared" si="22"/>
        <v/>
      </c>
      <c r="F711" s="274" t="str">
        <f t="shared" si="2"/>
        <v/>
      </c>
      <c r="G711" s="42"/>
      <c r="H711" s="264"/>
      <c r="I711" s="277"/>
      <c r="J711" s="276" t="str">
        <f>IF(ISBLANK(I711), "", VLOOKUP(E711&amp;" "&amp;F711, 'Info Tipo de Cambio y REM'!$A$24:$B$35, 2, FALSE))
</f>
        <v/>
      </c>
      <c r="K711" s="107" t="str">
        <f t="shared" si="23"/>
        <v/>
      </c>
      <c r="L711" s="293">
        <f t="shared" si="5"/>
        <v>-5187415.025</v>
      </c>
      <c r="M711" s="293">
        <f t="shared" si="3"/>
        <v>-68574.41</v>
      </c>
      <c r="N711" s="293">
        <f t="shared" si="6"/>
        <v>0</v>
      </c>
      <c r="O711" s="277">
        <f t="shared" si="4"/>
        <v>-72146.60962</v>
      </c>
      <c r="P711" s="264"/>
      <c r="Q711" s="264"/>
      <c r="R711" s="264"/>
      <c r="S711" s="264"/>
      <c r="T711" s="264"/>
      <c r="U711" s="264"/>
      <c r="V711" s="264"/>
      <c r="W711" s="264"/>
      <c r="X711" s="264"/>
      <c r="Y711" s="264"/>
      <c r="Z711" s="264"/>
      <c r="AA711" s="264"/>
      <c r="AB711" s="264"/>
      <c r="AC711" s="264"/>
      <c r="AD711" s="264"/>
      <c r="AE711" s="264"/>
    </row>
    <row r="712">
      <c r="A712" s="272"/>
      <c r="B712" s="272"/>
      <c r="C712" s="272"/>
      <c r="D712" s="172"/>
      <c r="E712" s="267" t="str">
        <f t="shared" si="22"/>
        <v/>
      </c>
      <c r="F712" s="274" t="str">
        <f t="shared" si="2"/>
        <v/>
      </c>
      <c r="G712" s="42"/>
      <c r="H712" s="264"/>
      <c r="I712" s="277"/>
      <c r="J712" s="276" t="str">
        <f>IF(ISBLANK(I712), "", VLOOKUP(E712&amp;" "&amp;F712, 'Info Tipo de Cambio y REM'!$A$24:$B$35, 2, FALSE))
</f>
        <v/>
      </c>
      <c r="K712" s="107" t="str">
        <f t="shared" si="23"/>
        <v/>
      </c>
      <c r="L712" s="293">
        <f t="shared" si="5"/>
        <v>-5187415.025</v>
      </c>
      <c r="M712" s="293">
        <f t="shared" si="3"/>
        <v>-68574.41</v>
      </c>
      <c r="N712" s="293">
        <f t="shared" si="6"/>
        <v>0</v>
      </c>
      <c r="O712" s="277">
        <f t="shared" si="4"/>
        <v>-72146.60962</v>
      </c>
      <c r="P712" s="264"/>
      <c r="Q712" s="264"/>
      <c r="R712" s="264"/>
      <c r="S712" s="264"/>
      <c r="T712" s="264"/>
      <c r="U712" s="264"/>
      <c r="V712" s="264"/>
      <c r="W712" s="264"/>
      <c r="X712" s="264"/>
      <c r="Y712" s="264"/>
      <c r="Z712" s="264"/>
      <c r="AA712" s="264"/>
      <c r="AB712" s="264"/>
      <c r="AC712" s="264"/>
      <c r="AD712" s="264"/>
      <c r="AE712" s="264"/>
    </row>
    <row r="713">
      <c r="A713" s="272"/>
      <c r="B713" s="272"/>
      <c r="C713" s="272"/>
      <c r="D713" s="172"/>
      <c r="E713" s="267" t="str">
        <f t="shared" si="22"/>
        <v/>
      </c>
      <c r="F713" s="274" t="str">
        <f t="shared" si="2"/>
        <v/>
      </c>
      <c r="G713" s="42"/>
      <c r="H713" s="264"/>
      <c r="I713" s="277"/>
      <c r="J713" s="276" t="str">
        <f>IF(ISBLANK(I713), "", VLOOKUP(E713&amp;" "&amp;F713, 'Info Tipo de Cambio y REM'!$A$24:$B$35, 2, FALSE))
</f>
        <v/>
      </c>
      <c r="K713" s="107" t="str">
        <f t="shared" si="23"/>
        <v/>
      </c>
      <c r="L713" s="293">
        <f t="shared" si="5"/>
        <v>-5187415.025</v>
      </c>
      <c r="M713" s="293">
        <f t="shared" si="3"/>
        <v>-68574.41</v>
      </c>
      <c r="N713" s="293">
        <f t="shared" si="6"/>
        <v>0</v>
      </c>
      <c r="O713" s="277">
        <f t="shared" si="4"/>
        <v>-72146.60962</v>
      </c>
      <c r="P713" s="264"/>
      <c r="Q713" s="264"/>
      <c r="R713" s="264"/>
      <c r="S713" s="264"/>
      <c r="T713" s="264"/>
      <c r="U713" s="264"/>
      <c r="V713" s="264"/>
      <c r="W713" s="264"/>
      <c r="X713" s="264"/>
      <c r="Y713" s="264"/>
      <c r="Z713" s="264"/>
      <c r="AA713" s="264"/>
      <c r="AB713" s="264"/>
      <c r="AC713" s="264"/>
      <c r="AD713" s="264"/>
      <c r="AE713" s="264"/>
    </row>
    <row r="714">
      <c r="A714" s="272"/>
      <c r="B714" s="272"/>
      <c r="C714" s="272"/>
      <c r="D714" s="172"/>
      <c r="E714" s="267" t="str">
        <f t="shared" si="22"/>
        <v/>
      </c>
      <c r="F714" s="274" t="str">
        <f t="shared" si="2"/>
        <v/>
      </c>
      <c r="G714" s="42"/>
      <c r="H714" s="264"/>
      <c r="I714" s="277"/>
      <c r="J714" s="276" t="str">
        <f>IF(ISBLANK(I714), "", VLOOKUP(E714&amp;" "&amp;F714, 'Info Tipo de Cambio y REM'!$A$24:$B$35, 2, FALSE))
</f>
        <v/>
      </c>
      <c r="K714" s="107" t="str">
        <f t="shared" si="23"/>
        <v/>
      </c>
      <c r="L714" s="293">
        <f t="shared" si="5"/>
        <v>-5187415.025</v>
      </c>
      <c r="M714" s="293">
        <f t="shared" si="3"/>
        <v>-68574.41</v>
      </c>
      <c r="N714" s="293">
        <f t="shared" si="6"/>
        <v>0</v>
      </c>
      <c r="O714" s="277">
        <f t="shared" si="4"/>
        <v>-72146.60962</v>
      </c>
      <c r="P714" s="264"/>
      <c r="Q714" s="264"/>
      <c r="R714" s="264"/>
      <c r="S714" s="264"/>
      <c r="T714" s="264"/>
      <c r="U714" s="264"/>
      <c r="V714" s="264"/>
      <c r="W714" s="264"/>
      <c r="X714" s="264"/>
      <c r="Y714" s="264"/>
      <c r="Z714" s="264"/>
      <c r="AA714" s="264"/>
      <c r="AB714" s="264"/>
      <c r="AC714" s="264"/>
      <c r="AD714" s="264"/>
      <c r="AE714" s="264"/>
    </row>
    <row r="715">
      <c r="A715" s="272"/>
      <c r="B715" s="272"/>
      <c r="C715" s="272"/>
      <c r="D715" s="172"/>
      <c r="E715" s="267" t="str">
        <f t="shared" si="22"/>
        <v/>
      </c>
      <c r="F715" s="274" t="str">
        <f t="shared" si="2"/>
        <v/>
      </c>
      <c r="G715" s="42"/>
      <c r="H715" s="264"/>
      <c r="I715" s="277"/>
      <c r="J715" s="276" t="str">
        <f>IF(ISBLANK(I715), "", VLOOKUP(E715&amp;" "&amp;F715, 'Info Tipo de Cambio y REM'!$A$24:$B$35, 2, FALSE))
</f>
        <v/>
      </c>
      <c r="K715" s="107" t="str">
        <f t="shared" si="23"/>
        <v/>
      </c>
      <c r="L715" s="293">
        <f t="shared" si="5"/>
        <v>-5187415.025</v>
      </c>
      <c r="M715" s="293">
        <f t="shared" si="3"/>
        <v>-68574.41</v>
      </c>
      <c r="N715" s="293">
        <f t="shared" si="6"/>
        <v>0</v>
      </c>
      <c r="O715" s="277">
        <f t="shared" si="4"/>
        <v>-72146.60962</v>
      </c>
      <c r="P715" s="264"/>
      <c r="Q715" s="264"/>
      <c r="R715" s="264"/>
      <c r="S715" s="264"/>
      <c r="T715" s="264"/>
      <c r="U715" s="264"/>
      <c r="V715" s="264"/>
      <c r="W715" s="264"/>
      <c r="X715" s="264"/>
      <c r="Y715" s="264"/>
      <c r="Z715" s="264"/>
      <c r="AA715" s="264"/>
      <c r="AB715" s="264"/>
      <c r="AC715" s="264"/>
      <c r="AD715" s="264"/>
      <c r="AE715" s="264"/>
    </row>
    <row r="716">
      <c r="A716" s="272"/>
      <c r="B716" s="272"/>
      <c r="C716" s="272"/>
      <c r="D716" s="172"/>
      <c r="E716" s="267" t="str">
        <f t="shared" si="22"/>
        <v/>
      </c>
      <c r="F716" s="274" t="str">
        <f t="shared" si="2"/>
        <v/>
      </c>
      <c r="G716" s="42"/>
      <c r="H716" s="264"/>
      <c r="I716" s="277"/>
      <c r="J716" s="276" t="str">
        <f>IF(ISBLANK(I716), "", VLOOKUP(E716&amp;" "&amp;F716, 'Info Tipo de Cambio y REM'!$A$24:$B$35, 2, FALSE))
</f>
        <v/>
      </c>
      <c r="K716" s="107" t="str">
        <f t="shared" si="23"/>
        <v/>
      </c>
      <c r="L716" s="293">
        <f t="shared" si="5"/>
        <v>-5187415.025</v>
      </c>
      <c r="M716" s="293">
        <f t="shared" si="3"/>
        <v>-68574.41</v>
      </c>
      <c r="N716" s="293">
        <f t="shared" si="6"/>
        <v>0</v>
      </c>
      <c r="O716" s="277">
        <f t="shared" si="4"/>
        <v>-72146.60962</v>
      </c>
      <c r="P716" s="264"/>
      <c r="Q716" s="264"/>
      <c r="R716" s="264"/>
      <c r="S716" s="264"/>
      <c r="T716" s="264"/>
      <c r="U716" s="264"/>
      <c r="V716" s="264"/>
      <c r="W716" s="264"/>
      <c r="X716" s="264"/>
      <c r="Y716" s="264"/>
      <c r="Z716" s="264"/>
      <c r="AA716" s="264"/>
      <c r="AB716" s="264"/>
      <c r="AC716" s="264"/>
      <c r="AD716" s="264"/>
      <c r="AE716" s="264"/>
    </row>
    <row r="717">
      <c r="A717" s="272"/>
      <c r="B717" s="272"/>
      <c r="C717" s="272"/>
      <c r="D717" s="172"/>
      <c r="E717" s="267" t="str">
        <f t="shared" si="22"/>
        <v/>
      </c>
      <c r="F717" s="274" t="str">
        <f t="shared" si="2"/>
        <v/>
      </c>
      <c r="G717" s="42"/>
      <c r="H717" s="264"/>
      <c r="I717" s="277"/>
      <c r="J717" s="276" t="str">
        <f>IF(ISBLANK(I717), "", VLOOKUP(E717&amp;" "&amp;F717, 'Info Tipo de Cambio y REM'!$A$24:$B$35, 2, FALSE))
</f>
        <v/>
      </c>
      <c r="K717" s="107" t="str">
        <f t="shared" si="23"/>
        <v/>
      </c>
      <c r="L717" s="293">
        <f t="shared" si="5"/>
        <v>-5187415.025</v>
      </c>
      <c r="M717" s="293">
        <f t="shared" si="3"/>
        <v>-68574.41</v>
      </c>
      <c r="N717" s="293">
        <f t="shared" si="6"/>
        <v>0</v>
      </c>
      <c r="O717" s="277">
        <f t="shared" si="4"/>
        <v>-72146.60962</v>
      </c>
      <c r="P717" s="264"/>
      <c r="Q717" s="264"/>
      <c r="R717" s="264"/>
      <c r="S717" s="264"/>
      <c r="T717" s="264"/>
      <c r="U717" s="264"/>
      <c r="V717" s="264"/>
      <c r="W717" s="264"/>
      <c r="X717" s="264"/>
      <c r="Y717" s="264"/>
      <c r="Z717" s="264"/>
      <c r="AA717" s="264"/>
      <c r="AB717" s="264"/>
      <c r="AC717" s="264"/>
      <c r="AD717" s="264"/>
      <c r="AE717" s="264"/>
    </row>
    <row r="718">
      <c r="A718" s="272"/>
      <c r="B718" s="272"/>
      <c r="C718" s="272"/>
      <c r="D718" s="172"/>
      <c r="E718" s="267" t="str">
        <f t="shared" si="22"/>
        <v/>
      </c>
      <c r="F718" s="274" t="str">
        <f t="shared" si="2"/>
        <v/>
      </c>
      <c r="G718" s="42"/>
      <c r="H718" s="264"/>
      <c r="I718" s="277"/>
      <c r="J718" s="276" t="str">
        <f>IF(ISBLANK(I718), "", VLOOKUP(E718&amp;" "&amp;F718, 'Info Tipo de Cambio y REM'!$A$24:$B$35, 2, FALSE))
</f>
        <v/>
      </c>
      <c r="K718" s="107" t="str">
        <f t="shared" si="23"/>
        <v/>
      </c>
      <c r="L718" s="293">
        <f t="shared" si="5"/>
        <v>-5187415.025</v>
      </c>
      <c r="M718" s="293">
        <f t="shared" si="3"/>
        <v>-68574.41</v>
      </c>
      <c r="N718" s="293">
        <f t="shared" si="6"/>
        <v>0</v>
      </c>
      <c r="O718" s="277">
        <f t="shared" si="4"/>
        <v>-72146.60962</v>
      </c>
      <c r="P718" s="264"/>
      <c r="Q718" s="264"/>
      <c r="R718" s="264"/>
      <c r="S718" s="264"/>
      <c r="T718" s="264"/>
      <c r="U718" s="264"/>
      <c r="V718" s="264"/>
      <c r="W718" s="264"/>
      <c r="X718" s="264"/>
      <c r="Y718" s="264"/>
      <c r="Z718" s="264"/>
      <c r="AA718" s="264"/>
      <c r="AB718" s="264"/>
      <c r="AC718" s="264"/>
      <c r="AD718" s="264"/>
      <c r="AE718" s="264"/>
    </row>
    <row r="719">
      <c r="A719" s="272"/>
      <c r="B719" s="272"/>
      <c r="C719" s="272"/>
      <c r="D719" s="172"/>
      <c r="E719" s="267" t="str">
        <f t="shared" si="22"/>
        <v/>
      </c>
      <c r="F719" s="274" t="str">
        <f t="shared" si="2"/>
        <v/>
      </c>
      <c r="G719" s="42"/>
      <c r="H719" s="264"/>
      <c r="I719" s="277"/>
      <c r="J719" s="276" t="str">
        <f>IF(ISBLANK(I719), "", VLOOKUP(E719&amp;" "&amp;F719, 'Info Tipo de Cambio y REM'!$A$24:$B$35, 2, FALSE))
</f>
        <v/>
      </c>
      <c r="K719" s="107" t="str">
        <f t="shared" si="23"/>
        <v/>
      </c>
      <c r="L719" s="293">
        <f t="shared" si="5"/>
        <v>-5187415.025</v>
      </c>
      <c r="M719" s="293">
        <f t="shared" si="3"/>
        <v>-68574.41</v>
      </c>
      <c r="N719" s="293">
        <f t="shared" si="6"/>
        <v>0</v>
      </c>
      <c r="O719" s="277">
        <f t="shared" si="4"/>
        <v>-72146.60962</v>
      </c>
      <c r="P719" s="264"/>
      <c r="Q719" s="264"/>
      <c r="R719" s="264"/>
      <c r="S719" s="264"/>
      <c r="T719" s="264"/>
      <c r="U719" s="264"/>
      <c r="V719" s="264"/>
      <c r="W719" s="264"/>
      <c r="X719" s="264"/>
      <c r="Y719" s="264"/>
      <c r="Z719" s="264"/>
      <c r="AA719" s="264"/>
      <c r="AB719" s="264"/>
      <c r="AC719" s="264"/>
      <c r="AD719" s="264"/>
      <c r="AE719" s="264"/>
    </row>
    <row r="720">
      <c r="A720" s="272"/>
      <c r="B720" s="272"/>
      <c r="C720" s="272"/>
      <c r="D720" s="172"/>
      <c r="E720" s="267" t="str">
        <f t="shared" si="22"/>
        <v/>
      </c>
      <c r="F720" s="274" t="str">
        <f t="shared" si="2"/>
        <v/>
      </c>
      <c r="G720" s="42"/>
      <c r="H720" s="264"/>
      <c r="I720" s="277"/>
      <c r="J720" s="276" t="str">
        <f>IF(ISBLANK(I720), "", VLOOKUP(E720&amp;" "&amp;F720, 'Info Tipo de Cambio y REM'!$A$24:$B$35, 2, FALSE))
</f>
        <v/>
      </c>
      <c r="K720" s="107" t="str">
        <f t="shared" si="23"/>
        <v/>
      </c>
      <c r="L720" s="293">
        <f t="shared" si="5"/>
        <v>-5187415.025</v>
      </c>
      <c r="M720" s="293">
        <f t="shared" si="3"/>
        <v>-68574.41</v>
      </c>
      <c r="N720" s="293">
        <f t="shared" si="6"/>
        <v>0</v>
      </c>
      <c r="O720" s="277">
        <f t="shared" si="4"/>
        <v>-72146.60962</v>
      </c>
      <c r="P720" s="264"/>
      <c r="Q720" s="264"/>
      <c r="R720" s="264"/>
      <c r="S720" s="264"/>
      <c r="T720" s="264"/>
      <c r="U720" s="264"/>
      <c r="V720" s="264"/>
      <c r="W720" s="264"/>
      <c r="X720" s="264"/>
      <c r="Y720" s="264"/>
      <c r="Z720" s="264"/>
      <c r="AA720" s="264"/>
      <c r="AB720" s="264"/>
      <c r="AC720" s="264"/>
      <c r="AD720" s="264"/>
      <c r="AE720" s="264"/>
    </row>
    <row r="721">
      <c r="A721" s="272"/>
      <c r="B721" s="272"/>
      <c r="C721" s="272"/>
      <c r="D721" s="172"/>
      <c r="E721" s="267" t="str">
        <f t="shared" si="22"/>
        <v/>
      </c>
      <c r="F721" s="274" t="str">
        <f t="shared" si="2"/>
        <v/>
      </c>
      <c r="G721" s="42"/>
      <c r="H721" s="264"/>
      <c r="I721" s="277"/>
      <c r="J721" s="276" t="str">
        <f>IF(ISBLANK(I721), "", VLOOKUP(E721&amp;" "&amp;F721, 'Info Tipo de Cambio y REM'!$A$24:$B$35, 2, FALSE))
</f>
        <v/>
      </c>
      <c r="K721" s="107" t="str">
        <f t="shared" si="23"/>
        <v/>
      </c>
      <c r="L721" s="293">
        <f t="shared" si="5"/>
        <v>-5187415.025</v>
      </c>
      <c r="M721" s="293">
        <f t="shared" si="3"/>
        <v>-68574.41</v>
      </c>
      <c r="N721" s="293">
        <f t="shared" si="6"/>
        <v>0</v>
      </c>
      <c r="O721" s="277">
        <f t="shared" si="4"/>
        <v>-72146.60962</v>
      </c>
      <c r="P721" s="264"/>
      <c r="Q721" s="264"/>
      <c r="R721" s="264"/>
      <c r="S721" s="264"/>
      <c r="T721" s="264"/>
      <c r="U721" s="264"/>
      <c r="V721" s="264"/>
      <c r="W721" s="264"/>
      <c r="X721" s="264"/>
      <c r="Y721" s="264"/>
      <c r="Z721" s="264"/>
      <c r="AA721" s="264"/>
      <c r="AB721" s="264"/>
      <c r="AC721" s="264"/>
      <c r="AD721" s="264"/>
      <c r="AE721" s="264"/>
    </row>
    <row r="722">
      <c r="A722" s="272"/>
      <c r="B722" s="272"/>
      <c r="C722" s="272"/>
      <c r="D722" s="172"/>
      <c r="E722" s="267" t="str">
        <f t="shared" si="22"/>
        <v/>
      </c>
      <c r="F722" s="274" t="str">
        <f t="shared" si="2"/>
        <v/>
      </c>
      <c r="G722" s="42"/>
      <c r="H722" s="264"/>
      <c r="I722" s="277"/>
      <c r="J722" s="276" t="str">
        <f>IF(ISBLANK(I722), "", VLOOKUP(E722&amp;" "&amp;F722, 'Info Tipo de Cambio y REM'!$A$24:$B$35, 2, FALSE))
</f>
        <v/>
      </c>
      <c r="K722" s="107" t="str">
        <f t="shared" si="23"/>
        <v/>
      </c>
      <c r="L722" s="293">
        <f t="shared" si="5"/>
        <v>-5187415.025</v>
      </c>
      <c r="M722" s="293">
        <f t="shared" si="3"/>
        <v>-68574.41</v>
      </c>
      <c r="N722" s="293">
        <f t="shared" si="6"/>
        <v>0</v>
      </c>
      <c r="O722" s="277">
        <f t="shared" si="4"/>
        <v>-72146.60962</v>
      </c>
      <c r="P722" s="264"/>
      <c r="Q722" s="264"/>
      <c r="R722" s="264"/>
      <c r="S722" s="264"/>
      <c r="T722" s="264"/>
      <c r="U722" s="264"/>
      <c r="V722" s="264"/>
      <c r="W722" s="264"/>
      <c r="X722" s="264"/>
      <c r="Y722" s="264"/>
      <c r="Z722" s="264"/>
      <c r="AA722" s="264"/>
      <c r="AB722" s="264"/>
      <c r="AC722" s="264"/>
      <c r="AD722" s="264"/>
      <c r="AE722" s="264"/>
    </row>
    <row r="723">
      <c r="A723" s="272"/>
      <c r="B723" s="272"/>
      <c r="C723" s="272"/>
      <c r="D723" s="172"/>
      <c r="E723" s="267" t="str">
        <f t="shared" si="22"/>
        <v/>
      </c>
      <c r="F723" s="274" t="str">
        <f t="shared" si="2"/>
        <v/>
      </c>
      <c r="G723" s="42"/>
      <c r="H723" s="264"/>
      <c r="I723" s="277"/>
      <c r="J723" s="276" t="str">
        <f>IF(ISBLANK(I723), "", VLOOKUP(E723&amp;" "&amp;F723, 'Info Tipo de Cambio y REM'!$A$24:$B$35, 2, FALSE))
</f>
        <v/>
      </c>
      <c r="K723" s="107" t="str">
        <f t="shared" si="23"/>
        <v/>
      </c>
      <c r="L723" s="293">
        <f t="shared" si="5"/>
        <v>-5187415.025</v>
      </c>
      <c r="M723" s="293">
        <f t="shared" si="3"/>
        <v>-68574.41</v>
      </c>
      <c r="N723" s="293">
        <f t="shared" si="6"/>
        <v>0</v>
      </c>
      <c r="O723" s="277">
        <f t="shared" si="4"/>
        <v>-72146.60962</v>
      </c>
      <c r="P723" s="264"/>
      <c r="Q723" s="264"/>
      <c r="R723" s="264"/>
      <c r="S723" s="264"/>
      <c r="T723" s="264"/>
      <c r="U723" s="264"/>
      <c r="V723" s="264"/>
      <c r="W723" s="264"/>
      <c r="X723" s="264"/>
      <c r="Y723" s="264"/>
      <c r="Z723" s="264"/>
      <c r="AA723" s="264"/>
      <c r="AB723" s="264"/>
      <c r="AC723" s="264"/>
      <c r="AD723" s="264"/>
      <c r="AE723" s="264"/>
    </row>
    <row r="724">
      <c r="A724" s="272"/>
      <c r="B724" s="272"/>
      <c r="C724" s="272"/>
      <c r="D724" s="172"/>
      <c r="E724" s="267" t="str">
        <f t="shared" si="22"/>
        <v/>
      </c>
      <c r="F724" s="274" t="str">
        <f t="shared" si="2"/>
        <v/>
      </c>
      <c r="G724" s="42"/>
      <c r="H724" s="264"/>
      <c r="I724" s="277"/>
      <c r="J724" s="276" t="str">
        <f>IF(ISBLANK(I724), "", VLOOKUP(E724&amp;" "&amp;F724, 'Info Tipo de Cambio y REM'!$A$24:$B$35, 2, FALSE))
</f>
        <v/>
      </c>
      <c r="K724" s="107" t="str">
        <f t="shared" si="23"/>
        <v/>
      </c>
      <c r="L724" s="293">
        <f t="shared" si="5"/>
        <v>-5187415.025</v>
      </c>
      <c r="M724" s="293">
        <f t="shared" si="3"/>
        <v>-68574.41</v>
      </c>
      <c r="N724" s="293">
        <f t="shared" si="6"/>
        <v>0</v>
      </c>
      <c r="O724" s="277">
        <f t="shared" si="4"/>
        <v>-72146.60962</v>
      </c>
      <c r="P724" s="264"/>
      <c r="Q724" s="264"/>
      <c r="R724" s="264"/>
      <c r="S724" s="264"/>
      <c r="T724" s="264"/>
      <c r="U724" s="264"/>
      <c r="V724" s="264"/>
      <c r="W724" s="264"/>
      <c r="X724" s="264"/>
      <c r="Y724" s="264"/>
      <c r="Z724" s="264"/>
      <c r="AA724" s="264"/>
      <c r="AB724" s="264"/>
      <c r="AC724" s="264"/>
      <c r="AD724" s="264"/>
      <c r="AE724" s="264"/>
    </row>
    <row r="725">
      <c r="A725" s="272"/>
      <c r="B725" s="272"/>
      <c r="C725" s="272"/>
      <c r="D725" s="172"/>
      <c r="E725" s="267" t="str">
        <f t="shared" si="22"/>
        <v/>
      </c>
      <c r="F725" s="274" t="str">
        <f t="shared" si="2"/>
        <v/>
      </c>
      <c r="G725" s="42"/>
      <c r="H725" s="264"/>
      <c r="I725" s="277"/>
      <c r="J725" s="276" t="str">
        <f>IF(ISBLANK(I725), "", VLOOKUP(E725&amp;" "&amp;F725, 'Info Tipo de Cambio y REM'!$A$24:$B$35, 2, FALSE))
</f>
        <v/>
      </c>
      <c r="K725" s="107" t="str">
        <f t="shared" si="23"/>
        <v/>
      </c>
      <c r="L725" s="293">
        <f t="shared" si="5"/>
        <v>-5187415.025</v>
      </c>
      <c r="M725" s="293">
        <f t="shared" si="3"/>
        <v>-68574.41</v>
      </c>
      <c r="N725" s="293">
        <f t="shared" si="6"/>
        <v>0</v>
      </c>
      <c r="O725" s="277">
        <f t="shared" si="4"/>
        <v>-72146.60962</v>
      </c>
      <c r="P725" s="264"/>
      <c r="Q725" s="264"/>
      <c r="R725" s="264"/>
      <c r="S725" s="264"/>
      <c r="T725" s="264"/>
      <c r="U725" s="264"/>
      <c r="V725" s="264"/>
      <c r="W725" s="264"/>
      <c r="X725" s="264"/>
      <c r="Y725" s="264"/>
      <c r="Z725" s="264"/>
      <c r="AA725" s="264"/>
      <c r="AB725" s="264"/>
      <c r="AC725" s="264"/>
      <c r="AD725" s="264"/>
      <c r="AE725" s="264"/>
    </row>
    <row r="726">
      <c r="A726" s="272"/>
      <c r="B726" s="272"/>
      <c r="C726" s="272"/>
      <c r="D726" s="172"/>
      <c r="E726" s="267" t="str">
        <f t="shared" si="22"/>
        <v/>
      </c>
      <c r="F726" s="274" t="str">
        <f t="shared" si="2"/>
        <v/>
      </c>
      <c r="G726" s="42"/>
      <c r="H726" s="264"/>
      <c r="I726" s="277"/>
      <c r="J726" s="276" t="str">
        <f>IF(ISBLANK(I726), "", VLOOKUP(E726&amp;" "&amp;F726, 'Info Tipo de Cambio y REM'!$A$24:$B$35, 2, FALSE))
</f>
        <v/>
      </c>
      <c r="K726" s="107" t="str">
        <f t="shared" si="23"/>
        <v/>
      </c>
      <c r="L726" s="293">
        <f t="shared" si="5"/>
        <v>-5187415.025</v>
      </c>
      <c r="M726" s="293">
        <f t="shared" si="3"/>
        <v>-68574.41</v>
      </c>
      <c r="N726" s="293">
        <f t="shared" si="6"/>
        <v>0</v>
      </c>
      <c r="O726" s="277">
        <f t="shared" si="4"/>
        <v>-72146.60962</v>
      </c>
      <c r="P726" s="264"/>
      <c r="Q726" s="264"/>
      <c r="R726" s="264"/>
      <c r="S726" s="264"/>
      <c r="T726" s="264"/>
      <c r="U726" s="264"/>
      <c r="V726" s="264"/>
      <c r="W726" s="264"/>
      <c r="X726" s="264"/>
      <c r="Y726" s="264"/>
      <c r="Z726" s="264"/>
      <c r="AA726" s="264"/>
      <c r="AB726" s="264"/>
      <c r="AC726" s="264"/>
      <c r="AD726" s="264"/>
      <c r="AE726" s="264"/>
    </row>
    <row r="727">
      <c r="A727" s="272"/>
      <c r="B727" s="272"/>
      <c r="C727" s="272"/>
      <c r="D727" s="172"/>
      <c r="E727" s="267" t="str">
        <f t="shared" si="22"/>
        <v/>
      </c>
      <c r="F727" s="274" t="str">
        <f t="shared" si="2"/>
        <v/>
      </c>
      <c r="G727" s="42"/>
      <c r="H727" s="264"/>
      <c r="I727" s="277"/>
      <c r="J727" s="276" t="str">
        <f>IF(ISBLANK(I727), "", VLOOKUP(E727&amp;" "&amp;F727, 'Info Tipo de Cambio y REM'!$A$24:$B$35, 2, FALSE))
</f>
        <v/>
      </c>
      <c r="K727" s="107" t="str">
        <f t="shared" si="23"/>
        <v/>
      </c>
      <c r="L727" s="293">
        <f t="shared" si="5"/>
        <v>-5187415.025</v>
      </c>
      <c r="M727" s="293">
        <f t="shared" si="3"/>
        <v>-68574.41</v>
      </c>
      <c r="N727" s="293">
        <f t="shared" si="6"/>
        <v>0</v>
      </c>
      <c r="O727" s="277">
        <f t="shared" si="4"/>
        <v>-72146.60962</v>
      </c>
      <c r="P727" s="264"/>
      <c r="Q727" s="264"/>
      <c r="R727" s="264"/>
      <c r="S727" s="264"/>
      <c r="T727" s="264"/>
      <c r="U727" s="264"/>
      <c r="V727" s="264"/>
      <c r="W727" s="264"/>
      <c r="X727" s="264"/>
      <c r="Y727" s="264"/>
      <c r="Z727" s="264"/>
      <c r="AA727" s="264"/>
      <c r="AB727" s="264"/>
      <c r="AC727" s="264"/>
      <c r="AD727" s="264"/>
      <c r="AE727" s="264"/>
    </row>
    <row r="728">
      <c r="A728" s="272"/>
      <c r="B728" s="272"/>
      <c r="C728" s="272"/>
      <c r="D728" s="172"/>
      <c r="E728" s="267" t="str">
        <f t="shared" si="22"/>
        <v/>
      </c>
      <c r="F728" s="274" t="str">
        <f t="shared" si="2"/>
        <v/>
      </c>
      <c r="G728" s="42"/>
      <c r="H728" s="264"/>
      <c r="I728" s="277"/>
      <c r="J728" s="276" t="str">
        <f>IF(ISBLANK(I728), "", VLOOKUP(E728&amp;" "&amp;F728, 'Info Tipo de Cambio y REM'!$A$24:$B$35, 2, FALSE))
</f>
        <v/>
      </c>
      <c r="K728" s="107" t="str">
        <f t="shared" si="23"/>
        <v/>
      </c>
      <c r="L728" s="293">
        <f t="shared" si="5"/>
        <v>-5187415.025</v>
      </c>
      <c r="M728" s="293">
        <f t="shared" si="3"/>
        <v>-68574.41</v>
      </c>
      <c r="N728" s="293">
        <f t="shared" si="6"/>
        <v>0</v>
      </c>
      <c r="O728" s="277">
        <f t="shared" si="4"/>
        <v>-72146.60962</v>
      </c>
      <c r="P728" s="264"/>
      <c r="Q728" s="264"/>
      <c r="R728" s="264"/>
      <c r="S728" s="264"/>
      <c r="T728" s="264"/>
      <c r="U728" s="264"/>
      <c r="V728" s="264"/>
      <c r="W728" s="264"/>
      <c r="X728" s="264"/>
      <c r="Y728" s="264"/>
      <c r="Z728" s="264"/>
      <c r="AA728" s="264"/>
      <c r="AB728" s="264"/>
      <c r="AC728" s="264"/>
      <c r="AD728" s="264"/>
      <c r="AE728" s="264"/>
    </row>
    <row r="729">
      <c r="A729" s="272"/>
      <c r="B729" s="272"/>
      <c r="C729" s="272"/>
      <c r="D729" s="172"/>
      <c r="E729" s="267" t="str">
        <f t="shared" si="22"/>
        <v/>
      </c>
      <c r="F729" s="274" t="str">
        <f t="shared" si="2"/>
        <v/>
      </c>
      <c r="G729" s="42"/>
      <c r="H729" s="264"/>
      <c r="I729" s="277"/>
      <c r="J729" s="276" t="str">
        <f>IF(ISBLANK(I729), "", VLOOKUP(E729&amp;" "&amp;F729, 'Info Tipo de Cambio y REM'!$A$24:$B$35, 2, FALSE))
</f>
        <v/>
      </c>
      <c r="K729" s="107" t="str">
        <f t="shared" si="23"/>
        <v/>
      </c>
      <c r="L729" s="293">
        <f t="shared" si="5"/>
        <v>-5187415.025</v>
      </c>
      <c r="M729" s="293">
        <f t="shared" si="3"/>
        <v>-68574.41</v>
      </c>
      <c r="N729" s="293">
        <f t="shared" si="6"/>
        <v>0</v>
      </c>
      <c r="O729" s="277">
        <f t="shared" si="4"/>
        <v>-72146.60962</v>
      </c>
      <c r="P729" s="264"/>
      <c r="Q729" s="264"/>
      <c r="R729" s="264"/>
      <c r="S729" s="264"/>
      <c r="T729" s="264"/>
      <c r="U729" s="264"/>
      <c r="V729" s="264"/>
      <c r="W729" s="264"/>
      <c r="X729" s="264"/>
      <c r="Y729" s="264"/>
      <c r="Z729" s="264"/>
      <c r="AA729" s="264"/>
      <c r="AB729" s="264"/>
      <c r="AC729" s="264"/>
      <c r="AD729" s="264"/>
      <c r="AE729" s="264"/>
    </row>
    <row r="730">
      <c r="A730" s="272"/>
      <c r="B730" s="272"/>
      <c r="C730" s="272"/>
      <c r="D730" s="172"/>
      <c r="E730" s="267" t="str">
        <f t="shared" si="22"/>
        <v/>
      </c>
      <c r="F730" s="274" t="str">
        <f t="shared" si="2"/>
        <v/>
      </c>
      <c r="G730" s="42"/>
      <c r="H730" s="264"/>
      <c r="I730" s="277"/>
      <c r="J730" s="276" t="str">
        <f>IF(ISBLANK(I730), "", VLOOKUP(E730&amp;" "&amp;F730, 'Info Tipo de Cambio y REM'!$A$24:$B$35, 2, FALSE))
</f>
        <v/>
      </c>
      <c r="K730" s="107" t="str">
        <f t="shared" si="23"/>
        <v/>
      </c>
      <c r="L730" s="293">
        <f t="shared" si="5"/>
        <v>-5187415.025</v>
      </c>
      <c r="M730" s="293">
        <f t="shared" si="3"/>
        <v>-68574.41</v>
      </c>
      <c r="N730" s="293">
        <f t="shared" si="6"/>
        <v>0</v>
      </c>
      <c r="O730" s="277">
        <f t="shared" si="4"/>
        <v>-72146.60962</v>
      </c>
      <c r="P730" s="264"/>
      <c r="Q730" s="264"/>
      <c r="R730" s="264"/>
      <c r="S730" s="264"/>
      <c r="T730" s="264"/>
      <c r="U730" s="264"/>
      <c r="V730" s="264"/>
      <c r="W730" s="264"/>
      <c r="X730" s="264"/>
      <c r="Y730" s="264"/>
      <c r="Z730" s="264"/>
      <c r="AA730" s="264"/>
      <c r="AB730" s="264"/>
      <c r="AC730" s="264"/>
      <c r="AD730" s="264"/>
      <c r="AE730" s="264"/>
    </row>
    <row r="731">
      <c r="A731" s="272"/>
      <c r="B731" s="272"/>
      <c r="C731" s="272"/>
      <c r="D731" s="172"/>
      <c r="E731" s="267" t="str">
        <f t="shared" si="22"/>
        <v/>
      </c>
      <c r="F731" s="274" t="str">
        <f t="shared" si="2"/>
        <v/>
      </c>
      <c r="G731" s="42"/>
      <c r="H731" s="264"/>
      <c r="I731" s="277"/>
      <c r="J731" s="276" t="str">
        <f>IF(ISBLANK(I731), "", VLOOKUP(E731&amp;" "&amp;F731, 'Info Tipo de Cambio y REM'!$A$24:$B$35, 2, FALSE))
</f>
        <v/>
      </c>
      <c r="K731" s="107" t="str">
        <f t="shared" si="23"/>
        <v/>
      </c>
      <c r="L731" s="293">
        <f t="shared" si="5"/>
        <v>-5187415.025</v>
      </c>
      <c r="M731" s="293">
        <f t="shared" si="3"/>
        <v>-68574.41</v>
      </c>
      <c r="N731" s="293">
        <f t="shared" si="6"/>
        <v>0</v>
      </c>
      <c r="O731" s="277">
        <f t="shared" si="4"/>
        <v>-72146.60962</v>
      </c>
      <c r="P731" s="264"/>
      <c r="Q731" s="264"/>
      <c r="R731" s="264"/>
      <c r="S731" s="264"/>
      <c r="T731" s="264"/>
      <c r="U731" s="264"/>
      <c r="V731" s="264"/>
      <c r="W731" s="264"/>
      <c r="X731" s="264"/>
      <c r="Y731" s="264"/>
      <c r="Z731" s="264"/>
      <c r="AA731" s="264"/>
      <c r="AB731" s="264"/>
      <c r="AC731" s="264"/>
      <c r="AD731" s="264"/>
      <c r="AE731" s="264"/>
    </row>
    <row r="732">
      <c r="A732" s="272"/>
      <c r="B732" s="272"/>
      <c r="C732" s="272"/>
      <c r="D732" s="172"/>
      <c r="E732" s="267" t="str">
        <f t="shared" si="22"/>
        <v/>
      </c>
      <c r="F732" s="274" t="str">
        <f t="shared" si="2"/>
        <v/>
      </c>
      <c r="G732" s="42"/>
      <c r="H732" s="264"/>
      <c r="I732" s="277"/>
      <c r="J732" s="276" t="str">
        <f>IF(ISBLANK(I732), "", VLOOKUP(E732&amp;" "&amp;F732, 'Info Tipo de Cambio y REM'!$A$24:$B$35, 2, FALSE))
</f>
        <v/>
      </c>
      <c r="K732" s="107" t="str">
        <f t="shared" si="23"/>
        <v/>
      </c>
      <c r="L732" s="293">
        <f t="shared" si="5"/>
        <v>-5187415.025</v>
      </c>
      <c r="M732" s="293">
        <f t="shared" si="3"/>
        <v>-68574.41</v>
      </c>
      <c r="N732" s="293">
        <f t="shared" si="6"/>
        <v>0</v>
      </c>
      <c r="O732" s="277">
        <f t="shared" si="4"/>
        <v>-72146.60962</v>
      </c>
      <c r="P732" s="264"/>
      <c r="Q732" s="264"/>
      <c r="R732" s="264"/>
      <c r="S732" s="264"/>
      <c r="T732" s="264"/>
      <c r="U732" s="264"/>
      <c r="V732" s="264"/>
      <c r="W732" s="264"/>
      <c r="X732" s="264"/>
      <c r="Y732" s="264"/>
      <c r="Z732" s="264"/>
      <c r="AA732" s="264"/>
      <c r="AB732" s="264"/>
      <c r="AC732" s="264"/>
      <c r="AD732" s="264"/>
      <c r="AE732" s="264"/>
    </row>
    <row r="733">
      <c r="A733" s="272"/>
      <c r="B733" s="272"/>
      <c r="C733" s="272"/>
      <c r="D733" s="172"/>
      <c r="E733" s="267" t="str">
        <f t="shared" si="22"/>
        <v/>
      </c>
      <c r="F733" s="274" t="str">
        <f t="shared" si="2"/>
        <v/>
      </c>
      <c r="G733" s="42"/>
      <c r="H733" s="264"/>
      <c r="I733" s="277"/>
      <c r="J733" s="276" t="str">
        <f>IF(ISBLANK(I733), "", VLOOKUP(E733&amp;" "&amp;F733, 'Info Tipo de Cambio y REM'!$A$24:$B$35, 2, FALSE))
</f>
        <v/>
      </c>
      <c r="K733" s="107" t="str">
        <f t="shared" si="23"/>
        <v/>
      </c>
      <c r="L733" s="293">
        <f t="shared" si="5"/>
        <v>-5187415.025</v>
      </c>
      <c r="M733" s="293">
        <f t="shared" si="3"/>
        <v>-68574.41</v>
      </c>
      <c r="N733" s="293">
        <f t="shared" si="6"/>
        <v>0</v>
      </c>
      <c r="O733" s="277">
        <f t="shared" si="4"/>
        <v>-72146.60962</v>
      </c>
      <c r="P733" s="264"/>
      <c r="Q733" s="264"/>
      <c r="R733" s="264"/>
      <c r="S733" s="264"/>
      <c r="T733" s="264"/>
      <c r="U733" s="264"/>
      <c r="V733" s="264"/>
      <c r="W733" s="264"/>
      <c r="X733" s="264"/>
      <c r="Y733" s="264"/>
      <c r="Z733" s="264"/>
      <c r="AA733" s="264"/>
      <c r="AB733" s="264"/>
      <c r="AC733" s="264"/>
      <c r="AD733" s="264"/>
      <c r="AE733" s="264"/>
    </row>
    <row r="734">
      <c r="A734" s="272"/>
      <c r="B734" s="272"/>
      <c r="C734" s="272"/>
      <c r="D734" s="172"/>
      <c r="E734" s="267" t="str">
        <f t="shared" si="22"/>
        <v/>
      </c>
      <c r="F734" s="274" t="str">
        <f t="shared" si="2"/>
        <v/>
      </c>
      <c r="G734" s="42"/>
      <c r="H734" s="264"/>
      <c r="I734" s="277"/>
      <c r="J734" s="276" t="str">
        <f>IF(ISBLANK(I734), "", VLOOKUP(E734&amp;" "&amp;F734, 'Info Tipo de Cambio y REM'!$A$24:$B$35, 2, FALSE))
</f>
        <v/>
      </c>
      <c r="K734" s="107" t="str">
        <f t="shared" si="23"/>
        <v/>
      </c>
      <c r="L734" s="293">
        <f t="shared" si="5"/>
        <v>-5187415.025</v>
      </c>
      <c r="M734" s="293">
        <f t="shared" si="3"/>
        <v>-68574.41</v>
      </c>
      <c r="N734" s="293">
        <f t="shared" si="6"/>
        <v>0</v>
      </c>
      <c r="O734" s="277">
        <f t="shared" si="4"/>
        <v>-72146.60962</v>
      </c>
      <c r="P734" s="264"/>
      <c r="Q734" s="264"/>
      <c r="R734" s="264"/>
      <c r="S734" s="264"/>
      <c r="T734" s="264"/>
      <c r="U734" s="264"/>
      <c r="V734" s="264"/>
      <c r="W734" s="264"/>
      <c r="X734" s="264"/>
      <c r="Y734" s="264"/>
      <c r="Z734" s="264"/>
      <c r="AA734" s="264"/>
      <c r="AB734" s="264"/>
      <c r="AC734" s="264"/>
      <c r="AD734" s="264"/>
      <c r="AE734" s="264"/>
    </row>
    <row r="735">
      <c r="A735" s="272"/>
      <c r="B735" s="272"/>
      <c r="C735" s="272"/>
      <c r="D735" s="172"/>
      <c r="E735" s="267" t="str">
        <f t="shared" si="22"/>
        <v/>
      </c>
      <c r="F735" s="274" t="str">
        <f t="shared" si="2"/>
        <v/>
      </c>
      <c r="G735" s="42"/>
      <c r="H735" s="264"/>
      <c r="I735" s="277"/>
      <c r="J735" s="276" t="str">
        <f>IF(ISBLANK(I735), "", VLOOKUP(E735&amp;" "&amp;F735, 'Info Tipo de Cambio y REM'!$A$24:$B$35, 2, FALSE))
</f>
        <v/>
      </c>
      <c r="K735" s="107" t="str">
        <f t="shared" si="23"/>
        <v/>
      </c>
      <c r="L735" s="293">
        <f t="shared" si="5"/>
        <v>-5187415.025</v>
      </c>
      <c r="M735" s="293">
        <f t="shared" si="3"/>
        <v>-68574.41</v>
      </c>
      <c r="N735" s="293">
        <f t="shared" si="6"/>
        <v>0</v>
      </c>
      <c r="O735" s="277">
        <f t="shared" si="4"/>
        <v>-72146.60962</v>
      </c>
      <c r="P735" s="264"/>
      <c r="Q735" s="264"/>
      <c r="R735" s="264"/>
      <c r="S735" s="264"/>
      <c r="T735" s="264"/>
      <c r="U735" s="264"/>
      <c r="V735" s="264"/>
      <c r="W735" s="264"/>
      <c r="X735" s="264"/>
      <c r="Y735" s="264"/>
      <c r="Z735" s="264"/>
      <c r="AA735" s="264"/>
      <c r="AB735" s="264"/>
      <c r="AC735" s="264"/>
      <c r="AD735" s="264"/>
      <c r="AE735" s="264"/>
    </row>
    <row r="736">
      <c r="A736" s="272"/>
      <c r="B736" s="272"/>
      <c r="C736" s="272"/>
      <c r="D736" s="172"/>
      <c r="E736" s="267" t="str">
        <f t="shared" si="22"/>
        <v/>
      </c>
      <c r="F736" s="274" t="str">
        <f t="shared" si="2"/>
        <v/>
      </c>
      <c r="G736" s="42"/>
      <c r="H736" s="264"/>
      <c r="I736" s="277"/>
      <c r="J736" s="276" t="str">
        <f>IF(ISBLANK(I736), "", VLOOKUP(E736&amp;" "&amp;F736, 'Info Tipo de Cambio y REM'!$A$24:$B$35, 2, FALSE))
</f>
        <v/>
      </c>
      <c r="K736" s="107" t="str">
        <f t="shared" si="23"/>
        <v/>
      </c>
      <c r="L736" s="293">
        <f t="shared" si="5"/>
        <v>-5187415.025</v>
      </c>
      <c r="M736" s="293">
        <f t="shared" si="3"/>
        <v>-68574.41</v>
      </c>
      <c r="N736" s="293">
        <f t="shared" si="6"/>
        <v>0</v>
      </c>
      <c r="O736" s="277">
        <f t="shared" si="4"/>
        <v>-72146.60962</v>
      </c>
      <c r="P736" s="264"/>
      <c r="Q736" s="264"/>
      <c r="R736" s="264"/>
      <c r="S736" s="264"/>
      <c r="T736" s="264"/>
      <c r="U736" s="264"/>
      <c r="V736" s="264"/>
      <c r="W736" s="264"/>
      <c r="X736" s="264"/>
      <c r="Y736" s="264"/>
      <c r="Z736" s="264"/>
      <c r="AA736" s="264"/>
      <c r="AB736" s="264"/>
      <c r="AC736" s="264"/>
      <c r="AD736" s="264"/>
      <c r="AE736" s="264"/>
    </row>
    <row r="737">
      <c r="A737" s="272"/>
      <c r="B737" s="272"/>
      <c r="C737" s="272"/>
      <c r="D737" s="172"/>
      <c r="E737" s="267" t="str">
        <f t="shared" si="22"/>
        <v/>
      </c>
      <c r="F737" s="274" t="str">
        <f t="shared" si="2"/>
        <v/>
      </c>
      <c r="G737" s="42"/>
      <c r="H737" s="264"/>
      <c r="I737" s="277"/>
      <c r="J737" s="276" t="str">
        <f>IF(ISBLANK(I737), "", VLOOKUP(E737&amp;" "&amp;F737, 'Info Tipo de Cambio y REM'!$A$24:$B$35, 2, FALSE))
</f>
        <v/>
      </c>
      <c r="K737" s="107" t="str">
        <f t="shared" si="23"/>
        <v/>
      </c>
      <c r="L737" s="293">
        <f t="shared" si="5"/>
        <v>-5187415.025</v>
      </c>
      <c r="M737" s="293">
        <f t="shared" si="3"/>
        <v>-68574.41</v>
      </c>
      <c r="N737" s="293">
        <f t="shared" si="6"/>
        <v>0</v>
      </c>
      <c r="O737" s="277">
        <f t="shared" si="4"/>
        <v>-72146.60962</v>
      </c>
      <c r="P737" s="264"/>
      <c r="Q737" s="264"/>
      <c r="R737" s="264"/>
      <c r="S737" s="264"/>
      <c r="T737" s="264"/>
      <c r="U737" s="264"/>
      <c r="V737" s="264"/>
      <c r="W737" s="264"/>
      <c r="X737" s="264"/>
      <c r="Y737" s="264"/>
      <c r="Z737" s="264"/>
      <c r="AA737" s="264"/>
      <c r="AB737" s="264"/>
      <c r="AC737" s="264"/>
      <c r="AD737" s="264"/>
      <c r="AE737" s="264"/>
    </row>
    <row r="738">
      <c r="A738" s="272"/>
      <c r="B738" s="272"/>
      <c r="C738" s="272"/>
      <c r="D738" s="172"/>
      <c r="E738" s="267" t="str">
        <f t="shared" si="22"/>
        <v/>
      </c>
      <c r="F738" s="274" t="str">
        <f t="shared" si="2"/>
        <v/>
      </c>
      <c r="G738" s="42"/>
      <c r="H738" s="264"/>
      <c r="I738" s="277"/>
      <c r="J738" s="276" t="str">
        <f>IF(ISBLANK(I738), "", VLOOKUP(E738&amp;" "&amp;F738, 'Info Tipo de Cambio y REM'!$A$24:$B$35, 2, FALSE))
</f>
        <v/>
      </c>
      <c r="K738" s="107" t="str">
        <f t="shared" si="23"/>
        <v/>
      </c>
      <c r="L738" s="293">
        <f t="shared" si="5"/>
        <v>-5187415.025</v>
      </c>
      <c r="M738" s="293">
        <f t="shared" si="3"/>
        <v>-68574.41</v>
      </c>
      <c r="N738" s="293">
        <f t="shared" si="6"/>
        <v>0</v>
      </c>
      <c r="O738" s="277">
        <f t="shared" si="4"/>
        <v>-72146.60962</v>
      </c>
      <c r="P738" s="264"/>
      <c r="Q738" s="264"/>
      <c r="R738" s="264"/>
      <c r="S738" s="264"/>
      <c r="T738" s="264"/>
      <c r="U738" s="264"/>
      <c r="V738" s="264"/>
      <c r="W738" s="264"/>
      <c r="X738" s="264"/>
      <c r="Y738" s="264"/>
      <c r="Z738" s="264"/>
      <c r="AA738" s="264"/>
      <c r="AB738" s="264"/>
      <c r="AC738" s="264"/>
      <c r="AD738" s="264"/>
      <c r="AE738" s="264"/>
    </row>
    <row r="739">
      <c r="A739" s="272"/>
      <c r="B739" s="272"/>
      <c r="C739" s="272"/>
      <c r="D739" s="172"/>
      <c r="E739" s="267" t="str">
        <f t="shared" si="22"/>
        <v/>
      </c>
      <c r="F739" s="274" t="str">
        <f t="shared" si="2"/>
        <v/>
      </c>
      <c r="G739" s="42"/>
      <c r="H739" s="264"/>
      <c r="I739" s="277"/>
      <c r="J739" s="276" t="str">
        <f>IF(ISBLANK(I739), "", VLOOKUP(E739&amp;" "&amp;F739, 'Info Tipo de Cambio y REM'!$A$24:$B$35, 2, FALSE))
</f>
        <v/>
      </c>
      <c r="K739" s="107" t="str">
        <f t="shared" si="23"/>
        <v/>
      </c>
      <c r="L739" s="293">
        <f t="shared" si="5"/>
        <v>-5187415.025</v>
      </c>
      <c r="M739" s="293">
        <f t="shared" si="3"/>
        <v>-68574.41</v>
      </c>
      <c r="N739" s="293">
        <f t="shared" si="6"/>
        <v>0</v>
      </c>
      <c r="O739" s="277">
        <f t="shared" si="4"/>
        <v>-72146.60962</v>
      </c>
      <c r="P739" s="264"/>
      <c r="Q739" s="264"/>
      <c r="R739" s="264"/>
      <c r="S739" s="264"/>
      <c r="T739" s="264"/>
      <c r="U739" s="264"/>
      <c r="V739" s="264"/>
      <c r="W739" s="264"/>
      <c r="X739" s="264"/>
      <c r="Y739" s="264"/>
      <c r="Z739" s="264"/>
      <c r="AA739" s="264"/>
      <c r="AB739" s="264"/>
      <c r="AC739" s="264"/>
      <c r="AD739" s="264"/>
      <c r="AE739" s="264"/>
    </row>
    <row r="740">
      <c r="A740" s="272"/>
      <c r="B740" s="272"/>
      <c r="C740" s="272"/>
      <c r="D740" s="172"/>
      <c r="E740" s="267" t="str">
        <f t="shared" si="22"/>
        <v/>
      </c>
      <c r="F740" s="274" t="str">
        <f t="shared" si="2"/>
        <v/>
      </c>
      <c r="G740" s="42"/>
      <c r="H740" s="264"/>
      <c r="I740" s="277"/>
      <c r="J740" s="276" t="str">
        <f>IF(ISBLANK(I740), "", VLOOKUP(E740&amp;" "&amp;F740, 'Info Tipo de Cambio y REM'!$A$24:$B$35, 2, FALSE))
</f>
        <v/>
      </c>
      <c r="K740" s="107" t="str">
        <f t="shared" si="23"/>
        <v/>
      </c>
      <c r="L740" s="293">
        <f t="shared" si="5"/>
        <v>-5187415.025</v>
      </c>
      <c r="M740" s="293">
        <f t="shared" si="3"/>
        <v>-68574.41</v>
      </c>
      <c r="N740" s="293">
        <f t="shared" si="6"/>
        <v>0</v>
      </c>
      <c r="O740" s="277">
        <f t="shared" si="4"/>
        <v>-72146.60962</v>
      </c>
      <c r="P740" s="264"/>
      <c r="Q740" s="264"/>
      <c r="R740" s="264"/>
      <c r="S740" s="264"/>
      <c r="T740" s="264"/>
      <c r="U740" s="264"/>
      <c r="V740" s="264"/>
      <c r="W740" s="264"/>
      <c r="X740" s="264"/>
      <c r="Y740" s="264"/>
      <c r="Z740" s="264"/>
      <c r="AA740" s="264"/>
      <c r="AB740" s="264"/>
      <c r="AC740" s="264"/>
      <c r="AD740" s="264"/>
      <c r="AE740" s="264"/>
    </row>
    <row r="741">
      <c r="A741" s="272"/>
      <c r="B741" s="272"/>
      <c r="C741" s="272"/>
      <c r="D741" s="172"/>
      <c r="E741" s="267" t="str">
        <f t="shared" si="22"/>
        <v/>
      </c>
      <c r="F741" s="274" t="str">
        <f t="shared" si="2"/>
        <v/>
      </c>
      <c r="G741" s="42"/>
      <c r="H741" s="264"/>
      <c r="I741" s="277"/>
      <c r="J741" s="276" t="str">
        <f>IF(ISBLANK(I741), "", VLOOKUP(E741&amp;" "&amp;F741, 'Info Tipo de Cambio y REM'!$A$24:$B$35, 2, FALSE))
</f>
        <v/>
      </c>
      <c r="K741" s="107" t="str">
        <f t="shared" si="23"/>
        <v/>
      </c>
      <c r="L741" s="293">
        <f t="shared" si="5"/>
        <v>-5187415.025</v>
      </c>
      <c r="M741" s="293">
        <f t="shared" si="3"/>
        <v>-68574.41</v>
      </c>
      <c r="N741" s="293">
        <f t="shared" si="6"/>
        <v>0</v>
      </c>
      <c r="O741" s="277">
        <f t="shared" si="4"/>
        <v>-72146.60962</v>
      </c>
      <c r="P741" s="264"/>
      <c r="Q741" s="264"/>
      <c r="R741" s="264"/>
      <c r="S741" s="264"/>
      <c r="T741" s="264"/>
      <c r="U741" s="264"/>
      <c r="V741" s="264"/>
      <c r="W741" s="264"/>
      <c r="X741" s="264"/>
      <c r="Y741" s="264"/>
      <c r="Z741" s="264"/>
      <c r="AA741" s="264"/>
      <c r="AB741" s="264"/>
      <c r="AC741" s="264"/>
      <c r="AD741" s="264"/>
      <c r="AE741" s="264"/>
    </row>
    <row r="742">
      <c r="A742" s="272"/>
      <c r="B742" s="272"/>
      <c r="C742" s="272"/>
      <c r="D742" s="172"/>
      <c r="E742" s="267" t="str">
        <f t="shared" si="22"/>
        <v/>
      </c>
      <c r="F742" s="274" t="str">
        <f t="shared" si="2"/>
        <v/>
      </c>
      <c r="G742" s="42"/>
      <c r="H742" s="264"/>
      <c r="I742" s="277"/>
      <c r="J742" s="276" t="str">
        <f>IF(ISBLANK(I742), "", VLOOKUP(E742&amp;" "&amp;F742, 'Info Tipo de Cambio y REM'!$A$24:$B$35, 2, FALSE))
</f>
        <v/>
      </c>
      <c r="K742" s="107" t="str">
        <f t="shared" si="23"/>
        <v/>
      </c>
      <c r="L742" s="293">
        <f t="shared" si="5"/>
        <v>-5187415.025</v>
      </c>
      <c r="M742" s="293">
        <f t="shared" si="3"/>
        <v>-68574.41</v>
      </c>
      <c r="N742" s="293">
        <f t="shared" si="6"/>
        <v>0</v>
      </c>
      <c r="O742" s="277">
        <f t="shared" si="4"/>
        <v>-72146.60962</v>
      </c>
      <c r="P742" s="264"/>
      <c r="Q742" s="264"/>
      <c r="R742" s="264"/>
      <c r="S742" s="264"/>
      <c r="T742" s="264"/>
      <c r="U742" s="264"/>
      <c r="V742" s="264"/>
      <c r="W742" s="264"/>
      <c r="X742" s="264"/>
      <c r="Y742" s="264"/>
      <c r="Z742" s="264"/>
      <c r="AA742" s="264"/>
      <c r="AB742" s="264"/>
      <c r="AC742" s="264"/>
      <c r="AD742" s="264"/>
      <c r="AE742" s="264"/>
    </row>
    <row r="743">
      <c r="A743" s="272"/>
      <c r="B743" s="272"/>
      <c r="C743" s="272"/>
      <c r="D743" s="172"/>
      <c r="E743" s="267" t="str">
        <f t="shared" si="22"/>
        <v/>
      </c>
      <c r="F743" s="274" t="str">
        <f t="shared" si="2"/>
        <v/>
      </c>
      <c r="G743" s="42"/>
      <c r="H743" s="264"/>
      <c r="I743" s="277"/>
      <c r="J743" s="276" t="str">
        <f>IF(ISBLANK(I743), "", VLOOKUP(E743&amp;" "&amp;F743, 'Info Tipo de Cambio y REM'!$A$24:$B$35, 2, FALSE))
</f>
        <v/>
      </c>
      <c r="K743" s="107" t="str">
        <f t="shared" si="23"/>
        <v/>
      </c>
      <c r="L743" s="293">
        <f t="shared" si="5"/>
        <v>-5187415.025</v>
      </c>
      <c r="M743" s="293">
        <f t="shared" si="3"/>
        <v>-68574.41</v>
      </c>
      <c r="N743" s="293">
        <f t="shared" si="6"/>
        <v>0</v>
      </c>
      <c r="O743" s="277">
        <f t="shared" si="4"/>
        <v>-72146.60962</v>
      </c>
      <c r="P743" s="264"/>
      <c r="Q743" s="264"/>
      <c r="R743" s="264"/>
      <c r="S743" s="264"/>
      <c r="T743" s="264"/>
      <c r="U743" s="264"/>
      <c r="V743" s="264"/>
      <c r="W743" s="264"/>
      <c r="X743" s="264"/>
      <c r="Y743" s="264"/>
      <c r="Z743" s="264"/>
      <c r="AA743" s="264"/>
      <c r="AB743" s="264"/>
      <c r="AC743" s="264"/>
      <c r="AD743" s="264"/>
      <c r="AE743" s="264"/>
    </row>
    <row r="744">
      <c r="A744" s="272"/>
      <c r="B744" s="272"/>
      <c r="C744" s="272"/>
      <c r="D744" s="172"/>
      <c r="E744" s="267" t="str">
        <f t="shared" si="22"/>
        <v/>
      </c>
      <c r="F744" s="274" t="str">
        <f t="shared" si="2"/>
        <v/>
      </c>
      <c r="G744" s="42"/>
      <c r="H744" s="264"/>
      <c r="I744" s="277"/>
      <c r="J744" s="276" t="str">
        <f>IF(ISBLANK(I744), "", VLOOKUP(E744&amp;" "&amp;F744, 'Info Tipo de Cambio y REM'!$A$24:$B$35, 2, FALSE))
</f>
        <v/>
      </c>
      <c r="K744" s="107" t="str">
        <f t="shared" si="23"/>
        <v/>
      </c>
      <c r="L744" s="293">
        <f t="shared" si="5"/>
        <v>-5187415.025</v>
      </c>
      <c r="M744" s="293">
        <f t="shared" si="3"/>
        <v>-68574.41</v>
      </c>
      <c r="N744" s="293">
        <f t="shared" si="6"/>
        <v>0</v>
      </c>
      <c r="O744" s="277">
        <f t="shared" si="4"/>
        <v>-72146.60962</v>
      </c>
      <c r="P744" s="264"/>
      <c r="Q744" s="264"/>
      <c r="R744" s="264"/>
      <c r="S744" s="264"/>
      <c r="T744" s="264"/>
      <c r="U744" s="264"/>
      <c r="V744" s="264"/>
      <c r="W744" s="264"/>
      <c r="X744" s="264"/>
      <c r="Y744" s="264"/>
      <c r="Z744" s="264"/>
      <c r="AA744" s="264"/>
      <c r="AB744" s="264"/>
      <c r="AC744" s="264"/>
      <c r="AD744" s="264"/>
      <c r="AE744" s="264"/>
    </row>
    <row r="745">
      <c r="A745" s="272"/>
      <c r="B745" s="272"/>
      <c r="C745" s="272"/>
      <c r="D745" s="172"/>
      <c r="E745" s="267" t="str">
        <f t="shared" si="22"/>
        <v/>
      </c>
      <c r="F745" s="274" t="str">
        <f t="shared" si="2"/>
        <v/>
      </c>
      <c r="G745" s="42"/>
      <c r="H745" s="264"/>
      <c r="I745" s="277"/>
      <c r="J745" s="276" t="str">
        <f>IF(ISBLANK(I745), "", VLOOKUP(E745&amp;" "&amp;F745, 'Info Tipo de Cambio y REM'!$A$24:$B$35, 2, FALSE))
</f>
        <v/>
      </c>
      <c r="K745" s="107" t="str">
        <f t="shared" si="23"/>
        <v/>
      </c>
      <c r="L745" s="293">
        <f t="shared" si="5"/>
        <v>-5187415.025</v>
      </c>
      <c r="M745" s="293">
        <f t="shared" si="3"/>
        <v>-68574.41</v>
      </c>
      <c r="N745" s="293">
        <f t="shared" si="6"/>
        <v>0</v>
      </c>
      <c r="O745" s="277">
        <f t="shared" si="4"/>
        <v>-72146.60962</v>
      </c>
      <c r="P745" s="264"/>
      <c r="Q745" s="264"/>
      <c r="R745" s="264"/>
      <c r="S745" s="264"/>
      <c r="T745" s="264"/>
      <c r="U745" s="264"/>
      <c r="V745" s="264"/>
      <c r="W745" s="264"/>
      <c r="X745" s="264"/>
      <c r="Y745" s="264"/>
      <c r="Z745" s="264"/>
      <c r="AA745" s="264"/>
      <c r="AB745" s="264"/>
      <c r="AC745" s="264"/>
      <c r="AD745" s="264"/>
      <c r="AE745" s="264"/>
    </row>
    <row r="746">
      <c r="A746" s="272"/>
      <c r="B746" s="272"/>
      <c r="C746" s="272"/>
      <c r="D746" s="172"/>
      <c r="E746" s="267" t="str">
        <f t="shared" si="22"/>
        <v/>
      </c>
      <c r="F746" s="274" t="str">
        <f t="shared" si="2"/>
        <v/>
      </c>
      <c r="G746" s="42"/>
      <c r="H746" s="264"/>
      <c r="I746" s="277"/>
      <c r="J746" s="276" t="str">
        <f>IF(ISBLANK(I746), "", VLOOKUP(E746&amp;" "&amp;F746, 'Info Tipo de Cambio y REM'!$A$24:$B$35, 2, FALSE))
</f>
        <v/>
      </c>
      <c r="K746" s="107" t="str">
        <f t="shared" si="23"/>
        <v/>
      </c>
      <c r="L746" s="293">
        <f t="shared" si="5"/>
        <v>-5187415.025</v>
      </c>
      <c r="M746" s="293">
        <f t="shared" si="3"/>
        <v>-68574.41</v>
      </c>
      <c r="N746" s="293">
        <f t="shared" si="6"/>
        <v>0</v>
      </c>
      <c r="O746" s="277">
        <f t="shared" si="4"/>
        <v>-72146.60962</v>
      </c>
      <c r="P746" s="264"/>
      <c r="Q746" s="264"/>
      <c r="R746" s="264"/>
      <c r="S746" s="264"/>
      <c r="T746" s="264"/>
      <c r="U746" s="264"/>
      <c r="V746" s="264"/>
      <c r="W746" s="264"/>
      <c r="X746" s="264"/>
      <c r="Y746" s="264"/>
      <c r="Z746" s="264"/>
      <c r="AA746" s="264"/>
      <c r="AB746" s="264"/>
      <c r="AC746" s="264"/>
      <c r="AD746" s="264"/>
      <c r="AE746" s="264"/>
    </row>
    <row r="747">
      <c r="A747" s="272"/>
      <c r="B747" s="272"/>
      <c r="C747" s="272"/>
      <c r="D747" s="172"/>
      <c r="E747" s="267" t="str">
        <f t="shared" si="22"/>
        <v/>
      </c>
      <c r="F747" s="274" t="str">
        <f t="shared" si="2"/>
        <v/>
      </c>
      <c r="G747" s="42"/>
      <c r="H747" s="264"/>
      <c r="I747" s="277"/>
      <c r="J747" s="276" t="str">
        <f>IF(ISBLANK(I747), "", VLOOKUP(E747&amp;" "&amp;F747, 'Info Tipo de Cambio y REM'!$A$24:$B$35, 2, FALSE))
</f>
        <v/>
      </c>
      <c r="K747" s="107" t="str">
        <f t="shared" si="23"/>
        <v/>
      </c>
      <c r="L747" s="293">
        <f t="shared" si="5"/>
        <v>-5187415.025</v>
      </c>
      <c r="M747" s="293">
        <f t="shared" si="3"/>
        <v>-68574.41</v>
      </c>
      <c r="N747" s="293">
        <f t="shared" si="6"/>
        <v>0</v>
      </c>
      <c r="O747" s="277">
        <f t="shared" si="4"/>
        <v>-72146.60962</v>
      </c>
      <c r="P747" s="264"/>
      <c r="Q747" s="264"/>
      <c r="R747" s="264"/>
      <c r="S747" s="264"/>
      <c r="T747" s="264"/>
      <c r="U747" s="264"/>
      <c r="V747" s="264"/>
      <c r="W747" s="264"/>
      <c r="X747" s="264"/>
      <c r="Y747" s="264"/>
      <c r="Z747" s="264"/>
      <c r="AA747" s="264"/>
      <c r="AB747" s="264"/>
      <c r="AC747" s="264"/>
      <c r="AD747" s="264"/>
      <c r="AE747" s="264"/>
    </row>
    <row r="748">
      <c r="A748" s="272"/>
      <c r="B748" s="272"/>
      <c r="C748" s="272"/>
      <c r="D748" s="172"/>
      <c r="E748" s="267" t="str">
        <f t="shared" si="22"/>
        <v/>
      </c>
      <c r="F748" s="274" t="str">
        <f t="shared" si="2"/>
        <v/>
      </c>
      <c r="G748" s="42"/>
      <c r="H748" s="264"/>
      <c r="I748" s="277"/>
      <c r="J748" s="276" t="str">
        <f>IF(ISBLANK(I748), "", VLOOKUP(E748&amp;" "&amp;F748, 'Info Tipo de Cambio y REM'!$A$24:$B$35, 2, FALSE))
</f>
        <v/>
      </c>
      <c r="K748" s="107" t="str">
        <f t="shared" si="23"/>
        <v/>
      </c>
      <c r="L748" s="293">
        <f t="shared" si="5"/>
        <v>-5187415.025</v>
      </c>
      <c r="M748" s="293">
        <f t="shared" si="3"/>
        <v>-68574.41</v>
      </c>
      <c r="N748" s="293">
        <f t="shared" si="6"/>
        <v>0</v>
      </c>
      <c r="O748" s="277">
        <f t="shared" si="4"/>
        <v>-72146.60962</v>
      </c>
      <c r="P748" s="264"/>
      <c r="Q748" s="264"/>
      <c r="R748" s="264"/>
      <c r="S748" s="264"/>
      <c r="T748" s="264"/>
      <c r="U748" s="264"/>
      <c r="V748" s="264"/>
      <c r="W748" s="264"/>
      <c r="X748" s="264"/>
      <c r="Y748" s="264"/>
      <c r="Z748" s="264"/>
      <c r="AA748" s="264"/>
      <c r="AB748" s="264"/>
      <c r="AC748" s="264"/>
      <c r="AD748" s="264"/>
      <c r="AE748" s="264"/>
    </row>
    <row r="749">
      <c r="A749" s="272"/>
      <c r="B749" s="272"/>
      <c r="C749" s="272"/>
      <c r="D749" s="172"/>
      <c r="E749" s="267" t="str">
        <f t="shared" si="22"/>
        <v/>
      </c>
      <c r="F749" s="274" t="str">
        <f t="shared" si="2"/>
        <v/>
      </c>
      <c r="G749" s="42"/>
      <c r="H749" s="264"/>
      <c r="I749" s="277"/>
      <c r="J749" s="276" t="str">
        <f>IF(ISBLANK(I749), "", VLOOKUP(E749&amp;" "&amp;F749, 'Info Tipo de Cambio y REM'!$A$24:$B$35, 2, FALSE))
</f>
        <v/>
      </c>
      <c r="K749" s="107" t="str">
        <f t="shared" si="23"/>
        <v/>
      </c>
      <c r="L749" s="293">
        <f t="shared" si="5"/>
        <v>-5187415.025</v>
      </c>
      <c r="M749" s="293">
        <f t="shared" si="3"/>
        <v>-68574.41</v>
      </c>
      <c r="N749" s="293">
        <f t="shared" si="6"/>
        <v>0</v>
      </c>
      <c r="O749" s="277">
        <f t="shared" si="4"/>
        <v>-72146.60962</v>
      </c>
      <c r="P749" s="264"/>
      <c r="Q749" s="264"/>
      <c r="R749" s="264"/>
      <c r="S749" s="264"/>
      <c r="T749" s="264"/>
      <c r="U749" s="264"/>
      <c r="V749" s="264"/>
      <c r="W749" s="264"/>
      <c r="X749" s="264"/>
      <c r="Y749" s="264"/>
      <c r="Z749" s="264"/>
      <c r="AA749" s="264"/>
      <c r="AB749" s="264"/>
      <c r="AC749" s="264"/>
      <c r="AD749" s="264"/>
      <c r="AE749" s="264"/>
    </row>
    <row r="750">
      <c r="A750" s="272"/>
      <c r="B750" s="272"/>
      <c r="C750" s="272"/>
      <c r="D750" s="172"/>
      <c r="E750" s="267" t="str">
        <f t="shared" si="22"/>
        <v/>
      </c>
      <c r="F750" s="274" t="str">
        <f t="shared" si="2"/>
        <v/>
      </c>
      <c r="G750" s="42"/>
      <c r="H750" s="264"/>
      <c r="I750" s="277"/>
      <c r="J750" s="276" t="str">
        <f>IF(ISBLANK(I750), "", VLOOKUP(E750&amp;" "&amp;F750, 'Info Tipo de Cambio y REM'!$A$24:$B$35, 2, FALSE))
</f>
        <v/>
      </c>
      <c r="K750" s="107" t="str">
        <f t="shared" si="23"/>
        <v/>
      </c>
      <c r="L750" s="293">
        <f t="shared" si="5"/>
        <v>-5187415.025</v>
      </c>
      <c r="M750" s="293">
        <f t="shared" si="3"/>
        <v>-68574.41</v>
      </c>
      <c r="N750" s="293">
        <f t="shared" si="6"/>
        <v>0</v>
      </c>
      <c r="O750" s="277">
        <f t="shared" si="4"/>
        <v>-72146.60962</v>
      </c>
      <c r="P750" s="264"/>
      <c r="Q750" s="264"/>
      <c r="R750" s="264"/>
      <c r="S750" s="264"/>
      <c r="T750" s="264"/>
      <c r="U750" s="264"/>
      <c r="V750" s="264"/>
      <c r="W750" s="264"/>
      <c r="X750" s="264"/>
      <c r="Y750" s="264"/>
      <c r="Z750" s="264"/>
      <c r="AA750" s="264"/>
      <c r="AB750" s="264"/>
      <c r="AC750" s="264"/>
      <c r="AD750" s="264"/>
      <c r="AE750" s="264"/>
    </row>
    <row r="751">
      <c r="A751" s="272"/>
      <c r="B751" s="272"/>
      <c r="C751" s="272"/>
      <c r="D751" s="172"/>
      <c r="E751" s="267" t="str">
        <f t="shared" si="22"/>
        <v/>
      </c>
      <c r="F751" s="274" t="str">
        <f t="shared" si="2"/>
        <v/>
      </c>
      <c r="G751" s="42"/>
      <c r="H751" s="264"/>
      <c r="I751" s="277"/>
      <c r="J751" s="276" t="str">
        <f>IF(ISBLANK(I751), "", VLOOKUP(E751&amp;" "&amp;F751, 'Info Tipo de Cambio y REM'!$A$24:$B$35, 2, FALSE))
</f>
        <v/>
      </c>
      <c r="K751" s="107" t="str">
        <f t="shared" si="23"/>
        <v/>
      </c>
      <c r="L751" s="293">
        <f t="shared" si="5"/>
        <v>-5187415.025</v>
      </c>
      <c r="M751" s="293">
        <f t="shared" si="3"/>
        <v>-68574.41</v>
      </c>
      <c r="N751" s="293">
        <f t="shared" si="6"/>
        <v>0</v>
      </c>
      <c r="O751" s="277">
        <f t="shared" si="4"/>
        <v>-72146.60962</v>
      </c>
      <c r="P751" s="264"/>
      <c r="Q751" s="264"/>
      <c r="R751" s="264"/>
      <c r="S751" s="264"/>
      <c r="T751" s="264"/>
      <c r="U751" s="264"/>
      <c r="V751" s="264"/>
      <c r="W751" s="264"/>
      <c r="X751" s="264"/>
      <c r="Y751" s="264"/>
      <c r="Z751" s="264"/>
      <c r="AA751" s="264"/>
      <c r="AB751" s="264"/>
      <c r="AC751" s="264"/>
      <c r="AD751" s="264"/>
      <c r="AE751" s="264"/>
    </row>
    <row r="752">
      <c r="A752" s="272"/>
      <c r="B752" s="272"/>
      <c r="C752" s="272"/>
      <c r="D752" s="172"/>
      <c r="E752" s="267" t="str">
        <f t="shared" si="22"/>
        <v/>
      </c>
      <c r="F752" s="274" t="str">
        <f t="shared" si="2"/>
        <v/>
      </c>
      <c r="G752" s="42"/>
      <c r="H752" s="264"/>
      <c r="I752" s="277"/>
      <c r="J752" s="276" t="str">
        <f>IF(ISBLANK(I752), "", VLOOKUP(E752&amp;" "&amp;F752, 'Info Tipo de Cambio y REM'!$A$24:$B$35, 2, FALSE))
</f>
        <v/>
      </c>
      <c r="K752" s="107" t="str">
        <f t="shared" si="23"/>
        <v/>
      </c>
      <c r="L752" s="293">
        <f t="shared" si="5"/>
        <v>-5187415.025</v>
      </c>
      <c r="M752" s="293">
        <f t="shared" si="3"/>
        <v>-68574.41</v>
      </c>
      <c r="N752" s="293">
        <f t="shared" si="6"/>
        <v>0</v>
      </c>
      <c r="O752" s="277">
        <f t="shared" si="4"/>
        <v>-72146.60962</v>
      </c>
      <c r="P752" s="264"/>
      <c r="Q752" s="264"/>
      <c r="R752" s="264"/>
      <c r="S752" s="264"/>
      <c r="T752" s="264"/>
      <c r="U752" s="264"/>
      <c r="V752" s="264"/>
      <c r="W752" s="264"/>
      <c r="X752" s="264"/>
      <c r="Y752" s="264"/>
      <c r="Z752" s="264"/>
      <c r="AA752" s="264"/>
      <c r="AB752" s="264"/>
      <c r="AC752" s="264"/>
      <c r="AD752" s="264"/>
      <c r="AE752" s="264"/>
    </row>
    <row r="753">
      <c r="A753" s="272"/>
      <c r="B753" s="272"/>
      <c r="C753" s="272"/>
      <c r="D753" s="172"/>
      <c r="E753" s="267" t="str">
        <f t="shared" si="22"/>
        <v/>
      </c>
      <c r="F753" s="274" t="str">
        <f t="shared" si="2"/>
        <v/>
      </c>
      <c r="G753" s="42"/>
      <c r="H753" s="264"/>
      <c r="I753" s="277"/>
      <c r="J753" s="276" t="str">
        <f>IF(ISBLANK(I753), "", VLOOKUP(E753&amp;" "&amp;F753, 'Info Tipo de Cambio y REM'!$A$24:$B$35, 2, FALSE))
</f>
        <v/>
      </c>
      <c r="K753" s="107" t="str">
        <f t="shared" si="23"/>
        <v/>
      </c>
      <c r="L753" s="293">
        <f t="shared" si="5"/>
        <v>-5187415.025</v>
      </c>
      <c r="M753" s="293">
        <f t="shared" si="3"/>
        <v>-68574.41</v>
      </c>
      <c r="N753" s="293">
        <f t="shared" si="6"/>
        <v>0</v>
      </c>
      <c r="O753" s="277">
        <f t="shared" si="4"/>
        <v>-72146.60962</v>
      </c>
      <c r="P753" s="264"/>
      <c r="Q753" s="264"/>
      <c r="R753" s="264"/>
      <c r="S753" s="264"/>
      <c r="T753" s="264"/>
      <c r="U753" s="264"/>
      <c r="V753" s="264"/>
      <c r="W753" s="264"/>
      <c r="X753" s="264"/>
      <c r="Y753" s="264"/>
      <c r="Z753" s="264"/>
      <c r="AA753" s="264"/>
      <c r="AB753" s="264"/>
      <c r="AC753" s="264"/>
      <c r="AD753" s="264"/>
      <c r="AE753" s="264"/>
    </row>
    <row r="754">
      <c r="A754" s="272"/>
      <c r="B754" s="272"/>
      <c r="C754" s="272"/>
      <c r="D754" s="172"/>
      <c r="E754" s="267" t="str">
        <f t="shared" si="22"/>
        <v/>
      </c>
      <c r="F754" s="274" t="str">
        <f t="shared" si="2"/>
        <v/>
      </c>
      <c r="G754" s="42"/>
      <c r="H754" s="264"/>
      <c r="I754" s="277"/>
      <c r="J754" s="276" t="str">
        <f>IF(ISBLANK(I754), "", VLOOKUP(E754&amp;" "&amp;F754, 'Info Tipo de Cambio y REM'!$A$24:$B$35, 2, FALSE))
</f>
        <v/>
      </c>
      <c r="K754" s="107" t="str">
        <f t="shared" si="23"/>
        <v/>
      </c>
      <c r="L754" s="293">
        <f t="shared" si="5"/>
        <v>-5187415.025</v>
      </c>
      <c r="M754" s="293">
        <f t="shared" si="3"/>
        <v>-68574.41</v>
      </c>
      <c r="N754" s="293">
        <f t="shared" si="6"/>
        <v>0</v>
      </c>
      <c r="O754" s="277">
        <f t="shared" si="4"/>
        <v>-72146.60962</v>
      </c>
      <c r="P754" s="264"/>
      <c r="Q754" s="264"/>
      <c r="R754" s="264"/>
      <c r="S754" s="264"/>
      <c r="T754" s="264"/>
      <c r="U754" s="264"/>
      <c r="V754" s="264"/>
      <c r="W754" s="264"/>
      <c r="X754" s="264"/>
      <c r="Y754" s="264"/>
      <c r="Z754" s="264"/>
      <c r="AA754" s="264"/>
      <c r="AB754" s="264"/>
      <c r="AC754" s="264"/>
      <c r="AD754" s="264"/>
      <c r="AE754" s="264"/>
    </row>
    <row r="755">
      <c r="A755" s="272"/>
      <c r="B755" s="272"/>
      <c r="C755" s="272"/>
      <c r="D755" s="172"/>
      <c r="E755" s="267" t="str">
        <f t="shared" si="22"/>
        <v/>
      </c>
      <c r="F755" s="274" t="str">
        <f t="shared" si="2"/>
        <v/>
      </c>
      <c r="G755" s="42"/>
      <c r="H755" s="264"/>
      <c r="I755" s="277"/>
      <c r="J755" s="276" t="str">
        <f>IF(ISBLANK(I755), "", VLOOKUP(E755&amp;" "&amp;F755, 'Info Tipo de Cambio y REM'!$A$24:$B$35, 2, FALSE))
</f>
        <v/>
      </c>
      <c r="K755" s="107" t="str">
        <f t="shared" si="23"/>
        <v/>
      </c>
      <c r="L755" s="293">
        <f t="shared" si="5"/>
        <v>-5187415.025</v>
      </c>
      <c r="M755" s="293">
        <f t="shared" si="3"/>
        <v>-68574.41</v>
      </c>
      <c r="N755" s="293">
        <f t="shared" si="6"/>
        <v>0</v>
      </c>
      <c r="O755" s="277">
        <f t="shared" si="4"/>
        <v>-72146.60962</v>
      </c>
      <c r="P755" s="264"/>
      <c r="Q755" s="264"/>
      <c r="R755" s="264"/>
      <c r="S755" s="264"/>
      <c r="T755" s="264"/>
      <c r="U755" s="264"/>
      <c r="V755" s="264"/>
      <c r="W755" s="264"/>
      <c r="X755" s="264"/>
      <c r="Y755" s="264"/>
      <c r="Z755" s="264"/>
      <c r="AA755" s="264"/>
      <c r="AB755" s="264"/>
      <c r="AC755" s="264"/>
      <c r="AD755" s="264"/>
      <c r="AE755" s="264"/>
    </row>
    <row r="756">
      <c r="A756" s="272"/>
      <c r="B756" s="272"/>
      <c r="C756" s="272"/>
      <c r="D756" s="172"/>
      <c r="E756" s="267" t="str">
        <f t="shared" si="22"/>
        <v/>
      </c>
      <c r="F756" s="274" t="str">
        <f t="shared" si="2"/>
        <v/>
      </c>
      <c r="G756" s="42"/>
      <c r="H756" s="264"/>
      <c r="I756" s="277"/>
      <c r="J756" s="276" t="str">
        <f>IF(ISBLANK(I756), "", VLOOKUP(E756&amp;" "&amp;F756, 'Info Tipo de Cambio y REM'!$A$24:$B$35, 2, FALSE))
</f>
        <v/>
      </c>
      <c r="K756" s="107" t="str">
        <f t="shared" si="23"/>
        <v/>
      </c>
      <c r="L756" s="293">
        <f t="shared" si="5"/>
        <v>-5187415.025</v>
      </c>
      <c r="M756" s="293">
        <f t="shared" si="3"/>
        <v>-68574.41</v>
      </c>
      <c r="N756" s="293">
        <f t="shared" si="6"/>
        <v>0</v>
      </c>
      <c r="O756" s="277">
        <f t="shared" si="4"/>
        <v>-72146.60962</v>
      </c>
      <c r="P756" s="264"/>
      <c r="Q756" s="264"/>
      <c r="R756" s="264"/>
      <c r="S756" s="264"/>
      <c r="T756" s="264"/>
      <c r="U756" s="264"/>
      <c r="V756" s="264"/>
      <c r="W756" s="264"/>
      <c r="X756" s="264"/>
      <c r="Y756" s="264"/>
      <c r="Z756" s="264"/>
      <c r="AA756" s="264"/>
      <c r="AB756" s="264"/>
      <c r="AC756" s="264"/>
      <c r="AD756" s="264"/>
      <c r="AE756" s="264"/>
    </row>
    <row r="757">
      <c r="A757" s="272"/>
      <c r="B757" s="272"/>
      <c r="C757" s="272"/>
      <c r="D757" s="172"/>
      <c r="E757" s="267" t="str">
        <f t="shared" si="22"/>
        <v/>
      </c>
      <c r="F757" s="274" t="str">
        <f t="shared" si="2"/>
        <v/>
      </c>
      <c r="G757" s="42"/>
      <c r="H757" s="264"/>
      <c r="I757" s="277"/>
      <c r="J757" s="276" t="str">
        <f>IF(ISBLANK(I757), "", VLOOKUP(E757&amp;" "&amp;F757, 'Info Tipo de Cambio y REM'!$A$24:$B$35, 2, FALSE))
</f>
        <v/>
      </c>
      <c r="K757" s="107" t="str">
        <f t="shared" si="23"/>
        <v/>
      </c>
      <c r="L757" s="293">
        <f t="shared" si="5"/>
        <v>-5187415.025</v>
      </c>
      <c r="M757" s="293">
        <f t="shared" si="3"/>
        <v>-68574.41</v>
      </c>
      <c r="N757" s="293">
        <f t="shared" si="6"/>
        <v>0</v>
      </c>
      <c r="O757" s="277">
        <f t="shared" si="4"/>
        <v>-72146.60962</v>
      </c>
      <c r="P757" s="264"/>
      <c r="Q757" s="264"/>
      <c r="R757" s="264"/>
      <c r="S757" s="264"/>
      <c r="T757" s="264"/>
      <c r="U757" s="264"/>
      <c r="V757" s="264"/>
      <c r="W757" s="264"/>
      <c r="X757" s="264"/>
      <c r="Y757" s="264"/>
      <c r="Z757" s="264"/>
      <c r="AA757" s="264"/>
      <c r="AB757" s="264"/>
      <c r="AC757" s="264"/>
      <c r="AD757" s="264"/>
      <c r="AE757" s="264"/>
    </row>
    <row r="758">
      <c r="A758" s="272"/>
      <c r="B758" s="272"/>
      <c r="C758" s="272"/>
      <c r="D758" s="172"/>
      <c r="E758" s="267" t="str">
        <f t="shared" si="22"/>
        <v/>
      </c>
      <c r="F758" s="274" t="str">
        <f t="shared" si="2"/>
        <v/>
      </c>
      <c r="G758" s="42"/>
      <c r="H758" s="264"/>
      <c r="I758" s="277"/>
      <c r="J758" s="276" t="str">
        <f>IF(ISBLANK(I758), "", VLOOKUP(E758&amp;" "&amp;F758, 'Info Tipo de Cambio y REM'!$A$24:$B$35, 2, FALSE))
</f>
        <v/>
      </c>
      <c r="K758" s="107" t="str">
        <f t="shared" si="23"/>
        <v/>
      </c>
      <c r="L758" s="293">
        <f t="shared" si="5"/>
        <v>-5187415.025</v>
      </c>
      <c r="M758" s="293">
        <f t="shared" si="3"/>
        <v>-68574.41</v>
      </c>
      <c r="N758" s="293">
        <f t="shared" si="6"/>
        <v>0</v>
      </c>
      <c r="O758" s="277">
        <f t="shared" si="4"/>
        <v>-72146.60962</v>
      </c>
      <c r="P758" s="264"/>
      <c r="Q758" s="264"/>
      <c r="R758" s="264"/>
      <c r="S758" s="264"/>
      <c r="T758" s="264"/>
      <c r="U758" s="264"/>
      <c r="V758" s="264"/>
      <c r="W758" s="264"/>
      <c r="X758" s="264"/>
      <c r="Y758" s="264"/>
      <c r="Z758" s="264"/>
      <c r="AA758" s="264"/>
      <c r="AB758" s="264"/>
      <c r="AC758" s="264"/>
      <c r="AD758" s="264"/>
      <c r="AE758" s="264"/>
    </row>
    <row r="759">
      <c r="A759" s="272"/>
      <c r="B759" s="272"/>
      <c r="C759" s="272"/>
      <c r="D759" s="172"/>
      <c r="E759" s="267" t="str">
        <f t="shared" si="22"/>
        <v/>
      </c>
      <c r="F759" s="274" t="str">
        <f t="shared" si="2"/>
        <v/>
      </c>
      <c r="G759" s="42"/>
      <c r="H759" s="264"/>
      <c r="I759" s="277"/>
      <c r="J759" s="276" t="str">
        <f>IF(ISBLANK(I759), "", VLOOKUP(E759&amp;" "&amp;F759, 'Info Tipo de Cambio y REM'!$A$24:$B$35, 2, FALSE))
</f>
        <v/>
      </c>
      <c r="K759" s="107" t="str">
        <f t="shared" si="23"/>
        <v/>
      </c>
      <c r="L759" s="293">
        <f t="shared" si="5"/>
        <v>-5187415.025</v>
      </c>
      <c r="M759" s="293">
        <f t="shared" si="3"/>
        <v>-68574.41</v>
      </c>
      <c r="N759" s="293">
        <f t="shared" si="6"/>
        <v>0</v>
      </c>
      <c r="O759" s="277">
        <f t="shared" si="4"/>
        <v>-72146.60962</v>
      </c>
      <c r="P759" s="264"/>
      <c r="Q759" s="264"/>
      <c r="R759" s="264"/>
      <c r="S759" s="264"/>
      <c r="T759" s="264"/>
      <c r="U759" s="264"/>
      <c r="V759" s="264"/>
      <c r="W759" s="264"/>
      <c r="X759" s="264"/>
      <c r="Y759" s="264"/>
      <c r="Z759" s="264"/>
      <c r="AA759" s="264"/>
      <c r="AB759" s="264"/>
      <c r="AC759" s="264"/>
      <c r="AD759" s="264"/>
      <c r="AE759" s="264"/>
    </row>
    <row r="760">
      <c r="A760" s="272"/>
      <c r="B760" s="272"/>
      <c r="C760" s="272"/>
      <c r="D760" s="172"/>
      <c r="E760" s="267" t="str">
        <f t="shared" si="22"/>
        <v/>
      </c>
      <c r="F760" s="274" t="str">
        <f t="shared" si="2"/>
        <v/>
      </c>
      <c r="G760" s="42"/>
      <c r="H760" s="264"/>
      <c r="I760" s="277"/>
      <c r="J760" s="276" t="str">
        <f>IF(ISBLANK(I760), "", VLOOKUP(E760&amp;" "&amp;F760, 'Info Tipo de Cambio y REM'!$A$24:$B$35, 2, FALSE))
</f>
        <v/>
      </c>
      <c r="K760" s="107" t="str">
        <f t="shared" si="23"/>
        <v/>
      </c>
      <c r="L760" s="293">
        <f t="shared" si="5"/>
        <v>-5187415.025</v>
      </c>
      <c r="M760" s="293">
        <f t="shared" si="3"/>
        <v>-68574.41</v>
      </c>
      <c r="N760" s="293">
        <f t="shared" si="6"/>
        <v>0</v>
      </c>
      <c r="O760" s="277">
        <f t="shared" si="4"/>
        <v>-72146.60962</v>
      </c>
      <c r="P760" s="264"/>
      <c r="Q760" s="264"/>
      <c r="R760" s="264"/>
      <c r="S760" s="264"/>
      <c r="T760" s="264"/>
      <c r="U760" s="264"/>
      <c r="V760" s="264"/>
      <c r="W760" s="264"/>
      <c r="X760" s="264"/>
      <c r="Y760" s="264"/>
      <c r="Z760" s="264"/>
      <c r="AA760" s="264"/>
      <c r="AB760" s="264"/>
      <c r="AC760" s="264"/>
      <c r="AD760" s="264"/>
      <c r="AE760" s="264"/>
    </row>
    <row r="761">
      <c r="A761" s="272"/>
      <c r="B761" s="272"/>
      <c r="C761" s="272"/>
      <c r="D761" s="172"/>
      <c r="E761" s="267" t="str">
        <f t="shared" si="22"/>
        <v/>
      </c>
      <c r="F761" s="274" t="str">
        <f t="shared" si="2"/>
        <v/>
      </c>
      <c r="G761" s="42"/>
      <c r="H761" s="264"/>
      <c r="I761" s="277"/>
      <c r="J761" s="276" t="str">
        <f>IF(ISBLANK(I761), "", VLOOKUP(E761&amp;" "&amp;F761, 'Info Tipo de Cambio y REM'!$A$24:$B$35, 2, FALSE))
</f>
        <v/>
      </c>
      <c r="K761" s="107" t="str">
        <f t="shared" si="23"/>
        <v/>
      </c>
      <c r="L761" s="293">
        <f t="shared" si="5"/>
        <v>-5187415.025</v>
      </c>
      <c r="M761" s="293">
        <f t="shared" si="3"/>
        <v>-68574.41</v>
      </c>
      <c r="N761" s="293">
        <f t="shared" si="6"/>
        <v>0</v>
      </c>
      <c r="O761" s="277">
        <f t="shared" si="4"/>
        <v>-72146.60962</v>
      </c>
      <c r="P761" s="264"/>
      <c r="Q761" s="264"/>
      <c r="R761" s="264"/>
      <c r="S761" s="264"/>
      <c r="T761" s="264"/>
      <c r="U761" s="264"/>
      <c r="V761" s="264"/>
      <c r="W761" s="264"/>
      <c r="X761" s="264"/>
      <c r="Y761" s="264"/>
      <c r="Z761" s="264"/>
      <c r="AA761" s="264"/>
      <c r="AB761" s="264"/>
      <c r="AC761" s="264"/>
      <c r="AD761" s="264"/>
      <c r="AE761" s="264"/>
    </row>
    <row r="762">
      <c r="A762" s="272"/>
      <c r="B762" s="272"/>
      <c r="C762" s="272"/>
      <c r="D762" s="172"/>
      <c r="E762" s="267" t="str">
        <f t="shared" si="22"/>
        <v/>
      </c>
      <c r="F762" s="274" t="str">
        <f t="shared" si="2"/>
        <v/>
      </c>
      <c r="G762" s="42"/>
      <c r="H762" s="264"/>
      <c r="I762" s="277"/>
      <c r="J762" s="276" t="str">
        <f>IF(ISBLANK(I762), "", VLOOKUP(E762&amp;" "&amp;F762, 'Info Tipo de Cambio y REM'!$A$24:$B$35, 2, FALSE))
</f>
        <v/>
      </c>
      <c r="K762" s="107" t="str">
        <f t="shared" si="23"/>
        <v/>
      </c>
      <c r="L762" s="293">
        <f t="shared" si="5"/>
        <v>-5187415.025</v>
      </c>
      <c r="M762" s="293">
        <f t="shared" si="3"/>
        <v>-68574.41</v>
      </c>
      <c r="N762" s="293">
        <f t="shared" si="6"/>
        <v>0</v>
      </c>
      <c r="O762" s="277">
        <f t="shared" si="4"/>
        <v>-72146.60962</v>
      </c>
      <c r="P762" s="264"/>
      <c r="Q762" s="264"/>
      <c r="R762" s="264"/>
      <c r="S762" s="264"/>
      <c r="T762" s="264"/>
      <c r="U762" s="264"/>
      <c r="V762" s="264"/>
      <c r="W762" s="264"/>
      <c r="X762" s="264"/>
      <c r="Y762" s="264"/>
      <c r="Z762" s="264"/>
      <c r="AA762" s="264"/>
      <c r="AB762" s="264"/>
      <c r="AC762" s="264"/>
      <c r="AD762" s="264"/>
      <c r="AE762" s="264"/>
    </row>
    <row r="763">
      <c r="A763" s="272"/>
      <c r="B763" s="272"/>
      <c r="C763" s="272"/>
      <c r="D763" s="172"/>
      <c r="E763" s="267" t="str">
        <f t="shared" si="22"/>
        <v/>
      </c>
      <c r="F763" s="274" t="str">
        <f t="shared" si="2"/>
        <v/>
      </c>
      <c r="G763" s="42"/>
      <c r="H763" s="264"/>
      <c r="I763" s="277"/>
      <c r="J763" s="276" t="str">
        <f>IF(ISBLANK(I763), "", VLOOKUP(E763&amp;" "&amp;F763, 'Info Tipo de Cambio y REM'!$A$24:$B$35, 2, FALSE))
</f>
        <v/>
      </c>
      <c r="K763" s="107" t="str">
        <f t="shared" si="23"/>
        <v/>
      </c>
      <c r="L763" s="293">
        <f t="shared" si="5"/>
        <v>-5187415.025</v>
      </c>
      <c r="M763" s="293">
        <f t="shared" si="3"/>
        <v>-68574.41</v>
      </c>
      <c r="N763" s="293">
        <f t="shared" si="6"/>
        <v>0</v>
      </c>
      <c r="O763" s="277">
        <f t="shared" si="4"/>
        <v>-72146.60962</v>
      </c>
      <c r="P763" s="264"/>
      <c r="Q763" s="264"/>
      <c r="R763" s="264"/>
      <c r="S763" s="264"/>
      <c r="T763" s="264"/>
      <c r="U763" s="264"/>
      <c r="V763" s="264"/>
      <c r="W763" s="264"/>
      <c r="X763" s="264"/>
      <c r="Y763" s="264"/>
      <c r="Z763" s="264"/>
      <c r="AA763" s="264"/>
      <c r="AB763" s="264"/>
      <c r="AC763" s="264"/>
      <c r="AD763" s="264"/>
      <c r="AE763" s="264"/>
    </row>
    <row r="764">
      <c r="A764" s="272"/>
      <c r="B764" s="272"/>
      <c r="C764" s="272"/>
      <c r="D764" s="172"/>
      <c r="E764" s="267" t="str">
        <f t="shared" si="22"/>
        <v/>
      </c>
      <c r="F764" s="274" t="str">
        <f t="shared" si="2"/>
        <v/>
      </c>
      <c r="G764" s="42"/>
      <c r="H764" s="264"/>
      <c r="I764" s="277"/>
      <c r="J764" s="276" t="str">
        <f>IF(ISBLANK(I764), "", VLOOKUP(E764&amp;" "&amp;F764, 'Info Tipo de Cambio y REM'!$A$24:$B$35, 2, FALSE))
</f>
        <v/>
      </c>
      <c r="K764" s="107" t="str">
        <f t="shared" si="23"/>
        <v/>
      </c>
      <c r="L764" s="293">
        <f t="shared" si="5"/>
        <v>-5187415.025</v>
      </c>
      <c r="M764" s="293">
        <f t="shared" si="3"/>
        <v>-68574.41</v>
      </c>
      <c r="N764" s="293">
        <f t="shared" si="6"/>
        <v>0</v>
      </c>
      <c r="O764" s="277">
        <f t="shared" si="4"/>
        <v>-72146.60962</v>
      </c>
      <c r="P764" s="264"/>
      <c r="Q764" s="264"/>
      <c r="R764" s="264"/>
      <c r="S764" s="264"/>
      <c r="T764" s="264"/>
      <c r="U764" s="264"/>
      <c r="V764" s="264"/>
      <c r="W764" s="264"/>
      <c r="X764" s="264"/>
      <c r="Y764" s="264"/>
      <c r="Z764" s="264"/>
      <c r="AA764" s="264"/>
      <c r="AB764" s="264"/>
      <c r="AC764" s="264"/>
      <c r="AD764" s="264"/>
      <c r="AE764" s="264"/>
    </row>
    <row r="765">
      <c r="A765" s="272"/>
      <c r="B765" s="272"/>
      <c r="C765" s="272"/>
      <c r="D765" s="172"/>
      <c r="E765" s="267" t="str">
        <f t="shared" si="22"/>
        <v/>
      </c>
      <c r="F765" s="274" t="str">
        <f t="shared" si="2"/>
        <v/>
      </c>
      <c r="G765" s="42"/>
      <c r="H765" s="264"/>
      <c r="I765" s="277"/>
      <c r="J765" s="276" t="str">
        <f>IF(ISBLANK(I765), "", VLOOKUP(E765&amp;" "&amp;F765, 'Info Tipo de Cambio y REM'!$A$24:$B$35, 2, FALSE))
</f>
        <v/>
      </c>
      <c r="K765" s="107" t="str">
        <f t="shared" si="23"/>
        <v/>
      </c>
      <c r="L765" s="293">
        <f t="shared" si="5"/>
        <v>-5187415.025</v>
      </c>
      <c r="M765" s="293">
        <f t="shared" si="3"/>
        <v>-68574.41</v>
      </c>
      <c r="N765" s="293">
        <f t="shared" si="6"/>
        <v>0</v>
      </c>
      <c r="O765" s="277">
        <f t="shared" si="4"/>
        <v>-72146.60962</v>
      </c>
      <c r="P765" s="264"/>
      <c r="Q765" s="264"/>
      <c r="R765" s="264"/>
      <c r="S765" s="264"/>
      <c r="T765" s="264"/>
      <c r="U765" s="264"/>
      <c r="V765" s="264"/>
      <c r="W765" s="264"/>
      <c r="X765" s="264"/>
      <c r="Y765" s="264"/>
      <c r="Z765" s="264"/>
      <c r="AA765" s="264"/>
      <c r="AB765" s="264"/>
      <c r="AC765" s="264"/>
      <c r="AD765" s="264"/>
      <c r="AE765" s="264"/>
    </row>
    <row r="766">
      <c r="A766" s="272"/>
      <c r="B766" s="272"/>
      <c r="C766" s="272"/>
      <c r="D766" s="172"/>
      <c r="E766" s="267" t="str">
        <f t="shared" si="22"/>
        <v/>
      </c>
      <c r="F766" s="274" t="str">
        <f t="shared" si="2"/>
        <v/>
      </c>
      <c r="G766" s="42"/>
      <c r="H766" s="264"/>
      <c r="I766" s="277"/>
      <c r="J766" s="276" t="str">
        <f>IF(ISBLANK(I766), "", VLOOKUP(E766&amp;" "&amp;F766, 'Info Tipo de Cambio y REM'!$A$24:$B$35, 2, FALSE))
</f>
        <v/>
      </c>
      <c r="K766" s="107" t="str">
        <f t="shared" si="23"/>
        <v/>
      </c>
      <c r="L766" s="293">
        <f t="shared" si="5"/>
        <v>-5187415.025</v>
      </c>
      <c r="M766" s="293">
        <f t="shared" si="3"/>
        <v>-68574.41</v>
      </c>
      <c r="N766" s="293">
        <f t="shared" si="6"/>
        <v>0</v>
      </c>
      <c r="O766" s="277">
        <f t="shared" si="4"/>
        <v>-72146.60962</v>
      </c>
      <c r="P766" s="264"/>
      <c r="Q766" s="264"/>
      <c r="R766" s="264"/>
      <c r="S766" s="264"/>
      <c r="T766" s="264"/>
      <c r="U766" s="264"/>
      <c r="V766" s="264"/>
      <c r="W766" s="264"/>
      <c r="X766" s="264"/>
      <c r="Y766" s="264"/>
      <c r="Z766" s="264"/>
      <c r="AA766" s="264"/>
      <c r="AB766" s="264"/>
      <c r="AC766" s="264"/>
      <c r="AD766" s="264"/>
      <c r="AE766" s="264"/>
    </row>
    <row r="767">
      <c r="A767" s="272"/>
      <c r="B767" s="272"/>
      <c r="C767" s="272"/>
      <c r="D767" s="172"/>
      <c r="E767" s="267" t="str">
        <f t="shared" si="22"/>
        <v/>
      </c>
      <c r="F767" s="274" t="str">
        <f t="shared" si="2"/>
        <v/>
      </c>
      <c r="G767" s="42"/>
      <c r="H767" s="264"/>
      <c r="I767" s="277"/>
      <c r="J767" s="276" t="str">
        <f>IF(ISBLANK(I767), "", VLOOKUP(E767&amp;" "&amp;F767, 'Info Tipo de Cambio y REM'!$A$24:$B$35, 2, FALSE))
</f>
        <v/>
      </c>
      <c r="K767" s="107" t="str">
        <f t="shared" si="23"/>
        <v/>
      </c>
      <c r="L767" s="293">
        <f t="shared" si="5"/>
        <v>-5187415.025</v>
      </c>
      <c r="M767" s="293">
        <f t="shared" si="3"/>
        <v>-68574.41</v>
      </c>
      <c r="N767" s="293">
        <f t="shared" si="6"/>
        <v>0</v>
      </c>
      <c r="O767" s="277">
        <f t="shared" si="4"/>
        <v>-72146.60962</v>
      </c>
      <c r="P767" s="264"/>
      <c r="Q767" s="264"/>
      <c r="R767" s="264"/>
      <c r="S767" s="264"/>
      <c r="T767" s="264"/>
      <c r="U767" s="264"/>
      <c r="V767" s="264"/>
      <c r="W767" s="264"/>
      <c r="X767" s="264"/>
      <c r="Y767" s="264"/>
      <c r="Z767" s="264"/>
      <c r="AA767" s="264"/>
      <c r="AB767" s="264"/>
      <c r="AC767" s="264"/>
      <c r="AD767" s="264"/>
      <c r="AE767" s="264"/>
    </row>
    <row r="768">
      <c r="A768" s="272"/>
      <c r="B768" s="272"/>
      <c r="C768" s="272"/>
      <c r="D768" s="172"/>
      <c r="E768" s="267" t="str">
        <f t="shared" si="22"/>
        <v/>
      </c>
      <c r="F768" s="274" t="str">
        <f t="shared" si="2"/>
        <v/>
      </c>
      <c r="G768" s="42"/>
      <c r="H768" s="264"/>
      <c r="I768" s="277"/>
      <c r="J768" s="276" t="str">
        <f>IF(ISBLANK(I768), "", VLOOKUP(E768&amp;" "&amp;F768, 'Info Tipo de Cambio y REM'!$A$24:$B$35, 2, FALSE))
</f>
        <v/>
      </c>
      <c r="K768" s="107" t="str">
        <f t="shared" si="23"/>
        <v/>
      </c>
      <c r="L768" s="293">
        <f t="shared" si="5"/>
        <v>-5187415.025</v>
      </c>
      <c r="M768" s="293">
        <f t="shared" si="3"/>
        <v>-68574.41</v>
      </c>
      <c r="N768" s="293">
        <f t="shared" si="6"/>
        <v>0</v>
      </c>
      <c r="O768" s="277">
        <f t="shared" si="4"/>
        <v>-72146.60962</v>
      </c>
      <c r="P768" s="264"/>
      <c r="Q768" s="264"/>
      <c r="R768" s="264"/>
      <c r="S768" s="264"/>
      <c r="T768" s="264"/>
      <c r="U768" s="264"/>
      <c r="V768" s="264"/>
      <c r="W768" s="264"/>
      <c r="X768" s="264"/>
      <c r="Y768" s="264"/>
      <c r="Z768" s="264"/>
      <c r="AA768" s="264"/>
      <c r="AB768" s="264"/>
      <c r="AC768" s="264"/>
      <c r="AD768" s="264"/>
      <c r="AE768" s="264"/>
    </row>
    <row r="769">
      <c r="A769" s="272"/>
      <c r="B769" s="272"/>
      <c r="C769" s="272"/>
      <c r="D769" s="172"/>
      <c r="E769" s="267" t="str">
        <f t="shared" si="22"/>
        <v/>
      </c>
      <c r="F769" s="274" t="str">
        <f t="shared" si="2"/>
        <v/>
      </c>
      <c r="G769" s="42"/>
      <c r="H769" s="264"/>
      <c r="I769" s="277"/>
      <c r="J769" s="276" t="str">
        <f>IF(ISBLANK(I769), "", VLOOKUP(E769&amp;" "&amp;F769, 'Info Tipo de Cambio y REM'!$A$24:$B$35, 2, FALSE))
</f>
        <v/>
      </c>
      <c r="K769" s="107" t="str">
        <f t="shared" si="23"/>
        <v/>
      </c>
      <c r="L769" s="293">
        <f t="shared" si="5"/>
        <v>-5187415.025</v>
      </c>
      <c r="M769" s="293">
        <f t="shared" si="3"/>
        <v>-68574.41</v>
      </c>
      <c r="N769" s="293">
        <f t="shared" si="6"/>
        <v>0</v>
      </c>
      <c r="O769" s="277">
        <f t="shared" si="4"/>
        <v>-72146.60962</v>
      </c>
      <c r="P769" s="264"/>
      <c r="Q769" s="264"/>
      <c r="R769" s="264"/>
      <c r="S769" s="264"/>
      <c r="T769" s="264"/>
      <c r="U769" s="264"/>
      <c r="V769" s="264"/>
      <c r="W769" s="264"/>
      <c r="X769" s="264"/>
      <c r="Y769" s="264"/>
      <c r="Z769" s="264"/>
      <c r="AA769" s="264"/>
      <c r="AB769" s="264"/>
      <c r="AC769" s="264"/>
      <c r="AD769" s="264"/>
      <c r="AE769" s="264"/>
    </row>
    <row r="770">
      <c r="A770" s="272"/>
      <c r="B770" s="272"/>
      <c r="C770" s="272"/>
      <c r="D770" s="172"/>
      <c r="E770" s="267" t="str">
        <f t="shared" si="22"/>
        <v/>
      </c>
      <c r="F770" s="274" t="str">
        <f t="shared" si="2"/>
        <v/>
      </c>
      <c r="G770" s="42"/>
      <c r="H770" s="264"/>
      <c r="I770" s="277"/>
      <c r="J770" s="276" t="str">
        <f>IF(ISBLANK(I770), "", VLOOKUP(E770&amp;" "&amp;F770, 'Info Tipo de Cambio y REM'!$A$24:$B$35, 2, FALSE))
</f>
        <v/>
      </c>
      <c r="K770" s="107" t="str">
        <f t="shared" si="23"/>
        <v/>
      </c>
      <c r="L770" s="293">
        <f t="shared" si="5"/>
        <v>-5187415.025</v>
      </c>
      <c r="M770" s="293">
        <f t="shared" si="3"/>
        <v>-68574.41</v>
      </c>
      <c r="N770" s="293">
        <f t="shared" si="6"/>
        <v>0</v>
      </c>
      <c r="O770" s="277">
        <f t="shared" si="4"/>
        <v>-72146.60962</v>
      </c>
      <c r="P770" s="264"/>
      <c r="Q770" s="264"/>
      <c r="R770" s="264"/>
      <c r="S770" s="264"/>
      <c r="T770" s="264"/>
      <c r="U770" s="264"/>
      <c r="V770" s="264"/>
      <c r="W770" s="264"/>
      <c r="X770" s="264"/>
      <c r="Y770" s="264"/>
      <c r="Z770" s="264"/>
      <c r="AA770" s="264"/>
      <c r="AB770" s="264"/>
      <c r="AC770" s="264"/>
      <c r="AD770" s="264"/>
      <c r="AE770" s="264"/>
    </row>
    <row r="771">
      <c r="A771" s="272"/>
      <c r="B771" s="272"/>
      <c r="C771" s="272"/>
      <c r="D771" s="172"/>
      <c r="E771" s="267" t="str">
        <f t="shared" si="22"/>
        <v/>
      </c>
      <c r="F771" s="274" t="str">
        <f t="shared" si="2"/>
        <v/>
      </c>
      <c r="G771" s="42"/>
      <c r="H771" s="264"/>
      <c r="I771" s="277"/>
      <c r="J771" s="276" t="str">
        <f>IF(ISBLANK(I771), "", VLOOKUP(E771&amp;" "&amp;F771, 'Info Tipo de Cambio y REM'!$A$24:$B$35, 2, FALSE))
</f>
        <v/>
      </c>
      <c r="K771" s="107" t="str">
        <f t="shared" si="23"/>
        <v/>
      </c>
      <c r="L771" s="293">
        <f t="shared" si="5"/>
        <v>-5187415.025</v>
      </c>
      <c r="M771" s="293">
        <f t="shared" si="3"/>
        <v>-68574.41</v>
      </c>
      <c r="N771" s="293">
        <f t="shared" si="6"/>
        <v>0</v>
      </c>
      <c r="O771" s="277">
        <f t="shared" si="4"/>
        <v>-72146.60962</v>
      </c>
      <c r="P771" s="264"/>
      <c r="Q771" s="264"/>
      <c r="R771" s="264"/>
      <c r="S771" s="264"/>
      <c r="T771" s="264"/>
      <c r="U771" s="264"/>
      <c r="V771" s="264"/>
      <c r="W771" s="264"/>
      <c r="X771" s="264"/>
      <c r="Y771" s="264"/>
      <c r="Z771" s="264"/>
      <c r="AA771" s="264"/>
      <c r="AB771" s="264"/>
      <c r="AC771" s="264"/>
      <c r="AD771" s="264"/>
      <c r="AE771" s="264"/>
    </row>
    <row r="772">
      <c r="A772" s="272"/>
      <c r="B772" s="272"/>
      <c r="C772" s="272"/>
      <c r="D772" s="172"/>
      <c r="E772" s="267" t="str">
        <f t="shared" si="22"/>
        <v/>
      </c>
      <c r="F772" s="274" t="str">
        <f t="shared" si="2"/>
        <v/>
      </c>
      <c r="G772" s="42"/>
      <c r="H772" s="264"/>
      <c r="I772" s="277"/>
      <c r="J772" s="276" t="str">
        <f>IF(ISBLANK(I772), "", VLOOKUP(E772&amp;" "&amp;F772, 'Info Tipo de Cambio y REM'!$A$24:$B$35, 2, FALSE))
</f>
        <v/>
      </c>
      <c r="K772" s="107" t="str">
        <f t="shared" si="23"/>
        <v/>
      </c>
      <c r="L772" s="293">
        <f t="shared" si="5"/>
        <v>-5187415.025</v>
      </c>
      <c r="M772" s="293">
        <f t="shared" si="3"/>
        <v>-68574.41</v>
      </c>
      <c r="N772" s="293">
        <f t="shared" si="6"/>
        <v>0</v>
      </c>
      <c r="O772" s="277">
        <f t="shared" si="4"/>
        <v>-72146.60962</v>
      </c>
      <c r="P772" s="264"/>
      <c r="Q772" s="264"/>
      <c r="R772" s="264"/>
      <c r="S772" s="264"/>
      <c r="T772" s="264"/>
      <c r="U772" s="264"/>
      <c r="V772" s="264"/>
      <c r="W772" s="264"/>
      <c r="X772" s="264"/>
      <c r="Y772" s="264"/>
      <c r="Z772" s="264"/>
      <c r="AA772" s="264"/>
      <c r="AB772" s="264"/>
      <c r="AC772" s="264"/>
      <c r="AD772" s="264"/>
      <c r="AE772" s="264"/>
    </row>
    <row r="773">
      <c r="A773" s="272"/>
      <c r="B773" s="272"/>
      <c r="C773" s="272"/>
      <c r="D773" s="172"/>
      <c r="E773" s="267" t="str">
        <f t="shared" si="22"/>
        <v/>
      </c>
      <c r="F773" s="274" t="str">
        <f t="shared" si="2"/>
        <v/>
      </c>
      <c r="G773" s="42"/>
      <c r="H773" s="264"/>
      <c r="I773" s="277"/>
      <c r="J773" s="276" t="str">
        <f>IF(ISBLANK(I773), "", VLOOKUP(E773&amp;" "&amp;F773, 'Info Tipo de Cambio y REM'!$A$24:$B$35, 2, FALSE))
</f>
        <v/>
      </c>
      <c r="K773" s="107" t="str">
        <f t="shared" si="23"/>
        <v/>
      </c>
      <c r="L773" s="293">
        <f t="shared" si="5"/>
        <v>-5187415.025</v>
      </c>
      <c r="M773" s="293">
        <f t="shared" si="3"/>
        <v>-68574.41</v>
      </c>
      <c r="N773" s="293">
        <f t="shared" si="6"/>
        <v>0</v>
      </c>
      <c r="O773" s="277">
        <f t="shared" si="4"/>
        <v>-72146.60962</v>
      </c>
      <c r="P773" s="264"/>
      <c r="Q773" s="264"/>
      <c r="R773" s="264"/>
      <c r="S773" s="264"/>
      <c r="T773" s="264"/>
      <c r="U773" s="264"/>
      <c r="V773" s="264"/>
      <c r="W773" s="264"/>
      <c r="X773" s="264"/>
      <c r="Y773" s="264"/>
      <c r="Z773" s="264"/>
      <c r="AA773" s="264"/>
      <c r="AB773" s="264"/>
      <c r="AC773" s="264"/>
      <c r="AD773" s="264"/>
      <c r="AE773" s="264"/>
    </row>
    <row r="774">
      <c r="A774" s="272"/>
      <c r="B774" s="272"/>
      <c r="C774" s="272"/>
      <c r="D774" s="172"/>
      <c r="E774" s="267" t="str">
        <f t="shared" si="22"/>
        <v/>
      </c>
      <c r="F774" s="274" t="str">
        <f t="shared" si="2"/>
        <v/>
      </c>
      <c r="G774" s="42"/>
      <c r="H774" s="264"/>
      <c r="I774" s="277"/>
      <c r="J774" s="276" t="str">
        <f>IF(ISBLANK(I774), "", VLOOKUP(E774&amp;" "&amp;F774, 'Info Tipo de Cambio y REM'!$A$24:$B$35, 2, FALSE))
</f>
        <v/>
      </c>
      <c r="K774" s="107" t="str">
        <f t="shared" si="23"/>
        <v/>
      </c>
      <c r="L774" s="293">
        <f t="shared" si="5"/>
        <v>-5187415.025</v>
      </c>
      <c r="M774" s="293">
        <f t="shared" si="3"/>
        <v>-68574.41</v>
      </c>
      <c r="N774" s="293">
        <f t="shared" si="6"/>
        <v>0</v>
      </c>
      <c r="O774" s="277">
        <f t="shared" si="4"/>
        <v>-72146.60962</v>
      </c>
      <c r="P774" s="264"/>
      <c r="Q774" s="264"/>
      <c r="R774" s="264"/>
      <c r="S774" s="264"/>
      <c r="T774" s="264"/>
      <c r="U774" s="264"/>
      <c r="V774" s="264"/>
      <c r="W774" s="264"/>
      <c r="X774" s="264"/>
      <c r="Y774" s="264"/>
      <c r="Z774" s="264"/>
      <c r="AA774" s="264"/>
      <c r="AB774" s="264"/>
      <c r="AC774" s="264"/>
      <c r="AD774" s="264"/>
      <c r="AE774" s="264"/>
    </row>
    <row r="775">
      <c r="A775" s="272"/>
      <c r="B775" s="272"/>
      <c r="C775" s="272"/>
      <c r="D775" s="172"/>
      <c r="E775" s="267" t="str">
        <f t="shared" si="22"/>
        <v/>
      </c>
      <c r="F775" s="274" t="str">
        <f t="shared" si="2"/>
        <v/>
      </c>
      <c r="G775" s="42"/>
      <c r="H775" s="264"/>
      <c r="I775" s="277"/>
      <c r="J775" s="276" t="str">
        <f>IF(ISBLANK(I775), "", VLOOKUP(E775&amp;" "&amp;F775, 'Info Tipo de Cambio y REM'!$A$24:$B$35, 2, FALSE))
</f>
        <v/>
      </c>
      <c r="K775" s="107" t="str">
        <f t="shared" si="23"/>
        <v/>
      </c>
      <c r="L775" s="293">
        <f t="shared" si="5"/>
        <v>-5187415.025</v>
      </c>
      <c r="M775" s="293">
        <f t="shared" si="3"/>
        <v>-68574.41</v>
      </c>
      <c r="N775" s="293">
        <f t="shared" si="6"/>
        <v>0</v>
      </c>
      <c r="O775" s="277">
        <f t="shared" si="4"/>
        <v>-72146.60962</v>
      </c>
      <c r="P775" s="264"/>
      <c r="Q775" s="264"/>
      <c r="R775" s="264"/>
      <c r="S775" s="264"/>
      <c r="T775" s="264"/>
      <c r="U775" s="264"/>
      <c r="V775" s="264"/>
      <c r="W775" s="264"/>
      <c r="X775" s="264"/>
      <c r="Y775" s="264"/>
      <c r="Z775" s="264"/>
      <c r="AA775" s="264"/>
      <c r="AB775" s="264"/>
      <c r="AC775" s="264"/>
      <c r="AD775" s="264"/>
      <c r="AE775" s="264"/>
    </row>
    <row r="776">
      <c r="A776" s="272"/>
      <c r="B776" s="272"/>
      <c r="C776" s="272"/>
      <c r="D776" s="172"/>
      <c r="E776" s="267" t="str">
        <f t="shared" si="22"/>
        <v/>
      </c>
      <c r="F776" s="274" t="str">
        <f t="shared" si="2"/>
        <v/>
      </c>
      <c r="G776" s="42"/>
      <c r="H776" s="264"/>
      <c r="I776" s="277"/>
      <c r="J776" s="276" t="str">
        <f>IF(ISBLANK(I776), "", VLOOKUP(E776&amp;" "&amp;F776, 'Info Tipo de Cambio y REM'!$A$24:$B$35, 2, FALSE))
</f>
        <v/>
      </c>
      <c r="K776" s="107" t="str">
        <f t="shared" si="23"/>
        <v/>
      </c>
      <c r="L776" s="293">
        <f t="shared" si="5"/>
        <v>-5187415.025</v>
      </c>
      <c r="M776" s="293">
        <f t="shared" si="3"/>
        <v>-68574.41</v>
      </c>
      <c r="N776" s="293">
        <f t="shared" si="6"/>
        <v>0</v>
      </c>
      <c r="O776" s="277">
        <f t="shared" si="4"/>
        <v>-72146.60962</v>
      </c>
      <c r="P776" s="264"/>
      <c r="Q776" s="264"/>
      <c r="R776" s="264"/>
      <c r="S776" s="264"/>
      <c r="T776" s="264"/>
      <c r="U776" s="264"/>
      <c r="V776" s="264"/>
      <c r="W776" s="264"/>
      <c r="X776" s="264"/>
      <c r="Y776" s="264"/>
      <c r="Z776" s="264"/>
      <c r="AA776" s="264"/>
      <c r="AB776" s="264"/>
      <c r="AC776" s="264"/>
      <c r="AD776" s="264"/>
      <c r="AE776" s="264"/>
    </row>
    <row r="777">
      <c r="A777" s="272"/>
      <c r="B777" s="272"/>
      <c r="C777" s="272"/>
      <c r="D777" s="172"/>
      <c r="E777" s="267" t="str">
        <f t="shared" si="22"/>
        <v/>
      </c>
      <c r="F777" s="274" t="str">
        <f t="shared" si="2"/>
        <v/>
      </c>
      <c r="G777" s="42"/>
      <c r="H777" s="264"/>
      <c r="I777" s="277"/>
      <c r="J777" s="276" t="str">
        <f>IF(ISBLANK(I777), "", VLOOKUP(E777&amp;" "&amp;F777, 'Info Tipo de Cambio y REM'!$A$24:$B$35, 2, FALSE))
</f>
        <v/>
      </c>
      <c r="K777" s="107" t="str">
        <f t="shared" si="23"/>
        <v/>
      </c>
      <c r="L777" s="293">
        <f t="shared" si="5"/>
        <v>-5187415.025</v>
      </c>
      <c r="M777" s="293">
        <f t="shared" si="3"/>
        <v>-68574.41</v>
      </c>
      <c r="N777" s="293">
        <f t="shared" si="6"/>
        <v>0</v>
      </c>
      <c r="O777" s="277">
        <f t="shared" si="4"/>
        <v>-72146.60962</v>
      </c>
      <c r="P777" s="264"/>
      <c r="Q777" s="264"/>
      <c r="R777" s="264"/>
      <c r="S777" s="264"/>
      <c r="T777" s="264"/>
      <c r="U777" s="264"/>
      <c r="V777" s="264"/>
      <c r="W777" s="264"/>
      <c r="X777" s="264"/>
      <c r="Y777" s="264"/>
      <c r="Z777" s="264"/>
      <c r="AA777" s="264"/>
      <c r="AB777" s="264"/>
      <c r="AC777" s="264"/>
      <c r="AD777" s="264"/>
      <c r="AE777" s="264"/>
    </row>
    <row r="778">
      <c r="A778" s="272"/>
      <c r="B778" s="272"/>
      <c r="C778" s="272"/>
      <c r="D778" s="172"/>
      <c r="E778" s="267" t="str">
        <f t="shared" si="22"/>
        <v/>
      </c>
      <c r="F778" s="274" t="str">
        <f t="shared" si="2"/>
        <v/>
      </c>
      <c r="G778" s="42"/>
      <c r="H778" s="264"/>
      <c r="I778" s="277"/>
      <c r="J778" s="276" t="str">
        <f>IF(ISBLANK(I778), "", VLOOKUP(E778&amp;" "&amp;F778, 'Info Tipo de Cambio y REM'!$A$24:$B$35, 2, FALSE))
</f>
        <v/>
      </c>
      <c r="K778" s="107" t="str">
        <f t="shared" si="23"/>
        <v/>
      </c>
      <c r="L778" s="293">
        <f t="shared" si="5"/>
        <v>-5187415.025</v>
      </c>
      <c r="M778" s="293">
        <f t="shared" si="3"/>
        <v>-68574.41</v>
      </c>
      <c r="N778" s="293">
        <f t="shared" si="6"/>
        <v>0</v>
      </c>
      <c r="O778" s="277">
        <f t="shared" si="4"/>
        <v>-72146.60962</v>
      </c>
      <c r="P778" s="264"/>
      <c r="Q778" s="264"/>
      <c r="R778" s="264"/>
      <c r="S778" s="264"/>
      <c r="T778" s="264"/>
      <c r="U778" s="264"/>
      <c r="V778" s="264"/>
      <c r="W778" s="264"/>
      <c r="X778" s="264"/>
      <c r="Y778" s="264"/>
      <c r="Z778" s="264"/>
      <c r="AA778" s="264"/>
      <c r="AB778" s="264"/>
      <c r="AC778" s="264"/>
      <c r="AD778" s="264"/>
      <c r="AE778" s="264"/>
    </row>
    <row r="779">
      <c r="A779" s="272"/>
      <c r="B779" s="272"/>
      <c r="C779" s="272"/>
      <c r="D779" s="172"/>
      <c r="E779" s="267" t="str">
        <f t="shared" si="22"/>
        <v/>
      </c>
      <c r="F779" s="274" t="str">
        <f t="shared" si="2"/>
        <v/>
      </c>
      <c r="G779" s="42"/>
      <c r="H779" s="264"/>
      <c r="I779" s="277"/>
      <c r="J779" s="276" t="str">
        <f>IF(ISBLANK(I779), "", VLOOKUP(E779&amp;" "&amp;F779, 'Info Tipo de Cambio y REM'!$A$24:$B$35, 2, FALSE))
</f>
        <v/>
      </c>
      <c r="K779" s="107" t="str">
        <f t="shared" si="23"/>
        <v/>
      </c>
      <c r="L779" s="293">
        <f t="shared" si="5"/>
        <v>-5187415.025</v>
      </c>
      <c r="M779" s="293">
        <f t="shared" si="3"/>
        <v>-68574.41</v>
      </c>
      <c r="N779" s="293">
        <f t="shared" si="6"/>
        <v>0</v>
      </c>
      <c r="O779" s="277">
        <f t="shared" si="4"/>
        <v>-72146.60962</v>
      </c>
      <c r="P779" s="264"/>
      <c r="Q779" s="264"/>
      <c r="R779" s="264"/>
      <c r="S779" s="264"/>
      <c r="T779" s="264"/>
      <c r="U779" s="264"/>
      <c r="V779" s="264"/>
      <c r="W779" s="264"/>
      <c r="X779" s="264"/>
      <c r="Y779" s="264"/>
      <c r="Z779" s="264"/>
      <c r="AA779" s="264"/>
      <c r="AB779" s="264"/>
      <c r="AC779" s="264"/>
      <c r="AD779" s="264"/>
      <c r="AE779" s="264"/>
    </row>
    <row r="780">
      <c r="A780" s="272"/>
      <c r="B780" s="272"/>
      <c r="C780" s="272"/>
      <c r="D780" s="172"/>
      <c r="E780" s="267" t="str">
        <f t="shared" si="22"/>
        <v/>
      </c>
      <c r="F780" s="274" t="str">
        <f t="shared" si="2"/>
        <v/>
      </c>
      <c r="G780" s="42"/>
      <c r="H780" s="264"/>
      <c r="I780" s="277"/>
      <c r="J780" s="276" t="str">
        <f>IF(ISBLANK(I780), "", VLOOKUP(E780&amp;" "&amp;F780, 'Info Tipo de Cambio y REM'!$A$24:$B$35, 2, FALSE))
</f>
        <v/>
      </c>
      <c r="K780" s="107" t="str">
        <f t="shared" si="23"/>
        <v/>
      </c>
      <c r="L780" s="293">
        <f t="shared" si="5"/>
        <v>-5187415.025</v>
      </c>
      <c r="M780" s="293">
        <f t="shared" si="3"/>
        <v>-68574.41</v>
      </c>
      <c r="N780" s="293">
        <f t="shared" si="6"/>
        <v>0</v>
      </c>
      <c r="O780" s="277">
        <f t="shared" si="4"/>
        <v>-72146.60962</v>
      </c>
      <c r="P780" s="264"/>
      <c r="Q780" s="264"/>
      <c r="R780" s="264"/>
      <c r="S780" s="264"/>
      <c r="T780" s="264"/>
      <c r="U780" s="264"/>
      <c r="V780" s="264"/>
      <c r="W780" s="264"/>
      <c r="X780" s="264"/>
      <c r="Y780" s="264"/>
      <c r="Z780" s="264"/>
      <c r="AA780" s="264"/>
      <c r="AB780" s="264"/>
      <c r="AC780" s="264"/>
      <c r="AD780" s="264"/>
      <c r="AE780" s="264"/>
    </row>
    <row r="781">
      <c r="A781" s="272"/>
      <c r="B781" s="272"/>
      <c r="C781" s="272"/>
      <c r="D781" s="172"/>
      <c r="E781" s="267" t="str">
        <f t="shared" si="22"/>
        <v/>
      </c>
      <c r="F781" s="274" t="str">
        <f t="shared" si="2"/>
        <v/>
      </c>
      <c r="G781" s="42"/>
      <c r="H781" s="264"/>
      <c r="I781" s="277"/>
      <c r="J781" s="276" t="str">
        <f>IF(ISBLANK(I781), "", VLOOKUP(E781&amp;" "&amp;F781, 'Info Tipo de Cambio y REM'!$A$24:$B$35, 2, FALSE))
</f>
        <v/>
      </c>
      <c r="K781" s="107" t="str">
        <f t="shared" si="23"/>
        <v/>
      </c>
      <c r="L781" s="293">
        <f t="shared" si="5"/>
        <v>-5187415.025</v>
      </c>
      <c r="M781" s="293">
        <f t="shared" si="3"/>
        <v>-68574.41</v>
      </c>
      <c r="N781" s="293">
        <f t="shared" si="6"/>
        <v>0</v>
      </c>
      <c r="O781" s="277">
        <f t="shared" si="4"/>
        <v>-72146.60962</v>
      </c>
      <c r="P781" s="264"/>
      <c r="Q781" s="264"/>
      <c r="R781" s="264"/>
      <c r="S781" s="264"/>
      <c r="T781" s="264"/>
      <c r="U781" s="264"/>
      <c r="V781" s="264"/>
      <c r="W781" s="264"/>
      <c r="X781" s="264"/>
      <c r="Y781" s="264"/>
      <c r="Z781" s="264"/>
      <c r="AA781" s="264"/>
      <c r="AB781" s="264"/>
      <c r="AC781" s="264"/>
      <c r="AD781" s="264"/>
      <c r="AE781" s="264"/>
    </row>
    <row r="782">
      <c r="A782" s="272"/>
      <c r="B782" s="272"/>
      <c r="C782" s="272"/>
      <c r="D782" s="172"/>
      <c r="E782" s="267" t="str">
        <f t="shared" si="22"/>
        <v/>
      </c>
      <c r="F782" s="274" t="str">
        <f t="shared" si="2"/>
        <v/>
      </c>
      <c r="G782" s="42"/>
      <c r="H782" s="264"/>
      <c r="I782" s="277"/>
      <c r="J782" s="276" t="str">
        <f>IF(ISBLANK(I782), "", VLOOKUP(E782&amp;" "&amp;F782, 'Info Tipo de Cambio y REM'!$A$24:$B$35, 2, FALSE))
</f>
        <v/>
      </c>
      <c r="K782" s="107" t="str">
        <f t="shared" si="23"/>
        <v/>
      </c>
      <c r="L782" s="293">
        <f t="shared" si="5"/>
        <v>-5187415.025</v>
      </c>
      <c r="M782" s="293">
        <f t="shared" si="3"/>
        <v>-68574.41</v>
      </c>
      <c r="N782" s="293">
        <f t="shared" si="6"/>
        <v>0</v>
      </c>
      <c r="O782" s="277">
        <f t="shared" si="4"/>
        <v>-72146.60962</v>
      </c>
      <c r="P782" s="264"/>
      <c r="Q782" s="264"/>
      <c r="R782" s="264"/>
      <c r="S782" s="264"/>
      <c r="T782" s="264"/>
      <c r="U782" s="264"/>
      <c r="V782" s="264"/>
      <c r="W782" s="264"/>
      <c r="X782" s="264"/>
      <c r="Y782" s="264"/>
      <c r="Z782" s="264"/>
      <c r="AA782" s="264"/>
      <c r="AB782" s="264"/>
      <c r="AC782" s="264"/>
      <c r="AD782" s="264"/>
      <c r="AE782" s="264"/>
    </row>
    <row r="783">
      <c r="A783" s="272"/>
      <c r="B783" s="272"/>
      <c r="C783" s="272"/>
      <c r="D783" s="172"/>
      <c r="E783" s="267" t="str">
        <f t="shared" si="22"/>
        <v/>
      </c>
      <c r="F783" s="274" t="str">
        <f t="shared" si="2"/>
        <v/>
      </c>
      <c r="G783" s="42"/>
      <c r="H783" s="264"/>
      <c r="I783" s="277"/>
      <c r="J783" s="276" t="str">
        <f>IF(ISBLANK(I783), "", VLOOKUP(E783&amp;" "&amp;F783, 'Info Tipo de Cambio y REM'!$A$24:$B$35, 2, FALSE))
</f>
        <v/>
      </c>
      <c r="K783" s="107" t="str">
        <f t="shared" si="23"/>
        <v/>
      </c>
      <c r="L783" s="293">
        <f t="shared" si="5"/>
        <v>-5187415.025</v>
      </c>
      <c r="M783" s="293">
        <f t="shared" si="3"/>
        <v>-68574.41</v>
      </c>
      <c r="N783" s="293">
        <f t="shared" si="6"/>
        <v>0</v>
      </c>
      <c r="O783" s="277">
        <f t="shared" si="4"/>
        <v>-72146.60962</v>
      </c>
      <c r="P783" s="264"/>
      <c r="Q783" s="264"/>
      <c r="R783" s="264"/>
      <c r="S783" s="264"/>
      <c r="T783" s="264"/>
      <c r="U783" s="264"/>
      <c r="V783" s="264"/>
      <c r="W783" s="264"/>
      <c r="X783" s="264"/>
      <c r="Y783" s="264"/>
      <c r="Z783" s="264"/>
      <c r="AA783" s="264"/>
      <c r="AB783" s="264"/>
      <c r="AC783" s="264"/>
      <c r="AD783" s="264"/>
      <c r="AE783" s="264"/>
    </row>
    <row r="784">
      <c r="A784" s="272"/>
      <c r="B784" s="272"/>
      <c r="C784" s="272"/>
      <c r="D784" s="172"/>
      <c r="E784" s="267" t="str">
        <f t="shared" si="22"/>
        <v/>
      </c>
      <c r="F784" s="274" t="str">
        <f t="shared" si="2"/>
        <v/>
      </c>
      <c r="G784" s="42"/>
      <c r="H784" s="264"/>
      <c r="I784" s="277"/>
      <c r="J784" s="276" t="str">
        <f>IF(ISBLANK(I784), "", VLOOKUP(E784&amp;" "&amp;F784, 'Info Tipo de Cambio y REM'!$A$24:$B$35, 2, FALSE))
</f>
        <v/>
      </c>
      <c r="K784" s="107" t="str">
        <f t="shared" si="23"/>
        <v/>
      </c>
      <c r="L784" s="293">
        <f t="shared" si="5"/>
        <v>-5187415.025</v>
      </c>
      <c r="M784" s="293">
        <f t="shared" si="3"/>
        <v>-68574.41</v>
      </c>
      <c r="N784" s="293">
        <f t="shared" si="6"/>
        <v>0</v>
      </c>
      <c r="O784" s="277">
        <f t="shared" si="4"/>
        <v>-72146.60962</v>
      </c>
      <c r="P784" s="264"/>
      <c r="Q784" s="264"/>
      <c r="R784" s="264"/>
      <c r="S784" s="264"/>
      <c r="T784" s="264"/>
      <c r="U784" s="264"/>
      <c r="V784" s="264"/>
      <c r="W784" s="264"/>
      <c r="X784" s="264"/>
      <c r="Y784" s="264"/>
      <c r="Z784" s="264"/>
      <c r="AA784" s="264"/>
      <c r="AB784" s="264"/>
      <c r="AC784" s="264"/>
      <c r="AD784" s="264"/>
      <c r="AE784" s="264"/>
    </row>
    <row r="785">
      <c r="A785" s="272"/>
      <c r="B785" s="272"/>
      <c r="C785" s="272"/>
      <c r="D785" s="172"/>
      <c r="E785" s="267" t="str">
        <f t="shared" si="22"/>
        <v/>
      </c>
      <c r="F785" s="274" t="str">
        <f t="shared" si="2"/>
        <v/>
      </c>
      <c r="G785" s="42"/>
      <c r="H785" s="264"/>
      <c r="I785" s="277"/>
      <c r="J785" s="276" t="str">
        <f>IF(ISBLANK(I785), "", VLOOKUP(E785&amp;" "&amp;F785, 'Info Tipo de Cambio y REM'!$A$24:$B$35, 2, FALSE))
</f>
        <v/>
      </c>
      <c r="K785" s="107" t="str">
        <f t="shared" si="23"/>
        <v/>
      </c>
      <c r="L785" s="293">
        <f t="shared" si="5"/>
        <v>-5187415.025</v>
      </c>
      <c r="M785" s="293">
        <f t="shared" si="3"/>
        <v>-68574.41</v>
      </c>
      <c r="N785" s="293">
        <f t="shared" si="6"/>
        <v>0</v>
      </c>
      <c r="O785" s="277">
        <f t="shared" si="4"/>
        <v>-72146.60962</v>
      </c>
      <c r="P785" s="264"/>
      <c r="Q785" s="264"/>
      <c r="R785" s="264"/>
      <c r="S785" s="264"/>
      <c r="T785" s="264"/>
      <c r="U785" s="264"/>
      <c r="V785" s="264"/>
      <c r="W785" s="264"/>
      <c r="X785" s="264"/>
      <c r="Y785" s="264"/>
      <c r="Z785" s="264"/>
      <c r="AA785" s="264"/>
      <c r="AB785" s="264"/>
      <c r="AC785" s="264"/>
      <c r="AD785" s="264"/>
      <c r="AE785" s="264"/>
    </row>
    <row r="786">
      <c r="A786" s="272"/>
      <c r="B786" s="272"/>
      <c r="C786" s="272"/>
      <c r="D786" s="172"/>
      <c r="E786" s="267" t="str">
        <f t="shared" si="22"/>
        <v/>
      </c>
      <c r="F786" s="274" t="str">
        <f t="shared" si="2"/>
        <v/>
      </c>
      <c r="G786" s="42"/>
      <c r="H786" s="264"/>
      <c r="I786" s="277"/>
      <c r="J786" s="276" t="str">
        <f>IF(ISBLANK(I786), "", VLOOKUP(E786&amp;" "&amp;F786, 'Info Tipo de Cambio y REM'!$A$24:$B$35, 2, FALSE))
</f>
        <v/>
      </c>
      <c r="K786" s="107" t="str">
        <f t="shared" si="23"/>
        <v/>
      </c>
      <c r="L786" s="293">
        <f t="shared" si="5"/>
        <v>-5187415.025</v>
      </c>
      <c r="M786" s="293">
        <f t="shared" si="3"/>
        <v>-68574.41</v>
      </c>
      <c r="N786" s="293">
        <f t="shared" si="6"/>
        <v>0</v>
      </c>
      <c r="O786" s="277">
        <f t="shared" si="4"/>
        <v>-72146.60962</v>
      </c>
      <c r="P786" s="264"/>
      <c r="Q786" s="264"/>
      <c r="R786" s="264"/>
      <c r="S786" s="264"/>
      <c r="T786" s="264"/>
      <c r="U786" s="264"/>
      <c r="V786" s="264"/>
      <c r="W786" s="264"/>
      <c r="X786" s="264"/>
      <c r="Y786" s="264"/>
      <c r="Z786" s="264"/>
      <c r="AA786" s="264"/>
      <c r="AB786" s="264"/>
      <c r="AC786" s="264"/>
      <c r="AD786" s="264"/>
      <c r="AE786" s="264"/>
    </row>
    <row r="787">
      <c r="A787" s="272"/>
      <c r="B787" s="272"/>
      <c r="C787" s="272"/>
      <c r="D787" s="172"/>
      <c r="E787" s="267" t="str">
        <f t="shared" si="22"/>
        <v/>
      </c>
      <c r="F787" s="274" t="str">
        <f t="shared" si="2"/>
        <v/>
      </c>
      <c r="G787" s="42"/>
      <c r="H787" s="264"/>
      <c r="I787" s="277"/>
      <c r="J787" s="276" t="str">
        <f>IF(ISBLANK(I787), "", VLOOKUP(E787&amp;" "&amp;F787, 'Info Tipo de Cambio y REM'!$A$24:$B$35, 2, FALSE))
</f>
        <v/>
      </c>
      <c r="K787" s="107" t="str">
        <f t="shared" si="23"/>
        <v/>
      </c>
      <c r="L787" s="293">
        <f t="shared" si="5"/>
        <v>-5187415.025</v>
      </c>
      <c r="M787" s="293">
        <f t="shared" si="3"/>
        <v>-68574.41</v>
      </c>
      <c r="N787" s="293">
        <f t="shared" si="6"/>
        <v>0</v>
      </c>
      <c r="O787" s="277">
        <f t="shared" si="4"/>
        <v>-72146.60962</v>
      </c>
      <c r="P787" s="264"/>
      <c r="Q787" s="264"/>
      <c r="R787" s="264"/>
      <c r="S787" s="264"/>
      <c r="T787" s="264"/>
      <c r="U787" s="264"/>
      <c r="V787" s="264"/>
      <c r="W787" s="264"/>
      <c r="X787" s="264"/>
      <c r="Y787" s="264"/>
      <c r="Z787" s="264"/>
      <c r="AA787" s="264"/>
      <c r="AB787" s="264"/>
      <c r="AC787" s="264"/>
      <c r="AD787" s="264"/>
      <c r="AE787" s="264"/>
    </row>
    <row r="788">
      <c r="A788" s="272"/>
      <c r="B788" s="272"/>
      <c r="C788" s="272"/>
      <c r="D788" s="172"/>
      <c r="E788" s="267" t="str">
        <f t="shared" si="22"/>
        <v/>
      </c>
      <c r="F788" s="274" t="str">
        <f t="shared" si="2"/>
        <v/>
      </c>
      <c r="G788" s="42"/>
      <c r="H788" s="264"/>
      <c r="I788" s="277"/>
      <c r="J788" s="276" t="str">
        <f>IF(ISBLANK(I788), "", VLOOKUP(E788&amp;" "&amp;F788, 'Info Tipo de Cambio y REM'!$A$24:$B$35, 2, FALSE))
</f>
        <v/>
      </c>
      <c r="K788" s="107" t="str">
        <f t="shared" si="23"/>
        <v/>
      </c>
      <c r="L788" s="293">
        <f t="shared" si="5"/>
        <v>-5187415.025</v>
      </c>
      <c r="M788" s="293">
        <f t="shared" si="3"/>
        <v>-68574.41</v>
      </c>
      <c r="N788" s="293">
        <f t="shared" si="6"/>
        <v>0</v>
      </c>
      <c r="O788" s="277">
        <f t="shared" si="4"/>
        <v>-72146.60962</v>
      </c>
      <c r="P788" s="264"/>
      <c r="Q788" s="264"/>
      <c r="R788" s="264"/>
      <c r="S788" s="264"/>
      <c r="T788" s="264"/>
      <c r="U788" s="264"/>
      <c r="V788" s="264"/>
      <c r="W788" s="264"/>
      <c r="X788" s="264"/>
      <c r="Y788" s="264"/>
      <c r="Z788" s="264"/>
      <c r="AA788" s="264"/>
      <c r="AB788" s="264"/>
      <c r="AC788" s="264"/>
      <c r="AD788" s="264"/>
      <c r="AE788" s="264"/>
    </row>
    <row r="789">
      <c r="A789" s="272"/>
      <c r="B789" s="272"/>
      <c r="C789" s="272"/>
      <c r="D789" s="172"/>
      <c r="E789" s="267" t="str">
        <f t="shared" si="22"/>
        <v/>
      </c>
      <c r="F789" s="274" t="str">
        <f t="shared" si="2"/>
        <v/>
      </c>
      <c r="G789" s="42"/>
      <c r="H789" s="264"/>
      <c r="I789" s="277"/>
      <c r="J789" s="276" t="str">
        <f>IF(ISBLANK(I789), "", VLOOKUP(E789&amp;" "&amp;F789, 'Info Tipo de Cambio y REM'!$A$24:$B$35, 2, FALSE))
</f>
        <v/>
      </c>
      <c r="K789" s="107" t="str">
        <f t="shared" si="23"/>
        <v/>
      </c>
      <c r="L789" s="293">
        <f t="shared" si="5"/>
        <v>-5187415.025</v>
      </c>
      <c r="M789" s="293">
        <f t="shared" si="3"/>
        <v>-68574.41</v>
      </c>
      <c r="N789" s="293">
        <f t="shared" si="6"/>
        <v>0</v>
      </c>
      <c r="O789" s="277">
        <f t="shared" si="4"/>
        <v>-72146.60962</v>
      </c>
      <c r="P789" s="264"/>
      <c r="Q789" s="264"/>
      <c r="R789" s="264"/>
      <c r="S789" s="264"/>
      <c r="T789" s="264"/>
      <c r="U789" s="264"/>
      <c r="V789" s="264"/>
      <c r="W789" s="264"/>
      <c r="X789" s="264"/>
      <c r="Y789" s="264"/>
      <c r="Z789" s="264"/>
      <c r="AA789" s="264"/>
      <c r="AB789" s="264"/>
      <c r="AC789" s="264"/>
      <c r="AD789" s="264"/>
      <c r="AE789" s="264"/>
    </row>
    <row r="790">
      <c r="A790" s="272"/>
      <c r="B790" s="272"/>
      <c r="C790" s="272"/>
      <c r="D790" s="172"/>
      <c r="E790" s="267" t="str">
        <f t="shared" si="22"/>
        <v/>
      </c>
      <c r="F790" s="274" t="str">
        <f t="shared" si="2"/>
        <v/>
      </c>
      <c r="G790" s="42"/>
      <c r="H790" s="264"/>
      <c r="I790" s="277"/>
      <c r="J790" s="276" t="str">
        <f>IF(ISBLANK(I790), "", VLOOKUP(E790&amp;" "&amp;F790, 'Info Tipo de Cambio y REM'!$A$24:$B$35, 2, FALSE))
</f>
        <v/>
      </c>
      <c r="K790" s="107" t="str">
        <f t="shared" si="23"/>
        <v/>
      </c>
      <c r="L790" s="293">
        <f t="shared" si="5"/>
        <v>-5187415.025</v>
      </c>
      <c r="M790" s="293">
        <f t="shared" si="3"/>
        <v>-68574.41</v>
      </c>
      <c r="N790" s="293">
        <f t="shared" si="6"/>
        <v>0</v>
      </c>
      <c r="O790" s="277">
        <f t="shared" si="4"/>
        <v>-72146.60962</v>
      </c>
      <c r="P790" s="264"/>
      <c r="Q790" s="264"/>
      <c r="R790" s="264"/>
      <c r="S790" s="264"/>
      <c r="T790" s="264"/>
      <c r="U790" s="264"/>
      <c r="V790" s="264"/>
      <c r="W790" s="264"/>
      <c r="X790" s="264"/>
      <c r="Y790" s="264"/>
      <c r="Z790" s="264"/>
      <c r="AA790" s="264"/>
      <c r="AB790" s="264"/>
      <c r="AC790" s="264"/>
      <c r="AD790" s="264"/>
      <c r="AE790" s="264"/>
    </row>
    <row r="791">
      <c r="A791" s="272"/>
      <c r="B791" s="272"/>
      <c r="C791" s="272"/>
      <c r="D791" s="172"/>
      <c r="E791" s="267" t="str">
        <f t="shared" si="22"/>
        <v/>
      </c>
      <c r="F791" s="274" t="str">
        <f t="shared" si="2"/>
        <v/>
      </c>
      <c r="G791" s="42"/>
      <c r="H791" s="264"/>
      <c r="I791" s="277"/>
      <c r="J791" s="276" t="str">
        <f>IF(ISBLANK(I791), "", VLOOKUP(E791&amp;" "&amp;F791, 'Info Tipo de Cambio y REM'!$A$24:$B$35, 2, FALSE))
</f>
        <v/>
      </c>
      <c r="K791" s="107" t="str">
        <f t="shared" si="23"/>
        <v/>
      </c>
      <c r="L791" s="293">
        <f t="shared" si="5"/>
        <v>-5187415.025</v>
      </c>
      <c r="M791" s="293">
        <f t="shared" si="3"/>
        <v>-68574.41</v>
      </c>
      <c r="N791" s="293">
        <f t="shared" si="6"/>
        <v>0</v>
      </c>
      <c r="O791" s="277">
        <f t="shared" si="4"/>
        <v>-72146.60962</v>
      </c>
      <c r="P791" s="264"/>
      <c r="Q791" s="264"/>
      <c r="R791" s="264"/>
      <c r="S791" s="264"/>
      <c r="T791" s="264"/>
      <c r="U791" s="264"/>
      <c r="V791" s="264"/>
      <c r="W791" s="264"/>
      <c r="X791" s="264"/>
      <c r="Y791" s="264"/>
      <c r="Z791" s="264"/>
      <c r="AA791" s="264"/>
      <c r="AB791" s="264"/>
      <c r="AC791" s="264"/>
      <c r="AD791" s="264"/>
      <c r="AE791" s="264"/>
    </row>
    <row r="792">
      <c r="A792" s="272"/>
      <c r="B792" s="272"/>
      <c r="C792" s="272"/>
      <c r="D792" s="172"/>
      <c r="E792" s="267" t="str">
        <f t="shared" si="22"/>
        <v/>
      </c>
      <c r="F792" s="274" t="str">
        <f t="shared" si="2"/>
        <v/>
      </c>
      <c r="G792" s="42"/>
      <c r="H792" s="264"/>
      <c r="I792" s="277"/>
      <c r="J792" s="276" t="str">
        <f>IF(ISBLANK(I792), "", VLOOKUP(E792&amp;" "&amp;F792, 'Info Tipo de Cambio y REM'!$A$24:$B$35, 2, FALSE))
</f>
        <v/>
      </c>
      <c r="K792" s="107" t="str">
        <f t="shared" si="23"/>
        <v/>
      </c>
      <c r="L792" s="293">
        <f t="shared" si="5"/>
        <v>-5187415.025</v>
      </c>
      <c r="M792" s="293">
        <f t="shared" si="3"/>
        <v>-68574.41</v>
      </c>
      <c r="N792" s="293">
        <f t="shared" si="6"/>
        <v>0</v>
      </c>
      <c r="O792" s="277">
        <f t="shared" si="4"/>
        <v>-72146.60962</v>
      </c>
      <c r="P792" s="264"/>
      <c r="Q792" s="264"/>
      <c r="R792" s="264"/>
      <c r="S792" s="264"/>
      <c r="T792" s="264"/>
      <c r="U792" s="264"/>
      <c r="V792" s="264"/>
      <c r="W792" s="264"/>
      <c r="X792" s="264"/>
      <c r="Y792" s="264"/>
      <c r="Z792" s="264"/>
      <c r="AA792" s="264"/>
      <c r="AB792" s="264"/>
      <c r="AC792" s="264"/>
      <c r="AD792" s="264"/>
      <c r="AE792" s="264"/>
    </row>
    <row r="793">
      <c r="A793" s="272"/>
      <c r="B793" s="272"/>
      <c r="C793" s="272"/>
      <c r="D793" s="172"/>
      <c r="E793" s="267" t="str">
        <f t="shared" si="22"/>
        <v/>
      </c>
      <c r="F793" s="274" t="str">
        <f t="shared" si="2"/>
        <v/>
      </c>
      <c r="G793" s="42"/>
      <c r="H793" s="264"/>
      <c r="I793" s="277"/>
      <c r="J793" s="276" t="str">
        <f>IF(ISBLANK(I793), "", VLOOKUP(E793&amp;" "&amp;F793, 'Info Tipo de Cambio y REM'!$A$24:$B$35, 2, FALSE))
</f>
        <v/>
      </c>
      <c r="K793" s="107" t="str">
        <f t="shared" si="23"/>
        <v/>
      </c>
      <c r="L793" s="293">
        <f t="shared" si="5"/>
        <v>-5187415.025</v>
      </c>
      <c r="M793" s="293">
        <f t="shared" si="3"/>
        <v>-68574.41</v>
      </c>
      <c r="N793" s="293">
        <f t="shared" si="6"/>
        <v>0</v>
      </c>
      <c r="O793" s="277">
        <f t="shared" si="4"/>
        <v>-72146.60962</v>
      </c>
      <c r="P793" s="264"/>
      <c r="Q793" s="264"/>
      <c r="R793" s="264"/>
      <c r="S793" s="264"/>
      <c r="T793" s="264"/>
      <c r="U793" s="264"/>
      <c r="V793" s="264"/>
      <c r="W793" s="264"/>
      <c r="X793" s="264"/>
      <c r="Y793" s="264"/>
      <c r="Z793" s="264"/>
      <c r="AA793" s="264"/>
      <c r="AB793" s="264"/>
      <c r="AC793" s="264"/>
      <c r="AD793" s="264"/>
      <c r="AE793" s="264"/>
    </row>
    <row r="794">
      <c r="A794" s="272"/>
      <c r="B794" s="272"/>
      <c r="C794" s="272"/>
      <c r="D794" s="172"/>
      <c r="E794" s="267" t="str">
        <f t="shared" si="22"/>
        <v/>
      </c>
      <c r="F794" s="274" t="str">
        <f t="shared" si="2"/>
        <v/>
      </c>
      <c r="G794" s="42"/>
      <c r="H794" s="264"/>
      <c r="I794" s="277"/>
      <c r="J794" s="276" t="str">
        <f>IF(ISBLANK(I794), "", VLOOKUP(E794&amp;" "&amp;F794, 'Info Tipo de Cambio y REM'!$A$24:$B$35, 2, FALSE))
</f>
        <v/>
      </c>
      <c r="K794" s="107" t="str">
        <f t="shared" si="23"/>
        <v/>
      </c>
      <c r="L794" s="293">
        <f t="shared" si="5"/>
        <v>-5187415.025</v>
      </c>
      <c r="M794" s="293">
        <f t="shared" si="3"/>
        <v>-68574.41</v>
      </c>
      <c r="N794" s="293">
        <f t="shared" si="6"/>
        <v>0</v>
      </c>
      <c r="O794" s="277">
        <f t="shared" si="4"/>
        <v>-72146.60962</v>
      </c>
      <c r="P794" s="264"/>
      <c r="Q794" s="264"/>
      <c r="R794" s="264"/>
      <c r="S794" s="264"/>
      <c r="T794" s="264"/>
      <c r="U794" s="264"/>
      <c r="V794" s="264"/>
      <c r="W794" s="264"/>
      <c r="X794" s="264"/>
      <c r="Y794" s="264"/>
      <c r="Z794" s="264"/>
      <c r="AA794" s="264"/>
      <c r="AB794" s="264"/>
      <c r="AC794" s="264"/>
      <c r="AD794" s="264"/>
      <c r="AE794" s="264"/>
    </row>
    <row r="795">
      <c r="A795" s="272"/>
      <c r="B795" s="272"/>
      <c r="C795" s="272"/>
      <c r="D795" s="172"/>
      <c r="E795" s="267" t="str">
        <f t="shared" si="22"/>
        <v/>
      </c>
      <c r="F795" s="274" t="str">
        <f t="shared" si="2"/>
        <v/>
      </c>
      <c r="G795" s="42"/>
      <c r="H795" s="264"/>
      <c r="I795" s="277"/>
      <c r="J795" s="276" t="str">
        <f>IF(ISBLANK(I795), "", VLOOKUP(E795&amp;" "&amp;F795, 'Info Tipo de Cambio y REM'!$A$24:$B$35, 2, FALSE))
</f>
        <v/>
      </c>
      <c r="K795" s="107" t="str">
        <f t="shared" si="23"/>
        <v/>
      </c>
      <c r="L795" s="293">
        <f t="shared" si="5"/>
        <v>-5187415.025</v>
      </c>
      <c r="M795" s="293">
        <f t="shared" si="3"/>
        <v>-68574.41</v>
      </c>
      <c r="N795" s="293">
        <f t="shared" si="6"/>
        <v>0</v>
      </c>
      <c r="O795" s="277">
        <f t="shared" si="4"/>
        <v>-72146.60962</v>
      </c>
      <c r="P795" s="264"/>
      <c r="Q795" s="264"/>
      <c r="R795" s="264"/>
      <c r="S795" s="264"/>
      <c r="T795" s="264"/>
      <c r="U795" s="264"/>
      <c r="V795" s="264"/>
      <c r="W795" s="264"/>
      <c r="X795" s="264"/>
      <c r="Y795" s="264"/>
      <c r="Z795" s="264"/>
      <c r="AA795" s="264"/>
      <c r="AB795" s="264"/>
      <c r="AC795" s="264"/>
      <c r="AD795" s="264"/>
      <c r="AE795" s="264"/>
    </row>
    <row r="796">
      <c r="A796" s="272"/>
      <c r="B796" s="272"/>
      <c r="C796" s="272"/>
      <c r="D796" s="172"/>
      <c r="E796" s="267" t="str">
        <f t="shared" si="22"/>
        <v/>
      </c>
      <c r="F796" s="274" t="str">
        <f t="shared" si="2"/>
        <v/>
      </c>
      <c r="G796" s="42"/>
      <c r="H796" s="264"/>
      <c r="I796" s="277"/>
      <c r="J796" s="276" t="str">
        <f>IF(ISBLANK(I796), "", VLOOKUP(E796&amp;" "&amp;F796, 'Info Tipo de Cambio y REM'!$A$24:$B$35, 2, FALSE))
</f>
        <v/>
      </c>
      <c r="K796" s="107" t="str">
        <f t="shared" si="23"/>
        <v/>
      </c>
      <c r="L796" s="293">
        <f t="shared" si="5"/>
        <v>-5187415.025</v>
      </c>
      <c r="M796" s="293">
        <f t="shared" si="3"/>
        <v>-68574.41</v>
      </c>
      <c r="N796" s="293">
        <f t="shared" si="6"/>
        <v>0</v>
      </c>
      <c r="O796" s="277">
        <f t="shared" si="4"/>
        <v>-72146.60962</v>
      </c>
      <c r="P796" s="264"/>
      <c r="Q796" s="264"/>
      <c r="R796" s="264"/>
      <c r="S796" s="264"/>
      <c r="T796" s="264"/>
      <c r="U796" s="264"/>
      <c r="V796" s="264"/>
      <c r="W796" s="264"/>
      <c r="X796" s="264"/>
      <c r="Y796" s="264"/>
      <c r="Z796" s="264"/>
      <c r="AA796" s="264"/>
      <c r="AB796" s="264"/>
      <c r="AC796" s="264"/>
      <c r="AD796" s="264"/>
      <c r="AE796" s="264"/>
    </row>
    <row r="797">
      <c r="A797" s="272"/>
      <c r="B797" s="272"/>
      <c r="C797" s="272"/>
      <c r="D797" s="172"/>
      <c r="E797" s="267" t="str">
        <f t="shared" si="22"/>
        <v/>
      </c>
      <c r="F797" s="274" t="str">
        <f t="shared" si="2"/>
        <v/>
      </c>
      <c r="G797" s="42"/>
      <c r="H797" s="264"/>
      <c r="I797" s="277"/>
      <c r="J797" s="276" t="str">
        <f>IF(ISBLANK(I797), "", VLOOKUP(E797&amp;" "&amp;F797, 'Info Tipo de Cambio y REM'!$A$24:$B$35, 2, FALSE))
</f>
        <v/>
      </c>
      <c r="K797" s="107" t="str">
        <f t="shared" si="23"/>
        <v/>
      </c>
      <c r="L797" s="293">
        <f t="shared" si="5"/>
        <v>-5187415.025</v>
      </c>
      <c r="M797" s="293">
        <f t="shared" si="3"/>
        <v>-68574.41</v>
      </c>
      <c r="N797" s="293">
        <f t="shared" si="6"/>
        <v>0</v>
      </c>
      <c r="O797" s="277">
        <f t="shared" si="4"/>
        <v>-72146.60962</v>
      </c>
      <c r="P797" s="264"/>
      <c r="Q797" s="264"/>
      <c r="R797" s="264"/>
      <c r="S797" s="264"/>
      <c r="T797" s="264"/>
      <c r="U797" s="264"/>
      <c r="V797" s="264"/>
      <c r="W797" s="264"/>
      <c r="X797" s="264"/>
      <c r="Y797" s="264"/>
      <c r="Z797" s="264"/>
      <c r="AA797" s="264"/>
      <c r="AB797" s="264"/>
      <c r="AC797" s="264"/>
      <c r="AD797" s="264"/>
      <c r="AE797" s="264"/>
    </row>
    <row r="798">
      <c r="A798" s="272"/>
      <c r="B798" s="272"/>
      <c r="C798" s="272"/>
      <c r="D798" s="172"/>
      <c r="E798" s="267" t="str">
        <f t="shared" si="22"/>
        <v/>
      </c>
      <c r="F798" s="274" t="str">
        <f t="shared" si="2"/>
        <v/>
      </c>
      <c r="G798" s="42"/>
      <c r="H798" s="264"/>
      <c r="I798" s="277"/>
      <c r="J798" s="276" t="str">
        <f>IF(ISBLANK(I798), "", VLOOKUP(E798&amp;" "&amp;F798, 'Info Tipo de Cambio y REM'!$A$24:$B$35, 2, FALSE))
</f>
        <v/>
      </c>
      <c r="K798" s="107" t="str">
        <f t="shared" si="23"/>
        <v/>
      </c>
      <c r="L798" s="293">
        <f t="shared" si="5"/>
        <v>-5187415.025</v>
      </c>
      <c r="M798" s="293">
        <f t="shared" si="3"/>
        <v>-68574.41</v>
      </c>
      <c r="N798" s="293">
        <f t="shared" si="6"/>
        <v>0</v>
      </c>
      <c r="O798" s="277">
        <f t="shared" si="4"/>
        <v>-72146.60962</v>
      </c>
      <c r="P798" s="264"/>
      <c r="Q798" s="264"/>
      <c r="R798" s="264"/>
      <c r="S798" s="264"/>
      <c r="T798" s="264"/>
      <c r="U798" s="264"/>
      <c r="V798" s="264"/>
      <c r="W798" s="264"/>
      <c r="X798" s="264"/>
      <c r="Y798" s="264"/>
      <c r="Z798" s="264"/>
      <c r="AA798" s="264"/>
      <c r="AB798" s="264"/>
      <c r="AC798" s="264"/>
      <c r="AD798" s="264"/>
      <c r="AE798" s="264"/>
    </row>
    <row r="799">
      <c r="A799" s="272"/>
      <c r="B799" s="272"/>
      <c r="C799" s="272"/>
      <c r="D799" s="172"/>
      <c r="E799" s="267" t="str">
        <f t="shared" si="22"/>
        <v/>
      </c>
      <c r="F799" s="274" t="str">
        <f t="shared" si="2"/>
        <v/>
      </c>
      <c r="G799" s="42"/>
      <c r="H799" s="264"/>
      <c r="I799" s="277"/>
      <c r="J799" s="276" t="str">
        <f>IF(ISBLANK(I799), "", VLOOKUP(E799&amp;" "&amp;F799, 'Info Tipo de Cambio y REM'!$A$24:$B$35, 2, FALSE))
</f>
        <v/>
      </c>
      <c r="K799" s="107" t="str">
        <f t="shared" si="23"/>
        <v/>
      </c>
      <c r="L799" s="293">
        <f t="shared" si="5"/>
        <v>-5187415.025</v>
      </c>
      <c r="M799" s="293">
        <f t="shared" si="3"/>
        <v>-68574.41</v>
      </c>
      <c r="N799" s="293">
        <f t="shared" si="6"/>
        <v>0</v>
      </c>
      <c r="O799" s="277">
        <f t="shared" si="4"/>
        <v>-72146.60962</v>
      </c>
      <c r="P799" s="264"/>
      <c r="Q799" s="264"/>
      <c r="R799" s="264"/>
      <c r="S799" s="264"/>
      <c r="T799" s="264"/>
      <c r="U799" s="264"/>
      <c r="V799" s="264"/>
      <c r="W799" s="264"/>
      <c r="X799" s="264"/>
      <c r="Y799" s="264"/>
      <c r="Z799" s="264"/>
      <c r="AA799" s="264"/>
      <c r="AB799" s="264"/>
      <c r="AC799" s="264"/>
      <c r="AD799" s="264"/>
      <c r="AE799" s="264"/>
    </row>
    <row r="800">
      <c r="A800" s="272"/>
      <c r="B800" s="272"/>
      <c r="C800" s="272"/>
      <c r="D800" s="172"/>
      <c r="E800" s="267" t="str">
        <f t="shared" si="22"/>
        <v/>
      </c>
      <c r="F800" s="274" t="str">
        <f t="shared" si="2"/>
        <v/>
      </c>
      <c r="G800" s="42"/>
      <c r="H800" s="264"/>
      <c r="I800" s="277"/>
      <c r="J800" s="276" t="str">
        <f>IF(ISBLANK(I800), "", VLOOKUP(E800&amp;" "&amp;F800, 'Info Tipo de Cambio y REM'!$A$24:$B$35, 2, FALSE))
</f>
        <v/>
      </c>
      <c r="K800" s="107" t="str">
        <f t="shared" si="23"/>
        <v/>
      </c>
      <c r="L800" s="293">
        <f t="shared" si="5"/>
        <v>-5187415.025</v>
      </c>
      <c r="M800" s="293">
        <f t="shared" si="3"/>
        <v>-68574.41</v>
      </c>
      <c r="N800" s="293">
        <f t="shared" si="6"/>
        <v>0</v>
      </c>
      <c r="O800" s="277">
        <f t="shared" si="4"/>
        <v>-72146.60962</v>
      </c>
      <c r="P800" s="264"/>
      <c r="Q800" s="264"/>
      <c r="R800" s="264"/>
      <c r="S800" s="264"/>
      <c r="T800" s="264"/>
      <c r="U800" s="264"/>
      <c r="V800" s="264"/>
      <c r="W800" s="264"/>
      <c r="X800" s="264"/>
      <c r="Y800" s="264"/>
      <c r="Z800" s="264"/>
      <c r="AA800" s="264"/>
      <c r="AB800" s="264"/>
      <c r="AC800" s="264"/>
      <c r="AD800" s="264"/>
      <c r="AE800" s="264"/>
    </row>
    <row r="801">
      <c r="A801" s="272"/>
      <c r="B801" s="272"/>
      <c r="C801" s="272"/>
      <c r="D801" s="172"/>
      <c r="E801" s="267" t="str">
        <f t="shared" si="22"/>
        <v/>
      </c>
      <c r="F801" s="274" t="str">
        <f t="shared" si="2"/>
        <v/>
      </c>
      <c r="G801" s="42"/>
      <c r="H801" s="264"/>
      <c r="I801" s="277"/>
      <c r="J801" s="276" t="str">
        <f>IF(ISBLANK(I801), "", VLOOKUP(E801&amp;" "&amp;F801, 'Info Tipo de Cambio y REM'!$A$24:$B$35, 2, FALSE))
</f>
        <v/>
      </c>
      <c r="K801" s="107" t="str">
        <f t="shared" si="23"/>
        <v/>
      </c>
      <c r="L801" s="293">
        <f t="shared" si="5"/>
        <v>-5187415.025</v>
      </c>
      <c r="M801" s="293">
        <f t="shared" si="3"/>
        <v>-68574.41</v>
      </c>
      <c r="N801" s="293">
        <f t="shared" si="6"/>
        <v>0</v>
      </c>
      <c r="O801" s="277">
        <f t="shared" si="4"/>
        <v>-72146.60962</v>
      </c>
      <c r="P801" s="264"/>
      <c r="Q801" s="264"/>
      <c r="R801" s="264"/>
      <c r="S801" s="264"/>
      <c r="T801" s="264"/>
      <c r="U801" s="264"/>
      <c r="V801" s="264"/>
      <c r="W801" s="264"/>
      <c r="X801" s="264"/>
      <c r="Y801" s="264"/>
      <c r="Z801" s="264"/>
      <c r="AA801" s="264"/>
      <c r="AB801" s="264"/>
      <c r="AC801" s="264"/>
      <c r="AD801" s="264"/>
      <c r="AE801" s="264"/>
    </row>
    <row r="802">
      <c r="A802" s="272"/>
      <c r="B802" s="272"/>
      <c r="C802" s="272"/>
      <c r="D802" s="172"/>
      <c r="E802" s="267" t="str">
        <f t="shared" si="22"/>
        <v/>
      </c>
      <c r="F802" s="274" t="str">
        <f t="shared" si="2"/>
        <v/>
      </c>
      <c r="G802" s="42"/>
      <c r="H802" s="264"/>
      <c r="I802" s="277"/>
      <c r="J802" s="276" t="str">
        <f>IF(ISBLANK(I802), "", VLOOKUP(E802&amp;" "&amp;F802, 'Info Tipo de Cambio y REM'!$A$24:$B$35, 2, FALSE))
</f>
        <v/>
      </c>
      <c r="K802" s="107" t="str">
        <f t="shared" si="23"/>
        <v/>
      </c>
      <c r="L802" s="293">
        <f t="shared" si="5"/>
        <v>-5187415.025</v>
      </c>
      <c r="M802" s="293">
        <f t="shared" si="3"/>
        <v>-68574.41</v>
      </c>
      <c r="N802" s="293">
        <f t="shared" si="6"/>
        <v>0</v>
      </c>
      <c r="O802" s="277">
        <f t="shared" si="4"/>
        <v>-72146.60962</v>
      </c>
      <c r="P802" s="264"/>
      <c r="Q802" s="264"/>
      <c r="R802" s="264"/>
      <c r="S802" s="264"/>
      <c r="T802" s="264"/>
      <c r="U802" s="264"/>
      <c r="V802" s="264"/>
      <c r="W802" s="264"/>
      <c r="X802" s="264"/>
      <c r="Y802" s="264"/>
      <c r="Z802" s="264"/>
      <c r="AA802" s="264"/>
      <c r="AB802" s="264"/>
      <c r="AC802" s="264"/>
      <c r="AD802" s="264"/>
      <c r="AE802" s="264"/>
    </row>
    <row r="803">
      <c r="A803" s="272"/>
      <c r="B803" s="272"/>
      <c r="C803" s="272"/>
      <c r="D803" s="172"/>
      <c r="E803" s="267" t="str">
        <f t="shared" si="22"/>
        <v/>
      </c>
      <c r="F803" s="274" t="str">
        <f t="shared" si="2"/>
        <v/>
      </c>
      <c r="G803" s="42"/>
      <c r="H803" s="264"/>
      <c r="I803" s="277"/>
      <c r="J803" s="276" t="str">
        <f>IF(ISBLANK(I803), "", VLOOKUP(E803&amp;" "&amp;F803, 'Info Tipo de Cambio y REM'!$A$24:$B$35, 2, FALSE))
</f>
        <v/>
      </c>
      <c r="K803" s="107" t="str">
        <f t="shared" si="23"/>
        <v/>
      </c>
      <c r="L803" s="293">
        <f t="shared" si="5"/>
        <v>-5187415.025</v>
      </c>
      <c r="M803" s="293">
        <f t="shared" si="3"/>
        <v>-68574.41</v>
      </c>
      <c r="N803" s="293">
        <f t="shared" si="6"/>
        <v>0</v>
      </c>
      <c r="O803" s="277">
        <f t="shared" si="4"/>
        <v>-72146.60962</v>
      </c>
      <c r="P803" s="264"/>
      <c r="Q803" s="264"/>
      <c r="R803" s="264"/>
      <c r="S803" s="264"/>
      <c r="T803" s="264"/>
      <c r="U803" s="264"/>
      <c r="V803" s="264"/>
      <c r="W803" s="264"/>
      <c r="X803" s="264"/>
      <c r="Y803" s="264"/>
      <c r="Z803" s="264"/>
      <c r="AA803" s="264"/>
      <c r="AB803" s="264"/>
      <c r="AC803" s="264"/>
      <c r="AD803" s="264"/>
      <c r="AE803" s="264"/>
    </row>
    <row r="804">
      <c r="A804" s="272"/>
      <c r="B804" s="272"/>
      <c r="C804" s="272"/>
      <c r="D804" s="172"/>
      <c r="E804" s="267" t="str">
        <f t="shared" si="22"/>
        <v/>
      </c>
      <c r="F804" s="274" t="str">
        <f t="shared" si="2"/>
        <v/>
      </c>
      <c r="G804" s="42"/>
      <c r="H804" s="264"/>
      <c r="I804" s="277"/>
      <c r="J804" s="276" t="str">
        <f>IF(ISBLANK(I804), "", VLOOKUP(E804&amp;" "&amp;F804, 'Info Tipo de Cambio y REM'!$A$24:$B$35, 2, FALSE))
</f>
        <v/>
      </c>
      <c r="K804" s="107" t="str">
        <f t="shared" si="23"/>
        <v/>
      </c>
      <c r="L804" s="293">
        <f t="shared" si="5"/>
        <v>-5187415.025</v>
      </c>
      <c r="M804" s="293">
        <f t="shared" si="3"/>
        <v>-68574.41</v>
      </c>
      <c r="N804" s="293">
        <f t="shared" si="6"/>
        <v>0</v>
      </c>
      <c r="O804" s="277">
        <f t="shared" si="4"/>
        <v>-72146.60962</v>
      </c>
      <c r="P804" s="264"/>
      <c r="Q804" s="264"/>
      <c r="R804" s="264"/>
      <c r="S804" s="264"/>
      <c r="T804" s="264"/>
      <c r="U804" s="264"/>
      <c r="V804" s="264"/>
      <c r="W804" s="264"/>
      <c r="X804" s="264"/>
      <c r="Y804" s="264"/>
      <c r="Z804" s="264"/>
      <c r="AA804" s="264"/>
      <c r="AB804" s="264"/>
      <c r="AC804" s="264"/>
      <c r="AD804" s="264"/>
      <c r="AE804" s="264"/>
    </row>
    <row r="805">
      <c r="A805" s="272"/>
      <c r="B805" s="272"/>
      <c r="C805" s="272"/>
      <c r="D805" s="172"/>
      <c r="E805" s="267" t="str">
        <f t="shared" si="22"/>
        <v/>
      </c>
      <c r="F805" s="274" t="str">
        <f t="shared" si="2"/>
        <v/>
      </c>
      <c r="G805" s="42"/>
      <c r="H805" s="264"/>
      <c r="I805" s="277"/>
      <c r="J805" s="276" t="str">
        <f>IF(ISBLANK(I805), "", VLOOKUP(E805&amp;" "&amp;F805, 'Info Tipo de Cambio y REM'!$A$24:$B$35, 2, FALSE))
</f>
        <v/>
      </c>
      <c r="K805" s="107" t="str">
        <f t="shared" si="23"/>
        <v/>
      </c>
      <c r="L805" s="293">
        <f t="shared" si="5"/>
        <v>-5187415.025</v>
      </c>
      <c r="M805" s="293">
        <f t="shared" si="3"/>
        <v>-68574.41</v>
      </c>
      <c r="N805" s="293">
        <f t="shared" si="6"/>
        <v>0</v>
      </c>
      <c r="O805" s="277">
        <f t="shared" si="4"/>
        <v>-72146.60962</v>
      </c>
      <c r="P805" s="264"/>
      <c r="Q805" s="264"/>
      <c r="R805" s="264"/>
      <c r="S805" s="264"/>
      <c r="T805" s="264"/>
      <c r="U805" s="264"/>
      <c r="V805" s="264"/>
      <c r="W805" s="264"/>
      <c r="X805" s="264"/>
      <c r="Y805" s="264"/>
      <c r="Z805" s="264"/>
      <c r="AA805" s="264"/>
      <c r="AB805" s="264"/>
      <c r="AC805" s="264"/>
      <c r="AD805" s="264"/>
      <c r="AE805" s="264"/>
    </row>
    <row r="806">
      <c r="A806" s="272"/>
      <c r="B806" s="272"/>
      <c r="C806" s="272"/>
      <c r="D806" s="172"/>
      <c r="E806" s="267" t="str">
        <f t="shared" si="22"/>
        <v/>
      </c>
      <c r="F806" s="274" t="str">
        <f t="shared" si="2"/>
        <v/>
      </c>
      <c r="G806" s="42"/>
      <c r="H806" s="264"/>
      <c r="I806" s="277"/>
      <c r="J806" s="276" t="str">
        <f>IF(ISBLANK(I806), "", VLOOKUP(E806&amp;" "&amp;F806, 'Info Tipo de Cambio y REM'!$A$24:$B$35, 2, FALSE))
</f>
        <v/>
      </c>
      <c r="K806" s="107" t="str">
        <f t="shared" si="23"/>
        <v/>
      </c>
      <c r="L806" s="293">
        <f t="shared" si="5"/>
        <v>-5187415.025</v>
      </c>
      <c r="M806" s="293">
        <f t="shared" si="3"/>
        <v>-68574.41</v>
      </c>
      <c r="N806" s="293">
        <f t="shared" si="6"/>
        <v>0</v>
      </c>
      <c r="O806" s="277">
        <f t="shared" si="4"/>
        <v>-72146.60962</v>
      </c>
      <c r="P806" s="264"/>
      <c r="Q806" s="264"/>
      <c r="R806" s="264"/>
      <c r="S806" s="264"/>
      <c r="T806" s="264"/>
      <c r="U806" s="264"/>
      <c r="V806" s="264"/>
      <c r="W806" s="264"/>
      <c r="X806" s="264"/>
      <c r="Y806" s="264"/>
      <c r="Z806" s="264"/>
      <c r="AA806" s="264"/>
      <c r="AB806" s="264"/>
      <c r="AC806" s="264"/>
      <c r="AD806" s="264"/>
      <c r="AE806" s="264"/>
    </row>
    <row r="807">
      <c r="A807" s="272"/>
      <c r="B807" s="272"/>
      <c r="C807" s="272"/>
      <c r="D807" s="172"/>
      <c r="E807" s="267" t="str">
        <f t="shared" si="22"/>
        <v/>
      </c>
      <c r="F807" s="274" t="str">
        <f t="shared" si="2"/>
        <v/>
      </c>
      <c r="G807" s="42"/>
      <c r="H807" s="264"/>
      <c r="I807" s="277"/>
      <c r="J807" s="276" t="str">
        <f>IF(ISBLANK(I807), "", VLOOKUP(E807&amp;" "&amp;F807, 'Info Tipo de Cambio y REM'!$A$24:$B$35, 2, FALSE))
</f>
        <v/>
      </c>
      <c r="K807" s="107" t="str">
        <f t="shared" si="23"/>
        <v/>
      </c>
      <c r="L807" s="293">
        <f t="shared" si="5"/>
        <v>-5187415.025</v>
      </c>
      <c r="M807" s="293">
        <f t="shared" si="3"/>
        <v>-68574.41</v>
      </c>
      <c r="N807" s="293">
        <f t="shared" si="6"/>
        <v>0</v>
      </c>
      <c r="O807" s="277">
        <f t="shared" si="4"/>
        <v>-72146.60962</v>
      </c>
      <c r="P807" s="264"/>
      <c r="Q807" s="264"/>
      <c r="R807" s="264"/>
      <c r="S807" s="264"/>
      <c r="T807" s="264"/>
      <c r="U807" s="264"/>
      <c r="V807" s="264"/>
      <c r="W807" s="264"/>
      <c r="X807" s="264"/>
      <c r="Y807" s="264"/>
      <c r="Z807" s="264"/>
      <c r="AA807" s="264"/>
      <c r="AB807" s="264"/>
      <c r="AC807" s="264"/>
      <c r="AD807" s="264"/>
      <c r="AE807" s="264"/>
    </row>
    <row r="808">
      <c r="A808" s="272"/>
      <c r="B808" s="272"/>
      <c r="C808" s="272"/>
      <c r="D808" s="172"/>
      <c r="E808" s="267" t="str">
        <f t="shared" si="22"/>
        <v/>
      </c>
      <c r="F808" s="274" t="str">
        <f t="shared" si="2"/>
        <v/>
      </c>
      <c r="G808" s="42"/>
      <c r="H808" s="264"/>
      <c r="I808" s="277"/>
      <c r="J808" s="276" t="str">
        <f>IF(ISBLANK(I808), "", VLOOKUP(E808&amp;" "&amp;F808, 'Info Tipo de Cambio y REM'!$A$24:$B$35, 2, FALSE))
</f>
        <v/>
      </c>
      <c r="K808" s="107" t="str">
        <f t="shared" si="23"/>
        <v/>
      </c>
      <c r="L808" s="293">
        <f t="shared" si="5"/>
        <v>-5187415.025</v>
      </c>
      <c r="M808" s="293">
        <f t="shared" si="3"/>
        <v>-68574.41</v>
      </c>
      <c r="N808" s="293">
        <f t="shared" si="6"/>
        <v>0</v>
      </c>
      <c r="O808" s="277">
        <f t="shared" si="4"/>
        <v>-72146.60962</v>
      </c>
      <c r="P808" s="264"/>
      <c r="Q808" s="264"/>
      <c r="R808" s="264"/>
      <c r="S808" s="264"/>
      <c r="T808" s="264"/>
      <c r="U808" s="264"/>
      <c r="V808" s="264"/>
      <c r="W808" s="264"/>
      <c r="X808" s="264"/>
      <c r="Y808" s="264"/>
      <c r="Z808" s="264"/>
      <c r="AA808" s="264"/>
      <c r="AB808" s="264"/>
      <c r="AC808" s="264"/>
      <c r="AD808" s="264"/>
      <c r="AE808" s="264"/>
    </row>
    <row r="809">
      <c r="A809" s="272"/>
      <c r="B809" s="272"/>
      <c r="C809" s="272"/>
      <c r="D809" s="172"/>
      <c r="E809" s="267" t="str">
        <f t="shared" si="22"/>
        <v/>
      </c>
      <c r="F809" s="274" t="str">
        <f t="shared" si="2"/>
        <v/>
      </c>
      <c r="G809" s="42"/>
      <c r="H809" s="264"/>
      <c r="I809" s="277"/>
      <c r="J809" s="276" t="str">
        <f>IF(ISBLANK(I809), "", VLOOKUP(E809&amp;" "&amp;F809, 'Info Tipo de Cambio y REM'!$A$24:$B$35, 2, FALSE))
</f>
        <v/>
      </c>
      <c r="K809" s="107" t="str">
        <f t="shared" si="23"/>
        <v/>
      </c>
      <c r="L809" s="293">
        <f t="shared" si="5"/>
        <v>-5187415.025</v>
      </c>
      <c r="M809" s="293">
        <f t="shared" si="3"/>
        <v>-68574.41</v>
      </c>
      <c r="N809" s="293">
        <f t="shared" si="6"/>
        <v>0</v>
      </c>
      <c r="O809" s="277">
        <f t="shared" si="4"/>
        <v>-72146.60962</v>
      </c>
      <c r="P809" s="264"/>
      <c r="Q809" s="264"/>
      <c r="R809" s="264"/>
      <c r="S809" s="264"/>
      <c r="T809" s="264"/>
      <c r="U809" s="264"/>
      <c r="V809" s="264"/>
      <c r="W809" s="264"/>
      <c r="X809" s="264"/>
      <c r="Y809" s="264"/>
      <c r="Z809" s="264"/>
      <c r="AA809" s="264"/>
      <c r="AB809" s="264"/>
      <c r="AC809" s="264"/>
      <c r="AD809" s="264"/>
      <c r="AE809" s="264"/>
    </row>
    <row r="810">
      <c r="A810" s="272"/>
      <c r="B810" s="272"/>
      <c r="C810" s="272"/>
      <c r="D810" s="172"/>
      <c r="E810" s="267" t="str">
        <f t="shared" si="22"/>
        <v/>
      </c>
      <c r="F810" s="274" t="str">
        <f t="shared" si="2"/>
        <v/>
      </c>
      <c r="G810" s="42"/>
      <c r="H810" s="264"/>
      <c r="I810" s="277"/>
      <c r="J810" s="276" t="str">
        <f>IF(ISBLANK(I810), "", VLOOKUP(E810&amp;" "&amp;F810, 'Info Tipo de Cambio y REM'!$A$24:$B$35, 2, FALSE))
</f>
        <v/>
      </c>
      <c r="K810" s="107" t="str">
        <f t="shared" si="23"/>
        <v/>
      </c>
      <c r="L810" s="293">
        <f t="shared" si="5"/>
        <v>-5187415.025</v>
      </c>
      <c r="M810" s="293">
        <f t="shared" si="3"/>
        <v>-68574.41</v>
      </c>
      <c r="N810" s="293">
        <f t="shared" si="6"/>
        <v>0</v>
      </c>
      <c r="O810" s="277">
        <f t="shared" si="4"/>
        <v>-72146.60962</v>
      </c>
      <c r="P810" s="264"/>
      <c r="Q810" s="264"/>
      <c r="R810" s="264"/>
      <c r="S810" s="264"/>
      <c r="T810" s="264"/>
      <c r="U810" s="264"/>
      <c r="V810" s="264"/>
      <c r="W810" s="264"/>
      <c r="X810" s="264"/>
      <c r="Y810" s="264"/>
      <c r="Z810" s="264"/>
      <c r="AA810" s="264"/>
      <c r="AB810" s="264"/>
      <c r="AC810" s="264"/>
      <c r="AD810" s="264"/>
      <c r="AE810" s="264"/>
    </row>
    <row r="811">
      <c r="A811" s="272"/>
      <c r="B811" s="272"/>
      <c r="C811" s="272"/>
      <c r="D811" s="172"/>
      <c r="E811" s="267" t="str">
        <f t="shared" si="22"/>
        <v/>
      </c>
      <c r="F811" s="274" t="str">
        <f t="shared" si="2"/>
        <v/>
      </c>
      <c r="G811" s="42"/>
      <c r="H811" s="264"/>
      <c r="I811" s="277"/>
      <c r="J811" s="276" t="str">
        <f>IF(ISBLANK(I811), "", VLOOKUP(E811&amp;" "&amp;F811, 'Info Tipo de Cambio y REM'!$A$24:$B$35, 2, FALSE))
</f>
        <v/>
      </c>
      <c r="K811" s="107" t="str">
        <f t="shared" si="23"/>
        <v/>
      </c>
      <c r="L811" s="293">
        <f t="shared" si="5"/>
        <v>-5187415.025</v>
      </c>
      <c r="M811" s="293">
        <f t="shared" si="3"/>
        <v>-68574.41</v>
      </c>
      <c r="N811" s="293">
        <f t="shared" si="6"/>
        <v>0</v>
      </c>
      <c r="O811" s="277">
        <f t="shared" si="4"/>
        <v>-72146.60962</v>
      </c>
      <c r="P811" s="264"/>
      <c r="Q811" s="264"/>
      <c r="R811" s="264"/>
      <c r="S811" s="264"/>
      <c r="T811" s="264"/>
      <c r="U811" s="264"/>
      <c r="V811" s="264"/>
      <c r="W811" s="264"/>
      <c r="X811" s="264"/>
      <c r="Y811" s="264"/>
      <c r="Z811" s="264"/>
      <c r="AA811" s="264"/>
      <c r="AB811" s="264"/>
      <c r="AC811" s="264"/>
      <c r="AD811" s="264"/>
      <c r="AE811" s="264"/>
    </row>
    <row r="812">
      <c r="A812" s="272"/>
      <c r="B812" s="272"/>
      <c r="C812" s="272"/>
      <c r="D812" s="172"/>
      <c r="E812" s="267" t="str">
        <f t="shared" si="22"/>
        <v/>
      </c>
      <c r="F812" s="274" t="str">
        <f t="shared" si="2"/>
        <v/>
      </c>
      <c r="G812" s="42"/>
      <c r="H812" s="264"/>
      <c r="I812" s="277"/>
      <c r="J812" s="276" t="str">
        <f>IF(ISBLANK(I812), "", VLOOKUP(E812&amp;" "&amp;F812, 'Info Tipo de Cambio y REM'!$A$24:$B$35, 2, FALSE))
</f>
        <v/>
      </c>
      <c r="K812" s="107" t="str">
        <f t="shared" si="23"/>
        <v/>
      </c>
      <c r="L812" s="293">
        <f t="shared" si="5"/>
        <v>-5187415.025</v>
      </c>
      <c r="M812" s="293">
        <f t="shared" si="3"/>
        <v>-68574.41</v>
      </c>
      <c r="N812" s="293">
        <f t="shared" si="6"/>
        <v>0</v>
      </c>
      <c r="O812" s="277">
        <f t="shared" si="4"/>
        <v>-72146.60962</v>
      </c>
      <c r="P812" s="264"/>
      <c r="Q812" s="264"/>
      <c r="R812" s="264"/>
      <c r="S812" s="264"/>
      <c r="T812" s="264"/>
      <c r="U812" s="264"/>
      <c r="V812" s="264"/>
      <c r="W812" s="264"/>
      <c r="X812" s="264"/>
      <c r="Y812" s="264"/>
      <c r="Z812" s="264"/>
      <c r="AA812" s="264"/>
      <c r="AB812" s="264"/>
      <c r="AC812" s="264"/>
      <c r="AD812" s="264"/>
      <c r="AE812" s="264"/>
    </row>
    <row r="813">
      <c r="A813" s="272"/>
      <c r="B813" s="272"/>
      <c r="C813" s="272"/>
      <c r="D813" s="172"/>
      <c r="E813" s="267" t="str">
        <f t="shared" si="22"/>
        <v/>
      </c>
      <c r="F813" s="274" t="str">
        <f t="shared" si="2"/>
        <v/>
      </c>
      <c r="G813" s="42"/>
      <c r="H813" s="264"/>
      <c r="I813" s="277"/>
      <c r="J813" s="276" t="str">
        <f>IF(ISBLANK(I813), "", VLOOKUP(E813&amp;" "&amp;F813, 'Info Tipo de Cambio y REM'!$A$24:$B$35, 2, FALSE))
</f>
        <v/>
      </c>
      <c r="K813" s="107" t="str">
        <f t="shared" si="23"/>
        <v/>
      </c>
      <c r="L813" s="293">
        <f t="shared" si="5"/>
        <v>-5187415.025</v>
      </c>
      <c r="M813" s="293">
        <f t="shared" si="3"/>
        <v>-68574.41</v>
      </c>
      <c r="N813" s="293">
        <f t="shared" si="6"/>
        <v>0</v>
      </c>
      <c r="O813" s="277">
        <f t="shared" si="4"/>
        <v>-72146.60962</v>
      </c>
      <c r="P813" s="264"/>
      <c r="Q813" s="264"/>
      <c r="R813" s="264"/>
      <c r="S813" s="264"/>
      <c r="T813" s="264"/>
      <c r="U813" s="264"/>
      <c r="V813" s="264"/>
      <c r="W813" s="264"/>
      <c r="X813" s="264"/>
      <c r="Y813" s="264"/>
      <c r="Z813" s="264"/>
      <c r="AA813" s="264"/>
      <c r="AB813" s="264"/>
      <c r="AC813" s="264"/>
      <c r="AD813" s="264"/>
      <c r="AE813" s="264"/>
    </row>
    <row r="814">
      <c r="A814" s="272"/>
      <c r="B814" s="272"/>
      <c r="C814" s="272"/>
      <c r="D814" s="172"/>
      <c r="E814" s="267" t="str">
        <f t="shared" si="22"/>
        <v/>
      </c>
      <c r="F814" s="274" t="str">
        <f t="shared" si="2"/>
        <v/>
      </c>
      <c r="G814" s="42"/>
      <c r="H814" s="264"/>
      <c r="I814" s="277"/>
      <c r="J814" s="276" t="str">
        <f>IF(ISBLANK(I814), "", VLOOKUP(E814&amp;" "&amp;F814, 'Info Tipo de Cambio y REM'!$A$24:$B$35, 2, FALSE))
</f>
        <v/>
      </c>
      <c r="K814" s="107" t="str">
        <f t="shared" si="23"/>
        <v/>
      </c>
      <c r="L814" s="293">
        <f t="shared" si="5"/>
        <v>-5187415.025</v>
      </c>
      <c r="M814" s="293">
        <f t="shared" si="3"/>
        <v>-68574.41</v>
      </c>
      <c r="N814" s="293">
        <f t="shared" si="6"/>
        <v>0</v>
      </c>
      <c r="O814" s="277">
        <f t="shared" si="4"/>
        <v>-72146.60962</v>
      </c>
      <c r="P814" s="264"/>
      <c r="Q814" s="264"/>
      <c r="R814" s="264"/>
      <c r="S814" s="264"/>
      <c r="T814" s="264"/>
      <c r="U814" s="264"/>
      <c r="V814" s="264"/>
      <c r="W814" s="264"/>
      <c r="X814" s="264"/>
      <c r="Y814" s="264"/>
      <c r="Z814" s="264"/>
      <c r="AA814" s="264"/>
      <c r="AB814" s="264"/>
      <c r="AC814" s="264"/>
      <c r="AD814" s="264"/>
      <c r="AE814" s="264"/>
    </row>
    <row r="815">
      <c r="A815" s="272"/>
      <c r="B815" s="272"/>
      <c r="C815" s="272"/>
      <c r="D815" s="172"/>
      <c r="E815" s="267" t="str">
        <f t="shared" si="22"/>
        <v/>
      </c>
      <c r="F815" s="274" t="str">
        <f t="shared" si="2"/>
        <v/>
      </c>
      <c r="G815" s="42"/>
      <c r="H815" s="264"/>
      <c r="I815" s="277"/>
      <c r="J815" s="276" t="str">
        <f>IF(ISBLANK(I815), "", VLOOKUP(E815&amp;" "&amp;F815, 'Info Tipo de Cambio y REM'!$A$24:$B$35, 2, FALSE))
</f>
        <v/>
      </c>
      <c r="K815" s="107" t="str">
        <f t="shared" si="23"/>
        <v/>
      </c>
      <c r="L815" s="293">
        <f t="shared" si="5"/>
        <v>-5187415.025</v>
      </c>
      <c r="M815" s="293">
        <f t="shared" si="3"/>
        <v>-68574.41</v>
      </c>
      <c r="N815" s="293">
        <f t="shared" si="6"/>
        <v>0</v>
      </c>
      <c r="O815" s="277">
        <f t="shared" si="4"/>
        <v>-72146.60962</v>
      </c>
      <c r="P815" s="264"/>
      <c r="Q815" s="264"/>
      <c r="R815" s="264"/>
      <c r="S815" s="264"/>
      <c r="T815" s="264"/>
      <c r="U815" s="264"/>
      <c r="V815" s="264"/>
      <c r="W815" s="264"/>
      <c r="X815" s="264"/>
      <c r="Y815" s="264"/>
      <c r="Z815" s="264"/>
      <c r="AA815" s="264"/>
      <c r="AB815" s="264"/>
      <c r="AC815" s="264"/>
      <c r="AD815" s="264"/>
      <c r="AE815" s="264"/>
    </row>
    <row r="816">
      <c r="A816" s="272"/>
      <c r="B816" s="272"/>
      <c r="C816" s="272"/>
      <c r="D816" s="172"/>
      <c r="E816" s="267" t="str">
        <f t="shared" si="22"/>
        <v/>
      </c>
      <c r="F816" s="274" t="str">
        <f t="shared" si="2"/>
        <v/>
      </c>
      <c r="G816" s="42"/>
      <c r="H816" s="264"/>
      <c r="I816" s="277"/>
      <c r="J816" s="276" t="str">
        <f>IF(ISBLANK(I816), "", VLOOKUP(E816&amp;" "&amp;F816, 'Info Tipo de Cambio y REM'!$A$24:$B$35, 2, FALSE))
</f>
        <v/>
      </c>
      <c r="K816" s="107" t="str">
        <f t="shared" si="23"/>
        <v/>
      </c>
      <c r="L816" s="293">
        <f t="shared" si="5"/>
        <v>-5187415.025</v>
      </c>
      <c r="M816" s="293">
        <f t="shared" si="3"/>
        <v>-68574.41</v>
      </c>
      <c r="N816" s="293">
        <f t="shared" si="6"/>
        <v>0</v>
      </c>
      <c r="O816" s="277">
        <f t="shared" si="4"/>
        <v>-72146.60962</v>
      </c>
      <c r="P816" s="264"/>
      <c r="Q816" s="264"/>
      <c r="R816" s="264"/>
      <c r="S816" s="264"/>
      <c r="T816" s="264"/>
      <c r="U816" s="264"/>
      <c r="V816" s="264"/>
      <c r="W816" s="264"/>
      <c r="X816" s="264"/>
      <c r="Y816" s="264"/>
      <c r="Z816" s="264"/>
      <c r="AA816" s="264"/>
      <c r="AB816" s="264"/>
      <c r="AC816" s="264"/>
      <c r="AD816" s="264"/>
      <c r="AE816" s="264"/>
    </row>
    <row r="817">
      <c r="A817" s="272"/>
      <c r="B817" s="272"/>
      <c r="C817" s="272"/>
      <c r="D817" s="172"/>
      <c r="E817" s="267" t="str">
        <f t="shared" si="22"/>
        <v/>
      </c>
      <c r="F817" s="274" t="str">
        <f t="shared" si="2"/>
        <v/>
      </c>
      <c r="G817" s="42"/>
      <c r="H817" s="264"/>
      <c r="I817" s="277"/>
      <c r="J817" s="276" t="str">
        <f>IF(ISBLANK(I817), "", VLOOKUP(E817&amp;" "&amp;F817, 'Info Tipo de Cambio y REM'!$A$24:$B$35, 2, FALSE))
</f>
        <v/>
      </c>
      <c r="K817" s="107" t="str">
        <f t="shared" si="23"/>
        <v/>
      </c>
      <c r="L817" s="293">
        <f t="shared" si="5"/>
        <v>-5187415.025</v>
      </c>
      <c r="M817" s="293">
        <f t="shared" si="3"/>
        <v>-68574.41</v>
      </c>
      <c r="N817" s="293">
        <f t="shared" si="6"/>
        <v>0</v>
      </c>
      <c r="O817" s="277">
        <f t="shared" si="4"/>
        <v>-72146.60962</v>
      </c>
      <c r="P817" s="264"/>
      <c r="Q817" s="264"/>
      <c r="R817" s="264"/>
      <c r="S817" s="264"/>
      <c r="T817" s="264"/>
      <c r="U817" s="264"/>
      <c r="V817" s="264"/>
      <c r="W817" s="264"/>
      <c r="X817" s="264"/>
      <c r="Y817" s="264"/>
      <c r="Z817" s="264"/>
      <c r="AA817" s="264"/>
      <c r="AB817" s="264"/>
      <c r="AC817" s="264"/>
      <c r="AD817" s="264"/>
      <c r="AE817" s="264"/>
    </row>
    <row r="818">
      <c r="A818" s="272"/>
      <c r="B818" s="272"/>
      <c r="C818" s="272"/>
      <c r="D818" s="172"/>
      <c r="E818" s="267" t="str">
        <f t="shared" si="22"/>
        <v/>
      </c>
      <c r="F818" s="274" t="str">
        <f t="shared" si="2"/>
        <v/>
      </c>
      <c r="G818" s="42"/>
      <c r="H818" s="264"/>
      <c r="I818" s="277"/>
      <c r="J818" s="276" t="str">
        <f>IF(ISBLANK(I818), "", VLOOKUP(E818&amp;" "&amp;F818, 'Info Tipo de Cambio y REM'!$A$24:$B$35, 2, FALSE))
</f>
        <v/>
      </c>
      <c r="K818" s="107" t="str">
        <f t="shared" si="23"/>
        <v/>
      </c>
      <c r="L818" s="293">
        <f t="shared" si="5"/>
        <v>-5187415.025</v>
      </c>
      <c r="M818" s="293">
        <f t="shared" si="3"/>
        <v>-68574.41</v>
      </c>
      <c r="N818" s="293">
        <f t="shared" si="6"/>
        <v>0</v>
      </c>
      <c r="O818" s="277">
        <f t="shared" si="4"/>
        <v>-72146.60962</v>
      </c>
      <c r="P818" s="264"/>
      <c r="Q818" s="264"/>
      <c r="R818" s="264"/>
      <c r="S818" s="264"/>
      <c r="T818" s="264"/>
      <c r="U818" s="264"/>
      <c r="V818" s="264"/>
      <c r="W818" s="264"/>
      <c r="X818" s="264"/>
      <c r="Y818" s="264"/>
      <c r="Z818" s="264"/>
      <c r="AA818" s="264"/>
      <c r="AB818" s="264"/>
      <c r="AC818" s="264"/>
      <c r="AD818" s="264"/>
      <c r="AE818" s="264"/>
    </row>
    <row r="819">
      <c r="A819" s="272"/>
      <c r="B819" s="272"/>
      <c r="C819" s="272"/>
      <c r="D819" s="172"/>
      <c r="E819" s="267" t="str">
        <f t="shared" si="22"/>
        <v/>
      </c>
      <c r="F819" s="274" t="str">
        <f t="shared" si="2"/>
        <v/>
      </c>
      <c r="G819" s="42"/>
      <c r="H819" s="264"/>
      <c r="I819" s="277"/>
      <c r="J819" s="276" t="str">
        <f>IF(ISBLANK(I819), "", VLOOKUP(E819&amp;" "&amp;F819, 'Info Tipo de Cambio y REM'!$A$24:$B$35, 2, FALSE))
</f>
        <v/>
      </c>
      <c r="K819" s="107" t="str">
        <f t="shared" si="23"/>
        <v/>
      </c>
      <c r="L819" s="293">
        <f t="shared" si="5"/>
        <v>-5187415.025</v>
      </c>
      <c r="M819" s="293">
        <f t="shared" si="3"/>
        <v>-68574.41</v>
      </c>
      <c r="N819" s="293">
        <f t="shared" si="6"/>
        <v>0</v>
      </c>
      <c r="O819" s="277">
        <f t="shared" si="4"/>
        <v>-72146.60962</v>
      </c>
      <c r="P819" s="264"/>
      <c r="Q819" s="264"/>
      <c r="R819" s="264"/>
      <c r="S819" s="264"/>
      <c r="T819" s="264"/>
      <c r="U819" s="264"/>
      <c r="V819" s="264"/>
      <c r="W819" s="264"/>
      <c r="X819" s="264"/>
      <c r="Y819" s="264"/>
      <c r="Z819" s="264"/>
      <c r="AA819" s="264"/>
      <c r="AB819" s="264"/>
      <c r="AC819" s="264"/>
      <c r="AD819" s="264"/>
      <c r="AE819" s="264"/>
    </row>
    <row r="820">
      <c r="A820" s="272"/>
      <c r="B820" s="272"/>
      <c r="C820" s="272"/>
      <c r="D820" s="172"/>
      <c r="E820" s="267" t="str">
        <f t="shared" si="22"/>
        <v/>
      </c>
      <c r="F820" s="274" t="str">
        <f t="shared" si="2"/>
        <v/>
      </c>
      <c r="G820" s="42"/>
      <c r="H820" s="264"/>
      <c r="I820" s="277"/>
      <c r="J820" s="276" t="str">
        <f>IF(ISBLANK(I820), "", VLOOKUP(E820&amp;" "&amp;F820, 'Info Tipo de Cambio y REM'!$A$24:$B$35, 2, FALSE))
</f>
        <v/>
      </c>
      <c r="K820" s="107" t="str">
        <f t="shared" si="23"/>
        <v/>
      </c>
      <c r="L820" s="293">
        <f t="shared" si="5"/>
        <v>-5187415.025</v>
      </c>
      <c r="M820" s="293">
        <f t="shared" si="3"/>
        <v>-68574.41</v>
      </c>
      <c r="N820" s="293">
        <f t="shared" si="6"/>
        <v>0</v>
      </c>
      <c r="O820" s="277">
        <f t="shared" si="4"/>
        <v>-72146.60962</v>
      </c>
      <c r="P820" s="264"/>
      <c r="Q820" s="264"/>
      <c r="R820" s="264"/>
      <c r="S820" s="264"/>
      <c r="T820" s="264"/>
      <c r="U820" s="264"/>
      <c r="V820" s="264"/>
      <c r="W820" s="264"/>
      <c r="X820" s="264"/>
      <c r="Y820" s="264"/>
      <c r="Z820" s="264"/>
      <c r="AA820" s="264"/>
      <c r="AB820" s="264"/>
      <c r="AC820" s="264"/>
      <c r="AD820" s="264"/>
      <c r="AE820" s="264"/>
    </row>
    <row r="821">
      <c r="A821" s="272"/>
      <c r="B821" s="272"/>
      <c r="C821" s="272"/>
      <c r="D821" s="172"/>
      <c r="E821" s="267" t="str">
        <f t="shared" si="22"/>
        <v/>
      </c>
      <c r="F821" s="274" t="str">
        <f t="shared" si="2"/>
        <v/>
      </c>
      <c r="G821" s="42"/>
      <c r="H821" s="264"/>
      <c r="I821" s="277"/>
      <c r="J821" s="276" t="str">
        <f>IF(ISBLANK(I821), "", VLOOKUP(E821&amp;" "&amp;F821, 'Info Tipo de Cambio y REM'!$A$24:$B$35, 2, FALSE))
</f>
        <v/>
      </c>
      <c r="K821" s="107" t="str">
        <f t="shared" si="23"/>
        <v/>
      </c>
      <c r="L821" s="293">
        <f t="shared" si="5"/>
        <v>-5187415.025</v>
      </c>
      <c r="M821" s="293">
        <f t="shared" si="3"/>
        <v>-68574.41</v>
      </c>
      <c r="N821" s="293">
        <f t="shared" si="6"/>
        <v>0</v>
      </c>
      <c r="O821" s="277">
        <f t="shared" si="4"/>
        <v>-72146.60962</v>
      </c>
      <c r="P821" s="264"/>
      <c r="Q821" s="264"/>
      <c r="R821" s="264"/>
      <c r="S821" s="264"/>
      <c r="T821" s="264"/>
      <c r="U821" s="264"/>
      <c r="V821" s="264"/>
      <c r="W821" s="264"/>
      <c r="X821" s="264"/>
      <c r="Y821" s="264"/>
      <c r="Z821" s="264"/>
      <c r="AA821" s="264"/>
      <c r="AB821" s="264"/>
      <c r="AC821" s="264"/>
      <c r="AD821" s="264"/>
      <c r="AE821" s="264"/>
    </row>
    <row r="822">
      <c r="A822" s="272"/>
      <c r="B822" s="272"/>
      <c r="C822" s="272"/>
      <c r="D822" s="172"/>
      <c r="E822" s="267" t="str">
        <f t="shared" si="22"/>
        <v/>
      </c>
      <c r="F822" s="274" t="str">
        <f t="shared" si="2"/>
        <v/>
      </c>
      <c r="G822" s="42"/>
      <c r="H822" s="264"/>
      <c r="I822" s="277"/>
      <c r="J822" s="276" t="str">
        <f>IF(ISBLANK(I822), "", VLOOKUP(E822&amp;" "&amp;F822, 'Info Tipo de Cambio y REM'!$A$24:$B$35, 2, FALSE))
</f>
        <v/>
      </c>
      <c r="K822" s="107" t="str">
        <f t="shared" si="23"/>
        <v/>
      </c>
      <c r="L822" s="293">
        <f t="shared" si="5"/>
        <v>-5187415.025</v>
      </c>
      <c r="M822" s="293">
        <f t="shared" si="3"/>
        <v>-68574.41</v>
      </c>
      <c r="N822" s="293">
        <f t="shared" si="6"/>
        <v>0</v>
      </c>
      <c r="O822" s="277">
        <f t="shared" si="4"/>
        <v>-72146.60962</v>
      </c>
      <c r="P822" s="264"/>
      <c r="Q822" s="264"/>
      <c r="R822" s="264"/>
      <c r="S822" s="264"/>
      <c r="T822" s="264"/>
      <c r="U822" s="264"/>
      <c r="V822" s="264"/>
      <c r="W822" s="264"/>
      <c r="X822" s="264"/>
      <c r="Y822" s="264"/>
      <c r="Z822" s="264"/>
      <c r="AA822" s="264"/>
      <c r="AB822" s="264"/>
      <c r="AC822" s="264"/>
      <c r="AD822" s="264"/>
      <c r="AE822" s="264"/>
    </row>
    <row r="823">
      <c r="A823" s="272"/>
      <c r="B823" s="272"/>
      <c r="C823" s="272"/>
      <c r="D823" s="172"/>
      <c r="E823" s="267" t="str">
        <f t="shared" si="22"/>
        <v/>
      </c>
      <c r="F823" s="274" t="str">
        <f t="shared" si="2"/>
        <v/>
      </c>
      <c r="G823" s="42"/>
      <c r="H823" s="264"/>
      <c r="I823" s="277"/>
      <c r="J823" s="276" t="str">
        <f>IF(ISBLANK(I823), "", VLOOKUP(E823&amp;" "&amp;F823, 'Info Tipo de Cambio y REM'!$A$24:$B$35, 2, FALSE))
</f>
        <v/>
      </c>
      <c r="K823" s="107" t="str">
        <f t="shared" si="23"/>
        <v/>
      </c>
      <c r="L823" s="293">
        <f t="shared" si="5"/>
        <v>-5187415.025</v>
      </c>
      <c r="M823" s="293">
        <f t="shared" si="3"/>
        <v>-68574.41</v>
      </c>
      <c r="N823" s="293">
        <f t="shared" si="6"/>
        <v>0</v>
      </c>
      <c r="O823" s="277">
        <f t="shared" si="4"/>
        <v>-72146.60962</v>
      </c>
      <c r="P823" s="264"/>
      <c r="Q823" s="264"/>
      <c r="R823" s="264"/>
      <c r="S823" s="264"/>
      <c r="T823" s="264"/>
      <c r="U823" s="264"/>
      <c r="V823" s="264"/>
      <c r="W823" s="264"/>
      <c r="X823" s="264"/>
      <c r="Y823" s="264"/>
      <c r="Z823" s="264"/>
      <c r="AA823" s="264"/>
      <c r="AB823" s="264"/>
      <c r="AC823" s="264"/>
      <c r="AD823" s="264"/>
      <c r="AE823" s="264"/>
    </row>
    <row r="824">
      <c r="A824" s="272"/>
      <c r="B824" s="272"/>
      <c r="C824" s="272"/>
      <c r="D824" s="172"/>
      <c r="E824" s="267" t="str">
        <f t="shared" si="22"/>
        <v/>
      </c>
      <c r="F824" s="274" t="str">
        <f t="shared" si="2"/>
        <v/>
      </c>
      <c r="G824" s="42"/>
      <c r="H824" s="264"/>
      <c r="I824" s="277"/>
      <c r="J824" s="276" t="str">
        <f>IF(ISBLANK(I824), "", VLOOKUP(E824&amp;" "&amp;F824, 'Info Tipo de Cambio y REM'!$A$24:$B$35, 2, FALSE))
</f>
        <v/>
      </c>
      <c r="K824" s="107" t="str">
        <f t="shared" si="23"/>
        <v/>
      </c>
      <c r="L824" s="293">
        <f t="shared" si="5"/>
        <v>-5187415.025</v>
      </c>
      <c r="M824" s="293">
        <f t="shared" si="3"/>
        <v>-68574.41</v>
      </c>
      <c r="N824" s="293">
        <f t="shared" si="6"/>
        <v>0</v>
      </c>
      <c r="O824" s="277">
        <f t="shared" si="4"/>
        <v>-72146.60962</v>
      </c>
      <c r="P824" s="264"/>
      <c r="Q824" s="264"/>
      <c r="R824" s="264"/>
      <c r="S824" s="264"/>
      <c r="T824" s="264"/>
      <c r="U824" s="264"/>
      <c r="V824" s="264"/>
      <c r="W824" s="264"/>
      <c r="X824" s="264"/>
      <c r="Y824" s="264"/>
      <c r="Z824" s="264"/>
      <c r="AA824" s="264"/>
      <c r="AB824" s="264"/>
      <c r="AC824" s="264"/>
      <c r="AD824" s="264"/>
      <c r="AE824" s="264"/>
    </row>
    <row r="825">
      <c r="A825" s="272"/>
      <c r="B825" s="272"/>
      <c r="C825" s="272"/>
      <c r="D825" s="172"/>
      <c r="E825" s="267" t="str">
        <f t="shared" si="22"/>
        <v/>
      </c>
      <c r="F825" s="274" t="str">
        <f t="shared" si="2"/>
        <v/>
      </c>
      <c r="G825" s="42"/>
      <c r="H825" s="264"/>
      <c r="I825" s="277"/>
      <c r="J825" s="276" t="str">
        <f>IF(ISBLANK(I825), "", VLOOKUP(E825&amp;" "&amp;F825, 'Info Tipo de Cambio y REM'!$A$24:$B$35, 2, FALSE))
</f>
        <v/>
      </c>
      <c r="K825" s="107" t="str">
        <f t="shared" si="23"/>
        <v/>
      </c>
      <c r="L825" s="293">
        <f t="shared" si="5"/>
        <v>-5187415.025</v>
      </c>
      <c r="M825" s="293">
        <f t="shared" si="3"/>
        <v>-68574.41</v>
      </c>
      <c r="N825" s="293">
        <f t="shared" si="6"/>
        <v>0</v>
      </c>
      <c r="O825" s="277">
        <f t="shared" si="4"/>
        <v>-72146.60962</v>
      </c>
      <c r="P825" s="264"/>
      <c r="Q825" s="264"/>
      <c r="R825" s="264"/>
      <c r="S825" s="264"/>
      <c r="T825" s="264"/>
      <c r="U825" s="264"/>
      <c r="V825" s="264"/>
      <c r="W825" s="264"/>
      <c r="X825" s="264"/>
      <c r="Y825" s="264"/>
      <c r="Z825" s="264"/>
      <c r="AA825" s="264"/>
      <c r="AB825" s="264"/>
      <c r="AC825" s="264"/>
      <c r="AD825" s="264"/>
      <c r="AE825" s="264"/>
    </row>
    <row r="826">
      <c r="A826" s="272"/>
      <c r="B826" s="272"/>
      <c r="C826" s="272"/>
      <c r="D826" s="172"/>
      <c r="E826" s="267" t="str">
        <f t="shared" si="22"/>
        <v/>
      </c>
      <c r="F826" s="274" t="str">
        <f t="shared" si="2"/>
        <v/>
      </c>
      <c r="G826" s="42"/>
      <c r="H826" s="264"/>
      <c r="I826" s="277"/>
      <c r="J826" s="276" t="str">
        <f>IF(ISBLANK(I826), "", VLOOKUP(E826&amp;" "&amp;F826, 'Info Tipo de Cambio y REM'!$A$24:$B$35, 2, FALSE))
</f>
        <v/>
      </c>
      <c r="K826" s="107" t="str">
        <f t="shared" si="23"/>
        <v/>
      </c>
      <c r="L826" s="293">
        <f t="shared" si="5"/>
        <v>-5187415.025</v>
      </c>
      <c r="M826" s="293">
        <f t="shared" si="3"/>
        <v>-68574.41</v>
      </c>
      <c r="N826" s="293">
        <f t="shared" si="6"/>
        <v>0</v>
      </c>
      <c r="O826" s="277">
        <f t="shared" si="4"/>
        <v>-72146.60962</v>
      </c>
      <c r="P826" s="264"/>
      <c r="Q826" s="264"/>
      <c r="R826" s="264"/>
      <c r="S826" s="264"/>
      <c r="T826" s="264"/>
      <c r="U826" s="264"/>
      <c r="V826" s="264"/>
      <c r="W826" s="264"/>
      <c r="X826" s="264"/>
      <c r="Y826" s="264"/>
      <c r="Z826" s="264"/>
      <c r="AA826" s="264"/>
      <c r="AB826" s="264"/>
      <c r="AC826" s="264"/>
      <c r="AD826" s="264"/>
      <c r="AE826" s="264"/>
    </row>
    <row r="827">
      <c r="A827" s="272"/>
      <c r="B827" s="272"/>
      <c r="C827" s="272"/>
      <c r="D827" s="172"/>
      <c r="E827" s="267" t="str">
        <f t="shared" si="22"/>
        <v/>
      </c>
      <c r="F827" s="274" t="str">
        <f t="shared" si="2"/>
        <v/>
      </c>
      <c r="G827" s="42"/>
      <c r="H827" s="264"/>
      <c r="I827" s="277"/>
      <c r="J827" s="276" t="str">
        <f>IF(ISBLANK(I827), "", VLOOKUP(E827&amp;" "&amp;F827, 'Info Tipo de Cambio y REM'!$A$24:$B$35, 2, FALSE))
</f>
        <v/>
      </c>
      <c r="K827" s="107" t="str">
        <f t="shared" si="23"/>
        <v/>
      </c>
      <c r="L827" s="293">
        <f t="shared" si="5"/>
        <v>-5187415.025</v>
      </c>
      <c r="M827" s="293">
        <f t="shared" si="3"/>
        <v>-68574.41</v>
      </c>
      <c r="N827" s="293">
        <f t="shared" si="6"/>
        <v>0</v>
      </c>
      <c r="O827" s="277">
        <f t="shared" si="4"/>
        <v>-72146.60962</v>
      </c>
      <c r="P827" s="264"/>
      <c r="Q827" s="264"/>
      <c r="R827" s="264"/>
      <c r="S827" s="264"/>
      <c r="T827" s="264"/>
      <c r="U827" s="264"/>
      <c r="V827" s="264"/>
      <c r="W827" s="264"/>
      <c r="X827" s="264"/>
      <c r="Y827" s="264"/>
      <c r="Z827" s="264"/>
      <c r="AA827" s="264"/>
      <c r="AB827" s="264"/>
      <c r="AC827" s="264"/>
      <c r="AD827" s="264"/>
      <c r="AE827" s="264"/>
    </row>
    <row r="828">
      <c r="A828" s="272"/>
      <c r="B828" s="272"/>
      <c r="C828" s="272"/>
      <c r="D828" s="172"/>
      <c r="E828" s="267" t="str">
        <f t="shared" si="22"/>
        <v/>
      </c>
      <c r="F828" s="274" t="str">
        <f t="shared" si="2"/>
        <v/>
      </c>
      <c r="G828" s="42"/>
      <c r="H828" s="264"/>
      <c r="I828" s="277"/>
      <c r="J828" s="276" t="str">
        <f>IF(ISBLANK(I828), "", VLOOKUP(E828&amp;" "&amp;F828, 'Info Tipo de Cambio y REM'!$A$24:$B$35, 2, FALSE))
</f>
        <v/>
      </c>
      <c r="K828" s="107" t="str">
        <f t="shared" si="23"/>
        <v/>
      </c>
      <c r="L828" s="293">
        <f t="shared" si="5"/>
        <v>-5187415.025</v>
      </c>
      <c r="M828" s="293">
        <f t="shared" si="3"/>
        <v>-68574.41</v>
      </c>
      <c r="N828" s="293">
        <f t="shared" si="6"/>
        <v>0</v>
      </c>
      <c r="O828" s="277">
        <f t="shared" si="4"/>
        <v>-72146.60962</v>
      </c>
      <c r="P828" s="264"/>
      <c r="Q828" s="264"/>
      <c r="R828" s="264"/>
      <c r="S828" s="264"/>
      <c r="T828" s="264"/>
      <c r="U828" s="264"/>
      <c r="V828" s="264"/>
      <c r="W828" s="264"/>
      <c r="X828" s="264"/>
      <c r="Y828" s="264"/>
      <c r="Z828" s="264"/>
      <c r="AA828" s="264"/>
      <c r="AB828" s="264"/>
      <c r="AC828" s="264"/>
      <c r="AD828" s="264"/>
      <c r="AE828" s="264"/>
    </row>
    <row r="829">
      <c r="A829" s="272"/>
      <c r="B829" s="272"/>
      <c r="C829" s="272"/>
      <c r="D829" s="172"/>
      <c r="E829" s="267" t="str">
        <f t="shared" si="22"/>
        <v/>
      </c>
      <c r="F829" s="274" t="str">
        <f t="shared" si="2"/>
        <v/>
      </c>
      <c r="G829" s="42"/>
      <c r="H829" s="264"/>
      <c r="I829" s="277"/>
      <c r="J829" s="276" t="str">
        <f>IF(ISBLANK(I829), "", VLOOKUP(E829&amp;" "&amp;F829, 'Info Tipo de Cambio y REM'!$A$24:$B$35, 2, FALSE))
</f>
        <v/>
      </c>
      <c r="K829" s="107" t="str">
        <f t="shared" si="23"/>
        <v/>
      </c>
      <c r="L829" s="293">
        <f t="shared" si="5"/>
        <v>-5187415.025</v>
      </c>
      <c r="M829" s="293">
        <f t="shared" si="3"/>
        <v>-68574.41</v>
      </c>
      <c r="N829" s="293">
        <f t="shared" si="6"/>
        <v>0</v>
      </c>
      <c r="O829" s="277">
        <f t="shared" si="4"/>
        <v>-72146.60962</v>
      </c>
      <c r="P829" s="264"/>
      <c r="Q829" s="264"/>
      <c r="R829" s="264"/>
      <c r="S829" s="264"/>
      <c r="T829" s="264"/>
      <c r="U829" s="264"/>
      <c r="V829" s="264"/>
      <c r="W829" s="264"/>
      <c r="X829" s="264"/>
      <c r="Y829" s="264"/>
      <c r="Z829" s="264"/>
      <c r="AA829" s="264"/>
      <c r="AB829" s="264"/>
      <c r="AC829" s="264"/>
      <c r="AD829" s="264"/>
      <c r="AE829" s="264"/>
    </row>
    <row r="830">
      <c r="A830" s="272"/>
      <c r="B830" s="272"/>
      <c r="C830" s="272"/>
      <c r="D830" s="172"/>
      <c r="E830" s="267" t="str">
        <f t="shared" si="22"/>
        <v/>
      </c>
      <c r="F830" s="274" t="str">
        <f t="shared" si="2"/>
        <v/>
      </c>
      <c r="G830" s="42"/>
      <c r="H830" s="264"/>
      <c r="I830" s="277"/>
      <c r="J830" s="276" t="str">
        <f>IF(ISBLANK(I830), "", VLOOKUP(E830&amp;" "&amp;F830, 'Info Tipo de Cambio y REM'!$A$24:$B$35, 2, FALSE))
</f>
        <v/>
      </c>
      <c r="K830" s="107" t="str">
        <f t="shared" si="23"/>
        <v/>
      </c>
      <c r="L830" s="293">
        <f t="shared" si="5"/>
        <v>-5187415.025</v>
      </c>
      <c r="M830" s="293">
        <f t="shared" si="3"/>
        <v>-68574.41</v>
      </c>
      <c r="N830" s="293">
        <f t="shared" si="6"/>
        <v>0</v>
      </c>
      <c r="O830" s="277">
        <f t="shared" si="4"/>
        <v>-72146.60962</v>
      </c>
      <c r="P830" s="264"/>
      <c r="Q830" s="264"/>
      <c r="R830" s="264"/>
      <c r="S830" s="264"/>
      <c r="T830" s="264"/>
      <c r="U830" s="264"/>
      <c r="V830" s="264"/>
      <c r="W830" s="264"/>
      <c r="X830" s="264"/>
      <c r="Y830" s="264"/>
      <c r="Z830" s="264"/>
      <c r="AA830" s="264"/>
      <c r="AB830" s="264"/>
      <c r="AC830" s="264"/>
      <c r="AD830" s="264"/>
      <c r="AE830" s="264"/>
    </row>
    <row r="831">
      <c r="A831" s="272"/>
      <c r="B831" s="272"/>
      <c r="C831" s="272"/>
      <c r="D831" s="172"/>
      <c r="E831" s="267" t="str">
        <f t="shared" si="22"/>
        <v/>
      </c>
      <c r="F831" s="274" t="str">
        <f t="shared" si="2"/>
        <v/>
      </c>
      <c r="G831" s="42"/>
      <c r="H831" s="264"/>
      <c r="I831" s="277"/>
      <c r="J831" s="276" t="str">
        <f>IF(ISBLANK(I831), "", VLOOKUP(E831&amp;" "&amp;F831, 'Info Tipo de Cambio y REM'!$A$24:$B$35, 2, FALSE))
</f>
        <v/>
      </c>
      <c r="K831" s="107" t="str">
        <f t="shared" si="23"/>
        <v/>
      </c>
      <c r="L831" s="293">
        <f t="shared" si="5"/>
        <v>-5187415.025</v>
      </c>
      <c r="M831" s="293">
        <f t="shared" si="3"/>
        <v>-68574.41</v>
      </c>
      <c r="N831" s="293">
        <f t="shared" si="6"/>
        <v>0</v>
      </c>
      <c r="O831" s="277">
        <f t="shared" si="4"/>
        <v>-72146.60962</v>
      </c>
      <c r="P831" s="264"/>
      <c r="Q831" s="264"/>
      <c r="R831" s="264"/>
      <c r="S831" s="264"/>
      <c r="T831" s="264"/>
      <c r="U831" s="264"/>
      <c r="V831" s="264"/>
      <c r="W831" s="264"/>
      <c r="X831" s="264"/>
      <c r="Y831" s="264"/>
      <c r="Z831" s="264"/>
      <c r="AA831" s="264"/>
      <c r="AB831" s="264"/>
      <c r="AC831" s="264"/>
      <c r="AD831" s="264"/>
      <c r="AE831" s="264"/>
    </row>
    <row r="832">
      <c r="A832" s="272"/>
      <c r="B832" s="272"/>
      <c r="C832" s="272"/>
      <c r="D832" s="172"/>
      <c r="E832" s="267" t="str">
        <f t="shared" si="22"/>
        <v/>
      </c>
      <c r="F832" s="274" t="str">
        <f t="shared" si="2"/>
        <v/>
      </c>
      <c r="G832" s="42"/>
      <c r="H832" s="264"/>
      <c r="I832" s="277"/>
      <c r="J832" s="276" t="str">
        <f>IF(ISBLANK(I832), "", VLOOKUP(E832&amp;" "&amp;F832, 'Info Tipo de Cambio y REM'!$A$24:$B$35, 2, FALSE))
</f>
        <v/>
      </c>
      <c r="K832" s="107" t="str">
        <f t="shared" si="23"/>
        <v/>
      </c>
      <c r="L832" s="293">
        <f t="shared" si="5"/>
        <v>-5187415.025</v>
      </c>
      <c r="M832" s="293">
        <f t="shared" si="3"/>
        <v>-68574.41</v>
      </c>
      <c r="N832" s="293">
        <f t="shared" si="6"/>
        <v>0</v>
      </c>
      <c r="O832" s="277">
        <f t="shared" si="4"/>
        <v>-72146.60962</v>
      </c>
      <c r="P832" s="264"/>
      <c r="Q832" s="264"/>
      <c r="R832" s="264"/>
      <c r="S832" s="264"/>
      <c r="T832" s="264"/>
      <c r="U832" s="264"/>
      <c r="V832" s="264"/>
      <c r="W832" s="264"/>
      <c r="X832" s="264"/>
      <c r="Y832" s="264"/>
      <c r="Z832" s="264"/>
      <c r="AA832" s="264"/>
      <c r="AB832" s="264"/>
      <c r="AC832" s="264"/>
      <c r="AD832" s="264"/>
      <c r="AE832" s="264"/>
    </row>
    <row r="833">
      <c r="A833" s="272"/>
      <c r="B833" s="272"/>
      <c r="C833" s="272"/>
      <c r="D833" s="172"/>
      <c r="E833" s="267" t="str">
        <f t="shared" si="22"/>
        <v/>
      </c>
      <c r="F833" s="274" t="str">
        <f t="shared" si="2"/>
        <v/>
      </c>
      <c r="G833" s="42"/>
      <c r="H833" s="264"/>
      <c r="I833" s="277"/>
      <c r="J833" s="276" t="str">
        <f>IF(ISBLANK(I833), "", VLOOKUP(E833&amp;" "&amp;F833, 'Info Tipo de Cambio y REM'!$A$24:$B$35, 2, FALSE))
</f>
        <v/>
      </c>
      <c r="K833" s="107" t="str">
        <f t="shared" si="23"/>
        <v/>
      </c>
      <c r="L833" s="293">
        <f t="shared" si="5"/>
        <v>-5187415.025</v>
      </c>
      <c r="M833" s="293">
        <f t="shared" si="3"/>
        <v>-68574.41</v>
      </c>
      <c r="N833" s="293">
        <f t="shared" si="6"/>
        <v>0</v>
      </c>
      <c r="O833" s="277">
        <f t="shared" si="4"/>
        <v>-72146.60962</v>
      </c>
      <c r="P833" s="264"/>
      <c r="Q833" s="264"/>
      <c r="R833" s="264"/>
      <c r="S833" s="264"/>
      <c r="T833" s="264"/>
      <c r="U833" s="264"/>
      <c r="V833" s="264"/>
      <c r="W833" s="264"/>
      <c r="X833" s="264"/>
      <c r="Y833" s="264"/>
      <c r="Z833" s="264"/>
      <c r="AA833" s="264"/>
      <c r="AB833" s="264"/>
      <c r="AC833" s="264"/>
      <c r="AD833" s="264"/>
      <c r="AE833" s="264"/>
    </row>
    <row r="834">
      <c r="A834" s="272"/>
      <c r="B834" s="272"/>
      <c r="C834" s="272"/>
      <c r="D834" s="172"/>
      <c r="E834" s="267" t="str">
        <f t="shared" si="22"/>
        <v/>
      </c>
      <c r="F834" s="274" t="str">
        <f t="shared" si="2"/>
        <v/>
      </c>
      <c r="G834" s="42"/>
      <c r="H834" s="264"/>
      <c r="I834" s="277"/>
      <c r="J834" s="276" t="str">
        <f>IF(ISBLANK(I834), "", VLOOKUP(E834&amp;" "&amp;F834, 'Info Tipo de Cambio y REM'!$A$24:$B$35, 2, FALSE))
</f>
        <v/>
      </c>
      <c r="K834" s="107" t="str">
        <f t="shared" si="23"/>
        <v/>
      </c>
      <c r="L834" s="293">
        <f t="shared" si="5"/>
        <v>-5187415.025</v>
      </c>
      <c r="M834" s="293">
        <f t="shared" si="3"/>
        <v>-68574.41</v>
      </c>
      <c r="N834" s="293">
        <f t="shared" si="6"/>
        <v>0</v>
      </c>
      <c r="O834" s="277">
        <f t="shared" si="4"/>
        <v>-72146.60962</v>
      </c>
      <c r="P834" s="264"/>
      <c r="Q834" s="264"/>
      <c r="R834" s="264"/>
      <c r="S834" s="264"/>
      <c r="T834" s="264"/>
      <c r="U834" s="264"/>
      <c r="V834" s="264"/>
      <c r="W834" s="264"/>
      <c r="X834" s="264"/>
      <c r="Y834" s="264"/>
      <c r="Z834" s="264"/>
      <c r="AA834" s="264"/>
      <c r="AB834" s="264"/>
      <c r="AC834" s="264"/>
      <c r="AD834" s="264"/>
      <c r="AE834" s="264"/>
    </row>
    <row r="835">
      <c r="A835" s="272"/>
      <c r="B835" s="272"/>
      <c r="C835" s="272"/>
      <c r="D835" s="172"/>
      <c r="E835" s="267" t="str">
        <f t="shared" si="22"/>
        <v/>
      </c>
      <c r="F835" s="274" t="str">
        <f t="shared" si="2"/>
        <v/>
      </c>
      <c r="G835" s="42"/>
      <c r="H835" s="264"/>
      <c r="I835" s="277"/>
      <c r="J835" s="276" t="str">
        <f>IF(ISBLANK(I835), "", VLOOKUP(E835&amp;" "&amp;F835, 'Info Tipo de Cambio y REM'!$A$24:$B$35, 2, FALSE))
</f>
        <v/>
      </c>
      <c r="K835" s="107" t="str">
        <f t="shared" si="23"/>
        <v/>
      </c>
      <c r="L835" s="293">
        <f t="shared" si="5"/>
        <v>-5187415.025</v>
      </c>
      <c r="M835" s="293">
        <f t="shared" si="3"/>
        <v>-68574.41</v>
      </c>
      <c r="N835" s="293">
        <f t="shared" si="6"/>
        <v>0</v>
      </c>
      <c r="O835" s="277">
        <f t="shared" si="4"/>
        <v>-72146.60962</v>
      </c>
      <c r="P835" s="264"/>
      <c r="Q835" s="264"/>
      <c r="R835" s="264"/>
      <c r="S835" s="264"/>
      <c r="T835" s="264"/>
      <c r="U835" s="264"/>
      <c r="V835" s="264"/>
      <c r="W835" s="264"/>
      <c r="X835" s="264"/>
      <c r="Y835" s="264"/>
      <c r="Z835" s="264"/>
      <c r="AA835" s="264"/>
      <c r="AB835" s="264"/>
      <c r="AC835" s="264"/>
      <c r="AD835" s="264"/>
      <c r="AE835" s="264"/>
    </row>
    <row r="836">
      <c r="A836" s="272"/>
      <c r="B836" s="272"/>
      <c r="C836" s="272"/>
      <c r="D836" s="172"/>
      <c r="E836" s="267" t="str">
        <f t="shared" si="22"/>
        <v/>
      </c>
      <c r="F836" s="274" t="str">
        <f t="shared" si="2"/>
        <v/>
      </c>
      <c r="G836" s="42"/>
      <c r="H836" s="264"/>
      <c r="I836" s="277"/>
      <c r="J836" s="276" t="str">
        <f>IF(ISBLANK(I836), "", VLOOKUP(E836&amp;" "&amp;F836, 'Info Tipo de Cambio y REM'!$A$24:$B$35, 2, FALSE))
</f>
        <v/>
      </c>
      <c r="K836" s="107" t="str">
        <f t="shared" si="23"/>
        <v/>
      </c>
      <c r="L836" s="293">
        <f t="shared" si="5"/>
        <v>-5187415.025</v>
      </c>
      <c r="M836" s="293">
        <f t="shared" si="3"/>
        <v>-68574.41</v>
      </c>
      <c r="N836" s="293">
        <f t="shared" si="6"/>
        <v>0</v>
      </c>
      <c r="O836" s="277">
        <f t="shared" si="4"/>
        <v>-72146.60962</v>
      </c>
      <c r="P836" s="264"/>
      <c r="Q836" s="264"/>
      <c r="R836" s="264"/>
      <c r="S836" s="264"/>
      <c r="T836" s="264"/>
      <c r="U836" s="264"/>
      <c r="V836" s="264"/>
      <c r="W836" s="264"/>
      <c r="X836" s="264"/>
      <c r="Y836" s="264"/>
      <c r="Z836" s="264"/>
      <c r="AA836" s="264"/>
      <c r="AB836" s="264"/>
      <c r="AC836" s="264"/>
      <c r="AD836" s="264"/>
      <c r="AE836" s="264"/>
    </row>
    <row r="837">
      <c r="A837" s="272"/>
      <c r="B837" s="272"/>
      <c r="C837" s="272"/>
      <c r="D837" s="172"/>
      <c r="E837" s="267" t="str">
        <f t="shared" si="22"/>
        <v/>
      </c>
      <c r="F837" s="274" t="str">
        <f t="shared" si="2"/>
        <v/>
      </c>
      <c r="G837" s="42"/>
      <c r="H837" s="264"/>
      <c r="I837" s="277"/>
      <c r="J837" s="276" t="str">
        <f>IF(ISBLANK(I837), "", VLOOKUP(E837&amp;" "&amp;F837, 'Info Tipo de Cambio y REM'!$A$24:$B$35, 2, FALSE))
</f>
        <v/>
      </c>
      <c r="K837" s="107" t="str">
        <f t="shared" si="23"/>
        <v/>
      </c>
      <c r="L837" s="293">
        <f t="shared" si="5"/>
        <v>-5187415.025</v>
      </c>
      <c r="M837" s="293">
        <f t="shared" si="3"/>
        <v>-68574.41</v>
      </c>
      <c r="N837" s="293">
        <f t="shared" si="6"/>
        <v>0</v>
      </c>
      <c r="O837" s="277">
        <f t="shared" si="4"/>
        <v>-72146.60962</v>
      </c>
      <c r="P837" s="264"/>
      <c r="Q837" s="264"/>
      <c r="R837" s="264"/>
      <c r="S837" s="264"/>
      <c r="T837" s="264"/>
      <c r="U837" s="264"/>
      <c r="V837" s="264"/>
      <c r="W837" s="264"/>
      <c r="X837" s="264"/>
      <c r="Y837" s="264"/>
      <c r="Z837" s="264"/>
      <c r="AA837" s="264"/>
      <c r="AB837" s="264"/>
      <c r="AC837" s="264"/>
      <c r="AD837" s="264"/>
      <c r="AE837" s="264"/>
    </row>
    <row r="838">
      <c r="A838" s="272"/>
      <c r="B838" s="272"/>
      <c r="C838" s="272"/>
      <c r="D838" s="172"/>
      <c r="E838" s="267" t="str">
        <f t="shared" si="22"/>
        <v/>
      </c>
      <c r="F838" s="274" t="str">
        <f t="shared" si="2"/>
        <v/>
      </c>
      <c r="G838" s="42"/>
      <c r="H838" s="264"/>
      <c r="I838" s="277"/>
      <c r="J838" s="276" t="str">
        <f>IF(ISBLANK(I838), "", VLOOKUP(E838&amp;" "&amp;F838, 'Info Tipo de Cambio y REM'!$A$24:$B$35, 2, FALSE))
</f>
        <v/>
      </c>
      <c r="K838" s="107" t="str">
        <f t="shared" si="23"/>
        <v/>
      </c>
      <c r="L838" s="293">
        <f t="shared" si="5"/>
        <v>-5187415.025</v>
      </c>
      <c r="M838" s="293">
        <f t="shared" si="3"/>
        <v>-68574.41</v>
      </c>
      <c r="N838" s="293">
        <f t="shared" si="6"/>
        <v>0</v>
      </c>
      <c r="O838" s="277">
        <f t="shared" si="4"/>
        <v>-72146.60962</v>
      </c>
      <c r="P838" s="264"/>
      <c r="Q838" s="264"/>
      <c r="R838" s="264"/>
      <c r="S838" s="264"/>
      <c r="T838" s="264"/>
      <c r="U838" s="264"/>
      <c r="V838" s="264"/>
      <c r="W838" s="264"/>
      <c r="X838" s="264"/>
      <c r="Y838" s="264"/>
      <c r="Z838" s="264"/>
      <c r="AA838" s="264"/>
      <c r="AB838" s="264"/>
      <c r="AC838" s="264"/>
      <c r="AD838" s="264"/>
      <c r="AE838" s="264"/>
    </row>
    <row r="839">
      <c r="A839" s="272"/>
      <c r="B839" s="272"/>
      <c r="C839" s="272"/>
      <c r="D839" s="172"/>
      <c r="E839" s="267" t="str">
        <f t="shared" si="22"/>
        <v/>
      </c>
      <c r="F839" s="274" t="str">
        <f t="shared" si="2"/>
        <v/>
      </c>
      <c r="G839" s="42"/>
      <c r="H839" s="264"/>
      <c r="I839" s="277"/>
      <c r="J839" s="276" t="str">
        <f>IF(ISBLANK(I839), "", VLOOKUP(E839&amp;" "&amp;F839, 'Info Tipo de Cambio y REM'!$A$24:$B$35, 2, FALSE))
</f>
        <v/>
      </c>
      <c r="K839" s="107" t="str">
        <f t="shared" si="23"/>
        <v/>
      </c>
      <c r="L839" s="293">
        <f t="shared" si="5"/>
        <v>-5187415.025</v>
      </c>
      <c r="M839" s="293">
        <f t="shared" si="3"/>
        <v>-68574.41</v>
      </c>
      <c r="N839" s="293">
        <f t="shared" si="6"/>
        <v>0</v>
      </c>
      <c r="O839" s="277">
        <f t="shared" si="4"/>
        <v>-72146.60962</v>
      </c>
      <c r="P839" s="264"/>
      <c r="Q839" s="264"/>
      <c r="R839" s="264"/>
      <c r="S839" s="264"/>
      <c r="T839" s="264"/>
      <c r="U839" s="264"/>
      <c r="V839" s="264"/>
      <c r="W839" s="264"/>
      <c r="X839" s="264"/>
      <c r="Y839" s="264"/>
      <c r="Z839" s="264"/>
      <c r="AA839" s="264"/>
      <c r="AB839" s="264"/>
      <c r="AC839" s="264"/>
      <c r="AD839" s="264"/>
      <c r="AE839" s="264"/>
    </row>
    <row r="840">
      <c r="A840" s="272"/>
      <c r="B840" s="272"/>
      <c r="C840" s="272"/>
      <c r="D840" s="172"/>
      <c r="E840" s="267" t="str">
        <f t="shared" si="22"/>
        <v/>
      </c>
      <c r="F840" s="274" t="str">
        <f t="shared" si="2"/>
        <v/>
      </c>
      <c r="G840" s="42"/>
      <c r="H840" s="264"/>
      <c r="I840" s="277"/>
      <c r="J840" s="276" t="str">
        <f>IF(ISBLANK(I840), "", VLOOKUP(E840&amp;" "&amp;F840, 'Info Tipo de Cambio y REM'!$A$24:$B$35, 2, FALSE))
</f>
        <v/>
      </c>
      <c r="K840" s="107" t="str">
        <f t="shared" si="23"/>
        <v/>
      </c>
      <c r="L840" s="293">
        <f t="shared" si="5"/>
        <v>-5187415.025</v>
      </c>
      <c r="M840" s="293">
        <f t="shared" si="3"/>
        <v>-68574.41</v>
      </c>
      <c r="N840" s="293">
        <f t="shared" si="6"/>
        <v>0</v>
      </c>
      <c r="O840" s="277">
        <f t="shared" si="4"/>
        <v>-72146.60962</v>
      </c>
      <c r="P840" s="264"/>
      <c r="Q840" s="264"/>
      <c r="R840" s="264"/>
      <c r="S840" s="264"/>
      <c r="T840" s="264"/>
      <c r="U840" s="264"/>
      <c r="V840" s="264"/>
      <c r="W840" s="264"/>
      <c r="X840" s="264"/>
      <c r="Y840" s="264"/>
      <c r="Z840" s="264"/>
      <c r="AA840" s="264"/>
      <c r="AB840" s="264"/>
      <c r="AC840" s="264"/>
      <c r="AD840" s="264"/>
      <c r="AE840" s="264"/>
    </row>
    <row r="841">
      <c r="A841" s="272"/>
      <c r="B841" s="272"/>
      <c r="C841" s="272"/>
      <c r="D841" s="172"/>
      <c r="E841" s="267" t="str">
        <f t="shared" si="22"/>
        <v/>
      </c>
      <c r="F841" s="274" t="str">
        <f t="shared" si="2"/>
        <v/>
      </c>
      <c r="G841" s="42"/>
      <c r="H841" s="264"/>
      <c r="I841" s="277"/>
      <c r="J841" s="276" t="str">
        <f>IF(ISBLANK(I841), "", VLOOKUP(E841&amp;" "&amp;F841, 'Info Tipo de Cambio y REM'!$A$24:$B$35, 2, FALSE))
</f>
        <v/>
      </c>
      <c r="K841" s="107" t="str">
        <f t="shared" si="23"/>
        <v/>
      </c>
      <c r="L841" s="293">
        <f t="shared" si="5"/>
        <v>-5187415.025</v>
      </c>
      <c r="M841" s="293">
        <f t="shared" si="3"/>
        <v>-68574.41</v>
      </c>
      <c r="N841" s="293">
        <f t="shared" si="6"/>
        <v>0</v>
      </c>
      <c r="O841" s="277">
        <f t="shared" si="4"/>
        <v>-72146.60962</v>
      </c>
      <c r="P841" s="264"/>
      <c r="Q841" s="264"/>
      <c r="R841" s="264"/>
      <c r="S841" s="264"/>
      <c r="T841" s="264"/>
      <c r="U841" s="264"/>
      <c r="V841" s="264"/>
      <c r="W841" s="264"/>
      <c r="X841" s="264"/>
      <c r="Y841" s="264"/>
      <c r="Z841" s="264"/>
      <c r="AA841" s="264"/>
      <c r="AB841" s="264"/>
      <c r="AC841" s="264"/>
      <c r="AD841" s="264"/>
      <c r="AE841" s="264"/>
    </row>
    <row r="842">
      <c r="A842" s="272"/>
      <c r="B842" s="272"/>
      <c r="C842" s="272"/>
      <c r="D842" s="172"/>
      <c r="E842" s="267" t="str">
        <f t="shared" si="22"/>
        <v/>
      </c>
      <c r="F842" s="274" t="str">
        <f t="shared" si="2"/>
        <v/>
      </c>
      <c r="G842" s="42"/>
      <c r="H842" s="264"/>
      <c r="I842" s="277"/>
      <c r="J842" s="276" t="str">
        <f>IF(ISBLANK(I842), "", VLOOKUP(E842&amp;" "&amp;F842, 'Info Tipo de Cambio y REM'!$A$24:$B$35, 2, FALSE))
</f>
        <v/>
      </c>
      <c r="K842" s="107" t="str">
        <f t="shared" si="23"/>
        <v/>
      </c>
      <c r="L842" s="293">
        <f t="shared" si="5"/>
        <v>-5187415.025</v>
      </c>
      <c r="M842" s="293">
        <f t="shared" si="3"/>
        <v>-68574.41</v>
      </c>
      <c r="N842" s="293">
        <f t="shared" si="6"/>
        <v>0</v>
      </c>
      <c r="O842" s="277">
        <f t="shared" si="4"/>
        <v>-72146.60962</v>
      </c>
      <c r="P842" s="264"/>
      <c r="Q842" s="264"/>
      <c r="R842" s="264"/>
      <c r="S842" s="264"/>
      <c r="T842" s="264"/>
      <c r="U842" s="264"/>
      <c r="V842" s="264"/>
      <c r="W842" s="264"/>
      <c r="X842" s="264"/>
      <c r="Y842" s="264"/>
      <c r="Z842" s="264"/>
      <c r="AA842" s="264"/>
      <c r="AB842" s="264"/>
      <c r="AC842" s="264"/>
      <c r="AD842" s="264"/>
      <c r="AE842" s="264"/>
    </row>
    <row r="843">
      <c r="A843" s="272"/>
      <c r="B843" s="272"/>
      <c r="C843" s="272"/>
      <c r="D843" s="172"/>
      <c r="E843" s="267" t="str">
        <f t="shared" si="22"/>
        <v/>
      </c>
      <c r="F843" s="274" t="str">
        <f t="shared" si="2"/>
        <v/>
      </c>
      <c r="G843" s="42"/>
      <c r="H843" s="264"/>
      <c r="I843" s="277"/>
      <c r="J843" s="276" t="str">
        <f>IF(ISBLANK(I843), "", VLOOKUP(E843&amp;" "&amp;F843, 'Info Tipo de Cambio y REM'!$A$24:$B$35, 2, FALSE))
</f>
        <v/>
      </c>
      <c r="K843" s="107" t="str">
        <f t="shared" si="23"/>
        <v/>
      </c>
      <c r="L843" s="293">
        <f t="shared" si="5"/>
        <v>-5187415.025</v>
      </c>
      <c r="M843" s="293">
        <f t="shared" si="3"/>
        <v>-68574.41</v>
      </c>
      <c r="N843" s="293">
        <f t="shared" si="6"/>
        <v>0</v>
      </c>
      <c r="O843" s="277">
        <f t="shared" si="4"/>
        <v>-72146.60962</v>
      </c>
      <c r="P843" s="264"/>
      <c r="Q843" s="264"/>
      <c r="R843" s="264"/>
      <c r="S843" s="264"/>
      <c r="T843" s="264"/>
      <c r="U843" s="264"/>
      <c r="V843" s="264"/>
      <c r="W843" s="264"/>
      <c r="X843" s="264"/>
      <c r="Y843" s="264"/>
      <c r="Z843" s="264"/>
      <c r="AA843" s="264"/>
      <c r="AB843" s="264"/>
      <c r="AC843" s="264"/>
      <c r="AD843" s="264"/>
      <c r="AE843" s="264"/>
    </row>
    <row r="844">
      <c r="A844" s="272"/>
      <c r="B844" s="272"/>
      <c r="C844" s="272"/>
      <c r="D844" s="172"/>
      <c r="E844" s="267" t="str">
        <f t="shared" si="22"/>
        <v/>
      </c>
      <c r="F844" s="274" t="str">
        <f t="shared" si="2"/>
        <v/>
      </c>
      <c r="G844" s="42"/>
      <c r="H844" s="264"/>
      <c r="I844" s="277"/>
      <c r="J844" s="276" t="str">
        <f>IF(ISBLANK(I844), "", VLOOKUP(E844&amp;" "&amp;F844, 'Info Tipo de Cambio y REM'!$A$24:$B$35, 2, FALSE))
</f>
        <v/>
      </c>
      <c r="K844" s="107" t="str">
        <f t="shared" si="23"/>
        <v/>
      </c>
      <c r="L844" s="293">
        <f t="shared" si="5"/>
        <v>-5187415.025</v>
      </c>
      <c r="M844" s="293">
        <f t="shared" si="3"/>
        <v>-68574.41</v>
      </c>
      <c r="N844" s="293">
        <f t="shared" si="6"/>
        <v>0</v>
      </c>
      <c r="O844" s="277">
        <f t="shared" si="4"/>
        <v>-72146.60962</v>
      </c>
      <c r="P844" s="264"/>
      <c r="Q844" s="264"/>
      <c r="R844" s="264"/>
      <c r="S844" s="264"/>
      <c r="T844" s="264"/>
      <c r="U844" s="264"/>
      <c r="V844" s="264"/>
      <c r="W844" s="264"/>
      <c r="X844" s="264"/>
      <c r="Y844" s="264"/>
      <c r="Z844" s="264"/>
      <c r="AA844" s="264"/>
      <c r="AB844" s="264"/>
      <c r="AC844" s="264"/>
      <c r="AD844" s="264"/>
      <c r="AE844" s="264"/>
    </row>
    <row r="845">
      <c r="A845" s="272"/>
      <c r="B845" s="272"/>
      <c r="C845" s="272"/>
      <c r="D845" s="172"/>
      <c r="E845" s="267" t="str">
        <f t="shared" si="22"/>
        <v/>
      </c>
      <c r="F845" s="274" t="str">
        <f t="shared" si="2"/>
        <v/>
      </c>
      <c r="G845" s="42"/>
      <c r="H845" s="264"/>
      <c r="I845" s="277"/>
      <c r="J845" s="276" t="str">
        <f>IF(ISBLANK(I845), "", VLOOKUP(E845&amp;" "&amp;F845, 'Info Tipo de Cambio y REM'!$A$24:$B$35, 2, FALSE))
</f>
        <v/>
      </c>
      <c r="K845" s="107" t="str">
        <f t="shared" si="23"/>
        <v/>
      </c>
      <c r="L845" s="293">
        <f t="shared" si="5"/>
        <v>-5187415.025</v>
      </c>
      <c r="M845" s="293">
        <f t="shared" si="3"/>
        <v>-68574.41</v>
      </c>
      <c r="N845" s="293">
        <f t="shared" si="6"/>
        <v>0</v>
      </c>
      <c r="O845" s="277">
        <f t="shared" si="4"/>
        <v>-72146.60962</v>
      </c>
      <c r="P845" s="264"/>
      <c r="Q845" s="264"/>
      <c r="R845" s="264"/>
      <c r="S845" s="264"/>
      <c r="T845" s="264"/>
      <c r="U845" s="264"/>
      <c r="V845" s="264"/>
      <c r="W845" s="264"/>
      <c r="X845" s="264"/>
      <c r="Y845" s="264"/>
      <c r="Z845" s="264"/>
      <c r="AA845" s="264"/>
      <c r="AB845" s="264"/>
      <c r="AC845" s="264"/>
      <c r="AD845" s="264"/>
      <c r="AE845" s="264"/>
    </row>
    <row r="846">
      <c r="A846" s="272"/>
      <c r="B846" s="272"/>
      <c r="C846" s="272"/>
      <c r="D846" s="172"/>
      <c r="E846" s="267" t="str">
        <f t="shared" si="22"/>
        <v/>
      </c>
      <c r="F846" s="274" t="str">
        <f t="shared" si="2"/>
        <v/>
      </c>
      <c r="G846" s="42"/>
      <c r="H846" s="264"/>
      <c r="I846" s="277"/>
      <c r="J846" s="276" t="str">
        <f>IF(ISBLANK(I846), "", VLOOKUP(E846&amp;" "&amp;F846, 'Info Tipo de Cambio y REM'!$A$24:$B$35, 2, FALSE))
</f>
        <v/>
      </c>
      <c r="K846" s="107" t="str">
        <f t="shared" si="23"/>
        <v/>
      </c>
      <c r="L846" s="293">
        <f t="shared" si="5"/>
        <v>-5187415.025</v>
      </c>
      <c r="M846" s="293">
        <f t="shared" si="3"/>
        <v>-68574.41</v>
      </c>
      <c r="N846" s="293">
        <f t="shared" si="6"/>
        <v>0</v>
      </c>
      <c r="O846" s="277">
        <f t="shared" si="4"/>
        <v>-72146.60962</v>
      </c>
      <c r="P846" s="264"/>
      <c r="Q846" s="264"/>
      <c r="R846" s="264"/>
      <c r="S846" s="264"/>
      <c r="T846" s="264"/>
      <c r="U846" s="264"/>
      <c r="V846" s="264"/>
      <c r="W846" s="264"/>
      <c r="X846" s="264"/>
      <c r="Y846" s="264"/>
      <c r="Z846" s="264"/>
      <c r="AA846" s="264"/>
      <c r="AB846" s="264"/>
      <c r="AC846" s="264"/>
      <c r="AD846" s="264"/>
      <c r="AE846" s="264"/>
    </row>
    <row r="847">
      <c r="A847" s="272"/>
      <c r="B847" s="272"/>
      <c r="C847" s="272"/>
      <c r="D847" s="172"/>
      <c r="E847" s="267" t="str">
        <f t="shared" si="22"/>
        <v/>
      </c>
      <c r="F847" s="274" t="str">
        <f t="shared" si="2"/>
        <v/>
      </c>
      <c r="G847" s="42"/>
      <c r="H847" s="264"/>
      <c r="I847" s="277"/>
      <c r="J847" s="276" t="str">
        <f>IF(ISBLANK(I847), "", VLOOKUP(E847&amp;" "&amp;F847, 'Info Tipo de Cambio y REM'!$A$24:$B$35, 2, FALSE))
</f>
        <v/>
      </c>
      <c r="K847" s="107" t="str">
        <f t="shared" si="23"/>
        <v/>
      </c>
      <c r="L847" s="293">
        <f t="shared" si="5"/>
        <v>-5187415.025</v>
      </c>
      <c r="M847" s="293">
        <f t="shared" si="3"/>
        <v>-68574.41</v>
      </c>
      <c r="N847" s="293">
        <f t="shared" si="6"/>
        <v>0</v>
      </c>
      <c r="O847" s="277">
        <f t="shared" si="4"/>
        <v>-72146.60962</v>
      </c>
      <c r="P847" s="264"/>
      <c r="Q847" s="264"/>
      <c r="R847" s="264"/>
      <c r="S847" s="264"/>
      <c r="T847" s="264"/>
      <c r="U847" s="264"/>
      <c r="V847" s="264"/>
      <c r="W847" s="264"/>
      <c r="X847" s="264"/>
      <c r="Y847" s="264"/>
      <c r="Z847" s="264"/>
      <c r="AA847" s="264"/>
      <c r="AB847" s="264"/>
      <c r="AC847" s="264"/>
      <c r="AD847" s="264"/>
      <c r="AE847" s="264"/>
    </row>
    <row r="848">
      <c r="A848" s="272"/>
      <c r="B848" s="272"/>
      <c r="C848" s="272"/>
      <c r="D848" s="172"/>
      <c r="E848" s="267" t="str">
        <f t="shared" si="22"/>
        <v/>
      </c>
      <c r="F848" s="274" t="str">
        <f t="shared" si="2"/>
        <v/>
      </c>
      <c r="G848" s="42"/>
      <c r="H848" s="264"/>
      <c r="I848" s="277"/>
      <c r="J848" s="276" t="str">
        <f>IF(ISBLANK(I848), "", VLOOKUP(E848&amp;" "&amp;F848, 'Info Tipo de Cambio y REM'!$A$24:$B$35, 2, FALSE))
</f>
        <v/>
      </c>
      <c r="K848" s="107" t="str">
        <f t="shared" si="23"/>
        <v/>
      </c>
      <c r="L848" s="293">
        <f t="shared" si="5"/>
        <v>-5187415.025</v>
      </c>
      <c r="M848" s="293">
        <f t="shared" si="3"/>
        <v>-68574.41</v>
      </c>
      <c r="N848" s="293">
        <f t="shared" si="6"/>
        <v>0</v>
      </c>
      <c r="O848" s="277">
        <f t="shared" si="4"/>
        <v>-72146.60962</v>
      </c>
      <c r="P848" s="264"/>
      <c r="Q848" s="264"/>
      <c r="R848" s="264"/>
      <c r="S848" s="264"/>
      <c r="T848" s="264"/>
      <c r="U848" s="264"/>
      <c r="V848" s="264"/>
      <c r="W848" s="264"/>
      <c r="X848" s="264"/>
      <c r="Y848" s="264"/>
      <c r="Z848" s="264"/>
      <c r="AA848" s="264"/>
      <c r="AB848" s="264"/>
      <c r="AC848" s="264"/>
      <c r="AD848" s="264"/>
      <c r="AE848" s="264"/>
    </row>
    <row r="849">
      <c r="A849" s="272"/>
      <c r="B849" s="272"/>
      <c r="C849" s="272"/>
      <c r="D849" s="172"/>
      <c r="E849" s="267" t="str">
        <f t="shared" si="22"/>
        <v/>
      </c>
      <c r="F849" s="274" t="str">
        <f t="shared" si="2"/>
        <v/>
      </c>
      <c r="G849" s="42"/>
      <c r="H849" s="264"/>
      <c r="I849" s="277"/>
      <c r="J849" s="276" t="str">
        <f>IF(ISBLANK(I849), "", VLOOKUP(E849&amp;" "&amp;F849, 'Info Tipo de Cambio y REM'!$A$24:$B$35, 2, FALSE))
</f>
        <v/>
      </c>
      <c r="K849" s="107" t="str">
        <f t="shared" si="23"/>
        <v/>
      </c>
      <c r="L849" s="293">
        <f t="shared" si="5"/>
        <v>-5187415.025</v>
      </c>
      <c r="M849" s="293">
        <f t="shared" si="3"/>
        <v>-68574.41</v>
      </c>
      <c r="N849" s="293">
        <f t="shared" si="6"/>
        <v>0</v>
      </c>
      <c r="O849" s="277">
        <f t="shared" si="4"/>
        <v>-72146.60962</v>
      </c>
      <c r="P849" s="264"/>
      <c r="Q849" s="264"/>
      <c r="R849" s="264"/>
      <c r="S849" s="264"/>
      <c r="T849" s="264"/>
      <c r="U849" s="264"/>
      <c r="V849" s="264"/>
      <c r="W849" s="264"/>
      <c r="X849" s="264"/>
      <c r="Y849" s="264"/>
      <c r="Z849" s="264"/>
      <c r="AA849" s="264"/>
      <c r="AB849" s="264"/>
      <c r="AC849" s="264"/>
      <c r="AD849" s="264"/>
      <c r="AE849" s="264"/>
    </row>
    <row r="850">
      <c r="A850" s="272"/>
      <c r="B850" s="272"/>
      <c r="C850" s="272"/>
      <c r="D850" s="172"/>
      <c r="E850" s="267" t="str">
        <f t="shared" si="22"/>
        <v/>
      </c>
      <c r="F850" s="274" t="str">
        <f t="shared" si="2"/>
        <v/>
      </c>
      <c r="G850" s="42"/>
      <c r="H850" s="264"/>
      <c r="I850" s="277"/>
      <c r="J850" s="276" t="str">
        <f>IF(ISBLANK(I850), "", VLOOKUP(E850&amp;" "&amp;F850, 'Info Tipo de Cambio y REM'!$A$24:$B$35, 2, FALSE))
</f>
        <v/>
      </c>
      <c r="K850" s="107" t="str">
        <f t="shared" si="23"/>
        <v/>
      </c>
      <c r="L850" s="293">
        <f t="shared" si="5"/>
        <v>-5187415.025</v>
      </c>
      <c r="M850" s="293">
        <f t="shared" si="3"/>
        <v>-68574.41</v>
      </c>
      <c r="N850" s="293">
        <f t="shared" si="6"/>
        <v>0</v>
      </c>
      <c r="O850" s="277">
        <f t="shared" si="4"/>
        <v>-72146.60962</v>
      </c>
      <c r="P850" s="264"/>
      <c r="Q850" s="264"/>
      <c r="R850" s="264"/>
      <c r="S850" s="264"/>
      <c r="T850" s="264"/>
      <c r="U850" s="264"/>
      <c r="V850" s="264"/>
      <c r="W850" s="264"/>
      <c r="X850" s="264"/>
      <c r="Y850" s="264"/>
      <c r="Z850" s="264"/>
      <c r="AA850" s="264"/>
      <c r="AB850" s="264"/>
      <c r="AC850" s="264"/>
      <c r="AD850" s="264"/>
      <c r="AE850" s="264"/>
    </row>
    <row r="851">
      <c r="A851" s="272"/>
      <c r="B851" s="272"/>
      <c r="C851" s="272"/>
      <c r="D851" s="172"/>
      <c r="E851" s="267" t="str">
        <f t="shared" si="22"/>
        <v/>
      </c>
      <c r="F851" s="274" t="str">
        <f t="shared" si="2"/>
        <v/>
      </c>
      <c r="G851" s="42"/>
      <c r="H851" s="264"/>
      <c r="I851" s="277"/>
      <c r="J851" s="276" t="str">
        <f>IF(ISBLANK(I851), "", VLOOKUP(E851&amp;" "&amp;F851, 'Info Tipo de Cambio y REM'!$A$24:$B$35, 2, FALSE))
</f>
        <v/>
      </c>
      <c r="K851" s="107" t="str">
        <f t="shared" si="23"/>
        <v/>
      </c>
      <c r="L851" s="293">
        <f t="shared" si="5"/>
        <v>-5187415.025</v>
      </c>
      <c r="M851" s="293">
        <f t="shared" si="3"/>
        <v>-68574.41</v>
      </c>
      <c r="N851" s="293">
        <f t="shared" si="6"/>
        <v>0</v>
      </c>
      <c r="O851" s="277">
        <f t="shared" si="4"/>
        <v>-72146.60962</v>
      </c>
      <c r="P851" s="264"/>
      <c r="Q851" s="264"/>
      <c r="R851" s="264"/>
      <c r="S851" s="264"/>
      <c r="T851" s="264"/>
      <c r="U851" s="264"/>
      <c r="V851" s="264"/>
      <c r="W851" s="264"/>
      <c r="X851" s="264"/>
      <c r="Y851" s="264"/>
      <c r="Z851" s="264"/>
      <c r="AA851" s="264"/>
      <c r="AB851" s="264"/>
      <c r="AC851" s="264"/>
      <c r="AD851" s="264"/>
      <c r="AE851" s="264"/>
    </row>
    <row r="852">
      <c r="A852" s="272"/>
      <c r="B852" s="272"/>
      <c r="C852" s="272"/>
      <c r="D852" s="172"/>
      <c r="E852" s="267" t="str">
        <f t="shared" si="22"/>
        <v/>
      </c>
      <c r="F852" s="274" t="str">
        <f t="shared" si="2"/>
        <v/>
      </c>
      <c r="G852" s="42"/>
      <c r="H852" s="264"/>
      <c r="I852" s="277"/>
      <c r="J852" s="276" t="str">
        <f>IF(ISBLANK(I852), "", VLOOKUP(E852&amp;" "&amp;F852, 'Info Tipo de Cambio y REM'!$A$24:$B$35, 2, FALSE))
</f>
        <v/>
      </c>
      <c r="K852" s="107" t="str">
        <f t="shared" si="23"/>
        <v/>
      </c>
      <c r="L852" s="293">
        <f t="shared" si="5"/>
        <v>-5187415.025</v>
      </c>
      <c r="M852" s="293">
        <f t="shared" si="3"/>
        <v>-68574.41</v>
      </c>
      <c r="N852" s="293">
        <f t="shared" si="6"/>
        <v>0</v>
      </c>
      <c r="O852" s="277">
        <f t="shared" si="4"/>
        <v>-72146.60962</v>
      </c>
      <c r="P852" s="264"/>
      <c r="Q852" s="264"/>
      <c r="R852" s="264"/>
      <c r="S852" s="264"/>
      <c r="T852" s="264"/>
      <c r="U852" s="264"/>
      <c r="V852" s="264"/>
      <c r="W852" s="264"/>
      <c r="X852" s="264"/>
      <c r="Y852" s="264"/>
      <c r="Z852" s="264"/>
      <c r="AA852" s="264"/>
      <c r="AB852" s="264"/>
      <c r="AC852" s="264"/>
      <c r="AD852" s="264"/>
      <c r="AE852" s="264"/>
    </row>
    <row r="853">
      <c r="A853" s="272"/>
      <c r="B853" s="272"/>
      <c r="C853" s="272"/>
      <c r="D853" s="172"/>
      <c r="E853" s="267" t="str">
        <f t="shared" si="22"/>
        <v/>
      </c>
      <c r="F853" s="274" t="str">
        <f t="shared" si="2"/>
        <v/>
      </c>
      <c r="G853" s="42"/>
      <c r="H853" s="264"/>
      <c r="I853" s="277"/>
      <c r="J853" s="276" t="str">
        <f>IF(ISBLANK(I853), "", VLOOKUP(E853&amp;" "&amp;F853, 'Info Tipo de Cambio y REM'!$A$24:$B$35, 2, FALSE))
</f>
        <v/>
      </c>
      <c r="K853" s="107" t="str">
        <f t="shared" si="23"/>
        <v/>
      </c>
      <c r="L853" s="293">
        <f t="shared" si="5"/>
        <v>-5187415.025</v>
      </c>
      <c r="M853" s="293">
        <f t="shared" si="3"/>
        <v>-68574.41</v>
      </c>
      <c r="N853" s="293">
        <f t="shared" si="6"/>
        <v>0</v>
      </c>
      <c r="O853" s="277">
        <f t="shared" si="4"/>
        <v>-72146.60962</v>
      </c>
      <c r="P853" s="264"/>
      <c r="Q853" s="264"/>
      <c r="R853" s="264"/>
      <c r="S853" s="264"/>
      <c r="T853" s="264"/>
      <c r="U853" s="264"/>
      <c r="V853" s="264"/>
      <c r="W853" s="264"/>
      <c r="X853" s="264"/>
      <c r="Y853" s="264"/>
      <c r="Z853" s="264"/>
      <c r="AA853" s="264"/>
      <c r="AB853" s="264"/>
      <c r="AC853" s="264"/>
      <c r="AD853" s="264"/>
      <c r="AE853" s="264"/>
    </row>
    <row r="854">
      <c r="A854" s="272"/>
      <c r="B854" s="272"/>
      <c r="C854" s="272"/>
      <c r="D854" s="172"/>
      <c r="E854" s="267" t="str">
        <f t="shared" si="22"/>
        <v/>
      </c>
      <c r="F854" s="274" t="str">
        <f t="shared" si="2"/>
        <v/>
      </c>
      <c r="G854" s="42"/>
      <c r="H854" s="264"/>
      <c r="I854" s="277"/>
      <c r="J854" s="276" t="str">
        <f>IF(ISBLANK(I854), "", VLOOKUP(E854&amp;" "&amp;F854, 'Info Tipo de Cambio y REM'!$A$24:$B$35, 2, FALSE))
</f>
        <v/>
      </c>
      <c r="K854" s="107" t="str">
        <f t="shared" si="23"/>
        <v/>
      </c>
      <c r="L854" s="293">
        <f t="shared" si="5"/>
        <v>-5187415.025</v>
      </c>
      <c r="M854" s="293">
        <f t="shared" si="3"/>
        <v>-68574.41</v>
      </c>
      <c r="N854" s="293">
        <f t="shared" si="6"/>
        <v>0</v>
      </c>
      <c r="O854" s="277">
        <f t="shared" si="4"/>
        <v>-72146.60962</v>
      </c>
      <c r="P854" s="264"/>
      <c r="Q854" s="264"/>
      <c r="R854" s="264"/>
      <c r="S854" s="264"/>
      <c r="T854" s="264"/>
      <c r="U854" s="264"/>
      <c r="V854" s="264"/>
      <c r="W854" s="264"/>
      <c r="X854" s="264"/>
      <c r="Y854" s="264"/>
      <c r="Z854" s="264"/>
      <c r="AA854" s="264"/>
      <c r="AB854" s="264"/>
      <c r="AC854" s="264"/>
      <c r="AD854" s="264"/>
      <c r="AE854" s="264"/>
    </row>
    <row r="855">
      <c r="A855" s="272"/>
      <c r="B855" s="272"/>
      <c r="C855" s="272"/>
      <c r="D855" s="172"/>
      <c r="E855" s="267" t="str">
        <f t="shared" si="22"/>
        <v/>
      </c>
      <c r="F855" s="274" t="str">
        <f t="shared" si="2"/>
        <v/>
      </c>
      <c r="G855" s="42"/>
      <c r="H855" s="264"/>
      <c r="I855" s="277"/>
      <c r="J855" s="276" t="str">
        <f>IF(ISBLANK(I855), "", VLOOKUP(E855&amp;" "&amp;F855, 'Info Tipo de Cambio y REM'!$A$24:$B$35, 2, FALSE))
</f>
        <v/>
      </c>
      <c r="K855" s="107" t="str">
        <f t="shared" si="23"/>
        <v/>
      </c>
      <c r="L855" s="293">
        <f t="shared" si="5"/>
        <v>-5187415.025</v>
      </c>
      <c r="M855" s="293">
        <f t="shared" si="3"/>
        <v>-68574.41</v>
      </c>
      <c r="N855" s="293">
        <f t="shared" si="6"/>
        <v>0</v>
      </c>
      <c r="O855" s="277">
        <f t="shared" si="4"/>
        <v>-72146.60962</v>
      </c>
      <c r="P855" s="264"/>
      <c r="Q855" s="264"/>
      <c r="R855" s="264"/>
      <c r="S855" s="264"/>
      <c r="T855" s="264"/>
      <c r="U855" s="264"/>
      <c r="V855" s="264"/>
      <c r="W855" s="264"/>
      <c r="X855" s="264"/>
      <c r="Y855" s="264"/>
      <c r="Z855" s="264"/>
      <c r="AA855" s="264"/>
      <c r="AB855" s="264"/>
      <c r="AC855" s="264"/>
      <c r="AD855" s="264"/>
      <c r="AE855" s="264"/>
    </row>
    <row r="856">
      <c r="A856" s="272"/>
      <c r="B856" s="272"/>
      <c r="C856" s="272"/>
      <c r="D856" s="172"/>
      <c r="E856" s="267" t="str">
        <f t="shared" si="22"/>
        <v/>
      </c>
      <c r="F856" s="274" t="str">
        <f t="shared" si="2"/>
        <v/>
      </c>
      <c r="G856" s="42"/>
      <c r="H856" s="264"/>
      <c r="I856" s="277"/>
      <c r="J856" s="276" t="str">
        <f>IF(ISBLANK(I856), "", VLOOKUP(E856&amp;" "&amp;F856, 'Info Tipo de Cambio y REM'!$A$24:$B$35, 2, FALSE))
</f>
        <v/>
      </c>
      <c r="K856" s="107" t="str">
        <f t="shared" si="23"/>
        <v/>
      </c>
      <c r="L856" s="293">
        <f t="shared" si="5"/>
        <v>-5187415.025</v>
      </c>
      <c r="M856" s="293">
        <f t="shared" si="3"/>
        <v>-68574.41</v>
      </c>
      <c r="N856" s="293">
        <f t="shared" si="6"/>
        <v>0</v>
      </c>
      <c r="O856" s="277">
        <f t="shared" si="4"/>
        <v>-72146.60962</v>
      </c>
      <c r="P856" s="264"/>
      <c r="Q856" s="264"/>
      <c r="R856" s="264"/>
      <c r="S856" s="264"/>
      <c r="T856" s="264"/>
      <c r="U856" s="264"/>
      <c r="V856" s="264"/>
      <c r="W856" s="264"/>
      <c r="X856" s="264"/>
      <c r="Y856" s="264"/>
      <c r="Z856" s="264"/>
      <c r="AA856" s="264"/>
      <c r="AB856" s="264"/>
      <c r="AC856" s="264"/>
      <c r="AD856" s="264"/>
      <c r="AE856" s="264"/>
    </row>
    <row r="857">
      <c r="A857" s="272"/>
      <c r="B857" s="272"/>
      <c r="C857" s="272"/>
      <c r="D857" s="172"/>
      <c r="E857" s="267" t="str">
        <f t="shared" si="22"/>
        <v/>
      </c>
      <c r="F857" s="274" t="str">
        <f t="shared" si="2"/>
        <v/>
      </c>
      <c r="G857" s="42"/>
      <c r="H857" s="264"/>
      <c r="I857" s="277"/>
      <c r="J857" s="276" t="str">
        <f>IF(ISBLANK(I857), "", VLOOKUP(E857&amp;" "&amp;F857, 'Info Tipo de Cambio y REM'!$A$24:$B$35, 2, FALSE))
</f>
        <v/>
      </c>
      <c r="K857" s="107" t="str">
        <f t="shared" si="23"/>
        <v/>
      </c>
      <c r="L857" s="293">
        <f t="shared" si="5"/>
        <v>-5187415.025</v>
      </c>
      <c r="M857" s="293">
        <f t="shared" si="3"/>
        <v>-68574.41</v>
      </c>
      <c r="N857" s="293">
        <f t="shared" si="6"/>
        <v>0</v>
      </c>
      <c r="O857" s="277">
        <f t="shared" si="4"/>
        <v>-72146.60962</v>
      </c>
      <c r="P857" s="264"/>
      <c r="Q857" s="264"/>
      <c r="R857" s="264"/>
      <c r="S857" s="264"/>
      <c r="T857" s="264"/>
      <c r="U857" s="264"/>
      <c r="V857" s="264"/>
      <c r="W857" s="264"/>
      <c r="X857" s="264"/>
      <c r="Y857" s="264"/>
      <c r="Z857" s="264"/>
      <c r="AA857" s="264"/>
      <c r="AB857" s="264"/>
      <c r="AC857" s="264"/>
      <c r="AD857" s="264"/>
      <c r="AE857" s="264"/>
    </row>
    <row r="858">
      <c r="A858" s="272"/>
      <c r="B858" s="272"/>
      <c r="C858" s="272"/>
      <c r="D858" s="172"/>
      <c r="E858" s="267" t="str">
        <f t="shared" si="22"/>
        <v/>
      </c>
      <c r="F858" s="274" t="str">
        <f t="shared" si="2"/>
        <v/>
      </c>
      <c r="G858" s="42"/>
      <c r="H858" s="264"/>
      <c r="I858" s="277"/>
      <c r="J858" s="276" t="str">
        <f>IF(ISBLANK(I858), "", VLOOKUP(E858&amp;" "&amp;F858, 'Info Tipo de Cambio y REM'!$A$24:$B$35, 2, FALSE))
</f>
        <v/>
      </c>
      <c r="K858" s="107" t="str">
        <f t="shared" si="23"/>
        <v/>
      </c>
      <c r="L858" s="293">
        <f t="shared" si="5"/>
        <v>-5187415.025</v>
      </c>
      <c r="M858" s="293">
        <f t="shared" si="3"/>
        <v>-68574.41</v>
      </c>
      <c r="N858" s="293">
        <f t="shared" si="6"/>
        <v>0</v>
      </c>
      <c r="O858" s="277">
        <f t="shared" si="4"/>
        <v>-72146.60962</v>
      </c>
      <c r="P858" s="264"/>
      <c r="Q858" s="264"/>
      <c r="R858" s="264"/>
      <c r="S858" s="264"/>
      <c r="T858" s="264"/>
      <c r="U858" s="264"/>
      <c r="V858" s="264"/>
      <c r="W858" s="264"/>
      <c r="X858" s="264"/>
      <c r="Y858" s="264"/>
      <c r="Z858" s="264"/>
      <c r="AA858" s="264"/>
      <c r="AB858" s="264"/>
      <c r="AC858" s="264"/>
      <c r="AD858" s="264"/>
      <c r="AE858" s="264"/>
    </row>
    <row r="859">
      <c r="A859" s="272"/>
      <c r="B859" s="272"/>
      <c r="C859" s="272"/>
      <c r="D859" s="172"/>
      <c r="E859" s="267" t="str">
        <f t="shared" si="22"/>
        <v/>
      </c>
      <c r="F859" s="274" t="str">
        <f t="shared" si="2"/>
        <v/>
      </c>
      <c r="G859" s="42"/>
      <c r="H859" s="264"/>
      <c r="I859" s="277"/>
      <c r="J859" s="276" t="str">
        <f>IF(ISBLANK(I859), "", VLOOKUP(E859&amp;" "&amp;F859, 'Info Tipo de Cambio y REM'!$A$24:$B$35, 2, FALSE))
</f>
        <v/>
      </c>
      <c r="K859" s="107" t="str">
        <f t="shared" si="23"/>
        <v/>
      </c>
      <c r="L859" s="293">
        <f t="shared" si="5"/>
        <v>-5187415.025</v>
      </c>
      <c r="M859" s="293">
        <f t="shared" si="3"/>
        <v>-68574.41</v>
      </c>
      <c r="N859" s="293">
        <f t="shared" si="6"/>
        <v>0</v>
      </c>
      <c r="O859" s="277">
        <f t="shared" si="4"/>
        <v>-72146.60962</v>
      </c>
      <c r="P859" s="264"/>
      <c r="Q859" s="264"/>
      <c r="R859" s="264"/>
      <c r="S859" s="264"/>
      <c r="T859" s="264"/>
      <c r="U859" s="264"/>
      <c r="V859" s="264"/>
      <c r="W859" s="264"/>
      <c r="X859" s="264"/>
      <c r="Y859" s="264"/>
      <c r="Z859" s="264"/>
      <c r="AA859" s="264"/>
      <c r="AB859" s="264"/>
      <c r="AC859" s="264"/>
      <c r="AD859" s="264"/>
      <c r="AE859" s="264"/>
    </row>
    <row r="860">
      <c r="A860" s="272"/>
      <c r="B860" s="272"/>
      <c r="C860" s="272"/>
      <c r="D860" s="172"/>
      <c r="E860" s="267" t="str">
        <f t="shared" si="22"/>
        <v/>
      </c>
      <c r="F860" s="274" t="str">
        <f t="shared" si="2"/>
        <v/>
      </c>
      <c r="G860" s="42"/>
      <c r="H860" s="264"/>
      <c r="I860" s="277"/>
      <c r="J860" s="276" t="str">
        <f>IF(ISBLANK(I860), "", VLOOKUP(E860&amp;" "&amp;F860, 'Info Tipo de Cambio y REM'!$A$24:$B$35, 2, FALSE))
</f>
        <v/>
      </c>
      <c r="K860" s="107" t="str">
        <f t="shared" si="23"/>
        <v/>
      </c>
      <c r="L860" s="293">
        <f t="shared" si="5"/>
        <v>-5187415.025</v>
      </c>
      <c r="M860" s="293">
        <f t="shared" si="3"/>
        <v>-68574.41</v>
      </c>
      <c r="N860" s="293">
        <f t="shared" si="6"/>
        <v>0</v>
      </c>
      <c r="O860" s="277">
        <f t="shared" si="4"/>
        <v>-72146.60962</v>
      </c>
      <c r="P860" s="264"/>
      <c r="Q860" s="264"/>
      <c r="R860" s="264"/>
      <c r="S860" s="264"/>
      <c r="T860" s="264"/>
      <c r="U860" s="264"/>
      <c r="V860" s="264"/>
      <c r="W860" s="264"/>
      <c r="X860" s="264"/>
      <c r="Y860" s="264"/>
      <c r="Z860" s="264"/>
      <c r="AA860" s="264"/>
      <c r="AB860" s="264"/>
      <c r="AC860" s="264"/>
      <c r="AD860" s="264"/>
      <c r="AE860" s="264"/>
    </row>
    <row r="861">
      <c r="A861" s="272"/>
      <c r="B861" s="272"/>
      <c r="C861" s="272"/>
      <c r="D861" s="172"/>
      <c r="E861" s="267" t="str">
        <f t="shared" si="22"/>
        <v/>
      </c>
      <c r="F861" s="274" t="str">
        <f t="shared" si="2"/>
        <v/>
      </c>
      <c r="G861" s="42"/>
      <c r="H861" s="264"/>
      <c r="I861" s="277"/>
      <c r="J861" s="276" t="str">
        <f>IF(ISBLANK(I861), "", VLOOKUP(E861&amp;" "&amp;F861, 'Info Tipo de Cambio y REM'!$A$24:$B$35, 2, FALSE))
</f>
        <v/>
      </c>
      <c r="K861" s="107" t="str">
        <f t="shared" si="23"/>
        <v/>
      </c>
      <c r="L861" s="293">
        <f t="shared" si="5"/>
        <v>-5187415.025</v>
      </c>
      <c r="M861" s="293">
        <f t="shared" si="3"/>
        <v>-68574.41</v>
      </c>
      <c r="N861" s="293">
        <f t="shared" si="6"/>
        <v>0</v>
      </c>
      <c r="O861" s="277">
        <f t="shared" si="4"/>
        <v>-72146.60962</v>
      </c>
      <c r="P861" s="264"/>
      <c r="Q861" s="264"/>
      <c r="R861" s="264"/>
      <c r="S861" s="264"/>
      <c r="T861" s="264"/>
      <c r="U861" s="264"/>
      <c r="V861" s="264"/>
      <c r="W861" s="264"/>
      <c r="X861" s="264"/>
      <c r="Y861" s="264"/>
      <c r="Z861" s="264"/>
      <c r="AA861" s="264"/>
      <c r="AB861" s="264"/>
      <c r="AC861" s="264"/>
      <c r="AD861" s="264"/>
      <c r="AE861" s="264"/>
    </row>
    <row r="862">
      <c r="A862" s="272"/>
      <c r="B862" s="272"/>
      <c r="C862" s="272"/>
      <c r="D862" s="172"/>
      <c r="E862" s="267" t="str">
        <f t="shared" si="22"/>
        <v/>
      </c>
      <c r="F862" s="274" t="str">
        <f t="shared" si="2"/>
        <v/>
      </c>
      <c r="G862" s="42"/>
      <c r="H862" s="264"/>
      <c r="I862" s="277"/>
      <c r="J862" s="276" t="str">
        <f>IF(ISBLANK(I862), "", VLOOKUP(E862&amp;" "&amp;F862, 'Info Tipo de Cambio y REM'!$A$24:$B$35, 2, FALSE))
</f>
        <v/>
      </c>
      <c r="K862" s="107" t="str">
        <f t="shared" si="23"/>
        <v/>
      </c>
      <c r="L862" s="293">
        <f t="shared" si="5"/>
        <v>-5187415.025</v>
      </c>
      <c r="M862" s="293">
        <f t="shared" si="3"/>
        <v>-68574.41</v>
      </c>
      <c r="N862" s="293">
        <f t="shared" si="6"/>
        <v>0</v>
      </c>
      <c r="O862" s="277">
        <f t="shared" si="4"/>
        <v>-72146.60962</v>
      </c>
      <c r="P862" s="264"/>
      <c r="Q862" s="264"/>
      <c r="R862" s="264"/>
      <c r="S862" s="264"/>
      <c r="T862" s="264"/>
      <c r="U862" s="264"/>
      <c r="V862" s="264"/>
      <c r="W862" s="264"/>
      <c r="X862" s="264"/>
      <c r="Y862" s="264"/>
      <c r="Z862" s="264"/>
      <c r="AA862" s="264"/>
      <c r="AB862" s="264"/>
      <c r="AC862" s="264"/>
      <c r="AD862" s="264"/>
      <c r="AE862" s="264"/>
    </row>
    <row r="863">
      <c r="A863" s="272"/>
      <c r="B863" s="272"/>
      <c r="C863" s="272"/>
      <c r="D863" s="172"/>
      <c r="E863" s="267" t="str">
        <f t="shared" si="22"/>
        <v/>
      </c>
      <c r="F863" s="274" t="str">
        <f t="shared" si="2"/>
        <v/>
      </c>
      <c r="G863" s="42"/>
      <c r="H863" s="264"/>
      <c r="I863" s="277"/>
      <c r="J863" s="276" t="str">
        <f>IF(ISBLANK(I863), "", VLOOKUP(E863&amp;" "&amp;F863, 'Info Tipo de Cambio y REM'!$A$24:$B$35, 2, FALSE))
</f>
        <v/>
      </c>
      <c r="K863" s="107" t="str">
        <f t="shared" si="23"/>
        <v/>
      </c>
      <c r="L863" s="293">
        <f t="shared" si="5"/>
        <v>-5187415.025</v>
      </c>
      <c r="M863" s="293">
        <f t="shared" si="3"/>
        <v>-68574.41</v>
      </c>
      <c r="N863" s="293">
        <f t="shared" si="6"/>
        <v>0</v>
      </c>
      <c r="O863" s="277">
        <f t="shared" si="4"/>
        <v>-72146.60962</v>
      </c>
      <c r="P863" s="264"/>
      <c r="Q863" s="264"/>
      <c r="R863" s="264"/>
      <c r="S863" s="264"/>
      <c r="T863" s="264"/>
      <c r="U863" s="264"/>
      <c r="V863" s="264"/>
      <c r="W863" s="264"/>
      <c r="X863" s="264"/>
      <c r="Y863" s="264"/>
      <c r="Z863" s="264"/>
      <c r="AA863" s="264"/>
      <c r="AB863" s="264"/>
      <c r="AC863" s="264"/>
      <c r="AD863" s="264"/>
      <c r="AE863" s="264"/>
    </row>
    <row r="864">
      <c r="A864" s="272"/>
      <c r="B864" s="272"/>
      <c r="C864" s="272"/>
      <c r="D864" s="172"/>
      <c r="E864" s="267" t="str">
        <f t="shared" si="22"/>
        <v/>
      </c>
      <c r="F864" s="274" t="str">
        <f t="shared" si="2"/>
        <v/>
      </c>
      <c r="G864" s="42"/>
      <c r="H864" s="264"/>
      <c r="I864" s="277"/>
      <c r="J864" s="276" t="str">
        <f>IF(ISBLANK(I864), "", VLOOKUP(E864&amp;" "&amp;F864, 'Info Tipo de Cambio y REM'!$A$24:$B$35, 2, FALSE))
</f>
        <v/>
      </c>
      <c r="K864" s="107" t="str">
        <f t="shared" si="23"/>
        <v/>
      </c>
      <c r="L864" s="293">
        <f t="shared" si="5"/>
        <v>-5187415.025</v>
      </c>
      <c r="M864" s="293">
        <f t="shared" si="3"/>
        <v>-68574.41</v>
      </c>
      <c r="N864" s="293">
        <f t="shared" si="6"/>
        <v>0</v>
      </c>
      <c r="O864" s="277">
        <f t="shared" si="4"/>
        <v>-72146.60962</v>
      </c>
      <c r="P864" s="264"/>
      <c r="Q864" s="264"/>
      <c r="R864" s="264"/>
      <c r="S864" s="264"/>
      <c r="T864" s="264"/>
      <c r="U864" s="264"/>
      <c r="V864" s="264"/>
      <c r="W864" s="264"/>
      <c r="X864" s="264"/>
      <c r="Y864" s="264"/>
      <c r="Z864" s="264"/>
      <c r="AA864" s="264"/>
      <c r="AB864" s="264"/>
      <c r="AC864" s="264"/>
      <c r="AD864" s="264"/>
      <c r="AE864" s="264"/>
    </row>
    <row r="865">
      <c r="A865" s="272"/>
      <c r="B865" s="272"/>
      <c r="C865" s="272"/>
      <c r="D865" s="172"/>
      <c r="E865" s="267" t="str">
        <f t="shared" si="22"/>
        <v/>
      </c>
      <c r="F865" s="274" t="str">
        <f t="shared" si="2"/>
        <v/>
      </c>
      <c r="G865" s="42"/>
      <c r="H865" s="264"/>
      <c r="I865" s="277"/>
      <c r="J865" s="276" t="str">
        <f>IF(ISBLANK(I865), "", VLOOKUP(E865&amp;" "&amp;F865, 'Info Tipo de Cambio y REM'!$A$24:$B$35, 2, FALSE))
</f>
        <v/>
      </c>
      <c r="K865" s="107" t="str">
        <f t="shared" si="23"/>
        <v/>
      </c>
      <c r="L865" s="293">
        <f t="shared" si="5"/>
        <v>-5187415.025</v>
      </c>
      <c r="M865" s="293">
        <f t="shared" si="3"/>
        <v>-68574.41</v>
      </c>
      <c r="N865" s="293">
        <f t="shared" si="6"/>
        <v>0</v>
      </c>
      <c r="O865" s="277">
        <f t="shared" si="4"/>
        <v>-72146.60962</v>
      </c>
      <c r="P865" s="264"/>
      <c r="Q865" s="264"/>
      <c r="R865" s="264"/>
      <c r="S865" s="264"/>
      <c r="T865" s="264"/>
      <c r="U865" s="264"/>
      <c r="V865" s="264"/>
      <c r="W865" s="264"/>
      <c r="X865" s="264"/>
      <c r="Y865" s="264"/>
      <c r="Z865" s="264"/>
      <c r="AA865" s="264"/>
      <c r="AB865" s="264"/>
      <c r="AC865" s="264"/>
      <c r="AD865" s="264"/>
      <c r="AE865" s="264"/>
    </row>
    <row r="866">
      <c r="A866" s="272"/>
      <c r="B866" s="272"/>
      <c r="C866" s="272"/>
      <c r="D866" s="172"/>
      <c r="E866" s="267" t="str">
        <f t="shared" si="22"/>
        <v/>
      </c>
      <c r="F866" s="274" t="str">
        <f t="shared" si="2"/>
        <v/>
      </c>
      <c r="G866" s="42"/>
      <c r="H866" s="264"/>
      <c r="I866" s="277"/>
      <c r="J866" s="276" t="str">
        <f>IF(ISBLANK(I866), "", VLOOKUP(E866&amp;" "&amp;F866, 'Info Tipo de Cambio y REM'!$A$24:$B$35, 2, FALSE))
</f>
        <v/>
      </c>
      <c r="K866" s="107" t="str">
        <f t="shared" si="23"/>
        <v/>
      </c>
      <c r="L866" s="293">
        <f t="shared" si="5"/>
        <v>-5187415.025</v>
      </c>
      <c r="M866" s="293">
        <f t="shared" si="3"/>
        <v>-68574.41</v>
      </c>
      <c r="N866" s="293">
        <f t="shared" si="6"/>
        <v>0</v>
      </c>
      <c r="O866" s="277">
        <f t="shared" si="4"/>
        <v>-72146.60962</v>
      </c>
      <c r="P866" s="264"/>
      <c r="Q866" s="264"/>
      <c r="R866" s="264"/>
      <c r="S866" s="264"/>
      <c r="T866" s="264"/>
      <c r="U866" s="264"/>
      <c r="V866" s="264"/>
      <c r="W866" s="264"/>
      <c r="X866" s="264"/>
      <c r="Y866" s="264"/>
      <c r="Z866" s="264"/>
      <c r="AA866" s="264"/>
      <c r="AB866" s="264"/>
      <c r="AC866" s="264"/>
      <c r="AD866" s="264"/>
      <c r="AE866" s="264"/>
    </row>
    <row r="867">
      <c r="A867" s="272"/>
      <c r="B867" s="272"/>
      <c r="C867" s="272"/>
      <c r="D867" s="172"/>
      <c r="E867" s="267" t="str">
        <f t="shared" si="22"/>
        <v/>
      </c>
      <c r="F867" s="274" t="str">
        <f t="shared" si="2"/>
        <v/>
      </c>
      <c r="G867" s="42"/>
      <c r="H867" s="264"/>
      <c r="I867" s="277"/>
      <c r="J867" s="276" t="str">
        <f>IF(ISBLANK(I867), "", VLOOKUP(E867&amp;" "&amp;F867, 'Info Tipo de Cambio y REM'!$A$24:$B$35, 2, FALSE))
</f>
        <v/>
      </c>
      <c r="K867" s="107" t="str">
        <f t="shared" si="23"/>
        <v/>
      </c>
      <c r="L867" s="293">
        <f t="shared" si="5"/>
        <v>-5187415.025</v>
      </c>
      <c r="M867" s="293">
        <f t="shared" si="3"/>
        <v>-68574.41</v>
      </c>
      <c r="N867" s="293">
        <f t="shared" si="6"/>
        <v>0</v>
      </c>
      <c r="O867" s="277">
        <f t="shared" si="4"/>
        <v>-72146.60962</v>
      </c>
      <c r="P867" s="264"/>
      <c r="Q867" s="264"/>
      <c r="R867" s="264"/>
      <c r="S867" s="264"/>
      <c r="T867" s="264"/>
      <c r="U867" s="264"/>
      <c r="V867" s="264"/>
      <c r="W867" s="264"/>
      <c r="X867" s="264"/>
      <c r="Y867" s="264"/>
      <c r="Z867" s="264"/>
      <c r="AA867" s="264"/>
      <c r="AB867" s="264"/>
      <c r="AC867" s="264"/>
      <c r="AD867" s="264"/>
      <c r="AE867" s="264"/>
    </row>
    <row r="868">
      <c r="A868" s="272"/>
      <c r="B868" s="272"/>
      <c r="C868" s="272"/>
      <c r="D868" s="172"/>
      <c r="E868" s="267" t="str">
        <f t="shared" si="22"/>
        <v/>
      </c>
      <c r="F868" s="274" t="str">
        <f t="shared" si="2"/>
        <v/>
      </c>
      <c r="G868" s="42"/>
      <c r="H868" s="264"/>
      <c r="I868" s="277"/>
      <c r="J868" s="276" t="str">
        <f>IF(ISBLANK(I868), "", VLOOKUP(E868&amp;" "&amp;F868, 'Info Tipo de Cambio y REM'!$A$24:$B$35, 2, FALSE))
</f>
        <v/>
      </c>
      <c r="K868" s="107" t="str">
        <f t="shared" si="23"/>
        <v/>
      </c>
      <c r="L868" s="293">
        <f t="shared" si="5"/>
        <v>-5187415.025</v>
      </c>
      <c r="M868" s="293">
        <f t="shared" si="3"/>
        <v>-68574.41</v>
      </c>
      <c r="N868" s="293">
        <f t="shared" si="6"/>
        <v>0</v>
      </c>
      <c r="O868" s="277">
        <f t="shared" si="4"/>
        <v>-72146.60962</v>
      </c>
      <c r="P868" s="264"/>
      <c r="Q868" s="264"/>
      <c r="R868" s="264"/>
      <c r="S868" s="264"/>
      <c r="T868" s="264"/>
      <c r="U868" s="264"/>
      <c r="V868" s="264"/>
      <c r="W868" s="264"/>
      <c r="X868" s="264"/>
      <c r="Y868" s="264"/>
      <c r="Z868" s="264"/>
      <c r="AA868" s="264"/>
      <c r="AB868" s="264"/>
      <c r="AC868" s="264"/>
      <c r="AD868" s="264"/>
      <c r="AE868" s="264"/>
    </row>
    <row r="869">
      <c r="A869" s="272"/>
      <c r="B869" s="272"/>
      <c r="C869" s="272"/>
      <c r="D869" s="172"/>
      <c r="E869" s="267" t="str">
        <f t="shared" si="22"/>
        <v/>
      </c>
      <c r="F869" s="274" t="str">
        <f t="shared" si="2"/>
        <v/>
      </c>
      <c r="G869" s="42"/>
      <c r="H869" s="264"/>
      <c r="I869" s="277"/>
      <c r="J869" s="276" t="str">
        <f>IF(ISBLANK(I869), "", VLOOKUP(E869&amp;" "&amp;F869, 'Info Tipo de Cambio y REM'!$A$24:$B$35, 2, FALSE))
</f>
        <v/>
      </c>
      <c r="K869" s="107" t="str">
        <f t="shared" si="23"/>
        <v/>
      </c>
      <c r="L869" s="293">
        <f t="shared" si="5"/>
        <v>-5187415.025</v>
      </c>
      <c r="M869" s="293">
        <f t="shared" si="3"/>
        <v>-68574.41</v>
      </c>
      <c r="N869" s="293">
        <f t="shared" si="6"/>
        <v>0</v>
      </c>
      <c r="O869" s="277">
        <f t="shared" si="4"/>
        <v>-72146.60962</v>
      </c>
      <c r="P869" s="264"/>
      <c r="Q869" s="264"/>
      <c r="R869" s="264"/>
      <c r="S869" s="264"/>
      <c r="T869" s="264"/>
      <c r="U869" s="264"/>
      <c r="V869" s="264"/>
      <c r="W869" s="264"/>
      <c r="X869" s="264"/>
      <c r="Y869" s="264"/>
      <c r="Z869" s="264"/>
      <c r="AA869" s="264"/>
      <c r="AB869" s="264"/>
      <c r="AC869" s="264"/>
      <c r="AD869" s="264"/>
      <c r="AE869" s="264"/>
    </row>
    <row r="870">
      <c r="A870" s="272"/>
      <c r="B870" s="272"/>
      <c r="C870" s="272"/>
      <c r="D870" s="172"/>
      <c r="E870" s="267" t="str">
        <f t="shared" si="22"/>
        <v/>
      </c>
      <c r="F870" s="274" t="str">
        <f t="shared" si="2"/>
        <v/>
      </c>
      <c r="G870" s="42"/>
      <c r="H870" s="264"/>
      <c r="I870" s="277"/>
      <c r="J870" s="276" t="str">
        <f>IF(ISBLANK(I870), "", VLOOKUP(E870&amp;" "&amp;F870, 'Info Tipo de Cambio y REM'!$A$24:$B$35, 2, FALSE))
</f>
        <v/>
      </c>
      <c r="K870" s="107" t="str">
        <f t="shared" si="23"/>
        <v/>
      </c>
      <c r="L870" s="293">
        <f t="shared" si="5"/>
        <v>-5187415.025</v>
      </c>
      <c r="M870" s="293">
        <f t="shared" si="3"/>
        <v>-68574.41</v>
      </c>
      <c r="N870" s="293">
        <f t="shared" si="6"/>
        <v>0</v>
      </c>
      <c r="O870" s="277">
        <f t="shared" si="4"/>
        <v>-72146.60962</v>
      </c>
      <c r="P870" s="264"/>
      <c r="Q870" s="264"/>
      <c r="R870" s="264"/>
      <c r="S870" s="264"/>
      <c r="T870" s="264"/>
      <c r="U870" s="264"/>
      <c r="V870" s="264"/>
      <c r="W870" s="264"/>
      <c r="X870" s="264"/>
      <c r="Y870" s="264"/>
      <c r="Z870" s="264"/>
      <c r="AA870" s="264"/>
      <c r="AB870" s="264"/>
      <c r="AC870" s="264"/>
      <c r="AD870" s="264"/>
      <c r="AE870" s="264"/>
    </row>
    <row r="871">
      <c r="A871" s="272"/>
      <c r="B871" s="272"/>
      <c r="C871" s="272"/>
      <c r="D871" s="172"/>
      <c r="E871" s="267" t="str">
        <f t="shared" si="22"/>
        <v/>
      </c>
      <c r="F871" s="274" t="str">
        <f t="shared" si="2"/>
        <v/>
      </c>
      <c r="G871" s="42"/>
      <c r="H871" s="264"/>
      <c r="I871" s="277"/>
      <c r="J871" s="276" t="str">
        <f>IF(ISBLANK(I871), "", VLOOKUP(E871&amp;" "&amp;F871, 'Info Tipo de Cambio y REM'!$A$24:$B$35, 2, FALSE))
</f>
        <v/>
      </c>
      <c r="K871" s="107" t="str">
        <f t="shared" si="23"/>
        <v/>
      </c>
      <c r="L871" s="293">
        <f t="shared" si="5"/>
        <v>-5187415.025</v>
      </c>
      <c r="M871" s="293">
        <f t="shared" si="3"/>
        <v>-68574.41</v>
      </c>
      <c r="N871" s="293">
        <f t="shared" si="6"/>
        <v>0</v>
      </c>
      <c r="O871" s="277">
        <f t="shared" si="4"/>
        <v>-72146.60962</v>
      </c>
      <c r="P871" s="264"/>
      <c r="Q871" s="264"/>
      <c r="R871" s="264"/>
      <c r="S871" s="264"/>
      <c r="T871" s="264"/>
      <c r="U871" s="264"/>
      <c r="V871" s="264"/>
      <c r="W871" s="264"/>
      <c r="X871" s="264"/>
      <c r="Y871" s="264"/>
      <c r="Z871" s="264"/>
      <c r="AA871" s="264"/>
      <c r="AB871" s="264"/>
      <c r="AC871" s="264"/>
      <c r="AD871" s="264"/>
      <c r="AE871" s="264"/>
    </row>
    <row r="872">
      <c r="A872" s="272"/>
      <c r="B872" s="272"/>
      <c r="C872" s="272"/>
      <c r="D872" s="172"/>
      <c r="E872" s="267" t="str">
        <f t="shared" si="22"/>
        <v/>
      </c>
      <c r="F872" s="274" t="str">
        <f t="shared" si="2"/>
        <v/>
      </c>
      <c r="G872" s="42"/>
      <c r="H872" s="264"/>
      <c r="I872" s="277"/>
      <c r="J872" s="276" t="str">
        <f>IF(ISBLANK(I872), "", VLOOKUP(E872&amp;" "&amp;F872, 'Info Tipo de Cambio y REM'!$A$24:$B$35, 2, FALSE))
</f>
        <v/>
      </c>
      <c r="K872" s="107" t="str">
        <f t="shared" si="23"/>
        <v/>
      </c>
      <c r="L872" s="293">
        <f t="shared" si="5"/>
        <v>-5187415.025</v>
      </c>
      <c r="M872" s="293">
        <f t="shared" si="3"/>
        <v>-68574.41</v>
      </c>
      <c r="N872" s="293">
        <f t="shared" si="6"/>
        <v>0</v>
      </c>
      <c r="O872" s="277">
        <f t="shared" si="4"/>
        <v>-72146.60962</v>
      </c>
      <c r="P872" s="264"/>
      <c r="Q872" s="264"/>
      <c r="R872" s="264"/>
      <c r="S872" s="264"/>
      <c r="T872" s="264"/>
      <c r="U872" s="264"/>
      <c r="V872" s="264"/>
      <c r="W872" s="264"/>
      <c r="X872" s="264"/>
      <c r="Y872" s="264"/>
      <c r="Z872" s="264"/>
      <c r="AA872" s="264"/>
      <c r="AB872" s="264"/>
      <c r="AC872" s="264"/>
      <c r="AD872" s="264"/>
      <c r="AE872" s="264"/>
    </row>
    <row r="873">
      <c r="A873" s="272"/>
      <c r="B873" s="272"/>
      <c r="C873" s="272"/>
      <c r="D873" s="172"/>
      <c r="E873" s="267" t="str">
        <f t="shared" si="22"/>
        <v/>
      </c>
      <c r="F873" s="274" t="str">
        <f t="shared" si="2"/>
        <v/>
      </c>
      <c r="G873" s="42"/>
      <c r="H873" s="264"/>
      <c r="I873" s="277"/>
      <c r="J873" s="276" t="str">
        <f>IF(ISBLANK(I873), "", VLOOKUP(E873&amp;" "&amp;F873, 'Info Tipo de Cambio y REM'!$A$24:$B$35, 2, FALSE))
</f>
        <v/>
      </c>
      <c r="K873" s="107" t="str">
        <f t="shared" si="23"/>
        <v/>
      </c>
      <c r="L873" s="293">
        <f t="shared" si="5"/>
        <v>-5187415.025</v>
      </c>
      <c r="M873" s="293">
        <f t="shared" si="3"/>
        <v>-68574.41</v>
      </c>
      <c r="N873" s="293">
        <f t="shared" si="6"/>
        <v>0</v>
      </c>
      <c r="O873" s="277">
        <f t="shared" si="4"/>
        <v>-72146.60962</v>
      </c>
      <c r="P873" s="264"/>
      <c r="Q873" s="264"/>
      <c r="R873" s="264"/>
      <c r="S873" s="264"/>
      <c r="T873" s="264"/>
      <c r="U873" s="264"/>
      <c r="V873" s="264"/>
      <c r="W873" s="264"/>
      <c r="X873" s="264"/>
      <c r="Y873" s="264"/>
      <c r="Z873" s="264"/>
      <c r="AA873" s="264"/>
      <c r="AB873" s="264"/>
      <c r="AC873" s="264"/>
      <c r="AD873" s="264"/>
      <c r="AE873" s="264"/>
    </row>
    <row r="874">
      <c r="A874" s="272"/>
      <c r="B874" s="272"/>
      <c r="C874" s="272"/>
      <c r="D874" s="172"/>
      <c r="E874" s="267" t="str">
        <f t="shared" si="22"/>
        <v/>
      </c>
      <c r="F874" s="274" t="str">
        <f t="shared" si="2"/>
        <v/>
      </c>
      <c r="G874" s="42"/>
      <c r="H874" s="264"/>
      <c r="I874" s="277"/>
      <c r="J874" s="276" t="str">
        <f>IF(ISBLANK(I874), "", VLOOKUP(E874&amp;" "&amp;F874, 'Info Tipo de Cambio y REM'!$A$24:$B$35, 2, FALSE))
</f>
        <v/>
      </c>
      <c r="K874" s="107" t="str">
        <f t="shared" si="23"/>
        <v/>
      </c>
      <c r="L874" s="293">
        <f t="shared" si="5"/>
        <v>-5187415.025</v>
      </c>
      <c r="M874" s="293">
        <f t="shared" si="3"/>
        <v>-68574.41</v>
      </c>
      <c r="N874" s="293">
        <f t="shared" si="6"/>
        <v>0</v>
      </c>
      <c r="O874" s="277">
        <f t="shared" si="4"/>
        <v>-72146.60962</v>
      </c>
      <c r="P874" s="264"/>
      <c r="Q874" s="264"/>
      <c r="R874" s="264"/>
      <c r="S874" s="264"/>
      <c r="T874" s="264"/>
      <c r="U874" s="264"/>
      <c r="V874" s="264"/>
      <c r="W874" s="264"/>
      <c r="X874" s="264"/>
      <c r="Y874" s="264"/>
      <c r="Z874" s="264"/>
      <c r="AA874" s="264"/>
      <c r="AB874" s="264"/>
      <c r="AC874" s="264"/>
      <c r="AD874" s="264"/>
      <c r="AE874" s="264"/>
    </row>
    <row r="875">
      <c r="A875" s="272"/>
      <c r="B875" s="272"/>
      <c r="C875" s="272"/>
      <c r="D875" s="172"/>
      <c r="E875" s="267" t="str">
        <f t="shared" si="22"/>
        <v/>
      </c>
      <c r="F875" s="274" t="str">
        <f t="shared" si="2"/>
        <v/>
      </c>
      <c r="G875" s="42"/>
      <c r="H875" s="264"/>
      <c r="I875" s="277"/>
      <c r="J875" s="276" t="str">
        <f>IF(ISBLANK(I875), "", VLOOKUP(E875&amp;" "&amp;F875, 'Info Tipo de Cambio y REM'!$A$24:$B$35, 2, FALSE))
</f>
        <v/>
      </c>
      <c r="K875" s="107" t="str">
        <f t="shared" si="23"/>
        <v/>
      </c>
      <c r="L875" s="293">
        <f t="shared" si="5"/>
        <v>-5187415.025</v>
      </c>
      <c r="M875" s="293">
        <f t="shared" si="3"/>
        <v>-68574.41</v>
      </c>
      <c r="N875" s="293">
        <f t="shared" si="6"/>
        <v>0</v>
      </c>
      <c r="O875" s="277">
        <f t="shared" si="4"/>
        <v>-72146.60962</v>
      </c>
      <c r="P875" s="264"/>
      <c r="Q875" s="264"/>
      <c r="R875" s="264"/>
      <c r="S875" s="264"/>
      <c r="T875" s="264"/>
      <c r="U875" s="264"/>
      <c r="V875" s="264"/>
      <c r="W875" s="264"/>
      <c r="X875" s="264"/>
      <c r="Y875" s="264"/>
      <c r="Z875" s="264"/>
      <c r="AA875" s="264"/>
      <c r="AB875" s="264"/>
      <c r="AC875" s="264"/>
      <c r="AD875" s="264"/>
      <c r="AE875" s="264"/>
    </row>
    <row r="876">
      <c r="A876" s="272"/>
      <c r="B876" s="272"/>
      <c r="C876" s="272"/>
      <c r="D876" s="172"/>
      <c r="E876" s="267" t="str">
        <f t="shared" si="22"/>
        <v/>
      </c>
      <c r="F876" s="274" t="str">
        <f t="shared" si="2"/>
        <v/>
      </c>
      <c r="G876" s="42"/>
      <c r="H876" s="264"/>
      <c r="I876" s="277"/>
      <c r="J876" s="276" t="str">
        <f>IF(ISBLANK(I876), "", VLOOKUP(E876&amp;" "&amp;F876, 'Info Tipo de Cambio y REM'!$A$24:$B$35, 2, FALSE))
</f>
        <v/>
      </c>
      <c r="K876" s="107" t="str">
        <f t="shared" si="23"/>
        <v/>
      </c>
      <c r="L876" s="293">
        <f t="shared" si="5"/>
        <v>-5187415.025</v>
      </c>
      <c r="M876" s="293">
        <f t="shared" si="3"/>
        <v>-68574.41</v>
      </c>
      <c r="N876" s="293">
        <f t="shared" si="6"/>
        <v>0</v>
      </c>
      <c r="O876" s="277">
        <f t="shared" si="4"/>
        <v>-72146.60962</v>
      </c>
      <c r="P876" s="264"/>
      <c r="Q876" s="264"/>
      <c r="R876" s="264"/>
      <c r="S876" s="264"/>
      <c r="T876" s="264"/>
      <c r="U876" s="264"/>
      <c r="V876" s="264"/>
      <c r="W876" s="264"/>
      <c r="X876" s="264"/>
      <c r="Y876" s="264"/>
      <c r="Z876" s="264"/>
      <c r="AA876" s="264"/>
      <c r="AB876" s="264"/>
      <c r="AC876" s="264"/>
      <c r="AD876" s="264"/>
      <c r="AE876" s="264"/>
    </row>
    <row r="877">
      <c r="A877" s="272"/>
      <c r="B877" s="272"/>
      <c r="C877" s="272"/>
      <c r="D877" s="172"/>
      <c r="E877" s="267" t="str">
        <f t="shared" si="22"/>
        <v/>
      </c>
      <c r="F877" s="274" t="str">
        <f t="shared" si="2"/>
        <v/>
      </c>
      <c r="G877" s="42"/>
      <c r="H877" s="264"/>
      <c r="I877" s="277"/>
      <c r="J877" s="276" t="str">
        <f>IF(ISBLANK(I877), "", VLOOKUP(E877&amp;" "&amp;F877, 'Info Tipo de Cambio y REM'!$A$24:$B$35, 2, FALSE))
</f>
        <v/>
      </c>
      <c r="K877" s="107" t="str">
        <f t="shared" si="23"/>
        <v/>
      </c>
      <c r="L877" s="293">
        <f t="shared" si="5"/>
        <v>-5187415.025</v>
      </c>
      <c r="M877" s="293">
        <f t="shared" si="3"/>
        <v>-68574.41</v>
      </c>
      <c r="N877" s="293">
        <f t="shared" si="6"/>
        <v>0</v>
      </c>
      <c r="O877" s="277">
        <f t="shared" si="4"/>
        <v>-72146.60962</v>
      </c>
      <c r="P877" s="264"/>
      <c r="Q877" s="264"/>
      <c r="R877" s="264"/>
      <c r="S877" s="264"/>
      <c r="T877" s="264"/>
      <c r="U877" s="264"/>
      <c r="V877" s="264"/>
      <c r="W877" s="264"/>
      <c r="X877" s="264"/>
      <c r="Y877" s="264"/>
      <c r="Z877" s="264"/>
      <c r="AA877" s="264"/>
      <c r="AB877" s="264"/>
      <c r="AC877" s="264"/>
      <c r="AD877" s="264"/>
      <c r="AE877" s="264"/>
    </row>
    <row r="878">
      <c r="A878" s="272"/>
      <c r="B878" s="272"/>
      <c r="C878" s="272"/>
      <c r="D878" s="172"/>
      <c r="E878" s="267" t="str">
        <f t="shared" si="22"/>
        <v/>
      </c>
      <c r="F878" s="274" t="str">
        <f t="shared" si="2"/>
        <v/>
      </c>
      <c r="G878" s="42"/>
      <c r="H878" s="264"/>
      <c r="I878" s="277"/>
      <c r="J878" s="276" t="str">
        <f>IF(ISBLANK(I878), "", VLOOKUP(E878&amp;" "&amp;F878, 'Info Tipo de Cambio y REM'!$A$24:$B$35, 2, FALSE))
</f>
        <v/>
      </c>
      <c r="K878" s="107" t="str">
        <f t="shared" si="23"/>
        <v/>
      </c>
      <c r="L878" s="293">
        <f t="shared" si="5"/>
        <v>-5187415.025</v>
      </c>
      <c r="M878" s="293">
        <f t="shared" si="3"/>
        <v>-68574.41</v>
      </c>
      <c r="N878" s="293">
        <f t="shared" si="6"/>
        <v>0</v>
      </c>
      <c r="O878" s="277">
        <f t="shared" si="4"/>
        <v>-72146.60962</v>
      </c>
      <c r="P878" s="264"/>
      <c r="Q878" s="264"/>
      <c r="R878" s="264"/>
      <c r="S878" s="264"/>
      <c r="T878" s="264"/>
      <c r="U878" s="264"/>
      <c r="V878" s="264"/>
      <c r="W878" s="264"/>
      <c r="X878" s="264"/>
      <c r="Y878" s="264"/>
      <c r="Z878" s="264"/>
      <c r="AA878" s="264"/>
      <c r="AB878" s="264"/>
      <c r="AC878" s="264"/>
      <c r="AD878" s="264"/>
      <c r="AE878" s="264"/>
    </row>
    <row r="879">
      <c r="A879" s="272"/>
      <c r="B879" s="272"/>
      <c r="C879" s="272"/>
      <c r="D879" s="172"/>
      <c r="E879" s="267" t="str">
        <f t="shared" si="22"/>
        <v/>
      </c>
      <c r="F879" s="274" t="str">
        <f t="shared" si="2"/>
        <v/>
      </c>
      <c r="G879" s="42"/>
      <c r="H879" s="264"/>
      <c r="I879" s="277"/>
      <c r="J879" s="276" t="str">
        <f>IF(ISBLANK(I879), "", VLOOKUP(E879&amp;" "&amp;F879, 'Info Tipo de Cambio y REM'!$A$24:$B$35, 2, FALSE))
</f>
        <v/>
      </c>
      <c r="K879" s="107" t="str">
        <f t="shared" si="23"/>
        <v/>
      </c>
      <c r="L879" s="293">
        <f t="shared" si="5"/>
        <v>-5187415.025</v>
      </c>
      <c r="M879" s="293">
        <f t="shared" si="3"/>
        <v>-68574.41</v>
      </c>
      <c r="N879" s="293">
        <f t="shared" si="6"/>
        <v>0</v>
      </c>
      <c r="O879" s="277">
        <f t="shared" si="4"/>
        <v>-72146.60962</v>
      </c>
      <c r="P879" s="264"/>
      <c r="Q879" s="264"/>
      <c r="R879" s="264"/>
      <c r="S879" s="264"/>
      <c r="T879" s="264"/>
      <c r="U879" s="264"/>
      <c r="V879" s="264"/>
      <c r="W879" s="264"/>
      <c r="X879" s="264"/>
      <c r="Y879" s="264"/>
      <c r="Z879" s="264"/>
      <c r="AA879" s="264"/>
      <c r="AB879" s="264"/>
      <c r="AC879" s="264"/>
      <c r="AD879" s="264"/>
      <c r="AE879" s="264"/>
    </row>
    <row r="880">
      <c r="A880" s="272"/>
      <c r="B880" s="272"/>
      <c r="C880" s="272"/>
      <c r="D880" s="172"/>
      <c r="E880" s="267" t="str">
        <f t="shared" si="22"/>
        <v/>
      </c>
      <c r="F880" s="274" t="str">
        <f t="shared" si="2"/>
        <v/>
      </c>
      <c r="G880" s="42"/>
      <c r="H880" s="264"/>
      <c r="I880" s="277"/>
      <c r="J880" s="276" t="str">
        <f>IF(ISBLANK(I880), "", VLOOKUP(E880&amp;" "&amp;F880, 'Info Tipo de Cambio y REM'!$A$24:$B$35, 2, FALSE))
</f>
        <v/>
      </c>
      <c r="K880" s="107" t="str">
        <f t="shared" si="23"/>
        <v/>
      </c>
      <c r="L880" s="293">
        <f t="shared" si="5"/>
        <v>-5187415.025</v>
      </c>
      <c r="M880" s="293">
        <f t="shared" si="3"/>
        <v>-68574.41</v>
      </c>
      <c r="N880" s="293">
        <f t="shared" si="6"/>
        <v>0</v>
      </c>
      <c r="O880" s="277">
        <f t="shared" si="4"/>
        <v>-72146.60962</v>
      </c>
      <c r="P880" s="264"/>
      <c r="Q880" s="264"/>
      <c r="R880" s="264"/>
      <c r="S880" s="264"/>
      <c r="T880" s="264"/>
      <c r="U880" s="264"/>
      <c r="V880" s="264"/>
      <c r="W880" s="264"/>
      <c r="X880" s="264"/>
      <c r="Y880" s="264"/>
      <c r="Z880" s="264"/>
      <c r="AA880" s="264"/>
      <c r="AB880" s="264"/>
      <c r="AC880" s="264"/>
      <c r="AD880" s="264"/>
      <c r="AE880" s="264"/>
    </row>
    <row r="881">
      <c r="A881" s="272"/>
      <c r="B881" s="272"/>
      <c r="C881" s="272"/>
      <c r="D881" s="172"/>
      <c r="E881" s="267" t="str">
        <f t="shared" si="22"/>
        <v/>
      </c>
      <c r="F881" s="274" t="str">
        <f t="shared" si="2"/>
        <v/>
      </c>
      <c r="G881" s="42"/>
      <c r="H881" s="264"/>
      <c r="I881" s="277"/>
      <c r="J881" s="276" t="str">
        <f>IF(ISBLANK(I881), "", VLOOKUP(E881&amp;" "&amp;F881, 'Info Tipo de Cambio y REM'!$A$24:$B$35, 2, FALSE))
</f>
        <v/>
      </c>
      <c r="K881" s="107" t="str">
        <f t="shared" si="23"/>
        <v/>
      </c>
      <c r="L881" s="293">
        <f t="shared" si="5"/>
        <v>-5187415.025</v>
      </c>
      <c r="M881" s="293">
        <f t="shared" si="3"/>
        <v>-68574.41</v>
      </c>
      <c r="N881" s="293">
        <f t="shared" si="6"/>
        <v>0</v>
      </c>
      <c r="O881" s="277">
        <f t="shared" si="4"/>
        <v>-72146.60962</v>
      </c>
      <c r="P881" s="264"/>
      <c r="Q881" s="264"/>
      <c r="R881" s="264"/>
      <c r="S881" s="264"/>
      <c r="T881" s="264"/>
      <c r="U881" s="264"/>
      <c r="V881" s="264"/>
      <c r="W881" s="264"/>
      <c r="X881" s="264"/>
      <c r="Y881" s="264"/>
      <c r="Z881" s="264"/>
      <c r="AA881" s="264"/>
      <c r="AB881" s="264"/>
      <c r="AC881" s="264"/>
      <c r="AD881" s="264"/>
      <c r="AE881" s="264"/>
    </row>
    <row r="882">
      <c r="A882" s="272"/>
      <c r="B882" s="272"/>
      <c r="C882" s="272"/>
      <c r="D882" s="172"/>
      <c r="E882" s="267" t="str">
        <f t="shared" si="22"/>
        <v/>
      </c>
      <c r="F882" s="274" t="str">
        <f t="shared" si="2"/>
        <v/>
      </c>
      <c r="G882" s="42"/>
      <c r="H882" s="264"/>
      <c r="I882" s="277"/>
      <c r="J882" s="276" t="str">
        <f>IF(ISBLANK(I882), "", VLOOKUP(E882&amp;" "&amp;F882, 'Info Tipo de Cambio y REM'!$A$24:$B$35, 2, FALSE))
</f>
        <v/>
      </c>
      <c r="K882" s="107" t="str">
        <f t="shared" si="23"/>
        <v/>
      </c>
      <c r="L882" s="293">
        <f t="shared" si="5"/>
        <v>-5187415.025</v>
      </c>
      <c r="M882" s="293">
        <f t="shared" si="3"/>
        <v>-68574.41</v>
      </c>
      <c r="N882" s="293">
        <f t="shared" si="6"/>
        <v>0</v>
      </c>
      <c r="O882" s="277">
        <f t="shared" si="4"/>
        <v>-72146.60962</v>
      </c>
      <c r="P882" s="264"/>
      <c r="Q882" s="264"/>
      <c r="R882" s="264"/>
      <c r="S882" s="264"/>
      <c r="T882" s="264"/>
      <c r="U882" s="264"/>
      <c r="V882" s="264"/>
      <c r="W882" s="264"/>
      <c r="X882" s="264"/>
      <c r="Y882" s="264"/>
      <c r="Z882" s="264"/>
      <c r="AA882" s="264"/>
      <c r="AB882" s="264"/>
      <c r="AC882" s="264"/>
      <c r="AD882" s="264"/>
      <c r="AE882" s="264"/>
    </row>
    <row r="883">
      <c r="A883" s="272"/>
      <c r="B883" s="272"/>
      <c r="C883" s="272"/>
      <c r="D883" s="172"/>
      <c r="E883" s="267" t="str">
        <f t="shared" si="22"/>
        <v/>
      </c>
      <c r="F883" s="274" t="str">
        <f t="shared" si="2"/>
        <v/>
      </c>
      <c r="G883" s="42"/>
      <c r="H883" s="264"/>
      <c r="I883" s="277"/>
      <c r="J883" s="276" t="str">
        <f>IF(ISBLANK(I883), "", VLOOKUP(E883&amp;" "&amp;F883, 'Info Tipo de Cambio y REM'!$A$24:$B$35, 2, FALSE))
</f>
        <v/>
      </c>
      <c r="K883" s="107" t="str">
        <f t="shared" si="23"/>
        <v/>
      </c>
      <c r="L883" s="293">
        <f t="shared" si="5"/>
        <v>-5187415.025</v>
      </c>
      <c r="M883" s="293">
        <f t="shared" si="3"/>
        <v>-68574.41</v>
      </c>
      <c r="N883" s="293">
        <f t="shared" si="6"/>
        <v>0</v>
      </c>
      <c r="O883" s="277">
        <f t="shared" si="4"/>
        <v>-72146.60962</v>
      </c>
      <c r="P883" s="264"/>
      <c r="Q883" s="264"/>
      <c r="R883" s="264"/>
      <c r="S883" s="264"/>
      <c r="T883" s="264"/>
      <c r="U883" s="264"/>
      <c r="V883" s="264"/>
      <c r="W883" s="264"/>
      <c r="X883" s="264"/>
      <c r="Y883" s="264"/>
      <c r="Z883" s="264"/>
      <c r="AA883" s="264"/>
      <c r="AB883" s="264"/>
      <c r="AC883" s="264"/>
      <c r="AD883" s="264"/>
      <c r="AE883" s="264"/>
    </row>
    <row r="884">
      <c r="A884" s="272"/>
      <c r="B884" s="272"/>
      <c r="C884" s="272"/>
      <c r="D884" s="172"/>
      <c r="E884" s="267" t="str">
        <f t="shared" si="22"/>
        <v/>
      </c>
      <c r="F884" s="274" t="str">
        <f t="shared" si="2"/>
        <v/>
      </c>
      <c r="G884" s="42"/>
      <c r="H884" s="264"/>
      <c r="I884" s="277"/>
      <c r="J884" s="276" t="str">
        <f>IF(ISBLANK(I884), "", VLOOKUP(E884&amp;" "&amp;F884, 'Info Tipo de Cambio y REM'!$A$24:$B$35, 2, FALSE))
</f>
        <v/>
      </c>
      <c r="K884" s="107" t="str">
        <f t="shared" si="23"/>
        <v/>
      </c>
      <c r="L884" s="293">
        <f t="shared" si="5"/>
        <v>-5187415.025</v>
      </c>
      <c r="M884" s="293">
        <f t="shared" si="3"/>
        <v>-68574.41</v>
      </c>
      <c r="N884" s="293">
        <f t="shared" si="6"/>
        <v>0</v>
      </c>
      <c r="O884" s="277">
        <f t="shared" si="4"/>
        <v>-72146.60962</v>
      </c>
      <c r="P884" s="264"/>
      <c r="Q884" s="264"/>
      <c r="R884" s="264"/>
      <c r="S884" s="264"/>
      <c r="T884" s="264"/>
      <c r="U884" s="264"/>
      <c r="V884" s="264"/>
      <c r="W884" s="264"/>
      <c r="X884" s="264"/>
      <c r="Y884" s="264"/>
      <c r="Z884" s="264"/>
      <c r="AA884" s="264"/>
      <c r="AB884" s="264"/>
      <c r="AC884" s="264"/>
      <c r="AD884" s="264"/>
      <c r="AE884" s="264"/>
    </row>
    <row r="885">
      <c r="A885" s="272"/>
      <c r="B885" s="272"/>
      <c r="C885" s="272"/>
      <c r="D885" s="172"/>
      <c r="E885" s="267" t="str">
        <f t="shared" si="22"/>
        <v/>
      </c>
      <c r="F885" s="274" t="str">
        <f t="shared" si="2"/>
        <v/>
      </c>
      <c r="G885" s="42"/>
      <c r="H885" s="264"/>
      <c r="I885" s="277"/>
      <c r="J885" s="276" t="str">
        <f>IF(ISBLANK(I885), "", VLOOKUP(E885&amp;" "&amp;F885, 'Info Tipo de Cambio y REM'!$A$24:$B$35, 2, FALSE))
</f>
        <v/>
      </c>
      <c r="K885" s="107" t="str">
        <f t="shared" si="23"/>
        <v/>
      </c>
      <c r="L885" s="293">
        <f t="shared" si="5"/>
        <v>-5187415.025</v>
      </c>
      <c r="M885" s="293">
        <f t="shared" si="3"/>
        <v>-68574.41</v>
      </c>
      <c r="N885" s="293">
        <f t="shared" si="6"/>
        <v>0</v>
      </c>
      <c r="O885" s="277">
        <f t="shared" si="4"/>
        <v>-72146.60962</v>
      </c>
      <c r="P885" s="264"/>
      <c r="Q885" s="264"/>
      <c r="R885" s="264"/>
      <c r="S885" s="264"/>
      <c r="T885" s="264"/>
      <c r="U885" s="264"/>
      <c r="V885" s="264"/>
      <c r="W885" s="264"/>
      <c r="X885" s="264"/>
      <c r="Y885" s="264"/>
      <c r="Z885" s="264"/>
      <c r="AA885" s="264"/>
      <c r="AB885" s="264"/>
      <c r="AC885" s="264"/>
      <c r="AD885" s="264"/>
      <c r="AE885" s="264"/>
    </row>
    <row r="886">
      <c r="A886" s="272"/>
      <c r="B886" s="272"/>
      <c r="C886" s="272"/>
      <c r="D886" s="172"/>
      <c r="E886" s="267" t="str">
        <f t="shared" si="22"/>
        <v/>
      </c>
      <c r="F886" s="274" t="str">
        <f t="shared" si="2"/>
        <v/>
      </c>
      <c r="G886" s="42"/>
      <c r="H886" s="264"/>
      <c r="I886" s="277"/>
      <c r="J886" s="276" t="str">
        <f>IF(ISBLANK(I886), "", VLOOKUP(E886&amp;" "&amp;F886, 'Info Tipo de Cambio y REM'!$A$24:$B$35, 2, FALSE))
</f>
        <v/>
      </c>
      <c r="K886" s="107" t="str">
        <f t="shared" si="23"/>
        <v/>
      </c>
      <c r="L886" s="293">
        <f t="shared" si="5"/>
        <v>-5187415.025</v>
      </c>
      <c r="M886" s="293">
        <f t="shared" si="3"/>
        <v>-68574.41</v>
      </c>
      <c r="N886" s="293">
        <f t="shared" si="6"/>
        <v>0</v>
      </c>
      <c r="O886" s="277">
        <f t="shared" si="4"/>
        <v>-72146.60962</v>
      </c>
      <c r="P886" s="264"/>
      <c r="Q886" s="264"/>
      <c r="R886" s="264"/>
      <c r="S886" s="264"/>
      <c r="T886" s="264"/>
      <c r="U886" s="264"/>
      <c r="V886" s="264"/>
      <c r="W886" s="264"/>
      <c r="X886" s="264"/>
      <c r="Y886" s="264"/>
      <c r="Z886" s="264"/>
      <c r="AA886" s="264"/>
      <c r="AB886" s="264"/>
      <c r="AC886" s="264"/>
      <c r="AD886" s="264"/>
      <c r="AE886" s="264"/>
    </row>
    <row r="887">
      <c r="A887" s="272"/>
      <c r="B887" s="272"/>
      <c r="C887" s="272"/>
      <c r="D887" s="172"/>
      <c r="E887" s="267" t="str">
        <f t="shared" si="22"/>
        <v/>
      </c>
      <c r="F887" s="274" t="str">
        <f t="shared" si="2"/>
        <v/>
      </c>
      <c r="G887" s="42"/>
      <c r="H887" s="264"/>
      <c r="I887" s="277"/>
      <c r="J887" s="276" t="str">
        <f>IF(ISBLANK(I887), "", VLOOKUP(E887&amp;" "&amp;F887, 'Info Tipo de Cambio y REM'!$A$24:$B$35, 2, FALSE))
</f>
        <v/>
      </c>
      <c r="K887" s="107" t="str">
        <f t="shared" si="23"/>
        <v/>
      </c>
      <c r="L887" s="293">
        <f t="shared" si="5"/>
        <v>-5187415.025</v>
      </c>
      <c r="M887" s="293">
        <f t="shared" si="3"/>
        <v>-68574.41</v>
      </c>
      <c r="N887" s="293">
        <f t="shared" si="6"/>
        <v>0</v>
      </c>
      <c r="O887" s="277">
        <f t="shared" si="4"/>
        <v>-72146.60962</v>
      </c>
      <c r="P887" s="264"/>
      <c r="Q887" s="264"/>
      <c r="R887" s="264"/>
      <c r="S887" s="264"/>
      <c r="T887" s="264"/>
      <c r="U887" s="264"/>
      <c r="V887" s="264"/>
      <c r="W887" s="264"/>
      <c r="X887" s="264"/>
      <c r="Y887" s="264"/>
      <c r="Z887" s="264"/>
      <c r="AA887" s="264"/>
      <c r="AB887" s="264"/>
      <c r="AC887" s="264"/>
      <c r="AD887" s="264"/>
      <c r="AE887" s="264"/>
    </row>
    <row r="888">
      <c r="A888" s="272"/>
      <c r="B888" s="272"/>
      <c r="C888" s="272"/>
      <c r="D888" s="172"/>
      <c r="E888" s="267" t="str">
        <f t="shared" si="22"/>
        <v/>
      </c>
      <c r="F888" s="274" t="str">
        <f t="shared" si="2"/>
        <v/>
      </c>
      <c r="G888" s="42"/>
      <c r="H888" s="264"/>
      <c r="I888" s="277"/>
      <c r="J888" s="276" t="str">
        <f>IF(ISBLANK(I888), "", VLOOKUP(E888&amp;" "&amp;F888, 'Info Tipo de Cambio y REM'!$A$24:$B$35, 2, FALSE))
</f>
        <v/>
      </c>
      <c r="K888" s="107" t="str">
        <f t="shared" si="23"/>
        <v/>
      </c>
      <c r="L888" s="293">
        <f t="shared" si="5"/>
        <v>-5187415.025</v>
      </c>
      <c r="M888" s="293">
        <f t="shared" si="3"/>
        <v>-68574.41</v>
      </c>
      <c r="N888" s="293">
        <f t="shared" si="6"/>
        <v>0</v>
      </c>
      <c r="O888" s="277">
        <f t="shared" si="4"/>
        <v>-72146.60962</v>
      </c>
      <c r="P888" s="264"/>
      <c r="Q888" s="264"/>
      <c r="R888" s="264"/>
      <c r="S888" s="264"/>
      <c r="T888" s="264"/>
      <c r="U888" s="264"/>
      <c r="V888" s="264"/>
      <c r="W888" s="264"/>
      <c r="X888" s="264"/>
      <c r="Y888" s="264"/>
      <c r="Z888" s="264"/>
      <c r="AA888" s="264"/>
      <c r="AB888" s="264"/>
      <c r="AC888" s="264"/>
      <c r="AD888" s="264"/>
      <c r="AE888" s="264"/>
    </row>
    <row r="889">
      <c r="A889" s="272"/>
      <c r="B889" s="272"/>
      <c r="C889" s="272"/>
      <c r="D889" s="172"/>
      <c r="E889" s="267" t="str">
        <f t="shared" si="22"/>
        <v/>
      </c>
      <c r="F889" s="274" t="str">
        <f t="shared" si="2"/>
        <v/>
      </c>
      <c r="G889" s="42"/>
      <c r="H889" s="264"/>
      <c r="I889" s="277"/>
      <c r="J889" s="276" t="str">
        <f>IF(ISBLANK(I889), "", VLOOKUP(E889&amp;" "&amp;F889, 'Info Tipo de Cambio y REM'!$A$24:$B$35, 2, FALSE))
</f>
        <v/>
      </c>
      <c r="K889" s="107" t="str">
        <f t="shared" si="23"/>
        <v/>
      </c>
      <c r="L889" s="293">
        <f t="shared" si="5"/>
        <v>-5187415.025</v>
      </c>
      <c r="M889" s="293">
        <f t="shared" si="3"/>
        <v>-68574.41</v>
      </c>
      <c r="N889" s="293">
        <f t="shared" si="6"/>
        <v>0</v>
      </c>
      <c r="O889" s="277">
        <f t="shared" si="4"/>
        <v>-72146.60962</v>
      </c>
      <c r="P889" s="264"/>
      <c r="Q889" s="264"/>
      <c r="R889" s="264"/>
      <c r="S889" s="264"/>
      <c r="T889" s="264"/>
      <c r="U889" s="264"/>
      <c r="V889" s="264"/>
      <c r="W889" s="264"/>
      <c r="X889" s="264"/>
      <c r="Y889" s="264"/>
      <c r="Z889" s="264"/>
      <c r="AA889" s="264"/>
      <c r="AB889" s="264"/>
      <c r="AC889" s="264"/>
      <c r="AD889" s="264"/>
      <c r="AE889" s="264"/>
    </row>
    <row r="890">
      <c r="A890" s="272"/>
      <c r="B890" s="272"/>
      <c r="C890" s="272"/>
      <c r="D890" s="172"/>
      <c r="E890" s="267" t="str">
        <f t="shared" si="22"/>
        <v/>
      </c>
      <c r="F890" s="274" t="str">
        <f t="shared" si="2"/>
        <v/>
      </c>
      <c r="G890" s="42"/>
      <c r="H890" s="264"/>
      <c r="I890" s="277"/>
      <c r="J890" s="276" t="str">
        <f>IF(ISBLANK(I890), "", VLOOKUP(E890&amp;" "&amp;F890, 'Info Tipo de Cambio y REM'!$A$24:$B$35, 2, FALSE))
</f>
        <v/>
      </c>
      <c r="K890" s="107" t="str">
        <f t="shared" si="23"/>
        <v/>
      </c>
      <c r="L890" s="293">
        <f t="shared" si="5"/>
        <v>-5187415.025</v>
      </c>
      <c r="M890" s="293">
        <f t="shared" si="3"/>
        <v>-68574.41</v>
      </c>
      <c r="N890" s="293">
        <f t="shared" si="6"/>
        <v>0</v>
      </c>
      <c r="O890" s="277">
        <f t="shared" si="4"/>
        <v>-72146.60962</v>
      </c>
      <c r="P890" s="264"/>
      <c r="Q890" s="264"/>
      <c r="R890" s="264"/>
      <c r="S890" s="264"/>
      <c r="T890" s="264"/>
      <c r="U890" s="264"/>
      <c r="V890" s="264"/>
      <c r="W890" s="264"/>
      <c r="X890" s="264"/>
      <c r="Y890" s="264"/>
      <c r="Z890" s="264"/>
      <c r="AA890" s="264"/>
      <c r="AB890" s="264"/>
      <c r="AC890" s="264"/>
      <c r="AD890" s="264"/>
      <c r="AE890" s="264"/>
    </row>
    <row r="891">
      <c r="A891" s="272"/>
      <c r="B891" s="272"/>
      <c r="C891" s="272"/>
      <c r="D891" s="172"/>
      <c r="E891" s="267" t="str">
        <f t="shared" si="22"/>
        <v/>
      </c>
      <c r="F891" s="274" t="str">
        <f t="shared" si="2"/>
        <v/>
      </c>
      <c r="G891" s="42"/>
      <c r="H891" s="264"/>
      <c r="I891" s="277"/>
      <c r="J891" s="276" t="str">
        <f>IF(ISBLANK(I891), "", VLOOKUP(E891&amp;" "&amp;F891, 'Info Tipo de Cambio y REM'!$A$24:$B$35, 2, FALSE))
</f>
        <v/>
      </c>
      <c r="K891" s="107" t="str">
        <f t="shared" si="23"/>
        <v/>
      </c>
      <c r="L891" s="293">
        <f t="shared" si="5"/>
        <v>-5187415.025</v>
      </c>
      <c r="M891" s="293">
        <f t="shared" si="3"/>
        <v>-68574.41</v>
      </c>
      <c r="N891" s="293">
        <f t="shared" si="6"/>
        <v>0</v>
      </c>
      <c r="O891" s="277">
        <f t="shared" si="4"/>
        <v>-72146.60962</v>
      </c>
      <c r="P891" s="264"/>
      <c r="Q891" s="264"/>
      <c r="R891" s="264"/>
      <c r="S891" s="264"/>
      <c r="T891" s="264"/>
      <c r="U891" s="264"/>
      <c r="V891" s="264"/>
      <c r="W891" s="264"/>
      <c r="X891" s="264"/>
      <c r="Y891" s="264"/>
      <c r="Z891" s="264"/>
      <c r="AA891" s="264"/>
      <c r="AB891" s="264"/>
      <c r="AC891" s="264"/>
      <c r="AD891" s="264"/>
      <c r="AE891" s="264"/>
    </row>
    <row r="892">
      <c r="A892" s="272"/>
      <c r="B892" s="272"/>
      <c r="C892" s="272"/>
      <c r="D892" s="172"/>
      <c r="E892" s="267" t="str">
        <f t="shared" si="22"/>
        <v/>
      </c>
      <c r="F892" s="274" t="str">
        <f t="shared" si="2"/>
        <v/>
      </c>
      <c r="G892" s="42"/>
      <c r="H892" s="264"/>
      <c r="I892" s="277"/>
      <c r="J892" s="276" t="str">
        <f>IF(ISBLANK(I892), "", VLOOKUP(E892&amp;" "&amp;F892, 'Info Tipo de Cambio y REM'!$A$24:$B$35, 2, FALSE))
</f>
        <v/>
      </c>
      <c r="K892" s="107" t="str">
        <f t="shared" si="23"/>
        <v/>
      </c>
      <c r="L892" s="293">
        <f t="shared" si="5"/>
        <v>-5187415.025</v>
      </c>
      <c r="M892" s="293">
        <f t="shared" si="3"/>
        <v>-68574.41</v>
      </c>
      <c r="N892" s="293">
        <f t="shared" si="6"/>
        <v>0</v>
      </c>
      <c r="O892" s="277">
        <f t="shared" si="4"/>
        <v>-72146.60962</v>
      </c>
      <c r="P892" s="264"/>
      <c r="Q892" s="264"/>
      <c r="R892" s="264"/>
      <c r="S892" s="264"/>
      <c r="T892" s="264"/>
      <c r="U892" s="264"/>
      <c r="V892" s="264"/>
      <c r="W892" s="264"/>
      <c r="X892" s="264"/>
      <c r="Y892" s="264"/>
      <c r="Z892" s="264"/>
      <c r="AA892" s="264"/>
      <c r="AB892" s="264"/>
      <c r="AC892" s="264"/>
      <c r="AD892" s="264"/>
      <c r="AE892" s="264"/>
    </row>
    <row r="893">
      <c r="A893" s="272"/>
      <c r="B893" s="272"/>
      <c r="C893" s="272"/>
      <c r="D893" s="172"/>
      <c r="E893" s="267" t="str">
        <f t="shared" si="22"/>
        <v/>
      </c>
      <c r="F893" s="274" t="str">
        <f t="shared" si="2"/>
        <v/>
      </c>
      <c r="G893" s="42"/>
      <c r="H893" s="264"/>
      <c r="I893" s="277"/>
      <c r="J893" s="276" t="str">
        <f>IF(ISBLANK(I893), "", VLOOKUP(E893&amp;" "&amp;F893, 'Info Tipo de Cambio y REM'!$A$24:$B$35, 2, FALSE))
</f>
        <v/>
      </c>
      <c r="K893" s="107" t="str">
        <f t="shared" si="23"/>
        <v/>
      </c>
      <c r="L893" s="293">
        <f t="shared" si="5"/>
        <v>-5187415.025</v>
      </c>
      <c r="M893" s="293">
        <f t="shared" si="3"/>
        <v>-68574.41</v>
      </c>
      <c r="N893" s="293">
        <f t="shared" si="6"/>
        <v>0</v>
      </c>
      <c r="O893" s="277">
        <f t="shared" si="4"/>
        <v>-72146.60962</v>
      </c>
      <c r="P893" s="264"/>
      <c r="Q893" s="264"/>
      <c r="R893" s="264"/>
      <c r="S893" s="264"/>
      <c r="T893" s="264"/>
      <c r="U893" s="264"/>
      <c r="V893" s="264"/>
      <c r="W893" s="264"/>
      <c r="X893" s="264"/>
      <c r="Y893" s="264"/>
      <c r="Z893" s="264"/>
      <c r="AA893" s="264"/>
      <c r="AB893" s="264"/>
      <c r="AC893" s="264"/>
      <c r="AD893" s="264"/>
      <c r="AE893" s="264"/>
    </row>
    <row r="894">
      <c r="A894" s="272"/>
      <c r="B894" s="272"/>
      <c r="C894" s="272"/>
      <c r="D894" s="172"/>
      <c r="E894" s="267" t="str">
        <f t="shared" si="22"/>
        <v/>
      </c>
      <c r="F894" s="274" t="str">
        <f t="shared" si="2"/>
        <v/>
      </c>
      <c r="G894" s="42"/>
      <c r="H894" s="264"/>
      <c r="I894" s="277"/>
      <c r="J894" s="276" t="str">
        <f>IF(ISBLANK(I894), "", VLOOKUP(E894&amp;" "&amp;F894, 'Info Tipo de Cambio y REM'!$A$24:$B$35, 2, FALSE))
</f>
        <v/>
      </c>
      <c r="K894" s="107" t="str">
        <f t="shared" si="23"/>
        <v/>
      </c>
      <c r="L894" s="293">
        <f t="shared" si="5"/>
        <v>-5187415.025</v>
      </c>
      <c r="M894" s="293">
        <f t="shared" si="3"/>
        <v>-68574.41</v>
      </c>
      <c r="N894" s="293">
        <f t="shared" si="6"/>
        <v>0</v>
      </c>
      <c r="O894" s="277">
        <f t="shared" si="4"/>
        <v>-72146.60962</v>
      </c>
      <c r="P894" s="264"/>
      <c r="Q894" s="264"/>
      <c r="R894" s="264"/>
      <c r="S894" s="264"/>
      <c r="T894" s="264"/>
      <c r="U894" s="264"/>
      <c r="V894" s="264"/>
      <c r="W894" s="264"/>
      <c r="X894" s="264"/>
      <c r="Y894" s="264"/>
      <c r="Z894" s="264"/>
      <c r="AA894" s="264"/>
      <c r="AB894" s="264"/>
      <c r="AC894" s="264"/>
      <c r="AD894" s="264"/>
      <c r="AE894" s="264"/>
    </row>
    <row r="895">
      <c r="A895" s="272"/>
      <c r="B895" s="272"/>
      <c r="C895" s="272"/>
      <c r="D895" s="172"/>
      <c r="E895" s="267" t="str">
        <f t="shared" si="22"/>
        <v/>
      </c>
      <c r="F895" s="274" t="str">
        <f t="shared" si="2"/>
        <v/>
      </c>
      <c r="G895" s="42"/>
      <c r="H895" s="264"/>
      <c r="I895" s="277"/>
      <c r="J895" s="276" t="str">
        <f>IF(ISBLANK(I895), "", VLOOKUP(E895&amp;" "&amp;F895, 'Info Tipo de Cambio y REM'!$A$24:$B$35, 2, FALSE))
</f>
        <v/>
      </c>
      <c r="K895" s="107" t="str">
        <f t="shared" si="23"/>
        <v/>
      </c>
      <c r="L895" s="293">
        <f t="shared" si="5"/>
        <v>-5187415.025</v>
      </c>
      <c r="M895" s="293">
        <f t="shared" si="3"/>
        <v>-68574.41</v>
      </c>
      <c r="N895" s="293">
        <f t="shared" si="6"/>
        <v>0</v>
      </c>
      <c r="O895" s="277">
        <f t="shared" si="4"/>
        <v>-72146.60962</v>
      </c>
      <c r="P895" s="264"/>
      <c r="Q895" s="264"/>
      <c r="R895" s="264"/>
      <c r="S895" s="264"/>
      <c r="T895" s="264"/>
      <c r="U895" s="264"/>
      <c r="V895" s="264"/>
      <c r="W895" s="264"/>
      <c r="X895" s="264"/>
      <c r="Y895" s="264"/>
      <c r="Z895" s="264"/>
      <c r="AA895" s="264"/>
      <c r="AB895" s="264"/>
      <c r="AC895" s="264"/>
      <c r="AD895" s="264"/>
      <c r="AE895" s="264"/>
    </row>
    <row r="896">
      <c r="A896" s="272"/>
      <c r="B896" s="272"/>
      <c r="C896" s="272"/>
      <c r="D896" s="172"/>
      <c r="E896" s="267" t="str">
        <f t="shared" si="22"/>
        <v/>
      </c>
      <c r="F896" s="274" t="str">
        <f t="shared" si="2"/>
        <v/>
      </c>
      <c r="G896" s="42"/>
      <c r="H896" s="264"/>
      <c r="I896" s="277"/>
      <c r="J896" s="276" t="str">
        <f>IF(ISBLANK(I896), "", VLOOKUP(E896&amp;" "&amp;F896, 'Info Tipo de Cambio y REM'!$A$24:$B$35, 2, FALSE))
</f>
        <v/>
      </c>
      <c r="K896" s="107" t="str">
        <f t="shared" si="23"/>
        <v/>
      </c>
      <c r="L896" s="293">
        <f t="shared" si="5"/>
        <v>-5187415.025</v>
      </c>
      <c r="M896" s="293">
        <f t="shared" si="3"/>
        <v>-68574.41</v>
      </c>
      <c r="N896" s="293">
        <f t="shared" si="6"/>
        <v>0</v>
      </c>
      <c r="O896" s="277">
        <f t="shared" si="4"/>
        <v>-72146.60962</v>
      </c>
      <c r="P896" s="264"/>
      <c r="Q896" s="264"/>
      <c r="R896" s="264"/>
      <c r="S896" s="264"/>
      <c r="T896" s="264"/>
      <c r="U896" s="264"/>
      <c r="V896" s="264"/>
      <c r="W896" s="264"/>
      <c r="X896" s="264"/>
      <c r="Y896" s="264"/>
      <c r="Z896" s="264"/>
      <c r="AA896" s="264"/>
      <c r="AB896" s="264"/>
      <c r="AC896" s="264"/>
      <c r="AD896" s="264"/>
      <c r="AE896" s="264"/>
    </row>
    <row r="897">
      <c r="A897" s="272"/>
      <c r="B897" s="272"/>
      <c r="C897" s="272"/>
      <c r="D897" s="172"/>
      <c r="E897" s="267" t="str">
        <f t="shared" si="22"/>
        <v/>
      </c>
      <c r="F897" s="274" t="str">
        <f t="shared" si="2"/>
        <v/>
      </c>
      <c r="G897" s="42"/>
      <c r="H897" s="264"/>
      <c r="I897" s="277"/>
      <c r="J897" s="276" t="str">
        <f>IF(ISBLANK(I897), "", VLOOKUP(E897&amp;" "&amp;F897, 'Info Tipo de Cambio y REM'!$A$24:$B$35, 2, FALSE))
</f>
        <v/>
      </c>
      <c r="K897" s="107" t="str">
        <f t="shared" si="23"/>
        <v/>
      </c>
      <c r="L897" s="293">
        <f t="shared" si="5"/>
        <v>-5187415.025</v>
      </c>
      <c r="M897" s="293">
        <f t="shared" si="3"/>
        <v>-68574.41</v>
      </c>
      <c r="N897" s="293">
        <f t="shared" si="6"/>
        <v>0</v>
      </c>
      <c r="O897" s="277">
        <f t="shared" si="4"/>
        <v>-72146.60962</v>
      </c>
      <c r="P897" s="264"/>
      <c r="Q897" s="264"/>
      <c r="R897" s="264"/>
      <c r="S897" s="264"/>
      <c r="T897" s="264"/>
      <c r="U897" s="264"/>
      <c r="V897" s="264"/>
      <c r="W897" s="264"/>
      <c r="X897" s="264"/>
      <c r="Y897" s="264"/>
      <c r="Z897" s="264"/>
      <c r="AA897" s="264"/>
      <c r="AB897" s="264"/>
      <c r="AC897" s="264"/>
      <c r="AD897" s="264"/>
      <c r="AE897" s="264"/>
    </row>
    <row r="898">
      <c r="A898" s="272"/>
      <c r="B898" s="272"/>
      <c r="C898" s="272"/>
      <c r="D898" s="172"/>
      <c r="E898" s="267" t="str">
        <f t="shared" si="22"/>
        <v/>
      </c>
      <c r="F898" s="274" t="str">
        <f t="shared" si="2"/>
        <v/>
      </c>
      <c r="G898" s="42"/>
      <c r="H898" s="264"/>
      <c r="I898" s="277"/>
      <c r="J898" s="276" t="str">
        <f>IF(ISBLANK(I898), "", VLOOKUP(E898&amp;" "&amp;F898, 'Info Tipo de Cambio y REM'!$A$24:$B$35, 2, FALSE))
</f>
        <v/>
      </c>
      <c r="K898" s="107" t="str">
        <f t="shared" si="23"/>
        <v/>
      </c>
      <c r="L898" s="293">
        <f t="shared" si="5"/>
        <v>-5187415.025</v>
      </c>
      <c r="M898" s="293">
        <f t="shared" si="3"/>
        <v>-68574.41</v>
      </c>
      <c r="N898" s="293">
        <f t="shared" si="6"/>
        <v>0</v>
      </c>
      <c r="O898" s="277">
        <f t="shared" si="4"/>
        <v>-72146.60962</v>
      </c>
      <c r="P898" s="264"/>
      <c r="Q898" s="264"/>
      <c r="R898" s="264"/>
      <c r="S898" s="264"/>
      <c r="T898" s="264"/>
      <c r="U898" s="264"/>
      <c r="V898" s="264"/>
      <c r="W898" s="264"/>
      <c r="X898" s="264"/>
      <c r="Y898" s="264"/>
      <c r="Z898" s="264"/>
      <c r="AA898" s="264"/>
      <c r="AB898" s="264"/>
      <c r="AC898" s="264"/>
      <c r="AD898" s="264"/>
      <c r="AE898" s="264"/>
    </row>
    <row r="899">
      <c r="A899" s="272"/>
      <c r="B899" s="272"/>
      <c r="C899" s="272"/>
      <c r="D899" s="172"/>
      <c r="E899" s="267" t="str">
        <f t="shared" si="22"/>
        <v/>
      </c>
      <c r="F899" s="274" t="str">
        <f t="shared" si="2"/>
        <v/>
      </c>
      <c r="G899" s="42"/>
      <c r="H899" s="264"/>
      <c r="I899" s="277"/>
      <c r="J899" s="276" t="str">
        <f>IF(ISBLANK(I899), "", VLOOKUP(E899&amp;" "&amp;F899, 'Info Tipo de Cambio y REM'!$A$24:$B$35, 2, FALSE))
</f>
        <v/>
      </c>
      <c r="K899" s="107" t="str">
        <f t="shared" si="23"/>
        <v/>
      </c>
      <c r="L899" s="293">
        <f t="shared" si="5"/>
        <v>-5187415.025</v>
      </c>
      <c r="M899" s="293">
        <f t="shared" si="3"/>
        <v>-68574.41</v>
      </c>
      <c r="N899" s="293">
        <f t="shared" si="6"/>
        <v>0</v>
      </c>
      <c r="O899" s="277">
        <f t="shared" si="4"/>
        <v>-72146.60962</v>
      </c>
      <c r="P899" s="264"/>
      <c r="Q899" s="264"/>
      <c r="R899" s="264"/>
      <c r="S899" s="264"/>
      <c r="T899" s="264"/>
      <c r="U899" s="264"/>
      <c r="V899" s="264"/>
      <c r="W899" s="264"/>
      <c r="X899" s="264"/>
      <c r="Y899" s="264"/>
      <c r="Z899" s="264"/>
      <c r="AA899" s="264"/>
      <c r="AB899" s="264"/>
      <c r="AC899" s="264"/>
      <c r="AD899" s="264"/>
      <c r="AE899" s="264"/>
    </row>
    <row r="900">
      <c r="A900" s="272"/>
      <c r="B900" s="272"/>
      <c r="C900" s="272"/>
      <c r="D900" s="172"/>
      <c r="E900" s="267" t="str">
        <f t="shared" si="22"/>
        <v/>
      </c>
      <c r="F900" s="274" t="str">
        <f t="shared" si="2"/>
        <v/>
      </c>
      <c r="G900" s="42"/>
      <c r="H900" s="264"/>
      <c r="I900" s="277"/>
      <c r="J900" s="276" t="str">
        <f>IF(ISBLANK(I900), "", VLOOKUP(E900&amp;" "&amp;F900, 'Info Tipo de Cambio y REM'!$A$24:$B$35, 2, FALSE))
</f>
        <v/>
      </c>
      <c r="K900" s="107" t="str">
        <f t="shared" si="23"/>
        <v/>
      </c>
      <c r="L900" s="293">
        <f t="shared" si="5"/>
        <v>-5187415.025</v>
      </c>
      <c r="M900" s="293">
        <f t="shared" si="3"/>
        <v>-68574.41</v>
      </c>
      <c r="N900" s="293">
        <f t="shared" si="6"/>
        <v>0</v>
      </c>
      <c r="O900" s="277">
        <f t="shared" si="4"/>
        <v>-72146.60962</v>
      </c>
      <c r="P900" s="264"/>
      <c r="Q900" s="264"/>
      <c r="R900" s="264"/>
      <c r="S900" s="264"/>
      <c r="T900" s="264"/>
      <c r="U900" s="264"/>
      <c r="V900" s="264"/>
      <c r="W900" s="264"/>
      <c r="X900" s="264"/>
      <c r="Y900" s="264"/>
      <c r="Z900" s="264"/>
      <c r="AA900" s="264"/>
      <c r="AB900" s="264"/>
      <c r="AC900" s="264"/>
      <c r="AD900" s="264"/>
      <c r="AE900" s="264"/>
    </row>
    <row r="901">
      <c r="A901" s="272"/>
      <c r="B901" s="272"/>
      <c r="C901" s="272"/>
      <c r="D901" s="172"/>
      <c r="E901" s="267" t="str">
        <f t="shared" si="22"/>
        <v/>
      </c>
      <c r="F901" s="274" t="str">
        <f t="shared" si="2"/>
        <v/>
      </c>
      <c r="G901" s="42"/>
      <c r="H901" s="264"/>
      <c r="I901" s="277"/>
      <c r="J901" s="276" t="str">
        <f>IF(ISBLANK(I901), "", VLOOKUP(E901&amp;" "&amp;F901, 'Info Tipo de Cambio y REM'!$A$24:$B$35, 2, FALSE))
</f>
        <v/>
      </c>
      <c r="K901" s="107" t="str">
        <f t="shared" si="23"/>
        <v/>
      </c>
      <c r="L901" s="293">
        <f t="shared" si="5"/>
        <v>-5187415.025</v>
      </c>
      <c r="M901" s="293">
        <f t="shared" si="3"/>
        <v>-68574.41</v>
      </c>
      <c r="N901" s="293">
        <f t="shared" si="6"/>
        <v>0</v>
      </c>
      <c r="O901" s="277">
        <f t="shared" si="4"/>
        <v>-72146.60962</v>
      </c>
      <c r="P901" s="264"/>
      <c r="Q901" s="264"/>
      <c r="R901" s="264"/>
      <c r="S901" s="264"/>
      <c r="T901" s="264"/>
      <c r="U901" s="264"/>
      <c r="V901" s="264"/>
      <c r="W901" s="264"/>
      <c r="X901" s="264"/>
      <c r="Y901" s="264"/>
      <c r="Z901" s="264"/>
      <c r="AA901" s="264"/>
      <c r="AB901" s="264"/>
      <c r="AC901" s="264"/>
      <c r="AD901" s="264"/>
      <c r="AE901" s="264"/>
    </row>
    <row r="902">
      <c r="A902" s="272"/>
      <c r="B902" s="272"/>
      <c r="C902" s="272"/>
      <c r="D902" s="172"/>
      <c r="E902" s="267" t="str">
        <f t="shared" si="22"/>
        <v/>
      </c>
      <c r="F902" s="274" t="str">
        <f t="shared" si="2"/>
        <v/>
      </c>
      <c r="G902" s="42"/>
      <c r="H902" s="264"/>
      <c r="I902" s="277"/>
      <c r="J902" s="276" t="str">
        <f>IF(ISBLANK(I902), "", VLOOKUP(E902&amp;" "&amp;F902, 'Info Tipo de Cambio y REM'!$A$24:$B$35, 2, FALSE))
</f>
        <v/>
      </c>
      <c r="K902" s="107" t="str">
        <f t="shared" si="23"/>
        <v/>
      </c>
      <c r="L902" s="293">
        <f t="shared" si="5"/>
        <v>-5187415.025</v>
      </c>
      <c r="M902" s="293">
        <f t="shared" si="3"/>
        <v>-68574.41</v>
      </c>
      <c r="N902" s="293">
        <f t="shared" si="6"/>
        <v>0</v>
      </c>
      <c r="O902" s="277">
        <f t="shared" si="4"/>
        <v>-72146.60962</v>
      </c>
      <c r="P902" s="264"/>
      <c r="Q902" s="264"/>
      <c r="R902" s="264"/>
      <c r="S902" s="264"/>
      <c r="T902" s="264"/>
      <c r="U902" s="264"/>
      <c r="V902" s="264"/>
      <c r="W902" s="264"/>
      <c r="X902" s="264"/>
      <c r="Y902" s="264"/>
      <c r="Z902" s="264"/>
      <c r="AA902" s="264"/>
      <c r="AB902" s="264"/>
      <c r="AC902" s="264"/>
      <c r="AD902" s="264"/>
      <c r="AE902" s="264"/>
    </row>
    <row r="903">
      <c r="A903" s="272"/>
      <c r="B903" s="272"/>
      <c r="C903" s="272"/>
      <c r="D903" s="172"/>
      <c r="E903" s="267" t="str">
        <f t="shared" si="22"/>
        <v/>
      </c>
      <c r="F903" s="274" t="str">
        <f t="shared" si="2"/>
        <v/>
      </c>
      <c r="G903" s="42"/>
      <c r="H903" s="264"/>
      <c r="I903" s="277"/>
      <c r="J903" s="276" t="str">
        <f>IF(ISBLANK(I903), "", VLOOKUP(E903&amp;" "&amp;F903, 'Info Tipo de Cambio y REM'!$A$24:$B$35, 2, FALSE))
</f>
        <v/>
      </c>
      <c r="K903" s="107" t="str">
        <f t="shared" si="23"/>
        <v/>
      </c>
      <c r="L903" s="293">
        <f t="shared" si="5"/>
        <v>-5187415.025</v>
      </c>
      <c r="M903" s="293">
        <f t="shared" si="3"/>
        <v>-68574.41</v>
      </c>
      <c r="N903" s="293">
        <f t="shared" si="6"/>
        <v>0</v>
      </c>
      <c r="O903" s="277">
        <f t="shared" si="4"/>
        <v>-72146.60962</v>
      </c>
      <c r="P903" s="264"/>
      <c r="Q903" s="264"/>
      <c r="R903" s="264"/>
      <c r="S903" s="264"/>
      <c r="T903" s="264"/>
      <c r="U903" s="264"/>
      <c r="V903" s="264"/>
      <c r="W903" s="264"/>
      <c r="X903" s="264"/>
      <c r="Y903" s="264"/>
      <c r="Z903" s="264"/>
      <c r="AA903" s="264"/>
      <c r="AB903" s="264"/>
      <c r="AC903" s="264"/>
      <c r="AD903" s="264"/>
      <c r="AE903" s="264"/>
    </row>
    <row r="904">
      <c r="A904" s="272"/>
      <c r="B904" s="272"/>
      <c r="C904" s="272"/>
      <c r="D904" s="172"/>
      <c r="E904" s="267" t="str">
        <f t="shared" si="22"/>
        <v/>
      </c>
      <c r="F904" s="274" t="str">
        <f t="shared" si="2"/>
        <v/>
      </c>
      <c r="G904" s="42"/>
      <c r="H904" s="264"/>
      <c r="I904" s="277"/>
      <c r="J904" s="276" t="str">
        <f>IF(ISBLANK(I904), "", VLOOKUP(E904&amp;" "&amp;F904, 'Info Tipo de Cambio y REM'!$A$24:$B$35, 2, FALSE))
</f>
        <v/>
      </c>
      <c r="K904" s="107" t="str">
        <f t="shared" si="23"/>
        <v/>
      </c>
      <c r="L904" s="293">
        <f t="shared" si="5"/>
        <v>-5187415.025</v>
      </c>
      <c r="M904" s="293">
        <f t="shared" si="3"/>
        <v>-68574.41</v>
      </c>
      <c r="N904" s="293">
        <f t="shared" si="6"/>
        <v>0</v>
      </c>
      <c r="O904" s="277">
        <f t="shared" si="4"/>
        <v>-72146.60962</v>
      </c>
      <c r="P904" s="264"/>
      <c r="Q904" s="264"/>
      <c r="R904" s="264"/>
      <c r="S904" s="264"/>
      <c r="T904" s="264"/>
      <c r="U904" s="264"/>
      <c r="V904" s="264"/>
      <c r="W904" s="264"/>
      <c r="X904" s="264"/>
      <c r="Y904" s="264"/>
      <c r="Z904" s="264"/>
      <c r="AA904" s="264"/>
      <c r="AB904" s="264"/>
      <c r="AC904" s="264"/>
      <c r="AD904" s="264"/>
      <c r="AE904" s="264"/>
    </row>
    <row r="905">
      <c r="A905" s="272"/>
      <c r="B905" s="272"/>
      <c r="C905" s="272"/>
      <c r="D905" s="172"/>
      <c r="E905" s="267" t="str">
        <f t="shared" si="22"/>
        <v/>
      </c>
      <c r="F905" s="274" t="str">
        <f t="shared" si="2"/>
        <v/>
      </c>
      <c r="G905" s="42"/>
      <c r="H905" s="264"/>
      <c r="I905" s="277"/>
      <c r="J905" s="276" t="str">
        <f>IF(ISBLANK(I905), "", VLOOKUP(E905&amp;" "&amp;F905, 'Info Tipo de Cambio y REM'!$A$24:$B$35, 2, FALSE))
</f>
        <v/>
      </c>
      <c r="K905" s="107" t="str">
        <f t="shared" si="23"/>
        <v/>
      </c>
      <c r="L905" s="293">
        <f t="shared" si="5"/>
        <v>-5187415.025</v>
      </c>
      <c r="M905" s="293">
        <f t="shared" si="3"/>
        <v>-68574.41</v>
      </c>
      <c r="N905" s="293">
        <f t="shared" si="6"/>
        <v>0</v>
      </c>
      <c r="O905" s="277">
        <f t="shared" si="4"/>
        <v>-72146.60962</v>
      </c>
      <c r="P905" s="264"/>
      <c r="Q905" s="264"/>
      <c r="R905" s="264"/>
      <c r="S905" s="264"/>
      <c r="T905" s="264"/>
      <c r="U905" s="264"/>
      <c r="V905" s="264"/>
      <c r="W905" s="264"/>
      <c r="X905" s="264"/>
      <c r="Y905" s="264"/>
      <c r="Z905" s="264"/>
      <c r="AA905" s="264"/>
      <c r="AB905" s="264"/>
      <c r="AC905" s="264"/>
      <c r="AD905" s="264"/>
      <c r="AE905" s="264"/>
    </row>
    <row r="906">
      <c r="A906" s="272"/>
      <c r="B906" s="272"/>
      <c r="C906" s="272"/>
      <c r="D906" s="172"/>
      <c r="E906" s="267" t="str">
        <f t="shared" si="22"/>
        <v/>
      </c>
      <c r="F906" s="274" t="str">
        <f t="shared" si="2"/>
        <v/>
      </c>
      <c r="G906" s="42"/>
      <c r="H906" s="264"/>
      <c r="I906" s="277"/>
      <c r="J906" s="276" t="str">
        <f>IF(ISBLANK(I906), "", VLOOKUP(E906&amp;" "&amp;F906, 'Info Tipo de Cambio y REM'!$A$24:$B$35, 2, FALSE))
</f>
        <v/>
      </c>
      <c r="K906" s="107" t="str">
        <f t="shared" si="23"/>
        <v/>
      </c>
      <c r="L906" s="293">
        <f t="shared" si="5"/>
        <v>-5187415.025</v>
      </c>
      <c r="M906" s="293">
        <f t="shared" si="3"/>
        <v>-68574.41</v>
      </c>
      <c r="N906" s="293">
        <f t="shared" si="6"/>
        <v>0</v>
      </c>
      <c r="O906" s="277">
        <f t="shared" si="4"/>
        <v>-72146.60962</v>
      </c>
      <c r="P906" s="264"/>
      <c r="Q906" s="264"/>
      <c r="R906" s="264"/>
      <c r="S906" s="264"/>
      <c r="T906" s="264"/>
      <c r="U906" s="264"/>
      <c r="V906" s="264"/>
      <c r="W906" s="264"/>
      <c r="X906" s="264"/>
      <c r="Y906" s="264"/>
      <c r="Z906" s="264"/>
      <c r="AA906" s="264"/>
      <c r="AB906" s="264"/>
      <c r="AC906" s="264"/>
      <c r="AD906" s="264"/>
      <c r="AE906" s="264"/>
    </row>
    <row r="907">
      <c r="A907" s="272"/>
      <c r="B907" s="272"/>
      <c r="C907" s="272"/>
      <c r="D907" s="172"/>
      <c r="E907" s="267" t="str">
        <f t="shared" si="22"/>
        <v/>
      </c>
      <c r="F907" s="274" t="str">
        <f t="shared" si="2"/>
        <v/>
      </c>
      <c r="G907" s="42"/>
      <c r="H907" s="264"/>
      <c r="I907" s="277"/>
      <c r="J907" s="276" t="str">
        <f>IF(ISBLANK(I907), "", VLOOKUP(E907&amp;" "&amp;F907, 'Info Tipo de Cambio y REM'!$A$24:$B$35, 2, FALSE))
</f>
        <v/>
      </c>
      <c r="K907" s="107" t="str">
        <f t="shared" si="23"/>
        <v/>
      </c>
      <c r="L907" s="293">
        <f t="shared" si="5"/>
        <v>-5187415.025</v>
      </c>
      <c r="M907" s="293">
        <f t="shared" si="3"/>
        <v>-68574.41</v>
      </c>
      <c r="N907" s="293">
        <f t="shared" si="6"/>
        <v>0</v>
      </c>
      <c r="O907" s="277">
        <f t="shared" si="4"/>
        <v>-72146.60962</v>
      </c>
      <c r="P907" s="264"/>
      <c r="Q907" s="264"/>
      <c r="R907" s="264"/>
      <c r="S907" s="264"/>
      <c r="T907" s="264"/>
      <c r="U907" s="264"/>
      <c r="V907" s="264"/>
      <c r="W907" s="264"/>
      <c r="X907" s="264"/>
      <c r="Y907" s="264"/>
      <c r="Z907" s="264"/>
      <c r="AA907" s="264"/>
      <c r="AB907" s="264"/>
      <c r="AC907" s="264"/>
      <c r="AD907" s="264"/>
      <c r="AE907" s="264"/>
    </row>
    <row r="908">
      <c r="A908" s="272"/>
      <c r="B908" s="272"/>
      <c r="C908" s="272"/>
      <c r="D908" s="172"/>
      <c r="E908" s="267" t="str">
        <f t="shared" si="22"/>
        <v/>
      </c>
      <c r="F908" s="274" t="str">
        <f t="shared" si="2"/>
        <v/>
      </c>
      <c r="G908" s="42"/>
      <c r="H908" s="264"/>
      <c r="I908" s="277"/>
      <c r="J908" s="276" t="str">
        <f>IF(ISBLANK(I908), "", VLOOKUP(E908&amp;" "&amp;F908, 'Info Tipo de Cambio y REM'!$A$24:$B$35, 2, FALSE))
</f>
        <v/>
      </c>
      <c r="K908" s="107" t="str">
        <f t="shared" si="23"/>
        <v/>
      </c>
      <c r="L908" s="293">
        <f t="shared" si="5"/>
        <v>-5187415.025</v>
      </c>
      <c r="M908" s="293">
        <f t="shared" si="3"/>
        <v>-68574.41</v>
      </c>
      <c r="N908" s="293">
        <f t="shared" si="6"/>
        <v>0</v>
      </c>
      <c r="O908" s="277">
        <f t="shared" si="4"/>
        <v>-72146.60962</v>
      </c>
      <c r="P908" s="264"/>
      <c r="Q908" s="264"/>
      <c r="R908" s="264"/>
      <c r="S908" s="264"/>
      <c r="T908" s="264"/>
      <c r="U908" s="264"/>
      <c r="V908" s="264"/>
      <c r="W908" s="264"/>
      <c r="X908" s="264"/>
      <c r="Y908" s="264"/>
      <c r="Z908" s="264"/>
      <c r="AA908" s="264"/>
      <c r="AB908" s="264"/>
      <c r="AC908" s="264"/>
      <c r="AD908" s="264"/>
      <c r="AE908" s="264"/>
    </row>
    <row r="909">
      <c r="A909" s="272"/>
      <c r="B909" s="272"/>
      <c r="C909" s="272"/>
      <c r="D909" s="172"/>
      <c r="E909" s="267" t="str">
        <f t="shared" si="22"/>
        <v/>
      </c>
      <c r="F909" s="274" t="str">
        <f t="shared" si="2"/>
        <v/>
      </c>
      <c r="G909" s="42"/>
      <c r="H909" s="264"/>
      <c r="I909" s="277"/>
      <c r="J909" s="276" t="str">
        <f>IF(ISBLANK(I909), "", VLOOKUP(E909&amp;" "&amp;F909, 'Info Tipo de Cambio y REM'!$A$24:$B$35, 2, FALSE))
</f>
        <v/>
      </c>
      <c r="K909" s="107" t="str">
        <f t="shared" si="23"/>
        <v/>
      </c>
      <c r="L909" s="293">
        <f t="shared" si="5"/>
        <v>-5187415.025</v>
      </c>
      <c r="M909" s="293">
        <f t="shared" si="3"/>
        <v>-68574.41</v>
      </c>
      <c r="N909" s="293">
        <f t="shared" si="6"/>
        <v>0</v>
      </c>
      <c r="O909" s="277">
        <f t="shared" si="4"/>
        <v>-72146.60962</v>
      </c>
      <c r="P909" s="264"/>
      <c r="Q909" s="264"/>
      <c r="R909" s="264"/>
      <c r="S909" s="264"/>
      <c r="T909" s="264"/>
      <c r="U909" s="264"/>
      <c r="V909" s="264"/>
      <c r="W909" s="264"/>
      <c r="X909" s="264"/>
      <c r="Y909" s="264"/>
      <c r="Z909" s="264"/>
      <c r="AA909" s="264"/>
      <c r="AB909" s="264"/>
      <c r="AC909" s="264"/>
      <c r="AD909" s="264"/>
      <c r="AE909" s="264"/>
    </row>
    <row r="910">
      <c r="A910" s="272"/>
      <c r="B910" s="272"/>
      <c r="C910" s="272"/>
      <c r="D910" s="172"/>
      <c r="E910" s="267" t="str">
        <f t="shared" si="22"/>
        <v/>
      </c>
      <c r="F910" s="274" t="str">
        <f t="shared" si="2"/>
        <v/>
      </c>
      <c r="G910" s="42"/>
      <c r="H910" s="264"/>
      <c r="I910" s="277"/>
      <c r="J910" s="276" t="str">
        <f>IF(ISBLANK(I910), "", VLOOKUP(E910&amp;" "&amp;F910, 'Info Tipo de Cambio y REM'!$A$24:$B$35, 2, FALSE))
</f>
        <v/>
      </c>
      <c r="K910" s="107" t="str">
        <f t="shared" si="23"/>
        <v/>
      </c>
      <c r="L910" s="293">
        <f t="shared" si="5"/>
        <v>-5187415.025</v>
      </c>
      <c r="M910" s="293">
        <f t="shared" si="3"/>
        <v>-68574.41</v>
      </c>
      <c r="N910" s="293">
        <f t="shared" si="6"/>
        <v>0</v>
      </c>
      <c r="O910" s="277">
        <f t="shared" si="4"/>
        <v>-72146.60962</v>
      </c>
      <c r="P910" s="264"/>
      <c r="Q910" s="264"/>
      <c r="R910" s="264"/>
      <c r="S910" s="264"/>
      <c r="T910" s="264"/>
      <c r="U910" s="264"/>
      <c r="V910" s="264"/>
      <c r="W910" s="264"/>
      <c r="X910" s="264"/>
      <c r="Y910" s="264"/>
      <c r="Z910" s="264"/>
      <c r="AA910" s="264"/>
      <c r="AB910" s="264"/>
      <c r="AC910" s="264"/>
      <c r="AD910" s="264"/>
      <c r="AE910" s="264"/>
    </row>
    <row r="911">
      <c r="A911" s="272"/>
      <c r="B911" s="272"/>
      <c r="C911" s="272"/>
      <c r="D911" s="172"/>
      <c r="E911" s="267" t="str">
        <f t="shared" si="22"/>
        <v/>
      </c>
      <c r="F911" s="274" t="str">
        <f t="shared" si="2"/>
        <v/>
      </c>
      <c r="G911" s="42"/>
      <c r="H911" s="264"/>
      <c r="I911" s="277"/>
      <c r="J911" s="276" t="str">
        <f>IF(ISBLANK(I911), "", VLOOKUP(E911&amp;" "&amp;F911, 'Info Tipo de Cambio y REM'!$A$24:$B$35, 2, FALSE))
</f>
        <v/>
      </c>
      <c r="K911" s="107" t="str">
        <f t="shared" si="23"/>
        <v/>
      </c>
      <c r="L911" s="293">
        <f t="shared" si="5"/>
        <v>-5187415.025</v>
      </c>
      <c r="M911" s="293">
        <f t="shared" si="3"/>
        <v>-68574.41</v>
      </c>
      <c r="N911" s="293">
        <f t="shared" si="6"/>
        <v>0</v>
      </c>
      <c r="O911" s="277">
        <f t="shared" si="4"/>
        <v>-72146.60962</v>
      </c>
      <c r="P911" s="264"/>
      <c r="Q911" s="264"/>
      <c r="R911" s="264"/>
      <c r="S911" s="264"/>
      <c r="T911" s="264"/>
      <c r="U911" s="264"/>
      <c r="V911" s="264"/>
      <c r="W911" s="264"/>
      <c r="X911" s="264"/>
      <c r="Y911" s="264"/>
      <c r="Z911" s="264"/>
      <c r="AA911" s="264"/>
      <c r="AB911" s="264"/>
      <c r="AC911" s="264"/>
      <c r="AD911" s="264"/>
      <c r="AE911" s="264"/>
    </row>
    <row r="912">
      <c r="A912" s="272"/>
      <c r="B912" s="272"/>
      <c r="C912" s="272"/>
      <c r="D912" s="172"/>
      <c r="E912" s="267" t="str">
        <f t="shared" si="22"/>
        <v/>
      </c>
      <c r="F912" s="274" t="str">
        <f t="shared" si="2"/>
        <v/>
      </c>
      <c r="G912" s="42"/>
      <c r="H912" s="264"/>
      <c r="I912" s="277"/>
      <c r="J912" s="276" t="str">
        <f>IF(ISBLANK(I912), "", VLOOKUP(E912&amp;" "&amp;F912, 'Info Tipo de Cambio y REM'!$A$24:$B$35, 2, FALSE))
</f>
        <v/>
      </c>
      <c r="K912" s="107" t="str">
        <f t="shared" si="23"/>
        <v/>
      </c>
      <c r="L912" s="293">
        <f t="shared" si="5"/>
        <v>-5187415.025</v>
      </c>
      <c r="M912" s="293">
        <f t="shared" si="3"/>
        <v>-68574.41</v>
      </c>
      <c r="N912" s="293">
        <f t="shared" si="6"/>
        <v>0</v>
      </c>
      <c r="O912" s="277">
        <f t="shared" si="4"/>
        <v>-72146.60962</v>
      </c>
      <c r="P912" s="264"/>
      <c r="Q912" s="264"/>
      <c r="R912" s="264"/>
      <c r="S912" s="264"/>
      <c r="T912" s="264"/>
      <c r="U912" s="264"/>
      <c r="V912" s="264"/>
      <c r="W912" s="264"/>
      <c r="X912" s="264"/>
      <c r="Y912" s="264"/>
      <c r="Z912" s="264"/>
      <c r="AA912" s="264"/>
      <c r="AB912" s="264"/>
      <c r="AC912" s="264"/>
      <c r="AD912" s="264"/>
      <c r="AE912" s="264"/>
    </row>
    <row r="913">
      <c r="A913" s="272"/>
      <c r="B913" s="272"/>
      <c r="C913" s="272"/>
      <c r="D913" s="172"/>
      <c r="E913" s="267" t="str">
        <f t="shared" si="22"/>
        <v/>
      </c>
      <c r="F913" s="274" t="str">
        <f t="shared" si="2"/>
        <v/>
      </c>
      <c r="G913" s="42"/>
      <c r="H913" s="264"/>
      <c r="I913" s="277"/>
      <c r="J913" s="276" t="str">
        <f>IF(ISBLANK(I913), "", VLOOKUP(E913&amp;" "&amp;F913, 'Info Tipo de Cambio y REM'!$A$24:$B$35, 2, FALSE))
</f>
        <v/>
      </c>
      <c r="K913" s="107" t="str">
        <f t="shared" si="23"/>
        <v/>
      </c>
      <c r="L913" s="293">
        <f t="shared" si="5"/>
        <v>-5187415.025</v>
      </c>
      <c r="M913" s="293">
        <f t="shared" si="3"/>
        <v>-68574.41</v>
      </c>
      <c r="N913" s="293">
        <f t="shared" si="6"/>
        <v>0</v>
      </c>
      <c r="O913" s="277">
        <f t="shared" si="4"/>
        <v>-72146.60962</v>
      </c>
      <c r="P913" s="264"/>
      <c r="Q913" s="264"/>
      <c r="R913" s="264"/>
      <c r="S913" s="264"/>
      <c r="T913" s="264"/>
      <c r="U913" s="264"/>
      <c r="V913" s="264"/>
      <c r="W913" s="264"/>
      <c r="X913" s="264"/>
      <c r="Y913" s="264"/>
      <c r="Z913" s="264"/>
      <c r="AA913" s="264"/>
      <c r="AB913" s="264"/>
      <c r="AC913" s="264"/>
      <c r="AD913" s="264"/>
      <c r="AE913" s="264"/>
    </row>
    <row r="914">
      <c r="A914" s="272"/>
      <c r="B914" s="272"/>
      <c r="C914" s="272"/>
      <c r="D914" s="172"/>
      <c r="E914" s="267" t="str">
        <f t="shared" si="22"/>
        <v/>
      </c>
      <c r="F914" s="274" t="str">
        <f t="shared" si="2"/>
        <v/>
      </c>
      <c r="G914" s="42"/>
      <c r="H914" s="264"/>
      <c r="I914" s="277"/>
      <c r="J914" s="276" t="str">
        <f>IF(ISBLANK(I914), "", VLOOKUP(E914&amp;" "&amp;F914, 'Info Tipo de Cambio y REM'!$A$24:$B$35, 2, FALSE))
</f>
        <v/>
      </c>
      <c r="K914" s="107" t="str">
        <f t="shared" si="23"/>
        <v/>
      </c>
      <c r="L914" s="293">
        <f t="shared" si="5"/>
        <v>-5187415.025</v>
      </c>
      <c r="M914" s="293">
        <f t="shared" si="3"/>
        <v>-68574.41</v>
      </c>
      <c r="N914" s="293">
        <f t="shared" si="6"/>
        <v>0</v>
      </c>
      <c r="O914" s="277">
        <f t="shared" si="4"/>
        <v>-72146.60962</v>
      </c>
      <c r="P914" s="264"/>
      <c r="Q914" s="264"/>
      <c r="R914" s="264"/>
      <c r="S914" s="264"/>
      <c r="T914" s="264"/>
      <c r="U914" s="264"/>
      <c r="V914" s="264"/>
      <c r="W914" s="264"/>
      <c r="X914" s="264"/>
      <c r="Y914" s="264"/>
      <c r="Z914" s="264"/>
      <c r="AA914" s="264"/>
      <c r="AB914" s="264"/>
      <c r="AC914" s="264"/>
      <c r="AD914" s="264"/>
      <c r="AE914" s="264"/>
    </row>
    <row r="915">
      <c r="A915" s="272"/>
      <c r="B915" s="272"/>
      <c r="C915" s="272"/>
      <c r="D915" s="172"/>
      <c r="E915" s="267" t="str">
        <f t="shared" si="22"/>
        <v/>
      </c>
      <c r="F915" s="274" t="str">
        <f t="shared" si="2"/>
        <v/>
      </c>
      <c r="G915" s="42"/>
      <c r="H915" s="264"/>
      <c r="I915" s="277"/>
      <c r="J915" s="276" t="str">
        <f>IF(ISBLANK(I915), "", VLOOKUP(E915&amp;" "&amp;F915, 'Info Tipo de Cambio y REM'!$A$24:$B$35, 2, FALSE))
</f>
        <v/>
      </c>
      <c r="K915" s="107" t="str">
        <f t="shared" si="23"/>
        <v/>
      </c>
      <c r="L915" s="293">
        <f t="shared" si="5"/>
        <v>-5187415.025</v>
      </c>
      <c r="M915" s="293">
        <f t="shared" si="3"/>
        <v>-68574.41</v>
      </c>
      <c r="N915" s="293">
        <f t="shared" si="6"/>
        <v>0</v>
      </c>
      <c r="O915" s="277">
        <f t="shared" si="4"/>
        <v>-72146.60962</v>
      </c>
      <c r="P915" s="264"/>
      <c r="Q915" s="264"/>
      <c r="R915" s="264"/>
      <c r="S915" s="264"/>
      <c r="T915" s="264"/>
      <c r="U915" s="264"/>
      <c r="V915" s="264"/>
      <c r="W915" s="264"/>
      <c r="X915" s="264"/>
      <c r="Y915" s="264"/>
      <c r="Z915" s="264"/>
      <c r="AA915" s="264"/>
      <c r="AB915" s="264"/>
      <c r="AC915" s="264"/>
      <c r="AD915" s="264"/>
      <c r="AE915" s="264"/>
    </row>
    <row r="916">
      <c r="A916" s="272"/>
      <c r="B916" s="272"/>
      <c r="C916" s="272"/>
      <c r="D916" s="172"/>
      <c r="E916" s="267" t="str">
        <f t="shared" si="22"/>
        <v/>
      </c>
      <c r="F916" s="274" t="str">
        <f t="shared" si="2"/>
        <v/>
      </c>
      <c r="G916" s="42"/>
      <c r="H916" s="264"/>
      <c r="I916" s="277"/>
      <c r="J916" s="276" t="str">
        <f>IF(ISBLANK(I916), "", VLOOKUP(E916&amp;" "&amp;F916, 'Info Tipo de Cambio y REM'!$A$24:$B$35, 2, FALSE))
</f>
        <v/>
      </c>
      <c r="K916" s="107" t="str">
        <f t="shared" si="23"/>
        <v/>
      </c>
      <c r="L916" s="293">
        <f t="shared" si="5"/>
        <v>-5187415.025</v>
      </c>
      <c r="M916" s="293">
        <f t="shared" si="3"/>
        <v>-68574.41</v>
      </c>
      <c r="N916" s="293">
        <f t="shared" si="6"/>
        <v>0</v>
      </c>
      <c r="O916" s="277">
        <f t="shared" si="4"/>
        <v>-72146.60962</v>
      </c>
      <c r="P916" s="264"/>
      <c r="Q916" s="264"/>
      <c r="R916" s="264"/>
      <c r="S916" s="264"/>
      <c r="T916" s="264"/>
      <c r="U916" s="264"/>
      <c r="V916" s="264"/>
      <c r="W916" s="264"/>
      <c r="X916" s="264"/>
      <c r="Y916" s="264"/>
      <c r="Z916" s="264"/>
      <c r="AA916" s="264"/>
      <c r="AB916" s="264"/>
      <c r="AC916" s="264"/>
      <c r="AD916" s="264"/>
      <c r="AE916" s="264"/>
    </row>
    <row r="917">
      <c r="A917" s="272"/>
      <c r="B917" s="272"/>
      <c r="C917" s="272"/>
      <c r="D917" s="172"/>
      <c r="E917" s="267" t="str">
        <f t="shared" si="22"/>
        <v/>
      </c>
      <c r="F917" s="274" t="str">
        <f t="shared" si="2"/>
        <v/>
      </c>
      <c r="G917" s="42"/>
      <c r="H917" s="264"/>
      <c r="I917" s="277"/>
      <c r="J917" s="276" t="str">
        <f>IF(ISBLANK(I917), "", VLOOKUP(E917&amp;" "&amp;F917, 'Info Tipo de Cambio y REM'!$A$24:$B$35, 2, FALSE))
</f>
        <v/>
      </c>
      <c r="K917" s="107" t="str">
        <f t="shared" si="23"/>
        <v/>
      </c>
      <c r="L917" s="293">
        <f t="shared" si="5"/>
        <v>-5187415.025</v>
      </c>
      <c r="M917" s="293">
        <f t="shared" si="3"/>
        <v>-68574.41</v>
      </c>
      <c r="N917" s="293">
        <f t="shared" si="6"/>
        <v>0</v>
      </c>
      <c r="O917" s="277">
        <f t="shared" si="4"/>
        <v>-72146.60962</v>
      </c>
      <c r="P917" s="264"/>
      <c r="Q917" s="264"/>
      <c r="R917" s="264"/>
      <c r="S917" s="264"/>
      <c r="T917" s="264"/>
      <c r="U917" s="264"/>
      <c r="V917" s="264"/>
      <c r="W917" s="264"/>
      <c r="X917" s="264"/>
      <c r="Y917" s="264"/>
      <c r="Z917" s="264"/>
      <c r="AA917" s="264"/>
      <c r="AB917" s="264"/>
      <c r="AC917" s="264"/>
      <c r="AD917" s="264"/>
      <c r="AE917" s="264"/>
    </row>
    <row r="918">
      <c r="A918" s="272"/>
      <c r="B918" s="272"/>
      <c r="C918" s="272"/>
      <c r="D918" s="172"/>
      <c r="E918" s="267" t="str">
        <f t="shared" si="22"/>
        <v/>
      </c>
      <c r="F918" s="274" t="str">
        <f t="shared" si="2"/>
        <v/>
      </c>
      <c r="G918" s="42"/>
      <c r="H918" s="264"/>
      <c r="I918" s="277"/>
      <c r="J918" s="276" t="str">
        <f>IF(ISBLANK(I918), "", VLOOKUP(E918&amp;" "&amp;F918, 'Info Tipo de Cambio y REM'!$A$24:$B$35, 2, FALSE))
</f>
        <v/>
      </c>
      <c r="K918" s="107" t="str">
        <f t="shared" si="23"/>
        <v/>
      </c>
      <c r="L918" s="293">
        <f t="shared" si="5"/>
        <v>-5187415.025</v>
      </c>
      <c r="M918" s="293">
        <f t="shared" si="3"/>
        <v>-68574.41</v>
      </c>
      <c r="N918" s="293">
        <f t="shared" si="6"/>
        <v>0</v>
      </c>
      <c r="O918" s="277">
        <f t="shared" si="4"/>
        <v>-72146.60962</v>
      </c>
      <c r="P918" s="264"/>
      <c r="Q918" s="264"/>
      <c r="R918" s="264"/>
      <c r="S918" s="264"/>
      <c r="T918" s="264"/>
      <c r="U918" s="264"/>
      <c r="V918" s="264"/>
      <c r="W918" s="264"/>
      <c r="X918" s="264"/>
      <c r="Y918" s="264"/>
      <c r="Z918" s="264"/>
      <c r="AA918" s="264"/>
      <c r="AB918" s="264"/>
      <c r="AC918" s="264"/>
      <c r="AD918" s="264"/>
      <c r="AE918" s="264"/>
    </row>
    <row r="919">
      <c r="A919" s="272"/>
      <c r="B919" s="272"/>
      <c r="C919" s="272"/>
      <c r="D919" s="172"/>
      <c r="E919" s="267" t="str">
        <f t="shared" si="22"/>
        <v/>
      </c>
      <c r="F919" s="274" t="str">
        <f t="shared" si="2"/>
        <v/>
      </c>
      <c r="G919" s="42"/>
      <c r="H919" s="264"/>
      <c r="I919" s="277"/>
      <c r="J919" s="276" t="str">
        <f>IF(ISBLANK(I919), "", VLOOKUP(E919&amp;" "&amp;F919, 'Info Tipo de Cambio y REM'!$A$24:$B$35, 2, FALSE))
</f>
        <v/>
      </c>
      <c r="K919" s="107" t="str">
        <f t="shared" si="23"/>
        <v/>
      </c>
      <c r="L919" s="293">
        <f t="shared" si="5"/>
        <v>-5187415.025</v>
      </c>
      <c r="M919" s="293">
        <f t="shared" si="3"/>
        <v>-68574.41</v>
      </c>
      <c r="N919" s="293">
        <f t="shared" si="6"/>
        <v>0</v>
      </c>
      <c r="O919" s="277">
        <f t="shared" si="4"/>
        <v>-72146.60962</v>
      </c>
      <c r="P919" s="264"/>
      <c r="Q919" s="264"/>
      <c r="R919" s="264"/>
      <c r="S919" s="264"/>
      <c r="T919" s="264"/>
      <c r="U919" s="264"/>
      <c r="V919" s="264"/>
      <c r="W919" s="264"/>
      <c r="X919" s="264"/>
      <c r="Y919" s="264"/>
      <c r="Z919" s="264"/>
      <c r="AA919" s="264"/>
      <c r="AB919" s="264"/>
      <c r="AC919" s="264"/>
      <c r="AD919" s="264"/>
      <c r="AE919" s="264"/>
    </row>
    <row r="920">
      <c r="A920" s="272"/>
      <c r="B920" s="272"/>
      <c r="C920" s="272"/>
      <c r="D920" s="172"/>
      <c r="E920" s="267" t="str">
        <f t="shared" si="22"/>
        <v/>
      </c>
      <c r="F920" s="274" t="str">
        <f t="shared" si="2"/>
        <v/>
      </c>
      <c r="G920" s="42"/>
      <c r="H920" s="264"/>
      <c r="I920" s="277"/>
      <c r="J920" s="276" t="str">
        <f>IF(ISBLANK(I920), "", VLOOKUP(E920&amp;" "&amp;F920, 'Info Tipo de Cambio y REM'!$A$24:$B$35, 2, FALSE))
</f>
        <v/>
      </c>
      <c r="K920" s="107" t="str">
        <f t="shared" si="23"/>
        <v/>
      </c>
      <c r="L920" s="293">
        <f t="shared" si="5"/>
        <v>-5187415.025</v>
      </c>
      <c r="M920" s="293">
        <f t="shared" si="3"/>
        <v>-68574.41</v>
      </c>
      <c r="N920" s="293">
        <f t="shared" si="6"/>
        <v>0</v>
      </c>
      <c r="O920" s="277">
        <f t="shared" si="4"/>
        <v>-72146.60962</v>
      </c>
      <c r="P920" s="264"/>
      <c r="Q920" s="264"/>
      <c r="R920" s="264"/>
      <c r="S920" s="264"/>
      <c r="T920" s="264"/>
      <c r="U920" s="264"/>
      <c r="V920" s="264"/>
      <c r="W920" s="264"/>
      <c r="X920" s="264"/>
      <c r="Y920" s="264"/>
      <c r="Z920" s="264"/>
      <c r="AA920" s="264"/>
      <c r="AB920" s="264"/>
      <c r="AC920" s="264"/>
      <c r="AD920" s="264"/>
      <c r="AE920" s="264"/>
    </row>
    <row r="921">
      <c r="A921" s="272"/>
      <c r="B921" s="272"/>
      <c r="C921" s="272"/>
      <c r="D921" s="172"/>
      <c r="E921" s="267" t="str">
        <f t="shared" si="22"/>
        <v/>
      </c>
      <c r="F921" s="274" t="str">
        <f t="shared" si="2"/>
        <v/>
      </c>
      <c r="G921" s="42"/>
      <c r="H921" s="264"/>
      <c r="I921" s="277"/>
      <c r="J921" s="276" t="str">
        <f>IF(ISBLANK(I921), "", VLOOKUP(E921&amp;" "&amp;F921, 'Info Tipo de Cambio y REM'!$A$24:$B$35, 2, FALSE))
</f>
        <v/>
      </c>
      <c r="K921" s="107" t="str">
        <f t="shared" si="23"/>
        <v/>
      </c>
      <c r="L921" s="293">
        <f t="shared" si="5"/>
        <v>-5187415.025</v>
      </c>
      <c r="M921" s="293">
        <f t="shared" si="3"/>
        <v>-68574.41</v>
      </c>
      <c r="N921" s="293">
        <f t="shared" si="6"/>
        <v>0</v>
      </c>
      <c r="O921" s="277">
        <f t="shared" si="4"/>
        <v>-72146.60962</v>
      </c>
      <c r="P921" s="264"/>
      <c r="Q921" s="264"/>
      <c r="R921" s="264"/>
      <c r="S921" s="264"/>
      <c r="T921" s="264"/>
      <c r="U921" s="264"/>
      <c r="V921" s="264"/>
      <c r="W921" s="264"/>
      <c r="X921" s="264"/>
      <c r="Y921" s="264"/>
      <c r="Z921" s="264"/>
      <c r="AA921" s="264"/>
      <c r="AB921" s="264"/>
      <c r="AC921" s="264"/>
      <c r="AD921" s="264"/>
      <c r="AE921" s="264"/>
    </row>
    <row r="922">
      <c r="A922" s="272"/>
      <c r="B922" s="272"/>
      <c r="C922" s="272"/>
      <c r="D922" s="172"/>
      <c r="E922" s="267" t="str">
        <f t="shared" si="22"/>
        <v/>
      </c>
      <c r="F922" s="274" t="str">
        <f t="shared" si="2"/>
        <v/>
      </c>
      <c r="G922" s="42"/>
      <c r="H922" s="264"/>
      <c r="I922" s="277"/>
      <c r="J922" s="276" t="str">
        <f>IF(ISBLANK(I922), "", VLOOKUP(E922&amp;" "&amp;F922, 'Info Tipo de Cambio y REM'!$A$24:$B$35, 2, FALSE))
</f>
        <v/>
      </c>
      <c r="K922" s="107" t="str">
        <f t="shared" si="23"/>
        <v/>
      </c>
      <c r="L922" s="293">
        <f t="shared" si="5"/>
        <v>-5187415.025</v>
      </c>
      <c r="M922" s="293">
        <f t="shared" si="3"/>
        <v>-68574.41</v>
      </c>
      <c r="N922" s="293">
        <f t="shared" si="6"/>
        <v>0</v>
      </c>
      <c r="O922" s="277">
        <f t="shared" si="4"/>
        <v>-72146.60962</v>
      </c>
      <c r="P922" s="264"/>
      <c r="Q922" s="264"/>
      <c r="R922" s="264"/>
      <c r="S922" s="264"/>
      <c r="T922" s="264"/>
      <c r="U922" s="264"/>
      <c r="V922" s="264"/>
      <c r="W922" s="264"/>
      <c r="X922" s="264"/>
      <c r="Y922" s="264"/>
      <c r="Z922" s="264"/>
      <c r="AA922" s="264"/>
      <c r="AB922" s="264"/>
      <c r="AC922" s="264"/>
      <c r="AD922" s="264"/>
      <c r="AE922" s="264"/>
    </row>
    <row r="923">
      <c r="A923" s="272"/>
      <c r="B923" s="272"/>
      <c r="C923" s="272"/>
      <c r="D923" s="172"/>
      <c r="E923" s="267" t="str">
        <f t="shared" si="22"/>
        <v/>
      </c>
      <c r="F923" s="274" t="str">
        <f t="shared" si="2"/>
        <v/>
      </c>
      <c r="G923" s="42"/>
      <c r="H923" s="264"/>
      <c r="I923" s="277"/>
      <c r="J923" s="276" t="str">
        <f>IF(ISBLANK(I923), "", VLOOKUP(E923&amp;" "&amp;F923, 'Info Tipo de Cambio y REM'!$A$24:$B$35, 2, FALSE))
</f>
        <v/>
      </c>
      <c r="K923" s="107" t="str">
        <f t="shared" si="23"/>
        <v/>
      </c>
      <c r="L923" s="293">
        <f t="shared" si="5"/>
        <v>-5187415.025</v>
      </c>
      <c r="M923" s="293">
        <f t="shared" si="3"/>
        <v>-68574.41</v>
      </c>
      <c r="N923" s="293">
        <f t="shared" si="6"/>
        <v>0</v>
      </c>
      <c r="O923" s="277">
        <f t="shared" si="4"/>
        <v>-72146.60962</v>
      </c>
      <c r="P923" s="264"/>
      <c r="Q923" s="264"/>
      <c r="R923" s="264"/>
      <c r="S923" s="264"/>
      <c r="T923" s="264"/>
      <c r="U923" s="264"/>
      <c r="V923" s="264"/>
      <c r="W923" s="264"/>
      <c r="X923" s="264"/>
      <c r="Y923" s="264"/>
      <c r="Z923" s="264"/>
      <c r="AA923" s="264"/>
      <c r="AB923" s="264"/>
      <c r="AC923" s="264"/>
      <c r="AD923" s="264"/>
      <c r="AE923" s="264"/>
    </row>
    <row r="924">
      <c r="A924" s="272"/>
      <c r="B924" s="272"/>
      <c r="C924" s="272"/>
      <c r="D924" s="172"/>
      <c r="E924" s="267" t="str">
        <f t="shared" si="22"/>
        <v/>
      </c>
      <c r="F924" s="274" t="str">
        <f t="shared" si="2"/>
        <v/>
      </c>
      <c r="G924" s="42"/>
      <c r="H924" s="264"/>
      <c r="I924" s="277"/>
      <c r="J924" s="276" t="str">
        <f>IF(ISBLANK(I924), "", VLOOKUP(E924&amp;" "&amp;F924, 'Info Tipo de Cambio y REM'!$A$24:$B$35, 2, FALSE))
</f>
        <v/>
      </c>
      <c r="K924" s="107" t="str">
        <f t="shared" si="23"/>
        <v/>
      </c>
      <c r="L924" s="293">
        <f t="shared" si="5"/>
        <v>-5187415.025</v>
      </c>
      <c r="M924" s="293">
        <f t="shared" si="3"/>
        <v>-68574.41</v>
      </c>
      <c r="N924" s="293">
        <f t="shared" si="6"/>
        <v>0</v>
      </c>
      <c r="O924" s="277">
        <f t="shared" si="4"/>
        <v>-72146.60962</v>
      </c>
      <c r="P924" s="264"/>
      <c r="Q924" s="264"/>
      <c r="R924" s="264"/>
      <c r="S924" s="264"/>
      <c r="T924" s="264"/>
      <c r="U924" s="264"/>
      <c r="V924" s="264"/>
      <c r="W924" s="264"/>
      <c r="X924" s="264"/>
      <c r="Y924" s="264"/>
      <c r="Z924" s="264"/>
      <c r="AA924" s="264"/>
      <c r="AB924" s="264"/>
      <c r="AC924" s="264"/>
      <c r="AD924" s="264"/>
      <c r="AE924" s="264"/>
    </row>
    <row r="925">
      <c r="A925" s="272"/>
      <c r="B925" s="272"/>
      <c r="C925" s="272"/>
      <c r="D925" s="172"/>
      <c r="E925" s="267" t="str">
        <f t="shared" si="22"/>
        <v/>
      </c>
      <c r="F925" s="274" t="str">
        <f t="shared" si="2"/>
        <v/>
      </c>
      <c r="G925" s="42"/>
      <c r="H925" s="264"/>
      <c r="I925" s="277"/>
      <c r="J925" s="276" t="str">
        <f>IF(ISBLANK(I925), "", VLOOKUP(E925&amp;" "&amp;F925, 'Info Tipo de Cambio y REM'!$A$24:$B$35, 2, FALSE))
</f>
        <v/>
      </c>
      <c r="K925" s="107" t="str">
        <f t="shared" si="23"/>
        <v/>
      </c>
      <c r="L925" s="293">
        <f t="shared" si="5"/>
        <v>-5187415.025</v>
      </c>
      <c r="M925" s="293">
        <f t="shared" si="3"/>
        <v>-68574.41</v>
      </c>
      <c r="N925" s="293">
        <f t="shared" si="6"/>
        <v>0</v>
      </c>
      <c r="O925" s="277">
        <f t="shared" si="4"/>
        <v>-72146.60962</v>
      </c>
      <c r="P925" s="264"/>
      <c r="Q925" s="264"/>
      <c r="R925" s="264"/>
      <c r="S925" s="264"/>
      <c r="T925" s="264"/>
      <c r="U925" s="264"/>
      <c r="V925" s="264"/>
      <c r="W925" s="264"/>
      <c r="X925" s="264"/>
      <c r="Y925" s="264"/>
      <c r="Z925" s="264"/>
      <c r="AA925" s="264"/>
      <c r="AB925" s="264"/>
      <c r="AC925" s="264"/>
      <c r="AD925" s="264"/>
      <c r="AE925" s="264"/>
    </row>
    <row r="926">
      <c r="A926" s="272"/>
      <c r="B926" s="272"/>
      <c r="C926" s="272"/>
      <c r="D926" s="172"/>
      <c r="E926" s="267" t="str">
        <f t="shared" si="22"/>
        <v/>
      </c>
      <c r="F926" s="274" t="str">
        <f t="shared" si="2"/>
        <v/>
      </c>
      <c r="G926" s="42"/>
      <c r="H926" s="264"/>
      <c r="I926" s="277"/>
      <c r="J926" s="276" t="str">
        <f>IF(ISBLANK(I926), "", VLOOKUP(E926&amp;" "&amp;F926, 'Info Tipo de Cambio y REM'!$A$24:$B$35, 2, FALSE))
</f>
        <v/>
      </c>
      <c r="K926" s="107" t="str">
        <f t="shared" si="23"/>
        <v/>
      </c>
      <c r="L926" s="293">
        <f t="shared" si="5"/>
        <v>-5187415.025</v>
      </c>
      <c r="M926" s="293">
        <f t="shared" si="3"/>
        <v>-68574.41</v>
      </c>
      <c r="N926" s="293">
        <f t="shared" si="6"/>
        <v>0</v>
      </c>
      <c r="O926" s="277">
        <f t="shared" si="4"/>
        <v>-72146.60962</v>
      </c>
      <c r="P926" s="264"/>
      <c r="Q926" s="264"/>
      <c r="R926" s="264"/>
      <c r="S926" s="264"/>
      <c r="T926" s="264"/>
      <c r="U926" s="264"/>
      <c r="V926" s="264"/>
      <c r="W926" s="264"/>
      <c r="X926" s="264"/>
      <c r="Y926" s="264"/>
      <c r="Z926" s="264"/>
      <c r="AA926" s="264"/>
      <c r="AB926" s="264"/>
      <c r="AC926" s="264"/>
      <c r="AD926" s="264"/>
      <c r="AE926" s="264"/>
    </row>
    <row r="927">
      <c r="A927" s="272"/>
      <c r="B927" s="272"/>
      <c r="C927" s="272"/>
      <c r="D927" s="172"/>
      <c r="E927" s="267" t="str">
        <f t="shared" si="22"/>
        <v/>
      </c>
      <c r="F927" s="274" t="str">
        <f t="shared" si="2"/>
        <v/>
      </c>
      <c r="G927" s="42"/>
      <c r="H927" s="264"/>
      <c r="I927" s="277"/>
      <c r="J927" s="276" t="str">
        <f>IF(ISBLANK(I927), "", VLOOKUP(E927&amp;" "&amp;F927, 'Info Tipo de Cambio y REM'!$A$24:$B$35, 2, FALSE))
</f>
        <v/>
      </c>
      <c r="K927" s="107" t="str">
        <f t="shared" si="23"/>
        <v/>
      </c>
      <c r="L927" s="293">
        <f t="shared" si="5"/>
        <v>-5187415.025</v>
      </c>
      <c r="M927" s="293">
        <f t="shared" si="3"/>
        <v>-68574.41</v>
      </c>
      <c r="N927" s="293">
        <f t="shared" si="6"/>
        <v>0</v>
      </c>
      <c r="O927" s="277">
        <f t="shared" si="4"/>
        <v>-72146.60962</v>
      </c>
      <c r="P927" s="264"/>
      <c r="Q927" s="264"/>
      <c r="R927" s="264"/>
      <c r="S927" s="264"/>
      <c r="T927" s="264"/>
      <c r="U927" s="264"/>
      <c r="V927" s="264"/>
      <c r="W927" s="264"/>
      <c r="X927" s="264"/>
      <c r="Y927" s="264"/>
      <c r="Z927" s="264"/>
      <c r="AA927" s="264"/>
      <c r="AB927" s="264"/>
      <c r="AC927" s="264"/>
      <c r="AD927" s="264"/>
      <c r="AE927" s="264"/>
    </row>
    <row r="928">
      <c r="A928" s="272"/>
      <c r="B928" s="272"/>
      <c r="C928" s="272"/>
      <c r="D928" s="172"/>
      <c r="E928" s="267" t="str">
        <f t="shared" si="22"/>
        <v/>
      </c>
      <c r="F928" s="274" t="str">
        <f t="shared" si="2"/>
        <v/>
      </c>
      <c r="G928" s="42"/>
      <c r="H928" s="264"/>
      <c r="I928" s="277"/>
      <c r="J928" s="276" t="str">
        <f>IF(ISBLANK(I928), "", VLOOKUP(E928&amp;" "&amp;F928, 'Info Tipo de Cambio y REM'!$A$24:$B$35, 2, FALSE))
</f>
        <v/>
      </c>
      <c r="K928" s="107" t="str">
        <f t="shared" si="23"/>
        <v/>
      </c>
      <c r="L928" s="293">
        <f t="shared" si="5"/>
        <v>-5187415.025</v>
      </c>
      <c r="M928" s="293">
        <f t="shared" si="3"/>
        <v>-68574.41</v>
      </c>
      <c r="N928" s="293">
        <f t="shared" si="6"/>
        <v>0</v>
      </c>
      <c r="O928" s="277">
        <f t="shared" si="4"/>
        <v>-72146.60962</v>
      </c>
      <c r="P928" s="264"/>
      <c r="Q928" s="264"/>
      <c r="R928" s="264"/>
      <c r="S928" s="264"/>
      <c r="T928" s="264"/>
      <c r="U928" s="264"/>
      <c r="V928" s="264"/>
      <c r="W928" s="264"/>
      <c r="X928" s="264"/>
      <c r="Y928" s="264"/>
      <c r="Z928" s="264"/>
      <c r="AA928" s="264"/>
      <c r="AB928" s="264"/>
      <c r="AC928" s="264"/>
      <c r="AD928" s="264"/>
      <c r="AE928" s="264"/>
    </row>
    <row r="929">
      <c r="A929" s="272"/>
      <c r="B929" s="272"/>
      <c r="C929" s="272"/>
      <c r="D929" s="172"/>
      <c r="E929" s="267" t="str">
        <f t="shared" si="22"/>
        <v/>
      </c>
      <c r="F929" s="274" t="str">
        <f t="shared" si="2"/>
        <v/>
      </c>
      <c r="G929" s="42"/>
      <c r="H929" s="264"/>
      <c r="I929" s="277"/>
      <c r="J929" s="276" t="str">
        <f>IF(ISBLANK(I929), "", VLOOKUP(E929&amp;" "&amp;F929, 'Info Tipo de Cambio y REM'!$A$24:$B$35, 2, FALSE))
</f>
        <v/>
      </c>
      <c r="K929" s="107" t="str">
        <f t="shared" si="23"/>
        <v/>
      </c>
      <c r="L929" s="293">
        <f t="shared" si="5"/>
        <v>-5187415.025</v>
      </c>
      <c r="M929" s="293">
        <f t="shared" si="3"/>
        <v>-68574.41</v>
      </c>
      <c r="N929" s="293">
        <f t="shared" si="6"/>
        <v>0</v>
      </c>
      <c r="O929" s="277">
        <f t="shared" si="4"/>
        <v>-72146.60962</v>
      </c>
      <c r="P929" s="264"/>
      <c r="Q929" s="264"/>
      <c r="R929" s="264"/>
      <c r="S929" s="264"/>
      <c r="T929" s="264"/>
      <c r="U929" s="264"/>
      <c r="V929" s="264"/>
      <c r="W929" s="264"/>
      <c r="X929" s="264"/>
      <c r="Y929" s="264"/>
      <c r="Z929" s="264"/>
      <c r="AA929" s="264"/>
      <c r="AB929" s="264"/>
      <c r="AC929" s="264"/>
      <c r="AD929" s="264"/>
      <c r="AE929" s="264"/>
    </row>
    <row r="930">
      <c r="A930" s="272"/>
      <c r="B930" s="272"/>
      <c r="C930" s="272"/>
      <c r="D930" s="172"/>
      <c r="E930" s="267" t="str">
        <f t="shared" si="22"/>
        <v/>
      </c>
      <c r="F930" s="274" t="str">
        <f t="shared" si="2"/>
        <v/>
      </c>
      <c r="G930" s="42"/>
      <c r="H930" s="264"/>
      <c r="I930" s="277"/>
      <c r="J930" s="276" t="str">
        <f>IF(ISBLANK(I930), "", VLOOKUP(E930&amp;" "&amp;F930, 'Info Tipo de Cambio y REM'!$A$24:$B$35, 2, FALSE))
</f>
        <v/>
      </c>
      <c r="K930" s="107" t="str">
        <f t="shared" si="23"/>
        <v/>
      </c>
      <c r="L930" s="293">
        <f t="shared" si="5"/>
        <v>-5187415.025</v>
      </c>
      <c r="M930" s="293">
        <f t="shared" si="3"/>
        <v>-68574.41</v>
      </c>
      <c r="N930" s="293">
        <f t="shared" si="6"/>
        <v>0</v>
      </c>
      <c r="O930" s="277">
        <f t="shared" si="4"/>
        <v>-72146.60962</v>
      </c>
      <c r="P930" s="264"/>
      <c r="Q930" s="264"/>
      <c r="R930" s="264"/>
      <c r="S930" s="264"/>
      <c r="T930" s="264"/>
      <c r="U930" s="264"/>
      <c r="V930" s="264"/>
      <c r="W930" s="264"/>
      <c r="X930" s="264"/>
      <c r="Y930" s="264"/>
      <c r="Z930" s="264"/>
      <c r="AA930" s="264"/>
      <c r="AB930" s="264"/>
      <c r="AC930" s="264"/>
      <c r="AD930" s="264"/>
      <c r="AE930" s="264"/>
    </row>
    <row r="931">
      <c r="A931" s="272"/>
      <c r="B931" s="272"/>
      <c r="C931" s="272"/>
      <c r="D931" s="172"/>
      <c r="E931" s="267" t="str">
        <f t="shared" si="22"/>
        <v/>
      </c>
      <c r="F931" s="274" t="str">
        <f t="shared" si="2"/>
        <v/>
      </c>
      <c r="G931" s="42"/>
      <c r="H931" s="264"/>
      <c r="I931" s="277"/>
      <c r="J931" s="276" t="str">
        <f>IF(ISBLANK(I931), "", VLOOKUP(E931&amp;" "&amp;F931, 'Info Tipo de Cambio y REM'!$A$24:$B$35, 2, FALSE))
</f>
        <v/>
      </c>
      <c r="K931" s="107" t="str">
        <f t="shared" si="23"/>
        <v/>
      </c>
      <c r="L931" s="293">
        <f t="shared" si="5"/>
        <v>-5187415.025</v>
      </c>
      <c r="M931" s="293">
        <f t="shared" si="3"/>
        <v>-68574.41</v>
      </c>
      <c r="N931" s="293">
        <f t="shared" si="6"/>
        <v>0</v>
      </c>
      <c r="O931" s="277">
        <f t="shared" si="4"/>
        <v>-72146.60962</v>
      </c>
      <c r="P931" s="264"/>
      <c r="Q931" s="264"/>
      <c r="R931" s="264"/>
      <c r="S931" s="264"/>
      <c r="T931" s="264"/>
      <c r="U931" s="264"/>
      <c r="V931" s="264"/>
      <c r="W931" s="264"/>
      <c r="X931" s="264"/>
      <c r="Y931" s="264"/>
      <c r="Z931" s="264"/>
      <c r="AA931" s="264"/>
      <c r="AB931" s="264"/>
      <c r="AC931" s="264"/>
      <c r="AD931" s="264"/>
      <c r="AE931" s="264"/>
    </row>
    <row r="932">
      <c r="A932" s="272"/>
      <c r="B932" s="272"/>
      <c r="C932" s="272"/>
      <c r="D932" s="172"/>
      <c r="E932" s="267" t="str">
        <f t="shared" si="22"/>
        <v/>
      </c>
      <c r="F932" s="274" t="str">
        <f t="shared" si="2"/>
        <v/>
      </c>
      <c r="G932" s="42"/>
      <c r="H932" s="264"/>
      <c r="I932" s="277"/>
      <c r="J932" s="276" t="str">
        <f>IF(ISBLANK(I932), "", VLOOKUP(E932&amp;" "&amp;F932, 'Info Tipo de Cambio y REM'!$A$24:$B$35, 2, FALSE))
</f>
        <v/>
      </c>
      <c r="K932" s="107" t="str">
        <f t="shared" si="23"/>
        <v/>
      </c>
      <c r="L932" s="293">
        <f t="shared" si="5"/>
        <v>-5187415.025</v>
      </c>
      <c r="M932" s="293">
        <f t="shared" si="3"/>
        <v>-68574.41</v>
      </c>
      <c r="N932" s="293">
        <f t="shared" si="6"/>
        <v>0</v>
      </c>
      <c r="O932" s="277">
        <f t="shared" si="4"/>
        <v>-72146.60962</v>
      </c>
      <c r="P932" s="264"/>
      <c r="Q932" s="264"/>
      <c r="R932" s="264"/>
      <c r="S932" s="264"/>
      <c r="T932" s="264"/>
      <c r="U932" s="264"/>
      <c r="V932" s="264"/>
      <c r="W932" s="264"/>
      <c r="X932" s="264"/>
      <c r="Y932" s="264"/>
      <c r="Z932" s="264"/>
      <c r="AA932" s="264"/>
      <c r="AB932" s="264"/>
      <c r="AC932" s="264"/>
      <c r="AD932" s="264"/>
      <c r="AE932" s="264"/>
    </row>
    <row r="933">
      <c r="A933" s="272"/>
      <c r="B933" s="272"/>
      <c r="C933" s="272"/>
      <c r="D933" s="172"/>
      <c r="E933" s="267" t="str">
        <f t="shared" si="22"/>
        <v/>
      </c>
      <c r="F933" s="274" t="str">
        <f t="shared" si="2"/>
        <v/>
      </c>
      <c r="G933" s="42"/>
      <c r="H933" s="264"/>
      <c r="I933" s="277"/>
      <c r="J933" s="276" t="str">
        <f>IF(ISBLANK(I933), "", VLOOKUP(E933&amp;" "&amp;F933, 'Info Tipo de Cambio y REM'!$A$24:$B$35, 2, FALSE))
</f>
        <v/>
      </c>
      <c r="K933" s="107" t="str">
        <f t="shared" si="23"/>
        <v/>
      </c>
      <c r="L933" s="293">
        <f t="shared" si="5"/>
        <v>-5187415.025</v>
      </c>
      <c r="M933" s="293">
        <f t="shared" si="3"/>
        <v>-68574.41</v>
      </c>
      <c r="N933" s="293">
        <f t="shared" si="6"/>
        <v>0</v>
      </c>
      <c r="O933" s="277">
        <f t="shared" si="4"/>
        <v>-72146.60962</v>
      </c>
      <c r="P933" s="264"/>
      <c r="Q933" s="264"/>
      <c r="R933" s="264"/>
      <c r="S933" s="264"/>
      <c r="T933" s="264"/>
      <c r="U933" s="264"/>
      <c r="V933" s="264"/>
      <c r="W933" s="264"/>
      <c r="X933" s="264"/>
      <c r="Y933" s="264"/>
      <c r="Z933" s="264"/>
      <c r="AA933" s="264"/>
      <c r="AB933" s="264"/>
      <c r="AC933" s="264"/>
      <c r="AD933" s="264"/>
      <c r="AE933" s="264"/>
    </row>
    <row r="934">
      <c r="A934" s="272"/>
      <c r="B934" s="272"/>
      <c r="C934" s="272"/>
      <c r="D934" s="172"/>
      <c r="E934" s="267" t="str">
        <f t="shared" si="22"/>
        <v/>
      </c>
      <c r="F934" s="274" t="str">
        <f t="shared" si="2"/>
        <v/>
      </c>
      <c r="G934" s="42"/>
      <c r="H934" s="264"/>
      <c r="I934" s="277"/>
      <c r="J934" s="276" t="str">
        <f>IF(ISBLANK(I934), "", VLOOKUP(E934&amp;" "&amp;F934, 'Info Tipo de Cambio y REM'!$A$24:$B$35, 2, FALSE))
</f>
        <v/>
      </c>
      <c r="K934" s="107" t="str">
        <f t="shared" si="23"/>
        <v/>
      </c>
      <c r="L934" s="293">
        <f t="shared" si="5"/>
        <v>-5187415.025</v>
      </c>
      <c r="M934" s="293">
        <f t="shared" si="3"/>
        <v>-68574.41</v>
      </c>
      <c r="N934" s="293">
        <f t="shared" si="6"/>
        <v>0</v>
      </c>
      <c r="O934" s="277">
        <f t="shared" si="4"/>
        <v>-72146.60962</v>
      </c>
      <c r="P934" s="264"/>
      <c r="Q934" s="264"/>
      <c r="R934" s="264"/>
      <c r="S934" s="264"/>
      <c r="T934" s="264"/>
      <c r="U934" s="264"/>
      <c r="V934" s="264"/>
      <c r="W934" s="264"/>
      <c r="X934" s="264"/>
      <c r="Y934" s="264"/>
      <c r="Z934" s="264"/>
      <c r="AA934" s="264"/>
      <c r="AB934" s="264"/>
      <c r="AC934" s="264"/>
      <c r="AD934" s="264"/>
      <c r="AE934" s="264"/>
    </row>
    <row r="935">
      <c r="A935" s="272"/>
      <c r="B935" s="272"/>
      <c r="C935" s="272"/>
      <c r="D935" s="172"/>
      <c r="E935" s="267" t="str">
        <f t="shared" si="22"/>
        <v/>
      </c>
      <c r="F935" s="274" t="str">
        <f t="shared" si="2"/>
        <v/>
      </c>
      <c r="G935" s="42"/>
      <c r="H935" s="264"/>
      <c r="I935" s="277"/>
      <c r="J935" s="276" t="str">
        <f>IF(ISBLANK(I935), "", VLOOKUP(E935&amp;" "&amp;F935, 'Info Tipo de Cambio y REM'!$A$24:$B$35, 2, FALSE))
</f>
        <v/>
      </c>
      <c r="K935" s="107" t="str">
        <f t="shared" si="23"/>
        <v/>
      </c>
      <c r="L935" s="293">
        <f t="shared" si="5"/>
        <v>-5187415.025</v>
      </c>
      <c r="M935" s="293">
        <f t="shared" si="3"/>
        <v>-68574.41</v>
      </c>
      <c r="N935" s="293">
        <f t="shared" si="6"/>
        <v>0</v>
      </c>
      <c r="O935" s="277">
        <f t="shared" si="4"/>
        <v>-72146.60962</v>
      </c>
      <c r="P935" s="264"/>
      <c r="Q935" s="264"/>
      <c r="R935" s="264"/>
      <c r="S935" s="264"/>
      <c r="T935" s="264"/>
      <c r="U935" s="264"/>
      <c r="V935" s="264"/>
      <c r="W935" s="264"/>
      <c r="X935" s="264"/>
      <c r="Y935" s="264"/>
      <c r="Z935" s="264"/>
      <c r="AA935" s="264"/>
      <c r="AB935" s="264"/>
      <c r="AC935" s="264"/>
      <c r="AD935" s="264"/>
      <c r="AE935" s="264"/>
    </row>
    <row r="936">
      <c r="A936" s="272"/>
      <c r="B936" s="272"/>
      <c r="C936" s="272"/>
      <c r="D936" s="172"/>
      <c r="E936" s="267" t="str">
        <f t="shared" si="22"/>
        <v/>
      </c>
      <c r="F936" s="274" t="str">
        <f t="shared" si="2"/>
        <v/>
      </c>
      <c r="G936" s="42"/>
      <c r="H936" s="264"/>
      <c r="I936" s="277"/>
      <c r="J936" s="276" t="str">
        <f>IF(ISBLANK(I936), "", VLOOKUP(E936&amp;" "&amp;F936, 'Info Tipo de Cambio y REM'!$A$24:$B$35, 2, FALSE))
</f>
        <v/>
      </c>
      <c r="K936" s="107" t="str">
        <f t="shared" si="23"/>
        <v/>
      </c>
      <c r="L936" s="293">
        <f t="shared" si="5"/>
        <v>-5187415.025</v>
      </c>
      <c r="M936" s="293">
        <f t="shared" si="3"/>
        <v>-68574.41</v>
      </c>
      <c r="N936" s="293">
        <f t="shared" si="6"/>
        <v>0</v>
      </c>
      <c r="O936" s="277">
        <f t="shared" si="4"/>
        <v>-72146.60962</v>
      </c>
      <c r="P936" s="264"/>
      <c r="Q936" s="264"/>
      <c r="R936" s="264"/>
      <c r="S936" s="264"/>
      <c r="T936" s="264"/>
      <c r="U936" s="264"/>
      <c r="V936" s="264"/>
      <c r="W936" s="264"/>
      <c r="X936" s="264"/>
      <c r="Y936" s="264"/>
      <c r="Z936" s="264"/>
      <c r="AA936" s="264"/>
      <c r="AB936" s="264"/>
      <c r="AC936" s="264"/>
      <c r="AD936" s="264"/>
      <c r="AE936" s="264"/>
    </row>
    <row r="937">
      <c r="A937" s="272"/>
      <c r="B937" s="272"/>
      <c r="C937" s="272"/>
      <c r="D937" s="172"/>
      <c r="E937" s="267" t="str">
        <f t="shared" si="22"/>
        <v/>
      </c>
      <c r="F937" s="274" t="str">
        <f t="shared" si="2"/>
        <v/>
      </c>
      <c r="G937" s="42"/>
      <c r="H937" s="264"/>
      <c r="I937" s="277"/>
      <c r="J937" s="276" t="str">
        <f>IF(ISBLANK(I937), "", VLOOKUP(E937&amp;" "&amp;F937, 'Info Tipo de Cambio y REM'!$A$24:$B$35, 2, FALSE))
</f>
        <v/>
      </c>
      <c r="K937" s="107" t="str">
        <f t="shared" si="23"/>
        <v/>
      </c>
      <c r="L937" s="293">
        <f t="shared" si="5"/>
        <v>-5187415.025</v>
      </c>
      <c r="M937" s="293">
        <f t="shared" si="3"/>
        <v>-68574.41</v>
      </c>
      <c r="N937" s="293">
        <f t="shared" si="6"/>
        <v>0</v>
      </c>
      <c r="O937" s="277">
        <f t="shared" si="4"/>
        <v>-72146.60962</v>
      </c>
      <c r="P937" s="264"/>
      <c r="Q937" s="264"/>
      <c r="R937" s="264"/>
      <c r="S937" s="264"/>
      <c r="T937" s="264"/>
      <c r="U937" s="264"/>
      <c r="V937" s="264"/>
      <c r="W937" s="264"/>
      <c r="X937" s="264"/>
      <c r="Y937" s="264"/>
      <c r="Z937" s="264"/>
      <c r="AA937" s="264"/>
      <c r="AB937" s="264"/>
      <c r="AC937" s="264"/>
      <c r="AD937" s="264"/>
      <c r="AE937" s="264"/>
    </row>
    <row r="938">
      <c r="A938" s="272"/>
      <c r="B938" s="272"/>
      <c r="C938" s="272"/>
      <c r="D938" s="172"/>
      <c r="E938" s="267" t="str">
        <f t="shared" si="22"/>
        <v/>
      </c>
      <c r="F938" s="274" t="str">
        <f t="shared" si="2"/>
        <v/>
      </c>
      <c r="G938" s="42"/>
      <c r="H938" s="264"/>
      <c r="I938" s="277"/>
      <c r="J938" s="276" t="str">
        <f>IF(ISBLANK(I938), "", VLOOKUP(E938&amp;" "&amp;F938, 'Info Tipo de Cambio y REM'!$A$24:$B$35, 2, FALSE))
</f>
        <v/>
      </c>
      <c r="K938" s="107" t="str">
        <f t="shared" si="23"/>
        <v/>
      </c>
      <c r="L938" s="293">
        <f t="shared" si="5"/>
        <v>-5187415.025</v>
      </c>
      <c r="M938" s="293">
        <f t="shared" si="3"/>
        <v>-68574.41</v>
      </c>
      <c r="N938" s="293">
        <f t="shared" si="6"/>
        <v>0</v>
      </c>
      <c r="O938" s="277">
        <f t="shared" si="4"/>
        <v>-72146.60962</v>
      </c>
      <c r="P938" s="264"/>
      <c r="Q938" s="264"/>
      <c r="R938" s="264"/>
      <c r="S938" s="264"/>
      <c r="T938" s="264"/>
      <c r="U938" s="264"/>
      <c r="V938" s="264"/>
      <c r="W938" s="264"/>
      <c r="X938" s="264"/>
      <c r="Y938" s="264"/>
      <c r="Z938" s="264"/>
      <c r="AA938" s="264"/>
      <c r="AB938" s="264"/>
      <c r="AC938" s="264"/>
      <c r="AD938" s="264"/>
      <c r="AE938" s="264"/>
    </row>
    <row r="939">
      <c r="A939" s="272"/>
      <c r="B939" s="272"/>
      <c r="C939" s="272"/>
      <c r="D939" s="172"/>
      <c r="E939" s="267" t="str">
        <f t="shared" si="22"/>
        <v/>
      </c>
      <c r="F939" s="274" t="str">
        <f t="shared" si="2"/>
        <v/>
      </c>
      <c r="G939" s="42"/>
      <c r="H939" s="264"/>
      <c r="I939" s="277"/>
      <c r="J939" s="276" t="str">
        <f>IF(ISBLANK(I939), "", VLOOKUP(E939&amp;" "&amp;F939, 'Info Tipo de Cambio y REM'!$A$24:$B$35, 2, FALSE))
</f>
        <v/>
      </c>
      <c r="K939" s="107" t="str">
        <f t="shared" si="23"/>
        <v/>
      </c>
      <c r="L939" s="293">
        <f t="shared" si="5"/>
        <v>-5187415.025</v>
      </c>
      <c r="M939" s="293">
        <f t="shared" si="3"/>
        <v>-68574.41</v>
      </c>
      <c r="N939" s="293">
        <f t="shared" si="6"/>
        <v>0</v>
      </c>
      <c r="O939" s="277">
        <f t="shared" si="4"/>
        <v>-72146.60962</v>
      </c>
      <c r="P939" s="264"/>
      <c r="Q939" s="264"/>
      <c r="R939" s="264"/>
      <c r="S939" s="264"/>
      <c r="T939" s="264"/>
      <c r="U939" s="264"/>
      <c r="V939" s="264"/>
      <c r="W939" s="264"/>
      <c r="X939" s="264"/>
      <c r="Y939" s="264"/>
      <c r="Z939" s="264"/>
      <c r="AA939" s="264"/>
      <c r="AB939" s="264"/>
      <c r="AC939" s="264"/>
      <c r="AD939" s="264"/>
      <c r="AE939" s="264"/>
    </row>
    <row r="940">
      <c r="A940" s="272"/>
      <c r="B940" s="272"/>
      <c r="C940" s="272"/>
      <c r="D940" s="172"/>
      <c r="E940" s="267" t="str">
        <f t="shared" si="22"/>
        <v/>
      </c>
      <c r="F940" s="274" t="str">
        <f t="shared" si="2"/>
        <v/>
      </c>
      <c r="G940" s="42"/>
      <c r="H940" s="264"/>
      <c r="I940" s="277"/>
      <c r="J940" s="276" t="str">
        <f>IF(ISBLANK(I940), "", VLOOKUP(E940&amp;" "&amp;F940, 'Info Tipo de Cambio y REM'!$A$24:$B$35, 2, FALSE))
</f>
        <v/>
      </c>
      <c r="K940" s="107" t="str">
        <f t="shared" si="23"/>
        <v/>
      </c>
      <c r="L940" s="293">
        <f t="shared" si="5"/>
        <v>-5187415.025</v>
      </c>
      <c r="M940" s="293">
        <f t="shared" si="3"/>
        <v>-68574.41</v>
      </c>
      <c r="N940" s="293">
        <f t="shared" si="6"/>
        <v>0</v>
      </c>
      <c r="O940" s="277">
        <f t="shared" si="4"/>
        <v>-72146.60962</v>
      </c>
      <c r="P940" s="264"/>
      <c r="Q940" s="264"/>
      <c r="R940" s="264"/>
      <c r="S940" s="264"/>
      <c r="T940" s="264"/>
      <c r="U940" s="264"/>
      <c r="V940" s="264"/>
      <c r="W940" s="264"/>
      <c r="X940" s="264"/>
      <c r="Y940" s="264"/>
      <c r="Z940" s="264"/>
      <c r="AA940" s="264"/>
      <c r="AB940" s="264"/>
      <c r="AC940" s="264"/>
      <c r="AD940" s="264"/>
      <c r="AE940" s="264"/>
    </row>
    <row r="941">
      <c r="A941" s="272"/>
      <c r="B941" s="272"/>
      <c r="C941" s="272"/>
      <c r="D941" s="172"/>
      <c r="E941" s="267" t="str">
        <f t="shared" si="22"/>
        <v/>
      </c>
      <c r="F941" s="274" t="str">
        <f t="shared" si="2"/>
        <v/>
      </c>
      <c r="G941" s="42"/>
      <c r="H941" s="264"/>
      <c r="I941" s="277"/>
      <c r="J941" s="276" t="str">
        <f>IF(ISBLANK(I941), "", VLOOKUP(E941&amp;" "&amp;F941, 'Info Tipo de Cambio y REM'!$A$24:$B$35, 2, FALSE))
</f>
        <v/>
      </c>
      <c r="K941" s="107" t="str">
        <f t="shared" si="23"/>
        <v/>
      </c>
      <c r="L941" s="293">
        <f t="shared" si="5"/>
        <v>-5187415.025</v>
      </c>
      <c r="M941" s="293">
        <f t="shared" si="3"/>
        <v>-68574.41</v>
      </c>
      <c r="N941" s="293">
        <f t="shared" si="6"/>
        <v>0</v>
      </c>
      <c r="O941" s="277">
        <f t="shared" si="4"/>
        <v>-72146.60962</v>
      </c>
      <c r="P941" s="264"/>
      <c r="Q941" s="264"/>
      <c r="R941" s="264"/>
      <c r="S941" s="264"/>
      <c r="T941" s="264"/>
      <c r="U941" s="264"/>
      <c r="V941" s="264"/>
      <c r="W941" s="264"/>
      <c r="X941" s="264"/>
      <c r="Y941" s="264"/>
      <c r="Z941" s="264"/>
      <c r="AA941" s="264"/>
      <c r="AB941" s="264"/>
      <c r="AC941" s="264"/>
      <c r="AD941" s="264"/>
      <c r="AE941" s="264"/>
    </row>
    <row r="942">
      <c r="A942" s="272"/>
      <c r="B942" s="272"/>
      <c r="C942" s="272"/>
      <c r="D942" s="172"/>
      <c r="E942" s="267" t="str">
        <f t="shared" si="22"/>
        <v/>
      </c>
      <c r="F942" s="274" t="str">
        <f t="shared" si="2"/>
        <v/>
      </c>
      <c r="G942" s="42"/>
      <c r="H942" s="264"/>
      <c r="I942" s="277"/>
      <c r="J942" s="276" t="str">
        <f>IF(ISBLANK(I942), "", VLOOKUP(E942&amp;" "&amp;F942, 'Info Tipo de Cambio y REM'!$A$24:$B$35, 2, FALSE))
</f>
        <v/>
      </c>
      <c r="K942" s="107" t="str">
        <f t="shared" si="23"/>
        <v/>
      </c>
      <c r="L942" s="293">
        <f t="shared" si="5"/>
        <v>-5187415.025</v>
      </c>
      <c r="M942" s="293">
        <f t="shared" si="3"/>
        <v>-68574.41</v>
      </c>
      <c r="N942" s="293">
        <f t="shared" si="6"/>
        <v>0</v>
      </c>
      <c r="O942" s="277">
        <f t="shared" si="4"/>
        <v>-72146.60962</v>
      </c>
      <c r="P942" s="264"/>
      <c r="Q942" s="264"/>
      <c r="R942" s="264"/>
      <c r="S942" s="264"/>
      <c r="T942" s="264"/>
      <c r="U942" s="264"/>
      <c r="V942" s="264"/>
      <c r="W942" s="264"/>
      <c r="X942" s="264"/>
      <c r="Y942" s="264"/>
      <c r="Z942" s="264"/>
      <c r="AA942" s="264"/>
      <c r="AB942" s="264"/>
      <c r="AC942" s="264"/>
      <c r="AD942" s="264"/>
      <c r="AE942" s="264"/>
    </row>
    <row r="943">
      <c r="A943" s="272"/>
      <c r="B943" s="272"/>
      <c r="C943" s="272"/>
      <c r="D943" s="172"/>
      <c r="E943" s="267" t="str">
        <f t="shared" si="22"/>
        <v/>
      </c>
      <c r="F943" s="274" t="str">
        <f t="shared" si="2"/>
        <v/>
      </c>
      <c r="G943" s="42"/>
      <c r="H943" s="264"/>
      <c r="I943" s="277"/>
      <c r="J943" s="276" t="str">
        <f>IF(ISBLANK(I943), "", VLOOKUP(E943&amp;" "&amp;F943, 'Info Tipo de Cambio y REM'!$A$24:$B$35, 2, FALSE))
</f>
        <v/>
      </c>
      <c r="K943" s="107" t="str">
        <f t="shared" si="23"/>
        <v/>
      </c>
      <c r="L943" s="293">
        <f t="shared" si="5"/>
        <v>-5187415.025</v>
      </c>
      <c r="M943" s="293">
        <f t="shared" si="3"/>
        <v>-68574.41</v>
      </c>
      <c r="N943" s="293">
        <f t="shared" si="6"/>
        <v>0</v>
      </c>
      <c r="O943" s="277">
        <f t="shared" si="4"/>
        <v>-72146.60962</v>
      </c>
      <c r="P943" s="264"/>
      <c r="Q943" s="264"/>
      <c r="R943" s="264"/>
      <c r="S943" s="264"/>
      <c r="T943" s="264"/>
      <c r="U943" s="264"/>
      <c r="V943" s="264"/>
      <c r="W943" s="264"/>
      <c r="X943" s="264"/>
      <c r="Y943" s="264"/>
      <c r="Z943" s="264"/>
      <c r="AA943" s="264"/>
      <c r="AB943" s="264"/>
      <c r="AC943" s="264"/>
      <c r="AD943" s="264"/>
      <c r="AE943" s="264"/>
    </row>
    <row r="944">
      <c r="A944" s="272"/>
      <c r="B944" s="272"/>
      <c r="C944" s="272"/>
      <c r="D944" s="172"/>
      <c r="E944" s="267" t="str">
        <f t="shared" si="22"/>
        <v/>
      </c>
      <c r="F944" s="274" t="str">
        <f t="shared" si="2"/>
        <v/>
      </c>
      <c r="G944" s="42"/>
      <c r="H944" s="264"/>
      <c r="I944" s="277"/>
      <c r="J944" s="276" t="str">
        <f>IF(ISBLANK(I944), "", VLOOKUP(E944&amp;" "&amp;F944, 'Info Tipo de Cambio y REM'!$A$24:$B$35, 2, FALSE))
</f>
        <v/>
      </c>
      <c r="K944" s="107" t="str">
        <f t="shared" si="23"/>
        <v/>
      </c>
      <c r="L944" s="293">
        <f t="shared" si="5"/>
        <v>-5187415.025</v>
      </c>
      <c r="M944" s="293">
        <f t="shared" si="3"/>
        <v>-68574.41</v>
      </c>
      <c r="N944" s="293">
        <f t="shared" si="6"/>
        <v>0</v>
      </c>
      <c r="O944" s="277">
        <f t="shared" si="4"/>
        <v>-72146.60962</v>
      </c>
      <c r="P944" s="264"/>
      <c r="Q944" s="264"/>
      <c r="R944" s="264"/>
      <c r="S944" s="264"/>
      <c r="T944" s="264"/>
      <c r="U944" s="264"/>
      <c r="V944" s="264"/>
      <c r="W944" s="264"/>
      <c r="X944" s="264"/>
      <c r="Y944" s="264"/>
      <c r="Z944" s="264"/>
      <c r="AA944" s="264"/>
      <c r="AB944" s="264"/>
      <c r="AC944" s="264"/>
      <c r="AD944" s="264"/>
      <c r="AE944" s="264"/>
    </row>
    <row r="945">
      <c r="A945" s="272"/>
      <c r="B945" s="272"/>
      <c r="C945" s="272"/>
      <c r="D945" s="172"/>
      <c r="E945" s="267" t="str">
        <f t="shared" si="22"/>
        <v/>
      </c>
      <c r="F945" s="274" t="str">
        <f t="shared" si="2"/>
        <v/>
      </c>
      <c r="G945" s="42"/>
      <c r="H945" s="264"/>
      <c r="I945" s="277"/>
      <c r="J945" s="276" t="str">
        <f>IF(ISBLANK(I945), "", VLOOKUP(E945&amp;" "&amp;F945, 'Info Tipo de Cambio y REM'!$A$24:$B$35, 2, FALSE))
</f>
        <v/>
      </c>
      <c r="K945" s="107" t="str">
        <f t="shared" si="23"/>
        <v/>
      </c>
      <c r="L945" s="293">
        <f t="shared" si="5"/>
        <v>-5187415.025</v>
      </c>
      <c r="M945" s="293">
        <f t="shared" si="3"/>
        <v>-68574.41</v>
      </c>
      <c r="N945" s="293">
        <f t="shared" si="6"/>
        <v>0</v>
      </c>
      <c r="O945" s="277">
        <f t="shared" si="4"/>
        <v>-72146.60962</v>
      </c>
      <c r="P945" s="264"/>
      <c r="Q945" s="264"/>
      <c r="R945" s="264"/>
      <c r="S945" s="264"/>
      <c r="T945" s="264"/>
      <c r="U945" s="264"/>
      <c r="V945" s="264"/>
      <c r="W945" s="264"/>
      <c r="X945" s="264"/>
      <c r="Y945" s="264"/>
      <c r="Z945" s="264"/>
      <c r="AA945" s="264"/>
      <c r="AB945" s="264"/>
      <c r="AC945" s="264"/>
      <c r="AD945" s="264"/>
      <c r="AE945" s="264"/>
    </row>
    <row r="946">
      <c r="A946" s="272"/>
      <c r="B946" s="272"/>
      <c r="C946" s="272"/>
      <c r="D946" s="172"/>
      <c r="E946" s="267" t="str">
        <f t="shared" si="22"/>
        <v/>
      </c>
      <c r="F946" s="274" t="str">
        <f t="shared" si="2"/>
        <v/>
      </c>
      <c r="G946" s="42"/>
      <c r="H946" s="264"/>
      <c r="I946" s="277"/>
      <c r="J946" s="276" t="str">
        <f>IF(ISBLANK(I946), "", VLOOKUP(E946&amp;" "&amp;F946, 'Info Tipo de Cambio y REM'!$A$24:$B$35, 2, FALSE))
</f>
        <v/>
      </c>
      <c r="K946" s="107" t="str">
        <f t="shared" si="23"/>
        <v/>
      </c>
      <c r="L946" s="293">
        <f t="shared" si="5"/>
        <v>-5187415.025</v>
      </c>
      <c r="M946" s="293">
        <f t="shared" si="3"/>
        <v>-68574.41</v>
      </c>
      <c r="N946" s="293">
        <f t="shared" si="6"/>
        <v>0</v>
      </c>
      <c r="O946" s="277">
        <f t="shared" si="4"/>
        <v>-72146.60962</v>
      </c>
      <c r="P946" s="264"/>
      <c r="Q946" s="264"/>
      <c r="R946" s="264"/>
      <c r="S946" s="264"/>
      <c r="T946" s="264"/>
      <c r="U946" s="264"/>
      <c r="V946" s="264"/>
      <c r="W946" s="264"/>
      <c r="X946" s="264"/>
      <c r="Y946" s="264"/>
      <c r="Z946" s="264"/>
      <c r="AA946" s="264"/>
      <c r="AB946" s="264"/>
      <c r="AC946" s="264"/>
      <c r="AD946" s="264"/>
      <c r="AE946" s="264"/>
    </row>
    <row r="947">
      <c r="A947" s="272"/>
      <c r="B947" s="272"/>
      <c r="C947" s="272"/>
      <c r="D947" s="172"/>
      <c r="E947" s="267" t="str">
        <f t="shared" si="22"/>
        <v/>
      </c>
      <c r="F947" s="274" t="str">
        <f t="shared" si="2"/>
        <v/>
      </c>
      <c r="G947" s="42"/>
      <c r="H947" s="264"/>
      <c r="I947" s="277"/>
      <c r="J947" s="276" t="str">
        <f>IF(ISBLANK(I947), "", VLOOKUP(E947&amp;" "&amp;F947, 'Info Tipo de Cambio y REM'!$A$24:$B$35, 2, FALSE))
</f>
        <v/>
      </c>
      <c r="K947" s="107" t="str">
        <f t="shared" si="23"/>
        <v/>
      </c>
      <c r="L947" s="293">
        <f t="shared" si="5"/>
        <v>-5187415.025</v>
      </c>
      <c r="M947" s="293">
        <f t="shared" si="3"/>
        <v>-68574.41</v>
      </c>
      <c r="N947" s="293">
        <f t="shared" si="6"/>
        <v>0</v>
      </c>
      <c r="O947" s="277">
        <f t="shared" si="4"/>
        <v>-72146.60962</v>
      </c>
      <c r="P947" s="264"/>
      <c r="Q947" s="264"/>
      <c r="R947" s="264"/>
      <c r="S947" s="264"/>
      <c r="T947" s="264"/>
      <c r="U947" s="264"/>
      <c r="V947" s="264"/>
      <c r="W947" s="264"/>
      <c r="X947" s="264"/>
      <c r="Y947" s="264"/>
      <c r="Z947" s="264"/>
      <c r="AA947" s="264"/>
      <c r="AB947" s="264"/>
      <c r="AC947" s="264"/>
      <c r="AD947" s="264"/>
      <c r="AE947" s="264"/>
    </row>
    <row r="948">
      <c r="A948" s="272"/>
      <c r="B948" s="272"/>
      <c r="C948" s="272"/>
      <c r="D948" s="172"/>
      <c r="E948" s="267" t="str">
        <f t="shared" si="22"/>
        <v/>
      </c>
      <c r="F948" s="274" t="str">
        <f t="shared" si="2"/>
        <v/>
      </c>
      <c r="G948" s="42"/>
      <c r="H948" s="264"/>
      <c r="I948" s="277"/>
      <c r="J948" s="276" t="str">
        <f>IF(ISBLANK(I948), "", VLOOKUP(E948&amp;" "&amp;F948, 'Info Tipo de Cambio y REM'!$A$24:$B$35, 2, FALSE))
</f>
        <v/>
      </c>
      <c r="K948" s="107" t="str">
        <f t="shared" si="23"/>
        <v/>
      </c>
      <c r="L948" s="293">
        <f t="shared" si="5"/>
        <v>-5187415.025</v>
      </c>
      <c r="M948" s="293">
        <f t="shared" si="3"/>
        <v>-68574.41</v>
      </c>
      <c r="N948" s="293">
        <f t="shared" si="6"/>
        <v>0</v>
      </c>
      <c r="O948" s="277">
        <f t="shared" si="4"/>
        <v>-72146.60962</v>
      </c>
      <c r="P948" s="264"/>
      <c r="Q948" s="264"/>
      <c r="R948" s="264"/>
      <c r="S948" s="264"/>
      <c r="T948" s="264"/>
      <c r="U948" s="264"/>
      <c r="V948" s="264"/>
      <c r="W948" s="264"/>
      <c r="X948" s="264"/>
      <c r="Y948" s="264"/>
      <c r="Z948" s="264"/>
      <c r="AA948" s="264"/>
      <c r="AB948" s="264"/>
      <c r="AC948" s="264"/>
      <c r="AD948" s="264"/>
      <c r="AE948" s="264"/>
    </row>
    <row r="949">
      <c r="A949" s="272"/>
      <c r="B949" s="272"/>
      <c r="C949" s="272"/>
      <c r="D949" s="172"/>
      <c r="E949" s="267" t="str">
        <f t="shared" si="22"/>
        <v/>
      </c>
      <c r="F949" s="274" t="str">
        <f t="shared" si="2"/>
        <v/>
      </c>
      <c r="G949" s="42"/>
      <c r="H949" s="264"/>
      <c r="I949" s="277"/>
      <c r="J949" s="276" t="str">
        <f>IF(ISBLANK(I949), "", VLOOKUP(E949&amp;" "&amp;F949, 'Info Tipo de Cambio y REM'!$A$24:$B$35, 2, FALSE))
</f>
        <v/>
      </c>
      <c r="K949" s="107" t="str">
        <f t="shared" si="23"/>
        <v/>
      </c>
      <c r="L949" s="293">
        <f t="shared" si="5"/>
        <v>-5187415.025</v>
      </c>
      <c r="M949" s="293">
        <f t="shared" si="3"/>
        <v>-68574.41</v>
      </c>
      <c r="N949" s="293">
        <f t="shared" si="6"/>
        <v>0</v>
      </c>
      <c r="O949" s="277">
        <f t="shared" si="4"/>
        <v>-72146.60962</v>
      </c>
      <c r="P949" s="264"/>
      <c r="Q949" s="264"/>
      <c r="R949" s="264"/>
      <c r="S949" s="264"/>
      <c r="T949" s="264"/>
      <c r="U949" s="264"/>
      <c r="V949" s="264"/>
      <c r="W949" s="264"/>
      <c r="X949" s="264"/>
      <c r="Y949" s="264"/>
      <c r="Z949" s="264"/>
      <c r="AA949" s="264"/>
      <c r="AB949" s="264"/>
      <c r="AC949" s="264"/>
      <c r="AD949" s="264"/>
      <c r="AE949" s="264"/>
    </row>
    <row r="950">
      <c r="A950" s="272"/>
      <c r="B950" s="272"/>
      <c r="C950" s="272"/>
      <c r="D950" s="172"/>
      <c r="E950" s="267" t="str">
        <f t="shared" si="22"/>
        <v/>
      </c>
      <c r="F950" s="274" t="str">
        <f t="shared" si="2"/>
        <v/>
      </c>
      <c r="G950" s="42"/>
      <c r="H950" s="264"/>
      <c r="I950" s="277"/>
      <c r="J950" s="276" t="str">
        <f>IF(ISBLANK(I950), "", VLOOKUP(E950&amp;" "&amp;F950, 'Info Tipo de Cambio y REM'!$A$24:$B$35, 2, FALSE))
</f>
        <v/>
      </c>
      <c r="K950" s="107" t="str">
        <f t="shared" si="23"/>
        <v/>
      </c>
      <c r="L950" s="293">
        <f t="shared" si="5"/>
        <v>-5187415.025</v>
      </c>
      <c r="M950" s="293">
        <f t="shared" si="3"/>
        <v>-68574.41</v>
      </c>
      <c r="N950" s="293">
        <f t="shared" si="6"/>
        <v>0</v>
      </c>
      <c r="O950" s="277">
        <f t="shared" si="4"/>
        <v>-72146.60962</v>
      </c>
      <c r="P950" s="264"/>
      <c r="Q950" s="264"/>
      <c r="R950" s="264"/>
      <c r="S950" s="264"/>
      <c r="T950" s="264"/>
      <c r="U950" s="264"/>
      <c r="V950" s="264"/>
      <c r="W950" s="264"/>
      <c r="X950" s="264"/>
      <c r="Y950" s="264"/>
      <c r="Z950" s="264"/>
      <c r="AA950" s="264"/>
      <c r="AB950" s="264"/>
      <c r="AC950" s="264"/>
      <c r="AD950" s="264"/>
      <c r="AE950" s="264"/>
    </row>
    <row r="951">
      <c r="A951" s="272"/>
      <c r="B951" s="272"/>
      <c r="C951" s="272"/>
      <c r="D951" s="172"/>
      <c r="E951" s="267" t="str">
        <f t="shared" si="22"/>
        <v/>
      </c>
      <c r="F951" s="274" t="str">
        <f t="shared" si="2"/>
        <v/>
      </c>
      <c r="G951" s="42"/>
      <c r="H951" s="264"/>
      <c r="I951" s="277"/>
      <c r="J951" s="276" t="str">
        <f>IF(ISBLANK(I951), "", VLOOKUP(E951&amp;" "&amp;F951, 'Info Tipo de Cambio y REM'!$A$24:$B$35, 2, FALSE))
</f>
        <v/>
      </c>
      <c r="K951" s="107" t="str">
        <f t="shared" si="23"/>
        <v/>
      </c>
      <c r="L951" s="293">
        <f t="shared" si="5"/>
        <v>-5187415.025</v>
      </c>
      <c r="M951" s="293">
        <f t="shared" si="3"/>
        <v>-68574.41</v>
      </c>
      <c r="N951" s="293">
        <f t="shared" si="6"/>
        <v>0</v>
      </c>
      <c r="O951" s="277">
        <f t="shared" si="4"/>
        <v>-72146.60962</v>
      </c>
      <c r="P951" s="264"/>
      <c r="Q951" s="264"/>
      <c r="R951" s="264"/>
      <c r="S951" s="264"/>
      <c r="T951" s="264"/>
      <c r="U951" s="264"/>
      <c r="V951" s="264"/>
      <c r="W951" s="264"/>
      <c r="X951" s="264"/>
      <c r="Y951" s="264"/>
      <c r="Z951" s="264"/>
      <c r="AA951" s="264"/>
      <c r="AB951" s="264"/>
      <c r="AC951" s="264"/>
      <c r="AD951" s="264"/>
      <c r="AE951" s="264"/>
    </row>
    <row r="952">
      <c r="A952" s="272"/>
      <c r="B952" s="272"/>
      <c r="C952" s="272"/>
      <c r="D952" s="172"/>
      <c r="E952" s="267" t="str">
        <f t="shared" si="22"/>
        <v/>
      </c>
      <c r="F952" s="274" t="str">
        <f t="shared" si="2"/>
        <v/>
      </c>
      <c r="G952" s="42"/>
      <c r="H952" s="264"/>
      <c r="I952" s="277"/>
      <c r="J952" s="276" t="str">
        <f>IF(ISBLANK(I952), "", VLOOKUP(E952&amp;" "&amp;F952, 'Info Tipo de Cambio y REM'!$A$24:$B$35, 2, FALSE))
</f>
        <v/>
      </c>
      <c r="K952" s="107" t="str">
        <f t="shared" si="23"/>
        <v/>
      </c>
      <c r="L952" s="293">
        <f t="shared" si="5"/>
        <v>-5187415.025</v>
      </c>
      <c r="M952" s="293">
        <f t="shared" si="3"/>
        <v>-68574.41</v>
      </c>
      <c r="N952" s="293">
        <f t="shared" si="6"/>
        <v>0</v>
      </c>
      <c r="O952" s="277">
        <f t="shared" si="4"/>
        <v>-72146.60962</v>
      </c>
      <c r="P952" s="264"/>
      <c r="Q952" s="264"/>
      <c r="R952" s="264"/>
      <c r="S952" s="264"/>
      <c r="T952" s="264"/>
      <c r="U952" s="264"/>
      <c r="V952" s="264"/>
      <c r="W952" s="264"/>
      <c r="X952" s="264"/>
      <c r="Y952" s="264"/>
      <c r="Z952" s="264"/>
      <c r="AA952" s="264"/>
      <c r="AB952" s="264"/>
      <c r="AC952" s="264"/>
      <c r="AD952" s="264"/>
      <c r="AE952" s="264"/>
    </row>
    <row r="953">
      <c r="A953" s="272"/>
      <c r="B953" s="272"/>
      <c r="C953" s="272"/>
      <c r="D953" s="172"/>
      <c r="E953" s="267" t="str">
        <f t="shared" si="22"/>
        <v/>
      </c>
      <c r="F953" s="274" t="str">
        <f t="shared" si="2"/>
        <v/>
      </c>
      <c r="G953" s="42"/>
      <c r="H953" s="264"/>
      <c r="I953" s="277"/>
      <c r="J953" s="276" t="str">
        <f>IF(ISBLANK(I953), "", VLOOKUP(E953&amp;" "&amp;F953, 'Info Tipo de Cambio y REM'!$A$24:$B$35, 2, FALSE))
</f>
        <v/>
      </c>
      <c r="K953" s="107" t="str">
        <f t="shared" si="23"/>
        <v/>
      </c>
      <c r="L953" s="293">
        <f t="shared" si="5"/>
        <v>-5187415.025</v>
      </c>
      <c r="M953" s="293">
        <f t="shared" si="3"/>
        <v>-68574.41</v>
      </c>
      <c r="N953" s="293">
        <f t="shared" si="6"/>
        <v>0</v>
      </c>
      <c r="O953" s="277">
        <f t="shared" si="4"/>
        <v>-72146.60962</v>
      </c>
      <c r="P953" s="264"/>
      <c r="Q953" s="264"/>
      <c r="R953" s="264"/>
      <c r="S953" s="264"/>
      <c r="T953" s="264"/>
      <c r="U953" s="264"/>
      <c r="V953" s="264"/>
      <c r="W953" s="264"/>
      <c r="X953" s="264"/>
      <c r="Y953" s="264"/>
      <c r="Z953" s="264"/>
      <c r="AA953" s="264"/>
      <c r="AB953" s="264"/>
      <c r="AC953" s="264"/>
      <c r="AD953" s="264"/>
      <c r="AE953" s="264"/>
    </row>
    <row r="954">
      <c r="A954" s="272"/>
      <c r="B954" s="272"/>
      <c r="C954" s="272"/>
      <c r="D954" s="172"/>
      <c r="E954" s="267" t="str">
        <f t="shared" si="22"/>
        <v/>
      </c>
      <c r="F954" s="274" t="str">
        <f t="shared" si="2"/>
        <v/>
      </c>
      <c r="G954" s="42"/>
      <c r="H954" s="264"/>
      <c r="I954" s="277"/>
      <c r="J954" s="276" t="str">
        <f>IF(ISBLANK(I954), "", VLOOKUP(E954&amp;" "&amp;F954, 'Info Tipo de Cambio y REM'!$A$24:$B$35, 2, FALSE))
</f>
        <v/>
      </c>
      <c r="K954" s="107" t="str">
        <f t="shared" si="23"/>
        <v/>
      </c>
      <c r="L954" s="293">
        <f t="shared" si="5"/>
        <v>-5187415.025</v>
      </c>
      <c r="M954" s="293">
        <f t="shared" si="3"/>
        <v>-68574.41</v>
      </c>
      <c r="N954" s="293">
        <f t="shared" si="6"/>
        <v>0</v>
      </c>
      <c r="O954" s="277">
        <f t="shared" si="4"/>
        <v>-72146.60962</v>
      </c>
      <c r="P954" s="264"/>
      <c r="Q954" s="264"/>
      <c r="R954" s="264"/>
      <c r="S954" s="264"/>
      <c r="T954" s="264"/>
      <c r="U954" s="264"/>
      <c r="V954" s="264"/>
      <c r="W954" s="264"/>
      <c r="X954" s="264"/>
      <c r="Y954" s="264"/>
      <c r="Z954" s="264"/>
      <c r="AA954" s="264"/>
      <c r="AB954" s="264"/>
      <c r="AC954" s="264"/>
      <c r="AD954" s="264"/>
      <c r="AE954" s="264"/>
    </row>
    <row r="955">
      <c r="A955" s="272"/>
      <c r="B955" s="272"/>
      <c r="C955" s="272"/>
      <c r="D955" s="172"/>
      <c r="E955" s="267" t="str">
        <f t="shared" si="22"/>
        <v/>
      </c>
      <c r="F955" s="274" t="str">
        <f t="shared" si="2"/>
        <v/>
      </c>
      <c r="G955" s="42"/>
      <c r="H955" s="264"/>
      <c r="I955" s="277"/>
      <c r="J955" s="276" t="str">
        <f>IF(ISBLANK(I955), "", VLOOKUP(E955&amp;" "&amp;F955, 'Info Tipo de Cambio y REM'!$A$24:$B$35, 2, FALSE))
</f>
        <v/>
      </c>
      <c r="K955" s="107" t="str">
        <f t="shared" si="23"/>
        <v/>
      </c>
      <c r="L955" s="293">
        <f t="shared" si="5"/>
        <v>-5187415.025</v>
      </c>
      <c r="M955" s="293">
        <f t="shared" si="3"/>
        <v>-68574.41</v>
      </c>
      <c r="N955" s="293">
        <f t="shared" si="6"/>
        <v>0</v>
      </c>
      <c r="O955" s="277">
        <f t="shared" si="4"/>
        <v>-72146.60962</v>
      </c>
      <c r="P955" s="264"/>
      <c r="Q955" s="264"/>
      <c r="R955" s="264"/>
      <c r="S955" s="264"/>
      <c r="T955" s="264"/>
      <c r="U955" s="264"/>
      <c r="V955" s="264"/>
      <c r="W955" s="264"/>
      <c r="X955" s="264"/>
      <c r="Y955" s="264"/>
      <c r="Z955" s="264"/>
      <c r="AA955" s="264"/>
      <c r="AB955" s="264"/>
      <c r="AC955" s="264"/>
      <c r="AD955" s="264"/>
      <c r="AE955" s="264"/>
    </row>
    <row r="956">
      <c r="A956" s="272"/>
      <c r="B956" s="272"/>
      <c r="C956" s="272"/>
      <c r="D956" s="172"/>
      <c r="E956" s="267" t="str">
        <f t="shared" si="22"/>
        <v/>
      </c>
      <c r="F956" s="274" t="str">
        <f t="shared" si="2"/>
        <v/>
      </c>
      <c r="G956" s="42"/>
      <c r="H956" s="264"/>
      <c r="I956" s="277"/>
      <c r="J956" s="276" t="str">
        <f>IF(ISBLANK(I956), "", VLOOKUP(E956&amp;" "&amp;F956, 'Info Tipo de Cambio y REM'!$A$24:$B$35, 2, FALSE))
</f>
        <v/>
      </c>
      <c r="K956" s="107" t="str">
        <f t="shared" si="23"/>
        <v/>
      </c>
      <c r="L956" s="293">
        <f t="shared" si="5"/>
        <v>-5187415.025</v>
      </c>
      <c r="M956" s="293">
        <f t="shared" si="3"/>
        <v>-68574.41</v>
      </c>
      <c r="N956" s="293">
        <f t="shared" si="6"/>
        <v>0</v>
      </c>
      <c r="O956" s="277">
        <f t="shared" si="4"/>
        <v>-72146.60962</v>
      </c>
      <c r="P956" s="264"/>
      <c r="Q956" s="264"/>
      <c r="R956" s="264"/>
      <c r="S956" s="264"/>
      <c r="T956" s="264"/>
      <c r="U956" s="264"/>
      <c r="V956" s="264"/>
      <c r="W956" s="264"/>
      <c r="X956" s="264"/>
      <c r="Y956" s="264"/>
      <c r="Z956" s="264"/>
      <c r="AA956" s="264"/>
      <c r="AB956" s="264"/>
      <c r="AC956" s="264"/>
      <c r="AD956" s="264"/>
      <c r="AE956" s="264"/>
    </row>
    <row r="957">
      <c r="A957" s="272"/>
      <c r="B957" s="272"/>
      <c r="C957" s="272"/>
      <c r="D957" s="172"/>
      <c r="E957" s="267" t="str">
        <f t="shared" si="22"/>
        <v/>
      </c>
      <c r="F957" s="274" t="str">
        <f t="shared" si="2"/>
        <v/>
      </c>
      <c r="G957" s="42"/>
      <c r="H957" s="264"/>
      <c r="I957" s="277"/>
      <c r="J957" s="276" t="str">
        <f>IF(ISBLANK(I957), "", VLOOKUP(E957&amp;" "&amp;F957, 'Info Tipo de Cambio y REM'!$A$24:$B$35, 2, FALSE))
</f>
        <v/>
      </c>
      <c r="K957" s="107" t="str">
        <f t="shared" si="23"/>
        <v/>
      </c>
      <c r="L957" s="293">
        <f t="shared" si="5"/>
        <v>-5187415.025</v>
      </c>
      <c r="M957" s="293">
        <f t="shared" si="3"/>
        <v>-68574.41</v>
      </c>
      <c r="N957" s="293">
        <f t="shared" si="6"/>
        <v>0</v>
      </c>
      <c r="O957" s="277">
        <f t="shared" si="4"/>
        <v>-72146.60962</v>
      </c>
      <c r="P957" s="264"/>
      <c r="Q957" s="264"/>
      <c r="R957" s="264"/>
      <c r="S957" s="264"/>
      <c r="T957" s="264"/>
      <c r="U957" s="264"/>
      <c r="V957" s="264"/>
      <c r="W957" s="264"/>
      <c r="X957" s="264"/>
      <c r="Y957" s="264"/>
      <c r="Z957" s="264"/>
      <c r="AA957" s="264"/>
      <c r="AB957" s="264"/>
      <c r="AC957" s="264"/>
      <c r="AD957" s="264"/>
      <c r="AE957" s="264"/>
    </row>
    <row r="958">
      <c r="A958" s="272"/>
      <c r="B958" s="272"/>
      <c r="C958" s="272"/>
      <c r="D958" s="172"/>
      <c r="E958" s="267" t="str">
        <f t="shared" si="22"/>
        <v/>
      </c>
      <c r="F958" s="274" t="str">
        <f t="shared" si="2"/>
        <v/>
      </c>
      <c r="G958" s="42"/>
      <c r="H958" s="264"/>
      <c r="I958" s="277"/>
      <c r="J958" s="276" t="str">
        <f>IF(ISBLANK(I958), "", VLOOKUP(E958&amp;" "&amp;F958, 'Info Tipo de Cambio y REM'!$A$24:$B$35, 2, FALSE))
</f>
        <v/>
      </c>
      <c r="K958" s="107" t="str">
        <f t="shared" si="23"/>
        <v/>
      </c>
      <c r="L958" s="293">
        <f t="shared" si="5"/>
        <v>-5187415.025</v>
      </c>
      <c r="M958" s="293">
        <f t="shared" si="3"/>
        <v>-68574.41</v>
      </c>
      <c r="N958" s="293">
        <f t="shared" si="6"/>
        <v>0</v>
      </c>
      <c r="O958" s="277">
        <f t="shared" si="4"/>
        <v>-72146.60962</v>
      </c>
      <c r="P958" s="264"/>
      <c r="Q958" s="264"/>
      <c r="R958" s="264"/>
      <c r="S958" s="264"/>
      <c r="T958" s="264"/>
      <c r="U958" s="264"/>
      <c r="V958" s="264"/>
      <c r="W958" s="264"/>
      <c r="X958" s="264"/>
      <c r="Y958" s="264"/>
      <c r="Z958" s="264"/>
      <c r="AA958" s="264"/>
      <c r="AB958" s="264"/>
      <c r="AC958" s="264"/>
      <c r="AD958" s="264"/>
      <c r="AE958" s="264"/>
    </row>
    <row r="959">
      <c r="A959" s="272"/>
      <c r="B959" s="272"/>
      <c r="C959" s="272"/>
      <c r="D959" s="172"/>
      <c r="E959" s="267" t="str">
        <f t="shared" si="22"/>
        <v/>
      </c>
      <c r="F959" s="274" t="str">
        <f t="shared" si="2"/>
        <v/>
      </c>
      <c r="G959" s="42"/>
      <c r="H959" s="264"/>
      <c r="I959" s="277"/>
      <c r="J959" s="276" t="str">
        <f>IF(ISBLANK(I959), "", VLOOKUP(E959&amp;" "&amp;F959, 'Info Tipo de Cambio y REM'!$A$24:$B$35, 2, FALSE))
</f>
        <v/>
      </c>
      <c r="K959" s="107" t="str">
        <f t="shared" si="23"/>
        <v/>
      </c>
      <c r="L959" s="293">
        <f t="shared" si="5"/>
        <v>-5187415.025</v>
      </c>
      <c r="M959" s="293">
        <f t="shared" si="3"/>
        <v>-68574.41</v>
      </c>
      <c r="N959" s="293">
        <f t="shared" si="6"/>
        <v>0</v>
      </c>
      <c r="O959" s="277">
        <f t="shared" si="4"/>
        <v>-72146.60962</v>
      </c>
      <c r="P959" s="264"/>
      <c r="Q959" s="264"/>
      <c r="R959" s="264"/>
      <c r="S959" s="264"/>
      <c r="T959" s="264"/>
      <c r="U959" s="264"/>
      <c r="V959" s="264"/>
      <c r="W959" s="264"/>
      <c r="X959" s="264"/>
      <c r="Y959" s="264"/>
      <c r="Z959" s="264"/>
      <c r="AA959" s="264"/>
      <c r="AB959" s="264"/>
      <c r="AC959" s="264"/>
      <c r="AD959" s="264"/>
      <c r="AE959" s="264"/>
    </row>
    <row r="960">
      <c r="A960" s="272"/>
      <c r="B960" s="272"/>
      <c r="C960" s="272"/>
      <c r="D960" s="172"/>
      <c r="E960" s="267" t="str">
        <f t="shared" si="22"/>
        <v/>
      </c>
      <c r="F960" s="274" t="str">
        <f t="shared" si="2"/>
        <v/>
      </c>
      <c r="G960" s="42"/>
      <c r="H960" s="264"/>
      <c r="I960" s="277"/>
      <c r="J960" s="276" t="str">
        <f>IF(ISBLANK(I960), "", VLOOKUP(E960&amp;" "&amp;F960, 'Info Tipo de Cambio y REM'!$A$24:$B$35, 2, FALSE))
</f>
        <v/>
      </c>
      <c r="K960" s="107" t="str">
        <f t="shared" si="23"/>
        <v/>
      </c>
      <c r="L960" s="293">
        <f t="shared" si="5"/>
        <v>-5187415.025</v>
      </c>
      <c r="M960" s="293">
        <f t="shared" si="3"/>
        <v>-68574.41</v>
      </c>
      <c r="N960" s="293">
        <f t="shared" si="6"/>
        <v>0</v>
      </c>
      <c r="O960" s="277">
        <f t="shared" si="4"/>
        <v>-72146.60962</v>
      </c>
      <c r="P960" s="264"/>
      <c r="Q960" s="264"/>
      <c r="R960" s="264"/>
      <c r="S960" s="264"/>
      <c r="T960" s="264"/>
      <c r="U960" s="264"/>
      <c r="V960" s="264"/>
      <c r="W960" s="264"/>
      <c r="X960" s="264"/>
      <c r="Y960" s="264"/>
      <c r="Z960" s="264"/>
      <c r="AA960" s="264"/>
      <c r="AB960" s="264"/>
      <c r="AC960" s="264"/>
      <c r="AD960" s="264"/>
      <c r="AE960" s="264"/>
    </row>
    <row r="961">
      <c r="A961" s="272"/>
      <c r="B961" s="272"/>
      <c r="C961" s="272"/>
      <c r="D961" s="172"/>
      <c r="E961" s="267" t="str">
        <f t="shared" si="22"/>
        <v/>
      </c>
      <c r="F961" s="274" t="str">
        <f t="shared" si="2"/>
        <v/>
      </c>
      <c r="G961" s="42"/>
      <c r="H961" s="264"/>
      <c r="I961" s="277"/>
      <c r="J961" s="276" t="str">
        <f>IF(ISBLANK(I961), "", VLOOKUP(E961&amp;" "&amp;F961, 'Info Tipo de Cambio y REM'!$A$24:$B$35, 2, FALSE))
</f>
        <v/>
      </c>
      <c r="K961" s="107" t="str">
        <f t="shared" si="23"/>
        <v/>
      </c>
      <c r="L961" s="293">
        <f t="shared" si="5"/>
        <v>-5187415.025</v>
      </c>
      <c r="M961" s="293">
        <f t="shared" si="3"/>
        <v>-68574.41</v>
      </c>
      <c r="N961" s="293">
        <f t="shared" si="6"/>
        <v>0</v>
      </c>
      <c r="O961" s="277">
        <f t="shared" si="4"/>
        <v>-72146.60962</v>
      </c>
      <c r="P961" s="264"/>
      <c r="Q961" s="264"/>
      <c r="R961" s="264"/>
      <c r="S961" s="264"/>
      <c r="T961" s="264"/>
      <c r="U961" s="264"/>
      <c r="V961" s="264"/>
      <c r="W961" s="264"/>
      <c r="X961" s="264"/>
      <c r="Y961" s="264"/>
      <c r="Z961" s="264"/>
      <c r="AA961" s="264"/>
      <c r="AB961" s="264"/>
      <c r="AC961" s="264"/>
      <c r="AD961" s="264"/>
      <c r="AE961" s="264"/>
    </row>
    <row r="962">
      <c r="A962" s="272"/>
      <c r="B962" s="272"/>
      <c r="C962" s="272"/>
      <c r="D962" s="172"/>
      <c r="E962" s="267" t="str">
        <f t="shared" si="22"/>
        <v/>
      </c>
      <c r="F962" s="274" t="str">
        <f t="shared" si="2"/>
        <v/>
      </c>
      <c r="G962" s="42"/>
      <c r="H962" s="264"/>
      <c r="I962" s="277"/>
      <c r="J962" s="276" t="str">
        <f>IF(ISBLANK(I962), "", VLOOKUP(E962&amp;" "&amp;F962, 'Info Tipo de Cambio y REM'!$A$24:$B$35, 2, FALSE))
</f>
        <v/>
      </c>
      <c r="K962" s="107" t="str">
        <f t="shared" si="23"/>
        <v/>
      </c>
      <c r="L962" s="293">
        <f t="shared" si="5"/>
        <v>-5187415.025</v>
      </c>
      <c r="M962" s="293">
        <f t="shared" si="3"/>
        <v>-68574.41</v>
      </c>
      <c r="N962" s="293">
        <f t="shared" si="6"/>
        <v>0</v>
      </c>
      <c r="O962" s="277">
        <f t="shared" si="4"/>
        <v>-72146.60962</v>
      </c>
      <c r="P962" s="264"/>
      <c r="Q962" s="264"/>
      <c r="R962" s="264"/>
      <c r="S962" s="264"/>
      <c r="T962" s="264"/>
      <c r="U962" s="264"/>
      <c r="V962" s="264"/>
      <c r="W962" s="264"/>
      <c r="X962" s="264"/>
      <c r="Y962" s="264"/>
      <c r="Z962" s="264"/>
      <c r="AA962" s="264"/>
      <c r="AB962" s="264"/>
      <c r="AC962" s="264"/>
      <c r="AD962" s="264"/>
      <c r="AE962" s="264"/>
    </row>
    <row r="963">
      <c r="A963" s="272"/>
      <c r="B963" s="272"/>
      <c r="C963" s="272"/>
      <c r="D963" s="172"/>
      <c r="E963" s="267" t="str">
        <f t="shared" si="22"/>
        <v/>
      </c>
      <c r="F963" s="274" t="str">
        <f t="shared" si="2"/>
        <v/>
      </c>
      <c r="G963" s="42"/>
      <c r="H963" s="264"/>
      <c r="I963" s="277"/>
      <c r="J963" s="276" t="str">
        <f>IF(ISBLANK(I963), "", VLOOKUP(E963&amp;" "&amp;F963, 'Info Tipo de Cambio y REM'!$A$24:$B$35, 2, FALSE))
</f>
        <v/>
      </c>
      <c r="K963" s="107" t="str">
        <f t="shared" si="23"/>
        <v/>
      </c>
      <c r="L963" s="293">
        <f t="shared" si="5"/>
        <v>-5187415.025</v>
      </c>
      <c r="M963" s="293">
        <f t="shared" si="3"/>
        <v>-68574.41</v>
      </c>
      <c r="N963" s="293">
        <f t="shared" si="6"/>
        <v>0</v>
      </c>
      <c r="O963" s="277">
        <f t="shared" si="4"/>
        <v>-72146.60962</v>
      </c>
      <c r="P963" s="264"/>
      <c r="Q963" s="264"/>
      <c r="R963" s="264"/>
      <c r="S963" s="264"/>
      <c r="T963" s="264"/>
      <c r="U963" s="264"/>
      <c r="V963" s="264"/>
      <c r="W963" s="264"/>
      <c r="X963" s="264"/>
      <c r="Y963" s="264"/>
      <c r="Z963" s="264"/>
      <c r="AA963" s="264"/>
      <c r="AB963" s="264"/>
      <c r="AC963" s="264"/>
      <c r="AD963" s="264"/>
      <c r="AE963" s="264"/>
    </row>
    <row r="964">
      <c r="A964" s="272"/>
      <c r="B964" s="272"/>
      <c r="C964" s="272"/>
      <c r="D964" s="172"/>
      <c r="E964" s="267" t="str">
        <f t="shared" si="22"/>
        <v/>
      </c>
      <c r="F964" s="274" t="str">
        <f t="shared" si="2"/>
        <v/>
      </c>
      <c r="G964" s="42"/>
      <c r="H964" s="264"/>
      <c r="I964" s="277"/>
      <c r="J964" s="276" t="str">
        <f>IF(ISBLANK(I964), "", VLOOKUP(E964&amp;" "&amp;F964, 'Info Tipo de Cambio y REM'!$A$24:$B$35, 2, FALSE))
</f>
        <v/>
      </c>
      <c r="K964" s="107" t="str">
        <f t="shared" si="23"/>
        <v/>
      </c>
      <c r="L964" s="293">
        <f t="shared" si="5"/>
        <v>-5187415.025</v>
      </c>
      <c r="M964" s="293">
        <f t="shared" si="3"/>
        <v>-68574.41</v>
      </c>
      <c r="N964" s="293">
        <f t="shared" si="6"/>
        <v>0</v>
      </c>
      <c r="O964" s="277">
        <f t="shared" si="4"/>
        <v>-72146.60962</v>
      </c>
      <c r="P964" s="264"/>
      <c r="Q964" s="264"/>
      <c r="R964" s="264"/>
      <c r="S964" s="264"/>
      <c r="T964" s="264"/>
      <c r="U964" s="264"/>
      <c r="V964" s="264"/>
      <c r="W964" s="264"/>
      <c r="X964" s="264"/>
      <c r="Y964" s="264"/>
      <c r="Z964" s="264"/>
      <c r="AA964" s="264"/>
      <c r="AB964" s="264"/>
      <c r="AC964" s="264"/>
      <c r="AD964" s="264"/>
      <c r="AE964" s="264"/>
    </row>
    <row r="965">
      <c r="A965" s="272"/>
      <c r="B965" s="272"/>
      <c r="C965" s="272"/>
      <c r="D965" s="172"/>
      <c r="E965" s="267" t="str">
        <f t="shared" si="22"/>
        <v/>
      </c>
      <c r="F965" s="274" t="str">
        <f t="shared" si="2"/>
        <v/>
      </c>
      <c r="G965" s="42"/>
      <c r="H965" s="264"/>
      <c r="I965" s="277"/>
      <c r="J965" s="276" t="str">
        <f>IF(ISBLANK(I965), "", VLOOKUP(E965&amp;" "&amp;F965, 'Info Tipo de Cambio y REM'!$A$24:$B$35, 2, FALSE))
</f>
        <v/>
      </c>
      <c r="K965" s="107" t="str">
        <f t="shared" si="23"/>
        <v/>
      </c>
      <c r="L965" s="293">
        <f t="shared" si="5"/>
        <v>-5187415.025</v>
      </c>
      <c r="M965" s="293">
        <f t="shared" si="3"/>
        <v>-68574.41</v>
      </c>
      <c r="N965" s="293">
        <f t="shared" si="6"/>
        <v>0</v>
      </c>
      <c r="O965" s="277">
        <f t="shared" si="4"/>
        <v>-72146.60962</v>
      </c>
      <c r="P965" s="264"/>
      <c r="Q965" s="264"/>
      <c r="R965" s="264"/>
      <c r="S965" s="264"/>
      <c r="T965" s="264"/>
      <c r="U965" s="264"/>
      <c r="V965" s="264"/>
      <c r="W965" s="264"/>
      <c r="X965" s="264"/>
      <c r="Y965" s="264"/>
      <c r="Z965" s="264"/>
      <c r="AA965" s="264"/>
      <c r="AB965" s="264"/>
      <c r="AC965" s="264"/>
      <c r="AD965" s="264"/>
      <c r="AE965" s="264"/>
    </row>
    <row r="966">
      <c r="A966" s="272"/>
      <c r="B966" s="272"/>
      <c r="C966" s="272"/>
      <c r="D966" s="172"/>
      <c r="E966" s="267" t="str">
        <f t="shared" si="22"/>
        <v/>
      </c>
      <c r="F966" s="274" t="str">
        <f t="shared" si="2"/>
        <v/>
      </c>
      <c r="G966" s="42"/>
      <c r="H966" s="264"/>
      <c r="I966" s="277"/>
      <c r="J966" s="276" t="str">
        <f>IF(ISBLANK(I966), "", VLOOKUP(E966&amp;" "&amp;F966, 'Info Tipo de Cambio y REM'!$A$24:$B$35, 2, FALSE))
</f>
        <v/>
      </c>
      <c r="K966" s="107" t="str">
        <f t="shared" si="23"/>
        <v/>
      </c>
      <c r="L966" s="293">
        <f t="shared" si="5"/>
        <v>-5187415.025</v>
      </c>
      <c r="M966" s="293">
        <f t="shared" si="3"/>
        <v>-68574.41</v>
      </c>
      <c r="N966" s="293">
        <f t="shared" si="6"/>
        <v>0</v>
      </c>
      <c r="O966" s="277">
        <f t="shared" si="4"/>
        <v>-72146.60962</v>
      </c>
      <c r="P966" s="264"/>
      <c r="Q966" s="264"/>
      <c r="R966" s="264"/>
      <c r="S966" s="264"/>
      <c r="T966" s="264"/>
      <c r="U966" s="264"/>
      <c r="V966" s="264"/>
      <c r="W966" s="264"/>
      <c r="X966" s="264"/>
      <c r="Y966" s="264"/>
      <c r="Z966" s="264"/>
      <c r="AA966" s="264"/>
      <c r="AB966" s="264"/>
      <c r="AC966" s="264"/>
      <c r="AD966" s="264"/>
      <c r="AE966" s="264"/>
    </row>
    <row r="967">
      <c r="A967" s="272"/>
      <c r="B967" s="272"/>
      <c r="C967" s="272"/>
      <c r="D967" s="172"/>
      <c r="E967" s="267" t="str">
        <f t="shared" si="22"/>
        <v/>
      </c>
      <c r="F967" s="274" t="str">
        <f t="shared" si="2"/>
        <v/>
      </c>
      <c r="G967" s="42"/>
      <c r="H967" s="264"/>
      <c r="I967" s="277"/>
      <c r="J967" s="276" t="str">
        <f>IF(ISBLANK(I967), "", VLOOKUP(E967&amp;" "&amp;F967, 'Info Tipo de Cambio y REM'!$A$24:$B$35, 2, FALSE))
</f>
        <v/>
      </c>
      <c r="K967" s="107" t="str">
        <f t="shared" si="23"/>
        <v/>
      </c>
      <c r="L967" s="293">
        <f t="shared" si="5"/>
        <v>-5187415.025</v>
      </c>
      <c r="M967" s="293">
        <f t="shared" si="3"/>
        <v>-68574.41</v>
      </c>
      <c r="N967" s="293">
        <f t="shared" si="6"/>
        <v>0</v>
      </c>
      <c r="O967" s="277">
        <f t="shared" si="4"/>
        <v>-72146.60962</v>
      </c>
      <c r="P967" s="264"/>
      <c r="Q967" s="264"/>
      <c r="R967" s="264"/>
      <c r="S967" s="264"/>
      <c r="T967" s="264"/>
      <c r="U967" s="264"/>
      <c r="V967" s="264"/>
      <c r="W967" s="264"/>
      <c r="X967" s="264"/>
      <c r="Y967" s="264"/>
      <c r="Z967" s="264"/>
      <c r="AA967" s="264"/>
      <c r="AB967" s="264"/>
      <c r="AC967" s="264"/>
      <c r="AD967" s="264"/>
      <c r="AE967" s="264"/>
    </row>
    <row r="968">
      <c r="A968" s="272"/>
      <c r="B968" s="272"/>
      <c r="C968" s="272"/>
      <c r="D968" s="172"/>
      <c r="E968" s="267" t="str">
        <f t="shared" si="22"/>
        <v/>
      </c>
      <c r="F968" s="274" t="str">
        <f t="shared" si="2"/>
        <v/>
      </c>
      <c r="G968" s="42"/>
      <c r="H968" s="264"/>
      <c r="I968" s="277"/>
      <c r="J968" s="276" t="str">
        <f>IF(ISBLANK(I968), "", VLOOKUP(E968&amp;" "&amp;F968, 'Info Tipo de Cambio y REM'!$A$24:$B$35, 2, FALSE))
</f>
        <v/>
      </c>
      <c r="K968" s="107" t="str">
        <f t="shared" si="23"/>
        <v/>
      </c>
      <c r="L968" s="293">
        <f t="shared" si="5"/>
        <v>-5187415.025</v>
      </c>
      <c r="M968" s="293">
        <f t="shared" si="3"/>
        <v>-68574.41</v>
      </c>
      <c r="N968" s="293">
        <f t="shared" si="6"/>
        <v>0</v>
      </c>
      <c r="O968" s="277">
        <f t="shared" si="4"/>
        <v>-72146.60962</v>
      </c>
      <c r="P968" s="264"/>
      <c r="Q968" s="264"/>
      <c r="R968" s="264"/>
      <c r="S968" s="264"/>
      <c r="T968" s="264"/>
      <c r="U968" s="264"/>
      <c r="V968" s="264"/>
      <c r="W968" s="264"/>
      <c r="X968" s="264"/>
      <c r="Y968" s="264"/>
      <c r="Z968" s="264"/>
      <c r="AA968" s="264"/>
      <c r="AB968" s="264"/>
      <c r="AC968" s="264"/>
      <c r="AD968" s="264"/>
      <c r="AE968" s="264"/>
    </row>
    <row r="969">
      <c r="A969" s="272"/>
      <c r="B969" s="272"/>
      <c r="C969" s="272"/>
      <c r="D969" s="172"/>
      <c r="E969" s="267" t="str">
        <f t="shared" si="22"/>
        <v/>
      </c>
      <c r="F969" s="274" t="str">
        <f t="shared" si="2"/>
        <v/>
      </c>
      <c r="G969" s="42"/>
      <c r="H969" s="264"/>
      <c r="I969" s="277"/>
      <c r="J969" s="276" t="str">
        <f>IF(ISBLANK(I969), "", VLOOKUP(E969&amp;" "&amp;F969, 'Info Tipo de Cambio y REM'!$A$24:$B$35, 2, FALSE))
</f>
        <v/>
      </c>
      <c r="K969" s="107" t="str">
        <f t="shared" si="23"/>
        <v/>
      </c>
      <c r="L969" s="293">
        <f t="shared" si="5"/>
        <v>-5187415.025</v>
      </c>
      <c r="M969" s="293">
        <f t="shared" si="3"/>
        <v>-68574.41</v>
      </c>
      <c r="N969" s="293">
        <f t="shared" si="6"/>
        <v>0</v>
      </c>
      <c r="O969" s="277">
        <f t="shared" si="4"/>
        <v>-72146.60962</v>
      </c>
      <c r="P969" s="264"/>
      <c r="Q969" s="264"/>
      <c r="R969" s="264"/>
      <c r="S969" s="264"/>
      <c r="T969" s="264"/>
      <c r="U969" s="264"/>
      <c r="V969" s="264"/>
      <c r="W969" s="264"/>
      <c r="X969" s="264"/>
      <c r="Y969" s="264"/>
      <c r="Z969" s="264"/>
      <c r="AA969" s="264"/>
      <c r="AB969" s="264"/>
      <c r="AC969" s="264"/>
      <c r="AD969" s="264"/>
      <c r="AE969" s="264"/>
    </row>
    <row r="970">
      <c r="A970" s="272"/>
      <c r="B970" s="272"/>
      <c r="C970" s="272"/>
      <c r="D970" s="172"/>
      <c r="E970" s="267" t="str">
        <f t="shared" si="22"/>
        <v/>
      </c>
      <c r="F970" s="274" t="str">
        <f t="shared" si="2"/>
        <v/>
      </c>
      <c r="G970" s="42"/>
      <c r="H970" s="264"/>
      <c r="I970" s="277"/>
      <c r="J970" s="276" t="str">
        <f>IF(ISBLANK(I970), "", VLOOKUP(E970&amp;" "&amp;F970, 'Info Tipo de Cambio y REM'!$A$24:$B$35, 2, FALSE))
</f>
        <v/>
      </c>
      <c r="K970" s="107" t="str">
        <f t="shared" si="23"/>
        <v/>
      </c>
      <c r="L970" s="293">
        <f t="shared" si="5"/>
        <v>-5187415.025</v>
      </c>
      <c r="M970" s="293">
        <f t="shared" si="3"/>
        <v>-68574.41</v>
      </c>
      <c r="N970" s="293">
        <f t="shared" si="6"/>
        <v>0</v>
      </c>
      <c r="O970" s="277">
        <f t="shared" si="4"/>
        <v>-72146.60962</v>
      </c>
      <c r="P970" s="264"/>
      <c r="Q970" s="264"/>
      <c r="R970" s="264"/>
      <c r="S970" s="264"/>
      <c r="T970" s="264"/>
      <c r="U970" s="264"/>
      <c r="V970" s="264"/>
      <c r="W970" s="264"/>
      <c r="X970" s="264"/>
      <c r="Y970" s="264"/>
      <c r="Z970" s="264"/>
      <c r="AA970" s="264"/>
      <c r="AB970" s="264"/>
      <c r="AC970" s="264"/>
      <c r="AD970" s="264"/>
      <c r="AE970" s="264"/>
    </row>
    <row r="971">
      <c r="A971" s="272"/>
      <c r="B971" s="272"/>
      <c r="C971" s="272"/>
      <c r="D971" s="172"/>
      <c r="E971" s="267" t="str">
        <f t="shared" si="22"/>
        <v/>
      </c>
      <c r="F971" s="274" t="str">
        <f t="shared" si="2"/>
        <v/>
      </c>
      <c r="G971" s="42"/>
      <c r="H971" s="264"/>
      <c r="I971" s="277"/>
      <c r="J971" s="276" t="str">
        <f>IF(ISBLANK(I971), "", VLOOKUP(E971&amp;" "&amp;F971, 'Info Tipo de Cambio y REM'!$A$24:$B$35, 2, FALSE))
</f>
        <v/>
      </c>
      <c r="K971" s="107" t="str">
        <f t="shared" si="23"/>
        <v/>
      </c>
      <c r="L971" s="293">
        <f t="shared" si="5"/>
        <v>-5187415.025</v>
      </c>
      <c r="M971" s="293">
        <f t="shared" si="3"/>
        <v>-68574.41</v>
      </c>
      <c r="N971" s="293">
        <f t="shared" si="6"/>
        <v>0</v>
      </c>
      <c r="O971" s="277">
        <f t="shared" si="4"/>
        <v>-72146.60962</v>
      </c>
      <c r="P971" s="264"/>
      <c r="Q971" s="264"/>
      <c r="R971" s="264"/>
      <c r="S971" s="264"/>
      <c r="T971" s="264"/>
      <c r="U971" s="264"/>
      <c r="V971" s="264"/>
      <c r="W971" s="264"/>
      <c r="X971" s="264"/>
      <c r="Y971" s="264"/>
      <c r="Z971" s="264"/>
      <c r="AA971" s="264"/>
      <c r="AB971" s="264"/>
      <c r="AC971" s="264"/>
      <c r="AD971" s="264"/>
      <c r="AE971" s="264"/>
    </row>
    <row r="972">
      <c r="A972" s="272"/>
      <c r="B972" s="272"/>
      <c r="C972" s="272"/>
      <c r="D972" s="172"/>
      <c r="E972" s="267" t="str">
        <f t="shared" si="22"/>
        <v/>
      </c>
      <c r="F972" s="274" t="str">
        <f t="shared" si="2"/>
        <v/>
      </c>
      <c r="G972" s="42"/>
      <c r="H972" s="264"/>
      <c r="I972" s="277"/>
      <c r="J972" s="276" t="str">
        <f>IF(ISBLANK(I972), "", VLOOKUP(E972&amp;" "&amp;F972, 'Info Tipo de Cambio y REM'!$A$24:$B$35, 2, FALSE))
</f>
        <v/>
      </c>
      <c r="K972" s="107" t="str">
        <f t="shared" si="23"/>
        <v/>
      </c>
      <c r="L972" s="293">
        <f t="shared" si="5"/>
        <v>-5187415.025</v>
      </c>
      <c r="M972" s="293">
        <f t="shared" si="3"/>
        <v>-68574.41</v>
      </c>
      <c r="N972" s="293">
        <f t="shared" si="6"/>
        <v>0</v>
      </c>
      <c r="O972" s="277">
        <f t="shared" si="4"/>
        <v>-72146.60962</v>
      </c>
      <c r="P972" s="264"/>
      <c r="Q972" s="264"/>
      <c r="R972" s="264"/>
      <c r="S972" s="264"/>
      <c r="T972" s="264"/>
      <c r="U972" s="264"/>
      <c r="V972" s="264"/>
      <c r="W972" s="264"/>
      <c r="X972" s="264"/>
      <c r="Y972" s="264"/>
      <c r="Z972" s="264"/>
      <c r="AA972" s="264"/>
      <c r="AB972" s="264"/>
      <c r="AC972" s="264"/>
      <c r="AD972" s="264"/>
      <c r="AE972" s="264"/>
    </row>
    <row r="973">
      <c r="A973" s="272"/>
      <c r="B973" s="272"/>
      <c r="C973" s="272"/>
      <c r="D973" s="172"/>
      <c r="E973" s="267" t="str">
        <f t="shared" si="22"/>
        <v/>
      </c>
      <c r="F973" s="274" t="str">
        <f t="shared" si="2"/>
        <v/>
      </c>
      <c r="G973" s="42"/>
      <c r="H973" s="264"/>
      <c r="I973" s="277"/>
      <c r="J973" s="276" t="str">
        <f>IF(ISBLANK(I973), "", VLOOKUP(E973&amp;" "&amp;F973, 'Info Tipo de Cambio y REM'!$A$24:$B$35, 2, FALSE))
</f>
        <v/>
      </c>
      <c r="K973" s="107" t="str">
        <f t="shared" si="23"/>
        <v/>
      </c>
      <c r="L973" s="293">
        <f t="shared" si="5"/>
        <v>-5187415.025</v>
      </c>
      <c r="M973" s="293">
        <f t="shared" si="3"/>
        <v>-68574.41</v>
      </c>
      <c r="N973" s="293">
        <f t="shared" si="6"/>
        <v>0</v>
      </c>
      <c r="O973" s="277">
        <f t="shared" si="4"/>
        <v>-72146.60962</v>
      </c>
      <c r="P973" s="264"/>
      <c r="Q973" s="264"/>
      <c r="R973" s="264"/>
      <c r="S973" s="264"/>
      <c r="T973" s="264"/>
      <c r="U973" s="264"/>
      <c r="V973" s="264"/>
      <c r="W973" s="264"/>
      <c r="X973" s="264"/>
      <c r="Y973" s="264"/>
      <c r="Z973" s="264"/>
      <c r="AA973" s="264"/>
      <c r="AB973" s="264"/>
      <c r="AC973" s="264"/>
      <c r="AD973" s="264"/>
      <c r="AE973" s="264"/>
    </row>
    <row r="974">
      <c r="A974" s="272"/>
      <c r="B974" s="272"/>
      <c r="C974" s="272"/>
      <c r="D974" s="172"/>
      <c r="E974" s="267" t="str">
        <f t="shared" si="22"/>
        <v/>
      </c>
      <c r="F974" s="274" t="str">
        <f t="shared" si="2"/>
        <v/>
      </c>
      <c r="G974" s="42"/>
      <c r="H974" s="264"/>
      <c r="I974" s="277"/>
      <c r="J974" s="276" t="str">
        <f>IF(ISBLANK(I974), "", VLOOKUP(E974&amp;" "&amp;F974, 'Info Tipo de Cambio y REM'!$A$24:$B$35, 2, FALSE))
</f>
        <v/>
      </c>
      <c r="K974" s="107" t="str">
        <f t="shared" si="23"/>
        <v/>
      </c>
      <c r="L974" s="293">
        <f t="shared" si="5"/>
        <v>-5187415.025</v>
      </c>
      <c r="M974" s="293">
        <f t="shared" si="3"/>
        <v>-68574.41</v>
      </c>
      <c r="N974" s="293">
        <f t="shared" si="6"/>
        <v>0</v>
      </c>
      <c r="O974" s="277">
        <f t="shared" si="4"/>
        <v>-72146.60962</v>
      </c>
      <c r="P974" s="264"/>
      <c r="Q974" s="264"/>
      <c r="R974" s="264"/>
      <c r="S974" s="264"/>
      <c r="T974" s="264"/>
      <c r="U974" s="264"/>
      <c r="V974" s="264"/>
      <c r="W974" s="264"/>
      <c r="X974" s="264"/>
      <c r="Y974" s="264"/>
      <c r="Z974" s="264"/>
      <c r="AA974" s="264"/>
      <c r="AB974" s="264"/>
      <c r="AC974" s="264"/>
      <c r="AD974" s="264"/>
      <c r="AE974" s="264"/>
    </row>
    <row r="975">
      <c r="A975" s="272"/>
      <c r="B975" s="272"/>
      <c r="C975" s="272"/>
      <c r="D975" s="172"/>
      <c r="E975" s="267" t="str">
        <f t="shared" si="22"/>
        <v/>
      </c>
      <c r="F975" s="274" t="str">
        <f t="shared" si="2"/>
        <v/>
      </c>
      <c r="G975" s="42"/>
      <c r="H975" s="264"/>
      <c r="I975" s="277"/>
      <c r="J975" s="276" t="str">
        <f>IF(ISBLANK(I975), "", VLOOKUP(E975&amp;" "&amp;F975, 'Info Tipo de Cambio y REM'!$A$24:$B$35, 2, FALSE))
</f>
        <v/>
      </c>
      <c r="K975" s="107" t="str">
        <f t="shared" si="23"/>
        <v/>
      </c>
      <c r="L975" s="293">
        <f t="shared" si="5"/>
        <v>-5187415.025</v>
      </c>
      <c r="M975" s="293">
        <f t="shared" si="3"/>
        <v>-68574.41</v>
      </c>
      <c r="N975" s="293">
        <f t="shared" si="6"/>
        <v>0</v>
      </c>
      <c r="O975" s="277">
        <f t="shared" si="4"/>
        <v>-72146.60962</v>
      </c>
      <c r="P975" s="264"/>
      <c r="Q975" s="264"/>
      <c r="R975" s="264"/>
      <c r="S975" s="264"/>
      <c r="T975" s="264"/>
      <c r="U975" s="264"/>
      <c r="V975" s="264"/>
      <c r="W975" s="264"/>
      <c r="X975" s="264"/>
      <c r="Y975" s="264"/>
      <c r="Z975" s="264"/>
      <c r="AA975" s="264"/>
      <c r="AB975" s="264"/>
      <c r="AC975" s="264"/>
      <c r="AD975" s="264"/>
      <c r="AE975" s="264"/>
    </row>
    <row r="976">
      <c r="A976" s="272"/>
      <c r="B976" s="272"/>
      <c r="C976" s="272"/>
      <c r="D976" s="172"/>
      <c r="E976" s="267" t="str">
        <f t="shared" si="22"/>
        <v/>
      </c>
      <c r="F976" s="274" t="str">
        <f t="shared" si="2"/>
        <v/>
      </c>
      <c r="G976" s="42"/>
      <c r="H976" s="264"/>
      <c r="I976" s="277"/>
      <c r="J976" s="276" t="str">
        <f>IF(ISBLANK(I976), "", VLOOKUP(E976&amp;" "&amp;F976, 'Info Tipo de Cambio y REM'!$A$24:$B$35, 2, FALSE))
</f>
        <v/>
      </c>
      <c r="K976" s="107" t="str">
        <f t="shared" si="23"/>
        <v/>
      </c>
      <c r="L976" s="293">
        <f t="shared" si="5"/>
        <v>-5187415.025</v>
      </c>
      <c r="M976" s="293">
        <f t="shared" si="3"/>
        <v>-68574.41</v>
      </c>
      <c r="N976" s="293">
        <f t="shared" si="6"/>
        <v>0</v>
      </c>
      <c r="O976" s="277">
        <f t="shared" si="4"/>
        <v>-72146.60962</v>
      </c>
      <c r="P976" s="264"/>
      <c r="Q976" s="264"/>
      <c r="R976" s="264"/>
      <c r="S976" s="264"/>
      <c r="T976" s="264"/>
      <c r="U976" s="264"/>
      <c r="V976" s="264"/>
      <c r="W976" s="264"/>
      <c r="X976" s="264"/>
      <c r="Y976" s="264"/>
      <c r="Z976" s="264"/>
      <c r="AA976" s="264"/>
      <c r="AB976" s="264"/>
      <c r="AC976" s="264"/>
      <c r="AD976" s="264"/>
      <c r="AE976" s="264"/>
    </row>
    <row r="977">
      <c r="A977" s="272"/>
      <c r="B977" s="272"/>
      <c r="C977" s="272"/>
      <c r="D977" s="172"/>
      <c r="E977" s="267" t="str">
        <f t="shared" si="22"/>
        <v/>
      </c>
      <c r="F977" s="274" t="str">
        <f t="shared" si="2"/>
        <v/>
      </c>
      <c r="G977" s="42"/>
      <c r="H977" s="264"/>
      <c r="I977" s="277"/>
      <c r="J977" s="276" t="str">
        <f>IF(ISBLANK(I977), "", VLOOKUP(E977&amp;" "&amp;F977, 'Info Tipo de Cambio y REM'!$A$24:$B$35, 2, FALSE))
</f>
        <v/>
      </c>
      <c r="K977" s="107" t="str">
        <f t="shared" si="23"/>
        <v/>
      </c>
      <c r="L977" s="293">
        <f t="shared" si="5"/>
        <v>-5187415.025</v>
      </c>
      <c r="M977" s="293">
        <f t="shared" si="3"/>
        <v>-68574.41</v>
      </c>
      <c r="N977" s="293">
        <f t="shared" si="6"/>
        <v>0</v>
      </c>
      <c r="O977" s="277">
        <f t="shared" si="4"/>
        <v>-72146.60962</v>
      </c>
      <c r="P977" s="264"/>
      <c r="Q977" s="264"/>
      <c r="R977" s="264"/>
      <c r="S977" s="264"/>
      <c r="T977" s="264"/>
      <c r="U977" s="264"/>
      <c r="V977" s="264"/>
      <c r="W977" s="264"/>
      <c r="X977" s="264"/>
      <c r="Y977" s="264"/>
      <c r="Z977" s="264"/>
      <c r="AA977" s="264"/>
      <c r="AB977" s="264"/>
      <c r="AC977" s="264"/>
      <c r="AD977" s="264"/>
      <c r="AE977" s="264"/>
    </row>
    <row r="978">
      <c r="A978" s="272"/>
      <c r="B978" s="272"/>
      <c r="C978" s="272"/>
      <c r="D978" s="172"/>
      <c r="E978" s="267" t="str">
        <f t="shared" si="22"/>
        <v/>
      </c>
      <c r="F978" s="274" t="str">
        <f t="shared" si="2"/>
        <v/>
      </c>
      <c r="G978" s="42"/>
      <c r="H978" s="264"/>
      <c r="I978" s="277"/>
      <c r="J978" s="276" t="str">
        <f>IF(ISBLANK(I978), "", VLOOKUP(E978&amp;" "&amp;F978, 'Info Tipo de Cambio y REM'!$A$24:$B$35, 2, FALSE))
</f>
        <v/>
      </c>
      <c r="K978" s="107" t="str">
        <f t="shared" si="23"/>
        <v/>
      </c>
      <c r="L978" s="293">
        <f t="shared" si="5"/>
        <v>-5187415.025</v>
      </c>
      <c r="M978" s="293">
        <f t="shared" si="3"/>
        <v>-68574.41</v>
      </c>
      <c r="N978" s="293">
        <f t="shared" si="6"/>
        <v>0</v>
      </c>
      <c r="O978" s="277">
        <f t="shared" si="4"/>
        <v>-72146.60962</v>
      </c>
      <c r="P978" s="264"/>
      <c r="Q978" s="264"/>
      <c r="R978" s="264"/>
      <c r="S978" s="264"/>
      <c r="T978" s="264"/>
      <c r="U978" s="264"/>
      <c r="V978" s="264"/>
      <c r="W978" s="264"/>
      <c r="X978" s="264"/>
      <c r="Y978" s="264"/>
      <c r="Z978" s="264"/>
      <c r="AA978" s="264"/>
      <c r="AB978" s="264"/>
      <c r="AC978" s="264"/>
      <c r="AD978" s="264"/>
      <c r="AE978" s="264"/>
    </row>
    <row r="979">
      <c r="A979" s="272"/>
      <c r="B979" s="272"/>
      <c r="C979" s="272"/>
      <c r="D979" s="172"/>
      <c r="E979" s="267" t="str">
        <f t="shared" si="22"/>
        <v/>
      </c>
      <c r="F979" s="274" t="str">
        <f t="shared" si="2"/>
        <v/>
      </c>
      <c r="G979" s="42"/>
      <c r="H979" s="264"/>
      <c r="I979" s="277"/>
      <c r="J979" s="276" t="str">
        <f>IF(ISBLANK(I979), "", VLOOKUP(E979&amp;" "&amp;F979, 'Info Tipo de Cambio y REM'!$A$24:$B$35, 2, FALSE))
</f>
        <v/>
      </c>
      <c r="K979" s="107" t="str">
        <f t="shared" si="23"/>
        <v/>
      </c>
      <c r="L979" s="293">
        <f t="shared" si="5"/>
        <v>-5187415.025</v>
      </c>
      <c r="M979" s="293">
        <f t="shared" si="3"/>
        <v>-68574.41</v>
      </c>
      <c r="N979" s="293">
        <f t="shared" si="6"/>
        <v>0</v>
      </c>
      <c r="O979" s="277">
        <f t="shared" si="4"/>
        <v>-72146.60962</v>
      </c>
      <c r="P979" s="264"/>
      <c r="Q979" s="264"/>
      <c r="R979" s="264"/>
      <c r="S979" s="264"/>
      <c r="T979" s="264"/>
      <c r="U979" s="264"/>
      <c r="V979" s="264"/>
      <c r="W979" s="264"/>
      <c r="X979" s="264"/>
      <c r="Y979" s="264"/>
      <c r="Z979" s="264"/>
      <c r="AA979" s="264"/>
      <c r="AB979" s="264"/>
      <c r="AC979" s="264"/>
      <c r="AD979" s="264"/>
      <c r="AE979" s="264"/>
    </row>
    <row r="980">
      <c r="A980" s="272"/>
      <c r="B980" s="272"/>
      <c r="C980" s="272"/>
      <c r="D980" s="172"/>
      <c r="E980" s="267" t="str">
        <f t="shared" si="22"/>
        <v/>
      </c>
      <c r="F980" s="274" t="str">
        <f t="shared" si="2"/>
        <v/>
      </c>
      <c r="G980" s="42"/>
      <c r="H980" s="264"/>
      <c r="I980" s="277"/>
      <c r="J980" s="276" t="str">
        <f>IF(ISBLANK(I980), "", VLOOKUP(E980&amp;" "&amp;F980, 'Info Tipo de Cambio y REM'!$A$24:$B$35, 2, FALSE))
</f>
        <v/>
      </c>
      <c r="K980" s="107" t="str">
        <f t="shared" si="23"/>
        <v/>
      </c>
      <c r="L980" s="293">
        <f t="shared" si="5"/>
        <v>-5187415.025</v>
      </c>
      <c r="M980" s="293">
        <f t="shared" si="3"/>
        <v>-68574.41</v>
      </c>
      <c r="N980" s="293">
        <f t="shared" si="6"/>
        <v>0</v>
      </c>
      <c r="O980" s="277">
        <f t="shared" si="4"/>
        <v>-72146.60962</v>
      </c>
      <c r="P980" s="264"/>
      <c r="Q980" s="264"/>
      <c r="R980" s="264"/>
      <c r="S980" s="264"/>
      <c r="T980" s="264"/>
      <c r="U980" s="264"/>
      <c r="V980" s="264"/>
      <c r="W980" s="264"/>
      <c r="X980" s="264"/>
      <c r="Y980" s="264"/>
      <c r="Z980" s="264"/>
      <c r="AA980" s="264"/>
      <c r="AB980" s="264"/>
      <c r="AC980" s="264"/>
      <c r="AD980" s="264"/>
      <c r="AE980" s="264"/>
    </row>
    <row r="981">
      <c r="A981" s="272"/>
      <c r="B981" s="272"/>
      <c r="C981" s="272"/>
      <c r="D981" s="172"/>
      <c r="E981" s="267" t="str">
        <f t="shared" si="22"/>
        <v/>
      </c>
      <c r="F981" s="274" t="str">
        <f t="shared" si="2"/>
        <v/>
      </c>
      <c r="G981" s="42"/>
      <c r="H981" s="264"/>
      <c r="I981" s="277"/>
      <c r="J981" s="276" t="str">
        <f>IF(ISBLANK(I981), "", VLOOKUP(E981&amp;" "&amp;F981, 'Info Tipo de Cambio y REM'!$A$24:$B$35, 2, FALSE))
</f>
        <v/>
      </c>
      <c r="K981" s="107" t="str">
        <f t="shared" si="23"/>
        <v/>
      </c>
      <c r="L981" s="293">
        <f t="shared" si="5"/>
        <v>-5187415.025</v>
      </c>
      <c r="M981" s="293">
        <f t="shared" si="3"/>
        <v>-68574.41</v>
      </c>
      <c r="N981" s="293">
        <f t="shared" si="6"/>
        <v>0</v>
      </c>
      <c r="O981" s="277">
        <f t="shared" si="4"/>
        <v>-72146.60962</v>
      </c>
      <c r="P981" s="264"/>
      <c r="Q981" s="264"/>
      <c r="R981" s="264"/>
      <c r="S981" s="264"/>
      <c r="T981" s="264"/>
      <c r="U981" s="264"/>
      <c r="V981" s="264"/>
      <c r="W981" s="264"/>
      <c r="X981" s="264"/>
      <c r="Y981" s="264"/>
      <c r="Z981" s="264"/>
      <c r="AA981" s="264"/>
      <c r="AB981" s="264"/>
      <c r="AC981" s="264"/>
      <c r="AD981" s="264"/>
      <c r="AE981" s="264"/>
    </row>
    <row r="982">
      <c r="A982" s="272"/>
      <c r="B982" s="272"/>
      <c r="C982" s="272"/>
      <c r="D982" s="172"/>
      <c r="E982" s="267" t="str">
        <f t="shared" si="22"/>
        <v/>
      </c>
      <c r="F982" s="274" t="str">
        <f t="shared" si="2"/>
        <v/>
      </c>
      <c r="G982" s="42"/>
      <c r="H982" s="264"/>
      <c r="I982" s="277"/>
      <c r="J982" s="276" t="str">
        <f>IF(ISBLANK(I982), "", VLOOKUP(E982&amp;" "&amp;F982, 'Info Tipo de Cambio y REM'!$A$24:$B$35, 2, FALSE))
</f>
        <v/>
      </c>
      <c r="K982" s="107" t="str">
        <f t="shared" si="23"/>
        <v/>
      </c>
      <c r="L982" s="293">
        <f t="shared" si="5"/>
        <v>-5187415.025</v>
      </c>
      <c r="M982" s="293">
        <f t="shared" si="3"/>
        <v>-68574.41</v>
      </c>
      <c r="N982" s="293">
        <f t="shared" si="6"/>
        <v>0</v>
      </c>
      <c r="O982" s="277">
        <f t="shared" si="4"/>
        <v>-72146.60962</v>
      </c>
      <c r="P982" s="264"/>
      <c r="Q982" s="264"/>
      <c r="R982" s="264"/>
      <c r="S982" s="264"/>
      <c r="T982" s="264"/>
      <c r="U982" s="264"/>
      <c r="V982" s="264"/>
      <c r="W982" s="264"/>
      <c r="X982" s="264"/>
      <c r="Y982" s="264"/>
      <c r="Z982" s="264"/>
      <c r="AA982" s="264"/>
      <c r="AB982" s="264"/>
      <c r="AC982" s="264"/>
      <c r="AD982" s="264"/>
      <c r="AE982" s="264"/>
    </row>
    <row r="983">
      <c r="A983" s="272"/>
      <c r="B983" s="272"/>
      <c r="C983" s="272"/>
      <c r="D983" s="172"/>
      <c r="E983" s="267" t="str">
        <f t="shared" si="22"/>
        <v/>
      </c>
      <c r="F983" s="274" t="str">
        <f t="shared" si="2"/>
        <v/>
      </c>
      <c r="G983" s="42"/>
      <c r="H983" s="264"/>
      <c r="I983" s="277"/>
      <c r="J983" s="276" t="str">
        <f>IF(ISBLANK(I983), "", VLOOKUP(E983&amp;" "&amp;F983, 'Info Tipo de Cambio y REM'!$A$24:$B$35, 2, FALSE))
</f>
        <v/>
      </c>
      <c r="K983" s="107" t="str">
        <f t="shared" si="23"/>
        <v/>
      </c>
      <c r="L983" s="293">
        <f t="shared" si="5"/>
        <v>-5187415.025</v>
      </c>
      <c r="M983" s="293">
        <f t="shared" si="3"/>
        <v>-68574.41</v>
      </c>
      <c r="N983" s="293">
        <f t="shared" si="6"/>
        <v>0</v>
      </c>
      <c r="O983" s="277">
        <f t="shared" si="4"/>
        <v>-72146.60962</v>
      </c>
      <c r="P983" s="264"/>
      <c r="Q983" s="264"/>
      <c r="R983" s="264"/>
      <c r="S983" s="264"/>
      <c r="T983" s="264"/>
      <c r="U983" s="264"/>
      <c r="V983" s="264"/>
      <c r="W983" s="264"/>
      <c r="X983" s="264"/>
      <c r="Y983" s="264"/>
      <c r="Z983" s="264"/>
      <c r="AA983" s="264"/>
      <c r="AB983" s="264"/>
      <c r="AC983" s="264"/>
      <c r="AD983" s="264"/>
      <c r="AE983" s="264"/>
    </row>
    <row r="984">
      <c r="A984" s="272"/>
      <c r="B984" s="272"/>
      <c r="C984" s="272"/>
      <c r="D984" s="172"/>
      <c r="E984" s="267" t="str">
        <f t="shared" si="22"/>
        <v/>
      </c>
      <c r="F984" s="274" t="str">
        <f t="shared" si="2"/>
        <v/>
      </c>
      <c r="G984" s="42"/>
      <c r="H984" s="264"/>
      <c r="I984" s="277"/>
      <c r="J984" s="276" t="str">
        <f>IF(ISBLANK(I984), "", VLOOKUP(E984&amp;" "&amp;F984, 'Info Tipo de Cambio y REM'!$A$24:$B$35, 2, FALSE))
</f>
        <v/>
      </c>
      <c r="K984" s="107" t="str">
        <f t="shared" si="23"/>
        <v/>
      </c>
      <c r="L984" s="293">
        <f t="shared" si="5"/>
        <v>-5187415.025</v>
      </c>
      <c r="M984" s="293">
        <f t="shared" si="3"/>
        <v>-68574.41</v>
      </c>
      <c r="N984" s="293">
        <f t="shared" si="6"/>
        <v>0</v>
      </c>
      <c r="O984" s="277">
        <f t="shared" si="4"/>
        <v>-72146.60962</v>
      </c>
      <c r="P984" s="264"/>
      <c r="Q984" s="264"/>
      <c r="R984" s="264"/>
      <c r="S984" s="264"/>
      <c r="T984" s="264"/>
      <c r="U984" s="264"/>
      <c r="V984" s="264"/>
      <c r="W984" s="264"/>
      <c r="X984" s="264"/>
      <c r="Y984" s="264"/>
      <c r="Z984" s="264"/>
      <c r="AA984" s="264"/>
      <c r="AB984" s="264"/>
      <c r="AC984" s="264"/>
      <c r="AD984" s="264"/>
      <c r="AE984" s="264"/>
    </row>
    <row r="985">
      <c r="A985" s="272"/>
      <c r="B985" s="272"/>
      <c r="C985" s="272"/>
      <c r="D985" s="172"/>
      <c r="E985" s="267" t="str">
        <f t="shared" si="22"/>
        <v/>
      </c>
      <c r="F985" s="274" t="str">
        <f t="shared" si="2"/>
        <v/>
      </c>
      <c r="G985" s="42"/>
      <c r="H985" s="264"/>
      <c r="I985" s="277"/>
      <c r="J985" s="276" t="str">
        <f>IF(ISBLANK(I985), "", VLOOKUP(E985&amp;" "&amp;F985, 'Info Tipo de Cambio y REM'!$A$24:$B$35, 2, FALSE))
</f>
        <v/>
      </c>
      <c r="K985" s="107" t="str">
        <f t="shared" si="23"/>
        <v/>
      </c>
      <c r="L985" s="293">
        <f t="shared" si="5"/>
        <v>-5187415.025</v>
      </c>
      <c r="M985" s="293">
        <f t="shared" si="3"/>
        <v>-68574.41</v>
      </c>
      <c r="N985" s="293">
        <f t="shared" si="6"/>
        <v>0</v>
      </c>
      <c r="O985" s="277">
        <f t="shared" si="4"/>
        <v>-72146.60962</v>
      </c>
      <c r="P985" s="264"/>
      <c r="Q985" s="264"/>
      <c r="R985" s="264"/>
      <c r="S985" s="264"/>
      <c r="T985" s="264"/>
      <c r="U985" s="264"/>
      <c r="V985" s="264"/>
      <c r="W985" s="264"/>
      <c r="X985" s="264"/>
      <c r="Y985" s="264"/>
      <c r="Z985" s="264"/>
      <c r="AA985" s="264"/>
      <c r="AB985" s="264"/>
      <c r="AC985" s="264"/>
      <c r="AD985" s="264"/>
      <c r="AE985" s="264"/>
    </row>
    <row r="986">
      <c r="A986" s="272"/>
      <c r="B986" s="272"/>
      <c r="C986" s="272"/>
      <c r="D986" s="172"/>
      <c r="E986" s="267" t="str">
        <f t="shared" si="22"/>
        <v/>
      </c>
      <c r="F986" s="274" t="str">
        <f t="shared" si="2"/>
        <v/>
      </c>
      <c r="G986" s="42"/>
      <c r="H986" s="264"/>
      <c r="I986" s="277"/>
      <c r="J986" s="276" t="str">
        <f>IF(ISBLANK(I986), "", VLOOKUP(E986&amp;" "&amp;F986, 'Info Tipo de Cambio y REM'!$A$24:$B$35, 2, FALSE))
</f>
        <v/>
      </c>
      <c r="K986" s="107" t="str">
        <f t="shared" si="23"/>
        <v/>
      </c>
      <c r="L986" s="293">
        <f t="shared" si="5"/>
        <v>-5187415.025</v>
      </c>
      <c r="M986" s="293">
        <f t="shared" si="3"/>
        <v>-68574.41</v>
      </c>
      <c r="N986" s="293">
        <f t="shared" si="6"/>
        <v>0</v>
      </c>
      <c r="O986" s="277">
        <f t="shared" si="4"/>
        <v>-72146.60962</v>
      </c>
      <c r="P986" s="264"/>
      <c r="Q986" s="264"/>
      <c r="R986" s="264"/>
      <c r="S986" s="264"/>
      <c r="T986" s="264"/>
      <c r="U986" s="264"/>
      <c r="V986" s="264"/>
      <c r="W986" s="264"/>
      <c r="X986" s="264"/>
      <c r="Y986" s="264"/>
      <c r="Z986" s="264"/>
      <c r="AA986" s="264"/>
      <c r="AB986" s="264"/>
      <c r="AC986" s="264"/>
      <c r="AD986" s="264"/>
      <c r="AE986" s="264"/>
    </row>
    <row r="987">
      <c r="A987" s="272"/>
      <c r="B987" s="272"/>
      <c r="C987" s="272"/>
      <c r="D987" s="172"/>
      <c r="E987" s="267" t="str">
        <f t="shared" si="22"/>
        <v/>
      </c>
      <c r="F987" s="274" t="str">
        <f t="shared" si="2"/>
        <v/>
      </c>
      <c r="G987" s="42"/>
      <c r="H987" s="264"/>
      <c r="I987" s="277"/>
      <c r="J987" s="276" t="str">
        <f>IF(ISBLANK(I987), "", VLOOKUP(E987&amp;" "&amp;F987, 'Info Tipo de Cambio y REM'!$A$24:$B$35, 2, FALSE))
</f>
        <v/>
      </c>
      <c r="K987" s="107" t="str">
        <f t="shared" si="23"/>
        <v/>
      </c>
      <c r="L987" s="293">
        <f t="shared" si="5"/>
        <v>-5187415.025</v>
      </c>
      <c r="M987" s="293">
        <f t="shared" si="3"/>
        <v>-68574.41</v>
      </c>
      <c r="N987" s="293">
        <f t="shared" si="6"/>
        <v>0</v>
      </c>
      <c r="O987" s="277">
        <f t="shared" si="4"/>
        <v>-72146.60962</v>
      </c>
      <c r="P987" s="264"/>
      <c r="Q987" s="264"/>
      <c r="R987" s="264"/>
      <c r="S987" s="264"/>
      <c r="T987" s="264"/>
      <c r="U987" s="264"/>
      <c r="V987" s="264"/>
      <c r="W987" s="264"/>
      <c r="X987" s="264"/>
      <c r="Y987" s="264"/>
      <c r="Z987" s="264"/>
      <c r="AA987" s="264"/>
      <c r="AB987" s="264"/>
      <c r="AC987" s="264"/>
      <c r="AD987" s="264"/>
      <c r="AE987" s="264"/>
    </row>
    <row r="988">
      <c r="A988" s="272"/>
      <c r="B988" s="272"/>
      <c r="C988" s="272"/>
      <c r="D988" s="172"/>
      <c r="E988" s="267" t="str">
        <f t="shared" si="22"/>
        <v/>
      </c>
      <c r="F988" s="274" t="str">
        <f t="shared" si="2"/>
        <v/>
      </c>
      <c r="G988" s="42"/>
      <c r="H988" s="264"/>
      <c r="I988" s="277"/>
      <c r="J988" s="276" t="str">
        <f>IF(ISBLANK(I988), "", VLOOKUP(E988&amp;" "&amp;F988, 'Info Tipo de Cambio y REM'!$A$24:$B$35, 2, FALSE))
</f>
        <v/>
      </c>
      <c r="K988" s="107" t="str">
        <f t="shared" si="23"/>
        <v/>
      </c>
      <c r="L988" s="293">
        <f t="shared" si="5"/>
        <v>-5187415.025</v>
      </c>
      <c r="M988" s="293">
        <f t="shared" si="3"/>
        <v>-68574.41</v>
      </c>
      <c r="N988" s="293">
        <f t="shared" si="6"/>
        <v>0</v>
      </c>
      <c r="O988" s="277">
        <f t="shared" si="4"/>
        <v>-72146.60962</v>
      </c>
      <c r="P988" s="264"/>
      <c r="Q988" s="264"/>
      <c r="R988" s="264"/>
      <c r="S988" s="264"/>
      <c r="T988" s="264"/>
      <c r="U988" s="264"/>
      <c r="V988" s="264"/>
      <c r="W988" s="264"/>
      <c r="X988" s="264"/>
      <c r="Y988" s="264"/>
      <c r="Z988" s="264"/>
      <c r="AA988" s="264"/>
      <c r="AB988" s="264"/>
      <c r="AC988" s="264"/>
      <c r="AD988" s="264"/>
      <c r="AE988" s="264"/>
    </row>
    <row r="989">
      <c r="A989" s="272"/>
      <c r="B989" s="272"/>
      <c r="C989" s="272"/>
      <c r="D989" s="172"/>
      <c r="E989" s="267" t="str">
        <f t="shared" si="22"/>
        <v/>
      </c>
      <c r="F989" s="274" t="str">
        <f t="shared" si="2"/>
        <v/>
      </c>
      <c r="G989" s="42"/>
      <c r="H989" s="264"/>
      <c r="I989" s="277"/>
      <c r="J989" s="276" t="str">
        <f>IF(ISBLANK(I989), "", VLOOKUP(E989&amp;" "&amp;F989, 'Info Tipo de Cambio y REM'!$A$24:$B$35, 2, FALSE))
</f>
        <v/>
      </c>
      <c r="K989" s="107" t="str">
        <f t="shared" si="23"/>
        <v/>
      </c>
      <c r="L989" s="293">
        <f t="shared" si="5"/>
        <v>-5187415.025</v>
      </c>
      <c r="M989" s="293">
        <f t="shared" si="3"/>
        <v>-68574.41</v>
      </c>
      <c r="N989" s="293">
        <f t="shared" si="6"/>
        <v>0</v>
      </c>
      <c r="O989" s="277">
        <f t="shared" si="4"/>
        <v>-72146.60962</v>
      </c>
      <c r="P989" s="264"/>
      <c r="Q989" s="264"/>
      <c r="R989" s="264"/>
      <c r="S989" s="264"/>
      <c r="T989" s="264"/>
      <c r="U989" s="264"/>
      <c r="V989" s="264"/>
      <c r="W989" s="264"/>
      <c r="X989" s="264"/>
      <c r="Y989" s="264"/>
      <c r="Z989" s="264"/>
      <c r="AA989" s="264"/>
      <c r="AB989" s="264"/>
      <c r="AC989" s="264"/>
      <c r="AD989" s="264"/>
      <c r="AE989" s="264"/>
    </row>
    <row r="990">
      <c r="A990" s="272"/>
      <c r="B990" s="272"/>
      <c r="C990" s="272"/>
      <c r="D990" s="172"/>
      <c r="E990" s="267" t="str">
        <f t="shared" si="22"/>
        <v/>
      </c>
      <c r="F990" s="274" t="str">
        <f t="shared" si="2"/>
        <v/>
      </c>
      <c r="G990" s="42"/>
      <c r="H990" s="264"/>
      <c r="I990" s="277"/>
      <c r="J990" s="276" t="str">
        <f>IF(ISBLANK(I990), "", VLOOKUP(E990&amp;" "&amp;F990, 'Info Tipo de Cambio y REM'!$A$24:$B$35, 2, FALSE))
</f>
        <v/>
      </c>
      <c r="K990" s="107" t="str">
        <f t="shared" si="23"/>
        <v/>
      </c>
      <c r="L990" s="293">
        <f t="shared" si="5"/>
        <v>-5187415.025</v>
      </c>
      <c r="M990" s="293">
        <f t="shared" si="3"/>
        <v>-68574.41</v>
      </c>
      <c r="N990" s="293">
        <f t="shared" si="6"/>
        <v>0</v>
      </c>
      <c r="O990" s="277">
        <f t="shared" si="4"/>
        <v>-72146.60962</v>
      </c>
      <c r="P990" s="264"/>
      <c r="Q990" s="264"/>
      <c r="R990" s="264"/>
      <c r="S990" s="264"/>
      <c r="T990" s="264"/>
      <c r="U990" s="264"/>
      <c r="V990" s="264"/>
      <c r="W990" s="264"/>
      <c r="X990" s="264"/>
      <c r="Y990" s="264"/>
      <c r="Z990" s="264"/>
      <c r="AA990" s="264"/>
      <c r="AB990" s="264"/>
      <c r="AC990" s="264"/>
      <c r="AD990" s="264"/>
      <c r="AE990" s="264"/>
    </row>
    <row r="991">
      <c r="A991" s="272"/>
      <c r="B991" s="272"/>
      <c r="C991" s="272"/>
      <c r="D991" s="172"/>
      <c r="E991" s="267" t="str">
        <f t="shared" si="22"/>
        <v/>
      </c>
      <c r="F991" s="274" t="str">
        <f t="shared" si="2"/>
        <v/>
      </c>
      <c r="G991" s="42"/>
      <c r="H991" s="264"/>
      <c r="I991" s="277"/>
      <c r="J991" s="276" t="str">
        <f>IF(ISBLANK(I991), "", VLOOKUP(E991&amp;" "&amp;F991, 'Info Tipo de Cambio y REM'!$A$24:$B$35, 2, FALSE))
</f>
        <v/>
      </c>
      <c r="K991" s="107" t="str">
        <f t="shared" si="23"/>
        <v/>
      </c>
      <c r="L991" s="293">
        <f t="shared" si="5"/>
        <v>-5187415.025</v>
      </c>
      <c r="M991" s="293">
        <f t="shared" si="3"/>
        <v>-68574.41</v>
      </c>
      <c r="N991" s="293">
        <f t="shared" si="6"/>
        <v>0</v>
      </c>
      <c r="O991" s="277">
        <f t="shared" si="4"/>
        <v>-72146.60962</v>
      </c>
      <c r="P991" s="264"/>
      <c r="Q991" s="264"/>
      <c r="R991" s="264"/>
      <c r="S991" s="264"/>
      <c r="T991" s="264"/>
      <c r="U991" s="264"/>
      <c r="V991" s="264"/>
      <c r="W991" s="264"/>
      <c r="X991" s="264"/>
      <c r="Y991" s="264"/>
      <c r="Z991" s="264"/>
      <c r="AA991" s="264"/>
      <c r="AB991" s="264"/>
      <c r="AC991" s="264"/>
      <c r="AD991" s="264"/>
      <c r="AE991" s="264"/>
    </row>
    <row r="992">
      <c r="A992" s="272"/>
      <c r="B992" s="272"/>
      <c r="C992" s="272"/>
      <c r="D992" s="172"/>
      <c r="E992" s="267" t="str">
        <f t="shared" si="22"/>
        <v/>
      </c>
      <c r="F992" s="274" t="str">
        <f t="shared" si="2"/>
        <v/>
      </c>
      <c r="G992" s="42"/>
      <c r="H992" s="264"/>
      <c r="I992" s="277"/>
      <c r="J992" s="276" t="str">
        <f>IF(ISBLANK(I992), "", VLOOKUP(E992&amp;" "&amp;F992, 'Info Tipo de Cambio y REM'!$A$24:$B$35, 2, FALSE))
</f>
        <v/>
      </c>
      <c r="K992" s="107" t="str">
        <f t="shared" si="23"/>
        <v/>
      </c>
      <c r="L992" s="293">
        <f t="shared" si="5"/>
        <v>-5187415.025</v>
      </c>
      <c r="M992" s="293">
        <f t="shared" si="3"/>
        <v>-68574.41</v>
      </c>
      <c r="N992" s="293">
        <f t="shared" si="6"/>
        <v>0</v>
      </c>
      <c r="O992" s="277">
        <f t="shared" si="4"/>
        <v>-72146.60962</v>
      </c>
      <c r="P992" s="264"/>
      <c r="Q992" s="264"/>
      <c r="R992" s="264"/>
      <c r="S992" s="264"/>
      <c r="T992" s="264"/>
      <c r="U992" s="264"/>
      <c r="V992" s="264"/>
      <c r="W992" s="264"/>
      <c r="X992" s="264"/>
      <c r="Y992" s="264"/>
      <c r="Z992" s="264"/>
      <c r="AA992" s="264"/>
      <c r="AB992" s="264"/>
      <c r="AC992" s="264"/>
      <c r="AD992" s="264"/>
      <c r="AE992" s="264"/>
    </row>
    <row r="993">
      <c r="A993" s="272"/>
      <c r="B993" s="272"/>
      <c r="C993" s="272"/>
      <c r="D993" s="172"/>
      <c r="E993" s="267" t="str">
        <f t="shared" si="22"/>
        <v/>
      </c>
      <c r="F993" s="274" t="str">
        <f t="shared" si="2"/>
        <v/>
      </c>
      <c r="G993" s="42"/>
      <c r="H993" s="264"/>
      <c r="I993" s="277"/>
      <c r="J993" s="276" t="str">
        <f>IF(ISBLANK(I993), "", VLOOKUP(E993&amp;" "&amp;F993, 'Info Tipo de Cambio y REM'!$A$24:$B$35, 2, FALSE))
</f>
        <v/>
      </c>
      <c r="K993" s="107" t="str">
        <f t="shared" si="23"/>
        <v/>
      </c>
      <c r="L993" s="293">
        <f t="shared" si="5"/>
        <v>-5187415.025</v>
      </c>
      <c r="M993" s="293">
        <f t="shared" si="3"/>
        <v>-68574.41</v>
      </c>
      <c r="N993" s="293">
        <f t="shared" si="6"/>
        <v>0</v>
      </c>
      <c r="O993" s="277">
        <f t="shared" si="4"/>
        <v>-72146.60962</v>
      </c>
      <c r="P993" s="264"/>
      <c r="Q993" s="264"/>
      <c r="R993" s="264"/>
      <c r="S993" s="264"/>
      <c r="T993" s="264"/>
      <c r="U993" s="264"/>
      <c r="V993" s="264"/>
      <c r="W993" s="264"/>
      <c r="X993" s="264"/>
      <c r="Y993" s="264"/>
      <c r="Z993" s="264"/>
      <c r="AA993" s="264"/>
      <c r="AB993" s="264"/>
      <c r="AC993" s="264"/>
      <c r="AD993" s="264"/>
      <c r="AE993" s="264"/>
    </row>
    <row r="994">
      <c r="A994" s="272"/>
      <c r="B994" s="272"/>
      <c r="C994" s="272"/>
      <c r="D994" s="172"/>
      <c r="E994" s="267" t="str">
        <f t="shared" si="22"/>
        <v/>
      </c>
      <c r="F994" s="274" t="str">
        <f t="shared" si="2"/>
        <v/>
      </c>
      <c r="G994" s="42"/>
      <c r="H994" s="264"/>
      <c r="I994" s="277"/>
      <c r="J994" s="276" t="str">
        <f>IF(ISBLANK(I994), "", VLOOKUP(E994&amp;" "&amp;F994, 'Info Tipo de Cambio y REM'!$A$24:$B$35, 2, FALSE))
</f>
        <v/>
      </c>
      <c r="K994" s="107" t="str">
        <f t="shared" si="23"/>
        <v/>
      </c>
      <c r="L994" s="293">
        <f t="shared" si="5"/>
        <v>-5187415.025</v>
      </c>
      <c r="M994" s="293">
        <f t="shared" si="3"/>
        <v>-68574.41</v>
      </c>
      <c r="N994" s="293">
        <f t="shared" si="6"/>
        <v>0</v>
      </c>
      <c r="O994" s="277">
        <f t="shared" si="4"/>
        <v>-72146.60962</v>
      </c>
      <c r="P994" s="264"/>
      <c r="Q994" s="264"/>
      <c r="R994" s="264"/>
      <c r="S994" s="264"/>
      <c r="T994" s="264"/>
      <c r="U994" s="264"/>
      <c r="V994" s="264"/>
      <c r="W994" s="264"/>
      <c r="X994" s="264"/>
      <c r="Y994" s="264"/>
      <c r="Z994" s="264"/>
      <c r="AA994" s="264"/>
      <c r="AB994" s="264"/>
      <c r="AC994" s="264"/>
      <c r="AD994" s="264"/>
      <c r="AE994" s="264"/>
    </row>
    <row r="995">
      <c r="A995" s="272"/>
      <c r="B995" s="272"/>
      <c r="C995" s="272"/>
      <c r="D995" s="172"/>
      <c r="E995" s="267" t="str">
        <f t="shared" si="22"/>
        <v/>
      </c>
      <c r="F995" s="274" t="str">
        <f t="shared" si="2"/>
        <v/>
      </c>
      <c r="G995" s="42"/>
      <c r="H995" s="264"/>
      <c r="I995" s="277"/>
      <c r="J995" s="276" t="str">
        <f>IF(ISBLANK(I995), "", VLOOKUP(E995&amp;" "&amp;F995, 'Info Tipo de Cambio y REM'!$A$24:$B$35, 2, FALSE))
</f>
        <v/>
      </c>
      <c r="K995" s="107" t="str">
        <f t="shared" si="23"/>
        <v/>
      </c>
      <c r="L995" s="293">
        <f t="shared" si="5"/>
        <v>-5187415.025</v>
      </c>
      <c r="M995" s="293">
        <f t="shared" si="3"/>
        <v>-68574.41</v>
      </c>
      <c r="N995" s="293">
        <f t="shared" si="6"/>
        <v>0</v>
      </c>
      <c r="O995" s="277">
        <f t="shared" si="4"/>
        <v>-72146.60962</v>
      </c>
      <c r="P995" s="264"/>
      <c r="Q995" s="264"/>
      <c r="R995" s="264"/>
      <c r="S995" s="264"/>
      <c r="T995" s="264"/>
      <c r="U995" s="264"/>
      <c r="V995" s="264"/>
      <c r="W995" s="264"/>
      <c r="X995" s="264"/>
      <c r="Y995" s="264"/>
      <c r="Z995" s="264"/>
      <c r="AA995" s="264"/>
      <c r="AB995" s="264"/>
      <c r="AC995" s="264"/>
      <c r="AD995" s="264"/>
      <c r="AE995" s="264"/>
    </row>
    <row r="996">
      <c r="A996" s="272"/>
      <c r="B996" s="272"/>
      <c r="C996" s="272"/>
      <c r="D996" s="172"/>
      <c r="E996" s="267" t="str">
        <f t="shared" si="22"/>
        <v/>
      </c>
      <c r="F996" s="274" t="str">
        <f t="shared" si="2"/>
        <v/>
      </c>
      <c r="G996" s="42"/>
      <c r="H996" s="264"/>
      <c r="I996" s="277"/>
      <c r="J996" s="276" t="str">
        <f>IF(ISBLANK(I996), "", VLOOKUP(E996&amp;" "&amp;F996, 'Info Tipo de Cambio y REM'!$A$24:$B$35, 2, FALSE))
</f>
        <v/>
      </c>
      <c r="K996" s="107" t="str">
        <f t="shared" si="23"/>
        <v/>
      </c>
      <c r="L996" s="293">
        <f t="shared" si="5"/>
        <v>-5187415.025</v>
      </c>
      <c r="M996" s="293">
        <f t="shared" si="3"/>
        <v>-68574.41</v>
      </c>
      <c r="N996" s="293">
        <f t="shared" si="6"/>
        <v>0</v>
      </c>
      <c r="O996" s="277">
        <f t="shared" si="4"/>
        <v>-72146.60962</v>
      </c>
      <c r="P996" s="264"/>
      <c r="Q996" s="264"/>
      <c r="R996" s="264"/>
      <c r="S996" s="264"/>
      <c r="T996" s="264"/>
      <c r="U996" s="264"/>
      <c r="V996" s="264"/>
      <c r="W996" s="264"/>
      <c r="X996" s="264"/>
      <c r="Y996" s="264"/>
      <c r="Z996" s="264"/>
      <c r="AA996" s="264"/>
      <c r="AB996" s="264"/>
      <c r="AC996" s="264"/>
      <c r="AD996" s="264"/>
      <c r="AE996" s="264"/>
    </row>
    <row r="997">
      <c r="A997" s="272"/>
      <c r="B997" s="272"/>
      <c r="C997" s="272"/>
      <c r="D997" s="172"/>
      <c r="E997" s="267" t="str">
        <f t="shared" si="22"/>
        <v/>
      </c>
      <c r="F997" s="274" t="str">
        <f t="shared" si="2"/>
        <v/>
      </c>
      <c r="G997" s="42"/>
      <c r="H997" s="264"/>
      <c r="I997" s="277"/>
      <c r="J997" s="276" t="str">
        <f>IF(ISBLANK(I997), "", VLOOKUP(E997&amp;" "&amp;F997, 'Info Tipo de Cambio y REM'!$A$24:$B$35, 2, FALSE))
</f>
        <v/>
      </c>
      <c r="K997" s="107" t="str">
        <f t="shared" si="23"/>
        <v/>
      </c>
      <c r="L997" s="293">
        <f t="shared" si="5"/>
        <v>-5187415.025</v>
      </c>
      <c r="M997" s="293">
        <f t="shared" si="3"/>
        <v>-68574.41</v>
      </c>
      <c r="N997" s="293">
        <f t="shared" si="6"/>
        <v>0</v>
      </c>
      <c r="O997" s="277">
        <f t="shared" si="4"/>
        <v>-72146.60962</v>
      </c>
      <c r="P997" s="264"/>
      <c r="Q997" s="264"/>
      <c r="R997" s="264"/>
      <c r="S997" s="264"/>
      <c r="T997" s="264"/>
      <c r="U997" s="264"/>
      <c r="V997" s="264"/>
      <c r="W997" s="264"/>
      <c r="X997" s="264"/>
      <c r="Y997" s="264"/>
      <c r="Z997" s="264"/>
      <c r="AA997" s="264"/>
      <c r="AB997" s="264"/>
      <c r="AC997" s="264"/>
      <c r="AD997" s="264"/>
      <c r="AE997" s="264"/>
    </row>
    <row r="998">
      <c r="A998" s="272"/>
      <c r="B998" s="272"/>
      <c r="C998" s="272"/>
      <c r="D998" s="172"/>
      <c r="E998" s="267" t="str">
        <f t="shared" si="22"/>
        <v/>
      </c>
      <c r="F998" s="274" t="str">
        <f t="shared" si="2"/>
        <v/>
      </c>
      <c r="G998" s="42"/>
      <c r="H998" s="264"/>
      <c r="I998" s="277"/>
      <c r="J998" s="276" t="str">
        <f>IF(ISBLANK(I998), "", VLOOKUP(E998&amp;" "&amp;F998, 'Info Tipo de Cambio y REM'!$A$24:$B$35, 2, FALSE))
</f>
        <v/>
      </c>
      <c r="K998" s="107" t="str">
        <f t="shared" si="23"/>
        <v/>
      </c>
      <c r="L998" s="293">
        <f t="shared" si="5"/>
        <v>-5187415.025</v>
      </c>
      <c r="M998" s="293">
        <f t="shared" si="3"/>
        <v>-68574.41</v>
      </c>
      <c r="N998" s="293">
        <f t="shared" si="6"/>
        <v>0</v>
      </c>
      <c r="O998" s="277">
        <f t="shared" si="4"/>
        <v>-72146.60962</v>
      </c>
      <c r="P998" s="264"/>
      <c r="Q998" s="264"/>
      <c r="R998" s="264"/>
      <c r="S998" s="264"/>
      <c r="T998" s="264"/>
      <c r="U998" s="264"/>
      <c r="V998" s="264"/>
      <c r="W998" s="264"/>
      <c r="X998" s="264"/>
      <c r="Y998" s="264"/>
      <c r="Z998" s="264"/>
      <c r="AA998" s="264"/>
      <c r="AB998" s="264"/>
      <c r="AC998" s="264"/>
      <c r="AD998" s="264"/>
      <c r="AE998" s="264"/>
    </row>
    <row r="999">
      <c r="A999" s="272"/>
      <c r="B999" s="272"/>
      <c r="C999" s="272"/>
      <c r="D999" s="172"/>
      <c r="E999" s="267" t="str">
        <f t="shared" si="22"/>
        <v/>
      </c>
      <c r="F999" s="274" t="str">
        <f t="shared" si="2"/>
        <v/>
      </c>
      <c r="G999" s="42"/>
      <c r="H999" s="264"/>
      <c r="I999" s="277"/>
      <c r="J999" s="276" t="str">
        <f>IF(ISBLANK(I999), "", VLOOKUP(E999&amp;" "&amp;F999, 'Info Tipo de Cambio y REM'!$A$24:$B$35, 2, FALSE))
</f>
        <v/>
      </c>
      <c r="K999" s="107" t="str">
        <f t="shared" si="23"/>
        <v/>
      </c>
      <c r="L999" s="293">
        <f t="shared" si="5"/>
        <v>-5187415.025</v>
      </c>
      <c r="M999" s="293">
        <f t="shared" si="3"/>
        <v>-68574.41</v>
      </c>
      <c r="N999" s="293">
        <f t="shared" si="6"/>
        <v>0</v>
      </c>
      <c r="O999" s="277">
        <f t="shared" si="4"/>
        <v>-72146.60962</v>
      </c>
      <c r="P999" s="264"/>
      <c r="Q999" s="264"/>
      <c r="R999" s="264"/>
      <c r="S999" s="264"/>
      <c r="T999" s="264"/>
      <c r="U999" s="264"/>
      <c r="V999" s="264"/>
      <c r="W999" s="264"/>
      <c r="X999" s="264"/>
      <c r="Y999" s="264"/>
      <c r="Z999" s="264"/>
      <c r="AA999" s="264"/>
      <c r="AB999" s="264"/>
      <c r="AC999" s="264"/>
      <c r="AD999" s="264"/>
      <c r="AE999" s="264"/>
    </row>
    <row r="1000">
      <c r="A1000" s="272"/>
      <c r="B1000" s="272"/>
      <c r="C1000" s="272"/>
      <c r="D1000" s="172"/>
      <c r="E1000" s="267" t="str">
        <f t="shared" si="22"/>
        <v/>
      </c>
      <c r="F1000" s="274" t="str">
        <f t="shared" si="2"/>
        <v/>
      </c>
      <c r="G1000" s="42"/>
      <c r="H1000" s="264"/>
      <c r="I1000" s="277"/>
      <c r="J1000" s="276" t="str">
        <f>IF(ISBLANK(I1000), "", VLOOKUP(E1000&amp;" "&amp;F1000, 'Info Tipo de Cambio y REM'!$A$24:$B$35, 2, FALSE))
</f>
        <v/>
      </c>
      <c r="K1000" s="107" t="str">
        <f t="shared" si="23"/>
        <v/>
      </c>
      <c r="L1000" s="293">
        <f t="shared" si="5"/>
        <v>-5187415.025</v>
      </c>
      <c r="M1000" s="293">
        <f t="shared" si="3"/>
        <v>-68574.41</v>
      </c>
      <c r="N1000" s="293">
        <f t="shared" si="6"/>
        <v>0</v>
      </c>
      <c r="O1000" s="277">
        <f t="shared" si="4"/>
        <v>-72146.60962</v>
      </c>
      <c r="P1000" s="264"/>
      <c r="Q1000" s="264"/>
      <c r="R1000" s="264"/>
      <c r="S1000" s="264"/>
      <c r="T1000" s="264"/>
      <c r="U1000" s="264"/>
      <c r="V1000" s="264"/>
      <c r="W1000" s="264"/>
      <c r="X1000" s="264"/>
      <c r="Y1000" s="264"/>
      <c r="Z1000" s="264"/>
      <c r="AA1000" s="264"/>
      <c r="AB1000" s="264"/>
      <c r="AC1000" s="264"/>
      <c r="AD1000" s="264"/>
      <c r="AE1000" s="264"/>
    </row>
    <row r="1001">
      <c r="A1001" s="272"/>
      <c r="B1001" s="272"/>
      <c r="C1001" s="272"/>
      <c r="D1001" s="172"/>
      <c r="E1001" s="267" t="str">
        <f t="shared" si="22"/>
        <v/>
      </c>
      <c r="F1001" s="274" t="str">
        <f t="shared" si="2"/>
        <v/>
      </c>
      <c r="G1001" s="42"/>
      <c r="H1001" s="264"/>
      <c r="I1001" s="277"/>
      <c r="J1001" s="276" t="str">
        <f>IF(ISBLANK(I1001), "", VLOOKUP(E1001&amp;" "&amp;F1001, 'Info Tipo de Cambio y REM'!$A$24:$B$35, 2, FALSE))
</f>
        <v/>
      </c>
      <c r="K1001" s="107" t="str">
        <f t="shared" si="23"/>
        <v/>
      </c>
      <c r="L1001" s="293">
        <f t="shared" si="5"/>
        <v>-5187415.025</v>
      </c>
      <c r="M1001" s="293">
        <f t="shared" si="3"/>
        <v>-68574.41</v>
      </c>
      <c r="N1001" s="293">
        <f t="shared" si="6"/>
        <v>0</v>
      </c>
      <c r="O1001" s="277">
        <f t="shared" si="4"/>
        <v>-72146.60962</v>
      </c>
      <c r="P1001" s="264"/>
      <c r="Q1001" s="264"/>
      <c r="R1001" s="264"/>
      <c r="S1001" s="264"/>
      <c r="T1001" s="264"/>
      <c r="U1001" s="264"/>
      <c r="V1001" s="264"/>
      <c r="W1001" s="264"/>
      <c r="X1001" s="264"/>
      <c r="Y1001" s="264"/>
      <c r="Z1001" s="264"/>
      <c r="AA1001" s="264"/>
      <c r="AB1001" s="264"/>
      <c r="AC1001" s="264"/>
      <c r="AD1001" s="264"/>
      <c r="AE1001" s="264"/>
    </row>
    <row r="1002">
      <c r="A1002" s="272"/>
      <c r="B1002" s="272"/>
      <c r="C1002" s="272"/>
      <c r="D1002" s="172"/>
      <c r="E1002" s="267" t="str">
        <f t="shared" si="22"/>
        <v/>
      </c>
      <c r="F1002" s="274" t="str">
        <f t="shared" si="2"/>
        <v/>
      </c>
      <c r="G1002" s="42"/>
      <c r="H1002" s="264"/>
      <c r="I1002" s="277"/>
      <c r="J1002" s="276" t="str">
        <f>IF(ISBLANK(I1002), "", VLOOKUP(E1002&amp;" "&amp;F1002, 'Info Tipo de Cambio y REM'!$A$24:$B$35, 2, FALSE))
</f>
        <v/>
      </c>
      <c r="K1002" s="107" t="str">
        <f t="shared" si="23"/>
        <v/>
      </c>
      <c r="L1002" s="293">
        <f t="shared" si="5"/>
        <v>-5187415.025</v>
      </c>
      <c r="M1002" s="293">
        <f t="shared" si="3"/>
        <v>-68574.41</v>
      </c>
      <c r="N1002" s="293">
        <f t="shared" si="6"/>
        <v>0</v>
      </c>
      <c r="O1002" s="277">
        <f t="shared" si="4"/>
        <v>-72146.60962</v>
      </c>
      <c r="P1002" s="264"/>
      <c r="Q1002" s="264"/>
      <c r="R1002" s="264"/>
      <c r="S1002" s="264"/>
      <c r="T1002" s="264"/>
      <c r="U1002" s="264"/>
      <c r="V1002" s="264"/>
      <c r="W1002" s="264"/>
      <c r="X1002" s="264"/>
      <c r="Y1002" s="264"/>
      <c r="Z1002" s="264"/>
      <c r="AA1002" s="264"/>
      <c r="AB1002" s="264"/>
      <c r="AC1002" s="264"/>
      <c r="AD1002" s="264"/>
      <c r="AE1002" s="264"/>
    </row>
    <row r="1003">
      <c r="A1003" s="272"/>
      <c r="B1003" s="272"/>
      <c r="C1003" s="272"/>
      <c r="D1003" s="172"/>
      <c r="E1003" s="267" t="str">
        <f t="shared" si="22"/>
        <v/>
      </c>
      <c r="F1003" s="274" t="str">
        <f t="shared" si="2"/>
        <v/>
      </c>
      <c r="G1003" s="42"/>
      <c r="H1003" s="264"/>
      <c r="I1003" s="277"/>
      <c r="J1003" s="276" t="str">
        <f>IF(ISBLANK(I1003), "", VLOOKUP(E1003&amp;" "&amp;F1003, 'Info Tipo de Cambio y REM'!$A$24:$B$35, 2, FALSE))
</f>
        <v/>
      </c>
      <c r="K1003" s="107" t="str">
        <f t="shared" si="23"/>
        <v/>
      </c>
      <c r="L1003" s="293">
        <f t="shared" si="5"/>
        <v>-5187415.025</v>
      </c>
      <c r="M1003" s="293">
        <f t="shared" si="3"/>
        <v>-68574.41</v>
      </c>
      <c r="N1003" s="293">
        <f t="shared" si="6"/>
        <v>0</v>
      </c>
      <c r="O1003" s="277">
        <f t="shared" si="4"/>
        <v>-72146.60962</v>
      </c>
      <c r="P1003" s="264"/>
      <c r="Q1003" s="264"/>
      <c r="R1003" s="264"/>
      <c r="S1003" s="264"/>
      <c r="T1003" s="264"/>
      <c r="U1003" s="264"/>
      <c r="V1003" s="264"/>
      <c r="W1003" s="264"/>
      <c r="X1003" s="264"/>
      <c r="Y1003" s="264"/>
      <c r="Z1003" s="264"/>
      <c r="AA1003" s="264"/>
      <c r="AB1003" s="264"/>
      <c r="AC1003" s="264"/>
      <c r="AD1003" s="264"/>
      <c r="AE1003" s="264"/>
    </row>
    <row r="1004">
      <c r="A1004" s="272"/>
      <c r="B1004" s="272"/>
      <c r="C1004" s="272"/>
      <c r="D1004" s="172"/>
      <c r="E1004" s="267" t="str">
        <f t="shared" si="22"/>
        <v/>
      </c>
      <c r="F1004" s="274" t="str">
        <f t="shared" si="2"/>
        <v/>
      </c>
      <c r="G1004" s="42"/>
      <c r="H1004" s="264"/>
      <c r="I1004" s="277"/>
      <c r="J1004" s="276" t="str">
        <f>IF(ISBLANK(I1004), "", VLOOKUP(E1004&amp;" "&amp;F1004, 'Info Tipo de Cambio y REM'!$A$24:$B$35, 2, FALSE))
</f>
        <v/>
      </c>
      <c r="K1004" s="107" t="str">
        <f t="shared" si="23"/>
        <v/>
      </c>
      <c r="L1004" s="293">
        <f t="shared" si="5"/>
        <v>-5187415.025</v>
      </c>
      <c r="M1004" s="293">
        <f t="shared" si="3"/>
        <v>-68574.41</v>
      </c>
      <c r="N1004" s="293">
        <f t="shared" si="6"/>
        <v>0</v>
      </c>
      <c r="O1004" s="277">
        <f t="shared" si="4"/>
        <v>-72146.60962</v>
      </c>
      <c r="P1004" s="264"/>
      <c r="Q1004" s="264"/>
      <c r="R1004" s="264"/>
      <c r="S1004" s="264"/>
      <c r="T1004" s="264"/>
      <c r="U1004" s="264"/>
      <c r="V1004" s="264"/>
      <c r="W1004" s="264"/>
      <c r="X1004" s="264"/>
      <c r="Y1004" s="264"/>
      <c r="Z1004" s="264"/>
      <c r="AA1004" s="264"/>
      <c r="AB1004" s="264"/>
      <c r="AC1004" s="264"/>
      <c r="AD1004" s="264"/>
      <c r="AE1004" s="264"/>
    </row>
    <row r="1005">
      <c r="A1005" s="272"/>
      <c r="B1005" s="272"/>
      <c r="C1005" s="272"/>
      <c r="D1005" s="172"/>
      <c r="E1005" s="267" t="str">
        <f t="shared" si="22"/>
        <v/>
      </c>
      <c r="F1005" s="274" t="str">
        <f t="shared" si="2"/>
        <v/>
      </c>
      <c r="G1005" s="42"/>
      <c r="H1005" s="264"/>
      <c r="I1005" s="277"/>
      <c r="J1005" s="276" t="str">
        <f>IF(ISBLANK(I1005), "", VLOOKUP(E1005&amp;" "&amp;F1005, 'Info Tipo de Cambio y REM'!$A$24:$B$35, 2, FALSE))
</f>
        <v/>
      </c>
      <c r="K1005" s="107" t="str">
        <f t="shared" si="23"/>
        <v/>
      </c>
      <c r="L1005" s="293">
        <f t="shared" si="5"/>
        <v>-5187415.025</v>
      </c>
      <c r="M1005" s="293">
        <f t="shared" si="3"/>
        <v>-68574.41</v>
      </c>
      <c r="N1005" s="293">
        <f t="shared" si="6"/>
        <v>0</v>
      </c>
      <c r="O1005" s="277">
        <f t="shared" si="4"/>
        <v>-72146.60962</v>
      </c>
      <c r="P1005" s="264"/>
      <c r="Q1005" s="264"/>
      <c r="R1005" s="264"/>
      <c r="S1005" s="264"/>
      <c r="T1005" s="264"/>
      <c r="U1005" s="264"/>
      <c r="V1005" s="264"/>
      <c r="W1005" s="264"/>
      <c r="X1005" s="264"/>
      <c r="Y1005" s="264"/>
      <c r="Z1005" s="264"/>
      <c r="AA1005" s="264"/>
      <c r="AB1005" s="264"/>
      <c r="AC1005" s="264"/>
      <c r="AD1005" s="264"/>
      <c r="AE1005" s="264"/>
    </row>
    <row r="1006">
      <c r="A1006" s="272"/>
      <c r="B1006" s="272"/>
      <c r="C1006" s="272"/>
      <c r="D1006" s="172"/>
      <c r="E1006" s="267" t="str">
        <f t="shared" si="22"/>
        <v/>
      </c>
      <c r="F1006" s="274" t="str">
        <f t="shared" si="2"/>
        <v/>
      </c>
      <c r="G1006" s="42"/>
      <c r="H1006" s="264"/>
      <c r="I1006" s="277"/>
      <c r="J1006" s="276" t="str">
        <f>IF(ISBLANK(I1006), "", VLOOKUP(E1006&amp;" "&amp;F1006, 'Info Tipo de Cambio y REM'!$A$24:$B$35, 2, FALSE))
</f>
        <v/>
      </c>
      <c r="K1006" s="107" t="str">
        <f t="shared" si="23"/>
        <v/>
      </c>
      <c r="L1006" s="293">
        <f t="shared" si="5"/>
        <v>-5187415.025</v>
      </c>
      <c r="M1006" s="293">
        <f t="shared" si="3"/>
        <v>-68574.41</v>
      </c>
      <c r="N1006" s="293">
        <f t="shared" si="6"/>
        <v>0</v>
      </c>
      <c r="O1006" s="277">
        <f t="shared" si="4"/>
        <v>-72146.60962</v>
      </c>
      <c r="P1006" s="264"/>
      <c r="Q1006" s="264"/>
      <c r="R1006" s="264"/>
      <c r="S1006" s="264"/>
      <c r="T1006" s="264"/>
      <c r="U1006" s="264"/>
      <c r="V1006" s="264"/>
      <c r="W1006" s="264"/>
      <c r="X1006" s="264"/>
      <c r="Y1006" s="264"/>
      <c r="Z1006" s="264"/>
      <c r="AA1006" s="264"/>
      <c r="AB1006" s="264"/>
      <c r="AC1006" s="264"/>
      <c r="AD1006" s="264"/>
      <c r="AE1006" s="264"/>
    </row>
    <row r="1007">
      <c r="A1007" s="272"/>
      <c r="B1007" s="272"/>
      <c r="C1007" s="272"/>
      <c r="D1007" s="172"/>
      <c r="E1007" s="267" t="str">
        <f t="shared" si="22"/>
        <v/>
      </c>
      <c r="F1007" s="274" t="str">
        <f t="shared" si="2"/>
        <v/>
      </c>
      <c r="G1007" s="42"/>
      <c r="H1007" s="264"/>
      <c r="I1007" s="277"/>
      <c r="J1007" s="276" t="str">
        <f>IF(ISBLANK(I1007), "", VLOOKUP(E1007&amp;" "&amp;F1007, 'Info Tipo de Cambio y REM'!$A$24:$B$35, 2, FALSE))
</f>
        <v/>
      </c>
      <c r="K1007" s="107" t="str">
        <f t="shared" si="23"/>
        <v/>
      </c>
      <c r="L1007" s="293">
        <f t="shared" si="5"/>
        <v>-5187415.025</v>
      </c>
      <c r="M1007" s="293">
        <f t="shared" si="3"/>
        <v>-68574.41</v>
      </c>
      <c r="N1007" s="293">
        <f t="shared" si="6"/>
        <v>0</v>
      </c>
      <c r="O1007" s="277">
        <f t="shared" si="4"/>
        <v>-72146.60962</v>
      </c>
      <c r="P1007" s="264"/>
      <c r="Q1007" s="264"/>
      <c r="R1007" s="264"/>
      <c r="S1007" s="264"/>
      <c r="T1007" s="264"/>
      <c r="U1007" s="264"/>
      <c r="V1007" s="264"/>
      <c r="W1007" s="264"/>
      <c r="X1007" s="264"/>
      <c r="Y1007" s="264"/>
      <c r="Z1007" s="264"/>
      <c r="AA1007" s="264"/>
      <c r="AB1007" s="264"/>
      <c r="AC1007" s="264"/>
      <c r="AD1007" s="264"/>
      <c r="AE1007" s="264"/>
    </row>
    <row r="1008">
      <c r="A1008" s="272"/>
      <c r="B1008" s="272"/>
      <c r="C1008" s="272"/>
      <c r="D1008" s="172"/>
      <c r="E1008" s="267" t="str">
        <f t="shared" si="22"/>
        <v/>
      </c>
      <c r="F1008" s="274" t="str">
        <f t="shared" si="2"/>
        <v/>
      </c>
      <c r="G1008" s="42"/>
      <c r="H1008" s="264"/>
      <c r="I1008" s="277"/>
      <c r="J1008" s="276" t="str">
        <f>IF(ISBLANK(I1008), "", VLOOKUP(E1008&amp;" "&amp;F1008, 'Info Tipo de Cambio y REM'!$A$24:$B$35, 2, FALSE))
</f>
        <v/>
      </c>
      <c r="K1008" s="107" t="str">
        <f t="shared" si="23"/>
        <v/>
      </c>
      <c r="L1008" s="293">
        <f t="shared" si="5"/>
        <v>-5187415.025</v>
      </c>
      <c r="M1008" s="293">
        <f t="shared" si="3"/>
        <v>-68574.41</v>
      </c>
      <c r="N1008" s="293">
        <f t="shared" si="6"/>
        <v>0</v>
      </c>
      <c r="O1008" s="277">
        <f t="shared" si="4"/>
        <v>-72146.60962</v>
      </c>
      <c r="P1008" s="264"/>
      <c r="Q1008" s="264"/>
      <c r="R1008" s="264"/>
      <c r="S1008" s="264"/>
      <c r="T1008" s="264"/>
      <c r="U1008" s="264"/>
      <c r="V1008" s="264"/>
      <c r="W1008" s="264"/>
      <c r="X1008" s="264"/>
      <c r="Y1008" s="264"/>
      <c r="Z1008" s="264"/>
      <c r="AA1008" s="264"/>
      <c r="AB1008" s="264"/>
      <c r="AC1008" s="264"/>
      <c r="AD1008" s="264"/>
      <c r="AE1008" s="264"/>
    </row>
    <row r="1009">
      <c r="A1009" s="272"/>
      <c r="B1009" s="272"/>
      <c r="C1009" s="272"/>
      <c r="D1009" s="172"/>
      <c r="E1009" s="267" t="str">
        <f t="shared" si="22"/>
        <v/>
      </c>
      <c r="F1009" s="274" t="str">
        <f t="shared" si="2"/>
        <v/>
      </c>
      <c r="G1009" s="42"/>
      <c r="H1009" s="264"/>
      <c r="I1009" s="277"/>
      <c r="J1009" s="276" t="str">
        <f>IF(ISBLANK(I1009), "", VLOOKUP(E1009&amp;" "&amp;F1009, 'Info Tipo de Cambio y REM'!$A$24:$B$35, 2, FALSE))
</f>
        <v/>
      </c>
      <c r="K1009" s="107" t="str">
        <f t="shared" si="23"/>
        <v/>
      </c>
      <c r="L1009" s="293">
        <f t="shared" si="5"/>
        <v>-5187415.025</v>
      </c>
      <c r="M1009" s="293">
        <f t="shared" si="3"/>
        <v>-68574.41</v>
      </c>
      <c r="N1009" s="293">
        <f t="shared" si="6"/>
        <v>0</v>
      </c>
      <c r="O1009" s="277">
        <f t="shared" si="4"/>
        <v>-72146.60962</v>
      </c>
      <c r="P1009" s="264"/>
      <c r="Q1009" s="264"/>
      <c r="R1009" s="264"/>
      <c r="S1009" s="264"/>
      <c r="T1009" s="264"/>
      <c r="U1009" s="264"/>
      <c r="V1009" s="264"/>
      <c r="W1009" s="264"/>
      <c r="X1009" s="264"/>
      <c r="Y1009" s="264"/>
      <c r="Z1009" s="264"/>
      <c r="AA1009" s="264"/>
      <c r="AB1009" s="264"/>
      <c r="AC1009" s="264"/>
      <c r="AD1009" s="264"/>
      <c r="AE1009" s="264"/>
    </row>
    <row r="1010">
      <c r="A1010" s="272"/>
      <c r="B1010" s="272"/>
      <c r="C1010" s="272"/>
      <c r="D1010" s="172"/>
      <c r="E1010" s="267" t="str">
        <f t="shared" si="22"/>
        <v/>
      </c>
      <c r="F1010" s="274" t="str">
        <f t="shared" si="2"/>
        <v/>
      </c>
      <c r="G1010" s="42"/>
      <c r="H1010" s="264"/>
      <c r="I1010" s="277"/>
      <c r="J1010" s="276" t="str">
        <f>IF(ISBLANK(I1010), "", VLOOKUP(E1010&amp;" "&amp;F1010, 'Info Tipo de Cambio y REM'!$A$24:$B$35, 2, FALSE))
</f>
        <v/>
      </c>
      <c r="K1010" s="107" t="str">
        <f t="shared" si="23"/>
        <v/>
      </c>
      <c r="L1010" s="293">
        <f t="shared" si="5"/>
        <v>-5187415.025</v>
      </c>
      <c r="M1010" s="293">
        <f t="shared" si="3"/>
        <v>-68574.41</v>
      </c>
      <c r="N1010" s="293">
        <f t="shared" si="6"/>
        <v>0</v>
      </c>
      <c r="O1010" s="277">
        <f t="shared" si="4"/>
        <v>-72146.60962</v>
      </c>
      <c r="P1010" s="264"/>
      <c r="Q1010" s="264"/>
      <c r="R1010" s="264"/>
      <c r="S1010" s="264"/>
      <c r="T1010" s="264"/>
      <c r="U1010" s="264"/>
      <c r="V1010" s="264"/>
      <c r="W1010" s="264"/>
      <c r="X1010" s="264"/>
      <c r="Y1010" s="264"/>
      <c r="Z1010" s="264"/>
      <c r="AA1010" s="264"/>
      <c r="AB1010" s="264"/>
      <c r="AC1010" s="264"/>
      <c r="AD1010" s="264"/>
      <c r="AE1010" s="264"/>
    </row>
    <row r="1011">
      <c r="A1011" s="272"/>
      <c r="B1011" s="272"/>
      <c r="C1011" s="272"/>
      <c r="D1011" s="172"/>
      <c r="E1011" s="267" t="str">
        <f t="shared" si="22"/>
        <v/>
      </c>
      <c r="F1011" s="274" t="str">
        <f t="shared" si="2"/>
        <v/>
      </c>
      <c r="G1011" s="42"/>
      <c r="H1011" s="264"/>
      <c r="I1011" s="277"/>
      <c r="J1011" s="276" t="str">
        <f>IF(ISBLANK(I1011), "", VLOOKUP(E1011&amp;" "&amp;F1011, 'Info Tipo de Cambio y REM'!$A$24:$B$35, 2, FALSE))
</f>
        <v/>
      </c>
      <c r="K1011" s="107" t="str">
        <f t="shared" si="23"/>
        <v/>
      </c>
      <c r="L1011" s="293">
        <f t="shared" si="5"/>
        <v>-5187415.025</v>
      </c>
      <c r="M1011" s="293">
        <f t="shared" si="3"/>
        <v>-68574.41</v>
      </c>
      <c r="N1011" s="293">
        <f t="shared" si="6"/>
        <v>0</v>
      </c>
      <c r="O1011" s="277">
        <f t="shared" si="4"/>
        <v>-72146.60962</v>
      </c>
      <c r="P1011" s="264"/>
      <c r="Q1011" s="264"/>
      <c r="R1011" s="264"/>
      <c r="S1011" s="264"/>
      <c r="T1011" s="264"/>
      <c r="U1011" s="264"/>
      <c r="V1011" s="264"/>
      <c r="W1011" s="264"/>
      <c r="X1011" s="264"/>
      <c r="Y1011" s="264"/>
      <c r="Z1011" s="264"/>
      <c r="AA1011" s="264"/>
      <c r="AB1011" s="264"/>
      <c r="AC1011" s="264"/>
      <c r="AD1011" s="264"/>
      <c r="AE1011" s="264"/>
    </row>
    <row r="1012">
      <c r="A1012" s="272"/>
      <c r="B1012" s="272"/>
      <c r="C1012" s="272"/>
      <c r="D1012" s="172"/>
      <c r="E1012" s="267" t="str">
        <f t="shared" si="22"/>
        <v/>
      </c>
      <c r="F1012" s="274" t="str">
        <f t="shared" si="2"/>
        <v/>
      </c>
      <c r="G1012" s="42"/>
      <c r="H1012" s="264"/>
      <c r="I1012" s="277"/>
      <c r="J1012" s="276" t="str">
        <f>IF(ISBLANK(I1012), "", VLOOKUP(E1012&amp;" "&amp;F1012, 'Info Tipo de Cambio y REM'!$A$24:$B$35, 2, FALSE))
</f>
        <v/>
      </c>
      <c r="K1012" s="107" t="str">
        <f t="shared" si="23"/>
        <v/>
      </c>
      <c r="L1012" s="293">
        <f t="shared" si="5"/>
        <v>-5187415.025</v>
      </c>
      <c r="M1012" s="293">
        <f t="shared" si="3"/>
        <v>-68574.41</v>
      </c>
      <c r="N1012" s="293">
        <f t="shared" si="6"/>
        <v>0</v>
      </c>
      <c r="O1012" s="277">
        <f t="shared" si="4"/>
        <v>-72146.60962</v>
      </c>
      <c r="P1012" s="264"/>
      <c r="Q1012" s="264"/>
      <c r="R1012" s="264"/>
      <c r="S1012" s="264"/>
      <c r="T1012" s="264"/>
      <c r="U1012" s="264"/>
      <c r="V1012" s="264"/>
      <c r="W1012" s="264"/>
      <c r="X1012" s="264"/>
      <c r="Y1012" s="264"/>
      <c r="Z1012" s="264"/>
      <c r="AA1012" s="264"/>
      <c r="AB1012" s="264"/>
      <c r="AC1012" s="264"/>
      <c r="AD1012" s="264"/>
      <c r="AE1012" s="264"/>
    </row>
    <row r="1013">
      <c r="A1013" s="272"/>
      <c r="B1013" s="272"/>
      <c r="C1013" s="272"/>
      <c r="D1013" s="172"/>
      <c r="E1013" s="267" t="str">
        <f t="shared" si="22"/>
        <v/>
      </c>
      <c r="F1013" s="274" t="str">
        <f t="shared" si="2"/>
        <v/>
      </c>
      <c r="G1013" s="42"/>
      <c r="H1013" s="264"/>
      <c r="I1013" s="277"/>
      <c r="J1013" s="276" t="str">
        <f>IF(ISBLANK(I1013), "", VLOOKUP(E1013&amp;" "&amp;F1013, 'Info Tipo de Cambio y REM'!$A$24:$B$35, 2, FALSE))
</f>
        <v/>
      </c>
      <c r="K1013" s="107" t="str">
        <f t="shared" si="23"/>
        <v/>
      </c>
      <c r="L1013" s="293">
        <f t="shared" si="5"/>
        <v>-5187415.025</v>
      </c>
      <c r="M1013" s="293">
        <f t="shared" si="3"/>
        <v>-68574.41</v>
      </c>
      <c r="N1013" s="293">
        <f t="shared" si="6"/>
        <v>0</v>
      </c>
      <c r="O1013" s="277">
        <f t="shared" si="4"/>
        <v>-72146.60962</v>
      </c>
      <c r="P1013" s="264"/>
      <c r="Q1013" s="264"/>
      <c r="R1013" s="264"/>
      <c r="S1013" s="264"/>
      <c r="T1013" s="264"/>
      <c r="U1013" s="264"/>
      <c r="V1013" s="264"/>
      <c r="W1013" s="264"/>
      <c r="X1013" s="264"/>
      <c r="Y1013" s="264"/>
      <c r="Z1013" s="264"/>
      <c r="AA1013" s="264"/>
      <c r="AB1013" s="264"/>
      <c r="AC1013" s="264"/>
      <c r="AD1013" s="264"/>
      <c r="AE1013" s="264"/>
    </row>
    <row r="1014">
      <c r="A1014" s="272"/>
      <c r="B1014" s="272"/>
      <c r="C1014" s="272"/>
      <c r="D1014" s="172"/>
      <c r="E1014" s="267" t="str">
        <f t="shared" si="22"/>
        <v/>
      </c>
      <c r="F1014" s="274" t="str">
        <f t="shared" si="2"/>
        <v/>
      </c>
      <c r="G1014" s="42"/>
      <c r="H1014" s="264"/>
      <c r="I1014" s="277"/>
      <c r="J1014" s="276" t="str">
        <f>IF(ISBLANK(I1014), "", VLOOKUP(E1014&amp;" "&amp;F1014, 'Info Tipo de Cambio y REM'!$A$24:$B$35, 2, FALSE))
</f>
        <v/>
      </c>
      <c r="K1014" s="107" t="str">
        <f t="shared" si="23"/>
        <v/>
      </c>
      <c r="L1014" s="293">
        <f t="shared" si="5"/>
        <v>-5187415.025</v>
      </c>
      <c r="M1014" s="293">
        <f t="shared" si="3"/>
        <v>-68574.41</v>
      </c>
      <c r="N1014" s="293">
        <f t="shared" si="6"/>
        <v>0</v>
      </c>
      <c r="O1014" s="277">
        <f t="shared" si="4"/>
        <v>-72146.60962</v>
      </c>
      <c r="P1014" s="264"/>
      <c r="Q1014" s="264"/>
      <c r="R1014" s="264"/>
      <c r="S1014" s="264"/>
      <c r="T1014" s="264"/>
      <c r="U1014" s="264"/>
      <c r="V1014" s="264"/>
      <c r="W1014" s="264"/>
      <c r="X1014" s="264"/>
      <c r="Y1014" s="264"/>
      <c r="Z1014" s="264"/>
      <c r="AA1014" s="264"/>
      <c r="AB1014" s="264"/>
      <c r="AC1014" s="264"/>
      <c r="AD1014" s="264"/>
      <c r="AE1014" s="264"/>
    </row>
    <row r="1015">
      <c r="A1015" s="272"/>
      <c r="B1015" s="272"/>
      <c r="C1015" s="272"/>
      <c r="D1015" s="172"/>
      <c r="E1015" s="267" t="str">
        <f t="shared" si="22"/>
        <v/>
      </c>
      <c r="F1015" s="274" t="str">
        <f t="shared" si="2"/>
        <v/>
      </c>
      <c r="G1015" s="42"/>
      <c r="H1015" s="264"/>
      <c r="I1015" s="277"/>
      <c r="J1015" s="276" t="str">
        <f>IF(ISBLANK(I1015), "", VLOOKUP(E1015&amp;" "&amp;F1015, 'Info Tipo de Cambio y REM'!$A$24:$B$35, 2, FALSE))
</f>
        <v/>
      </c>
      <c r="K1015" s="107" t="str">
        <f t="shared" si="23"/>
        <v/>
      </c>
      <c r="L1015" s="293">
        <f t="shared" si="5"/>
        <v>-5187415.025</v>
      </c>
      <c r="M1015" s="293">
        <f t="shared" si="3"/>
        <v>-68574.41</v>
      </c>
      <c r="N1015" s="293">
        <f t="shared" si="6"/>
        <v>0</v>
      </c>
      <c r="O1015" s="277">
        <f t="shared" si="4"/>
        <v>-72146.60962</v>
      </c>
      <c r="P1015" s="264"/>
      <c r="Q1015" s="264"/>
      <c r="R1015" s="264"/>
      <c r="S1015" s="264"/>
      <c r="T1015" s="264"/>
      <c r="U1015" s="264"/>
      <c r="V1015" s="264"/>
      <c r="W1015" s="264"/>
      <c r="X1015" s="264"/>
      <c r="Y1015" s="264"/>
      <c r="Z1015" s="264"/>
      <c r="AA1015" s="264"/>
      <c r="AB1015" s="264"/>
      <c r="AC1015" s="264"/>
      <c r="AD1015" s="264"/>
      <c r="AE1015" s="264"/>
    </row>
    <row r="1016">
      <c r="A1016" s="272"/>
      <c r="B1016" s="272"/>
      <c r="C1016" s="272"/>
      <c r="D1016" s="172"/>
      <c r="E1016" s="267" t="str">
        <f t="shared" si="22"/>
        <v/>
      </c>
      <c r="F1016" s="274" t="str">
        <f t="shared" si="2"/>
        <v/>
      </c>
      <c r="G1016" s="42"/>
      <c r="H1016" s="264"/>
      <c r="I1016" s="277"/>
      <c r="J1016" s="276" t="str">
        <f>IF(ISBLANK(I1016), "", VLOOKUP(E1016&amp;" "&amp;F1016, 'Info Tipo de Cambio y REM'!$A$24:$B$35, 2, FALSE))
</f>
        <v/>
      </c>
      <c r="K1016" s="107" t="str">
        <f t="shared" si="23"/>
        <v/>
      </c>
      <c r="L1016" s="293">
        <f t="shared" si="5"/>
        <v>-5187415.025</v>
      </c>
      <c r="M1016" s="293">
        <f t="shared" si="3"/>
        <v>-68574.41</v>
      </c>
      <c r="N1016" s="293">
        <f t="shared" si="6"/>
        <v>0</v>
      </c>
      <c r="O1016" s="277">
        <f t="shared" si="4"/>
        <v>-72146.60962</v>
      </c>
      <c r="P1016" s="264"/>
      <c r="Q1016" s="264"/>
      <c r="R1016" s="264"/>
      <c r="S1016" s="264"/>
      <c r="T1016" s="264"/>
      <c r="U1016" s="264"/>
      <c r="V1016" s="264"/>
      <c r="W1016" s="264"/>
      <c r="X1016" s="264"/>
      <c r="Y1016" s="264"/>
      <c r="Z1016" s="264"/>
      <c r="AA1016" s="264"/>
      <c r="AB1016" s="264"/>
      <c r="AC1016" s="264"/>
      <c r="AD1016" s="264"/>
      <c r="AE1016" s="264"/>
    </row>
    <row r="1017">
      <c r="A1017" s="272"/>
      <c r="B1017" s="272"/>
      <c r="C1017" s="272"/>
      <c r="D1017" s="172"/>
      <c r="E1017" s="267" t="str">
        <f t="shared" si="22"/>
        <v/>
      </c>
      <c r="F1017" s="274" t="str">
        <f t="shared" si="2"/>
        <v/>
      </c>
      <c r="G1017" s="42"/>
      <c r="H1017" s="264"/>
      <c r="I1017" s="277"/>
      <c r="J1017" s="276" t="str">
        <f>IF(ISBLANK(I1017), "", VLOOKUP(E1017&amp;" "&amp;F1017, 'Info Tipo de Cambio y REM'!$A$24:$B$35, 2, FALSE))
</f>
        <v/>
      </c>
      <c r="K1017" s="107" t="str">
        <f t="shared" si="23"/>
        <v/>
      </c>
      <c r="L1017" s="293">
        <f t="shared" si="5"/>
        <v>-5187415.025</v>
      </c>
      <c r="M1017" s="293">
        <f t="shared" si="3"/>
        <v>-68574.41</v>
      </c>
      <c r="N1017" s="293">
        <f t="shared" si="6"/>
        <v>0</v>
      </c>
      <c r="O1017" s="277">
        <f t="shared" si="4"/>
        <v>-72146.60962</v>
      </c>
      <c r="P1017" s="264"/>
      <c r="Q1017" s="264"/>
      <c r="R1017" s="264"/>
      <c r="S1017" s="264"/>
      <c r="T1017" s="264"/>
      <c r="U1017" s="264"/>
      <c r="V1017" s="264"/>
      <c r="W1017" s="264"/>
      <c r="X1017" s="264"/>
      <c r="Y1017" s="264"/>
      <c r="Z1017" s="264"/>
      <c r="AA1017" s="264"/>
      <c r="AB1017" s="264"/>
      <c r="AC1017" s="264"/>
      <c r="AD1017" s="264"/>
      <c r="AE1017" s="264"/>
    </row>
    <row r="1018">
      <c r="A1018" s="272"/>
      <c r="B1018" s="272"/>
      <c r="C1018" s="272"/>
      <c r="D1018" s="172"/>
      <c r="E1018" s="267" t="str">
        <f t="shared" si="22"/>
        <v/>
      </c>
      <c r="F1018" s="274" t="str">
        <f t="shared" si="2"/>
        <v/>
      </c>
      <c r="G1018" s="42"/>
      <c r="H1018" s="264"/>
      <c r="I1018" s="277"/>
      <c r="J1018" s="276" t="str">
        <f>IF(ISBLANK(I1018), "", VLOOKUP(E1018&amp;" "&amp;F1018, 'Info Tipo de Cambio y REM'!$A$24:$B$35, 2, FALSE))
</f>
        <v/>
      </c>
      <c r="K1018" s="107" t="str">
        <f t="shared" si="23"/>
        <v/>
      </c>
      <c r="L1018" s="293">
        <f t="shared" si="5"/>
        <v>-5187415.025</v>
      </c>
      <c r="M1018" s="293">
        <f t="shared" si="3"/>
        <v>-68574.41</v>
      </c>
      <c r="N1018" s="293">
        <f t="shared" si="6"/>
        <v>0</v>
      </c>
      <c r="O1018" s="277">
        <f t="shared" si="4"/>
        <v>-72146.60962</v>
      </c>
      <c r="P1018" s="264"/>
      <c r="Q1018" s="264"/>
      <c r="R1018" s="264"/>
      <c r="S1018" s="264"/>
      <c r="T1018" s="264"/>
      <c r="U1018" s="264"/>
      <c r="V1018" s="264"/>
      <c r="W1018" s="264"/>
      <c r="X1018" s="264"/>
      <c r="Y1018" s="264"/>
      <c r="Z1018" s="264"/>
      <c r="AA1018" s="264"/>
      <c r="AB1018" s="264"/>
      <c r="AC1018" s="264"/>
      <c r="AD1018" s="264"/>
      <c r="AE1018" s="264"/>
    </row>
    <row r="1019">
      <c r="A1019" s="272"/>
      <c r="B1019" s="272"/>
      <c r="C1019" s="272"/>
      <c r="D1019" s="172"/>
      <c r="E1019" s="267" t="str">
        <f t="shared" si="22"/>
        <v/>
      </c>
      <c r="F1019" s="274" t="str">
        <f t="shared" si="2"/>
        <v/>
      </c>
      <c r="G1019" s="42"/>
      <c r="H1019" s="264"/>
      <c r="I1019" s="277"/>
      <c r="J1019" s="276" t="str">
        <f>IF(ISBLANK(I1019), "", VLOOKUP(E1019&amp;" "&amp;F1019, 'Info Tipo de Cambio y REM'!$A$24:$B$35, 2, FALSE))
</f>
        <v/>
      </c>
      <c r="K1019" s="107" t="str">
        <f t="shared" si="23"/>
        <v/>
      </c>
      <c r="L1019" s="293">
        <f t="shared" si="5"/>
        <v>-5187415.025</v>
      </c>
      <c r="M1019" s="293">
        <f t="shared" si="3"/>
        <v>-68574.41</v>
      </c>
      <c r="N1019" s="293">
        <f t="shared" si="6"/>
        <v>0</v>
      </c>
      <c r="O1019" s="277">
        <f t="shared" si="4"/>
        <v>-72146.60962</v>
      </c>
      <c r="P1019" s="264"/>
      <c r="Q1019" s="264"/>
      <c r="R1019" s="264"/>
      <c r="S1019" s="264"/>
      <c r="T1019" s="264"/>
      <c r="U1019" s="264"/>
      <c r="V1019" s="264"/>
      <c r="W1019" s="264"/>
      <c r="X1019" s="264"/>
      <c r="Y1019" s="264"/>
      <c r="Z1019" s="264"/>
      <c r="AA1019" s="264"/>
      <c r="AB1019" s="264"/>
      <c r="AC1019" s="264"/>
      <c r="AD1019" s="264"/>
      <c r="AE1019" s="264"/>
    </row>
    <row r="1020">
      <c r="A1020" s="272"/>
      <c r="B1020" s="272"/>
      <c r="C1020" s="272"/>
      <c r="D1020" s="172"/>
      <c r="E1020" s="267" t="str">
        <f t="shared" si="22"/>
        <v/>
      </c>
      <c r="F1020" s="274" t="str">
        <f t="shared" si="2"/>
        <v/>
      </c>
      <c r="G1020" s="42"/>
      <c r="H1020" s="264"/>
      <c r="I1020" s="277"/>
      <c r="J1020" s="276" t="str">
        <f>IF(ISBLANK(I1020), "", VLOOKUP(E1020&amp;" "&amp;F1020, 'Info Tipo de Cambio y REM'!$A$24:$B$35, 2, FALSE))
</f>
        <v/>
      </c>
      <c r="K1020" s="107" t="str">
        <f t="shared" si="23"/>
        <v/>
      </c>
      <c r="L1020" s="293">
        <f t="shared" si="5"/>
        <v>-5187415.025</v>
      </c>
      <c r="M1020" s="293">
        <f t="shared" si="3"/>
        <v>-68574.41</v>
      </c>
      <c r="N1020" s="293">
        <f t="shared" si="6"/>
        <v>0</v>
      </c>
      <c r="O1020" s="277">
        <f t="shared" si="4"/>
        <v>-72146.60962</v>
      </c>
      <c r="P1020" s="264"/>
      <c r="Q1020" s="264"/>
      <c r="R1020" s="264"/>
      <c r="S1020" s="264"/>
      <c r="T1020" s="264"/>
      <c r="U1020" s="264"/>
      <c r="V1020" s="264"/>
      <c r="W1020" s="264"/>
      <c r="X1020" s="264"/>
      <c r="Y1020" s="264"/>
      <c r="Z1020" s="264"/>
      <c r="AA1020" s="264"/>
      <c r="AB1020" s="264"/>
      <c r="AC1020" s="264"/>
      <c r="AD1020" s="264"/>
      <c r="AE1020" s="264"/>
    </row>
    <row r="1021">
      <c r="A1021" s="272"/>
      <c r="B1021" s="272"/>
      <c r="C1021" s="272"/>
      <c r="D1021" s="172"/>
      <c r="E1021" s="267" t="str">
        <f t="shared" si="22"/>
        <v/>
      </c>
      <c r="F1021" s="274" t="str">
        <f t="shared" si="2"/>
        <v/>
      </c>
      <c r="G1021" s="42"/>
      <c r="H1021" s="264"/>
      <c r="I1021" s="277"/>
      <c r="J1021" s="276" t="str">
        <f>IF(ISBLANK(I1021), "", VLOOKUP(E1021&amp;" "&amp;F1021, 'Info Tipo de Cambio y REM'!$A$24:$B$35, 2, FALSE))
</f>
        <v/>
      </c>
      <c r="K1021" s="107" t="str">
        <f t="shared" si="23"/>
        <v/>
      </c>
      <c r="L1021" s="293">
        <f t="shared" si="5"/>
        <v>-5187415.025</v>
      </c>
      <c r="M1021" s="293">
        <f t="shared" si="3"/>
        <v>-68574.41</v>
      </c>
      <c r="N1021" s="293">
        <f t="shared" si="6"/>
        <v>0</v>
      </c>
      <c r="O1021" s="277">
        <f t="shared" si="4"/>
        <v>-72146.60962</v>
      </c>
      <c r="P1021" s="264"/>
      <c r="Q1021" s="264"/>
      <c r="R1021" s="264"/>
      <c r="S1021" s="264"/>
      <c r="T1021" s="264"/>
      <c r="U1021" s="264"/>
      <c r="V1021" s="264"/>
      <c r="W1021" s="264"/>
      <c r="X1021" s="264"/>
      <c r="Y1021" s="264"/>
      <c r="Z1021" s="264"/>
      <c r="AA1021" s="264"/>
      <c r="AB1021" s="264"/>
      <c r="AC1021" s="264"/>
      <c r="AD1021" s="264"/>
      <c r="AE1021" s="264"/>
    </row>
    <row r="1022">
      <c r="A1022" s="272"/>
      <c r="B1022" s="272"/>
      <c r="C1022" s="272"/>
      <c r="D1022" s="172"/>
      <c r="E1022" s="267" t="str">
        <f t="shared" si="22"/>
        <v/>
      </c>
      <c r="F1022" s="274" t="str">
        <f t="shared" si="2"/>
        <v/>
      </c>
      <c r="G1022" s="42"/>
      <c r="H1022" s="264"/>
      <c r="I1022" s="277"/>
      <c r="J1022" s="276" t="str">
        <f>IF(ISBLANK(I1022), "", VLOOKUP(E1022&amp;" "&amp;F1022, 'Info Tipo de Cambio y REM'!$A$24:$B$35, 2, FALSE))
</f>
        <v/>
      </c>
      <c r="K1022" s="107" t="str">
        <f t="shared" si="23"/>
        <v/>
      </c>
      <c r="L1022" s="293">
        <f t="shared" si="5"/>
        <v>-5187415.025</v>
      </c>
      <c r="M1022" s="293">
        <f t="shared" si="3"/>
        <v>-68574.41</v>
      </c>
      <c r="N1022" s="293">
        <f t="shared" si="6"/>
        <v>0</v>
      </c>
      <c r="O1022" s="277">
        <f t="shared" si="4"/>
        <v>-72146.60962</v>
      </c>
      <c r="P1022" s="264"/>
      <c r="Q1022" s="264"/>
      <c r="R1022" s="264"/>
      <c r="S1022" s="264"/>
      <c r="T1022" s="264"/>
      <c r="U1022" s="264"/>
      <c r="V1022" s="264"/>
      <c r="W1022" s="264"/>
      <c r="X1022" s="264"/>
      <c r="Y1022" s="264"/>
      <c r="Z1022" s="264"/>
      <c r="AA1022" s="264"/>
      <c r="AB1022" s="264"/>
      <c r="AC1022" s="264"/>
      <c r="AD1022" s="264"/>
      <c r="AE1022" s="264"/>
    </row>
    <row r="1023">
      <c r="A1023" s="272"/>
      <c r="B1023" s="272"/>
      <c r="C1023" s="272"/>
      <c r="D1023" s="172"/>
      <c r="E1023" s="267" t="str">
        <f t="shared" si="22"/>
        <v/>
      </c>
      <c r="F1023" s="274" t="str">
        <f t="shared" si="2"/>
        <v/>
      </c>
      <c r="G1023" s="42"/>
      <c r="H1023" s="264"/>
      <c r="I1023" s="277"/>
      <c r="J1023" s="276" t="str">
        <f>IF(ISBLANK(I1023), "", VLOOKUP(E1023&amp;" "&amp;F1023, 'Info Tipo de Cambio y REM'!$A$24:$B$35, 2, FALSE))
</f>
        <v/>
      </c>
      <c r="K1023" s="107" t="str">
        <f t="shared" si="23"/>
        <v/>
      </c>
      <c r="L1023" s="293">
        <f t="shared" si="5"/>
        <v>-5187415.025</v>
      </c>
      <c r="M1023" s="293">
        <f t="shared" si="3"/>
        <v>-68574.41</v>
      </c>
      <c r="N1023" s="293">
        <f t="shared" si="6"/>
        <v>0</v>
      </c>
      <c r="O1023" s="277">
        <f t="shared" si="4"/>
        <v>-72146.60962</v>
      </c>
      <c r="P1023" s="264"/>
      <c r="Q1023" s="264"/>
      <c r="R1023" s="264"/>
      <c r="S1023" s="264"/>
      <c r="T1023" s="264"/>
      <c r="U1023" s="264"/>
      <c r="V1023" s="264"/>
      <c r="W1023" s="264"/>
      <c r="X1023" s="264"/>
      <c r="Y1023" s="264"/>
      <c r="Z1023" s="264"/>
      <c r="AA1023" s="264"/>
      <c r="AB1023" s="264"/>
      <c r="AC1023" s="264"/>
      <c r="AD1023" s="264"/>
      <c r="AE1023" s="264"/>
    </row>
    <row r="1024">
      <c r="A1024" s="272"/>
      <c r="B1024" s="272"/>
      <c r="C1024" s="272"/>
      <c r="D1024" s="172"/>
      <c r="E1024" s="267" t="str">
        <f t="shared" si="22"/>
        <v/>
      </c>
      <c r="F1024" s="274" t="str">
        <f t="shared" si="2"/>
        <v/>
      </c>
      <c r="G1024" s="42"/>
      <c r="H1024" s="264"/>
      <c r="I1024" s="277"/>
      <c r="J1024" s="276" t="str">
        <f>IF(ISBLANK(I1024), "", VLOOKUP(E1024&amp;" "&amp;F1024, 'Info Tipo de Cambio y REM'!$A$24:$B$35, 2, FALSE))
</f>
        <v/>
      </c>
      <c r="K1024" s="107" t="str">
        <f t="shared" si="23"/>
        <v/>
      </c>
      <c r="L1024" s="293">
        <f t="shared" si="5"/>
        <v>-5187415.025</v>
      </c>
      <c r="M1024" s="293">
        <f t="shared" si="3"/>
        <v>-68574.41</v>
      </c>
      <c r="N1024" s="293">
        <f t="shared" si="6"/>
        <v>0</v>
      </c>
      <c r="O1024" s="277">
        <f t="shared" si="4"/>
        <v>-72146.60962</v>
      </c>
      <c r="P1024" s="264"/>
      <c r="Q1024" s="264"/>
      <c r="R1024" s="264"/>
      <c r="S1024" s="264"/>
      <c r="T1024" s="264"/>
      <c r="U1024" s="264"/>
      <c r="V1024" s="264"/>
      <c r="W1024" s="264"/>
      <c r="X1024" s="264"/>
      <c r="Y1024" s="264"/>
      <c r="Z1024" s="264"/>
      <c r="AA1024" s="264"/>
      <c r="AB1024" s="264"/>
      <c r="AC1024" s="264"/>
      <c r="AD1024" s="264"/>
      <c r="AE1024" s="264"/>
    </row>
    <row r="1025">
      <c r="A1025" s="272"/>
      <c r="B1025" s="272"/>
      <c r="C1025" s="272"/>
      <c r="D1025" s="172"/>
      <c r="E1025" s="267" t="str">
        <f t="shared" si="22"/>
        <v/>
      </c>
      <c r="F1025" s="274" t="str">
        <f t="shared" si="2"/>
        <v/>
      </c>
      <c r="G1025" s="42"/>
      <c r="H1025" s="264"/>
      <c r="I1025" s="277"/>
      <c r="J1025" s="276" t="str">
        <f>IF(ISBLANK(I1025), "", VLOOKUP(E1025&amp;" "&amp;F1025, 'Info Tipo de Cambio y REM'!$A$24:$B$35, 2, FALSE))
</f>
        <v/>
      </c>
      <c r="K1025" s="107" t="str">
        <f t="shared" si="23"/>
        <v/>
      </c>
      <c r="L1025" s="293">
        <f t="shared" si="5"/>
        <v>-5187415.025</v>
      </c>
      <c r="M1025" s="293">
        <f t="shared" si="3"/>
        <v>-68574.41</v>
      </c>
      <c r="N1025" s="293">
        <f t="shared" si="6"/>
        <v>0</v>
      </c>
      <c r="O1025" s="277">
        <f t="shared" si="4"/>
        <v>-72146.60962</v>
      </c>
      <c r="P1025" s="264"/>
      <c r="Q1025" s="264"/>
      <c r="R1025" s="264"/>
      <c r="S1025" s="264"/>
      <c r="T1025" s="264"/>
      <c r="U1025" s="264"/>
      <c r="V1025" s="264"/>
      <c r="W1025" s="264"/>
      <c r="X1025" s="264"/>
      <c r="Y1025" s="264"/>
      <c r="Z1025" s="264"/>
      <c r="AA1025" s="264"/>
      <c r="AB1025" s="264"/>
      <c r="AC1025" s="264"/>
      <c r="AD1025" s="264"/>
      <c r="AE1025" s="264"/>
    </row>
    <row r="1026">
      <c r="A1026" s="272"/>
      <c r="B1026" s="272"/>
      <c r="C1026" s="272"/>
      <c r="D1026" s="172"/>
      <c r="E1026" s="267" t="str">
        <f t="shared" si="22"/>
        <v/>
      </c>
      <c r="F1026" s="274" t="str">
        <f t="shared" si="2"/>
        <v/>
      </c>
      <c r="G1026" s="42"/>
      <c r="H1026" s="264"/>
      <c r="I1026" s="277"/>
      <c r="J1026" s="276" t="str">
        <f>IF(ISBLANK(I1026), "", VLOOKUP(E1026&amp;" "&amp;F1026, 'Info Tipo de Cambio y REM'!$A$24:$B$35, 2, FALSE))
</f>
        <v/>
      </c>
      <c r="K1026" s="107" t="str">
        <f t="shared" si="23"/>
        <v/>
      </c>
      <c r="L1026" s="293">
        <f t="shared" si="5"/>
        <v>-5187415.025</v>
      </c>
      <c r="M1026" s="293">
        <f t="shared" si="3"/>
        <v>-68574.41</v>
      </c>
      <c r="N1026" s="293">
        <f t="shared" si="6"/>
        <v>0</v>
      </c>
      <c r="O1026" s="277">
        <f t="shared" si="4"/>
        <v>-72146.60962</v>
      </c>
      <c r="P1026" s="264"/>
      <c r="Q1026" s="264"/>
      <c r="R1026" s="264"/>
      <c r="S1026" s="264"/>
      <c r="T1026" s="264"/>
      <c r="U1026" s="264"/>
      <c r="V1026" s="264"/>
      <c r="W1026" s="264"/>
      <c r="X1026" s="264"/>
      <c r="Y1026" s="264"/>
      <c r="Z1026" s="264"/>
      <c r="AA1026" s="264"/>
      <c r="AB1026" s="264"/>
      <c r="AC1026" s="264"/>
      <c r="AD1026" s="264"/>
      <c r="AE1026" s="264"/>
    </row>
    <row r="1027">
      <c r="A1027" s="272"/>
      <c r="B1027" s="272"/>
      <c r="C1027" s="272"/>
      <c r="D1027" s="172"/>
      <c r="E1027" s="267" t="str">
        <f t="shared" si="22"/>
        <v/>
      </c>
      <c r="F1027" s="274" t="str">
        <f t="shared" si="2"/>
        <v/>
      </c>
      <c r="G1027" s="42"/>
      <c r="H1027" s="264"/>
      <c r="I1027" s="277"/>
      <c r="J1027" s="276" t="str">
        <f>IF(ISBLANK(I1027), "", VLOOKUP(E1027&amp;" "&amp;F1027, 'Info Tipo de Cambio y REM'!$A$24:$B$35, 2, FALSE))
</f>
        <v/>
      </c>
      <c r="K1027" s="107" t="str">
        <f t="shared" si="23"/>
        <v/>
      </c>
      <c r="L1027" s="293">
        <f t="shared" si="5"/>
        <v>-5187415.025</v>
      </c>
      <c r="M1027" s="293">
        <f t="shared" si="3"/>
        <v>-68574.41</v>
      </c>
      <c r="N1027" s="293">
        <f t="shared" si="6"/>
        <v>0</v>
      </c>
      <c r="O1027" s="277">
        <f t="shared" si="4"/>
        <v>-72146.60962</v>
      </c>
      <c r="P1027" s="264"/>
      <c r="Q1027" s="264"/>
      <c r="R1027" s="264"/>
      <c r="S1027" s="264"/>
      <c r="T1027" s="264"/>
      <c r="U1027" s="264"/>
      <c r="V1027" s="264"/>
      <c r="W1027" s="264"/>
      <c r="X1027" s="264"/>
      <c r="Y1027" s="264"/>
      <c r="Z1027" s="264"/>
      <c r="AA1027" s="264"/>
      <c r="AB1027" s="264"/>
      <c r="AC1027" s="264"/>
      <c r="AD1027" s="264"/>
      <c r="AE1027" s="264"/>
    </row>
    <row r="1028">
      <c r="A1028" s="272"/>
      <c r="B1028" s="272"/>
      <c r="C1028" s="272"/>
      <c r="D1028" s="172"/>
      <c r="E1028" s="267" t="str">
        <f t="shared" si="22"/>
        <v/>
      </c>
      <c r="F1028" s="274" t="str">
        <f t="shared" si="2"/>
        <v/>
      </c>
      <c r="G1028" s="42"/>
      <c r="H1028" s="264"/>
      <c r="I1028" s="277"/>
      <c r="J1028" s="276" t="str">
        <f>IF(ISBLANK(I1028), "", VLOOKUP(E1028&amp;" "&amp;F1028, 'Info Tipo de Cambio y REM'!$A$24:$B$35, 2, FALSE))
</f>
        <v/>
      </c>
      <c r="K1028" s="107" t="str">
        <f t="shared" si="23"/>
        <v/>
      </c>
      <c r="L1028" s="293">
        <f t="shared" si="5"/>
        <v>-5187415.025</v>
      </c>
      <c r="M1028" s="293">
        <f t="shared" si="3"/>
        <v>-68574.41</v>
      </c>
      <c r="N1028" s="293">
        <f t="shared" si="6"/>
        <v>0</v>
      </c>
      <c r="O1028" s="277">
        <f t="shared" si="4"/>
        <v>-72146.60962</v>
      </c>
      <c r="P1028" s="264"/>
      <c r="Q1028" s="264"/>
      <c r="R1028" s="264"/>
      <c r="S1028" s="264"/>
      <c r="T1028" s="264"/>
      <c r="U1028" s="264"/>
      <c r="V1028" s="264"/>
      <c r="W1028" s="264"/>
      <c r="X1028" s="264"/>
      <c r="Y1028" s="264"/>
      <c r="Z1028" s="264"/>
      <c r="AA1028" s="264"/>
      <c r="AB1028" s="264"/>
      <c r="AC1028" s="264"/>
      <c r="AD1028" s="264"/>
      <c r="AE1028" s="264"/>
    </row>
    <row r="1029">
      <c r="A1029" s="272"/>
      <c r="B1029" s="272"/>
      <c r="C1029" s="272"/>
      <c r="D1029" s="172"/>
      <c r="E1029" s="267" t="str">
        <f t="shared" si="22"/>
        <v/>
      </c>
      <c r="F1029" s="274" t="str">
        <f t="shared" si="2"/>
        <v/>
      </c>
      <c r="G1029" s="42"/>
      <c r="H1029" s="264"/>
      <c r="I1029" s="277"/>
      <c r="J1029" s="276" t="str">
        <f>IF(ISBLANK(I1029), "", VLOOKUP(E1029&amp;" "&amp;F1029, 'Info Tipo de Cambio y REM'!$A$24:$B$35, 2, FALSE))
</f>
        <v/>
      </c>
      <c r="K1029" s="107" t="str">
        <f t="shared" si="23"/>
        <v/>
      </c>
      <c r="L1029" s="293">
        <f t="shared" si="5"/>
        <v>-5187415.025</v>
      </c>
      <c r="M1029" s="293">
        <f t="shared" si="3"/>
        <v>-68574.41</v>
      </c>
      <c r="N1029" s="293">
        <f t="shared" si="6"/>
        <v>0</v>
      </c>
      <c r="O1029" s="277">
        <f t="shared" si="4"/>
        <v>-72146.60962</v>
      </c>
      <c r="P1029" s="264"/>
      <c r="Q1029" s="264"/>
      <c r="R1029" s="264"/>
      <c r="S1029" s="264"/>
      <c r="T1029" s="264"/>
      <c r="U1029" s="264"/>
      <c r="V1029" s="264"/>
      <c r="W1029" s="264"/>
      <c r="X1029" s="264"/>
      <c r="Y1029" s="264"/>
      <c r="Z1029" s="264"/>
      <c r="AA1029" s="264"/>
      <c r="AB1029" s="264"/>
      <c r="AC1029" s="264"/>
      <c r="AD1029" s="264"/>
      <c r="AE1029" s="264"/>
    </row>
    <row r="1030">
      <c r="A1030" s="272"/>
      <c r="B1030" s="272"/>
      <c r="C1030" s="272"/>
      <c r="D1030" s="172"/>
      <c r="E1030" s="267" t="str">
        <f t="shared" si="22"/>
        <v/>
      </c>
      <c r="F1030" s="274" t="str">
        <f t="shared" si="2"/>
        <v/>
      </c>
      <c r="G1030" s="42"/>
      <c r="H1030" s="264"/>
      <c r="I1030" s="277"/>
      <c r="J1030" s="276" t="str">
        <f>IF(ISBLANK(I1030), "", VLOOKUP(E1030&amp;" "&amp;F1030, 'Info Tipo de Cambio y REM'!$A$24:$B$35, 2, FALSE))
</f>
        <v/>
      </c>
      <c r="K1030" s="107" t="str">
        <f t="shared" si="23"/>
        <v/>
      </c>
      <c r="L1030" s="293">
        <f t="shared" si="5"/>
        <v>-5187415.025</v>
      </c>
      <c r="M1030" s="293">
        <f t="shared" si="3"/>
        <v>-68574.41</v>
      </c>
      <c r="N1030" s="293">
        <f t="shared" si="6"/>
        <v>0</v>
      </c>
      <c r="O1030" s="277">
        <f t="shared" si="4"/>
        <v>-72146.60962</v>
      </c>
      <c r="P1030" s="264"/>
      <c r="Q1030" s="264"/>
      <c r="R1030" s="264"/>
      <c r="S1030" s="264"/>
      <c r="T1030" s="264"/>
      <c r="U1030" s="264"/>
      <c r="V1030" s="264"/>
      <c r="W1030" s="264"/>
      <c r="X1030" s="264"/>
      <c r="Y1030" s="264"/>
      <c r="Z1030" s="264"/>
      <c r="AA1030" s="264"/>
      <c r="AB1030" s="264"/>
      <c r="AC1030" s="264"/>
      <c r="AD1030" s="264"/>
      <c r="AE1030" s="264"/>
    </row>
    <row r="1031">
      <c r="A1031" s="272"/>
      <c r="B1031" s="272"/>
      <c r="C1031" s="272"/>
      <c r="D1031" s="172"/>
      <c r="E1031" s="267" t="str">
        <f t="shared" si="22"/>
        <v/>
      </c>
      <c r="F1031" s="274" t="str">
        <f t="shared" si="2"/>
        <v/>
      </c>
      <c r="G1031" s="42"/>
      <c r="H1031" s="264"/>
      <c r="I1031" s="277"/>
      <c r="J1031" s="276" t="str">
        <f>IF(ISBLANK(I1031), "", VLOOKUP(E1031&amp;" "&amp;F1031, 'Info Tipo de Cambio y REM'!$A$24:$B$35, 2, FALSE))
</f>
        <v/>
      </c>
      <c r="K1031" s="107" t="str">
        <f t="shared" si="23"/>
        <v/>
      </c>
      <c r="L1031" s="293">
        <f t="shared" si="5"/>
        <v>-5187415.025</v>
      </c>
      <c r="M1031" s="293">
        <f t="shared" si="3"/>
        <v>-68574.41</v>
      </c>
      <c r="N1031" s="293">
        <f t="shared" si="6"/>
        <v>0</v>
      </c>
      <c r="O1031" s="277">
        <f t="shared" si="4"/>
        <v>-72146.60962</v>
      </c>
      <c r="P1031" s="264"/>
      <c r="Q1031" s="264"/>
      <c r="R1031" s="264"/>
      <c r="S1031" s="264"/>
      <c r="T1031" s="264"/>
      <c r="U1031" s="264"/>
      <c r="V1031" s="264"/>
      <c r="W1031" s="264"/>
      <c r="X1031" s="264"/>
      <c r="Y1031" s="264"/>
      <c r="Z1031" s="264"/>
      <c r="AA1031" s="264"/>
      <c r="AB1031" s="264"/>
      <c r="AC1031" s="264"/>
      <c r="AD1031" s="264"/>
      <c r="AE1031" s="264"/>
    </row>
    <row r="1032">
      <c r="A1032" s="272"/>
      <c r="B1032" s="272"/>
      <c r="C1032" s="272"/>
      <c r="D1032" s="172"/>
      <c r="E1032" s="267" t="str">
        <f t="shared" si="22"/>
        <v/>
      </c>
      <c r="F1032" s="274" t="str">
        <f t="shared" si="2"/>
        <v/>
      </c>
      <c r="G1032" s="42"/>
      <c r="H1032" s="264"/>
      <c r="I1032" s="277"/>
      <c r="J1032" s="276" t="str">
        <f>IF(ISBLANK(I1032), "", VLOOKUP(E1032&amp;" "&amp;F1032, 'Info Tipo de Cambio y REM'!$A$24:$B$35, 2, FALSE))
</f>
        <v/>
      </c>
      <c r="K1032" s="107" t="str">
        <f t="shared" si="23"/>
        <v/>
      </c>
      <c r="L1032" s="293">
        <f t="shared" si="5"/>
        <v>-5187415.025</v>
      </c>
      <c r="M1032" s="293">
        <f t="shared" si="3"/>
        <v>-68574.41</v>
      </c>
      <c r="N1032" s="293">
        <f t="shared" si="6"/>
        <v>0</v>
      </c>
      <c r="O1032" s="277">
        <f t="shared" si="4"/>
        <v>-72146.60962</v>
      </c>
      <c r="P1032" s="264"/>
      <c r="Q1032" s="264"/>
      <c r="R1032" s="264"/>
      <c r="S1032" s="264"/>
      <c r="T1032" s="264"/>
      <c r="U1032" s="264"/>
      <c r="V1032" s="264"/>
      <c r="W1032" s="264"/>
      <c r="X1032" s="264"/>
      <c r="Y1032" s="264"/>
      <c r="Z1032" s="264"/>
      <c r="AA1032" s="264"/>
      <c r="AB1032" s="264"/>
      <c r="AC1032" s="264"/>
      <c r="AD1032" s="264"/>
      <c r="AE1032" s="264"/>
    </row>
    <row r="1033">
      <c r="A1033" s="272"/>
      <c r="B1033" s="272"/>
      <c r="C1033" s="272"/>
      <c r="D1033" s="172"/>
      <c r="E1033" s="267" t="str">
        <f t="shared" si="22"/>
        <v/>
      </c>
      <c r="F1033" s="274" t="str">
        <f t="shared" si="2"/>
        <v/>
      </c>
      <c r="G1033" s="42"/>
      <c r="H1033" s="264"/>
      <c r="I1033" s="277"/>
      <c r="J1033" s="276" t="str">
        <f>IF(ISBLANK(I1033), "", VLOOKUP(E1033&amp;" "&amp;F1033, 'Info Tipo de Cambio y REM'!$A$24:$B$35, 2, FALSE))
</f>
        <v/>
      </c>
      <c r="K1033" s="107" t="str">
        <f t="shared" si="23"/>
        <v/>
      </c>
      <c r="L1033" s="293">
        <f t="shared" si="5"/>
        <v>-5187415.025</v>
      </c>
      <c r="M1033" s="293">
        <f t="shared" si="3"/>
        <v>-68574.41</v>
      </c>
      <c r="N1033" s="293">
        <f t="shared" si="6"/>
        <v>0</v>
      </c>
      <c r="O1033" s="277">
        <f t="shared" si="4"/>
        <v>-72146.60962</v>
      </c>
      <c r="P1033" s="264"/>
      <c r="Q1033" s="264"/>
      <c r="R1033" s="264"/>
      <c r="S1033" s="264"/>
      <c r="T1033" s="264"/>
      <c r="U1033" s="264"/>
      <c r="V1033" s="264"/>
      <c r="W1033" s="264"/>
      <c r="X1033" s="264"/>
      <c r="Y1033" s="264"/>
      <c r="Z1033" s="264"/>
      <c r="AA1033" s="264"/>
      <c r="AB1033" s="264"/>
      <c r="AC1033" s="264"/>
      <c r="AD1033" s="264"/>
      <c r="AE1033" s="264"/>
    </row>
    <row r="1034">
      <c r="A1034" s="272"/>
      <c r="B1034" s="272"/>
      <c r="C1034" s="272"/>
      <c r="D1034" s="172"/>
      <c r="E1034" s="267" t="str">
        <f t="shared" si="22"/>
        <v/>
      </c>
      <c r="F1034" s="274" t="str">
        <f t="shared" si="2"/>
        <v/>
      </c>
      <c r="G1034" s="42"/>
      <c r="H1034" s="264"/>
      <c r="I1034" s="277"/>
      <c r="J1034" s="276" t="str">
        <f>IF(ISBLANK(I1034), "", VLOOKUP(E1034&amp;" "&amp;F1034, 'Info Tipo de Cambio y REM'!$A$24:$B$35, 2, FALSE))
</f>
        <v/>
      </c>
      <c r="K1034" s="107" t="str">
        <f t="shared" si="23"/>
        <v/>
      </c>
      <c r="L1034" s="293">
        <f t="shared" si="5"/>
        <v>-5187415.025</v>
      </c>
      <c r="M1034" s="293">
        <f t="shared" si="3"/>
        <v>-68574.41</v>
      </c>
      <c r="N1034" s="293">
        <f t="shared" si="6"/>
        <v>0</v>
      </c>
      <c r="O1034" s="277">
        <f t="shared" si="4"/>
        <v>-72146.60962</v>
      </c>
      <c r="P1034" s="264"/>
      <c r="Q1034" s="264"/>
      <c r="R1034" s="264"/>
      <c r="S1034" s="264"/>
      <c r="T1034" s="264"/>
      <c r="U1034" s="264"/>
      <c r="V1034" s="264"/>
      <c r="W1034" s="264"/>
      <c r="X1034" s="264"/>
      <c r="Y1034" s="264"/>
      <c r="Z1034" s="264"/>
      <c r="AA1034" s="264"/>
      <c r="AB1034" s="264"/>
      <c r="AC1034" s="264"/>
      <c r="AD1034" s="264"/>
      <c r="AE1034" s="264"/>
    </row>
    <row r="1035">
      <c r="A1035" s="272"/>
      <c r="B1035" s="272"/>
      <c r="C1035" s="272"/>
      <c r="D1035" s="172"/>
      <c r="E1035" s="267" t="str">
        <f t="shared" si="22"/>
        <v/>
      </c>
      <c r="F1035" s="274" t="str">
        <f t="shared" si="2"/>
        <v/>
      </c>
      <c r="G1035" s="42"/>
      <c r="H1035" s="264"/>
      <c r="I1035" s="277"/>
      <c r="J1035" s="276" t="str">
        <f>IF(ISBLANK(I1035), "", VLOOKUP(E1035&amp;" "&amp;F1035, 'Info Tipo de Cambio y REM'!$A$24:$B$35, 2, FALSE))
</f>
        <v/>
      </c>
      <c r="K1035" s="107" t="str">
        <f t="shared" si="23"/>
        <v/>
      </c>
      <c r="L1035" s="293">
        <f t="shared" si="5"/>
        <v>-5187415.025</v>
      </c>
      <c r="M1035" s="293">
        <f t="shared" si="3"/>
        <v>-68574.41</v>
      </c>
      <c r="N1035" s="293">
        <f t="shared" si="6"/>
        <v>0</v>
      </c>
      <c r="O1035" s="277">
        <f t="shared" si="4"/>
        <v>-72146.60962</v>
      </c>
      <c r="P1035" s="264"/>
      <c r="Q1035" s="264"/>
      <c r="R1035" s="264"/>
      <c r="S1035" s="264"/>
      <c r="T1035" s="264"/>
      <c r="U1035" s="264"/>
      <c r="V1035" s="264"/>
      <c r="W1035" s="264"/>
      <c r="X1035" s="264"/>
      <c r="Y1035" s="264"/>
      <c r="Z1035" s="264"/>
      <c r="AA1035" s="264"/>
      <c r="AB1035" s="264"/>
      <c r="AC1035" s="264"/>
      <c r="AD1035" s="264"/>
      <c r="AE1035" s="264"/>
    </row>
    <row r="1036">
      <c r="A1036" s="272"/>
      <c r="B1036" s="272"/>
      <c r="C1036" s="272"/>
      <c r="D1036" s="172"/>
      <c r="E1036" s="267" t="str">
        <f t="shared" si="22"/>
        <v/>
      </c>
      <c r="F1036" s="274" t="str">
        <f t="shared" si="2"/>
        <v/>
      </c>
      <c r="G1036" s="42"/>
      <c r="H1036" s="264"/>
      <c r="I1036" s="277"/>
      <c r="J1036" s="276" t="str">
        <f>IF(ISBLANK(I1036), "", VLOOKUP(E1036&amp;" "&amp;F1036, 'Info Tipo de Cambio y REM'!$A$24:$B$35, 2, FALSE))
</f>
        <v/>
      </c>
      <c r="K1036" s="107" t="str">
        <f t="shared" si="23"/>
        <v/>
      </c>
      <c r="L1036" s="293">
        <f t="shared" si="5"/>
        <v>-5187415.025</v>
      </c>
      <c r="M1036" s="293">
        <f t="shared" si="3"/>
        <v>-68574.41</v>
      </c>
      <c r="N1036" s="293">
        <f t="shared" si="6"/>
        <v>0</v>
      </c>
      <c r="O1036" s="277">
        <f t="shared" si="4"/>
        <v>-72146.60962</v>
      </c>
      <c r="P1036" s="264"/>
      <c r="Q1036" s="264"/>
      <c r="R1036" s="264"/>
      <c r="S1036" s="264"/>
      <c r="T1036" s="264"/>
      <c r="U1036" s="264"/>
      <c r="V1036" s="264"/>
      <c r="W1036" s="264"/>
      <c r="X1036" s="264"/>
      <c r="Y1036" s="264"/>
      <c r="Z1036" s="264"/>
      <c r="AA1036" s="264"/>
      <c r="AB1036" s="264"/>
      <c r="AC1036" s="264"/>
      <c r="AD1036" s="264"/>
      <c r="AE1036" s="264"/>
    </row>
    <row r="1037">
      <c r="A1037" s="272"/>
      <c r="B1037" s="272"/>
      <c r="C1037" s="272"/>
      <c r="D1037" s="172"/>
      <c r="E1037" s="267" t="str">
        <f t="shared" si="22"/>
        <v/>
      </c>
      <c r="F1037" s="274" t="str">
        <f t="shared" si="2"/>
        <v/>
      </c>
      <c r="G1037" s="42"/>
      <c r="H1037" s="264"/>
      <c r="I1037" s="277"/>
      <c r="J1037" s="276" t="str">
        <f>IF(ISBLANK(I1037), "", VLOOKUP(E1037&amp;" "&amp;F1037, 'Info Tipo de Cambio y REM'!$A$24:$B$35, 2, FALSE))
</f>
        <v/>
      </c>
      <c r="K1037" s="107" t="str">
        <f t="shared" si="23"/>
        <v/>
      </c>
      <c r="L1037" s="293">
        <f t="shared" si="5"/>
        <v>-5187415.025</v>
      </c>
      <c r="M1037" s="293">
        <f t="shared" si="3"/>
        <v>-68574.41</v>
      </c>
      <c r="N1037" s="293">
        <f t="shared" si="6"/>
        <v>0</v>
      </c>
      <c r="O1037" s="277">
        <f t="shared" si="4"/>
        <v>-72146.60962</v>
      </c>
      <c r="P1037" s="264"/>
      <c r="Q1037" s="264"/>
      <c r="R1037" s="264"/>
      <c r="S1037" s="264"/>
      <c r="T1037" s="264"/>
      <c r="U1037" s="264"/>
      <c r="V1037" s="264"/>
      <c r="W1037" s="264"/>
      <c r="X1037" s="264"/>
      <c r="Y1037" s="264"/>
      <c r="Z1037" s="264"/>
      <c r="AA1037" s="264"/>
      <c r="AB1037" s="264"/>
      <c r="AC1037" s="264"/>
      <c r="AD1037" s="264"/>
      <c r="AE1037" s="264"/>
    </row>
    <row r="1038">
      <c r="A1038" s="272"/>
      <c r="B1038" s="272"/>
      <c r="C1038" s="272"/>
      <c r="D1038" s="172"/>
      <c r="E1038" s="267" t="str">
        <f t="shared" si="22"/>
        <v/>
      </c>
      <c r="F1038" s="274" t="str">
        <f t="shared" si="2"/>
        <v/>
      </c>
      <c r="G1038" s="42"/>
      <c r="H1038" s="264"/>
      <c r="I1038" s="277"/>
      <c r="J1038" s="276" t="str">
        <f>IF(ISBLANK(I1038), "", VLOOKUP(E1038&amp;" "&amp;F1038, 'Info Tipo de Cambio y REM'!$A$24:$B$35, 2, FALSE))
</f>
        <v/>
      </c>
      <c r="K1038" s="107" t="str">
        <f t="shared" si="23"/>
        <v/>
      </c>
      <c r="L1038" s="293">
        <f t="shared" si="5"/>
        <v>-5187415.025</v>
      </c>
      <c r="M1038" s="293">
        <f t="shared" si="3"/>
        <v>-68574.41</v>
      </c>
      <c r="N1038" s="293">
        <f t="shared" si="6"/>
        <v>0</v>
      </c>
      <c r="O1038" s="277">
        <f t="shared" si="4"/>
        <v>-72146.60962</v>
      </c>
      <c r="P1038" s="264"/>
      <c r="Q1038" s="264"/>
      <c r="R1038" s="264"/>
      <c r="S1038" s="264"/>
      <c r="T1038" s="264"/>
      <c r="U1038" s="264"/>
      <c r="V1038" s="264"/>
      <c r="W1038" s="264"/>
      <c r="X1038" s="264"/>
      <c r="Y1038" s="264"/>
      <c r="Z1038" s="264"/>
      <c r="AA1038" s="264"/>
      <c r="AB1038" s="264"/>
      <c r="AC1038" s="264"/>
      <c r="AD1038" s="264"/>
      <c r="AE1038" s="264"/>
    </row>
    <row r="1039">
      <c r="A1039" s="272"/>
      <c r="B1039" s="272"/>
      <c r="C1039" s="272"/>
      <c r="D1039" s="172"/>
      <c r="E1039" s="267" t="str">
        <f t="shared" si="22"/>
        <v/>
      </c>
      <c r="F1039" s="274" t="str">
        <f t="shared" si="2"/>
        <v/>
      </c>
      <c r="G1039" s="42"/>
      <c r="H1039" s="264"/>
      <c r="I1039" s="277"/>
      <c r="J1039" s="276" t="str">
        <f>IF(ISBLANK(I1039), "", VLOOKUP(E1039&amp;" "&amp;F1039, 'Info Tipo de Cambio y REM'!$A$24:$B$35, 2, FALSE))
</f>
        <v/>
      </c>
      <c r="K1039" s="107" t="str">
        <f t="shared" si="23"/>
        <v/>
      </c>
      <c r="L1039" s="293">
        <f t="shared" si="5"/>
        <v>-5187415.025</v>
      </c>
      <c r="M1039" s="293">
        <f t="shared" si="3"/>
        <v>-68574.41</v>
      </c>
      <c r="N1039" s="293">
        <f t="shared" si="6"/>
        <v>0</v>
      </c>
      <c r="O1039" s="277">
        <f t="shared" si="4"/>
        <v>-72146.60962</v>
      </c>
      <c r="P1039" s="264"/>
      <c r="Q1039" s="264"/>
      <c r="R1039" s="264"/>
      <c r="S1039" s="264"/>
      <c r="T1039" s="264"/>
      <c r="U1039" s="264"/>
      <c r="V1039" s="264"/>
      <c r="W1039" s="264"/>
      <c r="X1039" s="264"/>
      <c r="Y1039" s="264"/>
      <c r="Z1039" s="264"/>
      <c r="AA1039" s="264"/>
      <c r="AB1039" s="264"/>
      <c r="AC1039" s="264"/>
      <c r="AD1039" s="264"/>
      <c r="AE1039" s="264"/>
    </row>
    <row r="1040">
      <c r="A1040" s="272"/>
      <c r="B1040" s="272"/>
      <c r="C1040" s="272"/>
      <c r="D1040" s="172"/>
      <c r="E1040" s="267" t="str">
        <f t="shared" si="22"/>
        <v/>
      </c>
      <c r="F1040" s="274" t="str">
        <f t="shared" si="2"/>
        <v/>
      </c>
      <c r="G1040" s="42"/>
      <c r="H1040" s="264"/>
      <c r="I1040" s="277"/>
      <c r="J1040" s="276" t="str">
        <f>IF(ISBLANK(I1040), "", VLOOKUP(E1040&amp;" "&amp;F1040, 'Info Tipo de Cambio y REM'!$A$24:$B$35, 2, FALSE))
</f>
        <v/>
      </c>
      <c r="K1040" s="107" t="str">
        <f t="shared" si="23"/>
        <v/>
      </c>
      <c r="L1040" s="293">
        <f t="shared" si="5"/>
        <v>-5187415.025</v>
      </c>
      <c r="M1040" s="293">
        <f t="shared" si="3"/>
        <v>-68574.41</v>
      </c>
      <c r="N1040" s="293">
        <f t="shared" si="6"/>
        <v>0</v>
      </c>
      <c r="O1040" s="277">
        <f t="shared" si="4"/>
        <v>-72146.60962</v>
      </c>
      <c r="P1040" s="264"/>
      <c r="Q1040" s="264"/>
      <c r="R1040" s="264"/>
      <c r="S1040" s="264"/>
      <c r="T1040" s="264"/>
      <c r="U1040" s="264"/>
      <c r="V1040" s="264"/>
      <c r="W1040" s="264"/>
      <c r="X1040" s="264"/>
      <c r="Y1040" s="264"/>
      <c r="Z1040" s="264"/>
      <c r="AA1040" s="264"/>
      <c r="AB1040" s="264"/>
      <c r="AC1040" s="264"/>
      <c r="AD1040" s="264"/>
      <c r="AE1040" s="264"/>
    </row>
    <row r="1041">
      <c r="A1041" s="272"/>
      <c r="B1041" s="272"/>
      <c r="C1041" s="272"/>
      <c r="D1041" s="172"/>
      <c r="E1041" s="267" t="str">
        <f t="shared" si="22"/>
        <v/>
      </c>
      <c r="F1041" s="274" t="str">
        <f t="shared" si="2"/>
        <v/>
      </c>
      <c r="G1041" s="42"/>
      <c r="H1041" s="264"/>
      <c r="I1041" s="277"/>
      <c r="J1041" s="276" t="str">
        <f>IF(ISBLANK(I1041), "", VLOOKUP(E1041&amp;" "&amp;F1041, 'Info Tipo de Cambio y REM'!$A$24:$B$35, 2, FALSE))
</f>
        <v/>
      </c>
      <c r="K1041" s="107" t="str">
        <f t="shared" si="23"/>
        <v/>
      </c>
      <c r="L1041" s="293">
        <f t="shared" si="5"/>
        <v>-5187415.025</v>
      </c>
      <c r="M1041" s="293">
        <f t="shared" si="3"/>
        <v>-68574.41</v>
      </c>
      <c r="N1041" s="293">
        <f t="shared" si="6"/>
        <v>0</v>
      </c>
      <c r="O1041" s="277">
        <f t="shared" si="4"/>
        <v>-72146.60962</v>
      </c>
      <c r="P1041" s="264"/>
      <c r="Q1041" s="264"/>
      <c r="R1041" s="264"/>
      <c r="S1041" s="264"/>
      <c r="T1041" s="264"/>
      <c r="U1041" s="264"/>
      <c r="V1041" s="264"/>
      <c r="W1041" s="264"/>
      <c r="X1041" s="264"/>
      <c r="Y1041" s="264"/>
      <c r="Z1041" s="264"/>
      <c r="AA1041" s="264"/>
      <c r="AB1041" s="264"/>
      <c r="AC1041" s="264"/>
      <c r="AD1041" s="264"/>
      <c r="AE1041" s="264"/>
    </row>
    <row r="1042">
      <c r="A1042" s="272"/>
      <c r="B1042" s="272"/>
      <c r="C1042" s="272"/>
      <c r="D1042" s="172"/>
      <c r="E1042" s="267" t="str">
        <f t="shared" si="22"/>
        <v/>
      </c>
      <c r="F1042" s="274" t="str">
        <f t="shared" si="2"/>
        <v/>
      </c>
      <c r="G1042" s="42"/>
      <c r="H1042" s="264"/>
      <c r="I1042" s="277"/>
      <c r="J1042" s="276" t="str">
        <f>IF(ISBLANK(I1042), "", VLOOKUP(E1042&amp;" "&amp;F1042, 'Info Tipo de Cambio y REM'!$A$24:$B$35, 2, FALSE))
</f>
        <v/>
      </c>
      <c r="K1042" s="107" t="str">
        <f t="shared" si="23"/>
        <v/>
      </c>
      <c r="L1042" s="293">
        <f t="shared" si="5"/>
        <v>-5187415.025</v>
      </c>
      <c r="M1042" s="293">
        <f t="shared" si="3"/>
        <v>-68574.41</v>
      </c>
      <c r="N1042" s="293">
        <f t="shared" si="6"/>
        <v>0</v>
      </c>
      <c r="O1042" s="277">
        <f t="shared" si="4"/>
        <v>-72146.60962</v>
      </c>
      <c r="P1042" s="264"/>
      <c r="Q1042" s="264"/>
      <c r="R1042" s="264"/>
      <c r="S1042" s="264"/>
      <c r="T1042" s="264"/>
      <c r="U1042" s="264"/>
      <c r="V1042" s="264"/>
      <c r="W1042" s="264"/>
      <c r="X1042" s="264"/>
      <c r="Y1042" s="264"/>
      <c r="Z1042" s="264"/>
      <c r="AA1042" s="264"/>
      <c r="AB1042" s="264"/>
      <c r="AC1042" s="264"/>
      <c r="AD1042" s="264"/>
      <c r="AE1042" s="264"/>
    </row>
    <row r="1043">
      <c r="A1043" s="272"/>
      <c r="B1043" s="272"/>
      <c r="C1043" s="272"/>
      <c r="D1043" s="172"/>
      <c r="E1043" s="267" t="str">
        <f t="shared" si="22"/>
        <v/>
      </c>
      <c r="F1043" s="274" t="str">
        <f t="shared" si="2"/>
        <v/>
      </c>
      <c r="G1043" s="42"/>
      <c r="H1043" s="264"/>
      <c r="I1043" s="277"/>
      <c r="J1043" s="276" t="str">
        <f>IF(ISBLANK(I1043), "", VLOOKUP(E1043&amp;" "&amp;F1043, 'Info Tipo de Cambio y REM'!$A$24:$B$35, 2, FALSE))
</f>
        <v/>
      </c>
      <c r="K1043" s="107" t="str">
        <f t="shared" si="23"/>
        <v/>
      </c>
      <c r="L1043" s="293">
        <f t="shared" si="5"/>
        <v>-5187415.025</v>
      </c>
      <c r="M1043" s="293">
        <f t="shared" si="3"/>
        <v>-68574.41</v>
      </c>
      <c r="N1043" s="293">
        <f t="shared" si="6"/>
        <v>0</v>
      </c>
      <c r="O1043" s="277">
        <f t="shared" si="4"/>
        <v>-72146.60962</v>
      </c>
      <c r="P1043" s="264"/>
      <c r="Q1043" s="264"/>
      <c r="R1043" s="264"/>
      <c r="S1043" s="264"/>
      <c r="T1043" s="264"/>
      <c r="U1043" s="264"/>
      <c r="V1043" s="264"/>
      <c r="W1043" s="264"/>
      <c r="X1043" s="264"/>
      <c r="Y1043" s="264"/>
      <c r="Z1043" s="264"/>
      <c r="AA1043" s="264"/>
      <c r="AB1043" s="264"/>
      <c r="AC1043" s="264"/>
      <c r="AD1043" s="264"/>
      <c r="AE1043" s="264"/>
    </row>
    <row r="1044">
      <c r="A1044" s="272"/>
      <c r="B1044" s="272"/>
      <c r="C1044" s="272"/>
      <c r="D1044" s="172"/>
      <c r="E1044" s="267" t="str">
        <f t="shared" si="22"/>
        <v/>
      </c>
      <c r="F1044" s="274" t="str">
        <f t="shared" si="2"/>
        <v/>
      </c>
      <c r="G1044" s="42"/>
      <c r="H1044" s="264"/>
      <c r="I1044" s="277"/>
      <c r="J1044" s="276" t="str">
        <f>IF(ISBLANK(I1044), "", VLOOKUP(E1044&amp;" "&amp;F1044, 'Info Tipo de Cambio y REM'!$A$24:$B$35, 2, FALSE))
</f>
        <v/>
      </c>
      <c r="K1044" s="107" t="str">
        <f t="shared" si="23"/>
        <v/>
      </c>
      <c r="L1044" s="293">
        <f t="shared" si="5"/>
        <v>-5187415.025</v>
      </c>
      <c r="M1044" s="293">
        <f t="shared" si="3"/>
        <v>-68574.41</v>
      </c>
      <c r="N1044" s="293">
        <f t="shared" si="6"/>
        <v>0</v>
      </c>
      <c r="O1044" s="277">
        <f t="shared" si="4"/>
        <v>-72146.60962</v>
      </c>
      <c r="P1044" s="264"/>
      <c r="Q1044" s="264"/>
      <c r="R1044" s="264"/>
      <c r="S1044" s="264"/>
      <c r="T1044" s="264"/>
      <c r="U1044" s="264"/>
      <c r="V1044" s="264"/>
      <c r="W1044" s="264"/>
      <c r="X1044" s="264"/>
      <c r="Y1044" s="264"/>
      <c r="Z1044" s="264"/>
      <c r="AA1044" s="264"/>
      <c r="AB1044" s="264"/>
      <c r="AC1044" s="264"/>
      <c r="AD1044" s="264"/>
      <c r="AE1044" s="264"/>
    </row>
    <row r="1045">
      <c r="A1045" s="272"/>
      <c r="B1045" s="272"/>
      <c r="C1045" s="272"/>
      <c r="D1045" s="172"/>
      <c r="E1045" s="267" t="str">
        <f t="shared" si="22"/>
        <v/>
      </c>
      <c r="F1045" s="274" t="str">
        <f t="shared" si="2"/>
        <v/>
      </c>
      <c r="G1045" s="42"/>
      <c r="H1045" s="264"/>
      <c r="I1045" s="277"/>
      <c r="J1045" s="276" t="str">
        <f>IF(ISBLANK(I1045), "", VLOOKUP(E1045&amp;" "&amp;F1045, 'Info Tipo de Cambio y REM'!$A$24:$B$35, 2, FALSE))
</f>
        <v/>
      </c>
      <c r="K1045" s="107" t="str">
        <f t="shared" si="23"/>
        <v/>
      </c>
      <c r="L1045" s="293">
        <f t="shared" si="5"/>
        <v>-5187415.025</v>
      </c>
      <c r="M1045" s="293">
        <f t="shared" si="3"/>
        <v>-68574.41</v>
      </c>
      <c r="N1045" s="293">
        <f t="shared" si="6"/>
        <v>0</v>
      </c>
      <c r="O1045" s="277">
        <f t="shared" si="4"/>
        <v>-72146.60962</v>
      </c>
      <c r="P1045" s="264"/>
      <c r="Q1045" s="264"/>
      <c r="R1045" s="264"/>
      <c r="S1045" s="264"/>
      <c r="T1045" s="264"/>
      <c r="U1045" s="264"/>
      <c r="V1045" s="264"/>
      <c r="W1045" s="264"/>
      <c r="X1045" s="264"/>
      <c r="Y1045" s="264"/>
      <c r="Z1045" s="264"/>
      <c r="AA1045" s="264"/>
      <c r="AB1045" s="264"/>
      <c r="AC1045" s="264"/>
      <c r="AD1045" s="264"/>
      <c r="AE1045" s="264"/>
    </row>
    <row r="1046">
      <c r="A1046" s="272"/>
      <c r="B1046" s="272"/>
      <c r="C1046" s="272"/>
      <c r="D1046" s="172"/>
      <c r="E1046" s="267" t="str">
        <f t="shared" si="22"/>
        <v/>
      </c>
      <c r="F1046" s="274" t="str">
        <f t="shared" si="2"/>
        <v/>
      </c>
      <c r="G1046" s="42"/>
      <c r="H1046" s="264"/>
      <c r="I1046" s="277"/>
      <c r="J1046" s="276" t="str">
        <f>IF(ISBLANK(I1046), "", VLOOKUP(E1046&amp;" "&amp;F1046, 'Info Tipo de Cambio y REM'!$A$24:$B$35, 2, FALSE))
</f>
        <v/>
      </c>
      <c r="K1046" s="107" t="str">
        <f t="shared" si="23"/>
        <v/>
      </c>
      <c r="L1046" s="293">
        <f t="shared" si="5"/>
        <v>-5187415.025</v>
      </c>
      <c r="M1046" s="293">
        <f t="shared" si="3"/>
        <v>-68574.41</v>
      </c>
      <c r="N1046" s="293">
        <f t="shared" si="6"/>
        <v>0</v>
      </c>
      <c r="O1046" s="277">
        <f t="shared" si="4"/>
        <v>-72146.60962</v>
      </c>
      <c r="P1046" s="264"/>
      <c r="Q1046" s="264"/>
      <c r="R1046" s="264"/>
      <c r="S1046" s="264"/>
      <c r="T1046" s="264"/>
      <c r="U1046" s="264"/>
      <c r="V1046" s="264"/>
      <c r="W1046" s="264"/>
      <c r="X1046" s="264"/>
      <c r="Y1046" s="264"/>
      <c r="Z1046" s="264"/>
      <c r="AA1046" s="264"/>
      <c r="AB1046" s="264"/>
      <c r="AC1046" s="264"/>
      <c r="AD1046" s="264"/>
      <c r="AE1046" s="264"/>
    </row>
    <row r="1047">
      <c r="A1047" s="272"/>
      <c r="B1047" s="272"/>
      <c r="C1047" s="272"/>
      <c r="D1047" s="172"/>
      <c r="E1047" s="267" t="str">
        <f t="shared" si="22"/>
        <v/>
      </c>
      <c r="F1047" s="274" t="str">
        <f t="shared" si="2"/>
        <v/>
      </c>
      <c r="G1047" s="42"/>
      <c r="H1047" s="264"/>
      <c r="I1047" s="277"/>
      <c r="J1047" s="276" t="str">
        <f>IF(ISBLANK(I1047), "", VLOOKUP(E1047&amp;" "&amp;F1047, 'Info Tipo de Cambio y REM'!$A$24:$B$35, 2, FALSE))
</f>
        <v/>
      </c>
      <c r="K1047" s="107" t="str">
        <f t="shared" si="23"/>
        <v/>
      </c>
      <c r="L1047" s="293">
        <f t="shared" si="5"/>
        <v>-5187415.025</v>
      </c>
      <c r="M1047" s="293">
        <f t="shared" si="3"/>
        <v>-68574.41</v>
      </c>
      <c r="N1047" s="293">
        <f t="shared" si="6"/>
        <v>0</v>
      </c>
      <c r="O1047" s="277">
        <f t="shared" si="4"/>
        <v>-72146.60962</v>
      </c>
      <c r="P1047" s="264"/>
      <c r="Q1047" s="264"/>
      <c r="R1047" s="264"/>
      <c r="S1047" s="264"/>
      <c r="T1047" s="264"/>
      <c r="U1047" s="264"/>
      <c r="V1047" s="264"/>
      <c r="W1047" s="264"/>
      <c r="X1047" s="264"/>
      <c r="Y1047" s="264"/>
      <c r="Z1047" s="264"/>
      <c r="AA1047" s="264"/>
      <c r="AB1047" s="264"/>
      <c r="AC1047" s="264"/>
      <c r="AD1047" s="264"/>
      <c r="AE1047" s="264"/>
    </row>
    <row r="1048">
      <c r="A1048" s="272"/>
      <c r="B1048" s="272"/>
      <c r="C1048" s="272"/>
      <c r="D1048" s="172"/>
      <c r="E1048" s="267" t="str">
        <f t="shared" si="22"/>
        <v/>
      </c>
      <c r="F1048" s="274" t="str">
        <f t="shared" si="2"/>
        <v/>
      </c>
      <c r="G1048" s="42"/>
      <c r="H1048" s="264"/>
      <c r="I1048" s="277"/>
      <c r="J1048" s="276" t="str">
        <f>IF(ISBLANK(I1048), "", VLOOKUP(E1048&amp;" "&amp;F1048, 'Info Tipo de Cambio y REM'!$A$24:$B$35, 2, FALSE))
</f>
        <v/>
      </c>
      <c r="K1048" s="107" t="str">
        <f t="shared" si="23"/>
        <v/>
      </c>
      <c r="L1048" s="293">
        <f t="shared" si="5"/>
        <v>-5187415.025</v>
      </c>
      <c r="M1048" s="293">
        <f t="shared" si="3"/>
        <v>-68574.41</v>
      </c>
      <c r="N1048" s="293">
        <f t="shared" si="6"/>
        <v>0</v>
      </c>
      <c r="O1048" s="277">
        <f t="shared" si="4"/>
        <v>-72146.60962</v>
      </c>
      <c r="P1048" s="264"/>
      <c r="Q1048" s="264"/>
      <c r="R1048" s="264"/>
      <c r="S1048" s="264"/>
      <c r="T1048" s="264"/>
      <c r="U1048" s="264"/>
      <c r="V1048" s="264"/>
      <c r="W1048" s="264"/>
      <c r="X1048" s="264"/>
      <c r="Y1048" s="264"/>
      <c r="Z1048" s="264"/>
      <c r="AA1048" s="264"/>
      <c r="AB1048" s="264"/>
      <c r="AC1048" s="264"/>
      <c r="AD1048" s="264"/>
      <c r="AE1048" s="264"/>
    </row>
    <row r="1049">
      <c r="A1049" s="272"/>
      <c r="B1049" s="272"/>
      <c r="C1049" s="272"/>
      <c r="D1049" s="172"/>
      <c r="E1049" s="267" t="str">
        <f t="shared" si="22"/>
        <v/>
      </c>
      <c r="F1049" s="274" t="str">
        <f t="shared" si="2"/>
        <v/>
      </c>
      <c r="G1049" s="42"/>
      <c r="H1049" s="264"/>
      <c r="I1049" s="277"/>
      <c r="J1049" s="276" t="str">
        <f>IF(ISBLANK(I1049), "", VLOOKUP(E1049&amp;" "&amp;F1049, 'Info Tipo de Cambio y REM'!$A$24:$B$35, 2, FALSE))
</f>
        <v/>
      </c>
      <c r="K1049" s="107" t="str">
        <f t="shared" si="23"/>
        <v/>
      </c>
      <c r="L1049" s="293">
        <f t="shared" si="5"/>
        <v>-5187415.025</v>
      </c>
      <c r="M1049" s="293">
        <f t="shared" si="3"/>
        <v>-68574.41</v>
      </c>
      <c r="N1049" s="293">
        <f t="shared" si="6"/>
        <v>0</v>
      </c>
      <c r="O1049" s="277">
        <f t="shared" si="4"/>
        <v>-72146.60962</v>
      </c>
      <c r="P1049" s="264"/>
      <c r="Q1049" s="264"/>
      <c r="R1049" s="264"/>
      <c r="S1049" s="264"/>
      <c r="T1049" s="264"/>
      <c r="U1049" s="264"/>
      <c r="V1049" s="264"/>
      <c r="W1049" s="264"/>
      <c r="X1049" s="264"/>
      <c r="Y1049" s="264"/>
      <c r="Z1049" s="264"/>
      <c r="AA1049" s="264"/>
      <c r="AB1049" s="264"/>
      <c r="AC1049" s="264"/>
      <c r="AD1049" s="264"/>
      <c r="AE1049" s="264"/>
    </row>
    <row r="1050">
      <c r="A1050" s="272"/>
      <c r="B1050" s="272"/>
      <c r="C1050" s="272"/>
      <c r="D1050" s="172"/>
      <c r="E1050" s="267" t="str">
        <f t="shared" si="22"/>
        <v/>
      </c>
      <c r="F1050" s="274" t="str">
        <f t="shared" si="2"/>
        <v/>
      </c>
      <c r="G1050" s="42"/>
      <c r="H1050" s="264"/>
      <c r="I1050" s="277"/>
      <c r="J1050" s="276" t="str">
        <f>IF(ISBLANK(I1050), "", VLOOKUP(E1050&amp;" "&amp;F1050, 'Info Tipo de Cambio y REM'!$A$24:$B$35, 2, FALSE))
</f>
        <v/>
      </c>
      <c r="K1050" s="107" t="str">
        <f t="shared" si="23"/>
        <v/>
      </c>
      <c r="L1050" s="293">
        <f t="shared" si="5"/>
        <v>-5187415.025</v>
      </c>
      <c r="M1050" s="293">
        <f t="shared" si="3"/>
        <v>-68574.41</v>
      </c>
      <c r="N1050" s="293">
        <f t="shared" si="6"/>
        <v>0</v>
      </c>
      <c r="O1050" s="277">
        <f t="shared" si="4"/>
        <v>-72146.60962</v>
      </c>
      <c r="P1050" s="264"/>
      <c r="Q1050" s="264"/>
      <c r="R1050" s="264"/>
      <c r="S1050" s="264"/>
      <c r="T1050" s="264"/>
      <c r="U1050" s="264"/>
      <c r="V1050" s="264"/>
      <c r="W1050" s="264"/>
      <c r="X1050" s="264"/>
      <c r="Y1050" s="264"/>
      <c r="Z1050" s="264"/>
      <c r="AA1050" s="264"/>
      <c r="AB1050" s="264"/>
      <c r="AC1050" s="264"/>
      <c r="AD1050" s="264"/>
      <c r="AE1050" s="264"/>
    </row>
    <row r="1051">
      <c r="A1051" s="272"/>
      <c r="B1051" s="272"/>
      <c r="C1051" s="272"/>
      <c r="D1051" s="172"/>
      <c r="E1051" s="267" t="str">
        <f t="shared" si="22"/>
        <v/>
      </c>
      <c r="F1051" s="274" t="str">
        <f t="shared" si="2"/>
        <v/>
      </c>
      <c r="G1051" s="42"/>
      <c r="H1051" s="264"/>
      <c r="I1051" s="277"/>
      <c r="J1051" s="276" t="str">
        <f>IF(ISBLANK(I1051), "", VLOOKUP(E1051&amp;" "&amp;F1051, 'Info Tipo de Cambio y REM'!$A$24:$B$35, 2, FALSE))
</f>
        <v/>
      </c>
      <c r="K1051" s="107" t="str">
        <f t="shared" si="23"/>
        <v/>
      </c>
      <c r="L1051" s="293">
        <f t="shared" si="5"/>
        <v>-5187415.025</v>
      </c>
      <c r="M1051" s="293">
        <f t="shared" si="3"/>
        <v>-68574.41</v>
      </c>
      <c r="N1051" s="293">
        <f t="shared" si="6"/>
        <v>0</v>
      </c>
      <c r="O1051" s="277">
        <f t="shared" si="4"/>
        <v>-72146.60962</v>
      </c>
      <c r="P1051" s="264"/>
      <c r="Q1051" s="264"/>
      <c r="R1051" s="264"/>
      <c r="S1051" s="264"/>
      <c r="T1051" s="264"/>
      <c r="U1051" s="264"/>
      <c r="V1051" s="264"/>
      <c r="W1051" s="264"/>
      <c r="X1051" s="264"/>
      <c r="Y1051" s="264"/>
      <c r="Z1051" s="264"/>
      <c r="AA1051" s="264"/>
      <c r="AB1051" s="264"/>
      <c r="AC1051" s="264"/>
      <c r="AD1051" s="264"/>
      <c r="AE1051" s="264"/>
    </row>
    <row r="1052">
      <c r="A1052" s="272"/>
      <c r="B1052" s="272"/>
      <c r="C1052" s="272"/>
      <c r="D1052" s="172"/>
      <c r="E1052" s="267" t="str">
        <f t="shared" si="22"/>
        <v/>
      </c>
      <c r="F1052" s="274" t="str">
        <f t="shared" si="2"/>
        <v/>
      </c>
      <c r="G1052" s="42"/>
      <c r="H1052" s="264"/>
      <c r="I1052" s="277"/>
      <c r="J1052" s="276" t="str">
        <f>IF(ISBLANK(I1052), "", VLOOKUP(E1052&amp;" "&amp;F1052, 'Info Tipo de Cambio y REM'!$A$24:$B$35, 2, FALSE))
</f>
        <v/>
      </c>
      <c r="K1052" s="107" t="str">
        <f t="shared" si="23"/>
        <v/>
      </c>
      <c r="L1052" s="293">
        <f t="shared" si="5"/>
        <v>-5187415.025</v>
      </c>
      <c r="M1052" s="293">
        <f t="shared" si="3"/>
        <v>-68574.41</v>
      </c>
      <c r="N1052" s="293">
        <f t="shared" si="6"/>
        <v>0</v>
      </c>
      <c r="O1052" s="277">
        <f t="shared" si="4"/>
        <v>-72146.60962</v>
      </c>
      <c r="P1052" s="264"/>
      <c r="Q1052" s="264"/>
      <c r="R1052" s="264"/>
      <c r="S1052" s="264"/>
      <c r="T1052" s="264"/>
      <c r="U1052" s="264"/>
      <c r="V1052" s="264"/>
      <c r="W1052" s="264"/>
      <c r="X1052" s="264"/>
      <c r="Y1052" s="264"/>
      <c r="Z1052" s="264"/>
      <c r="AA1052" s="264"/>
      <c r="AB1052" s="264"/>
      <c r="AC1052" s="264"/>
      <c r="AD1052" s="264"/>
      <c r="AE1052" s="264"/>
    </row>
    <row r="1053">
      <c r="A1053" s="272"/>
      <c r="B1053" s="272"/>
      <c r="C1053" s="272"/>
      <c r="D1053" s="172"/>
      <c r="E1053" s="267" t="str">
        <f t="shared" si="22"/>
        <v/>
      </c>
      <c r="F1053" s="274" t="str">
        <f t="shared" si="2"/>
        <v/>
      </c>
      <c r="G1053" s="42"/>
      <c r="H1053" s="264"/>
      <c r="I1053" s="277"/>
      <c r="J1053" s="276" t="str">
        <f>IF(ISBLANK(I1053), "", VLOOKUP(E1053&amp;" "&amp;F1053, 'Info Tipo de Cambio y REM'!$A$24:$B$35, 2, FALSE))
</f>
        <v/>
      </c>
      <c r="K1053" s="107" t="str">
        <f t="shared" si="23"/>
        <v/>
      </c>
      <c r="L1053" s="293">
        <f t="shared" si="5"/>
        <v>-5187415.025</v>
      </c>
      <c r="M1053" s="293">
        <f t="shared" si="3"/>
        <v>-68574.41</v>
      </c>
      <c r="N1053" s="293">
        <f t="shared" si="6"/>
        <v>0</v>
      </c>
      <c r="O1053" s="277">
        <f t="shared" si="4"/>
        <v>-72146.60962</v>
      </c>
      <c r="P1053" s="264"/>
      <c r="Q1053" s="264"/>
      <c r="R1053" s="264"/>
      <c r="S1053" s="264"/>
      <c r="T1053" s="264"/>
      <c r="U1053" s="264"/>
      <c r="V1053" s="264"/>
      <c r="W1053" s="264"/>
      <c r="X1053" s="264"/>
      <c r="Y1053" s="264"/>
      <c r="Z1053" s="264"/>
      <c r="AA1053" s="264"/>
      <c r="AB1053" s="264"/>
      <c r="AC1053" s="264"/>
      <c r="AD1053" s="264"/>
      <c r="AE1053" s="264"/>
    </row>
    <row r="1054">
      <c r="A1054" s="272"/>
      <c r="B1054" s="272"/>
      <c r="C1054" s="272"/>
      <c r="D1054" s="172"/>
      <c r="E1054" s="267" t="str">
        <f t="shared" si="22"/>
        <v/>
      </c>
      <c r="F1054" s="274" t="str">
        <f t="shared" si="2"/>
        <v/>
      </c>
      <c r="G1054" s="42"/>
      <c r="H1054" s="264"/>
      <c r="I1054" s="277"/>
      <c r="J1054" s="276" t="str">
        <f>IF(ISBLANK(I1054), "", VLOOKUP(E1054&amp;" "&amp;F1054, 'Info Tipo de Cambio y REM'!$A$24:$B$35, 2, FALSE))
</f>
        <v/>
      </c>
      <c r="K1054" s="107" t="str">
        <f t="shared" si="23"/>
        <v/>
      </c>
      <c r="L1054" s="293">
        <f t="shared" si="5"/>
        <v>-5187415.025</v>
      </c>
      <c r="M1054" s="293">
        <f t="shared" si="3"/>
        <v>-68574.41</v>
      </c>
      <c r="N1054" s="293">
        <f t="shared" si="6"/>
        <v>0</v>
      </c>
      <c r="O1054" s="277">
        <f t="shared" si="4"/>
        <v>-72146.60962</v>
      </c>
      <c r="P1054" s="264"/>
      <c r="Q1054" s="264"/>
      <c r="R1054" s="264"/>
      <c r="S1054" s="264"/>
      <c r="T1054" s="264"/>
      <c r="U1054" s="264"/>
      <c r="V1054" s="264"/>
      <c r="W1054" s="264"/>
      <c r="X1054" s="264"/>
      <c r="Y1054" s="264"/>
      <c r="Z1054" s="264"/>
      <c r="AA1054" s="264"/>
      <c r="AB1054" s="264"/>
      <c r="AC1054" s="264"/>
      <c r="AD1054" s="264"/>
      <c r="AE1054" s="264"/>
    </row>
    <row r="1055">
      <c r="A1055" s="272"/>
      <c r="B1055" s="272"/>
      <c r="C1055" s="272"/>
      <c r="D1055" s="172"/>
      <c r="E1055" s="267" t="str">
        <f t="shared" si="22"/>
        <v/>
      </c>
      <c r="F1055" s="274" t="str">
        <f t="shared" si="2"/>
        <v/>
      </c>
      <c r="G1055" s="42"/>
      <c r="H1055" s="264"/>
      <c r="I1055" s="277"/>
      <c r="J1055" s="276" t="str">
        <f>IF(ISBLANK(I1055), "", VLOOKUP(E1055&amp;" "&amp;F1055, 'Info Tipo de Cambio y REM'!$A$24:$B$35, 2, FALSE))
</f>
        <v/>
      </c>
      <c r="K1055" s="107" t="str">
        <f t="shared" si="23"/>
        <v/>
      </c>
      <c r="L1055" s="293">
        <f t="shared" si="5"/>
        <v>-5187415.025</v>
      </c>
      <c r="M1055" s="293">
        <f t="shared" si="3"/>
        <v>-68574.41</v>
      </c>
      <c r="N1055" s="293">
        <f t="shared" si="6"/>
        <v>0</v>
      </c>
      <c r="O1055" s="277">
        <f t="shared" si="4"/>
        <v>-72146.60962</v>
      </c>
      <c r="P1055" s="264"/>
      <c r="Q1055" s="264"/>
      <c r="R1055" s="264"/>
      <c r="S1055" s="264"/>
      <c r="T1055" s="264"/>
      <c r="U1055" s="264"/>
      <c r="V1055" s="264"/>
      <c r="W1055" s="264"/>
      <c r="X1055" s="264"/>
      <c r="Y1055" s="264"/>
      <c r="Z1055" s="264"/>
      <c r="AA1055" s="264"/>
      <c r="AB1055" s="264"/>
      <c r="AC1055" s="264"/>
      <c r="AD1055" s="264"/>
      <c r="AE1055" s="264"/>
    </row>
    <row r="1056">
      <c r="A1056" s="272"/>
      <c r="B1056" s="272"/>
      <c r="C1056" s="272"/>
      <c r="D1056" s="172"/>
      <c r="E1056" s="267" t="str">
        <f t="shared" si="22"/>
        <v/>
      </c>
      <c r="F1056" s="274" t="str">
        <f t="shared" si="2"/>
        <v/>
      </c>
      <c r="G1056" s="42"/>
      <c r="H1056" s="264"/>
      <c r="I1056" s="277"/>
      <c r="J1056" s="276" t="str">
        <f>IF(ISBLANK(I1056), "", VLOOKUP(E1056&amp;" "&amp;F1056, 'Info Tipo de Cambio y REM'!$A$24:$B$35, 2, FALSE))
</f>
        <v/>
      </c>
      <c r="K1056" s="107" t="str">
        <f t="shared" si="23"/>
        <v/>
      </c>
      <c r="L1056" s="293">
        <f t="shared" si="5"/>
        <v>-5187415.025</v>
      </c>
      <c r="M1056" s="293">
        <f t="shared" si="3"/>
        <v>-68574.41</v>
      </c>
      <c r="N1056" s="293">
        <f t="shared" si="6"/>
        <v>0</v>
      </c>
      <c r="O1056" s="277">
        <f t="shared" si="4"/>
        <v>-72146.60962</v>
      </c>
      <c r="P1056" s="264"/>
      <c r="Q1056" s="264"/>
      <c r="R1056" s="264"/>
      <c r="S1056" s="264"/>
      <c r="T1056" s="264"/>
      <c r="U1056" s="264"/>
      <c r="V1056" s="264"/>
      <c r="W1056" s="264"/>
      <c r="X1056" s="264"/>
      <c r="Y1056" s="264"/>
      <c r="Z1056" s="264"/>
      <c r="AA1056" s="264"/>
      <c r="AB1056" s="264"/>
      <c r="AC1056" s="264"/>
      <c r="AD1056" s="264"/>
      <c r="AE1056" s="264"/>
    </row>
    <row r="1057">
      <c r="A1057" s="272"/>
      <c r="B1057" s="272"/>
      <c r="C1057" s="272"/>
      <c r="D1057" s="172"/>
      <c r="E1057" s="267" t="str">
        <f t="shared" si="22"/>
        <v/>
      </c>
      <c r="F1057" s="274" t="str">
        <f t="shared" si="2"/>
        <v/>
      </c>
      <c r="G1057" s="42"/>
      <c r="H1057" s="264"/>
      <c r="I1057" s="277"/>
      <c r="J1057" s="276" t="str">
        <f>IF(ISBLANK(I1057), "", VLOOKUP(E1057&amp;" "&amp;F1057, 'Info Tipo de Cambio y REM'!$A$24:$B$35, 2, FALSE))
</f>
        <v/>
      </c>
      <c r="K1057" s="107" t="str">
        <f t="shared" si="23"/>
        <v/>
      </c>
      <c r="L1057" s="293">
        <f t="shared" si="5"/>
        <v>-5187415.025</v>
      </c>
      <c r="M1057" s="293">
        <f t="shared" si="3"/>
        <v>-68574.41</v>
      </c>
      <c r="N1057" s="293">
        <f t="shared" si="6"/>
        <v>0</v>
      </c>
      <c r="O1057" s="277">
        <f t="shared" si="4"/>
        <v>-72146.60962</v>
      </c>
      <c r="P1057" s="264"/>
      <c r="Q1057" s="264"/>
      <c r="R1057" s="264"/>
      <c r="S1057" s="264"/>
      <c r="T1057" s="264"/>
      <c r="U1057" s="264"/>
      <c r="V1057" s="264"/>
      <c r="W1057" s="264"/>
      <c r="X1057" s="264"/>
      <c r="Y1057" s="264"/>
      <c r="Z1057" s="264"/>
      <c r="AA1057" s="264"/>
      <c r="AB1057" s="264"/>
      <c r="AC1057" s="264"/>
      <c r="AD1057" s="264"/>
      <c r="AE1057" s="264"/>
    </row>
    <row r="1058">
      <c r="A1058" s="272"/>
      <c r="B1058" s="272"/>
      <c r="C1058" s="272"/>
      <c r="D1058" s="172"/>
      <c r="E1058" s="267" t="str">
        <f t="shared" si="22"/>
        <v/>
      </c>
      <c r="F1058" s="274" t="str">
        <f t="shared" si="2"/>
        <v/>
      </c>
      <c r="G1058" s="42"/>
      <c r="H1058" s="264"/>
      <c r="I1058" s="277"/>
      <c r="J1058" s="276" t="str">
        <f>IF(ISBLANK(I1058), "", VLOOKUP(E1058&amp;" "&amp;F1058, 'Info Tipo de Cambio y REM'!$A$24:$B$35, 2, FALSE))
</f>
        <v/>
      </c>
      <c r="K1058" s="107" t="str">
        <f t="shared" si="23"/>
        <v/>
      </c>
      <c r="L1058" s="293">
        <f t="shared" si="5"/>
        <v>-5187415.025</v>
      </c>
      <c r="M1058" s="293">
        <f t="shared" si="3"/>
        <v>-68574.41</v>
      </c>
      <c r="N1058" s="293">
        <f t="shared" si="6"/>
        <v>0</v>
      </c>
      <c r="O1058" s="277">
        <f t="shared" si="4"/>
        <v>-72146.60962</v>
      </c>
      <c r="P1058" s="264"/>
      <c r="Q1058" s="264"/>
      <c r="R1058" s="264"/>
      <c r="S1058" s="264"/>
      <c r="T1058" s="264"/>
      <c r="U1058" s="264"/>
      <c r="V1058" s="264"/>
      <c r="W1058" s="264"/>
      <c r="X1058" s="264"/>
      <c r="Y1058" s="264"/>
      <c r="Z1058" s="264"/>
      <c r="AA1058" s="264"/>
      <c r="AB1058" s="264"/>
      <c r="AC1058" s="264"/>
      <c r="AD1058" s="264"/>
      <c r="AE1058" s="264"/>
    </row>
    <row r="1059">
      <c r="A1059" s="272"/>
      <c r="B1059" s="272"/>
      <c r="C1059" s="272"/>
      <c r="D1059" s="172"/>
      <c r="E1059" s="267" t="str">
        <f t="shared" si="22"/>
        <v/>
      </c>
      <c r="F1059" s="274" t="str">
        <f t="shared" si="2"/>
        <v/>
      </c>
      <c r="G1059" s="42"/>
      <c r="H1059" s="264"/>
      <c r="I1059" s="277"/>
      <c r="J1059" s="276" t="str">
        <f>IF(ISBLANK(I1059), "", VLOOKUP(E1059&amp;" "&amp;F1059, 'Info Tipo de Cambio y REM'!$A$24:$B$35, 2, FALSE))
</f>
        <v/>
      </c>
      <c r="K1059" s="107" t="str">
        <f t="shared" si="23"/>
        <v/>
      </c>
      <c r="L1059" s="293">
        <f t="shared" si="5"/>
        <v>-5187415.025</v>
      </c>
      <c r="M1059" s="293">
        <f t="shared" si="3"/>
        <v>-68574.41</v>
      </c>
      <c r="N1059" s="293">
        <f t="shared" si="6"/>
        <v>0</v>
      </c>
      <c r="O1059" s="277">
        <f t="shared" si="4"/>
        <v>-72146.60962</v>
      </c>
      <c r="P1059" s="264"/>
      <c r="Q1059" s="264"/>
      <c r="R1059" s="264"/>
      <c r="S1059" s="264"/>
      <c r="T1059" s="264"/>
      <c r="U1059" s="264"/>
      <c r="V1059" s="264"/>
      <c r="W1059" s="264"/>
      <c r="X1059" s="264"/>
      <c r="Y1059" s="264"/>
      <c r="Z1059" s="264"/>
      <c r="AA1059" s="264"/>
      <c r="AB1059" s="264"/>
      <c r="AC1059" s="264"/>
      <c r="AD1059" s="264"/>
      <c r="AE1059" s="264"/>
    </row>
    <row r="1060">
      <c r="A1060" s="272"/>
      <c r="B1060" s="272"/>
      <c r="C1060" s="272"/>
      <c r="D1060" s="172"/>
      <c r="E1060" s="267" t="str">
        <f t="shared" si="22"/>
        <v/>
      </c>
      <c r="F1060" s="274" t="str">
        <f t="shared" si="2"/>
        <v/>
      </c>
      <c r="G1060" s="42"/>
      <c r="H1060" s="264"/>
      <c r="I1060" s="277"/>
      <c r="J1060" s="276" t="str">
        <f>IF(ISBLANK(I1060), "", VLOOKUP(E1060&amp;" "&amp;F1060, 'Info Tipo de Cambio y REM'!$A$24:$B$35, 2, FALSE))
</f>
        <v/>
      </c>
      <c r="K1060" s="107" t="str">
        <f t="shared" si="23"/>
        <v/>
      </c>
      <c r="L1060" s="293">
        <f t="shared" si="5"/>
        <v>-5187415.025</v>
      </c>
      <c r="M1060" s="293">
        <f t="shared" si="3"/>
        <v>-68574.41</v>
      </c>
      <c r="N1060" s="293">
        <f t="shared" si="6"/>
        <v>0</v>
      </c>
      <c r="O1060" s="277">
        <f t="shared" si="4"/>
        <v>-72146.60962</v>
      </c>
      <c r="P1060" s="264"/>
      <c r="Q1060" s="264"/>
      <c r="R1060" s="264"/>
      <c r="S1060" s="264"/>
      <c r="T1060" s="264"/>
      <c r="U1060" s="264"/>
      <c r="V1060" s="264"/>
      <c r="W1060" s="264"/>
      <c r="X1060" s="264"/>
      <c r="Y1060" s="264"/>
      <c r="Z1060" s="264"/>
      <c r="AA1060" s="264"/>
      <c r="AB1060" s="264"/>
      <c r="AC1060" s="264"/>
      <c r="AD1060" s="264"/>
      <c r="AE1060" s="264"/>
    </row>
    <row r="1061">
      <c r="A1061" s="272"/>
      <c r="B1061" s="272"/>
      <c r="C1061" s="272"/>
      <c r="D1061" s="172"/>
      <c r="E1061" s="267" t="str">
        <f t="shared" si="22"/>
        <v/>
      </c>
      <c r="F1061" s="274" t="str">
        <f t="shared" si="2"/>
        <v/>
      </c>
      <c r="G1061" s="42"/>
      <c r="H1061" s="264"/>
      <c r="I1061" s="277"/>
      <c r="J1061" s="276" t="str">
        <f>IF(ISBLANK(I1061), "", VLOOKUP(E1061&amp;" "&amp;F1061, 'Info Tipo de Cambio y REM'!$A$24:$B$35, 2, FALSE))
</f>
        <v/>
      </c>
      <c r="K1061" s="107" t="str">
        <f t="shared" si="23"/>
        <v/>
      </c>
      <c r="L1061" s="293">
        <f t="shared" si="5"/>
        <v>-5187415.025</v>
      </c>
      <c r="M1061" s="293">
        <f t="shared" si="3"/>
        <v>-68574.41</v>
      </c>
      <c r="N1061" s="293">
        <f t="shared" si="6"/>
        <v>0</v>
      </c>
      <c r="O1061" s="277">
        <f t="shared" si="4"/>
        <v>-72146.60962</v>
      </c>
      <c r="P1061" s="264"/>
      <c r="Q1061" s="264"/>
      <c r="R1061" s="264"/>
      <c r="S1061" s="264"/>
      <c r="T1061" s="264"/>
      <c r="U1061" s="264"/>
      <c r="V1061" s="264"/>
      <c r="W1061" s="264"/>
      <c r="X1061" s="264"/>
      <c r="Y1061" s="264"/>
      <c r="Z1061" s="264"/>
      <c r="AA1061" s="264"/>
      <c r="AB1061" s="264"/>
      <c r="AC1061" s="264"/>
      <c r="AD1061" s="264"/>
      <c r="AE1061" s="264"/>
    </row>
    <row r="1062">
      <c r="A1062" s="272"/>
      <c r="B1062" s="272"/>
      <c r="C1062" s="272"/>
      <c r="D1062" s="172"/>
      <c r="E1062" s="267" t="str">
        <f t="shared" si="22"/>
        <v/>
      </c>
      <c r="F1062" s="274" t="str">
        <f t="shared" si="2"/>
        <v/>
      </c>
      <c r="G1062" s="42"/>
      <c r="H1062" s="264"/>
      <c r="I1062" s="277"/>
      <c r="J1062" s="276" t="str">
        <f>IF(ISBLANK(I1062), "", VLOOKUP(E1062&amp;" "&amp;F1062, 'Info Tipo de Cambio y REM'!$A$24:$B$35, 2, FALSE))
</f>
        <v/>
      </c>
      <c r="K1062" s="107" t="str">
        <f t="shared" si="23"/>
        <v/>
      </c>
      <c r="L1062" s="293">
        <f t="shared" si="5"/>
        <v>-5187415.025</v>
      </c>
      <c r="M1062" s="293">
        <f t="shared" si="3"/>
        <v>-68574.41</v>
      </c>
      <c r="N1062" s="293">
        <f t="shared" si="6"/>
        <v>0</v>
      </c>
      <c r="O1062" s="277">
        <f t="shared" si="4"/>
        <v>-72146.60962</v>
      </c>
      <c r="P1062" s="264"/>
      <c r="Q1062" s="264"/>
      <c r="R1062" s="264"/>
      <c r="S1062" s="264"/>
      <c r="T1062" s="264"/>
      <c r="U1062" s="264"/>
      <c r="V1062" s="264"/>
      <c r="W1062" s="264"/>
      <c r="X1062" s="264"/>
      <c r="Y1062" s="264"/>
      <c r="Z1062" s="264"/>
      <c r="AA1062" s="264"/>
      <c r="AB1062" s="264"/>
      <c r="AC1062" s="264"/>
      <c r="AD1062" s="264"/>
      <c r="AE1062" s="264"/>
    </row>
    <row r="1063">
      <c r="A1063" s="272"/>
      <c r="B1063" s="272"/>
      <c r="C1063" s="272"/>
      <c r="D1063" s="172"/>
      <c r="E1063" s="267" t="str">
        <f t="shared" si="22"/>
        <v/>
      </c>
      <c r="F1063" s="274" t="str">
        <f t="shared" si="2"/>
        <v/>
      </c>
      <c r="G1063" s="42"/>
      <c r="H1063" s="264"/>
      <c r="I1063" s="277"/>
      <c r="J1063" s="276" t="str">
        <f>IF(ISBLANK(I1063), "", VLOOKUP(E1063&amp;" "&amp;F1063, 'Info Tipo de Cambio y REM'!$A$24:$B$35, 2, FALSE))
</f>
        <v/>
      </c>
      <c r="K1063" s="107" t="str">
        <f t="shared" si="23"/>
        <v/>
      </c>
      <c r="L1063" s="293">
        <f t="shared" si="5"/>
        <v>-5187415.025</v>
      </c>
      <c r="M1063" s="293">
        <f t="shared" si="3"/>
        <v>-68574.41</v>
      </c>
      <c r="N1063" s="293">
        <f t="shared" si="6"/>
        <v>0</v>
      </c>
      <c r="O1063" s="277">
        <f t="shared" si="4"/>
        <v>-72146.60962</v>
      </c>
      <c r="P1063" s="264"/>
      <c r="Q1063" s="264"/>
      <c r="R1063" s="264"/>
      <c r="S1063" s="264"/>
      <c r="T1063" s="264"/>
      <c r="U1063" s="264"/>
      <c r="V1063" s="264"/>
      <c r="W1063" s="264"/>
      <c r="X1063" s="264"/>
      <c r="Y1063" s="264"/>
      <c r="Z1063" s="264"/>
      <c r="AA1063" s="264"/>
      <c r="AB1063" s="264"/>
      <c r="AC1063" s="264"/>
      <c r="AD1063" s="264"/>
      <c r="AE1063" s="264"/>
    </row>
    <row r="1064">
      <c r="A1064" s="272"/>
      <c r="B1064" s="272"/>
      <c r="C1064" s="272"/>
      <c r="D1064" s="172"/>
      <c r="E1064" s="267" t="str">
        <f t="shared" si="22"/>
        <v/>
      </c>
      <c r="F1064" s="274" t="str">
        <f t="shared" si="2"/>
        <v/>
      </c>
      <c r="G1064" s="42"/>
      <c r="H1064" s="264"/>
      <c r="I1064" s="277"/>
      <c r="J1064" s="276" t="str">
        <f>IF(ISBLANK(I1064), "", VLOOKUP(E1064&amp;" "&amp;F1064, 'Info Tipo de Cambio y REM'!$A$24:$B$35, 2, FALSE))
</f>
        <v/>
      </c>
      <c r="K1064" s="107" t="str">
        <f t="shared" si="23"/>
        <v/>
      </c>
      <c r="L1064" s="293">
        <f t="shared" si="5"/>
        <v>-5187415.025</v>
      </c>
      <c r="M1064" s="293">
        <f t="shared" si="3"/>
        <v>-68574.41</v>
      </c>
      <c r="N1064" s="293">
        <f t="shared" si="6"/>
        <v>0</v>
      </c>
      <c r="O1064" s="277">
        <f t="shared" si="4"/>
        <v>-72146.60962</v>
      </c>
      <c r="P1064" s="264"/>
      <c r="Q1064" s="264"/>
      <c r="R1064" s="264"/>
      <c r="S1064" s="264"/>
      <c r="T1064" s="264"/>
      <c r="U1064" s="264"/>
      <c r="V1064" s="264"/>
      <c r="W1064" s="264"/>
      <c r="X1064" s="264"/>
      <c r="Y1064" s="264"/>
      <c r="Z1064" s="264"/>
      <c r="AA1064" s="264"/>
      <c r="AB1064" s="264"/>
      <c r="AC1064" s="264"/>
      <c r="AD1064" s="264"/>
      <c r="AE1064" s="264"/>
    </row>
    <row r="1065">
      <c r="A1065" s="272"/>
      <c r="B1065" s="272"/>
      <c r="C1065" s="272"/>
      <c r="D1065" s="172"/>
      <c r="E1065" s="267" t="str">
        <f t="shared" si="22"/>
        <v/>
      </c>
      <c r="F1065" s="274" t="str">
        <f t="shared" si="2"/>
        <v/>
      </c>
      <c r="G1065" s="42"/>
      <c r="H1065" s="264"/>
      <c r="I1065" s="277"/>
      <c r="J1065" s="276" t="str">
        <f>IF(ISBLANK(I1065), "", VLOOKUP(E1065&amp;" "&amp;F1065, 'Info Tipo de Cambio y REM'!$A$24:$B$35, 2, FALSE))
</f>
        <v/>
      </c>
      <c r="K1065" s="107" t="str">
        <f t="shared" si="23"/>
        <v/>
      </c>
      <c r="L1065" s="293">
        <f t="shared" si="5"/>
        <v>-5187415.025</v>
      </c>
      <c r="M1065" s="293">
        <f t="shared" si="3"/>
        <v>-68574.41</v>
      </c>
      <c r="N1065" s="293">
        <f t="shared" si="6"/>
        <v>0</v>
      </c>
      <c r="O1065" s="277">
        <f t="shared" si="4"/>
        <v>-72146.60962</v>
      </c>
      <c r="P1065" s="264"/>
      <c r="Q1065" s="264"/>
      <c r="R1065" s="264"/>
      <c r="S1065" s="264"/>
      <c r="T1065" s="264"/>
      <c r="U1065" s="264"/>
      <c r="V1065" s="264"/>
      <c r="W1065" s="264"/>
      <c r="X1065" s="264"/>
      <c r="Y1065" s="264"/>
      <c r="Z1065" s="264"/>
      <c r="AA1065" s="264"/>
      <c r="AB1065" s="264"/>
      <c r="AC1065" s="264"/>
      <c r="AD1065" s="264"/>
      <c r="AE1065" s="264"/>
    </row>
    <row r="1066">
      <c r="A1066" s="272"/>
      <c r="B1066" s="272"/>
      <c r="C1066" s="272"/>
      <c r="D1066" s="172"/>
      <c r="E1066" s="267" t="str">
        <f t="shared" si="22"/>
        <v/>
      </c>
      <c r="F1066" s="326"/>
      <c r="G1066" s="42"/>
      <c r="H1066" s="264"/>
      <c r="I1066" s="277"/>
      <c r="J1066" s="276" t="str">
        <f>IF(ISBLANK(I1066), "", VLOOKUP(E1066&amp;" "&amp;F1066, 'Info Tipo de Cambio y REM'!$A$24:$B$35, 2, FALSE))
</f>
        <v/>
      </c>
      <c r="K1066" s="107"/>
      <c r="L1066" s="293">
        <f t="shared" si="5"/>
        <v>-5187415.025</v>
      </c>
      <c r="M1066" s="293">
        <f t="shared" si="3"/>
        <v>-68574.41</v>
      </c>
      <c r="N1066" s="293">
        <f t="shared" si="6"/>
        <v>0</v>
      </c>
      <c r="O1066" s="277">
        <f t="shared" si="4"/>
        <v>-72146.60962</v>
      </c>
      <c r="P1066" s="264"/>
      <c r="Q1066" s="264"/>
      <c r="R1066" s="264"/>
      <c r="S1066" s="264"/>
      <c r="T1066" s="264"/>
      <c r="U1066" s="264"/>
      <c r="V1066" s="264"/>
      <c r="W1066" s="264"/>
      <c r="X1066" s="264"/>
      <c r="Y1066" s="264"/>
      <c r="Z1066" s="264"/>
      <c r="AA1066" s="264"/>
      <c r="AB1066" s="264"/>
      <c r="AC1066" s="264"/>
      <c r="AD1066" s="264"/>
      <c r="AE1066" s="264"/>
    </row>
    <row r="1067">
      <c r="A1067" s="272"/>
      <c r="B1067" s="272"/>
      <c r="C1067" s="272"/>
      <c r="D1067" s="172"/>
      <c r="E1067" s="267" t="str">
        <f t="shared" si="22"/>
        <v/>
      </c>
      <c r="F1067" s="326"/>
      <c r="G1067" s="42"/>
      <c r="H1067" s="264"/>
      <c r="I1067" s="277"/>
      <c r="J1067" s="276" t="str">
        <f>IF(ISBLANK(I1067), "", VLOOKUP(E1067&amp;" "&amp;F1067, 'Info Tipo de Cambio y REM'!$A$24:$B$35, 2, FALSE))
</f>
        <v/>
      </c>
      <c r="K1067" s="107"/>
      <c r="L1067" s="293">
        <f t="shared" si="5"/>
        <v>-5187415.025</v>
      </c>
      <c r="M1067" s="293">
        <f t="shared" si="3"/>
        <v>-68574.41</v>
      </c>
      <c r="N1067" s="293">
        <f t="shared" si="6"/>
        <v>0</v>
      </c>
      <c r="O1067" s="277">
        <f t="shared" si="4"/>
        <v>-72146.60962</v>
      </c>
      <c r="P1067" s="264"/>
      <c r="Q1067" s="264"/>
      <c r="R1067" s="264"/>
      <c r="S1067" s="264"/>
      <c r="T1067" s="264"/>
      <c r="U1067" s="264"/>
      <c r="V1067" s="264"/>
      <c r="W1067" s="264"/>
      <c r="X1067" s="264"/>
      <c r="Y1067" s="264"/>
      <c r="Z1067" s="264"/>
      <c r="AA1067" s="264"/>
      <c r="AB1067" s="264"/>
      <c r="AC1067" s="264"/>
      <c r="AD1067" s="264"/>
      <c r="AE1067" s="264"/>
    </row>
    <row r="1068">
      <c r="A1068" s="272"/>
      <c r="B1068" s="272"/>
      <c r="C1068" s="272"/>
      <c r="D1068" s="172"/>
      <c r="E1068" s="267" t="str">
        <f t="shared" si="22"/>
        <v/>
      </c>
      <c r="F1068" s="326"/>
      <c r="G1068" s="42"/>
      <c r="H1068" s="264"/>
      <c r="I1068" s="277"/>
      <c r="J1068" s="276" t="str">
        <f>IF(ISBLANK(I1068), "", VLOOKUP(E1068&amp;" "&amp;F1068, 'Info Tipo de Cambio y REM'!$A$24:$B$35, 2, FALSE))
</f>
        <v/>
      </c>
      <c r="K1068" s="107"/>
      <c r="L1068" s="293">
        <f t="shared" si="5"/>
        <v>-5187415.025</v>
      </c>
      <c r="M1068" s="293">
        <f t="shared" si="3"/>
        <v>-68574.41</v>
      </c>
      <c r="N1068" s="293">
        <f t="shared" si="6"/>
        <v>0</v>
      </c>
      <c r="O1068" s="277">
        <f t="shared" si="4"/>
        <v>-72146.60962</v>
      </c>
      <c r="P1068" s="264"/>
      <c r="Q1068" s="264"/>
      <c r="R1068" s="264"/>
      <c r="S1068" s="264"/>
      <c r="T1068" s="264"/>
      <c r="U1068" s="264"/>
      <c r="V1068" s="264"/>
      <c r="W1068" s="264"/>
      <c r="X1068" s="264"/>
      <c r="Y1068" s="264"/>
      <c r="Z1068" s="264"/>
      <c r="AA1068" s="264"/>
      <c r="AB1068" s="264"/>
      <c r="AC1068" s="264"/>
      <c r="AD1068" s="264"/>
      <c r="AE1068" s="264"/>
    </row>
    <row r="1069">
      <c r="A1069" s="272"/>
      <c r="B1069" s="272"/>
      <c r="C1069" s="272"/>
      <c r="D1069" s="172"/>
      <c r="E1069" s="267" t="str">
        <f t="shared" si="22"/>
        <v/>
      </c>
      <c r="F1069" s="326"/>
      <c r="G1069" s="42"/>
      <c r="H1069" s="264"/>
      <c r="I1069" s="277"/>
      <c r="J1069" s="276" t="str">
        <f>IF(ISBLANK(I1069), "", VLOOKUP(E1069&amp;" "&amp;F1069, 'Info Tipo de Cambio y REM'!$A$24:$B$35, 2, FALSE))
</f>
        <v/>
      </c>
      <c r="K1069" s="107"/>
      <c r="L1069" s="293">
        <f t="shared" si="5"/>
        <v>-5187415.025</v>
      </c>
      <c r="M1069" s="293">
        <f t="shared" si="3"/>
        <v>-68574.41</v>
      </c>
      <c r="N1069" s="293">
        <f t="shared" si="6"/>
        <v>0</v>
      </c>
      <c r="O1069" s="277">
        <f t="shared" si="4"/>
        <v>-72146.60962</v>
      </c>
      <c r="P1069" s="264"/>
      <c r="Q1069" s="264"/>
      <c r="R1069" s="264"/>
      <c r="S1069" s="264"/>
      <c r="T1069" s="264"/>
      <c r="U1069" s="264"/>
      <c r="V1069" s="264"/>
      <c r="W1069" s="264"/>
      <c r="X1069" s="264"/>
      <c r="Y1069" s="264"/>
      <c r="Z1069" s="264"/>
      <c r="AA1069" s="264"/>
      <c r="AB1069" s="264"/>
      <c r="AC1069" s="264"/>
      <c r="AD1069" s="264"/>
      <c r="AE1069" s="264"/>
    </row>
    <row r="1070">
      <c r="A1070" s="272"/>
      <c r="B1070" s="272"/>
      <c r="C1070" s="272"/>
      <c r="D1070" s="172"/>
      <c r="E1070" s="267" t="str">
        <f t="shared" si="22"/>
        <v/>
      </c>
      <c r="F1070" s="326"/>
      <c r="G1070" s="42"/>
      <c r="H1070" s="264"/>
      <c r="I1070" s="277"/>
      <c r="J1070" s="276" t="str">
        <f>IF(ISBLANK(I1070), "", VLOOKUP(E1070&amp;" "&amp;F1070, 'Info Tipo de Cambio y REM'!$A$24:$B$35, 2, FALSE))
</f>
        <v/>
      </c>
      <c r="K1070" s="107"/>
      <c r="L1070" s="293">
        <f t="shared" si="5"/>
        <v>-5187415.025</v>
      </c>
      <c r="M1070" s="293">
        <f t="shared" si="3"/>
        <v>-68574.41</v>
      </c>
      <c r="N1070" s="293">
        <f t="shared" si="6"/>
        <v>0</v>
      </c>
      <c r="O1070" s="277">
        <f t="shared" si="4"/>
        <v>-72146.60962</v>
      </c>
      <c r="P1070" s="264"/>
      <c r="Q1070" s="264"/>
      <c r="R1070" s="264"/>
      <c r="S1070" s="264"/>
      <c r="T1070" s="264"/>
      <c r="U1070" s="264"/>
      <c r="V1070" s="264"/>
      <c r="W1070" s="264"/>
      <c r="X1070" s="264"/>
      <c r="Y1070" s="264"/>
      <c r="Z1070" s="264"/>
      <c r="AA1070" s="264"/>
      <c r="AB1070" s="264"/>
      <c r="AC1070" s="264"/>
      <c r="AD1070" s="264"/>
      <c r="AE1070" s="264"/>
    </row>
    <row r="1071">
      <c r="A1071" s="272"/>
      <c r="B1071" s="272"/>
      <c r="C1071" s="272"/>
      <c r="D1071" s="172"/>
      <c r="E1071" s="267" t="str">
        <f t="shared" si="22"/>
        <v/>
      </c>
      <c r="F1071" s="326"/>
      <c r="G1071" s="42"/>
      <c r="H1071" s="264"/>
      <c r="I1071" s="277"/>
      <c r="J1071" s="276" t="str">
        <f>IF(ISBLANK(I1071), "", VLOOKUP(E1071&amp;" "&amp;F1071, 'Info Tipo de Cambio y REM'!$A$24:$B$35, 2, FALSE))
</f>
        <v/>
      </c>
      <c r="K1071" s="107"/>
      <c r="L1071" s="293">
        <f t="shared" si="5"/>
        <v>-5187415.025</v>
      </c>
      <c r="M1071" s="293">
        <f t="shared" si="3"/>
        <v>-68574.41</v>
      </c>
      <c r="N1071" s="293">
        <f t="shared" si="6"/>
        <v>0</v>
      </c>
      <c r="O1071" s="277">
        <f t="shared" si="4"/>
        <v>-72146.60962</v>
      </c>
      <c r="P1071" s="264"/>
      <c r="Q1071" s="264"/>
      <c r="R1071" s="264"/>
      <c r="S1071" s="264"/>
      <c r="T1071" s="264"/>
      <c r="U1071" s="264"/>
      <c r="V1071" s="264"/>
      <c r="W1071" s="264"/>
      <c r="X1071" s="264"/>
      <c r="Y1071" s="264"/>
      <c r="Z1071" s="264"/>
      <c r="AA1071" s="264"/>
      <c r="AB1071" s="264"/>
      <c r="AC1071" s="264"/>
      <c r="AD1071" s="264"/>
      <c r="AE1071" s="264"/>
    </row>
    <row r="1072">
      <c r="A1072" s="272"/>
      <c r="B1072" s="272"/>
      <c r="C1072" s="272"/>
      <c r="D1072" s="172"/>
      <c r="E1072" s="267" t="str">
        <f t="shared" si="22"/>
        <v/>
      </c>
      <c r="F1072" s="326"/>
      <c r="G1072" s="42"/>
      <c r="H1072" s="264"/>
      <c r="I1072" s="277"/>
      <c r="J1072" s="276" t="str">
        <f>IF(ISBLANK(I1072), "", VLOOKUP(E1072&amp;" "&amp;F1072, 'Info Tipo de Cambio y REM'!$A$24:$B$35, 2, FALSE))
</f>
        <v/>
      </c>
      <c r="K1072" s="107"/>
      <c r="L1072" s="293">
        <f t="shared" si="5"/>
        <v>-5187415.025</v>
      </c>
      <c r="M1072" s="293">
        <f t="shared" si="3"/>
        <v>-68574.41</v>
      </c>
      <c r="N1072" s="293">
        <f t="shared" si="6"/>
        <v>0</v>
      </c>
      <c r="O1072" s="277">
        <f t="shared" si="4"/>
        <v>-72146.60962</v>
      </c>
      <c r="P1072" s="264"/>
      <c r="Q1072" s="264"/>
      <c r="R1072" s="264"/>
      <c r="S1072" s="264"/>
      <c r="T1072" s="264"/>
      <c r="U1072" s="264"/>
      <c r="V1072" s="264"/>
      <c r="W1072" s="264"/>
      <c r="X1072" s="264"/>
      <c r="Y1072" s="264"/>
      <c r="Z1072" s="264"/>
      <c r="AA1072" s="264"/>
      <c r="AB1072" s="264"/>
      <c r="AC1072" s="264"/>
      <c r="AD1072" s="264"/>
      <c r="AE1072" s="264"/>
    </row>
    <row r="1073">
      <c r="A1073" s="272"/>
      <c r="B1073" s="272"/>
      <c r="C1073" s="272"/>
      <c r="D1073" s="172"/>
      <c r="E1073" s="267" t="str">
        <f t="shared" si="22"/>
        <v/>
      </c>
      <c r="F1073" s="326"/>
      <c r="G1073" s="42"/>
      <c r="H1073" s="264"/>
      <c r="I1073" s="277"/>
      <c r="J1073" s="276" t="str">
        <f>IF(ISBLANK(I1073), "", VLOOKUP(E1073&amp;" "&amp;F1073, 'Info Tipo de Cambio y REM'!$A$24:$B$35, 2, FALSE))
</f>
        <v/>
      </c>
      <c r="K1073" s="107"/>
      <c r="L1073" s="293">
        <f t="shared" si="5"/>
        <v>-5187415.025</v>
      </c>
      <c r="M1073" s="293">
        <f t="shared" si="3"/>
        <v>-68574.41</v>
      </c>
      <c r="N1073" s="293">
        <f t="shared" si="6"/>
        <v>0</v>
      </c>
      <c r="O1073" s="277">
        <f t="shared" si="4"/>
        <v>-72146.60962</v>
      </c>
      <c r="P1073" s="264"/>
      <c r="Q1073" s="264"/>
      <c r="R1073" s="264"/>
      <c r="S1073" s="264"/>
      <c r="T1073" s="264"/>
      <c r="U1073" s="264"/>
      <c r="V1073" s="264"/>
      <c r="W1073" s="264"/>
      <c r="X1073" s="264"/>
      <c r="Y1073" s="264"/>
      <c r="Z1073" s="264"/>
      <c r="AA1073" s="264"/>
      <c r="AB1073" s="264"/>
      <c r="AC1073" s="264"/>
      <c r="AD1073" s="264"/>
      <c r="AE1073" s="264"/>
    </row>
    <row r="1074">
      <c r="A1074" s="272"/>
      <c r="B1074" s="272"/>
      <c r="C1074" s="272"/>
      <c r="D1074" s="172"/>
      <c r="E1074" s="267" t="str">
        <f t="shared" si="22"/>
        <v/>
      </c>
      <c r="F1074" s="274"/>
      <c r="G1074" s="42"/>
      <c r="H1074" s="264"/>
      <c r="I1074" s="277"/>
      <c r="J1074" s="276" t="str">
        <f>IF(ISBLANK(I1074), "", VLOOKUP(E1074&amp;" "&amp;F1074, 'Info Tipo de Cambio y REM'!$A$24:$B$35, 2, FALSE))
</f>
        <v/>
      </c>
      <c r="K1074" s="107"/>
      <c r="L1074" s="293">
        <f t="shared" si="5"/>
        <v>-5187415.025</v>
      </c>
      <c r="M1074" s="293">
        <f t="shared" si="3"/>
        <v>-68574.41</v>
      </c>
      <c r="N1074" s="293">
        <f t="shared" si="6"/>
        <v>0</v>
      </c>
      <c r="O1074" s="277">
        <f t="shared" si="4"/>
        <v>-72146.60962</v>
      </c>
      <c r="P1074" s="264"/>
      <c r="Q1074" s="264"/>
      <c r="R1074" s="264"/>
      <c r="S1074" s="264"/>
      <c r="T1074" s="264"/>
      <c r="U1074" s="264"/>
      <c r="V1074" s="264"/>
      <c r="W1074" s="264"/>
      <c r="X1074" s="264"/>
      <c r="Y1074" s="264"/>
      <c r="Z1074" s="264"/>
      <c r="AA1074" s="264"/>
      <c r="AB1074" s="264"/>
      <c r="AC1074" s="264"/>
      <c r="AD1074" s="264"/>
      <c r="AE1074" s="264"/>
    </row>
    <row r="1075">
      <c r="A1075" s="272"/>
      <c r="B1075" s="272"/>
      <c r="C1075" s="272"/>
      <c r="D1075" s="172"/>
      <c r="E1075" s="267" t="str">
        <f t="shared" si="22"/>
        <v/>
      </c>
      <c r="F1075" s="274"/>
      <c r="G1075" s="42"/>
      <c r="H1075" s="264"/>
      <c r="I1075" s="277"/>
      <c r="J1075" s="276" t="str">
        <f>IF(ISBLANK(I1075), "", VLOOKUP(E1075&amp;" "&amp;F1075, 'Info Tipo de Cambio y REM'!$A$24:$B$35, 2, FALSE))
</f>
        <v/>
      </c>
      <c r="K1075" s="107"/>
      <c r="L1075" s="293">
        <f t="shared" si="5"/>
        <v>-5187415.025</v>
      </c>
      <c r="M1075" s="293">
        <f t="shared" si="3"/>
        <v>-68574.41</v>
      </c>
      <c r="N1075" s="293">
        <f t="shared" si="6"/>
        <v>0</v>
      </c>
      <c r="O1075" s="277">
        <f t="shared" si="4"/>
        <v>-72146.60962</v>
      </c>
      <c r="P1075" s="264"/>
      <c r="Q1075" s="264"/>
      <c r="R1075" s="264"/>
      <c r="S1075" s="264"/>
      <c r="T1075" s="264"/>
      <c r="U1075" s="264"/>
      <c r="V1075" s="264"/>
      <c r="W1075" s="264"/>
      <c r="X1075" s="264"/>
      <c r="Y1075" s="264"/>
      <c r="Z1075" s="264"/>
      <c r="AA1075" s="264"/>
      <c r="AB1075" s="264"/>
      <c r="AC1075" s="264"/>
      <c r="AD1075" s="264"/>
      <c r="AE1075" s="264"/>
    </row>
    <row r="1076">
      <c r="A1076" s="272"/>
      <c r="B1076" s="272"/>
      <c r="C1076" s="272"/>
      <c r="D1076" s="172"/>
      <c r="E1076" s="267" t="str">
        <f t="shared" si="22"/>
        <v/>
      </c>
      <c r="F1076" s="274"/>
      <c r="G1076" s="42"/>
      <c r="H1076" s="264"/>
      <c r="I1076" s="277"/>
      <c r="J1076" s="276" t="str">
        <f>IF(ISBLANK(I1076), "", VLOOKUP(E1076&amp;" "&amp;F1076, 'Info Tipo de Cambio y REM'!$A$24:$B$35, 2, FALSE))
</f>
        <v/>
      </c>
      <c r="K1076" s="107"/>
      <c r="L1076" s="293"/>
      <c r="M1076" s="293"/>
      <c r="N1076" s="293"/>
      <c r="O1076" s="277"/>
      <c r="P1076" s="264"/>
      <c r="Q1076" s="264"/>
      <c r="R1076" s="264"/>
      <c r="S1076" s="264"/>
      <c r="T1076" s="264"/>
      <c r="U1076" s="264"/>
      <c r="V1076" s="264"/>
      <c r="W1076" s="264"/>
      <c r="X1076" s="264"/>
      <c r="Y1076" s="264"/>
      <c r="Z1076" s="264"/>
      <c r="AA1076" s="264"/>
      <c r="AB1076" s="264"/>
      <c r="AC1076" s="264"/>
      <c r="AD1076" s="264"/>
      <c r="AE1076" s="264"/>
    </row>
    <row r="1077">
      <c r="A1077" s="272"/>
      <c r="B1077" s="272"/>
      <c r="C1077" s="272"/>
      <c r="D1077" s="172"/>
      <c r="E1077" s="267" t="str">
        <f t="shared" si="22"/>
        <v/>
      </c>
      <c r="F1077" s="274"/>
      <c r="G1077" s="42"/>
      <c r="H1077" s="264"/>
      <c r="I1077" s="277"/>
      <c r="J1077" s="276" t="str">
        <f>IF(ISBLANK(I1077), "", VLOOKUP(E1077&amp;" "&amp;F1077, 'Info Tipo de Cambio y REM'!$A$24:$B$35, 2, FALSE))
</f>
        <v/>
      </c>
      <c r="K1077" s="107"/>
      <c r="L1077" s="327"/>
      <c r="M1077" s="293"/>
      <c r="N1077" s="293"/>
      <c r="O1077" s="277"/>
      <c r="P1077" s="264"/>
      <c r="Q1077" s="264"/>
      <c r="R1077" s="264"/>
      <c r="S1077" s="264"/>
      <c r="T1077" s="264"/>
      <c r="U1077" s="264"/>
      <c r="V1077" s="264"/>
      <c r="W1077" s="264"/>
      <c r="X1077" s="264"/>
      <c r="Y1077" s="264"/>
      <c r="Z1077" s="264"/>
      <c r="AA1077" s="264"/>
      <c r="AB1077" s="264"/>
      <c r="AC1077" s="264"/>
      <c r="AD1077" s="264"/>
      <c r="AE1077" s="264"/>
    </row>
    <row r="1078">
      <c r="A1078" s="272"/>
      <c r="B1078" s="272"/>
      <c r="C1078" s="272"/>
      <c r="D1078" s="172"/>
      <c r="E1078" s="267" t="str">
        <f t="shared" si="22"/>
        <v/>
      </c>
      <c r="F1078" s="274"/>
      <c r="G1078" s="42"/>
      <c r="H1078" s="264"/>
      <c r="I1078" s="277"/>
      <c r="J1078" s="276" t="str">
        <f>IF(ISBLANK(I1078), "", VLOOKUP(E1078&amp;" "&amp;F1078, 'Info Tipo de Cambio y REM'!$A$24:$B$35, 2, FALSE))
</f>
        <v/>
      </c>
      <c r="K1078" s="107"/>
      <c r="L1078" s="293"/>
      <c r="M1078" s="293"/>
      <c r="N1078" s="293"/>
      <c r="O1078" s="277"/>
      <c r="P1078" s="264"/>
      <c r="Q1078" s="264"/>
      <c r="R1078" s="264"/>
      <c r="S1078" s="264"/>
      <c r="T1078" s="264"/>
      <c r="U1078" s="264"/>
      <c r="V1078" s="264"/>
      <c r="W1078" s="264"/>
      <c r="X1078" s="264"/>
      <c r="Y1078" s="264"/>
      <c r="Z1078" s="264"/>
      <c r="AA1078" s="264"/>
      <c r="AB1078" s="264"/>
      <c r="AC1078" s="264"/>
      <c r="AD1078" s="264"/>
      <c r="AE1078" s="264"/>
    </row>
    <row r="1079">
      <c r="A1079" s="272"/>
      <c r="B1079" s="272"/>
      <c r="C1079" s="272"/>
      <c r="D1079" s="172"/>
      <c r="E1079" s="267" t="str">
        <f t="shared" si="22"/>
        <v/>
      </c>
      <c r="F1079" s="274"/>
      <c r="G1079" s="42"/>
      <c r="H1079" s="264"/>
      <c r="I1079" s="277"/>
      <c r="J1079" s="276" t="str">
        <f>IF(ISBLANK(I1079), "", VLOOKUP(E1079&amp;" "&amp;F1079, 'Info Tipo de Cambio y REM'!$A$24:$B$35, 2, FALSE))
</f>
        <v/>
      </c>
      <c r="K1079" s="107"/>
      <c r="L1079" s="293"/>
      <c r="M1079" s="293"/>
      <c r="N1079" s="293"/>
      <c r="O1079" s="277"/>
      <c r="P1079" s="264"/>
      <c r="Q1079" s="264"/>
      <c r="R1079" s="264"/>
      <c r="S1079" s="264"/>
      <c r="T1079" s="264"/>
      <c r="U1079" s="264"/>
      <c r="V1079" s="264"/>
      <c r="W1079" s="264"/>
      <c r="X1079" s="264"/>
      <c r="Y1079" s="264"/>
      <c r="Z1079" s="264"/>
      <c r="AA1079" s="264"/>
      <c r="AB1079" s="264"/>
      <c r="AC1079" s="264"/>
      <c r="AD1079" s="264"/>
      <c r="AE1079" s="264"/>
    </row>
    <row r="1080">
      <c r="A1080" s="272"/>
      <c r="B1080" s="272"/>
      <c r="C1080" s="272"/>
      <c r="D1080" s="172"/>
      <c r="E1080" s="267" t="str">
        <f t="shared" si="22"/>
        <v/>
      </c>
      <c r="F1080" s="274"/>
      <c r="G1080" s="42"/>
      <c r="H1080" s="264"/>
      <c r="I1080" s="277"/>
      <c r="J1080" s="276" t="str">
        <f>IF(ISBLANK(I1080), "", VLOOKUP(E1080&amp;" "&amp;F1080, 'Info Tipo de Cambio y REM'!$A$24:$B$35, 2, FALSE))
</f>
        <v/>
      </c>
      <c r="K1080" s="107"/>
      <c r="L1080" s="293"/>
      <c r="M1080" s="293"/>
      <c r="N1080" s="293"/>
      <c r="O1080" s="277"/>
      <c r="P1080" s="264"/>
      <c r="Q1080" s="264"/>
      <c r="R1080" s="264"/>
      <c r="S1080" s="264"/>
      <c r="T1080" s="264"/>
      <c r="U1080" s="264"/>
      <c r="V1080" s="264"/>
      <c r="W1080" s="264"/>
      <c r="X1080" s="264"/>
      <c r="Y1080" s="264"/>
      <c r="Z1080" s="264"/>
      <c r="AA1080" s="264"/>
      <c r="AB1080" s="264"/>
      <c r="AC1080" s="264"/>
      <c r="AD1080" s="264"/>
      <c r="AE1080" s="264"/>
    </row>
    <row r="1081">
      <c r="A1081" s="272"/>
      <c r="B1081" s="272"/>
      <c r="C1081" s="272"/>
      <c r="D1081" s="172"/>
      <c r="E1081" s="267" t="str">
        <f t="shared" si="22"/>
        <v/>
      </c>
      <c r="F1081" s="274"/>
      <c r="G1081" s="42"/>
      <c r="H1081" s="264"/>
      <c r="I1081" s="277"/>
      <c r="J1081" s="276" t="str">
        <f>IF(ISBLANK(I1081), "", VLOOKUP(E1081&amp;" "&amp;F1081, 'Info Tipo de Cambio y REM'!$A$24:$B$35, 2, FALSE))
</f>
        <v/>
      </c>
      <c r="K1081" s="107"/>
      <c r="L1081" s="293"/>
      <c r="M1081" s="293"/>
      <c r="N1081" s="293"/>
      <c r="O1081" s="277"/>
      <c r="P1081" s="264"/>
      <c r="Q1081" s="264"/>
      <c r="R1081" s="264"/>
      <c r="S1081" s="264"/>
      <c r="T1081" s="264"/>
      <c r="U1081" s="264"/>
      <c r="V1081" s="264"/>
      <c r="W1081" s="264"/>
      <c r="X1081" s="264"/>
      <c r="Y1081" s="264"/>
      <c r="Z1081" s="264"/>
      <c r="AA1081" s="264"/>
      <c r="AB1081" s="264"/>
      <c r="AC1081" s="264"/>
      <c r="AD1081" s="264"/>
      <c r="AE1081" s="264"/>
    </row>
    <row r="1082">
      <c r="A1082" s="272"/>
      <c r="B1082" s="272"/>
      <c r="C1082" s="272"/>
      <c r="D1082" s="172"/>
      <c r="E1082" s="267" t="str">
        <f t="shared" si="22"/>
        <v/>
      </c>
      <c r="F1082" s="274"/>
      <c r="G1082" s="42"/>
      <c r="H1082" s="264"/>
      <c r="I1082" s="277"/>
      <c r="J1082" s="276" t="str">
        <f>IF(ISBLANK(I1082), "", VLOOKUP(E1082&amp;" "&amp;F1082, 'Info Tipo de Cambio y REM'!$A$24:$B$35, 2, FALSE))
</f>
        <v/>
      </c>
      <c r="K1082" s="107"/>
      <c r="L1082" s="293"/>
      <c r="M1082" s="293"/>
      <c r="N1082" s="293"/>
      <c r="O1082" s="277"/>
      <c r="P1082" s="264"/>
      <c r="Q1082" s="264"/>
      <c r="R1082" s="264"/>
      <c r="S1082" s="264"/>
      <c r="T1082" s="264"/>
      <c r="U1082" s="264"/>
      <c r="V1082" s="264"/>
      <c r="W1082" s="264"/>
      <c r="X1082" s="264"/>
      <c r="Y1082" s="264"/>
      <c r="Z1082" s="264"/>
      <c r="AA1082" s="264"/>
      <c r="AB1082" s="264"/>
      <c r="AC1082" s="264"/>
      <c r="AD1082" s="264"/>
      <c r="AE1082" s="264"/>
    </row>
    <row r="1083">
      <c r="A1083" s="272"/>
      <c r="B1083" s="272"/>
      <c r="C1083" s="272"/>
      <c r="D1083" s="172"/>
      <c r="E1083" s="267" t="str">
        <f t="shared" si="22"/>
        <v/>
      </c>
      <c r="F1083" s="274"/>
      <c r="G1083" s="42"/>
      <c r="H1083" s="264"/>
      <c r="I1083" s="277"/>
      <c r="J1083" s="276" t="str">
        <f>IF(ISBLANK(I1083), "", VLOOKUP(E1083&amp;" "&amp;F1083, 'Info Tipo de Cambio y REM'!$A$24:$B$35, 2, FALSE))
</f>
        <v/>
      </c>
      <c r="K1083" s="107"/>
      <c r="L1083" s="293"/>
      <c r="M1083" s="293"/>
      <c r="N1083" s="293"/>
      <c r="O1083" s="277"/>
      <c r="P1083" s="264"/>
      <c r="Q1083" s="264"/>
      <c r="R1083" s="264"/>
      <c r="S1083" s="264"/>
      <c r="T1083" s="264"/>
      <c r="U1083" s="264"/>
      <c r="V1083" s="264"/>
      <c r="W1083" s="264"/>
      <c r="X1083" s="264"/>
      <c r="Y1083" s="264"/>
      <c r="Z1083" s="264"/>
      <c r="AA1083" s="264"/>
      <c r="AB1083" s="264"/>
      <c r="AC1083" s="264"/>
      <c r="AD1083" s="264"/>
      <c r="AE1083" s="264"/>
    </row>
    <row r="1084">
      <c r="A1084" s="272"/>
      <c r="B1084" s="272"/>
      <c r="C1084" s="272"/>
      <c r="D1084" s="172"/>
      <c r="E1084" s="267" t="str">
        <f t="shared" si="22"/>
        <v/>
      </c>
      <c r="F1084" s="274"/>
      <c r="G1084" s="42"/>
      <c r="H1084" s="264"/>
      <c r="I1084" s="277"/>
      <c r="J1084" s="276" t="str">
        <f>IF(ISBLANK(I1084), "", VLOOKUP(E1084&amp;" "&amp;F1084, 'Info Tipo de Cambio y REM'!$A$24:$B$35, 2, FALSE))
</f>
        <v/>
      </c>
      <c r="K1084" s="107"/>
      <c r="L1084" s="293"/>
      <c r="M1084" s="293"/>
      <c r="N1084" s="293"/>
      <c r="O1084" s="277"/>
      <c r="P1084" s="264"/>
      <c r="Q1084" s="264"/>
      <c r="R1084" s="264"/>
      <c r="S1084" s="264"/>
      <c r="T1084" s="264"/>
      <c r="U1084" s="264"/>
      <c r="V1084" s="264"/>
      <c r="W1084" s="264"/>
      <c r="X1084" s="264"/>
      <c r="Y1084" s="264"/>
      <c r="Z1084" s="264"/>
      <c r="AA1084" s="264"/>
      <c r="AB1084" s="264"/>
      <c r="AC1084" s="264"/>
      <c r="AD1084" s="264"/>
      <c r="AE1084" s="264"/>
    </row>
    <row r="1085">
      <c r="A1085" s="272"/>
      <c r="B1085" s="272"/>
      <c r="C1085" s="272"/>
      <c r="D1085" s="172"/>
      <c r="E1085" s="267" t="str">
        <f t="shared" si="22"/>
        <v/>
      </c>
      <c r="F1085" s="274"/>
      <c r="G1085" s="42"/>
      <c r="H1085" s="264"/>
      <c r="I1085" s="277"/>
      <c r="J1085" s="276" t="str">
        <f>IF(ISBLANK(I1085), "", VLOOKUP(E1085&amp;" "&amp;F1085, 'Info Tipo de Cambio y REM'!$A$24:$B$35, 2, FALSE))
</f>
        <v/>
      </c>
      <c r="K1085" s="107"/>
      <c r="L1085" s="293"/>
      <c r="M1085" s="293"/>
      <c r="N1085" s="293"/>
      <c r="O1085" s="277"/>
      <c r="P1085" s="264"/>
      <c r="Q1085" s="264"/>
      <c r="R1085" s="264"/>
      <c r="S1085" s="264"/>
      <c r="T1085" s="264"/>
      <c r="U1085" s="264"/>
      <c r="V1085" s="264"/>
      <c r="W1085" s="264"/>
      <c r="X1085" s="264"/>
      <c r="Y1085" s="264"/>
      <c r="Z1085" s="264"/>
      <c r="AA1085" s="264"/>
      <c r="AB1085" s="264"/>
      <c r="AC1085" s="264"/>
      <c r="AD1085" s="264"/>
      <c r="AE1085" s="264"/>
    </row>
    <row r="1086">
      <c r="A1086" s="272"/>
      <c r="B1086" s="272"/>
      <c r="C1086" s="272"/>
      <c r="D1086" s="172"/>
      <c r="E1086" s="267" t="str">
        <f t="shared" si="22"/>
        <v/>
      </c>
      <c r="F1086" s="274"/>
      <c r="G1086" s="42"/>
      <c r="H1086" s="264"/>
      <c r="I1086" s="277"/>
      <c r="J1086" s="276" t="str">
        <f>IF(ISBLANK(I1086), "", VLOOKUP(E1086&amp;" "&amp;F1086, 'Info Tipo de Cambio y REM'!$A$24:$B$35, 2, FALSE))
</f>
        <v/>
      </c>
      <c r="K1086" s="107"/>
      <c r="L1086" s="293"/>
      <c r="M1086" s="293"/>
      <c r="N1086" s="293"/>
      <c r="O1086" s="277"/>
      <c r="P1086" s="264"/>
      <c r="Q1086" s="264"/>
      <c r="R1086" s="264"/>
      <c r="S1086" s="264"/>
      <c r="T1086" s="264"/>
      <c r="U1086" s="264"/>
      <c r="V1086" s="264"/>
      <c r="W1086" s="264"/>
      <c r="X1086" s="264"/>
      <c r="Y1086" s="264"/>
      <c r="Z1086" s="264"/>
      <c r="AA1086" s="264"/>
      <c r="AB1086" s="264"/>
      <c r="AC1086" s="264"/>
      <c r="AD1086" s="264"/>
      <c r="AE1086" s="264"/>
    </row>
    <row r="1087">
      <c r="A1087" s="272"/>
      <c r="B1087" s="272"/>
      <c r="C1087" s="272"/>
      <c r="D1087" s="172"/>
      <c r="E1087" s="267" t="str">
        <f t="shared" si="22"/>
        <v/>
      </c>
      <c r="F1087" s="274"/>
      <c r="G1087" s="42"/>
      <c r="H1087" s="264"/>
      <c r="I1087" s="277"/>
      <c r="J1087" s="276" t="str">
        <f>IF(ISBLANK(I1087), "", VLOOKUP(E1087&amp;" "&amp;F1087, 'Info Tipo de Cambio y REM'!$A$24:$B$35, 2, FALSE))
</f>
        <v/>
      </c>
      <c r="K1087" s="107"/>
      <c r="L1087" s="293"/>
      <c r="M1087" s="293"/>
      <c r="N1087" s="293"/>
      <c r="O1087" s="277"/>
      <c r="P1087" s="264"/>
      <c r="Q1087" s="264"/>
      <c r="R1087" s="264"/>
      <c r="S1087" s="264"/>
      <c r="T1087" s="264"/>
      <c r="U1087" s="264"/>
      <c r="V1087" s="264"/>
      <c r="W1087" s="264"/>
      <c r="X1087" s="264"/>
      <c r="Y1087" s="264"/>
      <c r="Z1087" s="264"/>
      <c r="AA1087" s="264"/>
      <c r="AB1087" s="264"/>
      <c r="AC1087" s="264"/>
      <c r="AD1087" s="264"/>
      <c r="AE1087" s="264"/>
    </row>
    <row r="1088">
      <c r="A1088" s="272"/>
      <c r="B1088" s="272"/>
      <c r="C1088" s="272"/>
      <c r="D1088" s="172"/>
      <c r="E1088" s="267" t="str">
        <f t="shared" si="22"/>
        <v/>
      </c>
      <c r="F1088" s="274"/>
      <c r="G1088" s="42"/>
      <c r="H1088" s="264"/>
      <c r="I1088" s="277"/>
      <c r="J1088" s="276" t="str">
        <f>IF(ISBLANK(I1088), "", VLOOKUP(E1088&amp;" "&amp;F1088, 'Info Tipo de Cambio y REM'!$A$24:$B$35, 2, FALSE))
</f>
        <v/>
      </c>
      <c r="K1088" s="107"/>
      <c r="L1088" s="293"/>
      <c r="M1088" s="293"/>
      <c r="N1088" s="293"/>
      <c r="O1088" s="277"/>
      <c r="P1088" s="264"/>
      <c r="Q1088" s="264"/>
      <c r="R1088" s="264"/>
      <c r="S1088" s="264"/>
      <c r="T1088" s="264"/>
      <c r="U1088" s="264"/>
      <c r="V1088" s="264"/>
      <c r="W1088" s="264"/>
      <c r="X1088" s="264"/>
      <c r="Y1088" s="264"/>
      <c r="Z1088" s="264"/>
      <c r="AA1088" s="264"/>
      <c r="AB1088" s="264"/>
      <c r="AC1088" s="264"/>
      <c r="AD1088" s="264"/>
      <c r="AE1088" s="264"/>
    </row>
    <row r="1089">
      <c r="A1089" s="272"/>
      <c r="B1089" s="272"/>
      <c r="C1089" s="272"/>
      <c r="D1089" s="172"/>
      <c r="E1089" s="267" t="str">
        <f t="shared" si="22"/>
        <v/>
      </c>
      <c r="F1089" s="274"/>
      <c r="G1089" s="42"/>
      <c r="H1089" s="264"/>
      <c r="I1089" s="277"/>
      <c r="J1089" s="276" t="str">
        <f>IF(ISBLANK(I1089), "", VLOOKUP(E1089&amp;" "&amp;F1089, 'Info Tipo de Cambio y REM'!$A$24:$B$35, 2, FALSE))
</f>
        <v/>
      </c>
      <c r="K1089" s="107"/>
      <c r="L1089" s="293"/>
      <c r="M1089" s="293"/>
      <c r="N1089" s="293"/>
      <c r="O1089" s="277"/>
      <c r="P1089" s="264"/>
      <c r="Q1089" s="264"/>
      <c r="R1089" s="264"/>
      <c r="S1089" s="264"/>
      <c r="T1089" s="264"/>
      <c r="U1089" s="264"/>
      <c r="V1089" s="264"/>
      <c r="W1089" s="264"/>
      <c r="X1089" s="264"/>
      <c r="Y1089" s="264"/>
      <c r="Z1089" s="264"/>
      <c r="AA1089" s="264"/>
      <c r="AB1089" s="264"/>
      <c r="AC1089" s="264"/>
      <c r="AD1089" s="264"/>
      <c r="AE1089" s="264"/>
    </row>
    <row r="1090">
      <c r="A1090" s="272"/>
      <c r="B1090" s="272"/>
      <c r="C1090" s="272"/>
      <c r="D1090" s="172"/>
      <c r="E1090" s="267" t="str">
        <f t="shared" si="22"/>
        <v/>
      </c>
      <c r="F1090" s="274"/>
      <c r="G1090" s="42"/>
      <c r="H1090" s="264"/>
      <c r="I1090" s="277"/>
      <c r="J1090" s="276" t="str">
        <f>IF(ISBLANK(I1090), "", VLOOKUP(E1090&amp;" "&amp;F1090, 'Info Tipo de Cambio y REM'!$A$24:$B$35, 2, FALSE))
</f>
        <v/>
      </c>
      <c r="K1090" s="107"/>
      <c r="L1090" s="293"/>
      <c r="M1090" s="293"/>
      <c r="N1090" s="293"/>
      <c r="O1090" s="277"/>
      <c r="P1090" s="264"/>
      <c r="Q1090" s="264"/>
      <c r="R1090" s="264"/>
      <c r="S1090" s="264"/>
      <c r="T1090" s="264"/>
      <c r="U1090" s="264"/>
      <c r="V1090" s="264"/>
      <c r="W1090" s="264"/>
      <c r="X1090" s="264"/>
      <c r="Y1090" s="264"/>
      <c r="Z1090" s="264"/>
      <c r="AA1090" s="264"/>
      <c r="AB1090" s="264"/>
      <c r="AC1090" s="264"/>
      <c r="AD1090" s="264"/>
      <c r="AE1090" s="264"/>
    </row>
    <row r="1091">
      <c r="A1091" s="272"/>
      <c r="B1091" s="272"/>
      <c r="C1091" s="272"/>
      <c r="D1091" s="172"/>
      <c r="E1091" s="267" t="str">
        <f t="shared" si="22"/>
        <v/>
      </c>
      <c r="F1091" s="274"/>
      <c r="G1091" s="42"/>
      <c r="H1091" s="264"/>
      <c r="I1091" s="277"/>
      <c r="J1091" s="276" t="str">
        <f>IF(ISBLANK(I1091), "", VLOOKUP(E1091&amp;" "&amp;F1091, 'Info Tipo de Cambio y REM'!$A$24:$B$35, 2, FALSE))
</f>
        <v/>
      </c>
      <c r="K1091" s="107"/>
      <c r="L1091" s="293"/>
      <c r="M1091" s="293"/>
      <c r="N1091" s="293"/>
      <c r="O1091" s="277"/>
      <c r="P1091" s="264"/>
      <c r="Q1091" s="264"/>
      <c r="R1091" s="264"/>
      <c r="S1091" s="264"/>
      <c r="T1091" s="264"/>
      <c r="U1091" s="264"/>
      <c r="V1091" s="264"/>
      <c r="W1091" s="264"/>
      <c r="X1091" s="264"/>
      <c r="Y1091" s="264"/>
      <c r="Z1091" s="264"/>
      <c r="AA1091" s="264"/>
      <c r="AB1091" s="264"/>
      <c r="AC1091" s="264"/>
      <c r="AD1091" s="264"/>
      <c r="AE1091" s="264"/>
    </row>
    <row r="1092">
      <c r="A1092" s="272"/>
      <c r="B1092" s="272"/>
      <c r="C1092" s="272"/>
      <c r="D1092" s="172"/>
      <c r="E1092" s="267" t="str">
        <f t="shared" si="22"/>
        <v/>
      </c>
      <c r="F1092" s="274"/>
      <c r="G1092" s="42"/>
      <c r="H1092" s="264"/>
      <c r="I1092" s="277"/>
      <c r="J1092" s="276" t="str">
        <f>IF(ISBLANK(I1092), "", VLOOKUP(E1092&amp;" "&amp;F1092, 'Info Tipo de Cambio y REM'!$A$24:$B$35, 2, FALSE))
</f>
        <v/>
      </c>
      <c r="K1092" s="107"/>
      <c r="L1092" s="293"/>
      <c r="M1092" s="293"/>
      <c r="N1092" s="293"/>
      <c r="O1092" s="277"/>
      <c r="P1092" s="264"/>
      <c r="Q1092" s="264"/>
      <c r="R1092" s="264"/>
      <c r="S1092" s="264"/>
      <c r="T1092" s="264"/>
      <c r="U1092" s="264"/>
      <c r="V1092" s="264"/>
      <c r="W1092" s="264"/>
      <c r="X1092" s="264"/>
      <c r="Y1092" s="264"/>
      <c r="Z1092" s="264"/>
      <c r="AA1092" s="264"/>
      <c r="AB1092" s="264"/>
      <c r="AC1092" s="264"/>
      <c r="AD1092" s="264"/>
      <c r="AE1092" s="264"/>
    </row>
    <row r="1093">
      <c r="A1093" s="272"/>
      <c r="B1093" s="272"/>
      <c r="C1093" s="272"/>
      <c r="D1093" s="172"/>
      <c r="E1093" s="267" t="str">
        <f t="shared" si="22"/>
        <v/>
      </c>
      <c r="F1093" s="274"/>
      <c r="G1093" s="42"/>
      <c r="H1093" s="264"/>
      <c r="I1093" s="277"/>
      <c r="J1093" s="276" t="str">
        <f>IF(ISBLANK(I1093), "", VLOOKUP(E1093&amp;" "&amp;F1093, 'Info Tipo de Cambio y REM'!$A$24:$B$35, 2, FALSE))
</f>
        <v/>
      </c>
      <c r="K1093" s="107"/>
      <c r="L1093" s="293"/>
      <c r="M1093" s="293"/>
      <c r="N1093" s="293"/>
      <c r="O1093" s="277"/>
      <c r="P1093" s="264"/>
      <c r="Q1093" s="264"/>
      <c r="R1093" s="264"/>
      <c r="S1093" s="264"/>
      <c r="T1093" s="264"/>
      <c r="U1093" s="264"/>
      <c r="V1093" s="264"/>
      <c r="W1093" s="264"/>
      <c r="X1093" s="264"/>
      <c r="Y1093" s="264"/>
      <c r="Z1093" s="264"/>
      <c r="AA1093" s="264"/>
      <c r="AB1093" s="264"/>
      <c r="AC1093" s="264"/>
      <c r="AD1093" s="264"/>
      <c r="AE1093" s="264"/>
    </row>
    <row r="1094">
      <c r="A1094" s="272"/>
      <c r="B1094" s="272"/>
      <c r="C1094" s="272"/>
      <c r="D1094" s="172"/>
      <c r="E1094" s="267" t="str">
        <f t="shared" si="22"/>
        <v/>
      </c>
      <c r="F1094" s="274"/>
      <c r="G1094" s="42"/>
      <c r="H1094" s="264"/>
      <c r="I1094" s="277"/>
      <c r="J1094" s="276" t="str">
        <f>IF(ISBLANK(I1094), "", VLOOKUP(E1094&amp;" "&amp;F1094, 'Info Tipo de Cambio y REM'!$A$24:$B$35, 2, FALSE))
</f>
        <v/>
      </c>
      <c r="K1094" s="107"/>
      <c r="L1094" s="293"/>
      <c r="M1094" s="293"/>
      <c r="N1094" s="293"/>
      <c r="O1094" s="277"/>
      <c r="P1094" s="264"/>
      <c r="Q1094" s="264"/>
      <c r="R1094" s="264"/>
      <c r="S1094" s="264"/>
      <c r="T1094" s="264"/>
      <c r="U1094" s="264"/>
      <c r="V1094" s="264"/>
      <c r="W1094" s="264"/>
      <c r="X1094" s="264"/>
      <c r="Y1094" s="264"/>
      <c r="Z1094" s="264"/>
      <c r="AA1094" s="264"/>
      <c r="AB1094" s="264"/>
      <c r="AC1094" s="264"/>
      <c r="AD1094" s="264"/>
      <c r="AE1094" s="264"/>
    </row>
    <row r="1095">
      <c r="A1095" s="272"/>
      <c r="B1095" s="272"/>
      <c r="C1095" s="272"/>
      <c r="D1095" s="172"/>
      <c r="E1095" s="267" t="str">
        <f t="shared" si="22"/>
        <v/>
      </c>
      <c r="F1095" s="274"/>
      <c r="G1095" s="42"/>
      <c r="H1095" s="264"/>
      <c r="I1095" s="277"/>
      <c r="J1095" s="276" t="str">
        <f>IF(ISBLANK(I1095), "", VLOOKUP(E1095&amp;" "&amp;F1095, 'Info Tipo de Cambio y REM'!$A$24:$B$35, 2, FALSE))
</f>
        <v/>
      </c>
      <c r="K1095" s="107"/>
      <c r="L1095" s="293"/>
      <c r="M1095" s="293"/>
      <c r="N1095" s="293"/>
      <c r="O1095" s="277"/>
      <c r="P1095" s="264"/>
      <c r="Q1095" s="264"/>
      <c r="R1095" s="264"/>
      <c r="S1095" s="264"/>
      <c r="T1095" s="264"/>
      <c r="U1095" s="264"/>
      <c r="V1095" s="264"/>
      <c r="W1095" s="264"/>
      <c r="X1095" s="264"/>
      <c r="Y1095" s="264"/>
      <c r="Z1095" s="264"/>
      <c r="AA1095" s="264"/>
      <c r="AB1095" s="264"/>
      <c r="AC1095" s="264"/>
      <c r="AD1095" s="264"/>
      <c r="AE1095" s="264"/>
    </row>
    <row r="1096">
      <c r="A1096" s="272"/>
      <c r="B1096" s="272"/>
      <c r="C1096" s="272"/>
      <c r="D1096" s="172"/>
      <c r="E1096" s="267" t="str">
        <f t="shared" si="22"/>
        <v/>
      </c>
      <c r="F1096" s="274"/>
      <c r="G1096" s="42"/>
      <c r="H1096" s="264"/>
      <c r="I1096" s="277"/>
      <c r="J1096" s="276" t="str">
        <f>IF(ISBLANK(I1096), "", VLOOKUP(E1096&amp;" "&amp;F1096, 'Info Tipo de Cambio y REM'!$A$24:$B$35, 2, FALSE))
</f>
        <v/>
      </c>
      <c r="K1096" s="107"/>
      <c r="L1096" s="293"/>
      <c r="M1096" s="293"/>
      <c r="N1096" s="293"/>
      <c r="O1096" s="277"/>
      <c r="P1096" s="264"/>
      <c r="Q1096" s="264"/>
      <c r="R1096" s="264"/>
      <c r="S1096" s="264"/>
      <c r="T1096" s="264"/>
      <c r="U1096" s="264"/>
      <c r="V1096" s="264"/>
      <c r="W1096" s="264"/>
      <c r="X1096" s="264"/>
      <c r="Y1096" s="264"/>
      <c r="Z1096" s="264"/>
      <c r="AA1096" s="264"/>
      <c r="AB1096" s="264"/>
      <c r="AC1096" s="264"/>
      <c r="AD1096" s="264"/>
      <c r="AE1096" s="264"/>
    </row>
    <row r="1097">
      <c r="A1097" s="272"/>
      <c r="B1097" s="272"/>
      <c r="C1097" s="272"/>
      <c r="D1097" s="172"/>
      <c r="E1097" s="267" t="str">
        <f t="shared" si="22"/>
        <v/>
      </c>
      <c r="F1097" s="274"/>
      <c r="G1097" s="42"/>
      <c r="H1097" s="264"/>
      <c r="I1097" s="277"/>
      <c r="J1097" s="276" t="str">
        <f>IF(ISBLANK(I1097), "", VLOOKUP(E1097&amp;" "&amp;F1097, 'Info Tipo de Cambio y REM'!$A$24:$B$35, 2, FALSE))
</f>
        <v/>
      </c>
      <c r="K1097" s="107"/>
      <c r="L1097" s="293"/>
      <c r="M1097" s="293"/>
      <c r="N1097" s="293"/>
      <c r="O1097" s="277"/>
      <c r="P1097" s="264"/>
      <c r="Q1097" s="264"/>
      <c r="R1097" s="264"/>
      <c r="S1097" s="264"/>
      <c r="T1097" s="264"/>
      <c r="U1097" s="264"/>
      <c r="V1097" s="264"/>
      <c r="W1097" s="264"/>
      <c r="X1097" s="264"/>
      <c r="Y1097" s="264"/>
      <c r="Z1097" s="264"/>
      <c r="AA1097" s="264"/>
      <c r="AB1097" s="264"/>
      <c r="AC1097" s="264"/>
      <c r="AD1097" s="264"/>
      <c r="AE1097" s="264"/>
    </row>
    <row r="1098">
      <c r="A1098" s="272"/>
      <c r="B1098" s="272"/>
      <c r="C1098" s="272"/>
      <c r="D1098" s="172"/>
      <c r="E1098" s="267" t="str">
        <f t="shared" si="22"/>
        <v/>
      </c>
      <c r="F1098" s="274"/>
      <c r="G1098" s="42"/>
      <c r="H1098" s="264"/>
      <c r="I1098" s="277"/>
      <c r="J1098" s="276" t="str">
        <f>IF(ISBLANK(I1098), "", VLOOKUP(E1098&amp;" "&amp;F1098, 'Info Tipo de Cambio y REM'!$A$24:$B$35, 2, FALSE))
</f>
        <v/>
      </c>
      <c r="K1098" s="107"/>
      <c r="L1098" s="293"/>
      <c r="M1098" s="293"/>
      <c r="N1098" s="293"/>
      <c r="O1098" s="277"/>
      <c r="P1098" s="264"/>
      <c r="Q1098" s="264"/>
      <c r="R1098" s="264"/>
      <c r="S1098" s="264"/>
      <c r="T1098" s="264"/>
      <c r="U1098" s="264"/>
      <c r="V1098" s="264"/>
      <c r="W1098" s="264"/>
      <c r="X1098" s="264"/>
      <c r="Y1098" s="264"/>
      <c r="Z1098" s="264"/>
      <c r="AA1098" s="264"/>
      <c r="AB1098" s="264"/>
      <c r="AC1098" s="264"/>
      <c r="AD1098" s="264"/>
      <c r="AE1098" s="264"/>
    </row>
    <row r="1099">
      <c r="A1099" s="272"/>
      <c r="B1099" s="272"/>
      <c r="C1099" s="272"/>
      <c r="D1099" s="172"/>
      <c r="E1099" s="267" t="str">
        <f t="shared" si="22"/>
        <v/>
      </c>
      <c r="F1099" s="274"/>
      <c r="G1099" s="42"/>
      <c r="H1099" s="264"/>
      <c r="I1099" s="277"/>
      <c r="J1099" s="276" t="str">
        <f>IF(ISBLANK(I1099), "", VLOOKUP(E1099&amp;" "&amp;F1099, 'Info Tipo de Cambio y REM'!$A$24:$B$35, 2, FALSE))
</f>
        <v/>
      </c>
      <c r="K1099" s="107"/>
      <c r="L1099" s="293"/>
      <c r="M1099" s="293"/>
      <c r="N1099" s="293"/>
      <c r="O1099" s="277"/>
      <c r="P1099" s="264"/>
      <c r="Q1099" s="264"/>
      <c r="R1099" s="264"/>
      <c r="S1099" s="264"/>
      <c r="T1099" s="264"/>
      <c r="U1099" s="264"/>
      <c r="V1099" s="264"/>
      <c r="W1099" s="264"/>
      <c r="X1099" s="264"/>
      <c r="Y1099" s="264"/>
      <c r="Z1099" s="264"/>
      <c r="AA1099" s="264"/>
      <c r="AB1099" s="264"/>
      <c r="AC1099" s="264"/>
      <c r="AD1099" s="264"/>
      <c r="AE1099" s="264"/>
    </row>
    <row r="1100">
      <c r="A1100" s="272"/>
      <c r="B1100" s="272"/>
      <c r="C1100" s="272"/>
      <c r="D1100" s="172"/>
      <c r="E1100" s="267" t="str">
        <f t="shared" si="22"/>
        <v/>
      </c>
      <c r="F1100" s="274"/>
      <c r="G1100" s="42"/>
      <c r="H1100" s="264"/>
      <c r="I1100" s="277"/>
      <c r="J1100" s="276" t="str">
        <f>IF(ISBLANK(I1100), "", VLOOKUP(E1100&amp;" "&amp;F1100, 'Info Tipo de Cambio y REM'!$A$24:$B$35, 2, FALSE))
</f>
        <v/>
      </c>
      <c r="K1100" s="107"/>
      <c r="L1100" s="293"/>
      <c r="M1100" s="293"/>
      <c r="N1100" s="293"/>
      <c r="O1100" s="277"/>
      <c r="P1100" s="264"/>
      <c r="Q1100" s="264"/>
      <c r="R1100" s="264"/>
      <c r="S1100" s="264"/>
      <c r="T1100" s="264"/>
      <c r="U1100" s="264"/>
      <c r="V1100" s="264"/>
      <c r="W1100" s="264"/>
      <c r="X1100" s="264"/>
      <c r="Y1100" s="264"/>
      <c r="Z1100" s="264"/>
      <c r="AA1100" s="264"/>
      <c r="AB1100" s="264"/>
      <c r="AC1100" s="264"/>
      <c r="AD1100" s="264"/>
      <c r="AE1100" s="264"/>
    </row>
    <row r="1101">
      <c r="A1101" s="272"/>
      <c r="B1101" s="272"/>
      <c r="C1101" s="272"/>
      <c r="D1101" s="172"/>
      <c r="E1101" s="267" t="str">
        <f t="shared" si="22"/>
        <v/>
      </c>
      <c r="F1101" s="274"/>
      <c r="G1101" s="42"/>
      <c r="H1101" s="264"/>
      <c r="I1101" s="277"/>
      <c r="J1101" s="276" t="str">
        <f>IF(ISBLANK(I1101), "", VLOOKUP(E1101&amp;" "&amp;F1101, 'Info Tipo de Cambio y REM'!$A$24:$B$35, 2, FALSE))
</f>
        <v/>
      </c>
      <c r="K1101" s="107"/>
      <c r="L1101" s="293"/>
      <c r="M1101" s="293"/>
      <c r="N1101" s="293"/>
      <c r="O1101" s="277"/>
      <c r="P1101" s="264"/>
      <c r="Q1101" s="264"/>
      <c r="R1101" s="264"/>
      <c r="S1101" s="264"/>
      <c r="T1101" s="264"/>
      <c r="U1101" s="264"/>
      <c r="V1101" s="264"/>
      <c r="W1101" s="264"/>
      <c r="X1101" s="264"/>
      <c r="Y1101" s="264"/>
      <c r="Z1101" s="264"/>
      <c r="AA1101" s="264"/>
      <c r="AB1101" s="264"/>
      <c r="AC1101" s="264"/>
      <c r="AD1101" s="264"/>
      <c r="AE1101" s="264"/>
    </row>
    <row r="1102">
      <c r="A1102" s="272"/>
      <c r="B1102" s="272"/>
      <c r="C1102" s="272"/>
      <c r="D1102" s="172"/>
      <c r="E1102" s="267" t="str">
        <f t="shared" si="22"/>
        <v/>
      </c>
      <c r="F1102" s="274"/>
      <c r="G1102" s="42"/>
      <c r="H1102" s="264"/>
      <c r="I1102" s="277"/>
      <c r="J1102" s="276" t="str">
        <f>IF(ISBLANK(I1102), "", VLOOKUP(E1102&amp;" "&amp;F1102, 'Info Tipo de Cambio y REM'!$A$24:$B$35, 2, FALSE))
</f>
        <v/>
      </c>
      <c r="K1102" s="107"/>
      <c r="L1102" s="293"/>
      <c r="M1102" s="293"/>
      <c r="N1102" s="293"/>
      <c r="O1102" s="277"/>
      <c r="P1102" s="264"/>
      <c r="Q1102" s="264"/>
      <c r="R1102" s="264"/>
      <c r="S1102" s="264"/>
      <c r="T1102" s="264"/>
      <c r="U1102" s="264"/>
      <c r="V1102" s="264"/>
      <c r="W1102" s="264"/>
      <c r="X1102" s="264"/>
      <c r="Y1102" s="264"/>
      <c r="Z1102" s="264"/>
      <c r="AA1102" s="264"/>
      <c r="AB1102" s="264"/>
      <c r="AC1102" s="264"/>
      <c r="AD1102" s="264"/>
      <c r="AE1102" s="264"/>
    </row>
    <row r="1103">
      <c r="A1103" s="272"/>
      <c r="B1103" s="272"/>
      <c r="C1103" s="272"/>
      <c r="D1103" s="172"/>
      <c r="E1103" s="267" t="str">
        <f t="shared" si="22"/>
        <v/>
      </c>
      <c r="F1103" s="274"/>
      <c r="G1103" s="42"/>
      <c r="H1103" s="264"/>
      <c r="I1103" s="277"/>
      <c r="J1103" s="276" t="str">
        <f>IF(ISBLANK(I1103), "", VLOOKUP(E1103&amp;" "&amp;F1103, 'Info Tipo de Cambio y REM'!$A$24:$B$35, 2, FALSE))
</f>
        <v/>
      </c>
      <c r="K1103" s="107"/>
      <c r="L1103" s="293"/>
      <c r="M1103" s="293"/>
      <c r="N1103" s="293"/>
      <c r="O1103" s="277"/>
      <c r="P1103" s="264"/>
      <c r="Q1103" s="264"/>
      <c r="R1103" s="264"/>
      <c r="S1103" s="264"/>
      <c r="T1103" s="264"/>
      <c r="U1103" s="264"/>
      <c r="V1103" s="264"/>
      <c r="W1103" s="264"/>
      <c r="X1103" s="264"/>
      <c r="Y1103" s="264"/>
      <c r="Z1103" s="264"/>
      <c r="AA1103" s="264"/>
      <c r="AB1103" s="264"/>
      <c r="AC1103" s="264"/>
      <c r="AD1103" s="264"/>
      <c r="AE1103" s="264"/>
    </row>
    <row r="1104">
      <c r="A1104" s="272"/>
      <c r="B1104" s="272"/>
      <c r="C1104" s="272"/>
      <c r="D1104" s="172"/>
      <c r="E1104" s="267" t="str">
        <f t="shared" si="22"/>
        <v/>
      </c>
      <c r="F1104" s="274"/>
      <c r="G1104" s="42"/>
      <c r="H1104" s="264"/>
      <c r="I1104" s="277"/>
      <c r="J1104" s="276" t="str">
        <f>IF(ISBLANK(I1104), "", VLOOKUP(E1104&amp;" "&amp;F1104, 'Info Tipo de Cambio y REM'!$A$24:$B$35, 2, FALSE))
</f>
        <v/>
      </c>
      <c r="K1104" s="107"/>
      <c r="L1104" s="293"/>
      <c r="M1104" s="293"/>
      <c r="N1104" s="293"/>
      <c r="O1104" s="277"/>
      <c r="P1104" s="264"/>
      <c r="Q1104" s="264"/>
      <c r="R1104" s="264"/>
      <c r="S1104" s="264"/>
      <c r="T1104" s="264"/>
      <c r="U1104" s="264"/>
      <c r="V1104" s="264"/>
      <c r="W1104" s="264"/>
      <c r="X1104" s="264"/>
      <c r="Y1104" s="264"/>
      <c r="Z1104" s="264"/>
      <c r="AA1104" s="264"/>
      <c r="AB1104" s="264"/>
      <c r="AC1104" s="264"/>
      <c r="AD1104" s="264"/>
      <c r="AE1104" s="264"/>
    </row>
    <row r="1105">
      <c r="A1105" s="272"/>
      <c r="B1105" s="272"/>
      <c r="C1105" s="272"/>
      <c r="D1105" s="172"/>
      <c r="E1105" s="267" t="str">
        <f t="shared" si="22"/>
        <v/>
      </c>
      <c r="F1105" s="274"/>
      <c r="G1105" s="42"/>
      <c r="H1105" s="264"/>
      <c r="I1105" s="277"/>
      <c r="J1105" s="276" t="str">
        <f>IF(ISBLANK(I1105), "", VLOOKUP(E1105&amp;" "&amp;F1105, 'Info Tipo de Cambio y REM'!$A$24:$B$35, 2, FALSE))
</f>
        <v/>
      </c>
      <c r="K1105" s="107"/>
      <c r="L1105" s="293"/>
      <c r="M1105" s="293"/>
      <c r="N1105" s="293"/>
      <c r="O1105" s="277"/>
      <c r="P1105" s="264"/>
      <c r="Q1105" s="264"/>
      <c r="R1105" s="264"/>
      <c r="S1105" s="264"/>
      <c r="T1105" s="264"/>
      <c r="U1105" s="264"/>
      <c r="V1105" s="264"/>
      <c r="W1105" s="264"/>
      <c r="X1105" s="264"/>
      <c r="Y1105" s="264"/>
      <c r="Z1105" s="264"/>
      <c r="AA1105" s="264"/>
      <c r="AB1105" s="264"/>
      <c r="AC1105" s="264"/>
      <c r="AD1105" s="264"/>
      <c r="AE1105" s="264"/>
    </row>
    <row r="1106">
      <c r="A1106" s="272"/>
      <c r="B1106" s="272"/>
      <c r="C1106" s="272"/>
      <c r="D1106" s="172"/>
      <c r="E1106" s="267" t="str">
        <f t="shared" si="22"/>
        <v/>
      </c>
      <c r="F1106" s="274"/>
      <c r="G1106" s="42"/>
      <c r="H1106" s="264"/>
      <c r="I1106" s="277"/>
      <c r="J1106" s="276" t="str">
        <f>IF(ISBLANK(I1106), "", VLOOKUP(E1106&amp;" "&amp;F1106, 'Info Tipo de Cambio y REM'!$A$24:$B$35, 2, FALSE))
</f>
        <v/>
      </c>
      <c r="K1106" s="107"/>
      <c r="L1106" s="293"/>
      <c r="M1106" s="293"/>
      <c r="N1106" s="293"/>
      <c r="O1106" s="277"/>
      <c r="P1106" s="264"/>
      <c r="Q1106" s="264"/>
      <c r="R1106" s="264"/>
      <c r="S1106" s="264"/>
      <c r="T1106" s="264"/>
      <c r="U1106" s="264"/>
      <c r="V1106" s="264"/>
      <c r="W1106" s="264"/>
      <c r="X1106" s="264"/>
      <c r="Y1106" s="264"/>
      <c r="Z1106" s="264"/>
      <c r="AA1106" s="264"/>
      <c r="AB1106" s="264"/>
      <c r="AC1106" s="264"/>
      <c r="AD1106" s="264"/>
      <c r="AE1106" s="264"/>
    </row>
    <row r="1107">
      <c r="A1107" s="272"/>
      <c r="B1107" s="272"/>
      <c r="C1107" s="272"/>
      <c r="D1107" s="172"/>
      <c r="E1107" s="267" t="str">
        <f t="shared" si="22"/>
        <v/>
      </c>
      <c r="F1107" s="274"/>
      <c r="G1107" s="42"/>
      <c r="H1107" s="264"/>
      <c r="I1107" s="277"/>
      <c r="J1107" s="276" t="str">
        <f>IF(ISBLANK(I1107), "", VLOOKUP(E1107&amp;" "&amp;F1107, 'Info Tipo de Cambio y REM'!$A$24:$B$35, 2, FALSE))
</f>
        <v/>
      </c>
      <c r="K1107" s="107"/>
      <c r="L1107" s="293"/>
      <c r="M1107" s="293"/>
      <c r="N1107" s="293"/>
      <c r="O1107" s="277"/>
      <c r="P1107" s="264"/>
      <c r="Q1107" s="264"/>
      <c r="R1107" s="264"/>
      <c r="S1107" s="264"/>
      <c r="T1107" s="264"/>
      <c r="U1107" s="264"/>
      <c r="V1107" s="264"/>
      <c r="W1107" s="264"/>
      <c r="X1107" s="264"/>
      <c r="Y1107" s="264"/>
      <c r="Z1107" s="264"/>
      <c r="AA1107" s="264"/>
      <c r="AB1107" s="264"/>
      <c r="AC1107" s="264"/>
      <c r="AD1107" s="264"/>
      <c r="AE1107" s="264"/>
    </row>
    <row r="1108">
      <c r="A1108" s="272"/>
      <c r="B1108" s="272"/>
      <c r="C1108" s="272"/>
      <c r="D1108" s="172"/>
      <c r="E1108" s="267" t="str">
        <f t="shared" si="22"/>
        <v/>
      </c>
      <c r="F1108" s="274"/>
      <c r="G1108" s="42"/>
      <c r="H1108" s="264"/>
      <c r="I1108" s="277"/>
      <c r="J1108" s="276" t="str">
        <f>IF(ISBLANK(I1108), "", VLOOKUP(E1108&amp;" "&amp;F1108, 'Info Tipo de Cambio y REM'!$A$24:$B$35, 2, FALSE))
</f>
        <v/>
      </c>
      <c r="K1108" s="107"/>
      <c r="L1108" s="293"/>
      <c r="M1108" s="293"/>
      <c r="N1108" s="293"/>
      <c r="O1108" s="277"/>
      <c r="P1108" s="264"/>
      <c r="Q1108" s="264"/>
      <c r="R1108" s="264"/>
      <c r="S1108" s="264"/>
      <c r="T1108" s="264"/>
      <c r="U1108" s="264"/>
      <c r="V1108" s="264"/>
      <c r="W1108" s="264"/>
      <c r="X1108" s="264"/>
      <c r="Y1108" s="264"/>
      <c r="Z1108" s="264"/>
      <c r="AA1108" s="264"/>
      <c r="AB1108" s="264"/>
      <c r="AC1108" s="264"/>
      <c r="AD1108" s="264"/>
      <c r="AE1108" s="264"/>
    </row>
    <row r="1109">
      <c r="A1109" s="272"/>
      <c r="B1109" s="272"/>
      <c r="C1109" s="272"/>
      <c r="D1109" s="172"/>
      <c r="E1109" s="267" t="str">
        <f t="shared" si="22"/>
        <v/>
      </c>
      <c r="F1109" s="274"/>
      <c r="G1109" s="42"/>
      <c r="H1109" s="264"/>
      <c r="I1109" s="277"/>
      <c r="J1109" s="276" t="str">
        <f>IF(ISBLANK(I1109), "", VLOOKUP(E1109&amp;" "&amp;F1109, 'Info Tipo de Cambio y REM'!$A$24:$B$35, 2, FALSE))
</f>
        <v/>
      </c>
      <c r="K1109" s="107"/>
      <c r="L1109" s="293"/>
      <c r="M1109" s="293"/>
      <c r="N1109" s="293"/>
      <c r="O1109" s="277"/>
      <c r="P1109" s="264"/>
      <c r="Q1109" s="264"/>
      <c r="R1109" s="264"/>
      <c r="S1109" s="264"/>
      <c r="T1109" s="264"/>
      <c r="U1109" s="264"/>
      <c r="V1109" s="264"/>
      <c r="W1109" s="264"/>
      <c r="X1109" s="264"/>
      <c r="Y1109" s="264"/>
      <c r="Z1109" s="264"/>
      <c r="AA1109" s="264"/>
      <c r="AB1109" s="264"/>
      <c r="AC1109" s="264"/>
      <c r="AD1109" s="264"/>
      <c r="AE1109" s="264"/>
    </row>
    <row r="1110">
      <c r="A1110" s="272"/>
      <c r="B1110" s="272"/>
      <c r="C1110" s="272"/>
      <c r="D1110" s="172"/>
      <c r="E1110" s="267" t="str">
        <f t="shared" si="22"/>
        <v/>
      </c>
      <c r="F1110" s="274"/>
      <c r="G1110" s="42"/>
      <c r="H1110" s="264"/>
      <c r="I1110" s="277"/>
      <c r="J1110" s="276" t="str">
        <f>IF(ISBLANK(I1110), "", VLOOKUP(E1110&amp;" "&amp;F1110, 'Info Tipo de Cambio y REM'!$A$24:$B$35, 2, FALSE))
</f>
        <v/>
      </c>
      <c r="K1110" s="107"/>
      <c r="L1110" s="293"/>
      <c r="M1110" s="293"/>
      <c r="N1110" s="293"/>
      <c r="O1110" s="277"/>
      <c r="P1110" s="264"/>
      <c r="Q1110" s="264"/>
      <c r="R1110" s="264"/>
      <c r="S1110" s="264"/>
      <c r="T1110" s="264"/>
      <c r="U1110" s="264"/>
      <c r="V1110" s="264"/>
      <c r="W1110" s="264"/>
      <c r="X1110" s="264"/>
      <c r="Y1110" s="264"/>
      <c r="Z1110" s="264"/>
      <c r="AA1110" s="264"/>
      <c r="AB1110" s="264"/>
      <c r="AC1110" s="264"/>
      <c r="AD1110" s="264"/>
      <c r="AE1110" s="264"/>
    </row>
    <row r="1111">
      <c r="A1111" s="272"/>
      <c r="B1111" s="272"/>
      <c r="C1111" s="272"/>
      <c r="D1111" s="172"/>
      <c r="E1111" s="267" t="str">
        <f t="shared" si="22"/>
        <v/>
      </c>
      <c r="F1111" s="274"/>
      <c r="G1111" s="42"/>
      <c r="H1111" s="264"/>
      <c r="I1111" s="277"/>
      <c r="J1111" s="276" t="str">
        <f>IF(ISBLANK(I1111), "", VLOOKUP(E1111&amp;" "&amp;F1111, 'Info Tipo de Cambio y REM'!$A$24:$B$35, 2, FALSE))
</f>
        <v/>
      </c>
      <c r="K1111" s="107"/>
      <c r="L1111" s="293"/>
      <c r="M1111" s="293"/>
      <c r="N1111" s="293"/>
      <c r="O1111" s="277"/>
      <c r="P1111" s="264"/>
      <c r="Q1111" s="264"/>
      <c r="R1111" s="264"/>
      <c r="S1111" s="264"/>
      <c r="T1111" s="264"/>
      <c r="U1111" s="264"/>
      <c r="V1111" s="264"/>
      <c r="W1111" s="264"/>
      <c r="X1111" s="264"/>
      <c r="Y1111" s="264"/>
      <c r="Z1111" s="264"/>
      <c r="AA1111" s="264"/>
      <c r="AB1111" s="264"/>
      <c r="AC1111" s="264"/>
      <c r="AD1111" s="264"/>
      <c r="AE1111" s="264"/>
    </row>
    <row r="1112">
      <c r="A1112" s="272"/>
      <c r="B1112" s="272"/>
      <c r="C1112" s="272"/>
      <c r="D1112" s="172"/>
      <c r="E1112" s="267" t="str">
        <f t="shared" si="22"/>
        <v/>
      </c>
      <c r="F1112" s="274"/>
      <c r="G1112" s="42"/>
      <c r="H1112" s="264"/>
      <c r="I1112" s="277"/>
      <c r="J1112" s="276" t="str">
        <f>IF(ISBLANK(I1112), "", VLOOKUP(E1112&amp;" "&amp;F1112, 'Info Tipo de Cambio y REM'!$A$24:$B$35, 2, FALSE))
</f>
        <v/>
      </c>
      <c r="K1112" s="107"/>
      <c r="L1112" s="293"/>
      <c r="M1112" s="293"/>
      <c r="N1112" s="293"/>
      <c r="O1112" s="277"/>
      <c r="P1112" s="264"/>
      <c r="Q1112" s="264"/>
      <c r="R1112" s="264"/>
      <c r="S1112" s="264"/>
      <c r="T1112" s="264"/>
      <c r="U1112" s="264"/>
      <c r="V1112" s="264"/>
      <c r="W1112" s="264"/>
      <c r="X1112" s="264"/>
      <c r="Y1112" s="264"/>
      <c r="Z1112" s="264"/>
      <c r="AA1112" s="264"/>
      <c r="AB1112" s="264"/>
      <c r="AC1112" s="264"/>
      <c r="AD1112" s="264"/>
      <c r="AE1112" s="264"/>
    </row>
    <row r="1113">
      <c r="A1113" s="272"/>
      <c r="B1113" s="272"/>
      <c r="C1113" s="272"/>
      <c r="D1113" s="172"/>
      <c r="E1113" s="267" t="str">
        <f t="shared" si="22"/>
        <v/>
      </c>
      <c r="F1113" s="274"/>
      <c r="G1113" s="42"/>
      <c r="H1113" s="264"/>
      <c r="I1113" s="277"/>
      <c r="J1113" s="276" t="str">
        <f>IF(ISBLANK(I1113), "", VLOOKUP(E1113&amp;" "&amp;F1113, 'Info Tipo de Cambio y REM'!$A$24:$B$35, 2, FALSE))
</f>
        <v/>
      </c>
      <c r="K1113" s="107"/>
      <c r="L1113" s="293"/>
      <c r="M1113" s="293"/>
      <c r="N1113" s="293"/>
      <c r="O1113" s="277"/>
      <c r="P1113" s="264"/>
      <c r="Q1113" s="264"/>
      <c r="R1113" s="264"/>
      <c r="S1113" s="264"/>
      <c r="T1113" s="264"/>
      <c r="U1113" s="264"/>
      <c r="V1113" s="264"/>
      <c r="W1113" s="264"/>
      <c r="X1113" s="264"/>
      <c r="Y1113" s="264"/>
      <c r="Z1113" s="264"/>
      <c r="AA1113" s="264"/>
      <c r="AB1113" s="264"/>
      <c r="AC1113" s="264"/>
      <c r="AD1113" s="264"/>
      <c r="AE1113" s="264"/>
    </row>
    <row r="1114">
      <c r="A1114" s="272"/>
      <c r="B1114" s="272"/>
      <c r="C1114" s="272"/>
      <c r="D1114" s="172"/>
      <c r="E1114" s="267" t="str">
        <f t="shared" si="22"/>
        <v/>
      </c>
      <c r="F1114" s="274"/>
      <c r="G1114" s="42"/>
      <c r="H1114" s="264"/>
      <c r="I1114" s="277"/>
      <c r="J1114" s="276" t="str">
        <f>IF(ISBLANK(I1114), "", VLOOKUP(E1114&amp;" "&amp;F1114, 'Info Tipo de Cambio y REM'!$A$24:$B$35, 2, FALSE))
</f>
        <v/>
      </c>
      <c r="K1114" s="107"/>
      <c r="L1114" s="293"/>
      <c r="M1114" s="293"/>
      <c r="N1114" s="293"/>
      <c r="O1114" s="277"/>
      <c r="P1114" s="264"/>
      <c r="Q1114" s="264"/>
      <c r="R1114" s="264"/>
      <c r="S1114" s="264"/>
      <c r="T1114" s="264"/>
      <c r="U1114" s="264"/>
      <c r="V1114" s="264"/>
      <c r="W1114" s="264"/>
      <c r="X1114" s="264"/>
      <c r="Y1114" s="264"/>
      <c r="Z1114" s="264"/>
      <c r="AA1114" s="264"/>
      <c r="AB1114" s="264"/>
      <c r="AC1114" s="264"/>
      <c r="AD1114" s="264"/>
      <c r="AE1114" s="264"/>
    </row>
    <row r="1115">
      <c r="A1115" s="272"/>
      <c r="B1115" s="272"/>
      <c r="C1115" s="272"/>
      <c r="D1115" s="172"/>
      <c r="E1115" s="267" t="str">
        <f t="shared" si="22"/>
        <v/>
      </c>
      <c r="F1115" s="274"/>
      <c r="G1115" s="42"/>
      <c r="H1115" s="264"/>
      <c r="I1115" s="277"/>
      <c r="J1115" s="276" t="str">
        <f>IF(ISBLANK(I1115), "", VLOOKUP(E1115&amp;" "&amp;F1115, 'Info Tipo de Cambio y REM'!$A$24:$B$35, 2, FALSE))
</f>
        <v/>
      </c>
      <c r="K1115" s="107"/>
      <c r="L1115" s="293"/>
      <c r="M1115" s="293"/>
      <c r="N1115" s="293"/>
      <c r="O1115" s="277"/>
      <c r="P1115" s="264"/>
      <c r="Q1115" s="264"/>
      <c r="R1115" s="264"/>
      <c r="S1115" s="264"/>
      <c r="T1115" s="264"/>
      <c r="U1115" s="264"/>
      <c r="V1115" s="264"/>
      <c r="W1115" s="264"/>
      <c r="X1115" s="264"/>
      <c r="Y1115" s="264"/>
      <c r="Z1115" s="264"/>
      <c r="AA1115" s="264"/>
      <c r="AB1115" s="264"/>
      <c r="AC1115" s="264"/>
      <c r="AD1115" s="264"/>
      <c r="AE1115" s="264"/>
    </row>
    <row r="1116">
      <c r="A1116" s="272"/>
      <c r="B1116" s="272"/>
      <c r="C1116" s="272"/>
      <c r="D1116" s="172"/>
      <c r="E1116" s="267" t="str">
        <f t="shared" si="22"/>
        <v/>
      </c>
      <c r="F1116" s="274"/>
      <c r="G1116" s="42"/>
      <c r="H1116" s="264"/>
      <c r="I1116" s="277"/>
      <c r="J1116" s="276" t="str">
        <f>IF(ISBLANK(I1116), "", VLOOKUP(E1116&amp;" "&amp;F1116, 'Info Tipo de Cambio y REM'!$A$24:$B$35, 2, FALSE))
</f>
        <v/>
      </c>
      <c r="K1116" s="107"/>
      <c r="L1116" s="293"/>
      <c r="M1116" s="293"/>
      <c r="N1116" s="293"/>
      <c r="O1116" s="277"/>
      <c r="P1116" s="264"/>
      <c r="Q1116" s="264"/>
      <c r="R1116" s="264"/>
      <c r="S1116" s="264"/>
      <c r="T1116" s="264"/>
      <c r="U1116" s="264"/>
      <c r="V1116" s="264"/>
      <c r="W1116" s="264"/>
      <c r="X1116" s="264"/>
      <c r="Y1116" s="264"/>
      <c r="Z1116" s="264"/>
      <c r="AA1116" s="264"/>
      <c r="AB1116" s="264"/>
      <c r="AC1116" s="264"/>
      <c r="AD1116" s="264"/>
      <c r="AE1116" s="264"/>
    </row>
    <row r="1117">
      <c r="A1117" s="272"/>
      <c r="B1117" s="272"/>
      <c r="C1117" s="272"/>
      <c r="D1117" s="172"/>
      <c r="E1117" s="267" t="str">
        <f t="shared" si="22"/>
        <v/>
      </c>
      <c r="F1117" s="274"/>
      <c r="G1117" s="42"/>
      <c r="H1117" s="264"/>
      <c r="I1117" s="277"/>
      <c r="J1117" s="276" t="str">
        <f>IF(ISBLANK(I1117), "", VLOOKUP(E1117&amp;" "&amp;F1117, 'Info Tipo de Cambio y REM'!$A$24:$B$35, 2, FALSE))
</f>
        <v/>
      </c>
      <c r="K1117" s="107"/>
      <c r="L1117" s="293"/>
      <c r="M1117" s="293"/>
      <c r="N1117" s="293"/>
      <c r="O1117" s="277"/>
      <c r="P1117" s="264"/>
      <c r="Q1117" s="264"/>
      <c r="R1117" s="264"/>
      <c r="S1117" s="264"/>
      <c r="T1117" s="264"/>
      <c r="U1117" s="264"/>
      <c r="V1117" s="264"/>
      <c r="W1117" s="264"/>
      <c r="X1117" s="264"/>
      <c r="Y1117" s="264"/>
      <c r="Z1117" s="264"/>
      <c r="AA1117" s="264"/>
      <c r="AB1117" s="264"/>
      <c r="AC1117" s="264"/>
      <c r="AD1117" s="264"/>
      <c r="AE1117" s="264"/>
    </row>
    <row r="1118">
      <c r="A1118" s="272"/>
      <c r="B1118" s="272"/>
      <c r="C1118" s="272"/>
      <c r="D1118" s="172"/>
      <c r="E1118" s="267" t="str">
        <f t="shared" si="22"/>
        <v/>
      </c>
      <c r="F1118" s="274"/>
      <c r="G1118" s="42"/>
      <c r="H1118" s="264"/>
      <c r="I1118" s="277"/>
      <c r="J1118" s="276" t="str">
        <f>IF(ISBLANK(I1118), "", VLOOKUP(E1118&amp;" "&amp;F1118, 'Info Tipo de Cambio y REM'!$A$24:$B$35, 2, FALSE))
</f>
        <v/>
      </c>
      <c r="K1118" s="107"/>
      <c r="L1118" s="293"/>
      <c r="M1118" s="293"/>
      <c r="N1118" s="293"/>
      <c r="O1118" s="277"/>
      <c r="P1118" s="264"/>
      <c r="Q1118" s="264"/>
      <c r="R1118" s="264"/>
      <c r="S1118" s="264"/>
      <c r="T1118" s="264"/>
      <c r="U1118" s="264"/>
      <c r="V1118" s="264"/>
      <c r="W1118" s="264"/>
      <c r="X1118" s="264"/>
      <c r="Y1118" s="264"/>
      <c r="Z1118" s="264"/>
      <c r="AA1118" s="264"/>
      <c r="AB1118" s="264"/>
      <c r="AC1118" s="264"/>
      <c r="AD1118" s="264"/>
      <c r="AE1118" s="264"/>
    </row>
    <row r="1119">
      <c r="A1119" s="272"/>
      <c r="B1119" s="272"/>
      <c r="C1119" s="272"/>
      <c r="D1119" s="172"/>
      <c r="E1119" s="267" t="str">
        <f t="shared" si="22"/>
        <v/>
      </c>
      <c r="F1119" s="274"/>
      <c r="G1119" s="42"/>
      <c r="H1119" s="264"/>
      <c r="I1119" s="277"/>
      <c r="J1119" s="276" t="str">
        <f>IF(ISBLANK(I1119), "", VLOOKUP(E1119&amp;" "&amp;F1119, 'Info Tipo de Cambio y REM'!$A$24:$B$35, 2, FALSE))
</f>
        <v/>
      </c>
      <c r="K1119" s="107"/>
      <c r="L1119" s="293"/>
      <c r="M1119" s="293"/>
      <c r="N1119" s="293"/>
      <c r="O1119" s="277"/>
      <c r="P1119" s="264"/>
      <c r="Q1119" s="264"/>
      <c r="R1119" s="264"/>
      <c r="S1119" s="264"/>
      <c r="T1119" s="264"/>
      <c r="U1119" s="264"/>
      <c r="V1119" s="264"/>
      <c r="W1119" s="264"/>
      <c r="X1119" s="264"/>
      <c r="Y1119" s="264"/>
      <c r="Z1119" s="264"/>
      <c r="AA1119" s="264"/>
      <c r="AB1119" s="264"/>
      <c r="AC1119" s="264"/>
      <c r="AD1119" s="264"/>
      <c r="AE1119" s="264"/>
    </row>
    <row r="1120">
      <c r="A1120" s="272"/>
      <c r="B1120" s="272"/>
      <c r="C1120" s="272"/>
      <c r="D1120" s="172"/>
      <c r="E1120" s="267" t="str">
        <f t="shared" si="22"/>
        <v/>
      </c>
      <c r="F1120" s="274"/>
      <c r="G1120" s="42"/>
      <c r="H1120" s="264"/>
      <c r="I1120" s="277"/>
      <c r="J1120" s="276" t="str">
        <f>IF(ISBLANK(I1120), "", VLOOKUP(E1120&amp;" "&amp;F1120, 'Info Tipo de Cambio y REM'!$A$24:$B$35, 2, FALSE))
</f>
        <v/>
      </c>
      <c r="K1120" s="107"/>
      <c r="L1120" s="293"/>
      <c r="M1120" s="293"/>
      <c r="N1120" s="293"/>
      <c r="O1120" s="277"/>
      <c r="P1120" s="264"/>
      <c r="Q1120" s="264"/>
      <c r="R1120" s="264"/>
      <c r="S1120" s="264"/>
      <c r="T1120" s="264"/>
      <c r="U1120" s="264"/>
      <c r="V1120" s="264"/>
      <c r="W1120" s="264"/>
      <c r="X1120" s="264"/>
      <c r="Y1120" s="264"/>
      <c r="Z1120" s="264"/>
      <c r="AA1120" s="264"/>
      <c r="AB1120" s="264"/>
      <c r="AC1120" s="264"/>
      <c r="AD1120" s="264"/>
      <c r="AE1120" s="264"/>
    </row>
    <row r="1121">
      <c r="A1121" s="272"/>
      <c r="B1121" s="272"/>
      <c r="C1121" s="272"/>
      <c r="D1121" s="172"/>
      <c r="E1121" s="267" t="str">
        <f t="shared" si="22"/>
        <v/>
      </c>
      <c r="F1121" s="274"/>
      <c r="G1121" s="42"/>
      <c r="H1121" s="264"/>
      <c r="I1121" s="277"/>
      <c r="J1121" s="276" t="str">
        <f>IF(ISBLANK(I1121), "", VLOOKUP(E1121&amp;" "&amp;F1121, 'Info Tipo de Cambio y REM'!$A$24:$B$35, 2, FALSE))
</f>
        <v/>
      </c>
      <c r="K1121" s="107"/>
      <c r="L1121" s="293"/>
      <c r="M1121" s="293"/>
      <c r="N1121" s="293"/>
      <c r="O1121" s="277"/>
      <c r="P1121" s="264"/>
      <c r="Q1121" s="264"/>
      <c r="R1121" s="264"/>
      <c r="S1121" s="264"/>
      <c r="T1121" s="264"/>
      <c r="U1121" s="264"/>
      <c r="V1121" s="264"/>
      <c r="W1121" s="264"/>
      <c r="X1121" s="264"/>
      <c r="Y1121" s="264"/>
      <c r="Z1121" s="264"/>
      <c r="AA1121" s="264"/>
      <c r="AB1121" s="264"/>
      <c r="AC1121" s="264"/>
      <c r="AD1121" s="264"/>
      <c r="AE1121" s="264"/>
    </row>
    <row r="1122">
      <c r="A1122" s="272"/>
      <c r="B1122" s="272"/>
      <c r="C1122" s="272"/>
      <c r="D1122" s="172"/>
      <c r="E1122" s="267" t="str">
        <f t="shared" si="22"/>
        <v/>
      </c>
      <c r="F1122" s="274"/>
      <c r="G1122" s="42"/>
      <c r="H1122" s="264"/>
      <c r="I1122" s="277"/>
      <c r="J1122" s="276" t="str">
        <f>IF(ISBLANK(I1122), "", VLOOKUP(E1122&amp;" "&amp;F1122, 'Info Tipo de Cambio y REM'!$A$24:$B$35, 2, FALSE))
</f>
        <v/>
      </c>
      <c r="K1122" s="107"/>
      <c r="L1122" s="293"/>
      <c r="M1122" s="293"/>
      <c r="N1122" s="293"/>
      <c r="O1122" s="277"/>
      <c r="P1122" s="264"/>
      <c r="Q1122" s="264"/>
      <c r="R1122" s="264"/>
      <c r="S1122" s="264"/>
      <c r="T1122" s="264"/>
      <c r="U1122" s="264"/>
      <c r="V1122" s="264"/>
      <c r="W1122" s="264"/>
      <c r="X1122" s="264"/>
      <c r="Y1122" s="264"/>
      <c r="Z1122" s="264"/>
      <c r="AA1122" s="264"/>
      <c r="AB1122" s="264"/>
      <c r="AC1122" s="264"/>
      <c r="AD1122" s="264"/>
      <c r="AE1122" s="264"/>
    </row>
    <row r="1123">
      <c r="A1123" s="272"/>
      <c r="B1123" s="272"/>
      <c r="C1123" s="272"/>
      <c r="D1123" s="172"/>
      <c r="E1123" s="267" t="str">
        <f t="shared" si="22"/>
        <v/>
      </c>
      <c r="F1123" s="274"/>
      <c r="G1123" s="42"/>
      <c r="H1123" s="264"/>
      <c r="I1123" s="277"/>
      <c r="J1123" s="276" t="str">
        <f>IF(ISBLANK(I1123), "", VLOOKUP(E1123&amp;" "&amp;F1123, 'Info Tipo de Cambio y REM'!$A$24:$B$35, 2, FALSE))
</f>
        <v/>
      </c>
      <c r="K1123" s="107"/>
      <c r="L1123" s="293"/>
      <c r="M1123" s="293"/>
      <c r="N1123" s="293"/>
      <c r="O1123" s="277"/>
      <c r="P1123" s="264"/>
      <c r="Q1123" s="264"/>
      <c r="R1123" s="264"/>
      <c r="S1123" s="264"/>
      <c r="T1123" s="264"/>
      <c r="U1123" s="264"/>
      <c r="V1123" s="264"/>
      <c r="W1123" s="264"/>
      <c r="X1123" s="264"/>
      <c r="Y1123" s="264"/>
      <c r="Z1123" s="264"/>
      <c r="AA1123" s="264"/>
      <c r="AB1123" s="264"/>
      <c r="AC1123" s="264"/>
      <c r="AD1123" s="264"/>
      <c r="AE1123" s="264"/>
    </row>
    <row r="1124">
      <c r="A1124" s="272"/>
      <c r="B1124" s="272"/>
      <c r="C1124" s="272"/>
      <c r="D1124" s="172"/>
      <c r="E1124" s="267" t="str">
        <f t="shared" si="22"/>
        <v/>
      </c>
      <c r="F1124" s="274"/>
      <c r="G1124" s="42"/>
      <c r="H1124" s="264"/>
      <c r="I1124" s="277"/>
      <c r="J1124" s="276" t="str">
        <f>IF(ISBLANK(I1124), "", VLOOKUP(E1124&amp;" "&amp;F1124, 'Info Tipo de Cambio y REM'!$A$24:$B$35, 2, FALSE))
</f>
        <v/>
      </c>
      <c r="K1124" s="107"/>
      <c r="L1124" s="293"/>
      <c r="M1124" s="293"/>
      <c r="N1124" s="293"/>
      <c r="O1124" s="277"/>
      <c r="P1124" s="264"/>
      <c r="Q1124" s="264"/>
      <c r="R1124" s="264"/>
      <c r="S1124" s="264"/>
      <c r="T1124" s="264"/>
      <c r="U1124" s="264"/>
      <c r="V1124" s="264"/>
      <c r="W1124" s="264"/>
      <c r="X1124" s="264"/>
      <c r="Y1124" s="264"/>
      <c r="Z1124" s="264"/>
      <c r="AA1124" s="264"/>
      <c r="AB1124" s="264"/>
      <c r="AC1124" s="264"/>
      <c r="AD1124" s="264"/>
      <c r="AE1124" s="264"/>
    </row>
    <row r="1125">
      <c r="A1125" s="272"/>
      <c r="B1125" s="272"/>
      <c r="C1125" s="272"/>
      <c r="D1125" s="172"/>
      <c r="E1125" s="267" t="str">
        <f t="shared" si="22"/>
        <v/>
      </c>
      <c r="F1125" s="274"/>
      <c r="G1125" s="42"/>
      <c r="H1125" s="264"/>
      <c r="I1125" s="277"/>
      <c r="J1125" s="276" t="str">
        <f>IF(ISBLANK(I1125), "", VLOOKUP(E1125&amp;" "&amp;F1125, 'Info Tipo de Cambio y REM'!$A$24:$B$35, 2, FALSE))
</f>
        <v/>
      </c>
      <c r="K1125" s="107"/>
      <c r="L1125" s="293"/>
      <c r="M1125" s="293"/>
      <c r="N1125" s="293"/>
      <c r="O1125" s="277"/>
      <c r="P1125" s="264"/>
      <c r="Q1125" s="264"/>
      <c r="R1125" s="264"/>
      <c r="S1125" s="264"/>
      <c r="T1125" s="264"/>
      <c r="U1125" s="264"/>
      <c r="V1125" s="264"/>
      <c r="W1125" s="264"/>
      <c r="X1125" s="264"/>
      <c r="Y1125" s="264"/>
      <c r="Z1125" s="264"/>
      <c r="AA1125" s="264"/>
      <c r="AB1125" s="264"/>
      <c r="AC1125" s="264"/>
      <c r="AD1125" s="264"/>
      <c r="AE1125" s="264"/>
    </row>
    <row r="1126">
      <c r="A1126" s="272"/>
      <c r="B1126" s="272"/>
      <c r="C1126" s="272"/>
      <c r="D1126" s="172"/>
      <c r="E1126" s="267" t="str">
        <f t="shared" si="22"/>
        <v/>
      </c>
      <c r="F1126" s="274"/>
      <c r="G1126" s="42"/>
      <c r="H1126" s="264"/>
      <c r="I1126" s="277"/>
      <c r="J1126" s="276" t="str">
        <f>IF(ISBLANK(I1126), "", VLOOKUP(E1126&amp;" "&amp;F1126, 'Info Tipo de Cambio y REM'!$A$24:$B$35, 2, FALSE))
</f>
        <v/>
      </c>
      <c r="K1126" s="107"/>
      <c r="L1126" s="293"/>
      <c r="M1126" s="293"/>
      <c r="N1126" s="293"/>
      <c r="O1126" s="277"/>
      <c r="P1126" s="264"/>
      <c r="Q1126" s="264"/>
      <c r="R1126" s="264"/>
      <c r="S1126" s="264"/>
      <c r="T1126" s="264"/>
      <c r="U1126" s="264"/>
      <c r="V1126" s="264"/>
      <c r="W1126" s="264"/>
      <c r="X1126" s="264"/>
      <c r="Y1126" s="264"/>
      <c r="Z1126" s="264"/>
      <c r="AA1126" s="264"/>
      <c r="AB1126" s="264"/>
      <c r="AC1126" s="264"/>
      <c r="AD1126" s="264"/>
      <c r="AE1126" s="264"/>
    </row>
    <row r="1127">
      <c r="A1127" s="272"/>
      <c r="B1127" s="272"/>
      <c r="C1127" s="272"/>
      <c r="D1127" s="172"/>
      <c r="E1127" s="267" t="str">
        <f t="shared" si="22"/>
        <v/>
      </c>
      <c r="F1127" s="274"/>
      <c r="G1127" s="42"/>
      <c r="H1127" s="264"/>
      <c r="I1127" s="277"/>
      <c r="J1127" s="276" t="str">
        <f>IF(ISBLANK(I1127), "", VLOOKUP(E1127&amp;" "&amp;F1127, 'Info Tipo de Cambio y REM'!$A$24:$B$35, 2, FALSE))
</f>
        <v/>
      </c>
      <c r="K1127" s="107"/>
      <c r="L1127" s="293"/>
      <c r="M1127" s="293"/>
      <c r="N1127" s="293"/>
      <c r="O1127" s="277"/>
      <c r="P1127" s="264"/>
      <c r="Q1127" s="264"/>
      <c r="R1127" s="264"/>
      <c r="S1127" s="264"/>
      <c r="T1127" s="264"/>
      <c r="U1127" s="264"/>
      <c r="V1127" s="264"/>
      <c r="W1127" s="264"/>
      <c r="X1127" s="264"/>
      <c r="Y1127" s="264"/>
      <c r="Z1127" s="264"/>
      <c r="AA1127" s="264"/>
      <c r="AB1127" s="264"/>
      <c r="AC1127" s="264"/>
      <c r="AD1127" s="264"/>
      <c r="AE1127" s="264"/>
    </row>
    <row r="1128">
      <c r="A1128" s="272"/>
      <c r="B1128" s="272"/>
      <c r="C1128" s="272"/>
      <c r="D1128" s="172"/>
      <c r="E1128" s="267" t="str">
        <f t="shared" si="22"/>
        <v/>
      </c>
      <c r="F1128" s="274"/>
      <c r="G1128" s="42"/>
      <c r="H1128" s="264"/>
      <c r="I1128" s="277"/>
      <c r="J1128" s="276" t="str">
        <f>IF(ISBLANK(I1128), "", VLOOKUP(E1128&amp;" "&amp;F1128, 'Info Tipo de Cambio y REM'!$A$24:$B$35, 2, FALSE))
</f>
        <v/>
      </c>
      <c r="K1128" s="107"/>
      <c r="L1128" s="293"/>
      <c r="M1128" s="293"/>
      <c r="N1128" s="293"/>
      <c r="O1128" s="277"/>
      <c r="P1128" s="264"/>
      <c r="Q1128" s="264"/>
      <c r="R1128" s="264"/>
      <c r="S1128" s="264"/>
      <c r="T1128" s="264"/>
      <c r="U1128" s="264"/>
      <c r="V1128" s="264"/>
      <c r="W1128" s="264"/>
      <c r="X1128" s="264"/>
      <c r="Y1128" s="264"/>
      <c r="Z1128" s="264"/>
      <c r="AA1128" s="264"/>
      <c r="AB1128" s="264"/>
      <c r="AC1128" s="264"/>
      <c r="AD1128" s="264"/>
      <c r="AE1128" s="264"/>
    </row>
    <row r="1129">
      <c r="A1129" s="272"/>
      <c r="B1129" s="272"/>
      <c r="C1129" s="272"/>
      <c r="D1129" s="172"/>
      <c r="E1129" s="267" t="str">
        <f t="shared" si="22"/>
        <v/>
      </c>
      <c r="F1129" s="274"/>
      <c r="G1129" s="42"/>
      <c r="H1129" s="264"/>
      <c r="I1129" s="277"/>
      <c r="J1129" s="276" t="str">
        <f>IF(ISBLANK(I1129), "", VLOOKUP(E1129&amp;" "&amp;F1129, 'Info Tipo de Cambio y REM'!$A$24:$B$35, 2, FALSE))
</f>
        <v/>
      </c>
      <c r="K1129" s="107"/>
      <c r="L1129" s="293"/>
      <c r="M1129" s="293"/>
      <c r="N1129" s="293"/>
      <c r="O1129" s="277"/>
      <c r="P1129" s="264"/>
      <c r="Q1129" s="264"/>
      <c r="R1129" s="264"/>
      <c r="S1129" s="264"/>
      <c r="T1129" s="264"/>
      <c r="U1129" s="264"/>
      <c r="V1129" s="264"/>
      <c r="W1129" s="264"/>
      <c r="X1129" s="264"/>
      <c r="Y1129" s="264"/>
      <c r="Z1129" s="264"/>
      <c r="AA1129" s="264"/>
      <c r="AB1129" s="264"/>
      <c r="AC1129" s="264"/>
      <c r="AD1129" s="264"/>
      <c r="AE1129" s="264"/>
    </row>
    <row r="1130">
      <c r="A1130" s="272"/>
      <c r="B1130" s="272"/>
      <c r="C1130" s="272"/>
      <c r="D1130" s="172"/>
      <c r="E1130" s="267" t="str">
        <f t="shared" si="22"/>
        <v/>
      </c>
      <c r="F1130" s="274"/>
      <c r="G1130" s="42"/>
      <c r="H1130" s="264"/>
      <c r="I1130" s="277"/>
      <c r="J1130" s="276" t="str">
        <f>IF(ISBLANK(I1130), "", VLOOKUP(E1130&amp;" "&amp;F1130, 'Info Tipo de Cambio y REM'!$A$24:$B$35, 2, FALSE))
</f>
        <v/>
      </c>
      <c r="K1130" s="107"/>
      <c r="L1130" s="293"/>
      <c r="M1130" s="293"/>
      <c r="N1130" s="293"/>
      <c r="O1130" s="277"/>
      <c r="P1130" s="264"/>
      <c r="Q1130" s="264"/>
      <c r="R1130" s="264"/>
      <c r="S1130" s="264"/>
      <c r="T1130" s="264"/>
      <c r="U1130" s="264"/>
      <c r="V1130" s="264"/>
      <c r="W1130" s="264"/>
      <c r="X1130" s="264"/>
      <c r="Y1130" s="264"/>
      <c r="Z1130" s="264"/>
      <c r="AA1130" s="264"/>
      <c r="AB1130" s="264"/>
      <c r="AC1130" s="264"/>
      <c r="AD1130" s="264"/>
      <c r="AE1130" s="264"/>
    </row>
    <row r="1131">
      <c r="A1131" s="272"/>
      <c r="B1131" s="272"/>
      <c r="C1131" s="272"/>
      <c r="D1131" s="172"/>
      <c r="E1131" s="267" t="str">
        <f t="shared" si="22"/>
        <v/>
      </c>
      <c r="F1131" s="274"/>
      <c r="G1131" s="42"/>
      <c r="H1131" s="264"/>
      <c r="I1131" s="277"/>
      <c r="J1131" s="276" t="str">
        <f>IF(ISBLANK(I1131), "", VLOOKUP(E1131&amp;" "&amp;F1131, 'Info Tipo de Cambio y REM'!$A$24:$B$35, 2, FALSE))
</f>
        <v/>
      </c>
      <c r="K1131" s="107"/>
      <c r="L1131" s="293"/>
      <c r="M1131" s="293"/>
      <c r="N1131" s="293"/>
      <c r="O1131" s="277"/>
      <c r="P1131" s="264"/>
      <c r="Q1131" s="264"/>
      <c r="R1131" s="264"/>
      <c r="S1131" s="264"/>
      <c r="T1131" s="264"/>
      <c r="U1131" s="264"/>
      <c r="V1131" s="264"/>
      <c r="W1131" s="264"/>
      <c r="X1131" s="264"/>
      <c r="Y1131" s="264"/>
      <c r="Z1131" s="264"/>
      <c r="AA1131" s="264"/>
      <c r="AB1131" s="264"/>
      <c r="AC1131" s="264"/>
      <c r="AD1131" s="264"/>
      <c r="AE1131" s="264"/>
    </row>
    <row r="1132">
      <c r="A1132" s="272"/>
      <c r="B1132" s="272"/>
      <c r="C1132" s="272"/>
      <c r="D1132" s="172"/>
      <c r="E1132" s="267" t="str">
        <f t="shared" si="22"/>
        <v/>
      </c>
      <c r="F1132" s="274"/>
      <c r="G1132" s="42"/>
      <c r="H1132" s="264"/>
      <c r="I1132" s="277"/>
      <c r="J1132" s="276" t="str">
        <f>IF(ISBLANK(I1132), "", VLOOKUP(E1132&amp;" "&amp;F1132, 'Info Tipo de Cambio y REM'!$A$24:$B$35, 2, FALSE))
</f>
        <v/>
      </c>
      <c r="K1132" s="107"/>
      <c r="L1132" s="293"/>
      <c r="M1132" s="293"/>
      <c r="N1132" s="293"/>
      <c r="O1132" s="277"/>
      <c r="P1132" s="264"/>
      <c r="Q1132" s="264"/>
      <c r="R1132" s="264"/>
      <c r="S1132" s="264"/>
      <c r="T1132" s="264"/>
      <c r="U1132" s="264"/>
      <c r="V1132" s="264"/>
      <c r="W1132" s="264"/>
      <c r="X1132" s="264"/>
      <c r="Y1132" s="264"/>
      <c r="Z1132" s="264"/>
      <c r="AA1132" s="264"/>
      <c r="AB1132" s="264"/>
      <c r="AC1132" s="264"/>
      <c r="AD1132" s="264"/>
      <c r="AE1132" s="264"/>
    </row>
    <row r="1133">
      <c r="A1133" s="272"/>
      <c r="B1133" s="272"/>
      <c r="C1133" s="272"/>
      <c r="D1133" s="172"/>
      <c r="E1133" s="267" t="str">
        <f t="shared" si="22"/>
        <v/>
      </c>
      <c r="F1133" s="274"/>
      <c r="G1133" s="42"/>
      <c r="H1133" s="264"/>
      <c r="I1133" s="277"/>
      <c r="J1133" s="276" t="str">
        <f>IF(ISBLANK(I1133), "", VLOOKUP(E1133&amp;" "&amp;F1133, 'Info Tipo de Cambio y REM'!$A$24:$B$35, 2, FALSE))
</f>
        <v/>
      </c>
      <c r="K1133" s="107"/>
      <c r="L1133" s="293"/>
      <c r="M1133" s="293"/>
      <c r="N1133" s="293"/>
      <c r="O1133" s="277"/>
      <c r="P1133" s="264"/>
      <c r="Q1133" s="264"/>
      <c r="R1133" s="264"/>
      <c r="S1133" s="264"/>
      <c r="T1133" s="264"/>
      <c r="U1133" s="264"/>
      <c r="V1133" s="264"/>
      <c r="W1133" s="264"/>
      <c r="X1133" s="264"/>
      <c r="Y1133" s="264"/>
      <c r="Z1133" s="264"/>
      <c r="AA1133" s="264"/>
      <c r="AB1133" s="264"/>
      <c r="AC1133" s="264"/>
      <c r="AD1133" s="264"/>
      <c r="AE1133" s="264"/>
    </row>
    <row r="1134">
      <c r="A1134" s="272"/>
      <c r="B1134" s="272"/>
      <c r="C1134" s="272"/>
      <c r="D1134" s="172"/>
      <c r="E1134" s="267" t="str">
        <f t="shared" si="22"/>
        <v/>
      </c>
      <c r="F1134" s="274"/>
      <c r="G1134" s="42"/>
      <c r="H1134" s="264"/>
      <c r="I1134" s="277"/>
      <c r="J1134" s="276" t="str">
        <f>IF(ISBLANK(I1134), "", VLOOKUP(E1134&amp;" "&amp;F1134, 'Info Tipo de Cambio y REM'!$A$24:$B$35, 2, FALSE))
</f>
        <v/>
      </c>
      <c r="K1134" s="107"/>
      <c r="L1134" s="293"/>
      <c r="M1134" s="293"/>
      <c r="N1134" s="293"/>
      <c r="O1134" s="277"/>
      <c r="P1134" s="264"/>
      <c r="Q1134" s="264"/>
      <c r="R1134" s="264"/>
      <c r="S1134" s="264"/>
      <c r="T1134" s="264"/>
      <c r="U1134" s="264"/>
      <c r="V1134" s="264"/>
      <c r="W1134" s="264"/>
      <c r="X1134" s="264"/>
      <c r="Y1134" s="264"/>
      <c r="Z1134" s="264"/>
      <c r="AA1134" s="264"/>
      <c r="AB1134" s="264"/>
      <c r="AC1134" s="264"/>
      <c r="AD1134" s="264"/>
      <c r="AE1134" s="264"/>
    </row>
    <row r="1135">
      <c r="A1135" s="272"/>
      <c r="B1135" s="272"/>
      <c r="C1135" s="272"/>
      <c r="D1135" s="172"/>
      <c r="E1135" s="267" t="str">
        <f t="shared" si="22"/>
        <v/>
      </c>
      <c r="F1135" s="274"/>
      <c r="G1135" s="42"/>
      <c r="H1135" s="264"/>
      <c r="I1135" s="277"/>
      <c r="J1135" s="276" t="str">
        <f>IF(ISBLANK(I1135), "", VLOOKUP(E1135&amp;" "&amp;F1135, 'Info Tipo de Cambio y REM'!$A$24:$B$35, 2, FALSE))
</f>
        <v/>
      </c>
      <c r="K1135" s="107"/>
      <c r="L1135" s="293"/>
      <c r="M1135" s="293"/>
      <c r="N1135" s="293"/>
      <c r="O1135" s="277"/>
      <c r="P1135" s="264"/>
      <c r="Q1135" s="264"/>
      <c r="R1135" s="264"/>
      <c r="S1135" s="264"/>
      <c r="T1135" s="264"/>
      <c r="U1135" s="264"/>
      <c r="V1135" s="264"/>
      <c r="W1135" s="264"/>
      <c r="X1135" s="264"/>
      <c r="Y1135" s="264"/>
      <c r="Z1135" s="264"/>
      <c r="AA1135" s="264"/>
      <c r="AB1135" s="264"/>
      <c r="AC1135" s="264"/>
      <c r="AD1135" s="264"/>
      <c r="AE1135" s="264"/>
    </row>
    <row r="1136">
      <c r="A1136" s="272"/>
      <c r="B1136" s="272"/>
      <c r="C1136" s="272"/>
      <c r="D1136" s="172"/>
      <c r="E1136" s="267" t="str">
        <f t="shared" si="22"/>
        <v/>
      </c>
      <c r="F1136" s="274"/>
      <c r="G1136" s="42"/>
      <c r="H1136" s="264"/>
      <c r="I1136" s="277"/>
      <c r="J1136" s="276" t="str">
        <f>IF(ISBLANK(I1136), "", VLOOKUP(E1136&amp;" "&amp;F1136, 'Info Tipo de Cambio y REM'!$A$24:$B$35, 2, FALSE))
</f>
        <v/>
      </c>
      <c r="K1136" s="107"/>
      <c r="L1136" s="293"/>
      <c r="M1136" s="293"/>
      <c r="N1136" s="293"/>
      <c r="O1136" s="277"/>
      <c r="P1136" s="264"/>
      <c r="Q1136" s="264"/>
      <c r="R1136" s="264"/>
      <c r="S1136" s="264"/>
      <c r="T1136" s="264"/>
      <c r="U1136" s="264"/>
      <c r="V1136" s="264"/>
      <c r="W1136" s="264"/>
      <c r="X1136" s="264"/>
      <c r="Y1136" s="264"/>
      <c r="Z1136" s="264"/>
      <c r="AA1136" s="264"/>
      <c r="AB1136" s="264"/>
      <c r="AC1136" s="264"/>
      <c r="AD1136" s="264"/>
      <c r="AE1136" s="264"/>
    </row>
    <row r="1137">
      <c r="A1137" s="272"/>
      <c r="B1137" s="272"/>
      <c r="C1137" s="272"/>
      <c r="D1137" s="172"/>
      <c r="E1137" s="267" t="str">
        <f t="shared" si="22"/>
        <v/>
      </c>
      <c r="F1137" s="274"/>
      <c r="G1137" s="42"/>
      <c r="H1137" s="264"/>
      <c r="I1137" s="277"/>
      <c r="J1137" s="276" t="str">
        <f>IF(ISBLANK(I1137), "", VLOOKUP(E1137&amp;" "&amp;F1137, 'Info Tipo de Cambio y REM'!$A$24:$B$35, 2, FALSE))
</f>
        <v/>
      </c>
      <c r="K1137" s="107"/>
      <c r="L1137" s="293"/>
      <c r="M1137" s="293"/>
      <c r="N1137" s="293"/>
      <c r="O1137" s="277"/>
      <c r="P1137" s="264"/>
      <c r="Q1137" s="264"/>
      <c r="R1137" s="264"/>
      <c r="S1137" s="264"/>
      <c r="T1137" s="264"/>
      <c r="U1137" s="264"/>
      <c r="V1137" s="264"/>
      <c r="W1137" s="264"/>
      <c r="X1137" s="264"/>
      <c r="Y1137" s="264"/>
      <c r="Z1137" s="264"/>
      <c r="AA1137" s="264"/>
      <c r="AB1137" s="264"/>
      <c r="AC1137" s="264"/>
      <c r="AD1137" s="264"/>
      <c r="AE1137" s="264"/>
    </row>
    <row r="1138">
      <c r="A1138" s="272"/>
      <c r="B1138" s="272"/>
      <c r="C1138" s="272"/>
      <c r="D1138" s="172"/>
      <c r="E1138" s="267" t="str">
        <f t="shared" si="22"/>
        <v/>
      </c>
      <c r="F1138" s="274"/>
      <c r="G1138" s="42"/>
      <c r="H1138" s="264"/>
      <c r="I1138" s="277"/>
      <c r="J1138" s="276" t="str">
        <f>IF(ISBLANK(I1138), "", VLOOKUP(E1138&amp;" "&amp;F1138, 'Info Tipo de Cambio y REM'!$A$24:$B$35, 2, FALSE))
</f>
        <v/>
      </c>
      <c r="K1138" s="107"/>
      <c r="L1138" s="293"/>
      <c r="M1138" s="293"/>
      <c r="N1138" s="293"/>
      <c r="O1138" s="277"/>
      <c r="P1138" s="264"/>
      <c r="Q1138" s="264"/>
      <c r="R1138" s="264"/>
      <c r="S1138" s="264"/>
      <c r="T1138" s="264"/>
      <c r="U1138" s="264"/>
      <c r="V1138" s="264"/>
      <c r="W1138" s="264"/>
      <c r="X1138" s="264"/>
      <c r="Y1138" s="264"/>
      <c r="Z1138" s="264"/>
      <c r="AA1138" s="264"/>
      <c r="AB1138" s="264"/>
      <c r="AC1138" s="264"/>
      <c r="AD1138" s="264"/>
      <c r="AE1138" s="264"/>
    </row>
    <row r="1139">
      <c r="A1139" s="272"/>
      <c r="B1139" s="272"/>
      <c r="C1139" s="272"/>
      <c r="D1139" s="172"/>
      <c r="E1139" s="267" t="str">
        <f t="shared" si="22"/>
        <v/>
      </c>
      <c r="F1139" s="274"/>
      <c r="G1139" s="42"/>
      <c r="H1139" s="264"/>
      <c r="I1139" s="277"/>
      <c r="J1139" s="276" t="str">
        <f>IF(ISBLANK(I1139), "", VLOOKUP(E1139&amp;" "&amp;F1139, 'Info Tipo de Cambio y REM'!$A$24:$B$35, 2, FALSE))
</f>
        <v/>
      </c>
      <c r="K1139" s="107"/>
      <c r="L1139" s="293"/>
      <c r="M1139" s="293"/>
      <c r="N1139" s="293"/>
      <c r="O1139" s="277"/>
      <c r="P1139" s="264"/>
      <c r="Q1139" s="264"/>
      <c r="R1139" s="264"/>
      <c r="S1139" s="264"/>
      <c r="T1139" s="264"/>
      <c r="U1139" s="264"/>
      <c r="V1139" s="264"/>
      <c r="W1139" s="264"/>
      <c r="X1139" s="264"/>
      <c r="Y1139" s="264"/>
      <c r="Z1139" s="264"/>
      <c r="AA1139" s="264"/>
      <c r="AB1139" s="264"/>
      <c r="AC1139" s="264"/>
      <c r="AD1139" s="264"/>
      <c r="AE1139" s="264"/>
    </row>
    <row r="1140">
      <c r="A1140" s="272"/>
      <c r="B1140" s="272"/>
      <c r="C1140" s="272"/>
      <c r="D1140" s="172"/>
      <c r="E1140" s="267" t="str">
        <f t="shared" si="22"/>
        <v/>
      </c>
      <c r="F1140" s="274"/>
      <c r="G1140" s="42"/>
      <c r="H1140" s="264"/>
      <c r="I1140" s="277"/>
      <c r="J1140" s="276" t="str">
        <f>IF(ISBLANK(I1140), "", VLOOKUP(E1140&amp;" "&amp;F1140, 'Info Tipo de Cambio y REM'!$A$24:$B$35, 2, FALSE))
</f>
        <v/>
      </c>
      <c r="K1140" s="107"/>
      <c r="L1140" s="293"/>
      <c r="M1140" s="293"/>
      <c r="N1140" s="293"/>
      <c r="O1140" s="277"/>
      <c r="P1140" s="264"/>
      <c r="Q1140" s="264"/>
      <c r="R1140" s="264"/>
      <c r="S1140" s="264"/>
      <c r="T1140" s="264"/>
      <c r="U1140" s="264"/>
      <c r="V1140" s="264"/>
      <c r="W1140" s="264"/>
      <c r="X1140" s="264"/>
      <c r="Y1140" s="264"/>
      <c r="Z1140" s="264"/>
      <c r="AA1140" s="264"/>
      <c r="AB1140" s="264"/>
      <c r="AC1140" s="264"/>
      <c r="AD1140" s="264"/>
      <c r="AE1140" s="264"/>
    </row>
    <row r="1141">
      <c r="A1141" s="272"/>
      <c r="B1141" s="272"/>
      <c r="C1141" s="272"/>
      <c r="D1141" s="172"/>
      <c r="E1141" s="267" t="str">
        <f t="shared" si="22"/>
        <v/>
      </c>
      <c r="F1141" s="274"/>
      <c r="G1141" s="42"/>
      <c r="H1141" s="264"/>
      <c r="I1141" s="277"/>
      <c r="J1141" s="276" t="str">
        <f>IF(ISBLANK(I1141), "", VLOOKUP(E1141&amp;" "&amp;F1141, 'Info Tipo de Cambio y REM'!$A$24:$B$35, 2, FALSE))
</f>
        <v/>
      </c>
      <c r="K1141" s="107"/>
      <c r="L1141" s="293"/>
      <c r="M1141" s="293"/>
      <c r="N1141" s="293"/>
      <c r="O1141" s="277"/>
      <c r="P1141" s="264"/>
      <c r="Q1141" s="264"/>
      <c r="R1141" s="264"/>
      <c r="S1141" s="264"/>
      <c r="T1141" s="264"/>
      <c r="U1141" s="264"/>
      <c r="V1141" s="264"/>
      <c r="W1141" s="264"/>
      <c r="X1141" s="264"/>
      <c r="Y1141" s="264"/>
      <c r="Z1141" s="264"/>
      <c r="AA1141" s="264"/>
      <c r="AB1141" s="264"/>
      <c r="AC1141" s="264"/>
      <c r="AD1141" s="264"/>
      <c r="AE1141" s="264"/>
    </row>
    <row r="1142">
      <c r="A1142" s="272"/>
      <c r="B1142" s="272"/>
      <c r="C1142" s="272"/>
      <c r="D1142" s="172"/>
      <c r="E1142" s="267" t="str">
        <f t="shared" si="22"/>
        <v/>
      </c>
      <c r="F1142" s="274"/>
      <c r="G1142" s="42"/>
      <c r="H1142" s="264"/>
      <c r="I1142" s="277"/>
      <c r="J1142" s="276" t="str">
        <f>IF(ISBLANK(I1142), "", VLOOKUP(E1142&amp;" "&amp;F1142, 'Info Tipo de Cambio y REM'!$A$24:$B$35, 2, FALSE))
</f>
        <v/>
      </c>
      <c r="K1142" s="107"/>
      <c r="L1142" s="293"/>
      <c r="M1142" s="293"/>
      <c r="N1142" s="293"/>
      <c r="O1142" s="277"/>
      <c r="P1142" s="264"/>
      <c r="Q1142" s="264"/>
      <c r="R1142" s="264"/>
      <c r="S1142" s="264"/>
      <c r="T1142" s="264"/>
      <c r="U1142" s="264"/>
      <c r="V1142" s="264"/>
      <c r="W1142" s="264"/>
      <c r="X1142" s="264"/>
      <c r="Y1142" s="264"/>
      <c r="Z1142" s="264"/>
      <c r="AA1142" s="264"/>
      <c r="AB1142" s="264"/>
      <c r="AC1142" s="264"/>
      <c r="AD1142" s="264"/>
      <c r="AE1142" s="264"/>
    </row>
    <row r="1143">
      <c r="A1143" s="272"/>
      <c r="B1143" s="272"/>
      <c r="C1143" s="272"/>
      <c r="D1143" s="172"/>
      <c r="E1143" s="267" t="str">
        <f t="shared" si="22"/>
        <v/>
      </c>
      <c r="F1143" s="274"/>
      <c r="G1143" s="42"/>
      <c r="H1143" s="264"/>
      <c r="I1143" s="277"/>
      <c r="J1143" s="276" t="str">
        <f>IF(ISBLANK(I1143), "", VLOOKUP(E1143&amp;" "&amp;F1143, 'Info Tipo de Cambio y REM'!$A$24:$B$35, 2, FALSE))
</f>
        <v/>
      </c>
      <c r="K1143" s="107"/>
      <c r="L1143" s="293"/>
      <c r="M1143" s="293"/>
      <c r="N1143" s="293"/>
      <c r="O1143" s="277"/>
      <c r="P1143" s="264"/>
      <c r="Q1143" s="264"/>
      <c r="R1143" s="264"/>
      <c r="S1143" s="264"/>
      <c r="T1143" s="264"/>
      <c r="U1143" s="264"/>
      <c r="V1143" s="264"/>
      <c r="W1143" s="264"/>
      <c r="X1143" s="264"/>
      <c r="Y1143" s="264"/>
      <c r="Z1143" s="264"/>
      <c r="AA1143" s="264"/>
      <c r="AB1143" s="264"/>
      <c r="AC1143" s="264"/>
      <c r="AD1143" s="264"/>
      <c r="AE1143" s="264"/>
    </row>
    <row r="1144">
      <c r="A1144" s="272"/>
      <c r="B1144" s="272"/>
      <c r="C1144" s="272"/>
      <c r="D1144" s="172"/>
      <c r="E1144" s="267" t="str">
        <f t="shared" si="22"/>
        <v/>
      </c>
      <c r="F1144" s="274"/>
      <c r="G1144" s="42"/>
      <c r="H1144" s="264"/>
      <c r="I1144" s="277"/>
      <c r="J1144" s="276" t="str">
        <f>IF(ISBLANK(I1144), "", VLOOKUP(E1144&amp;" "&amp;F1144, 'Info Tipo de Cambio y REM'!$A$24:$B$35, 2, FALSE))
</f>
        <v/>
      </c>
      <c r="K1144" s="107"/>
      <c r="L1144" s="293"/>
      <c r="M1144" s="293"/>
      <c r="N1144" s="293"/>
      <c r="O1144" s="277"/>
      <c r="P1144" s="264"/>
      <c r="Q1144" s="264"/>
      <c r="R1144" s="264"/>
      <c r="S1144" s="264"/>
      <c r="T1144" s="264"/>
      <c r="U1144" s="264"/>
      <c r="V1144" s="264"/>
      <c r="W1144" s="264"/>
      <c r="X1144" s="264"/>
      <c r="Y1144" s="264"/>
      <c r="Z1144" s="264"/>
      <c r="AA1144" s="264"/>
      <c r="AB1144" s="264"/>
      <c r="AC1144" s="264"/>
      <c r="AD1144" s="264"/>
      <c r="AE1144" s="264"/>
    </row>
    <row r="1145">
      <c r="A1145" s="272"/>
      <c r="B1145" s="272"/>
      <c r="C1145" s="272"/>
      <c r="D1145" s="172"/>
      <c r="E1145" s="267" t="str">
        <f t="shared" si="22"/>
        <v/>
      </c>
      <c r="F1145" s="274"/>
      <c r="G1145" s="42"/>
      <c r="H1145" s="264"/>
      <c r="I1145" s="277"/>
      <c r="J1145" s="276" t="str">
        <f>IF(ISBLANK(I1145), "", VLOOKUP(E1145&amp;" "&amp;F1145, 'Info Tipo de Cambio y REM'!$A$24:$B$35, 2, FALSE))
</f>
        <v/>
      </c>
      <c r="K1145" s="107"/>
      <c r="L1145" s="293"/>
      <c r="M1145" s="293"/>
      <c r="N1145" s="293"/>
      <c r="O1145" s="277"/>
      <c r="P1145" s="264"/>
      <c r="Q1145" s="264"/>
      <c r="R1145" s="264"/>
      <c r="S1145" s="264"/>
      <c r="T1145" s="264"/>
      <c r="U1145" s="264"/>
      <c r="V1145" s="264"/>
      <c r="W1145" s="264"/>
      <c r="X1145" s="264"/>
      <c r="Y1145" s="264"/>
      <c r="Z1145" s="264"/>
      <c r="AA1145" s="264"/>
      <c r="AB1145" s="264"/>
      <c r="AC1145" s="264"/>
      <c r="AD1145" s="264"/>
      <c r="AE1145" s="264"/>
    </row>
    <row r="1146">
      <c r="A1146" s="272"/>
      <c r="B1146" s="272"/>
      <c r="C1146" s="272"/>
      <c r="D1146" s="172"/>
      <c r="E1146" s="267" t="str">
        <f t="shared" si="22"/>
        <v/>
      </c>
      <c r="F1146" s="274"/>
      <c r="G1146" s="42"/>
      <c r="H1146" s="264"/>
      <c r="I1146" s="277"/>
      <c r="J1146" s="276" t="str">
        <f>IF(ISBLANK(I1146), "", VLOOKUP(E1146&amp;" "&amp;F1146, 'Info Tipo de Cambio y REM'!$A$24:$B$35, 2, FALSE))
</f>
        <v/>
      </c>
      <c r="K1146" s="107"/>
      <c r="L1146" s="293"/>
      <c r="M1146" s="293"/>
      <c r="N1146" s="293"/>
      <c r="O1146" s="277"/>
      <c r="P1146" s="264"/>
      <c r="Q1146" s="264"/>
      <c r="R1146" s="264"/>
      <c r="S1146" s="264"/>
      <c r="T1146" s="264"/>
      <c r="U1146" s="264"/>
      <c r="V1146" s="264"/>
      <c r="W1146" s="264"/>
      <c r="X1146" s="264"/>
      <c r="Y1146" s="264"/>
      <c r="Z1146" s="264"/>
      <c r="AA1146" s="264"/>
      <c r="AB1146" s="264"/>
      <c r="AC1146" s="264"/>
      <c r="AD1146" s="264"/>
      <c r="AE1146" s="264"/>
    </row>
    <row r="1147">
      <c r="A1147" s="272"/>
      <c r="B1147" s="272"/>
      <c r="C1147" s="272"/>
      <c r="D1147" s="172"/>
      <c r="E1147" s="267" t="str">
        <f t="shared" si="22"/>
        <v/>
      </c>
      <c r="F1147" s="274"/>
      <c r="G1147" s="42"/>
      <c r="H1147" s="264"/>
      <c r="I1147" s="277"/>
      <c r="J1147" s="276" t="str">
        <f>IF(ISBLANK(I1147), "", VLOOKUP(E1147&amp;" "&amp;F1147, 'Info Tipo de Cambio y REM'!$A$24:$B$35, 2, FALSE))
</f>
        <v/>
      </c>
      <c r="K1147" s="107"/>
      <c r="L1147" s="293"/>
      <c r="M1147" s="293"/>
      <c r="N1147" s="293"/>
      <c r="O1147" s="277"/>
      <c r="P1147" s="264"/>
      <c r="Q1147" s="264"/>
      <c r="R1147" s="264"/>
      <c r="S1147" s="264"/>
      <c r="T1147" s="264"/>
      <c r="U1147" s="264"/>
      <c r="V1147" s="264"/>
      <c r="W1147" s="264"/>
      <c r="X1147" s="264"/>
      <c r="Y1147" s="264"/>
      <c r="Z1147" s="264"/>
      <c r="AA1147" s="264"/>
      <c r="AB1147" s="264"/>
      <c r="AC1147" s="264"/>
      <c r="AD1147" s="264"/>
      <c r="AE1147" s="264"/>
    </row>
    <row r="1148">
      <c r="A1148" s="272"/>
      <c r="B1148" s="272"/>
      <c r="C1148" s="272"/>
      <c r="D1148" s="172"/>
      <c r="E1148" s="267" t="str">
        <f t="shared" si="22"/>
        <v/>
      </c>
      <c r="F1148" s="274"/>
      <c r="G1148" s="42"/>
      <c r="H1148" s="264"/>
      <c r="I1148" s="277"/>
      <c r="J1148" s="276" t="str">
        <f>IF(ISBLANK(I1148), "", VLOOKUP(E1148&amp;" "&amp;F1148, 'Info Tipo de Cambio y REM'!$A$24:$B$35, 2, FALSE))
</f>
        <v/>
      </c>
      <c r="K1148" s="107"/>
      <c r="L1148" s="293"/>
      <c r="M1148" s="293"/>
      <c r="N1148" s="293"/>
      <c r="O1148" s="277"/>
      <c r="P1148" s="264"/>
      <c r="Q1148" s="264"/>
      <c r="R1148" s="264"/>
      <c r="S1148" s="264"/>
      <c r="T1148" s="264"/>
      <c r="U1148" s="264"/>
      <c r="V1148" s="264"/>
      <c r="W1148" s="264"/>
      <c r="X1148" s="264"/>
      <c r="Y1148" s="264"/>
      <c r="Z1148" s="264"/>
      <c r="AA1148" s="264"/>
      <c r="AB1148" s="264"/>
      <c r="AC1148" s="264"/>
      <c r="AD1148" s="264"/>
      <c r="AE1148" s="264"/>
    </row>
    <row r="1149">
      <c r="A1149" s="272"/>
      <c r="B1149" s="272"/>
      <c r="C1149" s="272"/>
      <c r="D1149" s="172"/>
      <c r="E1149" s="267" t="str">
        <f t="shared" si="22"/>
        <v/>
      </c>
      <c r="F1149" s="274"/>
      <c r="G1149" s="42"/>
      <c r="H1149" s="264"/>
      <c r="I1149" s="277"/>
      <c r="J1149" s="276" t="str">
        <f>IF(ISBLANK(I1149), "", VLOOKUP(E1149&amp;" "&amp;F1149, 'Info Tipo de Cambio y REM'!$A$24:$B$35, 2, FALSE))
</f>
        <v/>
      </c>
      <c r="K1149" s="107"/>
      <c r="L1149" s="293"/>
      <c r="M1149" s="293"/>
      <c r="N1149" s="293"/>
      <c r="O1149" s="277"/>
      <c r="P1149" s="264"/>
      <c r="Q1149" s="264"/>
      <c r="R1149" s="264"/>
      <c r="S1149" s="264"/>
      <c r="T1149" s="264"/>
      <c r="U1149" s="264"/>
      <c r="V1149" s="264"/>
      <c r="W1149" s="264"/>
      <c r="X1149" s="264"/>
      <c r="Y1149" s="264"/>
      <c r="Z1149" s="264"/>
      <c r="AA1149" s="264"/>
      <c r="AB1149" s="264"/>
      <c r="AC1149" s="264"/>
      <c r="AD1149" s="264"/>
      <c r="AE1149" s="264"/>
    </row>
    <row r="1150">
      <c r="A1150" s="272"/>
      <c r="B1150" s="272"/>
      <c r="C1150" s="272"/>
      <c r="D1150" s="172"/>
      <c r="E1150" s="267" t="str">
        <f t="shared" si="22"/>
        <v/>
      </c>
      <c r="F1150" s="274"/>
      <c r="G1150" s="42"/>
      <c r="H1150" s="264"/>
      <c r="I1150" s="277"/>
      <c r="J1150" s="276" t="str">
        <f>IF(ISBLANK(I1150), "", VLOOKUP(E1150&amp;" "&amp;F1150, 'Info Tipo de Cambio y REM'!$A$24:$B$35, 2, FALSE))
</f>
        <v/>
      </c>
      <c r="K1150" s="107"/>
      <c r="L1150" s="293"/>
      <c r="M1150" s="293"/>
      <c r="N1150" s="293"/>
      <c r="O1150" s="277"/>
      <c r="P1150" s="264"/>
      <c r="Q1150" s="264"/>
      <c r="R1150" s="264"/>
      <c r="S1150" s="264"/>
      <c r="T1150" s="264"/>
      <c r="U1150" s="264"/>
      <c r="V1150" s="264"/>
      <c r="W1150" s="264"/>
      <c r="X1150" s="264"/>
      <c r="Y1150" s="264"/>
      <c r="Z1150" s="264"/>
      <c r="AA1150" s="264"/>
      <c r="AB1150" s="264"/>
      <c r="AC1150" s="264"/>
      <c r="AD1150" s="264"/>
      <c r="AE1150" s="264"/>
    </row>
    <row r="1151">
      <c r="A1151" s="272"/>
      <c r="B1151" s="272"/>
      <c r="C1151" s="272"/>
      <c r="D1151" s="172"/>
      <c r="E1151" s="267" t="str">
        <f t="shared" si="22"/>
        <v/>
      </c>
      <c r="F1151" s="274"/>
      <c r="G1151" s="42"/>
      <c r="H1151" s="264"/>
      <c r="I1151" s="277"/>
      <c r="J1151" s="276" t="str">
        <f>IF(ISBLANK(I1151), "", VLOOKUP(E1151&amp;" "&amp;F1151, 'Info Tipo de Cambio y REM'!$A$24:$B$35, 2, FALSE))
</f>
        <v/>
      </c>
      <c r="K1151" s="107"/>
      <c r="L1151" s="293"/>
      <c r="M1151" s="293"/>
      <c r="N1151" s="293"/>
      <c r="O1151" s="277"/>
      <c r="P1151" s="264"/>
      <c r="Q1151" s="264"/>
      <c r="R1151" s="264"/>
      <c r="S1151" s="264"/>
      <c r="T1151" s="264"/>
      <c r="U1151" s="264"/>
      <c r="V1151" s="264"/>
      <c r="W1151" s="264"/>
      <c r="X1151" s="264"/>
      <c r="Y1151" s="264"/>
      <c r="Z1151" s="264"/>
      <c r="AA1151" s="264"/>
      <c r="AB1151" s="264"/>
      <c r="AC1151" s="264"/>
      <c r="AD1151" s="264"/>
      <c r="AE1151" s="264"/>
    </row>
    <row r="1152">
      <c r="A1152" s="272"/>
      <c r="B1152" s="272"/>
      <c r="C1152" s="272"/>
      <c r="D1152" s="172"/>
      <c r="E1152" s="267" t="str">
        <f t="shared" si="22"/>
        <v/>
      </c>
      <c r="F1152" s="274"/>
      <c r="G1152" s="42"/>
      <c r="H1152" s="264"/>
      <c r="I1152" s="277"/>
      <c r="J1152" s="276" t="str">
        <f>IF(ISBLANK(I1152), "", VLOOKUP(E1152&amp;" "&amp;F1152, 'Info Tipo de Cambio y REM'!$A$24:$B$35, 2, FALSE))
</f>
        <v/>
      </c>
      <c r="K1152" s="107"/>
      <c r="L1152" s="293"/>
      <c r="M1152" s="293"/>
      <c r="N1152" s="293"/>
      <c r="O1152" s="277"/>
      <c r="P1152" s="264"/>
      <c r="Q1152" s="264"/>
      <c r="R1152" s="264"/>
      <c r="S1152" s="264"/>
      <c r="T1152" s="264"/>
      <c r="U1152" s="264"/>
      <c r="V1152" s="264"/>
      <c r="W1152" s="264"/>
      <c r="X1152" s="264"/>
      <c r="Y1152" s="264"/>
      <c r="Z1152" s="264"/>
      <c r="AA1152" s="264"/>
      <c r="AB1152" s="264"/>
      <c r="AC1152" s="264"/>
      <c r="AD1152" s="264"/>
      <c r="AE1152" s="264"/>
    </row>
    <row r="1153">
      <c r="A1153" s="272"/>
      <c r="B1153" s="272"/>
      <c r="C1153" s="272"/>
      <c r="D1153" s="172"/>
      <c r="E1153" s="267" t="str">
        <f t="shared" si="22"/>
        <v/>
      </c>
      <c r="F1153" s="274"/>
      <c r="G1153" s="42"/>
      <c r="H1153" s="264"/>
      <c r="I1153" s="277"/>
      <c r="J1153" s="276" t="str">
        <f>IF(ISBLANK(I1153), "", VLOOKUP(E1153&amp;" "&amp;F1153, 'Info Tipo de Cambio y REM'!$A$24:$B$35, 2, FALSE))
</f>
        <v/>
      </c>
      <c r="K1153" s="107"/>
      <c r="L1153" s="293"/>
      <c r="M1153" s="293"/>
      <c r="N1153" s="293"/>
      <c r="O1153" s="277"/>
      <c r="P1153" s="264"/>
      <c r="Q1153" s="264"/>
      <c r="R1153" s="264"/>
      <c r="S1153" s="264"/>
      <c r="T1153" s="264"/>
      <c r="U1153" s="264"/>
      <c r="V1153" s="264"/>
      <c r="W1153" s="264"/>
      <c r="X1153" s="264"/>
      <c r="Y1153" s="264"/>
      <c r="Z1153" s="264"/>
      <c r="AA1153" s="264"/>
      <c r="AB1153" s="264"/>
      <c r="AC1153" s="264"/>
      <c r="AD1153" s="264"/>
      <c r="AE1153" s="264"/>
    </row>
    <row r="1154">
      <c r="A1154" s="272"/>
      <c r="B1154" s="272"/>
      <c r="C1154" s="272"/>
      <c r="D1154" s="172"/>
      <c r="E1154" s="267" t="str">
        <f t="shared" si="22"/>
        <v/>
      </c>
      <c r="F1154" s="274"/>
      <c r="G1154" s="42"/>
      <c r="H1154" s="264"/>
      <c r="I1154" s="277"/>
      <c r="J1154" s="276" t="str">
        <f>IF(ISBLANK(I1154), "", VLOOKUP(E1154&amp;" "&amp;F1154, 'Info Tipo de Cambio y REM'!$A$24:$B$35, 2, FALSE))
</f>
        <v/>
      </c>
      <c r="K1154" s="107"/>
      <c r="L1154" s="293"/>
      <c r="M1154" s="293"/>
      <c r="N1154" s="293"/>
      <c r="O1154" s="277"/>
      <c r="P1154" s="264"/>
      <c r="Q1154" s="264"/>
      <c r="R1154" s="264"/>
      <c r="S1154" s="264"/>
      <c r="T1154" s="264"/>
      <c r="U1154" s="264"/>
      <c r="V1154" s="264"/>
      <c r="W1154" s="264"/>
      <c r="X1154" s="264"/>
      <c r="Y1154" s="264"/>
      <c r="Z1154" s="264"/>
      <c r="AA1154" s="264"/>
      <c r="AB1154" s="264"/>
      <c r="AC1154" s="264"/>
      <c r="AD1154" s="264"/>
      <c r="AE1154" s="264"/>
    </row>
    <row r="1155">
      <c r="A1155" s="272"/>
      <c r="B1155" s="272"/>
      <c r="C1155" s="272"/>
      <c r="D1155" s="172"/>
      <c r="E1155" s="267" t="str">
        <f t="shared" si="22"/>
        <v/>
      </c>
      <c r="F1155" s="274"/>
      <c r="G1155" s="42"/>
      <c r="H1155" s="264"/>
      <c r="I1155" s="277"/>
      <c r="J1155" s="276" t="str">
        <f>IF(ISBLANK(I1155), "", VLOOKUP(E1155&amp;" "&amp;F1155, 'Info Tipo de Cambio y REM'!$A$24:$B$35, 2, FALSE))
</f>
        <v/>
      </c>
      <c r="K1155" s="107"/>
      <c r="L1155" s="293"/>
      <c r="M1155" s="293"/>
      <c r="N1155" s="293"/>
      <c r="O1155" s="277"/>
      <c r="P1155" s="264"/>
      <c r="Q1155" s="264"/>
      <c r="R1155" s="264"/>
      <c r="S1155" s="264"/>
      <c r="T1155" s="264"/>
      <c r="U1155" s="264"/>
      <c r="V1155" s="264"/>
      <c r="W1155" s="264"/>
      <c r="X1155" s="264"/>
      <c r="Y1155" s="264"/>
      <c r="Z1155" s="264"/>
      <c r="AA1155" s="264"/>
      <c r="AB1155" s="264"/>
      <c r="AC1155" s="264"/>
      <c r="AD1155" s="264"/>
      <c r="AE1155" s="264"/>
    </row>
    <row r="1156">
      <c r="A1156" s="272"/>
      <c r="B1156" s="272"/>
      <c r="C1156" s="272"/>
      <c r="D1156" s="172"/>
      <c r="E1156" s="267" t="str">
        <f t="shared" si="22"/>
        <v/>
      </c>
      <c r="F1156" s="274"/>
      <c r="G1156" s="42"/>
      <c r="H1156" s="264"/>
      <c r="I1156" s="277"/>
      <c r="J1156" s="276" t="str">
        <f>IF(ISBLANK(I1156), "", VLOOKUP(E1156&amp;" "&amp;F1156, 'Info Tipo de Cambio y REM'!$A$24:$B$35, 2, FALSE))
</f>
        <v/>
      </c>
      <c r="K1156" s="107"/>
      <c r="L1156" s="293"/>
      <c r="M1156" s="293"/>
      <c r="N1156" s="293"/>
      <c r="O1156" s="277"/>
      <c r="P1156" s="264"/>
      <c r="Q1156" s="264"/>
      <c r="R1156" s="264"/>
      <c r="S1156" s="264"/>
      <c r="T1156" s="264"/>
      <c r="U1156" s="264"/>
      <c r="V1156" s="264"/>
      <c r="W1156" s="264"/>
      <c r="X1156" s="264"/>
      <c r="Y1156" s="264"/>
      <c r="Z1156" s="264"/>
      <c r="AA1156" s="264"/>
      <c r="AB1156" s="264"/>
      <c r="AC1156" s="264"/>
      <c r="AD1156" s="264"/>
      <c r="AE1156" s="264"/>
    </row>
    <row r="1157">
      <c r="A1157" s="272"/>
      <c r="B1157" s="272"/>
      <c r="C1157" s="272"/>
      <c r="D1157" s="172"/>
      <c r="E1157" s="267" t="str">
        <f t="shared" si="22"/>
        <v/>
      </c>
      <c r="F1157" s="274"/>
      <c r="G1157" s="42"/>
      <c r="H1157" s="264"/>
      <c r="I1157" s="277"/>
      <c r="J1157" s="276" t="str">
        <f>IF(ISBLANK(I1157), "", VLOOKUP(E1157&amp;" "&amp;F1157, 'Info Tipo de Cambio y REM'!$A$24:$B$35, 2, FALSE))
</f>
        <v/>
      </c>
      <c r="K1157" s="107"/>
      <c r="L1157" s="293"/>
      <c r="M1157" s="293"/>
      <c r="N1157" s="293"/>
      <c r="O1157" s="277"/>
      <c r="P1157" s="264"/>
      <c r="Q1157" s="264"/>
      <c r="R1157" s="264"/>
      <c r="S1157" s="264"/>
      <c r="T1157" s="264"/>
      <c r="U1157" s="264"/>
      <c r="V1157" s="264"/>
      <c r="W1157" s="264"/>
      <c r="X1157" s="264"/>
      <c r="Y1157" s="264"/>
      <c r="Z1157" s="264"/>
      <c r="AA1157" s="264"/>
      <c r="AB1157" s="264"/>
      <c r="AC1157" s="264"/>
      <c r="AD1157" s="264"/>
      <c r="AE1157" s="264"/>
    </row>
    <row r="1158">
      <c r="A1158" s="272"/>
      <c r="B1158" s="272"/>
      <c r="C1158" s="272"/>
      <c r="D1158" s="172"/>
      <c r="E1158" s="267" t="str">
        <f t="shared" si="22"/>
        <v/>
      </c>
      <c r="F1158" s="274"/>
      <c r="G1158" s="42"/>
      <c r="H1158" s="264"/>
      <c r="I1158" s="277"/>
      <c r="J1158" s="276" t="str">
        <f>IF(ISBLANK(I1158), "", VLOOKUP(E1158&amp;" "&amp;F1158, 'Info Tipo de Cambio y REM'!$A$24:$B$35, 2, FALSE))
</f>
        <v/>
      </c>
      <c r="K1158" s="107"/>
      <c r="L1158" s="293"/>
      <c r="M1158" s="293"/>
      <c r="N1158" s="293"/>
      <c r="O1158" s="277"/>
      <c r="P1158" s="264"/>
      <c r="Q1158" s="264"/>
      <c r="R1158" s="264"/>
      <c r="S1158" s="264"/>
      <c r="T1158" s="264"/>
      <c r="U1158" s="264"/>
      <c r="V1158" s="264"/>
      <c r="W1158" s="264"/>
      <c r="X1158" s="264"/>
      <c r="Y1158" s="264"/>
      <c r="Z1158" s="264"/>
      <c r="AA1158" s="264"/>
      <c r="AB1158" s="264"/>
      <c r="AC1158" s="264"/>
      <c r="AD1158" s="264"/>
      <c r="AE1158" s="264"/>
    </row>
    <row r="1159">
      <c r="A1159" s="272"/>
      <c r="B1159" s="272"/>
      <c r="C1159" s="272"/>
      <c r="D1159" s="172"/>
      <c r="E1159" s="267" t="str">
        <f t="shared" si="22"/>
        <v/>
      </c>
      <c r="F1159" s="274"/>
      <c r="G1159" s="42"/>
      <c r="H1159" s="264"/>
      <c r="I1159" s="277"/>
      <c r="J1159" s="276" t="str">
        <f>IF(ISBLANK(I1159), "", VLOOKUP(E1159&amp;" "&amp;F1159, 'Info Tipo de Cambio y REM'!$A$24:$B$35, 2, FALSE))
</f>
        <v/>
      </c>
      <c r="K1159" s="107"/>
      <c r="L1159" s="293"/>
      <c r="M1159" s="293"/>
      <c r="N1159" s="293"/>
      <c r="O1159" s="277"/>
      <c r="P1159" s="264"/>
      <c r="Q1159" s="264"/>
      <c r="R1159" s="264"/>
      <c r="S1159" s="264"/>
      <c r="T1159" s="264"/>
      <c r="U1159" s="264"/>
      <c r="V1159" s="264"/>
      <c r="W1159" s="264"/>
      <c r="X1159" s="264"/>
      <c r="Y1159" s="264"/>
      <c r="Z1159" s="264"/>
      <c r="AA1159" s="264"/>
      <c r="AB1159" s="264"/>
      <c r="AC1159" s="264"/>
      <c r="AD1159" s="264"/>
      <c r="AE1159" s="264"/>
    </row>
    <row r="1160">
      <c r="A1160" s="272"/>
      <c r="B1160" s="272"/>
      <c r="C1160" s="272"/>
      <c r="D1160" s="172"/>
      <c r="E1160" s="267" t="str">
        <f t="shared" si="22"/>
        <v/>
      </c>
      <c r="F1160" s="274"/>
      <c r="G1160" s="42"/>
      <c r="H1160" s="264"/>
      <c r="I1160" s="277"/>
      <c r="J1160" s="276" t="str">
        <f>IF(ISBLANK(I1160), "", VLOOKUP(E1160&amp;" "&amp;F1160, 'Info Tipo de Cambio y REM'!$A$24:$B$35, 2, FALSE))
</f>
        <v/>
      </c>
      <c r="K1160" s="107"/>
      <c r="L1160" s="293"/>
      <c r="M1160" s="293"/>
      <c r="N1160" s="293"/>
      <c r="O1160" s="277"/>
      <c r="P1160" s="264"/>
      <c r="Q1160" s="264"/>
      <c r="R1160" s="264"/>
      <c r="S1160" s="264"/>
      <c r="T1160" s="264"/>
      <c r="U1160" s="264"/>
      <c r="V1160" s="264"/>
      <c r="W1160" s="264"/>
      <c r="X1160" s="264"/>
      <c r="Y1160" s="264"/>
      <c r="Z1160" s="264"/>
      <c r="AA1160" s="264"/>
      <c r="AB1160" s="264"/>
      <c r="AC1160" s="264"/>
      <c r="AD1160" s="264"/>
      <c r="AE1160" s="264"/>
    </row>
    <row r="1161">
      <c r="A1161" s="272"/>
      <c r="B1161" s="272"/>
      <c r="C1161" s="272"/>
      <c r="D1161" s="172"/>
      <c r="E1161" s="267" t="str">
        <f t="shared" si="22"/>
        <v/>
      </c>
      <c r="F1161" s="274"/>
      <c r="G1161" s="42"/>
      <c r="H1161" s="264"/>
      <c r="I1161" s="277"/>
      <c r="J1161" s="276" t="str">
        <f>IF(ISBLANK(I1161), "", VLOOKUP(E1161&amp;" "&amp;F1161, 'Info Tipo de Cambio y REM'!$A$24:$B$35, 2, FALSE))
</f>
        <v/>
      </c>
      <c r="K1161" s="107"/>
      <c r="L1161" s="293"/>
      <c r="M1161" s="293"/>
      <c r="N1161" s="293"/>
      <c r="O1161" s="277"/>
      <c r="P1161" s="264"/>
      <c r="Q1161" s="264"/>
      <c r="R1161" s="264"/>
      <c r="S1161" s="264"/>
      <c r="T1161" s="264"/>
      <c r="U1161" s="264"/>
      <c r="V1161" s="264"/>
      <c r="W1161" s="264"/>
      <c r="X1161" s="264"/>
      <c r="Y1161" s="264"/>
      <c r="Z1161" s="264"/>
      <c r="AA1161" s="264"/>
      <c r="AB1161" s="264"/>
      <c r="AC1161" s="264"/>
      <c r="AD1161" s="264"/>
      <c r="AE1161" s="264"/>
    </row>
    <row r="1162">
      <c r="A1162" s="272"/>
      <c r="B1162" s="272"/>
      <c r="C1162" s="272"/>
      <c r="D1162" s="172"/>
      <c r="E1162" s="267" t="str">
        <f t="shared" si="22"/>
        <v/>
      </c>
      <c r="F1162" s="274"/>
      <c r="G1162" s="42"/>
      <c r="H1162" s="264"/>
      <c r="I1162" s="277"/>
      <c r="J1162" s="276" t="str">
        <f>IF(ISBLANK(I1162), "", VLOOKUP(E1162&amp;" "&amp;F1162, 'Info Tipo de Cambio y REM'!$A$24:$B$35, 2, FALSE))
</f>
        <v/>
      </c>
      <c r="K1162" s="107"/>
      <c r="L1162" s="293"/>
      <c r="M1162" s="293"/>
      <c r="N1162" s="293"/>
      <c r="O1162" s="277"/>
      <c r="P1162" s="264"/>
      <c r="Q1162" s="264"/>
      <c r="R1162" s="264"/>
      <c r="S1162" s="264"/>
      <c r="T1162" s="264"/>
      <c r="U1162" s="264"/>
      <c r="V1162" s="264"/>
      <c r="W1162" s="264"/>
      <c r="X1162" s="264"/>
      <c r="Y1162" s="264"/>
      <c r="Z1162" s="264"/>
      <c r="AA1162" s="264"/>
      <c r="AB1162" s="264"/>
      <c r="AC1162" s="264"/>
      <c r="AD1162" s="264"/>
      <c r="AE1162" s="264"/>
    </row>
    <row r="1163">
      <c r="A1163" s="272"/>
      <c r="B1163" s="272"/>
      <c r="C1163" s="272"/>
      <c r="D1163" s="172"/>
      <c r="E1163" s="267" t="str">
        <f t="shared" si="22"/>
        <v/>
      </c>
      <c r="F1163" s="274"/>
      <c r="G1163" s="42"/>
      <c r="H1163" s="264"/>
      <c r="I1163" s="277"/>
      <c r="J1163" s="276" t="str">
        <f>IF(ISBLANK(I1163), "", VLOOKUP(E1163&amp;" "&amp;F1163, 'Info Tipo de Cambio y REM'!$A$24:$B$35, 2, FALSE))
</f>
        <v/>
      </c>
      <c r="K1163" s="107"/>
      <c r="L1163" s="293"/>
      <c r="M1163" s="293"/>
      <c r="N1163" s="293"/>
      <c r="O1163" s="277"/>
      <c r="P1163" s="264"/>
      <c r="Q1163" s="264"/>
      <c r="R1163" s="264"/>
      <c r="S1163" s="264"/>
      <c r="T1163" s="264"/>
      <c r="U1163" s="264"/>
      <c r="V1163" s="264"/>
      <c r="W1163" s="264"/>
      <c r="X1163" s="264"/>
      <c r="Y1163" s="264"/>
      <c r="Z1163" s="264"/>
      <c r="AA1163" s="264"/>
      <c r="AB1163" s="264"/>
      <c r="AC1163" s="264"/>
      <c r="AD1163" s="264"/>
      <c r="AE1163" s="264"/>
    </row>
    <row r="1164">
      <c r="A1164" s="272"/>
      <c r="B1164" s="272"/>
      <c r="C1164" s="272"/>
      <c r="D1164" s="172"/>
      <c r="E1164" s="267" t="str">
        <f t="shared" si="22"/>
        <v/>
      </c>
      <c r="F1164" s="274"/>
      <c r="G1164" s="42"/>
      <c r="H1164" s="264"/>
      <c r="I1164" s="277"/>
      <c r="J1164" s="276" t="str">
        <f>IF(ISBLANK(I1164), "", VLOOKUP(E1164&amp;" "&amp;F1164, 'Info Tipo de Cambio y REM'!$A$24:$B$35, 2, FALSE))
</f>
        <v/>
      </c>
      <c r="K1164" s="107"/>
      <c r="L1164" s="293"/>
      <c r="M1164" s="293"/>
      <c r="N1164" s="293"/>
      <c r="O1164" s="277"/>
      <c r="P1164" s="264"/>
      <c r="Q1164" s="264"/>
      <c r="R1164" s="264"/>
      <c r="S1164" s="264"/>
      <c r="T1164" s="264"/>
      <c r="U1164" s="264"/>
      <c r="V1164" s="264"/>
      <c r="W1164" s="264"/>
      <c r="X1164" s="264"/>
      <c r="Y1164" s="264"/>
      <c r="Z1164" s="264"/>
      <c r="AA1164" s="264"/>
      <c r="AB1164" s="264"/>
      <c r="AC1164" s="264"/>
      <c r="AD1164" s="264"/>
      <c r="AE1164" s="264"/>
    </row>
    <row r="1165">
      <c r="A1165" s="272"/>
      <c r="B1165" s="272"/>
      <c r="C1165" s="272"/>
      <c r="D1165" s="172"/>
      <c r="E1165" s="267" t="str">
        <f t="shared" si="22"/>
        <v/>
      </c>
      <c r="F1165" s="274"/>
      <c r="G1165" s="42"/>
      <c r="H1165" s="264"/>
      <c r="I1165" s="277"/>
      <c r="J1165" s="276" t="str">
        <f>IF(ISBLANK(I1165), "", VLOOKUP(E1165&amp;" "&amp;F1165, 'Info Tipo de Cambio y REM'!$A$24:$B$35, 2, FALSE))
</f>
        <v/>
      </c>
      <c r="K1165" s="107"/>
      <c r="L1165" s="293"/>
      <c r="M1165" s="293"/>
      <c r="N1165" s="293"/>
      <c r="O1165" s="277"/>
      <c r="P1165" s="264"/>
      <c r="Q1165" s="264"/>
      <c r="R1165" s="264"/>
      <c r="S1165" s="264"/>
      <c r="T1165" s="264"/>
      <c r="U1165" s="264"/>
      <c r="V1165" s="264"/>
      <c r="W1165" s="264"/>
      <c r="X1165" s="264"/>
      <c r="Y1165" s="264"/>
      <c r="Z1165" s="264"/>
      <c r="AA1165" s="264"/>
      <c r="AB1165" s="264"/>
      <c r="AC1165" s="264"/>
      <c r="AD1165" s="264"/>
      <c r="AE1165" s="264"/>
    </row>
    <row r="1166">
      <c r="A1166" s="272"/>
      <c r="B1166" s="272"/>
      <c r="C1166" s="272"/>
      <c r="D1166" s="172"/>
      <c r="E1166" s="267" t="str">
        <f t="shared" si="22"/>
        <v/>
      </c>
      <c r="F1166" s="274"/>
      <c r="G1166" s="42"/>
      <c r="H1166" s="264"/>
      <c r="I1166" s="277"/>
      <c r="J1166" s="276" t="str">
        <f>IF(ISBLANK(I1166), "", VLOOKUP(E1166&amp;" "&amp;F1166, 'Info Tipo de Cambio y REM'!$A$24:$B$35, 2, FALSE))
</f>
        <v/>
      </c>
      <c r="K1166" s="107"/>
      <c r="L1166" s="293"/>
      <c r="M1166" s="293"/>
      <c r="N1166" s="293"/>
      <c r="O1166" s="277"/>
      <c r="P1166" s="264"/>
      <c r="Q1166" s="264"/>
      <c r="R1166" s="264"/>
      <c r="S1166" s="264"/>
      <c r="T1166" s="264"/>
      <c r="U1166" s="264"/>
      <c r="V1166" s="264"/>
      <c r="W1166" s="264"/>
      <c r="X1166" s="264"/>
      <c r="Y1166" s="264"/>
      <c r="Z1166" s="264"/>
      <c r="AA1166" s="264"/>
      <c r="AB1166" s="264"/>
      <c r="AC1166" s="264"/>
      <c r="AD1166" s="264"/>
      <c r="AE1166" s="264"/>
    </row>
    <row r="1167">
      <c r="A1167" s="272"/>
      <c r="B1167" s="272"/>
      <c r="C1167" s="272"/>
      <c r="D1167" s="172"/>
      <c r="E1167" s="267" t="str">
        <f t="shared" si="22"/>
        <v/>
      </c>
      <c r="F1167" s="274"/>
      <c r="G1167" s="42"/>
      <c r="H1167" s="264"/>
      <c r="I1167" s="277"/>
      <c r="J1167" s="276" t="str">
        <f>IF(ISBLANK(I1167), "", VLOOKUP(E1167&amp;" "&amp;F1167, 'Info Tipo de Cambio y REM'!$A$24:$B$35, 2, FALSE))
</f>
        <v/>
      </c>
      <c r="K1167" s="107"/>
      <c r="L1167" s="293"/>
      <c r="M1167" s="293"/>
      <c r="N1167" s="293"/>
      <c r="O1167" s="277"/>
      <c r="P1167" s="264"/>
      <c r="Q1167" s="264"/>
      <c r="R1167" s="264"/>
      <c r="S1167" s="264"/>
      <c r="T1167" s="264"/>
      <c r="U1167" s="264"/>
      <c r="V1167" s="264"/>
      <c r="W1167" s="264"/>
      <c r="X1167" s="264"/>
      <c r="Y1167" s="264"/>
      <c r="Z1167" s="264"/>
      <c r="AA1167" s="264"/>
      <c r="AB1167" s="264"/>
      <c r="AC1167" s="264"/>
      <c r="AD1167" s="264"/>
      <c r="AE1167" s="264"/>
    </row>
    <row r="1168">
      <c r="A1168" s="272"/>
      <c r="B1168" s="272"/>
      <c r="C1168" s="272"/>
      <c r="D1168" s="172"/>
      <c r="E1168" s="267" t="str">
        <f t="shared" si="22"/>
        <v/>
      </c>
      <c r="F1168" s="274"/>
      <c r="G1168" s="42"/>
      <c r="H1168" s="264"/>
      <c r="I1168" s="277"/>
      <c r="J1168" s="276" t="str">
        <f>IF(ISBLANK(I1168), "", VLOOKUP(E1168&amp;" "&amp;F1168, 'Info Tipo de Cambio y REM'!$A$24:$B$35, 2, FALSE))
</f>
        <v/>
      </c>
      <c r="K1168" s="107"/>
      <c r="L1168" s="293"/>
      <c r="M1168" s="293"/>
      <c r="N1168" s="293"/>
      <c r="O1168" s="277"/>
      <c r="P1168" s="264"/>
      <c r="Q1168" s="264"/>
      <c r="R1168" s="264"/>
      <c r="S1168" s="264"/>
      <c r="T1168" s="264"/>
      <c r="U1168" s="264"/>
      <c r="V1168" s="264"/>
      <c r="W1168" s="264"/>
      <c r="X1168" s="264"/>
      <c r="Y1168" s="264"/>
      <c r="Z1168" s="264"/>
      <c r="AA1168" s="264"/>
      <c r="AB1168" s="264"/>
      <c r="AC1168" s="264"/>
      <c r="AD1168" s="264"/>
      <c r="AE1168" s="264"/>
    </row>
    <row r="1169">
      <c r="A1169" s="272"/>
      <c r="B1169" s="272"/>
      <c r="C1169" s="272"/>
      <c r="D1169" s="172"/>
      <c r="E1169" s="267" t="str">
        <f t="shared" si="22"/>
        <v/>
      </c>
      <c r="F1169" s="274"/>
      <c r="G1169" s="42"/>
      <c r="H1169" s="264"/>
      <c r="I1169" s="277"/>
      <c r="J1169" s="276" t="str">
        <f>IF(ISBLANK(I1169), "", VLOOKUP(E1169&amp;" "&amp;F1169, 'Info Tipo de Cambio y REM'!$A$24:$B$35, 2, FALSE))
</f>
        <v/>
      </c>
      <c r="K1169" s="107"/>
      <c r="L1169" s="293"/>
      <c r="M1169" s="293"/>
      <c r="N1169" s="293"/>
      <c r="O1169" s="277"/>
      <c r="P1169" s="264"/>
      <c r="Q1169" s="264"/>
      <c r="R1169" s="264"/>
      <c r="S1169" s="264"/>
      <c r="T1169" s="264"/>
      <c r="U1169" s="264"/>
      <c r="V1169" s="264"/>
      <c r="W1169" s="264"/>
      <c r="X1169" s="264"/>
      <c r="Y1169" s="264"/>
      <c r="Z1169" s="264"/>
      <c r="AA1169" s="264"/>
      <c r="AB1169" s="264"/>
      <c r="AC1169" s="264"/>
      <c r="AD1169" s="264"/>
      <c r="AE1169" s="264"/>
    </row>
    <row r="1170">
      <c r="A1170" s="272"/>
      <c r="B1170" s="272"/>
      <c r="C1170" s="272"/>
      <c r="D1170" s="172"/>
      <c r="E1170" s="267" t="str">
        <f t="shared" si="22"/>
        <v/>
      </c>
      <c r="F1170" s="274"/>
      <c r="G1170" s="42"/>
      <c r="H1170" s="264"/>
      <c r="I1170" s="277"/>
      <c r="J1170" s="276" t="str">
        <f>IF(ISBLANK(I1170), "", VLOOKUP(E1170&amp;" "&amp;F1170, 'Info Tipo de Cambio y REM'!$A$24:$B$35, 2, FALSE))
</f>
        <v/>
      </c>
      <c r="K1170" s="107"/>
      <c r="L1170" s="293"/>
      <c r="M1170" s="293"/>
      <c r="N1170" s="293"/>
      <c r="O1170" s="277"/>
      <c r="P1170" s="264"/>
      <c r="Q1170" s="264"/>
      <c r="R1170" s="264"/>
      <c r="S1170" s="264"/>
      <c r="T1170" s="264"/>
      <c r="U1170" s="264"/>
      <c r="V1170" s="264"/>
      <c r="W1170" s="264"/>
      <c r="X1170" s="264"/>
      <c r="Y1170" s="264"/>
      <c r="Z1170" s="264"/>
      <c r="AA1170" s="264"/>
      <c r="AB1170" s="264"/>
      <c r="AC1170" s="264"/>
      <c r="AD1170" s="264"/>
      <c r="AE1170" s="264"/>
    </row>
    <row r="1171">
      <c r="A1171" s="272"/>
      <c r="B1171" s="272"/>
      <c r="C1171" s="272"/>
      <c r="D1171" s="172"/>
      <c r="E1171" s="267" t="str">
        <f t="shared" si="22"/>
        <v/>
      </c>
      <c r="F1171" s="274"/>
      <c r="G1171" s="42"/>
      <c r="H1171" s="264"/>
      <c r="I1171" s="277"/>
      <c r="J1171" s="276" t="str">
        <f>IF(ISBLANK(I1171), "", VLOOKUP(E1171&amp;" "&amp;F1171, 'Info Tipo de Cambio y REM'!$A$24:$B$35, 2, FALSE))
</f>
        <v/>
      </c>
      <c r="K1171" s="107"/>
      <c r="L1171" s="293"/>
      <c r="M1171" s="293"/>
      <c r="N1171" s="293"/>
      <c r="O1171" s="277"/>
      <c r="P1171" s="264"/>
      <c r="Q1171" s="264"/>
      <c r="R1171" s="264"/>
      <c r="S1171" s="264"/>
      <c r="T1171" s="264"/>
      <c r="U1171" s="264"/>
      <c r="V1171" s="264"/>
      <c r="W1171" s="264"/>
      <c r="X1171" s="264"/>
      <c r="Y1171" s="264"/>
      <c r="Z1171" s="264"/>
      <c r="AA1171" s="264"/>
      <c r="AB1171" s="264"/>
      <c r="AC1171" s="264"/>
      <c r="AD1171" s="264"/>
      <c r="AE1171" s="264"/>
    </row>
    <row r="1172">
      <c r="A1172" s="272"/>
      <c r="B1172" s="272"/>
      <c r="C1172" s="272"/>
      <c r="D1172" s="172"/>
      <c r="E1172" s="267" t="str">
        <f t="shared" si="22"/>
        <v/>
      </c>
      <c r="F1172" s="274"/>
      <c r="G1172" s="42"/>
      <c r="H1172" s="264"/>
      <c r="I1172" s="277"/>
      <c r="J1172" s="276" t="str">
        <f>IF(ISBLANK(I1172), "", VLOOKUP(E1172&amp;" "&amp;F1172, 'Info Tipo de Cambio y REM'!$A$24:$B$35, 2, FALSE))
</f>
        <v/>
      </c>
      <c r="K1172" s="107"/>
      <c r="L1172" s="293"/>
      <c r="M1172" s="293"/>
      <c r="N1172" s="293"/>
      <c r="O1172" s="277"/>
      <c r="P1172" s="264"/>
      <c r="Q1172" s="264"/>
      <c r="R1172" s="264"/>
      <c r="S1172" s="264"/>
      <c r="T1172" s="264"/>
      <c r="U1172" s="264"/>
      <c r="V1172" s="264"/>
      <c r="W1172" s="264"/>
      <c r="X1172" s="264"/>
      <c r="Y1172" s="264"/>
      <c r="Z1172" s="264"/>
      <c r="AA1172" s="264"/>
      <c r="AB1172" s="264"/>
      <c r="AC1172" s="264"/>
      <c r="AD1172" s="264"/>
      <c r="AE1172" s="264"/>
    </row>
    <row r="1173">
      <c r="A1173" s="272"/>
      <c r="B1173" s="272"/>
      <c r="C1173" s="272"/>
      <c r="D1173" s="172"/>
      <c r="E1173" s="267" t="str">
        <f t="shared" si="22"/>
        <v/>
      </c>
      <c r="F1173" s="274"/>
      <c r="G1173" s="42"/>
      <c r="H1173" s="264"/>
      <c r="I1173" s="277"/>
      <c r="J1173" s="276" t="str">
        <f>IF(ISBLANK(I1173), "", VLOOKUP(E1173&amp;" "&amp;F1173, 'Info Tipo de Cambio y REM'!$A$24:$B$35, 2, FALSE))
</f>
        <v/>
      </c>
      <c r="K1173" s="107"/>
      <c r="L1173" s="293"/>
      <c r="M1173" s="293"/>
      <c r="N1173" s="293"/>
      <c r="O1173" s="277"/>
      <c r="P1173" s="264"/>
      <c r="Q1173" s="264"/>
      <c r="R1173" s="264"/>
      <c r="S1173" s="264"/>
      <c r="T1173" s="264"/>
      <c r="U1173" s="264"/>
      <c r="V1173" s="264"/>
      <c r="W1173" s="264"/>
      <c r="X1173" s="264"/>
      <c r="Y1173" s="264"/>
      <c r="Z1173" s="264"/>
      <c r="AA1173" s="264"/>
      <c r="AB1173" s="264"/>
      <c r="AC1173" s="264"/>
      <c r="AD1173" s="264"/>
      <c r="AE1173" s="264"/>
    </row>
    <row r="1174">
      <c r="A1174" s="272"/>
      <c r="B1174" s="272"/>
      <c r="C1174" s="272"/>
      <c r="D1174" s="172"/>
      <c r="E1174" s="267" t="str">
        <f t="shared" si="22"/>
        <v/>
      </c>
      <c r="F1174" s="274"/>
      <c r="G1174" s="42"/>
      <c r="H1174" s="264"/>
      <c r="I1174" s="277"/>
      <c r="J1174" s="276" t="str">
        <f>IF(ISBLANK(I1174), "", VLOOKUP(E1174&amp;" "&amp;F1174, 'Info Tipo de Cambio y REM'!$A$24:$B$35, 2, FALSE))
</f>
        <v/>
      </c>
      <c r="K1174" s="107"/>
      <c r="L1174" s="293"/>
      <c r="M1174" s="293"/>
      <c r="N1174" s="293"/>
      <c r="O1174" s="277"/>
      <c r="P1174" s="264"/>
      <c r="Q1174" s="264"/>
      <c r="R1174" s="264"/>
      <c r="S1174" s="264"/>
      <c r="T1174" s="264"/>
      <c r="U1174" s="264"/>
      <c r="V1174" s="264"/>
      <c r="W1174" s="264"/>
      <c r="X1174" s="264"/>
      <c r="Y1174" s="264"/>
      <c r="Z1174" s="264"/>
      <c r="AA1174" s="264"/>
      <c r="AB1174" s="264"/>
      <c r="AC1174" s="264"/>
      <c r="AD1174" s="264"/>
      <c r="AE1174" s="264"/>
    </row>
    <row r="1175">
      <c r="A1175" s="272"/>
      <c r="B1175" s="272"/>
      <c r="C1175" s="272"/>
      <c r="D1175" s="172"/>
      <c r="E1175" s="267" t="str">
        <f t="shared" si="22"/>
        <v/>
      </c>
      <c r="F1175" s="274"/>
      <c r="G1175" s="42"/>
      <c r="H1175" s="264"/>
      <c r="I1175" s="277"/>
      <c r="J1175" s="276" t="str">
        <f>IF(ISBLANK(I1175), "", VLOOKUP(E1175&amp;" "&amp;F1175, 'Info Tipo de Cambio y REM'!$A$24:$B$35, 2, FALSE))
</f>
        <v/>
      </c>
      <c r="K1175" s="107"/>
      <c r="L1175" s="293"/>
      <c r="M1175" s="293"/>
      <c r="N1175" s="293"/>
      <c r="O1175" s="277"/>
      <c r="P1175" s="264"/>
      <c r="Q1175" s="264"/>
      <c r="R1175" s="264"/>
      <c r="S1175" s="264"/>
      <c r="T1175" s="264"/>
      <c r="U1175" s="264"/>
      <c r="V1175" s="264"/>
      <c r="W1175" s="264"/>
      <c r="X1175" s="264"/>
      <c r="Y1175" s="264"/>
      <c r="Z1175" s="264"/>
      <c r="AA1175" s="264"/>
      <c r="AB1175" s="264"/>
      <c r="AC1175" s="264"/>
      <c r="AD1175" s="264"/>
      <c r="AE1175" s="264"/>
    </row>
    <row r="1176">
      <c r="A1176" s="272"/>
      <c r="B1176" s="272"/>
      <c r="C1176" s="272"/>
      <c r="D1176" s="172"/>
      <c r="E1176" s="267" t="str">
        <f t="shared" si="22"/>
        <v/>
      </c>
      <c r="F1176" s="274"/>
      <c r="G1176" s="42"/>
      <c r="H1176" s="264"/>
      <c r="I1176" s="277"/>
      <c r="J1176" s="276" t="str">
        <f>IF(ISBLANK(I1176), "", VLOOKUP(E1176&amp;" "&amp;F1176, 'Info Tipo de Cambio y REM'!$A$24:$B$35, 2, FALSE))
</f>
        <v/>
      </c>
      <c r="K1176" s="107"/>
      <c r="L1176" s="293"/>
      <c r="M1176" s="293"/>
      <c r="N1176" s="293"/>
      <c r="O1176" s="277"/>
      <c r="P1176" s="264"/>
      <c r="Q1176" s="264"/>
      <c r="R1176" s="264"/>
      <c r="S1176" s="264"/>
      <c r="T1176" s="264"/>
      <c r="U1176" s="264"/>
      <c r="V1176" s="264"/>
      <c r="W1176" s="264"/>
      <c r="X1176" s="264"/>
      <c r="Y1176" s="264"/>
      <c r="Z1176" s="264"/>
      <c r="AA1176" s="264"/>
      <c r="AB1176" s="264"/>
      <c r="AC1176" s="264"/>
      <c r="AD1176" s="264"/>
      <c r="AE1176" s="264"/>
    </row>
    <row r="1177">
      <c r="A1177" s="272"/>
      <c r="B1177" s="272"/>
      <c r="C1177" s="272"/>
      <c r="D1177" s="172"/>
      <c r="E1177" s="267" t="str">
        <f t="shared" si="22"/>
        <v/>
      </c>
      <c r="F1177" s="274"/>
      <c r="G1177" s="42"/>
      <c r="H1177" s="264"/>
      <c r="I1177" s="277"/>
      <c r="J1177" s="276" t="str">
        <f>IF(ISBLANK(I1177), "", VLOOKUP(E1177&amp;" "&amp;F1177, 'Info Tipo de Cambio y REM'!$A$24:$B$35, 2, FALSE))
</f>
        <v/>
      </c>
      <c r="K1177" s="107"/>
      <c r="L1177" s="293"/>
      <c r="M1177" s="293"/>
      <c r="N1177" s="293"/>
      <c r="O1177" s="277"/>
      <c r="P1177" s="264"/>
      <c r="Q1177" s="264"/>
      <c r="R1177" s="264"/>
      <c r="S1177" s="264"/>
      <c r="T1177" s="264"/>
      <c r="U1177" s="264"/>
      <c r="V1177" s="264"/>
      <c r="W1177" s="264"/>
      <c r="X1177" s="264"/>
      <c r="Y1177" s="264"/>
      <c r="Z1177" s="264"/>
      <c r="AA1177" s="264"/>
      <c r="AB1177" s="264"/>
      <c r="AC1177" s="264"/>
      <c r="AD1177" s="264"/>
      <c r="AE1177" s="264"/>
    </row>
    <row r="1178">
      <c r="A1178" s="272"/>
      <c r="B1178" s="272"/>
      <c r="C1178" s="272"/>
      <c r="D1178" s="172"/>
      <c r="E1178" s="267" t="str">
        <f t="shared" si="22"/>
        <v/>
      </c>
      <c r="F1178" s="274"/>
      <c r="G1178" s="42"/>
      <c r="H1178" s="264"/>
      <c r="I1178" s="277"/>
      <c r="J1178" s="276" t="str">
        <f>IF(ISBLANK(I1178), "", VLOOKUP(E1178&amp;" "&amp;F1178, 'Info Tipo de Cambio y REM'!$A$24:$B$35, 2, FALSE))
</f>
        <v/>
      </c>
      <c r="K1178" s="107"/>
      <c r="L1178" s="293"/>
      <c r="M1178" s="293"/>
      <c r="N1178" s="293"/>
      <c r="O1178" s="277"/>
      <c r="P1178" s="264"/>
      <c r="Q1178" s="264"/>
      <c r="R1178" s="264"/>
      <c r="S1178" s="264"/>
      <c r="T1178" s="264"/>
      <c r="U1178" s="264"/>
      <c r="V1178" s="264"/>
      <c r="W1178" s="264"/>
      <c r="X1178" s="264"/>
      <c r="Y1178" s="264"/>
      <c r="Z1178" s="264"/>
      <c r="AA1178" s="264"/>
      <c r="AB1178" s="264"/>
      <c r="AC1178" s="264"/>
      <c r="AD1178" s="264"/>
      <c r="AE1178" s="264"/>
    </row>
    <row r="1179">
      <c r="A1179" s="272"/>
      <c r="B1179" s="272"/>
      <c r="C1179" s="272"/>
      <c r="D1179" s="172"/>
      <c r="E1179" s="267" t="str">
        <f t="shared" si="22"/>
        <v/>
      </c>
      <c r="F1179" s="274"/>
      <c r="G1179" s="42"/>
      <c r="H1179" s="264"/>
      <c r="I1179" s="277"/>
      <c r="J1179" s="276" t="str">
        <f>IF(ISBLANK(I1179), "", VLOOKUP(E1179&amp;" "&amp;F1179, 'Info Tipo de Cambio y REM'!$A$24:$B$35, 2, FALSE))
</f>
        <v/>
      </c>
      <c r="K1179" s="107"/>
      <c r="L1179" s="293"/>
      <c r="M1179" s="293"/>
      <c r="N1179" s="293"/>
      <c r="O1179" s="277"/>
      <c r="P1179" s="264"/>
      <c r="Q1179" s="264"/>
      <c r="R1179" s="264"/>
      <c r="S1179" s="264"/>
      <c r="T1179" s="264"/>
      <c r="U1179" s="264"/>
      <c r="V1179" s="264"/>
      <c r="W1179" s="264"/>
      <c r="X1179" s="264"/>
      <c r="Y1179" s="264"/>
      <c r="Z1179" s="264"/>
      <c r="AA1179" s="264"/>
      <c r="AB1179" s="264"/>
      <c r="AC1179" s="264"/>
      <c r="AD1179" s="264"/>
      <c r="AE1179" s="264"/>
    </row>
    <row r="1180">
      <c r="A1180" s="272"/>
      <c r="B1180" s="272"/>
      <c r="C1180" s="272"/>
      <c r="D1180" s="172"/>
      <c r="E1180" s="267" t="str">
        <f t="shared" si="22"/>
        <v/>
      </c>
      <c r="F1180" s="274"/>
      <c r="G1180" s="42"/>
      <c r="H1180" s="264"/>
      <c r="I1180" s="277"/>
      <c r="J1180" s="276" t="str">
        <f>IF(ISBLANK(I1180), "", VLOOKUP(E1180&amp;" "&amp;F1180, 'Info Tipo de Cambio y REM'!$A$24:$B$35, 2, FALSE))
</f>
        <v/>
      </c>
      <c r="K1180" s="107"/>
      <c r="L1180" s="293"/>
      <c r="M1180" s="293"/>
      <c r="N1180" s="293"/>
      <c r="O1180" s="277"/>
      <c r="P1180" s="264"/>
      <c r="Q1180" s="264"/>
      <c r="R1180" s="264"/>
      <c r="S1180" s="264"/>
      <c r="T1180" s="264"/>
      <c r="U1180" s="264"/>
      <c r="V1180" s="264"/>
      <c r="W1180" s="264"/>
      <c r="X1180" s="264"/>
      <c r="Y1180" s="264"/>
      <c r="Z1180" s="264"/>
      <c r="AA1180" s="264"/>
      <c r="AB1180" s="264"/>
      <c r="AC1180" s="264"/>
      <c r="AD1180" s="264"/>
      <c r="AE1180" s="264"/>
    </row>
    <row r="1181">
      <c r="A1181" s="272"/>
      <c r="B1181" s="272"/>
      <c r="C1181" s="272"/>
      <c r="D1181" s="172"/>
      <c r="E1181" s="267" t="str">
        <f t="shared" si="22"/>
        <v/>
      </c>
      <c r="F1181" s="274"/>
      <c r="G1181" s="42"/>
      <c r="H1181" s="264"/>
      <c r="I1181" s="277"/>
      <c r="J1181" s="276" t="str">
        <f>IF(ISBLANK(I1181), "", VLOOKUP(E1181&amp;" "&amp;F1181, 'Info Tipo de Cambio y REM'!$A$24:$B$35, 2, FALSE))
</f>
        <v/>
      </c>
      <c r="K1181" s="107"/>
      <c r="L1181" s="293"/>
      <c r="M1181" s="293"/>
      <c r="N1181" s="293"/>
      <c r="O1181" s="277"/>
      <c r="P1181" s="264"/>
      <c r="Q1181" s="264"/>
      <c r="R1181" s="264"/>
      <c r="S1181" s="264"/>
      <c r="T1181" s="264"/>
      <c r="U1181" s="264"/>
      <c r="V1181" s="264"/>
      <c r="W1181" s="264"/>
      <c r="X1181" s="264"/>
      <c r="Y1181" s="264"/>
      <c r="Z1181" s="264"/>
      <c r="AA1181" s="264"/>
      <c r="AB1181" s="264"/>
      <c r="AC1181" s="264"/>
      <c r="AD1181" s="264"/>
      <c r="AE1181" s="264"/>
    </row>
    <row r="1182">
      <c r="A1182" s="272"/>
      <c r="B1182" s="272"/>
      <c r="C1182" s="272"/>
      <c r="D1182" s="172"/>
      <c r="E1182" s="267" t="str">
        <f t="shared" si="22"/>
        <v/>
      </c>
      <c r="F1182" s="274"/>
      <c r="G1182" s="42"/>
      <c r="H1182" s="264"/>
      <c r="I1182" s="277"/>
      <c r="J1182" s="276" t="str">
        <f>IF(ISBLANK(I1182), "", VLOOKUP(E1182&amp;" "&amp;F1182, 'Info Tipo de Cambio y REM'!$A$24:$B$35, 2, FALSE))
</f>
        <v/>
      </c>
      <c r="K1182" s="107"/>
      <c r="L1182" s="293"/>
      <c r="M1182" s="293"/>
      <c r="N1182" s="293"/>
      <c r="O1182" s="277"/>
      <c r="P1182" s="264"/>
      <c r="Q1182" s="264"/>
      <c r="R1182" s="264"/>
      <c r="S1182" s="264"/>
      <c r="T1182" s="264"/>
      <c r="U1182" s="264"/>
      <c r="V1182" s="264"/>
      <c r="W1182" s="264"/>
      <c r="X1182" s="264"/>
      <c r="Y1182" s="264"/>
      <c r="Z1182" s="264"/>
      <c r="AA1182" s="264"/>
      <c r="AB1182" s="264"/>
      <c r="AC1182" s="264"/>
      <c r="AD1182" s="264"/>
      <c r="AE1182" s="264"/>
    </row>
    <row r="1183">
      <c r="A1183" s="272"/>
      <c r="B1183" s="272"/>
      <c r="C1183" s="272"/>
      <c r="D1183" s="172"/>
      <c r="E1183" s="267" t="str">
        <f t="shared" si="22"/>
        <v/>
      </c>
      <c r="F1183" s="274"/>
      <c r="G1183" s="42"/>
      <c r="H1183" s="264"/>
      <c r="I1183" s="277"/>
      <c r="J1183" s="276" t="str">
        <f>IF(ISBLANK(I1183), "", VLOOKUP(E1183&amp;" "&amp;F1183, 'Info Tipo de Cambio y REM'!$A$24:$B$35, 2, FALSE))
</f>
        <v/>
      </c>
      <c r="K1183" s="107"/>
      <c r="L1183" s="293"/>
      <c r="M1183" s="293"/>
      <c r="N1183" s="293"/>
      <c r="O1183" s="277"/>
      <c r="P1183" s="264"/>
      <c r="Q1183" s="264"/>
      <c r="R1183" s="264"/>
      <c r="S1183" s="264"/>
      <c r="T1183" s="264"/>
      <c r="U1183" s="264"/>
      <c r="V1183" s="264"/>
      <c r="W1183" s="264"/>
      <c r="X1183" s="264"/>
      <c r="Y1183" s="264"/>
      <c r="Z1183" s="264"/>
      <c r="AA1183" s="264"/>
      <c r="AB1183" s="264"/>
      <c r="AC1183" s="264"/>
      <c r="AD1183" s="264"/>
      <c r="AE1183" s="264"/>
    </row>
    <row r="1184">
      <c r="A1184" s="272"/>
      <c r="B1184" s="272"/>
      <c r="C1184" s="272"/>
      <c r="D1184" s="172"/>
      <c r="E1184" s="267" t="str">
        <f t="shared" si="22"/>
        <v/>
      </c>
      <c r="F1184" s="274"/>
      <c r="G1184" s="42"/>
      <c r="H1184" s="264"/>
      <c r="I1184" s="277"/>
      <c r="J1184" s="276" t="str">
        <f>IF(ISBLANK(I1184), "", VLOOKUP(E1184&amp;" "&amp;F1184, 'Info Tipo de Cambio y REM'!$A$24:$B$35, 2, FALSE))
</f>
        <v/>
      </c>
      <c r="K1184" s="107"/>
      <c r="L1184" s="293"/>
      <c r="M1184" s="293"/>
      <c r="N1184" s="293"/>
      <c r="O1184" s="277"/>
      <c r="P1184" s="264"/>
      <c r="Q1184" s="264"/>
      <c r="R1184" s="264"/>
      <c r="S1184" s="264"/>
      <c r="T1184" s="264"/>
      <c r="U1184" s="264"/>
      <c r="V1184" s="264"/>
      <c r="W1184" s="264"/>
      <c r="X1184" s="264"/>
      <c r="Y1184" s="264"/>
      <c r="Z1184" s="264"/>
      <c r="AA1184" s="264"/>
      <c r="AB1184" s="264"/>
      <c r="AC1184" s="264"/>
      <c r="AD1184" s="264"/>
      <c r="AE1184" s="264"/>
    </row>
    <row r="1185">
      <c r="A1185" s="272"/>
      <c r="B1185" s="272"/>
      <c r="C1185" s="272"/>
      <c r="D1185" s="172"/>
      <c r="E1185" s="267" t="str">
        <f t="shared" si="22"/>
        <v/>
      </c>
      <c r="F1185" s="274"/>
      <c r="G1185" s="42"/>
      <c r="H1185" s="264"/>
      <c r="I1185" s="277"/>
      <c r="J1185" s="276" t="str">
        <f>IF(ISBLANK(I1185), "", VLOOKUP(E1185&amp;" "&amp;F1185, 'Info Tipo de Cambio y REM'!$A$24:$B$35, 2, FALSE))
</f>
        <v/>
      </c>
      <c r="K1185" s="107"/>
      <c r="L1185" s="293"/>
      <c r="M1185" s="293"/>
      <c r="N1185" s="293"/>
      <c r="O1185" s="277"/>
      <c r="P1185" s="264"/>
      <c r="Q1185" s="264"/>
      <c r="R1185" s="264"/>
      <c r="S1185" s="264"/>
      <c r="T1185" s="264"/>
      <c r="U1185" s="264"/>
      <c r="V1185" s="264"/>
      <c r="W1185" s="264"/>
      <c r="X1185" s="264"/>
      <c r="Y1185" s="264"/>
      <c r="Z1185" s="264"/>
      <c r="AA1185" s="264"/>
      <c r="AB1185" s="264"/>
      <c r="AC1185" s="264"/>
      <c r="AD1185" s="264"/>
      <c r="AE1185" s="264"/>
    </row>
    <row r="1186">
      <c r="A1186" s="272"/>
      <c r="B1186" s="272"/>
      <c r="C1186" s="272"/>
      <c r="D1186" s="172"/>
      <c r="E1186" s="267" t="str">
        <f t="shared" si="22"/>
        <v/>
      </c>
      <c r="F1186" s="274"/>
      <c r="G1186" s="42"/>
      <c r="H1186" s="264"/>
      <c r="I1186" s="277"/>
      <c r="J1186" s="276" t="str">
        <f>IF(ISBLANK(I1186), "", VLOOKUP(E1186&amp;" "&amp;F1186, 'Info Tipo de Cambio y REM'!$A$24:$B$35, 2, FALSE))
</f>
        <v/>
      </c>
      <c r="K1186" s="107"/>
      <c r="L1186" s="293"/>
      <c r="M1186" s="293"/>
      <c r="N1186" s="293"/>
      <c r="O1186" s="277"/>
      <c r="P1186" s="264"/>
      <c r="Q1186" s="264"/>
      <c r="R1186" s="264"/>
      <c r="S1186" s="264"/>
      <c r="T1186" s="264"/>
      <c r="U1186" s="264"/>
      <c r="V1186" s="264"/>
      <c r="W1186" s="264"/>
      <c r="X1186" s="264"/>
      <c r="Y1186" s="264"/>
      <c r="Z1186" s="264"/>
      <c r="AA1186" s="264"/>
      <c r="AB1186" s="264"/>
      <c r="AC1186" s="264"/>
      <c r="AD1186" s="264"/>
      <c r="AE1186" s="264"/>
    </row>
    <row r="1187">
      <c r="A1187" s="272"/>
      <c r="B1187" s="272"/>
      <c r="C1187" s="272"/>
      <c r="D1187" s="172"/>
      <c r="E1187" s="267" t="str">
        <f t="shared" si="22"/>
        <v/>
      </c>
      <c r="F1187" s="274"/>
      <c r="G1187" s="42"/>
      <c r="H1187" s="264"/>
      <c r="I1187" s="277"/>
      <c r="J1187" s="276" t="str">
        <f>IF(ISBLANK(I1187), "", VLOOKUP(E1187&amp;" "&amp;F1187, 'Info Tipo de Cambio y REM'!$A$24:$B$35, 2, FALSE))
</f>
        <v/>
      </c>
      <c r="K1187" s="107"/>
      <c r="L1187" s="293"/>
      <c r="M1187" s="293"/>
      <c r="N1187" s="293"/>
      <c r="O1187" s="277"/>
      <c r="P1187" s="264"/>
      <c r="Q1187" s="264"/>
      <c r="R1187" s="264"/>
      <c r="S1187" s="264"/>
      <c r="T1187" s="264"/>
      <c r="U1187" s="264"/>
      <c r="V1187" s="264"/>
      <c r="W1187" s="264"/>
      <c r="X1187" s="264"/>
      <c r="Y1187" s="264"/>
      <c r="Z1187" s="264"/>
      <c r="AA1187" s="264"/>
      <c r="AB1187" s="264"/>
      <c r="AC1187" s="264"/>
      <c r="AD1187" s="264"/>
      <c r="AE1187" s="264"/>
    </row>
    <row r="1188">
      <c r="A1188" s="272"/>
      <c r="B1188" s="272"/>
      <c r="C1188" s="272"/>
      <c r="D1188" s="172"/>
      <c r="E1188" s="267" t="str">
        <f t="shared" si="22"/>
        <v/>
      </c>
      <c r="F1188" s="274"/>
      <c r="G1188" s="42"/>
      <c r="H1188" s="264"/>
      <c r="I1188" s="277"/>
      <c r="J1188" s="276" t="str">
        <f>IF(ISBLANK(I1188), "", VLOOKUP(E1188&amp;" "&amp;F1188, 'Info Tipo de Cambio y REM'!$A$24:$B$35, 2, FALSE))
</f>
        <v/>
      </c>
      <c r="K1188" s="107"/>
      <c r="L1188" s="293"/>
      <c r="M1188" s="293"/>
      <c r="N1188" s="293"/>
      <c r="O1188" s="277"/>
      <c r="P1188" s="264"/>
      <c r="Q1188" s="264"/>
      <c r="R1188" s="264"/>
      <c r="S1188" s="264"/>
      <c r="T1188" s="264"/>
      <c r="U1188" s="264"/>
      <c r="V1188" s="264"/>
      <c r="W1188" s="264"/>
      <c r="X1188" s="264"/>
      <c r="Y1188" s="264"/>
      <c r="Z1188" s="264"/>
      <c r="AA1188" s="264"/>
      <c r="AB1188" s="264"/>
      <c r="AC1188" s="264"/>
      <c r="AD1188" s="264"/>
      <c r="AE1188" s="264"/>
    </row>
    <row r="1189">
      <c r="A1189" s="272"/>
      <c r="B1189" s="272"/>
      <c r="C1189" s="272"/>
      <c r="D1189" s="172"/>
      <c r="E1189" s="267" t="str">
        <f t="shared" si="22"/>
        <v/>
      </c>
      <c r="F1189" s="274"/>
      <c r="G1189" s="42"/>
      <c r="H1189" s="264"/>
      <c r="I1189" s="277"/>
      <c r="J1189" s="276" t="str">
        <f>IF(ISBLANK(I1189), "", VLOOKUP(E1189&amp;" "&amp;F1189, 'Info Tipo de Cambio y REM'!$A$24:$B$35, 2, FALSE))
</f>
        <v/>
      </c>
      <c r="K1189" s="107"/>
      <c r="L1189" s="293"/>
      <c r="M1189" s="293"/>
      <c r="N1189" s="293"/>
      <c r="O1189" s="277"/>
      <c r="P1189" s="264"/>
      <c r="Q1189" s="264"/>
      <c r="R1189" s="264"/>
      <c r="S1189" s="264"/>
      <c r="T1189" s="264"/>
      <c r="U1189" s="264"/>
      <c r="V1189" s="264"/>
      <c r="W1189" s="264"/>
      <c r="X1189" s="264"/>
      <c r="Y1189" s="264"/>
      <c r="Z1189" s="264"/>
      <c r="AA1189" s="264"/>
      <c r="AB1189" s="264"/>
      <c r="AC1189" s="264"/>
      <c r="AD1189" s="264"/>
      <c r="AE1189" s="264"/>
    </row>
    <row r="1190">
      <c r="A1190" s="272"/>
      <c r="B1190" s="272"/>
      <c r="C1190" s="272"/>
      <c r="D1190" s="172"/>
      <c r="E1190" s="267" t="str">
        <f t="shared" si="22"/>
        <v/>
      </c>
      <c r="F1190" s="274"/>
      <c r="G1190" s="42"/>
      <c r="H1190" s="264"/>
      <c r="I1190" s="277"/>
      <c r="J1190" s="276" t="str">
        <f>IF(ISBLANK(I1190), "", VLOOKUP(E1190&amp;" "&amp;F1190, 'Info Tipo de Cambio y REM'!$A$24:$B$35, 2, FALSE))
</f>
        <v/>
      </c>
      <c r="K1190" s="107"/>
      <c r="L1190" s="293"/>
      <c r="M1190" s="293"/>
      <c r="N1190" s="293"/>
      <c r="O1190" s="277"/>
      <c r="P1190" s="264"/>
      <c r="Q1190" s="264"/>
      <c r="R1190" s="264"/>
      <c r="S1190" s="264"/>
      <c r="T1190" s="264"/>
      <c r="U1190" s="264"/>
      <c r="V1190" s="264"/>
      <c r="W1190" s="264"/>
      <c r="X1190" s="264"/>
      <c r="Y1190" s="264"/>
      <c r="Z1190" s="264"/>
      <c r="AA1190" s="264"/>
      <c r="AB1190" s="264"/>
      <c r="AC1190" s="264"/>
      <c r="AD1190" s="264"/>
      <c r="AE1190" s="264"/>
    </row>
    <row r="1191">
      <c r="A1191" s="272"/>
      <c r="B1191" s="272"/>
      <c r="C1191" s="272"/>
      <c r="D1191" s="172"/>
      <c r="E1191" s="267" t="str">
        <f t="shared" si="22"/>
        <v/>
      </c>
      <c r="F1191" s="274"/>
      <c r="G1191" s="42"/>
      <c r="H1191" s="264"/>
      <c r="I1191" s="277"/>
      <c r="J1191" s="276" t="str">
        <f>IF(ISBLANK(I1191), "", VLOOKUP(E1191&amp;" "&amp;F1191, 'Info Tipo de Cambio y REM'!$A$24:$B$35, 2, FALSE))
</f>
        <v/>
      </c>
      <c r="K1191" s="107"/>
      <c r="L1191" s="293"/>
      <c r="M1191" s="293"/>
      <c r="N1191" s="293"/>
      <c r="O1191" s="277"/>
      <c r="P1191" s="264"/>
      <c r="Q1191" s="264"/>
      <c r="R1191" s="264"/>
      <c r="S1191" s="264"/>
      <c r="T1191" s="264"/>
      <c r="U1191" s="264"/>
      <c r="V1191" s="264"/>
      <c r="W1191" s="264"/>
      <c r="X1191" s="264"/>
      <c r="Y1191" s="264"/>
      <c r="Z1191" s="264"/>
      <c r="AA1191" s="264"/>
      <c r="AB1191" s="264"/>
      <c r="AC1191" s="264"/>
      <c r="AD1191" s="264"/>
      <c r="AE1191" s="264"/>
    </row>
    <row r="1192">
      <c r="A1192" s="272"/>
      <c r="B1192" s="272"/>
      <c r="C1192" s="272"/>
      <c r="D1192" s="172"/>
      <c r="E1192" s="267" t="str">
        <f t="shared" si="22"/>
        <v/>
      </c>
      <c r="F1192" s="274"/>
      <c r="G1192" s="42"/>
      <c r="H1192" s="264"/>
      <c r="I1192" s="277"/>
      <c r="J1192" s="276" t="str">
        <f>IF(ISBLANK(I1192), "", VLOOKUP(E1192&amp;" "&amp;F1192, 'Info Tipo de Cambio y REM'!$A$24:$B$35, 2, FALSE))
</f>
        <v/>
      </c>
      <c r="K1192" s="107"/>
      <c r="L1192" s="293"/>
      <c r="M1192" s="293"/>
      <c r="N1192" s="293"/>
      <c r="O1192" s="277"/>
      <c r="P1192" s="264"/>
      <c r="Q1192" s="264"/>
      <c r="R1192" s="264"/>
      <c r="S1192" s="264"/>
      <c r="T1192" s="264"/>
      <c r="U1192" s="264"/>
      <c r="V1192" s="264"/>
      <c r="W1192" s="264"/>
      <c r="X1192" s="264"/>
      <c r="Y1192" s="264"/>
      <c r="Z1192" s="264"/>
      <c r="AA1192" s="264"/>
      <c r="AB1192" s="264"/>
      <c r="AC1192" s="264"/>
      <c r="AD1192" s="264"/>
      <c r="AE1192" s="264"/>
    </row>
    <row r="1193">
      <c r="A1193" s="272"/>
      <c r="B1193" s="272"/>
      <c r="C1193" s="272"/>
      <c r="D1193" s="172"/>
      <c r="E1193" s="267" t="str">
        <f t="shared" si="22"/>
        <v/>
      </c>
      <c r="F1193" s="274"/>
      <c r="G1193" s="42"/>
      <c r="H1193" s="264"/>
      <c r="I1193" s="277"/>
      <c r="J1193" s="276" t="str">
        <f>IF(ISBLANK(I1193), "", VLOOKUP(E1193&amp;" "&amp;F1193, 'Info Tipo de Cambio y REM'!$A$24:$B$35, 2, FALSE))
</f>
        <v/>
      </c>
      <c r="K1193" s="107"/>
      <c r="L1193" s="293"/>
      <c r="M1193" s="293"/>
      <c r="N1193" s="293"/>
      <c r="O1193" s="277"/>
      <c r="P1193" s="264"/>
      <c r="Q1193" s="264"/>
      <c r="R1193" s="264"/>
      <c r="S1193" s="264"/>
      <c r="T1193" s="264"/>
      <c r="U1193" s="264"/>
      <c r="V1193" s="264"/>
      <c r="W1193" s="264"/>
      <c r="X1193" s="264"/>
      <c r="Y1193" s="264"/>
      <c r="Z1193" s="264"/>
      <c r="AA1193" s="264"/>
      <c r="AB1193" s="264"/>
      <c r="AC1193" s="264"/>
      <c r="AD1193" s="264"/>
      <c r="AE1193" s="264"/>
    </row>
    <row r="1194">
      <c r="A1194" s="272"/>
      <c r="B1194" s="272"/>
      <c r="C1194" s="272"/>
      <c r="D1194" s="172"/>
      <c r="E1194" s="267" t="str">
        <f t="shared" si="22"/>
        <v/>
      </c>
      <c r="F1194" s="274"/>
      <c r="G1194" s="42"/>
      <c r="H1194" s="264"/>
      <c r="I1194" s="277"/>
      <c r="J1194" s="276" t="str">
        <f>IF(ISBLANK(I1194), "", VLOOKUP(E1194&amp;" "&amp;F1194, 'Info Tipo de Cambio y REM'!$A$24:$B$35, 2, FALSE))
</f>
        <v/>
      </c>
      <c r="K1194" s="107"/>
      <c r="L1194" s="293"/>
      <c r="M1194" s="293"/>
      <c r="N1194" s="293"/>
      <c r="O1194" s="277"/>
      <c r="P1194" s="264"/>
      <c r="Q1194" s="264"/>
      <c r="R1194" s="264"/>
      <c r="S1194" s="264"/>
      <c r="T1194" s="264"/>
      <c r="U1194" s="264"/>
      <c r="V1194" s="264"/>
      <c r="W1194" s="264"/>
      <c r="X1194" s="264"/>
      <c r="Y1194" s="264"/>
      <c r="Z1194" s="264"/>
      <c r="AA1194" s="264"/>
      <c r="AB1194" s="264"/>
      <c r="AC1194" s="264"/>
      <c r="AD1194" s="264"/>
      <c r="AE1194" s="264"/>
    </row>
    <row r="1195">
      <c r="A1195" s="272"/>
      <c r="B1195" s="272"/>
      <c r="C1195" s="272"/>
      <c r="D1195" s="172"/>
      <c r="E1195" s="267" t="str">
        <f t="shared" si="22"/>
        <v/>
      </c>
      <c r="F1195" s="274"/>
      <c r="G1195" s="42"/>
      <c r="H1195" s="264"/>
      <c r="I1195" s="277"/>
      <c r="J1195" s="276" t="str">
        <f>IF(ISBLANK(I1195), "", VLOOKUP(E1195&amp;" "&amp;F1195, 'Info Tipo de Cambio y REM'!$A$24:$B$35, 2, FALSE))
</f>
        <v/>
      </c>
      <c r="K1195" s="107"/>
      <c r="L1195" s="293"/>
      <c r="M1195" s="293"/>
      <c r="N1195" s="293"/>
      <c r="O1195" s="277"/>
      <c r="P1195" s="264"/>
      <c r="Q1195" s="264"/>
      <c r="R1195" s="264"/>
      <c r="S1195" s="264"/>
      <c r="T1195" s="264"/>
      <c r="U1195" s="264"/>
      <c r="V1195" s="264"/>
      <c r="W1195" s="264"/>
      <c r="X1195" s="264"/>
      <c r="Y1195" s="264"/>
      <c r="Z1195" s="264"/>
      <c r="AA1195" s="264"/>
      <c r="AB1195" s="264"/>
      <c r="AC1195" s="264"/>
      <c r="AD1195" s="264"/>
      <c r="AE1195" s="264"/>
    </row>
    <row r="1196">
      <c r="A1196" s="272"/>
      <c r="B1196" s="272"/>
      <c r="C1196" s="272"/>
      <c r="D1196" s="172"/>
      <c r="E1196" s="267" t="str">
        <f t="shared" si="22"/>
        <v/>
      </c>
      <c r="F1196" s="274"/>
      <c r="G1196" s="42"/>
      <c r="H1196" s="264"/>
      <c r="I1196" s="277"/>
      <c r="J1196" s="276" t="str">
        <f>IF(ISBLANK(I1196), "", VLOOKUP(E1196&amp;" "&amp;F1196, 'Info Tipo de Cambio y REM'!$A$24:$B$35, 2, FALSE))
</f>
        <v/>
      </c>
      <c r="K1196" s="107"/>
      <c r="L1196" s="293"/>
      <c r="M1196" s="293"/>
      <c r="N1196" s="293"/>
      <c r="O1196" s="277"/>
      <c r="P1196" s="264"/>
      <c r="Q1196" s="264"/>
      <c r="R1196" s="264"/>
      <c r="S1196" s="264"/>
      <c r="T1196" s="264"/>
      <c r="U1196" s="264"/>
      <c r="V1196" s="264"/>
      <c r="W1196" s="264"/>
      <c r="X1196" s="264"/>
      <c r="Y1196" s="264"/>
      <c r="Z1196" s="264"/>
      <c r="AA1196" s="264"/>
      <c r="AB1196" s="264"/>
      <c r="AC1196" s="264"/>
      <c r="AD1196" s="264"/>
      <c r="AE1196" s="264"/>
    </row>
    <row r="1197">
      <c r="A1197" s="272"/>
      <c r="B1197" s="272"/>
      <c r="C1197" s="272"/>
      <c r="D1197" s="172"/>
      <c r="E1197" s="267" t="str">
        <f t="shared" si="22"/>
        <v/>
      </c>
      <c r="F1197" s="274"/>
      <c r="G1197" s="42"/>
      <c r="H1197" s="264"/>
      <c r="I1197" s="277"/>
      <c r="J1197" s="276" t="str">
        <f>IF(ISBLANK(I1197), "", VLOOKUP(E1197&amp;" "&amp;F1197, 'Info Tipo de Cambio y REM'!$A$24:$B$35, 2, FALSE))
</f>
        <v/>
      </c>
      <c r="K1197" s="107"/>
      <c r="L1197" s="293"/>
      <c r="M1197" s="293"/>
      <c r="N1197" s="293"/>
      <c r="O1197" s="277"/>
      <c r="P1197" s="264"/>
      <c r="Q1197" s="264"/>
      <c r="R1197" s="264"/>
      <c r="S1197" s="264"/>
      <c r="T1197" s="264"/>
      <c r="U1197" s="264"/>
      <c r="V1197" s="264"/>
      <c r="W1197" s="264"/>
      <c r="X1197" s="264"/>
      <c r="Y1197" s="264"/>
      <c r="Z1197" s="264"/>
      <c r="AA1197" s="264"/>
      <c r="AB1197" s="264"/>
      <c r="AC1197" s="264"/>
      <c r="AD1197" s="264"/>
      <c r="AE1197" s="264"/>
    </row>
    <row r="1198">
      <c r="A1198" s="272"/>
      <c r="B1198" s="272"/>
      <c r="C1198" s="272"/>
      <c r="D1198" s="172"/>
      <c r="E1198" s="267" t="str">
        <f t="shared" si="22"/>
        <v/>
      </c>
      <c r="F1198" s="274"/>
      <c r="G1198" s="42"/>
      <c r="H1198" s="264"/>
      <c r="I1198" s="277"/>
      <c r="J1198" s="276" t="str">
        <f>IF(ISBLANK(I1198), "", VLOOKUP(E1198&amp;" "&amp;F1198, 'Info Tipo de Cambio y REM'!$A$24:$B$35, 2, FALSE))
</f>
        <v/>
      </c>
      <c r="K1198" s="107"/>
      <c r="L1198" s="293"/>
      <c r="M1198" s="293"/>
      <c r="N1198" s="293"/>
      <c r="O1198" s="277"/>
      <c r="P1198" s="264"/>
      <c r="Q1198" s="264"/>
      <c r="R1198" s="264"/>
      <c r="S1198" s="264"/>
      <c r="T1198" s="264"/>
      <c r="U1198" s="264"/>
      <c r="V1198" s="264"/>
      <c r="W1198" s="264"/>
      <c r="X1198" s="264"/>
      <c r="Y1198" s="264"/>
      <c r="Z1198" s="264"/>
      <c r="AA1198" s="264"/>
      <c r="AB1198" s="264"/>
      <c r="AC1198" s="264"/>
      <c r="AD1198" s="264"/>
      <c r="AE1198" s="264"/>
    </row>
    <row r="1199">
      <c r="A1199" s="272"/>
      <c r="B1199" s="272"/>
      <c r="C1199" s="272"/>
      <c r="D1199" s="172"/>
      <c r="E1199" s="267" t="str">
        <f t="shared" si="22"/>
        <v/>
      </c>
      <c r="F1199" s="274"/>
      <c r="G1199" s="42"/>
      <c r="H1199" s="264"/>
      <c r="I1199" s="277"/>
      <c r="J1199" s="276" t="str">
        <f>IF(ISBLANK(I1199), "", VLOOKUP(E1199&amp;" "&amp;F1199, 'Info Tipo de Cambio y REM'!$A$24:$B$35, 2, FALSE))
</f>
        <v/>
      </c>
      <c r="K1199" s="107"/>
      <c r="L1199" s="293"/>
      <c r="M1199" s="293"/>
      <c r="N1199" s="293"/>
      <c r="O1199" s="277"/>
      <c r="P1199" s="264"/>
      <c r="Q1199" s="264"/>
      <c r="R1199" s="264"/>
      <c r="S1199" s="264"/>
      <c r="T1199" s="264"/>
      <c r="U1199" s="264"/>
      <c r="V1199" s="264"/>
      <c r="W1199" s="264"/>
      <c r="X1199" s="264"/>
      <c r="Y1199" s="264"/>
      <c r="Z1199" s="264"/>
      <c r="AA1199" s="264"/>
      <c r="AB1199" s="264"/>
      <c r="AC1199" s="264"/>
      <c r="AD1199" s="264"/>
      <c r="AE1199" s="264"/>
    </row>
    <row r="1200">
      <c r="A1200" s="272"/>
      <c r="B1200" s="272"/>
      <c r="C1200" s="272"/>
      <c r="D1200" s="172"/>
      <c r="E1200" s="267" t="str">
        <f t="shared" si="22"/>
        <v/>
      </c>
      <c r="F1200" s="274"/>
      <c r="G1200" s="42"/>
      <c r="H1200" s="264"/>
      <c r="I1200" s="277"/>
      <c r="J1200" s="276" t="str">
        <f>IF(ISBLANK(I1200), "", VLOOKUP(E1200&amp;" "&amp;F1200, 'Info Tipo de Cambio y REM'!$A$24:$B$35, 2, FALSE))
</f>
        <v/>
      </c>
      <c r="K1200" s="107"/>
      <c r="L1200" s="293"/>
      <c r="M1200" s="293"/>
      <c r="N1200" s="293"/>
      <c r="O1200" s="277"/>
      <c r="P1200" s="264"/>
      <c r="Q1200" s="264"/>
      <c r="R1200" s="264"/>
      <c r="S1200" s="264"/>
      <c r="T1200" s="264"/>
      <c r="U1200" s="264"/>
      <c r="V1200" s="264"/>
      <c r="W1200" s="264"/>
      <c r="X1200" s="264"/>
      <c r="Y1200" s="264"/>
      <c r="Z1200" s="264"/>
      <c r="AA1200" s="264"/>
      <c r="AB1200" s="264"/>
      <c r="AC1200" s="264"/>
      <c r="AD1200" s="264"/>
      <c r="AE1200" s="264"/>
    </row>
    <row r="1201">
      <c r="A1201" s="272"/>
      <c r="B1201" s="272"/>
      <c r="C1201" s="272"/>
      <c r="D1201" s="172"/>
      <c r="E1201" s="267" t="str">
        <f t="shared" si="22"/>
        <v/>
      </c>
      <c r="F1201" s="274"/>
      <c r="G1201" s="42"/>
      <c r="H1201" s="264"/>
      <c r="I1201" s="277"/>
      <c r="J1201" s="276" t="str">
        <f>IF(ISBLANK(I1201), "", VLOOKUP(E1201&amp;" "&amp;F1201, 'Info Tipo de Cambio y REM'!$A$24:$B$35, 2, FALSE))
</f>
        <v/>
      </c>
      <c r="K1201" s="107"/>
      <c r="L1201" s="293"/>
      <c r="M1201" s="293"/>
      <c r="N1201" s="293"/>
      <c r="O1201" s="277"/>
      <c r="P1201" s="264"/>
      <c r="Q1201" s="264"/>
      <c r="R1201" s="264"/>
      <c r="S1201" s="264"/>
      <c r="T1201" s="264"/>
      <c r="U1201" s="264"/>
      <c r="V1201" s="264"/>
      <c r="W1201" s="264"/>
      <c r="X1201" s="264"/>
      <c r="Y1201" s="264"/>
      <c r="Z1201" s="264"/>
      <c r="AA1201" s="264"/>
      <c r="AB1201" s="264"/>
      <c r="AC1201" s="264"/>
      <c r="AD1201" s="264"/>
      <c r="AE1201" s="264"/>
    </row>
    <row r="1202">
      <c r="A1202" s="272"/>
      <c r="B1202" s="272"/>
      <c r="C1202" s="272"/>
      <c r="D1202" s="172"/>
      <c r="E1202" s="267" t="str">
        <f t="shared" si="22"/>
        <v/>
      </c>
      <c r="F1202" s="274"/>
      <c r="G1202" s="42"/>
      <c r="H1202" s="264"/>
      <c r="I1202" s="277"/>
      <c r="J1202" s="276" t="str">
        <f>IF(ISBLANK(I1202), "", VLOOKUP(E1202&amp;" "&amp;F1202, 'Info Tipo de Cambio y REM'!$A$24:$B$35, 2, FALSE))
</f>
        <v/>
      </c>
      <c r="K1202" s="107"/>
      <c r="L1202" s="293"/>
      <c r="M1202" s="293"/>
      <c r="N1202" s="293"/>
      <c r="O1202" s="277"/>
      <c r="P1202" s="264"/>
      <c r="Q1202" s="264"/>
      <c r="R1202" s="264"/>
      <c r="S1202" s="264"/>
      <c r="T1202" s="264"/>
      <c r="U1202" s="264"/>
      <c r="V1202" s="264"/>
      <c r="W1202" s="264"/>
      <c r="X1202" s="264"/>
      <c r="Y1202" s="264"/>
      <c r="Z1202" s="264"/>
      <c r="AA1202" s="264"/>
      <c r="AB1202" s="264"/>
      <c r="AC1202" s="264"/>
      <c r="AD1202" s="264"/>
      <c r="AE1202" s="264"/>
    </row>
    <row r="1203">
      <c r="A1203" s="272"/>
      <c r="B1203" s="272"/>
      <c r="C1203" s="272"/>
      <c r="D1203" s="172"/>
      <c r="E1203" s="267" t="str">
        <f t="shared" si="22"/>
        <v/>
      </c>
      <c r="F1203" s="274"/>
      <c r="G1203" s="42"/>
      <c r="H1203" s="264"/>
      <c r="I1203" s="277"/>
      <c r="J1203" s="276" t="str">
        <f>IF(ISBLANK(I1203), "", VLOOKUP(E1203&amp;" "&amp;F1203, 'Info Tipo de Cambio y REM'!$A$24:$B$35, 2, FALSE))
</f>
        <v/>
      </c>
      <c r="K1203" s="107"/>
      <c r="L1203" s="293"/>
      <c r="M1203" s="293"/>
      <c r="N1203" s="293"/>
      <c r="O1203" s="277"/>
      <c r="P1203" s="264"/>
      <c r="Q1203" s="264"/>
      <c r="R1203" s="264"/>
      <c r="S1203" s="264"/>
      <c r="T1203" s="264"/>
      <c r="U1203" s="264"/>
      <c r="V1203" s="264"/>
      <c r="W1203" s="264"/>
      <c r="X1203" s="264"/>
      <c r="Y1203" s="264"/>
      <c r="Z1203" s="264"/>
      <c r="AA1203" s="264"/>
      <c r="AB1203" s="264"/>
      <c r="AC1203" s="264"/>
      <c r="AD1203" s="264"/>
      <c r="AE1203" s="264"/>
    </row>
    <row r="1204">
      <c r="A1204" s="272"/>
      <c r="B1204" s="272"/>
      <c r="C1204" s="272"/>
      <c r="D1204" s="172"/>
      <c r="E1204" s="267" t="str">
        <f t="shared" si="22"/>
        <v/>
      </c>
      <c r="F1204" s="274"/>
      <c r="G1204" s="42"/>
      <c r="H1204" s="264"/>
      <c r="I1204" s="277"/>
      <c r="J1204" s="276" t="str">
        <f>IF(ISBLANK(I1204), "", VLOOKUP(E1204&amp;" "&amp;F1204, 'Info Tipo de Cambio y REM'!$A$24:$B$35, 2, FALSE))
</f>
        <v/>
      </c>
      <c r="K1204" s="107"/>
      <c r="L1204" s="293"/>
      <c r="M1204" s="293"/>
      <c r="N1204" s="293"/>
      <c r="O1204" s="277"/>
      <c r="P1204" s="264"/>
      <c r="Q1204" s="264"/>
      <c r="R1204" s="264"/>
      <c r="S1204" s="264"/>
      <c r="T1204" s="264"/>
      <c r="U1204" s="264"/>
      <c r="V1204" s="264"/>
      <c r="W1204" s="264"/>
      <c r="X1204" s="264"/>
      <c r="Y1204" s="264"/>
      <c r="Z1204" s="264"/>
      <c r="AA1204" s="264"/>
      <c r="AB1204" s="264"/>
      <c r="AC1204" s="264"/>
      <c r="AD1204" s="264"/>
      <c r="AE1204" s="264"/>
    </row>
    <row r="1205">
      <c r="A1205" s="272"/>
      <c r="B1205" s="272"/>
      <c r="C1205" s="272"/>
      <c r="D1205" s="172"/>
      <c r="E1205" s="267" t="str">
        <f t="shared" si="22"/>
        <v/>
      </c>
      <c r="F1205" s="274"/>
      <c r="G1205" s="42"/>
      <c r="H1205" s="264"/>
      <c r="I1205" s="277"/>
      <c r="J1205" s="276" t="str">
        <f>IF(ISBLANK(I1205), "", VLOOKUP(E1205&amp;" "&amp;F1205, 'Info Tipo de Cambio y REM'!$A$24:$B$35, 2, FALSE))
</f>
        <v/>
      </c>
      <c r="K1205" s="107"/>
      <c r="L1205" s="293"/>
      <c r="M1205" s="293"/>
      <c r="N1205" s="293"/>
      <c r="O1205" s="277"/>
      <c r="P1205" s="264"/>
      <c r="Q1205" s="264"/>
      <c r="R1205" s="264"/>
      <c r="S1205" s="264"/>
      <c r="T1205" s="264"/>
      <c r="U1205" s="264"/>
      <c r="V1205" s="264"/>
      <c r="W1205" s="264"/>
      <c r="X1205" s="264"/>
      <c r="Y1205" s="264"/>
      <c r="Z1205" s="264"/>
      <c r="AA1205" s="264"/>
      <c r="AB1205" s="264"/>
      <c r="AC1205" s="264"/>
      <c r="AD1205" s="264"/>
      <c r="AE1205" s="264"/>
    </row>
    <row r="1206">
      <c r="A1206" s="272"/>
      <c r="B1206" s="272"/>
      <c r="C1206" s="272"/>
      <c r="D1206" s="172"/>
      <c r="E1206" s="267" t="str">
        <f t="shared" si="22"/>
        <v/>
      </c>
      <c r="F1206" s="274"/>
      <c r="G1206" s="42"/>
      <c r="H1206" s="264"/>
      <c r="I1206" s="277"/>
      <c r="J1206" s="276" t="str">
        <f>IF(ISBLANK(I1206), "", VLOOKUP(E1206&amp;" "&amp;F1206, 'Info Tipo de Cambio y REM'!$A$24:$B$35, 2, FALSE))
</f>
        <v/>
      </c>
      <c r="K1206" s="107"/>
      <c r="L1206" s="293"/>
      <c r="M1206" s="293"/>
      <c r="N1206" s="293"/>
      <c r="O1206" s="277"/>
      <c r="P1206" s="264"/>
      <c r="Q1206" s="264"/>
      <c r="R1206" s="264"/>
      <c r="S1206" s="264"/>
      <c r="T1206" s="264"/>
      <c r="U1206" s="264"/>
      <c r="V1206" s="264"/>
      <c r="W1206" s="264"/>
      <c r="X1206" s="264"/>
      <c r="Y1206" s="264"/>
      <c r="Z1206" s="264"/>
      <c r="AA1206" s="264"/>
      <c r="AB1206" s="264"/>
      <c r="AC1206" s="264"/>
      <c r="AD1206" s="264"/>
      <c r="AE1206" s="264"/>
    </row>
    <row r="1207">
      <c r="A1207" s="272"/>
      <c r="B1207" s="272"/>
      <c r="C1207" s="272"/>
      <c r="D1207" s="172"/>
      <c r="E1207" s="267" t="str">
        <f t="shared" si="22"/>
        <v/>
      </c>
      <c r="F1207" s="274"/>
      <c r="G1207" s="42"/>
      <c r="H1207" s="264"/>
      <c r="I1207" s="277"/>
      <c r="J1207" s="276" t="str">
        <f>IF(ISBLANK(I1207), "", VLOOKUP(E1207&amp;" "&amp;F1207, 'Info Tipo de Cambio y REM'!$A$24:$B$35, 2, FALSE))
</f>
        <v/>
      </c>
      <c r="K1207" s="107"/>
      <c r="L1207" s="293"/>
      <c r="M1207" s="293"/>
      <c r="N1207" s="293"/>
      <c r="O1207" s="277"/>
      <c r="P1207" s="264"/>
      <c r="Q1207" s="264"/>
      <c r="R1207" s="264"/>
      <c r="S1207" s="264"/>
      <c r="T1207" s="264"/>
      <c r="U1207" s="264"/>
      <c r="V1207" s="264"/>
      <c r="W1207" s="264"/>
      <c r="X1207" s="264"/>
      <c r="Y1207" s="264"/>
      <c r="Z1207" s="264"/>
      <c r="AA1207" s="264"/>
      <c r="AB1207" s="264"/>
      <c r="AC1207" s="264"/>
      <c r="AD1207" s="264"/>
      <c r="AE1207" s="264"/>
    </row>
    <row r="1208">
      <c r="A1208" s="272"/>
      <c r="B1208" s="272"/>
      <c r="C1208" s="272"/>
      <c r="D1208" s="172"/>
      <c r="E1208" s="267" t="str">
        <f t="shared" si="22"/>
        <v/>
      </c>
      <c r="F1208" s="274"/>
      <c r="G1208" s="42"/>
      <c r="H1208" s="264"/>
      <c r="I1208" s="277"/>
      <c r="J1208" s="276" t="str">
        <f>IF(ISBLANK(I1208), "", VLOOKUP(E1208&amp;" "&amp;F1208, 'Info Tipo de Cambio y REM'!$A$24:$B$35, 2, FALSE))
</f>
        <v/>
      </c>
      <c r="K1208" s="107"/>
      <c r="L1208" s="293"/>
      <c r="M1208" s="293"/>
      <c r="N1208" s="293"/>
      <c r="O1208" s="277"/>
      <c r="P1208" s="264"/>
      <c r="Q1208" s="264"/>
      <c r="R1208" s="264"/>
      <c r="S1208" s="264"/>
      <c r="T1208" s="264"/>
      <c r="U1208" s="264"/>
      <c r="V1208" s="264"/>
      <c r="W1208" s="264"/>
      <c r="X1208" s="264"/>
      <c r="Y1208" s="264"/>
      <c r="Z1208" s="264"/>
      <c r="AA1208" s="264"/>
      <c r="AB1208" s="264"/>
      <c r="AC1208" s="264"/>
      <c r="AD1208" s="264"/>
      <c r="AE1208" s="264"/>
    </row>
    <row r="1209">
      <c r="A1209" s="272"/>
      <c r="B1209" s="272"/>
      <c r="C1209" s="272"/>
      <c r="D1209" s="172"/>
      <c r="E1209" s="267" t="str">
        <f t="shared" si="22"/>
        <v/>
      </c>
      <c r="F1209" s="274"/>
      <c r="G1209" s="42"/>
      <c r="H1209" s="264"/>
      <c r="I1209" s="277"/>
      <c r="J1209" s="276" t="str">
        <f>IF(ISBLANK(I1209), "", VLOOKUP(E1209&amp;" "&amp;F1209, 'Info Tipo de Cambio y REM'!$A$24:$B$35, 2, FALSE))
</f>
        <v/>
      </c>
      <c r="K1209" s="107"/>
      <c r="L1209" s="293"/>
      <c r="M1209" s="293"/>
      <c r="N1209" s="293"/>
      <c r="O1209" s="277"/>
      <c r="P1209" s="264"/>
      <c r="Q1209" s="264"/>
      <c r="R1209" s="264"/>
      <c r="S1209" s="264"/>
      <c r="T1209" s="264"/>
      <c r="U1209" s="264"/>
      <c r="V1209" s="264"/>
      <c r="W1209" s="264"/>
      <c r="X1209" s="264"/>
      <c r="Y1209" s="264"/>
      <c r="Z1209" s="264"/>
      <c r="AA1209" s="264"/>
      <c r="AB1209" s="264"/>
      <c r="AC1209" s="264"/>
      <c r="AD1209" s="264"/>
      <c r="AE1209" s="264"/>
    </row>
    <row r="1210">
      <c r="A1210" s="272"/>
      <c r="B1210" s="272"/>
      <c r="C1210" s="272"/>
      <c r="D1210" s="172"/>
      <c r="E1210" s="267" t="str">
        <f t="shared" si="22"/>
        <v/>
      </c>
      <c r="F1210" s="274"/>
      <c r="G1210" s="42"/>
      <c r="H1210" s="264"/>
      <c r="I1210" s="277"/>
      <c r="J1210" s="276" t="str">
        <f>IF(ISBLANK(I1210), "", VLOOKUP(E1210&amp;" "&amp;F1210, 'Info Tipo de Cambio y REM'!$A$24:$B$35, 2, FALSE))
</f>
        <v/>
      </c>
      <c r="K1210" s="107"/>
      <c r="L1210" s="293"/>
      <c r="M1210" s="293"/>
      <c r="N1210" s="293"/>
      <c r="O1210" s="277"/>
      <c r="P1210" s="264"/>
      <c r="Q1210" s="264"/>
      <c r="R1210" s="264"/>
      <c r="S1210" s="264"/>
      <c r="T1210" s="264"/>
      <c r="U1210" s="264"/>
      <c r="V1210" s="264"/>
      <c r="W1210" s="264"/>
      <c r="X1210" s="264"/>
      <c r="Y1210" s="264"/>
      <c r="Z1210" s="264"/>
      <c r="AA1210" s="264"/>
      <c r="AB1210" s="264"/>
      <c r="AC1210" s="264"/>
      <c r="AD1210" s="264"/>
      <c r="AE1210" s="264"/>
    </row>
    <row r="1211">
      <c r="A1211" s="272"/>
      <c r="B1211" s="272"/>
      <c r="C1211" s="272"/>
      <c r="D1211" s="172"/>
      <c r="E1211" s="267" t="str">
        <f t="shared" si="22"/>
        <v/>
      </c>
      <c r="F1211" s="274"/>
      <c r="G1211" s="42"/>
      <c r="H1211" s="264"/>
      <c r="I1211" s="277"/>
      <c r="J1211" s="276" t="str">
        <f>IF(ISBLANK(I1211), "", VLOOKUP(E1211&amp;" "&amp;F1211, 'Info Tipo de Cambio y REM'!$A$24:$B$35, 2, FALSE))
</f>
        <v/>
      </c>
      <c r="K1211" s="107"/>
      <c r="L1211" s="293"/>
      <c r="M1211" s="293"/>
      <c r="N1211" s="293"/>
      <c r="O1211" s="277"/>
      <c r="P1211" s="264"/>
      <c r="Q1211" s="264"/>
      <c r="R1211" s="264"/>
      <c r="S1211" s="264"/>
      <c r="T1211" s="264"/>
      <c r="U1211" s="264"/>
      <c r="V1211" s="264"/>
      <c r="W1211" s="264"/>
      <c r="X1211" s="264"/>
      <c r="Y1211" s="264"/>
      <c r="Z1211" s="264"/>
      <c r="AA1211" s="264"/>
      <c r="AB1211" s="264"/>
      <c r="AC1211" s="264"/>
      <c r="AD1211" s="264"/>
      <c r="AE1211" s="264"/>
    </row>
    <row r="1212">
      <c r="A1212" s="272"/>
      <c r="B1212" s="272"/>
      <c r="C1212" s="272"/>
      <c r="D1212" s="172"/>
      <c r="E1212" s="267" t="str">
        <f t="shared" si="22"/>
        <v/>
      </c>
      <c r="F1212" s="274"/>
      <c r="G1212" s="42"/>
      <c r="H1212" s="264"/>
      <c r="I1212" s="277"/>
      <c r="J1212" s="276" t="str">
        <f>IF(ISBLANK(I1212), "", VLOOKUP(E1212&amp;" "&amp;F1212, 'Info Tipo de Cambio y REM'!$A$24:$B$35, 2, FALSE))
</f>
        <v/>
      </c>
      <c r="K1212" s="107"/>
      <c r="L1212" s="293"/>
      <c r="M1212" s="293"/>
      <c r="N1212" s="293"/>
      <c r="O1212" s="277"/>
      <c r="P1212" s="264"/>
      <c r="Q1212" s="264"/>
      <c r="R1212" s="264"/>
      <c r="S1212" s="264"/>
      <c r="T1212" s="264"/>
      <c r="U1212" s="264"/>
      <c r="V1212" s="264"/>
      <c r="W1212" s="264"/>
      <c r="X1212" s="264"/>
      <c r="Y1212" s="264"/>
      <c r="Z1212" s="264"/>
      <c r="AA1212" s="264"/>
      <c r="AB1212" s="264"/>
      <c r="AC1212" s="264"/>
      <c r="AD1212" s="264"/>
      <c r="AE1212" s="264"/>
    </row>
    <row r="1213">
      <c r="A1213" s="272"/>
      <c r="B1213" s="272"/>
      <c r="C1213" s="272"/>
      <c r="D1213" s="172"/>
      <c r="E1213" s="267" t="str">
        <f t="shared" si="22"/>
        <v/>
      </c>
      <c r="F1213" s="274"/>
      <c r="G1213" s="42"/>
      <c r="H1213" s="264"/>
      <c r="I1213" s="277"/>
      <c r="J1213" s="276" t="str">
        <f>IF(ISBLANK(I1213), "", VLOOKUP(E1213&amp;" "&amp;F1213, 'Info Tipo de Cambio y REM'!$A$24:$B$35, 2, FALSE))
</f>
        <v/>
      </c>
      <c r="K1213" s="107"/>
      <c r="L1213" s="293"/>
      <c r="M1213" s="293"/>
      <c r="N1213" s="293"/>
      <c r="O1213" s="277"/>
      <c r="P1213" s="264"/>
      <c r="Q1213" s="264"/>
      <c r="R1213" s="264"/>
      <c r="S1213" s="264"/>
      <c r="T1213" s="264"/>
      <c r="U1213" s="264"/>
      <c r="V1213" s="264"/>
      <c r="W1213" s="264"/>
      <c r="X1213" s="264"/>
      <c r="Y1213" s="264"/>
      <c r="Z1213" s="264"/>
      <c r="AA1213" s="264"/>
      <c r="AB1213" s="264"/>
      <c r="AC1213" s="264"/>
      <c r="AD1213" s="264"/>
      <c r="AE1213" s="264"/>
    </row>
    <row r="1214">
      <c r="A1214" s="272"/>
      <c r="B1214" s="272"/>
      <c r="C1214" s="272"/>
      <c r="D1214" s="172"/>
      <c r="E1214" s="267" t="str">
        <f t="shared" si="22"/>
        <v/>
      </c>
      <c r="F1214" s="274"/>
      <c r="G1214" s="42"/>
      <c r="H1214" s="264"/>
      <c r="I1214" s="277"/>
      <c r="J1214" s="276" t="str">
        <f>IF(ISBLANK(I1214), "", VLOOKUP(E1214&amp;" "&amp;F1214, 'Info Tipo de Cambio y REM'!$A$24:$B$35, 2, FALSE))
</f>
        <v/>
      </c>
      <c r="K1214" s="107"/>
      <c r="L1214" s="293"/>
      <c r="M1214" s="293"/>
      <c r="N1214" s="293"/>
      <c r="O1214" s="277"/>
      <c r="P1214" s="264"/>
      <c r="Q1214" s="264"/>
      <c r="R1214" s="264"/>
      <c r="S1214" s="264"/>
      <c r="T1214" s="264"/>
      <c r="U1214" s="264"/>
      <c r="V1214" s="264"/>
      <c r="W1214" s="264"/>
      <c r="X1214" s="264"/>
      <c r="Y1214" s="264"/>
      <c r="Z1214" s="264"/>
      <c r="AA1214" s="264"/>
      <c r="AB1214" s="264"/>
      <c r="AC1214" s="264"/>
      <c r="AD1214" s="264"/>
      <c r="AE1214" s="264"/>
    </row>
    <row r="1215">
      <c r="A1215" s="272"/>
      <c r="B1215" s="272"/>
      <c r="C1215" s="272"/>
      <c r="D1215" s="172"/>
      <c r="E1215" s="267" t="str">
        <f t="shared" si="22"/>
        <v/>
      </c>
      <c r="F1215" s="274"/>
      <c r="G1215" s="42"/>
      <c r="H1215" s="264"/>
      <c r="I1215" s="277"/>
      <c r="J1215" s="276" t="str">
        <f>IF(ISBLANK(I1215), "", VLOOKUP(E1215&amp;" "&amp;F1215, 'Info Tipo de Cambio y REM'!$A$24:$B$35, 2, FALSE))
</f>
        <v/>
      </c>
      <c r="K1215" s="107"/>
      <c r="L1215" s="293"/>
      <c r="M1215" s="293"/>
      <c r="N1215" s="293"/>
      <c r="O1215" s="277"/>
      <c r="P1215" s="264"/>
      <c r="Q1215" s="264"/>
      <c r="R1215" s="264"/>
      <c r="S1215" s="264"/>
      <c r="T1215" s="264"/>
      <c r="U1215" s="264"/>
      <c r="V1215" s="264"/>
      <c r="W1215" s="264"/>
      <c r="X1215" s="264"/>
      <c r="Y1215" s="264"/>
      <c r="Z1215" s="264"/>
      <c r="AA1215" s="264"/>
      <c r="AB1215" s="264"/>
      <c r="AC1215" s="264"/>
      <c r="AD1215" s="264"/>
      <c r="AE1215" s="264"/>
    </row>
    <row r="1216">
      <c r="A1216" s="272"/>
      <c r="B1216" s="272"/>
      <c r="C1216" s="272"/>
      <c r="D1216" s="172"/>
      <c r="E1216" s="267" t="str">
        <f t="shared" si="22"/>
        <v/>
      </c>
      <c r="F1216" s="274"/>
      <c r="G1216" s="42"/>
      <c r="H1216" s="264"/>
      <c r="I1216" s="277"/>
      <c r="J1216" s="276" t="str">
        <f>IF(ISBLANK(I1216), "", VLOOKUP(E1216&amp;" "&amp;F1216, 'Info Tipo de Cambio y REM'!$A$24:$B$35, 2, FALSE))
</f>
        <v/>
      </c>
      <c r="K1216" s="107"/>
      <c r="L1216" s="293"/>
      <c r="M1216" s="293"/>
      <c r="N1216" s="293"/>
      <c r="O1216" s="277"/>
      <c r="P1216" s="264"/>
      <c r="Q1216" s="264"/>
      <c r="R1216" s="264"/>
      <c r="S1216" s="264"/>
      <c r="T1216" s="264"/>
      <c r="U1216" s="264"/>
      <c r="V1216" s="264"/>
      <c r="W1216" s="264"/>
      <c r="X1216" s="264"/>
      <c r="Y1216" s="264"/>
      <c r="Z1216" s="264"/>
      <c r="AA1216" s="264"/>
      <c r="AB1216" s="264"/>
      <c r="AC1216" s="264"/>
      <c r="AD1216" s="264"/>
      <c r="AE1216" s="264"/>
    </row>
    <row r="1217">
      <c r="A1217" s="272"/>
      <c r="B1217" s="272"/>
      <c r="C1217" s="272"/>
      <c r="D1217" s="172"/>
      <c r="E1217" s="267" t="str">
        <f t="shared" si="22"/>
        <v/>
      </c>
      <c r="F1217" s="274"/>
      <c r="G1217" s="42"/>
      <c r="H1217" s="264"/>
      <c r="I1217" s="277"/>
      <c r="J1217" s="276" t="str">
        <f>IF(ISBLANK(I1217), "", VLOOKUP(E1217&amp;" "&amp;F1217, 'Info Tipo de Cambio y REM'!$A$24:$B$35, 2, FALSE))
</f>
        <v/>
      </c>
      <c r="K1217" s="107"/>
      <c r="L1217" s="293"/>
      <c r="M1217" s="293"/>
      <c r="N1217" s="293"/>
      <c r="O1217" s="277"/>
      <c r="P1217" s="264"/>
      <c r="Q1217" s="264"/>
      <c r="R1217" s="264"/>
      <c r="S1217" s="264"/>
      <c r="T1217" s="264"/>
      <c r="U1217" s="264"/>
      <c r="V1217" s="264"/>
      <c r="W1217" s="264"/>
      <c r="X1217" s="264"/>
      <c r="Y1217" s="264"/>
      <c r="Z1217" s="264"/>
      <c r="AA1217" s="264"/>
      <c r="AB1217" s="264"/>
      <c r="AC1217" s="264"/>
      <c r="AD1217" s="264"/>
      <c r="AE1217" s="264"/>
    </row>
    <row r="1218">
      <c r="A1218" s="272"/>
      <c r="B1218" s="272"/>
      <c r="C1218" s="272"/>
      <c r="D1218" s="172"/>
      <c r="E1218" s="267" t="str">
        <f t="shared" si="22"/>
        <v/>
      </c>
      <c r="F1218" s="274"/>
      <c r="G1218" s="42"/>
      <c r="H1218" s="264"/>
      <c r="I1218" s="277"/>
      <c r="J1218" s="276" t="str">
        <f>IF(ISBLANK(I1218), "", VLOOKUP(E1218&amp;" "&amp;F1218, 'Info Tipo de Cambio y REM'!$A$24:$B$35, 2, FALSE))
</f>
        <v/>
      </c>
      <c r="K1218" s="107"/>
      <c r="L1218" s="293"/>
      <c r="M1218" s="293"/>
      <c r="N1218" s="293"/>
      <c r="O1218" s="277"/>
      <c r="P1218" s="264"/>
      <c r="Q1218" s="264"/>
      <c r="R1218" s="264"/>
      <c r="S1218" s="264"/>
      <c r="T1218" s="264"/>
      <c r="U1218" s="264"/>
      <c r="V1218" s="264"/>
      <c r="W1218" s="264"/>
      <c r="X1218" s="264"/>
      <c r="Y1218" s="264"/>
      <c r="Z1218" s="264"/>
      <c r="AA1218" s="264"/>
      <c r="AB1218" s="264"/>
      <c r="AC1218" s="264"/>
      <c r="AD1218" s="264"/>
      <c r="AE1218" s="264"/>
    </row>
    <row r="1219">
      <c r="A1219" s="272"/>
      <c r="B1219" s="272"/>
      <c r="C1219" s="272"/>
      <c r="D1219" s="172"/>
      <c r="E1219" s="267" t="str">
        <f t="shared" si="22"/>
        <v/>
      </c>
      <c r="F1219" s="274"/>
      <c r="G1219" s="42"/>
      <c r="H1219" s="264"/>
      <c r="I1219" s="277"/>
      <c r="J1219" s="276" t="str">
        <f>IF(ISBLANK(I1219), "", VLOOKUP(E1219&amp;" "&amp;F1219, 'Info Tipo de Cambio y REM'!$A$24:$B$35, 2, FALSE))
</f>
        <v/>
      </c>
      <c r="K1219" s="107"/>
      <c r="L1219" s="293"/>
      <c r="M1219" s="293"/>
      <c r="N1219" s="293"/>
      <c r="O1219" s="277"/>
      <c r="P1219" s="264"/>
      <c r="Q1219" s="264"/>
      <c r="R1219" s="264"/>
      <c r="S1219" s="264"/>
      <c r="T1219" s="264"/>
      <c r="U1219" s="264"/>
      <c r="V1219" s="264"/>
      <c r="W1219" s="264"/>
      <c r="X1219" s="264"/>
      <c r="Y1219" s="264"/>
      <c r="Z1219" s="264"/>
      <c r="AA1219" s="264"/>
      <c r="AB1219" s="264"/>
      <c r="AC1219" s="264"/>
      <c r="AD1219" s="264"/>
      <c r="AE1219" s="264"/>
    </row>
    <row r="1220">
      <c r="A1220" s="272"/>
      <c r="B1220" s="272"/>
      <c r="C1220" s="272"/>
      <c r="D1220" s="172"/>
      <c r="E1220" s="267" t="str">
        <f t="shared" si="22"/>
        <v/>
      </c>
      <c r="F1220" s="274"/>
      <c r="G1220" s="42"/>
      <c r="H1220" s="264"/>
      <c r="I1220" s="277"/>
      <c r="J1220" s="276" t="str">
        <f>IF(ISBLANK(I1220), "", VLOOKUP(E1220&amp;" "&amp;F1220, 'Info Tipo de Cambio y REM'!$A$24:$B$35, 2, FALSE))
</f>
        <v/>
      </c>
      <c r="K1220" s="107"/>
      <c r="L1220" s="293"/>
      <c r="M1220" s="293"/>
      <c r="N1220" s="293"/>
      <c r="O1220" s="277"/>
      <c r="P1220" s="264"/>
      <c r="Q1220" s="264"/>
      <c r="R1220" s="264"/>
      <c r="S1220" s="264"/>
      <c r="T1220" s="264"/>
      <c r="U1220" s="264"/>
      <c r="V1220" s="264"/>
      <c r="W1220" s="264"/>
      <c r="X1220" s="264"/>
      <c r="Y1220" s="264"/>
      <c r="Z1220" s="264"/>
      <c r="AA1220" s="264"/>
      <c r="AB1220" s="264"/>
      <c r="AC1220" s="264"/>
      <c r="AD1220" s="264"/>
      <c r="AE1220" s="264"/>
    </row>
    <row r="1221">
      <c r="A1221" s="272"/>
      <c r="B1221" s="272"/>
      <c r="C1221" s="272"/>
      <c r="D1221" s="172"/>
      <c r="E1221" s="267" t="str">
        <f t="shared" si="22"/>
        <v/>
      </c>
      <c r="F1221" s="274"/>
      <c r="G1221" s="42"/>
      <c r="H1221" s="264"/>
      <c r="I1221" s="277"/>
      <c r="J1221" s="276" t="str">
        <f>IF(ISBLANK(I1221), "", VLOOKUP(E1221&amp;" "&amp;F1221, 'Info Tipo de Cambio y REM'!$A$24:$B$35, 2, FALSE))
</f>
        <v/>
      </c>
      <c r="K1221" s="107"/>
      <c r="L1221" s="293"/>
      <c r="M1221" s="293"/>
      <c r="N1221" s="293"/>
      <c r="O1221" s="277"/>
      <c r="P1221" s="264"/>
      <c r="Q1221" s="264"/>
      <c r="R1221" s="264"/>
      <c r="S1221" s="264"/>
      <c r="T1221" s="264"/>
      <c r="U1221" s="264"/>
      <c r="V1221" s="264"/>
      <c r="W1221" s="264"/>
      <c r="X1221" s="264"/>
      <c r="Y1221" s="264"/>
      <c r="Z1221" s="264"/>
      <c r="AA1221" s="264"/>
      <c r="AB1221" s="264"/>
      <c r="AC1221" s="264"/>
      <c r="AD1221" s="264"/>
      <c r="AE1221" s="264"/>
    </row>
    <row r="1222">
      <c r="A1222" s="272"/>
      <c r="B1222" s="272"/>
      <c r="C1222" s="272"/>
      <c r="D1222" s="172"/>
      <c r="E1222" s="267" t="str">
        <f t="shared" si="22"/>
        <v/>
      </c>
      <c r="F1222" s="274"/>
      <c r="G1222" s="42"/>
      <c r="H1222" s="264"/>
      <c r="I1222" s="277"/>
      <c r="J1222" s="276" t="str">
        <f>IF(ISBLANK(I1222), "", VLOOKUP(E1222&amp;" "&amp;F1222, 'Info Tipo de Cambio y REM'!$A$24:$B$35, 2, FALSE))
</f>
        <v/>
      </c>
      <c r="K1222" s="107"/>
      <c r="L1222" s="293"/>
      <c r="M1222" s="293"/>
      <c r="N1222" s="293"/>
      <c r="O1222" s="277"/>
      <c r="P1222" s="264"/>
      <c r="Q1222" s="264"/>
      <c r="R1222" s="264"/>
      <c r="S1222" s="264"/>
      <c r="T1222" s="264"/>
      <c r="U1222" s="264"/>
      <c r="V1222" s="264"/>
      <c r="W1222" s="264"/>
      <c r="X1222" s="264"/>
      <c r="Y1222" s="264"/>
      <c r="Z1222" s="264"/>
      <c r="AA1222" s="264"/>
      <c r="AB1222" s="264"/>
      <c r="AC1222" s="264"/>
      <c r="AD1222" s="264"/>
      <c r="AE1222" s="264"/>
    </row>
    <row r="1223">
      <c r="A1223" s="272"/>
      <c r="B1223" s="272"/>
      <c r="C1223" s="272"/>
      <c r="D1223" s="172"/>
      <c r="E1223" s="267" t="str">
        <f t="shared" si="22"/>
        <v/>
      </c>
      <c r="F1223" s="274"/>
      <c r="G1223" s="42"/>
      <c r="H1223" s="264"/>
      <c r="I1223" s="277"/>
      <c r="J1223" s="276" t="str">
        <f>IF(ISBLANK(I1223), "", VLOOKUP(E1223&amp;" "&amp;F1223, 'Info Tipo de Cambio y REM'!$A$24:$B$35, 2, FALSE))
</f>
        <v/>
      </c>
      <c r="K1223" s="107"/>
      <c r="L1223" s="293"/>
      <c r="M1223" s="293"/>
      <c r="N1223" s="293"/>
      <c r="O1223" s="277"/>
      <c r="P1223" s="264"/>
      <c r="Q1223" s="264"/>
      <c r="R1223" s="264"/>
      <c r="S1223" s="264"/>
      <c r="T1223" s="264"/>
      <c r="U1223" s="264"/>
      <c r="V1223" s="264"/>
      <c r="W1223" s="264"/>
      <c r="X1223" s="264"/>
      <c r="Y1223" s="264"/>
      <c r="Z1223" s="264"/>
      <c r="AA1223" s="264"/>
      <c r="AB1223" s="264"/>
      <c r="AC1223" s="264"/>
      <c r="AD1223" s="264"/>
      <c r="AE1223" s="264"/>
    </row>
    <row r="1224">
      <c r="A1224" s="272"/>
      <c r="B1224" s="272"/>
      <c r="C1224" s="272"/>
      <c r="D1224" s="172"/>
      <c r="E1224" s="267" t="str">
        <f t="shared" si="22"/>
        <v/>
      </c>
      <c r="F1224" s="274"/>
      <c r="G1224" s="42"/>
      <c r="H1224" s="264"/>
      <c r="I1224" s="277"/>
      <c r="J1224" s="276" t="str">
        <f>IF(ISBLANK(I1224), "", VLOOKUP(E1224&amp;" "&amp;F1224, 'Info Tipo de Cambio y REM'!$A$24:$B$35, 2, FALSE))
</f>
        <v/>
      </c>
      <c r="K1224" s="107"/>
      <c r="L1224" s="293"/>
      <c r="M1224" s="293"/>
      <c r="N1224" s="293"/>
      <c r="O1224" s="277"/>
      <c r="P1224" s="264"/>
      <c r="Q1224" s="264"/>
      <c r="R1224" s="264"/>
      <c r="S1224" s="264"/>
      <c r="T1224" s="264"/>
      <c r="U1224" s="264"/>
      <c r="V1224" s="264"/>
      <c r="W1224" s="264"/>
      <c r="X1224" s="264"/>
      <c r="Y1224" s="264"/>
      <c r="Z1224" s="264"/>
      <c r="AA1224" s="264"/>
      <c r="AB1224" s="264"/>
      <c r="AC1224" s="264"/>
      <c r="AD1224" s="264"/>
      <c r="AE1224" s="264"/>
    </row>
    <row r="1225">
      <c r="A1225" s="272"/>
      <c r="B1225" s="272"/>
      <c r="C1225" s="272"/>
      <c r="D1225" s="172"/>
      <c r="E1225" s="267" t="str">
        <f t="shared" si="22"/>
        <v/>
      </c>
      <c r="F1225" s="274"/>
      <c r="G1225" s="42"/>
      <c r="H1225" s="264"/>
      <c r="I1225" s="277"/>
      <c r="J1225" s="276" t="str">
        <f>IF(ISBLANK(I1225), "", VLOOKUP(E1225&amp;" "&amp;F1225, 'Info Tipo de Cambio y REM'!$A$24:$B$35, 2, FALSE))
</f>
        <v/>
      </c>
      <c r="K1225" s="107"/>
      <c r="L1225" s="293"/>
      <c r="M1225" s="293"/>
      <c r="N1225" s="293"/>
      <c r="O1225" s="277"/>
      <c r="P1225" s="264"/>
      <c r="Q1225" s="264"/>
      <c r="R1225" s="264"/>
      <c r="S1225" s="264"/>
      <c r="T1225" s="264"/>
      <c r="U1225" s="264"/>
      <c r="V1225" s="264"/>
      <c r="W1225" s="264"/>
      <c r="X1225" s="264"/>
      <c r="Y1225" s="264"/>
      <c r="Z1225" s="264"/>
      <c r="AA1225" s="264"/>
      <c r="AB1225" s="264"/>
      <c r="AC1225" s="264"/>
      <c r="AD1225" s="264"/>
      <c r="AE1225" s="264"/>
    </row>
    <row r="1226">
      <c r="A1226" s="272"/>
      <c r="B1226" s="272"/>
      <c r="C1226" s="272"/>
      <c r="D1226" s="172"/>
      <c r="E1226" s="267" t="str">
        <f t="shared" si="22"/>
        <v/>
      </c>
      <c r="F1226" s="274"/>
      <c r="G1226" s="42"/>
      <c r="H1226" s="264"/>
      <c r="I1226" s="277"/>
      <c r="J1226" s="276" t="str">
        <f>IF(ISBLANK(I1226), "", VLOOKUP(E1226&amp;" "&amp;F1226, 'Info Tipo de Cambio y REM'!$A$24:$B$35, 2, FALSE))
</f>
        <v/>
      </c>
      <c r="K1226" s="107"/>
      <c r="L1226" s="293"/>
      <c r="M1226" s="293"/>
      <c r="N1226" s="293"/>
      <c r="O1226" s="277"/>
      <c r="P1226" s="264"/>
      <c r="Q1226" s="264"/>
      <c r="R1226" s="264"/>
      <c r="S1226" s="264"/>
      <c r="T1226" s="264"/>
      <c r="U1226" s="264"/>
      <c r="V1226" s="264"/>
      <c r="W1226" s="264"/>
      <c r="X1226" s="264"/>
      <c r="Y1226" s="264"/>
      <c r="Z1226" s="264"/>
      <c r="AA1226" s="264"/>
      <c r="AB1226" s="264"/>
      <c r="AC1226" s="264"/>
      <c r="AD1226" s="264"/>
      <c r="AE1226" s="264"/>
    </row>
    <row r="1227">
      <c r="A1227" s="272"/>
      <c r="B1227" s="272"/>
      <c r="C1227" s="272"/>
      <c r="D1227" s="172"/>
      <c r="E1227" s="267" t="str">
        <f t="shared" si="22"/>
        <v/>
      </c>
      <c r="F1227" s="274"/>
      <c r="G1227" s="42"/>
      <c r="H1227" s="264"/>
      <c r="I1227" s="277"/>
      <c r="J1227" s="276" t="str">
        <f>IF(ISBLANK(I1227), "", VLOOKUP(E1227&amp;" "&amp;F1227, 'Info Tipo de Cambio y REM'!$A$24:$B$35, 2, FALSE))
</f>
        <v/>
      </c>
      <c r="K1227" s="107"/>
      <c r="L1227" s="293"/>
      <c r="M1227" s="293"/>
      <c r="N1227" s="293"/>
      <c r="O1227" s="277"/>
      <c r="P1227" s="264"/>
      <c r="Q1227" s="264"/>
      <c r="R1227" s="264"/>
      <c r="S1227" s="264"/>
      <c r="T1227" s="264"/>
      <c r="U1227" s="264"/>
      <c r="V1227" s="264"/>
      <c r="W1227" s="264"/>
      <c r="X1227" s="264"/>
      <c r="Y1227" s="264"/>
      <c r="Z1227" s="264"/>
      <c r="AA1227" s="264"/>
      <c r="AB1227" s="264"/>
      <c r="AC1227" s="264"/>
      <c r="AD1227" s="264"/>
      <c r="AE1227" s="264"/>
    </row>
    <row r="1228">
      <c r="A1228" s="272"/>
      <c r="B1228" s="272"/>
      <c r="C1228" s="272"/>
      <c r="D1228" s="172"/>
      <c r="E1228" s="267" t="str">
        <f t="shared" si="22"/>
        <v/>
      </c>
      <c r="F1228" s="274"/>
      <c r="G1228" s="42"/>
      <c r="H1228" s="264"/>
      <c r="I1228" s="277"/>
      <c r="J1228" s="276" t="str">
        <f>IF(ISBLANK(I1228), "", VLOOKUP(E1228&amp;" "&amp;F1228, 'Info Tipo de Cambio y REM'!$A$24:$B$35, 2, FALSE))
</f>
        <v/>
      </c>
      <c r="K1228" s="107"/>
      <c r="L1228" s="293"/>
      <c r="M1228" s="293"/>
      <c r="N1228" s="293"/>
      <c r="O1228" s="277"/>
      <c r="P1228" s="264"/>
      <c r="Q1228" s="264"/>
      <c r="R1228" s="264"/>
      <c r="S1228" s="264"/>
      <c r="T1228" s="264"/>
      <c r="U1228" s="264"/>
      <c r="V1228" s="264"/>
      <c r="W1228" s="264"/>
      <c r="X1228" s="264"/>
      <c r="Y1228" s="264"/>
      <c r="Z1228" s="264"/>
      <c r="AA1228" s="264"/>
      <c r="AB1228" s="264"/>
      <c r="AC1228" s="264"/>
      <c r="AD1228" s="264"/>
      <c r="AE1228" s="264"/>
    </row>
    <row r="1229">
      <c r="A1229" s="272"/>
      <c r="B1229" s="272"/>
      <c r="C1229" s="272"/>
      <c r="D1229" s="172"/>
      <c r="E1229" s="267" t="str">
        <f t="shared" si="22"/>
        <v/>
      </c>
      <c r="F1229" s="274"/>
      <c r="G1229" s="42"/>
      <c r="H1229" s="264"/>
      <c r="I1229" s="277"/>
      <c r="J1229" s="276" t="str">
        <f>IF(ISBLANK(I1229), "", VLOOKUP(E1229&amp;" "&amp;F1229, 'Info Tipo de Cambio y REM'!$A$24:$B$35, 2, FALSE))
</f>
        <v/>
      </c>
      <c r="K1229" s="107"/>
      <c r="L1229" s="293"/>
      <c r="M1229" s="293"/>
      <c r="N1229" s="293"/>
      <c r="O1229" s="277"/>
      <c r="P1229" s="264"/>
      <c r="Q1229" s="264"/>
      <c r="R1229" s="264"/>
      <c r="S1229" s="264"/>
      <c r="T1229" s="264"/>
      <c r="U1229" s="264"/>
      <c r="V1229" s="264"/>
      <c r="W1229" s="264"/>
      <c r="X1229" s="264"/>
      <c r="Y1229" s="264"/>
      <c r="Z1229" s="264"/>
      <c r="AA1229" s="264"/>
      <c r="AB1229" s="264"/>
      <c r="AC1229" s="264"/>
      <c r="AD1229" s="264"/>
      <c r="AE1229" s="264"/>
    </row>
    <row r="1230">
      <c r="A1230" s="272"/>
      <c r="B1230" s="272"/>
      <c r="C1230" s="272"/>
      <c r="D1230" s="172"/>
      <c r="E1230" s="267" t="str">
        <f t="shared" si="22"/>
        <v/>
      </c>
      <c r="F1230" s="274"/>
      <c r="G1230" s="42"/>
      <c r="H1230" s="264"/>
      <c r="I1230" s="277"/>
      <c r="J1230" s="276" t="str">
        <f>IF(ISBLANK(I1230), "", VLOOKUP(E1230&amp;" "&amp;F1230, 'Info Tipo de Cambio y REM'!$A$24:$B$35, 2, FALSE))
</f>
        <v/>
      </c>
      <c r="K1230" s="107"/>
      <c r="L1230" s="293"/>
      <c r="M1230" s="293"/>
      <c r="N1230" s="293"/>
      <c r="O1230" s="277"/>
      <c r="P1230" s="264"/>
      <c r="Q1230" s="264"/>
      <c r="R1230" s="264"/>
      <c r="S1230" s="264"/>
      <c r="T1230" s="264"/>
      <c r="U1230" s="264"/>
      <c r="V1230" s="264"/>
      <c r="W1230" s="264"/>
      <c r="X1230" s="264"/>
      <c r="Y1230" s="264"/>
      <c r="Z1230" s="264"/>
      <c r="AA1230" s="264"/>
      <c r="AB1230" s="264"/>
      <c r="AC1230" s="264"/>
      <c r="AD1230" s="264"/>
      <c r="AE1230" s="264"/>
    </row>
    <row r="1231">
      <c r="A1231" s="272"/>
      <c r="B1231" s="272"/>
      <c r="C1231" s="272"/>
      <c r="D1231" s="172"/>
      <c r="E1231" s="267" t="str">
        <f t="shared" si="22"/>
        <v/>
      </c>
      <c r="F1231" s="274"/>
      <c r="G1231" s="42"/>
      <c r="H1231" s="264"/>
      <c r="I1231" s="277"/>
      <c r="J1231" s="276" t="str">
        <f>IF(ISBLANK(I1231), "", VLOOKUP(E1231&amp;" "&amp;F1231, 'Info Tipo de Cambio y REM'!$A$24:$B$35, 2, FALSE))
</f>
        <v/>
      </c>
      <c r="K1231" s="107"/>
      <c r="L1231" s="293"/>
      <c r="M1231" s="293"/>
      <c r="N1231" s="293"/>
      <c r="O1231" s="277"/>
      <c r="P1231" s="264"/>
      <c r="Q1231" s="264"/>
      <c r="R1231" s="264"/>
      <c r="S1231" s="264"/>
      <c r="T1231" s="264"/>
      <c r="U1231" s="264"/>
      <c r="V1231" s="264"/>
      <c r="W1231" s="264"/>
      <c r="X1231" s="264"/>
      <c r="Y1231" s="264"/>
      <c r="Z1231" s="264"/>
      <c r="AA1231" s="264"/>
      <c r="AB1231" s="264"/>
      <c r="AC1231" s="264"/>
      <c r="AD1231" s="264"/>
      <c r="AE1231" s="264"/>
    </row>
    <row r="1232">
      <c r="A1232" s="272"/>
      <c r="B1232" s="272"/>
      <c r="C1232" s="272"/>
      <c r="D1232" s="172"/>
      <c r="E1232" s="267" t="str">
        <f t="shared" si="22"/>
        <v/>
      </c>
      <c r="F1232" s="274"/>
      <c r="G1232" s="42"/>
      <c r="H1232" s="264"/>
      <c r="I1232" s="277"/>
      <c r="J1232" s="276" t="str">
        <f>IF(ISBLANK(I1232), "", VLOOKUP(E1232&amp;" "&amp;F1232, 'Info Tipo de Cambio y REM'!$A$24:$B$35, 2, FALSE))
</f>
        <v/>
      </c>
      <c r="K1232" s="107"/>
      <c r="L1232" s="293"/>
      <c r="M1232" s="293"/>
      <c r="N1232" s="293"/>
      <c r="O1232" s="277"/>
      <c r="P1232" s="264"/>
      <c r="Q1232" s="264"/>
      <c r="R1232" s="264"/>
      <c r="S1232" s="264"/>
      <c r="T1232" s="264"/>
      <c r="U1232" s="264"/>
      <c r="V1232" s="264"/>
      <c r="W1232" s="264"/>
      <c r="X1232" s="264"/>
      <c r="Y1232" s="264"/>
      <c r="Z1232" s="264"/>
      <c r="AA1232" s="264"/>
      <c r="AB1232" s="264"/>
      <c r="AC1232" s="264"/>
      <c r="AD1232" s="264"/>
      <c r="AE1232" s="264"/>
    </row>
    <row r="1233">
      <c r="A1233" s="272"/>
      <c r="B1233" s="272"/>
      <c r="C1233" s="272"/>
      <c r="D1233" s="172"/>
      <c r="E1233" s="267" t="str">
        <f t="shared" si="22"/>
        <v/>
      </c>
      <c r="F1233" s="274"/>
      <c r="G1233" s="42"/>
      <c r="H1233" s="264"/>
      <c r="I1233" s="277"/>
      <c r="J1233" s="276" t="str">
        <f>IF(ISBLANK(I1233), "", VLOOKUP(E1233&amp;" "&amp;F1233, 'Info Tipo de Cambio y REM'!$A$24:$B$35, 2, FALSE))
</f>
        <v/>
      </c>
      <c r="K1233" s="107"/>
      <c r="L1233" s="293"/>
      <c r="M1233" s="293"/>
      <c r="N1233" s="293"/>
      <c r="O1233" s="277"/>
      <c r="P1233" s="264"/>
      <c r="Q1233" s="264"/>
      <c r="R1233" s="264"/>
      <c r="S1233" s="264"/>
      <c r="T1233" s="264"/>
      <c r="U1233" s="264"/>
      <c r="V1233" s="264"/>
      <c r="W1233" s="264"/>
      <c r="X1233" s="264"/>
      <c r="Y1233" s="264"/>
      <c r="Z1233" s="264"/>
      <c r="AA1233" s="264"/>
      <c r="AB1233" s="264"/>
      <c r="AC1233" s="264"/>
      <c r="AD1233" s="264"/>
      <c r="AE1233" s="264"/>
    </row>
    <row r="1234">
      <c r="A1234" s="272"/>
      <c r="B1234" s="272"/>
      <c r="C1234" s="272"/>
      <c r="D1234" s="172"/>
      <c r="E1234" s="267" t="str">
        <f t="shared" si="22"/>
        <v/>
      </c>
      <c r="F1234" s="274"/>
      <c r="G1234" s="42"/>
      <c r="H1234" s="264"/>
      <c r="I1234" s="277"/>
      <c r="J1234" s="276" t="str">
        <f>IF(ISBLANK(I1234), "", VLOOKUP(E1234&amp;" "&amp;F1234, 'Info Tipo de Cambio y REM'!$A$24:$B$35, 2, FALSE))
</f>
        <v/>
      </c>
      <c r="K1234" s="107"/>
      <c r="L1234" s="293"/>
      <c r="M1234" s="293"/>
      <c r="N1234" s="293"/>
      <c r="O1234" s="277"/>
      <c r="P1234" s="264"/>
      <c r="Q1234" s="264"/>
      <c r="R1234" s="264"/>
      <c r="S1234" s="264"/>
      <c r="T1234" s="264"/>
      <c r="U1234" s="264"/>
      <c r="V1234" s="264"/>
      <c r="W1234" s="264"/>
      <c r="X1234" s="264"/>
      <c r="Y1234" s="264"/>
      <c r="Z1234" s="264"/>
      <c r="AA1234" s="264"/>
      <c r="AB1234" s="264"/>
      <c r="AC1234" s="264"/>
      <c r="AD1234" s="264"/>
      <c r="AE1234" s="264"/>
    </row>
    <row r="1235">
      <c r="A1235" s="272"/>
      <c r="B1235" s="272"/>
      <c r="C1235" s="272"/>
      <c r="D1235" s="172"/>
      <c r="E1235" s="267" t="str">
        <f t="shared" si="22"/>
        <v/>
      </c>
      <c r="F1235" s="274"/>
      <c r="G1235" s="42"/>
      <c r="H1235" s="264"/>
      <c r="I1235" s="277"/>
      <c r="J1235" s="276" t="str">
        <f>IF(ISBLANK(I1235), "", VLOOKUP(E1235&amp;" "&amp;F1235, 'Info Tipo de Cambio y REM'!$A$24:$B$35, 2, FALSE))
</f>
        <v/>
      </c>
      <c r="K1235" s="107"/>
      <c r="L1235" s="293"/>
      <c r="M1235" s="293"/>
      <c r="N1235" s="293"/>
      <c r="O1235" s="277"/>
      <c r="P1235" s="264"/>
      <c r="Q1235" s="264"/>
      <c r="R1235" s="264"/>
      <c r="S1235" s="264"/>
      <c r="T1235" s="264"/>
      <c r="U1235" s="264"/>
      <c r="V1235" s="264"/>
      <c r="W1235" s="264"/>
      <c r="X1235" s="264"/>
      <c r="Y1235" s="264"/>
      <c r="Z1235" s="264"/>
      <c r="AA1235" s="264"/>
      <c r="AB1235" s="264"/>
      <c r="AC1235" s="264"/>
      <c r="AD1235" s="264"/>
      <c r="AE1235" s="264"/>
    </row>
    <row r="1236">
      <c r="A1236" s="272"/>
      <c r="B1236" s="272"/>
      <c r="C1236" s="272"/>
      <c r="D1236" s="172"/>
      <c r="E1236" s="267" t="str">
        <f t="shared" si="22"/>
        <v/>
      </c>
      <c r="F1236" s="274"/>
      <c r="G1236" s="42"/>
      <c r="H1236" s="264"/>
      <c r="I1236" s="277"/>
      <c r="J1236" s="276" t="str">
        <f>IF(ISBLANK(I1236), "", VLOOKUP(E1236&amp;" "&amp;F1236, 'Info Tipo de Cambio y REM'!$A$24:$B$35, 2, FALSE))
</f>
        <v/>
      </c>
      <c r="K1236" s="107"/>
      <c r="L1236" s="293"/>
      <c r="M1236" s="293"/>
      <c r="N1236" s="293"/>
      <c r="O1236" s="277"/>
      <c r="P1236" s="264"/>
      <c r="Q1236" s="264"/>
      <c r="R1236" s="264"/>
      <c r="S1236" s="264"/>
      <c r="T1236" s="264"/>
      <c r="U1236" s="264"/>
      <c r="V1236" s="264"/>
      <c r="W1236" s="264"/>
      <c r="X1236" s="264"/>
      <c r="Y1236" s="264"/>
      <c r="Z1236" s="264"/>
      <c r="AA1236" s="264"/>
      <c r="AB1236" s="264"/>
      <c r="AC1236" s="264"/>
      <c r="AD1236" s="264"/>
      <c r="AE1236" s="264"/>
    </row>
    <row r="1237">
      <c r="A1237" s="272"/>
      <c r="B1237" s="272"/>
      <c r="C1237" s="272"/>
      <c r="D1237" s="172"/>
      <c r="E1237" s="267" t="str">
        <f t="shared" si="22"/>
        <v/>
      </c>
      <c r="F1237" s="274"/>
      <c r="G1237" s="42"/>
      <c r="H1237" s="264"/>
      <c r="I1237" s="277"/>
      <c r="J1237" s="276" t="str">
        <f>IF(ISBLANK(I1237), "", VLOOKUP(E1237&amp;" "&amp;F1237, 'Info Tipo de Cambio y REM'!$A$24:$B$35, 2, FALSE))
</f>
        <v/>
      </c>
      <c r="K1237" s="107"/>
      <c r="L1237" s="293"/>
      <c r="M1237" s="293"/>
      <c r="N1237" s="293"/>
      <c r="O1237" s="277"/>
      <c r="P1237" s="264"/>
      <c r="Q1237" s="264"/>
      <c r="R1237" s="264"/>
      <c r="S1237" s="264"/>
      <c r="T1237" s="264"/>
      <c r="U1237" s="264"/>
      <c r="V1237" s="264"/>
      <c r="W1237" s="264"/>
      <c r="X1237" s="264"/>
      <c r="Y1237" s="264"/>
      <c r="Z1237" s="264"/>
      <c r="AA1237" s="264"/>
      <c r="AB1237" s="264"/>
      <c r="AC1237" s="264"/>
      <c r="AD1237" s="264"/>
      <c r="AE1237" s="264"/>
    </row>
    <row r="1238">
      <c r="A1238" s="272"/>
      <c r="B1238" s="272"/>
      <c r="C1238" s="272"/>
      <c r="D1238" s="172"/>
      <c r="E1238" s="267" t="str">
        <f t="shared" si="22"/>
        <v/>
      </c>
      <c r="F1238" s="274"/>
      <c r="G1238" s="42"/>
      <c r="H1238" s="264"/>
      <c r="I1238" s="277"/>
      <c r="J1238" s="276" t="str">
        <f>IF(ISBLANK(I1238), "", VLOOKUP(E1238&amp;" "&amp;F1238, 'Info Tipo de Cambio y REM'!$A$24:$B$35, 2, FALSE))
</f>
        <v/>
      </c>
      <c r="K1238" s="107"/>
      <c r="L1238" s="293"/>
      <c r="M1238" s="293"/>
      <c r="N1238" s="293"/>
      <c r="O1238" s="277"/>
      <c r="P1238" s="264"/>
      <c r="Q1238" s="264"/>
      <c r="R1238" s="264"/>
      <c r="S1238" s="264"/>
      <c r="T1238" s="264"/>
      <c r="U1238" s="264"/>
      <c r="V1238" s="264"/>
      <c r="W1238" s="264"/>
      <c r="X1238" s="264"/>
      <c r="Y1238" s="264"/>
      <c r="Z1238" s="264"/>
      <c r="AA1238" s="264"/>
      <c r="AB1238" s="264"/>
      <c r="AC1238" s="264"/>
      <c r="AD1238" s="264"/>
      <c r="AE1238" s="264"/>
    </row>
    <row r="1239">
      <c r="A1239" s="272"/>
      <c r="B1239" s="272"/>
      <c r="C1239" s="272"/>
      <c r="D1239" s="172"/>
      <c r="E1239" s="267" t="str">
        <f t="shared" si="22"/>
        <v/>
      </c>
      <c r="F1239" s="274"/>
      <c r="G1239" s="42"/>
      <c r="H1239" s="264"/>
      <c r="I1239" s="277"/>
      <c r="J1239" s="276" t="str">
        <f>IF(ISBLANK(I1239), "", VLOOKUP(E1239&amp;" "&amp;F1239, 'Info Tipo de Cambio y REM'!$A$24:$B$35, 2, FALSE))
</f>
        <v/>
      </c>
      <c r="K1239" s="107"/>
      <c r="L1239" s="293"/>
      <c r="M1239" s="293"/>
      <c r="N1239" s="293"/>
      <c r="O1239" s="277"/>
      <c r="P1239" s="264"/>
      <c r="Q1239" s="264"/>
      <c r="R1239" s="264"/>
      <c r="S1239" s="264"/>
      <c r="T1239" s="264"/>
      <c r="U1239" s="264"/>
      <c r="V1239" s="264"/>
      <c r="W1239" s="264"/>
      <c r="X1239" s="264"/>
      <c r="Y1239" s="264"/>
      <c r="Z1239" s="264"/>
      <c r="AA1239" s="264"/>
      <c r="AB1239" s="264"/>
      <c r="AC1239" s="264"/>
      <c r="AD1239" s="264"/>
      <c r="AE1239" s="264"/>
    </row>
    <row r="1240">
      <c r="A1240" s="272"/>
      <c r="B1240" s="272"/>
      <c r="C1240" s="272"/>
      <c r="D1240" s="172"/>
      <c r="E1240" s="267" t="str">
        <f t="shared" si="22"/>
        <v/>
      </c>
      <c r="F1240" s="274"/>
      <c r="G1240" s="42"/>
      <c r="H1240" s="264"/>
      <c r="I1240" s="277"/>
      <c r="J1240" s="276" t="str">
        <f>IF(ISBLANK(I1240), "", VLOOKUP(E1240&amp;" "&amp;F1240, 'Info Tipo de Cambio y REM'!$A$24:$B$35, 2, FALSE))
</f>
        <v/>
      </c>
      <c r="K1240" s="107"/>
      <c r="L1240" s="293"/>
      <c r="M1240" s="293"/>
      <c r="N1240" s="293"/>
      <c r="O1240" s="277"/>
      <c r="P1240" s="264"/>
      <c r="Q1240" s="264"/>
      <c r="R1240" s="264"/>
      <c r="S1240" s="264"/>
      <c r="T1240" s="264"/>
      <c r="U1240" s="264"/>
      <c r="V1240" s="264"/>
      <c r="W1240" s="264"/>
      <c r="X1240" s="264"/>
      <c r="Y1240" s="264"/>
      <c r="Z1240" s="264"/>
      <c r="AA1240" s="264"/>
      <c r="AB1240" s="264"/>
      <c r="AC1240" s="264"/>
      <c r="AD1240" s="264"/>
      <c r="AE1240" s="264"/>
    </row>
    <row r="1241">
      <c r="A1241" s="272"/>
      <c r="B1241" s="272"/>
      <c r="C1241" s="272"/>
      <c r="D1241" s="172"/>
      <c r="E1241" s="267" t="str">
        <f t="shared" si="22"/>
        <v/>
      </c>
      <c r="F1241" s="274"/>
      <c r="G1241" s="42"/>
      <c r="H1241" s="264"/>
      <c r="I1241" s="277"/>
      <c r="J1241" s="276" t="str">
        <f>IF(ISBLANK(I1241), "", VLOOKUP(E1241&amp;" "&amp;F1241, 'Info Tipo de Cambio y REM'!$A$24:$B$35, 2, FALSE))
</f>
        <v/>
      </c>
      <c r="K1241" s="107"/>
      <c r="L1241" s="293"/>
      <c r="M1241" s="293"/>
      <c r="N1241" s="293"/>
      <c r="O1241" s="277"/>
      <c r="P1241" s="264"/>
      <c r="Q1241" s="264"/>
      <c r="R1241" s="264"/>
      <c r="S1241" s="264"/>
      <c r="T1241" s="264"/>
      <c r="U1241" s="264"/>
      <c r="V1241" s="264"/>
      <c r="W1241" s="264"/>
      <c r="X1241" s="264"/>
      <c r="Y1241" s="264"/>
      <c r="Z1241" s="264"/>
      <c r="AA1241" s="264"/>
      <c r="AB1241" s="264"/>
      <c r="AC1241" s="264"/>
      <c r="AD1241" s="264"/>
      <c r="AE1241" s="264"/>
    </row>
    <row r="1242">
      <c r="A1242" s="272"/>
      <c r="B1242" s="272"/>
      <c r="C1242" s="272"/>
      <c r="D1242" s="172"/>
      <c r="E1242" s="267" t="str">
        <f t="shared" si="22"/>
        <v/>
      </c>
      <c r="F1242" s="274"/>
      <c r="G1242" s="42"/>
      <c r="H1242" s="264"/>
      <c r="I1242" s="277"/>
      <c r="J1242" s="276" t="str">
        <f>IF(ISBLANK(I1242), "", VLOOKUP(E1242&amp;" "&amp;F1242, 'Info Tipo de Cambio y REM'!$A$24:$B$35, 2, FALSE))
</f>
        <v/>
      </c>
      <c r="K1242" s="107"/>
      <c r="L1242" s="293"/>
      <c r="M1242" s="293"/>
      <c r="N1242" s="293"/>
      <c r="O1242" s="277"/>
      <c r="P1242" s="264"/>
      <c r="Q1242" s="264"/>
      <c r="R1242" s="264"/>
      <c r="S1242" s="264"/>
      <c r="T1242" s="264"/>
      <c r="U1242" s="264"/>
      <c r="V1242" s="264"/>
      <c r="W1242" s="264"/>
      <c r="X1242" s="264"/>
      <c r="Y1242" s="264"/>
      <c r="Z1242" s="264"/>
      <c r="AA1242" s="264"/>
      <c r="AB1242" s="264"/>
      <c r="AC1242" s="264"/>
      <c r="AD1242" s="264"/>
      <c r="AE1242" s="264"/>
    </row>
    <row r="1243">
      <c r="A1243" s="272"/>
      <c r="B1243" s="272"/>
      <c r="C1243" s="272"/>
      <c r="D1243" s="172"/>
      <c r="E1243" s="267" t="str">
        <f t="shared" si="22"/>
        <v/>
      </c>
      <c r="F1243" s="274"/>
      <c r="G1243" s="42"/>
      <c r="H1243" s="264"/>
      <c r="I1243" s="277"/>
      <c r="J1243" s="276" t="str">
        <f>IF(ISBLANK(I1243), "", VLOOKUP(E1243&amp;" "&amp;F1243, 'Info Tipo de Cambio y REM'!$A$24:$B$35, 2, FALSE))
</f>
        <v/>
      </c>
      <c r="K1243" s="107"/>
      <c r="L1243" s="293"/>
      <c r="M1243" s="293"/>
      <c r="N1243" s="293"/>
      <c r="O1243" s="277"/>
      <c r="P1243" s="264"/>
      <c r="Q1243" s="264"/>
      <c r="R1243" s="264"/>
      <c r="S1243" s="264"/>
      <c r="T1243" s="264"/>
      <c r="U1243" s="264"/>
      <c r="V1243" s="264"/>
      <c r="W1243" s="264"/>
      <c r="X1243" s="264"/>
      <c r="Y1243" s="264"/>
      <c r="Z1243" s="264"/>
      <c r="AA1243" s="264"/>
      <c r="AB1243" s="264"/>
      <c r="AC1243" s="264"/>
      <c r="AD1243" s="264"/>
      <c r="AE1243" s="264"/>
    </row>
    <row r="1244">
      <c r="A1244" s="272"/>
      <c r="B1244" s="272"/>
      <c r="C1244" s="272"/>
      <c r="D1244" s="172"/>
      <c r="E1244" s="267" t="str">
        <f t="shared" si="22"/>
        <v/>
      </c>
      <c r="F1244" s="274"/>
      <c r="G1244" s="42"/>
      <c r="H1244" s="264"/>
      <c r="I1244" s="277"/>
      <c r="J1244" s="276" t="str">
        <f>IF(ISBLANK(I1244), "", VLOOKUP(E1244&amp;" "&amp;F1244, 'Info Tipo de Cambio y REM'!$A$24:$B$35, 2, FALSE))
</f>
        <v/>
      </c>
      <c r="K1244" s="107"/>
      <c r="L1244" s="293"/>
      <c r="M1244" s="293"/>
      <c r="N1244" s="293"/>
      <c r="O1244" s="277"/>
      <c r="P1244" s="264"/>
      <c r="Q1244" s="264"/>
      <c r="R1244" s="264"/>
      <c r="S1244" s="264"/>
      <c r="T1244" s="264"/>
      <c r="U1244" s="264"/>
      <c r="V1244" s="264"/>
      <c r="W1244" s="264"/>
      <c r="X1244" s="264"/>
      <c r="Y1244" s="264"/>
      <c r="Z1244" s="264"/>
      <c r="AA1244" s="264"/>
      <c r="AB1244" s="264"/>
      <c r="AC1244" s="264"/>
      <c r="AD1244" s="264"/>
      <c r="AE1244" s="264"/>
    </row>
    <row r="1245">
      <c r="A1245" s="272"/>
      <c r="B1245" s="272"/>
      <c r="C1245" s="272"/>
      <c r="D1245" s="172"/>
      <c r="E1245" s="267" t="str">
        <f t="shared" si="22"/>
        <v/>
      </c>
      <c r="F1245" s="274"/>
      <c r="G1245" s="42"/>
      <c r="H1245" s="264"/>
      <c r="I1245" s="277"/>
      <c r="J1245" s="276" t="str">
        <f>IF(ISBLANK(I1245), "", VLOOKUP(E1245&amp;" "&amp;F1245, 'Info Tipo de Cambio y REM'!$A$24:$B$35, 2, FALSE))
</f>
        <v/>
      </c>
      <c r="K1245" s="107"/>
      <c r="L1245" s="293"/>
      <c r="M1245" s="293"/>
      <c r="N1245" s="293"/>
      <c r="O1245" s="277"/>
      <c r="P1245" s="264"/>
      <c r="Q1245" s="264"/>
      <c r="R1245" s="264"/>
      <c r="S1245" s="264"/>
      <c r="T1245" s="264"/>
      <c r="U1245" s="264"/>
      <c r="V1245" s="264"/>
      <c r="W1245" s="264"/>
      <c r="X1245" s="264"/>
      <c r="Y1245" s="264"/>
      <c r="Z1245" s="264"/>
      <c r="AA1245" s="264"/>
      <c r="AB1245" s="264"/>
      <c r="AC1245" s="264"/>
      <c r="AD1245" s="264"/>
      <c r="AE1245" s="264"/>
    </row>
    <row r="1246">
      <c r="A1246" s="272"/>
      <c r="B1246" s="272"/>
      <c r="C1246" s="272"/>
      <c r="D1246" s="172"/>
      <c r="E1246" s="267" t="str">
        <f t="shared" si="22"/>
        <v/>
      </c>
      <c r="F1246" s="274"/>
      <c r="G1246" s="42"/>
      <c r="H1246" s="264"/>
      <c r="I1246" s="277"/>
      <c r="J1246" s="276" t="str">
        <f>IF(ISBLANK(I1246), "", VLOOKUP(E1246&amp;" "&amp;F1246, 'Info Tipo de Cambio y REM'!$A$24:$B$35, 2, FALSE))
</f>
        <v/>
      </c>
      <c r="K1246" s="107"/>
      <c r="L1246" s="293"/>
      <c r="M1246" s="293"/>
      <c r="N1246" s="293"/>
      <c r="O1246" s="277"/>
      <c r="P1246" s="264"/>
      <c r="Q1246" s="264"/>
      <c r="R1246" s="264"/>
      <c r="S1246" s="264"/>
      <c r="T1246" s="264"/>
      <c r="U1246" s="264"/>
      <c r="V1246" s="264"/>
      <c r="W1246" s="264"/>
      <c r="X1246" s="264"/>
      <c r="Y1246" s="264"/>
      <c r="Z1246" s="264"/>
      <c r="AA1246" s="264"/>
      <c r="AB1246" s="264"/>
      <c r="AC1246" s="264"/>
      <c r="AD1246" s="264"/>
      <c r="AE1246" s="264"/>
    </row>
    <row r="1247">
      <c r="A1247" s="272"/>
      <c r="B1247" s="272"/>
      <c r="C1247" s="272"/>
      <c r="D1247" s="172"/>
      <c r="E1247" s="267" t="str">
        <f t="shared" si="22"/>
        <v/>
      </c>
      <c r="F1247" s="274"/>
      <c r="G1247" s="42"/>
      <c r="H1247" s="264"/>
      <c r="I1247" s="277"/>
      <c r="J1247" s="276" t="str">
        <f>IF(ISBLANK(I1247), "", VLOOKUP(E1247&amp;" "&amp;F1247, 'Info Tipo de Cambio y REM'!$A$24:$B$35, 2, FALSE))
</f>
        <v/>
      </c>
      <c r="K1247" s="107"/>
      <c r="L1247" s="293"/>
      <c r="M1247" s="293"/>
      <c r="N1247" s="293"/>
      <c r="O1247" s="277"/>
      <c r="P1247" s="264"/>
      <c r="Q1247" s="264"/>
      <c r="R1247" s="264"/>
      <c r="S1247" s="264"/>
      <c r="T1247" s="264"/>
      <c r="U1247" s="264"/>
      <c r="V1247" s="264"/>
      <c r="W1247" s="264"/>
      <c r="X1247" s="264"/>
      <c r="Y1247" s="264"/>
      <c r="Z1247" s="264"/>
      <c r="AA1247" s="264"/>
      <c r="AB1247" s="264"/>
      <c r="AC1247" s="264"/>
      <c r="AD1247" s="264"/>
      <c r="AE1247" s="264"/>
    </row>
    <row r="1248">
      <c r="A1248" s="272"/>
      <c r="B1248" s="272"/>
      <c r="C1248" s="272"/>
      <c r="D1248" s="172"/>
      <c r="E1248" s="267" t="str">
        <f t="shared" si="22"/>
        <v/>
      </c>
      <c r="F1248" s="274"/>
      <c r="G1248" s="42"/>
      <c r="H1248" s="264"/>
      <c r="I1248" s="277"/>
      <c r="J1248" s="276" t="str">
        <f>IF(ISBLANK(I1248), "", VLOOKUP(E1248&amp;" "&amp;F1248, 'Info Tipo de Cambio y REM'!$A$24:$B$35, 2, FALSE))
</f>
        <v/>
      </c>
      <c r="K1248" s="107"/>
      <c r="L1248" s="293"/>
      <c r="M1248" s="293"/>
      <c r="N1248" s="293"/>
      <c r="O1248" s="277"/>
      <c r="P1248" s="264"/>
      <c r="Q1248" s="264"/>
      <c r="R1248" s="264"/>
      <c r="S1248" s="264"/>
      <c r="T1248" s="264"/>
      <c r="U1248" s="264"/>
      <c r="V1248" s="264"/>
      <c r="W1248" s="264"/>
      <c r="X1248" s="264"/>
      <c r="Y1248" s="264"/>
      <c r="Z1248" s="264"/>
      <c r="AA1248" s="264"/>
      <c r="AB1248" s="264"/>
      <c r="AC1248" s="264"/>
      <c r="AD1248" s="264"/>
      <c r="AE1248" s="264"/>
    </row>
    <row r="1249">
      <c r="A1249" s="272"/>
      <c r="B1249" s="272"/>
      <c r="C1249" s="272"/>
      <c r="D1249" s="172"/>
      <c r="E1249" s="267" t="str">
        <f t="shared" si="22"/>
        <v/>
      </c>
      <c r="F1249" s="274"/>
      <c r="G1249" s="42"/>
      <c r="H1249" s="264"/>
      <c r="I1249" s="277"/>
      <c r="J1249" s="276" t="str">
        <f>IF(ISBLANK(I1249), "", VLOOKUP(E1249&amp;" "&amp;F1249, 'Info Tipo de Cambio y REM'!$A$24:$B$35, 2, FALSE))
</f>
        <v/>
      </c>
      <c r="K1249" s="107"/>
      <c r="L1249" s="293"/>
      <c r="M1249" s="293"/>
      <c r="N1249" s="293"/>
      <c r="O1249" s="277"/>
      <c r="P1249" s="264"/>
      <c r="Q1249" s="264"/>
      <c r="R1249" s="264"/>
      <c r="S1249" s="264"/>
      <c r="T1249" s="264"/>
      <c r="U1249" s="264"/>
      <c r="V1249" s="264"/>
      <c r="W1249" s="264"/>
      <c r="X1249" s="264"/>
      <c r="Y1249" s="264"/>
      <c r="Z1249" s="264"/>
      <c r="AA1249" s="264"/>
      <c r="AB1249" s="264"/>
      <c r="AC1249" s="264"/>
      <c r="AD1249" s="264"/>
      <c r="AE1249" s="264"/>
    </row>
    <row r="1250">
      <c r="A1250" s="272"/>
      <c r="B1250" s="272"/>
      <c r="C1250" s="272"/>
      <c r="D1250" s="172"/>
      <c r="E1250" s="267" t="str">
        <f t="shared" si="22"/>
        <v/>
      </c>
      <c r="F1250" s="274"/>
      <c r="G1250" s="42"/>
      <c r="H1250" s="264"/>
      <c r="I1250" s="277"/>
      <c r="J1250" s="276" t="str">
        <f>IF(ISBLANK(I1250), "", VLOOKUP(E1250&amp;" "&amp;F1250, 'Info Tipo de Cambio y REM'!$A$24:$B$35, 2, FALSE))
</f>
        <v/>
      </c>
      <c r="K1250" s="107"/>
      <c r="L1250" s="293"/>
      <c r="M1250" s="293"/>
      <c r="N1250" s="293"/>
      <c r="O1250" s="277"/>
      <c r="P1250" s="264"/>
      <c r="Q1250" s="264"/>
      <c r="R1250" s="264"/>
      <c r="S1250" s="264"/>
      <c r="T1250" s="264"/>
      <c r="U1250" s="264"/>
      <c r="V1250" s="264"/>
      <c r="W1250" s="264"/>
      <c r="X1250" s="264"/>
      <c r="Y1250" s="264"/>
      <c r="Z1250" s="264"/>
      <c r="AA1250" s="264"/>
      <c r="AB1250" s="264"/>
      <c r="AC1250" s="264"/>
      <c r="AD1250" s="264"/>
      <c r="AE1250" s="264"/>
    </row>
    <row r="1251">
      <c r="A1251" s="272"/>
      <c r="B1251" s="272"/>
      <c r="C1251" s="272"/>
      <c r="D1251" s="172"/>
      <c r="E1251" s="267" t="str">
        <f t="shared" si="22"/>
        <v/>
      </c>
      <c r="F1251" s="274"/>
      <c r="G1251" s="42"/>
      <c r="H1251" s="264"/>
      <c r="I1251" s="277"/>
      <c r="J1251" s="276" t="str">
        <f>IF(ISBLANK(I1251), "", VLOOKUP(E1251&amp;" "&amp;F1251, 'Info Tipo de Cambio y REM'!$A$24:$B$35, 2, FALSE))
</f>
        <v/>
      </c>
      <c r="K1251" s="107"/>
      <c r="L1251" s="293"/>
      <c r="M1251" s="293"/>
      <c r="N1251" s="293"/>
      <c r="O1251" s="277"/>
      <c r="P1251" s="264"/>
      <c r="Q1251" s="264"/>
      <c r="R1251" s="264"/>
      <c r="S1251" s="264"/>
      <c r="T1251" s="264"/>
      <c r="U1251" s="264"/>
      <c r="V1251" s="264"/>
      <c r="W1251" s="264"/>
      <c r="X1251" s="264"/>
      <c r="Y1251" s="264"/>
      <c r="Z1251" s="264"/>
      <c r="AA1251" s="264"/>
      <c r="AB1251" s="264"/>
      <c r="AC1251" s="264"/>
      <c r="AD1251" s="264"/>
      <c r="AE1251" s="264"/>
    </row>
    <row r="1252">
      <c r="A1252" s="272"/>
      <c r="B1252" s="272"/>
      <c r="C1252" s="272"/>
      <c r="D1252" s="172"/>
      <c r="E1252" s="267" t="str">
        <f t="shared" si="22"/>
        <v/>
      </c>
      <c r="F1252" s="274"/>
      <c r="G1252" s="42"/>
      <c r="H1252" s="264"/>
      <c r="I1252" s="277"/>
      <c r="J1252" s="276" t="str">
        <f>IF(ISBLANK(I1252), "", VLOOKUP(E1252&amp;" "&amp;F1252, 'Info Tipo de Cambio y REM'!$A$24:$B$35, 2, FALSE))
</f>
        <v/>
      </c>
      <c r="K1252" s="107"/>
      <c r="L1252" s="293"/>
      <c r="M1252" s="293"/>
      <c r="N1252" s="293"/>
      <c r="O1252" s="277"/>
      <c r="P1252" s="264"/>
      <c r="Q1252" s="264"/>
      <c r="R1252" s="264"/>
      <c r="S1252" s="264"/>
      <c r="T1252" s="264"/>
      <c r="U1252" s="264"/>
      <c r="V1252" s="264"/>
      <c r="W1252" s="264"/>
      <c r="X1252" s="264"/>
      <c r="Y1252" s="264"/>
      <c r="Z1252" s="264"/>
      <c r="AA1252" s="264"/>
      <c r="AB1252" s="264"/>
      <c r="AC1252" s="264"/>
      <c r="AD1252" s="264"/>
      <c r="AE1252" s="264"/>
    </row>
    <row r="1253">
      <c r="A1253" s="272"/>
      <c r="B1253" s="272"/>
      <c r="C1253" s="272"/>
      <c r="D1253" s="172"/>
      <c r="E1253" s="267" t="str">
        <f t="shared" si="22"/>
        <v/>
      </c>
      <c r="F1253" s="274"/>
      <c r="G1253" s="42"/>
      <c r="H1253" s="264"/>
      <c r="I1253" s="277"/>
      <c r="J1253" s="276" t="str">
        <f>IF(ISBLANK(I1253), "", VLOOKUP(E1253&amp;" "&amp;F1253, 'Info Tipo de Cambio y REM'!$A$24:$B$35, 2, FALSE))
</f>
        <v/>
      </c>
      <c r="K1253" s="107"/>
      <c r="L1253" s="293"/>
      <c r="M1253" s="293"/>
      <c r="N1253" s="293"/>
      <c r="O1253" s="277"/>
      <c r="P1253" s="264"/>
      <c r="Q1253" s="264"/>
      <c r="R1253" s="264"/>
      <c r="S1253" s="264"/>
      <c r="T1253" s="264"/>
      <c r="U1253" s="264"/>
      <c r="V1253" s="264"/>
      <c r="W1253" s="264"/>
      <c r="X1253" s="264"/>
      <c r="Y1253" s="264"/>
      <c r="Z1253" s="264"/>
      <c r="AA1253" s="264"/>
      <c r="AB1253" s="264"/>
      <c r="AC1253" s="264"/>
      <c r="AD1253" s="264"/>
      <c r="AE1253" s="264"/>
    </row>
    <row r="1254">
      <c r="A1254" s="272"/>
      <c r="B1254" s="272"/>
      <c r="C1254" s="272"/>
      <c r="D1254" s="172"/>
      <c r="E1254" s="267" t="str">
        <f t="shared" si="22"/>
        <v/>
      </c>
      <c r="F1254" s="274"/>
      <c r="G1254" s="42"/>
      <c r="H1254" s="264"/>
      <c r="I1254" s="277"/>
      <c r="J1254" s="276" t="str">
        <f>IF(ISBLANK(I1254), "", VLOOKUP(E1254&amp;" "&amp;F1254, 'Info Tipo de Cambio y REM'!$A$24:$B$35, 2, FALSE))
</f>
        <v/>
      </c>
      <c r="K1254" s="107"/>
      <c r="L1254" s="293"/>
      <c r="M1254" s="293"/>
      <c r="N1254" s="293"/>
      <c r="O1254" s="277"/>
      <c r="P1254" s="264"/>
      <c r="Q1254" s="264"/>
      <c r="R1254" s="264"/>
      <c r="S1254" s="264"/>
      <c r="T1254" s="264"/>
      <c r="U1254" s="264"/>
      <c r="V1254" s="264"/>
      <c r="W1254" s="264"/>
      <c r="X1254" s="264"/>
      <c r="Y1254" s="264"/>
      <c r="Z1254" s="264"/>
      <c r="AA1254" s="264"/>
      <c r="AB1254" s="264"/>
      <c r="AC1254" s="264"/>
      <c r="AD1254" s="264"/>
      <c r="AE1254" s="264"/>
    </row>
    <row r="1255">
      <c r="A1255" s="272"/>
      <c r="B1255" s="272"/>
      <c r="C1255" s="272"/>
      <c r="D1255" s="172"/>
      <c r="E1255" s="267" t="str">
        <f t="shared" si="22"/>
        <v/>
      </c>
      <c r="F1255" s="274"/>
      <c r="G1255" s="42"/>
      <c r="H1255" s="264"/>
      <c r="I1255" s="277"/>
      <c r="J1255" s="276" t="str">
        <f>IF(ISBLANK(I1255), "", VLOOKUP(E1255&amp;" "&amp;F1255, 'Info Tipo de Cambio y REM'!$A$24:$B$35, 2, FALSE))
</f>
        <v/>
      </c>
      <c r="K1255" s="107"/>
      <c r="L1255" s="293"/>
      <c r="M1255" s="293"/>
      <c r="N1255" s="293"/>
      <c r="O1255" s="277"/>
      <c r="P1255" s="264"/>
      <c r="Q1255" s="264"/>
      <c r="R1255" s="264"/>
      <c r="S1255" s="264"/>
      <c r="T1255" s="264"/>
      <c r="U1255" s="264"/>
      <c r="V1255" s="264"/>
      <c r="W1255" s="264"/>
      <c r="X1255" s="264"/>
      <c r="Y1255" s="264"/>
      <c r="Z1255" s="264"/>
      <c r="AA1255" s="264"/>
      <c r="AB1255" s="264"/>
      <c r="AC1255" s="264"/>
      <c r="AD1255" s="264"/>
      <c r="AE1255" s="264"/>
    </row>
    <row r="1256">
      <c r="A1256" s="272"/>
      <c r="B1256" s="272"/>
      <c r="C1256" s="272"/>
      <c r="D1256" s="172"/>
      <c r="E1256" s="267" t="str">
        <f t="shared" si="22"/>
        <v/>
      </c>
      <c r="F1256" s="274"/>
      <c r="G1256" s="42"/>
      <c r="H1256" s="264"/>
      <c r="I1256" s="277"/>
      <c r="J1256" s="276" t="str">
        <f>IF(ISBLANK(I1256), "", VLOOKUP(E1256&amp;" "&amp;F1256, 'Info Tipo de Cambio y REM'!$A$24:$B$35, 2, FALSE))
</f>
        <v/>
      </c>
      <c r="K1256" s="107"/>
      <c r="L1256" s="293"/>
      <c r="M1256" s="293"/>
      <c r="N1256" s="293"/>
      <c r="O1256" s="277"/>
      <c r="P1256" s="264"/>
      <c r="Q1256" s="264"/>
      <c r="R1256" s="264"/>
      <c r="S1256" s="264"/>
      <c r="T1256" s="264"/>
      <c r="U1256" s="264"/>
      <c r="V1256" s="264"/>
      <c r="W1256" s="264"/>
      <c r="X1256" s="264"/>
      <c r="Y1256" s="264"/>
      <c r="Z1256" s="264"/>
      <c r="AA1256" s="264"/>
      <c r="AB1256" s="264"/>
      <c r="AC1256" s="264"/>
      <c r="AD1256" s="264"/>
      <c r="AE1256" s="264"/>
    </row>
    <row r="1257">
      <c r="A1257" s="272"/>
      <c r="B1257" s="272"/>
      <c r="C1257" s="272"/>
      <c r="D1257" s="172"/>
      <c r="E1257" s="267" t="str">
        <f t="shared" si="22"/>
        <v/>
      </c>
      <c r="F1257" s="274"/>
      <c r="G1257" s="42"/>
      <c r="H1257" s="264"/>
      <c r="I1257" s="277"/>
      <c r="J1257" s="276" t="str">
        <f>IF(ISBLANK(I1257), "", VLOOKUP(E1257&amp;" "&amp;F1257, 'Info Tipo de Cambio y REM'!$A$24:$B$35, 2, FALSE))
</f>
        <v/>
      </c>
      <c r="K1257" s="107"/>
      <c r="L1257" s="293"/>
      <c r="M1257" s="293"/>
      <c r="N1257" s="293"/>
      <c r="O1257" s="277"/>
      <c r="P1257" s="264"/>
      <c r="Q1257" s="264"/>
      <c r="R1257" s="264"/>
      <c r="S1257" s="264"/>
      <c r="T1257" s="264"/>
      <c r="U1257" s="264"/>
      <c r="V1257" s="264"/>
      <c r="W1257" s="264"/>
      <c r="X1257" s="264"/>
      <c r="Y1257" s="264"/>
      <c r="Z1257" s="264"/>
      <c r="AA1257" s="264"/>
      <c r="AB1257" s="264"/>
      <c r="AC1257" s="264"/>
      <c r="AD1257" s="264"/>
      <c r="AE1257" s="264"/>
    </row>
    <row r="1258">
      <c r="A1258" s="272"/>
      <c r="B1258" s="272"/>
      <c r="C1258" s="272"/>
      <c r="D1258" s="172"/>
      <c r="E1258" s="267" t="str">
        <f t="shared" si="22"/>
        <v/>
      </c>
      <c r="F1258" s="274"/>
      <c r="G1258" s="42"/>
      <c r="H1258" s="264"/>
      <c r="I1258" s="277"/>
      <c r="J1258" s="276" t="str">
        <f>IF(ISBLANK(I1258), "", VLOOKUP(E1258&amp;" "&amp;F1258, 'Info Tipo de Cambio y REM'!$A$24:$B$35, 2, FALSE))
</f>
        <v/>
      </c>
      <c r="K1258" s="107"/>
      <c r="L1258" s="293"/>
      <c r="M1258" s="293"/>
      <c r="N1258" s="293"/>
      <c r="O1258" s="277"/>
      <c r="P1258" s="264"/>
      <c r="Q1258" s="264"/>
      <c r="R1258" s="264"/>
      <c r="S1258" s="264"/>
      <c r="T1258" s="264"/>
      <c r="U1258" s="264"/>
      <c r="V1258" s="264"/>
      <c r="W1258" s="264"/>
      <c r="X1258" s="264"/>
      <c r="Y1258" s="264"/>
      <c r="Z1258" s="264"/>
      <c r="AA1258" s="264"/>
      <c r="AB1258" s="264"/>
      <c r="AC1258" s="264"/>
      <c r="AD1258" s="264"/>
      <c r="AE1258" s="264"/>
    </row>
    <row r="1259">
      <c r="A1259" s="272"/>
      <c r="B1259" s="272"/>
      <c r="C1259" s="272"/>
      <c r="D1259" s="172"/>
      <c r="E1259" s="267" t="str">
        <f t="shared" si="22"/>
        <v/>
      </c>
      <c r="F1259" s="274"/>
      <c r="G1259" s="42"/>
      <c r="H1259" s="264"/>
      <c r="I1259" s="277"/>
      <c r="J1259" s="276" t="str">
        <f>IF(ISBLANK(I1259), "", VLOOKUP(E1259&amp;" "&amp;F1259, 'Info Tipo de Cambio y REM'!$A$24:$B$35, 2, FALSE))
</f>
        <v/>
      </c>
      <c r="K1259" s="107"/>
      <c r="L1259" s="293"/>
      <c r="M1259" s="293"/>
      <c r="N1259" s="293"/>
      <c r="O1259" s="277"/>
      <c r="P1259" s="264"/>
      <c r="Q1259" s="264"/>
      <c r="R1259" s="264"/>
      <c r="S1259" s="264"/>
      <c r="T1259" s="264"/>
      <c r="U1259" s="264"/>
      <c r="V1259" s="264"/>
      <c r="W1259" s="264"/>
      <c r="X1259" s="264"/>
      <c r="Y1259" s="264"/>
      <c r="Z1259" s="264"/>
      <c r="AA1259" s="264"/>
      <c r="AB1259" s="264"/>
      <c r="AC1259" s="264"/>
      <c r="AD1259" s="264"/>
      <c r="AE1259" s="264"/>
    </row>
    <row r="1260">
      <c r="A1260" s="272"/>
      <c r="B1260" s="272"/>
      <c r="C1260" s="272"/>
      <c r="D1260" s="172"/>
      <c r="E1260" s="267" t="str">
        <f t="shared" si="22"/>
        <v/>
      </c>
      <c r="F1260" s="274"/>
      <c r="G1260" s="42"/>
      <c r="H1260" s="264"/>
      <c r="I1260" s="277"/>
      <c r="J1260" s="276" t="str">
        <f>IF(ISBLANK(I1260), "", VLOOKUP(E1260&amp;" "&amp;F1260, 'Info Tipo de Cambio y REM'!$A$24:$B$35, 2, FALSE))
</f>
        <v/>
      </c>
      <c r="K1260" s="107"/>
      <c r="L1260" s="293"/>
      <c r="M1260" s="293"/>
      <c r="N1260" s="293"/>
      <c r="O1260" s="277"/>
      <c r="P1260" s="264"/>
      <c r="Q1260" s="264"/>
      <c r="R1260" s="264"/>
      <c r="S1260" s="264"/>
      <c r="T1260" s="264"/>
      <c r="U1260" s="264"/>
      <c r="V1260" s="264"/>
      <c r="W1260" s="264"/>
      <c r="X1260" s="264"/>
      <c r="Y1260" s="264"/>
      <c r="Z1260" s="264"/>
      <c r="AA1260" s="264"/>
      <c r="AB1260" s="264"/>
      <c r="AC1260" s="264"/>
      <c r="AD1260" s="264"/>
      <c r="AE1260" s="264"/>
    </row>
    <row r="1261">
      <c r="A1261" s="272"/>
      <c r="B1261" s="272"/>
      <c r="C1261" s="272"/>
      <c r="D1261" s="172"/>
      <c r="E1261" s="267" t="str">
        <f t="shared" si="22"/>
        <v/>
      </c>
      <c r="F1261" s="274"/>
      <c r="G1261" s="42"/>
      <c r="H1261" s="264"/>
      <c r="I1261" s="277"/>
      <c r="J1261" s="276" t="str">
        <f>IF(ISBLANK(I1261), "", VLOOKUP(E1261&amp;" "&amp;F1261, 'Info Tipo de Cambio y REM'!$A$24:$B$35, 2, FALSE))
</f>
        <v/>
      </c>
      <c r="K1261" s="107"/>
      <c r="L1261" s="293"/>
      <c r="M1261" s="293"/>
      <c r="N1261" s="293"/>
      <c r="O1261" s="277"/>
      <c r="P1261" s="264"/>
      <c r="Q1261" s="264"/>
      <c r="R1261" s="264"/>
      <c r="S1261" s="264"/>
      <c r="T1261" s="264"/>
      <c r="U1261" s="264"/>
      <c r="V1261" s="264"/>
      <c r="W1261" s="264"/>
      <c r="X1261" s="264"/>
      <c r="Y1261" s="264"/>
      <c r="Z1261" s="264"/>
      <c r="AA1261" s="264"/>
      <c r="AB1261" s="264"/>
      <c r="AC1261" s="264"/>
      <c r="AD1261" s="264"/>
      <c r="AE1261" s="264"/>
    </row>
    <row r="1262">
      <c r="A1262" s="272"/>
      <c r="B1262" s="272"/>
      <c r="C1262" s="272"/>
      <c r="D1262" s="172"/>
      <c r="E1262" s="267" t="str">
        <f t="shared" si="22"/>
        <v/>
      </c>
      <c r="F1262" s="274"/>
      <c r="G1262" s="42"/>
      <c r="H1262" s="264"/>
      <c r="I1262" s="277"/>
      <c r="J1262" s="276" t="str">
        <f>IF(ISBLANK(I1262), "", VLOOKUP(E1262&amp;" "&amp;F1262, 'Info Tipo de Cambio y REM'!$A$24:$B$35, 2, FALSE))
</f>
        <v/>
      </c>
      <c r="K1262" s="107"/>
      <c r="L1262" s="293"/>
      <c r="M1262" s="293"/>
      <c r="N1262" s="293"/>
      <c r="O1262" s="277"/>
      <c r="P1262" s="264"/>
      <c r="Q1262" s="264"/>
      <c r="R1262" s="264"/>
      <c r="S1262" s="264"/>
      <c r="T1262" s="264"/>
      <c r="U1262" s="264"/>
      <c r="V1262" s="264"/>
      <c r="W1262" s="264"/>
      <c r="X1262" s="264"/>
      <c r="Y1262" s="264"/>
      <c r="Z1262" s="264"/>
      <c r="AA1262" s="264"/>
      <c r="AB1262" s="264"/>
      <c r="AC1262" s="264"/>
      <c r="AD1262" s="264"/>
      <c r="AE1262" s="264"/>
    </row>
    <row r="1263">
      <c r="A1263" s="272"/>
      <c r="B1263" s="272"/>
      <c r="C1263" s="272"/>
      <c r="D1263" s="172"/>
      <c r="E1263" s="267" t="str">
        <f t="shared" si="22"/>
        <v/>
      </c>
      <c r="F1263" s="274"/>
      <c r="G1263" s="42"/>
      <c r="H1263" s="264"/>
      <c r="I1263" s="277"/>
      <c r="J1263" s="276" t="str">
        <f>IF(ISBLANK(I1263), "", VLOOKUP(E1263&amp;" "&amp;F1263, 'Info Tipo de Cambio y REM'!$A$24:$B$35, 2, FALSE))
</f>
        <v/>
      </c>
      <c r="K1263" s="107"/>
      <c r="L1263" s="293"/>
      <c r="M1263" s="293"/>
      <c r="N1263" s="293"/>
      <c r="O1263" s="277"/>
      <c r="P1263" s="264"/>
      <c r="Q1263" s="264"/>
      <c r="R1263" s="264"/>
      <c r="S1263" s="264"/>
      <c r="T1263" s="264"/>
      <c r="U1263" s="264"/>
      <c r="V1263" s="264"/>
      <c r="W1263" s="264"/>
      <c r="X1263" s="264"/>
      <c r="Y1263" s="264"/>
      <c r="Z1263" s="264"/>
      <c r="AA1263" s="264"/>
      <c r="AB1263" s="264"/>
      <c r="AC1263" s="264"/>
      <c r="AD1263" s="264"/>
      <c r="AE1263" s="264"/>
    </row>
    <row r="1264">
      <c r="A1264" s="272"/>
      <c r="B1264" s="272"/>
      <c r="C1264" s="272"/>
      <c r="D1264" s="172"/>
      <c r="E1264" s="267" t="str">
        <f t="shared" si="22"/>
        <v/>
      </c>
      <c r="F1264" s="274"/>
      <c r="G1264" s="42"/>
      <c r="H1264" s="264"/>
      <c r="I1264" s="277"/>
      <c r="J1264" s="276" t="str">
        <f>IF(ISBLANK(I1264), "", VLOOKUP(E1264&amp;" "&amp;F1264, 'Info Tipo de Cambio y REM'!$A$24:$B$35, 2, FALSE))
</f>
        <v/>
      </c>
      <c r="K1264" s="107"/>
      <c r="L1264" s="293"/>
      <c r="M1264" s="293"/>
      <c r="N1264" s="293"/>
      <c r="O1264" s="277"/>
      <c r="P1264" s="264"/>
      <c r="Q1264" s="264"/>
      <c r="R1264" s="264"/>
      <c r="S1264" s="264"/>
      <c r="T1264" s="264"/>
      <c r="U1264" s="264"/>
      <c r="V1264" s="264"/>
      <c r="W1264" s="264"/>
      <c r="X1264" s="264"/>
      <c r="Y1264" s="264"/>
      <c r="Z1264" s="264"/>
      <c r="AA1264" s="264"/>
      <c r="AB1264" s="264"/>
      <c r="AC1264" s="264"/>
      <c r="AD1264" s="264"/>
      <c r="AE1264" s="264"/>
    </row>
    <row r="1265">
      <c r="A1265" s="272"/>
      <c r="B1265" s="272"/>
      <c r="C1265" s="272"/>
      <c r="D1265" s="172"/>
      <c r="E1265" s="267" t="str">
        <f t="shared" si="22"/>
        <v/>
      </c>
      <c r="F1265" s="274"/>
      <c r="G1265" s="42"/>
      <c r="H1265" s="264"/>
      <c r="I1265" s="277"/>
      <c r="J1265" s="276" t="str">
        <f>IF(ISBLANK(I1265), "", VLOOKUP(E1265&amp;" "&amp;F1265, 'Info Tipo de Cambio y REM'!$A$24:$B$35, 2, FALSE))
</f>
        <v/>
      </c>
      <c r="K1265" s="107"/>
      <c r="L1265" s="293"/>
      <c r="M1265" s="293"/>
      <c r="N1265" s="293"/>
      <c r="O1265" s="277"/>
      <c r="P1265" s="264"/>
      <c r="Q1265" s="264"/>
      <c r="R1265" s="264"/>
      <c r="S1265" s="264"/>
      <c r="T1265" s="264"/>
      <c r="U1265" s="264"/>
      <c r="V1265" s="264"/>
      <c r="W1265" s="264"/>
      <c r="X1265" s="264"/>
      <c r="Y1265" s="264"/>
      <c r="Z1265" s="264"/>
      <c r="AA1265" s="264"/>
      <c r="AB1265" s="264"/>
      <c r="AC1265" s="264"/>
      <c r="AD1265" s="264"/>
      <c r="AE1265" s="264"/>
    </row>
    <row r="1266">
      <c r="A1266" s="272"/>
      <c r="B1266" s="272"/>
      <c r="C1266" s="272"/>
      <c r="D1266" s="172"/>
      <c r="E1266" s="267" t="str">
        <f t="shared" si="22"/>
        <v/>
      </c>
      <c r="F1266" s="274"/>
      <c r="G1266" s="42"/>
      <c r="H1266" s="264"/>
      <c r="I1266" s="277"/>
      <c r="J1266" s="276" t="str">
        <f>IF(ISBLANK(I1266), "", VLOOKUP(E1266&amp;" "&amp;F1266, 'Info Tipo de Cambio y REM'!$A$24:$B$35, 2, FALSE))
</f>
        <v/>
      </c>
      <c r="K1266" s="107"/>
      <c r="L1266" s="293"/>
      <c r="M1266" s="293"/>
      <c r="N1266" s="293"/>
      <c r="O1266" s="277"/>
      <c r="P1266" s="264"/>
      <c r="Q1266" s="264"/>
      <c r="R1266" s="264"/>
      <c r="S1266" s="264"/>
      <c r="T1266" s="264"/>
      <c r="U1266" s="264"/>
      <c r="V1266" s="264"/>
      <c r="W1266" s="264"/>
      <c r="X1266" s="264"/>
      <c r="Y1266" s="264"/>
      <c r="Z1266" s="264"/>
      <c r="AA1266" s="264"/>
      <c r="AB1266" s="264"/>
      <c r="AC1266" s="264"/>
      <c r="AD1266" s="264"/>
      <c r="AE1266" s="264"/>
    </row>
    <row r="1267">
      <c r="A1267" s="272"/>
      <c r="B1267" s="272"/>
      <c r="C1267" s="272"/>
      <c r="D1267" s="172"/>
      <c r="E1267" s="267" t="str">
        <f t="shared" si="22"/>
        <v/>
      </c>
      <c r="F1267" s="274"/>
      <c r="G1267" s="42"/>
      <c r="H1267" s="264"/>
      <c r="I1267" s="277"/>
      <c r="J1267" s="276" t="str">
        <f>IF(ISBLANK(I1267), "", VLOOKUP(E1267&amp;" "&amp;F1267, 'Info Tipo de Cambio y REM'!$A$24:$B$35, 2, FALSE))
</f>
        <v/>
      </c>
      <c r="K1267" s="107"/>
      <c r="L1267" s="293"/>
      <c r="M1267" s="293"/>
      <c r="N1267" s="293"/>
      <c r="O1267" s="277"/>
      <c r="P1267" s="264"/>
      <c r="Q1267" s="264"/>
      <c r="R1267" s="264"/>
      <c r="S1267" s="264"/>
      <c r="T1267" s="264"/>
      <c r="U1267" s="264"/>
      <c r="V1267" s="264"/>
      <c r="W1267" s="264"/>
      <c r="X1267" s="264"/>
      <c r="Y1267" s="264"/>
      <c r="Z1267" s="264"/>
      <c r="AA1267" s="264"/>
      <c r="AB1267" s="264"/>
      <c r="AC1267" s="264"/>
      <c r="AD1267" s="264"/>
      <c r="AE1267" s="264"/>
    </row>
    <row r="1268">
      <c r="A1268" s="272"/>
      <c r="B1268" s="272"/>
      <c r="C1268" s="272"/>
      <c r="D1268" s="172"/>
      <c r="E1268" s="267" t="str">
        <f t="shared" si="22"/>
        <v/>
      </c>
      <c r="F1268" s="274"/>
      <c r="G1268" s="42"/>
      <c r="H1268" s="264"/>
      <c r="I1268" s="277"/>
      <c r="J1268" s="276" t="str">
        <f>IF(ISBLANK(I1268), "", VLOOKUP(E1268&amp;" "&amp;F1268, 'Info Tipo de Cambio y REM'!$A$24:$B$35, 2, FALSE))
</f>
        <v/>
      </c>
      <c r="K1268" s="107"/>
      <c r="L1268" s="293"/>
      <c r="M1268" s="293"/>
      <c r="N1268" s="293"/>
      <c r="O1268" s="277"/>
      <c r="P1268" s="264"/>
      <c r="Q1268" s="264"/>
      <c r="R1268" s="264"/>
      <c r="S1268" s="264"/>
      <c r="T1268" s="264"/>
      <c r="U1268" s="264"/>
      <c r="V1268" s="264"/>
      <c r="W1268" s="264"/>
      <c r="X1268" s="264"/>
      <c r="Y1268" s="264"/>
      <c r="Z1268" s="264"/>
      <c r="AA1268" s="264"/>
      <c r="AB1268" s="264"/>
      <c r="AC1268" s="264"/>
      <c r="AD1268" s="264"/>
      <c r="AE1268" s="264"/>
    </row>
    <row r="1269">
      <c r="A1269" s="272"/>
      <c r="B1269" s="272"/>
      <c r="C1269" s="272"/>
      <c r="D1269" s="172"/>
      <c r="E1269" s="267" t="str">
        <f t="shared" si="22"/>
        <v/>
      </c>
      <c r="F1269" s="274"/>
      <c r="G1269" s="42"/>
      <c r="H1269" s="264"/>
      <c r="I1269" s="277"/>
      <c r="J1269" s="276" t="str">
        <f>IF(ISBLANK(I1269), "", VLOOKUP(E1269&amp;" "&amp;F1269, 'Info Tipo de Cambio y REM'!$A$24:$B$35, 2, FALSE))
</f>
        <v/>
      </c>
      <c r="K1269" s="107"/>
      <c r="L1269" s="293"/>
      <c r="M1269" s="293"/>
      <c r="N1269" s="293"/>
      <c r="O1269" s="277"/>
      <c r="P1269" s="264"/>
      <c r="Q1269" s="264"/>
      <c r="R1269" s="264"/>
      <c r="S1269" s="264"/>
      <c r="T1269" s="264"/>
      <c r="U1269" s="264"/>
      <c r="V1269" s="264"/>
      <c r="W1269" s="264"/>
      <c r="X1269" s="264"/>
      <c r="Y1269" s="264"/>
      <c r="Z1269" s="264"/>
      <c r="AA1269" s="264"/>
      <c r="AB1269" s="264"/>
      <c r="AC1269" s="264"/>
      <c r="AD1269" s="264"/>
      <c r="AE1269" s="264"/>
    </row>
    <row r="1270">
      <c r="A1270" s="272"/>
      <c r="B1270" s="272"/>
      <c r="C1270" s="272"/>
      <c r="D1270" s="172"/>
      <c r="E1270" s="267" t="str">
        <f t="shared" si="22"/>
        <v/>
      </c>
      <c r="F1270" s="274"/>
      <c r="G1270" s="42"/>
      <c r="H1270" s="264"/>
      <c r="I1270" s="277"/>
      <c r="J1270" s="276" t="str">
        <f>IF(ISBLANK(I1270), "", VLOOKUP(E1270&amp;" "&amp;F1270, 'Info Tipo de Cambio y REM'!$A$24:$B$35, 2, FALSE))
</f>
        <v/>
      </c>
      <c r="K1270" s="107"/>
      <c r="L1270" s="293"/>
      <c r="M1270" s="293"/>
      <c r="N1270" s="293"/>
      <c r="O1270" s="277"/>
      <c r="P1270" s="264"/>
      <c r="Q1270" s="264"/>
      <c r="R1270" s="264"/>
      <c r="S1270" s="264"/>
      <c r="T1270" s="264"/>
      <c r="U1270" s="264"/>
      <c r="V1270" s="264"/>
      <c r="W1270" s="264"/>
      <c r="X1270" s="264"/>
      <c r="Y1270" s="264"/>
      <c r="Z1270" s="264"/>
      <c r="AA1270" s="264"/>
      <c r="AB1270" s="264"/>
      <c r="AC1270" s="264"/>
      <c r="AD1270" s="264"/>
      <c r="AE1270" s="264"/>
    </row>
    <row r="1271">
      <c r="A1271" s="272"/>
      <c r="B1271" s="272"/>
      <c r="C1271" s="272"/>
      <c r="D1271" s="172"/>
      <c r="E1271" s="267" t="str">
        <f t="shared" si="22"/>
        <v/>
      </c>
      <c r="F1271" s="274"/>
      <c r="G1271" s="42"/>
      <c r="H1271" s="264"/>
      <c r="I1271" s="277"/>
      <c r="J1271" s="276" t="str">
        <f>IF(ISBLANK(I1271), "", VLOOKUP(E1271&amp;" "&amp;F1271, 'Info Tipo de Cambio y REM'!$A$24:$B$35, 2, FALSE))
</f>
        <v/>
      </c>
      <c r="K1271" s="107"/>
      <c r="L1271" s="293"/>
      <c r="M1271" s="293"/>
      <c r="N1271" s="293"/>
      <c r="O1271" s="277"/>
      <c r="P1271" s="264"/>
      <c r="Q1271" s="264"/>
      <c r="R1271" s="264"/>
      <c r="S1271" s="264"/>
      <c r="T1271" s="264"/>
      <c r="U1271" s="264"/>
      <c r="V1271" s="264"/>
      <c r="W1271" s="264"/>
      <c r="X1271" s="264"/>
      <c r="Y1271" s="264"/>
      <c r="Z1271" s="264"/>
      <c r="AA1271" s="264"/>
      <c r="AB1271" s="264"/>
      <c r="AC1271" s="264"/>
      <c r="AD1271" s="264"/>
      <c r="AE1271" s="264"/>
    </row>
    <row r="1272">
      <c r="A1272" s="272"/>
      <c r="B1272" s="272"/>
      <c r="C1272" s="272"/>
      <c r="D1272" s="172"/>
      <c r="E1272" s="267" t="str">
        <f t="shared" si="22"/>
        <v/>
      </c>
      <c r="F1272" s="274"/>
      <c r="G1272" s="42"/>
      <c r="H1272" s="264"/>
      <c r="I1272" s="277"/>
      <c r="J1272" s="276" t="str">
        <f>IF(ISBLANK(I1272), "", VLOOKUP(E1272&amp;" "&amp;F1272, 'Info Tipo de Cambio y REM'!$A$24:$B$35, 2, FALSE))
</f>
        <v/>
      </c>
      <c r="K1272" s="107"/>
      <c r="L1272" s="293"/>
      <c r="M1272" s="293"/>
      <c r="N1272" s="293"/>
      <c r="O1272" s="277"/>
      <c r="P1272" s="264"/>
      <c r="Q1272" s="264"/>
      <c r="R1272" s="264"/>
      <c r="S1272" s="264"/>
      <c r="T1272" s="264"/>
      <c r="U1272" s="264"/>
      <c r="V1272" s="264"/>
      <c r="W1272" s="264"/>
      <c r="X1272" s="264"/>
      <c r="Y1272" s="264"/>
      <c r="Z1272" s="264"/>
      <c r="AA1272" s="264"/>
      <c r="AB1272" s="264"/>
      <c r="AC1272" s="264"/>
      <c r="AD1272" s="264"/>
      <c r="AE1272" s="264"/>
    </row>
    <row r="1273">
      <c r="A1273" s="272"/>
      <c r="B1273" s="272"/>
      <c r="C1273" s="272"/>
      <c r="D1273" s="172"/>
      <c r="E1273" s="267" t="str">
        <f t="shared" si="22"/>
        <v/>
      </c>
      <c r="F1273" s="274"/>
      <c r="G1273" s="42"/>
      <c r="H1273" s="264"/>
      <c r="I1273" s="277"/>
      <c r="J1273" s="276" t="str">
        <f>IF(ISBLANK(I1273), "", VLOOKUP(E1273&amp;" "&amp;F1273, 'Info Tipo de Cambio y REM'!$A$24:$B$35, 2, FALSE))
</f>
        <v/>
      </c>
      <c r="K1273" s="107"/>
      <c r="L1273" s="293"/>
      <c r="M1273" s="293"/>
      <c r="N1273" s="293"/>
      <c r="O1273" s="277"/>
      <c r="P1273" s="264"/>
      <c r="Q1273" s="264"/>
      <c r="R1273" s="264"/>
      <c r="S1273" s="264"/>
      <c r="T1273" s="264"/>
      <c r="U1273" s="264"/>
      <c r="V1273" s="264"/>
      <c r="W1273" s="264"/>
      <c r="X1273" s="264"/>
      <c r="Y1273" s="264"/>
      <c r="Z1273" s="264"/>
      <c r="AA1273" s="264"/>
      <c r="AB1273" s="264"/>
      <c r="AC1273" s="264"/>
      <c r="AD1273" s="264"/>
      <c r="AE1273" s="264"/>
    </row>
    <row r="1274">
      <c r="A1274" s="272"/>
      <c r="B1274" s="272"/>
      <c r="C1274" s="272"/>
      <c r="D1274" s="172"/>
      <c r="E1274" s="267" t="str">
        <f t="shared" si="22"/>
        <v/>
      </c>
      <c r="F1274" s="274"/>
      <c r="G1274" s="42"/>
      <c r="H1274" s="264"/>
      <c r="I1274" s="277"/>
      <c r="J1274" s="276" t="str">
        <f>IF(ISBLANK(I1274), "", VLOOKUP(E1274&amp;" "&amp;F1274, 'Info Tipo de Cambio y REM'!$A$24:$B$35, 2, FALSE))
</f>
        <v/>
      </c>
      <c r="K1274" s="107"/>
      <c r="L1274" s="293"/>
      <c r="M1274" s="293"/>
      <c r="N1274" s="293"/>
      <c r="O1274" s="277"/>
      <c r="P1274" s="264"/>
      <c r="Q1274" s="264"/>
      <c r="R1274" s="264"/>
      <c r="S1274" s="264"/>
      <c r="T1274" s="264"/>
      <c r="U1274" s="264"/>
      <c r="V1274" s="264"/>
      <c r="W1274" s="264"/>
      <c r="X1274" s="264"/>
      <c r="Y1274" s="264"/>
      <c r="Z1274" s="264"/>
      <c r="AA1274" s="264"/>
      <c r="AB1274" s="264"/>
      <c r="AC1274" s="264"/>
      <c r="AD1274" s="264"/>
      <c r="AE1274" s="264"/>
    </row>
    <row r="1275">
      <c r="A1275" s="272"/>
      <c r="B1275" s="272"/>
      <c r="C1275" s="272"/>
      <c r="D1275" s="172"/>
      <c r="E1275" s="267" t="str">
        <f t="shared" si="22"/>
        <v/>
      </c>
      <c r="F1275" s="274"/>
      <c r="G1275" s="42"/>
      <c r="H1275" s="264"/>
      <c r="I1275" s="277"/>
      <c r="J1275" s="276" t="str">
        <f>IF(ISBLANK(I1275), "", VLOOKUP(E1275&amp;" "&amp;F1275, 'Info Tipo de Cambio y REM'!$A$24:$B$35, 2, FALSE))
</f>
        <v/>
      </c>
      <c r="K1275" s="107"/>
      <c r="L1275" s="293"/>
      <c r="M1275" s="293"/>
      <c r="N1275" s="293"/>
      <c r="O1275" s="277"/>
      <c r="P1275" s="264"/>
      <c r="Q1275" s="264"/>
      <c r="R1275" s="264"/>
      <c r="S1275" s="264"/>
      <c r="T1275" s="264"/>
      <c r="U1275" s="264"/>
      <c r="V1275" s="264"/>
      <c r="W1275" s="264"/>
      <c r="X1275" s="264"/>
      <c r="Y1275" s="264"/>
      <c r="Z1275" s="264"/>
      <c r="AA1275" s="264"/>
      <c r="AB1275" s="264"/>
      <c r="AC1275" s="264"/>
      <c r="AD1275" s="264"/>
      <c r="AE1275" s="264"/>
    </row>
    <row r="1276">
      <c r="A1276" s="272"/>
      <c r="B1276" s="272"/>
      <c r="C1276" s="272"/>
      <c r="D1276" s="172"/>
      <c r="E1276" s="267" t="str">
        <f t="shared" si="22"/>
        <v/>
      </c>
      <c r="F1276" s="274"/>
      <c r="G1276" s="42"/>
      <c r="H1276" s="264"/>
      <c r="I1276" s="277"/>
      <c r="J1276" s="276" t="str">
        <f>IF(ISBLANK(I1276), "", VLOOKUP(E1276&amp;" "&amp;F1276, 'Info Tipo de Cambio y REM'!$A$24:$B$35, 2, FALSE))
</f>
        <v/>
      </c>
      <c r="K1276" s="107"/>
      <c r="L1276" s="293"/>
      <c r="M1276" s="293"/>
      <c r="N1276" s="293"/>
      <c r="O1276" s="277"/>
      <c r="P1276" s="264"/>
      <c r="Q1276" s="264"/>
      <c r="R1276" s="264"/>
      <c r="S1276" s="264"/>
      <c r="T1276" s="264"/>
      <c r="U1276" s="264"/>
      <c r="V1276" s="264"/>
      <c r="W1276" s="264"/>
      <c r="X1276" s="264"/>
      <c r="Y1276" s="264"/>
      <c r="Z1276" s="264"/>
      <c r="AA1276" s="264"/>
      <c r="AB1276" s="264"/>
      <c r="AC1276" s="264"/>
      <c r="AD1276" s="264"/>
      <c r="AE1276" s="264"/>
    </row>
    <row r="1277">
      <c r="A1277" s="272"/>
      <c r="B1277" s="272"/>
      <c r="C1277" s="272"/>
      <c r="D1277" s="172"/>
      <c r="E1277" s="267" t="str">
        <f t="shared" si="22"/>
        <v/>
      </c>
      <c r="F1277" s="274"/>
      <c r="G1277" s="42"/>
      <c r="H1277" s="264"/>
      <c r="I1277" s="277"/>
      <c r="J1277" s="276" t="str">
        <f>IF(ISBLANK(I1277), "", VLOOKUP(E1277&amp;" "&amp;F1277, 'Info Tipo de Cambio y REM'!$A$24:$B$35, 2, FALSE))
</f>
        <v/>
      </c>
      <c r="K1277" s="107"/>
      <c r="L1277" s="293"/>
      <c r="M1277" s="293"/>
      <c r="N1277" s="293"/>
      <c r="O1277" s="277"/>
      <c r="P1277" s="264"/>
      <c r="Q1277" s="264"/>
      <c r="R1277" s="264"/>
      <c r="S1277" s="264"/>
      <c r="T1277" s="264"/>
      <c r="U1277" s="264"/>
      <c r="V1277" s="264"/>
      <c r="W1277" s="264"/>
      <c r="X1277" s="264"/>
      <c r="Y1277" s="264"/>
      <c r="Z1277" s="264"/>
      <c r="AA1277" s="264"/>
      <c r="AB1277" s="264"/>
      <c r="AC1277" s="264"/>
      <c r="AD1277" s="264"/>
      <c r="AE1277" s="264"/>
    </row>
    <row r="1278">
      <c r="A1278" s="272"/>
      <c r="B1278" s="272"/>
      <c r="C1278" s="272"/>
      <c r="D1278" s="172"/>
      <c r="E1278" s="267" t="str">
        <f t="shared" si="22"/>
        <v/>
      </c>
      <c r="F1278" s="274"/>
      <c r="G1278" s="42"/>
      <c r="H1278" s="264"/>
      <c r="I1278" s="277"/>
      <c r="J1278" s="276" t="str">
        <f>IF(ISBLANK(I1278), "", VLOOKUP(E1278&amp;" "&amp;F1278, 'Info Tipo de Cambio y REM'!$A$24:$B$35, 2, FALSE))
</f>
        <v/>
      </c>
      <c r="K1278" s="107"/>
      <c r="L1278" s="293"/>
      <c r="M1278" s="293"/>
      <c r="N1278" s="293"/>
      <c r="O1278" s="277"/>
      <c r="P1278" s="264"/>
      <c r="Q1278" s="264"/>
      <c r="R1278" s="264"/>
      <c r="S1278" s="264"/>
      <c r="T1278" s="264"/>
      <c r="U1278" s="264"/>
      <c r="V1278" s="264"/>
      <c r="W1278" s="264"/>
      <c r="X1278" s="264"/>
      <c r="Y1278" s="264"/>
      <c r="Z1278" s="264"/>
      <c r="AA1278" s="264"/>
      <c r="AB1278" s="264"/>
      <c r="AC1278" s="264"/>
      <c r="AD1278" s="264"/>
      <c r="AE1278" s="264"/>
    </row>
    <row r="1279">
      <c r="A1279" s="272"/>
      <c r="B1279" s="272"/>
      <c r="C1279" s="272"/>
      <c r="D1279" s="172"/>
      <c r="E1279" s="267" t="str">
        <f t="shared" si="22"/>
        <v/>
      </c>
      <c r="F1279" s="274"/>
      <c r="G1279" s="42"/>
      <c r="H1279" s="264"/>
      <c r="I1279" s="277"/>
      <c r="J1279" s="276" t="str">
        <f>IF(ISBLANK(I1279), "", VLOOKUP(E1279&amp;" "&amp;F1279, 'Info Tipo de Cambio y REM'!$A$24:$B$35, 2, FALSE))
</f>
        <v/>
      </c>
      <c r="K1279" s="107"/>
      <c r="L1279" s="293"/>
      <c r="M1279" s="293"/>
      <c r="N1279" s="293"/>
      <c r="O1279" s="277"/>
      <c r="P1279" s="264"/>
      <c r="Q1279" s="264"/>
      <c r="R1279" s="264"/>
      <c r="S1279" s="264"/>
      <c r="T1279" s="264"/>
      <c r="U1279" s="264"/>
      <c r="V1279" s="264"/>
      <c r="W1279" s="264"/>
      <c r="X1279" s="264"/>
      <c r="Y1279" s="264"/>
      <c r="Z1279" s="264"/>
      <c r="AA1279" s="264"/>
      <c r="AB1279" s="264"/>
      <c r="AC1279" s="264"/>
      <c r="AD1279" s="264"/>
      <c r="AE1279" s="264"/>
    </row>
    <row r="1280">
      <c r="A1280" s="272"/>
      <c r="B1280" s="272"/>
      <c r="C1280" s="272"/>
      <c r="D1280" s="172"/>
      <c r="E1280" s="267" t="str">
        <f t="shared" si="22"/>
        <v/>
      </c>
      <c r="F1280" s="274"/>
      <c r="G1280" s="42"/>
      <c r="H1280" s="264"/>
      <c r="I1280" s="277"/>
      <c r="J1280" s="276" t="str">
        <f>IF(ISBLANK(I1280), "", VLOOKUP(E1280&amp;" "&amp;F1280, 'Info Tipo de Cambio y REM'!$A$24:$B$35, 2, FALSE))
</f>
        <v/>
      </c>
      <c r="K1280" s="107"/>
      <c r="L1280" s="293"/>
      <c r="M1280" s="293"/>
      <c r="N1280" s="293"/>
      <c r="O1280" s="277"/>
      <c r="P1280" s="264"/>
      <c r="Q1280" s="264"/>
      <c r="R1280" s="264"/>
      <c r="S1280" s="264"/>
      <c r="T1280" s="264"/>
      <c r="U1280" s="264"/>
      <c r="V1280" s="264"/>
      <c r="W1280" s="264"/>
      <c r="X1280" s="264"/>
      <c r="Y1280" s="264"/>
      <c r="Z1280" s="264"/>
      <c r="AA1280" s="264"/>
      <c r="AB1280" s="264"/>
      <c r="AC1280" s="264"/>
      <c r="AD1280" s="264"/>
      <c r="AE1280" s="264"/>
    </row>
    <row r="1281">
      <c r="A1281" s="272"/>
      <c r="B1281" s="272"/>
      <c r="C1281" s="272"/>
      <c r="D1281" s="172"/>
      <c r="E1281" s="267" t="str">
        <f t="shared" si="22"/>
        <v/>
      </c>
      <c r="F1281" s="274"/>
      <c r="G1281" s="42"/>
      <c r="H1281" s="264"/>
      <c r="I1281" s="277"/>
      <c r="J1281" s="276" t="str">
        <f>IF(ISBLANK(I1281), "", VLOOKUP(E1281&amp;" "&amp;F1281, 'Info Tipo de Cambio y REM'!$A$24:$B$35, 2, FALSE))
</f>
        <v/>
      </c>
      <c r="K1281" s="107"/>
      <c r="L1281" s="293"/>
      <c r="M1281" s="293"/>
      <c r="N1281" s="293"/>
      <c r="O1281" s="277"/>
      <c r="P1281" s="264"/>
      <c r="Q1281" s="264"/>
      <c r="R1281" s="264"/>
      <c r="S1281" s="264"/>
      <c r="T1281" s="264"/>
      <c r="U1281" s="264"/>
      <c r="V1281" s="264"/>
      <c r="W1281" s="264"/>
      <c r="X1281" s="264"/>
      <c r="Y1281" s="264"/>
      <c r="Z1281" s="264"/>
      <c r="AA1281" s="264"/>
      <c r="AB1281" s="264"/>
      <c r="AC1281" s="264"/>
      <c r="AD1281" s="264"/>
      <c r="AE1281" s="264"/>
    </row>
    <row r="1282">
      <c r="A1282" s="272"/>
      <c r="B1282" s="272"/>
      <c r="C1282" s="272"/>
      <c r="D1282" s="172"/>
      <c r="E1282" s="267" t="str">
        <f t="shared" si="22"/>
        <v/>
      </c>
      <c r="F1282" s="274"/>
      <c r="G1282" s="42"/>
      <c r="H1282" s="264"/>
      <c r="I1282" s="277"/>
      <c r="J1282" s="276" t="str">
        <f>IF(ISBLANK(I1282), "", VLOOKUP(E1282&amp;" "&amp;F1282, 'Info Tipo de Cambio y REM'!$A$24:$B$35, 2, FALSE))
</f>
        <v/>
      </c>
      <c r="K1282" s="107"/>
      <c r="L1282" s="293"/>
      <c r="M1282" s="293"/>
      <c r="N1282" s="293"/>
      <c r="O1282" s="277"/>
      <c r="P1282" s="264"/>
      <c r="Q1282" s="264"/>
      <c r="R1282" s="264"/>
      <c r="S1282" s="264"/>
      <c r="T1282" s="264"/>
      <c r="U1282" s="264"/>
      <c r="V1282" s="264"/>
      <c r="W1282" s="264"/>
      <c r="X1282" s="264"/>
      <c r="Y1282" s="264"/>
      <c r="Z1282" s="264"/>
      <c r="AA1282" s="264"/>
      <c r="AB1282" s="264"/>
      <c r="AC1282" s="264"/>
      <c r="AD1282" s="264"/>
      <c r="AE1282" s="264"/>
    </row>
    <row r="1283">
      <c r="A1283" s="272"/>
      <c r="B1283" s="272"/>
      <c r="C1283" s="272"/>
      <c r="D1283" s="172"/>
      <c r="E1283" s="267" t="str">
        <f t="shared" si="22"/>
        <v/>
      </c>
      <c r="F1283" s="274"/>
      <c r="G1283" s="42"/>
      <c r="H1283" s="264"/>
      <c r="I1283" s="277"/>
      <c r="J1283" s="276" t="str">
        <f>IF(ISBLANK(I1283), "", VLOOKUP(E1283&amp;" "&amp;F1283, 'Info Tipo de Cambio y REM'!$A$24:$B$35, 2, FALSE))
</f>
        <v/>
      </c>
      <c r="K1283" s="107"/>
      <c r="L1283" s="293"/>
      <c r="M1283" s="293"/>
      <c r="N1283" s="293"/>
      <c r="O1283" s="277"/>
      <c r="P1283" s="264"/>
      <c r="Q1283" s="264"/>
      <c r="R1283" s="264"/>
      <c r="S1283" s="264"/>
      <c r="T1283" s="264"/>
      <c r="U1283" s="264"/>
      <c r="V1283" s="264"/>
      <c r="W1283" s="264"/>
      <c r="X1283" s="264"/>
      <c r="Y1283" s="264"/>
      <c r="Z1283" s="264"/>
      <c r="AA1283" s="264"/>
      <c r="AB1283" s="264"/>
      <c r="AC1283" s="264"/>
      <c r="AD1283" s="264"/>
      <c r="AE1283" s="264"/>
    </row>
    <row r="1284">
      <c r="A1284" s="272"/>
      <c r="B1284" s="272"/>
      <c r="C1284" s="272"/>
      <c r="D1284" s="172"/>
      <c r="E1284" s="267" t="str">
        <f t="shared" si="22"/>
        <v/>
      </c>
      <c r="F1284" s="274"/>
      <c r="G1284" s="42"/>
      <c r="H1284" s="264"/>
      <c r="I1284" s="277"/>
      <c r="J1284" s="276" t="str">
        <f>IF(ISBLANK(I1284), "", VLOOKUP(E1284&amp;" "&amp;F1284, 'Info Tipo de Cambio y REM'!$A$24:$B$35, 2, FALSE))
</f>
        <v/>
      </c>
      <c r="K1284" s="107"/>
      <c r="L1284" s="293"/>
      <c r="M1284" s="293"/>
      <c r="N1284" s="293"/>
      <c r="O1284" s="277"/>
      <c r="P1284" s="264"/>
      <c r="Q1284" s="264"/>
      <c r="R1284" s="264"/>
      <c r="S1284" s="264"/>
      <c r="T1284" s="264"/>
      <c r="U1284" s="264"/>
      <c r="V1284" s="264"/>
      <c r="W1284" s="264"/>
      <c r="X1284" s="264"/>
      <c r="Y1284" s="264"/>
      <c r="Z1284" s="264"/>
      <c r="AA1284" s="264"/>
      <c r="AB1284" s="264"/>
      <c r="AC1284" s="264"/>
      <c r="AD1284" s="264"/>
      <c r="AE1284" s="264"/>
    </row>
    <row r="1285">
      <c r="A1285" s="272"/>
      <c r="B1285" s="272"/>
      <c r="C1285" s="272"/>
      <c r="D1285" s="172"/>
      <c r="E1285" s="267" t="str">
        <f t="shared" si="22"/>
        <v/>
      </c>
      <c r="F1285" s="274"/>
      <c r="G1285" s="42"/>
      <c r="H1285" s="264"/>
      <c r="I1285" s="277"/>
      <c r="J1285" s="276" t="str">
        <f>IF(ISBLANK(I1285), "", VLOOKUP(E1285&amp;" "&amp;F1285, 'Info Tipo de Cambio y REM'!$A$24:$B$35, 2, FALSE))
</f>
        <v/>
      </c>
      <c r="K1285" s="107"/>
      <c r="L1285" s="293"/>
      <c r="M1285" s="293"/>
      <c r="N1285" s="293"/>
      <c r="O1285" s="277"/>
      <c r="P1285" s="264"/>
      <c r="Q1285" s="264"/>
      <c r="R1285" s="264"/>
      <c r="S1285" s="264"/>
      <c r="T1285" s="264"/>
      <c r="U1285" s="264"/>
      <c r="V1285" s="264"/>
      <c r="W1285" s="264"/>
      <c r="X1285" s="264"/>
      <c r="Y1285" s="264"/>
      <c r="Z1285" s="264"/>
      <c r="AA1285" s="264"/>
      <c r="AB1285" s="264"/>
      <c r="AC1285" s="264"/>
      <c r="AD1285" s="264"/>
      <c r="AE1285" s="264"/>
    </row>
    <row r="1286">
      <c r="A1286" s="272"/>
      <c r="B1286" s="272"/>
      <c r="C1286" s="272"/>
      <c r="D1286" s="172"/>
      <c r="E1286" s="267" t="str">
        <f t="shared" si="22"/>
        <v/>
      </c>
      <c r="F1286" s="274"/>
      <c r="G1286" s="42"/>
      <c r="H1286" s="264"/>
      <c r="I1286" s="277"/>
      <c r="J1286" s="276" t="str">
        <f>IF(ISBLANK(I1286), "", VLOOKUP(E1286&amp;" "&amp;F1286, 'Info Tipo de Cambio y REM'!$A$24:$B$35, 2, FALSE))
</f>
        <v/>
      </c>
      <c r="K1286" s="107"/>
      <c r="L1286" s="293"/>
      <c r="M1286" s="293"/>
      <c r="N1286" s="293"/>
      <c r="O1286" s="277"/>
      <c r="P1286" s="264"/>
      <c r="Q1286" s="264"/>
      <c r="R1286" s="264"/>
      <c r="S1286" s="264"/>
      <c r="T1286" s="264"/>
      <c r="U1286" s="264"/>
      <c r="V1286" s="264"/>
      <c r="W1286" s="264"/>
      <c r="X1286" s="264"/>
      <c r="Y1286" s="264"/>
      <c r="Z1286" s="264"/>
      <c r="AA1286" s="264"/>
      <c r="AB1286" s="264"/>
      <c r="AC1286" s="264"/>
      <c r="AD1286" s="264"/>
      <c r="AE1286" s="264"/>
    </row>
    <row r="1287">
      <c r="A1287" s="272"/>
      <c r="B1287" s="272"/>
      <c r="C1287" s="272"/>
      <c r="D1287" s="172"/>
      <c r="E1287" s="267" t="str">
        <f t="shared" si="22"/>
        <v/>
      </c>
      <c r="F1287" s="274"/>
      <c r="G1287" s="42"/>
      <c r="H1287" s="264"/>
      <c r="I1287" s="277"/>
      <c r="J1287" s="276" t="str">
        <f>IF(ISBLANK(I1287), "", VLOOKUP(E1287&amp;" "&amp;F1287, 'Info Tipo de Cambio y REM'!$A$24:$B$35, 2, FALSE))
</f>
        <v/>
      </c>
      <c r="K1287" s="107"/>
      <c r="L1287" s="293"/>
      <c r="M1287" s="293"/>
      <c r="N1287" s="293"/>
      <c r="O1287" s="277"/>
      <c r="P1287" s="264"/>
      <c r="Q1287" s="264"/>
      <c r="R1287" s="264"/>
      <c r="S1287" s="264"/>
      <c r="T1287" s="264"/>
      <c r="U1287" s="264"/>
      <c r="V1287" s="264"/>
      <c r="W1287" s="264"/>
      <c r="X1287" s="264"/>
      <c r="Y1287" s="264"/>
      <c r="Z1287" s="264"/>
      <c r="AA1287" s="264"/>
      <c r="AB1287" s="264"/>
      <c r="AC1287" s="264"/>
      <c r="AD1287" s="264"/>
      <c r="AE1287" s="264"/>
    </row>
    <row r="1288">
      <c r="A1288" s="272"/>
      <c r="B1288" s="272"/>
      <c r="C1288" s="272"/>
      <c r="D1288" s="172"/>
      <c r="E1288" s="267" t="str">
        <f t="shared" si="22"/>
        <v/>
      </c>
      <c r="F1288" s="274"/>
      <c r="G1288" s="42"/>
      <c r="H1288" s="264"/>
      <c r="I1288" s="277"/>
      <c r="J1288" s="276" t="str">
        <f>IF(ISBLANK(I1288), "", VLOOKUP(E1288&amp;" "&amp;F1288, 'Info Tipo de Cambio y REM'!$A$24:$B$35, 2, FALSE))
</f>
        <v/>
      </c>
      <c r="K1288" s="107"/>
      <c r="L1288" s="293"/>
      <c r="M1288" s="293"/>
      <c r="N1288" s="293"/>
      <c r="O1288" s="277"/>
      <c r="P1288" s="264"/>
      <c r="Q1288" s="264"/>
      <c r="R1288" s="264"/>
      <c r="S1288" s="264"/>
      <c r="T1288" s="264"/>
      <c r="U1288" s="264"/>
      <c r="V1288" s="264"/>
      <c r="W1288" s="264"/>
      <c r="X1288" s="264"/>
      <c r="Y1288" s="264"/>
      <c r="Z1288" s="264"/>
      <c r="AA1288" s="264"/>
      <c r="AB1288" s="264"/>
      <c r="AC1288" s="264"/>
      <c r="AD1288" s="264"/>
      <c r="AE1288" s="264"/>
    </row>
    <row r="1289">
      <c r="A1289" s="272"/>
      <c r="B1289" s="272"/>
      <c r="C1289" s="272"/>
      <c r="D1289" s="172"/>
      <c r="E1289" s="267" t="str">
        <f t="shared" si="22"/>
        <v/>
      </c>
      <c r="F1289" s="274"/>
      <c r="G1289" s="42"/>
      <c r="H1289" s="264"/>
      <c r="I1289" s="277"/>
      <c r="J1289" s="276" t="str">
        <f>IF(ISBLANK(I1289), "", VLOOKUP(E1289&amp;" "&amp;F1289, 'Info Tipo de Cambio y REM'!$A$24:$B$35, 2, FALSE))
</f>
        <v/>
      </c>
      <c r="K1289" s="107"/>
      <c r="L1289" s="293"/>
      <c r="M1289" s="293"/>
      <c r="N1289" s="293"/>
      <c r="O1289" s="277"/>
      <c r="P1289" s="264"/>
      <c r="Q1289" s="264"/>
      <c r="R1289" s="264"/>
      <c r="S1289" s="264"/>
      <c r="T1289" s="264"/>
      <c r="U1289" s="264"/>
      <c r="V1289" s="264"/>
      <c r="W1289" s="264"/>
      <c r="X1289" s="264"/>
      <c r="Y1289" s="264"/>
      <c r="Z1289" s="264"/>
      <c r="AA1289" s="264"/>
      <c r="AB1289" s="264"/>
      <c r="AC1289" s="264"/>
      <c r="AD1289" s="264"/>
      <c r="AE1289" s="264"/>
    </row>
    <row r="1290">
      <c r="A1290" s="272"/>
      <c r="B1290" s="272"/>
      <c r="C1290" s="272"/>
      <c r="D1290" s="172"/>
      <c r="E1290" s="267" t="str">
        <f t="shared" si="22"/>
        <v/>
      </c>
      <c r="F1290" s="274"/>
      <c r="G1290" s="42"/>
      <c r="H1290" s="264"/>
      <c r="I1290" s="277"/>
      <c r="J1290" s="276" t="str">
        <f>IF(ISBLANK(I1290), "", VLOOKUP(E1290&amp;" "&amp;F1290, 'Info Tipo de Cambio y REM'!$A$24:$B$35, 2, FALSE))
</f>
        <v/>
      </c>
      <c r="K1290" s="107"/>
      <c r="L1290" s="293"/>
      <c r="M1290" s="293"/>
      <c r="N1290" s="293"/>
      <c r="O1290" s="277"/>
      <c r="P1290" s="264"/>
      <c r="Q1290" s="264"/>
      <c r="R1290" s="264"/>
      <c r="S1290" s="264"/>
      <c r="T1290" s="264"/>
      <c r="U1290" s="264"/>
      <c r="V1290" s="264"/>
      <c r="W1290" s="264"/>
      <c r="X1290" s="264"/>
      <c r="Y1290" s="264"/>
      <c r="Z1290" s="264"/>
      <c r="AA1290" s="264"/>
      <c r="AB1290" s="264"/>
      <c r="AC1290" s="264"/>
      <c r="AD1290" s="264"/>
      <c r="AE1290" s="264"/>
    </row>
    <row r="1291">
      <c r="A1291" s="272"/>
      <c r="B1291" s="272"/>
      <c r="C1291" s="272"/>
      <c r="D1291" s="172"/>
      <c r="E1291" s="267" t="str">
        <f t="shared" si="22"/>
        <v/>
      </c>
      <c r="F1291" s="274"/>
      <c r="G1291" s="42"/>
      <c r="H1291" s="264"/>
      <c r="I1291" s="277"/>
      <c r="J1291" s="276" t="str">
        <f>IF(ISBLANK(I1291), "", VLOOKUP(E1291&amp;" "&amp;F1291, 'Info Tipo de Cambio y REM'!$A$24:$B$35, 2, FALSE))
</f>
        <v/>
      </c>
      <c r="K1291" s="107"/>
      <c r="L1291" s="293"/>
      <c r="M1291" s="293"/>
      <c r="N1291" s="293"/>
      <c r="O1291" s="277"/>
      <c r="P1291" s="264"/>
      <c r="Q1291" s="264"/>
      <c r="R1291" s="264"/>
      <c r="S1291" s="264"/>
      <c r="T1291" s="264"/>
      <c r="U1291" s="264"/>
      <c r="V1291" s="264"/>
      <c r="W1291" s="264"/>
      <c r="X1291" s="264"/>
      <c r="Y1291" s="264"/>
      <c r="Z1291" s="264"/>
      <c r="AA1291" s="264"/>
      <c r="AB1291" s="264"/>
      <c r="AC1291" s="264"/>
      <c r="AD1291" s="264"/>
      <c r="AE1291" s="264"/>
    </row>
    <row r="1292">
      <c r="A1292" s="272"/>
      <c r="B1292" s="272"/>
      <c r="C1292" s="272"/>
      <c r="D1292" s="172"/>
      <c r="E1292" s="267" t="str">
        <f t="shared" si="22"/>
        <v/>
      </c>
      <c r="F1292" s="274"/>
      <c r="G1292" s="42"/>
      <c r="H1292" s="264"/>
      <c r="I1292" s="277"/>
      <c r="J1292" s="276" t="str">
        <f>IF(ISBLANK(I1292), "", VLOOKUP(E1292&amp;" "&amp;F1292, 'Info Tipo de Cambio y REM'!$A$24:$B$35, 2, FALSE))
</f>
        <v/>
      </c>
      <c r="K1292" s="107"/>
      <c r="L1292" s="293"/>
      <c r="M1292" s="293"/>
      <c r="N1292" s="293"/>
      <c r="O1292" s="277"/>
      <c r="P1292" s="264"/>
      <c r="Q1292" s="264"/>
      <c r="R1292" s="264"/>
      <c r="S1292" s="264"/>
      <c r="T1292" s="264"/>
      <c r="U1292" s="264"/>
      <c r="V1292" s="264"/>
      <c r="W1292" s="264"/>
      <c r="X1292" s="264"/>
      <c r="Y1292" s="264"/>
      <c r="Z1292" s="264"/>
      <c r="AA1292" s="264"/>
      <c r="AB1292" s="264"/>
      <c r="AC1292" s="264"/>
      <c r="AD1292" s="264"/>
      <c r="AE1292" s="264"/>
    </row>
    <row r="1293">
      <c r="A1293" s="272"/>
      <c r="B1293" s="272"/>
      <c r="C1293" s="272"/>
      <c r="D1293" s="172"/>
      <c r="E1293" s="267" t="str">
        <f t="shared" si="22"/>
        <v/>
      </c>
      <c r="F1293" s="274"/>
      <c r="G1293" s="42"/>
      <c r="H1293" s="264"/>
      <c r="I1293" s="277"/>
      <c r="J1293" s="276" t="str">
        <f>IF(ISBLANK(I1293), "", VLOOKUP(E1293&amp;" "&amp;F1293, 'Info Tipo de Cambio y REM'!$A$24:$B$35, 2, FALSE))
</f>
        <v/>
      </c>
      <c r="K1293" s="107"/>
      <c r="L1293" s="293"/>
      <c r="M1293" s="293"/>
      <c r="N1293" s="293"/>
      <c r="O1293" s="277"/>
      <c r="P1293" s="264"/>
      <c r="Q1293" s="264"/>
      <c r="R1293" s="264"/>
      <c r="S1293" s="264"/>
      <c r="T1293" s="264"/>
      <c r="U1293" s="264"/>
      <c r="V1293" s="264"/>
      <c r="W1293" s="264"/>
      <c r="X1293" s="264"/>
      <c r="Y1293" s="264"/>
      <c r="Z1293" s="264"/>
      <c r="AA1293" s="264"/>
      <c r="AB1293" s="264"/>
      <c r="AC1293" s="264"/>
      <c r="AD1293" s="264"/>
      <c r="AE1293" s="264"/>
    </row>
    <row r="1294">
      <c r="A1294" s="272"/>
      <c r="B1294" s="272"/>
      <c r="C1294" s="272"/>
      <c r="D1294" s="172"/>
      <c r="E1294" s="267" t="str">
        <f t="shared" si="22"/>
        <v/>
      </c>
      <c r="F1294" s="274"/>
      <c r="G1294" s="42"/>
      <c r="H1294" s="264"/>
      <c r="I1294" s="277"/>
      <c r="J1294" s="276" t="str">
        <f>IF(ISBLANK(I1294), "", VLOOKUP(E1294&amp;" "&amp;F1294, 'Info Tipo de Cambio y REM'!$A$24:$B$35, 2, FALSE))
</f>
        <v/>
      </c>
      <c r="K1294" s="107"/>
      <c r="L1294" s="293"/>
      <c r="M1294" s="293"/>
      <c r="N1294" s="293"/>
      <c r="O1294" s="277"/>
      <c r="P1294" s="264"/>
      <c r="Q1294" s="264"/>
      <c r="R1294" s="264"/>
      <c r="S1294" s="264"/>
      <c r="T1294" s="264"/>
      <c r="U1294" s="264"/>
      <c r="V1294" s="264"/>
      <c r="W1294" s="264"/>
      <c r="X1294" s="264"/>
      <c r="Y1294" s="264"/>
      <c r="Z1294" s="264"/>
      <c r="AA1294" s="264"/>
      <c r="AB1294" s="264"/>
      <c r="AC1294" s="264"/>
      <c r="AD1294" s="264"/>
      <c r="AE1294" s="264"/>
    </row>
    <row r="1295">
      <c r="A1295" s="272"/>
      <c r="B1295" s="272"/>
      <c r="C1295" s="272"/>
      <c r="D1295" s="172"/>
      <c r="E1295" s="267" t="str">
        <f t="shared" si="22"/>
        <v/>
      </c>
      <c r="F1295" s="274"/>
      <c r="G1295" s="42"/>
      <c r="H1295" s="264"/>
      <c r="I1295" s="277"/>
      <c r="J1295" s="276" t="str">
        <f>IF(ISBLANK(I1295), "", VLOOKUP(E1295&amp;" "&amp;F1295, 'Info Tipo de Cambio y REM'!$A$24:$B$35, 2, FALSE))
</f>
        <v/>
      </c>
      <c r="K1295" s="107"/>
      <c r="L1295" s="293"/>
      <c r="M1295" s="293"/>
      <c r="N1295" s="293"/>
      <c r="O1295" s="277"/>
      <c r="P1295" s="264"/>
      <c r="Q1295" s="264"/>
      <c r="R1295" s="264"/>
      <c r="S1295" s="264"/>
      <c r="T1295" s="264"/>
      <c r="U1295" s="264"/>
      <c r="V1295" s="264"/>
      <c r="W1295" s="264"/>
      <c r="X1295" s="264"/>
      <c r="Y1295" s="264"/>
      <c r="Z1295" s="264"/>
      <c r="AA1295" s="264"/>
      <c r="AB1295" s="264"/>
      <c r="AC1295" s="264"/>
      <c r="AD1295" s="264"/>
      <c r="AE1295" s="264"/>
    </row>
    <row r="1296">
      <c r="A1296" s="272"/>
      <c r="B1296" s="272"/>
      <c r="C1296" s="272"/>
      <c r="D1296" s="172"/>
      <c r="E1296" s="267" t="str">
        <f t="shared" si="22"/>
        <v/>
      </c>
      <c r="F1296" s="274"/>
      <c r="G1296" s="42"/>
      <c r="H1296" s="264"/>
      <c r="I1296" s="277"/>
      <c r="J1296" s="276" t="str">
        <f>IF(ISBLANK(I1296), "", VLOOKUP(E1296&amp;" "&amp;F1296, 'Info Tipo de Cambio y REM'!$A$24:$B$35, 2, FALSE))
</f>
        <v/>
      </c>
      <c r="K1296" s="107"/>
      <c r="L1296" s="293"/>
      <c r="M1296" s="293"/>
      <c r="N1296" s="293"/>
      <c r="O1296" s="277"/>
      <c r="P1296" s="264"/>
      <c r="Q1296" s="264"/>
      <c r="R1296" s="264"/>
      <c r="S1296" s="264"/>
      <c r="T1296" s="264"/>
      <c r="U1296" s="264"/>
      <c r="V1296" s="264"/>
      <c r="W1296" s="264"/>
      <c r="X1296" s="264"/>
      <c r="Y1296" s="264"/>
      <c r="Z1296" s="264"/>
      <c r="AA1296" s="264"/>
      <c r="AB1296" s="264"/>
      <c r="AC1296" s="264"/>
      <c r="AD1296" s="264"/>
      <c r="AE1296" s="264"/>
    </row>
    <row r="1297">
      <c r="A1297" s="272"/>
      <c r="B1297" s="272"/>
      <c r="C1297" s="272"/>
      <c r="D1297" s="172"/>
      <c r="E1297" s="267" t="str">
        <f t="shared" si="22"/>
        <v/>
      </c>
      <c r="F1297" s="274"/>
      <c r="G1297" s="42"/>
      <c r="H1297" s="264"/>
      <c r="I1297" s="277"/>
      <c r="J1297" s="276" t="str">
        <f>IF(ISBLANK(I1297), "", VLOOKUP(E1297&amp;" "&amp;F1297, 'Info Tipo de Cambio y REM'!$A$24:$B$35, 2, FALSE))
</f>
        <v/>
      </c>
      <c r="K1297" s="107"/>
      <c r="L1297" s="293"/>
      <c r="M1297" s="293"/>
      <c r="N1297" s="293"/>
      <c r="O1297" s="277"/>
      <c r="P1297" s="264"/>
      <c r="Q1297" s="264"/>
      <c r="R1297" s="264"/>
      <c r="S1297" s="264"/>
      <c r="T1297" s="264"/>
      <c r="U1297" s="264"/>
      <c r="V1297" s="264"/>
      <c r="W1297" s="264"/>
      <c r="X1297" s="264"/>
      <c r="Y1297" s="264"/>
      <c r="Z1297" s="264"/>
      <c r="AA1297" s="264"/>
      <c r="AB1297" s="264"/>
      <c r="AC1297" s="264"/>
      <c r="AD1297" s="264"/>
      <c r="AE1297" s="264"/>
    </row>
    <row r="1298">
      <c r="A1298" s="272"/>
      <c r="B1298" s="272"/>
      <c r="C1298" s="272"/>
      <c r="D1298" s="172"/>
      <c r="E1298" s="267" t="str">
        <f t="shared" si="22"/>
        <v/>
      </c>
      <c r="F1298" s="274"/>
      <c r="G1298" s="42"/>
      <c r="H1298" s="264"/>
      <c r="I1298" s="277"/>
      <c r="J1298" s="276" t="str">
        <f>IF(ISBLANK(I1298), "", VLOOKUP(E1298&amp;" "&amp;F1298, 'Info Tipo de Cambio y REM'!$A$24:$B$35, 2, FALSE))
</f>
        <v/>
      </c>
      <c r="K1298" s="107"/>
      <c r="L1298" s="293"/>
      <c r="M1298" s="293"/>
      <c r="N1298" s="293"/>
      <c r="O1298" s="277"/>
      <c r="P1298" s="264"/>
      <c r="Q1298" s="264"/>
      <c r="R1298" s="264"/>
      <c r="S1298" s="264"/>
      <c r="T1298" s="264"/>
      <c r="U1298" s="264"/>
      <c r="V1298" s="264"/>
      <c r="W1298" s="264"/>
      <c r="X1298" s="264"/>
      <c r="Y1298" s="264"/>
      <c r="Z1298" s="264"/>
      <c r="AA1298" s="264"/>
      <c r="AB1298" s="264"/>
      <c r="AC1298" s="264"/>
      <c r="AD1298" s="264"/>
      <c r="AE1298" s="264"/>
    </row>
    <row r="1299">
      <c r="A1299" s="272"/>
      <c r="B1299" s="272"/>
      <c r="C1299" s="272"/>
      <c r="D1299" s="172"/>
      <c r="E1299" s="267" t="str">
        <f t="shared" si="22"/>
        <v/>
      </c>
      <c r="F1299" s="274"/>
      <c r="G1299" s="42"/>
      <c r="H1299" s="264"/>
      <c r="I1299" s="277"/>
      <c r="J1299" s="276" t="str">
        <f>IF(ISBLANK(I1299), "", VLOOKUP(E1299&amp;" "&amp;F1299, 'Info Tipo de Cambio y REM'!$A$24:$B$35, 2, FALSE))
</f>
        <v/>
      </c>
      <c r="K1299" s="107"/>
      <c r="L1299" s="293"/>
      <c r="M1299" s="293"/>
      <c r="N1299" s="293"/>
      <c r="O1299" s="277"/>
      <c r="P1299" s="264"/>
      <c r="Q1299" s="264"/>
      <c r="R1299" s="264"/>
      <c r="S1299" s="264"/>
      <c r="T1299" s="264"/>
      <c r="U1299" s="264"/>
      <c r="V1299" s="264"/>
      <c r="W1299" s="264"/>
      <c r="X1299" s="264"/>
      <c r="Y1299" s="264"/>
      <c r="Z1299" s="264"/>
      <c r="AA1299" s="264"/>
      <c r="AB1299" s="264"/>
      <c r="AC1299" s="264"/>
      <c r="AD1299" s="264"/>
      <c r="AE1299" s="264"/>
    </row>
    <row r="1300">
      <c r="A1300" s="272"/>
      <c r="B1300" s="272"/>
      <c r="C1300" s="272"/>
      <c r="D1300" s="172"/>
      <c r="E1300" s="267" t="str">
        <f t="shared" si="22"/>
        <v/>
      </c>
      <c r="F1300" s="274"/>
      <c r="G1300" s="42"/>
      <c r="H1300" s="264"/>
      <c r="I1300" s="277"/>
      <c r="J1300" s="276" t="str">
        <f>IF(ISBLANK(I1300), "", VLOOKUP(E1300&amp;" "&amp;F1300, 'Info Tipo de Cambio y REM'!$A$24:$B$35, 2, FALSE))
</f>
        <v/>
      </c>
      <c r="K1300" s="107"/>
      <c r="L1300" s="293"/>
      <c r="M1300" s="293"/>
      <c r="N1300" s="293"/>
      <c r="O1300" s="277"/>
      <c r="P1300" s="264"/>
      <c r="Q1300" s="264"/>
      <c r="R1300" s="264"/>
      <c r="S1300" s="264"/>
      <c r="T1300" s="264"/>
      <c r="U1300" s="264"/>
      <c r="V1300" s="264"/>
      <c r="W1300" s="264"/>
      <c r="X1300" s="264"/>
      <c r="Y1300" s="264"/>
      <c r="Z1300" s="264"/>
      <c r="AA1300" s="264"/>
      <c r="AB1300" s="264"/>
      <c r="AC1300" s="264"/>
      <c r="AD1300" s="264"/>
      <c r="AE1300" s="264"/>
    </row>
    <row r="1301">
      <c r="A1301" s="272"/>
      <c r="B1301" s="272"/>
      <c r="C1301" s="272"/>
      <c r="D1301" s="172"/>
      <c r="E1301" s="267" t="str">
        <f t="shared" si="22"/>
        <v/>
      </c>
      <c r="F1301" s="274"/>
      <c r="G1301" s="42"/>
      <c r="H1301" s="264"/>
      <c r="I1301" s="277"/>
      <c r="J1301" s="276" t="str">
        <f>IF(ISBLANK(I1301), "", VLOOKUP(E1301&amp;" "&amp;F1301, 'Info Tipo de Cambio y REM'!$A$24:$B$35, 2, FALSE))
</f>
        <v/>
      </c>
      <c r="K1301" s="107"/>
      <c r="L1301" s="293"/>
      <c r="M1301" s="293"/>
      <c r="N1301" s="293"/>
      <c r="O1301" s="277"/>
      <c r="P1301" s="264"/>
      <c r="Q1301" s="264"/>
      <c r="R1301" s="264"/>
      <c r="S1301" s="264"/>
      <c r="T1301" s="264"/>
      <c r="U1301" s="264"/>
      <c r="V1301" s="264"/>
      <c r="W1301" s="264"/>
      <c r="X1301" s="264"/>
      <c r="Y1301" s="264"/>
      <c r="Z1301" s="264"/>
      <c r="AA1301" s="264"/>
      <c r="AB1301" s="264"/>
      <c r="AC1301" s="264"/>
      <c r="AD1301" s="264"/>
      <c r="AE1301" s="264"/>
    </row>
    <row r="1302">
      <c r="A1302" s="272"/>
      <c r="B1302" s="272"/>
      <c r="C1302" s="272"/>
      <c r="D1302" s="172"/>
      <c r="E1302" s="267" t="str">
        <f t="shared" si="22"/>
        <v/>
      </c>
      <c r="F1302" s="274"/>
      <c r="G1302" s="42"/>
      <c r="H1302" s="264"/>
      <c r="I1302" s="277"/>
      <c r="J1302" s="276" t="str">
        <f>IF(ISBLANK(I1302), "", VLOOKUP(E1302&amp;" "&amp;F1302, 'Info Tipo de Cambio y REM'!$A$24:$B$35, 2, FALSE))
</f>
        <v/>
      </c>
      <c r="K1302" s="107"/>
      <c r="L1302" s="293"/>
      <c r="M1302" s="293"/>
      <c r="N1302" s="293"/>
      <c r="O1302" s="277"/>
      <c r="P1302" s="264"/>
      <c r="Q1302" s="264"/>
      <c r="R1302" s="264"/>
      <c r="S1302" s="264"/>
      <c r="T1302" s="264"/>
      <c r="U1302" s="264"/>
      <c r="V1302" s="264"/>
      <c r="W1302" s="264"/>
      <c r="X1302" s="264"/>
      <c r="Y1302" s="264"/>
      <c r="Z1302" s="264"/>
      <c r="AA1302" s="264"/>
      <c r="AB1302" s="264"/>
      <c r="AC1302" s="264"/>
      <c r="AD1302" s="264"/>
      <c r="AE1302" s="264"/>
    </row>
    <row r="1303">
      <c r="A1303" s="272"/>
      <c r="B1303" s="272"/>
      <c r="C1303" s="272"/>
      <c r="D1303" s="172"/>
      <c r="E1303" s="267" t="str">
        <f t="shared" si="22"/>
        <v/>
      </c>
      <c r="F1303" s="274"/>
      <c r="G1303" s="42"/>
      <c r="H1303" s="264"/>
      <c r="I1303" s="277"/>
      <c r="J1303" s="276" t="str">
        <f>IF(ISBLANK(I1303), "", VLOOKUP(E1303&amp;" "&amp;F1303, 'Info Tipo de Cambio y REM'!$A$24:$B$35, 2, FALSE))
</f>
        <v/>
      </c>
      <c r="K1303" s="107"/>
      <c r="L1303" s="293"/>
      <c r="M1303" s="293"/>
      <c r="N1303" s="293"/>
      <c r="O1303" s="277"/>
      <c r="P1303" s="264"/>
      <c r="Q1303" s="264"/>
      <c r="R1303" s="264"/>
      <c r="S1303" s="264"/>
      <c r="T1303" s="264"/>
      <c r="U1303" s="264"/>
      <c r="V1303" s="264"/>
      <c r="W1303" s="264"/>
      <c r="X1303" s="264"/>
      <c r="Y1303" s="264"/>
      <c r="Z1303" s="264"/>
      <c r="AA1303" s="264"/>
      <c r="AB1303" s="264"/>
      <c r="AC1303" s="264"/>
      <c r="AD1303" s="264"/>
      <c r="AE1303" s="264"/>
    </row>
    <row r="1304">
      <c r="A1304" s="272"/>
      <c r="B1304" s="272"/>
      <c r="C1304" s="272"/>
      <c r="D1304" s="172"/>
      <c r="E1304" s="267" t="str">
        <f t="shared" si="22"/>
        <v/>
      </c>
      <c r="F1304" s="274"/>
      <c r="G1304" s="42"/>
      <c r="H1304" s="264"/>
      <c r="I1304" s="277"/>
      <c r="J1304" s="276" t="str">
        <f>IF(ISBLANK(I1304), "", VLOOKUP(E1304&amp;" "&amp;F1304, 'Info Tipo de Cambio y REM'!$A$24:$B$35, 2, FALSE))
</f>
        <v/>
      </c>
      <c r="K1304" s="107"/>
      <c r="L1304" s="293"/>
      <c r="M1304" s="293"/>
      <c r="N1304" s="293"/>
      <c r="O1304" s="277"/>
      <c r="P1304" s="264"/>
      <c r="Q1304" s="264"/>
      <c r="R1304" s="264"/>
      <c r="S1304" s="264"/>
      <c r="T1304" s="264"/>
      <c r="U1304" s="264"/>
      <c r="V1304" s="264"/>
      <c r="W1304" s="264"/>
      <c r="X1304" s="264"/>
      <c r="Y1304" s="264"/>
      <c r="Z1304" s="264"/>
      <c r="AA1304" s="264"/>
      <c r="AB1304" s="264"/>
      <c r="AC1304" s="264"/>
      <c r="AD1304" s="264"/>
      <c r="AE1304" s="264"/>
    </row>
    <row r="1305">
      <c r="A1305" s="272"/>
      <c r="B1305" s="272"/>
      <c r="C1305" s="272"/>
      <c r="D1305" s="172"/>
      <c r="E1305" s="267" t="str">
        <f t="shared" si="22"/>
        <v/>
      </c>
      <c r="F1305" s="274"/>
      <c r="G1305" s="42"/>
      <c r="H1305" s="264"/>
      <c r="I1305" s="277"/>
      <c r="J1305" s="276" t="str">
        <f>IF(ISBLANK(I1305), "", VLOOKUP(E1305&amp;" "&amp;F1305, 'Info Tipo de Cambio y REM'!$A$24:$B$35, 2, FALSE))
</f>
        <v/>
      </c>
      <c r="K1305" s="107"/>
      <c r="L1305" s="293"/>
      <c r="M1305" s="293"/>
      <c r="N1305" s="293"/>
      <c r="O1305" s="277"/>
      <c r="P1305" s="264"/>
      <c r="Q1305" s="264"/>
      <c r="R1305" s="264"/>
      <c r="S1305" s="264"/>
      <c r="T1305" s="264"/>
      <c r="U1305" s="264"/>
      <c r="V1305" s="264"/>
      <c r="W1305" s="264"/>
      <c r="X1305" s="264"/>
      <c r="Y1305" s="264"/>
      <c r="Z1305" s="264"/>
      <c r="AA1305" s="264"/>
      <c r="AB1305" s="264"/>
      <c r="AC1305" s="264"/>
      <c r="AD1305" s="264"/>
      <c r="AE1305" s="264"/>
    </row>
    <row r="1306">
      <c r="A1306" s="272"/>
      <c r="B1306" s="272"/>
      <c r="C1306" s="272"/>
      <c r="D1306" s="172"/>
      <c r="E1306" s="267" t="str">
        <f t="shared" si="22"/>
        <v/>
      </c>
      <c r="F1306" s="274"/>
      <c r="G1306" s="42"/>
      <c r="H1306" s="264"/>
      <c r="I1306" s="277"/>
      <c r="J1306" s="276" t="str">
        <f>IF(ISBLANK(I1306), "", VLOOKUP(E1306&amp;" "&amp;F1306, 'Info Tipo de Cambio y REM'!$A$24:$B$35, 2, FALSE))
</f>
        <v/>
      </c>
      <c r="K1306" s="107"/>
      <c r="L1306" s="293"/>
      <c r="M1306" s="293"/>
      <c r="N1306" s="293"/>
      <c r="O1306" s="277"/>
      <c r="P1306" s="264"/>
      <c r="Q1306" s="264"/>
      <c r="R1306" s="264"/>
      <c r="S1306" s="264"/>
      <c r="T1306" s="264"/>
      <c r="U1306" s="264"/>
      <c r="V1306" s="264"/>
      <c r="W1306" s="264"/>
      <c r="X1306" s="264"/>
      <c r="Y1306" s="264"/>
      <c r="Z1306" s="264"/>
      <c r="AA1306" s="264"/>
      <c r="AB1306" s="264"/>
      <c r="AC1306" s="264"/>
      <c r="AD1306" s="264"/>
      <c r="AE1306" s="264"/>
    </row>
    <row r="1307">
      <c r="A1307" s="272"/>
      <c r="B1307" s="272"/>
      <c r="C1307" s="272"/>
      <c r="D1307" s="172"/>
      <c r="E1307" s="267" t="str">
        <f t="shared" si="22"/>
        <v/>
      </c>
      <c r="F1307" s="274"/>
      <c r="G1307" s="42"/>
      <c r="H1307" s="264"/>
      <c r="I1307" s="277"/>
      <c r="J1307" s="276" t="str">
        <f>IF(ISBLANK(I1307), "", VLOOKUP(E1307&amp;" "&amp;F1307, 'Info Tipo de Cambio y REM'!$A$24:$B$35, 2, FALSE))
</f>
        <v/>
      </c>
      <c r="K1307" s="107"/>
      <c r="L1307" s="293"/>
      <c r="M1307" s="293"/>
      <c r="N1307" s="293"/>
      <c r="O1307" s="277"/>
      <c r="P1307" s="264"/>
      <c r="Q1307" s="264"/>
      <c r="R1307" s="264"/>
      <c r="S1307" s="264"/>
      <c r="T1307" s="264"/>
      <c r="U1307" s="264"/>
      <c r="V1307" s="264"/>
      <c r="W1307" s="264"/>
      <c r="X1307" s="264"/>
      <c r="Y1307" s="264"/>
      <c r="Z1307" s="264"/>
      <c r="AA1307" s="264"/>
      <c r="AB1307" s="264"/>
      <c r="AC1307" s="264"/>
      <c r="AD1307" s="264"/>
      <c r="AE1307" s="264"/>
    </row>
    <row r="1308">
      <c r="A1308" s="272"/>
      <c r="B1308" s="272"/>
      <c r="C1308" s="272"/>
      <c r="D1308" s="172"/>
      <c r="E1308" s="267" t="str">
        <f t="shared" si="22"/>
        <v/>
      </c>
      <c r="F1308" s="274"/>
      <c r="G1308" s="42"/>
      <c r="H1308" s="264"/>
      <c r="I1308" s="277"/>
      <c r="J1308" s="276" t="str">
        <f>IF(ISBLANK(I1308), "", VLOOKUP(E1308&amp;" "&amp;F1308, 'Info Tipo de Cambio y REM'!$A$24:$B$35, 2, FALSE))
</f>
        <v/>
      </c>
      <c r="K1308" s="107"/>
      <c r="L1308" s="293"/>
      <c r="M1308" s="293"/>
      <c r="N1308" s="293"/>
      <c r="O1308" s="277"/>
      <c r="P1308" s="264"/>
      <c r="Q1308" s="264"/>
      <c r="R1308" s="264"/>
      <c r="S1308" s="264"/>
      <c r="T1308" s="264"/>
      <c r="U1308" s="264"/>
      <c r="V1308" s="264"/>
      <c r="W1308" s="264"/>
      <c r="X1308" s="264"/>
      <c r="Y1308" s="264"/>
      <c r="Z1308" s="264"/>
      <c r="AA1308" s="264"/>
      <c r="AB1308" s="264"/>
      <c r="AC1308" s="264"/>
      <c r="AD1308" s="264"/>
      <c r="AE1308" s="264"/>
    </row>
    <row r="1309">
      <c r="A1309" s="272"/>
      <c r="B1309" s="272"/>
      <c r="C1309" s="272"/>
      <c r="D1309" s="172"/>
      <c r="E1309" s="267" t="str">
        <f t="shared" si="22"/>
        <v/>
      </c>
      <c r="F1309" s="274"/>
      <c r="G1309" s="42"/>
      <c r="H1309" s="264"/>
      <c r="I1309" s="277"/>
      <c r="J1309" s="276" t="str">
        <f>IF(ISBLANK(I1309), "", VLOOKUP(E1309&amp;" "&amp;F1309, 'Info Tipo de Cambio y REM'!$A$24:$B$35, 2, FALSE))
</f>
        <v/>
      </c>
      <c r="K1309" s="107"/>
      <c r="L1309" s="293"/>
      <c r="M1309" s="293"/>
      <c r="N1309" s="293"/>
      <c r="O1309" s="277"/>
      <c r="P1309" s="264"/>
      <c r="Q1309" s="264"/>
      <c r="R1309" s="264"/>
      <c r="S1309" s="264"/>
      <c r="T1309" s="264"/>
      <c r="U1309" s="264"/>
      <c r="V1309" s="264"/>
      <c r="W1309" s="264"/>
      <c r="X1309" s="264"/>
      <c r="Y1309" s="264"/>
      <c r="Z1309" s="264"/>
      <c r="AA1309" s="264"/>
      <c r="AB1309" s="264"/>
      <c r="AC1309" s="264"/>
      <c r="AD1309" s="264"/>
      <c r="AE1309" s="264"/>
    </row>
    <row r="1310">
      <c r="A1310" s="272"/>
      <c r="B1310" s="272"/>
      <c r="C1310" s="272"/>
      <c r="D1310" s="172"/>
      <c r="E1310" s="267" t="str">
        <f t="shared" si="22"/>
        <v/>
      </c>
      <c r="F1310" s="274"/>
      <c r="G1310" s="42"/>
      <c r="H1310" s="264"/>
      <c r="I1310" s="277"/>
      <c r="J1310" s="276" t="str">
        <f>IF(ISBLANK(I1310), "", VLOOKUP(E1310&amp;" "&amp;F1310, 'Info Tipo de Cambio y REM'!$A$24:$B$35, 2, FALSE))
</f>
        <v/>
      </c>
      <c r="K1310" s="107"/>
      <c r="L1310" s="293"/>
      <c r="M1310" s="293"/>
      <c r="N1310" s="293"/>
      <c r="O1310" s="277"/>
      <c r="P1310" s="264"/>
      <c r="Q1310" s="264"/>
      <c r="R1310" s="264"/>
      <c r="S1310" s="264"/>
      <c r="T1310" s="264"/>
      <c r="U1310" s="264"/>
      <c r="V1310" s="264"/>
      <c r="W1310" s="264"/>
      <c r="X1310" s="264"/>
      <c r="Y1310" s="264"/>
      <c r="Z1310" s="264"/>
      <c r="AA1310" s="264"/>
      <c r="AB1310" s="264"/>
      <c r="AC1310" s="264"/>
      <c r="AD1310" s="264"/>
      <c r="AE1310" s="264"/>
    </row>
    <row r="1311">
      <c r="A1311" s="272"/>
      <c r="B1311" s="272"/>
      <c r="C1311" s="272"/>
      <c r="D1311" s="172"/>
      <c r="E1311" s="267" t="str">
        <f t="shared" si="22"/>
        <v/>
      </c>
      <c r="F1311" s="274"/>
      <c r="G1311" s="42"/>
      <c r="H1311" s="264"/>
      <c r="I1311" s="277"/>
      <c r="J1311" s="276" t="str">
        <f>IF(ISBLANK(I1311), "", VLOOKUP(E1311&amp;" "&amp;F1311, 'Info Tipo de Cambio y REM'!$A$24:$B$35, 2, FALSE))
</f>
        <v/>
      </c>
      <c r="K1311" s="107"/>
      <c r="L1311" s="293"/>
      <c r="M1311" s="293"/>
      <c r="N1311" s="293"/>
      <c r="O1311" s="277"/>
      <c r="P1311" s="264"/>
      <c r="Q1311" s="264"/>
      <c r="R1311" s="264"/>
      <c r="S1311" s="264"/>
      <c r="T1311" s="264"/>
      <c r="U1311" s="264"/>
      <c r="V1311" s="264"/>
      <c r="W1311" s="264"/>
      <c r="X1311" s="264"/>
      <c r="Y1311" s="264"/>
      <c r="Z1311" s="264"/>
      <c r="AA1311" s="264"/>
      <c r="AB1311" s="264"/>
      <c r="AC1311" s="264"/>
      <c r="AD1311" s="264"/>
      <c r="AE1311" s="264"/>
    </row>
    <row r="1312">
      <c r="A1312" s="272"/>
      <c r="B1312" s="272"/>
      <c r="C1312" s="272"/>
      <c r="D1312" s="172"/>
      <c r="E1312" s="267" t="str">
        <f t="shared" si="22"/>
        <v/>
      </c>
      <c r="F1312" s="274"/>
      <c r="G1312" s="42"/>
      <c r="H1312" s="264"/>
      <c r="I1312" s="277"/>
      <c r="J1312" s="276" t="str">
        <f>IF(ISBLANK(I1312), "", VLOOKUP(E1312&amp;" "&amp;F1312, 'Info Tipo de Cambio y REM'!$A$24:$B$35, 2, FALSE))
</f>
        <v/>
      </c>
      <c r="K1312" s="107"/>
      <c r="L1312" s="293"/>
      <c r="M1312" s="293"/>
      <c r="N1312" s="293"/>
      <c r="O1312" s="277"/>
      <c r="P1312" s="264"/>
      <c r="Q1312" s="264"/>
      <c r="R1312" s="264"/>
      <c r="S1312" s="264"/>
      <c r="T1312" s="264"/>
      <c r="U1312" s="264"/>
      <c r="V1312" s="264"/>
      <c r="W1312" s="264"/>
      <c r="X1312" s="264"/>
      <c r="Y1312" s="264"/>
      <c r="Z1312" s="264"/>
      <c r="AA1312" s="264"/>
      <c r="AB1312" s="264"/>
      <c r="AC1312" s="264"/>
      <c r="AD1312" s="264"/>
      <c r="AE1312" s="264"/>
    </row>
    <row r="1313">
      <c r="A1313" s="272"/>
      <c r="B1313" s="272"/>
      <c r="C1313" s="272"/>
      <c r="D1313" s="172"/>
      <c r="E1313" s="267" t="str">
        <f t="shared" si="22"/>
        <v/>
      </c>
      <c r="F1313" s="274"/>
      <c r="G1313" s="42"/>
      <c r="H1313" s="264"/>
      <c r="I1313" s="277"/>
      <c r="J1313" s="276" t="str">
        <f>IF(ISBLANK(I1313), "", VLOOKUP(E1313&amp;" "&amp;F1313, 'Info Tipo de Cambio y REM'!$A$24:$B$35, 2, FALSE))
</f>
        <v/>
      </c>
      <c r="K1313" s="107"/>
      <c r="L1313" s="293"/>
      <c r="M1313" s="293"/>
      <c r="N1313" s="293"/>
      <c r="O1313" s="277"/>
      <c r="P1313" s="264"/>
      <c r="Q1313" s="264"/>
      <c r="R1313" s="264"/>
      <c r="S1313" s="264"/>
      <c r="T1313" s="264"/>
      <c r="U1313" s="264"/>
      <c r="V1313" s="264"/>
      <c r="W1313" s="264"/>
      <c r="X1313" s="264"/>
      <c r="Y1313" s="264"/>
      <c r="Z1313" s="264"/>
      <c r="AA1313" s="264"/>
      <c r="AB1313" s="264"/>
      <c r="AC1313" s="264"/>
      <c r="AD1313" s="264"/>
      <c r="AE1313" s="264"/>
    </row>
    <row r="1314">
      <c r="A1314" s="272"/>
      <c r="B1314" s="272"/>
      <c r="C1314" s="272"/>
      <c r="D1314" s="172"/>
      <c r="E1314" s="267" t="str">
        <f t="shared" si="22"/>
        <v/>
      </c>
      <c r="F1314" s="274"/>
      <c r="G1314" s="42"/>
      <c r="H1314" s="264"/>
      <c r="I1314" s="277"/>
      <c r="J1314" s="276" t="str">
        <f>IF(ISBLANK(I1314), "", VLOOKUP(E1314&amp;" "&amp;F1314, 'Info Tipo de Cambio y REM'!$A$24:$B$35, 2, FALSE))
</f>
        <v/>
      </c>
      <c r="K1314" s="107"/>
      <c r="L1314" s="293"/>
      <c r="M1314" s="293"/>
      <c r="N1314" s="293"/>
      <c r="O1314" s="277"/>
      <c r="P1314" s="264"/>
      <c r="Q1314" s="264"/>
      <c r="R1314" s="264"/>
      <c r="S1314" s="264"/>
      <c r="T1314" s="264"/>
      <c r="U1314" s="264"/>
      <c r="V1314" s="264"/>
      <c r="W1314" s="264"/>
      <c r="X1314" s="264"/>
      <c r="Y1314" s="264"/>
      <c r="Z1314" s="264"/>
      <c r="AA1314" s="264"/>
      <c r="AB1314" s="264"/>
      <c r="AC1314" s="264"/>
      <c r="AD1314" s="264"/>
      <c r="AE1314" s="264"/>
    </row>
    <row r="1315">
      <c r="A1315" s="272"/>
      <c r="B1315" s="272"/>
      <c r="C1315" s="272"/>
      <c r="D1315" s="172"/>
      <c r="E1315" s="267" t="str">
        <f t="shared" si="22"/>
        <v/>
      </c>
      <c r="F1315" s="274"/>
      <c r="G1315" s="42"/>
      <c r="H1315" s="264"/>
      <c r="I1315" s="277"/>
      <c r="J1315" s="276" t="str">
        <f>IF(ISBLANK(I1315), "", VLOOKUP(E1315&amp;" "&amp;F1315, 'Info Tipo de Cambio y REM'!$A$24:$B$35, 2, FALSE))
</f>
        <v/>
      </c>
      <c r="K1315" s="107"/>
      <c r="L1315" s="293"/>
      <c r="M1315" s="293"/>
      <c r="N1315" s="293"/>
      <c r="O1315" s="277"/>
      <c r="P1315" s="264"/>
      <c r="Q1315" s="264"/>
      <c r="R1315" s="264"/>
      <c r="S1315" s="264"/>
      <c r="T1315" s="264"/>
      <c r="U1315" s="264"/>
      <c r="V1315" s="264"/>
      <c r="W1315" s="264"/>
      <c r="X1315" s="264"/>
      <c r="Y1315" s="264"/>
      <c r="Z1315" s="264"/>
      <c r="AA1315" s="264"/>
      <c r="AB1315" s="264"/>
      <c r="AC1315" s="264"/>
      <c r="AD1315" s="264"/>
      <c r="AE1315" s="264"/>
    </row>
    <row r="1316">
      <c r="A1316" s="272"/>
      <c r="B1316" s="272"/>
      <c r="C1316" s="272"/>
      <c r="D1316" s="172"/>
      <c r="E1316" s="267" t="str">
        <f t="shared" si="22"/>
        <v/>
      </c>
      <c r="F1316" s="274"/>
      <c r="G1316" s="42"/>
      <c r="H1316" s="264"/>
      <c r="I1316" s="277"/>
      <c r="J1316" s="276" t="str">
        <f>IF(ISBLANK(I1316), "", VLOOKUP(E1316&amp;" "&amp;F1316, 'Info Tipo de Cambio y REM'!$A$24:$B$35, 2, FALSE))
</f>
        <v/>
      </c>
      <c r="K1316" s="107"/>
      <c r="L1316" s="293"/>
      <c r="M1316" s="293"/>
      <c r="N1316" s="293"/>
      <c r="O1316" s="277"/>
      <c r="P1316" s="264"/>
      <c r="Q1316" s="264"/>
      <c r="R1316" s="264"/>
      <c r="S1316" s="264"/>
      <c r="T1316" s="264"/>
      <c r="U1316" s="264"/>
      <c r="V1316" s="264"/>
      <c r="W1316" s="264"/>
      <c r="X1316" s="264"/>
      <c r="Y1316" s="264"/>
      <c r="Z1316" s="264"/>
      <c r="AA1316" s="264"/>
      <c r="AB1316" s="264"/>
      <c r="AC1316" s="264"/>
      <c r="AD1316" s="264"/>
      <c r="AE1316" s="264"/>
    </row>
    <row r="1317">
      <c r="A1317" s="272"/>
      <c r="B1317" s="272"/>
      <c r="C1317" s="272"/>
      <c r="D1317" s="172"/>
      <c r="E1317" s="267" t="str">
        <f t="shared" si="22"/>
        <v/>
      </c>
      <c r="F1317" s="274"/>
      <c r="G1317" s="42"/>
      <c r="H1317" s="264"/>
      <c r="I1317" s="277"/>
      <c r="J1317" s="276" t="str">
        <f>IF(ISBLANK(I1317), "", VLOOKUP(E1317&amp;" "&amp;F1317, 'Info Tipo de Cambio y REM'!$A$24:$B$35, 2, FALSE))
</f>
        <v/>
      </c>
      <c r="K1317" s="107"/>
      <c r="L1317" s="293"/>
      <c r="M1317" s="293"/>
      <c r="N1317" s="293"/>
      <c r="O1317" s="277"/>
      <c r="P1317" s="264"/>
      <c r="Q1317" s="264"/>
      <c r="R1317" s="264"/>
      <c r="S1317" s="264"/>
      <c r="T1317" s="264"/>
      <c r="U1317" s="264"/>
      <c r="V1317" s="264"/>
      <c r="W1317" s="264"/>
      <c r="X1317" s="264"/>
      <c r="Y1317" s="264"/>
      <c r="Z1317" s="264"/>
      <c r="AA1317" s="264"/>
      <c r="AB1317" s="264"/>
      <c r="AC1317" s="264"/>
      <c r="AD1317" s="264"/>
      <c r="AE1317" s="264"/>
    </row>
    <row r="1318">
      <c r="A1318" s="272"/>
      <c r="B1318" s="272"/>
      <c r="C1318" s="272"/>
      <c r="D1318" s="172"/>
      <c r="E1318" s="267" t="str">
        <f t="shared" si="22"/>
        <v/>
      </c>
      <c r="F1318" s="274"/>
      <c r="G1318" s="42"/>
      <c r="H1318" s="264"/>
      <c r="I1318" s="277"/>
      <c r="J1318" s="276" t="str">
        <f>IF(ISBLANK(I1318), "", VLOOKUP(E1318&amp;" "&amp;F1318, 'Info Tipo de Cambio y REM'!$A$24:$B$35, 2, FALSE))
</f>
        <v/>
      </c>
      <c r="K1318" s="107"/>
      <c r="L1318" s="293"/>
      <c r="M1318" s="293"/>
      <c r="N1318" s="293"/>
      <c r="O1318" s="277"/>
      <c r="P1318" s="264"/>
      <c r="Q1318" s="264"/>
      <c r="R1318" s="264"/>
      <c r="S1318" s="264"/>
      <c r="T1318" s="264"/>
      <c r="U1318" s="264"/>
      <c r="V1318" s="264"/>
      <c r="W1318" s="264"/>
      <c r="X1318" s="264"/>
      <c r="Y1318" s="264"/>
      <c r="Z1318" s="264"/>
      <c r="AA1318" s="264"/>
      <c r="AB1318" s="264"/>
      <c r="AC1318" s="264"/>
      <c r="AD1318" s="264"/>
      <c r="AE1318" s="264"/>
    </row>
    <row r="1319">
      <c r="A1319" s="272"/>
      <c r="B1319" s="272"/>
      <c r="C1319" s="272"/>
      <c r="D1319" s="172"/>
      <c r="E1319" s="267" t="str">
        <f t="shared" si="22"/>
        <v/>
      </c>
      <c r="F1319" s="274"/>
      <c r="G1319" s="42"/>
      <c r="H1319" s="264"/>
      <c r="I1319" s="277"/>
      <c r="J1319" s="276" t="str">
        <f>IF(ISBLANK(I1319), "", VLOOKUP(E1319&amp;" "&amp;F1319, 'Info Tipo de Cambio y REM'!$A$24:$B$35, 2, FALSE))
</f>
        <v/>
      </c>
      <c r="K1319" s="107"/>
      <c r="L1319" s="293"/>
      <c r="M1319" s="293"/>
      <c r="N1319" s="293"/>
      <c r="O1319" s="277"/>
      <c r="P1319" s="264"/>
      <c r="Q1319" s="264"/>
      <c r="R1319" s="264"/>
      <c r="S1319" s="264"/>
      <c r="T1319" s="264"/>
      <c r="U1319" s="264"/>
      <c r="V1319" s="264"/>
      <c r="W1319" s="264"/>
      <c r="X1319" s="264"/>
      <c r="Y1319" s="264"/>
      <c r="Z1319" s="264"/>
      <c r="AA1319" s="264"/>
      <c r="AB1319" s="264"/>
      <c r="AC1319" s="264"/>
      <c r="AD1319" s="264"/>
      <c r="AE1319" s="264"/>
    </row>
    <row r="1320">
      <c r="A1320" s="272"/>
      <c r="B1320" s="272"/>
      <c r="C1320" s="272"/>
      <c r="D1320" s="172"/>
      <c r="E1320" s="267" t="str">
        <f t="shared" si="22"/>
        <v/>
      </c>
      <c r="F1320" s="274"/>
      <c r="G1320" s="42"/>
      <c r="H1320" s="264"/>
      <c r="I1320" s="277"/>
      <c r="J1320" s="276" t="str">
        <f>IF(ISBLANK(I1320), "", VLOOKUP(E1320&amp;" "&amp;F1320, 'Info Tipo de Cambio y REM'!$A$24:$B$35, 2, FALSE))
</f>
        <v/>
      </c>
      <c r="K1320" s="107"/>
      <c r="L1320" s="293"/>
      <c r="M1320" s="293"/>
      <c r="N1320" s="293"/>
      <c r="O1320" s="277"/>
      <c r="P1320" s="264"/>
      <c r="Q1320" s="264"/>
      <c r="R1320" s="264"/>
      <c r="S1320" s="264"/>
      <c r="T1320" s="264"/>
      <c r="U1320" s="264"/>
      <c r="V1320" s="264"/>
      <c r="W1320" s="264"/>
      <c r="X1320" s="264"/>
      <c r="Y1320" s="264"/>
      <c r="Z1320" s="264"/>
      <c r="AA1320" s="264"/>
      <c r="AB1320" s="264"/>
      <c r="AC1320" s="264"/>
      <c r="AD1320" s="264"/>
      <c r="AE1320" s="264"/>
    </row>
    <row r="1321">
      <c r="A1321" s="272"/>
      <c r="B1321" s="272"/>
      <c r="C1321" s="272"/>
      <c r="D1321" s="172"/>
      <c r="E1321" s="267" t="str">
        <f t="shared" si="22"/>
        <v/>
      </c>
      <c r="F1321" s="274"/>
      <c r="G1321" s="42"/>
      <c r="H1321" s="264"/>
      <c r="I1321" s="277"/>
      <c r="J1321" s="276" t="str">
        <f>IF(ISBLANK(I1321), "", VLOOKUP(E1321&amp;" "&amp;F1321, 'Info Tipo de Cambio y REM'!$A$24:$B$35, 2, FALSE))
</f>
        <v/>
      </c>
      <c r="K1321" s="107"/>
      <c r="L1321" s="293"/>
      <c r="M1321" s="293"/>
      <c r="N1321" s="293"/>
      <c r="O1321" s="277"/>
      <c r="P1321" s="264"/>
      <c r="Q1321" s="264"/>
      <c r="R1321" s="264"/>
      <c r="S1321" s="264"/>
      <c r="T1321" s="264"/>
      <c r="U1321" s="264"/>
      <c r="V1321" s="264"/>
      <c r="W1321" s="264"/>
      <c r="X1321" s="264"/>
      <c r="Y1321" s="264"/>
      <c r="Z1321" s="264"/>
      <c r="AA1321" s="264"/>
      <c r="AB1321" s="264"/>
      <c r="AC1321" s="264"/>
      <c r="AD1321" s="264"/>
      <c r="AE1321" s="264"/>
    </row>
    <row r="1322">
      <c r="A1322" s="272"/>
      <c r="B1322" s="272"/>
      <c r="C1322" s="272"/>
      <c r="D1322" s="172"/>
      <c r="E1322" s="267" t="str">
        <f t="shared" si="22"/>
        <v/>
      </c>
      <c r="F1322" s="274"/>
      <c r="G1322" s="42"/>
      <c r="H1322" s="264"/>
      <c r="I1322" s="277"/>
      <c r="J1322" s="276" t="str">
        <f>IF(ISBLANK(I1322), "", VLOOKUP(E1322&amp;" "&amp;F1322, 'Info Tipo de Cambio y REM'!$A$24:$B$35, 2, FALSE))
</f>
        <v/>
      </c>
      <c r="K1322" s="107"/>
      <c r="L1322" s="293"/>
      <c r="M1322" s="293"/>
      <c r="N1322" s="293"/>
      <c r="O1322" s="277"/>
      <c r="P1322" s="264"/>
      <c r="Q1322" s="264"/>
      <c r="R1322" s="264"/>
      <c r="S1322" s="264"/>
      <c r="T1322" s="264"/>
      <c r="U1322" s="264"/>
      <c r="V1322" s="264"/>
      <c r="W1322" s="264"/>
      <c r="X1322" s="264"/>
      <c r="Y1322" s="264"/>
      <c r="Z1322" s="264"/>
      <c r="AA1322" s="264"/>
      <c r="AB1322" s="264"/>
      <c r="AC1322" s="264"/>
      <c r="AD1322" s="264"/>
      <c r="AE1322" s="264"/>
    </row>
    <row r="1323">
      <c r="A1323" s="272"/>
      <c r="B1323" s="272"/>
      <c r="C1323" s="272"/>
      <c r="D1323" s="172"/>
      <c r="E1323" s="267" t="str">
        <f t="shared" si="22"/>
        <v/>
      </c>
      <c r="F1323" s="274"/>
      <c r="G1323" s="42"/>
      <c r="H1323" s="264"/>
      <c r="I1323" s="277"/>
      <c r="J1323" s="276" t="str">
        <f>IF(ISBLANK(I1323), "", VLOOKUP(E1323&amp;" "&amp;F1323, 'Info Tipo de Cambio y REM'!$A$24:$B$35, 2, FALSE))
</f>
        <v/>
      </c>
      <c r="K1323" s="107"/>
      <c r="L1323" s="293"/>
      <c r="M1323" s="293"/>
      <c r="N1323" s="293"/>
      <c r="O1323" s="277"/>
      <c r="P1323" s="264"/>
      <c r="Q1323" s="264"/>
      <c r="R1323" s="264"/>
      <c r="S1323" s="264"/>
      <c r="T1323" s="264"/>
      <c r="U1323" s="264"/>
      <c r="V1323" s="264"/>
      <c r="W1323" s="264"/>
      <c r="X1323" s="264"/>
      <c r="Y1323" s="264"/>
      <c r="Z1323" s="264"/>
      <c r="AA1323" s="264"/>
      <c r="AB1323" s="264"/>
      <c r="AC1323" s="264"/>
      <c r="AD1323" s="264"/>
      <c r="AE1323" s="264"/>
    </row>
    <row r="1324">
      <c r="A1324" s="272"/>
      <c r="B1324" s="272"/>
      <c r="C1324" s="272"/>
      <c r="D1324" s="172"/>
      <c r="E1324" s="267" t="str">
        <f t="shared" si="22"/>
        <v/>
      </c>
      <c r="F1324" s="274"/>
      <c r="G1324" s="42"/>
      <c r="H1324" s="264"/>
      <c r="I1324" s="277"/>
      <c r="J1324" s="276" t="str">
        <f>IF(ISBLANK(I1324), "", VLOOKUP(E1324&amp;" "&amp;F1324, 'Info Tipo de Cambio y REM'!$A$24:$B$35, 2, FALSE))
</f>
        <v/>
      </c>
      <c r="K1324" s="107"/>
      <c r="L1324" s="293"/>
      <c r="M1324" s="293"/>
      <c r="N1324" s="293"/>
      <c r="O1324" s="277"/>
      <c r="P1324" s="264"/>
      <c r="Q1324" s="264"/>
      <c r="R1324" s="264"/>
      <c r="S1324" s="264"/>
      <c r="T1324" s="264"/>
      <c r="U1324" s="264"/>
      <c r="V1324" s="264"/>
      <c r="W1324" s="264"/>
      <c r="X1324" s="264"/>
      <c r="Y1324" s="264"/>
      <c r="Z1324" s="264"/>
      <c r="AA1324" s="264"/>
      <c r="AB1324" s="264"/>
      <c r="AC1324" s="264"/>
      <c r="AD1324" s="264"/>
      <c r="AE1324" s="264"/>
    </row>
    <row r="1325">
      <c r="A1325" s="272"/>
      <c r="B1325" s="272"/>
      <c r="C1325" s="272"/>
      <c r="D1325" s="172"/>
      <c r="E1325" s="267" t="str">
        <f t="shared" si="22"/>
        <v/>
      </c>
      <c r="F1325" s="274"/>
      <c r="G1325" s="42"/>
      <c r="H1325" s="264"/>
      <c r="I1325" s="277"/>
      <c r="J1325" s="276" t="str">
        <f>IF(ISBLANK(I1325), "", VLOOKUP(E1325&amp;" "&amp;F1325, 'Info Tipo de Cambio y REM'!$A$24:$B$35, 2, FALSE))
</f>
        <v/>
      </c>
      <c r="K1325" s="107"/>
      <c r="L1325" s="293"/>
      <c r="M1325" s="293"/>
      <c r="N1325" s="293"/>
      <c r="O1325" s="277"/>
      <c r="P1325" s="264"/>
      <c r="Q1325" s="264"/>
      <c r="R1325" s="264"/>
      <c r="S1325" s="264"/>
      <c r="T1325" s="264"/>
      <c r="U1325" s="264"/>
      <c r="V1325" s="264"/>
      <c r="W1325" s="264"/>
      <c r="X1325" s="264"/>
      <c r="Y1325" s="264"/>
      <c r="Z1325" s="264"/>
      <c r="AA1325" s="264"/>
      <c r="AB1325" s="264"/>
      <c r="AC1325" s="264"/>
      <c r="AD1325" s="264"/>
      <c r="AE1325" s="264"/>
    </row>
    <row r="1326">
      <c r="A1326" s="272"/>
      <c r="B1326" s="272"/>
      <c r="C1326" s="272"/>
      <c r="D1326" s="172"/>
      <c r="E1326" s="267" t="str">
        <f t="shared" si="22"/>
        <v/>
      </c>
      <c r="F1326" s="274"/>
      <c r="G1326" s="42"/>
      <c r="H1326" s="264"/>
      <c r="I1326" s="277"/>
      <c r="J1326" s="276" t="str">
        <f>IF(ISBLANK(I1326), "", VLOOKUP(E1326&amp;" "&amp;F1326, 'Info Tipo de Cambio y REM'!$A$24:$B$35, 2, FALSE))
</f>
        <v/>
      </c>
      <c r="K1326" s="107"/>
      <c r="L1326" s="293"/>
      <c r="M1326" s="293"/>
      <c r="N1326" s="293"/>
      <c r="O1326" s="277"/>
      <c r="P1326" s="264"/>
      <c r="Q1326" s="264"/>
      <c r="R1326" s="264"/>
      <c r="S1326" s="264"/>
      <c r="T1326" s="264"/>
      <c r="U1326" s="264"/>
      <c r="V1326" s="264"/>
      <c r="W1326" s="264"/>
      <c r="X1326" s="264"/>
      <c r="Y1326" s="264"/>
      <c r="Z1326" s="264"/>
      <c r="AA1326" s="264"/>
      <c r="AB1326" s="264"/>
      <c r="AC1326" s="264"/>
      <c r="AD1326" s="264"/>
      <c r="AE1326" s="264"/>
    </row>
    <row r="1327">
      <c r="A1327" s="272"/>
      <c r="B1327" s="272"/>
      <c r="C1327" s="272"/>
      <c r="D1327" s="172"/>
      <c r="E1327" s="267" t="str">
        <f t="shared" si="22"/>
        <v/>
      </c>
      <c r="F1327" s="274"/>
      <c r="G1327" s="42"/>
      <c r="H1327" s="264"/>
      <c r="I1327" s="277"/>
      <c r="J1327" s="276" t="str">
        <f>IF(ISBLANK(I1327), "", VLOOKUP(E1327&amp;" "&amp;F1327, 'Info Tipo de Cambio y REM'!$A$24:$B$35, 2, FALSE))
</f>
        <v/>
      </c>
      <c r="K1327" s="107"/>
      <c r="L1327" s="293"/>
      <c r="M1327" s="293"/>
      <c r="N1327" s="293"/>
      <c r="O1327" s="277"/>
      <c r="P1327" s="264"/>
      <c r="Q1327" s="264"/>
      <c r="R1327" s="264"/>
      <c r="S1327" s="264"/>
      <c r="T1327" s="264"/>
      <c r="U1327" s="264"/>
      <c r="V1327" s="264"/>
      <c r="W1327" s="264"/>
      <c r="X1327" s="264"/>
      <c r="Y1327" s="264"/>
      <c r="Z1327" s="264"/>
      <c r="AA1327" s="264"/>
      <c r="AB1327" s="264"/>
      <c r="AC1327" s="264"/>
      <c r="AD1327" s="264"/>
      <c r="AE1327" s="264"/>
    </row>
    <row r="1328">
      <c r="A1328" s="272"/>
      <c r="B1328" s="272"/>
      <c r="C1328" s="272"/>
      <c r="D1328" s="172"/>
      <c r="E1328" s="267" t="str">
        <f t="shared" si="22"/>
        <v/>
      </c>
      <c r="F1328" s="274"/>
      <c r="G1328" s="42"/>
      <c r="H1328" s="264"/>
      <c r="I1328" s="277"/>
      <c r="J1328" s="276" t="str">
        <f>IF(ISBLANK(I1328), "", VLOOKUP(E1328&amp;" "&amp;F1328, 'Info Tipo de Cambio y REM'!$A$24:$B$35, 2, FALSE))
</f>
        <v/>
      </c>
      <c r="K1328" s="107"/>
      <c r="L1328" s="293"/>
      <c r="M1328" s="293"/>
      <c r="N1328" s="293"/>
      <c r="O1328" s="277"/>
      <c r="P1328" s="264"/>
      <c r="Q1328" s="264"/>
      <c r="R1328" s="264"/>
      <c r="S1328" s="264"/>
      <c r="T1328" s="264"/>
      <c r="U1328" s="264"/>
      <c r="V1328" s="264"/>
      <c r="W1328" s="264"/>
      <c r="X1328" s="264"/>
      <c r="Y1328" s="264"/>
      <c r="Z1328" s="264"/>
      <c r="AA1328" s="264"/>
      <c r="AB1328" s="264"/>
      <c r="AC1328" s="264"/>
      <c r="AD1328" s="264"/>
      <c r="AE1328" s="264"/>
    </row>
    <row r="1329">
      <c r="A1329" s="272"/>
      <c r="B1329" s="272"/>
      <c r="C1329" s="272"/>
      <c r="D1329" s="172"/>
      <c r="E1329" s="267" t="str">
        <f t="shared" si="22"/>
        <v/>
      </c>
      <c r="F1329" s="274"/>
      <c r="G1329" s="42"/>
      <c r="H1329" s="264"/>
      <c r="I1329" s="277"/>
      <c r="J1329" s="276" t="str">
        <f>IF(ISBLANK(I1329), "", VLOOKUP(E1329&amp;" "&amp;F1329, 'Info Tipo de Cambio y REM'!$A$24:$B$35, 2, FALSE))
</f>
        <v/>
      </c>
      <c r="K1329" s="107"/>
      <c r="L1329" s="293"/>
      <c r="M1329" s="293"/>
      <c r="N1329" s="293"/>
      <c r="O1329" s="277"/>
      <c r="P1329" s="264"/>
      <c r="Q1329" s="264"/>
      <c r="R1329" s="264"/>
      <c r="S1329" s="264"/>
      <c r="T1329" s="264"/>
      <c r="U1329" s="264"/>
      <c r="V1329" s="264"/>
      <c r="W1329" s="264"/>
      <c r="X1329" s="264"/>
      <c r="Y1329" s="264"/>
      <c r="Z1329" s="264"/>
      <c r="AA1329" s="264"/>
      <c r="AB1329" s="264"/>
      <c r="AC1329" s="264"/>
      <c r="AD1329" s="264"/>
      <c r="AE1329" s="264"/>
    </row>
    <row r="1330">
      <c r="A1330" s="272"/>
      <c r="B1330" s="272"/>
      <c r="C1330" s="272"/>
      <c r="D1330" s="172"/>
      <c r="E1330" s="267" t="str">
        <f t="shared" si="22"/>
        <v/>
      </c>
      <c r="F1330" s="274"/>
      <c r="G1330" s="42"/>
      <c r="H1330" s="264"/>
      <c r="I1330" s="277"/>
      <c r="J1330" s="276" t="str">
        <f>IF(ISBLANK(I1330), "", VLOOKUP(E1330&amp;" "&amp;F1330, 'Info Tipo de Cambio y REM'!$A$24:$B$35, 2, FALSE))
</f>
        <v/>
      </c>
      <c r="K1330" s="107"/>
      <c r="L1330" s="293"/>
      <c r="M1330" s="293"/>
      <c r="N1330" s="293"/>
      <c r="O1330" s="277"/>
      <c r="P1330" s="264"/>
      <c r="Q1330" s="264"/>
      <c r="R1330" s="264"/>
      <c r="S1330" s="264"/>
      <c r="T1330" s="264"/>
      <c r="U1330" s="264"/>
      <c r="V1330" s="264"/>
      <c r="W1330" s="264"/>
      <c r="X1330" s="264"/>
      <c r="Y1330" s="264"/>
      <c r="Z1330" s="264"/>
      <c r="AA1330" s="264"/>
      <c r="AB1330" s="264"/>
      <c r="AC1330" s="264"/>
      <c r="AD1330" s="264"/>
      <c r="AE1330" s="264"/>
    </row>
    <row r="1331">
      <c r="A1331" s="272"/>
      <c r="B1331" s="272"/>
      <c r="C1331" s="272"/>
      <c r="D1331" s="172"/>
      <c r="E1331" s="267" t="str">
        <f t="shared" si="22"/>
        <v/>
      </c>
      <c r="F1331" s="274"/>
      <c r="G1331" s="42"/>
      <c r="H1331" s="264"/>
      <c r="I1331" s="277"/>
      <c r="J1331" s="276" t="str">
        <f>IF(ISBLANK(I1331), "", VLOOKUP(E1331&amp;" "&amp;F1331, 'Info Tipo de Cambio y REM'!$A$24:$B$35, 2, FALSE))
</f>
        <v/>
      </c>
      <c r="K1331" s="107"/>
      <c r="L1331" s="293"/>
      <c r="M1331" s="293"/>
      <c r="N1331" s="293"/>
      <c r="O1331" s="277"/>
      <c r="P1331" s="264"/>
      <c r="Q1331" s="264"/>
      <c r="R1331" s="264"/>
      <c r="S1331" s="264"/>
      <c r="T1331" s="264"/>
      <c r="U1331" s="264"/>
      <c r="V1331" s="264"/>
      <c r="W1331" s="264"/>
      <c r="X1331" s="264"/>
      <c r="Y1331" s="264"/>
      <c r="Z1331" s="264"/>
      <c r="AA1331" s="264"/>
      <c r="AB1331" s="264"/>
      <c r="AC1331" s="264"/>
      <c r="AD1331" s="264"/>
      <c r="AE1331" s="264"/>
    </row>
    <row r="1332">
      <c r="A1332" s="272"/>
      <c r="B1332" s="272"/>
      <c r="C1332" s="272"/>
      <c r="D1332" s="172"/>
      <c r="E1332" s="267" t="str">
        <f t="shared" si="22"/>
        <v/>
      </c>
      <c r="F1332" s="274"/>
      <c r="G1332" s="42"/>
      <c r="H1332" s="264"/>
      <c r="I1332" s="277"/>
      <c r="J1332" s="276" t="str">
        <f>IF(ISBLANK(I1332), "", VLOOKUP(E1332&amp;" "&amp;F1332, 'Info Tipo de Cambio y REM'!$A$24:$B$35, 2, FALSE))
</f>
        <v/>
      </c>
      <c r="K1332" s="107"/>
      <c r="L1332" s="293"/>
      <c r="M1332" s="293"/>
      <c r="N1332" s="293"/>
      <c r="O1332" s="277"/>
      <c r="P1332" s="264"/>
      <c r="Q1332" s="264"/>
      <c r="R1332" s="264"/>
      <c r="S1332" s="264"/>
      <c r="T1332" s="264"/>
      <c r="U1332" s="264"/>
      <c r="V1332" s="264"/>
      <c r="W1332" s="264"/>
      <c r="X1332" s="264"/>
      <c r="Y1332" s="264"/>
      <c r="Z1332" s="264"/>
      <c r="AA1332" s="264"/>
      <c r="AB1332" s="264"/>
      <c r="AC1332" s="264"/>
      <c r="AD1332" s="264"/>
      <c r="AE1332" s="264"/>
    </row>
    <row r="1333">
      <c r="A1333" s="272"/>
      <c r="B1333" s="272"/>
      <c r="C1333" s="272"/>
      <c r="D1333" s="172"/>
      <c r="E1333" s="267" t="str">
        <f t="shared" si="22"/>
        <v/>
      </c>
      <c r="F1333" s="274"/>
      <c r="G1333" s="42"/>
      <c r="H1333" s="264"/>
      <c r="I1333" s="277"/>
      <c r="J1333" s="276" t="str">
        <f>IF(ISBLANK(I1333), "", VLOOKUP(E1333&amp;" "&amp;F1333, 'Info Tipo de Cambio y REM'!$A$24:$B$35, 2, FALSE))
</f>
        <v/>
      </c>
      <c r="K1333" s="107"/>
      <c r="L1333" s="293"/>
      <c r="M1333" s="293"/>
      <c r="N1333" s="293"/>
      <c r="O1333" s="277"/>
      <c r="P1333" s="264"/>
      <c r="Q1333" s="264"/>
      <c r="R1333" s="264"/>
      <c r="S1333" s="264"/>
      <c r="T1333" s="264"/>
      <c r="U1333" s="264"/>
      <c r="V1333" s="264"/>
      <c r="W1333" s="264"/>
      <c r="X1333" s="264"/>
      <c r="Y1333" s="264"/>
      <c r="Z1333" s="264"/>
      <c r="AA1333" s="264"/>
      <c r="AB1333" s="264"/>
      <c r="AC1333" s="264"/>
      <c r="AD1333" s="264"/>
      <c r="AE1333" s="264"/>
    </row>
    <row r="1334">
      <c r="A1334" s="272"/>
      <c r="B1334" s="272"/>
      <c r="C1334" s="272"/>
      <c r="D1334" s="172"/>
      <c r="E1334" s="267" t="str">
        <f t="shared" si="22"/>
        <v/>
      </c>
      <c r="F1334" s="274"/>
      <c r="G1334" s="42"/>
      <c r="H1334" s="264"/>
      <c r="I1334" s="277"/>
      <c r="J1334" s="276" t="str">
        <f>IF(ISBLANK(I1334), "", VLOOKUP(E1334&amp;" "&amp;F1334, 'Info Tipo de Cambio y REM'!$A$24:$B$35, 2, FALSE))
</f>
        <v/>
      </c>
      <c r="K1334" s="107"/>
      <c r="L1334" s="293"/>
      <c r="M1334" s="293"/>
      <c r="N1334" s="293"/>
      <c r="O1334" s="277"/>
      <c r="P1334" s="264"/>
      <c r="Q1334" s="264"/>
      <c r="R1334" s="264"/>
      <c r="S1334" s="264"/>
      <c r="T1334" s="264"/>
      <c r="U1334" s="264"/>
      <c r="V1334" s="264"/>
      <c r="W1334" s="264"/>
      <c r="X1334" s="264"/>
      <c r="Y1334" s="264"/>
      <c r="Z1334" s="264"/>
      <c r="AA1334" s="264"/>
      <c r="AB1334" s="264"/>
      <c r="AC1334" s="264"/>
      <c r="AD1334" s="264"/>
      <c r="AE1334" s="264"/>
    </row>
    <row r="1335">
      <c r="A1335" s="272"/>
      <c r="B1335" s="272"/>
      <c r="C1335" s="272"/>
      <c r="D1335" s="172"/>
      <c r="E1335" s="267" t="str">
        <f t="shared" si="22"/>
        <v/>
      </c>
      <c r="F1335" s="274"/>
      <c r="G1335" s="42"/>
      <c r="H1335" s="264"/>
      <c r="I1335" s="277"/>
      <c r="J1335" s="276" t="str">
        <f>IF(ISBLANK(I1335), "", VLOOKUP(E1335&amp;" "&amp;F1335, 'Info Tipo de Cambio y REM'!$A$24:$B$35, 2, FALSE))
</f>
        <v/>
      </c>
      <c r="K1335" s="107"/>
      <c r="L1335" s="293"/>
      <c r="M1335" s="293"/>
      <c r="N1335" s="293"/>
      <c r="O1335" s="277"/>
      <c r="P1335" s="264"/>
      <c r="Q1335" s="264"/>
      <c r="R1335" s="264"/>
      <c r="S1335" s="264"/>
      <c r="T1335" s="264"/>
      <c r="U1335" s="264"/>
      <c r="V1335" s="264"/>
      <c r="W1335" s="264"/>
      <c r="X1335" s="264"/>
      <c r="Y1335" s="264"/>
      <c r="Z1335" s="264"/>
      <c r="AA1335" s="264"/>
      <c r="AB1335" s="264"/>
      <c r="AC1335" s="264"/>
      <c r="AD1335" s="264"/>
      <c r="AE1335" s="264"/>
    </row>
    <row r="1336">
      <c r="A1336" s="272"/>
      <c r="B1336" s="272"/>
      <c r="C1336" s="272"/>
      <c r="D1336" s="172"/>
      <c r="E1336" s="267" t="str">
        <f t="shared" si="22"/>
        <v/>
      </c>
      <c r="F1336" s="274"/>
      <c r="G1336" s="42"/>
      <c r="H1336" s="264"/>
      <c r="I1336" s="277"/>
      <c r="J1336" s="276" t="str">
        <f>IF(ISBLANK(I1336), "", VLOOKUP(E1336&amp;" "&amp;F1336, 'Info Tipo de Cambio y REM'!$A$24:$B$35, 2, FALSE))
</f>
        <v/>
      </c>
      <c r="K1336" s="107"/>
      <c r="L1336" s="293"/>
      <c r="M1336" s="293"/>
      <c r="N1336" s="293"/>
      <c r="O1336" s="277"/>
      <c r="P1336" s="264"/>
      <c r="Q1336" s="264"/>
      <c r="R1336" s="264"/>
      <c r="S1336" s="264"/>
      <c r="T1336" s="264"/>
      <c r="U1336" s="264"/>
      <c r="V1336" s="264"/>
      <c r="W1336" s="264"/>
      <c r="X1336" s="264"/>
      <c r="Y1336" s="264"/>
      <c r="Z1336" s="264"/>
      <c r="AA1336" s="264"/>
      <c r="AB1336" s="264"/>
      <c r="AC1336" s="264"/>
      <c r="AD1336" s="264"/>
      <c r="AE1336" s="264"/>
    </row>
    <row r="1337">
      <c r="A1337" s="272"/>
      <c r="B1337" s="272"/>
      <c r="C1337" s="272"/>
      <c r="D1337" s="172"/>
      <c r="E1337" s="267" t="str">
        <f t="shared" si="22"/>
        <v/>
      </c>
      <c r="F1337" s="274"/>
      <c r="G1337" s="42"/>
      <c r="H1337" s="264"/>
      <c r="I1337" s="277"/>
      <c r="J1337" s="276" t="str">
        <f>IF(ISBLANK(I1337), "", VLOOKUP(E1337&amp;" "&amp;F1337, 'Info Tipo de Cambio y REM'!$A$24:$B$35, 2, FALSE))
</f>
        <v/>
      </c>
      <c r="K1337" s="107"/>
      <c r="L1337" s="293"/>
      <c r="M1337" s="293"/>
      <c r="N1337" s="293"/>
      <c r="O1337" s="277"/>
      <c r="P1337" s="264"/>
      <c r="Q1337" s="264"/>
      <c r="R1337" s="264"/>
      <c r="S1337" s="264"/>
      <c r="T1337" s="264"/>
      <c r="U1337" s="264"/>
      <c r="V1337" s="264"/>
      <c r="W1337" s="264"/>
      <c r="X1337" s="264"/>
      <c r="Y1337" s="264"/>
      <c r="Z1337" s="264"/>
      <c r="AA1337" s="264"/>
      <c r="AB1337" s="264"/>
      <c r="AC1337" s="264"/>
      <c r="AD1337" s="264"/>
      <c r="AE1337" s="264"/>
    </row>
    <row r="1338">
      <c r="A1338" s="272"/>
      <c r="B1338" s="272"/>
      <c r="C1338" s="272"/>
      <c r="D1338" s="172"/>
      <c r="E1338" s="267" t="str">
        <f t="shared" si="22"/>
        <v/>
      </c>
      <c r="F1338" s="274"/>
      <c r="G1338" s="42"/>
      <c r="H1338" s="264"/>
      <c r="I1338" s="277"/>
      <c r="J1338" s="276" t="str">
        <f>IF(ISBLANK(I1338), "", VLOOKUP(E1338&amp;" "&amp;F1338, 'Info Tipo de Cambio y REM'!$A$24:$B$35, 2, FALSE))
</f>
        <v/>
      </c>
      <c r="K1338" s="107"/>
      <c r="L1338" s="293"/>
      <c r="M1338" s="293"/>
      <c r="N1338" s="293"/>
      <c r="O1338" s="277"/>
      <c r="P1338" s="264"/>
      <c r="Q1338" s="264"/>
      <c r="R1338" s="264"/>
      <c r="S1338" s="264"/>
      <c r="T1338" s="264"/>
      <c r="U1338" s="264"/>
      <c r="V1338" s="264"/>
      <c r="W1338" s="264"/>
      <c r="X1338" s="264"/>
      <c r="Y1338" s="264"/>
      <c r="Z1338" s="264"/>
      <c r="AA1338" s="264"/>
      <c r="AB1338" s="264"/>
      <c r="AC1338" s="264"/>
      <c r="AD1338" s="264"/>
      <c r="AE1338" s="264"/>
    </row>
    <row r="1339">
      <c r="A1339" s="272"/>
      <c r="B1339" s="272"/>
      <c r="C1339" s="272"/>
      <c r="D1339" s="172"/>
      <c r="E1339" s="267" t="str">
        <f t="shared" si="22"/>
        <v/>
      </c>
      <c r="F1339" s="274"/>
      <c r="G1339" s="42"/>
      <c r="H1339" s="264"/>
      <c r="I1339" s="277"/>
      <c r="J1339" s="276" t="str">
        <f>IF(ISBLANK(I1339), "", VLOOKUP(E1339&amp;" "&amp;F1339, 'Info Tipo de Cambio y REM'!$A$24:$B$35, 2, FALSE))
</f>
        <v/>
      </c>
      <c r="K1339" s="107"/>
      <c r="L1339" s="293"/>
      <c r="M1339" s="293"/>
      <c r="N1339" s="293"/>
      <c r="O1339" s="277"/>
      <c r="P1339" s="264"/>
      <c r="Q1339" s="264"/>
      <c r="R1339" s="264"/>
      <c r="S1339" s="264"/>
      <c r="T1339" s="264"/>
      <c r="U1339" s="264"/>
      <c r="V1339" s="264"/>
      <c r="W1339" s="264"/>
      <c r="X1339" s="264"/>
      <c r="Y1339" s="264"/>
      <c r="Z1339" s="264"/>
      <c r="AA1339" s="264"/>
      <c r="AB1339" s="264"/>
      <c r="AC1339" s="264"/>
      <c r="AD1339" s="264"/>
      <c r="AE1339" s="264"/>
    </row>
    <row r="1340">
      <c r="A1340" s="272"/>
      <c r="B1340" s="272"/>
      <c r="C1340" s="272"/>
      <c r="D1340" s="172"/>
      <c r="E1340" s="267" t="str">
        <f t="shared" si="22"/>
        <v/>
      </c>
      <c r="F1340" s="274"/>
      <c r="G1340" s="42"/>
      <c r="H1340" s="264"/>
      <c r="I1340" s="277"/>
      <c r="J1340" s="276" t="str">
        <f>IF(ISBLANK(I1340), "", VLOOKUP(E1340&amp;" "&amp;F1340, 'Info Tipo de Cambio y REM'!$A$24:$B$35, 2, FALSE))
</f>
        <v/>
      </c>
      <c r="K1340" s="107"/>
      <c r="L1340" s="293"/>
      <c r="M1340" s="293"/>
      <c r="N1340" s="293"/>
      <c r="O1340" s="277"/>
      <c r="P1340" s="264"/>
      <c r="Q1340" s="264"/>
      <c r="R1340" s="264"/>
      <c r="S1340" s="264"/>
      <c r="T1340" s="264"/>
      <c r="U1340" s="264"/>
      <c r="V1340" s="264"/>
      <c r="W1340" s="264"/>
      <c r="X1340" s="264"/>
      <c r="Y1340" s="264"/>
      <c r="Z1340" s="264"/>
      <c r="AA1340" s="264"/>
      <c r="AB1340" s="264"/>
      <c r="AC1340" s="264"/>
      <c r="AD1340" s="264"/>
      <c r="AE1340" s="264"/>
    </row>
    <row r="1341">
      <c r="A1341" s="272"/>
      <c r="B1341" s="272"/>
      <c r="C1341" s="272"/>
      <c r="D1341" s="172"/>
      <c r="E1341" s="267" t="str">
        <f t="shared" si="22"/>
        <v/>
      </c>
      <c r="F1341" s="274"/>
      <c r="G1341" s="42"/>
      <c r="H1341" s="264"/>
      <c r="I1341" s="277"/>
      <c r="J1341" s="276" t="str">
        <f>IF(ISBLANK(I1341), "", VLOOKUP(E1341&amp;" "&amp;F1341, 'Info Tipo de Cambio y REM'!$A$24:$B$35, 2, FALSE))
</f>
        <v/>
      </c>
      <c r="K1341" s="107"/>
      <c r="L1341" s="293"/>
      <c r="M1341" s="293"/>
      <c r="N1341" s="293"/>
      <c r="O1341" s="277"/>
      <c r="P1341" s="264"/>
      <c r="Q1341" s="264"/>
      <c r="R1341" s="264"/>
      <c r="S1341" s="264"/>
      <c r="T1341" s="264"/>
      <c r="U1341" s="264"/>
      <c r="V1341" s="264"/>
      <c r="W1341" s="264"/>
      <c r="X1341" s="264"/>
      <c r="Y1341" s="264"/>
      <c r="Z1341" s="264"/>
      <c r="AA1341" s="264"/>
      <c r="AB1341" s="264"/>
      <c r="AC1341" s="264"/>
      <c r="AD1341" s="264"/>
      <c r="AE1341" s="264"/>
    </row>
    <row r="1342">
      <c r="A1342" s="272"/>
      <c r="B1342" s="272"/>
      <c r="C1342" s="272"/>
      <c r="D1342" s="172"/>
      <c r="E1342" s="267" t="str">
        <f t="shared" si="22"/>
        <v/>
      </c>
      <c r="F1342" s="274"/>
      <c r="G1342" s="42"/>
      <c r="H1342" s="264"/>
      <c r="I1342" s="277"/>
      <c r="J1342" s="276" t="str">
        <f>IF(ISBLANK(I1342), "", VLOOKUP(E1342&amp;" "&amp;F1342, 'Info Tipo de Cambio y REM'!$A$24:$B$35, 2, FALSE))
</f>
        <v/>
      </c>
      <c r="K1342" s="107"/>
      <c r="L1342" s="293"/>
      <c r="M1342" s="293"/>
      <c r="N1342" s="293"/>
      <c r="O1342" s="277"/>
      <c r="P1342" s="264"/>
      <c r="Q1342" s="264"/>
      <c r="R1342" s="264"/>
      <c r="S1342" s="264"/>
      <c r="T1342" s="264"/>
      <c r="U1342" s="264"/>
      <c r="V1342" s="264"/>
      <c r="W1342" s="264"/>
      <c r="X1342" s="264"/>
      <c r="Y1342" s="264"/>
      <c r="Z1342" s="264"/>
      <c r="AA1342" s="264"/>
      <c r="AB1342" s="264"/>
      <c r="AC1342" s="264"/>
      <c r="AD1342" s="264"/>
      <c r="AE1342" s="264"/>
    </row>
    <row r="1343">
      <c r="A1343" s="272"/>
      <c r="B1343" s="272"/>
      <c r="C1343" s="272"/>
      <c r="D1343" s="172"/>
      <c r="E1343" s="267" t="str">
        <f t="shared" si="22"/>
        <v/>
      </c>
      <c r="F1343" s="274"/>
      <c r="G1343" s="42"/>
      <c r="H1343" s="264"/>
      <c r="I1343" s="277"/>
      <c r="J1343" s="276" t="str">
        <f>IF(ISBLANK(I1343), "", VLOOKUP(E1343&amp;" "&amp;F1343, 'Info Tipo de Cambio y REM'!$A$24:$B$35, 2, FALSE))
</f>
        <v/>
      </c>
      <c r="K1343" s="107"/>
      <c r="L1343" s="293"/>
      <c r="M1343" s="293"/>
      <c r="N1343" s="293"/>
      <c r="O1343" s="277"/>
      <c r="P1343" s="264"/>
      <c r="Q1343" s="264"/>
      <c r="R1343" s="264"/>
      <c r="S1343" s="264"/>
      <c r="T1343" s="264"/>
      <c r="U1343" s="264"/>
      <c r="V1343" s="264"/>
      <c r="W1343" s="264"/>
      <c r="X1343" s="264"/>
      <c r="Y1343" s="264"/>
      <c r="Z1343" s="264"/>
      <c r="AA1343" s="264"/>
      <c r="AB1343" s="264"/>
      <c r="AC1343" s="264"/>
      <c r="AD1343" s="264"/>
      <c r="AE1343" s="264"/>
    </row>
    <row r="1344">
      <c r="A1344" s="272"/>
      <c r="B1344" s="272"/>
      <c r="C1344" s="272"/>
      <c r="D1344" s="172"/>
      <c r="E1344" s="267" t="str">
        <f t="shared" si="22"/>
        <v/>
      </c>
      <c r="F1344" s="274"/>
      <c r="G1344" s="42"/>
      <c r="H1344" s="264"/>
      <c r="I1344" s="277"/>
      <c r="J1344" s="276" t="str">
        <f>IF(ISBLANK(I1344), "", VLOOKUP(E1344&amp;" "&amp;F1344, 'Info Tipo de Cambio y REM'!$A$24:$B$35, 2, FALSE))
</f>
        <v/>
      </c>
      <c r="K1344" s="107"/>
      <c r="L1344" s="293"/>
      <c r="M1344" s="293"/>
      <c r="N1344" s="293"/>
      <c r="O1344" s="277"/>
      <c r="P1344" s="264"/>
      <c r="Q1344" s="264"/>
      <c r="R1344" s="264"/>
      <c r="S1344" s="264"/>
      <c r="T1344" s="264"/>
      <c r="U1344" s="264"/>
      <c r="V1344" s="264"/>
      <c r="W1344" s="264"/>
      <c r="X1344" s="264"/>
      <c r="Y1344" s="264"/>
      <c r="Z1344" s="264"/>
      <c r="AA1344" s="264"/>
      <c r="AB1344" s="264"/>
      <c r="AC1344" s="264"/>
      <c r="AD1344" s="264"/>
      <c r="AE1344" s="264"/>
    </row>
    <row r="1345">
      <c r="A1345" s="272"/>
      <c r="B1345" s="272"/>
      <c r="C1345" s="272"/>
      <c r="D1345" s="172"/>
      <c r="E1345" s="267" t="str">
        <f t="shared" si="22"/>
        <v/>
      </c>
      <c r="F1345" s="274"/>
      <c r="G1345" s="42"/>
      <c r="H1345" s="264"/>
      <c r="I1345" s="277"/>
      <c r="J1345" s="276" t="str">
        <f>IF(ISBLANK(I1345), "", VLOOKUP(E1345&amp;" "&amp;F1345, 'Info Tipo de Cambio y REM'!$A$24:$B$35, 2, FALSE))
</f>
        <v/>
      </c>
      <c r="K1345" s="107"/>
      <c r="L1345" s="293"/>
      <c r="M1345" s="293"/>
      <c r="N1345" s="293"/>
      <c r="O1345" s="277"/>
      <c r="P1345" s="264"/>
      <c r="Q1345" s="264"/>
      <c r="R1345" s="264"/>
      <c r="S1345" s="264"/>
      <c r="T1345" s="264"/>
      <c r="U1345" s="264"/>
      <c r="V1345" s="264"/>
      <c r="W1345" s="264"/>
      <c r="X1345" s="264"/>
      <c r="Y1345" s="264"/>
      <c r="Z1345" s="264"/>
      <c r="AA1345" s="264"/>
      <c r="AB1345" s="264"/>
      <c r="AC1345" s="264"/>
      <c r="AD1345" s="264"/>
      <c r="AE1345" s="264"/>
    </row>
    <row r="1346">
      <c r="A1346" s="272"/>
      <c r="B1346" s="272"/>
      <c r="C1346" s="272"/>
      <c r="D1346" s="172"/>
      <c r="E1346" s="267" t="str">
        <f t="shared" si="22"/>
        <v/>
      </c>
      <c r="F1346" s="274"/>
      <c r="G1346" s="42"/>
      <c r="H1346" s="264"/>
      <c r="I1346" s="277"/>
      <c r="J1346" s="276" t="str">
        <f>IF(ISBLANK(I1346), "", VLOOKUP(E1346&amp;" "&amp;F1346, 'Info Tipo de Cambio y REM'!$A$24:$B$35, 2, FALSE))
</f>
        <v/>
      </c>
      <c r="K1346" s="107"/>
      <c r="L1346" s="293"/>
      <c r="M1346" s="293"/>
      <c r="N1346" s="293"/>
      <c r="O1346" s="277"/>
      <c r="P1346" s="264"/>
      <c r="Q1346" s="264"/>
      <c r="R1346" s="264"/>
      <c r="S1346" s="264"/>
      <c r="T1346" s="264"/>
      <c r="U1346" s="264"/>
      <c r="V1346" s="264"/>
      <c r="W1346" s="264"/>
      <c r="X1346" s="264"/>
      <c r="Y1346" s="264"/>
      <c r="Z1346" s="264"/>
      <c r="AA1346" s="264"/>
      <c r="AB1346" s="264"/>
      <c r="AC1346" s="264"/>
      <c r="AD1346" s="264"/>
      <c r="AE1346" s="264"/>
    </row>
    <row r="1347">
      <c r="A1347" s="272"/>
      <c r="B1347" s="272"/>
      <c r="C1347" s="272"/>
      <c r="D1347" s="172"/>
      <c r="E1347" s="267" t="str">
        <f t="shared" si="22"/>
        <v/>
      </c>
      <c r="F1347" s="274"/>
      <c r="G1347" s="42"/>
      <c r="H1347" s="264"/>
      <c r="I1347" s="277"/>
      <c r="J1347" s="276" t="str">
        <f>IF(ISBLANK(I1347), "", VLOOKUP(E1347&amp;" "&amp;F1347, 'Info Tipo de Cambio y REM'!$A$24:$B$35, 2, FALSE))
</f>
        <v/>
      </c>
      <c r="K1347" s="107"/>
      <c r="L1347" s="293"/>
      <c r="M1347" s="293"/>
      <c r="N1347" s="293"/>
      <c r="O1347" s="277"/>
      <c r="P1347" s="264"/>
      <c r="Q1347" s="264"/>
      <c r="R1347" s="264"/>
      <c r="S1347" s="264"/>
      <c r="T1347" s="264"/>
      <c r="U1347" s="264"/>
      <c r="V1347" s="264"/>
      <c r="W1347" s="264"/>
      <c r="X1347" s="264"/>
      <c r="Y1347" s="264"/>
      <c r="Z1347" s="264"/>
      <c r="AA1347" s="264"/>
      <c r="AB1347" s="264"/>
      <c r="AC1347" s="264"/>
      <c r="AD1347" s="264"/>
      <c r="AE1347" s="264"/>
    </row>
    <row r="1348">
      <c r="A1348" s="272"/>
      <c r="B1348" s="272"/>
      <c r="C1348" s="272"/>
      <c r="D1348" s="172"/>
      <c r="E1348" s="267" t="str">
        <f t="shared" si="22"/>
        <v/>
      </c>
      <c r="F1348" s="274"/>
      <c r="G1348" s="42"/>
      <c r="H1348" s="264"/>
      <c r="I1348" s="277"/>
      <c r="J1348" s="276" t="str">
        <f>IF(ISBLANK(I1348), "", VLOOKUP(E1348&amp;" "&amp;F1348, 'Info Tipo de Cambio y REM'!$A$24:$B$35, 2, FALSE))
</f>
        <v/>
      </c>
      <c r="K1348" s="107"/>
      <c r="L1348" s="293"/>
      <c r="M1348" s="293"/>
      <c r="N1348" s="293"/>
      <c r="O1348" s="277"/>
      <c r="P1348" s="264"/>
      <c r="Q1348" s="264"/>
      <c r="R1348" s="264"/>
      <c r="S1348" s="264"/>
      <c r="T1348" s="264"/>
      <c r="U1348" s="264"/>
      <c r="V1348" s="264"/>
      <c r="W1348" s="264"/>
      <c r="X1348" s="264"/>
      <c r="Y1348" s="264"/>
      <c r="Z1348" s="264"/>
      <c r="AA1348" s="264"/>
      <c r="AB1348" s="264"/>
      <c r="AC1348" s="264"/>
      <c r="AD1348" s="264"/>
      <c r="AE1348" s="264"/>
    </row>
    <row r="1349">
      <c r="A1349" s="272"/>
      <c r="B1349" s="272"/>
      <c r="C1349" s="272"/>
      <c r="D1349" s="172"/>
      <c r="E1349" s="267" t="str">
        <f t="shared" si="22"/>
        <v/>
      </c>
      <c r="F1349" s="274"/>
      <c r="G1349" s="42"/>
      <c r="H1349" s="264"/>
      <c r="I1349" s="277"/>
      <c r="J1349" s="276" t="str">
        <f>IF(ISBLANK(I1349), "", VLOOKUP(E1349&amp;" "&amp;F1349, 'Info Tipo de Cambio y REM'!$A$24:$B$35, 2, FALSE))
</f>
        <v/>
      </c>
      <c r="K1349" s="107"/>
      <c r="L1349" s="293"/>
      <c r="M1349" s="293"/>
      <c r="N1349" s="293"/>
      <c r="O1349" s="277"/>
      <c r="P1349" s="264"/>
      <c r="Q1349" s="264"/>
      <c r="R1349" s="264"/>
      <c r="S1349" s="264"/>
      <c r="T1349" s="264"/>
      <c r="U1349" s="264"/>
      <c r="V1349" s="264"/>
      <c r="W1349" s="264"/>
      <c r="X1349" s="264"/>
      <c r="Y1349" s="264"/>
      <c r="Z1349" s="264"/>
      <c r="AA1349" s="264"/>
      <c r="AB1349" s="264"/>
      <c r="AC1349" s="264"/>
      <c r="AD1349" s="264"/>
      <c r="AE1349" s="264"/>
    </row>
    <row r="1350">
      <c r="A1350" s="272"/>
      <c r="B1350" s="272"/>
      <c r="C1350" s="272"/>
      <c r="D1350" s="172"/>
      <c r="E1350" s="267" t="str">
        <f t="shared" si="22"/>
        <v/>
      </c>
      <c r="F1350" s="274"/>
      <c r="G1350" s="42"/>
      <c r="H1350" s="264"/>
      <c r="I1350" s="277"/>
      <c r="J1350" s="276" t="str">
        <f>IF(ISBLANK(I1350), "", VLOOKUP(E1350&amp;" "&amp;F1350, 'Info Tipo de Cambio y REM'!$A$24:$B$35, 2, FALSE))
</f>
        <v/>
      </c>
      <c r="K1350" s="107"/>
      <c r="L1350" s="293"/>
      <c r="M1350" s="293"/>
      <c r="N1350" s="293"/>
      <c r="O1350" s="277"/>
      <c r="P1350" s="264"/>
      <c r="Q1350" s="264"/>
      <c r="R1350" s="264"/>
      <c r="S1350" s="264"/>
      <c r="T1350" s="264"/>
      <c r="U1350" s="264"/>
      <c r="V1350" s="264"/>
      <c r="W1350" s="264"/>
      <c r="X1350" s="264"/>
      <c r="Y1350" s="264"/>
      <c r="Z1350" s="264"/>
      <c r="AA1350" s="264"/>
      <c r="AB1350" s="264"/>
      <c r="AC1350" s="264"/>
      <c r="AD1350" s="264"/>
      <c r="AE1350" s="264"/>
    </row>
    <row r="1351">
      <c r="A1351" s="272"/>
      <c r="B1351" s="272"/>
      <c r="C1351" s="272"/>
      <c r="D1351" s="172"/>
      <c r="E1351" s="267" t="str">
        <f t="shared" si="22"/>
        <v/>
      </c>
      <c r="F1351" s="274"/>
      <c r="G1351" s="42"/>
      <c r="H1351" s="264"/>
      <c r="I1351" s="277"/>
      <c r="J1351" s="276" t="str">
        <f>IF(ISBLANK(I1351), "", VLOOKUP(E1351&amp;" "&amp;F1351, 'Info Tipo de Cambio y REM'!$A$24:$B$35, 2, FALSE))
</f>
        <v/>
      </c>
      <c r="K1351" s="107"/>
      <c r="L1351" s="293"/>
      <c r="M1351" s="293"/>
      <c r="N1351" s="293"/>
      <c r="O1351" s="277"/>
      <c r="P1351" s="264"/>
      <c r="Q1351" s="264"/>
      <c r="R1351" s="264"/>
      <c r="S1351" s="264"/>
      <c r="T1351" s="264"/>
      <c r="U1351" s="264"/>
      <c r="V1351" s="264"/>
      <c r="W1351" s="264"/>
      <c r="X1351" s="264"/>
      <c r="Y1351" s="264"/>
      <c r="Z1351" s="264"/>
      <c r="AA1351" s="264"/>
      <c r="AB1351" s="264"/>
      <c r="AC1351" s="264"/>
      <c r="AD1351" s="264"/>
      <c r="AE1351" s="264"/>
    </row>
    <row r="1352">
      <c r="A1352" s="272"/>
      <c r="B1352" s="272"/>
      <c r="C1352" s="272"/>
      <c r="D1352" s="172"/>
      <c r="E1352" s="267" t="str">
        <f t="shared" si="22"/>
        <v/>
      </c>
      <c r="F1352" s="274"/>
      <c r="G1352" s="42"/>
      <c r="H1352" s="264"/>
      <c r="I1352" s="277"/>
      <c r="J1352" s="276" t="str">
        <f>IF(ISBLANK(I1352), "", VLOOKUP(E1352&amp;" "&amp;F1352, 'Info Tipo de Cambio y REM'!$A$24:$B$35, 2, FALSE))
</f>
        <v/>
      </c>
      <c r="K1352" s="107"/>
      <c r="L1352" s="293"/>
      <c r="M1352" s="293"/>
      <c r="N1352" s="293"/>
      <c r="O1352" s="277"/>
      <c r="P1352" s="264"/>
      <c r="Q1352" s="264"/>
      <c r="R1352" s="264"/>
      <c r="S1352" s="264"/>
      <c r="T1352" s="264"/>
      <c r="U1352" s="264"/>
      <c r="V1352" s="264"/>
      <c r="W1352" s="264"/>
      <c r="X1352" s="264"/>
      <c r="Y1352" s="264"/>
      <c r="Z1352" s="264"/>
      <c r="AA1352" s="264"/>
      <c r="AB1352" s="264"/>
      <c r="AC1352" s="264"/>
      <c r="AD1352" s="264"/>
      <c r="AE1352" s="264"/>
    </row>
    <row r="1353">
      <c r="A1353" s="272"/>
      <c r="B1353" s="272"/>
      <c r="C1353" s="272"/>
      <c r="D1353" s="172"/>
      <c r="E1353" s="267" t="str">
        <f t="shared" si="22"/>
        <v/>
      </c>
      <c r="F1353" s="274"/>
      <c r="G1353" s="42"/>
      <c r="H1353" s="264"/>
      <c r="I1353" s="277"/>
      <c r="J1353" s="276" t="str">
        <f>IF(ISBLANK(I1353), "", VLOOKUP(E1353&amp;" "&amp;F1353, 'Info Tipo de Cambio y REM'!$A$24:$B$35, 2, FALSE))
</f>
        <v/>
      </c>
      <c r="K1353" s="107"/>
      <c r="L1353" s="293"/>
      <c r="M1353" s="293"/>
      <c r="N1353" s="293"/>
      <c r="O1353" s="277"/>
      <c r="P1353" s="264"/>
      <c r="Q1353" s="264"/>
      <c r="R1353" s="264"/>
      <c r="S1353" s="264"/>
      <c r="T1353" s="264"/>
      <c r="U1353" s="264"/>
      <c r="V1353" s="264"/>
      <c r="W1353" s="264"/>
      <c r="X1353" s="264"/>
      <c r="Y1353" s="264"/>
      <c r="Z1353" s="264"/>
      <c r="AA1353" s="264"/>
      <c r="AB1353" s="264"/>
      <c r="AC1353" s="264"/>
      <c r="AD1353" s="264"/>
      <c r="AE1353" s="264"/>
    </row>
    <row r="1354">
      <c r="A1354" s="272"/>
      <c r="B1354" s="272"/>
      <c r="C1354" s="272"/>
      <c r="D1354" s="172"/>
      <c r="E1354" s="267" t="str">
        <f t="shared" si="22"/>
        <v/>
      </c>
      <c r="F1354" s="274"/>
      <c r="G1354" s="42"/>
      <c r="H1354" s="264"/>
      <c r="I1354" s="277"/>
      <c r="J1354" s="276" t="str">
        <f>IF(ISBLANK(I1354), "", VLOOKUP(E1354&amp;" "&amp;F1354, 'Info Tipo de Cambio y REM'!$A$24:$B$35, 2, FALSE))
</f>
        <v/>
      </c>
      <c r="K1354" s="107"/>
      <c r="L1354" s="293"/>
      <c r="M1354" s="293"/>
      <c r="N1354" s="293"/>
      <c r="O1354" s="277"/>
      <c r="P1354" s="264"/>
      <c r="Q1354" s="264"/>
      <c r="R1354" s="264"/>
      <c r="S1354" s="264"/>
      <c r="T1354" s="264"/>
      <c r="U1354" s="264"/>
      <c r="V1354" s="264"/>
      <c r="W1354" s="264"/>
      <c r="X1354" s="264"/>
      <c r="Y1354" s="264"/>
      <c r="Z1354" s="264"/>
      <c r="AA1354" s="264"/>
      <c r="AB1354" s="264"/>
      <c r="AC1354" s="264"/>
      <c r="AD1354" s="264"/>
      <c r="AE1354" s="264"/>
    </row>
    <row r="1355">
      <c r="A1355" s="272"/>
      <c r="B1355" s="272"/>
      <c r="C1355" s="272"/>
      <c r="D1355" s="172"/>
      <c r="E1355" s="267" t="str">
        <f t="shared" si="22"/>
        <v/>
      </c>
      <c r="F1355" s="274"/>
      <c r="G1355" s="42"/>
      <c r="H1355" s="264"/>
      <c r="I1355" s="277"/>
      <c r="J1355" s="276" t="str">
        <f>IF(ISBLANK(I1355), "", VLOOKUP(E1355&amp;" "&amp;F1355, 'Info Tipo de Cambio y REM'!$A$24:$B$35, 2, FALSE))
</f>
        <v/>
      </c>
      <c r="K1355" s="107"/>
      <c r="L1355" s="293"/>
      <c r="M1355" s="293"/>
      <c r="N1355" s="293"/>
      <c r="O1355" s="277"/>
      <c r="P1355" s="264"/>
      <c r="Q1355" s="264"/>
      <c r="R1355" s="264"/>
      <c r="S1355" s="264"/>
      <c r="T1355" s="264"/>
      <c r="U1355" s="264"/>
      <c r="V1355" s="264"/>
      <c r="W1355" s="264"/>
      <c r="X1355" s="264"/>
      <c r="Y1355" s="264"/>
      <c r="Z1355" s="264"/>
      <c r="AA1355" s="264"/>
      <c r="AB1355" s="264"/>
      <c r="AC1355" s="264"/>
      <c r="AD1355" s="264"/>
      <c r="AE1355" s="264"/>
    </row>
    <row r="1356">
      <c r="A1356" s="272"/>
      <c r="B1356" s="272"/>
      <c r="C1356" s="272"/>
      <c r="D1356" s="172"/>
      <c r="E1356" s="267" t="str">
        <f t="shared" si="22"/>
        <v/>
      </c>
      <c r="F1356" s="274"/>
      <c r="G1356" s="42"/>
      <c r="H1356" s="264"/>
      <c r="I1356" s="277"/>
      <c r="J1356" s="276" t="str">
        <f>IF(ISBLANK(I1356), "", VLOOKUP(E1356&amp;" "&amp;F1356, 'Info Tipo de Cambio y REM'!$A$24:$B$35, 2, FALSE))
</f>
        <v/>
      </c>
      <c r="K1356" s="107"/>
      <c r="L1356" s="293"/>
      <c r="M1356" s="293"/>
      <c r="N1356" s="293"/>
      <c r="O1356" s="277"/>
      <c r="P1356" s="264"/>
      <c r="Q1356" s="264"/>
      <c r="R1356" s="264"/>
      <c r="S1356" s="264"/>
      <c r="T1356" s="264"/>
      <c r="U1356" s="264"/>
      <c r="V1356" s="264"/>
      <c r="W1356" s="264"/>
      <c r="X1356" s="264"/>
      <c r="Y1356" s="264"/>
      <c r="Z1356" s="264"/>
      <c r="AA1356" s="264"/>
      <c r="AB1356" s="264"/>
      <c r="AC1356" s="264"/>
      <c r="AD1356" s="264"/>
      <c r="AE1356" s="264"/>
    </row>
    <row r="1357">
      <c r="A1357" s="272"/>
      <c r="B1357" s="272"/>
      <c r="C1357" s="272"/>
      <c r="D1357" s="172"/>
      <c r="E1357" s="267" t="str">
        <f t="shared" si="22"/>
        <v/>
      </c>
      <c r="F1357" s="274"/>
      <c r="G1357" s="42"/>
      <c r="H1357" s="264"/>
      <c r="I1357" s="277"/>
      <c r="J1357" s="276" t="str">
        <f>IF(ISBLANK(I1357), "", VLOOKUP(E1357&amp;" "&amp;F1357, 'Info Tipo de Cambio y REM'!$A$24:$B$35, 2, FALSE))
</f>
        <v/>
      </c>
      <c r="K1357" s="107"/>
      <c r="L1357" s="293"/>
      <c r="M1357" s="293"/>
      <c r="N1357" s="293"/>
      <c r="O1357" s="277"/>
      <c r="P1357" s="264"/>
      <c r="Q1357" s="264"/>
      <c r="R1357" s="264"/>
      <c r="S1357" s="264"/>
      <c r="T1357" s="264"/>
      <c r="U1357" s="264"/>
      <c r="V1357" s="264"/>
      <c r="W1357" s="264"/>
      <c r="X1357" s="264"/>
      <c r="Y1357" s="264"/>
      <c r="Z1357" s="264"/>
      <c r="AA1357" s="264"/>
      <c r="AB1357" s="264"/>
      <c r="AC1357" s="264"/>
      <c r="AD1357" s="264"/>
      <c r="AE1357" s="264"/>
    </row>
    <row r="1358">
      <c r="A1358" s="272"/>
      <c r="B1358" s="272"/>
      <c r="C1358" s="272"/>
      <c r="D1358" s="172"/>
      <c r="E1358" s="267" t="str">
        <f t="shared" si="22"/>
        <v/>
      </c>
      <c r="F1358" s="274"/>
      <c r="G1358" s="42"/>
      <c r="H1358" s="264"/>
      <c r="I1358" s="277"/>
      <c r="J1358" s="276" t="str">
        <f>IF(ISBLANK(I1358), "", VLOOKUP(E1358&amp;" "&amp;F1358, 'Info Tipo de Cambio y REM'!$A$24:$B$35, 2, FALSE))
</f>
        <v/>
      </c>
      <c r="K1358" s="107"/>
      <c r="L1358" s="293"/>
      <c r="M1358" s="293"/>
      <c r="N1358" s="293"/>
      <c r="O1358" s="277"/>
      <c r="P1358" s="264"/>
      <c r="Q1358" s="264"/>
      <c r="R1358" s="264"/>
      <c r="S1358" s="264"/>
      <c r="T1358" s="264"/>
      <c r="U1358" s="264"/>
      <c r="V1358" s="264"/>
      <c r="W1358" s="264"/>
      <c r="X1358" s="264"/>
      <c r="Y1358" s="264"/>
      <c r="Z1358" s="264"/>
      <c r="AA1358" s="264"/>
      <c r="AB1358" s="264"/>
      <c r="AC1358" s="264"/>
      <c r="AD1358" s="264"/>
      <c r="AE1358" s="264"/>
    </row>
    <row r="1359">
      <c r="A1359" s="272"/>
      <c r="B1359" s="272"/>
      <c r="C1359" s="272"/>
      <c r="D1359" s="172"/>
      <c r="E1359" s="267" t="str">
        <f t="shared" si="22"/>
        <v/>
      </c>
      <c r="F1359" s="274"/>
      <c r="G1359" s="42"/>
      <c r="H1359" s="264"/>
      <c r="I1359" s="277"/>
      <c r="J1359" s="276" t="str">
        <f>IF(ISBLANK(I1359), "", VLOOKUP(E1359&amp;" "&amp;F1359, 'Info Tipo de Cambio y REM'!$A$24:$B$35, 2, FALSE))
</f>
        <v/>
      </c>
      <c r="K1359" s="107"/>
      <c r="L1359" s="293"/>
      <c r="M1359" s="293"/>
      <c r="N1359" s="293"/>
      <c r="O1359" s="277"/>
      <c r="P1359" s="264"/>
      <c r="Q1359" s="264"/>
      <c r="R1359" s="264"/>
      <c r="S1359" s="264"/>
      <c r="T1359" s="264"/>
      <c r="U1359" s="264"/>
      <c r="V1359" s="264"/>
      <c r="W1359" s="264"/>
      <c r="X1359" s="264"/>
      <c r="Y1359" s="264"/>
      <c r="Z1359" s="264"/>
      <c r="AA1359" s="264"/>
      <c r="AB1359" s="264"/>
      <c r="AC1359" s="264"/>
      <c r="AD1359" s="264"/>
      <c r="AE1359" s="264"/>
    </row>
    <row r="1360">
      <c r="A1360" s="272"/>
      <c r="B1360" s="272"/>
      <c r="C1360" s="272"/>
      <c r="D1360" s="172"/>
      <c r="E1360" s="267" t="str">
        <f t="shared" si="22"/>
        <v/>
      </c>
      <c r="F1360" s="274"/>
      <c r="G1360" s="42"/>
      <c r="H1360" s="264"/>
      <c r="I1360" s="277"/>
      <c r="J1360" s="276" t="str">
        <f>IF(ISBLANK(I1360), "", VLOOKUP(E1360&amp;" "&amp;F1360, 'Info Tipo de Cambio y REM'!$A$24:$B$35, 2, FALSE))
</f>
        <v/>
      </c>
      <c r="K1360" s="107"/>
      <c r="L1360" s="293"/>
      <c r="M1360" s="293"/>
      <c r="N1360" s="293"/>
      <c r="O1360" s="277"/>
      <c r="P1360" s="264"/>
      <c r="Q1360" s="264"/>
      <c r="R1360" s="264"/>
      <c r="S1360" s="264"/>
      <c r="T1360" s="264"/>
      <c r="U1360" s="264"/>
      <c r="V1360" s="264"/>
      <c r="W1360" s="264"/>
      <c r="X1360" s="264"/>
      <c r="Y1360" s="264"/>
      <c r="Z1360" s="264"/>
      <c r="AA1360" s="264"/>
      <c r="AB1360" s="264"/>
      <c r="AC1360" s="264"/>
      <c r="AD1360" s="264"/>
      <c r="AE1360" s="264"/>
    </row>
    <row r="1361">
      <c r="A1361" s="272"/>
      <c r="B1361" s="272"/>
      <c r="C1361" s="272"/>
      <c r="D1361" s="172"/>
      <c r="E1361" s="267" t="str">
        <f t="shared" si="22"/>
        <v/>
      </c>
      <c r="F1361" s="274"/>
      <c r="G1361" s="42"/>
      <c r="H1361" s="264"/>
      <c r="I1361" s="277"/>
      <c r="J1361" s="276" t="str">
        <f>IF(ISBLANK(I1361), "", VLOOKUP(E1361&amp;" "&amp;F1361, 'Info Tipo de Cambio y REM'!$A$24:$B$35, 2, FALSE))
</f>
        <v/>
      </c>
      <c r="K1361" s="107"/>
      <c r="L1361" s="293"/>
      <c r="M1361" s="293"/>
      <c r="N1361" s="293"/>
      <c r="O1361" s="277"/>
      <c r="P1361" s="264"/>
      <c r="Q1361" s="264"/>
      <c r="R1361" s="264"/>
      <c r="S1361" s="264"/>
      <c r="T1361" s="264"/>
      <c r="U1361" s="264"/>
      <c r="V1361" s="264"/>
      <c r="W1361" s="264"/>
      <c r="X1361" s="264"/>
      <c r="Y1361" s="264"/>
      <c r="Z1361" s="264"/>
      <c r="AA1361" s="264"/>
      <c r="AB1361" s="264"/>
      <c r="AC1361" s="264"/>
      <c r="AD1361" s="264"/>
      <c r="AE1361" s="264"/>
    </row>
    <row r="1362">
      <c r="A1362" s="272"/>
      <c r="B1362" s="272"/>
      <c r="C1362" s="272"/>
      <c r="D1362" s="172"/>
      <c r="E1362" s="267" t="str">
        <f t="shared" si="22"/>
        <v/>
      </c>
      <c r="F1362" s="274"/>
      <c r="G1362" s="42"/>
      <c r="H1362" s="264"/>
      <c r="I1362" s="277"/>
      <c r="J1362" s="276" t="str">
        <f>IF(ISBLANK(I1362), "", VLOOKUP(E1362&amp;" "&amp;F1362, 'Info Tipo de Cambio y REM'!$A$24:$B$35, 2, FALSE))
</f>
        <v/>
      </c>
      <c r="K1362" s="107"/>
      <c r="L1362" s="293"/>
      <c r="M1362" s="293"/>
      <c r="N1362" s="293"/>
      <c r="O1362" s="277"/>
      <c r="P1362" s="264"/>
      <c r="Q1362" s="264"/>
      <c r="R1362" s="264"/>
      <c r="S1362" s="264"/>
      <c r="T1362" s="264"/>
      <c r="U1362" s="264"/>
      <c r="V1362" s="264"/>
      <c r="W1362" s="264"/>
      <c r="X1362" s="264"/>
      <c r="Y1362" s="264"/>
      <c r="Z1362" s="264"/>
      <c r="AA1362" s="264"/>
      <c r="AB1362" s="264"/>
      <c r="AC1362" s="264"/>
      <c r="AD1362" s="264"/>
      <c r="AE1362" s="264"/>
    </row>
    <row r="1363">
      <c r="A1363" s="272"/>
      <c r="B1363" s="272"/>
      <c r="C1363" s="272"/>
      <c r="D1363" s="172"/>
      <c r="E1363" s="267" t="str">
        <f t="shared" si="22"/>
        <v/>
      </c>
      <c r="F1363" s="274"/>
      <c r="G1363" s="42"/>
      <c r="H1363" s="264"/>
      <c r="I1363" s="277"/>
      <c r="J1363" s="276" t="str">
        <f>IF(ISBLANK(I1363), "", VLOOKUP(E1363&amp;" "&amp;F1363, 'Info Tipo de Cambio y REM'!$A$24:$B$35, 2, FALSE))
</f>
        <v/>
      </c>
      <c r="K1363" s="107"/>
      <c r="L1363" s="293"/>
      <c r="M1363" s="293"/>
      <c r="N1363" s="293"/>
      <c r="O1363" s="277"/>
      <c r="P1363" s="264"/>
      <c r="Q1363" s="264"/>
      <c r="R1363" s="264"/>
      <c r="S1363" s="264"/>
      <c r="T1363" s="264"/>
      <c r="U1363" s="264"/>
      <c r="V1363" s="264"/>
      <c r="W1363" s="264"/>
      <c r="X1363" s="264"/>
      <c r="Y1363" s="264"/>
      <c r="Z1363" s="264"/>
      <c r="AA1363" s="264"/>
      <c r="AB1363" s="264"/>
      <c r="AC1363" s="264"/>
      <c r="AD1363" s="264"/>
      <c r="AE1363" s="264"/>
    </row>
    <row r="1364">
      <c r="A1364" s="272"/>
      <c r="B1364" s="272"/>
      <c r="C1364" s="272"/>
      <c r="D1364" s="172"/>
      <c r="E1364" s="267" t="str">
        <f t="shared" si="22"/>
        <v/>
      </c>
      <c r="F1364" s="274"/>
      <c r="G1364" s="42"/>
      <c r="H1364" s="264"/>
      <c r="I1364" s="277"/>
      <c r="J1364" s="276" t="str">
        <f>IF(ISBLANK(I1364), "", VLOOKUP(E1364&amp;" "&amp;F1364, 'Info Tipo de Cambio y REM'!$A$24:$B$35, 2, FALSE))
</f>
        <v/>
      </c>
      <c r="K1364" s="107"/>
      <c r="L1364" s="293"/>
      <c r="M1364" s="293"/>
      <c r="N1364" s="293"/>
      <c r="O1364" s="277"/>
      <c r="P1364" s="264"/>
      <c r="Q1364" s="264"/>
      <c r="R1364" s="264"/>
      <c r="S1364" s="264"/>
      <c r="T1364" s="264"/>
      <c r="U1364" s="264"/>
      <c r="V1364" s="264"/>
      <c r="W1364" s="264"/>
      <c r="X1364" s="264"/>
      <c r="Y1364" s="264"/>
      <c r="Z1364" s="264"/>
      <c r="AA1364" s="264"/>
      <c r="AB1364" s="264"/>
      <c r="AC1364" s="264"/>
      <c r="AD1364" s="264"/>
      <c r="AE1364" s="264"/>
    </row>
    <row r="1365">
      <c r="A1365" s="272"/>
      <c r="B1365" s="272"/>
      <c r="C1365" s="272"/>
      <c r="D1365" s="172"/>
      <c r="E1365" s="267" t="str">
        <f t="shared" si="22"/>
        <v/>
      </c>
      <c r="F1365" s="274"/>
      <c r="G1365" s="42"/>
      <c r="H1365" s="264"/>
      <c r="I1365" s="277"/>
      <c r="J1365" s="276" t="str">
        <f>IF(ISBLANK(I1365), "", VLOOKUP(E1365&amp;" "&amp;F1365, 'Info Tipo de Cambio y REM'!$A$24:$B$35, 2, FALSE))
</f>
        <v/>
      </c>
      <c r="K1365" s="107"/>
      <c r="L1365" s="293"/>
      <c r="M1365" s="293"/>
      <c r="N1365" s="293"/>
      <c r="O1365" s="277"/>
      <c r="P1365" s="264"/>
      <c r="Q1365" s="264"/>
      <c r="R1365" s="264"/>
      <c r="S1365" s="264"/>
      <c r="T1365" s="264"/>
      <c r="U1365" s="264"/>
      <c r="V1365" s="264"/>
      <c r="W1365" s="264"/>
      <c r="X1365" s="264"/>
      <c r="Y1365" s="264"/>
      <c r="Z1365" s="264"/>
      <c r="AA1365" s="264"/>
      <c r="AB1365" s="264"/>
      <c r="AC1365" s="264"/>
      <c r="AD1365" s="264"/>
      <c r="AE1365" s="264"/>
    </row>
    <row r="1366">
      <c r="A1366" s="272"/>
      <c r="B1366" s="272"/>
      <c r="C1366" s="272"/>
      <c r="D1366" s="172"/>
      <c r="E1366" s="267" t="str">
        <f t="shared" si="22"/>
        <v/>
      </c>
      <c r="F1366" s="274"/>
      <c r="G1366" s="42"/>
      <c r="H1366" s="264"/>
      <c r="I1366" s="277"/>
      <c r="J1366" s="276" t="str">
        <f>IF(ISBLANK(I1366), "", VLOOKUP(E1366&amp;" "&amp;F1366, 'Info Tipo de Cambio y REM'!$A$24:$B$35, 2, FALSE))
</f>
        <v/>
      </c>
      <c r="K1366" s="107"/>
      <c r="L1366" s="293"/>
      <c r="M1366" s="293"/>
      <c r="N1366" s="293"/>
      <c r="O1366" s="277"/>
      <c r="P1366" s="264"/>
      <c r="Q1366" s="264"/>
      <c r="R1366" s="264"/>
      <c r="S1366" s="264"/>
      <c r="T1366" s="264"/>
      <c r="U1366" s="264"/>
      <c r="V1366" s="264"/>
      <c r="W1366" s="264"/>
      <c r="X1366" s="264"/>
      <c r="Y1366" s="264"/>
      <c r="Z1366" s="264"/>
      <c r="AA1366" s="264"/>
      <c r="AB1366" s="264"/>
      <c r="AC1366" s="264"/>
      <c r="AD1366" s="264"/>
      <c r="AE1366" s="264"/>
    </row>
    <row r="1367">
      <c r="A1367" s="272"/>
      <c r="B1367" s="272"/>
      <c r="C1367" s="272"/>
      <c r="D1367" s="172"/>
      <c r="E1367" s="267" t="str">
        <f t="shared" si="22"/>
        <v/>
      </c>
      <c r="F1367" s="274"/>
      <c r="G1367" s="42"/>
      <c r="H1367" s="264"/>
      <c r="I1367" s="277"/>
      <c r="J1367" s="276" t="str">
        <f>IF(ISBLANK(I1367), "", VLOOKUP(E1367&amp;" "&amp;F1367, 'Info Tipo de Cambio y REM'!$A$24:$B$35, 2, FALSE))
</f>
        <v/>
      </c>
      <c r="K1367" s="107"/>
      <c r="L1367" s="293"/>
      <c r="M1367" s="293"/>
      <c r="N1367" s="293"/>
      <c r="O1367" s="277"/>
      <c r="P1367" s="264"/>
      <c r="Q1367" s="264"/>
      <c r="R1367" s="264"/>
      <c r="S1367" s="264"/>
      <c r="T1367" s="264"/>
      <c r="U1367" s="264"/>
      <c r="V1367" s="264"/>
      <c r="W1367" s="264"/>
      <c r="X1367" s="264"/>
      <c r="Y1367" s="264"/>
      <c r="Z1367" s="264"/>
      <c r="AA1367" s="264"/>
      <c r="AB1367" s="264"/>
      <c r="AC1367" s="264"/>
      <c r="AD1367" s="264"/>
      <c r="AE1367" s="264"/>
    </row>
    <row r="1368">
      <c r="A1368" s="272"/>
      <c r="B1368" s="272"/>
      <c r="C1368" s="272"/>
      <c r="D1368" s="172"/>
      <c r="E1368" s="267" t="str">
        <f t="shared" si="22"/>
        <v/>
      </c>
      <c r="F1368" s="274"/>
      <c r="G1368" s="42"/>
      <c r="H1368" s="264"/>
      <c r="I1368" s="277"/>
      <c r="J1368" s="276" t="str">
        <f>IF(ISBLANK(I1368), "", VLOOKUP(E1368&amp;" "&amp;F1368, 'Info Tipo de Cambio y REM'!$A$24:$B$35, 2, FALSE))
</f>
        <v/>
      </c>
      <c r="K1368" s="107"/>
      <c r="L1368" s="293"/>
      <c r="M1368" s="293"/>
      <c r="N1368" s="293"/>
      <c r="O1368" s="277"/>
      <c r="P1368" s="264"/>
      <c r="Q1368" s="264"/>
      <c r="R1368" s="264"/>
      <c r="S1368" s="264"/>
      <c r="T1368" s="264"/>
      <c r="U1368" s="264"/>
      <c r="V1368" s="264"/>
      <c r="W1368" s="264"/>
      <c r="X1368" s="264"/>
      <c r="Y1368" s="264"/>
      <c r="Z1368" s="264"/>
      <c r="AA1368" s="264"/>
      <c r="AB1368" s="264"/>
      <c r="AC1368" s="264"/>
      <c r="AD1368" s="264"/>
      <c r="AE1368" s="264"/>
    </row>
    <row r="1369">
      <c r="A1369" s="272"/>
      <c r="B1369" s="272"/>
      <c r="C1369" s="272"/>
      <c r="D1369" s="172"/>
      <c r="E1369" s="267" t="str">
        <f t="shared" si="22"/>
        <v/>
      </c>
      <c r="F1369" s="274"/>
      <c r="G1369" s="42"/>
      <c r="H1369" s="264"/>
      <c r="I1369" s="277"/>
      <c r="J1369" s="276" t="str">
        <f>IF(ISBLANK(I1369), "", VLOOKUP(E1369&amp;" "&amp;F1369, 'Info Tipo de Cambio y REM'!$A$24:$B$35, 2, FALSE))
</f>
        <v/>
      </c>
      <c r="K1369" s="107"/>
      <c r="L1369" s="293"/>
      <c r="M1369" s="293"/>
      <c r="N1369" s="293"/>
      <c r="O1369" s="277"/>
      <c r="P1369" s="264"/>
      <c r="Q1369" s="264"/>
      <c r="R1369" s="264"/>
      <c r="S1369" s="264"/>
      <c r="T1369" s="264"/>
      <c r="U1369" s="264"/>
      <c r="V1369" s="264"/>
      <c r="W1369" s="264"/>
      <c r="X1369" s="264"/>
      <c r="Y1369" s="264"/>
      <c r="Z1369" s="264"/>
      <c r="AA1369" s="264"/>
      <c r="AB1369" s="264"/>
      <c r="AC1369" s="264"/>
      <c r="AD1369" s="264"/>
      <c r="AE1369" s="264"/>
    </row>
    <row r="1370">
      <c r="A1370" s="272"/>
      <c r="B1370" s="272"/>
      <c r="C1370" s="272"/>
      <c r="D1370" s="172"/>
      <c r="E1370" s="267" t="str">
        <f t="shared" si="22"/>
        <v/>
      </c>
      <c r="F1370" s="274"/>
      <c r="G1370" s="42"/>
      <c r="H1370" s="264"/>
      <c r="I1370" s="277"/>
      <c r="J1370" s="276" t="str">
        <f>IF(ISBLANK(I1370), "", VLOOKUP(E1370&amp;" "&amp;F1370, 'Info Tipo de Cambio y REM'!$A$24:$B$35, 2, FALSE))
</f>
        <v/>
      </c>
      <c r="K1370" s="107"/>
      <c r="L1370" s="293"/>
      <c r="M1370" s="293"/>
      <c r="N1370" s="293"/>
      <c r="O1370" s="277"/>
      <c r="P1370" s="264"/>
      <c r="Q1370" s="264"/>
      <c r="R1370" s="264"/>
      <c r="S1370" s="264"/>
      <c r="T1370" s="264"/>
      <c r="U1370" s="264"/>
      <c r="V1370" s="264"/>
      <c r="W1370" s="264"/>
      <c r="X1370" s="264"/>
      <c r="Y1370" s="264"/>
      <c r="Z1370" s="264"/>
      <c r="AA1370" s="264"/>
      <c r="AB1370" s="264"/>
      <c r="AC1370" s="264"/>
      <c r="AD1370" s="264"/>
      <c r="AE1370" s="264"/>
    </row>
    <row r="1371">
      <c r="A1371" s="272"/>
      <c r="B1371" s="272"/>
      <c r="C1371" s="272"/>
      <c r="D1371" s="172"/>
      <c r="E1371" s="267" t="str">
        <f t="shared" si="22"/>
        <v/>
      </c>
      <c r="F1371" s="274"/>
      <c r="G1371" s="42"/>
      <c r="H1371" s="264"/>
      <c r="I1371" s="277"/>
      <c r="J1371" s="276" t="str">
        <f>IF(ISBLANK(I1371), "", VLOOKUP(E1371&amp;" "&amp;F1371, 'Info Tipo de Cambio y REM'!$A$24:$B$35, 2, FALSE))
</f>
        <v/>
      </c>
      <c r="K1371" s="107"/>
      <c r="L1371" s="293"/>
      <c r="M1371" s="293"/>
      <c r="N1371" s="293"/>
      <c r="O1371" s="277"/>
      <c r="P1371" s="264"/>
      <c r="Q1371" s="264"/>
      <c r="R1371" s="264"/>
      <c r="S1371" s="264"/>
      <c r="T1371" s="264"/>
      <c r="U1371" s="264"/>
      <c r="V1371" s="264"/>
      <c r="W1371" s="264"/>
      <c r="X1371" s="264"/>
      <c r="Y1371" s="264"/>
      <c r="Z1371" s="264"/>
      <c r="AA1371" s="264"/>
      <c r="AB1371" s="264"/>
      <c r="AC1371" s="264"/>
      <c r="AD1371" s="264"/>
      <c r="AE1371" s="264"/>
    </row>
    <row r="1372">
      <c r="A1372" s="272"/>
      <c r="B1372" s="272"/>
      <c r="C1372" s="272"/>
      <c r="D1372" s="172"/>
      <c r="E1372" s="267" t="str">
        <f t="shared" si="22"/>
        <v/>
      </c>
      <c r="F1372" s="274"/>
      <c r="G1372" s="42"/>
      <c r="H1372" s="264"/>
      <c r="I1372" s="277"/>
      <c r="J1372" s="276" t="str">
        <f>IF(ISBLANK(I1372), "", VLOOKUP(E1372&amp;" "&amp;F1372, 'Info Tipo de Cambio y REM'!$A$24:$B$35, 2, FALSE))
</f>
        <v/>
      </c>
      <c r="K1372" s="107"/>
      <c r="L1372" s="293"/>
      <c r="M1372" s="293"/>
      <c r="N1372" s="293"/>
      <c r="O1372" s="277"/>
      <c r="P1372" s="264"/>
      <c r="Q1372" s="264"/>
      <c r="R1372" s="264"/>
      <c r="S1372" s="264"/>
      <c r="T1372" s="264"/>
      <c r="U1372" s="264"/>
      <c r="V1372" s="264"/>
      <c r="W1372" s="264"/>
      <c r="X1372" s="264"/>
      <c r="Y1372" s="264"/>
      <c r="Z1372" s="264"/>
      <c r="AA1372" s="264"/>
      <c r="AB1372" s="264"/>
      <c r="AC1372" s="264"/>
      <c r="AD1372" s="264"/>
      <c r="AE1372" s="264"/>
    </row>
    <row r="1373">
      <c r="A1373" s="272"/>
      <c r="B1373" s="272"/>
      <c r="C1373" s="272"/>
      <c r="D1373" s="172"/>
      <c r="E1373" s="267" t="str">
        <f t="shared" si="22"/>
        <v/>
      </c>
      <c r="F1373" s="274"/>
      <c r="G1373" s="42"/>
      <c r="H1373" s="264"/>
      <c r="I1373" s="277"/>
      <c r="J1373" s="276" t="str">
        <f>IF(ISBLANK(I1373), "", VLOOKUP(E1373&amp;" "&amp;F1373, 'Info Tipo de Cambio y REM'!$A$24:$B$35, 2, FALSE))
</f>
        <v/>
      </c>
      <c r="K1373" s="107"/>
      <c r="L1373" s="293"/>
      <c r="M1373" s="293"/>
      <c r="N1373" s="293"/>
      <c r="O1373" s="277"/>
      <c r="P1373" s="264"/>
      <c r="Q1373" s="264"/>
      <c r="R1373" s="264"/>
      <c r="S1373" s="264"/>
      <c r="T1373" s="264"/>
      <c r="U1373" s="264"/>
      <c r="V1373" s="264"/>
      <c r="W1373" s="264"/>
      <c r="X1373" s="264"/>
      <c r="Y1373" s="264"/>
      <c r="Z1373" s="264"/>
      <c r="AA1373" s="264"/>
      <c r="AB1373" s="264"/>
      <c r="AC1373" s="264"/>
      <c r="AD1373" s="264"/>
      <c r="AE1373" s="264"/>
    </row>
    <row r="1374">
      <c r="A1374" s="272"/>
      <c r="B1374" s="272"/>
      <c r="C1374" s="272"/>
      <c r="D1374" s="172"/>
      <c r="E1374" s="267" t="str">
        <f t="shared" si="22"/>
        <v/>
      </c>
      <c r="F1374" s="274"/>
      <c r="G1374" s="42"/>
      <c r="H1374" s="264"/>
      <c r="I1374" s="277"/>
      <c r="J1374" s="276" t="str">
        <f>IF(ISBLANK(I1374), "", VLOOKUP(E1374&amp;" "&amp;F1374, 'Info Tipo de Cambio y REM'!$A$24:$B$35, 2, FALSE))
</f>
        <v/>
      </c>
      <c r="K1374" s="107"/>
      <c r="L1374" s="293"/>
      <c r="M1374" s="293"/>
      <c r="N1374" s="293"/>
      <c r="O1374" s="277"/>
      <c r="P1374" s="264"/>
      <c r="Q1374" s="264"/>
      <c r="R1374" s="264"/>
      <c r="S1374" s="264"/>
      <c r="T1374" s="264"/>
      <c r="U1374" s="264"/>
      <c r="V1374" s="264"/>
      <c r="W1374" s="264"/>
      <c r="X1374" s="264"/>
      <c r="Y1374" s="264"/>
      <c r="Z1374" s="264"/>
      <c r="AA1374" s="264"/>
      <c r="AB1374" s="264"/>
      <c r="AC1374" s="264"/>
      <c r="AD1374" s="264"/>
      <c r="AE1374" s="264"/>
    </row>
    <row r="1375">
      <c r="A1375" s="272"/>
      <c r="B1375" s="272"/>
      <c r="C1375" s="272"/>
      <c r="D1375" s="172"/>
      <c r="E1375" s="267" t="str">
        <f t="shared" si="22"/>
        <v/>
      </c>
      <c r="F1375" s="274"/>
      <c r="G1375" s="42"/>
      <c r="H1375" s="264"/>
      <c r="I1375" s="277"/>
      <c r="J1375" s="276" t="str">
        <f>IF(ISBLANK(I1375), "", VLOOKUP(E1375&amp;" "&amp;F1375, 'Info Tipo de Cambio y REM'!$A$24:$B$35, 2, FALSE))
</f>
        <v/>
      </c>
      <c r="K1375" s="107"/>
      <c r="L1375" s="293"/>
      <c r="M1375" s="293"/>
      <c r="N1375" s="293"/>
      <c r="O1375" s="277"/>
      <c r="P1375" s="264"/>
      <c r="Q1375" s="264"/>
      <c r="R1375" s="264"/>
      <c r="S1375" s="264"/>
      <c r="T1375" s="264"/>
      <c r="U1375" s="264"/>
      <c r="V1375" s="264"/>
      <c r="W1375" s="264"/>
      <c r="X1375" s="264"/>
      <c r="Y1375" s="264"/>
      <c r="Z1375" s="264"/>
      <c r="AA1375" s="264"/>
      <c r="AB1375" s="264"/>
      <c r="AC1375" s="264"/>
      <c r="AD1375" s="264"/>
      <c r="AE1375" s="264"/>
    </row>
    <row r="1376">
      <c r="A1376" s="272"/>
      <c r="B1376" s="272"/>
      <c r="C1376" s="272"/>
      <c r="D1376" s="172"/>
      <c r="E1376" s="267" t="str">
        <f t="shared" si="22"/>
        <v/>
      </c>
      <c r="F1376" s="274"/>
      <c r="G1376" s="42"/>
      <c r="H1376" s="264"/>
      <c r="I1376" s="277"/>
      <c r="J1376" s="276" t="str">
        <f>IF(ISBLANK(I1376), "", VLOOKUP(E1376&amp;" "&amp;F1376, 'Info Tipo de Cambio y REM'!$A$24:$B$35, 2, FALSE))
</f>
        <v/>
      </c>
      <c r="K1376" s="107"/>
      <c r="L1376" s="293"/>
      <c r="M1376" s="293"/>
      <c r="N1376" s="293"/>
      <c r="O1376" s="277"/>
      <c r="P1376" s="264"/>
      <c r="Q1376" s="264"/>
      <c r="R1376" s="264"/>
      <c r="S1376" s="264"/>
      <c r="T1376" s="264"/>
      <c r="U1376" s="264"/>
      <c r="V1376" s="264"/>
      <c r="W1376" s="264"/>
      <c r="X1376" s="264"/>
      <c r="Y1376" s="264"/>
      <c r="Z1376" s="264"/>
      <c r="AA1376" s="264"/>
      <c r="AB1376" s="264"/>
      <c r="AC1376" s="264"/>
      <c r="AD1376" s="264"/>
      <c r="AE1376" s="264"/>
    </row>
    <row r="1377">
      <c r="A1377" s="272"/>
      <c r="B1377" s="272"/>
      <c r="C1377" s="272"/>
      <c r="D1377" s="172"/>
      <c r="E1377" s="267" t="str">
        <f t="shared" si="22"/>
        <v/>
      </c>
      <c r="F1377" s="274"/>
      <c r="G1377" s="42"/>
      <c r="H1377" s="264"/>
      <c r="I1377" s="277"/>
      <c r="J1377" s="276" t="str">
        <f>IF(ISBLANK(I1377), "", VLOOKUP(E1377&amp;" "&amp;F1377, 'Info Tipo de Cambio y REM'!$A$24:$B$35, 2, FALSE))
</f>
        <v/>
      </c>
      <c r="K1377" s="107"/>
      <c r="L1377" s="293"/>
      <c r="M1377" s="293"/>
      <c r="N1377" s="293"/>
      <c r="O1377" s="277"/>
      <c r="P1377" s="264"/>
      <c r="Q1377" s="264"/>
      <c r="R1377" s="264"/>
      <c r="S1377" s="264"/>
      <c r="T1377" s="264"/>
      <c r="U1377" s="264"/>
      <c r="V1377" s="264"/>
      <c r="W1377" s="264"/>
      <c r="X1377" s="264"/>
      <c r="Y1377" s="264"/>
      <c r="Z1377" s="264"/>
      <c r="AA1377" s="264"/>
      <c r="AB1377" s="264"/>
      <c r="AC1377" s="264"/>
      <c r="AD1377" s="264"/>
      <c r="AE1377" s="264"/>
    </row>
    <row r="1378">
      <c r="A1378" s="272"/>
      <c r="B1378" s="272"/>
      <c r="C1378" s="272"/>
      <c r="D1378" s="172"/>
      <c r="E1378" s="267" t="str">
        <f t="shared" si="22"/>
        <v/>
      </c>
      <c r="F1378" s="274"/>
      <c r="G1378" s="42"/>
      <c r="H1378" s="264"/>
      <c r="I1378" s="277"/>
      <c r="J1378" s="276" t="str">
        <f>IF(ISBLANK(I1378), "", VLOOKUP(E1378&amp;" "&amp;F1378, 'Info Tipo de Cambio y REM'!$A$24:$B$35, 2, FALSE))
</f>
        <v/>
      </c>
      <c r="K1378" s="107"/>
      <c r="L1378" s="293"/>
      <c r="M1378" s="293"/>
      <c r="N1378" s="293"/>
      <c r="O1378" s="277"/>
      <c r="P1378" s="264"/>
      <c r="Q1378" s="264"/>
      <c r="R1378" s="264"/>
      <c r="S1378" s="264"/>
      <c r="T1378" s="264"/>
      <c r="U1378" s="264"/>
      <c r="V1378" s="264"/>
      <c r="W1378" s="264"/>
      <c r="X1378" s="264"/>
      <c r="Y1378" s="264"/>
      <c r="Z1378" s="264"/>
      <c r="AA1378" s="264"/>
      <c r="AB1378" s="264"/>
      <c r="AC1378" s="264"/>
      <c r="AD1378" s="264"/>
      <c r="AE1378" s="264"/>
    </row>
    <row r="1379">
      <c r="A1379" s="272"/>
      <c r="B1379" s="272"/>
      <c r="C1379" s="272"/>
      <c r="D1379" s="172"/>
      <c r="E1379" s="267" t="str">
        <f t="shared" si="22"/>
        <v/>
      </c>
      <c r="F1379" s="274"/>
      <c r="G1379" s="42"/>
      <c r="H1379" s="264"/>
      <c r="I1379" s="277"/>
      <c r="J1379" s="276" t="str">
        <f>IF(ISBLANK(I1379), "", VLOOKUP(E1379&amp;" "&amp;F1379, 'Info Tipo de Cambio y REM'!$A$24:$B$35, 2, FALSE))
</f>
        <v/>
      </c>
      <c r="K1379" s="107"/>
      <c r="L1379" s="293"/>
      <c r="M1379" s="293"/>
      <c r="N1379" s="293"/>
      <c r="O1379" s="277"/>
      <c r="P1379" s="264"/>
      <c r="Q1379" s="264"/>
      <c r="R1379" s="264"/>
      <c r="S1379" s="264"/>
      <c r="T1379" s="264"/>
      <c r="U1379" s="264"/>
      <c r="V1379" s="264"/>
      <c r="W1379" s="264"/>
      <c r="X1379" s="264"/>
      <c r="Y1379" s="264"/>
      <c r="Z1379" s="264"/>
      <c r="AA1379" s="264"/>
      <c r="AB1379" s="264"/>
      <c r="AC1379" s="264"/>
      <c r="AD1379" s="264"/>
      <c r="AE1379" s="264"/>
    </row>
    <row r="1380">
      <c r="A1380" s="272"/>
      <c r="B1380" s="272"/>
      <c r="C1380" s="272"/>
      <c r="D1380" s="172"/>
      <c r="E1380" s="267" t="str">
        <f t="shared" si="22"/>
        <v/>
      </c>
      <c r="F1380" s="274"/>
      <c r="G1380" s="42"/>
      <c r="H1380" s="264"/>
      <c r="I1380" s="277"/>
      <c r="J1380" s="276" t="str">
        <f>IF(ISBLANK(I1380), "", VLOOKUP(E1380&amp;" "&amp;F1380, 'Info Tipo de Cambio y REM'!$A$24:$B$35, 2, FALSE))
</f>
        <v/>
      </c>
      <c r="K1380" s="107"/>
      <c r="L1380" s="293"/>
      <c r="M1380" s="293"/>
      <c r="N1380" s="293"/>
      <c r="O1380" s="277"/>
      <c r="P1380" s="264"/>
      <c r="Q1380" s="264"/>
      <c r="R1380" s="264"/>
      <c r="S1380" s="264"/>
      <c r="T1380" s="264"/>
      <c r="U1380" s="264"/>
      <c r="V1380" s="264"/>
      <c r="W1380" s="264"/>
      <c r="X1380" s="264"/>
      <c r="Y1380" s="264"/>
      <c r="Z1380" s="264"/>
      <c r="AA1380" s="264"/>
      <c r="AB1380" s="264"/>
      <c r="AC1380" s="264"/>
      <c r="AD1380" s="264"/>
      <c r="AE1380" s="264"/>
    </row>
    <row r="1381">
      <c r="A1381" s="272"/>
      <c r="B1381" s="272"/>
      <c r="C1381" s="272"/>
      <c r="D1381" s="172"/>
      <c r="E1381" s="267" t="str">
        <f t="shared" si="22"/>
        <v/>
      </c>
      <c r="F1381" s="274"/>
      <c r="G1381" s="42"/>
      <c r="H1381" s="264"/>
      <c r="I1381" s="277"/>
      <c r="J1381" s="276" t="str">
        <f>IF(ISBLANK(I1381), "", VLOOKUP(E1381&amp;" "&amp;F1381, 'Info Tipo de Cambio y REM'!$A$24:$B$35, 2, FALSE))
</f>
        <v/>
      </c>
      <c r="K1381" s="107"/>
      <c r="L1381" s="293"/>
      <c r="M1381" s="293"/>
      <c r="N1381" s="293"/>
      <c r="O1381" s="277"/>
      <c r="P1381" s="264"/>
      <c r="Q1381" s="264"/>
      <c r="R1381" s="264"/>
      <c r="S1381" s="264"/>
      <c r="T1381" s="264"/>
      <c r="U1381" s="264"/>
      <c r="V1381" s="264"/>
      <c r="W1381" s="264"/>
      <c r="X1381" s="264"/>
      <c r="Y1381" s="264"/>
      <c r="Z1381" s="264"/>
      <c r="AA1381" s="264"/>
      <c r="AB1381" s="264"/>
      <c r="AC1381" s="264"/>
      <c r="AD1381" s="264"/>
      <c r="AE1381" s="264"/>
    </row>
    <row r="1382">
      <c r="A1382" s="272"/>
      <c r="B1382" s="272"/>
      <c r="C1382" s="272"/>
      <c r="D1382" s="172"/>
      <c r="E1382" s="267" t="str">
        <f t="shared" si="22"/>
        <v/>
      </c>
      <c r="F1382" s="274"/>
      <c r="G1382" s="42"/>
      <c r="H1382" s="264"/>
      <c r="I1382" s="277"/>
      <c r="J1382" s="276" t="str">
        <f>IF(ISBLANK(I1382), "", VLOOKUP(E1382&amp;" "&amp;F1382, 'Info Tipo de Cambio y REM'!$A$24:$B$35, 2, FALSE))
</f>
        <v/>
      </c>
      <c r="K1382" s="107"/>
      <c r="L1382" s="293"/>
      <c r="M1382" s="293"/>
      <c r="N1382" s="293"/>
      <c r="O1382" s="277"/>
      <c r="P1382" s="264"/>
      <c r="Q1382" s="264"/>
      <c r="R1382" s="264"/>
      <c r="S1382" s="264"/>
      <c r="T1382" s="264"/>
      <c r="U1382" s="264"/>
      <c r="V1382" s="264"/>
      <c r="W1382" s="264"/>
      <c r="X1382" s="264"/>
      <c r="Y1382" s="264"/>
      <c r="Z1382" s="264"/>
      <c r="AA1382" s="264"/>
      <c r="AB1382" s="264"/>
      <c r="AC1382" s="264"/>
      <c r="AD1382" s="264"/>
      <c r="AE1382" s="264"/>
    </row>
    <row r="1383">
      <c r="A1383" s="272"/>
      <c r="B1383" s="272"/>
      <c r="C1383" s="272"/>
      <c r="D1383" s="172"/>
      <c r="E1383" s="267" t="str">
        <f t="shared" si="22"/>
        <v/>
      </c>
      <c r="F1383" s="274"/>
      <c r="G1383" s="42"/>
      <c r="H1383" s="264"/>
      <c r="I1383" s="277"/>
      <c r="J1383" s="276" t="str">
        <f>IF(ISBLANK(I1383), "", VLOOKUP(E1383&amp;" "&amp;F1383, 'Info Tipo de Cambio y REM'!$A$24:$B$35, 2, FALSE))
</f>
        <v/>
      </c>
      <c r="K1383" s="107"/>
      <c r="L1383" s="293"/>
      <c r="M1383" s="293"/>
      <c r="N1383" s="293"/>
      <c r="O1383" s="277"/>
      <c r="P1383" s="264"/>
      <c r="Q1383" s="264"/>
      <c r="R1383" s="264"/>
      <c r="S1383" s="264"/>
      <c r="T1383" s="264"/>
      <c r="U1383" s="264"/>
      <c r="V1383" s="264"/>
      <c r="W1383" s="264"/>
      <c r="X1383" s="264"/>
      <c r="Y1383" s="264"/>
      <c r="Z1383" s="264"/>
      <c r="AA1383" s="264"/>
      <c r="AB1383" s="264"/>
      <c r="AC1383" s="264"/>
      <c r="AD1383" s="264"/>
      <c r="AE1383" s="264"/>
    </row>
    <row r="1384">
      <c r="A1384" s="272"/>
      <c r="B1384" s="272"/>
      <c r="C1384" s="272"/>
      <c r="D1384" s="172"/>
      <c r="E1384" s="267" t="str">
        <f t="shared" si="22"/>
        <v/>
      </c>
      <c r="F1384" s="274"/>
      <c r="G1384" s="42"/>
      <c r="H1384" s="264"/>
      <c r="I1384" s="277"/>
      <c r="J1384" s="276" t="str">
        <f>IF(ISBLANK(I1384), "", VLOOKUP(E1384&amp;" "&amp;F1384, 'Info Tipo de Cambio y REM'!$A$24:$B$35, 2, FALSE))
</f>
        <v/>
      </c>
      <c r="K1384" s="107"/>
      <c r="L1384" s="293"/>
      <c r="M1384" s="293"/>
      <c r="N1384" s="293"/>
      <c r="O1384" s="277"/>
      <c r="P1384" s="264"/>
      <c r="Q1384" s="264"/>
      <c r="R1384" s="264"/>
      <c r="S1384" s="264"/>
      <c r="T1384" s="264"/>
      <c r="U1384" s="264"/>
      <c r="V1384" s="264"/>
      <c r="W1384" s="264"/>
      <c r="X1384" s="264"/>
      <c r="Y1384" s="264"/>
      <c r="Z1384" s="264"/>
      <c r="AA1384" s="264"/>
      <c r="AB1384" s="264"/>
      <c r="AC1384" s="264"/>
      <c r="AD1384" s="264"/>
      <c r="AE1384" s="264"/>
    </row>
    <row r="1385">
      <c r="A1385" s="272"/>
      <c r="B1385" s="272"/>
      <c r="C1385" s="272"/>
      <c r="D1385" s="172"/>
      <c r="E1385" s="267" t="str">
        <f t="shared" si="22"/>
        <v/>
      </c>
      <c r="F1385" s="274"/>
      <c r="G1385" s="42"/>
      <c r="H1385" s="264"/>
      <c r="I1385" s="277"/>
      <c r="J1385" s="276" t="str">
        <f>IF(ISBLANK(I1385), "", VLOOKUP(E1385&amp;" "&amp;F1385, 'Info Tipo de Cambio y REM'!$A$24:$B$35, 2, FALSE))
</f>
        <v/>
      </c>
      <c r="K1385" s="107"/>
      <c r="L1385" s="293"/>
      <c r="M1385" s="293"/>
      <c r="N1385" s="293"/>
      <c r="O1385" s="277"/>
      <c r="P1385" s="264"/>
      <c r="Q1385" s="264"/>
      <c r="R1385" s="264"/>
      <c r="S1385" s="264"/>
      <c r="T1385" s="264"/>
      <c r="U1385" s="264"/>
      <c r="V1385" s="264"/>
      <c r="W1385" s="264"/>
      <c r="X1385" s="264"/>
      <c r="Y1385" s="264"/>
      <c r="Z1385" s="264"/>
      <c r="AA1385" s="264"/>
      <c r="AB1385" s="264"/>
      <c r="AC1385" s="264"/>
      <c r="AD1385" s="264"/>
      <c r="AE1385" s="264"/>
    </row>
    <row r="1386">
      <c r="A1386" s="272"/>
      <c r="B1386" s="272"/>
      <c r="C1386" s="272"/>
      <c r="D1386" s="172"/>
      <c r="E1386" s="267" t="str">
        <f t="shared" si="22"/>
        <v/>
      </c>
      <c r="F1386" s="274"/>
      <c r="G1386" s="42"/>
      <c r="H1386" s="264"/>
      <c r="I1386" s="277"/>
      <c r="J1386" s="276" t="str">
        <f>IF(ISBLANK(I1386), "", VLOOKUP(E1386&amp;" "&amp;F1386, 'Info Tipo de Cambio y REM'!$A$24:$B$35, 2, FALSE))
</f>
        <v/>
      </c>
      <c r="K1386" s="107"/>
      <c r="L1386" s="293"/>
      <c r="M1386" s="293"/>
      <c r="N1386" s="293"/>
      <c r="O1386" s="277"/>
      <c r="P1386" s="264"/>
      <c r="Q1386" s="264"/>
      <c r="R1386" s="264"/>
      <c r="S1386" s="264"/>
      <c r="T1386" s="264"/>
      <c r="U1386" s="264"/>
      <c r="V1386" s="264"/>
      <c r="W1386" s="264"/>
      <c r="X1386" s="264"/>
      <c r="Y1386" s="264"/>
      <c r="Z1386" s="264"/>
      <c r="AA1386" s="264"/>
      <c r="AB1386" s="264"/>
      <c r="AC1386" s="264"/>
      <c r="AD1386" s="264"/>
      <c r="AE1386" s="264"/>
    </row>
    <row r="1387">
      <c r="A1387" s="272"/>
      <c r="B1387" s="272"/>
      <c r="C1387" s="272"/>
      <c r="D1387" s="172"/>
      <c r="E1387" s="267" t="str">
        <f t="shared" si="22"/>
        <v/>
      </c>
      <c r="F1387" s="274"/>
      <c r="G1387" s="42"/>
      <c r="H1387" s="264"/>
      <c r="I1387" s="277"/>
      <c r="J1387" s="276" t="str">
        <f>IF(ISBLANK(I1387), "", VLOOKUP(E1387&amp;" "&amp;F1387, 'Info Tipo de Cambio y REM'!$A$24:$B$35, 2, FALSE))
</f>
        <v/>
      </c>
      <c r="K1387" s="107"/>
      <c r="L1387" s="293"/>
      <c r="M1387" s="293"/>
      <c r="N1387" s="293"/>
      <c r="O1387" s="277"/>
      <c r="P1387" s="264"/>
      <c r="Q1387" s="264"/>
      <c r="R1387" s="264"/>
      <c r="S1387" s="264"/>
      <c r="T1387" s="264"/>
      <c r="U1387" s="264"/>
      <c r="V1387" s="264"/>
      <c r="W1387" s="264"/>
      <c r="X1387" s="264"/>
      <c r="Y1387" s="264"/>
      <c r="Z1387" s="264"/>
      <c r="AA1387" s="264"/>
      <c r="AB1387" s="264"/>
      <c r="AC1387" s="264"/>
      <c r="AD1387" s="264"/>
      <c r="AE1387" s="264"/>
    </row>
    <row r="1388">
      <c r="A1388" s="272"/>
      <c r="B1388" s="272"/>
      <c r="C1388" s="272"/>
      <c r="D1388" s="172"/>
      <c r="E1388" s="267" t="str">
        <f t="shared" si="22"/>
        <v/>
      </c>
      <c r="F1388" s="274"/>
      <c r="G1388" s="42"/>
      <c r="H1388" s="264"/>
      <c r="I1388" s="277"/>
      <c r="J1388" s="276" t="str">
        <f>IF(ISBLANK(I1388), "", VLOOKUP(E1388&amp;" "&amp;F1388, 'Info Tipo de Cambio y REM'!$A$24:$B$35, 2, FALSE))
</f>
        <v/>
      </c>
      <c r="K1388" s="107"/>
      <c r="L1388" s="293"/>
      <c r="M1388" s="293"/>
      <c r="N1388" s="293"/>
      <c r="O1388" s="277"/>
      <c r="P1388" s="264"/>
      <c r="Q1388" s="264"/>
      <c r="R1388" s="264"/>
      <c r="S1388" s="264"/>
      <c r="T1388" s="264"/>
      <c r="U1388" s="264"/>
      <c r="V1388" s="264"/>
      <c r="W1388" s="264"/>
      <c r="X1388" s="264"/>
      <c r="Y1388" s="264"/>
      <c r="Z1388" s="264"/>
      <c r="AA1388" s="264"/>
      <c r="AB1388" s="264"/>
      <c r="AC1388" s="264"/>
      <c r="AD1388" s="264"/>
      <c r="AE1388" s="264"/>
    </row>
    <row r="1389">
      <c r="A1389" s="272"/>
      <c r="B1389" s="272"/>
      <c r="C1389" s="272"/>
      <c r="D1389" s="172"/>
      <c r="E1389" s="267" t="str">
        <f t="shared" si="22"/>
        <v/>
      </c>
      <c r="F1389" s="274"/>
      <c r="G1389" s="42"/>
      <c r="H1389" s="264"/>
      <c r="I1389" s="277"/>
      <c r="J1389" s="276" t="str">
        <f>IF(ISBLANK(I1389), "", VLOOKUP(E1389&amp;" "&amp;F1389, 'Info Tipo de Cambio y REM'!$A$24:$B$35, 2, FALSE))
</f>
        <v/>
      </c>
      <c r="K1389" s="107"/>
      <c r="L1389" s="293"/>
      <c r="M1389" s="293"/>
      <c r="N1389" s="293"/>
      <c r="O1389" s="277"/>
      <c r="P1389" s="264"/>
      <c r="Q1389" s="264"/>
      <c r="R1389" s="264"/>
      <c r="S1389" s="264"/>
      <c r="T1389" s="264"/>
      <c r="U1389" s="264"/>
      <c r="V1389" s="264"/>
      <c r="W1389" s="264"/>
      <c r="X1389" s="264"/>
      <c r="Y1389" s="264"/>
      <c r="Z1389" s="264"/>
      <c r="AA1389" s="264"/>
      <c r="AB1389" s="264"/>
      <c r="AC1389" s="264"/>
      <c r="AD1389" s="264"/>
      <c r="AE1389" s="264"/>
    </row>
    <row r="1390">
      <c r="A1390" s="272"/>
      <c r="B1390" s="272"/>
      <c r="C1390" s="272"/>
      <c r="D1390" s="172"/>
      <c r="E1390" s="267" t="str">
        <f t="shared" si="22"/>
        <v/>
      </c>
      <c r="F1390" s="274"/>
      <c r="G1390" s="42"/>
      <c r="H1390" s="264"/>
      <c r="I1390" s="277"/>
      <c r="J1390" s="276" t="str">
        <f>IF(ISBLANK(I1390), "", VLOOKUP(E1390&amp;" "&amp;F1390, 'Info Tipo de Cambio y REM'!$A$24:$B$35, 2, FALSE))
</f>
        <v/>
      </c>
      <c r="K1390" s="107"/>
      <c r="L1390" s="293"/>
      <c r="M1390" s="293"/>
      <c r="N1390" s="293"/>
      <c r="O1390" s="277"/>
      <c r="P1390" s="264"/>
      <c r="Q1390" s="264"/>
      <c r="R1390" s="264"/>
      <c r="S1390" s="264"/>
      <c r="T1390" s="264"/>
      <c r="U1390" s="264"/>
      <c r="V1390" s="264"/>
      <c r="W1390" s="264"/>
      <c r="X1390" s="264"/>
      <c r="Y1390" s="264"/>
      <c r="Z1390" s="264"/>
      <c r="AA1390" s="264"/>
      <c r="AB1390" s="264"/>
      <c r="AC1390" s="264"/>
      <c r="AD1390" s="264"/>
      <c r="AE1390" s="264"/>
    </row>
    <row r="1391">
      <c r="A1391" s="272"/>
      <c r="B1391" s="272"/>
      <c r="C1391" s="272"/>
      <c r="D1391" s="172"/>
      <c r="E1391" s="267" t="str">
        <f t="shared" si="22"/>
        <v/>
      </c>
      <c r="F1391" s="274"/>
      <c r="G1391" s="42"/>
      <c r="H1391" s="264"/>
      <c r="I1391" s="277"/>
      <c r="J1391" s="276" t="str">
        <f>IF(ISBLANK(I1391), "", VLOOKUP(E1391&amp;" "&amp;F1391, 'Info Tipo de Cambio y REM'!$A$24:$B$35, 2, FALSE))
</f>
        <v/>
      </c>
      <c r="K1391" s="107"/>
      <c r="L1391" s="293"/>
      <c r="M1391" s="293"/>
      <c r="N1391" s="293"/>
      <c r="O1391" s="277"/>
      <c r="P1391" s="264"/>
      <c r="Q1391" s="264"/>
      <c r="R1391" s="264"/>
      <c r="S1391" s="264"/>
      <c r="T1391" s="264"/>
      <c r="U1391" s="264"/>
      <c r="V1391" s="264"/>
      <c r="W1391" s="264"/>
      <c r="X1391" s="264"/>
      <c r="Y1391" s="264"/>
      <c r="Z1391" s="264"/>
      <c r="AA1391" s="264"/>
      <c r="AB1391" s="264"/>
      <c r="AC1391" s="264"/>
      <c r="AD1391" s="264"/>
      <c r="AE1391" s="264"/>
    </row>
    <row r="1392">
      <c r="A1392" s="272"/>
      <c r="B1392" s="272"/>
      <c r="C1392" s="272"/>
      <c r="D1392" s="172"/>
      <c r="E1392" s="267" t="str">
        <f t="shared" si="22"/>
        <v/>
      </c>
      <c r="F1392" s="274"/>
      <c r="G1392" s="42"/>
      <c r="H1392" s="264"/>
      <c r="I1392" s="277"/>
      <c r="J1392" s="276" t="str">
        <f>IF(ISBLANK(I1392), "", VLOOKUP(E1392&amp;" "&amp;F1392, 'Info Tipo de Cambio y REM'!$A$24:$B$35, 2, FALSE))
</f>
        <v/>
      </c>
      <c r="K1392" s="107"/>
      <c r="L1392" s="293"/>
      <c r="M1392" s="293"/>
      <c r="N1392" s="293"/>
      <c r="O1392" s="277"/>
      <c r="P1392" s="264"/>
      <c r="Q1392" s="264"/>
      <c r="R1392" s="264"/>
      <c r="S1392" s="264"/>
      <c r="T1392" s="264"/>
      <c r="U1392" s="264"/>
      <c r="V1392" s="264"/>
      <c r="W1392" s="264"/>
      <c r="X1392" s="264"/>
      <c r="Y1392" s="264"/>
      <c r="Z1392" s="264"/>
      <c r="AA1392" s="264"/>
      <c r="AB1392" s="264"/>
      <c r="AC1392" s="264"/>
      <c r="AD1392" s="264"/>
      <c r="AE1392" s="264"/>
    </row>
    <row r="1393">
      <c r="A1393" s="272"/>
      <c r="B1393" s="272"/>
      <c r="C1393" s="272"/>
      <c r="D1393" s="172"/>
      <c r="E1393" s="267" t="str">
        <f t="shared" si="22"/>
        <v/>
      </c>
      <c r="F1393" s="274"/>
      <c r="G1393" s="42"/>
      <c r="H1393" s="264"/>
      <c r="I1393" s="277"/>
      <c r="J1393" s="276" t="str">
        <f>IF(ISBLANK(I1393), "", VLOOKUP(E1393&amp;" "&amp;F1393, 'Info Tipo de Cambio y REM'!$A$24:$B$35, 2, FALSE))
</f>
        <v/>
      </c>
      <c r="K1393" s="107"/>
      <c r="L1393" s="293"/>
      <c r="M1393" s="293"/>
      <c r="N1393" s="293"/>
      <c r="O1393" s="277"/>
      <c r="P1393" s="264"/>
      <c r="Q1393" s="264"/>
      <c r="R1393" s="264"/>
      <c r="S1393" s="264"/>
      <c r="T1393" s="264"/>
      <c r="U1393" s="264"/>
      <c r="V1393" s="264"/>
      <c r="W1393" s="264"/>
      <c r="X1393" s="264"/>
      <c r="Y1393" s="264"/>
      <c r="Z1393" s="264"/>
      <c r="AA1393" s="264"/>
      <c r="AB1393" s="264"/>
      <c r="AC1393" s="264"/>
      <c r="AD1393" s="264"/>
      <c r="AE1393" s="264"/>
    </row>
    <row r="1394">
      <c r="A1394" s="272"/>
      <c r="B1394" s="272"/>
      <c r="C1394" s="272"/>
      <c r="D1394" s="172"/>
      <c r="E1394" s="267" t="str">
        <f t="shared" si="22"/>
        <v/>
      </c>
      <c r="F1394" s="274"/>
      <c r="G1394" s="42"/>
      <c r="H1394" s="264"/>
      <c r="I1394" s="277"/>
      <c r="J1394" s="276" t="str">
        <f>IF(ISBLANK(I1394), "", VLOOKUP(E1394&amp;" "&amp;F1394, 'Info Tipo de Cambio y REM'!$A$24:$B$35, 2, FALSE))
</f>
        <v/>
      </c>
      <c r="K1394" s="107"/>
      <c r="L1394" s="293"/>
      <c r="M1394" s="293"/>
      <c r="N1394" s="293"/>
      <c r="O1394" s="277"/>
      <c r="P1394" s="264"/>
      <c r="Q1394" s="264"/>
      <c r="R1394" s="264"/>
      <c r="S1394" s="264"/>
      <c r="T1394" s="264"/>
      <c r="U1394" s="264"/>
      <c r="V1394" s="264"/>
      <c r="W1394" s="264"/>
      <c r="X1394" s="264"/>
      <c r="Y1394" s="264"/>
      <c r="Z1394" s="264"/>
      <c r="AA1394" s="264"/>
      <c r="AB1394" s="264"/>
      <c r="AC1394" s="264"/>
      <c r="AD1394" s="264"/>
      <c r="AE1394" s="264"/>
    </row>
    <row r="1395">
      <c r="A1395" s="272"/>
      <c r="B1395" s="272"/>
      <c r="C1395" s="272"/>
      <c r="D1395" s="172"/>
      <c r="E1395" s="267" t="str">
        <f t="shared" si="22"/>
        <v/>
      </c>
      <c r="F1395" s="274"/>
      <c r="G1395" s="42"/>
      <c r="H1395" s="264"/>
      <c r="I1395" s="277"/>
      <c r="J1395" s="276" t="str">
        <f>IF(ISBLANK(I1395), "", VLOOKUP(E1395&amp;" "&amp;F1395, 'Info Tipo de Cambio y REM'!$A$24:$B$35, 2, FALSE))
</f>
        <v/>
      </c>
      <c r="K1395" s="107"/>
      <c r="L1395" s="293"/>
      <c r="M1395" s="293"/>
      <c r="N1395" s="293"/>
      <c r="O1395" s="277"/>
      <c r="P1395" s="264"/>
      <c r="Q1395" s="264"/>
      <c r="R1395" s="264"/>
      <c r="S1395" s="264"/>
      <c r="T1395" s="264"/>
      <c r="U1395" s="264"/>
      <c r="V1395" s="264"/>
      <c r="W1395" s="264"/>
      <c r="X1395" s="264"/>
      <c r="Y1395" s="264"/>
      <c r="Z1395" s="264"/>
      <c r="AA1395" s="264"/>
      <c r="AB1395" s="264"/>
      <c r="AC1395" s="264"/>
      <c r="AD1395" s="264"/>
      <c r="AE1395" s="264"/>
    </row>
    <row r="1396">
      <c r="A1396" s="272"/>
      <c r="B1396" s="272"/>
      <c r="C1396" s="272"/>
      <c r="D1396" s="172"/>
      <c r="E1396" s="267" t="str">
        <f t="shared" si="22"/>
        <v/>
      </c>
      <c r="F1396" s="274"/>
      <c r="G1396" s="42"/>
      <c r="H1396" s="264"/>
      <c r="I1396" s="277"/>
      <c r="J1396" s="276" t="str">
        <f>IF(ISBLANK(I1396), "", VLOOKUP(E1396&amp;" "&amp;F1396, 'Info Tipo de Cambio y REM'!$A$24:$B$35, 2, FALSE))
</f>
        <v/>
      </c>
      <c r="K1396" s="107"/>
      <c r="L1396" s="293"/>
      <c r="M1396" s="293"/>
      <c r="N1396" s="293"/>
      <c r="O1396" s="277"/>
      <c r="P1396" s="264"/>
      <c r="Q1396" s="264"/>
      <c r="R1396" s="264"/>
      <c r="S1396" s="264"/>
      <c r="T1396" s="264"/>
      <c r="U1396" s="264"/>
      <c r="V1396" s="264"/>
      <c r="W1396" s="264"/>
      <c r="X1396" s="264"/>
      <c r="Y1396" s="264"/>
      <c r="Z1396" s="264"/>
      <c r="AA1396" s="264"/>
      <c r="AB1396" s="264"/>
      <c r="AC1396" s="264"/>
      <c r="AD1396" s="264"/>
      <c r="AE1396" s="264"/>
    </row>
    <row r="1397">
      <c r="A1397" s="272"/>
      <c r="B1397" s="272"/>
      <c r="C1397" s="272"/>
      <c r="D1397" s="172"/>
      <c r="E1397" s="267" t="str">
        <f t="shared" si="22"/>
        <v/>
      </c>
      <c r="F1397" s="274"/>
      <c r="G1397" s="42"/>
      <c r="H1397" s="264"/>
      <c r="I1397" s="277"/>
      <c r="J1397" s="276" t="str">
        <f>IF(ISBLANK(I1397), "", VLOOKUP(E1397&amp;" "&amp;F1397, 'Info Tipo de Cambio y REM'!$A$24:$B$35, 2, FALSE))
</f>
        <v/>
      </c>
      <c r="K1397" s="107"/>
      <c r="L1397" s="293"/>
      <c r="M1397" s="293"/>
      <c r="N1397" s="293"/>
      <c r="O1397" s="277"/>
      <c r="P1397" s="264"/>
      <c r="Q1397" s="264"/>
      <c r="R1397" s="264"/>
      <c r="S1397" s="264"/>
      <c r="T1397" s="264"/>
      <c r="U1397" s="264"/>
      <c r="V1397" s="264"/>
      <c r="W1397" s="264"/>
      <c r="X1397" s="264"/>
      <c r="Y1397" s="264"/>
      <c r="Z1397" s="264"/>
      <c r="AA1397" s="264"/>
      <c r="AB1397" s="264"/>
      <c r="AC1397" s="264"/>
      <c r="AD1397" s="264"/>
      <c r="AE1397" s="264"/>
    </row>
    <row r="1398">
      <c r="A1398" s="272"/>
      <c r="B1398" s="272"/>
      <c r="C1398" s="272"/>
      <c r="D1398" s="172"/>
      <c r="E1398" s="267" t="str">
        <f t="shared" si="22"/>
        <v/>
      </c>
      <c r="F1398" s="274"/>
      <c r="G1398" s="42"/>
      <c r="H1398" s="264"/>
      <c r="I1398" s="277"/>
      <c r="J1398" s="276" t="str">
        <f>IF(ISBLANK(I1398), "", VLOOKUP(E1398&amp;" "&amp;F1398, 'Info Tipo de Cambio y REM'!$A$24:$B$35, 2, FALSE))
</f>
        <v/>
      </c>
      <c r="K1398" s="107"/>
      <c r="L1398" s="293"/>
      <c r="M1398" s="293"/>
      <c r="N1398" s="293"/>
      <c r="O1398" s="277"/>
      <c r="P1398" s="264"/>
      <c r="Q1398" s="264"/>
      <c r="R1398" s="264"/>
      <c r="S1398" s="264"/>
      <c r="T1398" s="264"/>
      <c r="U1398" s="264"/>
      <c r="V1398" s="264"/>
      <c r="W1398" s="264"/>
      <c r="X1398" s="264"/>
      <c r="Y1398" s="264"/>
      <c r="Z1398" s="264"/>
      <c r="AA1398" s="264"/>
      <c r="AB1398" s="264"/>
      <c r="AC1398" s="264"/>
      <c r="AD1398" s="264"/>
      <c r="AE1398" s="264"/>
    </row>
    <row r="1399">
      <c r="A1399" s="272"/>
      <c r="B1399" s="272"/>
      <c r="C1399" s="272"/>
      <c r="D1399" s="172"/>
      <c r="E1399" s="267" t="str">
        <f t="shared" si="22"/>
        <v/>
      </c>
      <c r="F1399" s="274"/>
      <c r="G1399" s="42"/>
      <c r="H1399" s="264"/>
      <c r="I1399" s="277"/>
      <c r="J1399" s="276" t="str">
        <f>IF(ISBLANK(I1399), "", VLOOKUP(E1399&amp;" "&amp;F1399, 'Info Tipo de Cambio y REM'!$A$24:$B$35, 2, FALSE))
</f>
        <v/>
      </c>
      <c r="K1399" s="107"/>
      <c r="L1399" s="293"/>
      <c r="M1399" s="293"/>
      <c r="N1399" s="293"/>
      <c r="O1399" s="277"/>
      <c r="P1399" s="264"/>
      <c r="Q1399" s="264"/>
      <c r="R1399" s="264"/>
      <c r="S1399" s="264"/>
      <c r="T1399" s="264"/>
      <c r="U1399" s="264"/>
      <c r="V1399" s="264"/>
      <c r="W1399" s="264"/>
      <c r="X1399" s="264"/>
      <c r="Y1399" s="264"/>
      <c r="Z1399" s="264"/>
      <c r="AA1399" s="264"/>
      <c r="AB1399" s="264"/>
      <c r="AC1399" s="264"/>
      <c r="AD1399" s="264"/>
      <c r="AE1399" s="264"/>
    </row>
    <row r="1400">
      <c r="A1400" s="272"/>
      <c r="B1400" s="272"/>
      <c r="C1400" s="272"/>
      <c r="D1400" s="172"/>
      <c r="E1400" s="267" t="str">
        <f t="shared" si="22"/>
        <v/>
      </c>
      <c r="F1400" s="274"/>
      <c r="G1400" s="42"/>
      <c r="H1400" s="264"/>
      <c r="I1400" s="277"/>
      <c r="J1400" s="276" t="str">
        <f>IF(ISBLANK(I1400), "", VLOOKUP(E1400&amp;" "&amp;F1400, 'Info Tipo de Cambio y REM'!$A$24:$B$35, 2, FALSE))
</f>
        <v/>
      </c>
      <c r="K1400" s="107"/>
      <c r="L1400" s="293"/>
      <c r="M1400" s="293"/>
      <c r="N1400" s="293"/>
      <c r="O1400" s="277"/>
      <c r="P1400" s="264"/>
      <c r="Q1400" s="264"/>
      <c r="R1400" s="264"/>
      <c r="S1400" s="264"/>
      <c r="T1400" s="264"/>
      <c r="U1400" s="264"/>
      <c r="V1400" s="264"/>
      <c r="W1400" s="264"/>
      <c r="X1400" s="264"/>
      <c r="Y1400" s="264"/>
      <c r="Z1400" s="264"/>
      <c r="AA1400" s="264"/>
      <c r="AB1400" s="264"/>
      <c r="AC1400" s="264"/>
      <c r="AD1400" s="264"/>
      <c r="AE1400" s="264"/>
    </row>
    <row r="1401">
      <c r="A1401" s="272"/>
      <c r="B1401" s="272"/>
      <c r="C1401" s="272"/>
      <c r="D1401" s="172"/>
      <c r="E1401" s="267" t="str">
        <f t="shared" si="22"/>
        <v/>
      </c>
      <c r="F1401" s="274"/>
      <c r="G1401" s="42"/>
      <c r="H1401" s="264"/>
      <c r="I1401" s="277"/>
      <c r="J1401" s="276" t="str">
        <f>IF(ISBLANK(I1401), "", VLOOKUP(E1401&amp;" "&amp;F1401, 'Info Tipo de Cambio y REM'!$A$24:$B$35, 2, FALSE))
</f>
        <v/>
      </c>
      <c r="K1401" s="107"/>
      <c r="L1401" s="293"/>
      <c r="M1401" s="293"/>
      <c r="N1401" s="293"/>
      <c r="O1401" s="277"/>
      <c r="P1401" s="264"/>
      <c r="Q1401" s="264"/>
      <c r="R1401" s="264"/>
      <c r="S1401" s="264"/>
      <c r="T1401" s="264"/>
      <c r="U1401" s="264"/>
      <c r="V1401" s="264"/>
      <c r="W1401" s="264"/>
      <c r="X1401" s="264"/>
      <c r="Y1401" s="264"/>
      <c r="Z1401" s="264"/>
      <c r="AA1401" s="264"/>
      <c r="AB1401" s="264"/>
      <c r="AC1401" s="264"/>
      <c r="AD1401" s="264"/>
      <c r="AE1401" s="264"/>
    </row>
    <row r="1402">
      <c r="A1402" s="272"/>
      <c r="B1402" s="272"/>
      <c r="C1402" s="272"/>
      <c r="D1402" s="172"/>
      <c r="E1402" s="267" t="str">
        <f t="shared" si="22"/>
        <v/>
      </c>
      <c r="F1402" s="274"/>
      <c r="G1402" s="42"/>
      <c r="H1402" s="264"/>
      <c r="I1402" s="277"/>
      <c r="J1402" s="276" t="str">
        <f>IF(ISBLANK(I1402), "", VLOOKUP(E1402&amp;" "&amp;F1402, 'Info Tipo de Cambio y REM'!$A$24:$B$35, 2, FALSE))
</f>
        <v/>
      </c>
      <c r="K1402" s="107"/>
      <c r="L1402" s="293"/>
      <c r="M1402" s="293"/>
      <c r="N1402" s="293"/>
      <c r="O1402" s="277"/>
      <c r="P1402" s="264"/>
      <c r="Q1402" s="264"/>
      <c r="R1402" s="264"/>
      <c r="S1402" s="264"/>
      <c r="T1402" s="264"/>
      <c r="U1402" s="264"/>
      <c r="V1402" s="264"/>
      <c r="W1402" s="264"/>
      <c r="X1402" s="264"/>
      <c r="Y1402" s="264"/>
      <c r="Z1402" s="264"/>
      <c r="AA1402" s="264"/>
      <c r="AB1402" s="264"/>
      <c r="AC1402" s="264"/>
      <c r="AD1402" s="264"/>
      <c r="AE1402" s="264"/>
    </row>
    <row r="1403">
      <c r="A1403" s="272"/>
      <c r="B1403" s="272"/>
      <c r="C1403" s="272"/>
      <c r="D1403" s="172"/>
      <c r="E1403" s="267" t="str">
        <f t="shared" si="22"/>
        <v/>
      </c>
      <c r="F1403" s="274"/>
      <c r="G1403" s="42"/>
      <c r="H1403" s="264"/>
      <c r="I1403" s="277"/>
      <c r="J1403" s="276" t="str">
        <f>IF(ISBLANK(I1403), "", VLOOKUP(E1403&amp;" "&amp;F1403, 'Info Tipo de Cambio y REM'!$A$24:$B$35, 2, FALSE))
</f>
        <v/>
      </c>
      <c r="K1403" s="107"/>
      <c r="L1403" s="293"/>
      <c r="M1403" s="293"/>
      <c r="N1403" s="293"/>
      <c r="O1403" s="277"/>
      <c r="P1403" s="264"/>
      <c r="Q1403" s="264"/>
      <c r="R1403" s="264"/>
      <c r="S1403" s="264"/>
      <c r="T1403" s="264"/>
      <c r="U1403" s="264"/>
      <c r="V1403" s="264"/>
      <c r="W1403" s="264"/>
      <c r="X1403" s="264"/>
      <c r="Y1403" s="264"/>
      <c r="Z1403" s="264"/>
      <c r="AA1403" s="264"/>
      <c r="AB1403" s="264"/>
      <c r="AC1403" s="264"/>
      <c r="AD1403" s="264"/>
      <c r="AE1403" s="264"/>
    </row>
    <row r="1404">
      <c r="A1404" s="272"/>
      <c r="B1404" s="272"/>
      <c r="C1404" s="272"/>
      <c r="D1404" s="172"/>
      <c r="E1404" s="267" t="str">
        <f t="shared" si="22"/>
        <v/>
      </c>
      <c r="F1404" s="274"/>
      <c r="G1404" s="42"/>
      <c r="H1404" s="264"/>
      <c r="I1404" s="277"/>
      <c r="J1404" s="276" t="str">
        <f>IF(ISBLANK(I1404), "", VLOOKUP(E1404&amp;" "&amp;F1404, 'Info Tipo de Cambio y REM'!$A$24:$B$35, 2, FALSE))
</f>
        <v/>
      </c>
      <c r="K1404" s="107"/>
      <c r="L1404" s="293"/>
      <c r="M1404" s="293"/>
      <c r="N1404" s="293"/>
      <c r="O1404" s="277"/>
      <c r="P1404" s="264"/>
      <c r="Q1404" s="264"/>
      <c r="R1404" s="264"/>
      <c r="S1404" s="264"/>
      <c r="T1404" s="264"/>
      <c r="U1404" s="264"/>
      <c r="V1404" s="264"/>
      <c r="W1404" s="264"/>
      <c r="X1404" s="264"/>
      <c r="Y1404" s="264"/>
      <c r="Z1404" s="264"/>
      <c r="AA1404" s="264"/>
      <c r="AB1404" s="264"/>
      <c r="AC1404" s="264"/>
      <c r="AD1404" s="264"/>
      <c r="AE1404" s="264"/>
    </row>
    <row r="1405">
      <c r="A1405" s="272"/>
      <c r="B1405" s="272"/>
      <c r="C1405" s="272"/>
      <c r="D1405" s="172"/>
      <c r="E1405" s="267" t="str">
        <f t="shared" si="22"/>
        <v/>
      </c>
      <c r="F1405" s="274"/>
      <c r="G1405" s="42"/>
      <c r="H1405" s="264"/>
      <c r="I1405" s="277"/>
      <c r="J1405" s="276" t="str">
        <f>IF(ISBLANK(I1405), "", VLOOKUP(E1405&amp;" "&amp;F1405, 'Info Tipo de Cambio y REM'!$A$24:$B$35, 2, FALSE))
</f>
        <v/>
      </c>
      <c r="K1405" s="107"/>
      <c r="L1405" s="293"/>
      <c r="M1405" s="293"/>
      <c r="N1405" s="293"/>
      <c r="O1405" s="277"/>
      <c r="P1405" s="264"/>
      <c r="Q1405" s="264"/>
      <c r="R1405" s="264"/>
      <c r="S1405" s="264"/>
      <c r="T1405" s="264"/>
      <c r="U1405" s="264"/>
      <c r="V1405" s="264"/>
      <c r="W1405" s="264"/>
      <c r="X1405" s="264"/>
      <c r="Y1405" s="264"/>
      <c r="Z1405" s="264"/>
      <c r="AA1405" s="264"/>
      <c r="AB1405" s="264"/>
      <c r="AC1405" s="264"/>
      <c r="AD1405" s="264"/>
      <c r="AE1405" s="264"/>
    </row>
    <row r="1406">
      <c r="A1406" s="272"/>
      <c r="B1406" s="272"/>
      <c r="C1406" s="272"/>
      <c r="D1406" s="172"/>
      <c r="E1406" s="267" t="str">
        <f t="shared" si="22"/>
        <v/>
      </c>
      <c r="F1406" s="274"/>
      <c r="G1406" s="42"/>
      <c r="H1406" s="264"/>
      <c r="I1406" s="277"/>
      <c r="J1406" s="276" t="str">
        <f>IF(ISBLANK(I1406), "", VLOOKUP(E1406&amp;" "&amp;F1406, 'Info Tipo de Cambio y REM'!$A$24:$B$35, 2, FALSE))
</f>
        <v/>
      </c>
      <c r="K1406" s="107"/>
      <c r="L1406" s="293"/>
      <c r="M1406" s="293"/>
      <c r="N1406" s="293"/>
      <c r="O1406" s="277"/>
      <c r="P1406" s="264"/>
      <c r="Q1406" s="264"/>
      <c r="R1406" s="264"/>
      <c r="S1406" s="264"/>
      <c r="T1406" s="264"/>
      <c r="U1406" s="264"/>
      <c r="V1406" s="264"/>
      <c r="W1406" s="264"/>
      <c r="X1406" s="264"/>
      <c r="Y1406" s="264"/>
      <c r="Z1406" s="264"/>
      <c r="AA1406" s="264"/>
      <c r="AB1406" s="264"/>
      <c r="AC1406" s="264"/>
      <c r="AD1406" s="264"/>
      <c r="AE1406" s="264"/>
    </row>
    <row r="1407">
      <c r="A1407" s="272"/>
      <c r="B1407" s="272"/>
      <c r="C1407" s="272"/>
      <c r="D1407" s="172"/>
      <c r="E1407" s="267" t="str">
        <f t="shared" si="22"/>
        <v/>
      </c>
      <c r="F1407" s="274"/>
      <c r="G1407" s="42"/>
      <c r="H1407" s="264"/>
      <c r="I1407" s="277"/>
      <c r="J1407" s="276" t="str">
        <f>IF(ISBLANK(I1407), "", VLOOKUP(E1407&amp;" "&amp;F1407, 'Info Tipo de Cambio y REM'!$A$24:$B$35, 2, FALSE))
</f>
        <v/>
      </c>
      <c r="K1407" s="107"/>
      <c r="L1407" s="293"/>
      <c r="M1407" s="293"/>
      <c r="N1407" s="293"/>
      <c r="O1407" s="277"/>
      <c r="P1407" s="264"/>
      <c r="Q1407" s="264"/>
      <c r="R1407" s="264"/>
      <c r="S1407" s="264"/>
      <c r="T1407" s="264"/>
      <c r="U1407" s="264"/>
      <c r="V1407" s="264"/>
      <c r="W1407" s="264"/>
      <c r="X1407" s="264"/>
      <c r="Y1407" s="264"/>
      <c r="Z1407" s="264"/>
      <c r="AA1407" s="264"/>
      <c r="AB1407" s="264"/>
      <c r="AC1407" s="264"/>
      <c r="AD1407" s="264"/>
      <c r="AE1407" s="264"/>
    </row>
    <row r="1408">
      <c r="A1408" s="272"/>
      <c r="B1408" s="272"/>
      <c r="C1408" s="272"/>
      <c r="D1408" s="172"/>
      <c r="E1408" s="267" t="str">
        <f t="shared" si="22"/>
        <v/>
      </c>
      <c r="F1408" s="274"/>
      <c r="G1408" s="42"/>
      <c r="H1408" s="264"/>
      <c r="I1408" s="277"/>
      <c r="J1408" s="276" t="str">
        <f>IF(ISBLANK(I1408), "", VLOOKUP(E1408&amp;" "&amp;F1408, 'Info Tipo de Cambio y REM'!$A$24:$B$35, 2, FALSE))
</f>
        <v/>
      </c>
      <c r="K1408" s="107"/>
      <c r="L1408" s="293"/>
      <c r="M1408" s="293"/>
      <c r="N1408" s="293"/>
      <c r="O1408" s="277"/>
      <c r="P1408" s="264"/>
      <c r="Q1408" s="264"/>
      <c r="R1408" s="264"/>
      <c r="S1408" s="264"/>
      <c r="T1408" s="264"/>
      <c r="U1408" s="264"/>
      <c r="V1408" s="264"/>
      <c r="W1408" s="264"/>
      <c r="X1408" s="264"/>
      <c r="Y1408" s="264"/>
      <c r="Z1408" s="264"/>
      <c r="AA1408" s="264"/>
      <c r="AB1408" s="264"/>
      <c r="AC1408" s="264"/>
      <c r="AD1408" s="264"/>
      <c r="AE1408" s="264"/>
    </row>
    <row r="1409">
      <c r="A1409" s="272"/>
      <c r="B1409" s="272"/>
      <c r="C1409" s="272"/>
      <c r="D1409" s="172"/>
      <c r="E1409" s="267" t="str">
        <f t="shared" si="22"/>
        <v/>
      </c>
      <c r="F1409" s="274"/>
      <c r="G1409" s="42"/>
      <c r="H1409" s="264"/>
      <c r="I1409" s="277"/>
      <c r="J1409" s="276" t="str">
        <f>IF(ISBLANK(I1409), "", VLOOKUP(E1409&amp;" "&amp;F1409, 'Info Tipo de Cambio y REM'!$A$24:$B$35, 2, FALSE))
</f>
        <v/>
      </c>
      <c r="K1409" s="107"/>
      <c r="L1409" s="293"/>
      <c r="M1409" s="293"/>
      <c r="N1409" s="293"/>
      <c r="O1409" s="277"/>
      <c r="P1409" s="264"/>
      <c r="Q1409" s="264"/>
      <c r="R1409" s="264"/>
      <c r="S1409" s="264"/>
      <c r="T1409" s="264"/>
      <c r="U1409" s="264"/>
      <c r="V1409" s="264"/>
      <c r="W1409" s="264"/>
      <c r="X1409" s="264"/>
      <c r="Y1409" s="264"/>
      <c r="Z1409" s="264"/>
      <c r="AA1409" s="264"/>
      <c r="AB1409" s="264"/>
      <c r="AC1409" s="264"/>
      <c r="AD1409" s="264"/>
      <c r="AE1409" s="264"/>
    </row>
    <row r="1410">
      <c r="A1410" s="272"/>
      <c r="B1410" s="272"/>
      <c r="C1410" s="272"/>
      <c r="D1410" s="172"/>
      <c r="E1410" s="267" t="str">
        <f t="shared" si="22"/>
        <v/>
      </c>
      <c r="F1410" s="274"/>
      <c r="G1410" s="42"/>
      <c r="H1410" s="264"/>
      <c r="I1410" s="277"/>
      <c r="J1410" s="276" t="str">
        <f>IF(ISBLANK(I1410), "", VLOOKUP(E1410&amp;" "&amp;F1410, 'Info Tipo de Cambio y REM'!$A$24:$B$35, 2, FALSE))
</f>
        <v/>
      </c>
      <c r="K1410" s="107"/>
      <c r="L1410" s="293"/>
      <c r="M1410" s="293"/>
      <c r="N1410" s="293"/>
      <c r="O1410" s="277"/>
      <c r="P1410" s="264"/>
      <c r="Q1410" s="264"/>
      <c r="R1410" s="264"/>
      <c r="S1410" s="264"/>
      <c r="T1410" s="264"/>
      <c r="U1410" s="264"/>
      <c r="V1410" s="264"/>
      <c r="W1410" s="264"/>
      <c r="X1410" s="264"/>
      <c r="Y1410" s="264"/>
      <c r="Z1410" s="264"/>
      <c r="AA1410" s="264"/>
      <c r="AB1410" s="264"/>
      <c r="AC1410" s="264"/>
      <c r="AD1410" s="264"/>
      <c r="AE1410" s="264"/>
    </row>
    <row r="1411">
      <c r="A1411" s="272"/>
      <c r="B1411" s="272"/>
      <c r="C1411" s="272"/>
      <c r="D1411" s="172"/>
      <c r="E1411" s="267" t="str">
        <f t="shared" si="22"/>
        <v/>
      </c>
      <c r="F1411" s="274"/>
      <c r="G1411" s="42"/>
      <c r="H1411" s="264"/>
      <c r="I1411" s="277"/>
      <c r="J1411" s="276" t="str">
        <f>IF(ISBLANK(I1411), "", VLOOKUP(E1411&amp;" "&amp;F1411, 'Info Tipo de Cambio y REM'!$A$24:$B$35, 2, FALSE))
</f>
        <v/>
      </c>
      <c r="K1411" s="107"/>
      <c r="L1411" s="293"/>
      <c r="M1411" s="293"/>
      <c r="N1411" s="293"/>
      <c r="O1411" s="277"/>
      <c r="P1411" s="264"/>
      <c r="Q1411" s="264"/>
      <c r="R1411" s="264"/>
      <c r="S1411" s="264"/>
      <c r="T1411" s="264"/>
      <c r="U1411" s="264"/>
      <c r="V1411" s="264"/>
      <c r="W1411" s="264"/>
      <c r="X1411" s="264"/>
      <c r="Y1411" s="264"/>
      <c r="Z1411" s="264"/>
      <c r="AA1411" s="264"/>
      <c r="AB1411" s="264"/>
      <c r="AC1411" s="264"/>
      <c r="AD1411" s="264"/>
      <c r="AE1411" s="264"/>
    </row>
    <row r="1412">
      <c r="A1412" s="272"/>
      <c r="B1412" s="272"/>
      <c r="C1412" s="272"/>
      <c r="D1412" s="172"/>
      <c r="E1412" s="267" t="str">
        <f t="shared" si="22"/>
        <v/>
      </c>
      <c r="F1412" s="274"/>
      <c r="G1412" s="42"/>
      <c r="H1412" s="264"/>
      <c r="I1412" s="277"/>
      <c r="J1412" s="276" t="str">
        <f>IF(ISBLANK(I1412), "", VLOOKUP(E1412&amp;" "&amp;F1412, 'Info Tipo de Cambio y REM'!$A$24:$B$35, 2, FALSE))
</f>
        <v/>
      </c>
      <c r="K1412" s="107"/>
      <c r="L1412" s="293"/>
      <c r="M1412" s="293"/>
      <c r="N1412" s="293"/>
      <c r="O1412" s="277"/>
      <c r="P1412" s="264"/>
      <c r="Q1412" s="264"/>
      <c r="R1412" s="264"/>
      <c r="S1412" s="264"/>
      <c r="T1412" s="264"/>
      <c r="U1412" s="264"/>
      <c r="V1412" s="264"/>
      <c r="W1412" s="264"/>
      <c r="X1412" s="264"/>
      <c r="Y1412" s="264"/>
      <c r="Z1412" s="264"/>
      <c r="AA1412" s="264"/>
      <c r="AB1412" s="264"/>
      <c r="AC1412" s="264"/>
      <c r="AD1412" s="264"/>
      <c r="AE1412" s="264"/>
    </row>
    <row r="1413">
      <c r="A1413" s="272"/>
      <c r="B1413" s="272"/>
      <c r="C1413" s="272"/>
      <c r="D1413" s="172"/>
      <c r="E1413" s="267" t="str">
        <f t="shared" si="22"/>
        <v/>
      </c>
      <c r="F1413" s="274"/>
      <c r="G1413" s="42"/>
      <c r="H1413" s="264"/>
      <c r="I1413" s="277"/>
      <c r="J1413" s="276" t="str">
        <f>IF(ISBLANK(I1413), "", VLOOKUP(E1413&amp;" "&amp;F1413, 'Info Tipo de Cambio y REM'!$A$24:$B$35, 2, FALSE))
</f>
        <v/>
      </c>
      <c r="K1413" s="107"/>
      <c r="L1413" s="293"/>
      <c r="M1413" s="293"/>
      <c r="N1413" s="293"/>
      <c r="O1413" s="277"/>
      <c r="P1413" s="264"/>
      <c r="Q1413" s="264"/>
      <c r="R1413" s="264"/>
      <c r="S1413" s="264"/>
      <c r="T1413" s="264"/>
      <c r="U1413" s="264"/>
      <c r="V1413" s="264"/>
      <c r="W1413" s="264"/>
      <c r="X1413" s="264"/>
      <c r="Y1413" s="264"/>
      <c r="Z1413" s="264"/>
      <c r="AA1413" s="264"/>
      <c r="AB1413" s="264"/>
      <c r="AC1413" s="264"/>
      <c r="AD1413" s="264"/>
      <c r="AE1413" s="264"/>
    </row>
    <row r="1414">
      <c r="A1414" s="272"/>
      <c r="B1414" s="272"/>
      <c r="C1414" s="272"/>
      <c r="D1414" s="172"/>
      <c r="E1414" s="267" t="str">
        <f t="shared" si="22"/>
        <v/>
      </c>
      <c r="F1414" s="274"/>
      <c r="G1414" s="42"/>
      <c r="H1414" s="264"/>
      <c r="I1414" s="277"/>
      <c r="J1414" s="276" t="str">
        <f>IF(ISBLANK(I1414), "", VLOOKUP(E1414&amp;" "&amp;F1414, 'Info Tipo de Cambio y REM'!$A$24:$B$35, 2, FALSE))
</f>
        <v/>
      </c>
      <c r="K1414" s="107"/>
      <c r="L1414" s="293"/>
      <c r="M1414" s="293"/>
      <c r="N1414" s="293"/>
      <c r="O1414" s="277"/>
      <c r="P1414" s="264"/>
      <c r="Q1414" s="264"/>
      <c r="R1414" s="264"/>
      <c r="S1414" s="264"/>
      <c r="T1414" s="264"/>
      <c r="U1414" s="264"/>
      <c r="V1414" s="264"/>
      <c r="W1414" s="264"/>
      <c r="X1414" s="264"/>
      <c r="Y1414" s="264"/>
      <c r="Z1414" s="264"/>
      <c r="AA1414" s="264"/>
      <c r="AB1414" s="264"/>
      <c r="AC1414" s="264"/>
      <c r="AD1414" s="264"/>
      <c r="AE1414" s="264"/>
    </row>
    <row r="1415">
      <c r="A1415" s="272"/>
      <c r="B1415" s="272"/>
      <c r="C1415" s="272"/>
      <c r="D1415" s="172"/>
      <c r="E1415" s="267" t="str">
        <f t="shared" si="22"/>
        <v/>
      </c>
      <c r="F1415" s="274"/>
      <c r="G1415" s="42"/>
      <c r="H1415" s="264"/>
      <c r="I1415" s="277"/>
      <c r="J1415" s="276" t="str">
        <f>IF(ISBLANK(I1415), "", VLOOKUP(E1415&amp;" "&amp;F1415, 'Info Tipo de Cambio y REM'!$A$24:$B$35, 2, FALSE))
</f>
        <v/>
      </c>
      <c r="K1415" s="107"/>
      <c r="L1415" s="293"/>
      <c r="M1415" s="293"/>
      <c r="N1415" s="293"/>
      <c r="O1415" s="277"/>
      <c r="P1415" s="264"/>
      <c r="Q1415" s="264"/>
      <c r="R1415" s="264"/>
      <c r="S1415" s="264"/>
      <c r="T1415" s="264"/>
      <c r="U1415" s="264"/>
      <c r="V1415" s="264"/>
      <c r="W1415" s="264"/>
      <c r="X1415" s="264"/>
      <c r="Y1415" s="264"/>
      <c r="Z1415" s="264"/>
      <c r="AA1415" s="264"/>
      <c r="AB1415" s="264"/>
      <c r="AC1415" s="264"/>
      <c r="AD1415" s="264"/>
      <c r="AE1415" s="264"/>
    </row>
    <row r="1416">
      <c r="A1416" s="272"/>
      <c r="B1416" s="272"/>
      <c r="C1416" s="272"/>
      <c r="D1416" s="172"/>
      <c r="E1416" s="267" t="str">
        <f t="shared" si="22"/>
        <v/>
      </c>
      <c r="F1416" s="274"/>
      <c r="G1416" s="42"/>
      <c r="H1416" s="264"/>
      <c r="I1416" s="277"/>
      <c r="J1416" s="276" t="str">
        <f>IF(ISBLANK(I1416), "", VLOOKUP(E1416&amp;" "&amp;F1416, 'Info Tipo de Cambio y REM'!$A$24:$B$35, 2, FALSE))
</f>
        <v/>
      </c>
      <c r="K1416" s="107"/>
      <c r="L1416" s="293"/>
      <c r="M1416" s="293"/>
      <c r="N1416" s="293"/>
      <c r="O1416" s="277"/>
      <c r="P1416" s="264"/>
      <c r="Q1416" s="264"/>
      <c r="R1416" s="264"/>
      <c r="S1416" s="264"/>
      <c r="T1416" s="264"/>
      <c r="U1416" s="264"/>
      <c r="V1416" s="264"/>
      <c r="W1416" s="264"/>
      <c r="X1416" s="264"/>
      <c r="Y1416" s="264"/>
      <c r="Z1416" s="264"/>
      <c r="AA1416" s="264"/>
      <c r="AB1416" s="264"/>
      <c r="AC1416" s="264"/>
      <c r="AD1416" s="264"/>
      <c r="AE1416" s="264"/>
    </row>
    <row r="1417">
      <c r="A1417" s="272"/>
      <c r="B1417" s="272"/>
      <c r="C1417" s="272"/>
      <c r="D1417" s="172"/>
      <c r="E1417" s="267" t="str">
        <f t="shared" si="22"/>
        <v/>
      </c>
      <c r="F1417" s="274"/>
      <c r="G1417" s="42"/>
      <c r="H1417" s="264"/>
      <c r="I1417" s="277"/>
      <c r="J1417" s="276" t="str">
        <f>IF(ISBLANK(I1417), "", VLOOKUP(E1417&amp;" "&amp;F1417, 'Info Tipo de Cambio y REM'!$A$24:$B$35, 2, FALSE))
</f>
        <v/>
      </c>
      <c r="K1417" s="107"/>
      <c r="L1417" s="293"/>
      <c r="M1417" s="293"/>
      <c r="N1417" s="293"/>
      <c r="O1417" s="277"/>
      <c r="P1417" s="264"/>
      <c r="Q1417" s="264"/>
      <c r="R1417" s="264"/>
      <c r="S1417" s="264"/>
      <c r="T1417" s="264"/>
      <c r="U1417" s="264"/>
      <c r="V1417" s="264"/>
      <c r="W1417" s="264"/>
      <c r="X1417" s="264"/>
      <c r="Y1417" s="264"/>
      <c r="Z1417" s="264"/>
      <c r="AA1417" s="264"/>
      <c r="AB1417" s="264"/>
      <c r="AC1417" s="264"/>
      <c r="AD1417" s="264"/>
      <c r="AE1417" s="264"/>
    </row>
    <row r="1418">
      <c r="A1418" s="272"/>
      <c r="B1418" s="272"/>
      <c r="C1418" s="272"/>
      <c r="D1418" s="172"/>
      <c r="E1418" s="267" t="str">
        <f t="shared" si="22"/>
        <v/>
      </c>
      <c r="F1418" s="274"/>
      <c r="G1418" s="42"/>
      <c r="H1418" s="264"/>
      <c r="I1418" s="277"/>
      <c r="J1418" s="276" t="str">
        <f>IF(ISBLANK(I1418), "", VLOOKUP(E1418&amp;" "&amp;F1418, 'Info Tipo de Cambio y REM'!$A$24:$B$35, 2, FALSE))
</f>
        <v/>
      </c>
      <c r="K1418" s="107"/>
      <c r="L1418" s="293"/>
      <c r="M1418" s="293"/>
      <c r="N1418" s="293"/>
      <c r="O1418" s="277"/>
      <c r="P1418" s="264"/>
      <c r="Q1418" s="264"/>
      <c r="R1418" s="264"/>
      <c r="S1418" s="264"/>
      <c r="T1418" s="264"/>
      <c r="U1418" s="264"/>
      <c r="V1418" s="264"/>
      <c r="W1418" s="264"/>
      <c r="X1418" s="264"/>
      <c r="Y1418" s="264"/>
      <c r="Z1418" s="264"/>
      <c r="AA1418" s="264"/>
      <c r="AB1418" s="264"/>
      <c r="AC1418" s="264"/>
      <c r="AD1418" s="264"/>
      <c r="AE1418" s="264"/>
    </row>
    <row r="1419">
      <c r="A1419" s="272"/>
      <c r="B1419" s="272"/>
      <c r="C1419" s="272"/>
      <c r="D1419" s="172"/>
      <c r="E1419" s="267" t="str">
        <f t="shared" si="22"/>
        <v/>
      </c>
      <c r="F1419" s="274"/>
      <c r="G1419" s="42"/>
      <c r="H1419" s="264"/>
      <c r="I1419" s="277"/>
      <c r="J1419" s="276" t="str">
        <f>IF(ISBLANK(I1419), "", VLOOKUP(E1419&amp;" "&amp;F1419, 'Info Tipo de Cambio y REM'!$A$24:$B$35, 2, FALSE))
</f>
        <v/>
      </c>
      <c r="K1419" s="107"/>
      <c r="L1419" s="293"/>
      <c r="M1419" s="293"/>
      <c r="N1419" s="293"/>
      <c r="O1419" s="277"/>
      <c r="P1419" s="264"/>
      <c r="Q1419" s="264"/>
      <c r="R1419" s="264"/>
      <c r="S1419" s="264"/>
      <c r="T1419" s="264"/>
      <c r="U1419" s="264"/>
      <c r="V1419" s="264"/>
      <c r="W1419" s="264"/>
      <c r="X1419" s="264"/>
      <c r="Y1419" s="264"/>
      <c r="Z1419" s="264"/>
      <c r="AA1419" s="264"/>
      <c r="AB1419" s="264"/>
      <c r="AC1419" s="264"/>
      <c r="AD1419" s="264"/>
      <c r="AE1419" s="264"/>
    </row>
    <row r="1420">
      <c r="A1420" s="272"/>
      <c r="B1420" s="272"/>
      <c r="C1420" s="272"/>
      <c r="D1420" s="172"/>
      <c r="E1420" s="267" t="str">
        <f t="shared" si="22"/>
        <v/>
      </c>
      <c r="F1420" s="274"/>
      <c r="G1420" s="42"/>
      <c r="H1420" s="264"/>
      <c r="I1420" s="277"/>
      <c r="J1420" s="276" t="str">
        <f>IF(ISBLANK(I1420), "", VLOOKUP(E1420&amp;" "&amp;F1420, 'Info Tipo de Cambio y REM'!$A$24:$B$35, 2, FALSE))
</f>
        <v/>
      </c>
      <c r="K1420" s="107"/>
      <c r="L1420" s="293"/>
      <c r="M1420" s="293"/>
      <c r="N1420" s="293"/>
      <c r="O1420" s="277"/>
      <c r="P1420" s="264"/>
      <c r="Q1420" s="264"/>
      <c r="R1420" s="264"/>
      <c r="S1420" s="264"/>
      <c r="T1420" s="264"/>
      <c r="U1420" s="264"/>
      <c r="V1420" s="264"/>
      <c r="W1420" s="264"/>
      <c r="X1420" s="264"/>
      <c r="Y1420" s="264"/>
      <c r="Z1420" s="264"/>
      <c r="AA1420" s="264"/>
      <c r="AB1420" s="264"/>
      <c r="AC1420" s="264"/>
      <c r="AD1420" s="264"/>
      <c r="AE1420" s="264"/>
    </row>
    <row r="1421">
      <c r="A1421" s="272"/>
      <c r="B1421" s="272"/>
      <c r="C1421" s="272"/>
      <c r="D1421" s="172"/>
      <c r="E1421" s="267" t="str">
        <f t="shared" si="22"/>
        <v/>
      </c>
      <c r="F1421" s="274"/>
      <c r="G1421" s="42"/>
      <c r="H1421" s="264"/>
      <c r="I1421" s="277"/>
      <c r="J1421" s="276" t="str">
        <f>IF(ISBLANK(I1421), "", VLOOKUP(E1421&amp;" "&amp;F1421, 'Info Tipo de Cambio y REM'!$A$24:$B$35, 2, FALSE))
</f>
        <v/>
      </c>
      <c r="K1421" s="107"/>
      <c r="L1421" s="293"/>
      <c r="M1421" s="293"/>
      <c r="N1421" s="293"/>
      <c r="O1421" s="277"/>
      <c r="P1421" s="264"/>
      <c r="Q1421" s="264"/>
      <c r="R1421" s="264"/>
      <c r="S1421" s="264"/>
      <c r="T1421" s="264"/>
      <c r="U1421" s="264"/>
      <c r="V1421" s="264"/>
      <c r="W1421" s="264"/>
      <c r="X1421" s="264"/>
      <c r="Y1421" s="264"/>
      <c r="Z1421" s="264"/>
      <c r="AA1421" s="264"/>
      <c r="AB1421" s="264"/>
      <c r="AC1421" s="264"/>
      <c r="AD1421" s="264"/>
      <c r="AE1421" s="264"/>
    </row>
    <row r="1422">
      <c r="A1422" s="272"/>
      <c r="B1422" s="272"/>
      <c r="C1422" s="272"/>
      <c r="D1422" s="172"/>
      <c r="E1422" s="267" t="str">
        <f t="shared" si="22"/>
        <v/>
      </c>
      <c r="F1422" s="274"/>
      <c r="G1422" s="42"/>
      <c r="H1422" s="264"/>
      <c r="I1422" s="277"/>
      <c r="J1422" s="276" t="str">
        <f>IF(ISBLANK(I1422), "", VLOOKUP(E1422&amp;" "&amp;F1422, 'Info Tipo de Cambio y REM'!$A$24:$B$35, 2, FALSE))
</f>
        <v/>
      </c>
      <c r="K1422" s="107"/>
      <c r="L1422" s="293"/>
      <c r="M1422" s="293"/>
      <c r="N1422" s="293"/>
      <c r="O1422" s="277"/>
      <c r="P1422" s="264"/>
      <c r="Q1422" s="264"/>
      <c r="R1422" s="264"/>
      <c r="S1422" s="264"/>
      <c r="T1422" s="264"/>
      <c r="U1422" s="264"/>
      <c r="V1422" s="264"/>
      <c r="W1422" s="264"/>
      <c r="X1422" s="264"/>
      <c r="Y1422" s="264"/>
      <c r="Z1422" s="264"/>
      <c r="AA1422" s="264"/>
      <c r="AB1422" s="264"/>
      <c r="AC1422" s="264"/>
      <c r="AD1422" s="264"/>
      <c r="AE1422" s="264"/>
    </row>
    <row r="1423">
      <c r="A1423" s="272"/>
      <c r="B1423" s="272"/>
      <c r="C1423" s="272"/>
      <c r="D1423" s="172"/>
      <c r="E1423" s="267" t="str">
        <f t="shared" si="22"/>
        <v/>
      </c>
      <c r="F1423" s="274"/>
      <c r="G1423" s="42"/>
      <c r="H1423" s="264"/>
      <c r="I1423" s="277"/>
      <c r="J1423" s="276" t="str">
        <f>IF(ISBLANK(I1423), "", VLOOKUP(E1423&amp;" "&amp;F1423, 'Info Tipo de Cambio y REM'!$A$24:$B$35, 2, FALSE))
</f>
        <v/>
      </c>
      <c r="K1423" s="107"/>
      <c r="L1423" s="293"/>
      <c r="M1423" s="293"/>
      <c r="N1423" s="293"/>
      <c r="O1423" s="277"/>
      <c r="P1423" s="264"/>
      <c r="Q1423" s="264"/>
      <c r="R1423" s="264"/>
      <c r="S1423" s="264"/>
      <c r="T1423" s="264"/>
      <c r="U1423" s="264"/>
      <c r="V1423" s="264"/>
      <c r="W1423" s="264"/>
      <c r="X1423" s="264"/>
      <c r="Y1423" s="264"/>
      <c r="Z1423" s="264"/>
      <c r="AA1423" s="264"/>
      <c r="AB1423" s="264"/>
      <c r="AC1423" s="264"/>
      <c r="AD1423" s="264"/>
      <c r="AE1423" s="264"/>
    </row>
    <row r="1424">
      <c r="A1424" s="272"/>
      <c r="B1424" s="272"/>
      <c r="C1424" s="272"/>
      <c r="D1424" s="172"/>
      <c r="E1424" s="267" t="str">
        <f t="shared" si="22"/>
        <v/>
      </c>
      <c r="F1424" s="274"/>
      <c r="G1424" s="42"/>
      <c r="H1424" s="264"/>
      <c r="I1424" s="277"/>
      <c r="J1424" s="276" t="str">
        <f>IF(ISBLANK(I1424), "", VLOOKUP(E1424&amp;" "&amp;F1424, 'Info Tipo de Cambio y REM'!$A$24:$B$35, 2, FALSE))
</f>
        <v/>
      </c>
      <c r="K1424" s="107"/>
      <c r="L1424" s="293"/>
      <c r="M1424" s="293"/>
      <c r="N1424" s="293"/>
      <c r="O1424" s="277"/>
      <c r="P1424" s="264"/>
      <c r="Q1424" s="264"/>
      <c r="R1424" s="264"/>
      <c r="S1424" s="264"/>
      <c r="T1424" s="264"/>
      <c r="U1424" s="264"/>
      <c r="V1424" s="264"/>
      <c r="W1424" s="264"/>
      <c r="X1424" s="264"/>
      <c r="Y1424" s="264"/>
      <c r="Z1424" s="264"/>
      <c r="AA1424" s="264"/>
      <c r="AB1424" s="264"/>
      <c r="AC1424" s="264"/>
      <c r="AD1424" s="264"/>
      <c r="AE1424" s="264"/>
    </row>
    <row r="1425">
      <c r="A1425" s="272"/>
      <c r="B1425" s="272"/>
      <c r="C1425" s="272"/>
      <c r="D1425" s="172"/>
      <c r="E1425" s="267" t="str">
        <f t="shared" si="22"/>
        <v/>
      </c>
      <c r="F1425" s="274"/>
      <c r="G1425" s="42"/>
      <c r="H1425" s="264"/>
      <c r="I1425" s="277"/>
      <c r="J1425" s="276" t="str">
        <f>IF(ISBLANK(I1425), "", VLOOKUP(E1425&amp;" "&amp;F1425, 'Info Tipo de Cambio y REM'!$A$24:$B$35, 2, FALSE))
</f>
        <v/>
      </c>
      <c r="K1425" s="107"/>
      <c r="L1425" s="293"/>
      <c r="M1425" s="293"/>
      <c r="N1425" s="293"/>
      <c r="O1425" s="277"/>
      <c r="P1425" s="264"/>
      <c r="Q1425" s="264"/>
      <c r="R1425" s="264"/>
      <c r="S1425" s="264"/>
      <c r="T1425" s="264"/>
      <c r="U1425" s="264"/>
      <c r="V1425" s="264"/>
      <c r="W1425" s="264"/>
      <c r="X1425" s="264"/>
      <c r="Y1425" s="264"/>
      <c r="Z1425" s="264"/>
      <c r="AA1425" s="264"/>
      <c r="AB1425" s="264"/>
      <c r="AC1425" s="264"/>
      <c r="AD1425" s="264"/>
      <c r="AE1425" s="264"/>
    </row>
    <row r="1426">
      <c r="A1426" s="272"/>
      <c r="B1426" s="272"/>
      <c r="C1426" s="272"/>
      <c r="D1426" s="172"/>
      <c r="E1426" s="267" t="str">
        <f t="shared" si="22"/>
        <v/>
      </c>
      <c r="F1426" s="274"/>
      <c r="G1426" s="42"/>
      <c r="H1426" s="264"/>
      <c r="I1426" s="277"/>
      <c r="J1426" s="276" t="str">
        <f>IF(ISBLANK(I1426), "", VLOOKUP(E1426&amp;" "&amp;F1426, 'Info Tipo de Cambio y REM'!$A$24:$B$35, 2, FALSE))
</f>
        <v/>
      </c>
      <c r="K1426" s="107"/>
      <c r="L1426" s="293"/>
      <c r="M1426" s="293"/>
      <c r="N1426" s="293"/>
      <c r="O1426" s="277"/>
      <c r="P1426" s="264"/>
      <c r="Q1426" s="264"/>
      <c r="R1426" s="264"/>
      <c r="S1426" s="264"/>
      <c r="T1426" s="264"/>
      <c r="U1426" s="264"/>
      <c r="V1426" s="264"/>
      <c r="W1426" s="264"/>
      <c r="X1426" s="264"/>
      <c r="Y1426" s="264"/>
      <c r="Z1426" s="264"/>
      <c r="AA1426" s="264"/>
      <c r="AB1426" s="264"/>
      <c r="AC1426" s="264"/>
      <c r="AD1426" s="264"/>
      <c r="AE1426" s="264"/>
    </row>
    <row r="1427">
      <c r="A1427" s="272"/>
      <c r="B1427" s="272"/>
      <c r="C1427" s="272"/>
      <c r="D1427" s="172"/>
      <c r="E1427" s="267" t="str">
        <f t="shared" si="22"/>
        <v/>
      </c>
      <c r="F1427" s="274"/>
      <c r="G1427" s="42"/>
      <c r="H1427" s="264"/>
      <c r="I1427" s="277"/>
      <c r="J1427" s="276" t="str">
        <f>IF(ISBLANK(I1427), "", VLOOKUP(E1427&amp;" "&amp;F1427, 'Info Tipo de Cambio y REM'!$A$24:$B$35, 2, FALSE))
</f>
        <v/>
      </c>
      <c r="K1427" s="107"/>
      <c r="L1427" s="293"/>
      <c r="M1427" s="293"/>
      <c r="N1427" s="293"/>
      <c r="O1427" s="277"/>
      <c r="P1427" s="264"/>
      <c r="Q1427" s="264"/>
      <c r="R1427" s="264"/>
      <c r="S1427" s="264"/>
      <c r="T1427" s="264"/>
      <c r="U1427" s="264"/>
      <c r="V1427" s="264"/>
      <c r="W1427" s="264"/>
      <c r="X1427" s="264"/>
      <c r="Y1427" s="264"/>
      <c r="Z1427" s="264"/>
      <c r="AA1427" s="264"/>
      <c r="AB1427" s="264"/>
      <c r="AC1427" s="264"/>
      <c r="AD1427" s="264"/>
      <c r="AE1427" s="264"/>
    </row>
    <row r="1428">
      <c r="A1428" s="272"/>
      <c r="B1428" s="272"/>
      <c r="C1428" s="272"/>
      <c r="D1428" s="172"/>
      <c r="E1428" s="267" t="str">
        <f t="shared" si="22"/>
        <v/>
      </c>
      <c r="F1428" s="274"/>
      <c r="G1428" s="42"/>
      <c r="H1428" s="264"/>
      <c r="I1428" s="277"/>
      <c r="J1428" s="276" t="str">
        <f>IF(ISBLANK(I1428), "", VLOOKUP(E1428&amp;" "&amp;F1428, 'Info Tipo de Cambio y REM'!$A$24:$B$35, 2, FALSE))
</f>
        <v/>
      </c>
      <c r="K1428" s="107"/>
      <c r="L1428" s="293"/>
      <c r="M1428" s="293"/>
      <c r="N1428" s="293"/>
      <c r="O1428" s="277"/>
      <c r="P1428" s="264"/>
      <c r="Q1428" s="264"/>
      <c r="R1428" s="264"/>
      <c r="S1428" s="264"/>
      <c r="T1428" s="264"/>
      <c r="U1428" s="264"/>
      <c r="V1428" s="264"/>
      <c r="W1428" s="264"/>
      <c r="X1428" s="264"/>
      <c r="Y1428" s="264"/>
      <c r="Z1428" s="264"/>
      <c r="AA1428" s="264"/>
      <c r="AB1428" s="264"/>
      <c r="AC1428" s="264"/>
      <c r="AD1428" s="264"/>
      <c r="AE1428" s="264"/>
    </row>
    <row r="1429">
      <c r="A1429" s="272"/>
      <c r="B1429" s="272"/>
      <c r="C1429" s="272"/>
      <c r="D1429" s="172"/>
      <c r="E1429" s="267" t="str">
        <f t="shared" si="22"/>
        <v/>
      </c>
      <c r="F1429" s="274"/>
      <c r="G1429" s="42"/>
      <c r="H1429" s="264"/>
      <c r="I1429" s="277"/>
      <c r="J1429" s="276" t="str">
        <f>IF(ISBLANK(I1429), "", VLOOKUP(E1429&amp;" "&amp;F1429, 'Info Tipo de Cambio y REM'!$A$24:$B$35, 2, FALSE))
</f>
        <v/>
      </c>
      <c r="K1429" s="107"/>
      <c r="L1429" s="293"/>
      <c r="M1429" s="293"/>
      <c r="N1429" s="293"/>
      <c r="O1429" s="277"/>
      <c r="P1429" s="264"/>
      <c r="Q1429" s="264"/>
      <c r="R1429" s="264"/>
      <c r="S1429" s="264"/>
      <c r="T1429" s="264"/>
      <c r="U1429" s="264"/>
      <c r="V1429" s="264"/>
      <c r="W1429" s="264"/>
      <c r="X1429" s="264"/>
      <c r="Y1429" s="264"/>
      <c r="Z1429" s="264"/>
      <c r="AA1429" s="264"/>
      <c r="AB1429" s="264"/>
      <c r="AC1429" s="264"/>
      <c r="AD1429" s="264"/>
      <c r="AE1429" s="264"/>
    </row>
    <row r="1430">
      <c r="A1430" s="272"/>
      <c r="B1430" s="272"/>
      <c r="C1430" s="272"/>
      <c r="D1430" s="172"/>
      <c r="E1430" s="267" t="str">
        <f t="shared" si="22"/>
        <v/>
      </c>
      <c r="F1430" s="274"/>
      <c r="G1430" s="42"/>
      <c r="H1430" s="264"/>
      <c r="I1430" s="277"/>
      <c r="J1430" s="276" t="str">
        <f>IF(ISBLANK(I1430), "", VLOOKUP(E1430&amp;" "&amp;F1430, 'Info Tipo de Cambio y REM'!$A$24:$B$35, 2, FALSE))
</f>
        <v/>
      </c>
      <c r="K1430" s="107"/>
      <c r="L1430" s="293"/>
      <c r="M1430" s="293"/>
      <c r="N1430" s="293"/>
      <c r="O1430" s="277"/>
      <c r="P1430" s="264"/>
      <c r="Q1430" s="264"/>
      <c r="R1430" s="264"/>
      <c r="S1430" s="264"/>
      <c r="T1430" s="264"/>
      <c r="U1430" s="264"/>
      <c r="V1430" s="264"/>
      <c r="W1430" s="264"/>
      <c r="X1430" s="264"/>
      <c r="Y1430" s="264"/>
      <c r="Z1430" s="264"/>
      <c r="AA1430" s="264"/>
      <c r="AB1430" s="264"/>
      <c r="AC1430" s="264"/>
      <c r="AD1430" s="264"/>
      <c r="AE1430" s="264"/>
    </row>
    <row r="1431">
      <c r="A1431" s="272"/>
      <c r="B1431" s="272"/>
      <c r="C1431" s="272"/>
      <c r="D1431" s="172"/>
      <c r="E1431" s="267" t="str">
        <f t="shared" si="22"/>
        <v/>
      </c>
      <c r="F1431" s="274"/>
      <c r="G1431" s="42"/>
      <c r="H1431" s="264"/>
      <c r="I1431" s="277"/>
      <c r="J1431" s="276" t="str">
        <f>IF(ISBLANK(I1431), "", VLOOKUP(E1431&amp;" "&amp;F1431, 'Info Tipo de Cambio y REM'!$A$24:$B$35, 2, FALSE))
</f>
        <v/>
      </c>
      <c r="K1431" s="107"/>
      <c r="L1431" s="293"/>
      <c r="M1431" s="293"/>
      <c r="N1431" s="293"/>
      <c r="O1431" s="277"/>
      <c r="P1431" s="264"/>
      <c r="Q1431" s="264"/>
      <c r="R1431" s="264"/>
      <c r="S1431" s="264"/>
      <c r="T1431" s="264"/>
      <c r="U1431" s="264"/>
      <c r="V1431" s="264"/>
      <c r="W1431" s="264"/>
      <c r="X1431" s="264"/>
      <c r="Y1431" s="264"/>
      <c r="Z1431" s="264"/>
      <c r="AA1431" s="264"/>
      <c r="AB1431" s="264"/>
      <c r="AC1431" s="264"/>
      <c r="AD1431" s="264"/>
      <c r="AE1431" s="264"/>
    </row>
    <row r="1432">
      <c r="A1432" s="272"/>
      <c r="B1432" s="272"/>
      <c r="C1432" s="272"/>
      <c r="D1432" s="172"/>
      <c r="E1432" s="267" t="str">
        <f t="shared" si="22"/>
        <v/>
      </c>
      <c r="F1432" s="274"/>
      <c r="G1432" s="42"/>
      <c r="H1432" s="264"/>
      <c r="I1432" s="277"/>
      <c r="J1432" s="276" t="str">
        <f>IF(ISBLANK(I1432), "", VLOOKUP(E1432&amp;" "&amp;F1432, 'Info Tipo de Cambio y REM'!$A$24:$B$35, 2, FALSE))
</f>
        <v/>
      </c>
      <c r="K1432" s="107"/>
      <c r="L1432" s="293"/>
      <c r="M1432" s="293"/>
      <c r="N1432" s="293"/>
      <c r="O1432" s="277"/>
      <c r="P1432" s="264"/>
      <c r="Q1432" s="264"/>
      <c r="R1432" s="264"/>
      <c r="S1432" s="264"/>
      <c r="T1432" s="264"/>
      <c r="U1432" s="264"/>
      <c r="V1432" s="264"/>
      <c r="W1432" s="264"/>
      <c r="X1432" s="264"/>
      <c r="Y1432" s="264"/>
      <c r="Z1432" s="264"/>
      <c r="AA1432" s="264"/>
      <c r="AB1432" s="264"/>
      <c r="AC1432" s="264"/>
      <c r="AD1432" s="264"/>
      <c r="AE1432" s="264"/>
    </row>
    <row r="1433">
      <c r="A1433" s="272"/>
      <c r="B1433" s="272"/>
      <c r="C1433" s="272"/>
      <c r="D1433" s="172"/>
      <c r="E1433" s="267" t="str">
        <f t="shared" si="22"/>
        <v/>
      </c>
      <c r="F1433" s="274"/>
      <c r="G1433" s="42"/>
      <c r="H1433" s="264"/>
      <c r="I1433" s="277"/>
      <c r="J1433" s="276" t="str">
        <f>IF(ISBLANK(I1433), "", VLOOKUP(E1433&amp;" "&amp;F1433, 'Info Tipo de Cambio y REM'!$A$24:$B$35, 2, FALSE))
</f>
        <v/>
      </c>
      <c r="K1433" s="107"/>
      <c r="L1433" s="293"/>
      <c r="M1433" s="293"/>
      <c r="N1433" s="293"/>
      <c r="O1433" s="277"/>
      <c r="P1433" s="264"/>
      <c r="Q1433" s="264"/>
      <c r="R1433" s="264"/>
      <c r="S1433" s="264"/>
      <c r="T1433" s="264"/>
      <c r="U1433" s="264"/>
      <c r="V1433" s="264"/>
      <c r="W1433" s="264"/>
      <c r="X1433" s="264"/>
      <c r="Y1433" s="264"/>
      <c r="Z1433" s="264"/>
      <c r="AA1433" s="264"/>
      <c r="AB1433" s="264"/>
      <c r="AC1433" s="264"/>
      <c r="AD1433" s="264"/>
      <c r="AE1433" s="264"/>
    </row>
    <row r="1434">
      <c r="A1434" s="272"/>
      <c r="B1434" s="272"/>
      <c r="C1434" s="272"/>
      <c r="D1434" s="172"/>
      <c r="E1434" s="267" t="str">
        <f t="shared" si="22"/>
        <v/>
      </c>
      <c r="F1434" s="274"/>
      <c r="G1434" s="42"/>
      <c r="H1434" s="264"/>
      <c r="I1434" s="277"/>
      <c r="J1434" s="276" t="str">
        <f>IF(ISBLANK(I1434), "", VLOOKUP(E1434&amp;" "&amp;F1434, 'Info Tipo de Cambio y REM'!$A$24:$B$35, 2, FALSE))
</f>
        <v/>
      </c>
      <c r="K1434" s="107"/>
      <c r="L1434" s="293"/>
      <c r="M1434" s="293"/>
      <c r="N1434" s="293"/>
      <c r="O1434" s="277"/>
      <c r="P1434" s="264"/>
      <c r="Q1434" s="264"/>
      <c r="R1434" s="264"/>
      <c r="S1434" s="264"/>
      <c r="T1434" s="264"/>
      <c r="U1434" s="264"/>
      <c r="V1434" s="264"/>
      <c r="W1434" s="264"/>
      <c r="X1434" s="264"/>
      <c r="Y1434" s="264"/>
      <c r="Z1434" s="264"/>
      <c r="AA1434" s="264"/>
      <c r="AB1434" s="264"/>
      <c r="AC1434" s="264"/>
      <c r="AD1434" s="264"/>
      <c r="AE1434" s="264"/>
    </row>
    <row r="1435">
      <c r="A1435" s="272"/>
      <c r="B1435" s="272"/>
      <c r="C1435" s="272"/>
      <c r="D1435" s="172"/>
      <c r="E1435" s="267" t="str">
        <f t="shared" si="22"/>
        <v/>
      </c>
      <c r="F1435" s="274"/>
      <c r="G1435" s="42"/>
      <c r="H1435" s="264"/>
      <c r="I1435" s="277"/>
      <c r="J1435" s="276" t="str">
        <f>IF(ISBLANK(I1435), "", VLOOKUP(E1435&amp;" "&amp;F1435, 'Info Tipo de Cambio y REM'!$A$24:$B$35, 2, FALSE))
</f>
        <v/>
      </c>
      <c r="K1435" s="107"/>
      <c r="L1435" s="293"/>
      <c r="M1435" s="293"/>
      <c r="N1435" s="293"/>
      <c r="O1435" s="277"/>
      <c r="P1435" s="264"/>
      <c r="Q1435" s="264"/>
      <c r="R1435" s="264"/>
      <c r="S1435" s="264"/>
      <c r="T1435" s="264"/>
      <c r="U1435" s="264"/>
      <c r="V1435" s="264"/>
      <c r="W1435" s="264"/>
      <c r="X1435" s="264"/>
      <c r="Y1435" s="264"/>
      <c r="Z1435" s="264"/>
      <c r="AA1435" s="264"/>
      <c r="AB1435" s="264"/>
      <c r="AC1435" s="264"/>
      <c r="AD1435" s="264"/>
      <c r="AE1435" s="264"/>
    </row>
    <row r="1436">
      <c r="A1436" s="272"/>
      <c r="B1436" s="272"/>
      <c r="C1436" s="272"/>
      <c r="D1436" s="172"/>
      <c r="E1436" s="267" t="str">
        <f t="shared" si="22"/>
        <v/>
      </c>
      <c r="F1436" s="274"/>
      <c r="G1436" s="42"/>
      <c r="H1436" s="264"/>
      <c r="I1436" s="277"/>
      <c r="J1436" s="276" t="str">
        <f>IF(ISBLANK(I1436), "", VLOOKUP(E1436&amp;" "&amp;F1436, 'Info Tipo de Cambio y REM'!$A$24:$B$35, 2, FALSE))
</f>
        <v/>
      </c>
      <c r="K1436" s="107"/>
      <c r="L1436" s="293"/>
      <c r="M1436" s="293"/>
      <c r="N1436" s="293"/>
      <c r="O1436" s="277"/>
      <c r="P1436" s="264"/>
      <c r="Q1436" s="264"/>
      <c r="R1436" s="264"/>
      <c r="S1436" s="264"/>
      <c r="T1436" s="264"/>
      <c r="U1436" s="264"/>
      <c r="V1436" s="264"/>
      <c r="W1436" s="264"/>
      <c r="X1436" s="264"/>
      <c r="Y1436" s="264"/>
      <c r="Z1436" s="264"/>
      <c r="AA1436" s="264"/>
      <c r="AB1436" s="264"/>
      <c r="AC1436" s="264"/>
      <c r="AD1436" s="264"/>
      <c r="AE1436" s="264"/>
    </row>
    <row r="1437">
      <c r="A1437" s="272"/>
      <c r="B1437" s="272"/>
      <c r="C1437" s="272"/>
      <c r="D1437" s="172"/>
      <c r="E1437" s="267" t="str">
        <f t="shared" si="22"/>
        <v/>
      </c>
      <c r="F1437" s="274"/>
      <c r="G1437" s="42"/>
      <c r="H1437" s="264"/>
      <c r="I1437" s="277"/>
      <c r="J1437" s="276" t="str">
        <f>IF(ISBLANK(I1437), "", VLOOKUP(E1437&amp;" "&amp;F1437, 'Info Tipo de Cambio y REM'!$A$24:$B$35, 2, FALSE))
</f>
        <v/>
      </c>
      <c r="K1437" s="107"/>
      <c r="L1437" s="293"/>
      <c r="M1437" s="293"/>
      <c r="N1437" s="293"/>
      <c r="O1437" s="277"/>
      <c r="P1437" s="264"/>
      <c r="Q1437" s="264"/>
      <c r="R1437" s="264"/>
      <c r="S1437" s="264"/>
      <c r="T1437" s="264"/>
      <c r="U1437" s="264"/>
      <c r="V1437" s="264"/>
      <c r="W1437" s="264"/>
      <c r="X1437" s="264"/>
      <c r="Y1437" s="264"/>
      <c r="Z1437" s="264"/>
      <c r="AA1437" s="264"/>
      <c r="AB1437" s="264"/>
      <c r="AC1437" s="264"/>
      <c r="AD1437" s="264"/>
      <c r="AE1437" s="264"/>
    </row>
    <row r="1438">
      <c r="A1438" s="272"/>
      <c r="B1438" s="272"/>
      <c r="C1438" s="272"/>
      <c r="D1438" s="172"/>
      <c r="E1438" s="267" t="str">
        <f t="shared" si="22"/>
        <v/>
      </c>
      <c r="F1438" s="274"/>
      <c r="G1438" s="42"/>
      <c r="H1438" s="264"/>
      <c r="I1438" s="277"/>
      <c r="J1438" s="276" t="str">
        <f>IF(ISBLANK(I1438), "", VLOOKUP(E1438&amp;" "&amp;F1438, 'Info Tipo de Cambio y REM'!$A$24:$B$35, 2, FALSE))
</f>
        <v/>
      </c>
      <c r="K1438" s="107"/>
      <c r="L1438" s="293"/>
      <c r="M1438" s="293"/>
      <c r="N1438" s="293"/>
      <c r="O1438" s="277"/>
      <c r="P1438" s="264"/>
      <c r="Q1438" s="264"/>
      <c r="R1438" s="264"/>
      <c r="S1438" s="264"/>
      <c r="T1438" s="264"/>
      <c r="U1438" s="264"/>
      <c r="V1438" s="264"/>
      <c r="W1438" s="264"/>
      <c r="X1438" s="264"/>
      <c r="Y1438" s="264"/>
      <c r="Z1438" s="264"/>
      <c r="AA1438" s="264"/>
      <c r="AB1438" s="264"/>
      <c r="AC1438" s="264"/>
      <c r="AD1438" s="264"/>
      <c r="AE1438" s="264"/>
    </row>
    <row r="1439">
      <c r="A1439" s="272"/>
      <c r="B1439" s="272"/>
      <c r="C1439" s="272"/>
      <c r="D1439" s="172"/>
      <c r="E1439" s="267" t="str">
        <f t="shared" si="22"/>
        <v/>
      </c>
      <c r="F1439" s="274"/>
      <c r="G1439" s="42"/>
      <c r="H1439" s="264"/>
      <c r="I1439" s="277"/>
      <c r="J1439" s="276" t="str">
        <f>IF(ISBLANK(I1439), "", VLOOKUP(E1439&amp;" "&amp;F1439, 'Info Tipo de Cambio y REM'!$A$24:$B$35, 2, FALSE))
</f>
        <v/>
      </c>
      <c r="K1439" s="107"/>
      <c r="L1439" s="293"/>
      <c r="M1439" s="293"/>
      <c r="N1439" s="293"/>
      <c r="O1439" s="277"/>
      <c r="P1439" s="264"/>
      <c r="Q1439" s="264"/>
      <c r="R1439" s="264"/>
      <c r="S1439" s="264"/>
      <c r="T1439" s="264"/>
      <c r="U1439" s="264"/>
      <c r="V1439" s="264"/>
      <c r="W1439" s="264"/>
      <c r="X1439" s="264"/>
      <c r="Y1439" s="264"/>
      <c r="Z1439" s="264"/>
      <c r="AA1439" s="264"/>
      <c r="AB1439" s="264"/>
      <c r="AC1439" s="264"/>
      <c r="AD1439" s="264"/>
      <c r="AE1439" s="264"/>
    </row>
    <row r="1440">
      <c r="A1440" s="272"/>
      <c r="B1440" s="272"/>
      <c r="C1440" s="272"/>
      <c r="D1440" s="172"/>
      <c r="E1440" s="267" t="str">
        <f t="shared" si="22"/>
        <v/>
      </c>
      <c r="F1440" s="274"/>
      <c r="G1440" s="42"/>
      <c r="H1440" s="264"/>
      <c r="I1440" s="277"/>
      <c r="J1440" s="276" t="str">
        <f>IF(ISBLANK(I1440), "", VLOOKUP(E1440&amp;" "&amp;F1440, 'Info Tipo de Cambio y REM'!$A$24:$B$35, 2, FALSE))
</f>
        <v/>
      </c>
      <c r="K1440" s="107"/>
      <c r="L1440" s="293"/>
      <c r="M1440" s="293"/>
      <c r="N1440" s="293"/>
      <c r="O1440" s="277"/>
      <c r="P1440" s="264"/>
      <c r="Q1440" s="264"/>
      <c r="R1440" s="264"/>
      <c r="S1440" s="264"/>
      <c r="T1440" s="264"/>
      <c r="U1440" s="264"/>
      <c r="V1440" s="264"/>
      <c r="W1440" s="264"/>
      <c r="X1440" s="264"/>
      <c r="Y1440" s="264"/>
      <c r="Z1440" s="264"/>
      <c r="AA1440" s="264"/>
      <c r="AB1440" s="264"/>
      <c r="AC1440" s="264"/>
      <c r="AD1440" s="264"/>
      <c r="AE1440" s="264"/>
    </row>
    <row r="1441">
      <c r="A1441" s="272"/>
      <c r="B1441" s="272"/>
      <c r="C1441" s="272"/>
      <c r="D1441" s="172"/>
      <c r="E1441" s="267" t="str">
        <f t="shared" si="22"/>
        <v/>
      </c>
      <c r="F1441" s="274"/>
      <c r="G1441" s="42"/>
      <c r="H1441" s="264"/>
      <c r="I1441" s="277"/>
      <c r="J1441" s="276" t="str">
        <f>IF(ISBLANK(I1441), "", VLOOKUP(E1441&amp;" "&amp;F1441, 'Info Tipo de Cambio y REM'!$A$24:$B$35, 2, FALSE))
</f>
        <v/>
      </c>
      <c r="K1441" s="107"/>
      <c r="L1441" s="293"/>
      <c r="M1441" s="293"/>
      <c r="N1441" s="293"/>
      <c r="O1441" s="277"/>
      <c r="P1441" s="264"/>
      <c r="Q1441" s="264"/>
      <c r="R1441" s="264"/>
      <c r="S1441" s="264"/>
      <c r="T1441" s="264"/>
      <c r="U1441" s="264"/>
      <c r="V1441" s="264"/>
      <c r="W1441" s="264"/>
      <c r="X1441" s="264"/>
      <c r="Y1441" s="264"/>
      <c r="Z1441" s="264"/>
      <c r="AA1441" s="264"/>
      <c r="AB1441" s="264"/>
      <c r="AC1441" s="264"/>
      <c r="AD1441" s="264"/>
      <c r="AE1441" s="264"/>
    </row>
    <row r="1442">
      <c r="A1442" s="272"/>
      <c r="B1442" s="272"/>
      <c r="C1442" s="272"/>
      <c r="D1442" s="172"/>
      <c r="E1442" s="267" t="str">
        <f t="shared" si="22"/>
        <v/>
      </c>
      <c r="F1442" s="274"/>
      <c r="G1442" s="42"/>
      <c r="H1442" s="264"/>
      <c r="I1442" s="277"/>
      <c r="J1442" s="276" t="str">
        <f>IF(ISBLANK(I1442), "", VLOOKUP(E1442&amp;" "&amp;F1442, 'Info Tipo de Cambio y REM'!$A$24:$B$35, 2, FALSE))
</f>
        <v/>
      </c>
      <c r="K1442" s="107"/>
      <c r="L1442" s="293"/>
      <c r="M1442" s="293"/>
      <c r="N1442" s="293"/>
      <c r="O1442" s="277"/>
      <c r="P1442" s="264"/>
      <c r="Q1442" s="264"/>
      <c r="R1442" s="264"/>
      <c r="S1442" s="264"/>
      <c r="T1442" s="264"/>
      <c r="U1442" s="264"/>
      <c r="V1442" s="264"/>
      <c r="W1442" s="264"/>
      <c r="X1442" s="264"/>
      <c r="Y1442" s="264"/>
      <c r="Z1442" s="264"/>
      <c r="AA1442" s="264"/>
      <c r="AB1442" s="264"/>
      <c r="AC1442" s="264"/>
      <c r="AD1442" s="264"/>
      <c r="AE1442" s="264"/>
    </row>
    <row r="1443">
      <c r="A1443" s="272"/>
      <c r="B1443" s="272"/>
      <c r="C1443" s="272"/>
      <c r="D1443" s="172"/>
      <c r="E1443" s="267" t="str">
        <f t="shared" si="22"/>
        <v/>
      </c>
      <c r="F1443" s="274"/>
      <c r="G1443" s="42"/>
      <c r="H1443" s="264"/>
      <c r="I1443" s="277"/>
      <c r="J1443" s="276" t="str">
        <f>IF(ISBLANK(I1443), "", VLOOKUP(E1443&amp;" "&amp;F1443, 'Info Tipo de Cambio y REM'!$A$24:$B$35, 2, FALSE))
</f>
        <v/>
      </c>
      <c r="K1443" s="107"/>
      <c r="L1443" s="293"/>
      <c r="M1443" s="293"/>
      <c r="N1443" s="293"/>
      <c r="O1443" s="277"/>
      <c r="P1443" s="264"/>
      <c r="Q1443" s="264"/>
      <c r="R1443" s="264"/>
      <c r="S1443" s="264"/>
      <c r="T1443" s="264"/>
      <c r="U1443" s="264"/>
      <c r="V1443" s="264"/>
      <c r="W1443" s="264"/>
      <c r="X1443" s="264"/>
      <c r="Y1443" s="264"/>
      <c r="Z1443" s="264"/>
      <c r="AA1443" s="264"/>
      <c r="AB1443" s="264"/>
      <c r="AC1443" s="264"/>
      <c r="AD1443" s="264"/>
      <c r="AE1443" s="264"/>
    </row>
    <row r="1444">
      <c r="A1444" s="272"/>
      <c r="B1444" s="272"/>
      <c r="C1444" s="272"/>
      <c r="D1444" s="172"/>
      <c r="E1444" s="267" t="str">
        <f t="shared" si="22"/>
        <v/>
      </c>
      <c r="F1444" s="274"/>
      <c r="G1444" s="42"/>
      <c r="H1444" s="264"/>
      <c r="I1444" s="277"/>
      <c r="J1444" s="276" t="str">
        <f>IF(ISBLANK(I1444), "", VLOOKUP(E1444&amp;" "&amp;F1444, 'Info Tipo de Cambio y REM'!$A$24:$B$35, 2, FALSE))
</f>
        <v/>
      </c>
      <c r="K1444" s="107"/>
      <c r="L1444" s="293"/>
      <c r="M1444" s="293"/>
      <c r="N1444" s="293"/>
      <c r="O1444" s="277"/>
      <c r="P1444" s="264"/>
      <c r="Q1444" s="264"/>
      <c r="R1444" s="264"/>
      <c r="S1444" s="264"/>
      <c r="T1444" s="264"/>
      <c r="U1444" s="264"/>
      <c r="V1444" s="264"/>
      <c r="W1444" s="264"/>
      <c r="X1444" s="264"/>
      <c r="Y1444" s="264"/>
      <c r="Z1444" s="264"/>
      <c r="AA1444" s="264"/>
      <c r="AB1444" s="264"/>
      <c r="AC1444" s="264"/>
      <c r="AD1444" s="264"/>
      <c r="AE1444" s="264"/>
    </row>
    <row r="1445">
      <c r="A1445" s="272"/>
      <c r="B1445" s="272"/>
      <c r="C1445" s="272"/>
      <c r="D1445" s="172"/>
      <c r="E1445" s="267" t="str">
        <f t="shared" si="22"/>
        <v/>
      </c>
      <c r="F1445" s="274"/>
      <c r="G1445" s="42"/>
      <c r="H1445" s="264"/>
      <c r="I1445" s="277"/>
      <c r="J1445" s="276" t="str">
        <f>IF(ISBLANK(I1445), "", VLOOKUP(E1445&amp;" "&amp;F1445, 'Info Tipo de Cambio y REM'!$A$24:$B$35, 2, FALSE))
</f>
        <v/>
      </c>
      <c r="K1445" s="107"/>
      <c r="L1445" s="293"/>
      <c r="M1445" s="293"/>
      <c r="N1445" s="293"/>
      <c r="O1445" s="277"/>
      <c r="P1445" s="264"/>
      <c r="Q1445" s="264"/>
      <c r="R1445" s="264"/>
      <c r="S1445" s="264"/>
      <c r="T1445" s="264"/>
      <c r="U1445" s="264"/>
      <c r="V1445" s="264"/>
      <c r="W1445" s="264"/>
      <c r="X1445" s="264"/>
      <c r="Y1445" s="264"/>
      <c r="Z1445" s="264"/>
      <c r="AA1445" s="264"/>
      <c r="AB1445" s="264"/>
      <c r="AC1445" s="264"/>
      <c r="AD1445" s="264"/>
      <c r="AE1445" s="264"/>
    </row>
    <row r="1446">
      <c r="A1446" s="272"/>
      <c r="B1446" s="272"/>
      <c r="C1446" s="272"/>
      <c r="D1446" s="172"/>
      <c r="E1446" s="267" t="str">
        <f t="shared" si="22"/>
        <v/>
      </c>
      <c r="F1446" s="274"/>
      <c r="G1446" s="42"/>
      <c r="H1446" s="264"/>
      <c r="I1446" s="277"/>
      <c r="J1446" s="276" t="str">
        <f>IF(ISBLANK(I1446), "", VLOOKUP(E1446&amp;" "&amp;F1446, 'Info Tipo de Cambio y REM'!$A$24:$B$35, 2, FALSE))
</f>
        <v/>
      </c>
      <c r="K1446" s="107"/>
      <c r="L1446" s="293"/>
      <c r="M1446" s="293"/>
      <c r="N1446" s="293"/>
      <c r="O1446" s="277"/>
      <c r="P1446" s="264"/>
      <c r="Q1446" s="264"/>
      <c r="R1446" s="264"/>
      <c r="S1446" s="264"/>
      <c r="T1446" s="264"/>
      <c r="U1446" s="264"/>
      <c r="V1446" s="264"/>
      <c r="W1446" s="264"/>
      <c r="X1446" s="264"/>
      <c r="Y1446" s="264"/>
      <c r="Z1446" s="264"/>
      <c r="AA1446" s="264"/>
      <c r="AB1446" s="264"/>
      <c r="AC1446" s="264"/>
      <c r="AD1446" s="264"/>
      <c r="AE1446" s="264"/>
    </row>
    <row r="1447">
      <c r="A1447" s="272"/>
      <c r="B1447" s="272"/>
      <c r="C1447" s="272"/>
      <c r="D1447" s="172"/>
      <c r="E1447" s="267" t="str">
        <f t="shared" si="22"/>
        <v/>
      </c>
      <c r="F1447" s="274"/>
      <c r="G1447" s="42"/>
      <c r="H1447" s="264"/>
      <c r="I1447" s="277"/>
      <c r="J1447" s="276" t="str">
        <f>IF(ISBLANK(I1447), "", VLOOKUP(E1447&amp;" "&amp;F1447, 'Info Tipo de Cambio y REM'!$A$24:$B$35, 2, FALSE))
</f>
        <v/>
      </c>
      <c r="K1447" s="107"/>
      <c r="L1447" s="293"/>
      <c r="M1447" s="293"/>
      <c r="N1447" s="293"/>
      <c r="O1447" s="277"/>
      <c r="P1447" s="264"/>
      <c r="Q1447" s="264"/>
      <c r="R1447" s="264"/>
      <c r="S1447" s="264"/>
      <c r="T1447" s="264"/>
      <c r="U1447" s="264"/>
      <c r="V1447" s="264"/>
      <c r="W1447" s="264"/>
      <c r="X1447" s="264"/>
      <c r="Y1447" s="264"/>
      <c r="Z1447" s="264"/>
      <c r="AA1447" s="264"/>
      <c r="AB1447" s="264"/>
      <c r="AC1447" s="264"/>
      <c r="AD1447" s="264"/>
      <c r="AE1447" s="264"/>
    </row>
    <row r="1448">
      <c r="A1448" s="272"/>
      <c r="B1448" s="272"/>
      <c r="C1448" s="272"/>
      <c r="D1448" s="172"/>
      <c r="E1448" s="267" t="str">
        <f t="shared" si="22"/>
        <v/>
      </c>
      <c r="F1448" s="274"/>
      <c r="G1448" s="42"/>
      <c r="H1448" s="264"/>
      <c r="I1448" s="277"/>
      <c r="J1448" s="276" t="str">
        <f>IF(ISBLANK(I1448), "", VLOOKUP(E1448&amp;" "&amp;F1448, 'Info Tipo de Cambio y REM'!$A$24:$B$35, 2, FALSE))
</f>
        <v/>
      </c>
      <c r="K1448" s="107"/>
      <c r="L1448" s="293"/>
      <c r="M1448" s="293"/>
      <c r="N1448" s="293"/>
      <c r="O1448" s="277"/>
      <c r="P1448" s="264"/>
      <c r="Q1448" s="264"/>
      <c r="R1448" s="264"/>
      <c r="S1448" s="264"/>
      <c r="T1448" s="264"/>
      <c r="U1448" s="264"/>
      <c r="V1448" s="264"/>
      <c r="W1448" s="264"/>
      <c r="X1448" s="264"/>
      <c r="Y1448" s="264"/>
      <c r="Z1448" s="264"/>
      <c r="AA1448" s="264"/>
      <c r="AB1448" s="264"/>
      <c r="AC1448" s="264"/>
      <c r="AD1448" s="264"/>
      <c r="AE1448" s="264"/>
    </row>
    <row r="1449">
      <c r="A1449" s="272"/>
      <c r="B1449" s="272"/>
      <c r="C1449" s="272"/>
      <c r="D1449" s="172"/>
      <c r="E1449" s="267" t="str">
        <f t="shared" si="22"/>
        <v/>
      </c>
      <c r="F1449" s="274"/>
      <c r="G1449" s="42"/>
      <c r="H1449" s="264"/>
      <c r="I1449" s="277"/>
      <c r="J1449" s="276" t="str">
        <f>IF(ISBLANK(I1449), "", VLOOKUP(E1449&amp;" "&amp;F1449, 'Info Tipo de Cambio y REM'!$A$24:$B$35, 2, FALSE))
</f>
        <v/>
      </c>
      <c r="K1449" s="107"/>
      <c r="L1449" s="293"/>
      <c r="M1449" s="293"/>
      <c r="N1449" s="293"/>
      <c r="O1449" s="277"/>
      <c r="P1449" s="264"/>
      <c r="Q1449" s="264"/>
      <c r="R1449" s="264"/>
      <c r="S1449" s="264"/>
      <c r="T1449" s="264"/>
      <c r="U1449" s="264"/>
      <c r="V1449" s="264"/>
      <c r="W1449" s="264"/>
      <c r="X1449" s="264"/>
      <c r="Y1449" s="264"/>
      <c r="Z1449" s="264"/>
      <c r="AA1449" s="264"/>
      <c r="AB1449" s="264"/>
      <c r="AC1449" s="264"/>
      <c r="AD1449" s="264"/>
      <c r="AE1449" s="264"/>
    </row>
    <row r="1450">
      <c r="A1450" s="272"/>
      <c r="B1450" s="272"/>
      <c r="C1450" s="272"/>
      <c r="D1450" s="172"/>
      <c r="E1450" s="267" t="str">
        <f t="shared" si="22"/>
        <v/>
      </c>
      <c r="F1450" s="274"/>
      <c r="G1450" s="42"/>
      <c r="H1450" s="264"/>
      <c r="I1450" s="277"/>
      <c r="J1450" s="276" t="str">
        <f>IF(ISBLANK(I1450), "", VLOOKUP(E1450&amp;" "&amp;F1450, 'Info Tipo de Cambio y REM'!$A$24:$B$35, 2, FALSE))
</f>
        <v/>
      </c>
      <c r="K1450" s="107"/>
      <c r="L1450" s="293"/>
      <c r="M1450" s="293"/>
      <c r="N1450" s="293"/>
      <c r="O1450" s="277"/>
      <c r="P1450" s="264"/>
      <c r="Q1450" s="264"/>
      <c r="R1450" s="264"/>
      <c r="S1450" s="264"/>
      <c r="T1450" s="264"/>
      <c r="U1450" s="264"/>
      <c r="V1450" s="264"/>
      <c r="W1450" s="264"/>
      <c r="X1450" s="264"/>
      <c r="Y1450" s="264"/>
      <c r="Z1450" s="264"/>
      <c r="AA1450" s="264"/>
      <c r="AB1450" s="264"/>
      <c r="AC1450" s="264"/>
      <c r="AD1450" s="264"/>
      <c r="AE1450" s="264"/>
    </row>
    <row r="1451">
      <c r="A1451" s="272"/>
      <c r="B1451" s="272"/>
      <c r="C1451" s="272"/>
      <c r="D1451" s="172"/>
      <c r="E1451" s="267" t="str">
        <f t="shared" si="22"/>
        <v/>
      </c>
      <c r="F1451" s="274"/>
      <c r="G1451" s="42"/>
      <c r="H1451" s="264"/>
      <c r="I1451" s="277"/>
      <c r="J1451" s="276" t="str">
        <f>IF(ISBLANK(I1451), "", VLOOKUP(E1451&amp;" "&amp;F1451, 'Info Tipo de Cambio y REM'!$A$24:$B$35, 2, FALSE))
</f>
        <v/>
      </c>
      <c r="K1451" s="107"/>
      <c r="L1451" s="293"/>
      <c r="M1451" s="293"/>
      <c r="N1451" s="293"/>
      <c r="O1451" s="277"/>
      <c r="P1451" s="264"/>
      <c r="Q1451" s="264"/>
      <c r="R1451" s="264"/>
      <c r="S1451" s="264"/>
      <c r="T1451" s="264"/>
      <c r="U1451" s="264"/>
      <c r="V1451" s="264"/>
      <c r="W1451" s="264"/>
      <c r="X1451" s="264"/>
      <c r="Y1451" s="264"/>
      <c r="Z1451" s="264"/>
      <c r="AA1451" s="264"/>
      <c r="AB1451" s="264"/>
      <c r="AC1451" s="264"/>
      <c r="AD1451" s="264"/>
      <c r="AE1451" s="264"/>
    </row>
    <row r="1452">
      <c r="A1452" s="272"/>
      <c r="B1452" s="272"/>
      <c r="C1452" s="272"/>
      <c r="D1452" s="172"/>
      <c r="E1452" s="267" t="str">
        <f t="shared" si="22"/>
        <v/>
      </c>
      <c r="F1452" s="274"/>
      <c r="G1452" s="42"/>
      <c r="H1452" s="264"/>
      <c r="I1452" s="277"/>
      <c r="J1452" s="276" t="str">
        <f>IF(ISBLANK(I1452), "", VLOOKUP(E1452&amp;" "&amp;F1452, 'Info Tipo de Cambio y REM'!$A$24:$B$35, 2, FALSE))
</f>
        <v/>
      </c>
      <c r="K1452" s="107"/>
      <c r="L1452" s="293"/>
      <c r="M1452" s="293"/>
      <c r="N1452" s="293"/>
      <c r="O1452" s="277"/>
      <c r="P1452" s="264"/>
      <c r="Q1452" s="264"/>
      <c r="R1452" s="264"/>
      <c r="S1452" s="264"/>
      <c r="T1452" s="264"/>
      <c r="U1452" s="264"/>
      <c r="V1452" s="264"/>
      <c r="W1452" s="264"/>
      <c r="X1452" s="264"/>
      <c r="Y1452" s="264"/>
      <c r="Z1452" s="264"/>
      <c r="AA1452" s="264"/>
      <c r="AB1452" s="264"/>
      <c r="AC1452" s="264"/>
      <c r="AD1452" s="264"/>
      <c r="AE1452" s="264"/>
    </row>
    <row r="1453">
      <c r="A1453" s="272"/>
      <c r="B1453" s="272"/>
      <c r="C1453" s="272"/>
      <c r="D1453" s="172"/>
      <c r="E1453" s="267" t="str">
        <f t="shared" si="22"/>
        <v/>
      </c>
      <c r="F1453" s="274"/>
      <c r="G1453" s="42"/>
      <c r="H1453" s="264"/>
      <c r="I1453" s="277"/>
      <c r="J1453" s="276" t="str">
        <f>IF(ISBLANK(I1453), "", VLOOKUP(E1453&amp;" "&amp;F1453, 'Info Tipo de Cambio y REM'!$A$24:$B$35, 2, FALSE))
</f>
        <v/>
      </c>
      <c r="K1453" s="107"/>
      <c r="L1453" s="293"/>
      <c r="M1453" s="293"/>
      <c r="N1453" s="293"/>
      <c r="O1453" s="277"/>
      <c r="P1453" s="264"/>
      <c r="Q1453" s="264"/>
      <c r="R1453" s="264"/>
      <c r="S1453" s="264"/>
      <c r="T1453" s="264"/>
      <c r="U1453" s="264"/>
      <c r="V1453" s="264"/>
      <c r="W1453" s="264"/>
      <c r="X1453" s="264"/>
      <c r="Y1453" s="264"/>
      <c r="Z1453" s="264"/>
      <c r="AA1453" s="264"/>
      <c r="AB1453" s="264"/>
      <c r="AC1453" s="264"/>
      <c r="AD1453" s="264"/>
      <c r="AE1453" s="264"/>
    </row>
    <row r="1454">
      <c r="A1454" s="272"/>
      <c r="B1454" s="272"/>
      <c r="C1454" s="272"/>
      <c r="D1454" s="172"/>
      <c r="E1454" s="267" t="str">
        <f t="shared" si="22"/>
        <v/>
      </c>
      <c r="F1454" s="274"/>
      <c r="G1454" s="42"/>
      <c r="H1454" s="264"/>
      <c r="I1454" s="277"/>
      <c r="J1454" s="276" t="str">
        <f>IF(ISBLANK(I1454), "", VLOOKUP(E1454&amp;" "&amp;F1454, 'Info Tipo de Cambio y REM'!$A$24:$B$35, 2, FALSE))
</f>
        <v/>
      </c>
      <c r="K1454" s="107"/>
      <c r="L1454" s="293"/>
      <c r="M1454" s="293"/>
      <c r="N1454" s="293"/>
      <c r="O1454" s="277"/>
      <c r="P1454" s="264"/>
      <c r="Q1454" s="264"/>
      <c r="R1454" s="264"/>
      <c r="S1454" s="264"/>
      <c r="T1454" s="264"/>
      <c r="U1454" s="264"/>
      <c r="V1454" s="264"/>
      <c r="W1454" s="264"/>
      <c r="X1454" s="264"/>
      <c r="Y1454" s="264"/>
      <c r="Z1454" s="264"/>
      <c r="AA1454" s="264"/>
      <c r="AB1454" s="264"/>
      <c r="AC1454" s="264"/>
      <c r="AD1454" s="264"/>
      <c r="AE1454" s="264"/>
    </row>
    <row r="1455">
      <c r="A1455" s="272"/>
      <c r="B1455" s="272"/>
      <c r="C1455" s="272"/>
      <c r="D1455" s="172"/>
      <c r="E1455" s="267" t="str">
        <f t="shared" si="22"/>
        <v/>
      </c>
      <c r="F1455" s="274"/>
      <c r="G1455" s="42"/>
      <c r="H1455" s="264"/>
      <c r="I1455" s="277"/>
      <c r="J1455" s="276" t="str">
        <f>IF(ISBLANK(I1455), "", VLOOKUP(E1455&amp;" "&amp;F1455, 'Info Tipo de Cambio y REM'!$A$24:$B$35, 2, FALSE))
</f>
        <v/>
      </c>
      <c r="K1455" s="107"/>
      <c r="L1455" s="293"/>
      <c r="M1455" s="293"/>
      <c r="N1455" s="293"/>
      <c r="O1455" s="277"/>
      <c r="P1455" s="264"/>
      <c r="Q1455" s="264"/>
      <c r="R1455" s="264"/>
      <c r="S1455" s="264"/>
      <c r="T1455" s="264"/>
      <c r="U1455" s="264"/>
      <c r="V1455" s="264"/>
      <c r="W1455" s="264"/>
      <c r="X1455" s="264"/>
      <c r="Y1455" s="264"/>
      <c r="Z1455" s="264"/>
      <c r="AA1455" s="264"/>
      <c r="AB1455" s="264"/>
      <c r="AC1455" s="264"/>
      <c r="AD1455" s="264"/>
      <c r="AE1455" s="264"/>
    </row>
    <row r="1456">
      <c r="A1456" s="272"/>
      <c r="B1456" s="272"/>
      <c r="C1456" s="272"/>
      <c r="D1456" s="172"/>
      <c r="E1456" s="267" t="str">
        <f t="shared" si="22"/>
        <v/>
      </c>
      <c r="F1456" s="274"/>
      <c r="G1456" s="42"/>
      <c r="H1456" s="264"/>
      <c r="I1456" s="277"/>
      <c r="J1456" s="276" t="str">
        <f>IF(ISBLANK(I1456), "", VLOOKUP(E1456&amp;" "&amp;F1456, 'Info Tipo de Cambio y REM'!$A$24:$B$35, 2, FALSE))
</f>
        <v/>
      </c>
      <c r="K1456" s="107"/>
      <c r="L1456" s="293"/>
      <c r="M1456" s="293"/>
      <c r="N1456" s="293"/>
      <c r="O1456" s="277"/>
      <c r="P1456" s="264"/>
      <c r="Q1456" s="264"/>
      <c r="R1456" s="264"/>
      <c r="S1456" s="264"/>
      <c r="T1456" s="264"/>
      <c r="U1456" s="264"/>
      <c r="V1456" s="264"/>
      <c r="W1456" s="264"/>
      <c r="X1456" s="264"/>
      <c r="Y1456" s="264"/>
      <c r="Z1456" s="264"/>
      <c r="AA1456" s="264"/>
      <c r="AB1456" s="264"/>
      <c r="AC1456" s="264"/>
      <c r="AD1456" s="264"/>
      <c r="AE1456" s="264"/>
    </row>
    <row r="1457">
      <c r="A1457" s="272"/>
      <c r="B1457" s="272"/>
      <c r="C1457" s="272"/>
      <c r="D1457" s="172"/>
      <c r="E1457" s="267" t="str">
        <f t="shared" si="22"/>
        <v/>
      </c>
      <c r="F1457" s="274"/>
      <c r="G1457" s="42"/>
      <c r="H1457" s="264"/>
      <c r="I1457" s="277"/>
      <c r="J1457" s="276" t="str">
        <f>IF(ISBLANK(I1457), "", VLOOKUP(E1457&amp;" "&amp;F1457, 'Info Tipo de Cambio y REM'!$A$24:$B$35, 2, FALSE))
</f>
        <v/>
      </c>
      <c r="K1457" s="107"/>
      <c r="L1457" s="293"/>
      <c r="M1457" s="293"/>
      <c r="N1457" s="293"/>
      <c r="O1457" s="277"/>
      <c r="P1457" s="264"/>
      <c r="Q1457" s="264"/>
      <c r="R1457" s="264"/>
      <c r="S1457" s="264"/>
      <c r="T1457" s="264"/>
      <c r="U1457" s="264"/>
      <c r="V1457" s="264"/>
      <c r="W1457" s="264"/>
      <c r="X1457" s="264"/>
      <c r="Y1457" s="264"/>
      <c r="Z1457" s="264"/>
      <c r="AA1457" s="264"/>
      <c r="AB1457" s="264"/>
      <c r="AC1457" s="264"/>
      <c r="AD1457" s="264"/>
      <c r="AE1457" s="264"/>
    </row>
    <row r="1458">
      <c r="A1458" s="272"/>
      <c r="B1458" s="272"/>
      <c r="C1458" s="272"/>
      <c r="D1458" s="172"/>
      <c r="E1458" s="267" t="str">
        <f t="shared" si="22"/>
        <v/>
      </c>
      <c r="F1458" s="274"/>
      <c r="G1458" s="42"/>
      <c r="H1458" s="264"/>
      <c r="I1458" s="277"/>
      <c r="J1458" s="276" t="str">
        <f>IF(ISBLANK(I1458), "", VLOOKUP(E1458&amp;" "&amp;F1458, 'Info Tipo de Cambio y REM'!$A$24:$B$35, 2, FALSE))
</f>
        <v/>
      </c>
      <c r="K1458" s="107"/>
      <c r="L1458" s="293"/>
      <c r="M1458" s="293"/>
      <c r="N1458" s="293"/>
      <c r="O1458" s="277"/>
      <c r="P1458" s="264"/>
      <c r="Q1458" s="264"/>
      <c r="R1458" s="264"/>
      <c r="S1458" s="264"/>
      <c r="T1458" s="264"/>
      <c r="U1458" s="264"/>
      <c r="V1458" s="264"/>
      <c r="W1458" s="264"/>
      <c r="X1458" s="264"/>
      <c r="Y1458" s="264"/>
      <c r="Z1458" s="264"/>
      <c r="AA1458" s="264"/>
      <c r="AB1458" s="264"/>
      <c r="AC1458" s="264"/>
      <c r="AD1458" s="264"/>
      <c r="AE1458" s="264"/>
    </row>
    <row r="1459">
      <c r="A1459" s="272"/>
      <c r="B1459" s="272"/>
      <c r="C1459" s="272"/>
      <c r="D1459" s="172"/>
      <c r="E1459" s="267" t="str">
        <f t="shared" si="22"/>
        <v/>
      </c>
      <c r="F1459" s="274"/>
      <c r="G1459" s="42"/>
      <c r="H1459" s="264"/>
      <c r="I1459" s="277"/>
      <c r="J1459" s="276" t="str">
        <f>IF(ISBLANK(I1459), "", VLOOKUP(E1459&amp;" "&amp;F1459, 'Info Tipo de Cambio y REM'!$A$24:$B$35, 2, FALSE))
</f>
        <v/>
      </c>
      <c r="K1459" s="107"/>
      <c r="L1459" s="293"/>
      <c r="M1459" s="293"/>
      <c r="N1459" s="293"/>
      <c r="O1459" s="277"/>
      <c r="P1459" s="264"/>
      <c r="Q1459" s="264"/>
      <c r="R1459" s="264"/>
      <c r="S1459" s="264"/>
      <c r="T1459" s="264"/>
      <c r="U1459" s="264"/>
      <c r="V1459" s="264"/>
      <c r="W1459" s="264"/>
      <c r="X1459" s="264"/>
      <c r="Y1459" s="264"/>
      <c r="Z1459" s="264"/>
      <c r="AA1459" s="264"/>
      <c r="AB1459" s="264"/>
      <c r="AC1459" s="264"/>
      <c r="AD1459" s="264"/>
      <c r="AE1459" s="264"/>
    </row>
    <row r="1460">
      <c r="A1460" s="272"/>
      <c r="B1460" s="272"/>
      <c r="C1460" s="272"/>
      <c r="D1460" s="172"/>
      <c r="E1460" s="267" t="str">
        <f t="shared" si="22"/>
        <v/>
      </c>
      <c r="F1460" s="274"/>
      <c r="G1460" s="42"/>
      <c r="H1460" s="264"/>
      <c r="I1460" s="277"/>
      <c r="J1460" s="276" t="str">
        <f>IF(ISBLANK(I1460), "", VLOOKUP(E1460&amp;" "&amp;F1460, 'Info Tipo de Cambio y REM'!$A$24:$B$35, 2, FALSE))
</f>
        <v/>
      </c>
      <c r="K1460" s="107"/>
      <c r="L1460" s="293"/>
      <c r="M1460" s="293"/>
      <c r="N1460" s="293"/>
      <c r="O1460" s="277"/>
      <c r="P1460" s="264"/>
      <c r="Q1460" s="264"/>
      <c r="R1460" s="264"/>
      <c r="S1460" s="264"/>
      <c r="T1460" s="264"/>
      <c r="U1460" s="264"/>
      <c r="V1460" s="264"/>
      <c r="W1460" s="264"/>
      <c r="X1460" s="264"/>
      <c r="Y1460" s="264"/>
      <c r="Z1460" s="264"/>
      <c r="AA1460" s="264"/>
      <c r="AB1460" s="264"/>
      <c r="AC1460" s="264"/>
      <c r="AD1460" s="264"/>
      <c r="AE1460" s="264"/>
    </row>
    <row r="1461">
      <c r="A1461" s="272"/>
      <c r="B1461" s="272"/>
      <c r="C1461" s="272"/>
      <c r="D1461" s="172"/>
      <c r="E1461" s="267" t="str">
        <f t="shared" si="22"/>
        <v/>
      </c>
      <c r="F1461" s="274"/>
      <c r="G1461" s="42"/>
      <c r="H1461" s="264"/>
      <c r="I1461" s="277"/>
      <c r="J1461" s="276" t="str">
        <f>IF(ISBLANK(I1461), "", VLOOKUP(E1461&amp;" "&amp;F1461, 'Info Tipo de Cambio y REM'!$A$24:$B$35, 2, FALSE))
</f>
        <v/>
      </c>
      <c r="K1461" s="107"/>
      <c r="L1461" s="293"/>
      <c r="M1461" s="293"/>
      <c r="N1461" s="293"/>
      <c r="O1461" s="277"/>
      <c r="P1461" s="264"/>
      <c r="Q1461" s="264"/>
      <c r="R1461" s="264"/>
      <c r="S1461" s="264"/>
      <c r="T1461" s="264"/>
      <c r="U1461" s="264"/>
      <c r="V1461" s="264"/>
      <c r="W1461" s="264"/>
      <c r="X1461" s="264"/>
      <c r="Y1461" s="264"/>
      <c r="Z1461" s="264"/>
      <c r="AA1461" s="264"/>
      <c r="AB1461" s="264"/>
      <c r="AC1461" s="264"/>
      <c r="AD1461" s="264"/>
      <c r="AE1461" s="264"/>
    </row>
    <row r="1462">
      <c r="A1462" s="272"/>
      <c r="B1462" s="272"/>
      <c r="C1462" s="272"/>
      <c r="D1462" s="172"/>
      <c r="E1462" s="267" t="str">
        <f t="shared" si="22"/>
        <v/>
      </c>
      <c r="F1462" s="274"/>
      <c r="G1462" s="42"/>
      <c r="H1462" s="264"/>
      <c r="I1462" s="277"/>
      <c r="J1462" s="276" t="str">
        <f>IF(ISBLANK(I1462), "", VLOOKUP(E1462&amp;" "&amp;F1462, 'Info Tipo de Cambio y REM'!$A$24:$B$35, 2, FALSE))
</f>
        <v/>
      </c>
      <c r="K1462" s="107"/>
      <c r="L1462" s="293"/>
      <c r="M1462" s="293"/>
      <c r="N1462" s="293"/>
      <c r="O1462" s="277"/>
      <c r="P1462" s="264"/>
      <c r="Q1462" s="264"/>
      <c r="R1462" s="264"/>
      <c r="S1462" s="264"/>
      <c r="T1462" s="264"/>
      <c r="U1462" s="264"/>
      <c r="V1462" s="264"/>
      <c r="W1462" s="264"/>
      <c r="X1462" s="264"/>
      <c r="Y1462" s="264"/>
      <c r="Z1462" s="264"/>
      <c r="AA1462" s="264"/>
      <c r="AB1462" s="264"/>
      <c r="AC1462" s="264"/>
      <c r="AD1462" s="264"/>
      <c r="AE1462" s="264"/>
    </row>
    <row r="1463">
      <c r="A1463" s="272"/>
      <c r="B1463" s="272"/>
      <c r="C1463" s="272"/>
      <c r="D1463" s="172"/>
      <c r="E1463" s="267" t="str">
        <f t="shared" si="22"/>
        <v/>
      </c>
      <c r="F1463" s="274"/>
      <c r="G1463" s="42"/>
      <c r="H1463" s="264"/>
      <c r="I1463" s="277"/>
      <c r="J1463" s="276" t="str">
        <f>IF(ISBLANK(I1463), "", VLOOKUP(E1463&amp;" "&amp;F1463, 'Info Tipo de Cambio y REM'!$A$24:$B$35, 2, FALSE))
</f>
        <v/>
      </c>
      <c r="K1463" s="107"/>
      <c r="L1463" s="293"/>
      <c r="M1463" s="293"/>
      <c r="N1463" s="293"/>
      <c r="O1463" s="277"/>
      <c r="P1463" s="264"/>
      <c r="Q1463" s="264"/>
      <c r="R1463" s="264"/>
      <c r="S1463" s="264"/>
      <c r="T1463" s="264"/>
      <c r="U1463" s="264"/>
      <c r="V1463" s="264"/>
      <c r="W1463" s="264"/>
      <c r="X1463" s="264"/>
      <c r="Y1463" s="264"/>
      <c r="Z1463" s="264"/>
      <c r="AA1463" s="264"/>
      <c r="AB1463" s="264"/>
      <c r="AC1463" s="264"/>
      <c r="AD1463" s="264"/>
      <c r="AE1463" s="264"/>
    </row>
    <row r="1464">
      <c r="A1464" s="272"/>
      <c r="B1464" s="272"/>
      <c r="C1464" s="272"/>
      <c r="D1464" s="172"/>
      <c r="E1464" s="267" t="str">
        <f t="shared" si="22"/>
        <v/>
      </c>
      <c r="F1464" s="274"/>
      <c r="G1464" s="42"/>
      <c r="H1464" s="264"/>
      <c r="I1464" s="277"/>
      <c r="J1464" s="276" t="str">
        <f>IF(ISBLANK(I1464), "", VLOOKUP(E1464&amp;" "&amp;F1464, 'Info Tipo de Cambio y REM'!$A$24:$B$35, 2, FALSE))
</f>
        <v/>
      </c>
      <c r="K1464" s="107"/>
      <c r="L1464" s="293"/>
      <c r="M1464" s="293"/>
      <c r="N1464" s="293"/>
      <c r="O1464" s="277"/>
      <c r="P1464" s="264"/>
      <c r="Q1464" s="264"/>
      <c r="R1464" s="264"/>
      <c r="S1464" s="264"/>
      <c r="T1464" s="264"/>
      <c r="U1464" s="264"/>
      <c r="V1464" s="264"/>
      <c r="W1464" s="264"/>
      <c r="X1464" s="264"/>
      <c r="Y1464" s="264"/>
      <c r="Z1464" s="264"/>
      <c r="AA1464" s="264"/>
      <c r="AB1464" s="264"/>
      <c r="AC1464" s="264"/>
      <c r="AD1464" s="264"/>
      <c r="AE1464" s="264"/>
    </row>
    <row r="1465">
      <c r="A1465" s="272"/>
      <c r="B1465" s="272"/>
      <c r="C1465" s="272"/>
      <c r="D1465" s="172"/>
      <c r="E1465" s="267" t="str">
        <f t="shared" si="22"/>
        <v/>
      </c>
      <c r="F1465" s="274"/>
      <c r="G1465" s="42"/>
      <c r="H1465" s="264"/>
      <c r="I1465" s="277"/>
      <c r="J1465" s="276" t="str">
        <f>IF(ISBLANK(I1465), "", VLOOKUP(E1465&amp;" "&amp;F1465, 'Info Tipo de Cambio y REM'!$A$24:$B$35, 2, FALSE))
</f>
        <v/>
      </c>
      <c r="K1465" s="107"/>
      <c r="L1465" s="293"/>
      <c r="M1465" s="293"/>
      <c r="N1465" s="293"/>
      <c r="O1465" s="277"/>
      <c r="P1465" s="264"/>
      <c r="Q1465" s="264"/>
      <c r="R1465" s="264"/>
      <c r="S1465" s="264"/>
      <c r="T1465" s="264"/>
      <c r="U1465" s="264"/>
      <c r="V1465" s="264"/>
      <c r="W1465" s="264"/>
      <c r="X1465" s="264"/>
      <c r="Y1465" s="264"/>
      <c r="Z1465" s="264"/>
      <c r="AA1465" s="264"/>
      <c r="AB1465" s="264"/>
      <c r="AC1465" s="264"/>
      <c r="AD1465" s="264"/>
      <c r="AE1465" s="264"/>
    </row>
    <row r="1466">
      <c r="A1466" s="272"/>
      <c r="B1466" s="272"/>
      <c r="C1466" s="272"/>
      <c r="D1466" s="172"/>
      <c r="E1466" s="267" t="str">
        <f t="shared" si="22"/>
        <v/>
      </c>
      <c r="F1466" s="274"/>
      <c r="G1466" s="42"/>
      <c r="H1466" s="264"/>
      <c r="I1466" s="277"/>
      <c r="J1466" s="276" t="str">
        <f>IF(ISBLANK(I1466), "", VLOOKUP(E1466&amp;" "&amp;F1466, 'Info Tipo de Cambio y REM'!$A$24:$B$35, 2, FALSE))
</f>
        <v/>
      </c>
      <c r="K1466" s="107"/>
      <c r="L1466" s="293"/>
      <c r="M1466" s="293"/>
      <c r="N1466" s="293"/>
      <c r="O1466" s="277"/>
      <c r="P1466" s="264"/>
      <c r="Q1466" s="264"/>
      <c r="R1466" s="264"/>
      <c r="S1466" s="264"/>
      <c r="T1466" s="264"/>
      <c r="U1466" s="264"/>
      <c r="V1466" s="264"/>
      <c r="W1466" s="264"/>
      <c r="X1466" s="264"/>
      <c r="Y1466" s="264"/>
      <c r="Z1466" s="264"/>
      <c r="AA1466" s="264"/>
      <c r="AB1466" s="264"/>
      <c r="AC1466" s="264"/>
      <c r="AD1466" s="264"/>
      <c r="AE1466" s="264"/>
    </row>
    <row r="1467">
      <c r="A1467" s="272"/>
      <c r="B1467" s="272"/>
      <c r="C1467" s="272"/>
      <c r="D1467" s="172"/>
      <c r="E1467" s="267" t="str">
        <f t="shared" si="22"/>
        <v/>
      </c>
      <c r="F1467" s="274"/>
      <c r="G1467" s="42"/>
      <c r="H1467" s="264"/>
      <c r="I1467" s="277"/>
      <c r="J1467" s="276" t="str">
        <f>IF(ISBLANK(I1467), "", VLOOKUP(E1467&amp;" "&amp;F1467, 'Info Tipo de Cambio y REM'!$A$24:$B$35, 2, FALSE))
</f>
        <v/>
      </c>
      <c r="K1467" s="107"/>
      <c r="L1467" s="293"/>
      <c r="M1467" s="293"/>
      <c r="N1467" s="293"/>
      <c r="O1467" s="277"/>
      <c r="P1467" s="264"/>
      <c r="Q1467" s="264"/>
      <c r="R1467" s="264"/>
      <c r="S1467" s="264"/>
      <c r="T1467" s="264"/>
      <c r="U1467" s="264"/>
      <c r="V1467" s="264"/>
      <c r="W1467" s="264"/>
      <c r="X1467" s="264"/>
      <c r="Y1467" s="264"/>
      <c r="Z1467" s="264"/>
      <c r="AA1467" s="264"/>
      <c r="AB1467" s="264"/>
      <c r="AC1467" s="264"/>
      <c r="AD1467" s="264"/>
      <c r="AE1467" s="264"/>
    </row>
    <row r="1468">
      <c r="A1468" s="272"/>
      <c r="B1468" s="272"/>
      <c r="C1468" s="272"/>
      <c r="D1468" s="172"/>
      <c r="E1468" s="267" t="str">
        <f t="shared" si="22"/>
        <v/>
      </c>
      <c r="F1468" s="274"/>
      <c r="G1468" s="42"/>
      <c r="H1468" s="264"/>
      <c r="I1468" s="277"/>
      <c r="J1468" s="276" t="str">
        <f>IF(ISBLANK(I1468), "", VLOOKUP(E1468&amp;" "&amp;F1468, 'Info Tipo de Cambio y REM'!$A$24:$B$35, 2, FALSE))
</f>
        <v/>
      </c>
      <c r="K1468" s="107"/>
      <c r="L1468" s="293"/>
      <c r="M1468" s="293"/>
      <c r="N1468" s="293"/>
      <c r="O1468" s="277"/>
      <c r="P1468" s="264"/>
      <c r="Q1468" s="264"/>
      <c r="R1468" s="264"/>
      <c r="S1468" s="264"/>
      <c r="T1468" s="264"/>
      <c r="U1468" s="264"/>
      <c r="V1468" s="264"/>
      <c r="W1468" s="264"/>
      <c r="X1468" s="264"/>
      <c r="Y1468" s="264"/>
      <c r="Z1468" s="264"/>
      <c r="AA1468" s="264"/>
      <c r="AB1468" s="264"/>
      <c r="AC1468" s="264"/>
      <c r="AD1468" s="264"/>
      <c r="AE1468" s="264"/>
    </row>
    <row r="1469">
      <c r="A1469" s="272"/>
      <c r="B1469" s="272"/>
      <c r="C1469" s="272"/>
      <c r="D1469" s="172"/>
      <c r="E1469" s="267" t="str">
        <f t="shared" si="22"/>
        <v/>
      </c>
      <c r="F1469" s="274"/>
      <c r="G1469" s="42"/>
      <c r="H1469" s="264"/>
      <c r="I1469" s="277"/>
      <c r="J1469" s="276" t="str">
        <f>IF(ISBLANK(I1469), "", VLOOKUP(E1469&amp;" "&amp;F1469, 'Info Tipo de Cambio y REM'!$A$24:$B$35, 2, FALSE))
</f>
        <v/>
      </c>
      <c r="K1469" s="107"/>
      <c r="L1469" s="293"/>
      <c r="M1469" s="293"/>
      <c r="N1469" s="293"/>
      <c r="O1469" s="277"/>
      <c r="P1469" s="264"/>
      <c r="Q1469" s="264"/>
      <c r="R1469" s="264"/>
      <c r="S1469" s="264"/>
      <c r="T1469" s="264"/>
      <c r="U1469" s="264"/>
      <c r="V1469" s="264"/>
      <c r="W1469" s="264"/>
      <c r="X1469" s="264"/>
      <c r="Y1469" s="264"/>
      <c r="Z1469" s="264"/>
      <c r="AA1469" s="264"/>
      <c r="AB1469" s="264"/>
      <c r="AC1469" s="264"/>
      <c r="AD1469" s="264"/>
      <c r="AE1469" s="264"/>
    </row>
    <row r="1470">
      <c r="A1470" s="272"/>
      <c r="B1470" s="272"/>
      <c r="C1470" s="272"/>
      <c r="D1470" s="172"/>
      <c r="E1470" s="267" t="str">
        <f t="shared" si="22"/>
        <v/>
      </c>
      <c r="F1470" s="274"/>
      <c r="G1470" s="42"/>
      <c r="H1470" s="264"/>
      <c r="I1470" s="277"/>
      <c r="J1470" s="276" t="str">
        <f>IF(ISBLANK(I1470), "", VLOOKUP(E1470&amp;" "&amp;F1470, 'Info Tipo de Cambio y REM'!$A$24:$B$35, 2, FALSE))
</f>
        <v/>
      </c>
      <c r="K1470" s="107"/>
      <c r="L1470" s="293"/>
      <c r="M1470" s="293"/>
      <c r="N1470" s="293"/>
      <c r="O1470" s="277"/>
      <c r="P1470" s="264"/>
      <c r="Q1470" s="264"/>
      <c r="R1470" s="264"/>
      <c r="S1470" s="264"/>
      <c r="T1470" s="264"/>
      <c r="U1470" s="264"/>
      <c r="V1470" s="264"/>
      <c r="W1470" s="264"/>
      <c r="X1470" s="264"/>
      <c r="Y1470" s="264"/>
      <c r="Z1470" s="264"/>
      <c r="AA1470" s="264"/>
      <c r="AB1470" s="264"/>
      <c r="AC1470" s="264"/>
      <c r="AD1470" s="264"/>
      <c r="AE1470" s="264"/>
    </row>
    <row r="1471">
      <c r="A1471" s="272"/>
      <c r="B1471" s="272"/>
      <c r="C1471" s="272"/>
      <c r="D1471" s="172"/>
      <c r="E1471" s="267" t="str">
        <f t="shared" si="22"/>
        <v/>
      </c>
      <c r="F1471" s="274"/>
      <c r="G1471" s="42"/>
      <c r="H1471" s="264"/>
      <c r="I1471" s="277"/>
      <c r="J1471" s="276" t="str">
        <f>IF(ISBLANK(I1471), "", VLOOKUP(E1471&amp;" "&amp;F1471, 'Info Tipo de Cambio y REM'!$A$24:$B$35, 2, FALSE))
</f>
        <v/>
      </c>
      <c r="K1471" s="107"/>
      <c r="L1471" s="293"/>
      <c r="M1471" s="293"/>
      <c r="N1471" s="293"/>
      <c r="O1471" s="277"/>
      <c r="P1471" s="264"/>
      <c r="Q1471" s="264"/>
      <c r="R1471" s="264"/>
      <c r="S1471" s="264"/>
      <c r="T1471" s="264"/>
      <c r="U1471" s="264"/>
      <c r="V1471" s="264"/>
      <c r="W1471" s="264"/>
      <c r="X1471" s="264"/>
      <c r="Y1471" s="264"/>
      <c r="Z1471" s="264"/>
      <c r="AA1471" s="264"/>
      <c r="AB1471" s="264"/>
      <c r="AC1471" s="264"/>
      <c r="AD1471" s="264"/>
      <c r="AE1471" s="264"/>
    </row>
    <row r="1472">
      <c r="A1472" s="272"/>
      <c r="B1472" s="272"/>
      <c r="C1472" s="272"/>
      <c r="D1472" s="172"/>
      <c r="E1472" s="267" t="str">
        <f t="shared" si="22"/>
        <v/>
      </c>
      <c r="F1472" s="274"/>
      <c r="G1472" s="42"/>
      <c r="H1472" s="264"/>
      <c r="I1472" s="277"/>
      <c r="J1472" s="276" t="str">
        <f>IF(ISBLANK(I1472), "", VLOOKUP(E1472&amp;" "&amp;F1472, 'Info Tipo de Cambio y REM'!$A$24:$B$35, 2, FALSE))
</f>
        <v/>
      </c>
      <c r="K1472" s="107"/>
      <c r="L1472" s="293"/>
      <c r="M1472" s="293"/>
      <c r="N1472" s="293"/>
      <c r="O1472" s="277"/>
      <c r="P1472" s="264"/>
      <c r="Q1472" s="264"/>
      <c r="R1472" s="264"/>
      <c r="S1472" s="264"/>
      <c r="T1472" s="264"/>
      <c r="U1472" s="264"/>
      <c r="V1472" s="264"/>
      <c r="W1472" s="264"/>
      <c r="X1472" s="264"/>
      <c r="Y1472" s="264"/>
      <c r="Z1472" s="264"/>
      <c r="AA1472" s="264"/>
      <c r="AB1472" s="264"/>
      <c r="AC1472" s="264"/>
      <c r="AD1472" s="264"/>
      <c r="AE1472" s="264"/>
    </row>
    <row r="1473">
      <c r="A1473" s="272"/>
      <c r="B1473" s="272"/>
      <c r="C1473" s="272"/>
      <c r="D1473" s="172"/>
      <c r="E1473" s="267" t="str">
        <f t="shared" si="22"/>
        <v/>
      </c>
      <c r="F1473" s="274"/>
      <c r="G1473" s="42"/>
      <c r="H1473" s="264"/>
      <c r="I1473" s="277"/>
      <c r="J1473" s="276" t="str">
        <f>IF(ISBLANK(I1473), "", VLOOKUP(E1473&amp;" "&amp;F1473, 'Info Tipo de Cambio y REM'!$A$24:$B$35, 2, FALSE))
</f>
        <v/>
      </c>
      <c r="K1473" s="107"/>
      <c r="L1473" s="293"/>
      <c r="M1473" s="293"/>
      <c r="N1473" s="293"/>
      <c r="O1473" s="277"/>
      <c r="P1473" s="264"/>
      <c r="Q1473" s="264"/>
      <c r="R1473" s="264"/>
      <c r="S1473" s="264"/>
      <c r="T1473" s="264"/>
      <c r="U1473" s="264"/>
      <c r="V1473" s="264"/>
      <c r="W1473" s="264"/>
      <c r="X1473" s="264"/>
      <c r="Y1473" s="264"/>
      <c r="Z1473" s="264"/>
      <c r="AA1473" s="264"/>
      <c r="AB1473" s="264"/>
      <c r="AC1473" s="264"/>
      <c r="AD1473" s="264"/>
      <c r="AE1473" s="264"/>
    </row>
    <row r="1474">
      <c r="A1474" s="272"/>
      <c r="B1474" s="272"/>
      <c r="C1474" s="272"/>
      <c r="D1474" s="172"/>
      <c r="E1474" s="267" t="str">
        <f t="shared" si="22"/>
        <v/>
      </c>
      <c r="F1474" s="274"/>
      <c r="G1474" s="42"/>
      <c r="H1474" s="264"/>
      <c r="I1474" s="277"/>
      <c r="J1474" s="276" t="str">
        <f>IF(ISBLANK(I1474), "", VLOOKUP(E1474&amp;" "&amp;F1474, 'Info Tipo de Cambio y REM'!$A$24:$B$35, 2, FALSE))
</f>
        <v/>
      </c>
      <c r="K1474" s="107"/>
      <c r="L1474" s="293"/>
      <c r="M1474" s="293"/>
      <c r="N1474" s="293"/>
      <c r="O1474" s="277"/>
      <c r="P1474" s="264"/>
      <c r="Q1474" s="264"/>
      <c r="R1474" s="264"/>
      <c r="S1474" s="264"/>
      <c r="T1474" s="264"/>
      <c r="U1474" s="264"/>
      <c r="V1474" s="264"/>
      <c r="W1474" s="264"/>
      <c r="X1474" s="264"/>
      <c r="Y1474" s="264"/>
      <c r="Z1474" s="264"/>
      <c r="AA1474" s="264"/>
      <c r="AB1474" s="264"/>
      <c r="AC1474" s="264"/>
      <c r="AD1474" s="264"/>
      <c r="AE1474" s="264"/>
    </row>
    <row r="1475">
      <c r="A1475" s="272"/>
      <c r="B1475" s="272"/>
      <c r="C1475" s="272"/>
      <c r="D1475" s="172"/>
      <c r="E1475" s="267" t="str">
        <f t="shared" si="22"/>
        <v/>
      </c>
      <c r="F1475" s="274"/>
      <c r="G1475" s="42"/>
      <c r="H1475" s="264"/>
      <c r="I1475" s="277"/>
      <c r="J1475" s="276" t="str">
        <f>IF(ISBLANK(I1475), "", VLOOKUP(E1475&amp;" "&amp;F1475, 'Info Tipo de Cambio y REM'!$A$24:$B$35, 2, FALSE))
</f>
        <v/>
      </c>
      <c r="K1475" s="107"/>
      <c r="L1475" s="293"/>
      <c r="M1475" s="293"/>
      <c r="N1475" s="293"/>
      <c r="O1475" s="277"/>
      <c r="P1475" s="264"/>
      <c r="Q1475" s="264"/>
      <c r="R1475" s="264"/>
      <c r="S1475" s="264"/>
      <c r="T1475" s="264"/>
      <c r="U1475" s="264"/>
      <c r="V1475" s="264"/>
      <c r="W1475" s="264"/>
      <c r="X1475" s="264"/>
      <c r="Y1475" s="264"/>
      <c r="Z1475" s="264"/>
      <c r="AA1475" s="264"/>
      <c r="AB1475" s="264"/>
      <c r="AC1475" s="264"/>
      <c r="AD1475" s="264"/>
      <c r="AE1475" s="264"/>
    </row>
    <row r="1476">
      <c r="A1476" s="272"/>
      <c r="B1476" s="272"/>
      <c r="C1476" s="272"/>
      <c r="D1476" s="172"/>
      <c r="E1476" s="267" t="str">
        <f t="shared" si="22"/>
        <v/>
      </c>
      <c r="F1476" s="274"/>
      <c r="G1476" s="42"/>
      <c r="H1476" s="264"/>
      <c r="I1476" s="277"/>
      <c r="J1476" s="276" t="str">
        <f>IF(ISBLANK(I1476), "", VLOOKUP(E1476&amp;" "&amp;F1476, 'Info Tipo de Cambio y REM'!$A$24:$B$35, 2, FALSE))
</f>
        <v/>
      </c>
      <c r="K1476" s="107"/>
      <c r="L1476" s="293"/>
      <c r="M1476" s="293"/>
      <c r="N1476" s="293"/>
      <c r="O1476" s="277"/>
      <c r="P1476" s="264"/>
      <c r="Q1476" s="264"/>
      <c r="R1476" s="264"/>
      <c r="S1476" s="264"/>
      <c r="T1476" s="264"/>
      <c r="U1476" s="264"/>
      <c r="V1476" s="264"/>
      <c r="W1476" s="264"/>
      <c r="X1476" s="264"/>
      <c r="Y1476" s="264"/>
      <c r="Z1476" s="264"/>
      <c r="AA1476" s="264"/>
      <c r="AB1476" s="264"/>
      <c r="AC1476" s="264"/>
      <c r="AD1476" s="264"/>
      <c r="AE1476" s="264"/>
    </row>
    <row r="1477">
      <c r="A1477" s="272"/>
      <c r="B1477" s="272"/>
      <c r="C1477" s="272"/>
      <c r="D1477" s="172"/>
      <c r="E1477" s="267" t="str">
        <f t="shared" si="22"/>
        <v/>
      </c>
      <c r="F1477" s="274"/>
      <c r="G1477" s="42"/>
      <c r="H1477" s="264"/>
      <c r="I1477" s="277"/>
      <c r="J1477" s="276" t="str">
        <f>IF(ISBLANK(I1477), "", VLOOKUP(E1477&amp;" "&amp;F1477, 'Info Tipo de Cambio y REM'!$A$24:$B$35, 2, FALSE))
</f>
        <v/>
      </c>
      <c r="K1477" s="107"/>
      <c r="L1477" s="293"/>
      <c r="M1477" s="293"/>
      <c r="N1477" s="293"/>
      <c r="O1477" s="277"/>
      <c r="P1477" s="264"/>
      <c r="Q1477" s="264"/>
      <c r="R1477" s="264"/>
      <c r="S1477" s="264"/>
      <c r="T1477" s="264"/>
      <c r="U1477" s="264"/>
      <c r="V1477" s="264"/>
      <c r="W1477" s="264"/>
      <c r="X1477" s="264"/>
      <c r="Y1477" s="264"/>
      <c r="Z1477" s="264"/>
      <c r="AA1477" s="264"/>
      <c r="AB1477" s="264"/>
      <c r="AC1477" s="264"/>
      <c r="AD1477" s="264"/>
      <c r="AE1477" s="264"/>
    </row>
    <row r="1478">
      <c r="A1478" s="272"/>
      <c r="B1478" s="272"/>
      <c r="C1478" s="272"/>
      <c r="D1478" s="172"/>
      <c r="E1478" s="267" t="str">
        <f t="shared" si="22"/>
        <v/>
      </c>
      <c r="F1478" s="274"/>
      <c r="G1478" s="42"/>
      <c r="H1478" s="264"/>
      <c r="I1478" s="277"/>
      <c r="J1478" s="276" t="str">
        <f>IF(ISBLANK(I1478), "", VLOOKUP(E1478&amp;" "&amp;F1478, 'Info Tipo de Cambio y REM'!$A$24:$B$35, 2, FALSE))
</f>
        <v/>
      </c>
      <c r="K1478" s="107"/>
      <c r="L1478" s="293"/>
      <c r="M1478" s="293"/>
      <c r="N1478" s="293"/>
      <c r="O1478" s="277"/>
      <c r="P1478" s="264"/>
      <c r="Q1478" s="264"/>
      <c r="R1478" s="264"/>
      <c r="S1478" s="264"/>
      <c r="T1478" s="264"/>
      <c r="U1478" s="264"/>
      <c r="V1478" s="264"/>
      <c r="W1478" s="264"/>
      <c r="X1478" s="264"/>
      <c r="Y1478" s="264"/>
      <c r="Z1478" s="264"/>
      <c r="AA1478" s="264"/>
      <c r="AB1478" s="264"/>
      <c r="AC1478" s="264"/>
      <c r="AD1478" s="264"/>
      <c r="AE1478" s="264"/>
    </row>
    <row r="1479">
      <c r="A1479" s="272"/>
      <c r="B1479" s="272"/>
      <c r="C1479" s="272"/>
      <c r="D1479" s="172"/>
      <c r="E1479" s="267" t="str">
        <f t="shared" si="22"/>
        <v/>
      </c>
      <c r="F1479" s="274"/>
      <c r="G1479" s="42"/>
      <c r="H1479" s="264"/>
      <c r="I1479" s="277"/>
      <c r="J1479" s="276" t="str">
        <f>IF(ISBLANK(I1479), "", VLOOKUP(E1479&amp;" "&amp;F1479, 'Info Tipo de Cambio y REM'!$A$24:$B$35, 2, FALSE))
</f>
        <v/>
      </c>
      <c r="K1479" s="107"/>
      <c r="L1479" s="293"/>
      <c r="M1479" s="293"/>
      <c r="N1479" s="293"/>
      <c r="O1479" s="277"/>
      <c r="P1479" s="264"/>
      <c r="Q1479" s="264"/>
      <c r="R1479" s="264"/>
      <c r="S1479" s="264"/>
      <c r="T1479" s="264"/>
      <c r="U1479" s="264"/>
      <c r="V1479" s="264"/>
      <c r="W1479" s="264"/>
      <c r="X1479" s="264"/>
      <c r="Y1479" s="264"/>
      <c r="Z1479" s="264"/>
      <c r="AA1479" s="264"/>
      <c r="AB1479" s="264"/>
      <c r="AC1479" s="264"/>
      <c r="AD1479" s="264"/>
      <c r="AE1479" s="264"/>
    </row>
    <row r="1480">
      <c r="A1480" s="272"/>
      <c r="B1480" s="272"/>
      <c r="C1480" s="272"/>
      <c r="D1480" s="172"/>
      <c r="E1480" s="267" t="str">
        <f t="shared" si="22"/>
        <v/>
      </c>
      <c r="F1480" s="274"/>
      <c r="G1480" s="42"/>
      <c r="H1480" s="264"/>
      <c r="I1480" s="277"/>
      <c r="J1480" s="276" t="str">
        <f>IF(ISBLANK(I1480), "", VLOOKUP(E1480&amp;" "&amp;F1480, 'Info Tipo de Cambio y REM'!$A$24:$B$35, 2, FALSE))
</f>
        <v/>
      </c>
      <c r="K1480" s="107"/>
      <c r="L1480" s="293"/>
      <c r="M1480" s="293"/>
      <c r="N1480" s="293"/>
      <c r="O1480" s="277"/>
      <c r="P1480" s="264"/>
      <c r="Q1480" s="264"/>
      <c r="R1480" s="264"/>
      <c r="S1480" s="264"/>
      <c r="T1480" s="264"/>
      <c r="U1480" s="264"/>
      <c r="V1480" s="264"/>
      <c r="W1480" s="264"/>
      <c r="X1480" s="264"/>
      <c r="Y1480" s="264"/>
      <c r="Z1480" s="264"/>
      <c r="AA1480" s="264"/>
      <c r="AB1480" s="264"/>
      <c r="AC1480" s="264"/>
      <c r="AD1480" s="264"/>
      <c r="AE1480" s="264"/>
    </row>
    <row r="1481">
      <c r="A1481" s="272"/>
      <c r="B1481" s="272"/>
      <c r="C1481" s="272"/>
      <c r="D1481" s="172"/>
      <c r="E1481" s="267" t="str">
        <f t="shared" si="22"/>
        <v/>
      </c>
      <c r="F1481" s="274"/>
      <c r="G1481" s="42"/>
      <c r="H1481" s="264"/>
      <c r="I1481" s="277"/>
      <c r="J1481" s="276" t="str">
        <f>IF(ISBLANK(I1481), "", VLOOKUP(E1481&amp;" "&amp;F1481, 'Info Tipo de Cambio y REM'!$A$24:$B$35, 2, FALSE))
</f>
        <v/>
      </c>
      <c r="K1481" s="107"/>
      <c r="L1481" s="293"/>
      <c r="M1481" s="293"/>
      <c r="N1481" s="293"/>
      <c r="O1481" s="277"/>
      <c r="P1481" s="264"/>
      <c r="Q1481" s="264"/>
      <c r="R1481" s="264"/>
      <c r="S1481" s="264"/>
      <c r="T1481" s="264"/>
      <c r="U1481" s="264"/>
      <c r="V1481" s="264"/>
      <c r="W1481" s="264"/>
      <c r="X1481" s="264"/>
      <c r="Y1481" s="264"/>
      <c r="Z1481" s="264"/>
      <c r="AA1481" s="264"/>
      <c r="AB1481" s="264"/>
      <c r="AC1481" s="264"/>
      <c r="AD1481" s="264"/>
      <c r="AE1481" s="264"/>
    </row>
    <row r="1482">
      <c r="A1482" s="272"/>
      <c r="B1482" s="272"/>
      <c r="C1482" s="272"/>
      <c r="D1482" s="172"/>
      <c r="E1482" s="267" t="str">
        <f t="shared" si="22"/>
        <v/>
      </c>
      <c r="F1482" s="274"/>
      <c r="G1482" s="42"/>
      <c r="H1482" s="264"/>
      <c r="I1482" s="277"/>
      <c r="J1482" s="276" t="str">
        <f>IF(ISBLANK(I1482), "", VLOOKUP(E1482&amp;" "&amp;F1482, 'Info Tipo de Cambio y REM'!$A$24:$B$35, 2, FALSE))
</f>
        <v/>
      </c>
      <c r="K1482" s="107"/>
      <c r="L1482" s="293"/>
      <c r="M1482" s="293"/>
      <c r="N1482" s="293"/>
      <c r="O1482" s="277"/>
      <c r="P1482" s="264"/>
      <c r="Q1482" s="264"/>
      <c r="R1482" s="264"/>
      <c r="S1482" s="264"/>
      <c r="T1482" s="264"/>
      <c r="U1482" s="264"/>
      <c r="V1482" s="264"/>
      <c r="W1482" s="264"/>
      <c r="X1482" s="264"/>
      <c r="Y1482" s="264"/>
      <c r="Z1482" s="264"/>
      <c r="AA1482" s="264"/>
      <c r="AB1482" s="264"/>
      <c r="AC1482" s="264"/>
      <c r="AD1482" s="264"/>
      <c r="AE1482" s="264"/>
    </row>
    <row r="1483">
      <c r="A1483" s="272"/>
      <c r="B1483" s="272"/>
      <c r="C1483" s="272"/>
      <c r="D1483" s="172"/>
      <c r="E1483" s="267" t="str">
        <f t="shared" si="22"/>
        <v/>
      </c>
      <c r="F1483" s="274"/>
      <c r="G1483" s="42"/>
      <c r="H1483" s="264"/>
      <c r="I1483" s="277"/>
      <c r="J1483" s="276" t="str">
        <f>IF(ISBLANK(I1483), "", VLOOKUP(E1483&amp;" "&amp;F1483, 'Info Tipo de Cambio y REM'!$A$24:$B$35, 2, FALSE))
</f>
        <v/>
      </c>
      <c r="K1483" s="107"/>
      <c r="L1483" s="293"/>
      <c r="M1483" s="293"/>
      <c r="N1483" s="293"/>
      <c r="O1483" s="277"/>
      <c r="P1483" s="264"/>
      <c r="Q1483" s="264"/>
      <c r="R1483" s="264"/>
      <c r="S1483" s="264"/>
      <c r="T1483" s="264"/>
      <c r="U1483" s="264"/>
      <c r="V1483" s="264"/>
      <c r="W1483" s="264"/>
      <c r="X1483" s="264"/>
      <c r="Y1483" s="264"/>
      <c r="Z1483" s="264"/>
      <c r="AA1483" s="264"/>
      <c r="AB1483" s="264"/>
      <c r="AC1483" s="264"/>
      <c r="AD1483" s="264"/>
      <c r="AE1483" s="264"/>
    </row>
    <row r="1484">
      <c r="A1484" s="272"/>
      <c r="B1484" s="272"/>
      <c r="C1484" s="272"/>
      <c r="D1484" s="172"/>
      <c r="E1484" s="267" t="str">
        <f t="shared" si="22"/>
        <v/>
      </c>
      <c r="F1484" s="274"/>
      <c r="G1484" s="42"/>
      <c r="H1484" s="264"/>
      <c r="I1484" s="277"/>
      <c r="J1484" s="276" t="str">
        <f>IF(ISBLANK(I1484), "", VLOOKUP(E1484&amp;" "&amp;F1484, 'Info Tipo de Cambio y REM'!$A$24:$B$35, 2, FALSE))
</f>
        <v/>
      </c>
      <c r="K1484" s="107"/>
      <c r="L1484" s="293"/>
      <c r="M1484" s="293"/>
      <c r="N1484" s="293"/>
      <c r="O1484" s="277"/>
      <c r="P1484" s="264"/>
      <c r="Q1484" s="264"/>
      <c r="R1484" s="264"/>
      <c r="S1484" s="264"/>
      <c r="T1484" s="264"/>
      <c r="U1484" s="264"/>
      <c r="V1484" s="264"/>
      <c r="W1484" s="264"/>
      <c r="X1484" s="264"/>
      <c r="Y1484" s="264"/>
      <c r="Z1484" s="264"/>
      <c r="AA1484" s="264"/>
      <c r="AB1484" s="264"/>
      <c r="AC1484" s="264"/>
      <c r="AD1484" s="264"/>
      <c r="AE1484" s="264"/>
    </row>
    <row r="1485">
      <c r="A1485" s="272"/>
      <c r="B1485" s="272"/>
      <c r="C1485" s="272"/>
      <c r="D1485" s="172"/>
      <c r="E1485" s="267" t="str">
        <f t="shared" si="22"/>
        <v/>
      </c>
      <c r="F1485" s="274"/>
      <c r="G1485" s="42"/>
      <c r="H1485" s="264"/>
      <c r="I1485" s="277"/>
      <c r="J1485" s="276" t="str">
        <f>IF(ISBLANK(I1485), "", VLOOKUP(E1485&amp;" "&amp;F1485, 'Info Tipo de Cambio y REM'!$A$24:$B$35, 2, FALSE))
</f>
        <v/>
      </c>
      <c r="K1485" s="107"/>
      <c r="L1485" s="293"/>
      <c r="M1485" s="293"/>
      <c r="N1485" s="293"/>
      <c r="O1485" s="277"/>
      <c r="P1485" s="264"/>
      <c r="Q1485" s="264"/>
      <c r="R1485" s="264"/>
      <c r="S1485" s="264"/>
      <c r="T1485" s="264"/>
      <c r="U1485" s="264"/>
      <c r="V1485" s="264"/>
      <c r="W1485" s="264"/>
      <c r="X1485" s="264"/>
      <c r="Y1485" s="264"/>
      <c r="Z1485" s="264"/>
      <c r="AA1485" s="264"/>
      <c r="AB1485" s="264"/>
      <c r="AC1485" s="264"/>
      <c r="AD1485" s="264"/>
      <c r="AE1485" s="264"/>
    </row>
    <row r="1486">
      <c r="A1486" s="272"/>
      <c r="B1486" s="272"/>
      <c r="C1486" s="272"/>
      <c r="D1486" s="172"/>
      <c r="E1486" s="267" t="str">
        <f t="shared" si="22"/>
        <v/>
      </c>
      <c r="F1486" s="274"/>
      <c r="G1486" s="42"/>
      <c r="H1486" s="264"/>
      <c r="I1486" s="277"/>
      <c r="J1486" s="276" t="str">
        <f>IF(ISBLANK(I1486), "", VLOOKUP(E1486&amp;" "&amp;F1486, 'Info Tipo de Cambio y REM'!$A$24:$B$35, 2, FALSE))
</f>
        <v/>
      </c>
      <c r="K1486" s="107"/>
      <c r="L1486" s="293"/>
      <c r="M1486" s="293"/>
      <c r="N1486" s="293"/>
      <c r="O1486" s="277"/>
      <c r="P1486" s="264"/>
      <c r="Q1486" s="264"/>
      <c r="R1486" s="264"/>
      <c r="S1486" s="264"/>
      <c r="T1486" s="264"/>
      <c r="U1486" s="264"/>
      <c r="V1486" s="264"/>
      <c r="W1486" s="264"/>
      <c r="X1486" s="264"/>
      <c r="Y1486" s="264"/>
      <c r="Z1486" s="264"/>
      <c r="AA1486" s="264"/>
      <c r="AB1486" s="264"/>
      <c r="AC1486" s="264"/>
      <c r="AD1486" s="264"/>
      <c r="AE1486" s="264"/>
    </row>
    <row r="1487">
      <c r="A1487" s="272"/>
      <c r="B1487" s="272"/>
      <c r="C1487" s="272"/>
      <c r="D1487" s="172"/>
      <c r="E1487" s="267" t="str">
        <f t="shared" si="22"/>
        <v/>
      </c>
      <c r="F1487" s="274"/>
      <c r="G1487" s="42"/>
      <c r="H1487" s="264"/>
      <c r="I1487" s="277"/>
      <c r="J1487" s="276" t="str">
        <f>IF(ISBLANK(I1487), "", VLOOKUP(E1487&amp;" "&amp;F1487, 'Info Tipo de Cambio y REM'!$A$24:$B$35, 2, FALSE))
</f>
        <v/>
      </c>
      <c r="K1487" s="107"/>
      <c r="L1487" s="293"/>
      <c r="M1487" s="293"/>
      <c r="N1487" s="293"/>
      <c r="O1487" s="277"/>
      <c r="P1487" s="264"/>
      <c r="Q1487" s="264"/>
      <c r="R1487" s="264"/>
      <c r="S1487" s="264"/>
      <c r="T1487" s="264"/>
      <c r="U1487" s="264"/>
      <c r="V1487" s="264"/>
      <c r="W1487" s="264"/>
      <c r="X1487" s="264"/>
      <c r="Y1487" s="264"/>
      <c r="Z1487" s="264"/>
      <c r="AA1487" s="264"/>
      <c r="AB1487" s="264"/>
      <c r="AC1487" s="264"/>
      <c r="AD1487" s="264"/>
      <c r="AE1487" s="264"/>
    </row>
    <row r="1488">
      <c r="A1488" s="272"/>
      <c r="B1488" s="272"/>
      <c r="C1488" s="272"/>
      <c r="D1488" s="172"/>
      <c r="E1488" s="267" t="str">
        <f t="shared" si="22"/>
        <v/>
      </c>
      <c r="F1488" s="274"/>
      <c r="G1488" s="42"/>
      <c r="H1488" s="264"/>
      <c r="I1488" s="277"/>
      <c r="J1488" s="276" t="str">
        <f>IF(ISBLANK(I1488), "", VLOOKUP(E1488&amp;" "&amp;F1488, 'Info Tipo de Cambio y REM'!$A$24:$B$35, 2, FALSE))
</f>
        <v/>
      </c>
      <c r="K1488" s="107"/>
      <c r="L1488" s="293"/>
      <c r="M1488" s="293"/>
      <c r="N1488" s="293"/>
      <c r="O1488" s="277"/>
      <c r="P1488" s="264"/>
      <c r="Q1488" s="264"/>
      <c r="R1488" s="264"/>
      <c r="S1488" s="264"/>
      <c r="T1488" s="264"/>
      <c r="U1488" s="264"/>
      <c r="V1488" s="264"/>
      <c r="W1488" s="264"/>
      <c r="X1488" s="264"/>
      <c r="Y1488" s="264"/>
      <c r="Z1488" s="264"/>
      <c r="AA1488" s="264"/>
      <c r="AB1488" s="264"/>
      <c r="AC1488" s="264"/>
      <c r="AD1488" s="264"/>
      <c r="AE1488" s="264"/>
    </row>
    <row r="1489">
      <c r="A1489" s="272"/>
      <c r="B1489" s="272"/>
      <c r="C1489" s="272"/>
      <c r="D1489" s="172"/>
      <c r="E1489" s="267" t="str">
        <f t="shared" si="22"/>
        <v/>
      </c>
      <c r="F1489" s="274"/>
      <c r="G1489" s="42"/>
      <c r="H1489" s="264"/>
      <c r="I1489" s="277"/>
      <c r="J1489" s="276" t="str">
        <f>IF(ISBLANK(I1489), "", VLOOKUP(E1489&amp;" "&amp;F1489, 'Info Tipo de Cambio y REM'!$A$24:$B$35, 2, FALSE))
</f>
        <v/>
      </c>
      <c r="K1489" s="107"/>
      <c r="L1489" s="293"/>
      <c r="M1489" s="293"/>
      <c r="N1489" s="293"/>
      <c r="O1489" s="277"/>
      <c r="P1489" s="264"/>
      <c r="Q1489" s="264"/>
      <c r="R1489" s="264"/>
      <c r="S1489" s="264"/>
      <c r="T1489" s="264"/>
      <c r="U1489" s="264"/>
      <c r="V1489" s="264"/>
      <c r="W1489" s="264"/>
      <c r="X1489" s="264"/>
      <c r="Y1489" s="264"/>
      <c r="Z1489" s="264"/>
      <c r="AA1489" s="264"/>
      <c r="AB1489" s="264"/>
      <c r="AC1489" s="264"/>
      <c r="AD1489" s="264"/>
      <c r="AE1489" s="264"/>
    </row>
    <row r="1490">
      <c r="A1490" s="272"/>
      <c r="B1490" s="272"/>
      <c r="C1490" s="272"/>
      <c r="D1490" s="172"/>
      <c r="E1490" s="267" t="str">
        <f t="shared" si="22"/>
        <v/>
      </c>
      <c r="F1490" s="274"/>
      <c r="G1490" s="42"/>
      <c r="H1490" s="264"/>
      <c r="I1490" s="277"/>
      <c r="J1490" s="276" t="str">
        <f>IF(ISBLANK(I1490), "", VLOOKUP(E1490&amp;" "&amp;F1490, 'Info Tipo de Cambio y REM'!$A$24:$B$35, 2, FALSE))
</f>
        <v/>
      </c>
      <c r="K1490" s="107"/>
      <c r="L1490" s="293"/>
      <c r="M1490" s="293"/>
      <c r="N1490" s="293"/>
      <c r="O1490" s="277"/>
      <c r="P1490" s="264"/>
      <c r="Q1490" s="264"/>
      <c r="R1490" s="264"/>
      <c r="S1490" s="264"/>
      <c r="T1490" s="264"/>
      <c r="U1490" s="264"/>
      <c r="V1490" s="264"/>
      <c r="W1490" s="264"/>
      <c r="X1490" s="264"/>
      <c r="Y1490" s="264"/>
      <c r="Z1490" s="264"/>
      <c r="AA1490" s="264"/>
      <c r="AB1490" s="264"/>
      <c r="AC1490" s="264"/>
      <c r="AD1490" s="264"/>
      <c r="AE1490" s="264"/>
    </row>
    <row r="1491">
      <c r="A1491" s="272"/>
      <c r="B1491" s="272"/>
      <c r="C1491" s="272"/>
      <c r="D1491" s="172"/>
      <c r="E1491" s="267" t="str">
        <f t="shared" si="22"/>
        <v/>
      </c>
      <c r="F1491" s="274"/>
      <c r="G1491" s="42"/>
      <c r="H1491" s="264"/>
      <c r="I1491" s="277"/>
      <c r="J1491" s="276" t="str">
        <f>IF(ISBLANK(I1491), "", VLOOKUP(E1491&amp;" "&amp;F1491, 'Info Tipo de Cambio y REM'!$A$24:$B$35, 2, FALSE))
</f>
        <v/>
      </c>
      <c r="K1491" s="107"/>
      <c r="L1491" s="293"/>
      <c r="M1491" s="293"/>
      <c r="N1491" s="293"/>
      <c r="O1491" s="277"/>
      <c r="P1491" s="264"/>
      <c r="Q1491" s="264"/>
      <c r="R1491" s="264"/>
      <c r="S1491" s="264"/>
      <c r="T1491" s="264"/>
      <c r="U1491" s="264"/>
      <c r="V1491" s="264"/>
      <c r="W1491" s="264"/>
      <c r="X1491" s="264"/>
      <c r="Y1491" s="264"/>
      <c r="Z1491" s="264"/>
      <c r="AA1491" s="264"/>
      <c r="AB1491" s="264"/>
      <c r="AC1491" s="264"/>
      <c r="AD1491" s="264"/>
      <c r="AE1491" s="264"/>
    </row>
    <row r="1492">
      <c r="A1492" s="272"/>
      <c r="B1492" s="272"/>
      <c r="C1492" s="272"/>
      <c r="D1492" s="172"/>
      <c r="E1492" s="267" t="str">
        <f t="shared" si="22"/>
        <v/>
      </c>
      <c r="F1492" s="274"/>
      <c r="G1492" s="42"/>
      <c r="H1492" s="264"/>
      <c r="I1492" s="277"/>
      <c r="J1492" s="276" t="str">
        <f>IF(ISBLANK(I1492), "", VLOOKUP(E1492&amp;" "&amp;F1492, 'Info Tipo de Cambio y REM'!$A$24:$B$35, 2, FALSE))
</f>
        <v/>
      </c>
      <c r="K1492" s="107"/>
      <c r="L1492" s="293"/>
      <c r="M1492" s="293"/>
      <c r="N1492" s="293"/>
      <c r="O1492" s="277"/>
      <c r="P1492" s="264"/>
      <c r="Q1492" s="264"/>
      <c r="R1492" s="264"/>
      <c r="S1492" s="264"/>
      <c r="T1492" s="264"/>
      <c r="U1492" s="264"/>
      <c r="V1492" s="264"/>
      <c r="W1492" s="264"/>
      <c r="X1492" s="264"/>
      <c r="Y1492" s="264"/>
      <c r="Z1492" s="264"/>
      <c r="AA1492" s="264"/>
      <c r="AB1492" s="264"/>
      <c r="AC1492" s="264"/>
      <c r="AD1492" s="264"/>
      <c r="AE1492" s="264"/>
    </row>
    <row r="1493">
      <c r="A1493" s="272"/>
      <c r="B1493" s="272"/>
      <c r="C1493" s="272"/>
      <c r="D1493" s="172"/>
      <c r="E1493" s="267" t="str">
        <f t="shared" si="22"/>
        <v/>
      </c>
      <c r="F1493" s="274"/>
      <c r="G1493" s="42"/>
      <c r="H1493" s="264"/>
      <c r="I1493" s="277"/>
      <c r="J1493" s="276" t="str">
        <f>IF(ISBLANK(I1493), "", VLOOKUP(E1493&amp;" "&amp;F1493, 'Info Tipo de Cambio y REM'!$A$24:$B$35, 2, FALSE))
</f>
        <v/>
      </c>
      <c r="K1493" s="107"/>
      <c r="L1493" s="293"/>
      <c r="M1493" s="293"/>
      <c r="N1493" s="293"/>
      <c r="O1493" s="277"/>
      <c r="P1493" s="264"/>
      <c r="Q1493" s="264"/>
      <c r="R1493" s="264"/>
      <c r="S1493" s="264"/>
      <c r="T1493" s="264"/>
      <c r="U1493" s="264"/>
      <c r="V1493" s="264"/>
      <c r="W1493" s="264"/>
      <c r="X1493" s="264"/>
      <c r="Y1493" s="264"/>
      <c r="Z1493" s="264"/>
      <c r="AA1493" s="264"/>
      <c r="AB1493" s="264"/>
      <c r="AC1493" s="264"/>
      <c r="AD1493" s="264"/>
      <c r="AE1493" s="264"/>
    </row>
    <row r="1494">
      <c r="A1494" s="272"/>
      <c r="B1494" s="272"/>
      <c r="C1494" s="272"/>
      <c r="D1494" s="172"/>
      <c r="E1494" s="267" t="str">
        <f t="shared" si="22"/>
        <v/>
      </c>
      <c r="F1494" s="274"/>
      <c r="G1494" s="42"/>
      <c r="H1494" s="264"/>
      <c r="I1494" s="277"/>
      <c r="J1494" s="276" t="str">
        <f>IF(ISBLANK(I1494), "", VLOOKUP(E1494&amp;" "&amp;F1494, 'Info Tipo de Cambio y REM'!$A$24:$B$35, 2, FALSE))
</f>
        <v/>
      </c>
      <c r="K1494" s="107"/>
      <c r="L1494" s="293"/>
      <c r="M1494" s="293"/>
      <c r="N1494" s="293"/>
      <c r="O1494" s="277"/>
      <c r="P1494" s="264"/>
      <c r="Q1494" s="264"/>
      <c r="R1494" s="264"/>
      <c r="S1494" s="264"/>
      <c r="T1494" s="264"/>
      <c r="U1494" s="264"/>
      <c r="V1494" s="264"/>
      <c r="W1494" s="264"/>
      <c r="X1494" s="264"/>
      <c r="Y1494" s="264"/>
      <c r="Z1494" s="264"/>
      <c r="AA1494" s="264"/>
      <c r="AB1494" s="264"/>
      <c r="AC1494" s="264"/>
      <c r="AD1494" s="264"/>
      <c r="AE1494" s="264"/>
    </row>
    <row r="1495">
      <c r="A1495" s="272"/>
      <c r="B1495" s="272"/>
      <c r="C1495" s="272"/>
      <c r="D1495" s="172"/>
      <c r="E1495" s="267" t="str">
        <f t="shared" si="22"/>
        <v/>
      </c>
      <c r="F1495" s="274"/>
      <c r="G1495" s="42"/>
      <c r="H1495" s="264"/>
      <c r="I1495" s="277"/>
      <c r="J1495" s="276" t="str">
        <f>IF(ISBLANK(I1495), "", VLOOKUP(E1495&amp;" "&amp;F1495, 'Info Tipo de Cambio y REM'!$A$24:$B$35, 2, FALSE))
</f>
        <v/>
      </c>
      <c r="K1495" s="107"/>
      <c r="L1495" s="293"/>
      <c r="M1495" s="293"/>
      <c r="N1495" s="293"/>
      <c r="O1495" s="277"/>
      <c r="P1495" s="264"/>
      <c r="Q1495" s="264"/>
      <c r="R1495" s="264"/>
      <c r="S1495" s="264"/>
      <c r="T1495" s="264"/>
      <c r="U1495" s="264"/>
      <c r="V1495" s="264"/>
      <c r="W1495" s="264"/>
      <c r="X1495" s="264"/>
      <c r="Y1495" s="264"/>
      <c r="Z1495" s="264"/>
      <c r="AA1495" s="264"/>
      <c r="AB1495" s="264"/>
      <c r="AC1495" s="264"/>
      <c r="AD1495" s="264"/>
      <c r="AE1495" s="264"/>
    </row>
    <row r="1496">
      <c r="A1496" s="272"/>
      <c r="B1496" s="272"/>
      <c r="C1496" s="272"/>
      <c r="D1496" s="172"/>
      <c r="E1496" s="267" t="str">
        <f t="shared" si="22"/>
        <v/>
      </c>
      <c r="F1496" s="274"/>
      <c r="G1496" s="42"/>
      <c r="H1496" s="264"/>
      <c r="I1496" s="277"/>
      <c r="J1496" s="276" t="str">
        <f>IF(ISBLANK(I1496), "", VLOOKUP(E1496&amp;" "&amp;F1496, 'Info Tipo de Cambio y REM'!$A$24:$B$35, 2, FALSE))
</f>
        <v/>
      </c>
      <c r="K1496" s="107"/>
      <c r="L1496" s="293"/>
      <c r="M1496" s="293"/>
      <c r="N1496" s="293"/>
      <c r="O1496" s="277"/>
      <c r="P1496" s="264"/>
      <c r="Q1496" s="264"/>
      <c r="R1496" s="264"/>
      <c r="S1496" s="264"/>
      <c r="T1496" s="264"/>
      <c r="U1496" s="264"/>
      <c r="V1496" s="264"/>
      <c r="W1496" s="264"/>
      <c r="X1496" s="264"/>
      <c r="Y1496" s="264"/>
      <c r="Z1496" s="264"/>
      <c r="AA1496" s="264"/>
      <c r="AB1496" s="264"/>
      <c r="AC1496" s="264"/>
      <c r="AD1496" s="264"/>
      <c r="AE1496" s="264"/>
    </row>
    <row r="1497">
      <c r="A1497" s="272"/>
      <c r="B1497" s="272"/>
      <c r="C1497" s="272"/>
      <c r="D1497" s="172"/>
      <c r="E1497" s="267" t="str">
        <f t="shared" si="22"/>
        <v/>
      </c>
      <c r="F1497" s="274"/>
      <c r="G1497" s="42"/>
      <c r="H1497" s="264"/>
      <c r="I1497" s="277"/>
      <c r="J1497" s="276" t="str">
        <f>IF(ISBLANK(I1497), "", VLOOKUP(E1497&amp;" "&amp;F1497, 'Info Tipo de Cambio y REM'!$A$24:$B$35, 2, FALSE))
</f>
        <v/>
      </c>
      <c r="K1497" s="107"/>
      <c r="L1497" s="293"/>
      <c r="M1497" s="293"/>
      <c r="N1497" s="293"/>
      <c r="O1497" s="277"/>
      <c r="P1497" s="264"/>
      <c r="Q1497" s="264"/>
      <c r="R1497" s="264"/>
      <c r="S1497" s="264"/>
      <c r="T1497" s="264"/>
      <c r="U1497" s="264"/>
      <c r="V1497" s="264"/>
      <c r="W1497" s="264"/>
      <c r="X1497" s="264"/>
      <c r="Y1497" s="264"/>
      <c r="Z1497" s="264"/>
      <c r="AA1497" s="264"/>
      <c r="AB1497" s="264"/>
      <c r="AC1497" s="264"/>
      <c r="AD1497" s="264"/>
      <c r="AE1497" s="264"/>
    </row>
    <row r="1498">
      <c r="A1498" s="272"/>
      <c r="B1498" s="272"/>
      <c r="C1498" s="272"/>
      <c r="D1498" s="172"/>
      <c r="E1498" s="267" t="str">
        <f t="shared" si="22"/>
        <v/>
      </c>
      <c r="F1498" s="274"/>
      <c r="G1498" s="42"/>
      <c r="H1498" s="264"/>
      <c r="I1498" s="277"/>
      <c r="J1498" s="276" t="str">
        <f>IF(ISBLANK(I1498), "", VLOOKUP(E1498&amp;" "&amp;F1498, 'Info Tipo de Cambio y REM'!$A$24:$B$35, 2, FALSE))
</f>
        <v/>
      </c>
      <c r="K1498" s="107"/>
      <c r="L1498" s="293"/>
      <c r="M1498" s="293"/>
      <c r="N1498" s="293"/>
      <c r="O1498" s="277"/>
      <c r="P1498" s="264"/>
      <c r="Q1498" s="264"/>
      <c r="R1498" s="264"/>
      <c r="S1498" s="264"/>
      <c r="T1498" s="264"/>
      <c r="U1498" s="264"/>
      <c r="V1498" s="264"/>
      <c r="W1498" s="264"/>
      <c r="X1498" s="264"/>
      <c r="Y1498" s="264"/>
      <c r="Z1498" s="264"/>
      <c r="AA1498" s="264"/>
      <c r="AB1498" s="264"/>
      <c r="AC1498" s="264"/>
      <c r="AD1498" s="264"/>
      <c r="AE1498" s="264"/>
    </row>
    <row r="1499">
      <c r="A1499" s="272"/>
      <c r="B1499" s="272"/>
      <c r="C1499" s="272"/>
      <c r="D1499" s="172"/>
      <c r="E1499" s="267" t="str">
        <f t="shared" si="22"/>
        <v/>
      </c>
      <c r="F1499" s="274"/>
      <c r="G1499" s="42"/>
      <c r="H1499" s="264"/>
      <c r="I1499" s="277"/>
      <c r="J1499" s="276" t="str">
        <f>IF(ISBLANK(I1499), "", VLOOKUP(E1499&amp;" "&amp;F1499, 'Info Tipo de Cambio y REM'!$A$24:$B$35, 2, FALSE))
</f>
        <v/>
      </c>
      <c r="K1499" s="107"/>
      <c r="L1499" s="293"/>
      <c r="M1499" s="293"/>
      <c r="N1499" s="293"/>
      <c r="O1499" s="277"/>
      <c r="P1499" s="264"/>
      <c r="Q1499" s="264"/>
      <c r="R1499" s="264"/>
      <c r="S1499" s="264"/>
      <c r="T1499" s="264"/>
      <c r="U1499" s="264"/>
      <c r="V1499" s="264"/>
      <c r="W1499" s="264"/>
      <c r="X1499" s="264"/>
      <c r="Y1499" s="264"/>
      <c r="Z1499" s="264"/>
      <c r="AA1499" s="264"/>
      <c r="AB1499" s="264"/>
      <c r="AC1499" s="264"/>
      <c r="AD1499" s="264"/>
      <c r="AE1499" s="264"/>
    </row>
    <row r="1500">
      <c r="A1500" s="272"/>
      <c r="B1500" s="272"/>
      <c r="C1500" s="272"/>
      <c r="D1500" s="172"/>
      <c r="E1500" s="267" t="str">
        <f t="shared" si="22"/>
        <v/>
      </c>
      <c r="F1500" s="274"/>
      <c r="G1500" s="42"/>
      <c r="H1500" s="264"/>
      <c r="I1500" s="277"/>
      <c r="J1500" s="276" t="str">
        <f>IF(ISBLANK(I1500), "", VLOOKUP(E1500&amp;" "&amp;F1500, 'Info Tipo de Cambio y REM'!$A$24:$B$35, 2, FALSE))
</f>
        <v/>
      </c>
      <c r="K1500" s="107"/>
      <c r="L1500" s="293"/>
      <c r="M1500" s="293"/>
      <c r="N1500" s="293"/>
      <c r="O1500" s="277"/>
      <c r="P1500" s="264"/>
      <c r="Q1500" s="264"/>
      <c r="R1500" s="264"/>
      <c r="S1500" s="264"/>
      <c r="T1500" s="264"/>
      <c r="U1500" s="264"/>
      <c r="V1500" s="264"/>
      <c r="W1500" s="264"/>
      <c r="X1500" s="264"/>
      <c r="Y1500" s="264"/>
      <c r="Z1500" s="264"/>
      <c r="AA1500" s="264"/>
      <c r="AB1500" s="264"/>
      <c r="AC1500" s="264"/>
      <c r="AD1500" s="264"/>
      <c r="AE1500" s="264"/>
    </row>
    <row r="1501">
      <c r="A1501" s="272"/>
      <c r="B1501" s="272"/>
      <c r="C1501" s="272"/>
      <c r="D1501" s="172"/>
      <c r="E1501" s="267" t="str">
        <f t="shared" si="22"/>
        <v/>
      </c>
      <c r="F1501" s="274"/>
      <c r="G1501" s="42"/>
      <c r="H1501" s="264"/>
      <c r="I1501" s="277"/>
      <c r="J1501" s="276" t="str">
        <f>IF(ISBLANK(I1501), "", VLOOKUP(E1501&amp;" "&amp;F1501, 'Info Tipo de Cambio y REM'!$A$24:$B$35, 2, FALSE))
</f>
        <v/>
      </c>
      <c r="K1501" s="107"/>
      <c r="L1501" s="293"/>
      <c r="M1501" s="293"/>
      <c r="N1501" s="293"/>
      <c r="O1501" s="277"/>
      <c r="P1501" s="264"/>
      <c r="Q1501" s="264"/>
      <c r="R1501" s="264"/>
      <c r="S1501" s="264"/>
      <c r="T1501" s="264"/>
      <c r="U1501" s="264"/>
      <c r="V1501" s="264"/>
      <c r="W1501" s="264"/>
      <c r="X1501" s="264"/>
      <c r="Y1501" s="264"/>
      <c r="Z1501" s="264"/>
      <c r="AA1501" s="264"/>
      <c r="AB1501" s="264"/>
      <c r="AC1501" s="264"/>
      <c r="AD1501" s="264"/>
      <c r="AE1501" s="264"/>
    </row>
    <row r="1502">
      <c r="A1502" s="272"/>
      <c r="B1502" s="272"/>
      <c r="C1502" s="272"/>
      <c r="D1502" s="172"/>
      <c r="E1502" s="267" t="str">
        <f t="shared" si="22"/>
        <v/>
      </c>
      <c r="F1502" s="274"/>
      <c r="G1502" s="42"/>
      <c r="H1502" s="264"/>
      <c r="I1502" s="277"/>
      <c r="J1502" s="276" t="str">
        <f>IF(ISBLANK(I1502), "", VLOOKUP(E1502&amp;" "&amp;F1502, 'Info Tipo de Cambio y REM'!$A$24:$B$35, 2, FALSE))
</f>
        <v/>
      </c>
      <c r="K1502" s="107"/>
      <c r="L1502" s="293"/>
      <c r="M1502" s="293"/>
      <c r="N1502" s="293"/>
      <c r="O1502" s="277"/>
      <c r="P1502" s="264"/>
      <c r="Q1502" s="264"/>
      <c r="R1502" s="264"/>
      <c r="S1502" s="264"/>
      <c r="T1502" s="264"/>
      <c r="U1502" s="264"/>
      <c r="V1502" s="264"/>
      <c r="W1502" s="264"/>
      <c r="X1502" s="264"/>
      <c r="Y1502" s="264"/>
      <c r="Z1502" s="264"/>
      <c r="AA1502" s="264"/>
      <c r="AB1502" s="264"/>
      <c r="AC1502" s="264"/>
      <c r="AD1502" s="264"/>
      <c r="AE1502" s="264"/>
    </row>
    <row r="1503">
      <c r="A1503" s="272"/>
      <c r="B1503" s="272"/>
      <c r="C1503" s="272"/>
      <c r="D1503" s="172"/>
      <c r="E1503" s="267" t="str">
        <f t="shared" si="22"/>
        <v/>
      </c>
      <c r="F1503" s="274"/>
      <c r="G1503" s="42"/>
      <c r="H1503" s="264"/>
      <c r="I1503" s="277"/>
      <c r="J1503" s="276" t="str">
        <f>IF(ISBLANK(I1503), "", VLOOKUP(E1503&amp;" "&amp;F1503, 'Info Tipo de Cambio y REM'!$A$24:$B$35, 2, FALSE))
</f>
        <v/>
      </c>
      <c r="K1503" s="107"/>
      <c r="L1503" s="293"/>
      <c r="M1503" s="293"/>
      <c r="N1503" s="293"/>
      <c r="O1503" s="277"/>
      <c r="P1503" s="264"/>
      <c r="Q1503" s="264"/>
      <c r="R1503" s="264"/>
      <c r="S1503" s="264"/>
      <c r="T1503" s="264"/>
      <c r="U1503" s="264"/>
      <c r="V1503" s="264"/>
      <c r="W1503" s="264"/>
      <c r="X1503" s="264"/>
      <c r="Y1503" s="264"/>
      <c r="Z1503" s="264"/>
      <c r="AA1503" s="264"/>
      <c r="AB1503" s="264"/>
      <c r="AC1503" s="264"/>
      <c r="AD1503" s="264"/>
      <c r="AE1503" s="264"/>
    </row>
    <row r="1504">
      <c r="A1504" s="272"/>
      <c r="B1504" s="272"/>
      <c r="C1504" s="272"/>
      <c r="D1504" s="172"/>
      <c r="E1504" s="267" t="str">
        <f t="shared" si="22"/>
        <v/>
      </c>
      <c r="F1504" s="274"/>
      <c r="G1504" s="42"/>
      <c r="H1504" s="264"/>
      <c r="I1504" s="277"/>
      <c r="J1504" s="276" t="str">
        <f>IF(ISBLANK(I1504), "", VLOOKUP(E1504&amp;" "&amp;F1504, 'Info Tipo de Cambio y REM'!$A$24:$B$35, 2, FALSE))
</f>
        <v/>
      </c>
      <c r="K1504" s="107"/>
      <c r="L1504" s="293"/>
      <c r="M1504" s="293"/>
      <c r="N1504" s="293"/>
      <c r="O1504" s="277"/>
      <c r="P1504" s="264"/>
      <c r="Q1504" s="264"/>
      <c r="R1504" s="264"/>
      <c r="S1504" s="264"/>
      <c r="T1504" s="264"/>
      <c r="U1504" s="264"/>
      <c r="V1504" s="264"/>
      <c r="W1504" s="264"/>
      <c r="X1504" s="264"/>
      <c r="Y1504" s="264"/>
      <c r="Z1504" s="264"/>
      <c r="AA1504" s="264"/>
      <c r="AB1504" s="264"/>
      <c r="AC1504" s="264"/>
      <c r="AD1504" s="264"/>
      <c r="AE1504" s="264"/>
    </row>
    <row r="1505">
      <c r="A1505" s="272"/>
      <c r="B1505" s="272"/>
      <c r="C1505" s="272"/>
      <c r="D1505" s="172"/>
      <c r="E1505" s="267" t="str">
        <f t="shared" si="22"/>
        <v/>
      </c>
      <c r="F1505" s="274"/>
      <c r="G1505" s="42"/>
      <c r="H1505" s="264"/>
      <c r="I1505" s="277"/>
      <c r="J1505" s="276" t="str">
        <f>IF(ISBLANK(I1505), "", VLOOKUP(E1505&amp;" "&amp;F1505, 'Info Tipo de Cambio y REM'!$A$24:$B$35, 2, FALSE))
</f>
        <v/>
      </c>
      <c r="K1505" s="107"/>
      <c r="L1505" s="293"/>
      <c r="M1505" s="293"/>
      <c r="N1505" s="293"/>
      <c r="O1505" s="277"/>
      <c r="P1505" s="264"/>
      <c r="Q1505" s="264"/>
      <c r="R1505" s="264"/>
      <c r="S1505" s="264"/>
      <c r="T1505" s="264"/>
      <c r="U1505" s="264"/>
      <c r="V1505" s="264"/>
      <c r="W1505" s="264"/>
      <c r="X1505" s="264"/>
      <c r="Y1505" s="264"/>
      <c r="Z1505" s="264"/>
      <c r="AA1505" s="264"/>
      <c r="AB1505" s="264"/>
      <c r="AC1505" s="264"/>
      <c r="AD1505" s="264"/>
      <c r="AE1505" s="264"/>
    </row>
    <row r="1506">
      <c r="A1506" s="272"/>
      <c r="B1506" s="272"/>
      <c r="C1506" s="272"/>
      <c r="D1506" s="172"/>
      <c r="E1506" s="267" t="str">
        <f t="shared" si="22"/>
        <v/>
      </c>
      <c r="F1506" s="274"/>
      <c r="G1506" s="42"/>
      <c r="H1506" s="264"/>
      <c r="I1506" s="277"/>
      <c r="J1506" s="276" t="str">
        <f>IF(ISBLANK(I1506), "", VLOOKUP(E1506&amp;" "&amp;F1506, 'Info Tipo de Cambio y REM'!$A$24:$B$35, 2, FALSE))
</f>
        <v/>
      </c>
      <c r="K1506" s="107"/>
      <c r="L1506" s="293"/>
      <c r="M1506" s="293"/>
      <c r="N1506" s="293"/>
      <c r="O1506" s="277"/>
      <c r="P1506" s="264"/>
      <c r="Q1506" s="264"/>
      <c r="R1506" s="264"/>
      <c r="S1506" s="264"/>
      <c r="T1506" s="264"/>
      <c r="U1506" s="264"/>
      <c r="V1506" s="264"/>
      <c r="W1506" s="264"/>
      <c r="X1506" s="264"/>
      <c r="Y1506" s="264"/>
      <c r="Z1506" s="264"/>
      <c r="AA1506" s="264"/>
      <c r="AB1506" s="264"/>
      <c r="AC1506" s="264"/>
      <c r="AD1506" s="264"/>
      <c r="AE1506" s="264"/>
    </row>
    <row r="1507">
      <c r="A1507" s="272"/>
      <c r="B1507" s="272"/>
      <c r="C1507" s="272"/>
      <c r="D1507" s="172"/>
      <c r="E1507" s="267" t="str">
        <f t="shared" si="22"/>
        <v/>
      </c>
      <c r="F1507" s="274"/>
      <c r="G1507" s="42"/>
      <c r="H1507" s="264"/>
      <c r="I1507" s="277"/>
      <c r="J1507" s="276" t="str">
        <f>IF(ISBLANK(I1507), "", VLOOKUP(E1507&amp;" "&amp;F1507, 'Info Tipo de Cambio y REM'!$A$24:$B$35, 2, FALSE))
</f>
        <v/>
      </c>
      <c r="K1507" s="107"/>
      <c r="L1507" s="293"/>
      <c r="M1507" s="293"/>
      <c r="N1507" s="293"/>
      <c r="O1507" s="277"/>
      <c r="P1507" s="264"/>
      <c r="Q1507" s="264"/>
      <c r="R1507" s="264"/>
      <c r="S1507" s="264"/>
      <c r="T1507" s="264"/>
      <c r="U1507" s="264"/>
      <c r="V1507" s="264"/>
      <c r="W1507" s="264"/>
      <c r="X1507" s="264"/>
      <c r="Y1507" s="264"/>
      <c r="Z1507" s="264"/>
      <c r="AA1507" s="264"/>
      <c r="AB1507" s="264"/>
      <c r="AC1507" s="264"/>
      <c r="AD1507" s="264"/>
      <c r="AE1507" s="264"/>
    </row>
    <row r="1508">
      <c r="A1508" s="272"/>
      <c r="B1508" s="272"/>
      <c r="C1508" s="272"/>
      <c r="D1508" s="172"/>
      <c r="E1508" s="267" t="str">
        <f t="shared" si="22"/>
        <v/>
      </c>
      <c r="F1508" s="274"/>
      <c r="G1508" s="42"/>
      <c r="H1508" s="264"/>
      <c r="I1508" s="277"/>
      <c r="J1508" s="276" t="str">
        <f>IF(ISBLANK(I1508), "", VLOOKUP(E1508&amp;" "&amp;F1508, 'Info Tipo de Cambio y REM'!$A$24:$B$35, 2, FALSE))
</f>
        <v/>
      </c>
      <c r="K1508" s="107"/>
      <c r="L1508" s="293"/>
      <c r="M1508" s="293"/>
      <c r="N1508" s="293"/>
      <c r="O1508" s="277"/>
      <c r="P1508" s="264"/>
      <c r="Q1508" s="264"/>
      <c r="R1508" s="264"/>
      <c r="S1508" s="264"/>
      <c r="T1508" s="264"/>
      <c r="U1508" s="264"/>
      <c r="V1508" s="264"/>
      <c r="W1508" s="264"/>
      <c r="X1508" s="264"/>
      <c r="Y1508" s="264"/>
      <c r="Z1508" s="264"/>
      <c r="AA1508" s="264"/>
      <c r="AB1508" s="264"/>
      <c r="AC1508" s="264"/>
      <c r="AD1508" s="264"/>
      <c r="AE1508" s="264"/>
    </row>
    <row r="1509">
      <c r="A1509" s="272"/>
      <c r="B1509" s="272"/>
      <c r="C1509" s="272"/>
      <c r="D1509" s="172"/>
      <c r="E1509" s="267" t="str">
        <f t="shared" si="22"/>
        <v/>
      </c>
      <c r="F1509" s="274"/>
      <c r="G1509" s="42"/>
      <c r="H1509" s="264"/>
      <c r="I1509" s="277"/>
      <c r="J1509" s="276" t="str">
        <f>IF(ISBLANK(I1509), "", VLOOKUP(E1509&amp;" "&amp;F1509, 'Info Tipo de Cambio y REM'!$A$24:$B$35, 2, FALSE))
</f>
        <v/>
      </c>
      <c r="K1509" s="107"/>
      <c r="L1509" s="293"/>
      <c r="M1509" s="293"/>
      <c r="N1509" s="293"/>
      <c r="O1509" s="277"/>
      <c r="P1509" s="264"/>
      <c r="Q1509" s="264"/>
      <c r="R1509" s="264"/>
      <c r="S1509" s="264"/>
      <c r="T1509" s="264"/>
      <c r="U1509" s="264"/>
      <c r="V1509" s="264"/>
      <c r="W1509" s="264"/>
      <c r="X1509" s="264"/>
      <c r="Y1509" s="264"/>
      <c r="Z1509" s="264"/>
      <c r="AA1509" s="264"/>
      <c r="AB1509" s="264"/>
      <c r="AC1509" s="264"/>
      <c r="AD1509" s="264"/>
      <c r="AE1509" s="264"/>
    </row>
    <row r="1510">
      <c r="A1510" s="272"/>
      <c r="B1510" s="272"/>
      <c r="C1510" s="272"/>
      <c r="D1510" s="172"/>
      <c r="E1510" s="267" t="str">
        <f t="shared" si="22"/>
        <v/>
      </c>
      <c r="F1510" s="274"/>
      <c r="G1510" s="42"/>
      <c r="H1510" s="264"/>
      <c r="I1510" s="277"/>
      <c r="J1510" s="276" t="str">
        <f>IF(ISBLANK(I1510), "", VLOOKUP(E1510&amp;" "&amp;F1510, 'Info Tipo de Cambio y REM'!$A$24:$B$35, 2, FALSE))
</f>
        <v/>
      </c>
      <c r="K1510" s="107"/>
      <c r="L1510" s="293"/>
      <c r="M1510" s="293"/>
      <c r="N1510" s="293"/>
      <c r="O1510" s="277"/>
      <c r="P1510" s="264"/>
      <c r="Q1510" s="264"/>
      <c r="R1510" s="264"/>
      <c r="S1510" s="264"/>
      <c r="T1510" s="264"/>
      <c r="U1510" s="264"/>
      <c r="V1510" s="264"/>
      <c r="W1510" s="264"/>
      <c r="X1510" s="264"/>
      <c r="Y1510" s="264"/>
      <c r="Z1510" s="264"/>
      <c r="AA1510" s="264"/>
      <c r="AB1510" s="264"/>
      <c r="AC1510" s="264"/>
      <c r="AD1510" s="264"/>
      <c r="AE1510" s="264"/>
    </row>
    <row r="1511">
      <c r="A1511" s="272"/>
      <c r="B1511" s="272"/>
      <c r="C1511" s="272"/>
      <c r="D1511" s="172"/>
      <c r="E1511" s="267" t="str">
        <f t="shared" si="22"/>
        <v/>
      </c>
      <c r="F1511" s="274"/>
      <c r="G1511" s="42"/>
      <c r="H1511" s="264"/>
      <c r="I1511" s="277"/>
      <c r="J1511" s="276" t="str">
        <f>IF(ISBLANK(I1511), "", VLOOKUP(E1511&amp;" "&amp;F1511, 'Info Tipo de Cambio y REM'!$A$24:$B$35, 2, FALSE))
</f>
        <v/>
      </c>
      <c r="K1511" s="107"/>
      <c r="L1511" s="293"/>
      <c r="M1511" s="293"/>
      <c r="N1511" s="293"/>
      <c r="O1511" s="277"/>
      <c r="P1511" s="264"/>
      <c r="Q1511" s="264"/>
      <c r="R1511" s="264"/>
      <c r="S1511" s="264"/>
      <c r="T1511" s="264"/>
      <c r="U1511" s="264"/>
      <c r="V1511" s="264"/>
      <c r="W1511" s="264"/>
      <c r="X1511" s="264"/>
      <c r="Y1511" s="264"/>
      <c r="Z1511" s="264"/>
      <c r="AA1511" s="264"/>
      <c r="AB1511" s="264"/>
      <c r="AC1511" s="264"/>
      <c r="AD1511" s="264"/>
      <c r="AE1511" s="264"/>
    </row>
    <row r="1512">
      <c r="A1512" s="272"/>
      <c r="B1512" s="272"/>
      <c r="C1512" s="272"/>
      <c r="D1512" s="172"/>
      <c r="E1512" s="267" t="str">
        <f t="shared" si="22"/>
        <v/>
      </c>
      <c r="F1512" s="274"/>
      <c r="G1512" s="42"/>
      <c r="H1512" s="264"/>
      <c r="I1512" s="277"/>
      <c r="J1512" s="276" t="str">
        <f>IF(ISBLANK(I1512), "", VLOOKUP(E1512&amp;" "&amp;F1512, 'Info Tipo de Cambio y REM'!$A$24:$B$35, 2, FALSE))
</f>
        <v/>
      </c>
      <c r="K1512" s="107"/>
      <c r="L1512" s="293"/>
      <c r="M1512" s="293"/>
      <c r="N1512" s="293"/>
      <c r="O1512" s="277"/>
      <c r="P1512" s="264"/>
      <c r="Q1512" s="264"/>
      <c r="R1512" s="264"/>
      <c r="S1512" s="264"/>
      <c r="T1512" s="264"/>
      <c r="U1512" s="264"/>
      <c r="V1512" s="264"/>
      <c r="W1512" s="264"/>
      <c r="X1512" s="264"/>
      <c r="Y1512" s="264"/>
      <c r="Z1512" s="264"/>
      <c r="AA1512" s="264"/>
      <c r="AB1512" s="264"/>
      <c r="AC1512" s="264"/>
      <c r="AD1512" s="264"/>
      <c r="AE1512" s="264"/>
    </row>
    <row r="1513">
      <c r="A1513" s="272"/>
      <c r="B1513" s="272"/>
      <c r="C1513" s="272"/>
      <c r="D1513" s="172"/>
      <c r="E1513" s="267" t="str">
        <f t="shared" si="22"/>
        <v/>
      </c>
      <c r="F1513" s="274"/>
      <c r="G1513" s="42"/>
      <c r="H1513" s="264"/>
      <c r="I1513" s="277"/>
      <c r="J1513" s="276" t="str">
        <f>IF(ISBLANK(I1513), "", VLOOKUP(E1513&amp;" "&amp;F1513, 'Info Tipo de Cambio y REM'!$A$24:$B$35, 2, FALSE))
</f>
        <v/>
      </c>
      <c r="K1513" s="107"/>
      <c r="L1513" s="293"/>
      <c r="M1513" s="293"/>
      <c r="N1513" s="293"/>
      <c r="O1513" s="277"/>
      <c r="P1513" s="264"/>
      <c r="Q1513" s="264"/>
      <c r="R1513" s="264"/>
      <c r="S1513" s="264"/>
      <c r="T1513" s="264"/>
      <c r="U1513" s="264"/>
      <c r="V1513" s="264"/>
      <c r="W1513" s="264"/>
      <c r="X1513" s="264"/>
      <c r="Y1513" s="264"/>
      <c r="Z1513" s="264"/>
      <c r="AA1513" s="264"/>
      <c r="AB1513" s="264"/>
      <c r="AC1513" s="264"/>
      <c r="AD1513" s="264"/>
      <c r="AE1513" s="264"/>
    </row>
    <row r="1514">
      <c r="A1514" s="272"/>
      <c r="B1514" s="272"/>
      <c r="C1514" s="272"/>
      <c r="D1514" s="172"/>
      <c r="E1514" s="267" t="str">
        <f t="shared" si="22"/>
        <v/>
      </c>
      <c r="F1514" s="274"/>
      <c r="G1514" s="42"/>
      <c r="H1514" s="264"/>
      <c r="I1514" s="277"/>
      <c r="J1514" s="276" t="str">
        <f>IF(ISBLANK(I1514), "", VLOOKUP(E1514&amp;" "&amp;F1514, 'Info Tipo de Cambio y REM'!$A$24:$B$35, 2, FALSE))
</f>
        <v/>
      </c>
      <c r="K1514" s="107"/>
      <c r="L1514" s="293"/>
      <c r="M1514" s="293"/>
      <c r="N1514" s="293"/>
      <c r="O1514" s="277"/>
      <c r="P1514" s="264"/>
      <c r="Q1514" s="264"/>
      <c r="R1514" s="264"/>
      <c r="S1514" s="264"/>
      <c r="T1514" s="264"/>
      <c r="U1514" s="264"/>
      <c r="V1514" s="264"/>
      <c r="W1514" s="264"/>
      <c r="X1514" s="264"/>
      <c r="Y1514" s="264"/>
      <c r="Z1514" s="264"/>
      <c r="AA1514" s="264"/>
      <c r="AB1514" s="264"/>
      <c r="AC1514" s="264"/>
      <c r="AD1514" s="264"/>
      <c r="AE1514" s="264"/>
    </row>
    <row r="1515">
      <c r="A1515" s="272"/>
      <c r="B1515" s="272"/>
      <c r="C1515" s="272"/>
      <c r="D1515" s="172"/>
      <c r="E1515" s="267" t="str">
        <f t="shared" si="22"/>
        <v/>
      </c>
      <c r="F1515" s="274"/>
      <c r="G1515" s="42"/>
      <c r="H1515" s="264"/>
      <c r="I1515" s="277"/>
      <c r="J1515" s="276" t="str">
        <f>IF(ISBLANK(I1515), "", VLOOKUP(E1515&amp;" "&amp;F1515, 'Info Tipo de Cambio y REM'!$A$24:$B$35, 2, FALSE))
</f>
        <v/>
      </c>
      <c r="K1515" s="107"/>
      <c r="L1515" s="293"/>
      <c r="M1515" s="293"/>
      <c r="N1515" s="293"/>
      <c r="O1515" s="277"/>
      <c r="P1515" s="264"/>
      <c r="Q1515" s="264"/>
      <c r="R1515" s="264"/>
      <c r="S1515" s="264"/>
      <c r="T1515" s="264"/>
      <c r="U1515" s="264"/>
      <c r="V1515" s="264"/>
      <c r="W1515" s="264"/>
      <c r="X1515" s="264"/>
      <c r="Y1515" s="264"/>
      <c r="Z1515" s="264"/>
      <c r="AA1515" s="264"/>
      <c r="AB1515" s="264"/>
      <c r="AC1515" s="264"/>
      <c r="AD1515" s="264"/>
      <c r="AE1515" s="264"/>
    </row>
    <row r="1516">
      <c r="A1516" s="272"/>
      <c r="B1516" s="272"/>
      <c r="C1516" s="272"/>
      <c r="D1516" s="172"/>
      <c r="E1516" s="267" t="str">
        <f t="shared" si="22"/>
        <v/>
      </c>
      <c r="F1516" s="274"/>
      <c r="G1516" s="42"/>
      <c r="H1516" s="264"/>
      <c r="I1516" s="277"/>
      <c r="J1516" s="276" t="str">
        <f>IF(ISBLANK(I1516), "", VLOOKUP(E1516&amp;" "&amp;F1516, 'Info Tipo de Cambio y REM'!$A$24:$B$35, 2, FALSE))
</f>
        <v/>
      </c>
      <c r="K1516" s="107"/>
      <c r="L1516" s="293"/>
      <c r="M1516" s="293"/>
      <c r="N1516" s="293"/>
      <c r="O1516" s="277"/>
      <c r="P1516" s="264"/>
      <c r="Q1516" s="264"/>
      <c r="R1516" s="264"/>
      <c r="S1516" s="264"/>
      <c r="T1516" s="264"/>
      <c r="U1516" s="264"/>
      <c r="V1516" s="264"/>
      <c r="W1516" s="264"/>
      <c r="X1516" s="264"/>
      <c r="Y1516" s="264"/>
      <c r="Z1516" s="264"/>
      <c r="AA1516" s="264"/>
      <c r="AB1516" s="264"/>
      <c r="AC1516" s="264"/>
      <c r="AD1516" s="264"/>
      <c r="AE1516" s="264"/>
    </row>
    <row r="1517">
      <c r="A1517" s="272"/>
      <c r="B1517" s="272"/>
      <c r="C1517" s="272"/>
      <c r="D1517" s="172"/>
      <c r="E1517" s="267" t="str">
        <f t="shared" si="22"/>
        <v/>
      </c>
      <c r="F1517" s="274"/>
      <c r="G1517" s="42"/>
      <c r="H1517" s="264"/>
      <c r="I1517" s="277"/>
      <c r="J1517" s="276" t="str">
        <f>IF(ISBLANK(I1517), "", VLOOKUP(E1517&amp;" "&amp;F1517, 'Info Tipo de Cambio y REM'!$A$24:$B$35, 2, FALSE))
</f>
        <v/>
      </c>
      <c r="K1517" s="107"/>
      <c r="L1517" s="293"/>
      <c r="M1517" s="293"/>
      <c r="N1517" s="293"/>
      <c r="O1517" s="277"/>
      <c r="P1517" s="264"/>
      <c r="Q1517" s="264"/>
      <c r="R1517" s="264"/>
      <c r="S1517" s="264"/>
      <c r="T1517" s="264"/>
      <c r="U1517" s="264"/>
      <c r="V1517" s="264"/>
      <c r="W1517" s="264"/>
      <c r="X1517" s="264"/>
      <c r="Y1517" s="264"/>
      <c r="Z1517" s="264"/>
      <c r="AA1517" s="264"/>
      <c r="AB1517" s="264"/>
      <c r="AC1517" s="264"/>
      <c r="AD1517" s="264"/>
      <c r="AE1517" s="264"/>
    </row>
    <row r="1518">
      <c r="A1518" s="272"/>
      <c r="B1518" s="272"/>
      <c r="C1518" s="272"/>
      <c r="D1518" s="172"/>
      <c r="E1518" s="267" t="str">
        <f t="shared" si="22"/>
        <v/>
      </c>
      <c r="F1518" s="274"/>
      <c r="G1518" s="42"/>
      <c r="H1518" s="264"/>
      <c r="I1518" s="277"/>
      <c r="J1518" s="276" t="str">
        <f>IF(ISBLANK(I1518), "", VLOOKUP(E1518&amp;" "&amp;F1518, 'Info Tipo de Cambio y REM'!$A$24:$B$35, 2, FALSE))
</f>
        <v/>
      </c>
      <c r="K1518" s="107"/>
      <c r="L1518" s="293"/>
      <c r="M1518" s="293"/>
      <c r="N1518" s="293"/>
      <c r="O1518" s="277"/>
      <c r="P1518" s="264"/>
      <c r="Q1518" s="264"/>
      <c r="R1518" s="264"/>
      <c r="S1518" s="264"/>
      <c r="T1518" s="264"/>
      <c r="U1518" s="264"/>
      <c r="V1518" s="264"/>
      <c r="W1518" s="264"/>
      <c r="X1518" s="264"/>
      <c r="Y1518" s="264"/>
      <c r="Z1518" s="264"/>
      <c r="AA1518" s="264"/>
      <c r="AB1518" s="264"/>
      <c r="AC1518" s="264"/>
      <c r="AD1518" s="264"/>
      <c r="AE1518" s="264"/>
    </row>
    <row r="1519">
      <c r="A1519" s="272"/>
      <c r="B1519" s="272"/>
      <c r="C1519" s="272"/>
      <c r="D1519" s="172"/>
      <c r="E1519" s="267" t="str">
        <f t="shared" si="22"/>
        <v/>
      </c>
      <c r="F1519" s="274"/>
      <c r="G1519" s="42"/>
      <c r="H1519" s="264"/>
      <c r="I1519" s="277"/>
      <c r="J1519" s="276" t="str">
        <f>IF(ISBLANK(I1519), "", VLOOKUP(E1519&amp;" "&amp;F1519, 'Info Tipo de Cambio y REM'!$A$24:$B$35, 2, FALSE))
</f>
        <v/>
      </c>
      <c r="K1519" s="107"/>
      <c r="L1519" s="293"/>
      <c r="M1519" s="293"/>
      <c r="N1519" s="293"/>
      <c r="O1519" s="277"/>
      <c r="P1519" s="264"/>
      <c r="Q1519" s="264"/>
      <c r="R1519" s="264"/>
      <c r="S1519" s="264"/>
      <c r="T1519" s="264"/>
      <c r="U1519" s="264"/>
      <c r="V1519" s="264"/>
      <c r="W1519" s="264"/>
      <c r="X1519" s="264"/>
      <c r="Y1519" s="264"/>
      <c r="Z1519" s="264"/>
      <c r="AA1519" s="264"/>
      <c r="AB1519" s="264"/>
      <c r="AC1519" s="264"/>
      <c r="AD1519" s="264"/>
      <c r="AE1519" s="264"/>
    </row>
    <row r="1520">
      <c r="A1520" s="272"/>
      <c r="B1520" s="272"/>
      <c r="C1520" s="272"/>
      <c r="D1520" s="172"/>
      <c r="E1520" s="267" t="str">
        <f t="shared" si="22"/>
        <v/>
      </c>
      <c r="F1520" s="274"/>
      <c r="G1520" s="42"/>
      <c r="H1520" s="264"/>
      <c r="I1520" s="277"/>
      <c r="J1520" s="276" t="str">
        <f>IF(ISBLANK(I1520), "", VLOOKUP(E1520&amp;" "&amp;F1520, 'Info Tipo de Cambio y REM'!$A$24:$B$35, 2, FALSE))
</f>
        <v/>
      </c>
      <c r="K1520" s="107"/>
      <c r="L1520" s="293"/>
      <c r="M1520" s="293"/>
      <c r="N1520" s="293"/>
      <c r="O1520" s="277"/>
      <c r="P1520" s="264"/>
      <c r="Q1520" s="264"/>
      <c r="R1520" s="264"/>
      <c r="S1520" s="264"/>
      <c r="T1520" s="264"/>
      <c r="U1520" s="264"/>
      <c r="V1520" s="264"/>
      <c r="W1520" s="264"/>
      <c r="X1520" s="264"/>
      <c r="Y1520" s="264"/>
      <c r="Z1520" s="264"/>
      <c r="AA1520" s="264"/>
      <c r="AB1520" s="264"/>
      <c r="AC1520" s="264"/>
      <c r="AD1520" s="264"/>
      <c r="AE1520" s="264"/>
    </row>
    <row r="1521">
      <c r="A1521" s="272"/>
      <c r="B1521" s="272"/>
      <c r="C1521" s="272"/>
      <c r="D1521" s="172"/>
      <c r="E1521" s="267" t="str">
        <f t="shared" si="22"/>
        <v/>
      </c>
      <c r="F1521" s="274"/>
      <c r="G1521" s="42"/>
      <c r="H1521" s="264"/>
      <c r="I1521" s="277"/>
      <c r="J1521" s="276" t="str">
        <f>IF(ISBLANK(I1521), "", VLOOKUP(E1521&amp;" "&amp;F1521, 'Info Tipo de Cambio y REM'!$A$24:$B$35, 2, FALSE))
</f>
        <v/>
      </c>
      <c r="K1521" s="107"/>
      <c r="L1521" s="293"/>
      <c r="M1521" s="293"/>
      <c r="N1521" s="293"/>
      <c r="O1521" s="277"/>
      <c r="P1521" s="264"/>
      <c r="Q1521" s="264"/>
      <c r="R1521" s="264"/>
      <c r="S1521" s="264"/>
      <c r="T1521" s="264"/>
      <c r="U1521" s="264"/>
      <c r="V1521" s="264"/>
      <c r="W1521" s="264"/>
      <c r="X1521" s="264"/>
      <c r="Y1521" s="264"/>
      <c r="Z1521" s="264"/>
      <c r="AA1521" s="264"/>
      <c r="AB1521" s="264"/>
      <c r="AC1521" s="264"/>
      <c r="AD1521" s="264"/>
      <c r="AE1521" s="264"/>
    </row>
    <row r="1522">
      <c r="A1522" s="272"/>
      <c r="B1522" s="272"/>
      <c r="C1522" s="272"/>
      <c r="D1522" s="172"/>
      <c r="E1522" s="267" t="str">
        <f t="shared" si="22"/>
        <v/>
      </c>
      <c r="F1522" s="274"/>
      <c r="G1522" s="42"/>
      <c r="H1522" s="264"/>
      <c r="I1522" s="277"/>
      <c r="J1522" s="276" t="str">
        <f>IF(ISBLANK(I1522), "", VLOOKUP(E1522&amp;" "&amp;F1522, 'Info Tipo de Cambio y REM'!$A$24:$B$35, 2, FALSE))
</f>
        <v/>
      </c>
      <c r="K1522" s="107"/>
      <c r="L1522" s="293"/>
      <c r="M1522" s="293"/>
      <c r="N1522" s="293"/>
      <c r="O1522" s="277"/>
      <c r="P1522" s="264"/>
      <c r="Q1522" s="264"/>
      <c r="R1522" s="264"/>
      <c r="S1522" s="264"/>
      <c r="T1522" s="264"/>
      <c r="U1522" s="264"/>
      <c r="V1522" s="264"/>
      <c r="W1522" s="264"/>
      <c r="X1522" s="264"/>
      <c r="Y1522" s="264"/>
      <c r="Z1522" s="264"/>
      <c r="AA1522" s="264"/>
      <c r="AB1522" s="264"/>
      <c r="AC1522" s="264"/>
      <c r="AD1522" s="264"/>
      <c r="AE1522" s="264"/>
    </row>
    <row r="1523">
      <c r="A1523" s="272"/>
      <c r="B1523" s="272"/>
      <c r="C1523" s="272"/>
      <c r="D1523" s="172"/>
      <c r="E1523" s="267" t="str">
        <f t="shared" si="22"/>
        <v/>
      </c>
      <c r="F1523" s="274"/>
      <c r="G1523" s="42"/>
      <c r="H1523" s="264"/>
      <c r="I1523" s="277"/>
      <c r="J1523" s="276" t="str">
        <f>IF(ISBLANK(I1523), "", VLOOKUP(E1523&amp;" "&amp;F1523, 'Info Tipo de Cambio y REM'!$A$24:$B$35, 2, FALSE))
</f>
        <v/>
      </c>
      <c r="K1523" s="107"/>
      <c r="L1523" s="293"/>
      <c r="M1523" s="293"/>
      <c r="N1523" s="293"/>
      <c r="O1523" s="277"/>
      <c r="P1523" s="264"/>
      <c r="Q1523" s="264"/>
      <c r="R1523" s="264"/>
      <c r="S1523" s="264"/>
      <c r="T1523" s="264"/>
      <c r="U1523" s="264"/>
      <c r="V1523" s="264"/>
      <c r="W1523" s="264"/>
      <c r="X1523" s="264"/>
      <c r="Y1523" s="264"/>
      <c r="Z1523" s="264"/>
      <c r="AA1523" s="264"/>
      <c r="AB1523" s="264"/>
      <c r="AC1523" s="264"/>
      <c r="AD1523" s="264"/>
      <c r="AE1523" s="264"/>
    </row>
    <row r="1524">
      <c r="A1524" s="272"/>
      <c r="B1524" s="272"/>
      <c r="C1524" s="272"/>
      <c r="D1524" s="172"/>
      <c r="E1524" s="267" t="str">
        <f t="shared" si="22"/>
        <v/>
      </c>
      <c r="F1524" s="274"/>
      <c r="G1524" s="42"/>
      <c r="H1524" s="264"/>
      <c r="I1524" s="277"/>
      <c r="J1524" s="276" t="str">
        <f>IF(ISBLANK(I1524), "", VLOOKUP(E1524&amp;" "&amp;F1524, 'Info Tipo de Cambio y REM'!$A$24:$B$35, 2, FALSE))
</f>
        <v/>
      </c>
      <c r="K1524" s="107"/>
      <c r="L1524" s="293"/>
      <c r="M1524" s="293"/>
      <c r="N1524" s="293"/>
      <c r="O1524" s="277"/>
      <c r="P1524" s="264"/>
      <c r="Q1524" s="264"/>
      <c r="R1524" s="264"/>
      <c r="S1524" s="264"/>
      <c r="T1524" s="264"/>
      <c r="U1524" s="264"/>
      <c r="V1524" s="264"/>
      <c r="W1524" s="264"/>
      <c r="X1524" s="264"/>
      <c r="Y1524" s="264"/>
      <c r="Z1524" s="264"/>
      <c r="AA1524" s="264"/>
      <c r="AB1524" s="264"/>
      <c r="AC1524" s="264"/>
      <c r="AD1524" s="264"/>
      <c r="AE1524" s="264"/>
    </row>
    <row r="1525">
      <c r="A1525" s="272"/>
      <c r="B1525" s="272"/>
      <c r="C1525" s="272"/>
      <c r="D1525" s="172"/>
      <c r="E1525" s="267" t="str">
        <f t="shared" si="22"/>
        <v/>
      </c>
      <c r="F1525" s="274"/>
      <c r="G1525" s="42"/>
      <c r="H1525" s="264"/>
      <c r="I1525" s="277"/>
      <c r="J1525" s="276" t="str">
        <f>IF(ISBLANK(I1525), "", VLOOKUP(E1525&amp;" "&amp;F1525, 'Info Tipo de Cambio y REM'!$A$24:$B$35, 2, FALSE))
</f>
        <v/>
      </c>
      <c r="K1525" s="107"/>
      <c r="L1525" s="293"/>
      <c r="M1525" s="293"/>
      <c r="N1525" s="293"/>
      <c r="O1525" s="277"/>
      <c r="P1525" s="264"/>
      <c r="Q1525" s="264"/>
      <c r="R1525" s="264"/>
      <c r="S1525" s="264"/>
      <c r="T1525" s="264"/>
      <c r="U1525" s="264"/>
      <c r="V1525" s="264"/>
      <c r="W1525" s="264"/>
      <c r="X1525" s="264"/>
      <c r="Y1525" s="264"/>
      <c r="Z1525" s="264"/>
      <c r="AA1525" s="264"/>
      <c r="AB1525" s="264"/>
      <c r="AC1525" s="264"/>
      <c r="AD1525" s="264"/>
      <c r="AE1525" s="264"/>
    </row>
    <row r="1526">
      <c r="A1526" s="272"/>
      <c r="B1526" s="272"/>
      <c r="C1526" s="272"/>
      <c r="D1526" s="172"/>
      <c r="E1526" s="267" t="str">
        <f t="shared" si="22"/>
        <v/>
      </c>
      <c r="F1526" s="274"/>
      <c r="G1526" s="42"/>
      <c r="H1526" s="264"/>
      <c r="I1526" s="277"/>
      <c r="J1526" s="276" t="str">
        <f>IF(ISBLANK(I1526), "", VLOOKUP(E1526&amp;" "&amp;F1526, 'Info Tipo de Cambio y REM'!$A$24:$B$35, 2, FALSE))
</f>
        <v/>
      </c>
      <c r="K1526" s="107"/>
      <c r="L1526" s="293"/>
      <c r="M1526" s="293"/>
      <c r="N1526" s="293"/>
      <c r="O1526" s="277"/>
      <c r="P1526" s="264"/>
      <c r="Q1526" s="264"/>
      <c r="R1526" s="264"/>
      <c r="S1526" s="264"/>
      <c r="T1526" s="264"/>
      <c r="U1526" s="264"/>
      <c r="V1526" s="264"/>
      <c r="W1526" s="264"/>
      <c r="X1526" s="264"/>
      <c r="Y1526" s="264"/>
      <c r="Z1526" s="264"/>
      <c r="AA1526" s="264"/>
      <c r="AB1526" s="264"/>
      <c r="AC1526" s="264"/>
      <c r="AD1526" s="264"/>
      <c r="AE1526" s="264"/>
    </row>
    <row r="1527">
      <c r="A1527" s="272"/>
      <c r="B1527" s="272"/>
      <c r="C1527" s="272"/>
      <c r="D1527" s="172"/>
      <c r="E1527" s="267" t="str">
        <f t="shared" si="22"/>
        <v/>
      </c>
      <c r="F1527" s="274"/>
      <c r="G1527" s="42"/>
      <c r="H1527" s="264"/>
      <c r="I1527" s="277"/>
      <c r="J1527" s="276" t="str">
        <f>IF(ISBLANK(I1527), "", VLOOKUP(E1527&amp;" "&amp;F1527, 'Info Tipo de Cambio y REM'!$A$24:$B$35, 2, FALSE))
</f>
        <v/>
      </c>
      <c r="K1527" s="107"/>
      <c r="L1527" s="293"/>
      <c r="M1527" s="293"/>
      <c r="N1527" s="293"/>
      <c r="O1527" s="277"/>
      <c r="P1527" s="264"/>
      <c r="Q1527" s="264"/>
      <c r="R1527" s="264"/>
      <c r="S1527" s="264"/>
      <c r="T1527" s="264"/>
      <c r="U1527" s="264"/>
      <c r="V1527" s="264"/>
      <c r="W1527" s="264"/>
      <c r="X1527" s="264"/>
      <c r="Y1527" s="264"/>
      <c r="Z1527" s="264"/>
      <c r="AA1527" s="264"/>
      <c r="AB1527" s="264"/>
      <c r="AC1527" s="264"/>
      <c r="AD1527" s="264"/>
      <c r="AE1527" s="264"/>
    </row>
    <row r="1528">
      <c r="A1528" s="272"/>
      <c r="B1528" s="272"/>
      <c r="C1528" s="272"/>
      <c r="D1528" s="172"/>
      <c r="E1528" s="267" t="str">
        <f t="shared" si="22"/>
        <v/>
      </c>
      <c r="F1528" s="274"/>
      <c r="G1528" s="42"/>
      <c r="H1528" s="264"/>
      <c r="I1528" s="277"/>
      <c r="J1528" s="276" t="str">
        <f>IF(ISBLANK(I1528), "", VLOOKUP(E1528&amp;" "&amp;F1528, 'Info Tipo de Cambio y REM'!$A$24:$B$35, 2, FALSE))
</f>
        <v/>
      </c>
      <c r="K1528" s="107"/>
      <c r="L1528" s="293"/>
      <c r="M1528" s="293"/>
      <c r="N1528" s="293"/>
      <c r="O1528" s="277"/>
      <c r="P1528" s="264"/>
      <c r="Q1528" s="264"/>
      <c r="R1528" s="264"/>
      <c r="S1528" s="264"/>
      <c r="T1528" s="264"/>
      <c r="U1528" s="264"/>
      <c r="V1528" s="264"/>
      <c r="W1528" s="264"/>
      <c r="X1528" s="264"/>
      <c r="Y1528" s="264"/>
      <c r="Z1528" s="264"/>
      <c r="AA1528" s="264"/>
      <c r="AB1528" s="264"/>
      <c r="AC1528" s="264"/>
      <c r="AD1528" s="264"/>
      <c r="AE1528" s="264"/>
    </row>
    <row r="1529">
      <c r="A1529" s="272"/>
      <c r="B1529" s="272"/>
      <c r="C1529" s="272"/>
      <c r="D1529" s="172"/>
      <c r="E1529" s="267" t="str">
        <f t="shared" si="22"/>
        <v/>
      </c>
      <c r="F1529" s="274"/>
      <c r="G1529" s="42"/>
      <c r="H1529" s="264"/>
      <c r="I1529" s="277"/>
      <c r="J1529" s="276" t="str">
        <f>IF(ISBLANK(I1529), "", VLOOKUP(E1529&amp;" "&amp;F1529, 'Info Tipo de Cambio y REM'!$A$24:$B$35, 2, FALSE))
</f>
        <v/>
      </c>
      <c r="K1529" s="107"/>
      <c r="L1529" s="293"/>
      <c r="M1529" s="293"/>
      <c r="N1529" s="293"/>
      <c r="O1529" s="277"/>
      <c r="P1529" s="264"/>
      <c r="Q1529" s="264"/>
      <c r="R1529" s="264"/>
      <c r="S1529" s="264"/>
      <c r="T1529" s="264"/>
      <c r="U1529" s="264"/>
      <c r="V1529" s="264"/>
      <c r="W1529" s="264"/>
      <c r="X1529" s="264"/>
      <c r="Y1529" s="264"/>
      <c r="Z1529" s="264"/>
      <c r="AA1529" s="264"/>
      <c r="AB1529" s="264"/>
      <c r="AC1529" s="264"/>
      <c r="AD1529" s="264"/>
      <c r="AE1529" s="264"/>
    </row>
    <row r="1530">
      <c r="A1530" s="272"/>
      <c r="B1530" s="272"/>
      <c r="C1530" s="272"/>
      <c r="D1530" s="172"/>
      <c r="E1530" s="267" t="str">
        <f t="shared" si="22"/>
        <v/>
      </c>
      <c r="F1530" s="274"/>
      <c r="G1530" s="42"/>
      <c r="H1530" s="264"/>
      <c r="I1530" s="277"/>
      <c r="J1530" s="276" t="str">
        <f>IF(ISBLANK(I1530), "", VLOOKUP(E1530&amp;" "&amp;F1530, 'Info Tipo de Cambio y REM'!$A$24:$B$35, 2, FALSE))
</f>
        <v/>
      </c>
      <c r="K1530" s="107"/>
      <c r="L1530" s="293"/>
      <c r="M1530" s="293"/>
      <c r="N1530" s="293"/>
      <c r="O1530" s="277"/>
      <c r="P1530" s="264"/>
      <c r="Q1530" s="264"/>
      <c r="R1530" s="264"/>
      <c r="S1530" s="264"/>
      <c r="T1530" s="264"/>
      <c r="U1530" s="264"/>
      <c r="V1530" s="264"/>
      <c r="W1530" s="264"/>
      <c r="X1530" s="264"/>
      <c r="Y1530" s="264"/>
      <c r="Z1530" s="264"/>
      <c r="AA1530" s="264"/>
      <c r="AB1530" s="264"/>
      <c r="AC1530" s="264"/>
      <c r="AD1530" s="264"/>
      <c r="AE1530" s="264"/>
    </row>
    <row r="1531">
      <c r="A1531" s="272"/>
      <c r="B1531" s="272"/>
      <c r="C1531" s="272"/>
      <c r="D1531" s="172"/>
      <c r="E1531" s="267" t="str">
        <f t="shared" si="22"/>
        <v/>
      </c>
      <c r="F1531" s="274"/>
      <c r="G1531" s="42"/>
      <c r="H1531" s="264"/>
      <c r="I1531" s="277"/>
      <c r="J1531" s="276" t="str">
        <f>IF(ISBLANK(I1531), "", VLOOKUP(E1531&amp;" "&amp;F1531, 'Info Tipo de Cambio y REM'!$A$24:$B$35, 2, FALSE))
</f>
        <v/>
      </c>
      <c r="K1531" s="107"/>
      <c r="L1531" s="293"/>
      <c r="M1531" s="293"/>
      <c r="N1531" s="293"/>
      <c r="O1531" s="277"/>
      <c r="P1531" s="264"/>
      <c r="Q1531" s="264"/>
      <c r="R1531" s="264"/>
      <c r="S1531" s="264"/>
      <c r="T1531" s="264"/>
      <c r="U1531" s="264"/>
      <c r="V1531" s="264"/>
      <c r="W1531" s="264"/>
      <c r="X1531" s="264"/>
      <c r="Y1531" s="264"/>
      <c r="Z1531" s="264"/>
      <c r="AA1531" s="264"/>
      <c r="AB1531" s="264"/>
      <c r="AC1531" s="264"/>
      <c r="AD1531" s="264"/>
      <c r="AE1531" s="264"/>
    </row>
    <row r="1532">
      <c r="A1532" s="272"/>
      <c r="B1532" s="272"/>
      <c r="C1532" s="272"/>
      <c r="D1532" s="172"/>
      <c r="E1532" s="267" t="str">
        <f t="shared" si="22"/>
        <v/>
      </c>
      <c r="F1532" s="274"/>
      <c r="G1532" s="42"/>
      <c r="H1532" s="264"/>
      <c r="I1532" s="277"/>
      <c r="J1532" s="276" t="str">
        <f>IF(ISBLANK(I1532), "", VLOOKUP(E1532&amp;" "&amp;F1532, 'Info Tipo de Cambio y REM'!$A$24:$B$35, 2, FALSE))
</f>
        <v/>
      </c>
      <c r="K1532" s="107"/>
      <c r="L1532" s="293"/>
      <c r="M1532" s="293"/>
      <c r="N1532" s="293"/>
      <c r="O1532" s="277"/>
      <c r="P1532" s="264"/>
      <c r="Q1532" s="264"/>
      <c r="R1532" s="264"/>
      <c r="S1532" s="264"/>
      <c r="T1532" s="264"/>
      <c r="U1532" s="264"/>
      <c r="V1532" s="264"/>
      <c r="W1532" s="264"/>
      <c r="X1532" s="264"/>
      <c r="Y1532" s="264"/>
      <c r="Z1532" s="264"/>
      <c r="AA1532" s="264"/>
      <c r="AB1532" s="264"/>
      <c r="AC1532" s="264"/>
      <c r="AD1532" s="264"/>
      <c r="AE1532" s="264"/>
    </row>
    <row r="1533">
      <c r="A1533" s="272"/>
      <c r="B1533" s="272"/>
      <c r="C1533" s="272"/>
      <c r="D1533" s="172"/>
      <c r="E1533" s="267" t="str">
        <f t="shared" si="22"/>
        <v/>
      </c>
      <c r="F1533" s="274"/>
      <c r="G1533" s="42"/>
      <c r="H1533" s="264"/>
      <c r="I1533" s="277"/>
      <c r="J1533" s="276" t="str">
        <f>IF(ISBLANK(I1533), "", VLOOKUP(E1533&amp;" "&amp;F1533, 'Info Tipo de Cambio y REM'!$A$24:$B$35, 2, FALSE))
</f>
        <v/>
      </c>
      <c r="K1533" s="107"/>
      <c r="L1533" s="293"/>
      <c r="M1533" s="293"/>
      <c r="N1533" s="293"/>
      <c r="O1533" s="277"/>
      <c r="P1533" s="264"/>
      <c r="Q1533" s="264"/>
      <c r="R1533" s="264"/>
      <c r="S1533" s="264"/>
      <c r="T1533" s="264"/>
      <c r="U1533" s="264"/>
      <c r="V1533" s="264"/>
      <c r="W1533" s="264"/>
      <c r="X1533" s="264"/>
      <c r="Y1533" s="264"/>
      <c r="Z1533" s="264"/>
      <c r="AA1533" s="264"/>
      <c r="AB1533" s="264"/>
      <c r="AC1533" s="264"/>
      <c r="AD1533" s="264"/>
      <c r="AE1533" s="264"/>
    </row>
    <row r="1534">
      <c r="A1534" s="272"/>
      <c r="B1534" s="272"/>
      <c r="C1534" s="272"/>
      <c r="D1534" s="172"/>
      <c r="E1534" s="267" t="str">
        <f t="shared" si="22"/>
        <v/>
      </c>
      <c r="F1534" s="274"/>
      <c r="G1534" s="42"/>
      <c r="H1534" s="264"/>
      <c r="I1534" s="277"/>
      <c r="J1534" s="276" t="str">
        <f>IF(ISBLANK(I1534), "", VLOOKUP(E1534&amp;" "&amp;F1534, 'Info Tipo de Cambio y REM'!$A$24:$B$35, 2, FALSE))
</f>
        <v/>
      </c>
      <c r="K1534" s="107"/>
      <c r="L1534" s="293"/>
      <c r="M1534" s="293"/>
      <c r="N1534" s="293"/>
      <c r="O1534" s="277"/>
      <c r="P1534" s="264"/>
      <c r="Q1534" s="264"/>
      <c r="R1534" s="264"/>
      <c r="S1534" s="264"/>
      <c r="T1534" s="264"/>
      <c r="U1534" s="264"/>
      <c r="V1534" s="264"/>
      <c r="W1534" s="264"/>
      <c r="X1534" s="264"/>
      <c r="Y1534" s="264"/>
      <c r="Z1534" s="264"/>
      <c r="AA1534" s="264"/>
      <c r="AB1534" s="264"/>
      <c r="AC1534" s="264"/>
      <c r="AD1534" s="264"/>
      <c r="AE1534" s="264"/>
    </row>
    <row r="1535">
      <c r="A1535" s="272"/>
      <c r="B1535" s="272"/>
      <c r="C1535" s="272"/>
      <c r="D1535" s="172"/>
      <c r="E1535" s="267" t="str">
        <f t="shared" si="22"/>
        <v/>
      </c>
      <c r="F1535" s="274"/>
      <c r="G1535" s="42"/>
      <c r="H1535" s="264"/>
      <c r="I1535" s="277"/>
      <c r="J1535" s="276" t="str">
        <f>IF(ISBLANK(I1535), "", VLOOKUP(E1535&amp;" "&amp;F1535, 'Info Tipo de Cambio y REM'!$A$24:$B$35, 2, FALSE))
</f>
        <v/>
      </c>
      <c r="K1535" s="107"/>
      <c r="L1535" s="293"/>
      <c r="M1535" s="293"/>
      <c r="N1535" s="293"/>
      <c r="O1535" s="277"/>
      <c r="P1535" s="264"/>
      <c r="Q1535" s="264"/>
      <c r="R1535" s="264"/>
      <c r="S1535" s="264"/>
      <c r="T1535" s="264"/>
      <c r="U1535" s="264"/>
      <c r="V1535" s="264"/>
      <c r="W1535" s="264"/>
      <c r="X1535" s="264"/>
      <c r="Y1535" s="264"/>
      <c r="Z1535" s="264"/>
      <c r="AA1535" s="264"/>
      <c r="AB1535" s="264"/>
      <c r="AC1535" s="264"/>
      <c r="AD1535" s="264"/>
      <c r="AE1535" s="264"/>
    </row>
    <row r="1536">
      <c r="A1536" s="272"/>
      <c r="B1536" s="272"/>
      <c r="C1536" s="272"/>
      <c r="D1536" s="172"/>
      <c r="E1536" s="267" t="str">
        <f t="shared" si="22"/>
        <v/>
      </c>
      <c r="F1536" s="274"/>
      <c r="G1536" s="42"/>
      <c r="H1536" s="264"/>
      <c r="I1536" s="277"/>
      <c r="J1536" s="276" t="str">
        <f>IF(ISBLANK(I1536), "", VLOOKUP(E1536&amp;" "&amp;F1536, 'Info Tipo de Cambio y REM'!$A$24:$B$35, 2, FALSE))
</f>
        <v/>
      </c>
      <c r="K1536" s="107"/>
      <c r="L1536" s="293"/>
      <c r="M1536" s="293"/>
      <c r="N1536" s="293"/>
      <c r="O1536" s="277"/>
      <c r="P1536" s="264"/>
      <c r="Q1536" s="264"/>
      <c r="R1536" s="264"/>
      <c r="S1536" s="264"/>
      <c r="T1536" s="264"/>
      <c r="U1536" s="264"/>
      <c r="V1536" s="264"/>
      <c r="W1536" s="264"/>
      <c r="X1536" s="264"/>
      <c r="Y1536" s="264"/>
      <c r="Z1536" s="264"/>
      <c r="AA1536" s="264"/>
      <c r="AB1536" s="264"/>
      <c r="AC1536" s="264"/>
      <c r="AD1536" s="264"/>
      <c r="AE1536" s="264"/>
    </row>
    <row r="1537">
      <c r="A1537" s="272"/>
      <c r="B1537" s="272"/>
      <c r="C1537" s="272"/>
      <c r="D1537" s="172"/>
      <c r="E1537" s="267" t="str">
        <f t="shared" si="22"/>
        <v/>
      </c>
      <c r="F1537" s="274"/>
      <c r="G1537" s="42"/>
      <c r="H1537" s="264"/>
      <c r="I1537" s="277"/>
      <c r="J1537" s="276" t="str">
        <f>IF(ISBLANK(I1537), "", VLOOKUP(E1537&amp;" "&amp;F1537, 'Info Tipo de Cambio y REM'!$A$24:$B$35, 2, FALSE))
</f>
        <v/>
      </c>
      <c r="K1537" s="107"/>
      <c r="L1537" s="293"/>
      <c r="M1537" s="293"/>
      <c r="N1537" s="293"/>
      <c r="O1537" s="277"/>
      <c r="P1537" s="264"/>
      <c r="Q1537" s="264"/>
      <c r="R1537" s="264"/>
      <c r="S1537" s="264"/>
      <c r="T1537" s="264"/>
      <c r="U1537" s="264"/>
      <c r="V1537" s="264"/>
      <c r="W1537" s="264"/>
      <c r="X1537" s="264"/>
      <c r="Y1537" s="264"/>
      <c r="Z1537" s="264"/>
      <c r="AA1537" s="264"/>
      <c r="AB1537" s="264"/>
      <c r="AC1537" s="264"/>
      <c r="AD1537" s="264"/>
      <c r="AE1537" s="264"/>
    </row>
    <row r="1538">
      <c r="A1538" s="272"/>
      <c r="B1538" s="272"/>
      <c r="C1538" s="272"/>
      <c r="D1538" s="172"/>
      <c r="E1538" s="267" t="str">
        <f t="shared" si="22"/>
        <v/>
      </c>
      <c r="F1538" s="274"/>
      <c r="G1538" s="42"/>
      <c r="H1538" s="264"/>
      <c r="I1538" s="277"/>
      <c r="J1538" s="276" t="str">
        <f>IF(ISBLANK(I1538), "", VLOOKUP(E1538&amp;" "&amp;F1538, 'Info Tipo de Cambio y REM'!$A$24:$B$35, 2, FALSE))
</f>
        <v/>
      </c>
      <c r="K1538" s="107"/>
      <c r="L1538" s="293"/>
      <c r="M1538" s="293"/>
      <c r="N1538" s="293"/>
      <c r="O1538" s="277"/>
      <c r="P1538" s="264"/>
      <c r="Q1538" s="264"/>
      <c r="R1538" s="264"/>
      <c r="S1538" s="264"/>
      <c r="T1538" s="264"/>
      <c r="U1538" s="264"/>
      <c r="V1538" s="264"/>
      <c r="W1538" s="264"/>
      <c r="X1538" s="264"/>
      <c r="Y1538" s="264"/>
      <c r="Z1538" s="264"/>
      <c r="AA1538" s="264"/>
      <c r="AB1538" s="264"/>
      <c r="AC1538" s="264"/>
      <c r="AD1538" s="264"/>
      <c r="AE1538" s="264"/>
    </row>
    <row r="1539">
      <c r="A1539" s="272"/>
      <c r="B1539" s="272"/>
      <c r="C1539" s="272"/>
      <c r="D1539" s="172"/>
      <c r="E1539" s="267" t="str">
        <f t="shared" si="22"/>
        <v/>
      </c>
      <c r="F1539" s="274"/>
      <c r="G1539" s="42"/>
      <c r="H1539" s="264"/>
      <c r="I1539" s="277"/>
      <c r="J1539" s="276" t="str">
        <f>IF(ISBLANK(I1539), "", VLOOKUP(E1539&amp;" "&amp;F1539, 'Info Tipo de Cambio y REM'!$A$24:$B$35, 2, FALSE))
</f>
        <v/>
      </c>
      <c r="K1539" s="107"/>
      <c r="L1539" s="293"/>
      <c r="M1539" s="293"/>
      <c r="N1539" s="293"/>
      <c r="O1539" s="277"/>
      <c r="P1539" s="264"/>
      <c r="Q1539" s="264"/>
      <c r="R1539" s="264"/>
      <c r="S1539" s="264"/>
      <c r="T1539" s="264"/>
      <c r="U1539" s="264"/>
      <c r="V1539" s="264"/>
      <c r="W1539" s="264"/>
      <c r="X1539" s="264"/>
      <c r="Y1539" s="264"/>
      <c r="Z1539" s="264"/>
      <c r="AA1539" s="264"/>
      <c r="AB1539" s="264"/>
      <c r="AC1539" s="264"/>
      <c r="AD1539" s="264"/>
      <c r="AE1539" s="264"/>
    </row>
    <row r="1540">
      <c r="A1540" s="272"/>
      <c r="B1540" s="272"/>
      <c r="C1540" s="272"/>
      <c r="D1540" s="172"/>
      <c r="E1540" s="267" t="str">
        <f t="shared" si="22"/>
        <v/>
      </c>
      <c r="F1540" s="274"/>
      <c r="G1540" s="42"/>
      <c r="H1540" s="264"/>
      <c r="I1540" s="277"/>
      <c r="J1540" s="276" t="str">
        <f>IF(ISBLANK(I1540), "", VLOOKUP(E1540&amp;" "&amp;F1540, 'Info Tipo de Cambio y REM'!$A$24:$B$35, 2, FALSE))
</f>
        <v/>
      </c>
      <c r="K1540" s="107"/>
      <c r="L1540" s="293"/>
      <c r="M1540" s="293"/>
      <c r="N1540" s="293"/>
      <c r="O1540" s="277"/>
      <c r="P1540" s="264"/>
      <c r="Q1540" s="264"/>
      <c r="R1540" s="264"/>
      <c r="S1540" s="264"/>
      <c r="T1540" s="264"/>
      <c r="U1540" s="264"/>
      <c r="V1540" s="264"/>
      <c r="W1540" s="264"/>
      <c r="X1540" s="264"/>
      <c r="Y1540" s="264"/>
      <c r="Z1540" s="264"/>
      <c r="AA1540" s="264"/>
      <c r="AB1540" s="264"/>
      <c r="AC1540" s="264"/>
      <c r="AD1540" s="264"/>
      <c r="AE1540" s="264"/>
    </row>
    <row r="1541">
      <c r="A1541" s="272"/>
      <c r="B1541" s="272"/>
      <c r="C1541" s="272"/>
      <c r="D1541" s="172"/>
      <c r="E1541" s="267" t="str">
        <f t="shared" si="22"/>
        <v/>
      </c>
      <c r="F1541" s="274"/>
      <c r="G1541" s="42"/>
      <c r="H1541" s="264"/>
      <c r="I1541" s="277"/>
      <c r="J1541" s="276" t="str">
        <f>IF(ISBLANK(I1541), "", VLOOKUP(E1541&amp;" "&amp;F1541, 'Info Tipo de Cambio y REM'!$A$24:$B$35, 2, FALSE))
</f>
        <v/>
      </c>
      <c r="K1541" s="107"/>
      <c r="L1541" s="293"/>
      <c r="M1541" s="293"/>
      <c r="N1541" s="293"/>
      <c r="O1541" s="277"/>
      <c r="P1541" s="264"/>
      <c r="Q1541" s="264"/>
      <c r="R1541" s="264"/>
      <c r="S1541" s="264"/>
      <c r="T1541" s="264"/>
      <c r="U1541" s="264"/>
      <c r="V1541" s="264"/>
      <c r="W1541" s="264"/>
      <c r="X1541" s="264"/>
      <c r="Y1541" s="264"/>
      <c r="Z1541" s="264"/>
      <c r="AA1541" s="264"/>
      <c r="AB1541" s="264"/>
      <c r="AC1541" s="264"/>
      <c r="AD1541" s="264"/>
      <c r="AE1541" s="264"/>
    </row>
    <row r="1542">
      <c r="A1542" s="272"/>
      <c r="B1542" s="272"/>
      <c r="C1542" s="272"/>
      <c r="D1542" s="172"/>
      <c r="E1542" s="267" t="str">
        <f t="shared" si="22"/>
        <v/>
      </c>
      <c r="F1542" s="274"/>
      <c r="G1542" s="42"/>
      <c r="H1542" s="264"/>
      <c r="I1542" s="277"/>
      <c r="J1542" s="276" t="str">
        <f>IF(ISBLANK(I1542), "", VLOOKUP(E1542&amp;" "&amp;F1542, 'Info Tipo de Cambio y REM'!$A$24:$B$35, 2, FALSE))
</f>
        <v/>
      </c>
      <c r="K1542" s="107"/>
      <c r="L1542" s="293"/>
      <c r="M1542" s="293"/>
      <c r="N1542" s="293"/>
      <c r="O1542" s="277"/>
      <c r="P1542" s="264"/>
      <c r="Q1542" s="264"/>
      <c r="R1542" s="264"/>
      <c r="S1542" s="264"/>
      <c r="T1542" s="264"/>
      <c r="U1542" s="264"/>
      <c r="V1542" s="264"/>
      <c r="W1542" s="264"/>
      <c r="X1542" s="264"/>
      <c r="Y1542" s="264"/>
      <c r="Z1542" s="264"/>
      <c r="AA1542" s="264"/>
      <c r="AB1542" s="264"/>
      <c r="AC1542" s="264"/>
      <c r="AD1542" s="264"/>
      <c r="AE1542" s="264"/>
    </row>
    <row r="1543">
      <c r="A1543" s="272"/>
      <c r="B1543" s="272"/>
      <c r="C1543" s="272"/>
      <c r="D1543" s="172"/>
      <c r="E1543" s="267" t="str">
        <f t="shared" si="22"/>
        <v/>
      </c>
      <c r="F1543" s="274"/>
      <c r="G1543" s="42"/>
      <c r="H1543" s="264"/>
      <c r="I1543" s="277"/>
      <c r="J1543" s="276" t="str">
        <f>IF(ISBLANK(I1543), "", VLOOKUP(E1543&amp;" "&amp;F1543, 'Info Tipo de Cambio y REM'!$A$24:$B$35, 2, FALSE))
</f>
        <v/>
      </c>
      <c r="K1543" s="107"/>
      <c r="L1543" s="293"/>
      <c r="M1543" s="293"/>
      <c r="N1543" s="293"/>
      <c r="O1543" s="277"/>
      <c r="P1543" s="264"/>
      <c r="Q1543" s="264"/>
      <c r="R1543" s="264"/>
      <c r="S1543" s="264"/>
      <c r="T1543" s="264"/>
      <c r="U1543" s="264"/>
      <c r="V1543" s="264"/>
      <c r="W1543" s="264"/>
      <c r="X1543" s="264"/>
      <c r="Y1543" s="264"/>
      <c r="Z1543" s="264"/>
      <c r="AA1543" s="264"/>
      <c r="AB1543" s="264"/>
      <c r="AC1543" s="264"/>
      <c r="AD1543" s="264"/>
      <c r="AE1543" s="264"/>
    </row>
    <row r="1544">
      <c r="A1544" s="272"/>
      <c r="B1544" s="272"/>
      <c r="C1544" s="272"/>
      <c r="D1544" s="172"/>
      <c r="E1544" s="267" t="str">
        <f t="shared" si="22"/>
        <v/>
      </c>
      <c r="F1544" s="274"/>
      <c r="G1544" s="42"/>
      <c r="H1544" s="264"/>
      <c r="I1544" s="277"/>
      <c r="J1544" s="276" t="str">
        <f>IF(ISBLANK(I1544), "", VLOOKUP(E1544&amp;" "&amp;F1544, 'Info Tipo de Cambio y REM'!$A$24:$B$35, 2, FALSE))
</f>
        <v/>
      </c>
      <c r="K1544" s="107"/>
      <c r="L1544" s="293"/>
      <c r="M1544" s="293"/>
      <c r="N1544" s="293"/>
      <c r="O1544" s="277"/>
      <c r="P1544" s="264"/>
      <c r="Q1544" s="264"/>
      <c r="R1544" s="264"/>
      <c r="S1544" s="264"/>
      <c r="T1544" s="264"/>
      <c r="U1544" s="264"/>
      <c r="V1544" s="264"/>
      <c r="W1544" s="264"/>
      <c r="X1544" s="264"/>
      <c r="Y1544" s="264"/>
      <c r="Z1544" s="264"/>
      <c r="AA1544" s="264"/>
      <c r="AB1544" s="264"/>
      <c r="AC1544" s="264"/>
      <c r="AD1544" s="264"/>
      <c r="AE1544" s="264"/>
    </row>
    <row r="1545">
      <c r="A1545" s="272"/>
      <c r="B1545" s="272"/>
      <c r="C1545" s="272"/>
      <c r="D1545" s="172"/>
      <c r="E1545" s="267" t="str">
        <f t="shared" si="22"/>
        <v/>
      </c>
      <c r="F1545" s="274"/>
      <c r="G1545" s="42"/>
      <c r="H1545" s="264"/>
      <c r="I1545" s="277"/>
      <c r="J1545" s="276" t="str">
        <f>IF(ISBLANK(I1545), "", VLOOKUP(E1545&amp;" "&amp;F1545, 'Info Tipo de Cambio y REM'!$A$24:$B$35, 2, FALSE))
</f>
        <v/>
      </c>
      <c r="K1545" s="107"/>
      <c r="L1545" s="293"/>
      <c r="M1545" s="293"/>
      <c r="N1545" s="293"/>
      <c r="O1545" s="277"/>
      <c r="P1545" s="264"/>
      <c r="Q1545" s="264"/>
      <c r="R1545" s="264"/>
      <c r="S1545" s="264"/>
      <c r="T1545" s="264"/>
      <c r="U1545" s="264"/>
      <c r="V1545" s="264"/>
      <c r="W1545" s="264"/>
      <c r="X1545" s="264"/>
      <c r="Y1545" s="264"/>
      <c r="Z1545" s="264"/>
      <c r="AA1545" s="264"/>
      <c r="AB1545" s="264"/>
      <c r="AC1545" s="264"/>
      <c r="AD1545" s="264"/>
      <c r="AE1545" s="264"/>
    </row>
    <row r="1546">
      <c r="A1546" s="272"/>
      <c r="B1546" s="272"/>
      <c r="C1546" s="272"/>
      <c r="D1546" s="172"/>
      <c r="E1546" s="267" t="str">
        <f t="shared" si="22"/>
        <v/>
      </c>
      <c r="F1546" s="274"/>
      <c r="G1546" s="42"/>
      <c r="H1546" s="264"/>
      <c r="I1546" s="277"/>
      <c r="J1546" s="276" t="str">
        <f>IF(ISBLANK(I1546), "", VLOOKUP(E1546&amp;" "&amp;F1546, 'Info Tipo de Cambio y REM'!$A$24:$B$35, 2, FALSE))
</f>
        <v/>
      </c>
      <c r="K1546" s="107"/>
      <c r="L1546" s="293"/>
      <c r="M1546" s="293"/>
      <c r="N1546" s="293"/>
      <c r="O1546" s="277"/>
      <c r="P1546" s="264"/>
      <c r="Q1546" s="264"/>
      <c r="R1546" s="264"/>
      <c r="S1546" s="264"/>
      <c r="T1546" s="264"/>
      <c r="U1546" s="264"/>
      <c r="V1546" s="264"/>
      <c r="W1546" s="264"/>
      <c r="X1546" s="264"/>
      <c r="Y1546" s="264"/>
      <c r="Z1546" s="264"/>
      <c r="AA1546" s="264"/>
      <c r="AB1546" s="264"/>
      <c r="AC1546" s="264"/>
      <c r="AD1546" s="264"/>
      <c r="AE1546" s="264"/>
    </row>
    <row r="1547">
      <c r="A1547" s="272"/>
      <c r="B1547" s="272"/>
      <c r="C1547" s="272"/>
      <c r="D1547" s="172"/>
      <c r="E1547" s="267" t="str">
        <f t="shared" si="22"/>
        <v/>
      </c>
      <c r="F1547" s="274"/>
      <c r="G1547" s="42"/>
      <c r="H1547" s="264"/>
      <c r="I1547" s="277"/>
      <c r="J1547" s="276" t="str">
        <f>IF(ISBLANK(I1547), "", VLOOKUP(E1547&amp;" "&amp;F1547, 'Info Tipo de Cambio y REM'!$A$24:$B$35, 2, FALSE))
</f>
        <v/>
      </c>
      <c r="K1547" s="107"/>
      <c r="L1547" s="293"/>
      <c r="M1547" s="293"/>
      <c r="N1547" s="293"/>
      <c r="O1547" s="277"/>
      <c r="P1547" s="264"/>
      <c r="Q1547" s="264"/>
      <c r="R1547" s="264"/>
      <c r="S1547" s="264"/>
      <c r="T1547" s="264"/>
      <c r="U1547" s="264"/>
      <c r="V1547" s="264"/>
      <c r="W1547" s="264"/>
      <c r="X1547" s="264"/>
      <c r="Y1547" s="264"/>
      <c r="Z1547" s="264"/>
      <c r="AA1547" s="264"/>
      <c r="AB1547" s="264"/>
      <c r="AC1547" s="264"/>
      <c r="AD1547" s="264"/>
      <c r="AE1547" s="264"/>
    </row>
    <row r="1548">
      <c r="A1548" s="272"/>
      <c r="B1548" s="272"/>
      <c r="C1548" s="272"/>
      <c r="D1548" s="172"/>
      <c r="E1548" s="267" t="str">
        <f t="shared" si="22"/>
        <v/>
      </c>
      <c r="F1548" s="274"/>
      <c r="G1548" s="42"/>
      <c r="H1548" s="264"/>
      <c r="I1548" s="277"/>
      <c r="J1548" s="276" t="str">
        <f>IF(ISBLANK(I1548), "", VLOOKUP(E1548&amp;" "&amp;F1548, 'Info Tipo de Cambio y REM'!$A$24:$B$35, 2, FALSE))
</f>
        <v/>
      </c>
      <c r="K1548" s="107"/>
      <c r="L1548" s="293"/>
      <c r="M1548" s="293"/>
      <c r="N1548" s="293"/>
      <c r="O1548" s="277"/>
      <c r="P1548" s="264"/>
      <c r="Q1548" s="264"/>
      <c r="R1548" s="264"/>
      <c r="S1548" s="264"/>
      <c r="T1548" s="264"/>
      <c r="U1548" s="264"/>
      <c r="V1548" s="264"/>
      <c r="W1548" s="264"/>
      <c r="X1548" s="264"/>
      <c r="Y1548" s="264"/>
      <c r="Z1548" s="264"/>
      <c r="AA1548" s="264"/>
      <c r="AB1548" s="264"/>
      <c r="AC1548" s="264"/>
      <c r="AD1548" s="264"/>
      <c r="AE1548" s="264"/>
    </row>
    <row r="1549">
      <c r="A1549" s="272"/>
      <c r="B1549" s="272"/>
      <c r="C1549" s="272"/>
      <c r="D1549" s="172"/>
      <c r="E1549" s="267" t="str">
        <f t="shared" si="22"/>
        <v/>
      </c>
      <c r="F1549" s="274"/>
      <c r="G1549" s="42"/>
      <c r="H1549" s="264"/>
      <c r="I1549" s="277"/>
      <c r="J1549" s="276" t="str">
        <f>IF(ISBLANK(I1549), "", VLOOKUP(E1549&amp;" "&amp;F1549, 'Info Tipo de Cambio y REM'!$A$24:$B$35, 2, FALSE))
</f>
        <v/>
      </c>
      <c r="K1549" s="107"/>
      <c r="L1549" s="293"/>
      <c r="M1549" s="293"/>
      <c r="N1549" s="293"/>
      <c r="O1549" s="277"/>
      <c r="P1549" s="264"/>
      <c r="Q1549" s="264"/>
      <c r="R1549" s="264"/>
      <c r="S1549" s="264"/>
      <c r="T1549" s="264"/>
      <c r="U1549" s="264"/>
      <c r="V1549" s="264"/>
      <c r="W1549" s="264"/>
      <c r="X1549" s="264"/>
      <c r="Y1549" s="264"/>
      <c r="Z1549" s="264"/>
      <c r="AA1549" s="264"/>
      <c r="AB1549" s="264"/>
      <c r="AC1549" s="264"/>
      <c r="AD1549" s="264"/>
      <c r="AE1549" s="264"/>
    </row>
    <row r="1550">
      <c r="A1550" s="272"/>
      <c r="B1550" s="272"/>
      <c r="C1550" s="272"/>
      <c r="D1550" s="172"/>
      <c r="E1550" s="267" t="str">
        <f t="shared" si="22"/>
        <v/>
      </c>
      <c r="F1550" s="274"/>
      <c r="G1550" s="42"/>
      <c r="H1550" s="264"/>
      <c r="I1550" s="277"/>
      <c r="J1550" s="276" t="str">
        <f>IF(ISBLANK(I1550), "", VLOOKUP(E1550&amp;" "&amp;F1550, 'Info Tipo de Cambio y REM'!$A$24:$B$35, 2, FALSE))
</f>
        <v/>
      </c>
      <c r="K1550" s="107"/>
      <c r="L1550" s="293"/>
      <c r="M1550" s="293"/>
      <c r="N1550" s="293"/>
      <c r="O1550" s="277"/>
      <c r="P1550" s="264"/>
      <c r="Q1550" s="264"/>
      <c r="R1550" s="264"/>
      <c r="S1550" s="264"/>
      <c r="T1550" s="264"/>
      <c r="U1550" s="264"/>
      <c r="V1550" s="264"/>
      <c r="W1550" s="264"/>
      <c r="X1550" s="264"/>
      <c r="Y1550" s="264"/>
      <c r="Z1550" s="264"/>
      <c r="AA1550" s="264"/>
      <c r="AB1550" s="264"/>
      <c r="AC1550" s="264"/>
      <c r="AD1550" s="264"/>
      <c r="AE1550" s="264"/>
    </row>
    <row r="1551">
      <c r="A1551" s="272"/>
      <c r="B1551" s="272"/>
      <c r="C1551" s="272"/>
      <c r="D1551" s="172"/>
      <c r="E1551" s="267" t="str">
        <f t="shared" si="22"/>
        <v/>
      </c>
      <c r="F1551" s="274"/>
      <c r="G1551" s="42"/>
      <c r="H1551" s="264"/>
      <c r="I1551" s="277"/>
      <c r="J1551" s="276" t="str">
        <f>IF(ISBLANK(I1551), "", VLOOKUP(E1551&amp;" "&amp;F1551, 'Info Tipo de Cambio y REM'!$A$24:$B$35, 2, FALSE))
</f>
        <v/>
      </c>
      <c r="K1551" s="107"/>
      <c r="L1551" s="293"/>
      <c r="M1551" s="293"/>
      <c r="N1551" s="293"/>
      <c r="O1551" s="277"/>
      <c r="P1551" s="264"/>
      <c r="Q1551" s="264"/>
      <c r="R1551" s="264"/>
      <c r="S1551" s="264"/>
      <c r="T1551" s="264"/>
      <c r="U1551" s="264"/>
      <c r="V1551" s="264"/>
      <c r="W1551" s="264"/>
      <c r="X1551" s="264"/>
      <c r="Y1551" s="264"/>
      <c r="Z1551" s="264"/>
      <c r="AA1551" s="264"/>
      <c r="AB1551" s="264"/>
      <c r="AC1551" s="264"/>
      <c r="AD1551" s="264"/>
      <c r="AE1551" s="264"/>
    </row>
    <row r="1552">
      <c r="A1552" s="272"/>
      <c r="B1552" s="272"/>
      <c r="C1552" s="272"/>
      <c r="D1552" s="172"/>
      <c r="E1552" s="267" t="str">
        <f t="shared" si="22"/>
        <v/>
      </c>
      <c r="F1552" s="274"/>
      <c r="G1552" s="42"/>
      <c r="H1552" s="264"/>
      <c r="I1552" s="277"/>
      <c r="J1552" s="276" t="str">
        <f>IF(ISBLANK(I1552), "", VLOOKUP(E1552&amp;" "&amp;F1552, 'Info Tipo de Cambio y REM'!$A$24:$B$35, 2, FALSE))
</f>
        <v/>
      </c>
      <c r="K1552" s="107"/>
      <c r="L1552" s="293"/>
      <c r="M1552" s="293"/>
      <c r="N1552" s="293"/>
      <c r="O1552" s="277"/>
      <c r="P1552" s="264"/>
      <c r="Q1552" s="264"/>
      <c r="R1552" s="264"/>
      <c r="S1552" s="264"/>
      <c r="T1552" s="264"/>
      <c r="U1552" s="264"/>
      <c r="V1552" s="264"/>
      <c r="W1552" s="264"/>
      <c r="X1552" s="264"/>
      <c r="Y1552" s="264"/>
      <c r="Z1552" s="264"/>
      <c r="AA1552" s="264"/>
      <c r="AB1552" s="264"/>
      <c r="AC1552" s="264"/>
      <c r="AD1552" s="264"/>
      <c r="AE1552" s="264"/>
    </row>
    <row r="1553">
      <c r="A1553" s="272"/>
      <c r="B1553" s="272"/>
      <c r="C1553" s="272"/>
      <c r="D1553" s="172"/>
      <c r="E1553" s="267" t="str">
        <f t="shared" si="22"/>
        <v/>
      </c>
      <c r="F1553" s="274"/>
      <c r="G1553" s="42"/>
      <c r="H1553" s="264"/>
      <c r="I1553" s="277"/>
      <c r="J1553" s="276" t="str">
        <f>IF(ISBLANK(I1553), "", VLOOKUP(E1553&amp;" "&amp;F1553, 'Info Tipo de Cambio y REM'!$A$24:$B$35, 2, FALSE))
</f>
        <v/>
      </c>
      <c r="K1553" s="107"/>
      <c r="L1553" s="293"/>
      <c r="M1553" s="293"/>
      <c r="N1553" s="293"/>
      <c r="O1553" s="277"/>
      <c r="P1553" s="264"/>
      <c r="Q1553" s="264"/>
      <c r="R1553" s="264"/>
      <c r="S1553" s="264"/>
      <c r="T1553" s="264"/>
      <c r="U1553" s="264"/>
      <c r="V1553" s="264"/>
      <c r="W1553" s="264"/>
      <c r="X1553" s="264"/>
      <c r="Y1553" s="264"/>
      <c r="Z1553" s="264"/>
      <c r="AA1553" s="264"/>
      <c r="AB1553" s="264"/>
      <c r="AC1553" s="264"/>
      <c r="AD1553" s="264"/>
      <c r="AE1553" s="264"/>
    </row>
    <row r="1554">
      <c r="A1554" s="272"/>
      <c r="B1554" s="272"/>
      <c r="C1554" s="272"/>
      <c r="D1554" s="172"/>
      <c r="E1554" s="267" t="str">
        <f t="shared" si="22"/>
        <v/>
      </c>
      <c r="F1554" s="274"/>
      <c r="G1554" s="42"/>
      <c r="H1554" s="264"/>
      <c r="I1554" s="277"/>
      <c r="J1554" s="276" t="str">
        <f>IF(ISBLANK(I1554), "", VLOOKUP(E1554&amp;" "&amp;F1554, 'Info Tipo de Cambio y REM'!$A$24:$B$35, 2, FALSE))
</f>
        <v/>
      </c>
      <c r="K1554" s="107"/>
      <c r="L1554" s="293"/>
      <c r="M1554" s="293"/>
      <c r="N1554" s="293"/>
      <c r="O1554" s="277"/>
      <c r="P1554" s="264"/>
      <c r="Q1554" s="264"/>
      <c r="R1554" s="264"/>
      <c r="S1554" s="264"/>
      <c r="T1554" s="264"/>
      <c r="U1554" s="264"/>
      <c r="V1554" s="264"/>
      <c r="W1554" s="264"/>
      <c r="X1554" s="264"/>
      <c r="Y1554" s="264"/>
      <c r="Z1554" s="264"/>
      <c r="AA1554" s="264"/>
      <c r="AB1554" s="264"/>
      <c r="AC1554" s="264"/>
      <c r="AD1554" s="264"/>
      <c r="AE1554" s="264"/>
    </row>
    <row r="1555">
      <c r="A1555" s="272"/>
      <c r="B1555" s="272"/>
      <c r="C1555" s="272"/>
      <c r="D1555" s="172"/>
      <c r="E1555" s="267" t="str">
        <f t="shared" si="22"/>
        <v/>
      </c>
      <c r="F1555" s="274"/>
      <c r="G1555" s="42"/>
      <c r="H1555" s="264"/>
      <c r="I1555" s="277"/>
      <c r="J1555" s="276" t="str">
        <f>IF(ISBLANK(I1555), "", VLOOKUP(E1555&amp;" "&amp;F1555, 'Info Tipo de Cambio y REM'!$A$24:$B$35, 2, FALSE))
</f>
        <v/>
      </c>
      <c r="K1555" s="107"/>
      <c r="L1555" s="293"/>
      <c r="M1555" s="293"/>
      <c r="N1555" s="293"/>
      <c r="O1555" s="277"/>
      <c r="P1555" s="264"/>
      <c r="Q1555" s="264"/>
      <c r="R1555" s="264"/>
      <c r="S1555" s="264"/>
      <c r="T1555" s="264"/>
      <c r="U1555" s="264"/>
      <c r="V1555" s="264"/>
      <c r="W1555" s="264"/>
      <c r="X1555" s="264"/>
      <c r="Y1555" s="264"/>
      <c r="Z1555" s="264"/>
      <c r="AA1555" s="264"/>
      <c r="AB1555" s="264"/>
      <c r="AC1555" s="264"/>
      <c r="AD1555" s="264"/>
      <c r="AE1555" s="264"/>
    </row>
    <row r="1556">
      <c r="A1556" s="272"/>
      <c r="B1556" s="272"/>
      <c r="C1556" s="272"/>
      <c r="D1556" s="172"/>
      <c r="E1556" s="267" t="str">
        <f t="shared" si="22"/>
        <v/>
      </c>
      <c r="F1556" s="274"/>
      <c r="G1556" s="42"/>
      <c r="H1556" s="264"/>
      <c r="I1556" s="277"/>
      <c r="J1556" s="276" t="str">
        <f>IF(ISBLANK(I1556), "", VLOOKUP(E1556&amp;" "&amp;F1556, 'Info Tipo de Cambio y REM'!$A$24:$B$35, 2, FALSE))
</f>
        <v/>
      </c>
      <c r="K1556" s="107"/>
      <c r="L1556" s="293"/>
      <c r="M1556" s="293"/>
      <c r="N1556" s="293"/>
      <c r="O1556" s="277"/>
      <c r="P1556" s="264"/>
      <c r="Q1556" s="264"/>
      <c r="R1556" s="264"/>
      <c r="S1556" s="264"/>
      <c r="T1556" s="264"/>
      <c r="U1556" s="264"/>
      <c r="V1556" s="264"/>
      <c r="W1556" s="264"/>
      <c r="X1556" s="264"/>
      <c r="Y1556" s="264"/>
      <c r="Z1556" s="264"/>
      <c r="AA1556" s="264"/>
      <c r="AB1556" s="264"/>
      <c r="AC1556" s="264"/>
      <c r="AD1556" s="264"/>
      <c r="AE1556" s="264"/>
    </row>
    <row r="1557">
      <c r="A1557" s="272"/>
      <c r="B1557" s="272"/>
      <c r="C1557" s="272"/>
      <c r="D1557" s="172"/>
      <c r="E1557" s="267" t="str">
        <f t="shared" si="22"/>
        <v/>
      </c>
      <c r="F1557" s="274"/>
      <c r="G1557" s="42"/>
      <c r="H1557" s="264"/>
      <c r="I1557" s="277"/>
      <c r="J1557" s="276" t="str">
        <f>IF(ISBLANK(I1557), "", VLOOKUP(E1557&amp;" "&amp;F1557, 'Info Tipo de Cambio y REM'!$A$24:$B$35, 2, FALSE))
</f>
        <v/>
      </c>
      <c r="K1557" s="107"/>
      <c r="L1557" s="293"/>
      <c r="M1557" s="293"/>
      <c r="N1557" s="293"/>
      <c r="O1557" s="277"/>
      <c r="P1557" s="264"/>
      <c r="Q1557" s="264"/>
      <c r="R1557" s="264"/>
      <c r="S1557" s="264"/>
      <c r="T1557" s="264"/>
      <c r="U1557" s="264"/>
      <c r="V1557" s="264"/>
      <c r="W1557" s="264"/>
      <c r="X1557" s="264"/>
      <c r="Y1557" s="264"/>
      <c r="Z1557" s="264"/>
      <c r="AA1557" s="264"/>
      <c r="AB1557" s="264"/>
      <c r="AC1557" s="264"/>
      <c r="AD1557" s="264"/>
      <c r="AE1557" s="264"/>
    </row>
    <row r="1558">
      <c r="A1558" s="272"/>
      <c r="B1558" s="272"/>
      <c r="C1558" s="272"/>
      <c r="D1558" s="172"/>
      <c r="E1558" s="267" t="str">
        <f t="shared" si="22"/>
        <v/>
      </c>
      <c r="F1558" s="274"/>
      <c r="G1558" s="42"/>
      <c r="H1558" s="264"/>
      <c r="I1558" s="277"/>
      <c r="J1558" s="276" t="str">
        <f>IF(ISBLANK(I1558), "", VLOOKUP(E1558&amp;" "&amp;F1558, 'Info Tipo de Cambio y REM'!$A$24:$B$35, 2, FALSE))
</f>
        <v/>
      </c>
      <c r="K1558" s="107"/>
      <c r="L1558" s="293"/>
      <c r="M1558" s="293"/>
      <c r="N1558" s="293"/>
      <c r="O1558" s="277"/>
      <c r="P1558" s="264"/>
      <c r="Q1558" s="264"/>
      <c r="R1558" s="264"/>
      <c r="S1558" s="264"/>
      <c r="T1558" s="264"/>
      <c r="U1558" s="264"/>
      <c r="V1558" s="264"/>
      <c r="W1558" s="264"/>
      <c r="X1558" s="264"/>
      <c r="Y1558" s="264"/>
      <c r="Z1558" s="264"/>
      <c r="AA1558" s="264"/>
      <c r="AB1558" s="264"/>
      <c r="AC1558" s="264"/>
      <c r="AD1558" s="264"/>
      <c r="AE1558" s="264"/>
    </row>
    <row r="1559">
      <c r="A1559" s="272"/>
      <c r="B1559" s="272"/>
      <c r="C1559" s="272"/>
      <c r="D1559" s="172"/>
      <c r="E1559" s="267" t="str">
        <f t="shared" si="22"/>
        <v/>
      </c>
      <c r="F1559" s="274"/>
      <c r="G1559" s="42"/>
      <c r="H1559" s="264"/>
      <c r="I1559" s="277"/>
      <c r="J1559" s="276" t="str">
        <f>IF(ISBLANK(I1559), "", VLOOKUP(E1559&amp;" "&amp;F1559, 'Info Tipo de Cambio y REM'!$A$24:$B$35, 2, FALSE))
</f>
        <v/>
      </c>
      <c r="K1559" s="107"/>
      <c r="L1559" s="293"/>
      <c r="M1559" s="293"/>
      <c r="N1559" s="293"/>
      <c r="O1559" s="277"/>
      <c r="P1559" s="264"/>
      <c r="Q1559" s="264"/>
      <c r="R1559" s="264"/>
      <c r="S1559" s="264"/>
      <c r="T1559" s="264"/>
      <c r="U1559" s="264"/>
      <c r="V1559" s="264"/>
      <c r="W1559" s="264"/>
      <c r="X1559" s="264"/>
      <c r="Y1559" s="264"/>
      <c r="Z1559" s="264"/>
      <c r="AA1559" s="264"/>
      <c r="AB1559" s="264"/>
      <c r="AC1559" s="264"/>
      <c r="AD1559" s="264"/>
      <c r="AE1559" s="264"/>
    </row>
    <row r="1560">
      <c r="A1560" s="272"/>
      <c r="B1560" s="272"/>
      <c r="C1560" s="272"/>
      <c r="D1560" s="172"/>
      <c r="E1560" s="267" t="str">
        <f t="shared" si="22"/>
        <v/>
      </c>
      <c r="F1560" s="274"/>
      <c r="G1560" s="42"/>
      <c r="H1560" s="264"/>
      <c r="I1560" s="277"/>
      <c r="J1560" s="276" t="str">
        <f>IF(ISBLANK(I1560), "", VLOOKUP(E1560&amp;" "&amp;F1560, 'Info Tipo de Cambio y REM'!$A$24:$B$35, 2, FALSE))
</f>
        <v/>
      </c>
      <c r="K1560" s="107"/>
      <c r="L1560" s="293"/>
      <c r="M1560" s="293"/>
      <c r="N1560" s="293"/>
      <c r="O1560" s="277"/>
      <c r="P1560" s="264"/>
      <c r="Q1560" s="264"/>
      <c r="R1560" s="264"/>
      <c r="S1560" s="264"/>
      <c r="T1560" s="264"/>
      <c r="U1560" s="264"/>
      <c r="V1560" s="264"/>
      <c r="W1560" s="264"/>
      <c r="X1560" s="264"/>
      <c r="Y1560" s="264"/>
      <c r="Z1560" s="264"/>
      <c r="AA1560" s="264"/>
      <c r="AB1560" s="264"/>
      <c r="AC1560" s="264"/>
      <c r="AD1560" s="264"/>
      <c r="AE1560" s="264"/>
    </row>
    <row r="1561">
      <c r="A1561" s="272"/>
      <c r="B1561" s="272"/>
      <c r="C1561" s="272"/>
      <c r="D1561" s="172"/>
      <c r="E1561" s="267" t="str">
        <f t="shared" si="22"/>
        <v/>
      </c>
      <c r="F1561" s="274"/>
      <c r="G1561" s="42"/>
      <c r="H1561" s="264"/>
      <c r="I1561" s="277"/>
      <c r="J1561" s="276" t="str">
        <f>IF(ISBLANK(I1561), "", VLOOKUP(E1561&amp;" "&amp;F1561, 'Info Tipo de Cambio y REM'!$A$24:$B$35, 2, FALSE))
</f>
        <v/>
      </c>
      <c r="K1561" s="107"/>
      <c r="L1561" s="293"/>
      <c r="M1561" s="293"/>
      <c r="N1561" s="293"/>
      <c r="O1561" s="277"/>
      <c r="P1561" s="264"/>
      <c r="Q1561" s="264"/>
      <c r="R1561" s="264"/>
      <c r="S1561" s="264"/>
      <c r="T1561" s="264"/>
      <c r="U1561" s="264"/>
      <c r="V1561" s="264"/>
      <c r="W1561" s="264"/>
      <c r="X1561" s="264"/>
      <c r="Y1561" s="264"/>
      <c r="Z1561" s="264"/>
      <c r="AA1561" s="264"/>
      <c r="AB1561" s="264"/>
      <c r="AC1561" s="264"/>
      <c r="AD1561" s="264"/>
      <c r="AE1561" s="264"/>
    </row>
    <row r="1562">
      <c r="A1562" s="272"/>
      <c r="B1562" s="272"/>
      <c r="C1562" s="272"/>
      <c r="D1562" s="172"/>
      <c r="E1562" s="267" t="str">
        <f t="shared" si="22"/>
        <v/>
      </c>
      <c r="F1562" s="274"/>
      <c r="G1562" s="42"/>
      <c r="H1562" s="264"/>
      <c r="I1562" s="277"/>
      <c r="J1562" s="276" t="str">
        <f>IF(ISBLANK(I1562), "", VLOOKUP(E1562&amp;" "&amp;F1562, 'Info Tipo de Cambio y REM'!$A$24:$B$35, 2, FALSE))
</f>
        <v/>
      </c>
      <c r="K1562" s="107"/>
      <c r="L1562" s="293"/>
      <c r="M1562" s="293"/>
      <c r="N1562" s="293"/>
      <c r="O1562" s="277"/>
      <c r="P1562" s="264"/>
      <c r="Q1562" s="264"/>
      <c r="R1562" s="264"/>
      <c r="S1562" s="264"/>
      <c r="T1562" s="264"/>
      <c r="U1562" s="264"/>
      <c r="V1562" s="264"/>
      <c r="W1562" s="264"/>
      <c r="X1562" s="264"/>
      <c r="Y1562" s="264"/>
      <c r="Z1562" s="264"/>
      <c r="AA1562" s="264"/>
      <c r="AB1562" s="264"/>
      <c r="AC1562" s="264"/>
      <c r="AD1562" s="264"/>
      <c r="AE1562" s="264"/>
    </row>
    <row r="1563">
      <c r="A1563" s="272"/>
      <c r="B1563" s="272"/>
      <c r="C1563" s="272"/>
      <c r="D1563" s="172"/>
      <c r="E1563" s="267" t="str">
        <f t="shared" si="22"/>
        <v/>
      </c>
      <c r="F1563" s="274"/>
      <c r="G1563" s="42"/>
      <c r="H1563" s="264"/>
      <c r="I1563" s="277"/>
      <c r="J1563" s="276" t="str">
        <f>IF(ISBLANK(I1563), "", VLOOKUP(E1563&amp;" "&amp;F1563, 'Info Tipo de Cambio y REM'!$A$24:$B$35, 2, FALSE))
</f>
        <v/>
      </c>
      <c r="K1563" s="107"/>
      <c r="L1563" s="293"/>
      <c r="M1563" s="293"/>
      <c r="N1563" s="293"/>
      <c r="O1563" s="277"/>
      <c r="P1563" s="264"/>
      <c r="Q1563" s="264"/>
      <c r="R1563" s="264"/>
      <c r="S1563" s="264"/>
      <c r="T1563" s="264"/>
      <c r="U1563" s="264"/>
      <c r="V1563" s="264"/>
      <c r="W1563" s="264"/>
      <c r="X1563" s="264"/>
      <c r="Y1563" s="264"/>
      <c r="Z1563" s="264"/>
      <c r="AA1563" s="264"/>
      <c r="AB1563" s="264"/>
      <c r="AC1563" s="264"/>
      <c r="AD1563" s="264"/>
      <c r="AE1563" s="264"/>
    </row>
    <row r="1564">
      <c r="A1564" s="272"/>
      <c r="B1564" s="272"/>
      <c r="C1564" s="272"/>
      <c r="D1564" s="172"/>
      <c r="E1564" s="267" t="str">
        <f t="shared" si="22"/>
        <v/>
      </c>
      <c r="F1564" s="274"/>
      <c r="G1564" s="42"/>
      <c r="H1564" s="264"/>
      <c r="I1564" s="277"/>
      <c r="J1564" s="276" t="str">
        <f>IF(ISBLANK(I1564), "", VLOOKUP(E1564&amp;" "&amp;F1564, 'Info Tipo de Cambio y REM'!$A$24:$B$35, 2, FALSE))
</f>
        <v/>
      </c>
      <c r="K1564" s="107"/>
      <c r="L1564" s="293"/>
      <c r="M1564" s="293"/>
      <c r="N1564" s="293"/>
      <c r="O1564" s="277"/>
      <c r="P1564" s="264"/>
      <c r="Q1564" s="264"/>
      <c r="R1564" s="264"/>
      <c r="S1564" s="264"/>
      <c r="T1564" s="264"/>
      <c r="U1564" s="264"/>
      <c r="V1564" s="264"/>
      <c r="W1564" s="264"/>
      <c r="X1564" s="264"/>
      <c r="Y1564" s="264"/>
      <c r="Z1564" s="264"/>
      <c r="AA1564" s="264"/>
      <c r="AB1564" s="264"/>
      <c r="AC1564" s="264"/>
      <c r="AD1564" s="264"/>
      <c r="AE1564" s="264"/>
    </row>
    <row r="1565">
      <c r="A1565" s="272"/>
      <c r="B1565" s="272"/>
      <c r="C1565" s="272"/>
      <c r="D1565" s="172"/>
      <c r="E1565" s="267" t="str">
        <f t="shared" si="22"/>
        <v/>
      </c>
      <c r="F1565" s="274"/>
      <c r="G1565" s="42"/>
      <c r="H1565" s="264"/>
      <c r="I1565" s="277"/>
      <c r="J1565" s="276" t="str">
        <f>IF(ISBLANK(I1565), "", VLOOKUP(E1565&amp;" "&amp;F1565, 'Info Tipo de Cambio y REM'!$A$24:$B$35, 2, FALSE))
</f>
        <v/>
      </c>
      <c r="K1565" s="107"/>
      <c r="L1565" s="293"/>
      <c r="M1565" s="293"/>
      <c r="N1565" s="293"/>
      <c r="O1565" s="277"/>
      <c r="P1565" s="264"/>
      <c r="Q1565" s="264"/>
      <c r="R1565" s="264"/>
      <c r="S1565" s="264"/>
      <c r="T1565" s="264"/>
      <c r="U1565" s="264"/>
      <c r="V1565" s="264"/>
      <c r="W1565" s="264"/>
      <c r="X1565" s="264"/>
      <c r="Y1565" s="264"/>
      <c r="Z1565" s="264"/>
      <c r="AA1565" s="264"/>
      <c r="AB1565" s="264"/>
      <c r="AC1565" s="264"/>
      <c r="AD1565" s="264"/>
      <c r="AE1565" s="264"/>
    </row>
    <row r="1566">
      <c r="A1566" s="272"/>
      <c r="B1566" s="272"/>
      <c r="C1566" s="272"/>
      <c r="D1566" s="172"/>
      <c r="E1566" s="267" t="str">
        <f t="shared" si="22"/>
        <v/>
      </c>
      <c r="F1566" s="274"/>
      <c r="G1566" s="42"/>
      <c r="H1566" s="264"/>
      <c r="I1566" s="277"/>
      <c r="J1566" s="276" t="str">
        <f>IF(ISBLANK(I1566), "", VLOOKUP(E1566&amp;" "&amp;F1566, 'Info Tipo de Cambio y REM'!$A$24:$B$35, 2, FALSE))
</f>
        <v/>
      </c>
      <c r="K1566" s="107"/>
      <c r="L1566" s="293"/>
      <c r="M1566" s="293"/>
      <c r="N1566" s="293"/>
      <c r="O1566" s="277"/>
      <c r="P1566" s="264"/>
      <c r="Q1566" s="264"/>
      <c r="R1566" s="264"/>
      <c r="S1566" s="264"/>
      <c r="T1566" s="264"/>
      <c r="U1566" s="264"/>
      <c r="V1566" s="264"/>
      <c r="W1566" s="264"/>
      <c r="X1566" s="264"/>
      <c r="Y1566" s="264"/>
      <c r="Z1566" s="264"/>
      <c r="AA1566" s="264"/>
      <c r="AB1566" s="264"/>
      <c r="AC1566" s="264"/>
      <c r="AD1566" s="264"/>
      <c r="AE1566" s="264"/>
    </row>
    <row r="1567">
      <c r="A1567" s="272"/>
      <c r="B1567" s="272"/>
      <c r="C1567" s="272"/>
      <c r="D1567" s="172"/>
      <c r="E1567" s="267" t="str">
        <f t="shared" si="22"/>
        <v/>
      </c>
      <c r="F1567" s="274"/>
      <c r="G1567" s="42"/>
      <c r="H1567" s="264"/>
      <c r="I1567" s="277"/>
      <c r="J1567" s="276" t="str">
        <f>IF(ISBLANK(I1567), "", VLOOKUP(E1567&amp;" "&amp;F1567, 'Info Tipo de Cambio y REM'!$A$24:$B$35, 2, FALSE))
</f>
        <v/>
      </c>
      <c r="K1567" s="107"/>
      <c r="L1567" s="293"/>
      <c r="M1567" s="293"/>
      <c r="N1567" s="293"/>
      <c r="O1567" s="277"/>
      <c r="P1567" s="264"/>
      <c r="Q1567" s="264"/>
      <c r="R1567" s="264"/>
      <c r="S1567" s="264"/>
      <c r="T1567" s="264"/>
      <c r="U1567" s="264"/>
      <c r="V1567" s="264"/>
      <c r="W1567" s="264"/>
      <c r="X1567" s="264"/>
      <c r="Y1567" s="264"/>
      <c r="Z1567" s="264"/>
      <c r="AA1567" s="264"/>
      <c r="AB1567" s="264"/>
      <c r="AC1567" s="264"/>
      <c r="AD1567" s="264"/>
      <c r="AE1567" s="264"/>
    </row>
    <row r="1568">
      <c r="A1568" s="272"/>
      <c r="B1568" s="272"/>
      <c r="C1568" s="272"/>
      <c r="D1568" s="172"/>
      <c r="E1568" s="267" t="str">
        <f t="shared" si="22"/>
        <v/>
      </c>
      <c r="F1568" s="274"/>
      <c r="G1568" s="42"/>
      <c r="H1568" s="264"/>
      <c r="I1568" s="277"/>
      <c r="J1568" s="276" t="str">
        <f>IF(ISBLANK(I1568), "", VLOOKUP(E1568&amp;" "&amp;F1568, 'Info Tipo de Cambio y REM'!$A$24:$B$35, 2, FALSE))
</f>
        <v/>
      </c>
      <c r="K1568" s="107"/>
      <c r="L1568" s="293"/>
      <c r="M1568" s="293"/>
      <c r="N1568" s="293"/>
      <c r="O1568" s="277"/>
      <c r="P1568" s="264"/>
      <c r="Q1568" s="264"/>
      <c r="R1568" s="264"/>
      <c r="S1568" s="264"/>
      <c r="T1568" s="264"/>
      <c r="U1568" s="264"/>
      <c r="V1568" s="264"/>
      <c r="W1568" s="264"/>
      <c r="X1568" s="264"/>
      <c r="Y1568" s="264"/>
      <c r="Z1568" s="264"/>
      <c r="AA1568" s="264"/>
      <c r="AB1568" s="264"/>
      <c r="AC1568" s="264"/>
      <c r="AD1568" s="264"/>
      <c r="AE1568" s="264"/>
    </row>
    <row r="1569">
      <c r="A1569" s="272"/>
      <c r="B1569" s="272"/>
      <c r="C1569" s="272"/>
      <c r="D1569" s="172"/>
      <c r="E1569" s="267" t="str">
        <f t="shared" si="22"/>
        <v/>
      </c>
      <c r="F1569" s="274"/>
      <c r="G1569" s="42"/>
      <c r="H1569" s="264"/>
      <c r="I1569" s="277"/>
      <c r="J1569" s="276" t="str">
        <f>IF(ISBLANK(I1569), "", VLOOKUP(E1569&amp;" "&amp;F1569, 'Info Tipo de Cambio y REM'!$A$24:$B$35, 2, FALSE))
</f>
        <v/>
      </c>
      <c r="K1569" s="107"/>
      <c r="L1569" s="293"/>
      <c r="M1569" s="293"/>
      <c r="N1569" s="293"/>
      <c r="O1569" s="277"/>
      <c r="P1569" s="264"/>
      <c r="Q1569" s="264"/>
      <c r="R1569" s="264"/>
      <c r="S1569" s="264"/>
      <c r="T1569" s="264"/>
      <c r="U1569" s="264"/>
      <c r="V1569" s="264"/>
      <c r="W1569" s="264"/>
      <c r="X1569" s="264"/>
      <c r="Y1569" s="264"/>
      <c r="Z1569" s="264"/>
      <c r="AA1569" s="264"/>
      <c r="AB1569" s="264"/>
      <c r="AC1569" s="264"/>
      <c r="AD1569" s="264"/>
      <c r="AE1569" s="264"/>
    </row>
    <row r="1570">
      <c r="A1570" s="272"/>
      <c r="B1570" s="272"/>
      <c r="C1570" s="272"/>
      <c r="D1570" s="172"/>
      <c r="E1570" s="267" t="str">
        <f t="shared" si="22"/>
        <v/>
      </c>
      <c r="F1570" s="274"/>
      <c r="G1570" s="42"/>
      <c r="H1570" s="264"/>
      <c r="I1570" s="277"/>
      <c r="J1570" s="276" t="str">
        <f>IF(ISBLANK(I1570), "", VLOOKUP(E1570&amp;" "&amp;F1570, 'Info Tipo de Cambio y REM'!$A$24:$B$35, 2, FALSE))
</f>
        <v/>
      </c>
      <c r="K1570" s="107"/>
      <c r="L1570" s="293"/>
      <c r="M1570" s="293"/>
      <c r="N1570" s="293"/>
      <c r="O1570" s="277"/>
      <c r="P1570" s="264"/>
      <c r="Q1570" s="264"/>
      <c r="R1570" s="264"/>
      <c r="S1570" s="264"/>
      <c r="T1570" s="264"/>
      <c r="U1570" s="264"/>
      <c r="V1570" s="264"/>
      <c r="W1570" s="264"/>
      <c r="X1570" s="264"/>
      <c r="Y1570" s="264"/>
      <c r="Z1570" s="264"/>
      <c r="AA1570" s="264"/>
      <c r="AB1570" s="264"/>
      <c r="AC1570" s="264"/>
      <c r="AD1570" s="264"/>
      <c r="AE1570" s="264"/>
    </row>
    <row r="1571">
      <c r="A1571" s="272"/>
      <c r="B1571" s="272"/>
      <c r="C1571" s="272"/>
      <c r="D1571" s="172"/>
      <c r="E1571" s="267" t="str">
        <f t="shared" si="22"/>
        <v/>
      </c>
      <c r="F1571" s="274"/>
      <c r="G1571" s="42"/>
      <c r="H1571" s="264"/>
      <c r="I1571" s="277"/>
      <c r="J1571" s="276" t="str">
        <f>IF(ISBLANK(I1571), "", VLOOKUP(E1571&amp;" "&amp;F1571, 'Info Tipo de Cambio y REM'!$A$24:$B$35, 2, FALSE))
</f>
        <v/>
      </c>
      <c r="K1571" s="107"/>
      <c r="L1571" s="293"/>
      <c r="M1571" s="293"/>
      <c r="N1571" s="293"/>
      <c r="O1571" s="277"/>
      <c r="P1571" s="264"/>
      <c r="Q1571" s="264"/>
      <c r="R1571" s="264"/>
      <c r="S1571" s="264"/>
      <c r="T1571" s="264"/>
      <c r="U1571" s="264"/>
      <c r="V1571" s="264"/>
      <c r="W1571" s="264"/>
      <c r="X1571" s="264"/>
      <c r="Y1571" s="264"/>
      <c r="Z1571" s="264"/>
      <c r="AA1571" s="264"/>
      <c r="AB1571" s="264"/>
      <c r="AC1571" s="264"/>
      <c r="AD1571" s="264"/>
      <c r="AE1571" s="264"/>
    </row>
    <row r="1572">
      <c r="A1572" s="272"/>
      <c r="B1572" s="272"/>
      <c r="C1572" s="272"/>
      <c r="D1572" s="172"/>
      <c r="E1572" s="267" t="str">
        <f t="shared" si="22"/>
        <v/>
      </c>
      <c r="F1572" s="274"/>
      <c r="G1572" s="42"/>
      <c r="H1572" s="264"/>
      <c r="I1572" s="277"/>
      <c r="J1572" s="276" t="str">
        <f>IF(ISBLANK(I1572), "", VLOOKUP(E1572&amp;" "&amp;F1572, 'Info Tipo de Cambio y REM'!$A$24:$B$35, 2, FALSE))
</f>
        <v/>
      </c>
      <c r="K1572" s="107"/>
      <c r="L1572" s="293"/>
      <c r="M1572" s="293"/>
      <c r="N1572" s="293"/>
      <c r="O1572" s="277"/>
      <c r="P1572" s="264"/>
      <c r="Q1572" s="264"/>
      <c r="R1572" s="264"/>
      <c r="S1572" s="264"/>
      <c r="T1572" s="264"/>
      <c r="U1572" s="264"/>
      <c r="V1572" s="264"/>
      <c r="W1572" s="264"/>
      <c r="X1572" s="264"/>
      <c r="Y1572" s="264"/>
      <c r="Z1572" s="264"/>
      <c r="AA1572" s="264"/>
      <c r="AB1572" s="264"/>
      <c r="AC1572" s="264"/>
      <c r="AD1572" s="264"/>
      <c r="AE1572" s="264"/>
    </row>
    <row r="1573">
      <c r="A1573" s="272"/>
      <c r="B1573" s="272"/>
      <c r="C1573" s="272"/>
      <c r="D1573" s="172"/>
      <c r="E1573" s="267" t="str">
        <f t="shared" si="22"/>
        <v/>
      </c>
      <c r="F1573" s="274"/>
      <c r="G1573" s="42"/>
      <c r="H1573" s="264"/>
      <c r="I1573" s="277"/>
      <c r="J1573" s="276" t="str">
        <f>IF(ISBLANK(I1573), "", VLOOKUP(E1573&amp;" "&amp;F1573, 'Info Tipo de Cambio y REM'!$A$24:$B$35, 2, FALSE))
</f>
        <v/>
      </c>
      <c r="K1573" s="107"/>
      <c r="L1573" s="293"/>
      <c r="M1573" s="293"/>
      <c r="N1573" s="293"/>
      <c r="O1573" s="277"/>
      <c r="P1573" s="264"/>
      <c r="Q1573" s="264"/>
      <c r="R1573" s="264"/>
      <c r="S1573" s="264"/>
      <c r="T1573" s="264"/>
      <c r="U1573" s="264"/>
      <c r="V1573" s="264"/>
      <c r="W1573" s="264"/>
      <c r="X1573" s="264"/>
      <c r="Y1573" s="264"/>
      <c r="Z1573" s="264"/>
      <c r="AA1573" s="264"/>
      <c r="AB1573" s="264"/>
      <c r="AC1573" s="264"/>
      <c r="AD1573" s="264"/>
      <c r="AE1573" s="264"/>
    </row>
    <row r="1574">
      <c r="A1574" s="272"/>
      <c r="B1574" s="272"/>
      <c r="C1574" s="272"/>
      <c r="D1574" s="172"/>
      <c r="E1574" s="267" t="str">
        <f t="shared" si="22"/>
        <v/>
      </c>
      <c r="F1574" s="274"/>
      <c r="G1574" s="42"/>
      <c r="H1574" s="264"/>
      <c r="I1574" s="277"/>
      <c r="J1574" s="276" t="str">
        <f>IF(ISBLANK(I1574), "", VLOOKUP(E1574&amp;" "&amp;F1574, 'Info Tipo de Cambio y REM'!$A$24:$B$35, 2, FALSE))
</f>
        <v/>
      </c>
      <c r="K1574" s="107"/>
      <c r="L1574" s="293"/>
      <c r="M1574" s="293"/>
      <c r="N1574" s="293"/>
      <c r="O1574" s="277"/>
      <c r="P1574" s="264"/>
      <c r="Q1574" s="264"/>
      <c r="R1574" s="264"/>
      <c r="S1574" s="264"/>
      <c r="T1574" s="264"/>
      <c r="U1574" s="264"/>
      <c r="V1574" s="264"/>
      <c r="W1574" s="264"/>
      <c r="X1574" s="264"/>
      <c r="Y1574" s="264"/>
      <c r="Z1574" s="264"/>
      <c r="AA1574" s="264"/>
      <c r="AB1574" s="264"/>
      <c r="AC1574" s="264"/>
      <c r="AD1574" s="264"/>
      <c r="AE1574" s="264"/>
    </row>
    <row r="1575">
      <c r="A1575" s="272"/>
      <c r="B1575" s="272"/>
      <c r="C1575" s="272"/>
      <c r="D1575" s="172"/>
      <c r="E1575" s="267" t="str">
        <f t="shared" si="22"/>
        <v/>
      </c>
      <c r="F1575" s="274"/>
      <c r="G1575" s="42"/>
      <c r="H1575" s="264"/>
      <c r="I1575" s="277"/>
      <c r="J1575" s="276" t="str">
        <f>IF(ISBLANK(I1575), "", VLOOKUP(E1575&amp;" "&amp;F1575, 'Info Tipo de Cambio y REM'!$A$24:$B$35, 2, FALSE))
</f>
        <v/>
      </c>
      <c r="K1575" s="107"/>
      <c r="L1575" s="293"/>
      <c r="M1575" s="293"/>
      <c r="N1575" s="293"/>
      <c r="O1575" s="277"/>
      <c r="P1575" s="264"/>
      <c r="Q1575" s="264"/>
      <c r="R1575" s="264"/>
      <c r="S1575" s="264"/>
      <c r="T1575" s="264"/>
      <c r="U1575" s="264"/>
      <c r="V1575" s="264"/>
      <c r="W1575" s="264"/>
      <c r="X1575" s="264"/>
      <c r="Y1575" s="264"/>
      <c r="Z1575" s="264"/>
      <c r="AA1575" s="264"/>
      <c r="AB1575" s="264"/>
      <c r="AC1575" s="264"/>
      <c r="AD1575" s="264"/>
      <c r="AE1575" s="264"/>
    </row>
    <row r="1576">
      <c r="A1576" s="272"/>
      <c r="B1576" s="272"/>
      <c r="C1576" s="272"/>
      <c r="D1576" s="172"/>
      <c r="E1576" s="267" t="str">
        <f t="shared" si="22"/>
        <v/>
      </c>
      <c r="F1576" s="274"/>
      <c r="G1576" s="42"/>
      <c r="H1576" s="264"/>
      <c r="I1576" s="277"/>
      <c r="J1576" s="276" t="str">
        <f>IF(ISBLANK(I1576), "", VLOOKUP(E1576&amp;" "&amp;F1576, 'Info Tipo de Cambio y REM'!$A$24:$B$35, 2, FALSE))
</f>
        <v/>
      </c>
      <c r="K1576" s="107"/>
      <c r="L1576" s="293"/>
      <c r="M1576" s="293"/>
      <c r="N1576" s="293"/>
      <c r="O1576" s="277"/>
      <c r="P1576" s="264"/>
      <c r="Q1576" s="264"/>
      <c r="R1576" s="264"/>
      <c r="S1576" s="264"/>
      <c r="T1576" s="264"/>
      <c r="U1576" s="264"/>
      <c r="V1576" s="264"/>
      <c r="W1576" s="264"/>
      <c r="X1576" s="264"/>
      <c r="Y1576" s="264"/>
      <c r="Z1576" s="264"/>
      <c r="AA1576" s="264"/>
      <c r="AB1576" s="264"/>
      <c r="AC1576" s="264"/>
      <c r="AD1576" s="264"/>
      <c r="AE1576" s="264"/>
    </row>
    <row r="1577">
      <c r="A1577" s="272"/>
      <c r="B1577" s="272"/>
      <c r="C1577" s="272"/>
      <c r="D1577" s="172"/>
      <c r="E1577" s="267" t="str">
        <f t="shared" si="22"/>
        <v/>
      </c>
      <c r="F1577" s="274"/>
      <c r="G1577" s="42"/>
      <c r="H1577" s="264"/>
      <c r="I1577" s="277"/>
      <c r="J1577" s="276" t="str">
        <f>IF(ISBLANK(I1577), "", VLOOKUP(E1577&amp;" "&amp;F1577, 'Info Tipo de Cambio y REM'!$A$24:$B$35, 2, FALSE))
</f>
        <v/>
      </c>
      <c r="K1577" s="107"/>
      <c r="L1577" s="293"/>
      <c r="M1577" s="293"/>
      <c r="N1577" s="293"/>
      <c r="O1577" s="277"/>
      <c r="P1577" s="264"/>
      <c r="Q1577" s="264"/>
      <c r="R1577" s="264"/>
      <c r="S1577" s="264"/>
      <c r="T1577" s="264"/>
      <c r="U1577" s="264"/>
      <c r="V1577" s="264"/>
      <c r="W1577" s="264"/>
      <c r="X1577" s="264"/>
      <c r="Y1577" s="264"/>
      <c r="Z1577" s="264"/>
      <c r="AA1577" s="264"/>
      <c r="AB1577" s="264"/>
      <c r="AC1577" s="264"/>
      <c r="AD1577" s="264"/>
      <c r="AE1577" s="264"/>
    </row>
    <row r="1578">
      <c r="A1578" s="272"/>
      <c r="B1578" s="272"/>
      <c r="C1578" s="272"/>
      <c r="D1578" s="172"/>
      <c r="E1578" s="267" t="str">
        <f t="shared" si="22"/>
        <v/>
      </c>
      <c r="F1578" s="274"/>
      <c r="G1578" s="42"/>
      <c r="H1578" s="264"/>
      <c r="I1578" s="277"/>
      <c r="J1578" s="276" t="str">
        <f>IF(ISBLANK(I1578), "", VLOOKUP(E1578&amp;" "&amp;F1578, 'Info Tipo de Cambio y REM'!$A$24:$B$35, 2, FALSE))
</f>
        <v/>
      </c>
      <c r="K1578" s="107"/>
      <c r="L1578" s="293"/>
      <c r="M1578" s="293"/>
      <c r="N1578" s="293"/>
      <c r="O1578" s="277"/>
      <c r="P1578" s="264"/>
      <c r="Q1578" s="264"/>
      <c r="R1578" s="264"/>
      <c r="S1578" s="264"/>
      <c r="T1578" s="264"/>
      <c r="U1578" s="264"/>
      <c r="V1578" s="264"/>
      <c r="W1578" s="264"/>
      <c r="X1578" s="264"/>
      <c r="Y1578" s="264"/>
      <c r="Z1578" s="264"/>
      <c r="AA1578" s="264"/>
      <c r="AB1578" s="264"/>
      <c r="AC1578" s="264"/>
      <c r="AD1578" s="264"/>
      <c r="AE1578" s="264"/>
    </row>
    <row r="1579">
      <c r="A1579" s="272"/>
      <c r="B1579" s="272"/>
      <c r="C1579" s="272"/>
      <c r="D1579" s="172"/>
      <c r="E1579" s="267" t="str">
        <f t="shared" si="22"/>
        <v/>
      </c>
      <c r="F1579" s="274"/>
      <c r="G1579" s="42"/>
      <c r="H1579" s="264"/>
      <c r="I1579" s="277"/>
      <c r="J1579" s="276" t="str">
        <f>IF(ISBLANK(I1579), "", VLOOKUP(E1579&amp;" "&amp;F1579, 'Info Tipo de Cambio y REM'!$A$24:$B$35, 2, FALSE))
</f>
        <v/>
      </c>
      <c r="K1579" s="107"/>
      <c r="L1579" s="293"/>
      <c r="M1579" s="293"/>
      <c r="N1579" s="293"/>
      <c r="O1579" s="277"/>
      <c r="P1579" s="264"/>
      <c r="Q1579" s="264"/>
      <c r="R1579" s="264"/>
      <c r="S1579" s="264"/>
      <c r="T1579" s="264"/>
      <c r="U1579" s="264"/>
      <c r="V1579" s="264"/>
      <c r="W1579" s="264"/>
      <c r="X1579" s="264"/>
      <c r="Y1579" s="264"/>
      <c r="Z1579" s="264"/>
      <c r="AA1579" s="264"/>
      <c r="AB1579" s="264"/>
      <c r="AC1579" s="264"/>
      <c r="AD1579" s="264"/>
      <c r="AE1579" s="264"/>
    </row>
    <row r="1580">
      <c r="A1580" s="272"/>
      <c r="B1580" s="272"/>
      <c r="C1580" s="272"/>
      <c r="D1580" s="172"/>
      <c r="E1580" s="267" t="str">
        <f t="shared" si="22"/>
        <v/>
      </c>
      <c r="F1580" s="274"/>
      <c r="G1580" s="42"/>
      <c r="H1580" s="264"/>
      <c r="I1580" s="277"/>
      <c r="J1580" s="276" t="str">
        <f>IF(ISBLANK(I1580), "", VLOOKUP(E1580&amp;" "&amp;F1580, 'Info Tipo de Cambio y REM'!$A$24:$B$35, 2, FALSE))
</f>
        <v/>
      </c>
      <c r="K1580" s="107"/>
      <c r="L1580" s="293"/>
      <c r="M1580" s="293"/>
      <c r="N1580" s="293"/>
      <c r="O1580" s="277"/>
      <c r="P1580" s="264"/>
      <c r="Q1580" s="264"/>
      <c r="R1580" s="264"/>
      <c r="S1580" s="264"/>
      <c r="T1580" s="264"/>
      <c r="U1580" s="264"/>
      <c r="V1580" s="264"/>
      <c r="W1580" s="264"/>
      <c r="X1580" s="264"/>
      <c r="Y1580" s="264"/>
      <c r="Z1580" s="264"/>
      <c r="AA1580" s="264"/>
      <c r="AB1580" s="264"/>
      <c r="AC1580" s="264"/>
      <c r="AD1580" s="264"/>
      <c r="AE1580" s="264"/>
    </row>
    <row r="1581">
      <c r="A1581" s="272"/>
      <c r="B1581" s="272"/>
      <c r="C1581" s="272"/>
      <c r="D1581" s="172"/>
      <c r="E1581" s="267" t="str">
        <f t="shared" si="22"/>
        <v/>
      </c>
      <c r="F1581" s="274"/>
      <c r="G1581" s="42"/>
      <c r="H1581" s="264"/>
      <c r="I1581" s="277"/>
      <c r="J1581" s="276" t="str">
        <f>IF(ISBLANK(I1581), "", VLOOKUP(E1581&amp;" "&amp;F1581, 'Info Tipo de Cambio y REM'!$A$24:$B$35, 2, FALSE))
</f>
        <v/>
      </c>
      <c r="K1581" s="107"/>
      <c r="L1581" s="293"/>
      <c r="M1581" s="293"/>
      <c r="N1581" s="293"/>
      <c r="O1581" s="277"/>
      <c r="P1581" s="264"/>
      <c r="Q1581" s="264"/>
      <c r="R1581" s="264"/>
      <c r="S1581" s="264"/>
      <c r="T1581" s="264"/>
      <c r="U1581" s="264"/>
      <c r="V1581" s="264"/>
      <c r="W1581" s="264"/>
      <c r="X1581" s="264"/>
      <c r="Y1581" s="264"/>
      <c r="Z1581" s="264"/>
      <c r="AA1581" s="264"/>
      <c r="AB1581" s="264"/>
      <c r="AC1581" s="264"/>
      <c r="AD1581" s="264"/>
      <c r="AE1581" s="264"/>
    </row>
    <row r="1582">
      <c r="A1582" s="272"/>
      <c r="B1582" s="272"/>
      <c r="C1582" s="272"/>
      <c r="D1582" s="172"/>
      <c r="E1582" s="267" t="str">
        <f t="shared" si="22"/>
        <v/>
      </c>
      <c r="F1582" s="274"/>
      <c r="G1582" s="42"/>
      <c r="H1582" s="264"/>
      <c r="I1582" s="277"/>
      <c r="J1582" s="276" t="str">
        <f>IF(ISBLANK(I1582), "", VLOOKUP(E1582&amp;" "&amp;F1582, 'Info Tipo de Cambio y REM'!$A$24:$B$35, 2, FALSE))
</f>
        <v/>
      </c>
      <c r="K1582" s="107"/>
      <c r="L1582" s="293"/>
      <c r="M1582" s="293"/>
      <c r="N1582" s="293"/>
      <c r="O1582" s="277"/>
      <c r="P1582" s="264"/>
      <c r="Q1582" s="264"/>
      <c r="R1582" s="264"/>
      <c r="S1582" s="264"/>
      <c r="T1582" s="264"/>
      <c r="U1582" s="264"/>
      <c r="V1582" s="264"/>
      <c r="W1582" s="264"/>
      <c r="X1582" s="264"/>
      <c r="Y1582" s="264"/>
      <c r="Z1582" s="264"/>
      <c r="AA1582" s="264"/>
      <c r="AB1582" s="264"/>
      <c r="AC1582" s="264"/>
      <c r="AD1582" s="264"/>
      <c r="AE1582" s="264"/>
    </row>
    <row r="1583">
      <c r="A1583" s="272"/>
      <c r="B1583" s="272"/>
      <c r="C1583" s="272"/>
      <c r="D1583" s="172"/>
      <c r="E1583" s="267" t="str">
        <f t="shared" si="22"/>
        <v/>
      </c>
      <c r="F1583" s="274"/>
      <c r="G1583" s="42"/>
      <c r="H1583" s="264"/>
      <c r="I1583" s="277"/>
      <c r="J1583" s="276" t="str">
        <f>IF(ISBLANK(I1583), "", VLOOKUP(E1583&amp;" "&amp;F1583, 'Info Tipo de Cambio y REM'!$A$24:$B$35, 2, FALSE))
</f>
        <v/>
      </c>
      <c r="K1583" s="107"/>
      <c r="L1583" s="293"/>
      <c r="M1583" s="293"/>
      <c r="N1583" s="293"/>
      <c r="O1583" s="277"/>
      <c r="P1583" s="264"/>
      <c r="Q1583" s="264"/>
      <c r="R1583" s="264"/>
      <c r="S1583" s="264"/>
      <c r="T1583" s="264"/>
      <c r="U1583" s="264"/>
      <c r="V1583" s="264"/>
      <c r="W1583" s="264"/>
      <c r="X1583" s="264"/>
      <c r="Y1583" s="264"/>
      <c r="Z1583" s="264"/>
      <c r="AA1583" s="264"/>
      <c r="AB1583" s="264"/>
      <c r="AC1583" s="264"/>
      <c r="AD1583" s="264"/>
      <c r="AE1583" s="264"/>
    </row>
    <row r="1584">
      <c r="A1584" s="272"/>
      <c r="B1584" s="272"/>
      <c r="C1584" s="272"/>
      <c r="D1584" s="172"/>
      <c r="E1584" s="267" t="str">
        <f t="shared" si="22"/>
        <v/>
      </c>
      <c r="F1584" s="274"/>
      <c r="G1584" s="42"/>
      <c r="H1584" s="264"/>
      <c r="I1584" s="277"/>
      <c r="J1584" s="276" t="str">
        <f>IF(ISBLANK(I1584), "", VLOOKUP(E1584&amp;" "&amp;F1584, 'Info Tipo de Cambio y REM'!$A$24:$B$35, 2, FALSE))
</f>
        <v/>
      </c>
      <c r="K1584" s="107"/>
      <c r="L1584" s="293"/>
      <c r="M1584" s="293"/>
      <c r="N1584" s="293"/>
      <c r="O1584" s="277"/>
      <c r="P1584" s="264"/>
      <c r="Q1584" s="264"/>
      <c r="R1584" s="264"/>
      <c r="S1584" s="264"/>
      <c r="T1584" s="264"/>
      <c r="U1584" s="264"/>
      <c r="V1584" s="264"/>
      <c r="W1584" s="264"/>
      <c r="X1584" s="264"/>
      <c r="Y1584" s="264"/>
      <c r="Z1584" s="264"/>
      <c r="AA1584" s="264"/>
      <c r="AB1584" s="264"/>
      <c r="AC1584" s="264"/>
      <c r="AD1584" s="264"/>
      <c r="AE1584" s="264"/>
    </row>
    <row r="1585">
      <c r="A1585" s="272"/>
      <c r="B1585" s="272"/>
      <c r="C1585" s="272"/>
      <c r="D1585" s="172"/>
      <c r="E1585" s="267" t="str">
        <f t="shared" si="22"/>
        <v/>
      </c>
      <c r="F1585" s="274"/>
      <c r="G1585" s="42"/>
      <c r="H1585" s="264"/>
      <c r="I1585" s="277"/>
      <c r="J1585" s="276" t="str">
        <f>IF(ISBLANK(I1585), "", VLOOKUP(E1585&amp;" "&amp;F1585, 'Info Tipo de Cambio y REM'!$A$24:$B$35, 2, FALSE))
</f>
        <v/>
      </c>
      <c r="K1585" s="107"/>
      <c r="L1585" s="293"/>
      <c r="M1585" s="293"/>
      <c r="N1585" s="293"/>
      <c r="O1585" s="277"/>
      <c r="P1585" s="264"/>
      <c r="Q1585" s="264"/>
      <c r="R1585" s="264"/>
      <c r="S1585" s="264"/>
      <c r="T1585" s="264"/>
      <c r="U1585" s="264"/>
      <c r="V1585" s="264"/>
      <c r="W1585" s="264"/>
      <c r="X1585" s="264"/>
      <c r="Y1585" s="264"/>
      <c r="Z1585" s="264"/>
      <c r="AA1585" s="264"/>
      <c r="AB1585" s="264"/>
      <c r="AC1585" s="264"/>
      <c r="AD1585" s="264"/>
      <c r="AE1585" s="264"/>
    </row>
    <row r="1586">
      <c r="A1586" s="272"/>
      <c r="B1586" s="272"/>
      <c r="C1586" s="272"/>
      <c r="D1586" s="172"/>
      <c r="E1586" s="267" t="str">
        <f t="shared" si="22"/>
        <v/>
      </c>
      <c r="F1586" s="274"/>
      <c r="G1586" s="42"/>
      <c r="H1586" s="264"/>
      <c r="I1586" s="277"/>
      <c r="J1586" s="276" t="str">
        <f>IF(ISBLANK(I1586), "", VLOOKUP(E1586&amp;" "&amp;F1586, 'Info Tipo de Cambio y REM'!$A$24:$B$35, 2, FALSE))
</f>
        <v/>
      </c>
      <c r="K1586" s="107"/>
      <c r="L1586" s="293"/>
      <c r="M1586" s="293"/>
      <c r="N1586" s="293"/>
      <c r="O1586" s="277"/>
      <c r="P1586" s="264"/>
      <c r="Q1586" s="264"/>
      <c r="R1586" s="264"/>
      <c r="S1586" s="264"/>
      <c r="T1586" s="264"/>
      <c r="U1586" s="264"/>
      <c r="V1586" s="264"/>
      <c r="W1586" s="264"/>
      <c r="X1586" s="264"/>
      <c r="Y1586" s="264"/>
      <c r="Z1586" s="264"/>
      <c r="AA1586" s="264"/>
      <c r="AB1586" s="264"/>
      <c r="AC1586" s="264"/>
      <c r="AD1586" s="264"/>
      <c r="AE1586" s="264"/>
    </row>
    <row r="1587">
      <c r="A1587" s="272"/>
      <c r="B1587" s="272"/>
      <c r="C1587" s="272"/>
      <c r="D1587" s="172"/>
      <c r="E1587" s="267" t="str">
        <f t="shared" si="22"/>
        <v/>
      </c>
      <c r="F1587" s="274"/>
      <c r="G1587" s="42"/>
      <c r="H1587" s="264"/>
      <c r="I1587" s="277"/>
      <c r="J1587" s="276" t="str">
        <f>IF(ISBLANK(I1587), "", VLOOKUP(E1587&amp;" "&amp;F1587, 'Info Tipo de Cambio y REM'!$A$24:$B$35, 2, FALSE))
</f>
        <v/>
      </c>
      <c r="K1587" s="107"/>
      <c r="L1587" s="293"/>
      <c r="M1587" s="293"/>
      <c r="N1587" s="293"/>
      <c r="O1587" s="277"/>
      <c r="P1587" s="264"/>
      <c r="Q1587" s="264"/>
      <c r="R1587" s="264"/>
      <c r="S1587" s="264"/>
      <c r="T1587" s="264"/>
      <c r="U1587" s="264"/>
      <c r="V1587" s="264"/>
      <c r="W1587" s="264"/>
      <c r="X1587" s="264"/>
      <c r="Y1587" s="264"/>
      <c r="Z1587" s="264"/>
      <c r="AA1587" s="264"/>
      <c r="AB1587" s="264"/>
      <c r="AC1587" s="264"/>
      <c r="AD1587" s="264"/>
      <c r="AE1587" s="264"/>
    </row>
    <row r="1588">
      <c r="A1588" s="272"/>
      <c r="B1588" s="272"/>
      <c r="C1588" s="272"/>
      <c r="D1588" s="172"/>
      <c r="E1588" s="267" t="str">
        <f t="shared" si="22"/>
        <v/>
      </c>
      <c r="F1588" s="274"/>
      <c r="G1588" s="42"/>
      <c r="H1588" s="264"/>
      <c r="I1588" s="277"/>
      <c r="J1588" s="276" t="str">
        <f>IF(ISBLANK(I1588), "", VLOOKUP(E1588&amp;" "&amp;F1588, 'Info Tipo de Cambio y REM'!$A$24:$B$35, 2, FALSE))
</f>
        <v/>
      </c>
      <c r="K1588" s="107"/>
      <c r="L1588" s="293"/>
      <c r="M1588" s="293"/>
      <c r="N1588" s="293"/>
      <c r="O1588" s="277"/>
      <c r="P1588" s="264"/>
      <c r="Q1588" s="264"/>
      <c r="R1588" s="264"/>
      <c r="S1588" s="264"/>
      <c r="T1588" s="264"/>
      <c r="U1588" s="264"/>
      <c r="V1588" s="264"/>
      <c r="W1588" s="264"/>
      <c r="X1588" s="264"/>
      <c r="Y1588" s="264"/>
      <c r="Z1588" s="264"/>
      <c r="AA1588" s="264"/>
      <c r="AB1588" s="264"/>
      <c r="AC1588" s="264"/>
      <c r="AD1588" s="264"/>
      <c r="AE1588" s="264"/>
    </row>
    <row r="1589">
      <c r="A1589" s="272"/>
      <c r="B1589" s="272"/>
      <c r="C1589" s="272"/>
      <c r="D1589" s="172"/>
      <c r="E1589" s="267" t="str">
        <f t="shared" si="22"/>
        <v/>
      </c>
      <c r="F1589" s="274"/>
      <c r="G1589" s="42"/>
      <c r="H1589" s="264"/>
      <c r="I1589" s="277"/>
      <c r="J1589" s="276" t="str">
        <f>IF(ISBLANK(I1589), "", VLOOKUP(E1589&amp;" "&amp;F1589, 'Info Tipo de Cambio y REM'!$A$24:$B$35, 2, FALSE))
</f>
        <v/>
      </c>
      <c r="K1589" s="107"/>
      <c r="L1589" s="293"/>
      <c r="M1589" s="293"/>
      <c r="N1589" s="293"/>
      <c r="O1589" s="277"/>
      <c r="P1589" s="264"/>
      <c r="Q1589" s="264"/>
      <c r="R1589" s="264"/>
      <c r="S1589" s="264"/>
      <c r="T1589" s="264"/>
      <c r="U1589" s="264"/>
      <c r="V1589" s="264"/>
      <c r="W1589" s="264"/>
      <c r="X1589" s="264"/>
      <c r="Y1589" s="264"/>
      <c r="Z1589" s="264"/>
      <c r="AA1589" s="264"/>
      <c r="AB1589" s="264"/>
      <c r="AC1589" s="264"/>
      <c r="AD1589" s="264"/>
      <c r="AE1589" s="264"/>
    </row>
    <row r="1590">
      <c r="A1590" s="272"/>
      <c r="B1590" s="272"/>
      <c r="C1590" s="272"/>
      <c r="D1590" s="172"/>
      <c r="E1590" s="267" t="str">
        <f t="shared" si="22"/>
        <v/>
      </c>
      <c r="F1590" s="274"/>
      <c r="G1590" s="42"/>
      <c r="H1590" s="264"/>
      <c r="I1590" s="277"/>
      <c r="J1590" s="276" t="str">
        <f>IF(ISBLANK(I1590), "", VLOOKUP(E1590&amp;" "&amp;F1590, 'Info Tipo de Cambio y REM'!$A$24:$B$35, 2, FALSE))
</f>
        <v/>
      </c>
      <c r="K1590" s="107"/>
      <c r="L1590" s="293"/>
      <c r="M1590" s="293"/>
      <c r="N1590" s="293"/>
      <c r="O1590" s="277"/>
      <c r="P1590" s="264"/>
      <c r="Q1590" s="264"/>
      <c r="R1590" s="264"/>
      <c r="S1590" s="264"/>
      <c r="T1590" s="264"/>
      <c r="U1590" s="264"/>
      <c r="V1590" s="264"/>
      <c r="W1590" s="264"/>
      <c r="X1590" s="264"/>
      <c r="Y1590" s="264"/>
      <c r="Z1590" s="264"/>
      <c r="AA1590" s="264"/>
      <c r="AB1590" s="264"/>
      <c r="AC1590" s="264"/>
      <c r="AD1590" s="264"/>
      <c r="AE1590" s="264"/>
    </row>
    <row r="1591">
      <c r="A1591" s="272"/>
      <c r="B1591" s="272"/>
      <c r="C1591" s="272"/>
      <c r="D1591" s="172"/>
      <c r="E1591" s="267" t="str">
        <f t="shared" si="22"/>
        <v/>
      </c>
      <c r="F1591" s="274"/>
      <c r="G1591" s="42"/>
      <c r="H1591" s="264"/>
      <c r="I1591" s="277"/>
      <c r="J1591" s="276" t="str">
        <f>IF(ISBLANK(I1591), "", VLOOKUP(E1591&amp;" "&amp;F1591, 'Info Tipo de Cambio y REM'!$A$24:$B$35, 2, FALSE))
</f>
        <v/>
      </c>
      <c r="K1591" s="107"/>
      <c r="L1591" s="293"/>
      <c r="M1591" s="293"/>
      <c r="N1591" s="293"/>
      <c r="O1591" s="277"/>
      <c r="P1591" s="264"/>
      <c r="Q1591" s="264"/>
      <c r="R1591" s="264"/>
      <c r="S1591" s="264"/>
      <c r="T1591" s="264"/>
      <c r="U1591" s="264"/>
      <c r="V1591" s="264"/>
      <c r="W1591" s="264"/>
      <c r="X1591" s="264"/>
      <c r="Y1591" s="264"/>
      <c r="Z1591" s="264"/>
      <c r="AA1591" s="264"/>
      <c r="AB1591" s="264"/>
      <c r="AC1591" s="264"/>
      <c r="AD1591" s="264"/>
      <c r="AE1591" s="264"/>
    </row>
    <row r="1592">
      <c r="A1592" s="272"/>
      <c r="B1592" s="272"/>
      <c r="C1592" s="272"/>
      <c r="D1592" s="172"/>
      <c r="E1592" s="267" t="str">
        <f t="shared" si="22"/>
        <v/>
      </c>
      <c r="F1592" s="274"/>
      <c r="G1592" s="42"/>
      <c r="H1592" s="264"/>
      <c r="I1592" s="277"/>
      <c r="J1592" s="276" t="str">
        <f>IF(ISBLANK(I1592), "", VLOOKUP(E1592&amp;" "&amp;F1592, 'Info Tipo de Cambio y REM'!$A$24:$B$35, 2, FALSE))
</f>
        <v/>
      </c>
      <c r="K1592" s="107"/>
      <c r="L1592" s="293"/>
      <c r="M1592" s="293"/>
      <c r="N1592" s="293"/>
      <c r="O1592" s="277"/>
      <c r="P1592" s="264"/>
      <c r="Q1592" s="264"/>
      <c r="R1592" s="264"/>
      <c r="S1592" s="264"/>
      <c r="T1592" s="264"/>
      <c r="U1592" s="264"/>
      <c r="V1592" s="264"/>
      <c r="W1592" s="264"/>
      <c r="X1592" s="264"/>
      <c r="Y1592" s="264"/>
      <c r="Z1592" s="264"/>
      <c r="AA1592" s="264"/>
      <c r="AB1592" s="264"/>
      <c r="AC1592" s="264"/>
      <c r="AD1592" s="264"/>
      <c r="AE1592" s="264"/>
    </row>
    <row r="1593">
      <c r="A1593" s="272"/>
      <c r="B1593" s="272"/>
      <c r="C1593" s="272"/>
      <c r="D1593" s="172"/>
      <c r="E1593" s="267" t="str">
        <f t="shared" si="22"/>
        <v/>
      </c>
      <c r="F1593" s="274"/>
      <c r="G1593" s="42"/>
      <c r="H1593" s="264"/>
      <c r="I1593" s="277"/>
      <c r="J1593" s="276" t="str">
        <f>IF(ISBLANK(I1593), "", VLOOKUP(E1593&amp;" "&amp;F1593, 'Info Tipo de Cambio y REM'!$A$24:$B$35, 2, FALSE))
</f>
        <v/>
      </c>
      <c r="K1593" s="107"/>
      <c r="L1593" s="293"/>
      <c r="M1593" s="293"/>
      <c r="N1593" s="293"/>
      <c r="O1593" s="277"/>
      <c r="P1593" s="264"/>
      <c r="Q1593" s="264"/>
      <c r="R1593" s="264"/>
      <c r="S1593" s="264"/>
      <c r="T1593" s="264"/>
      <c r="U1593" s="264"/>
      <c r="V1593" s="264"/>
      <c r="W1593" s="264"/>
      <c r="X1593" s="264"/>
      <c r="Y1593" s="264"/>
      <c r="Z1593" s="264"/>
      <c r="AA1593" s="264"/>
      <c r="AB1593" s="264"/>
      <c r="AC1593" s="264"/>
      <c r="AD1593" s="264"/>
      <c r="AE1593" s="264"/>
    </row>
    <row r="1594">
      <c r="A1594" s="272"/>
      <c r="B1594" s="272"/>
      <c r="C1594" s="272"/>
      <c r="D1594" s="172"/>
      <c r="E1594" s="267" t="str">
        <f t="shared" si="22"/>
        <v/>
      </c>
      <c r="F1594" s="274"/>
      <c r="G1594" s="42"/>
      <c r="H1594" s="264"/>
      <c r="I1594" s="277"/>
      <c r="J1594" s="276" t="str">
        <f>IF(ISBLANK(I1594), "", VLOOKUP(E1594&amp;" "&amp;F1594, 'Info Tipo de Cambio y REM'!$A$24:$B$35, 2, FALSE))
</f>
        <v/>
      </c>
      <c r="K1594" s="107"/>
      <c r="L1594" s="293"/>
      <c r="M1594" s="293"/>
      <c r="N1594" s="293"/>
      <c r="O1594" s="277"/>
      <c r="P1594" s="264"/>
      <c r="Q1594" s="264"/>
      <c r="R1594" s="264"/>
      <c r="S1594" s="264"/>
      <c r="T1594" s="264"/>
      <c r="U1594" s="264"/>
      <c r="V1594" s="264"/>
      <c r="W1594" s="264"/>
      <c r="X1594" s="264"/>
      <c r="Y1594" s="264"/>
      <c r="Z1594" s="264"/>
      <c r="AA1594" s="264"/>
      <c r="AB1594" s="264"/>
      <c r="AC1594" s="264"/>
      <c r="AD1594" s="264"/>
      <c r="AE1594" s="264"/>
    </row>
    <row r="1595">
      <c r="A1595" s="272"/>
      <c r="B1595" s="272"/>
      <c r="C1595" s="272"/>
      <c r="D1595" s="172"/>
      <c r="E1595" s="267" t="str">
        <f t="shared" si="22"/>
        <v/>
      </c>
      <c r="F1595" s="274"/>
      <c r="G1595" s="42"/>
      <c r="H1595" s="264"/>
      <c r="I1595" s="277"/>
      <c r="J1595" s="276" t="str">
        <f>IF(ISBLANK(I1595), "", VLOOKUP(E1595&amp;" "&amp;F1595, 'Info Tipo de Cambio y REM'!$A$24:$B$35, 2, FALSE))
</f>
        <v/>
      </c>
      <c r="K1595" s="107"/>
      <c r="L1595" s="293"/>
      <c r="M1595" s="293"/>
      <c r="N1595" s="293"/>
      <c r="O1595" s="277"/>
      <c r="P1595" s="264"/>
      <c r="Q1595" s="264"/>
      <c r="R1595" s="264"/>
      <c r="S1595" s="264"/>
      <c r="T1595" s="264"/>
      <c r="U1595" s="264"/>
      <c r="V1595" s="264"/>
      <c r="W1595" s="264"/>
      <c r="X1595" s="264"/>
      <c r="Y1595" s="264"/>
      <c r="Z1595" s="264"/>
      <c r="AA1595" s="264"/>
      <c r="AB1595" s="264"/>
      <c r="AC1595" s="264"/>
      <c r="AD1595" s="264"/>
      <c r="AE1595" s="264"/>
    </row>
    <row r="1596">
      <c r="A1596" s="272"/>
      <c r="B1596" s="272"/>
      <c r="C1596" s="272"/>
      <c r="D1596" s="172"/>
      <c r="E1596" s="267" t="str">
        <f t="shared" si="22"/>
        <v/>
      </c>
      <c r="F1596" s="274"/>
      <c r="G1596" s="42"/>
      <c r="H1596" s="264"/>
      <c r="I1596" s="277"/>
      <c r="J1596" s="276" t="str">
        <f>IF(ISBLANK(I1596), "", VLOOKUP(E1596&amp;" "&amp;F1596, 'Info Tipo de Cambio y REM'!$A$24:$B$35, 2, FALSE))
</f>
        <v/>
      </c>
      <c r="K1596" s="107"/>
      <c r="L1596" s="293"/>
      <c r="M1596" s="293"/>
      <c r="N1596" s="293"/>
      <c r="O1596" s="277"/>
      <c r="P1596" s="264"/>
      <c r="Q1596" s="264"/>
      <c r="R1596" s="264"/>
      <c r="S1596" s="264"/>
      <c r="T1596" s="264"/>
      <c r="U1596" s="264"/>
      <c r="V1596" s="264"/>
      <c r="W1596" s="264"/>
      <c r="X1596" s="264"/>
      <c r="Y1596" s="264"/>
      <c r="Z1596" s="264"/>
      <c r="AA1596" s="264"/>
      <c r="AB1596" s="264"/>
      <c r="AC1596" s="264"/>
      <c r="AD1596" s="264"/>
      <c r="AE1596" s="264"/>
    </row>
    <row r="1597">
      <c r="A1597" s="272"/>
      <c r="B1597" s="272"/>
      <c r="C1597" s="272"/>
      <c r="D1597" s="172"/>
      <c r="E1597" s="267" t="str">
        <f t="shared" si="22"/>
        <v/>
      </c>
      <c r="F1597" s="274"/>
      <c r="G1597" s="42"/>
      <c r="H1597" s="264"/>
      <c r="I1597" s="277"/>
      <c r="J1597" s="276" t="str">
        <f>IF(ISBLANK(I1597), "", VLOOKUP(E1597&amp;" "&amp;F1597, 'Info Tipo de Cambio y REM'!$A$24:$B$35, 2, FALSE))
</f>
        <v/>
      </c>
      <c r="K1597" s="107"/>
      <c r="L1597" s="293"/>
      <c r="M1597" s="293"/>
      <c r="N1597" s="293"/>
      <c r="O1597" s="277"/>
      <c r="P1597" s="264"/>
      <c r="Q1597" s="264"/>
      <c r="R1597" s="264"/>
      <c r="S1597" s="264"/>
      <c r="T1597" s="264"/>
      <c r="U1597" s="264"/>
      <c r="V1597" s="264"/>
      <c r="W1597" s="264"/>
      <c r="X1597" s="264"/>
      <c r="Y1597" s="264"/>
      <c r="Z1597" s="264"/>
      <c r="AA1597" s="264"/>
      <c r="AB1597" s="264"/>
      <c r="AC1597" s="264"/>
      <c r="AD1597" s="264"/>
      <c r="AE1597" s="264"/>
    </row>
    <row r="1598">
      <c r="A1598" s="272"/>
      <c r="B1598" s="272"/>
      <c r="C1598" s="272"/>
      <c r="D1598" s="172"/>
      <c r="E1598" s="267" t="str">
        <f t="shared" si="22"/>
        <v/>
      </c>
      <c r="F1598" s="274"/>
      <c r="G1598" s="42"/>
      <c r="H1598" s="264"/>
      <c r="I1598" s="277"/>
      <c r="J1598" s="276" t="str">
        <f>IF(ISBLANK(I1598), "", VLOOKUP(E1598&amp;" "&amp;F1598, 'Info Tipo de Cambio y REM'!$A$24:$B$35, 2, FALSE))
</f>
        <v/>
      </c>
      <c r="K1598" s="107"/>
      <c r="L1598" s="293"/>
      <c r="M1598" s="293"/>
      <c r="N1598" s="293"/>
      <c r="O1598" s="277"/>
      <c r="P1598" s="264"/>
      <c r="Q1598" s="264"/>
      <c r="R1598" s="264"/>
      <c r="S1598" s="264"/>
      <c r="T1598" s="264"/>
      <c r="U1598" s="264"/>
      <c r="V1598" s="264"/>
      <c r="W1598" s="264"/>
      <c r="X1598" s="264"/>
      <c r="Y1598" s="264"/>
      <c r="Z1598" s="264"/>
      <c r="AA1598" s="264"/>
      <c r="AB1598" s="264"/>
      <c r="AC1598" s="264"/>
      <c r="AD1598" s="264"/>
      <c r="AE1598" s="264"/>
    </row>
    <row r="1599">
      <c r="A1599" s="272"/>
      <c r="B1599" s="272"/>
      <c r="C1599" s="272"/>
      <c r="D1599" s="172"/>
      <c r="E1599" s="267" t="str">
        <f t="shared" si="22"/>
        <v/>
      </c>
      <c r="F1599" s="274"/>
      <c r="G1599" s="42"/>
      <c r="H1599" s="264"/>
      <c r="I1599" s="277"/>
      <c r="J1599" s="276" t="str">
        <f>IF(ISBLANK(I1599), "", VLOOKUP(E1599&amp;" "&amp;F1599, 'Info Tipo de Cambio y REM'!$A$24:$B$35, 2, FALSE))
</f>
        <v/>
      </c>
      <c r="K1599" s="107"/>
      <c r="L1599" s="293"/>
      <c r="M1599" s="293"/>
      <c r="N1599" s="293"/>
      <c r="O1599" s="277"/>
      <c r="P1599" s="264"/>
      <c r="Q1599" s="264"/>
      <c r="R1599" s="264"/>
      <c r="S1599" s="264"/>
      <c r="T1599" s="264"/>
      <c r="U1599" s="264"/>
      <c r="V1599" s="264"/>
      <c r="W1599" s="264"/>
      <c r="X1599" s="264"/>
      <c r="Y1599" s="264"/>
      <c r="Z1599" s="264"/>
      <c r="AA1599" s="264"/>
      <c r="AB1599" s="264"/>
      <c r="AC1599" s="264"/>
      <c r="AD1599" s="264"/>
      <c r="AE1599" s="264"/>
    </row>
    <row r="1600">
      <c r="A1600" s="272"/>
      <c r="B1600" s="272"/>
      <c r="C1600" s="272"/>
      <c r="D1600" s="172"/>
      <c r="E1600" s="267" t="str">
        <f t="shared" si="22"/>
        <v/>
      </c>
      <c r="F1600" s="274"/>
      <c r="G1600" s="42"/>
      <c r="H1600" s="264"/>
      <c r="I1600" s="277"/>
      <c r="J1600" s="276" t="str">
        <f>IF(ISBLANK(I1600), "", VLOOKUP(E1600&amp;" "&amp;F1600, 'Info Tipo de Cambio y REM'!$A$24:$B$35, 2, FALSE))
</f>
        <v/>
      </c>
      <c r="K1600" s="107"/>
      <c r="L1600" s="293"/>
      <c r="M1600" s="293"/>
      <c r="N1600" s="293"/>
      <c r="O1600" s="277"/>
      <c r="P1600" s="264"/>
      <c r="Q1600" s="264"/>
      <c r="R1600" s="264"/>
      <c r="S1600" s="264"/>
      <c r="T1600" s="264"/>
      <c r="U1600" s="264"/>
      <c r="V1600" s="264"/>
      <c r="W1600" s="264"/>
      <c r="X1600" s="264"/>
      <c r="Y1600" s="264"/>
      <c r="Z1600" s="264"/>
      <c r="AA1600" s="264"/>
      <c r="AB1600" s="264"/>
      <c r="AC1600" s="264"/>
      <c r="AD1600" s="264"/>
      <c r="AE1600" s="264"/>
    </row>
    <row r="1601">
      <c r="A1601" s="272"/>
      <c r="B1601" s="272"/>
      <c r="C1601" s="272"/>
      <c r="D1601" s="172"/>
      <c r="E1601" s="267" t="str">
        <f t="shared" si="22"/>
        <v/>
      </c>
      <c r="F1601" s="274"/>
      <c r="G1601" s="42"/>
      <c r="H1601" s="264"/>
      <c r="I1601" s="277"/>
      <c r="J1601" s="276" t="str">
        <f>IF(ISBLANK(I1601), "", VLOOKUP(E1601&amp;" "&amp;F1601, 'Info Tipo de Cambio y REM'!$A$24:$B$35, 2, FALSE))
</f>
        <v/>
      </c>
      <c r="K1601" s="107"/>
      <c r="L1601" s="293"/>
      <c r="M1601" s="293"/>
      <c r="N1601" s="293"/>
      <c r="O1601" s="277"/>
      <c r="P1601" s="264"/>
      <c r="Q1601" s="264"/>
      <c r="R1601" s="264"/>
      <c r="S1601" s="264"/>
      <c r="T1601" s="264"/>
      <c r="U1601" s="264"/>
      <c r="V1601" s="264"/>
      <c r="W1601" s="264"/>
      <c r="X1601" s="264"/>
      <c r="Y1601" s="264"/>
      <c r="Z1601" s="264"/>
      <c r="AA1601" s="264"/>
      <c r="AB1601" s="264"/>
      <c r="AC1601" s="264"/>
      <c r="AD1601" s="264"/>
      <c r="AE1601" s="264"/>
    </row>
    <row r="1602">
      <c r="A1602" s="272"/>
      <c r="B1602" s="272"/>
      <c r="C1602" s="272"/>
      <c r="D1602" s="172"/>
      <c r="E1602" s="267" t="str">
        <f t="shared" si="22"/>
        <v/>
      </c>
      <c r="F1602" s="274"/>
      <c r="G1602" s="42"/>
      <c r="H1602" s="264"/>
      <c r="I1602" s="277"/>
      <c r="J1602" s="276" t="str">
        <f>IF(ISBLANK(I1602), "", VLOOKUP(E1602&amp;" "&amp;F1602, 'Info Tipo de Cambio y REM'!$A$24:$B$35, 2, FALSE))
</f>
        <v/>
      </c>
      <c r="K1602" s="107"/>
      <c r="L1602" s="293"/>
      <c r="M1602" s="293"/>
      <c r="N1602" s="293"/>
      <c r="O1602" s="277"/>
      <c r="P1602" s="264"/>
      <c r="Q1602" s="264"/>
      <c r="R1602" s="264"/>
      <c r="S1602" s="264"/>
      <c r="T1602" s="264"/>
      <c r="U1602" s="264"/>
      <c r="V1602" s="264"/>
      <c r="W1602" s="264"/>
      <c r="X1602" s="264"/>
      <c r="Y1602" s="264"/>
      <c r="Z1602" s="264"/>
      <c r="AA1602" s="264"/>
      <c r="AB1602" s="264"/>
      <c r="AC1602" s="264"/>
      <c r="AD1602" s="264"/>
      <c r="AE1602" s="264"/>
    </row>
    <row r="1603">
      <c r="A1603" s="272"/>
      <c r="B1603" s="272"/>
      <c r="C1603" s="272"/>
      <c r="D1603" s="172"/>
      <c r="E1603" s="267" t="str">
        <f t="shared" si="22"/>
        <v/>
      </c>
      <c r="F1603" s="274"/>
      <c r="G1603" s="42"/>
      <c r="H1603" s="264"/>
      <c r="I1603" s="277"/>
      <c r="J1603" s="276" t="str">
        <f>IF(ISBLANK(I1603), "", VLOOKUP(E1603&amp;" "&amp;F1603, 'Info Tipo de Cambio y REM'!$A$24:$B$35, 2, FALSE))
</f>
        <v/>
      </c>
      <c r="K1603" s="107"/>
      <c r="L1603" s="293"/>
      <c r="M1603" s="293"/>
      <c r="N1603" s="293"/>
      <c r="O1603" s="277"/>
      <c r="P1603" s="264"/>
      <c r="Q1603" s="264"/>
      <c r="R1603" s="264"/>
      <c r="S1603" s="264"/>
      <c r="T1603" s="264"/>
      <c r="U1603" s="264"/>
      <c r="V1603" s="264"/>
      <c r="W1603" s="264"/>
      <c r="X1603" s="264"/>
      <c r="Y1603" s="264"/>
      <c r="Z1603" s="264"/>
      <c r="AA1603" s="264"/>
      <c r="AB1603" s="264"/>
      <c r="AC1603" s="264"/>
      <c r="AD1603" s="264"/>
      <c r="AE1603" s="264"/>
    </row>
    <row r="1604">
      <c r="A1604" s="272"/>
      <c r="B1604" s="272"/>
      <c r="C1604" s="272"/>
      <c r="D1604" s="172"/>
      <c r="E1604" s="267" t="str">
        <f t="shared" si="22"/>
        <v/>
      </c>
      <c r="F1604" s="274"/>
      <c r="G1604" s="42"/>
      <c r="H1604" s="264"/>
      <c r="I1604" s="277"/>
      <c r="J1604" s="276" t="str">
        <f>IF(ISBLANK(I1604), "", VLOOKUP(E1604&amp;" "&amp;F1604, 'Info Tipo de Cambio y REM'!$A$24:$B$35, 2, FALSE))
</f>
        <v/>
      </c>
      <c r="K1604" s="107"/>
      <c r="L1604" s="293"/>
      <c r="M1604" s="293"/>
      <c r="N1604" s="293"/>
      <c r="O1604" s="277"/>
      <c r="P1604" s="264"/>
      <c r="Q1604" s="264"/>
      <c r="R1604" s="264"/>
      <c r="S1604" s="264"/>
      <c r="T1604" s="264"/>
      <c r="U1604" s="264"/>
      <c r="V1604" s="264"/>
      <c r="W1604" s="264"/>
      <c r="X1604" s="264"/>
      <c r="Y1604" s="264"/>
      <c r="Z1604" s="264"/>
      <c r="AA1604" s="264"/>
      <c r="AB1604" s="264"/>
      <c r="AC1604" s="264"/>
      <c r="AD1604" s="264"/>
      <c r="AE1604" s="264"/>
    </row>
    <row r="1605">
      <c r="A1605" s="272"/>
      <c r="B1605" s="272"/>
      <c r="C1605" s="272"/>
      <c r="D1605" s="172"/>
      <c r="E1605" s="267" t="str">
        <f t="shared" si="22"/>
        <v/>
      </c>
      <c r="F1605" s="274"/>
      <c r="G1605" s="42"/>
      <c r="H1605" s="264"/>
      <c r="I1605" s="277"/>
      <c r="J1605" s="276" t="str">
        <f>IF(ISBLANK(I1605), "", VLOOKUP(E1605&amp;" "&amp;F1605, 'Info Tipo de Cambio y REM'!$A$24:$B$35, 2, FALSE))
</f>
        <v/>
      </c>
      <c r="K1605" s="107"/>
      <c r="L1605" s="293"/>
      <c r="M1605" s="293"/>
      <c r="N1605" s="293"/>
      <c r="O1605" s="277"/>
      <c r="P1605" s="264"/>
      <c r="Q1605" s="264"/>
      <c r="R1605" s="264"/>
      <c r="S1605" s="264"/>
      <c r="T1605" s="264"/>
      <c r="U1605" s="264"/>
      <c r="V1605" s="264"/>
      <c r="W1605" s="264"/>
      <c r="X1605" s="264"/>
      <c r="Y1605" s="264"/>
      <c r="Z1605" s="264"/>
      <c r="AA1605" s="264"/>
      <c r="AB1605" s="264"/>
      <c r="AC1605" s="264"/>
      <c r="AD1605" s="264"/>
      <c r="AE1605" s="264"/>
    </row>
    <row r="1606">
      <c r="A1606" s="272"/>
      <c r="B1606" s="272"/>
      <c r="C1606" s="272"/>
      <c r="D1606" s="172"/>
      <c r="E1606" s="267" t="str">
        <f t="shared" si="22"/>
        <v/>
      </c>
      <c r="F1606" s="274"/>
      <c r="G1606" s="42"/>
      <c r="H1606" s="264"/>
      <c r="I1606" s="277"/>
      <c r="J1606" s="276" t="str">
        <f>IF(ISBLANK(I1606), "", VLOOKUP(E1606&amp;" "&amp;F1606, 'Info Tipo de Cambio y REM'!$A$24:$B$35, 2, FALSE))
</f>
        <v/>
      </c>
      <c r="K1606" s="107"/>
      <c r="L1606" s="293"/>
      <c r="M1606" s="293"/>
      <c r="N1606" s="293"/>
      <c r="O1606" s="277"/>
      <c r="P1606" s="264"/>
      <c r="Q1606" s="264"/>
      <c r="R1606" s="264"/>
      <c r="S1606" s="264"/>
      <c r="T1606" s="264"/>
      <c r="U1606" s="264"/>
      <c r="V1606" s="264"/>
      <c r="W1606" s="264"/>
      <c r="X1606" s="264"/>
      <c r="Y1606" s="264"/>
      <c r="Z1606" s="264"/>
      <c r="AA1606" s="264"/>
      <c r="AB1606" s="264"/>
      <c r="AC1606" s="264"/>
      <c r="AD1606" s="264"/>
      <c r="AE1606" s="264"/>
    </row>
    <row r="1607">
      <c r="A1607" s="272"/>
      <c r="B1607" s="272"/>
      <c r="C1607" s="272"/>
      <c r="D1607" s="172"/>
      <c r="E1607" s="267" t="str">
        <f t="shared" si="22"/>
        <v/>
      </c>
      <c r="F1607" s="274"/>
      <c r="G1607" s="42"/>
      <c r="H1607" s="264"/>
      <c r="I1607" s="277"/>
      <c r="J1607" s="276" t="str">
        <f>IF(ISBLANK(I1607), "", VLOOKUP(E1607&amp;" "&amp;F1607, 'Info Tipo de Cambio y REM'!$A$24:$B$35, 2, FALSE))
</f>
        <v/>
      </c>
      <c r="K1607" s="107"/>
      <c r="L1607" s="293"/>
      <c r="M1607" s="293"/>
      <c r="N1607" s="293"/>
      <c r="O1607" s="277"/>
      <c r="P1607" s="264"/>
      <c r="Q1607" s="264"/>
      <c r="R1607" s="264"/>
      <c r="S1607" s="264"/>
      <c r="T1607" s="264"/>
      <c r="U1607" s="264"/>
      <c r="V1607" s="264"/>
      <c r="W1607" s="264"/>
      <c r="X1607" s="264"/>
      <c r="Y1607" s="264"/>
      <c r="Z1607" s="264"/>
      <c r="AA1607" s="264"/>
      <c r="AB1607" s="264"/>
      <c r="AC1607" s="264"/>
      <c r="AD1607" s="264"/>
      <c r="AE1607" s="264"/>
    </row>
    <row r="1608">
      <c r="A1608" s="272"/>
      <c r="B1608" s="272"/>
      <c r="C1608" s="272"/>
      <c r="D1608" s="172"/>
      <c r="E1608" s="267" t="str">
        <f t="shared" si="22"/>
        <v/>
      </c>
      <c r="F1608" s="274"/>
      <c r="G1608" s="42"/>
      <c r="H1608" s="264"/>
      <c r="I1608" s="277"/>
      <c r="J1608" s="276" t="str">
        <f>IF(ISBLANK(I1608), "", VLOOKUP(E1608&amp;" "&amp;F1608, 'Info Tipo de Cambio y REM'!$A$24:$B$35, 2, FALSE))
</f>
        <v/>
      </c>
      <c r="K1608" s="107"/>
      <c r="L1608" s="293"/>
      <c r="M1608" s="293"/>
      <c r="N1608" s="293"/>
      <c r="O1608" s="277"/>
      <c r="P1608" s="264"/>
      <c r="Q1608" s="264"/>
      <c r="R1608" s="264"/>
      <c r="S1608" s="264"/>
      <c r="T1608" s="264"/>
      <c r="U1608" s="264"/>
      <c r="V1608" s="264"/>
      <c r="W1608" s="264"/>
      <c r="X1608" s="264"/>
      <c r="Y1608" s="264"/>
      <c r="Z1608" s="264"/>
      <c r="AA1608" s="264"/>
      <c r="AB1608" s="264"/>
      <c r="AC1608" s="264"/>
      <c r="AD1608" s="264"/>
      <c r="AE1608" s="264"/>
    </row>
    <row r="1609">
      <c r="A1609" s="272"/>
      <c r="B1609" s="272"/>
      <c r="C1609" s="272"/>
      <c r="D1609" s="172"/>
      <c r="E1609" s="267" t="str">
        <f t="shared" si="22"/>
        <v/>
      </c>
      <c r="F1609" s="274"/>
      <c r="G1609" s="42"/>
      <c r="H1609" s="264"/>
      <c r="I1609" s="277"/>
      <c r="J1609" s="276" t="str">
        <f>IF(ISBLANK(I1609), "", VLOOKUP(E1609&amp;" "&amp;F1609, 'Info Tipo de Cambio y REM'!$A$24:$B$35, 2, FALSE))
</f>
        <v/>
      </c>
      <c r="K1609" s="107"/>
      <c r="L1609" s="293"/>
      <c r="M1609" s="293"/>
      <c r="N1609" s="293"/>
      <c r="O1609" s="277"/>
      <c r="P1609" s="264"/>
      <c r="Q1609" s="264"/>
      <c r="R1609" s="264"/>
      <c r="S1609" s="264"/>
      <c r="T1609" s="264"/>
      <c r="U1609" s="264"/>
      <c r="V1609" s="264"/>
      <c r="W1609" s="264"/>
      <c r="X1609" s="264"/>
      <c r="Y1609" s="264"/>
      <c r="Z1609" s="264"/>
      <c r="AA1609" s="264"/>
      <c r="AB1609" s="264"/>
      <c r="AC1609" s="264"/>
      <c r="AD1609" s="264"/>
      <c r="AE1609" s="264"/>
    </row>
    <row r="1610">
      <c r="A1610" s="272"/>
      <c r="B1610" s="272"/>
      <c r="C1610" s="272"/>
      <c r="D1610" s="172"/>
      <c r="E1610" s="267" t="str">
        <f t="shared" si="22"/>
        <v/>
      </c>
      <c r="F1610" s="274"/>
      <c r="G1610" s="42"/>
      <c r="H1610" s="264"/>
      <c r="I1610" s="277"/>
      <c r="J1610" s="276" t="str">
        <f>IF(ISBLANK(I1610), "", VLOOKUP(E1610&amp;" "&amp;F1610, 'Info Tipo de Cambio y REM'!$A$24:$B$35, 2, FALSE))
</f>
        <v/>
      </c>
      <c r="K1610" s="107"/>
      <c r="L1610" s="293"/>
      <c r="M1610" s="293"/>
      <c r="N1610" s="293"/>
      <c r="O1610" s="277"/>
      <c r="P1610" s="264"/>
      <c r="Q1610" s="264"/>
      <c r="R1610" s="264"/>
      <c r="S1610" s="264"/>
      <c r="T1610" s="264"/>
      <c r="U1610" s="264"/>
      <c r="V1610" s="264"/>
      <c r="W1610" s="264"/>
      <c r="X1610" s="264"/>
      <c r="Y1610" s="264"/>
      <c r="Z1610" s="264"/>
      <c r="AA1610" s="264"/>
      <c r="AB1610" s="264"/>
      <c r="AC1610" s="264"/>
      <c r="AD1610" s="264"/>
      <c r="AE1610" s="264"/>
    </row>
    <row r="1611">
      <c r="A1611" s="272"/>
      <c r="B1611" s="272"/>
      <c r="C1611" s="272"/>
      <c r="D1611" s="172"/>
      <c r="E1611" s="267" t="str">
        <f t="shared" si="22"/>
        <v/>
      </c>
      <c r="F1611" s="274"/>
      <c r="G1611" s="42"/>
      <c r="H1611" s="264"/>
      <c r="I1611" s="277"/>
      <c r="J1611" s="276" t="str">
        <f>IF(ISBLANK(I1611), "", VLOOKUP(E1611&amp;" "&amp;F1611, 'Info Tipo de Cambio y REM'!$A$24:$B$35, 2, FALSE))
</f>
        <v/>
      </c>
      <c r="K1611" s="107"/>
      <c r="L1611" s="293"/>
      <c r="M1611" s="293"/>
      <c r="N1611" s="293"/>
      <c r="O1611" s="277"/>
      <c r="P1611" s="264"/>
      <c r="Q1611" s="264"/>
      <c r="R1611" s="264"/>
      <c r="S1611" s="264"/>
      <c r="T1611" s="264"/>
      <c r="U1611" s="264"/>
      <c r="V1611" s="264"/>
      <c r="W1611" s="264"/>
      <c r="X1611" s="264"/>
      <c r="Y1611" s="264"/>
      <c r="Z1611" s="264"/>
      <c r="AA1611" s="264"/>
      <c r="AB1611" s="264"/>
      <c r="AC1611" s="264"/>
      <c r="AD1611" s="264"/>
      <c r="AE1611" s="264"/>
    </row>
    <row r="1612">
      <c r="A1612" s="272"/>
      <c r="B1612" s="272"/>
      <c r="C1612" s="272"/>
      <c r="D1612" s="172"/>
      <c r="E1612" s="267" t="str">
        <f t="shared" si="22"/>
        <v/>
      </c>
      <c r="F1612" s="274"/>
      <c r="G1612" s="42"/>
      <c r="H1612" s="264"/>
      <c r="I1612" s="277"/>
      <c r="J1612" s="276" t="str">
        <f>IF(ISBLANK(I1612), "", VLOOKUP(E1612&amp;" "&amp;F1612, 'Info Tipo de Cambio y REM'!$A$24:$B$35, 2, FALSE))
</f>
        <v/>
      </c>
      <c r="K1612" s="107"/>
      <c r="L1612" s="293"/>
      <c r="M1612" s="293"/>
      <c r="N1612" s="293"/>
      <c r="O1612" s="277"/>
      <c r="P1612" s="264"/>
      <c r="Q1612" s="264"/>
      <c r="R1612" s="264"/>
      <c r="S1612" s="264"/>
      <c r="T1612" s="264"/>
      <c r="U1612" s="264"/>
      <c r="V1612" s="264"/>
      <c r="W1612" s="264"/>
      <c r="X1612" s="264"/>
      <c r="Y1612" s="264"/>
      <c r="Z1612" s="264"/>
      <c r="AA1612" s="264"/>
      <c r="AB1612" s="264"/>
      <c r="AC1612" s="264"/>
      <c r="AD1612" s="264"/>
      <c r="AE1612" s="264"/>
    </row>
    <row r="1613">
      <c r="A1613" s="272"/>
      <c r="B1613" s="272"/>
      <c r="C1613" s="272"/>
      <c r="D1613" s="172"/>
      <c r="E1613" s="267" t="str">
        <f t="shared" si="22"/>
        <v/>
      </c>
      <c r="F1613" s="274"/>
      <c r="G1613" s="42"/>
      <c r="H1613" s="264"/>
      <c r="I1613" s="277"/>
      <c r="J1613" s="276" t="str">
        <f>IF(ISBLANK(I1613), "", VLOOKUP(E1613&amp;" "&amp;F1613, 'Info Tipo de Cambio y REM'!$A$24:$B$35, 2, FALSE))
</f>
        <v/>
      </c>
      <c r="K1613" s="107"/>
      <c r="L1613" s="293"/>
      <c r="M1613" s="293"/>
      <c r="N1613" s="293"/>
      <c r="O1613" s="277"/>
      <c r="P1613" s="264"/>
      <c r="Q1613" s="264"/>
      <c r="R1613" s="264"/>
      <c r="S1613" s="264"/>
      <c r="T1613" s="264"/>
      <c r="U1613" s="264"/>
      <c r="V1613" s="264"/>
      <c r="W1613" s="264"/>
      <c r="X1613" s="264"/>
      <c r="Y1613" s="264"/>
      <c r="Z1613" s="264"/>
      <c r="AA1613" s="264"/>
      <c r="AB1613" s="264"/>
      <c r="AC1613" s="264"/>
      <c r="AD1613" s="264"/>
      <c r="AE1613" s="264"/>
    </row>
    <row r="1614">
      <c r="A1614" s="272"/>
      <c r="B1614" s="272"/>
      <c r="C1614" s="272"/>
      <c r="D1614" s="172"/>
      <c r="E1614" s="267" t="str">
        <f t="shared" si="22"/>
        <v/>
      </c>
      <c r="F1614" s="274"/>
      <c r="G1614" s="42"/>
      <c r="H1614" s="264"/>
      <c r="I1614" s="277"/>
      <c r="J1614" s="276" t="str">
        <f>IF(ISBLANK(I1614), "", VLOOKUP(E1614&amp;" "&amp;F1614, 'Info Tipo de Cambio y REM'!$A$24:$B$35, 2, FALSE))
</f>
        <v/>
      </c>
      <c r="K1614" s="107"/>
      <c r="L1614" s="293"/>
      <c r="M1614" s="293"/>
      <c r="N1614" s="293"/>
      <c r="O1614" s="277"/>
      <c r="P1614" s="264"/>
      <c r="Q1614" s="264"/>
      <c r="R1614" s="264"/>
      <c r="S1614" s="264"/>
      <c r="T1614" s="264"/>
      <c r="U1614" s="264"/>
      <c r="V1614" s="264"/>
      <c r="W1614" s="264"/>
      <c r="X1614" s="264"/>
      <c r="Y1614" s="264"/>
      <c r="Z1614" s="264"/>
      <c r="AA1614" s="264"/>
      <c r="AB1614" s="264"/>
      <c r="AC1614" s="264"/>
      <c r="AD1614" s="264"/>
      <c r="AE1614" s="264"/>
    </row>
    <row r="1615">
      <c r="A1615" s="272"/>
      <c r="B1615" s="272"/>
      <c r="C1615" s="272"/>
      <c r="D1615" s="172"/>
      <c r="E1615" s="267" t="str">
        <f t="shared" si="22"/>
        <v/>
      </c>
      <c r="F1615" s="274"/>
      <c r="G1615" s="42"/>
      <c r="H1615" s="264"/>
      <c r="I1615" s="277"/>
      <c r="J1615" s="276" t="str">
        <f>IF(ISBLANK(I1615), "", VLOOKUP(E1615&amp;" "&amp;F1615, 'Info Tipo de Cambio y REM'!$A$24:$B$35, 2, FALSE))
</f>
        <v/>
      </c>
      <c r="K1615" s="107"/>
      <c r="L1615" s="293"/>
      <c r="M1615" s="293"/>
      <c r="N1615" s="293"/>
      <c r="O1615" s="277"/>
      <c r="P1615" s="264"/>
      <c r="Q1615" s="264"/>
      <c r="R1615" s="264"/>
      <c r="S1615" s="264"/>
      <c r="T1615" s="264"/>
      <c r="U1615" s="264"/>
      <c r="V1615" s="264"/>
      <c r="W1615" s="264"/>
      <c r="X1615" s="264"/>
      <c r="Y1615" s="264"/>
      <c r="Z1615" s="264"/>
      <c r="AA1615" s="264"/>
      <c r="AB1615" s="264"/>
      <c r="AC1615" s="264"/>
      <c r="AD1615" s="264"/>
      <c r="AE1615" s="264"/>
    </row>
    <row r="1616">
      <c r="A1616" s="272"/>
      <c r="B1616" s="272"/>
      <c r="C1616" s="272"/>
      <c r="D1616" s="172"/>
      <c r="E1616" s="267" t="str">
        <f t="shared" si="22"/>
        <v/>
      </c>
      <c r="F1616" s="274"/>
      <c r="G1616" s="42"/>
      <c r="H1616" s="264"/>
      <c r="I1616" s="277"/>
      <c r="J1616" s="276" t="str">
        <f>IF(ISBLANK(I1616), "", VLOOKUP(E1616&amp;" "&amp;F1616, 'Info Tipo de Cambio y REM'!$A$24:$B$35, 2, FALSE))
</f>
        <v/>
      </c>
      <c r="K1616" s="107"/>
      <c r="L1616" s="293"/>
      <c r="M1616" s="293"/>
      <c r="N1616" s="293"/>
      <c r="O1616" s="277"/>
      <c r="P1616" s="264"/>
      <c r="Q1616" s="264"/>
      <c r="R1616" s="264"/>
      <c r="S1616" s="264"/>
      <c r="T1616" s="264"/>
      <c r="U1616" s="264"/>
      <c r="V1616" s="264"/>
      <c r="W1616" s="264"/>
      <c r="X1616" s="264"/>
      <c r="Y1616" s="264"/>
      <c r="Z1616" s="264"/>
      <c r="AA1616" s="264"/>
      <c r="AB1616" s="264"/>
      <c r="AC1616" s="264"/>
      <c r="AD1616" s="264"/>
      <c r="AE1616" s="264"/>
    </row>
    <row r="1617">
      <c r="A1617" s="272"/>
      <c r="B1617" s="272"/>
      <c r="C1617" s="272"/>
      <c r="D1617" s="172"/>
      <c r="E1617" s="267" t="str">
        <f t="shared" si="22"/>
        <v/>
      </c>
      <c r="F1617" s="274"/>
      <c r="G1617" s="42"/>
      <c r="H1617" s="264"/>
      <c r="I1617" s="277"/>
      <c r="J1617" s="276" t="str">
        <f>IF(ISBLANK(I1617), "", VLOOKUP(E1617&amp;" "&amp;F1617, 'Info Tipo de Cambio y REM'!$A$24:$B$35, 2, FALSE))
</f>
        <v/>
      </c>
      <c r="K1617" s="107"/>
      <c r="L1617" s="293"/>
      <c r="M1617" s="293"/>
      <c r="N1617" s="293"/>
      <c r="O1617" s="277"/>
      <c r="P1617" s="264"/>
      <c r="Q1617" s="264"/>
      <c r="R1617" s="264"/>
      <c r="S1617" s="264"/>
      <c r="T1617" s="264"/>
      <c r="U1617" s="264"/>
      <c r="V1617" s="264"/>
      <c r="W1617" s="264"/>
      <c r="X1617" s="264"/>
      <c r="Y1617" s="264"/>
      <c r="Z1617" s="264"/>
      <c r="AA1617" s="264"/>
      <c r="AB1617" s="264"/>
      <c r="AC1617" s="264"/>
      <c r="AD1617" s="264"/>
      <c r="AE1617" s="264"/>
    </row>
    <row r="1618">
      <c r="A1618" s="272"/>
      <c r="B1618" s="272"/>
      <c r="C1618" s="272"/>
      <c r="D1618" s="172"/>
      <c r="E1618" s="267" t="str">
        <f t="shared" si="22"/>
        <v/>
      </c>
      <c r="F1618" s="274"/>
      <c r="G1618" s="42"/>
      <c r="H1618" s="264"/>
      <c r="I1618" s="277"/>
      <c r="J1618" s="276" t="str">
        <f>IF(ISBLANK(I1618), "", VLOOKUP(E1618&amp;" "&amp;F1618, 'Info Tipo de Cambio y REM'!$A$24:$B$35, 2, FALSE))
</f>
        <v/>
      </c>
      <c r="K1618" s="107"/>
      <c r="L1618" s="293"/>
      <c r="M1618" s="293"/>
      <c r="N1618" s="293"/>
      <c r="O1618" s="277"/>
      <c r="P1618" s="264"/>
      <c r="Q1618" s="264"/>
      <c r="R1618" s="264"/>
      <c r="S1618" s="264"/>
      <c r="T1618" s="264"/>
      <c r="U1618" s="264"/>
      <c r="V1618" s="264"/>
      <c r="W1618" s="264"/>
      <c r="X1618" s="264"/>
      <c r="Y1618" s="264"/>
      <c r="Z1618" s="264"/>
      <c r="AA1618" s="264"/>
      <c r="AB1618" s="264"/>
      <c r="AC1618" s="264"/>
      <c r="AD1618" s="264"/>
      <c r="AE1618" s="264"/>
    </row>
    <row r="1619">
      <c r="A1619" s="272"/>
      <c r="B1619" s="272"/>
      <c r="C1619" s="272"/>
      <c r="D1619" s="172"/>
      <c r="E1619" s="267" t="str">
        <f t="shared" si="22"/>
        <v/>
      </c>
      <c r="F1619" s="274"/>
      <c r="G1619" s="42"/>
      <c r="H1619" s="264"/>
      <c r="I1619" s="277"/>
      <c r="J1619" s="276" t="str">
        <f>IF(ISBLANK(I1619), "", VLOOKUP(E1619&amp;" "&amp;F1619, 'Info Tipo de Cambio y REM'!$A$24:$B$35, 2, FALSE))
</f>
        <v/>
      </c>
      <c r="K1619" s="107"/>
      <c r="L1619" s="293"/>
      <c r="M1619" s="293"/>
      <c r="N1619" s="293"/>
      <c r="O1619" s="277"/>
      <c r="P1619" s="264"/>
      <c r="Q1619" s="264"/>
      <c r="R1619" s="264"/>
      <c r="S1619" s="264"/>
      <c r="T1619" s="264"/>
      <c r="U1619" s="264"/>
      <c r="V1619" s="264"/>
      <c r="W1619" s="264"/>
      <c r="X1619" s="264"/>
      <c r="Y1619" s="264"/>
      <c r="Z1619" s="264"/>
      <c r="AA1619" s="264"/>
      <c r="AB1619" s="264"/>
      <c r="AC1619" s="264"/>
      <c r="AD1619" s="264"/>
      <c r="AE1619" s="264"/>
    </row>
    <row r="1620">
      <c r="A1620" s="272"/>
      <c r="B1620" s="272"/>
      <c r="C1620" s="272"/>
      <c r="D1620" s="172"/>
      <c r="E1620" s="267" t="str">
        <f t="shared" si="22"/>
        <v/>
      </c>
      <c r="F1620" s="274"/>
      <c r="G1620" s="42"/>
      <c r="H1620" s="264"/>
      <c r="I1620" s="277"/>
      <c r="J1620" s="276" t="str">
        <f>IF(ISBLANK(I1620), "", VLOOKUP(E1620&amp;" "&amp;F1620, 'Info Tipo de Cambio y REM'!$A$24:$B$35, 2, FALSE))
</f>
        <v/>
      </c>
      <c r="K1620" s="107"/>
      <c r="L1620" s="293"/>
      <c r="M1620" s="293"/>
      <c r="N1620" s="293"/>
      <c r="O1620" s="277"/>
      <c r="P1620" s="264"/>
      <c r="Q1620" s="264"/>
      <c r="R1620" s="264"/>
      <c r="S1620" s="264"/>
      <c r="T1620" s="264"/>
      <c r="U1620" s="264"/>
      <c r="V1620" s="264"/>
      <c r="W1620" s="264"/>
      <c r="X1620" s="264"/>
      <c r="Y1620" s="264"/>
      <c r="Z1620" s="264"/>
      <c r="AA1620" s="264"/>
      <c r="AB1620" s="264"/>
      <c r="AC1620" s="264"/>
      <c r="AD1620" s="264"/>
      <c r="AE1620" s="264"/>
    </row>
    <row r="1621">
      <c r="A1621" s="272"/>
      <c r="B1621" s="272"/>
      <c r="C1621" s="272"/>
      <c r="D1621" s="172"/>
      <c r="E1621" s="267" t="str">
        <f t="shared" si="22"/>
        <v/>
      </c>
      <c r="F1621" s="274"/>
      <c r="G1621" s="42"/>
      <c r="H1621" s="264"/>
      <c r="I1621" s="277"/>
      <c r="J1621" s="276" t="str">
        <f>IF(ISBLANK(I1621), "", VLOOKUP(E1621&amp;" "&amp;F1621, 'Info Tipo de Cambio y REM'!$A$24:$B$35, 2, FALSE))
</f>
        <v/>
      </c>
      <c r="K1621" s="107"/>
      <c r="L1621" s="293"/>
      <c r="M1621" s="293"/>
      <c r="N1621" s="293"/>
      <c r="O1621" s="277"/>
      <c r="P1621" s="264"/>
      <c r="Q1621" s="264"/>
      <c r="R1621" s="264"/>
      <c r="S1621" s="264"/>
      <c r="T1621" s="264"/>
      <c r="U1621" s="264"/>
      <c r="V1621" s="264"/>
      <c r="W1621" s="264"/>
      <c r="X1621" s="264"/>
      <c r="Y1621" s="264"/>
      <c r="Z1621" s="264"/>
      <c r="AA1621" s="264"/>
      <c r="AB1621" s="264"/>
      <c r="AC1621" s="264"/>
      <c r="AD1621" s="264"/>
      <c r="AE1621" s="264"/>
    </row>
    <row r="1622">
      <c r="A1622" s="272"/>
      <c r="B1622" s="272"/>
      <c r="C1622" s="272"/>
      <c r="D1622" s="172"/>
      <c r="E1622" s="267" t="str">
        <f t="shared" si="22"/>
        <v/>
      </c>
      <c r="F1622" s="274"/>
      <c r="G1622" s="42"/>
      <c r="H1622" s="264"/>
      <c r="I1622" s="277"/>
      <c r="J1622" s="276" t="str">
        <f>IF(ISBLANK(I1622), "", VLOOKUP(E1622&amp;" "&amp;F1622, 'Info Tipo de Cambio y REM'!$A$24:$B$35, 2, FALSE))
</f>
        <v/>
      </c>
      <c r="K1622" s="107"/>
      <c r="L1622" s="293"/>
      <c r="M1622" s="293"/>
      <c r="N1622" s="293"/>
      <c r="O1622" s="277"/>
      <c r="P1622" s="264"/>
      <c r="Q1622" s="264"/>
      <c r="R1622" s="264"/>
      <c r="S1622" s="264"/>
      <c r="T1622" s="264"/>
      <c r="U1622" s="264"/>
      <c r="V1622" s="264"/>
      <c r="W1622" s="264"/>
      <c r="X1622" s="264"/>
      <c r="Y1622" s="264"/>
      <c r="Z1622" s="264"/>
      <c r="AA1622" s="264"/>
      <c r="AB1622" s="264"/>
      <c r="AC1622" s="264"/>
      <c r="AD1622" s="264"/>
      <c r="AE1622" s="264"/>
    </row>
    <row r="1623">
      <c r="A1623" s="272"/>
      <c r="B1623" s="272"/>
      <c r="C1623" s="272"/>
      <c r="D1623" s="172"/>
      <c r="E1623" s="267" t="str">
        <f t="shared" si="22"/>
        <v/>
      </c>
      <c r="F1623" s="274"/>
      <c r="G1623" s="42"/>
      <c r="H1623" s="264"/>
      <c r="I1623" s="277"/>
      <c r="J1623" s="276" t="str">
        <f>IF(ISBLANK(I1623), "", VLOOKUP(E1623&amp;" "&amp;F1623, 'Info Tipo de Cambio y REM'!$A$24:$B$35, 2, FALSE))
</f>
        <v/>
      </c>
      <c r="K1623" s="107"/>
      <c r="L1623" s="293"/>
      <c r="M1623" s="293"/>
      <c r="N1623" s="293"/>
      <c r="O1623" s="277"/>
      <c r="P1623" s="264"/>
      <c r="Q1623" s="264"/>
      <c r="R1623" s="264"/>
      <c r="S1623" s="264"/>
      <c r="T1623" s="264"/>
      <c r="U1623" s="264"/>
      <c r="V1623" s="264"/>
      <c r="W1623" s="264"/>
      <c r="X1623" s="264"/>
      <c r="Y1623" s="264"/>
      <c r="Z1623" s="264"/>
      <c r="AA1623" s="264"/>
      <c r="AB1623" s="264"/>
      <c r="AC1623" s="264"/>
      <c r="AD1623" s="264"/>
      <c r="AE1623" s="264"/>
    </row>
    <row r="1624">
      <c r="A1624" s="272"/>
      <c r="B1624" s="272"/>
      <c r="C1624" s="272"/>
      <c r="D1624" s="172"/>
      <c r="E1624" s="267" t="str">
        <f t="shared" si="22"/>
        <v/>
      </c>
      <c r="F1624" s="274"/>
      <c r="G1624" s="42"/>
      <c r="H1624" s="264"/>
      <c r="I1624" s="277"/>
      <c r="J1624" s="276" t="str">
        <f>IF(ISBLANK(I1624), "", VLOOKUP(E1624&amp;" "&amp;F1624, 'Info Tipo de Cambio y REM'!$A$24:$B$35, 2, FALSE))
</f>
        <v/>
      </c>
      <c r="K1624" s="107"/>
      <c r="L1624" s="293"/>
      <c r="M1624" s="293"/>
      <c r="N1624" s="293"/>
      <c r="O1624" s="277"/>
      <c r="P1624" s="264"/>
      <c r="Q1624" s="264"/>
      <c r="R1624" s="264"/>
      <c r="S1624" s="264"/>
      <c r="T1624" s="264"/>
      <c r="U1624" s="264"/>
      <c r="V1624" s="264"/>
      <c r="W1624" s="264"/>
      <c r="X1624" s="264"/>
      <c r="Y1624" s="264"/>
      <c r="Z1624" s="264"/>
      <c r="AA1624" s="264"/>
      <c r="AB1624" s="264"/>
      <c r="AC1624" s="264"/>
      <c r="AD1624" s="264"/>
      <c r="AE1624" s="264"/>
    </row>
    <row r="1625">
      <c r="A1625" s="272"/>
      <c r="B1625" s="272"/>
      <c r="C1625" s="272"/>
      <c r="D1625" s="172"/>
      <c r="E1625" s="267" t="str">
        <f t="shared" si="22"/>
        <v/>
      </c>
      <c r="F1625" s="274"/>
      <c r="G1625" s="42"/>
      <c r="H1625" s="264"/>
      <c r="I1625" s="277"/>
      <c r="J1625" s="276" t="str">
        <f>IF(ISBLANK(I1625), "", VLOOKUP(E1625&amp;" "&amp;F1625, 'Info Tipo de Cambio y REM'!$A$24:$B$35, 2, FALSE))
</f>
        <v/>
      </c>
      <c r="K1625" s="107"/>
      <c r="L1625" s="293"/>
      <c r="M1625" s="293"/>
      <c r="N1625" s="293"/>
      <c r="O1625" s="277"/>
      <c r="P1625" s="264"/>
      <c r="Q1625" s="264"/>
      <c r="R1625" s="264"/>
      <c r="S1625" s="264"/>
      <c r="T1625" s="264"/>
      <c r="U1625" s="264"/>
      <c r="V1625" s="264"/>
      <c r="W1625" s="264"/>
      <c r="X1625" s="264"/>
      <c r="Y1625" s="264"/>
      <c r="Z1625" s="264"/>
      <c r="AA1625" s="264"/>
      <c r="AB1625" s="264"/>
      <c r="AC1625" s="264"/>
      <c r="AD1625" s="264"/>
      <c r="AE1625" s="264"/>
    </row>
    <row r="1626">
      <c r="A1626" s="272"/>
      <c r="B1626" s="272"/>
      <c r="C1626" s="272"/>
      <c r="D1626" s="172"/>
      <c r="E1626" s="267" t="str">
        <f t="shared" si="22"/>
        <v/>
      </c>
      <c r="F1626" s="274"/>
      <c r="G1626" s="42"/>
      <c r="H1626" s="264"/>
      <c r="I1626" s="277"/>
      <c r="J1626" s="276" t="str">
        <f>IF(ISBLANK(I1626), "", VLOOKUP(E1626&amp;" "&amp;F1626, 'Info Tipo de Cambio y REM'!$A$24:$B$35, 2, FALSE))
</f>
        <v/>
      </c>
      <c r="K1626" s="107"/>
      <c r="L1626" s="293"/>
      <c r="M1626" s="293"/>
      <c r="N1626" s="293"/>
      <c r="O1626" s="277"/>
      <c r="P1626" s="264"/>
      <c r="Q1626" s="264"/>
      <c r="R1626" s="264"/>
      <c r="S1626" s="264"/>
      <c r="T1626" s="264"/>
      <c r="U1626" s="264"/>
      <c r="V1626" s="264"/>
      <c r="W1626" s="264"/>
      <c r="X1626" s="264"/>
      <c r="Y1626" s="264"/>
      <c r="Z1626" s="264"/>
      <c r="AA1626" s="264"/>
      <c r="AB1626" s="264"/>
      <c r="AC1626" s="264"/>
      <c r="AD1626" s="264"/>
      <c r="AE1626" s="264"/>
    </row>
    <row r="1627">
      <c r="A1627" s="272"/>
      <c r="B1627" s="272"/>
      <c r="C1627" s="272"/>
      <c r="D1627" s="172"/>
      <c r="E1627" s="267" t="str">
        <f t="shared" si="22"/>
        <v/>
      </c>
      <c r="F1627" s="274"/>
      <c r="G1627" s="42"/>
      <c r="H1627" s="264"/>
      <c r="I1627" s="277"/>
      <c r="J1627" s="276" t="str">
        <f>IF(ISBLANK(I1627), "", VLOOKUP(E1627&amp;" "&amp;F1627, 'Info Tipo de Cambio y REM'!$A$24:$B$35, 2, FALSE))
</f>
        <v/>
      </c>
      <c r="K1627" s="107"/>
      <c r="L1627" s="293"/>
      <c r="M1627" s="293"/>
      <c r="N1627" s="293"/>
      <c r="O1627" s="277"/>
      <c r="P1627" s="264"/>
      <c r="Q1627" s="264"/>
      <c r="R1627" s="264"/>
      <c r="S1627" s="264"/>
      <c r="T1627" s="264"/>
      <c r="U1627" s="264"/>
      <c r="V1627" s="264"/>
      <c r="W1627" s="264"/>
      <c r="X1627" s="264"/>
      <c r="Y1627" s="264"/>
      <c r="Z1627" s="264"/>
      <c r="AA1627" s="264"/>
      <c r="AB1627" s="264"/>
      <c r="AC1627" s="264"/>
      <c r="AD1627" s="264"/>
      <c r="AE1627" s="264"/>
    </row>
    <row r="1628">
      <c r="A1628" s="272"/>
      <c r="B1628" s="272"/>
      <c r="C1628" s="272"/>
      <c r="D1628" s="172"/>
      <c r="E1628" s="267" t="str">
        <f t="shared" si="22"/>
        <v/>
      </c>
      <c r="F1628" s="274"/>
      <c r="G1628" s="42"/>
      <c r="H1628" s="264"/>
      <c r="I1628" s="277"/>
      <c r="J1628" s="276" t="str">
        <f>IF(ISBLANK(I1628), "", VLOOKUP(E1628&amp;" "&amp;F1628, 'Info Tipo de Cambio y REM'!$A$24:$B$35, 2, FALSE))
</f>
        <v/>
      </c>
      <c r="K1628" s="107"/>
      <c r="L1628" s="293"/>
      <c r="M1628" s="293"/>
      <c r="N1628" s="293"/>
      <c r="O1628" s="277"/>
      <c r="P1628" s="264"/>
      <c r="Q1628" s="264"/>
      <c r="R1628" s="264"/>
      <c r="S1628" s="264"/>
      <c r="T1628" s="264"/>
      <c r="U1628" s="264"/>
      <c r="V1628" s="264"/>
      <c r="W1628" s="264"/>
      <c r="X1628" s="264"/>
      <c r="Y1628" s="264"/>
      <c r="Z1628" s="264"/>
      <c r="AA1628" s="264"/>
      <c r="AB1628" s="264"/>
      <c r="AC1628" s="264"/>
      <c r="AD1628" s="264"/>
      <c r="AE1628" s="264"/>
    </row>
    <row r="1629">
      <c r="A1629" s="272"/>
      <c r="B1629" s="272"/>
      <c r="C1629" s="272"/>
      <c r="D1629" s="172"/>
      <c r="E1629" s="267" t="str">
        <f t="shared" si="22"/>
        <v/>
      </c>
      <c r="F1629" s="274"/>
      <c r="G1629" s="42"/>
      <c r="H1629" s="264"/>
      <c r="I1629" s="277"/>
      <c r="J1629" s="276" t="str">
        <f>IF(ISBLANK(I1629), "", VLOOKUP(E1629&amp;" "&amp;F1629, 'Info Tipo de Cambio y REM'!$A$24:$B$35, 2, FALSE))
</f>
        <v/>
      </c>
      <c r="K1629" s="107"/>
      <c r="L1629" s="293"/>
      <c r="M1629" s="293"/>
      <c r="N1629" s="293"/>
      <c r="O1629" s="277"/>
      <c r="P1629" s="264"/>
      <c r="Q1629" s="264"/>
      <c r="R1629" s="264"/>
      <c r="S1629" s="264"/>
      <c r="T1629" s="264"/>
      <c r="U1629" s="264"/>
      <c r="V1629" s="264"/>
      <c r="W1629" s="264"/>
      <c r="X1629" s="264"/>
      <c r="Y1629" s="264"/>
      <c r="Z1629" s="264"/>
      <c r="AA1629" s="264"/>
      <c r="AB1629" s="264"/>
      <c r="AC1629" s="264"/>
      <c r="AD1629" s="264"/>
      <c r="AE1629" s="264"/>
    </row>
    <row r="1630">
      <c r="A1630" s="272"/>
      <c r="B1630" s="272"/>
      <c r="C1630" s="272"/>
      <c r="D1630" s="172"/>
      <c r="E1630" s="267" t="str">
        <f t="shared" si="22"/>
        <v/>
      </c>
      <c r="F1630" s="274"/>
      <c r="G1630" s="42"/>
      <c r="H1630" s="264"/>
      <c r="I1630" s="277"/>
      <c r="J1630" s="276" t="str">
        <f>IF(ISBLANK(I1630), "", VLOOKUP(E1630&amp;" "&amp;F1630, 'Info Tipo de Cambio y REM'!$A$24:$B$35, 2, FALSE))
</f>
        <v/>
      </c>
      <c r="K1630" s="107"/>
      <c r="L1630" s="293"/>
      <c r="M1630" s="293"/>
      <c r="N1630" s="293"/>
      <c r="O1630" s="277"/>
      <c r="P1630" s="264"/>
      <c r="Q1630" s="264"/>
      <c r="R1630" s="264"/>
      <c r="S1630" s="264"/>
      <c r="T1630" s="264"/>
      <c r="U1630" s="264"/>
      <c r="V1630" s="264"/>
      <c r="W1630" s="264"/>
      <c r="X1630" s="264"/>
      <c r="Y1630" s="264"/>
      <c r="Z1630" s="264"/>
      <c r="AA1630" s="264"/>
      <c r="AB1630" s="264"/>
      <c r="AC1630" s="264"/>
      <c r="AD1630" s="264"/>
      <c r="AE1630" s="264"/>
    </row>
    <row r="1631">
      <c r="A1631" s="272"/>
      <c r="B1631" s="272"/>
      <c r="C1631" s="272"/>
      <c r="D1631" s="172"/>
      <c r="E1631" s="267" t="str">
        <f t="shared" si="22"/>
        <v/>
      </c>
      <c r="F1631" s="274"/>
      <c r="G1631" s="42"/>
      <c r="H1631" s="264"/>
      <c r="I1631" s="277"/>
      <c r="J1631" s="276" t="str">
        <f>IF(ISBLANK(I1631), "", VLOOKUP(E1631&amp;" "&amp;F1631, 'Info Tipo de Cambio y REM'!$A$24:$B$35, 2, FALSE))
</f>
        <v/>
      </c>
      <c r="K1631" s="107"/>
      <c r="L1631" s="293"/>
      <c r="M1631" s="293"/>
      <c r="N1631" s="293"/>
      <c r="O1631" s="277"/>
      <c r="P1631" s="264"/>
      <c r="Q1631" s="264"/>
      <c r="R1631" s="264"/>
      <c r="S1631" s="264"/>
      <c r="T1631" s="264"/>
      <c r="U1631" s="264"/>
      <c r="V1631" s="264"/>
      <c r="W1631" s="264"/>
      <c r="X1631" s="264"/>
      <c r="Y1631" s="264"/>
      <c r="Z1631" s="264"/>
      <c r="AA1631" s="264"/>
      <c r="AB1631" s="264"/>
      <c r="AC1631" s="264"/>
      <c r="AD1631" s="264"/>
      <c r="AE1631" s="264"/>
    </row>
    <row r="1632">
      <c r="A1632" s="272"/>
      <c r="B1632" s="272"/>
      <c r="C1632" s="272"/>
      <c r="D1632" s="172"/>
      <c r="E1632" s="267" t="str">
        <f t="shared" si="22"/>
        <v/>
      </c>
      <c r="F1632" s="274"/>
      <c r="G1632" s="42"/>
      <c r="H1632" s="264"/>
      <c r="I1632" s="277"/>
      <c r="J1632" s="276" t="str">
        <f>IF(ISBLANK(I1632), "", VLOOKUP(E1632&amp;" "&amp;F1632, 'Info Tipo de Cambio y REM'!$A$24:$B$35, 2, FALSE))
</f>
        <v/>
      </c>
      <c r="K1632" s="107"/>
      <c r="L1632" s="293"/>
      <c r="M1632" s="293"/>
      <c r="N1632" s="293"/>
      <c r="O1632" s="277"/>
      <c r="P1632" s="264"/>
      <c r="Q1632" s="264"/>
      <c r="R1632" s="264"/>
      <c r="S1632" s="264"/>
      <c r="T1632" s="264"/>
      <c r="U1632" s="264"/>
      <c r="V1632" s="264"/>
      <c r="W1632" s="264"/>
      <c r="X1632" s="264"/>
      <c r="Y1632" s="264"/>
      <c r="Z1632" s="264"/>
      <c r="AA1632" s="264"/>
      <c r="AB1632" s="264"/>
      <c r="AC1632" s="264"/>
      <c r="AD1632" s="264"/>
      <c r="AE1632" s="264"/>
    </row>
    <row r="1633">
      <c r="A1633" s="272"/>
      <c r="B1633" s="272"/>
      <c r="C1633" s="272"/>
      <c r="D1633" s="172"/>
      <c r="E1633" s="267" t="str">
        <f t="shared" si="22"/>
        <v/>
      </c>
      <c r="F1633" s="274"/>
      <c r="G1633" s="42"/>
      <c r="H1633" s="264"/>
      <c r="I1633" s="277"/>
      <c r="J1633" s="276" t="str">
        <f>IF(ISBLANK(I1633), "", VLOOKUP(E1633&amp;" "&amp;F1633, 'Info Tipo de Cambio y REM'!$A$24:$B$35, 2, FALSE))
</f>
        <v/>
      </c>
      <c r="K1633" s="107"/>
      <c r="L1633" s="293"/>
      <c r="M1633" s="293"/>
      <c r="N1633" s="293"/>
      <c r="O1633" s="277"/>
      <c r="P1633" s="264"/>
      <c r="Q1633" s="264"/>
      <c r="R1633" s="264"/>
      <c r="S1633" s="264"/>
      <c r="T1633" s="264"/>
      <c r="U1633" s="264"/>
      <c r="V1633" s="264"/>
      <c r="W1633" s="264"/>
      <c r="X1633" s="264"/>
      <c r="Y1633" s="264"/>
      <c r="Z1633" s="264"/>
      <c r="AA1633" s="264"/>
      <c r="AB1633" s="264"/>
      <c r="AC1633" s="264"/>
      <c r="AD1633" s="264"/>
      <c r="AE1633" s="264"/>
    </row>
    <row r="1634">
      <c r="A1634" s="272"/>
      <c r="B1634" s="272"/>
      <c r="C1634" s="272"/>
      <c r="D1634" s="172"/>
      <c r="E1634" s="267" t="str">
        <f t="shared" si="22"/>
        <v/>
      </c>
      <c r="F1634" s="274"/>
      <c r="G1634" s="42"/>
      <c r="H1634" s="264"/>
      <c r="I1634" s="277"/>
      <c r="J1634" s="276" t="str">
        <f>IF(ISBLANK(I1634), "", VLOOKUP(E1634&amp;" "&amp;F1634, 'Info Tipo de Cambio y REM'!$A$24:$B$35, 2, FALSE))
</f>
        <v/>
      </c>
      <c r="K1634" s="107"/>
      <c r="L1634" s="293"/>
      <c r="M1634" s="293"/>
      <c r="N1634" s="293"/>
      <c r="O1634" s="277"/>
      <c r="P1634" s="264"/>
      <c r="Q1634" s="264"/>
      <c r="R1634" s="264"/>
      <c r="S1634" s="264"/>
      <c r="T1634" s="264"/>
      <c r="U1634" s="264"/>
      <c r="V1634" s="264"/>
      <c r="W1634" s="264"/>
      <c r="X1634" s="264"/>
      <c r="Y1634" s="264"/>
      <c r="Z1634" s="264"/>
      <c r="AA1634" s="264"/>
      <c r="AB1634" s="264"/>
      <c r="AC1634" s="264"/>
      <c r="AD1634" s="264"/>
      <c r="AE1634" s="264"/>
    </row>
    <row r="1635">
      <c r="A1635" s="272"/>
      <c r="B1635" s="272"/>
      <c r="C1635" s="272"/>
      <c r="D1635" s="172"/>
      <c r="E1635" s="267" t="str">
        <f t="shared" si="22"/>
        <v/>
      </c>
      <c r="F1635" s="274"/>
      <c r="G1635" s="42"/>
      <c r="H1635" s="264"/>
      <c r="I1635" s="277"/>
      <c r="J1635" s="276" t="str">
        <f>IF(ISBLANK(I1635), "", VLOOKUP(E1635&amp;" "&amp;F1635, 'Info Tipo de Cambio y REM'!$A$24:$B$35, 2, FALSE))
</f>
        <v/>
      </c>
      <c r="K1635" s="107"/>
      <c r="L1635" s="293"/>
      <c r="M1635" s="293"/>
      <c r="N1635" s="293"/>
      <c r="O1635" s="277"/>
      <c r="P1635" s="264"/>
      <c r="Q1635" s="264"/>
      <c r="R1635" s="264"/>
      <c r="S1635" s="264"/>
      <c r="T1635" s="264"/>
      <c r="U1635" s="264"/>
      <c r="V1635" s="264"/>
      <c r="W1635" s="264"/>
      <c r="X1635" s="264"/>
      <c r="Y1635" s="264"/>
      <c r="Z1635" s="264"/>
      <c r="AA1635" s="264"/>
      <c r="AB1635" s="264"/>
      <c r="AC1635" s="264"/>
      <c r="AD1635" s="264"/>
      <c r="AE1635" s="264"/>
    </row>
    <row r="1636">
      <c r="A1636" s="272"/>
      <c r="B1636" s="272"/>
      <c r="C1636" s="272"/>
      <c r="D1636" s="172"/>
      <c r="E1636" s="267" t="str">
        <f t="shared" si="22"/>
        <v/>
      </c>
      <c r="F1636" s="274"/>
      <c r="G1636" s="42"/>
      <c r="H1636" s="264"/>
      <c r="I1636" s="277"/>
      <c r="J1636" s="276" t="str">
        <f>IF(ISBLANK(I1636), "", VLOOKUP(E1636&amp;" "&amp;F1636, 'Info Tipo de Cambio y REM'!$A$24:$B$35, 2, FALSE))
</f>
        <v/>
      </c>
      <c r="K1636" s="107"/>
      <c r="L1636" s="293"/>
      <c r="M1636" s="293"/>
      <c r="N1636" s="293"/>
      <c r="O1636" s="277"/>
      <c r="P1636" s="264"/>
      <c r="Q1636" s="264"/>
      <c r="R1636" s="264"/>
      <c r="S1636" s="264"/>
      <c r="T1636" s="264"/>
      <c r="U1636" s="264"/>
      <c r="V1636" s="264"/>
      <c r="W1636" s="264"/>
      <c r="X1636" s="264"/>
      <c r="Y1636" s="264"/>
      <c r="Z1636" s="264"/>
      <c r="AA1636" s="264"/>
      <c r="AB1636" s="264"/>
      <c r="AC1636" s="264"/>
      <c r="AD1636" s="264"/>
      <c r="AE1636" s="264"/>
    </row>
    <row r="1637">
      <c r="A1637" s="272"/>
      <c r="B1637" s="272"/>
      <c r="C1637" s="272"/>
      <c r="D1637" s="172"/>
      <c r="E1637" s="267" t="str">
        <f t="shared" si="22"/>
        <v/>
      </c>
      <c r="F1637" s="274"/>
      <c r="G1637" s="42"/>
      <c r="H1637" s="264"/>
      <c r="I1637" s="277"/>
      <c r="J1637" s="276" t="str">
        <f>IF(ISBLANK(I1637), "", VLOOKUP(E1637&amp;" "&amp;F1637, 'Info Tipo de Cambio y REM'!$A$24:$B$35, 2, FALSE))
</f>
        <v/>
      </c>
      <c r="K1637" s="107"/>
      <c r="L1637" s="293"/>
      <c r="M1637" s="293"/>
      <c r="N1637" s="293"/>
      <c r="O1637" s="277"/>
      <c r="P1637" s="264"/>
      <c r="Q1637" s="264"/>
      <c r="R1637" s="264"/>
      <c r="S1637" s="264"/>
      <c r="T1637" s="264"/>
      <c r="U1637" s="264"/>
      <c r="V1637" s="264"/>
      <c r="W1637" s="264"/>
      <c r="X1637" s="264"/>
      <c r="Y1637" s="264"/>
      <c r="Z1637" s="264"/>
      <c r="AA1637" s="264"/>
      <c r="AB1637" s="264"/>
      <c r="AC1637" s="264"/>
      <c r="AD1637" s="264"/>
      <c r="AE1637" s="264"/>
    </row>
    <row r="1638">
      <c r="A1638" s="272"/>
      <c r="B1638" s="272"/>
      <c r="C1638" s="272"/>
      <c r="D1638" s="172"/>
      <c r="E1638" s="267" t="str">
        <f t="shared" si="22"/>
        <v/>
      </c>
      <c r="F1638" s="274"/>
      <c r="G1638" s="42"/>
      <c r="H1638" s="264"/>
      <c r="I1638" s="277"/>
      <c r="J1638" s="276" t="str">
        <f>IF(ISBLANK(I1638), "", VLOOKUP(E1638&amp;" "&amp;F1638, 'Info Tipo de Cambio y REM'!$A$24:$B$35, 2, FALSE))
</f>
        <v/>
      </c>
      <c r="K1638" s="107"/>
      <c r="L1638" s="293"/>
      <c r="M1638" s="293"/>
      <c r="N1638" s="293"/>
      <c r="O1638" s="277"/>
      <c r="P1638" s="264"/>
      <c r="Q1638" s="264"/>
      <c r="R1638" s="264"/>
      <c r="S1638" s="264"/>
      <c r="T1638" s="264"/>
      <c r="U1638" s="264"/>
      <c r="V1638" s="264"/>
      <c r="W1638" s="264"/>
      <c r="X1638" s="264"/>
      <c r="Y1638" s="264"/>
      <c r="Z1638" s="264"/>
      <c r="AA1638" s="264"/>
      <c r="AB1638" s="264"/>
      <c r="AC1638" s="264"/>
      <c r="AD1638" s="264"/>
      <c r="AE1638" s="264"/>
    </row>
    <row r="1639">
      <c r="A1639" s="272"/>
      <c r="B1639" s="272"/>
      <c r="C1639" s="272"/>
      <c r="D1639" s="172"/>
      <c r="E1639" s="267" t="str">
        <f t="shared" si="22"/>
        <v/>
      </c>
      <c r="F1639" s="274"/>
      <c r="G1639" s="42"/>
      <c r="H1639" s="264"/>
      <c r="I1639" s="277"/>
      <c r="J1639" s="276" t="str">
        <f>IF(ISBLANK(I1639), "", VLOOKUP(E1639&amp;" "&amp;F1639, 'Info Tipo de Cambio y REM'!$A$24:$B$35, 2, FALSE))
</f>
        <v/>
      </c>
      <c r="K1639" s="107"/>
      <c r="L1639" s="293"/>
      <c r="M1639" s="293"/>
      <c r="N1639" s="293"/>
      <c r="O1639" s="277"/>
      <c r="P1639" s="264"/>
      <c r="Q1639" s="264"/>
      <c r="R1639" s="264"/>
      <c r="S1639" s="264"/>
      <c r="T1639" s="264"/>
      <c r="U1639" s="264"/>
      <c r="V1639" s="264"/>
      <c r="W1639" s="264"/>
      <c r="X1639" s="264"/>
      <c r="Y1639" s="264"/>
      <c r="Z1639" s="264"/>
      <c r="AA1639" s="264"/>
      <c r="AB1639" s="264"/>
      <c r="AC1639" s="264"/>
      <c r="AD1639" s="264"/>
      <c r="AE1639" s="264"/>
    </row>
    <row r="1640">
      <c r="A1640" s="272"/>
      <c r="B1640" s="272"/>
      <c r="C1640" s="272"/>
      <c r="D1640" s="172"/>
      <c r="E1640" s="267" t="str">
        <f t="shared" si="22"/>
        <v/>
      </c>
      <c r="F1640" s="274"/>
      <c r="G1640" s="42"/>
      <c r="H1640" s="264"/>
      <c r="I1640" s="277"/>
      <c r="J1640" s="276" t="str">
        <f>IF(ISBLANK(I1640), "", VLOOKUP(E1640&amp;" "&amp;F1640, 'Info Tipo de Cambio y REM'!$A$24:$B$35, 2, FALSE))
</f>
        <v/>
      </c>
      <c r="K1640" s="107"/>
      <c r="L1640" s="293"/>
      <c r="M1640" s="293"/>
      <c r="N1640" s="293"/>
      <c r="O1640" s="277"/>
      <c r="P1640" s="264"/>
      <c r="Q1640" s="264"/>
      <c r="R1640" s="264"/>
      <c r="S1640" s="264"/>
      <c r="T1640" s="264"/>
      <c r="U1640" s="264"/>
      <c r="V1640" s="264"/>
      <c r="W1640" s="264"/>
      <c r="X1640" s="264"/>
      <c r="Y1640" s="264"/>
      <c r="Z1640" s="264"/>
      <c r="AA1640" s="264"/>
      <c r="AB1640" s="264"/>
      <c r="AC1640" s="264"/>
      <c r="AD1640" s="264"/>
      <c r="AE1640" s="264"/>
    </row>
    <row r="1641">
      <c r="A1641" s="272"/>
      <c r="B1641" s="272"/>
      <c r="C1641" s="272"/>
      <c r="D1641" s="172"/>
      <c r="E1641" s="267" t="str">
        <f t="shared" si="22"/>
        <v/>
      </c>
      <c r="F1641" s="274"/>
      <c r="G1641" s="42"/>
      <c r="H1641" s="264"/>
      <c r="I1641" s="277"/>
      <c r="J1641" s="276" t="str">
        <f>IF(ISBLANK(I1641), "", VLOOKUP(E1641&amp;" "&amp;F1641, 'Info Tipo de Cambio y REM'!$A$24:$B$35, 2, FALSE))
</f>
        <v/>
      </c>
      <c r="K1641" s="107"/>
      <c r="L1641" s="293"/>
      <c r="M1641" s="293"/>
      <c r="N1641" s="293"/>
      <c r="O1641" s="277"/>
      <c r="P1641" s="264"/>
      <c r="Q1641" s="264"/>
      <c r="R1641" s="264"/>
      <c r="S1641" s="264"/>
      <c r="T1641" s="264"/>
      <c r="U1641" s="264"/>
      <c r="V1641" s="264"/>
      <c r="W1641" s="264"/>
      <c r="X1641" s="264"/>
      <c r="Y1641" s="264"/>
      <c r="Z1641" s="264"/>
      <c r="AA1641" s="264"/>
      <c r="AB1641" s="264"/>
      <c r="AC1641" s="264"/>
      <c r="AD1641" s="264"/>
      <c r="AE1641" s="264"/>
    </row>
    <row r="1642">
      <c r="A1642" s="272"/>
      <c r="B1642" s="272"/>
      <c r="C1642" s="272"/>
      <c r="D1642" s="172"/>
      <c r="E1642" s="267" t="str">
        <f t="shared" si="22"/>
        <v/>
      </c>
      <c r="F1642" s="274"/>
      <c r="G1642" s="42"/>
      <c r="H1642" s="264"/>
      <c r="I1642" s="277"/>
      <c r="J1642" s="276" t="str">
        <f>IF(ISBLANK(I1642), "", VLOOKUP(E1642&amp;" "&amp;F1642, 'Info Tipo de Cambio y REM'!$A$24:$B$35, 2, FALSE))
</f>
        <v/>
      </c>
      <c r="K1642" s="107"/>
      <c r="L1642" s="293"/>
      <c r="M1642" s="293"/>
      <c r="N1642" s="293"/>
      <c r="O1642" s="277"/>
      <c r="P1642" s="264"/>
      <c r="Q1642" s="264"/>
      <c r="R1642" s="264"/>
      <c r="S1642" s="264"/>
      <c r="T1642" s="264"/>
      <c r="U1642" s="264"/>
      <c r="V1642" s="264"/>
      <c r="W1642" s="264"/>
      <c r="X1642" s="264"/>
      <c r="Y1642" s="264"/>
      <c r="Z1642" s="264"/>
      <c r="AA1642" s="264"/>
      <c r="AB1642" s="264"/>
      <c r="AC1642" s="264"/>
      <c r="AD1642" s="264"/>
      <c r="AE1642" s="264"/>
    </row>
    <row r="1643">
      <c r="A1643" s="272"/>
      <c r="B1643" s="272"/>
      <c r="C1643" s="272"/>
      <c r="D1643" s="172"/>
      <c r="E1643" s="267" t="str">
        <f t="shared" si="22"/>
        <v/>
      </c>
      <c r="F1643" s="274"/>
      <c r="G1643" s="42"/>
      <c r="H1643" s="264"/>
      <c r="I1643" s="277"/>
      <c r="J1643" s="276" t="str">
        <f>IF(ISBLANK(I1643), "", VLOOKUP(E1643&amp;" "&amp;F1643, 'Info Tipo de Cambio y REM'!$A$24:$B$35, 2, FALSE))
</f>
        <v/>
      </c>
      <c r="K1643" s="107"/>
      <c r="L1643" s="293"/>
      <c r="M1643" s="293"/>
      <c r="N1643" s="293"/>
      <c r="O1643" s="277"/>
      <c r="P1643" s="264"/>
      <c r="Q1643" s="264"/>
      <c r="R1643" s="264"/>
      <c r="S1643" s="264"/>
      <c r="T1643" s="264"/>
      <c r="U1643" s="264"/>
      <c r="V1643" s="264"/>
      <c r="W1643" s="264"/>
      <c r="X1643" s="264"/>
      <c r="Y1643" s="264"/>
      <c r="Z1643" s="264"/>
      <c r="AA1643" s="264"/>
      <c r="AB1643" s="264"/>
      <c r="AC1643" s="264"/>
      <c r="AD1643" s="264"/>
      <c r="AE1643" s="264"/>
    </row>
    <row r="1644">
      <c r="A1644" s="272"/>
      <c r="B1644" s="272"/>
      <c r="C1644" s="272"/>
      <c r="D1644" s="172"/>
      <c r="E1644" s="267" t="str">
        <f t="shared" si="22"/>
        <v/>
      </c>
      <c r="F1644" s="274"/>
      <c r="G1644" s="42"/>
      <c r="H1644" s="264"/>
      <c r="I1644" s="277"/>
      <c r="J1644" s="276" t="str">
        <f>IF(ISBLANK(I1644), "", VLOOKUP(E1644&amp;" "&amp;F1644, 'Info Tipo de Cambio y REM'!$A$24:$B$35, 2, FALSE))
</f>
        <v/>
      </c>
      <c r="K1644" s="107"/>
      <c r="L1644" s="293"/>
      <c r="M1644" s="293"/>
      <c r="N1644" s="293"/>
      <c r="O1644" s="277"/>
      <c r="P1644" s="264"/>
      <c r="Q1644" s="264"/>
      <c r="R1644" s="264"/>
      <c r="S1644" s="264"/>
      <c r="T1644" s="264"/>
      <c r="U1644" s="264"/>
      <c r="V1644" s="264"/>
      <c r="W1644" s="264"/>
      <c r="X1644" s="264"/>
      <c r="Y1644" s="264"/>
      <c r="Z1644" s="264"/>
      <c r="AA1644" s="264"/>
      <c r="AB1644" s="264"/>
      <c r="AC1644" s="264"/>
      <c r="AD1644" s="264"/>
      <c r="AE1644" s="264"/>
    </row>
    <row r="1645">
      <c r="A1645" s="272"/>
      <c r="B1645" s="272"/>
      <c r="C1645" s="272"/>
      <c r="D1645" s="172"/>
      <c r="E1645" s="267" t="str">
        <f t="shared" si="22"/>
        <v/>
      </c>
      <c r="F1645" s="274"/>
      <c r="G1645" s="42"/>
      <c r="H1645" s="264"/>
      <c r="I1645" s="277"/>
      <c r="J1645" s="276" t="str">
        <f>IF(ISBLANK(I1645), "", VLOOKUP(E1645&amp;" "&amp;F1645, 'Info Tipo de Cambio y REM'!$A$24:$B$35, 2, FALSE))
</f>
        <v/>
      </c>
      <c r="K1645" s="107"/>
      <c r="L1645" s="293"/>
      <c r="M1645" s="293"/>
      <c r="N1645" s="293"/>
      <c r="O1645" s="277"/>
      <c r="P1645" s="264"/>
      <c r="Q1645" s="264"/>
      <c r="R1645" s="264"/>
      <c r="S1645" s="264"/>
      <c r="T1645" s="264"/>
      <c r="U1645" s="264"/>
      <c r="V1645" s="264"/>
      <c r="W1645" s="264"/>
      <c r="X1645" s="264"/>
      <c r="Y1645" s="264"/>
      <c r="Z1645" s="264"/>
      <c r="AA1645" s="264"/>
      <c r="AB1645" s="264"/>
      <c r="AC1645" s="264"/>
      <c r="AD1645" s="264"/>
      <c r="AE1645" s="264"/>
    </row>
    <row r="1646">
      <c r="A1646" s="272"/>
      <c r="B1646" s="272"/>
      <c r="C1646" s="272"/>
      <c r="D1646" s="172"/>
      <c r="E1646" s="267" t="str">
        <f t="shared" si="22"/>
        <v/>
      </c>
      <c r="F1646" s="274"/>
      <c r="G1646" s="42"/>
      <c r="H1646" s="264"/>
      <c r="I1646" s="277"/>
      <c r="J1646" s="276" t="str">
        <f>IF(ISBLANK(I1646), "", VLOOKUP(E1646&amp;" "&amp;F1646, 'Info Tipo de Cambio y REM'!$A$24:$B$35, 2, FALSE))
</f>
        <v/>
      </c>
      <c r="K1646" s="107"/>
      <c r="L1646" s="293"/>
      <c r="M1646" s="293"/>
      <c r="N1646" s="293"/>
      <c r="O1646" s="277"/>
      <c r="P1646" s="264"/>
      <c r="Q1646" s="264"/>
      <c r="R1646" s="264"/>
      <c r="S1646" s="264"/>
      <c r="T1646" s="264"/>
      <c r="U1646" s="264"/>
      <c r="V1646" s="264"/>
      <c r="W1646" s="264"/>
      <c r="X1646" s="264"/>
      <c r="Y1646" s="264"/>
      <c r="Z1646" s="264"/>
      <c r="AA1646" s="264"/>
      <c r="AB1646" s="264"/>
      <c r="AC1646" s="264"/>
      <c r="AD1646" s="264"/>
      <c r="AE1646" s="264"/>
    </row>
    <row r="1647">
      <c r="A1647" s="272"/>
      <c r="B1647" s="272"/>
      <c r="C1647" s="272"/>
      <c r="D1647" s="172"/>
      <c r="E1647" s="267" t="str">
        <f t="shared" si="22"/>
        <v/>
      </c>
      <c r="F1647" s="274"/>
      <c r="G1647" s="42"/>
      <c r="H1647" s="264"/>
      <c r="I1647" s="277"/>
      <c r="J1647" s="276" t="str">
        <f>IF(ISBLANK(I1647), "", VLOOKUP(E1647&amp;" "&amp;F1647, 'Info Tipo de Cambio y REM'!$A$24:$B$35, 2, FALSE))
</f>
        <v/>
      </c>
      <c r="K1647" s="107"/>
      <c r="L1647" s="293"/>
      <c r="M1647" s="293"/>
      <c r="N1647" s="293"/>
      <c r="O1647" s="277"/>
      <c r="P1647" s="264"/>
      <c r="Q1647" s="264"/>
      <c r="R1647" s="264"/>
      <c r="S1647" s="264"/>
      <c r="T1647" s="264"/>
      <c r="U1647" s="264"/>
      <c r="V1647" s="264"/>
      <c r="W1647" s="264"/>
      <c r="X1647" s="264"/>
      <c r="Y1647" s="264"/>
      <c r="Z1647" s="264"/>
      <c r="AA1647" s="264"/>
      <c r="AB1647" s="264"/>
      <c r="AC1647" s="264"/>
      <c r="AD1647" s="264"/>
      <c r="AE1647" s="264"/>
    </row>
    <row r="1648">
      <c r="A1648" s="272"/>
      <c r="B1648" s="272"/>
      <c r="C1648" s="272"/>
      <c r="D1648" s="172"/>
      <c r="E1648" s="267" t="str">
        <f t="shared" si="22"/>
        <v/>
      </c>
      <c r="F1648" s="274"/>
      <c r="G1648" s="42"/>
      <c r="H1648" s="264"/>
      <c r="I1648" s="277"/>
      <c r="J1648" s="276" t="str">
        <f>IF(ISBLANK(I1648), "", VLOOKUP(E1648&amp;" "&amp;F1648, 'Info Tipo de Cambio y REM'!$A$24:$B$35, 2, FALSE))
</f>
        <v/>
      </c>
      <c r="K1648" s="107"/>
      <c r="L1648" s="293"/>
      <c r="M1648" s="293"/>
      <c r="N1648" s="293"/>
      <c r="O1648" s="277"/>
      <c r="P1648" s="264"/>
      <c r="Q1648" s="264"/>
      <c r="R1648" s="264"/>
      <c r="S1648" s="264"/>
      <c r="T1648" s="264"/>
      <c r="U1648" s="264"/>
      <c r="V1648" s="264"/>
      <c r="W1648" s="264"/>
      <c r="X1648" s="264"/>
      <c r="Y1648" s="264"/>
      <c r="Z1648" s="264"/>
      <c r="AA1648" s="264"/>
      <c r="AB1648" s="264"/>
      <c r="AC1648" s="264"/>
      <c r="AD1648" s="264"/>
      <c r="AE1648" s="264"/>
    </row>
    <row r="1649">
      <c r="A1649" s="272"/>
      <c r="B1649" s="272"/>
      <c r="C1649" s="272"/>
      <c r="D1649" s="172"/>
      <c r="E1649" s="267" t="str">
        <f t="shared" si="22"/>
        <v/>
      </c>
      <c r="F1649" s="274"/>
      <c r="G1649" s="42"/>
      <c r="H1649" s="264"/>
      <c r="I1649" s="277"/>
      <c r="J1649" s="276" t="str">
        <f>IF(ISBLANK(I1649), "", VLOOKUP(E1649&amp;" "&amp;F1649, 'Info Tipo de Cambio y REM'!$A$24:$B$35, 2, FALSE))
</f>
        <v/>
      </c>
      <c r="K1649" s="107"/>
      <c r="L1649" s="293"/>
      <c r="M1649" s="293"/>
      <c r="N1649" s="293"/>
      <c r="O1649" s="277"/>
      <c r="P1649" s="264"/>
      <c r="Q1649" s="264"/>
      <c r="R1649" s="264"/>
      <c r="S1649" s="264"/>
      <c r="T1649" s="264"/>
      <c r="U1649" s="264"/>
      <c r="V1649" s="264"/>
      <c r="W1649" s="264"/>
      <c r="X1649" s="264"/>
      <c r="Y1649" s="264"/>
      <c r="Z1649" s="264"/>
      <c r="AA1649" s="264"/>
      <c r="AB1649" s="264"/>
      <c r="AC1649" s="264"/>
      <c r="AD1649" s="264"/>
      <c r="AE1649" s="264"/>
    </row>
    <row r="1650">
      <c r="A1650" s="272"/>
      <c r="B1650" s="272"/>
      <c r="C1650" s="272"/>
      <c r="D1650" s="172"/>
      <c r="E1650" s="267" t="str">
        <f t="shared" si="22"/>
        <v/>
      </c>
      <c r="F1650" s="274"/>
      <c r="G1650" s="42"/>
      <c r="H1650" s="264"/>
      <c r="I1650" s="277"/>
      <c r="J1650" s="276" t="str">
        <f>IF(ISBLANK(I1650), "", VLOOKUP(E1650&amp;" "&amp;F1650, 'Info Tipo de Cambio y REM'!$A$24:$B$35, 2, FALSE))
</f>
        <v/>
      </c>
      <c r="K1650" s="107"/>
      <c r="L1650" s="293"/>
      <c r="M1650" s="293"/>
      <c r="N1650" s="293"/>
      <c r="O1650" s="277"/>
      <c r="P1650" s="264"/>
      <c r="Q1650" s="264"/>
      <c r="R1650" s="264"/>
      <c r="S1650" s="264"/>
      <c r="T1650" s="264"/>
      <c r="U1650" s="264"/>
      <c r="V1650" s="264"/>
      <c r="W1650" s="264"/>
      <c r="X1650" s="264"/>
      <c r="Y1650" s="264"/>
      <c r="Z1650" s="264"/>
      <c r="AA1650" s="264"/>
      <c r="AB1650" s="264"/>
      <c r="AC1650" s="264"/>
      <c r="AD1650" s="264"/>
      <c r="AE1650" s="264"/>
    </row>
    <row r="1651">
      <c r="A1651" s="272"/>
      <c r="B1651" s="272"/>
      <c r="C1651" s="272"/>
      <c r="D1651" s="172"/>
      <c r="E1651" s="267" t="str">
        <f t="shared" si="22"/>
        <v/>
      </c>
      <c r="F1651" s="274"/>
      <c r="G1651" s="42"/>
      <c r="H1651" s="264"/>
      <c r="I1651" s="277"/>
      <c r="J1651" s="276" t="str">
        <f>IF(ISBLANK(I1651), "", VLOOKUP(E1651&amp;" "&amp;F1651, 'Info Tipo de Cambio y REM'!$A$24:$B$35, 2, FALSE))
</f>
        <v/>
      </c>
      <c r="K1651" s="107"/>
      <c r="L1651" s="293"/>
      <c r="M1651" s="293"/>
      <c r="N1651" s="293"/>
      <c r="O1651" s="277"/>
      <c r="P1651" s="264"/>
      <c r="Q1651" s="264"/>
      <c r="R1651" s="264"/>
      <c r="S1651" s="264"/>
      <c r="T1651" s="264"/>
      <c r="U1651" s="264"/>
      <c r="V1651" s="264"/>
      <c r="W1651" s="264"/>
      <c r="X1651" s="264"/>
      <c r="Y1651" s="264"/>
      <c r="Z1651" s="264"/>
      <c r="AA1651" s="264"/>
      <c r="AB1651" s="264"/>
      <c r="AC1651" s="264"/>
      <c r="AD1651" s="264"/>
      <c r="AE1651" s="264"/>
    </row>
    <row r="1652">
      <c r="A1652" s="272"/>
      <c r="B1652" s="272"/>
      <c r="C1652" s="272"/>
      <c r="D1652" s="172"/>
      <c r="E1652" s="267" t="str">
        <f t="shared" si="22"/>
        <v/>
      </c>
      <c r="F1652" s="274"/>
      <c r="G1652" s="42"/>
      <c r="H1652" s="264"/>
      <c r="I1652" s="277"/>
      <c r="J1652" s="276" t="str">
        <f>IF(ISBLANK(I1652), "", VLOOKUP(E1652&amp;" "&amp;F1652, 'Info Tipo de Cambio y REM'!$A$24:$B$35, 2, FALSE))
</f>
        <v/>
      </c>
      <c r="K1652" s="107"/>
      <c r="L1652" s="293"/>
      <c r="M1652" s="293"/>
      <c r="N1652" s="293"/>
      <c r="O1652" s="277"/>
      <c r="P1652" s="264"/>
      <c r="Q1652" s="264"/>
      <c r="R1652" s="264"/>
      <c r="S1652" s="264"/>
      <c r="T1652" s="264"/>
      <c r="U1652" s="264"/>
      <c r="V1652" s="264"/>
      <c r="W1652" s="264"/>
      <c r="X1652" s="264"/>
      <c r="Y1652" s="264"/>
      <c r="Z1652" s="264"/>
      <c r="AA1652" s="264"/>
      <c r="AB1652" s="264"/>
      <c r="AC1652" s="264"/>
      <c r="AD1652" s="264"/>
      <c r="AE1652" s="264"/>
    </row>
    <row r="1653">
      <c r="A1653" s="272"/>
      <c r="B1653" s="272"/>
      <c r="C1653" s="272"/>
      <c r="D1653" s="172"/>
      <c r="E1653" s="267" t="str">
        <f t="shared" si="22"/>
        <v/>
      </c>
      <c r="F1653" s="274"/>
      <c r="G1653" s="42"/>
      <c r="H1653" s="264"/>
      <c r="I1653" s="277"/>
      <c r="J1653" s="276" t="str">
        <f>IF(ISBLANK(I1653), "", VLOOKUP(E1653&amp;" "&amp;F1653, 'Info Tipo de Cambio y REM'!$A$24:$B$35, 2, FALSE))
</f>
        <v/>
      </c>
      <c r="K1653" s="107"/>
      <c r="L1653" s="293"/>
      <c r="M1653" s="293"/>
      <c r="N1653" s="293"/>
      <c r="O1653" s="277"/>
      <c r="P1653" s="264"/>
      <c r="Q1653" s="264"/>
      <c r="R1653" s="264"/>
      <c r="S1653" s="264"/>
      <c r="T1653" s="264"/>
      <c r="U1653" s="264"/>
      <c r="V1653" s="264"/>
      <c r="W1653" s="264"/>
      <c r="X1653" s="264"/>
      <c r="Y1653" s="264"/>
      <c r="Z1653" s="264"/>
      <c r="AA1653" s="264"/>
      <c r="AB1653" s="264"/>
      <c r="AC1653" s="264"/>
      <c r="AD1653" s="264"/>
      <c r="AE1653" s="264"/>
    </row>
    <row r="1654">
      <c r="A1654" s="272"/>
      <c r="B1654" s="272"/>
      <c r="C1654" s="272"/>
      <c r="D1654" s="172"/>
      <c r="E1654" s="267" t="str">
        <f t="shared" si="22"/>
        <v/>
      </c>
      <c r="F1654" s="274"/>
      <c r="G1654" s="42"/>
      <c r="H1654" s="264"/>
      <c r="I1654" s="277"/>
      <c r="J1654" s="276" t="str">
        <f>IF(ISBLANK(I1654), "", VLOOKUP(E1654&amp;" "&amp;F1654, 'Info Tipo de Cambio y REM'!$A$24:$B$35, 2, FALSE))
</f>
        <v/>
      </c>
      <c r="K1654" s="107"/>
      <c r="L1654" s="293"/>
      <c r="M1654" s="293"/>
      <c r="N1654" s="293"/>
      <c r="O1654" s="277"/>
      <c r="P1654" s="264"/>
      <c r="Q1654" s="264"/>
      <c r="R1654" s="264"/>
      <c r="S1654" s="264"/>
      <c r="T1654" s="264"/>
      <c r="U1654" s="264"/>
      <c r="V1654" s="264"/>
      <c r="W1654" s="264"/>
      <c r="X1654" s="264"/>
      <c r="Y1654" s="264"/>
      <c r="Z1654" s="264"/>
      <c r="AA1654" s="264"/>
      <c r="AB1654" s="264"/>
      <c r="AC1654" s="264"/>
      <c r="AD1654" s="264"/>
      <c r="AE1654" s="264"/>
    </row>
    <row r="1655">
      <c r="A1655" s="272"/>
      <c r="B1655" s="272"/>
      <c r="C1655" s="272"/>
      <c r="D1655" s="172"/>
      <c r="E1655" s="267" t="str">
        <f t="shared" si="22"/>
        <v/>
      </c>
      <c r="F1655" s="274"/>
      <c r="G1655" s="42"/>
      <c r="H1655" s="264"/>
      <c r="I1655" s="277"/>
      <c r="J1655" s="276" t="str">
        <f>IF(ISBLANK(I1655), "", VLOOKUP(E1655&amp;" "&amp;F1655, 'Info Tipo de Cambio y REM'!$A$24:$B$35, 2, FALSE))
</f>
        <v/>
      </c>
      <c r="K1655" s="107"/>
      <c r="L1655" s="293"/>
      <c r="M1655" s="293"/>
      <c r="N1655" s="293"/>
      <c r="O1655" s="277"/>
      <c r="P1655" s="264"/>
      <c r="Q1655" s="264"/>
      <c r="R1655" s="264"/>
      <c r="S1655" s="264"/>
      <c r="T1655" s="264"/>
      <c r="U1655" s="264"/>
      <c r="V1655" s="264"/>
      <c r="W1655" s="264"/>
      <c r="X1655" s="264"/>
      <c r="Y1655" s="264"/>
      <c r="Z1655" s="264"/>
      <c r="AA1655" s="264"/>
      <c r="AB1655" s="264"/>
      <c r="AC1655" s="264"/>
      <c r="AD1655" s="264"/>
      <c r="AE1655" s="264"/>
    </row>
    <row r="1656">
      <c r="A1656" s="272"/>
      <c r="B1656" s="272"/>
      <c r="C1656" s="272"/>
      <c r="D1656" s="172"/>
      <c r="E1656" s="267" t="str">
        <f t="shared" si="22"/>
        <v/>
      </c>
      <c r="F1656" s="274"/>
      <c r="G1656" s="42"/>
      <c r="H1656" s="264"/>
      <c r="I1656" s="277"/>
      <c r="J1656" s="276" t="str">
        <f>IF(ISBLANK(I1656), "", VLOOKUP(E1656&amp;" "&amp;F1656, 'Info Tipo de Cambio y REM'!$A$24:$B$35, 2, FALSE))
</f>
        <v/>
      </c>
      <c r="K1656" s="107"/>
      <c r="L1656" s="293"/>
      <c r="M1656" s="293"/>
      <c r="N1656" s="293"/>
      <c r="O1656" s="277"/>
      <c r="P1656" s="264"/>
      <c r="Q1656" s="264"/>
      <c r="R1656" s="264"/>
      <c r="S1656" s="264"/>
      <c r="T1656" s="264"/>
      <c r="U1656" s="264"/>
      <c r="V1656" s="264"/>
      <c r="W1656" s="264"/>
      <c r="X1656" s="264"/>
      <c r="Y1656" s="264"/>
      <c r="Z1656" s="264"/>
      <c r="AA1656" s="264"/>
      <c r="AB1656" s="264"/>
      <c r="AC1656" s="264"/>
      <c r="AD1656" s="264"/>
      <c r="AE1656" s="264"/>
    </row>
    <row r="1657">
      <c r="A1657" s="272"/>
      <c r="B1657" s="272"/>
      <c r="C1657" s="272"/>
      <c r="D1657" s="172"/>
      <c r="E1657" s="267" t="str">
        <f t="shared" si="22"/>
        <v/>
      </c>
      <c r="F1657" s="274"/>
      <c r="G1657" s="42"/>
      <c r="H1657" s="264"/>
      <c r="I1657" s="277"/>
      <c r="J1657" s="276" t="str">
        <f>IF(ISBLANK(I1657), "", VLOOKUP(E1657&amp;" "&amp;F1657, 'Info Tipo de Cambio y REM'!$A$24:$B$35, 2, FALSE))
</f>
        <v/>
      </c>
      <c r="K1657" s="107"/>
      <c r="L1657" s="293"/>
      <c r="M1657" s="293"/>
      <c r="N1657" s="293"/>
      <c r="O1657" s="277"/>
      <c r="P1657" s="264"/>
      <c r="Q1657" s="264"/>
      <c r="R1657" s="264"/>
      <c r="S1657" s="264"/>
      <c r="T1657" s="264"/>
      <c r="U1657" s="264"/>
      <c r="V1657" s="264"/>
      <c r="W1657" s="264"/>
      <c r="X1657" s="264"/>
      <c r="Y1657" s="264"/>
      <c r="Z1657" s="264"/>
      <c r="AA1657" s="264"/>
      <c r="AB1657" s="264"/>
      <c r="AC1657" s="264"/>
      <c r="AD1657" s="264"/>
      <c r="AE1657" s="264"/>
    </row>
    <row r="1658">
      <c r="A1658" s="272"/>
      <c r="B1658" s="272"/>
      <c r="C1658" s="272"/>
      <c r="D1658" s="172"/>
      <c r="E1658" s="267" t="str">
        <f t="shared" si="22"/>
        <v/>
      </c>
      <c r="F1658" s="274"/>
      <c r="G1658" s="42"/>
      <c r="H1658" s="264"/>
      <c r="I1658" s="277"/>
      <c r="J1658" s="276" t="str">
        <f>IF(ISBLANK(I1658), "", VLOOKUP(E1658&amp;" "&amp;F1658, 'Info Tipo de Cambio y REM'!$A$24:$B$35, 2, FALSE))
</f>
        <v/>
      </c>
      <c r="K1658" s="107"/>
      <c r="L1658" s="293"/>
      <c r="M1658" s="293"/>
      <c r="N1658" s="293"/>
      <c r="O1658" s="277"/>
      <c r="P1658" s="264"/>
      <c r="Q1658" s="264"/>
      <c r="R1658" s="264"/>
      <c r="S1658" s="264"/>
      <c r="T1658" s="264"/>
      <c r="U1658" s="264"/>
      <c r="V1658" s="264"/>
      <c r="W1658" s="264"/>
      <c r="X1658" s="264"/>
      <c r="Y1658" s="264"/>
      <c r="Z1658" s="264"/>
      <c r="AA1658" s="264"/>
      <c r="AB1658" s="264"/>
      <c r="AC1658" s="264"/>
      <c r="AD1658" s="264"/>
      <c r="AE1658" s="264"/>
    </row>
    <row r="1659">
      <c r="A1659" s="272"/>
      <c r="B1659" s="272"/>
      <c r="C1659" s="272"/>
      <c r="D1659" s="172"/>
      <c r="E1659" s="267" t="str">
        <f t="shared" si="22"/>
        <v/>
      </c>
      <c r="F1659" s="274"/>
      <c r="G1659" s="42"/>
      <c r="H1659" s="264"/>
      <c r="I1659" s="277"/>
      <c r="J1659" s="276" t="str">
        <f>IF(ISBLANK(I1659), "", VLOOKUP(E1659&amp;" "&amp;F1659, 'Info Tipo de Cambio y REM'!$A$24:$B$35, 2, FALSE))
</f>
        <v/>
      </c>
      <c r="K1659" s="107"/>
      <c r="L1659" s="293"/>
      <c r="M1659" s="293"/>
      <c r="N1659" s="293"/>
      <c r="O1659" s="277"/>
      <c r="P1659" s="264"/>
      <c r="Q1659" s="264"/>
      <c r="R1659" s="264"/>
      <c r="S1659" s="264"/>
      <c r="T1659" s="264"/>
      <c r="U1659" s="264"/>
      <c r="V1659" s="264"/>
      <c r="W1659" s="264"/>
      <c r="X1659" s="264"/>
      <c r="Y1659" s="264"/>
      <c r="Z1659" s="264"/>
      <c r="AA1659" s="264"/>
      <c r="AB1659" s="264"/>
      <c r="AC1659" s="264"/>
      <c r="AD1659" s="264"/>
      <c r="AE1659" s="264"/>
    </row>
    <row r="1660">
      <c r="A1660" s="272"/>
      <c r="B1660" s="272"/>
      <c r="C1660" s="272"/>
      <c r="D1660" s="172"/>
      <c r="E1660" s="267" t="str">
        <f t="shared" si="22"/>
        <v/>
      </c>
      <c r="F1660" s="274"/>
      <c r="G1660" s="42"/>
      <c r="H1660" s="264"/>
      <c r="I1660" s="277"/>
      <c r="J1660" s="276" t="str">
        <f>IF(ISBLANK(I1660), "", VLOOKUP(E1660&amp;" "&amp;F1660, 'Info Tipo de Cambio y REM'!$A$24:$B$35, 2, FALSE))
</f>
        <v/>
      </c>
      <c r="K1660" s="107"/>
      <c r="L1660" s="293"/>
      <c r="M1660" s="293"/>
      <c r="N1660" s="293"/>
      <c r="O1660" s="277"/>
      <c r="P1660" s="264"/>
      <c r="Q1660" s="264"/>
      <c r="R1660" s="264"/>
      <c r="S1660" s="264"/>
      <c r="T1660" s="264"/>
      <c r="U1660" s="264"/>
      <c r="V1660" s="264"/>
      <c r="W1660" s="264"/>
      <c r="X1660" s="264"/>
      <c r="Y1660" s="264"/>
      <c r="Z1660" s="264"/>
      <c r="AA1660" s="264"/>
      <c r="AB1660" s="264"/>
      <c r="AC1660" s="264"/>
      <c r="AD1660" s="264"/>
      <c r="AE1660" s="264"/>
    </row>
    <row r="1661">
      <c r="A1661" s="272"/>
      <c r="B1661" s="272"/>
      <c r="C1661" s="272"/>
      <c r="D1661" s="172"/>
      <c r="E1661" s="267" t="str">
        <f t="shared" si="22"/>
        <v/>
      </c>
      <c r="F1661" s="274"/>
      <c r="G1661" s="42"/>
      <c r="H1661" s="264"/>
      <c r="I1661" s="277"/>
      <c r="J1661" s="276" t="str">
        <f>IF(ISBLANK(I1661), "", VLOOKUP(E1661&amp;" "&amp;F1661, 'Info Tipo de Cambio y REM'!$A$24:$B$35, 2, FALSE))
</f>
        <v/>
      </c>
      <c r="K1661" s="107"/>
      <c r="L1661" s="293"/>
      <c r="M1661" s="293"/>
      <c r="N1661" s="293"/>
      <c r="O1661" s="277"/>
      <c r="P1661" s="264"/>
      <c r="Q1661" s="264"/>
      <c r="R1661" s="264"/>
      <c r="S1661" s="264"/>
      <c r="T1661" s="264"/>
      <c r="U1661" s="264"/>
      <c r="V1661" s="264"/>
      <c r="W1661" s="264"/>
      <c r="X1661" s="264"/>
      <c r="Y1661" s="264"/>
      <c r="Z1661" s="264"/>
      <c r="AA1661" s="264"/>
      <c r="AB1661" s="264"/>
      <c r="AC1661" s="264"/>
      <c r="AD1661" s="264"/>
      <c r="AE1661" s="264"/>
    </row>
    <row r="1662">
      <c r="A1662" s="272"/>
      <c r="B1662" s="272"/>
      <c r="C1662" s="272"/>
      <c r="D1662" s="172"/>
      <c r="E1662" s="267" t="str">
        <f t="shared" si="22"/>
        <v/>
      </c>
      <c r="F1662" s="274"/>
      <c r="G1662" s="42"/>
      <c r="H1662" s="264"/>
      <c r="I1662" s="277"/>
      <c r="J1662" s="276" t="str">
        <f>IF(ISBLANK(I1662), "", VLOOKUP(E1662&amp;" "&amp;F1662, 'Info Tipo de Cambio y REM'!$A$24:$B$35, 2, FALSE))
</f>
        <v/>
      </c>
      <c r="K1662" s="107"/>
      <c r="L1662" s="293"/>
      <c r="M1662" s="293"/>
      <c r="N1662" s="293"/>
      <c r="O1662" s="277"/>
      <c r="P1662" s="264"/>
      <c r="Q1662" s="264"/>
      <c r="R1662" s="264"/>
      <c r="S1662" s="264"/>
      <c r="T1662" s="264"/>
      <c r="U1662" s="264"/>
      <c r="V1662" s="264"/>
      <c r="W1662" s="264"/>
      <c r="X1662" s="264"/>
      <c r="Y1662" s="264"/>
      <c r="Z1662" s="264"/>
      <c r="AA1662" s="264"/>
      <c r="AB1662" s="264"/>
      <c r="AC1662" s="264"/>
      <c r="AD1662" s="264"/>
      <c r="AE1662" s="264"/>
    </row>
    <row r="1663">
      <c r="A1663" s="272"/>
      <c r="B1663" s="272"/>
      <c r="C1663" s="272"/>
      <c r="D1663" s="172"/>
      <c r="E1663" s="267" t="str">
        <f t="shared" si="22"/>
        <v/>
      </c>
      <c r="F1663" s="274"/>
      <c r="G1663" s="42"/>
      <c r="H1663" s="264"/>
      <c r="I1663" s="277"/>
      <c r="J1663" s="276" t="str">
        <f>IF(ISBLANK(I1663), "", VLOOKUP(E1663&amp;" "&amp;F1663, 'Info Tipo de Cambio y REM'!$A$24:$B$35, 2, FALSE))
</f>
        <v/>
      </c>
      <c r="K1663" s="107"/>
      <c r="L1663" s="293"/>
      <c r="M1663" s="293"/>
      <c r="N1663" s="293"/>
      <c r="O1663" s="277"/>
      <c r="P1663" s="264"/>
      <c r="Q1663" s="264"/>
      <c r="R1663" s="264"/>
      <c r="S1663" s="264"/>
      <c r="T1663" s="264"/>
      <c r="U1663" s="264"/>
      <c r="V1663" s="264"/>
      <c r="W1663" s="264"/>
      <c r="X1663" s="264"/>
      <c r="Y1663" s="264"/>
      <c r="Z1663" s="264"/>
      <c r="AA1663" s="264"/>
      <c r="AB1663" s="264"/>
      <c r="AC1663" s="264"/>
      <c r="AD1663" s="264"/>
      <c r="AE1663" s="264"/>
    </row>
    <row r="1664">
      <c r="A1664" s="272"/>
      <c r="B1664" s="272"/>
      <c r="C1664" s="272"/>
      <c r="D1664" s="172"/>
      <c r="E1664" s="267" t="str">
        <f t="shared" si="22"/>
        <v/>
      </c>
      <c r="F1664" s="274"/>
      <c r="G1664" s="42"/>
      <c r="H1664" s="264"/>
      <c r="I1664" s="277"/>
      <c r="J1664" s="276" t="str">
        <f>IF(ISBLANK(I1664), "", VLOOKUP(E1664&amp;" "&amp;F1664, 'Info Tipo de Cambio y REM'!$A$24:$B$35, 2, FALSE))
</f>
        <v/>
      </c>
      <c r="K1664" s="107"/>
      <c r="L1664" s="293"/>
      <c r="M1664" s="293"/>
      <c r="N1664" s="293"/>
      <c r="O1664" s="277"/>
      <c r="P1664" s="264"/>
      <c r="Q1664" s="264"/>
      <c r="R1664" s="264"/>
      <c r="S1664" s="264"/>
      <c r="T1664" s="264"/>
      <c r="U1664" s="264"/>
      <c r="V1664" s="264"/>
      <c r="W1664" s="264"/>
      <c r="X1664" s="264"/>
      <c r="Y1664" s="264"/>
      <c r="Z1664" s="264"/>
      <c r="AA1664" s="264"/>
      <c r="AB1664" s="264"/>
      <c r="AC1664" s="264"/>
      <c r="AD1664" s="264"/>
      <c r="AE1664" s="264"/>
    </row>
    <row r="1665">
      <c r="A1665" s="272"/>
      <c r="B1665" s="272"/>
      <c r="C1665" s="272"/>
      <c r="D1665" s="172"/>
      <c r="E1665" s="267" t="str">
        <f t="shared" si="22"/>
        <v/>
      </c>
      <c r="F1665" s="274"/>
      <c r="G1665" s="42"/>
      <c r="H1665" s="264"/>
      <c r="I1665" s="277"/>
      <c r="J1665" s="276" t="str">
        <f>IF(ISBLANK(I1665), "", VLOOKUP(E1665&amp;" "&amp;F1665, 'Info Tipo de Cambio y REM'!$A$24:$B$35, 2, FALSE))
</f>
        <v/>
      </c>
      <c r="K1665" s="107"/>
      <c r="L1665" s="293"/>
      <c r="M1665" s="293"/>
      <c r="N1665" s="293"/>
      <c r="O1665" s="277"/>
      <c r="P1665" s="264"/>
      <c r="Q1665" s="264"/>
      <c r="R1665" s="264"/>
      <c r="S1665" s="264"/>
      <c r="T1665" s="264"/>
      <c r="U1665" s="264"/>
      <c r="V1665" s="264"/>
      <c r="W1665" s="264"/>
      <c r="X1665" s="264"/>
      <c r="Y1665" s="264"/>
      <c r="Z1665" s="264"/>
      <c r="AA1665" s="264"/>
      <c r="AB1665" s="264"/>
      <c r="AC1665" s="264"/>
      <c r="AD1665" s="264"/>
      <c r="AE1665" s="264"/>
    </row>
    <row r="1666">
      <c r="A1666" s="272"/>
      <c r="B1666" s="272"/>
      <c r="C1666" s="272"/>
      <c r="D1666" s="172"/>
      <c r="E1666" s="267" t="str">
        <f t="shared" si="22"/>
        <v/>
      </c>
      <c r="F1666" s="274"/>
      <c r="G1666" s="42"/>
      <c r="H1666" s="264"/>
      <c r="I1666" s="277"/>
      <c r="J1666" s="276" t="str">
        <f>IF(ISBLANK(I1666), "", VLOOKUP(E1666&amp;" "&amp;F1666, 'Info Tipo de Cambio y REM'!$A$24:$B$35, 2, FALSE))
</f>
        <v/>
      </c>
      <c r="K1666" s="107"/>
      <c r="L1666" s="293"/>
      <c r="M1666" s="293"/>
      <c r="N1666" s="293"/>
      <c r="O1666" s="277"/>
      <c r="P1666" s="264"/>
      <c r="Q1666" s="264"/>
      <c r="R1666" s="264"/>
      <c r="S1666" s="264"/>
      <c r="T1666" s="264"/>
      <c r="U1666" s="264"/>
      <c r="V1666" s="264"/>
      <c r="W1666" s="264"/>
      <c r="X1666" s="264"/>
      <c r="Y1666" s="264"/>
      <c r="Z1666" s="264"/>
      <c r="AA1666" s="264"/>
      <c r="AB1666" s="264"/>
      <c r="AC1666" s="264"/>
      <c r="AD1666" s="264"/>
      <c r="AE1666" s="264"/>
    </row>
    <row r="1667">
      <c r="A1667" s="272"/>
      <c r="B1667" s="272"/>
      <c r="C1667" s="272"/>
      <c r="D1667" s="172"/>
      <c r="E1667" s="267" t="str">
        <f t="shared" si="22"/>
        <v/>
      </c>
      <c r="F1667" s="274"/>
      <c r="G1667" s="42"/>
      <c r="H1667" s="264"/>
      <c r="I1667" s="277"/>
      <c r="J1667" s="276" t="str">
        <f>IF(ISBLANK(I1667), "", VLOOKUP(E1667&amp;" "&amp;F1667, 'Info Tipo de Cambio y REM'!$A$24:$B$35, 2, FALSE))
</f>
        <v/>
      </c>
      <c r="K1667" s="107"/>
      <c r="L1667" s="293"/>
      <c r="M1667" s="293"/>
      <c r="N1667" s="293"/>
      <c r="O1667" s="277"/>
      <c r="P1667" s="264"/>
      <c r="Q1667" s="264"/>
      <c r="R1667" s="264"/>
      <c r="S1667" s="264"/>
      <c r="T1667" s="264"/>
      <c r="U1667" s="264"/>
      <c r="V1667" s="264"/>
      <c r="W1667" s="264"/>
      <c r="X1667" s="264"/>
      <c r="Y1667" s="264"/>
      <c r="Z1667" s="264"/>
      <c r="AA1667" s="264"/>
      <c r="AB1667" s="264"/>
      <c r="AC1667" s="264"/>
      <c r="AD1667" s="264"/>
      <c r="AE1667" s="264"/>
    </row>
    <row r="1668">
      <c r="A1668" s="272"/>
      <c r="B1668" s="272"/>
      <c r="C1668" s="272"/>
      <c r="D1668" s="172"/>
      <c r="E1668" s="267" t="str">
        <f t="shared" si="22"/>
        <v/>
      </c>
      <c r="F1668" s="274"/>
      <c r="G1668" s="42"/>
      <c r="H1668" s="264"/>
      <c r="I1668" s="277"/>
      <c r="J1668" s="276" t="str">
        <f>IF(ISBLANK(I1668), "", VLOOKUP(E1668&amp;" "&amp;F1668, 'Info Tipo de Cambio y REM'!$A$24:$B$35, 2, FALSE))
</f>
        <v/>
      </c>
      <c r="K1668" s="107"/>
      <c r="L1668" s="293"/>
      <c r="M1668" s="293"/>
      <c r="N1668" s="293"/>
      <c r="O1668" s="277"/>
      <c r="P1668" s="264"/>
      <c r="Q1668" s="264"/>
      <c r="R1668" s="264"/>
      <c r="S1668" s="264"/>
      <c r="T1668" s="264"/>
      <c r="U1668" s="264"/>
      <c r="V1668" s="264"/>
      <c r="W1668" s="264"/>
      <c r="X1668" s="264"/>
      <c r="Y1668" s="264"/>
      <c r="Z1668" s="264"/>
      <c r="AA1668" s="264"/>
      <c r="AB1668" s="264"/>
      <c r="AC1668" s="264"/>
      <c r="AD1668" s="264"/>
      <c r="AE1668" s="264"/>
    </row>
    <row r="1669">
      <c r="A1669" s="272"/>
      <c r="B1669" s="272"/>
      <c r="C1669" s="272"/>
      <c r="D1669" s="172"/>
      <c r="E1669" s="267" t="str">
        <f t="shared" si="22"/>
        <v/>
      </c>
      <c r="F1669" s="274"/>
      <c r="G1669" s="42"/>
      <c r="H1669" s="264"/>
      <c r="I1669" s="277"/>
      <c r="J1669" s="276" t="str">
        <f>IF(ISBLANK(I1669), "", VLOOKUP(E1669&amp;" "&amp;F1669, 'Info Tipo de Cambio y REM'!$A$24:$B$35, 2, FALSE))
</f>
        <v/>
      </c>
      <c r="K1669" s="107"/>
      <c r="L1669" s="293"/>
      <c r="M1669" s="293"/>
      <c r="N1669" s="293"/>
      <c r="O1669" s="277"/>
      <c r="P1669" s="264"/>
      <c r="Q1669" s="264"/>
      <c r="R1669" s="264"/>
      <c r="S1669" s="264"/>
      <c r="T1669" s="264"/>
      <c r="U1669" s="264"/>
      <c r="V1669" s="264"/>
      <c r="W1669" s="264"/>
      <c r="X1669" s="264"/>
      <c r="Y1669" s="264"/>
      <c r="Z1669" s="264"/>
      <c r="AA1669" s="264"/>
      <c r="AB1669" s="264"/>
      <c r="AC1669" s="264"/>
      <c r="AD1669" s="264"/>
      <c r="AE1669" s="264"/>
    </row>
    <row r="1670">
      <c r="A1670" s="272"/>
      <c r="B1670" s="272"/>
      <c r="C1670" s="272"/>
      <c r="D1670" s="172"/>
      <c r="E1670" s="267" t="str">
        <f t="shared" si="22"/>
        <v/>
      </c>
      <c r="F1670" s="274"/>
      <c r="G1670" s="42"/>
      <c r="H1670" s="264"/>
      <c r="I1670" s="277"/>
      <c r="J1670" s="276" t="str">
        <f>IF(ISBLANK(I1670), "", VLOOKUP(E1670&amp;" "&amp;F1670, 'Info Tipo de Cambio y REM'!$A$24:$B$35, 2, FALSE))
</f>
        <v/>
      </c>
      <c r="K1670" s="107"/>
      <c r="L1670" s="293"/>
      <c r="M1670" s="293"/>
      <c r="N1670" s="293"/>
      <c r="O1670" s="277"/>
      <c r="P1670" s="264"/>
      <c r="Q1670" s="264"/>
      <c r="R1670" s="264"/>
      <c r="S1670" s="264"/>
      <c r="T1670" s="264"/>
      <c r="U1670" s="264"/>
      <c r="V1670" s="264"/>
      <c r="W1670" s="264"/>
      <c r="X1670" s="264"/>
      <c r="Y1670" s="264"/>
      <c r="Z1670" s="264"/>
      <c r="AA1670" s="264"/>
      <c r="AB1670" s="264"/>
      <c r="AC1670" s="264"/>
      <c r="AD1670" s="264"/>
      <c r="AE1670" s="264"/>
    </row>
    <row r="1671">
      <c r="A1671" s="272"/>
      <c r="B1671" s="272"/>
      <c r="C1671" s="272"/>
      <c r="D1671" s="172"/>
      <c r="E1671" s="267" t="str">
        <f t="shared" si="22"/>
        <v/>
      </c>
      <c r="F1671" s="274"/>
      <c r="G1671" s="42"/>
      <c r="H1671" s="264"/>
      <c r="I1671" s="277"/>
      <c r="J1671" s="276" t="str">
        <f>IF(ISBLANK(I1671), "", VLOOKUP(E1671&amp;" "&amp;F1671, 'Info Tipo de Cambio y REM'!$A$24:$B$35, 2, FALSE))
</f>
        <v/>
      </c>
      <c r="K1671" s="107"/>
      <c r="L1671" s="293"/>
      <c r="M1671" s="293"/>
      <c r="N1671" s="293"/>
      <c r="O1671" s="277"/>
      <c r="P1671" s="264"/>
      <c r="Q1671" s="264"/>
      <c r="R1671" s="264"/>
      <c r="S1671" s="264"/>
      <c r="T1671" s="264"/>
      <c r="U1671" s="264"/>
      <c r="V1671" s="264"/>
      <c r="W1671" s="264"/>
      <c r="X1671" s="264"/>
      <c r="Y1671" s="264"/>
      <c r="Z1671" s="264"/>
      <c r="AA1671" s="264"/>
      <c r="AB1671" s="264"/>
      <c r="AC1671" s="264"/>
      <c r="AD1671" s="264"/>
      <c r="AE1671" s="264"/>
    </row>
    <row r="1672">
      <c r="A1672" s="272"/>
      <c r="B1672" s="272"/>
      <c r="C1672" s="272"/>
      <c r="D1672" s="172"/>
      <c r="E1672" s="267" t="str">
        <f t="shared" si="22"/>
        <v/>
      </c>
      <c r="F1672" s="274"/>
      <c r="G1672" s="42"/>
      <c r="H1672" s="264"/>
      <c r="I1672" s="277"/>
      <c r="J1672" s="276" t="str">
        <f>IF(ISBLANK(I1672), "", VLOOKUP(E1672&amp;" "&amp;F1672, 'Info Tipo de Cambio y REM'!$A$24:$B$35, 2, FALSE))
</f>
        <v/>
      </c>
      <c r="K1672" s="107"/>
      <c r="L1672" s="293"/>
      <c r="M1672" s="293"/>
      <c r="N1672" s="293"/>
      <c r="O1672" s="277"/>
      <c r="P1672" s="264"/>
      <c r="Q1672" s="264"/>
      <c r="R1672" s="264"/>
      <c r="S1672" s="264"/>
      <c r="T1672" s="264"/>
      <c r="U1672" s="264"/>
      <c r="V1672" s="264"/>
      <c r="W1672" s="264"/>
      <c r="X1672" s="264"/>
      <c r="Y1672" s="264"/>
      <c r="Z1672" s="264"/>
      <c r="AA1672" s="264"/>
      <c r="AB1672" s="264"/>
      <c r="AC1672" s="264"/>
      <c r="AD1672" s="264"/>
      <c r="AE1672" s="264"/>
    </row>
    <row r="1673">
      <c r="A1673" s="272"/>
      <c r="B1673" s="272"/>
      <c r="C1673" s="272"/>
      <c r="D1673" s="172"/>
      <c r="E1673" s="267" t="str">
        <f t="shared" si="22"/>
        <v/>
      </c>
      <c r="F1673" s="274"/>
      <c r="G1673" s="42"/>
      <c r="H1673" s="264"/>
      <c r="I1673" s="277"/>
      <c r="J1673" s="276" t="str">
        <f>IF(ISBLANK(I1673), "", VLOOKUP(E1673&amp;" "&amp;F1673, 'Info Tipo de Cambio y REM'!$A$24:$B$35, 2, FALSE))
</f>
        <v/>
      </c>
      <c r="K1673" s="107"/>
      <c r="L1673" s="293"/>
      <c r="M1673" s="293"/>
      <c r="N1673" s="293"/>
      <c r="O1673" s="277"/>
      <c r="P1673" s="264"/>
      <c r="Q1673" s="264"/>
      <c r="R1673" s="264"/>
      <c r="S1673" s="264"/>
      <c r="T1673" s="264"/>
      <c r="U1673" s="264"/>
      <c r="V1673" s="264"/>
      <c r="W1673" s="264"/>
      <c r="X1673" s="264"/>
      <c r="Y1673" s="264"/>
      <c r="Z1673" s="264"/>
      <c r="AA1673" s="264"/>
      <c r="AB1673" s="264"/>
      <c r="AC1673" s="264"/>
      <c r="AD1673" s="264"/>
      <c r="AE1673" s="264"/>
    </row>
    <row r="1674">
      <c r="A1674" s="272"/>
      <c r="B1674" s="272"/>
      <c r="C1674" s="272"/>
      <c r="D1674" s="172"/>
      <c r="E1674" s="267" t="str">
        <f t="shared" si="22"/>
        <v/>
      </c>
      <c r="F1674" s="274"/>
      <c r="G1674" s="42"/>
      <c r="H1674" s="264"/>
      <c r="I1674" s="277"/>
      <c r="J1674" s="276" t="str">
        <f>IF(ISBLANK(I1674), "", VLOOKUP(E1674&amp;" "&amp;F1674, 'Info Tipo de Cambio y REM'!$A$24:$B$35, 2, FALSE))
</f>
        <v/>
      </c>
      <c r="K1674" s="107"/>
      <c r="L1674" s="293"/>
      <c r="M1674" s="293"/>
      <c r="N1674" s="293"/>
      <c r="O1674" s="277"/>
      <c r="P1674" s="264"/>
      <c r="Q1674" s="264"/>
      <c r="R1674" s="264"/>
      <c r="S1674" s="264"/>
      <c r="T1674" s="264"/>
      <c r="U1674" s="264"/>
      <c r="V1674" s="264"/>
      <c r="W1674" s="264"/>
      <c r="X1674" s="264"/>
      <c r="Y1674" s="264"/>
      <c r="Z1674" s="264"/>
      <c r="AA1674" s="264"/>
      <c r="AB1674" s="264"/>
      <c r="AC1674" s="264"/>
      <c r="AD1674" s="264"/>
      <c r="AE1674" s="264"/>
    </row>
    <row r="1675">
      <c r="A1675" s="272"/>
      <c r="B1675" s="272"/>
      <c r="C1675" s="272"/>
      <c r="D1675" s="172"/>
      <c r="E1675" s="267" t="str">
        <f t="shared" si="22"/>
        <v/>
      </c>
      <c r="F1675" s="274"/>
      <c r="G1675" s="42"/>
      <c r="H1675" s="264"/>
      <c r="I1675" s="277"/>
      <c r="J1675" s="276" t="str">
        <f>IF(ISBLANK(I1675), "", VLOOKUP(E1675&amp;" "&amp;F1675, 'Info Tipo de Cambio y REM'!$A$24:$B$35, 2, FALSE))
</f>
        <v/>
      </c>
      <c r="K1675" s="107"/>
      <c r="L1675" s="293"/>
      <c r="M1675" s="293"/>
      <c r="N1675" s="293"/>
      <c r="O1675" s="277"/>
      <c r="P1675" s="264"/>
      <c r="Q1675" s="264"/>
      <c r="R1675" s="264"/>
      <c r="S1675" s="264"/>
      <c r="T1675" s="264"/>
      <c r="U1675" s="264"/>
      <c r="V1675" s="264"/>
      <c r="W1675" s="264"/>
      <c r="X1675" s="264"/>
      <c r="Y1675" s="264"/>
      <c r="Z1675" s="264"/>
      <c r="AA1675" s="264"/>
      <c r="AB1675" s="264"/>
      <c r="AC1675" s="264"/>
      <c r="AD1675" s="264"/>
      <c r="AE1675" s="264"/>
    </row>
    <row r="1676">
      <c r="A1676" s="272"/>
      <c r="B1676" s="272"/>
      <c r="C1676" s="272"/>
      <c r="D1676" s="172"/>
      <c r="E1676" s="267" t="str">
        <f t="shared" si="22"/>
        <v/>
      </c>
      <c r="F1676" s="274"/>
      <c r="G1676" s="42"/>
      <c r="H1676" s="264"/>
      <c r="I1676" s="277"/>
      <c r="J1676" s="276" t="str">
        <f>IF(ISBLANK(I1676), "", VLOOKUP(E1676&amp;" "&amp;F1676, 'Info Tipo de Cambio y REM'!$A$24:$B$35, 2, FALSE))
</f>
        <v/>
      </c>
      <c r="K1676" s="107"/>
      <c r="L1676" s="293"/>
      <c r="M1676" s="293"/>
      <c r="N1676" s="293"/>
      <c r="O1676" s="277"/>
      <c r="P1676" s="264"/>
      <c r="Q1676" s="264"/>
      <c r="R1676" s="264"/>
      <c r="S1676" s="264"/>
      <c r="T1676" s="264"/>
      <c r="U1676" s="264"/>
      <c r="V1676" s="264"/>
      <c r="W1676" s="264"/>
      <c r="X1676" s="264"/>
      <c r="Y1676" s="264"/>
      <c r="Z1676" s="264"/>
      <c r="AA1676" s="264"/>
      <c r="AB1676" s="264"/>
      <c r="AC1676" s="264"/>
      <c r="AD1676" s="264"/>
      <c r="AE1676" s="264"/>
    </row>
    <row r="1677">
      <c r="A1677" s="272"/>
      <c r="B1677" s="272"/>
      <c r="C1677" s="272"/>
      <c r="D1677" s="172"/>
      <c r="E1677" s="267" t="str">
        <f t="shared" si="22"/>
        <v/>
      </c>
      <c r="F1677" s="274"/>
      <c r="G1677" s="42"/>
      <c r="H1677" s="264"/>
      <c r="I1677" s="277"/>
      <c r="J1677" s="276" t="str">
        <f>IF(ISBLANK(I1677), "", VLOOKUP(E1677&amp;" "&amp;F1677, 'Info Tipo de Cambio y REM'!$A$24:$B$35, 2, FALSE))
</f>
        <v/>
      </c>
      <c r="K1677" s="107"/>
      <c r="L1677" s="293"/>
      <c r="M1677" s="293"/>
      <c r="N1677" s="293"/>
      <c r="O1677" s="277"/>
      <c r="P1677" s="264"/>
      <c r="Q1677" s="264"/>
      <c r="R1677" s="264"/>
      <c r="S1677" s="264"/>
      <c r="T1677" s="264"/>
      <c r="U1677" s="264"/>
      <c r="V1677" s="264"/>
      <c r="W1677" s="264"/>
      <c r="X1677" s="264"/>
      <c r="Y1677" s="264"/>
      <c r="Z1677" s="264"/>
      <c r="AA1677" s="264"/>
      <c r="AB1677" s="264"/>
      <c r="AC1677" s="264"/>
      <c r="AD1677" s="264"/>
      <c r="AE1677" s="264"/>
    </row>
    <row r="1678">
      <c r="A1678" s="272"/>
      <c r="B1678" s="272"/>
      <c r="C1678" s="272"/>
      <c r="D1678" s="172"/>
      <c r="E1678" s="267" t="str">
        <f t="shared" si="22"/>
        <v/>
      </c>
      <c r="F1678" s="274"/>
      <c r="G1678" s="42"/>
      <c r="H1678" s="264"/>
      <c r="I1678" s="277"/>
      <c r="J1678" s="276" t="str">
        <f>IF(ISBLANK(I1678), "", VLOOKUP(E1678&amp;" "&amp;F1678, 'Info Tipo de Cambio y REM'!$A$24:$B$35, 2, FALSE))
</f>
        <v/>
      </c>
      <c r="K1678" s="107"/>
      <c r="L1678" s="293"/>
      <c r="M1678" s="293"/>
      <c r="N1678" s="293"/>
      <c r="O1678" s="277"/>
      <c r="P1678" s="264"/>
      <c r="Q1678" s="264"/>
      <c r="R1678" s="264"/>
      <c r="S1678" s="264"/>
      <c r="T1678" s="264"/>
      <c r="U1678" s="264"/>
      <c r="V1678" s="264"/>
      <c r="W1678" s="264"/>
      <c r="X1678" s="264"/>
      <c r="Y1678" s="264"/>
      <c r="Z1678" s="264"/>
      <c r="AA1678" s="264"/>
      <c r="AB1678" s="264"/>
      <c r="AC1678" s="264"/>
      <c r="AD1678" s="264"/>
      <c r="AE1678" s="264"/>
    </row>
    <row r="1679">
      <c r="A1679" s="272"/>
      <c r="B1679" s="272"/>
      <c r="C1679" s="272"/>
      <c r="D1679" s="172"/>
      <c r="E1679" s="267" t="str">
        <f t="shared" si="22"/>
        <v/>
      </c>
      <c r="F1679" s="274"/>
      <c r="G1679" s="42"/>
      <c r="H1679" s="264"/>
      <c r="I1679" s="277"/>
      <c r="J1679" s="276" t="str">
        <f>IF(ISBLANK(I1679), "", VLOOKUP(E1679&amp;" "&amp;F1679, 'Info Tipo de Cambio y REM'!$A$24:$B$35, 2, FALSE))
</f>
        <v/>
      </c>
      <c r="K1679" s="107"/>
      <c r="L1679" s="293"/>
      <c r="M1679" s="293"/>
      <c r="N1679" s="293"/>
      <c r="O1679" s="277"/>
      <c r="P1679" s="264"/>
      <c r="Q1679" s="264"/>
      <c r="R1679" s="264"/>
      <c r="S1679" s="264"/>
      <c r="T1679" s="264"/>
      <c r="U1679" s="264"/>
      <c r="V1679" s="264"/>
      <c r="W1679" s="264"/>
      <c r="X1679" s="264"/>
      <c r="Y1679" s="264"/>
      <c r="Z1679" s="264"/>
      <c r="AA1679" s="264"/>
      <c r="AB1679" s="264"/>
      <c r="AC1679" s="264"/>
      <c r="AD1679" s="264"/>
      <c r="AE1679" s="264"/>
    </row>
    <row r="1680">
      <c r="A1680" s="272"/>
      <c r="B1680" s="272"/>
      <c r="C1680" s="272"/>
      <c r="D1680" s="172"/>
      <c r="E1680" s="267" t="str">
        <f t="shared" si="22"/>
        <v/>
      </c>
      <c r="F1680" s="274"/>
      <c r="G1680" s="42"/>
      <c r="H1680" s="264"/>
      <c r="I1680" s="277"/>
      <c r="J1680" s="276" t="str">
        <f>IF(ISBLANK(I1680), "", VLOOKUP(E1680&amp;" "&amp;F1680, 'Info Tipo de Cambio y REM'!$A$24:$B$35, 2, FALSE))
</f>
        <v/>
      </c>
      <c r="K1680" s="107"/>
      <c r="L1680" s="293"/>
      <c r="M1680" s="293"/>
      <c r="N1680" s="293"/>
      <c r="O1680" s="277"/>
      <c r="P1680" s="264"/>
      <c r="Q1680" s="264"/>
      <c r="R1680" s="264"/>
      <c r="S1680" s="264"/>
      <c r="T1680" s="264"/>
      <c r="U1680" s="264"/>
      <c r="V1680" s="264"/>
      <c r="W1680" s="264"/>
      <c r="X1680" s="264"/>
      <c r="Y1680" s="264"/>
      <c r="Z1680" s="264"/>
      <c r="AA1680" s="264"/>
      <c r="AB1680" s="264"/>
      <c r="AC1680" s="264"/>
      <c r="AD1680" s="264"/>
      <c r="AE1680" s="264"/>
    </row>
    <row r="1681">
      <c r="A1681" s="272"/>
      <c r="B1681" s="272"/>
      <c r="C1681" s="272"/>
      <c r="D1681" s="172"/>
      <c r="E1681" s="267" t="str">
        <f t="shared" si="22"/>
        <v/>
      </c>
      <c r="F1681" s="274"/>
      <c r="G1681" s="42"/>
      <c r="H1681" s="264"/>
      <c r="I1681" s="277"/>
      <c r="J1681" s="276" t="str">
        <f>IF(ISBLANK(I1681), "", VLOOKUP(E1681&amp;" "&amp;F1681, 'Info Tipo de Cambio y REM'!$A$24:$B$35, 2, FALSE))
</f>
        <v/>
      </c>
      <c r="K1681" s="107"/>
      <c r="L1681" s="293"/>
      <c r="M1681" s="293"/>
      <c r="N1681" s="293"/>
      <c r="O1681" s="277"/>
      <c r="P1681" s="264"/>
      <c r="Q1681" s="264"/>
      <c r="R1681" s="264"/>
      <c r="S1681" s="264"/>
      <c r="T1681" s="264"/>
      <c r="U1681" s="264"/>
      <c r="V1681" s="264"/>
      <c r="W1681" s="264"/>
      <c r="X1681" s="264"/>
      <c r="Y1681" s="264"/>
      <c r="Z1681" s="264"/>
      <c r="AA1681" s="264"/>
      <c r="AB1681" s="264"/>
      <c r="AC1681" s="264"/>
      <c r="AD1681" s="264"/>
      <c r="AE1681" s="264"/>
    </row>
    <row r="1682">
      <c r="A1682" s="272"/>
      <c r="B1682" s="272"/>
      <c r="C1682" s="272"/>
      <c r="D1682" s="172"/>
      <c r="E1682" s="267" t="str">
        <f t="shared" si="22"/>
        <v/>
      </c>
      <c r="F1682" s="274"/>
      <c r="G1682" s="42"/>
      <c r="H1682" s="264"/>
      <c r="I1682" s="277"/>
      <c r="J1682" s="276" t="str">
        <f>IF(ISBLANK(I1682), "", VLOOKUP(E1682&amp;" "&amp;F1682, 'Info Tipo de Cambio y REM'!$A$24:$B$35, 2, FALSE))
</f>
        <v/>
      </c>
      <c r="K1682" s="107"/>
      <c r="L1682" s="293"/>
      <c r="M1682" s="293"/>
      <c r="N1682" s="293"/>
      <c r="O1682" s="277"/>
      <c r="P1682" s="264"/>
      <c r="Q1682" s="264"/>
      <c r="R1682" s="264"/>
      <c r="S1682" s="264"/>
      <c r="T1682" s="264"/>
      <c r="U1682" s="264"/>
      <c r="V1682" s="264"/>
      <c r="W1682" s="264"/>
      <c r="X1682" s="264"/>
      <c r="Y1682" s="264"/>
      <c r="Z1682" s="264"/>
      <c r="AA1682" s="264"/>
      <c r="AB1682" s="264"/>
      <c r="AC1682" s="264"/>
      <c r="AD1682" s="264"/>
      <c r="AE1682" s="264"/>
    </row>
    <row r="1683">
      <c r="A1683" s="272"/>
      <c r="B1683" s="272"/>
      <c r="C1683" s="272"/>
      <c r="D1683" s="172"/>
      <c r="E1683" s="267" t="str">
        <f t="shared" si="22"/>
        <v/>
      </c>
      <c r="F1683" s="274"/>
      <c r="G1683" s="42"/>
      <c r="H1683" s="264"/>
      <c r="I1683" s="277"/>
      <c r="J1683" s="276" t="str">
        <f>IF(ISBLANK(I1683), "", VLOOKUP(E1683&amp;" "&amp;F1683, 'Info Tipo de Cambio y REM'!$A$24:$B$35, 2, FALSE))
</f>
        <v/>
      </c>
      <c r="K1683" s="107"/>
      <c r="L1683" s="293"/>
      <c r="M1683" s="293"/>
      <c r="N1683" s="293"/>
      <c r="O1683" s="277"/>
      <c r="P1683" s="264"/>
      <c r="Q1683" s="264"/>
      <c r="R1683" s="264"/>
      <c r="S1683" s="264"/>
      <c r="T1683" s="264"/>
      <c r="U1683" s="264"/>
      <c r="V1683" s="264"/>
      <c r="W1683" s="264"/>
      <c r="X1683" s="264"/>
      <c r="Y1683" s="264"/>
      <c r="Z1683" s="264"/>
      <c r="AA1683" s="264"/>
      <c r="AB1683" s="264"/>
      <c r="AC1683" s="264"/>
      <c r="AD1683" s="264"/>
      <c r="AE1683" s="264"/>
    </row>
    <row r="1684">
      <c r="A1684" s="272"/>
      <c r="B1684" s="272"/>
      <c r="C1684" s="272"/>
      <c r="D1684" s="172"/>
      <c r="E1684" s="267" t="str">
        <f t="shared" si="22"/>
        <v/>
      </c>
      <c r="F1684" s="274"/>
      <c r="G1684" s="42"/>
      <c r="H1684" s="264"/>
      <c r="I1684" s="277"/>
      <c r="J1684" s="276" t="str">
        <f>IF(ISBLANK(I1684), "", VLOOKUP(E1684&amp;" "&amp;F1684, 'Info Tipo de Cambio y REM'!$A$24:$B$35, 2, FALSE))
</f>
        <v/>
      </c>
      <c r="K1684" s="107"/>
      <c r="L1684" s="293"/>
      <c r="M1684" s="293"/>
      <c r="N1684" s="293"/>
      <c r="O1684" s="277"/>
      <c r="P1684" s="264"/>
      <c r="Q1684" s="264"/>
      <c r="R1684" s="264"/>
      <c r="S1684" s="264"/>
      <c r="T1684" s="264"/>
      <c r="U1684" s="264"/>
      <c r="V1684" s="264"/>
      <c r="W1684" s="264"/>
      <c r="X1684" s="264"/>
      <c r="Y1684" s="264"/>
      <c r="Z1684" s="264"/>
      <c r="AA1684" s="264"/>
      <c r="AB1684" s="264"/>
      <c r="AC1684" s="264"/>
      <c r="AD1684" s="264"/>
      <c r="AE1684" s="264"/>
    </row>
    <row r="1685">
      <c r="A1685" s="272"/>
      <c r="B1685" s="272"/>
      <c r="C1685" s="272"/>
      <c r="D1685" s="172"/>
      <c r="E1685" s="267" t="str">
        <f t="shared" si="22"/>
        <v/>
      </c>
      <c r="F1685" s="274"/>
      <c r="G1685" s="42"/>
      <c r="H1685" s="264"/>
      <c r="I1685" s="277"/>
      <c r="J1685" s="276" t="str">
        <f>IF(ISBLANK(I1685), "", VLOOKUP(E1685&amp;" "&amp;F1685, 'Info Tipo de Cambio y REM'!$A$24:$B$35, 2, FALSE))
</f>
        <v/>
      </c>
      <c r="K1685" s="107"/>
      <c r="L1685" s="293"/>
      <c r="M1685" s="293"/>
      <c r="N1685" s="293"/>
      <c r="O1685" s="277"/>
      <c r="P1685" s="264"/>
      <c r="Q1685" s="264"/>
      <c r="R1685" s="264"/>
      <c r="S1685" s="264"/>
      <c r="T1685" s="264"/>
      <c r="U1685" s="264"/>
      <c r="V1685" s="264"/>
      <c r="W1685" s="264"/>
      <c r="X1685" s="264"/>
      <c r="Y1685" s="264"/>
      <c r="Z1685" s="264"/>
      <c r="AA1685" s="264"/>
      <c r="AB1685" s="264"/>
      <c r="AC1685" s="264"/>
      <c r="AD1685" s="264"/>
      <c r="AE1685" s="264"/>
    </row>
    <row r="1686">
      <c r="A1686" s="272"/>
      <c r="B1686" s="272"/>
      <c r="C1686" s="272"/>
      <c r="D1686" s="172"/>
      <c r="E1686" s="267" t="str">
        <f t="shared" si="22"/>
        <v/>
      </c>
      <c r="F1686" s="274"/>
      <c r="G1686" s="42"/>
      <c r="H1686" s="264"/>
      <c r="I1686" s="277"/>
      <c r="J1686" s="276" t="str">
        <f>IF(ISBLANK(I1686), "", VLOOKUP(E1686&amp;" "&amp;F1686, 'Info Tipo de Cambio y REM'!$A$24:$B$35, 2, FALSE))
</f>
        <v/>
      </c>
      <c r="K1686" s="107"/>
      <c r="L1686" s="293"/>
      <c r="M1686" s="293"/>
      <c r="N1686" s="293"/>
      <c r="O1686" s="277"/>
      <c r="P1686" s="264"/>
      <c r="Q1686" s="264"/>
      <c r="R1686" s="264"/>
      <c r="S1686" s="264"/>
      <c r="T1686" s="264"/>
      <c r="U1686" s="264"/>
      <c r="V1686" s="264"/>
      <c r="W1686" s="264"/>
      <c r="X1686" s="264"/>
      <c r="Y1686" s="264"/>
      <c r="Z1686" s="264"/>
      <c r="AA1686" s="264"/>
      <c r="AB1686" s="264"/>
      <c r="AC1686" s="264"/>
      <c r="AD1686" s="264"/>
      <c r="AE1686" s="264"/>
    </row>
    <row r="1687">
      <c r="A1687" s="272"/>
      <c r="B1687" s="272"/>
      <c r="C1687" s="272"/>
      <c r="D1687" s="172"/>
      <c r="E1687" s="267" t="str">
        <f t="shared" si="22"/>
        <v/>
      </c>
      <c r="F1687" s="274"/>
      <c r="G1687" s="42"/>
      <c r="H1687" s="264"/>
      <c r="I1687" s="277"/>
      <c r="J1687" s="276" t="str">
        <f>IF(ISBLANK(I1687), "", VLOOKUP(E1687&amp;" "&amp;F1687, 'Info Tipo de Cambio y REM'!$A$24:$B$35, 2, FALSE))
</f>
        <v/>
      </c>
      <c r="K1687" s="107"/>
      <c r="L1687" s="293"/>
      <c r="M1687" s="293"/>
      <c r="N1687" s="293"/>
      <c r="O1687" s="277"/>
      <c r="P1687" s="264"/>
      <c r="Q1687" s="264"/>
      <c r="R1687" s="264"/>
      <c r="S1687" s="264"/>
      <c r="T1687" s="264"/>
      <c r="U1687" s="264"/>
      <c r="V1687" s="264"/>
      <c r="W1687" s="264"/>
      <c r="X1687" s="264"/>
      <c r="Y1687" s="264"/>
      <c r="Z1687" s="264"/>
      <c r="AA1687" s="264"/>
      <c r="AB1687" s="264"/>
      <c r="AC1687" s="264"/>
      <c r="AD1687" s="264"/>
      <c r="AE1687" s="264"/>
    </row>
    <row r="1688">
      <c r="A1688" s="272"/>
      <c r="B1688" s="272"/>
      <c r="C1688" s="272"/>
      <c r="D1688" s="172"/>
      <c r="E1688" s="267" t="str">
        <f t="shared" si="22"/>
        <v/>
      </c>
      <c r="F1688" s="274"/>
      <c r="G1688" s="42"/>
      <c r="H1688" s="264"/>
      <c r="I1688" s="277"/>
      <c r="J1688" s="276" t="str">
        <f>IF(ISBLANK(I1688), "", VLOOKUP(E1688&amp;" "&amp;F1688, 'Info Tipo de Cambio y REM'!$A$24:$B$35, 2, FALSE))
</f>
        <v/>
      </c>
      <c r="K1688" s="107"/>
      <c r="L1688" s="293"/>
      <c r="M1688" s="293"/>
      <c r="N1688" s="293"/>
      <c r="O1688" s="277"/>
      <c r="P1688" s="264"/>
      <c r="Q1688" s="264"/>
      <c r="R1688" s="264"/>
      <c r="S1688" s="264"/>
      <c r="T1688" s="264"/>
      <c r="U1688" s="264"/>
      <c r="V1688" s="264"/>
      <c r="W1688" s="264"/>
      <c r="X1688" s="264"/>
      <c r="Y1688" s="264"/>
      <c r="Z1688" s="264"/>
      <c r="AA1688" s="264"/>
      <c r="AB1688" s="264"/>
      <c r="AC1688" s="264"/>
      <c r="AD1688" s="264"/>
      <c r="AE1688" s="264"/>
    </row>
    <row r="1689">
      <c r="A1689" s="272"/>
      <c r="B1689" s="272"/>
      <c r="C1689" s="272"/>
      <c r="D1689" s="172"/>
      <c r="E1689" s="267" t="str">
        <f t="shared" si="22"/>
        <v/>
      </c>
      <c r="F1689" s="274"/>
      <c r="G1689" s="42"/>
      <c r="H1689" s="264"/>
      <c r="I1689" s="277"/>
      <c r="J1689" s="276" t="str">
        <f>IF(ISBLANK(I1689), "", VLOOKUP(E1689&amp;" "&amp;F1689, 'Info Tipo de Cambio y REM'!$A$24:$B$35, 2, FALSE))
</f>
        <v/>
      </c>
      <c r="K1689" s="107"/>
      <c r="L1689" s="293"/>
      <c r="M1689" s="293"/>
      <c r="N1689" s="293"/>
      <c r="O1689" s="277"/>
      <c r="P1689" s="264"/>
      <c r="Q1689" s="264"/>
      <c r="R1689" s="264"/>
      <c r="S1689" s="264"/>
      <c r="T1689" s="264"/>
      <c r="U1689" s="264"/>
      <c r="V1689" s="264"/>
      <c r="W1689" s="264"/>
      <c r="X1689" s="264"/>
      <c r="Y1689" s="264"/>
      <c r="Z1689" s="264"/>
      <c r="AA1689" s="264"/>
      <c r="AB1689" s="264"/>
      <c r="AC1689" s="264"/>
      <c r="AD1689" s="264"/>
      <c r="AE1689" s="264"/>
    </row>
    <row r="1690">
      <c r="A1690" s="272"/>
      <c r="B1690" s="272"/>
      <c r="C1690" s="272"/>
      <c r="D1690" s="172"/>
      <c r="E1690" s="267" t="str">
        <f t="shared" si="22"/>
        <v/>
      </c>
      <c r="F1690" s="274"/>
      <c r="G1690" s="42"/>
      <c r="H1690" s="264"/>
      <c r="I1690" s="277"/>
      <c r="J1690" s="276" t="str">
        <f>IF(ISBLANK(I1690), "", VLOOKUP(E1690&amp;" "&amp;F1690, 'Info Tipo de Cambio y REM'!$A$24:$B$35, 2, FALSE))
</f>
        <v/>
      </c>
      <c r="K1690" s="107"/>
      <c r="L1690" s="293"/>
      <c r="M1690" s="293"/>
      <c r="N1690" s="293"/>
      <c r="O1690" s="277"/>
      <c r="P1690" s="264"/>
      <c r="Q1690" s="264"/>
      <c r="R1690" s="264"/>
      <c r="S1690" s="264"/>
      <c r="T1690" s="264"/>
      <c r="U1690" s="264"/>
      <c r="V1690" s="264"/>
      <c r="W1690" s="264"/>
      <c r="X1690" s="264"/>
      <c r="Y1690" s="264"/>
      <c r="Z1690" s="264"/>
      <c r="AA1690" s="264"/>
      <c r="AB1690" s="264"/>
      <c r="AC1690" s="264"/>
      <c r="AD1690" s="264"/>
      <c r="AE1690" s="264"/>
    </row>
    <row r="1691">
      <c r="A1691" s="272"/>
      <c r="B1691" s="272"/>
      <c r="C1691" s="272"/>
      <c r="D1691" s="172"/>
      <c r="E1691" s="267" t="str">
        <f t="shared" si="22"/>
        <v/>
      </c>
      <c r="F1691" s="274"/>
      <c r="G1691" s="42"/>
      <c r="H1691" s="264"/>
      <c r="I1691" s="277"/>
      <c r="J1691" s="276" t="str">
        <f>IF(ISBLANK(I1691), "", VLOOKUP(E1691&amp;" "&amp;F1691, 'Info Tipo de Cambio y REM'!$A$24:$B$35, 2, FALSE))
</f>
        <v/>
      </c>
      <c r="K1691" s="107"/>
      <c r="L1691" s="293"/>
      <c r="M1691" s="293"/>
      <c r="N1691" s="293"/>
      <c r="O1691" s="277"/>
      <c r="P1691" s="264"/>
      <c r="Q1691" s="264"/>
      <c r="R1691" s="264"/>
      <c r="S1691" s="264"/>
      <c r="T1691" s="264"/>
      <c r="U1691" s="264"/>
      <c r="V1691" s="264"/>
      <c r="W1691" s="264"/>
      <c r="X1691" s="264"/>
      <c r="Y1691" s="264"/>
      <c r="Z1691" s="264"/>
      <c r="AA1691" s="264"/>
      <c r="AB1691" s="264"/>
      <c r="AC1691" s="264"/>
      <c r="AD1691" s="264"/>
      <c r="AE1691" s="264"/>
    </row>
    <row r="1692">
      <c r="A1692" s="272"/>
      <c r="B1692" s="272"/>
      <c r="C1692" s="272"/>
      <c r="D1692" s="172"/>
      <c r="E1692" s="267" t="str">
        <f t="shared" si="22"/>
        <v/>
      </c>
      <c r="F1692" s="274"/>
      <c r="G1692" s="42"/>
      <c r="H1692" s="264"/>
      <c r="I1692" s="277"/>
      <c r="J1692" s="276" t="str">
        <f>IF(ISBLANK(I1692), "", VLOOKUP(E1692&amp;" "&amp;F1692, 'Info Tipo de Cambio y REM'!$A$24:$B$35, 2, FALSE))
</f>
        <v/>
      </c>
      <c r="K1692" s="107"/>
      <c r="L1692" s="293"/>
      <c r="M1692" s="293"/>
      <c r="N1692" s="293"/>
      <c r="O1692" s="277"/>
      <c r="P1692" s="264"/>
      <c r="Q1692" s="264"/>
      <c r="R1692" s="264"/>
      <c r="S1692" s="264"/>
      <c r="T1692" s="264"/>
      <c r="U1692" s="264"/>
      <c r="V1692" s="264"/>
      <c r="W1692" s="264"/>
      <c r="X1692" s="264"/>
      <c r="Y1692" s="264"/>
      <c r="Z1692" s="264"/>
      <c r="AA1692" s="264"/>
      <c r="AB1692" s="264"/>
      <c r="AC1692" s="264"/>
      <c r="AD1692" s="264"/>
      <c r="AE1692" s="264"/>
    </row>
    <row r="1693">
      <c r="A1693" s="272"/>
      <c r="B1693" s="272"/>
      <c r="C1693" s="272"/>
      <c r="D1693" s="172"/>
      <c r="E1693" s="267" t="str">
        <f t="shared" si="22"/>
        <v/>
      </c>
      <c r="F1693" s="274"/>
      <c r="G1693" s="42"/>
      <c r="H1693" s="264"/>
      <c r="I1693" s="277"/>
      <c r="J1693" s="276" t="str">
        <f>IF(ISBLANK(I1693), "", VLOOKUP(E1693&amp;" "&amp;F1693, 'Info Tipo de Cambio y REM'!$A$24:$B$35, 2, FALSE))
</f>
        <v/>
      </c>
      <c r="K1693" s="107"/>
      <c r="L1693" s="293"/>
      <c r="M1693" s="293"/>
      <c r="N1693" s="293"/>
      <c r="O1693" s="277"/>
      <c r="P1693" s="264"/>
      <c r="Q1693" s="264"/>
      <c r="R1693" s="264"/>
      <c r="S1693" s="264"/>
      <c r="T1693" s="264"/>
      <c r="U1693" s="264"/>
      <c r="V1693" s="264"/>
      <c r="W1693" s="264"/>
      <c r="X1693" s="264"/>
      <c r="Y1693" s="264"/>
      <c r="Z1693" s="264"/>
      <c r="AA1693" s="264"/>
      <c r="AB1693" s="264"/>
      <c r="AC1693" s="264"/>
      <c r="AD1693" s="264"/>
      <c r="AE1693" s="264"/>
    </row>
    <row r="1694">
      <c r="A1694" s="272"/>
      <c r="B1694" s="272"/>
      <c r="C1694" s="272"/>
      <c r="D1694" s="172"/>
      <c r="E1694" s="267" t="str">
        <f t="shared" si="22"/>
        <v/>
      </c>
      <c r="F1694" s="274"/>
      <c r="G1694" s="42"/>
      <c r="H1694" s="264"/>
      <c r="I1694" s="277"/>
      <c r="J1694" s="276" t="str">
        <f>IF(ISBLANK(I1694), "", VLOOKUP(E1694&amp;" "&amp;F1694, 'Info Tipo de Cambio y REM'!$A$24:$B$35, 2, FALSE))
</f>
        <v/>
      </c>
      <c r="K1694" s="107"/>
      <c r="L1694" s="293"/>
      <c r="M1694" s="293"/>
      <c r="N1694" s="293"/>
      <c r="O1694" s="277"/>
      <c r="P1694" s="264"/>
      <c r="Q1694" s="264"/>
      <c r="R1694" s="264"/>
      <c r="S1694" s="264"/>
      <c r="T1694" s="264"/>
      <c r="U1694" s="264"/>
      <c r="V1694" s="264"/>
      <c r="W1694" s="264"/>
      <c r="X1694" s="264"/>
      <c r="Y1694" s="264"/>
      <c r="Z1694" s="264"/>
      <c r="AA1694" s="264"/>
      <c r="AB1694" s="264"/>
      <c r="AC1694" s="264"/>
      <c r="AD1694" s="264"/>
      <c r="AE1694" s="264"/>
    </row>
    <row r="1695">
      <c r="A1695" s="272"/>
      <c r="B1695" s="272"/>
      <c r="C1695" s="272"/>
      <c r="D1695" s="172"/>
      <c r="E1695" s="267" t="str">
        <f t="shared" si="22"/>
        <v/>
      </c>
      <c r="F1695" s="274"/>
      <c r="G1695" s="42"/>
      <c r="H1695" s="264"/>
      <c r="I1695" s="277"/>
      <c r="J1695" s="276" t="str">
        <f>IF(ISBLANK(I1695), "", VLOOKUP(E1695&amp;" "&amp;F1695, 'Info Tipo de Cambio y REM'!$A$24:$B$35, 2, FALSE))
</f>
        <v/>
      </c>
      <c r="K1695" s="107"/>
      <c r="L1695" s="293"/>
      <c r="M1695" s="293"/>
      <c r="N1695" s="293"/>
      <c r="O1695" s="277"/>
      <c r="P1695" s="264"/>
      <c r="Q1695" s="264"/>
      <c r="R1695" s="264"/>
      <c r="S1695" s="264"/>
      <c r="T1695" s="264"/>
      <c r="U1695" s="264"/>
      <c r="V1695" s="264"/>
      <c r="W1695" s="264"/>
      <c r="X1695" s="264"/>
      <c r="Y1695" s="264"/>
      <c r="Z1695" s="264"/>
      <c r="AA1695" s="264"/>
      <c r="AB1695" s="264"/>
      <c r="AC1695" s="264"/>
      <c r="AD1695" s="264"/>
      <c r="AE1695" s="264"/>
    </row>
    <row r="1696">
      <c r="A1696" s="272"/>
      <c r="B1696" s="272"/>
      <c r="C1696" s="272"/>
      <c r="D1696" s="172"/>
      <c r="E1696" s="267" t="str">
        <f t="shared" si="22"/>
        <v/>
      </c>
      <c r="F1696" s="274"/>
      <c r="G1696" s="42"/>
      <c r="H1696" s="264"/>
      <c r="I1696" s="277"/>
      <c r="J1696" s="276" t="str">
        <f>IF(ISBLANK(I1696), "", VLOOKUP(E1696&amp;" "&amp;F1696, 'Info Tipo de Cambio y REM'!$A$24:$B$35, 2, FALSE))
</f>
        <v/>
      </c>
      <c r="K1696" s="107"/>
      <c r="L1696" s="293"/>
      <c r="M1696" s="293"/>
      <c r="N1696" s="293"/>
      <c r="O1696" s="277"/>
      <c r="P1696" s="264"/>
      <c r="Q1696" s="264"/>
      <c r="R1696" s="264"/>
      <c r="S1696" s="264"/>
      <c r="T1696" s="264"/>
      <c r="U1696" s="264"/>
      <c r="V1696" s="264"/>
      <c r="W1696" s="264"/>
      <c r="X1696" s="264"/>
      <c r="Y1696" s="264"/>
      <c r="Z1696" s="264"/>
      <c r="AA1696" s="264"/>
      <c r="AB1696" s="264"/>
      <c r="AC1696" s="264"/>
      <c r="AD1696" s="264"/>
      <c r="AE1696" s="264"/>
    </row>
    <row r="1697">
      <c r="A1697" s="272"/>
      <c r="B1697" s="272"/>
      <c r="C1697" s="272"/>
      <c r="D1697" s="172"/>
      <c r="E1697" s="267" t="str">
        <f t="shared" si="22"/>
        <v/>
      </c>
      <c r="F1697" s="274"/>
      <c r="G1697" s="42"/>
      <c r="H1697" s="264"/>
      <c r="I1697" s="277"/>
      <c r="J1697" s="276" t="str">
        <f>IF(ISBLANK(I1697), "", VLOOKUP(E1697&amp;" "&amp;F1697, 'Info Tipo de Cambio y REM'!$A$24:$B$35, 2, FALSE))
</f>
        <v/>
      </c>
      <c r="K1697" s="107"/>
      <c r="L1697" s="293"/>
      <c r="M1697" s="293"/>
      <c r="N1697" s="293"/>
      <c r="O1697" s="277"/>
      <c r="P1697" s="264"/>
      <c r="Q1697" s="264"/>
      <c r="R1697" s="264"/>
      <c r="S1697" s="264"/>
      <c r="T1697" s="264"/>
      <c r="U1697" s="264"/>
      <c r="V1697" s="264"/>
      <c r="W1697" s="264"/>
      <c r="X1697" s="264"/>
      <c r="Y1697" s="264"/>
      <c r="Z1697" s="264"/>
      <c r="AA1697" s="264"/>
      <c r="AB1697" s="264"/>
      <c r="AC1697" s="264"/>
      <c r="AD1697" s="264"/>
      <c r="AE1697" s="264"/>
    </row>
    <row r="1698">
      <c r="A1698" s="272"/>
      <c r="B1698" s="272"/>
      <c r="C1698" s="272"/>
      <c r="D1698" s="172"/>
      <c r="E1698" s="267" t="str">
        <f t="shared" si="22"/>
        <v/>
      </c>
      <c r="F1698" s="274"/>
      <c r="G1698" s="42"/>
      <c r="H1698" s="264"/>
      <c r="I1698" s="277"/>
      <c r="J1698" s="276" t="str">
        <f>IF(ISBLANK(I1698), "", VLOOKUP(E1698&amp;" "&amp;F1698, 'Info Tipo de Cambio y REM'!$A$24:$B$35, 2, FALSE))
</f>
        <v/>
      </c>
      <c r="K1698" s="107"/>
      <c r="L1698" s="293"/>
      <c r="M1698" s="293"/>
      <c r="N1698" s="293"/>
      <c r="O1698" s="277"/>
      <c r="P1698" s="264"/>
      <c r="Q1698" s="264"/>
      <c r="R1698" s="264"/>
      <c r="S1698" s="264"/>
      <c r="T1698" s="264"/>
      <c r="U1698" s="264"/>
      <c r="V1698" s="264"/>
      <c r="W1698" s="264"/>
      <c r="X1698" s="264"/>
      <c r="Y1698" s="264"/>
      <c r="Z1698" s="264"/>
      <c r="AA1698" s="264"/>
      <c r="AB1698" s="264"/>
      <c r="AC1698" s="264"/>
      <c r="AD1698" s="264"/>
      <c r="AE1698" s="264"/>
    </row>
    <row r="1699">
      <c r="A1699" s="272"/>
      <c r="B1699" s="272"/>
      <c r="C1699" s="272"/>
      <c r="D1699" s="172"/>
      <c r="E1699" s="267" t="str">
        <f t="shared" si="22"/>
        <v/>
      </c>
      <c r="F1699" s="274"/>
      <c r="G1699" s="42"/>
      <c r="H1699" s="264"/>
      <c r="I1699" s="277"/>
      <c r="J1699" s="276" t="str">
        <f>IF(ISBLANK(I1699), "", VLOOKUP(E1699&amp;" "&amp;F1699, 'Info Tipo de Cambio y REM'!$A$24:$B$35, 2, FALSE))
</f>
        <v/>
      </c>
      <c r="K1699" s="107"/>
      <c r="L1699" s="293"/>
      <c r="M1699" s="293"/>
      <c r="N1699" s="293"/>
      <c r="O1699" s="277"/>
      <c r="P1699" s="264"/>
      <c r="Q1699" s="264"/>
      <c r="R1699" s="264"/>
      <c r="S1699" s="264"/>
      <c r="T1699" s="264"/>
      <c r="U1699" s="264"/>
      <c r="V1699" s="264"/>
      <c r="W1699" s="264"/>
      <c r="X1699" s="264"/>
      <c r="Y1699" s="264"/>
      <c r="Z1699" s="264"/>
      <c r="AA1699" s="264"/>
      <c r="AB1699" s="264"/>
      <c r="AC1699" s="264"/>
      <c r="AD1699" s="264"/>
      <c r="AE1699" s="264"/>
    </row>
    <row r="1700">
      <c r="A1700" s="272"/>
      <c r="B1700" s="272"/>
      <c r="C1700" s="272"/>
      <c r="D1700" s="172"/>
      <c r="E1700" s="267" t="str">
        <f t="shared" si="22"/>
        <v/>
      </c>
      <c r="F1700" s="274"/>
      <c r="G1700" s="42"/>
      <c r="H1700" s="264"/>
      <c r="I1700" s="277"/>
      <c r="J1700" s="276" t="str">
        <f>IF(ISBLANK(I1700), "", VLOOKUP(E1700&amp;" "&amp;F1700, 'Info Tipo de Cambio y REM'!$A$24:$B$35, 2, FALSE))
</f>
        <v/>
      </c>
      <c r="K1700" s="107"/>
      <c r="L1700" s="293"/>
      <c r="M1700" s="293"/>
      <c r="N1700" s="293"/>
      <c r="O1700" s="277"/>
      <c r="P1700" s="264"/>
      <c r="Q1700" s="264"/>
      <c r="R1700" s="264"/>
      <c r="S1700" s="264"/>
      <c r="T1700" s="264"/>
      <c r="U1700" s="264"/>
      <c r="V1700" s="264"/>
      <c r="W1700" s="264"/>
      <c r="X1700" s="264"/>
      <c r="Y1700" s="264"/>
      <c r="Z1700" s="264"/>
      <c r="AA1700" s="264"/>
      <c r="AB1700" s="264"/>
      <c r="AC1700" s="264"/>
      <c r="AD1700" s="264"/>
      <c r="AE1700" s="264"/>
    </row>
    <row r="1701">
      <c r="A1701" s="272"/>
      <c r="B1701" s="272"/>
      <c r="C1701" s="272"/>
      <c r="D1701" s="172"/>
      <c r="E1701" s="267" t="str">
        <f t="shared" si="22"/>
        <v/>
      </c>
      <c r="F1701" s="274"/>
      <c r="G1701" s="42"/>
      <c r="H1701" s="264"/>
      <c r="I1701" s="277"/>
      <c r="J1701" s="276" t="str">
        <f>IF(ISBLANK(I1701), "", VLOOKUP(E1701&amp;" "&amp;F1701, 'Info Tipo de Cambio y REM'!$A$24:$B$35, 2, FALSE))
</f>
        <v/>
      </c>
      <c r="K1701" s="107"/>
      <c r="L1701" s="293"/>
      <c r="M1701" s="293"/>
      <c r="N1701" s="293"/>
      <c r="O1701" s="277"/>
      <c r="P1701" s="264"/>
      <c r="Q1701" s="264"/>
      <c r="R1701" s="264"/>
      <c r="S1701" s="264"/>
      <c r="T1701" s="264"/>
      <c r="U1701" s="264"/>
      <c r="V1701" s="264"/>
      <c r="W1701" s="264"/>
      <c r="X1701" s="264"/>
      <c r="Y1701" s="264"/>
      <c r="Z1701" s="264"/>
      <c r="AA1701" s="264"/>
      <c r="AB1701" s="264"/>
      <c r="AC1701" s="264"/>
      <c r="AD1701" s="264"/>
      <c r="AE1701" s="264"/>
    </row>
    <row r="1702">
      <c r="A1702" s="272"/>
      <c r="B1702" s="272"/>
      <c r="C1702" s="272"/>
      <c r="D1702" s="172"/>
      <c r="E1702" s="267" t="str">
        <f t="shared" si="22"/>
        <v/>
      </c>
      <c r="F1702" s="274"/>
      <c r="G1702" s="42"/>
      <c r="H1702" s="264"/>
      <c r="I1702" s="277"/>
      <c r="J1702" s="276" t="str">
        <f>IF(ISBLANK(I1702), "", VLOOKUP(E1702&amp;" "&amp;F1702, 'Info Tipo de Cambio y REM'!$A$24:$B$35, 2, FALSE))
</f>
        <v/>
      </c>
      <c r="K1702" s="107"/>
      <c r="L1702" s="293"/>
      <c r="M1702" s="293"/>
      <c r="N1702" s="293"/>
      <c r="O1702" s="277"/>
      <c r="P1702" s="264"/>
      <c r="Q1702" s="264"/>
      <c r="R1702" s="264"/>
      <c r="S1702" s="264"/>
      <c r="T1702" s="264"/>
      <c r="U1702" s="264"/>
      <c r="V1702" s="264"/>
      <c r="W1702" s="264"/>
      <c r="X1702" s="264"/>
      <c r="Y1702" s="264"/>
      <c r="Z1702" s="264"/>
      <c r="AA1702" s="264"/>
      <c r="AB1702" s="264"/>
      <c r="AC1702" s="264"/>
      <c r="AD1702" s="264"/>
      <c r="AE1702" s="264"/>
    </row>
    <row r="1703">
      <c r="A1703" s="272"/>
      <c r="B1703" s="272"/>
      <c r="C1703" s="272"/>
      <c r="D1703" s="172"/>
      <c r="E1703" s="267" t="str">
        <f t="shared" si="22"/>
        <v/>
      </c>
      <c r="F1703" s="274"/>
      <c r="G1703" s="42"/>
      <c r="H1703" s="264"/>
      <c r="I1703" s="277"/>
      <c r="J1703" s="276" t="str">
        <f>IF(ISBLANK(I1703), "", VLOOKUP(E1703&amp;" "&amp;F1703, 'Info Tipo de Cambio y REM'!$A$24:$B$35, 2, FALSE))
</f>
        <v/>
      </c>
      <c r="K1703" s="107"/>
      <c r="L1703" s="293"/>
      <c r="M1703" s="293"/>
      <c r="N1703" s="293"/>
      <c r="O1703" s="277"/>
      <c r="P1703" s="264"/>
      <c r="Q1703" s="264"/>
      <c r="R1703" s="264"/>
      <c r="S1703" s="264"/>
      <c r="T1703" s="264"/>
      <c r="U1703" s="264"/>
      <c r="V1703" s="264"/>
      <c r="W1703" s="264"/>
      <c r="X1703" s="264"/>
      <c r="Y1703" s="264"/>
      <c r="Z1703" s="264"/>
      <c r="AA1703" s="264"/>
      <c r="AB1703" s="264"/>
      <c r="AC1703" s="264"/>
      <c r="AD1703" s="264"/>
      <c r="AE1703" s="264"/>
    </row>
    <row r="1704">
      <c r="A1704" s="272"/>
      <c r="B1704" s="272"/>
      <c r="C1704" s="272"/>
      <c r="D1704" s="172"/>
      <c r="E1704" s="267" t="str">
        <f t="shared" si="22"/>
        <v/>
      </c>
      <c r="F1704" s="274"/>
      <c r="G1704" s="42"/>
      <c r="H1704" s="264"/>
      <c r="I1704" s="277"/>
      <c r="J1704" s="276" t="str">
        <f>IF(ISBLANK(I1704), "", VLOOKUP(E1704&amp;" "&amp;F1704, 'Info Tipo de Cambio y REM'!$A$24:$B$35, 2, FALSE))
</f>
        <v/>
      </c>
      <c r="K1704" s="107"/>
      <c r="L1704" s="293"/>
      <c r="M1704" s="293"/>
      <c r="N1704" s="293"/>
      <c r="O1704" s="277"/>
      <c r="P1704" s="264"/>
      <c r="Q1704" s="264"/>
      <c r="R1704" s="264"/>
      <c r="S1704" s="264"/>
      <c r="T1704" s="264"/>
      <c r="U1704" s="264"/>
      <c r="V1704" s="264"/>
      <c r="W1704" s="264"/>
      <c r="X1704" s="264"/>
      <c r="Y1704" s="264"/>
      <c r="Z1704" s="264"/>
      <c r="AA1704" s="264"/>
      <c r="AB1704" s="264"/>
      <c r="AC1704" s="264"/>
      <c r="AD1704" s="264"/>
      <c r="AE1704" s="264"/>
    </row>
    <row r="1705">
      <c r="A1705" s="272"/>
      <c r="B1705" s="272"/>
      <c r="C1705" s="272"/>
      <c r="D1705" s="172"/>
      <c r="E1705" s="267" t="str">
        <f t="shared" si="22"/>
        <v/>
      </c>
      <c r="F1705" s="274"/>
      <c r="G1705" s="42"/>
      <c r="H1705" s="264"/>
      <c r="I1705" s="277"/>
      <c r="J1705" s="276" t="str">
        <f>IF(ISBLANK(I1705), "", VLOOKUP(E1705&amp;" "&amp;F1705, 'Info Tipo de Cambio y REM'!$A$24:$B$35, 2, FALSE))
</f>
        <v/>
      </c>
      <c r="K1705" s="107"/>
      <c r="L1705" s="293"/>
      <c r="M1705" s="293"/>
      <c r="N1705" s="293"/>
      <c r="O1705" s="277"/>
      <c r="P1705" s="264"/>
      <c r="Q1705" s="264"/>
      <c r="R1705" s="264"/>
      <c r="S1705" s="264"/>
      <c r="T1705" s="264"/>
      <c r="U1705" s="264"/>
      <c r="V1705" s="264"/>
      <c r="W1705" s="264"/>
      <c r="X1705" s="264"/>
      <c r="Y1705" s="264"/>
      <c r="Z1705" s="264"/>
      <c r="AA1705" s="264"/>
      <c r="AB1705" s="264"/>
      <c r="AC1705" s="264"/>
      <c r="AD1705" s="264"/>
      <c r="AE1705" s="264"/>
    </row>
    <row r="1706">
      <c r="A1706" s="272"/>
      <c r="B1706" s="272"/>
      <c r="C1706" s="272"/>
      <c r="D1706" s="172"/>
      <c r="E1706" s="267" t="str">
        <f t="shared" si="22"/>
        <v/>
      </c>
      <c r="F1706" s="274"/>
      <c r="G1706" s="42"/>
      <c r="H1706" s="264"/>
      <c r="I1706" s="277"/>
      <c r="J1706" s="276" t="str">
        <f>IF(ISBLANK(I1706), "", VLOOKUP(E1706&amp;" "&amp;F1706, 'Info Tipo de Cambio y REM'!$A$24:$B$35, 2, FALSE))
</f>
        <v/>
      </c>
      <c r="K1706" s="107"/>
      <c r="L1706" s="293"/>
      <c r="M1706" s="293"/>
      <c r="N1706" s="293"/>
      <c r="O1706" s="277"/>
      <c r="P1706" s="264"/>
      <c r="Q1706" s="264"/>
      <c r="R1706" s="264"/>
      <c r="S1706" s="264"/>
      <c r="T1706" s="264"/>
      <c r="U1706" s="264"/>
      <c r="V1706" s="264"/>
      <c r="W1706" s="264"/>
      <c r="X1706" s="264"/>
      <c r="Y1706" s="264"/>
      <c r="Z1706" s="264"/>
      <c r="AA1706" s="264"/>
      <c r="AB1706" s="264"/>
      <c r="AC1706" s="264"/>
      <c r="AD1706" s="264"/>
      <c r="AE1706" s="264"/>
    </row>
    <row r="1707">
      <c r="A1707" s="272"/>
      <c r="B1707" s="272"/>
      <c r="C1707" s="272"/>
      <c r="D1707" s="172"/>
      <c r="E1707" s="267" t="str">
        <f t="shared" si="22"/>
        <v/>
      </c>
      <c r="F1707" s="274"/>
      <c r="G1707" s="42"/>
      <c r="H1707" s="264"/>
      <c r="I1707" s="277"/>
      <c r="J1707" s="276" t="str">
        <f>IF(ISBLANK(I1707), "", VLOOKUP(E1707&amp;" "&amp;F1707, 'Info Tipo de Cambio y REM'!$A$24:$B$35, 2, FALSE))
</f>
        <v/>
      </c>
      <c r="K1707" s="107"/>
      <c r="L1707" s="293"/>
      <c r="M1707" s="293"/>
      <c r="N1707" s="293"/>
      <c r="O1707" s="277"/>
      <c r="P1707" s="264"/>
      <c r="Q1707" s="264"/>
      <c r="R1707" s="264"/>
      <c r="S1707" s="264"/>
      <c r="T1707" s="264"/>
      <c r="U1707" s="264"/>
      <c r="V1707" s="264"/>
      <c r="W1707" s="264"/>
      <c r="X1707" s="264"/>
      <c r="Y1707" s="264"/>
      <c r="Z1707" s="264"/>
      <c r="AA1707" s="264"/>
      <c r="AB1707" s="264"/>
      <c r="AC1707" s="264"/>
      <c r="AD1707" s="264"/>
      <c r="AE1707" s="264"/>
    </row>
    <row r="1708">
      <c r="A1708" s="272"/>
      <c r="B1708" s="272"/>
      <c r="C1708" s="272"/>
      <c r="D1708" s="172"/>
      <c r="E1708" s="267" t="str">
        <f t="shared" si="22"/>
        <v/>
      </c>
      <c r="F1708" s="274"/>
      <c r="G1708" s="42"/>
      <c r="H1708" s="264"/>
      <c r="I1708" s="277"/>
      <c r="J1708" s="276" t="str">
        <f>IF(ISBLANK(I1708), "", VLOOKUP(E1708&amp;" "&amp;F1708, 'Info Tipo de Cambio y REM'!$A$24:$B$35, 2, FALSE))
</f>
        <v/>
      </c>
      <c r="K1708" s="107"/>
      <c r="L1708" s="293"/>
      <c r="M1708" s="293"/>
      <c r="N1708" s="293"/>
      <c r="O1708" s="277"/>
      <c r="P1708" s="264"/>
      <c r="Q1708" s="264"/>
      <c r="R1708" s="264"/>
      <c r="S1708" s="264"/>
      <c r="T1708" s="264"/>
      <c r="U1708" s="264"/>
      <c r="V1708" s="264"/>
      <c r="W1708" s="264"/>
      <c r="X1708" s="264"/>
      <c r="Y1708" s="264"/>
      <c r="Z1708" s="264"/>
      <c r="AA1708" s="264"/>
      <c r="AB1708" s="264"/>
      <c r="AC1708" s="264"/>
      <c r="AD1708" s="264"/>
      <c r="AE1708" s="264"/>
    </row>
    <row r="1709">
      <c r="A1709" s="272"/>
      <c r="B1709" s="272"/>
      <c r="C1709" s="272"/>
      <c r="D1709" s="172"/>
      <c r="E1709" s="267" t="str">
        <f t="shared" si="22"/>
        <v/>
      </c>
      <c r="F1709" s="274"/>
      <c r="G1709" s="42"/>
      <c r="H1709" s="264"/>
      <c r="I1709" s="277"/>
      <c r="J1709" s="276" t="str">
        <f>IF(ISBLANK(I1709), "", VLOOKUP(E1709&amp;" "&amp;F1709, 'Info Tipo de Cambio y REM'!$A$24:$B$35, 2, FALSE))
</f>
        <v/>
      </c>
      <c r="K1709" s="107"/>
      <c r="L1709" s="293"/>
      <c r="M1709" s="293"/>
      <c r="N1709" s="293"/>
      <c r="O1709" s="277"/>
      <c r="P1709" s="264"/>
      <c r="Q1709" s="264"/>
      <c r="R1709" s="264"/>
      <c r="S1709" s="264"/>
      <c r="T1709" s="264"/>
      <c r="U1709" s="264"/>
      <c r="V1709" s="264"/>
      <c r="W1709" s="264"/>
      <c r="X1709" s="264"/>
      <c r="Y1709" s="264"/>
      <c r="Z1709" s="264"/>
      <c r="AA1709" s="264"/>
      <c r="AB1709" s="264"/>
      <c r="AC1709" s="264"/>
      <c r="AD1709" s="264"/>
      <c r="AE1709" s="264"/>
    </row>
    <row r="1710">
      <c r="A1710" s="272"/>
      <c r="B1710" s="272"/>
      <c r="C1710" s="272"/>
      <c r="D1710" s="172"/>
      <c r="E1710" s="267" t="str">
        <f t="shared" si="22"/>
        <v/>
      </c>
      <c r="F1710" s="274"/>
      <c r="G1710" s="42"/>
      <c r="H1710" s="264"/>
      <c r="I1710" s="277"/>
      <c r="J1710" s="276" t="str">
        <f>IF(ISBLANK(I1710), "", VLOOKUP(E1710&amp;" "&amp;F1710, 'Info Tipo de Cambio y REM'!$A$24:$B$35, 2, FALSE))
</f>
        <v/>
      </c>
      <c r="K1710" s="107"/>
      <c r="L1710" s="293"/>
      <c r="M1710" s="293"/>
      <c r="N1710" s="293"/>
      <c r="O1710" s="277"/>
      <c r="P1710" s="264"/>
      <c r="Q1710" s="264"/>
      <c r="R1710" s="264"/>
      <c r="S1710" s="264"/>
      <c r="T1710" s="264"/>
      <c r="U1710" s="264"/>
      <c r="V1710" s="264"/>
      <c r="W1710" s="264"/>
      <c r="X1710" s="264"/>
      <c r="Y1710" s="264"/>
      <c r="Z1710" s="264"/>
      <c r="AA1710" s="264"/>
      <c r="AB1710" s="264"/>
      <c r="AC1710" s="264"/>
      <c r="AD1710" s="264"/>
      <c r="AE1710" s="264"/>
    </row>
    <row r="1711">
      <c r="A1711" s="272"/>
      <c r="B1711" s="272"/>
      <c r="C1711" s="272"/>
      <c r="D1711" s="172"/>
      <c r="E1711" s="267" t="str">
        <f t="shared" si="22"/>
        <v/>
      </c>
      <c r="F1711" s="274"/>
      <c r="G1711" s="42"/>
      <c r="H1711" s="264"/>
      <c r="I1711" s="277"/>
      <c r="J1711" s="276" t="str">
        <f>IF(ISBLANK(I1711), "", VLOOKUP(E1711&amp;" "&amp;F1711, 'Info Tipo de Cambio y REM'!$A$24:$B$35, 2, FALSE))
</f>
        <v/>
      </c>
      <c r="K1711" s="107"/>
      <c r="L1711" s="293"/>
      <c r="M1711" s="293"/>
      <c r="N1711" s="293"/>
      <c r="O1711" s="277"/>
      <c r="P1711" s="264"/>
      <c r="Q1711" s="264"/>
      <c r="R1711" s="264"/>
      <c r="S1711" s="264"/>
      <c r="T1711" s="264"/>
      <c r="U1711" s="264"/>
      <c r="V1711" s="264"/>
      <c r="W1711" s="264"/>
      <c r="X1711" s="264"/>
      <c r="Y1711" s="264"/>
      <c r="Z1711" s="264"/>
      <c r="AA1711" s="264"/>
      <c r="AB1711" s="264"/>
      <c r="AC1711" s="264"/>
      <c r="AD1711" s="264"/>
      <c r="AE1711" s="264"/>
    </row>
    <row r="1712">
      <c r="A1712" s="272"/>
      <c r="B1712" s="272"/>
      <c r="C1712" s="272"/>
      <c r="D1712" s="172"/>
      <c r="E1712" s="267" t="str">
        <f t="shared" si="22"/>
        <v/>
      </c>
      <c r="F1712" s="274"/>
      <c r="G1712" s="42"/>
      <c r="H1712" s="264"/>
      <c r="I1712" s="277"/>
      <c r="J1712" s="276" t="str">
        <f>IF(ISBLANK(I1712), "", VLOOKUP(E1712&amp;" "&amp;F1712, 'Info Tipo de Cambio y REM'!$A$24:$B$35, 2, FALSE))
</f>
        <v/>
      </c>
      <c r="K1712" s="107"/>
      <c r="L1712" s="293"/>
      <c r="M1712" s="293"/>
      <c r="N1712" s="293"/>
      <c r="O1712" s="277"/>
      <c r="P1712" s="264"/>
      <c r="Q1712" s="264"/>
      <c r="R1712" s="264"/>
      <c r="S1712" s="264"/>
      <c r="T1712" s="264"/>
      <c r="U1712" s="264"/>
      <c r="V1712" s="264"/>
      <c r="W1712" s="264"/>
      <c r="X1712" s="264"/>
      <c r="Y1712" s="264"/>
      <c r="Z1712" s="264"/>
      <c r="AA1712" s="264"/>
      <c r="AB1712" s="264"/>
      <c r="AC1712" s="264"/>
      <c r="AD1712" s="264"/>
      <c r="AE1712" s="264"/>
    </row>
    <row r="1713">
      <c r="A1713" s="272"/>
      <c r="B1713" s="272"/>
      <c r="C1713" s="272"/>
      <c r="D1713" s="172"/>
      <c r="E1713" s="267" t="str">
        <f t="shared" si="22"/>
        <v/>
      </c>
      <c r="F1713" s="274"/>
      <c r="G1713" s="42"/>
      <c r="H1713" s="264"/>
      <c r="I1713" s="277"/>
      <c r="J1713" s="276" t="str">
        <f>IF(ISBLANK(I1713), "", VLOOKUP(E1713&amp;" "&amp;F1713, 'Info Tipo de Cambio y REM'!$A$24:$B$35, 2, FALSE))
</f>
        <v/>
      </c>
      <c r="K1713" s="107"/>
      <c r="L1713" s="293"/>
      <c r="M1713" s="293"/>
      <c r="N1713" s="293"/>
      <c r="O1713" s="277"/>
      <c r="P1713" s="264"/>
      <c r="Q1713" s="264"/>
      <c r="R1713" s="264"/>
      <c r="S1713" s="264"/>
      <c r="T1713" s="264"/>
      <c r="U1713" s="264"/>
      <c r="V1713" s="264"/>
      <c r="W1713" s="264"/>
      <c r="X1713" s="264"/>
      <c r="Y1713" s="264"/>
      <c r="Z1713" s="264"/>
      <c r="AA1713" s="264"/>
      <c r="AB1713" s="264"/>
      <c r="AC1713" s="264"/>
      <c r="AD1713" s="264"/>
      <c r="AE1713" s="264"/>
    </row>
    <row r="1714">
      <c r="A1714" s="272"/>
      <c r="B1714" s="272"/>
      <c r="C1714" s="272"/>
      <c r="D1714" s="172"/>
      <c r="E1714" s="267" t="str">
        <f t="shared" si="22"/>
        <v/>
      </c>
      <c r="F1714" s="274"/>
      <c r="G1714" s="42"/>
      <c r="H1714" s="264"/>
      <c r="I1714" s="277"/>
      <c r="J1714" s="276" t="str">
        <f>IF(ISBLANK(I1714), "", VLOOKUP(E1714&amp;" "&amp;F1714, 'Info Tipo de Cambio y REM'!$A$24:$B$35, 2, FALSE))
</f>
        <v/>
      </c>
      <c r="K1714" s="107"/>
      <c r="L1714" s="293"/>
      <c r="M1714" s="293"/>
      <c r="N1714" s="293"/>
      <c r="O1714" s="277"/>
      <c r="P1714" s="264"/>
      <c r="Q1714" s="264"/>
      <c r="R1714" s="264"/>
      <c r="S1714" s="264"/>
      <c r="T1714" s="264"/>
      <c r="U1714" s="264"/>
      <c r="V1714" s="264"/>
      <c r="W1714" s="264"/>
      <c r="X1714" s="264"/>
      <c r="Y1714" s="264"/>
      <c r="Z1714" s="264"/>
      <c r="AA1714" s="264"/>
      <c r="AB1714" s="264"/>
      <c r="AC1714" s="264"/>
      <c r="AD1714" s="264"/>
      <c r="AE1714" s="264"/>
    </row>
    <row r="1715">
      <c r="A1715" s="272"/>
      <c r="B1715" s="272"/>
      <c r="C1715" s="272"/>
      <c r="D1715" s="172"/>
      <c r="E1715" s="267" t="str">
        <f t="shared" si="22"/>
        <v/>
      </c>
      <c r="F1715" s="274"/>
      <c r="G1715" s="42"/>
      <c r="H1715" s="264"/>
      <c r="I1715" s="277"/>
      <c r="J1715" s="276" t="str">
        <f>IF(ISBLANK(I1715), "", VLOOKUP(E1715&amp;" "&amp;F1715, 'Info Tipo de Cambio y REM'!$A$24:$B$35, 2, FALSE))
</f>
        <v/>
      </c>
      <c r="K1715" s="107"/>
      <c r="L1715" s="293"/>
      <c r="M1715" s="293"/>
      <c r="N1715" s="293"/>
      <c r="O1715" s="277"/>
      <c r="P1715" s="264"/>
      <c r="Q1715" s="264"/>
      <c r="R1715" s="264"/>
      <c r="S1715" s="264"/>
      <c r="T1715" s="264"/>
      <c r="U1715" s="264"/>
      <c r="V1715" s="264"/>
      <c r="W1715" s="264"/>
      <c r="X1715" s="264"/>
      <c r="Y1715" s="264"/>
      <c r="Z1715" s="264"/>
      <c r="AA1715" s="264"/>
      <c r="AB1715" s="264"/>
      <c r="AC1715" s="264"/>
      <c r="AD1715" s="264"/>
      <c r="AE1715" s="264"/>
    </row>
    <row r="1716">
      <c r="A1716" s="272"/>
      <c r="B1716" s="272"/>
      <c r="C1716" s="272"/>
      <c r="D1716" s="172"/>
      <c r="E1716" s="267" t="str">
        <f t="shared" si="22"/>
        <v/>
      </c>
      <c r="F1716" s="274"/>
      <c r="G1716" s="42"/>
      <c r="H1716" s="264"/>
      <c r="I1716" s="277"/>
      <c r="J1716" s="276" t="str">
        <f>IF(ISBLANK(I1716), "", VLOOKUP(E1716&amp;" "&amp;F1716, 'Info Tipo de Cambio y REM'!$A$24:$B$35, 2, FALSE))
</f>
        <v/>
      </c>
      <c r="K1716" s="107"/>
      <c r="L1716" s="293"/>
      <c r="M1716" s="293"/>
      <c r="N1716" s="293"/>
      <c r="O1716" s="277"/>
      <c r="P1716" s="264"/>
      <c r="Q1716" s="264"/>
      <c r="R1716" s="264"/>
      <c r="S1716" s="264"/>
      <c r="T1716" s="264"/>
      <c r="U1716" s="264"/>
      <c r="V1716" s="264"/>
      <c r="W1716" s="264"/>
      <c r="X1716" s="264"/>
      <c r="Y1716" s="264"/>
      <c r="Z1716" s="264"/>
      <c r="AA1716" s="264"/>
      <c r="AB1716" s="264"/>
      <c r="AC1716" s="264"/>
      <c r="AD1716" s="264"/>
      <c r="AE1716" s="264"/>
    </row>
    <row r="1717">
      <c r="A1717" s="272"/>
      <c r="B1717" s="272"/>
      <c r="C1717" s="272"/>
      <c r="D1717" s="172"/>
      <c r="E1717" s="267" t="str">
        <f t="shared" si="22"/>
        <v/>
      </c>
      <c r="F1717" s="274"/>
      <c r="G1717" s="42"/>
      <c r="H1717" s="264"/>
      <c r="I1717" s="277"/>
      <c r="J1717" s="276" t="str">
        <f>IF(ISBLANK(I1717), "", VLOOKUP(E1717&amp;" "&amp;F1717, 'Info Tipo de Cambio y REM'!$A$24:$B$35, 2, FALSE))
</f>
        <v/>
      </c>
      <c r="K1717" s="107"/>
      <c r="L1717" s="293"/>
      <c r="M1717" s="293"/>
      <c r="N1717" s="293"/>
      <c r="O1717" s="277"/>
      <c r="P1717" s="264"/>
      <c r="Q1717" s="264"/>
      <c r="R1717" s="264"/>
      <c r="S1717" s="264"/>
      <c r="T1717" s="264"/>
      <c r="U1717" s="264"/>
      <c r="V1717" s="264"/>
      <c r="W1717" s="264"/>
      <c r="X1717" s="264"/>
      <c r="Y1717" s="264"/>
      <c r="Z1717" s="264"/>
      <c r="AA1717" s="264"/>
      <c r="AB1717" s="264"/>
      <c r="AC1717" s="264"/>
      <c r="AD1717" s="264"/>
      <c r="AE1717" s="264"/>
    </row>
    <row r="1718">
      <c r="A1718" s="272"/>
      <c r="B1718" s="272"/>
      <c r="C1718" s="272"/>
      <c r="D1718" s="172"/>
      <c r="E1718" s="267" t="str">
        <f t="shared" si="22"/>
        <v/>
      </c>
      <c r="F1718" s="274"/>
      <c r="G1718" s="42"/>
      <c r="H1718" s="264"/>
      <c r="I1718" s="277"/>
      <c r="J1718" s="276" t="str">
        <f>IF(ISBLANK(I1718), "", VLOOKUP(E1718&amp;" "&amp;F1718, 'Info Tipo de Cambio y REM'!$A$24:$B$35, 2, FALSE))
</f>
        <v/>
      </c>
      <c r="K1718" s="107"/>
      <c r="L1718" s="293"/>
      <c r="M1718" s="293"/>
      <c r="N1718" s="293"/>
      <c r="O1718" s="277"/>
      <c r="P1718" s="264"/>
      <c r="Q1718" s="264"/>
      <c r="R1718" s="264"/>
      <c r="S1718" s="264"/>
      <c r="T1718" s="264"/>
      <c r="U1718" s="264"/>
      <c r="V1718" s="264"/>
      <c r="W1718" s="264"/>
      <c r="X1718" s="264"/>
      <c r="Y1718" s="264"/>
      <c r="Z1718" s="264"/>
      <c r="AA1718" s="264"/>
      <c r="AB1718" s="264"/>
      <c r="AC1718" s="264"/>
      <c r="AD1718" s="264"/>
      <c r="AE1718" s="264"/>
    </row>
    <row r="1719">
      <c r="A1719" s="272"/>
      <c r="B1719" s="272"/>
      <c r="C1719" s="272"/>
      <c r="D1719" s="172"/>
      <c r="E1719" s="267" t="str">
        <f t="shared" si="22"/>
        <v/>
      </c>
      <c r="F1719" s="274"/>
      <c r="G1719" s="42"/>
      <c r="H1719" s="264"/>
      <c r="I1719" s="277"/>
      <c r="J1719" s="276" t="str">
        <f>IF(ISBLANK(I1719), "", VLOOKUP(E1719&amp;" "&amp;F1719, 'Info Tipo de Cambio y REM'!$A$24:$B$35, 2, FALSE))
</f>
        <v/>
      </c>
      <c r="K1719" s="107"/>
      <c r="L1719" s="293"/>
      <c r="M1719" s="293"/>
      <c r="N1719" s="293"/>
      <c r="O1719" s="277"/>
      <c r="P1719" s="264"/>
      <c r="Q1719" s="264"/>
      <c r="R1719" s="264"/>
      <c r="S1719" s="264"/>
      <c r="T1719" s="264"/>
      <c r="U1719" s="264"/>
      <c r="V1719" s="264"/>
      <c r="W1719" s="264"/>
      <c r="X1719" s="264"/>
      <c r="Y1719" s="264"/>
      <c r="Z1719" s="264"/>
      <c r="AA1719" s="264"/>
      <c r="AB1719" s="264"/>
      <c r="AC1719" s="264"/>
      <c r="AD1719" s="264"/>
      <c r="AE1719" s="264"/>
    </row>
    <row r="1720">
      <c r="A1720" s="272"/>
      <c r="B1720" s="272"/>
      <c r="C1720" s="272"/>
      <c r="D1720" s="172"/>
      <c r="E1720" s="267" t="str">
        <f t="shared" si="22"/>
        <v/>
      </c>
      <c r="F1720" s="274"/>
      <c r="G1720" s="42"/>
      <c r="H1720" s="264"/>
      <c r="I1720" s="277"/>
      <c r="J1720" s="276" t="str">
        <f>IF(ISBLANK(I1720), "", VLOOKUP(E1720&amp;" "&amp;F1720, 'Info Tipo de Cambio y REM'!$A$24:$B$35, 2, FALSE))
</f>
        <v/>
      </c>
      <c r="K1720" s="107"/>
      <c r="L1720" s="293"/>
      <c r="M1720" s="293"/>
      <c r="N1720" s="293"/>
      <c r="O1720" s="277"/>
      <c r="P1720" s="264"/>
      <c r="Q1720" s="264"/>
      <c r="R1720" s="264"/>
      <c r="S1720" s="264"/>
      <c r="T1720" s="264"/>
      <c r="U1720" s="264"/>
      <c r="V1720" s="264"/>
      <c r="W1720" s="264"/>
      <c r="X1720" s="264"/>
      <c r="Y1720" s="264"/>
      <c r="Z1720" s="264"/>
      <c r="AA1720" s="264"/>
      <c r="AB1720" s="264"/>
      <c r="AC1720" s="264"/>
      <c r="AD1720" s="264"/>
      <c r="AE1720" s="264"/>
    </row>
    <row r="1721">
      <c r="A1721" s="272"/>
      <c r="B1721" s="272"/>
      <c r="C1721" s="272"/>
      <c r="D1721" s="172"/>
      <c r="E1721" s="267" t="str">
        <f t="shared" si="22"/>
        <v/>
      </c>
      <c r="F1721" s="274"/>
      <c r="G1721" s="42"/>
      <c r="H1721" s="264"/>
      <c r="I1721" s="277"/>
      <c r="J1721" s="276" t="str">
        <f>IF(ISBLANK(I1721), "", VLOOKUP(E1721&amp;" "&amp;F1721, 'Info Tipo de Cambio y REM'!$A$24:$B$35, 2, FALSE))
</f>
        <v/>
      </c>
      <c r="K1721" s="107"/>
      <c r="L1721" s="293"/>
      <c r="M1721" s="293"/>
      <c r="N1721" s="293"/>
      <c r="O1721" s="277"/>
      <c r="P1721" s="264"/>
      <c r="Q1721" s="264"/>
      <c r="R1721" s="264"/>
      <c r="S1721" s="264"/>
      <c r="T1721" s="264"/>
      <c r="U1721" s="264"/>
      <c r="V1721" s="264"/>
      <c r="W1721" s="264"/>
      <c r="X1721" s="264"/>
      <c r="Y1721" s="264"/>
      <c r="Z1721" s="264"/>
      <c r="AA1721" s="264"/>
      <c r="AB1721" s="264"/>
      <c r="AC1721" s="264"/>
      <c r="AD1721" s="264"/>
      <c r="AE1721" s="264"/>
    </row>
    <row r="1722">
      <c r="A1722" s="272"/>
      <c r="B1722" s="272"/>
      <c r="C1722" s="272"/>
      <c r="D1722" s="172"/>
      <c r="E1722" s="267" t="str">
        <f t="shared" si="22"/>
        <v/>
      </c>
      <c r="F1722" s="274"/>
      <c r="G1722" s="42"/>
      <c r="H1722" s="264"/>
      <c r="I1722" s="277"/>
      <c r="J1722" s="276" t="str">
        <f>IF(ISBLANK(I1722), "", VLOOKUP(E1722&amp;" "&amp;F1722, 'Info Tipo de Cambio y REM'!$A$24:$B$35, 2, FALSE))
</f>
        <v/>
      </c>
      <c r="K1722" s="107"/>
      <c r="L1722" s="293"/>
      <c r="M1722" s="293"/>
      <c r="N1722" s="293"/>
      <c r="O1722" s="277"/>
      <c r="P1722" s="264"/>
      <c r="Q1722" s="264"/>
      <c r="R1722" s="264"/>
      <c r="S1722" s="264"/>
      <c r="T1722" s="264"/>
      <c r="U1722" s="264"/>
      <c r="V1722" s="264"/>
      <c r="W1722" s="264"/>
      <c r="X1722" s="264"/>
      <c r="Y1722" s="264"/>
      <c r="Z1722" s="264"/>
      <c r="AA1722" s="264"/>
      <c r="AB1722" s="264"/>
      <c r="AC1722" s="264"/>
      <c r="AD1722" s="264"/>
      <c r="AE1722" s="264"/>
    </row>
    <row r="1723">
      <c r="A1723" s="272"/>
      <c r="B1723" s="272"/>
      <c r="C1723" s="272"/>
      <c r="D1723" s="172"/>
      <c r="E1723" s="267" t="str">
        <f t="shared" si="22"/>
        <v/>
      </c>
      <c r="F1723" s="274"/>
      <c r="G1723" s="42"/>
      <c r="H1723" s="264"/>
      <c r="I1723" s="277"/>
      <c r="J1723" s="276" t="str">
        <f>IF(ISBLANK(I1723), "", VLOOKUP(E1723&amp;" "&amp;F1723, 'Info Tipo de Cambio y REM'!$A$24:$B$35, 2, FALSE))
</f>
        <v/>
      </c>
      <c r="K1723" s="107"/>
      <c r="L1723" s="293"/>
      <c r="M1723" s="293"/>
      <c r="N1723" s="293"/>
      <c r="O1723" s="277"/>
      <c r="P1723" s="264"/>
      <c r="Q1723" s="264"/>
      <c r="R1723" s="264"/>
      <c r="S1723" s="264"/>
      <c r="T1723" s="264"/>
      <c r="U1723" s="264"/>
      <c r="V1723" s="264"/>
      <c r="W1723" s="264"/>
      <c r="X1723" s="264"/>
      <c r="Y1723" s="264"/>
      <c r="Z1723" s="264"/>
      <c r="AA1723" s="264"/>
      <c r="AB1723" s="264"/>
      <c r="AC1723" s="264"/>
      <c r="AD1723" s="264"/>
      <c r="AE1723" s="264"/>
    </row>
    <row r="1724">
      <c r="A1724" s="272"/>
      <c r="B1724" s="272"/>
      <c r="C1724" s="272"/>
      <c r="D1724" s="172"/>
      <c r="E1724" s="267" t="str">
        <f t="shared" si="22"/>
        <v/>
      </c>
      <c r="F1724" s="274"/>
      <c r="G1724" s="42"/>
      <c r="H1724" s="264"/>
      <c r="I1724" s="277"/>
      <c r="J1724" s="276" t="str">
        <f>IF(ISBLANK(I1724), "", VLOOKUP(E1724&amp;" "&amp;F1724, 'Info Tipo de Cambio y REM'!$A$24:$B$35, 2, FALSE))
</f>
        <v/>
      </c>
      <c r="K1724" s="107"/>
      <c r="L1724" s="293"/>
      <c r="M1724" s="293"/>
      <c r="N1724" s="293"/>
      <c r="O1724" s="277"/>
      <c r="P1724" s="264"/>
      <c r="Q1724" s="264"/>
      <c r="R1724" s="264"/>
      <c r="S1724" s="264"/>
      <c r="T1724" s="264"/>
      <c r="U1724" s="264"/>
      <c r="V1724" s="264"/>
      <c r="W1724" s="264"/>
      <c r="X1724" s="264"/>
      <c r="Y1724" s="264"/>
      <c r="Z1724" s="264"/>
      <c r="AA1724" s="264"/>
      <c r="AB1724" s="264"/>
      <c r="AC1724" s="264"/>
      <c r="AD1724" s="264"/>
      <c r="AE1724" s="264"/>
    </row>
    <row r="1725">
      <c r="A1725" s="272"/>
      <c r="B1725" s="272"/>
      <c r="C1725" s="272"/>
      <c r="D1725" s="172"/>
      <c r="E1725" s="267" t="str">
        <f t="shared" si="22"/>
        <v/>
      </c>
      <c r="F1725" s="274"/>
      <c r="G1725" s="42"/>
      <c r="H1725" s="264"/>
      <c r="I1725" s="277"/>
      <c r="J1725" s="276" t="str">
        <f>IF(ISBLANK(I1725), "", VLOOKUP(E1725&amp;" "&amp;F1725, 'Info Tipo de Cambio y REM'!$A$24:$B$35, 2, FALSE))
</f>
        <v/>
      </c>
      <c r="K1725" s="107"/>
      <c r="L1725" s="293"/>
      <c r="M1725" s="293"/>
      <c r="N1725" s="293"/>
      <c r="O1725" s="277"/>
      <c r="P1725" s="264"/>
      <c r="Q1725" s="264"/>
      <c r="R1725" s="264"/>
      <c r="S1725" s="264"/>
      <c r="T1725" s="264"/>
      <c r="U1725" s="264"/>
      <c r="V1725" s="264"/>
      <c r="W1725" s="264"/>
      <c r="X1725" s="264"/>
      <c r="Y1725" s="264"/>
      <c r="Z1725" s="264"/>
      <c r="AA1725" s="264"/>
      <c r="AB1725" s="264"/>
      <c r="AC1725" s="264"/>
      <c r="AD1725" s="264"/>
      <c r="AE1725" s="264"/>
    </row>
    <row r="1726">
      <c r="A1726" s="272"/>
      <c r="B1726" s="272"/>
      <c r="C1726" s="272"/>
      <c r="D1726" s="172"/>
      <c r="E1726" s="267" t="str">
        <f t="shared" si="22"/>
        <v/>
      </c>
      <c r="F1726" s="274"/>
      <c r="G1726" s="42"/>
      <c r="H1726" s="264"/>
      <c r="I1726" s="277"/>
      <c r="J1726" s="276" t="str">
        <f>IF(ISBLANK(I1726), "", VLOOKUP(E1726&amp;" "&amp;F1726, 'Info Tipo de Cambio y REM'!$A$24:$B$35, 2, FALSE))
</f>
        <v/>
      </c>
      <c r="K1726" s="107"/>
      <c r="L1726" s="293"/>
      <c r="M1726" s="293"/>
      <c r="N1726" s="293"/>
      <c r="O1726" s="277"/>
      <c r="P1726" s="264"/>
      <c r="Q1726" s="264"/>
      <c r="R1726" s="264"/>
      <c r="S1726" s="264"/>
      <c r="T1726" s="264"/>
      <c r="U1726" s="264"/>
      <c r="V1726" s="264"/>
      <c r="W1726" s="264"/>
      <c r="X1726" s="264"/>
      <c r="Y1726" s="264"/>
      <c r="Z1726" s="264"/>
      <c r="AA1726" s="264"/>
      <c r="AB1726" s="264"/>
      <c r="AC1726" s="264"/>
      <c r="AD1726" s="264"/>
      <c r="AE1726" s="264"/>
    </row>
    <row r="1727">
      <c r="A1727" s="272"/>
      <c r="B1727" s="272"/>
      <c r="C1727" s="272"/>
      <c r="D1727" s="172"/>
      <c r="E1727" s="267" t="str">
        <f t="shared" si="22"/>
        <v/>
      </c>
      <c r="F1727" s="274"/>
      <c r="G1727" s="42"/>
      <c r="H1727" s="264"/>
      <c r="I1727" s="277"/>
      <c r="J1727" s="276" t="str">
        <f>IF(ISBLANK(I1727), "", VLOOKUP(E1727&amp;" "&amp;F1727, 'Info Tipo de Cambio y REM'!$A$24:$B$35, 2, FALSE))
</f>
        <v/>
      </c>
      <c r="K1727" s="107"/>
      <c r="L1727" s="293"/>
      <c r="M1727" s="293"/>
      <c r="N1727" s="293"/>
      <c r="O1727" s="277"/>
      <c r="P1727" s="264"/>
      <c r="Q1727" s="264"/>
      <c r="R1727" s="264"/>
      <c r="S1727" s="264"/>
      <c r="T1727" s="264"/>
      <c r="U1727" s="264"/>
      <c r="V1727" s="264"/>
      <c r="W1727" s="264"/>
      <c r="X1727" s="264"/>
      <c r="Y1727" s="264"/>
      <c r="Z1727" s="264"/>
      <c r="AA1727" s="264"/>
      <c r="AB1727" s="264"/>
      <c r="AC1727" s="264"/>
      <c r="AD1727" s="264"/>
      <c r="AE1727" s="264"/>
    </row>
    <row r="1728">
      <c r="A1728" s="272"/>
      <c r="B1728" s="272"/>
      <c r="C1728" s="272"/>
      <c r="D1728" s="172"/>
      <c r="E1728" s="267" t="str">
        <f t="shared" si="22"/>
        <v/>
      </c>
      <c r="F1728" s="274"/>
      <c r="G1728" s="42"/>
      <c r="H1728" s="264"/>
      <c r="I1728" s="277"/>
      <c r="J1728" s="276" t="str">
        <f>IF(ISBLANK(I1728), "", VLOOKUP(E1728&amp;" "&amp;F1728, 'Info Tipo de Cambio y REM'!$A$24:$B$35, 2, FALSE))
</f>
        <v/>
      </c>
      <c r="K1728" s="107"/>
      <c r="L1728" s="293"/>
      <c r="M1728" s="293"/>
      <c r="N1728" s="293"/>
      <c r="O1728" s="277"/>
      <c r="P1728" s="264"/>
      <c r="Q1728" s="264"/>
      <c r="R1728" s="264"/>
      <c r="S1728" s="264"/>
      <c r="T1728" s="264"/>
      <c r="U1728" s="264"/>
      <c r="V1728" s="264"/>
      <c r="W1728" s="264"/>
      <c r="X1728" s="264"/>
      <c r="Y1728" s="264"/>
      <c r="Z1728" s="264"/>
      <c r="AA1728" s="264"/>
      <c r="AB1728" s="264"/>
      <c r="AC1728" s="264"/>
      <c r="AD1728" s="264"/>
      <c r="AE1728" s="264"/>
    </row>
    <row r="1729">
      <c r="A1729" s="272"/>
      <c r="B1729" s="272"/>
      <c r="C1729" s="272"/>
      <c r="D1729" s="172"/>
      <c r="E1729" s="267" t="str">
        <f t="shared" si="22"/>
        <v/>
      </c>
      <c r="F1729" s="274"/>
      <c r="G1729" s="42"/>
      <c r="H1729" s="264"/>
      <c r="I1729" s="277"/>
      <c r="J1729" s="276" t="str">
        <f>IF(ISBLANK(I1729), "", VLOOKUP(E1729&amp;" "&amp;F1729, 'Info Tipo de Cambio y REM'!$A$24:$B$35, 2, FALSE))
</f>
        <v/>
      </c>
      <c r="K1729" s="107"/>
      <c r="L1729" s="293"/>
      <c r="M1729" s="293"/>
      <c r="N1729" s="293"/>
      <c r="O1729" s="277"/>
      <c r="P1729" s="264"/>
      <c r="Q1729" s="264"/>
      <c r="R1729" s="264"/>
      <c r="S1729" s="264"/>
      <c r="T1729" s="264"/>
      <c r="U1729" s="264"/>
      <c r="V1729" s="264"/>
      <c r="W1729" s="264"/>
      <c r="X1729" s="264"/>
      <c r="Y1729" s="264"/>
      <c r="Z1729" s="264"/>
      <c r="AA1729" s="264"/>
      <c r="AB1729" s="264"/>
      <c r="AC1729" s="264"/>
      <c r="AD1729" s="264"/>
      <c r="AE1729" s="264"/>
    </row>
    <row r="1730">
      <c r="A1730" s="272"/>
      <c r="B1730" s="272"/>
      <c r="C1730" s="272"/>
      <c r="D1730" s="172"/>
      <c r="E1730" s="267" t="str">
        <f t="shared" si="22"/>
        <v/>
      </c>
      <c r="F1730" s="274"/>
      <c r="G1730" s="42"/>
      <c r="H1730" s="264"/>
      <c r="I1730" s="277"/>
      <c r="J1730" s="276" t="str">
        <f>IF(ISBLANK(I1730), "", VLOOKUP(E1730&amp;" "&amp;F1730, 'Info Tipo de Cambio y REM'!$A$24:$B$35, 2, FALSE))
</f>
        <v/>
      </c>
      <c r="K1730" s="107"/>
      <c r="L1730" s="293"/>
      <c r="M1730" s="293"/>
      <c r="N1730" s="293"/>
      <c r="O1730" s="277"/>
      <c r="P1730" s="264"/>
      <c r="Q1730" s="264"/>
      <c r="R1730" s="264"/>
      <c r="S1730" s="264"/>
      <c r="T1730" s="264"/>
      <c r="U1730" s="264"/>
      <c r="V1730" s="264"/>
      <c r="W1730" s="264"/>
      <c r="X1730" s="264"/>
      <c r="Y1730" s="264"/>
      <c r="Z1730" s="264"/>
      <c r="AA1730" s="264"/>
      <c r="AB1730" s="264"/>
      <c r="AC1730" s="264"/>
      <c r="AD1730" s="264"/>
      <c r="AE1730" s="264"/>
    </row>
    <row r="1731">
      <c r="A1731" s="272"/>
      <c r="B1731" s="272"/>
      <c r="C1731" s="272"/>
      <c r="D1731" s="172"/>
      <c r="E1731" s="267" t="str">
        <f t="shared" si="22"/>
        <v/>
      </c>
      <c r="F1731" s="274"/>
      <c r="G1731" s="42"/>
      <c r="H1731" s="264"/>
      <c r="I1731" s="277"/>
      <c r="J1731" s="276" t="str">
        <f>IF(ISBLANK(I1731), "", VLOOKUP(E1731&amp;" "&amp;F1731, 'Info Tipo de Cambio y REM'!$A$24:$B$35, 2, FALSE))
</f>
        <v/>
      </c>
      <c r="K1731" s="107"/>
      <c r="L1731" s="293"/>
      <c r="M1731" s="293"/>
      <c r="N1731" s="293"/>
      <c r="O1731" s="277"/>
      <c r="P1731" s="264"/>
      <c r="Q1731" s="264"/>
      <c r="R1731" s="264"/>
      <c r="S1731" s="264"/>
      <c r="T1731" s="264"/>
      <c r="U1731" s="264"/>
      <c r="V1731" s="264"/>
      <c r="W1731" s="264"/>
      <c r="X1731" s="264"/>
      <c r="Y1731" s="264"/>
      <c r="Z1731" s="264"/>
      <c r="AA1731" s="264"/>
      <c r="AB1731" s="264"/>
      <c r="AC1731" s="264"/>
      <c r="AD1731" s="264"/>
      <c r="AE1731" s="264"/>
    </row>
    <row r="1732">
      <c r="A1732" s="272"/>
      <c r="B1732" s="272"/>
      <c r="C1732" s="272"/>
      <c r="D1732" s="172"/>
      <c r="E1732" s="267" t="str">
        <f t="shared" si="22"/>
        <v/>
      </c>
      <c r="F1732" s="274"/>
      <c r="G1732" s="42"/>
      <c r="H1732" s="264"/>
      <c r="I1732" s="277"/>
      <c r="J1732" s="276" t="str">
        <f>IF(ISBLANK(I1732), "", VLOOKUP(E1732&amp;" "&amp;F1732, 'Info Tipo de Cambio y REM'!$A$24:$B$35, 2, FALSE))
</f>
        <v/>
      </c>
      <c r="K1732" s="107"/>
      <c r="L1732" s="293"/>
      <c r="M1732" s="293"/>
      <c r="N1732" s="293"/>
      <c r="O1732" s="277"/>
      <c r="P1732" s="264"/>
      <c r="Q1732" s="264"/>
      <c r="R1732" s="264"/>
      <c r="S1732" s="264"/>
      <c r="T1732" s="264"/>
      <c r="U1732" s="264"/>
      <c r="V1732" s="264"/>
      <c r="W1732" s="264"/>
      <c r="X1732" s="264"/>
      <c r="Y1732" s="264"/>
      <c r="Z1732" s="264"/>
      <c r="AA1732" s="264"/>
      <c r="AB1732" s="264"/>
      <c r="AC1732" s="264"/>
      <c r="AD1732" s="264"/>
      <c r="AE1732" s="264"/>
    </row>
    <row r="1733">
      <c r="A1733" s="272"/>
      <c r="B1733" s="272"/>
      <c r="C1733" s="272"/>
      <c r="D1733" s="172"/>
      <c r="E1733" s="267" t="str">
        <f t="shared" si="22"/>
        <v/>
      </c>
      <c r="F1733" s="274"/>
      <c r="G1733" s="42"/>
      <c r="H1733" s="264"/>
      <c r="I1733" s="277"/>
      <c r="J1733" s="276" t="str">
        <f>IF(ISBLANK(I1733), "", VLOOKUP(E1733&amp;" "&amp;F1733, 'Info Tipo de Cambio y REM'!$A$24:$B$35, 2, FALSE))
</f>
        <v/>
      </c>
      <c r="K1733" s="107"/>
      <c r="L1733" s="293"/>
      <c r="M1733" s="293"/>
      <c r="N1733" s="293"/>
      <c r="O1733" s="277"/>
      <c r="P1733" s="264"/>
      <c r="Q1733" s="264"/>
      <c r="R1733" s="264"/>
      <c r="S1733" s="264"/>
      <c r="T1733" s="264"/>
      <c r="U1733" s="264"/>
      <c r="V1733" s="264"/>
      <c r="W1733" s="264"/>
      <c r="X1733" s="264"/>
      <c r="Y1733" s="264"/>
      <c r="Z1733" s="264"/>
      <c r="AA1733" s="264"/>
      <c r="AB1733" s="264"/>
      <c r="AC1733" s="264"/>
      <c r="AD1733" s="264"/>
      <c r="AE1733" s="264"/>
    </row>
    <row r="1734">
      <c r="A1734" s="272"/>
      <c r="B1734" s="272"/>
      <c r="C1734" s="272"/>
      <c r="D1734" s="172"/>
      <c r="E1734" s="267" t="str">
        <f t="shared" si="22"/>
        <v/>
      </c>
      <c r="F1734" s="274"/>
      <c r="G1734" s="42"/>
      <c r="H1734" s="264"/>
      <c r="I1734" s="277"/>
      <c r="J1734" s="276" t="str">
        <f>IF(ISBLANK(I1734), "", VLOOKUP(E1734&amp;" "&amp;F1734, 'Info Tipo de Cambio y REM'!$A$24:$B$35, 2, FALSE))
</f>
        <v/>
      </c>
      <c r="K1734" s="107"/>
      <c r="L1734" s="293"/>
      <c r="M1734" s="293"/>
      <c r="N1734" s="293"/>
      <c r="O1734" s="277"/>
      <c r="P1734" s="264"/>
      <c r="Q1734" s="264"/>
      <c r="R1734" s="264"/>
      <c r="S1734" s="264"/>
      <c r="T1734" s="264"/>
      <c r="U1734" s="264"/>
      <c r="V1734" s="264"/>
      <c r="W1734" s="264"/>
      <c r="X1734" s="264"/>
      <c r="Y1734" s="264"/>
      <c r="Z1734" s="264"/>
      <c r="AA1734" s="264"/>
      <c r="AB1734" s="264"/>
      <c r="AC1734" s="264"/>
      <c r="AD1734" s="264"/>
      <c r="AE1734" s="264"/>
    </row>
    <row r="1735">
      <c r="A1735" s="272"/>
      <c r="B1735" s="272"/>
      <c r="C1735" s="272"/>
      <c r="D1735" s="172"/>
      <c r="E1735" s="267" t="str">
        <f t="shared" si="22"/>
        <v/>
      </c>
      <c r="F1735" s="274"/>
      <c r="G1735" s="42"/>
      <c r="H1735" s="264"/>
      <c r="I1735" s="277"/>
      <c r="J1735" s="276" t="str">
        <f>IF(ISBLANK(I1735), "", VLOOKUP(E1735&amp;" "&amp;F1735, 'Info Tipo de Cambio y REM'!$A$24:$B$35, 2, FALSE))
</f>
        <v/>
      </c>
      <c r="K1735" s="107"/>
      <c r="L1735" s="293"/>
      <c r="M1735" s="293"/>
      <c r="N1735" s="293"/>
      <c r="O1735" s="277"/>
      <c r="P1735" s="264"/>
      <c r="Q1735" s="264"/>
      <c r="R1735" s="264"/>
      <c r="S1735" s="264"/>
      <c r="T1735" s="264"/>
      <c r="U1735" s="264"/>
      <c r="V1735" s="264"/>
      <c r="W1735" s="264"/>
      <c r="X1735" s="264"/>
      <c r="Y1735" s="264"/>
      <c r="Z1735" s="264"/>
      <c r="AA1735" s="264"/>
      <c r="AB1735" s="264"/>
      <c r="AC1735" s="264"/>
      <c r="AD1735" s="264"/>
      <c r="AE1735" s="264"/>
    </row>
    <row r="1736">
      <c r="A1736" s="272"/>
      <c r="B1736" s="272"/>
      <c r="C1736" s="272"/>
      <c r="D1736" s="172"/>
      <c r="E1736" s="267" t="str">
        <f t="shared" si="22"/>
        <v/>
      </c>
      <c r="F1736" s="274"/>
      <c r="G1736" s="42"/>
      <c r="H1736" s="264"/>
      <c r="I1736" s="277"/>
      <c r="J1736" s="276" t="str">
        <f>IF(ISBLANK(I1736), "", VLOOKUP(E1736&amp;" "&amp;F1736, 'Info Tipo de Cambio y REM'!$A$24:$B$35, 2, FALSE))
</f>
        <v/>
      </c>
      <c r="K1736" s="107"/>
      <c r="L1736" s="293"/>
      <c r="M1736" s="293"/>
      <c r="N1736" s="293"/>
      <c r="O1736" s="277"/>
      <c r="P1736" s="264"/>
      <c r="Q1736" s="264"/>
      <c r="R1736" s="264"/>
      <c r="S1736" s="264"/>
      <c r="T1736" s="264"/>
      <c r="U1736" s="264"/>
      <c r="V1736" s="264"/>
      <c r="W1736" s="264"/>
      <c r="X1736" s="264"/>
      <c r="Y1736" s="264"/>
      <c r="Z1736" s="264"/>
      <c r="AA1736" s="264"/>
      <c r="AB1736" s="264"/>
      <c r="AC1736" s="264"/>
      <c r="AD1736" s="264"/>
      <c r="AE1736" s="264"/>
    </row>
    <row r="1737">
      <c r="A1737" s="272"/>
      <c r="B1737" s="272"/>
      <c r="C1737" s="272"/>
      <c r="D1737" s="172"/>
      <c r="E1737" s="267" t="str">
        <f t="shared" si="22"/>
        <v/>
      </c>
      <c r="F1737" s="274"/>
      <c r="G1737" s="42"/>
      <c r="H1737" s="264"/>
      <c r="I1737" s="277"/>
      <c r="J1737" s="276" t="str">
        <f>IF(ISBLANK(I1737), "", VLOOKUP(E1737&amp;" "&amp;F1737, 'Info Tipo de Cambio y REM'!$A$24:$B$35, 2, FALSE))
</f>
        <v/>
      </c>
      <c r="K1737" s="107"/>
      <c r="L1737" s="293"/>
      <c r="M1737" s="293"/>
      <c r="N1737" s="293"/>
      <c r="O1737" s="277"/>
      <c r="P1737" s="264"/>
      <c r="Q1737" s="264"/>
      <c r="R1737" s="264"/>
      <c r="S1737" s="264"/>
      <c r="T1737" s="264"/>
      <c r="U1737" s="264"/>
      <c r="V1737" s="264"/>
      <c r="W1737" s="264"/>
      <c r="X1737" s="264"/>
      <c r="Y1737" s="264"/>
      <c r="Z1737" s="264"/>
      <c r="AA1737" s="264"/>
      <c r="AB1737" s="264"/>
      <c r="AC1737" s="264"/>
      <c r="AD1737" s="264"/>
      <c r="AE1737" s="264"/>
    </row>
    <row r="1738">
      <c r="A1738" s="272"/>
      <c r="B1738" s="272"/>
      <c r="C1738" s="272"/>
      <c r="D1738" s="172"/>
      <c r="E1738" s="267" t="str">
        <f t="shared" si="22"/>
        <v/>
      </c>
      <c r="F1738" s="274"/>
      <c r="G1738" s="42"/>
      <c r="H1738" s="264"/>
      <c r="I1738" s="277"/>
      <c r="J1738" s="276" t="str">
        <f>IF(ISBLANK(I1738), "", VLOOKUP(E1738&amp;" "&amp;F1738, 'Info Tipo de Cambio y REM'!$A$24:$B$35, 2, FALSE))
</f>
        <v/>
      </c>
      <c r="K1738" s="107"/>
      <c r="L1738" s="293"/>
      <c r="M1738" s="293"/>
      <c r="N1738" s="293"/>
      <c r="O1738" s="277"/>
      <c r="P1738" s="264"/>
      <c r="Q1738" s="264"/>
      <c r="R1738" s="264"/>
      <c r="S1738" s="264"/>
      <c r="T1738" s="264"/>
      <c r="U1738" s="264"/>
      <c r="V1738" s="264"/>
      <c r="W1738" s="264"/>
      <c r="X1738" s="264"/>
      <c r="Y1738" s="264"/>
      <c r="Z1738" s="264"/>
      <c r="AA1738" s="264"/>
      <c r="AB1738" s="264"/>
      <c r="AC1738" s="264"/>
      <c r="AD1738" s="264"/>
      <c r="AE1738" s="264"/>
    </row>
    <row r="1739">
      <c r="A1739" s="272"/>
      <c r="B1739" s="272"/>
      <c r="C1739" s="272"/>
      <c r="D1739" s="172"/>
      <c r="E1739" s="267" t="str">
        <f t="shared" si="22"/>
        <v/>
      </c>
      <c r="F1739" s="274"/>
      <c r="G1739" s="42"/>
      <c r="H1739" s="264"/>
      <c r="I1739" s="277"/>
      <c r="J1739" s="276" t="str">
        <f>IF(ISBLANK(I1739), "", VLOOKUP(E1739&amp;" "&amp;F1739, 'Info Tipo de Cambio y REM'!$A$24:$B$35, 2, FALSE))
</f>
        <v/>
      </c>
      <c r="K1739" s="107"/>
      <c r="L1739" s="293"/>
      <c r="M1739" s="293"/>
      <c r="N1739" s="293"/>
      <c r="O1739" s="277"/>
      <c r="P1739" s="264"/>
      <c r="Q1739" s="264"/>
      <c r="R1739" s="264"/>
      <c r="S1739" s="264"/>
      <c r="T1739" s="264"/>
      <c r="U1739" s="264"/>
      <c r="V1739" s="264"/>
      <c r="W1739" s="264"/>
      <c r="X1739" s="264"/>
      <c r="Y1739" s="264"/>
      <c r="Z1739" s="264"/>
      <c r="AA1739" s="264"/>
      <c r="AB1739" s="264"/>
      <c r="AC1739" s="264"/>
      <c r="AD1739" s="264"/>
      <c r="AE1739" s="264"/>
    </row>
    <row r="1740">
      <c r="A1740" s="272"/>
      <c r="B1740" s="272"/>
      <c r="C1740" s="272"/>
      <c r="D1740" s="172"/>
      <c r="E1740" s="267" t="str">
        <f t="shared" si="22"/>
        <v/>
      </c>
      <c r="F1740" s="274"/>
      <c r="G1740" s="42"/>
      <c r="H1740" s="264"/>
      <c r="I1740" s="277"/>
      <c r="J1740" s="276" t="str">
        <f>IF(ISBLANK(I1740), "", VLOOKUP(E1740&amp;" "&amp;F1740, 'Info Tipo de Cambio y REM'!$A$24:$B$35, 2, FALSE))
</f>
        <v/>
      </c>
      <c r="K1740" s="107"/>
      <c r="L1740" s="293"/>
      <c r="M1740" s="293"/>
      <c r="N1740" s="293"/>
      <c r="O1740" s="277"/>
      <c r="P1740" s="264"/>
      <c r="Q1740" s="264"/>
      <c r="R1740" s="264"/>
      <c r="S1740" s="264"/>
      <c r="T1740" s="264"/>
      <c r="U1740" s="264"/>
      <c r="V1740" s="264"/>
      <c r="W1740" s="264"/>
      <c r="X1740" s="264"/>
      <c r="Y1740" s="264"/>
      <c r="Z1740" s="264"/>
      <c r="AA1740" s="264"/>
      <c r="AB1740" s="264"/>
      <c r="AC1740" s="264"/>
      <c r="AD1740" s="264"/>
      <c r="AE1740" s="264"/>
    </row>
    <row r="1741">
      <c r="A1741" s="272"/>
      <c r="B1741" s="272"/>
      <c r="C1741" s="272"/>
      <c r="D1741" s="172"/>
      <c r="E1741" s="267" t="str">
        <f t="shared" si="22"/>
        <v/>
      </c>
      <c r="F1741" s="274"/>
      <c r="G1741" s="42"/>
      <c r="H1741" s="264"/>
      <c r="I1741" s="277"/>
      <c r="J1741" s="276" t="str">
        <f>IF(ISBLANK(I1741), "", VLOOKUP(E1741&amp;" "&amp;F1741, 'Info Tipo de Cambio y REM'!$A$24:$B$35, 2, FALSE))
</f>
        <v/>
      </c>
      <c r="K1741" s="107"/>
      <c r="L1741" s="293"/>
      <c r="M1741" s="293"/>
      <c r="N1741" s="293"/>
      <c r="O1741" s="277"/>
      <c r="P1741" s="264"/>
      <c r="Q1741" s="264"/>
      <c r="R1741" s="264"/>
      <c r="S1741" s="264"/>
      <c r="T1741" s="264"/>
      <c r="U1741" s="264"/>
      <c r="V1741" s="264"/>
      <c r="W1741" s="264"/>
      <c r="X1741" s="264"/>
      <c r="Y1741" s="264"/>
      <c r="Z1741" s="264"/>
      <c r="AA1741" s="264"/>
      <c r="AB1741" s="264"/>
      <c r="AC1741" s="264"/>
      <c r="AD1741" s="264"/>
      <c r="AE1741" s="264"/>
    </row>
    <row r="1742">
      <c r="A1742" s="272"/>
      <c r="B1742" s="272"/>
      <c r="C1742" s="272"/>
      <c r="D1742" s="172"/>
      <c r="E1742" s="267" t="str">
        <f t="shared" si="22"/>
        <v/>
      </c>
      <c r="F1742" s="274"/>
      <c r="G1742" s="42"/>
      <c r="H1742" s="264"/>
      <c r="I1742" s="277"/>
      <c r="J1742" s="276" t="str">
        <f>IF(ISBLANK(I1742), "", VLOOKUP(E1742&amp;" "&amp;F1742, 'Info Tipo de Cambio y REM'!$A$24:$B$35, 2, FALSE))
</f>
        <v/>
      </c>
      <c r="K1742" s="107"/>
      <c r="L1742" s="293"/>
      <c r="M1742" s="293"/>
      <c r="N1742" s="293"/>
      <c r="O1742" s="277"/>
      <c r="P1742" s="264"/>
      <c r="Q1742" s="264"/>
      <c r="R1742" s="264"/>
      <c r="S1742" s="264"/>
      <c r="T1742" s="264"/>
      <c r="U1742" s="264"/>
      <c r="V1742" s="264"/>
      <c r="W1742" s="264"/>
      <c r="X1742" s="264"/>
      <c r="Y1742" s="264"/>
      <c r="Z1742" s="264"/>
      <c r="AA1742" s="264"/>
      <c r="AB1742" s="264"/>
      <c r="AC1742" s="264"/>
      <c r="AD1742" s="264"/>
      <c r="AE1742" s="264"/>
    </row>
    <row r="1743">
      <c r="A1743" s="272"/>
      <c r="B1743" s="272"/>
      <c r="C1743" s="272"/>
      <c r="D1743" s="172"/>
      <c r="E1743" s="267" t="str">
        <f t="shared" si="22"/>
        <v/>
      </c>
      <c r="F1743" s="274"/>
      <c r="G1743" s="42"/>
      <c r="H1743" s="264"/>
      <c r="I1743" s="277"/>
      <c r="J1743" s="276" t="str">
        <f>IF(ISBLANK(I1743), "", VLOOKUP(E1743&amp;" "&amp;F1743, 'Info Tipo de Cambio y REM'!$A$24:$B$35, 2, FALSE))
</f>
        <v/>
      </c>
      <c r="K1743" s="107"/>
      <c r="L1743" s="293"/>
      <c r="M1743" s="293"/>
      <c r="N1743" s="293"/>
      <c r="O1743" s="277"/>
      <c r="P1743" s="264"/>
      <c r="Q1743" s="264"/>
      <c r="R1743" s="264"/>
      <c r="S1743" s="264"/>
      <c r="T1743" s="264"/>
      <c r="U1743" s="264"/>
      <c r="V1743" s="264"/>
      <c r="W1743" s="264"/>
      <c r="X1743" s="264"/>
      <c r="Y1743" s="264"/>
      <c r="Z1743" s="264"/>
      <c r="AA1743" s="264"/>
      <c r="AB1743" s="264"/>
      <c r="AC1743" s="264"/>
      <c r="AD1743" s="264"/>
      <c r="AE1743" s="264"/>
    </row>
    <row r="1744">
      <c r="A1744" s="272"/>
      <c r="B1744" s="272"/>
      <c r="C1744" s="272"/>
      <c r="D1744" s="172"/>
      <c r="E1744" s="267" t="str">
        <f t="shared" si="22"/>
        <v/>
      </c>
      <c r="F1744" s="274"/>
      <c r="G1744" s="42"/>
      <c r="H1744" s="264"/>
      <c r="I1744" s="277"/>
      <c r="J1744" s="276" t="str">
        <f>IF(ISBLANK(I1744), "", VLOOKUP(E1744&amp;" "&amp;F1744, 'Info Tipo de Cambio y REM'!$A$24:$B$35, 2, FALSE))
</f>
        <v/>
      </c>
      <c r="K1744" s="107"/>
      <c r="L1744" s="293"/>
      <c r="M1744" s="293"/>
      <c r="N1744" s="293"/>
      <c r="O1744" s="277"/>
      <c r="P1744" s="264"/>
      <c r="Q1744" s="264"/>
      <c r="R1744" s="264"/>
      <c r="S1744" s="264"/>
      <c r="T1744" s="264"/>
      <c r="U1744" s="264"/>
      <c r="V1744" s="264"/>
      <c r="W1744" s="264"/>
      <c r="X1744" s="264"/>
      <c r="Y1744" s="264"/>
      <c r="Z1744" s="264"/>
      <c r="AA1744" s="264"/>
      <c r="AB1744" s="264"/>
      <c r="AC1744" s="264"/>
      <c r="AD1744" s="264"/>
      <c r="AE1744" s="264"/>
    </row>
    <row r="1745">
      <c r="A1745" s="272"/>
      <c r="B1745" s="272"/>
      <c r="C1745" s="272"/>
      <c r="D1745" s="172"/>
      <c r="E1745" s="267" t="str">
        <f t="shared" si="22"/>
        <v/>
      </c>
      <c r="F1745" s="274"/>
      <c r="G1745" s="42"/>
      <c r="H1745" s="264"/>
      <c r="I1745" s="277"/>
      <c r="J1745" s="276" t="str">
        <f>IF(ISBLANK(I1745), "", VLOOKUP(E1745&amp;" "&amp;F1745, 'Info Tipo de Cambio y REM'!$A$24:$B$35, 2, FALSE))
</f>
        <v/>
      </c>
      <c r="K1745" s="107"/>
      <c r="L1745" s="293"/>
      <c r="M1745" s="293"/>
      <c r="N1745" s="293"/>
      <c r="O1745" s="277"/>
      <c r="P1745" s="264"/>
      <c r="Q1745" s="264"/>
      <c r="R1745" s="264"/>
      <c r="S1745" s="264"/>
      <c r="T1745" s="264"/>
      <c r="U1745" s="264"/>
      <c r="V1745" s="264"/>
      <c r="W1745" s="264"/>
      <c r="X1745" s="264"/>
      <c r="Y1745" s="264"/>
      <c r="Z1745" s="264"/>
      <c r="AA1745" s="264"/>
      <c r="AB1745" s="264"/>
      <c r="AC1745" s="264"/>
      <c r="AD1745" s="264"/>
      <c r="AE1745" s="264"/>
    </row>
    <row r="1746">
      <c r="A1746" s="272"/>
      <c r="B1746" s="272"/>
      <c r="C1746" s="272"/>
      <c r="D1746" s="172"/>
      <c r="E1746" s="267" t="str">
        <f t="shared" si="22"/>
        <v/>
      </c>
      <c r="F1746" s="274"/>
      <c r="G1746" s="42"/>
      <c r="H1746" s="264"/>
      <c r="I1746" s="277"/>
      <c r="J1746" s="276" t="str">
        <f>IF(ISBLANK(I1746), "", VLOOKUP(E1746&amp;" "&amp;F1746, 'Info Tipo de Cambio y REM'!$A$24:$B$35, 2, FALSE))
</f>
        <v/>
      </c>
      <c r="K1746" s="107"/>
      <c r="L1746" s="293"/>
      <c r="M1746" s="293"/>
      <c r="N1746" s="293"/>
      <c r="O1746" s="277"/>
      <c r="P1746" s="264"/>
      <c r="Q1746" s="264"/>
      <c r="R1746" s="264"/>
      <c r="S1746" s="264"/>
      <c r="T1746" s="264"/>
      <c r="U1746" s="264"/>
      <c r="V1746" s="264"/>
      <c r="W1746" s="264"/>
      <c r="X1746" s="264"/>
      <c r="Y1746" s="264"/>
      <c r="Z1746" s="264"/>
      <c r="AA1746" s="264"/>
      <c r="AB1746" s="264"/>
      <c r="AC1746" s="264"/>
      <c r="AD1746" s="264"/>
      <c r="AE1746" s="264"/>
    </row>
    <row r="1747">
      <c r="A1747" s="272"/>
      <c r="B1747" s="272"/>
      <c r="C1747" s="272"/>
      <c r="D1747" s="172"/>
      <c r="E1747" s="267" t="str">
        <f t="shared" si="22"/>
        <v/>
      </c>
      <c r="F1747" s="274"/>
      <c r="G1747" s="42"/>
      <c r="H1747" s="264"/>
      <c r="I1747" s="277"/>
      <c r="J1747" s="276" t="str">
        <f>IF(ISBLANK(I1747), "", VLOOKUP(E1747&amp;" "&amp;F1747, 'Info Tipo de Cambio y REM'!$A$24:$B$35, 2, FALSE))
</f>
        <v/>
      </c>
      <c r="K1747" s="107"/>
      <c r="L1747" s="293"/>
      <c r="M1747" s="293"/>
      <c r="N1747" s="293"/>
      <c r="O1747" s="277"/>
      <c r="P1747" s="264"/>
      <c r="Q1747" s="264"/>
      <c r="R1747" s="264"/>
      <c r="S1747" s="264"/>
      <c r="T1747" s="264"/>
      <c r="U1747" s="264"/>
      <c r="V1747" s="264"/>
      <c r="W1747" s="264"/>
      <c r="X1747" s="264"/>
      <c r="Y1747" s="264"/>
      <c r="Z1747" s="264"/>
      <c r="AA1747" s="264"/>
      <c r="AB1747" s="264"/>
      <c r="AC1747" s="264"/>
      <c r="AD1747" s="264"/>
      <c r="AE1747" s="264"/>
    </row>
    <row r="1748">
      <c r="A1748" s="272"/>
      <c r="B1748" s="272"/>
      <c r="C1748" s="272"/>
      <c r="D1748" s="172"/>
      <c r="E1748" s="267" t="str">
        <f t="shared" si="22"/>
        <v/>
      </c>
      <c r="F1748" s="274"/>
      <c r="G1748" s="42"/>
      <c r="H1748" s="264"/>
      <c r="I1748" s="277"/>
      <c r="J1748" s="276" t="str">
        <f>IF(ISBLANK(I1748), "", VLOOKUP(E1748&amp;" "&amp;F1748, 'Info Tipo de Cambio y REM'!$A$24:$B$35, 2, FALSE))
</f>
        <v/>
      </c>
      <c r="K1748" s="107"/>
      <c r="L1748" s="293"/>
      <c r="M1748" s="293"/>
      <c r="N1748" s="293"/>
      <c r="O1748" s="277"/>
      <c r="P1748" s="264"/>
      <c r="Q1748" s="264"/>
      <c r="R1748" s="264"/>
      <c r="S1748" s="264"/>
      <c r="T1748" s="264"/>
      <c r="U1748" s="264"/>
      <c r="V1748" s="264"/>
      <c r="W1748" s="264"/>
      <c r="X1748" s="264"/>
      <c r="Y1748" s="264"/>
      <c r="Z1748" s="264"/>
      <c r="AA1748" s="264"/>
      <c r="AB1748" s="264"/>
      <c r="AC1748" s="264"/>
      <c r="AD1748" s="264"/>
      <c r="AE1748" s="264"/>
    </row>
    <row r="1749">
      <c r="A1749" s="272"/>
      <c r="B1749" s="272"/>
      <c r="C1749" s="272"/>
      <c r="D1749" s="172"/>
      <c r="E1749" s="267" t="str">
        <f t="shared" si="22"/>
        <v/>
      </c>
      <c r="F1749" s="274"/>
      <c r="G1749" s="42"/>
      <c r="H1749" s="264"/>
      <c r="I1749" s="277"/>
      <c r="J1749" s="276" t="str">
        <f>IF(ISBLANK(I1749), "", VLOOKUP(E1749&amp;" "&amp;F1749, 'Info Tipo de Cambio y REM'!$A$24:$B$35, 2, FALSE))
</f>
        <v/>
      </c>
      <c r="K1749" s="107"/>
      <c r="L1749" s="293"/>
      <c r="M1749" s="293"/>
      <c r="N1749" s="293"/>
      <c r="O1749" s="277"/>
      <c r="P1749" s="264"/>
      <c r="Q1749" s="264"/>
      <c r="R1749" s="264"/>
      <c r="S1749" s="264"/>
      <c r="T1749" s="264"/>
      <c r="U1749" s="264"/>
      <c r="V1749" s="264"/>
      <c r="W1749" s="264"/>
      <c r="X1749" s="264"/>
      <c r="Y1749" s="264"/>
      <c r="Z1749" s="264"/>
      <c r="AA1749" s="264"/>
      <c r="AB1749" s="264"/>
      <c r="AC1749" s="264"/>
      <c r="AD1749" s="264"/>
      <c r="AE1749" s="264"/>
    </row>
    <row r="1750">
      <c r="A1750" s="272"/>
      <c r="B1750" s="272"/>
      <c r="C1750" s="272"/>
      <c r="D1750" s="172"/>
      <c r="E1750" s="267" t="str">
        <f t="shared" si="22"/>
        <v/>
      </c>
      <c r="F1750" s="274"/>
      <c r="G1750" s="42"/>
      <c r="H1750" s="264"/>
      <c r="I1750" s="277"/>
      <c r="J1750" s="276" t="str">
        <f>IF(ISBLANK(I1750), "", VLOOKUP(E1750&amp;" "&amp;F1750, 'Info Tipo de Cambio y REM'!$A$24:$B$35, 2, FALSE))
</f>
        <v/>
      </c>
      <c r="K1750" s="107"/>
      <c r="L1750" s="293"/>
      <c r="M1750" s="293"/>
      <c r="N1750" s="293"/>
      <c r="O1750" s="277"/>
      <c r="P1750" s="264"/>
      <c r="Q1750" s="264"/>
      <c r="R1750" s="264"/>
      <c r="S1750" s="264"/>
      <c r="T1750" s="264"/>
      <c r="U1750" s="264"/>
      <c r="V1750" s="264"/>
      <c r="W1750" s="264"/>
      <c r="X1750" s="264"/>
      <c r="Y1750" s="264"/>
      <c r="Z1750" s="264"/>
      <c r="AA1750" s="264"/>
      <c r="AB1750" s="264"/>
      <c r="AC1750" s="264"/>
      <c r="AD1750" s="264"/>
      <c r="AE1750" s="264"/>
    </row>
    <row r="1751">
      <c r="A1751" s="272"/>
      <c r="B1751" s="272"/>
      <c r="C1751" s="272"/>
      <c r="D1751" s="172"/>
      <c r="E1751" s="267" t="str">
        <f t="shared" si="22"/>
        <v/>
      </c>
      <c r="F1751" s="274"/>
      <c r="G1751" s="42"/>
      <c r="H1751" s="264"/>
      <c r="I1751" s="277"/>
      <c r="J1751" s="276" t="str">
        <f>IF(ISBLANK(I1751), "", VLOOKUP(E1751&amp;" "&amp;F1751, 'Info Tipo de Cambio y REM'!$A$24:$B$35, 2, FALSE))
</f>
        <v/>
      </c>
      <c r="K1751" s="107"/>
      <c r="L1751" s="293"/>
      <c r="M1751" s="293"/>
      <c r="N1751" s="293"/>
      <c r="O1751" s="277"/>
      <c r="P1751" s="264"/>
      <c r="Q1751" s="264"/>
      <c r="R1751" s="264"/>
      <c r="S1751" s="264"/>
      <c r="T1751" s="264"/>
      <c r="U1751" s="264"/>
      <c r="V1751" s="264"/>
      <c r="W1751" s="264"/>
      <c r="X1751" s="264"/>
      <c r="Y1751" s="264"/>
      <c r="Z1751" s="264"/>
      <c r="AA1751" s="264"/>
      <c r="AB1751" s="264"/>
      <c r="AC1751" s="264"/>
      <c r="AD1751" s="264"/>
      <c r="AE1751" s="264"/>
    </row>
    <row r="1752">
      <c r="A1752" s="272"/>
      <c r="B1752" s="272"/>
      <c r="C1752" s="272"/>
      <c r="D1752" s="172"/>
      <c r="E1752" s="267" t="str">
        <f t="shared" si="22"/>
        <v/>
      </c>
      <c r="F1752" s="274"/>
      <c r="G1752" s="42"/>
      <c r="H1752" s="264"/>
      <c r="I1752" s="277"/>
      <c r="J1752" s="276" t="str">
        <f>IF(ISBLANK(I1752), "", VLOOKUP(E1752&amp;" "&amp;F1752, 'Info Tipo de Cambio y REM'!$A$24:$B$35, 2, FALSE))
</f>
        <v/>
      </c>
      <c r="K1752" s="107"/>
      <c r="L1752" s="293"/>
      <c r="M1752" s="293"/>
      <c r="N1752" s="293"/>
      <c r="O1752" s="277"/>
      <c r="P1752" s="264"/>
      <c r="Q1752" s="264"/>
      <c r="R1752" s="264"/>
      <c r="S1752" s="264"/>
      <c r="T1752" s="264"/>
      <c r="U1752" s="264"/>
      <c r="V1752" s="264"/>
      <c r="W1752" s="264"/>
      <c r="X1752" s="264"/>
      <c r="Y1752" s="264"/>
      <c r="Z1752" s="264"/>
      <c r="AA1752" s="264"/>
      <c r="AB1752" s="264"/>
      <c r="AC1752" s="264"/>
      <c r="AD1752" s="264"/>
      <c r="AE1752" s="264"/>
    </row>
    <row r="1753">
      <c r="A1753" s="272"/>
      <c r="B1753" s="272"/>
      <c r="C1753" s="272"/>
      <c r="D1753" s="172"/>
      <c r="E1753" s="267" t="str">
        <f t="shared" si="22"/>
        <v/>
      </c>
      <c r="F1753" s="274"/>
      <c r="G1753" s="42"/>
      <c r="H1753" s="264"/>
      <c r="I1753" s="277"/>
      <c r="J1753" s="276" t="str">
        <f>IF(ISBLANK(I1753), "", VLOOKUP(E1753&amp;" "&amp;F1753, 'Info Tipo de Cambio y REM'!$A$24:$B$35, 2, FALSE))
</f>
        <v/>
      </c>
      <c r="K1753" s="107"/>
      <c r="L1753" s="293"/>
      <c r="M1753" s="293"/>
      <c r="N1753" s="293"/>
      <c r="O1753" s="277"/>
      <c r="P1753" s="264"/>
      <c r="Q1753" s="264"/>
      <c r="R1753" s="264"/>
      <c r="S1753" s="264"/>
      <c r="T1753" s="264"/>
      <c r="U1753" s="264"/>
      <c r="V1753" s="264"/>
      <c r="W1753" s="264"/>
      <c r="X1753" s="264"/>
      <c r="Y1753" s="264"/>
      <c r="Z1753" s="264"/>
      <c r="AA1753" s="264"/>
      <c r="AB1753" s="264"/>
      <c r="AC1753" s="264"/>
      <c r="AD1753" s="264"/>
      <c r="AE1753" s="264"/>
    </row>
    <row r="1754">
      <c r="A1754" s="272"/>
      <c r="B1754" s="272"/>
      <c r="C1754" s="272"/>
      <c r="D1754" s="172"/>
      <c r="E1754" s="267" t="str">
        <f t="shared" si="22"/>
        <v/>
      </c>
      <c r="F1754" s="274"/>
      <c r="G1754" s="42"/>
      <c r="H1754" s="264"/>
      <c r="I1754" s="277"/>
      <c r="J1754" s="276" t="str">
        <f>IF(ISBLANK(I1754), "", VLOOKUP(E1754&amp;" "&amp;F1754, 'Info Tipo de Cambio y REM'!$A$24:$B$35, 2, FALSE))
</f>
        <v/>
      </c>
      <c r="K1754" s="107"/>
      <c r="L1754" s="293"/>
      <c r="M1754" s="293"/>
      <c r="N1754" s="293"/>
      <c r="O1754" s="277"/>
      <c r="P1754" s="264"/>
      <c r="Q1754" s="264"/>
      <c r="R1754" s="264"/>
      <c r="S1754" s="264"/>
      <c r="T1754" s="264"/>
      <c r="U1754" s="264"/>
      <c r="V1754" s="264"/>
      <c r="W1754" s="264"/>
      <c r="X1754" s="264"/>
      <c r="Y1754" s="264"/>
      <c r="Z1754" s="264"/>
      <c r="AA1754" s="264"/>
      <c r="AB1754" s="264"/>
      <c r="AC1754" s="264"/>
      <c r="AD1754" s="264"/>
      <c r="AE1754" s="264"/>
    </row>
    <row r="1755">
      <c r="A1755" s="272"/>
      <c r="B1755" s="272"/>
      <c r="C1755" s="272"/>
      <c r="D1755" s="172"/>
      <c r="E1755" s="267" t="str">
        <f t="shared" si="22"/>
        <v/>
      </c>
      <c r="F1755" s="274"/>
      <c r="G1755" s="42"/>
      <c r="H1755" s="264"/>
      <c r="I1755" s="277"/>
      <c r="J1755" s="276" t="str">
        <f>IF(ISBLANK(I1755), "", VLOOKUP(E1755&amp;" "&amp;F1755, 'Info Tipo de Cambio y REM'!$A$24:$B$35, 2, FALSE))
</f>
        <v/>
      </c>
      <c r="K1755" s="107"/>
      <c r="L1755" s="293"/>
      <c r="M1755" s="293"/>
      <c r="N1755" s="293"/>
      <c r="O1755" s="277"/>
      <c r="P1755" s="264"/>
      <c r="Q1755" s="264"/>
      <c r="R1755" s="264"/>
      <c r="S1755" s="264"/>
      <c r="T1755" s="264"/>
      <c r="U1755" s="264"/>
      <c r="V1755" s="264"/>
      <c r="W1755" s="264"/>
      <c r="X1755" s="264"/>
      <c r="Y1755" s="264"/>
      <c r="Z1755" s="264"/>
      <c r="AA1755" s="264"/>
      <c r="AB1755" s="264"/>
      <c r="AC1755" s="264"/>
      <c r="AD1755" s="264"/>
      <c r="AE1755" s="264"/>
    </row>
    <row r="1756">
      <c r="A1756" s="272"/>
      <c r="B1756" s="272"/>
      <c r="C1756" s="272"/>
      <c r="D1756" s="172"/>
      <c r="E1756" s="267" t="str">
        <f t="shared" si="22"/>
        <v/>
      </c>
      <c r="F1756" s="274"/>
      <c r="G1756" s="42"/>
      <c r="H1756" s="264"/>
      <c r="I1756" s="277"/>
      <c r="J1756" s="276" t="str">
        <f>IF(ISBLANK(I1756), "", VLOOKUP(E1756&amp;" "&amp;F1756, 'Info Tipo de Cambio y REM'!$A$24:$B$35, 2, FALSE))
</f>
        <v/>
      </c>
      <c r="K1756" s="107"/>
      <c r="L1756" s="293"/>
      <c r="M1756" s="293"/>
      <c r="N1756" s="293"/>
      <c r="O1756" s="277"/>
      <c r="P1756" s="264"/>
      <c r="Q1756" s="264"/>
      <c r="R1756" s="264"/>
      <c r="S1756" s="264"/>
      <c r="T1756" s="264"/>
      <c r="U1756" s="264"/>
      <c r="V1756" s="264"/>
      <c r="W1756" s="264"/>
      <c r="X1756" s="264"/>
      <c r="Y1756" s="264"/>
      <c r="Z1756" s="264"/>
      <c r="AA1756" s="264"/>
      <c r="AB1756" s="264"/>
      <c r="AC1756" s="264"/>
      <c r="AD1756" s="264"/>
      <c r="AE1756" s="264"/>
    </row>
    <row r="1757">
      <c r="A1757" s="272"/>
      <c r="B1757" s="272"/>
      <c r="C1757" s="272"/>
      <c r="D1757" s="172"/>
      <c r="E1757" s="267" t="str">
        <f t="shared" si="22"/>
        <v/>
      </c>
      <c r="F1757" s="274"/>
      <c r="G1757" s="42"/>
      <c r="H1757" s="264"/>
      <c r="I1757" s="277"/>
      <c r="J1757" s="276" t="str">
        <f>IF(ISBLANK(I1757), "", VLOOKUP(E1757&amp;" "&amp;F1757, 'Info Tipo de Cambio y REM'!$A$24:$B$35, 2, FALSE))
</f>
        <v/>
      </c>
      <c r="K1757" s="107"/>
      <c r="L1757" s="293"/>
      <c r="M1757" s="293"/>
      <c r="N1757" s="293"/>
      <c r="O1757" s="277"/>
      <c r="P1757" s="264"/>
      <c r="Q1757" s="264"/>
      <c r="R1757" s="264"/>
      <c r="S1757" s="264"/>
      <c r="T1757" s="264"/>
      <c r="U1757" s="264"/>
      <c r="V1757" s="264"/>
      <c r="W1757" s="264"/>
      <c r="X1757" s="264"/>
      <c r="Y1757" s="264"/>
      <c r="Z1757" s="264"/>
      <c r="AA1757" s="264"/>
      <c r="AB1757" s="264"/>
      <c r="AC1757" s="264"/>
      <c r="AD1757" s="264"/>
      <c r="AE1757" s="264"/>
    </row>
    <row r="1758">
      <c r="A1758" s="272"/>
      <c r="B1758" s="272"/>
      <c r="C1758" s="272"/>
      <c r="D1758" s="172"/>
      <c r="E1758" s="267" t="str">
        <f t="shared" si="22"/>
        <v/>
      </c>
      <c r="F1758" s="274"/>
      <c r="G1758" s="42"/>
      <c r="H1758" s="264"/>
      <c r="I1758" s="277"/>
      <c r="J1758" s="276" t="str">
        <f>IF(ISBLANK(I1758), "", VLOOKUP(E1758&amp;" "&amp;F1758, 'Info Tipo de Cambio y REM'!$A$24:$B$35, 2, FALSE))
</f>
        <v/>
      </c>
      <c r="K1758" s="107"/>
      <c r="L1758" s="293"/>
      <c r="M1758" s="293"/>
      <c r="N1758" s="293"/>
      <c r="O1758" s="277"/>
      <c r="P1758" s="264"/>
      <c r="Q1758" s="264"/>
      <c r="R1758" s="264"/>
      <c r="S1758" s="264"/>
      <c r="T1758" s="264"/>
      <c r="U1758" s="264"/>
      <c r="V1758" s="264"/>
      <c r="W1758" s="264"/>
      <c r="X1758" s="264"/>
      <c r="Y1758" s="264"/>
      <c r="Z1758" s="264"/>
      <c r="AA1758" s="264"/>
      <c r="AB1758" s="264"/>
      <c r="AC1758" s="264"/>
      <c r="AD1758" s="264"/>
      <c r="AE1758" s="264"/>
    </row>
    <row r="1759">
      <c r="A1759" s="272"/>
      <c r="B1759" s="272"/>
      <c r="C1759" s="272"/>
      <c r="D1759" s="172"/>
      <c r="E1759" s="267" t="str">
        <f t="shared" si="22"/>
        <v/>
      </c>
      <c r="F1759" s="274"/>
      <c r="G1759" s="42"/>
      <c r="H1759" s="264"/>
      <c r="I1759" s="277"/>
      <c r="J1759" s="276" t="str">
        <f>IF(ISBLANK(I1759), "", VLOOKUP(E1759&amp;" "&amp;F1759, 'Info Tipo de Cambio y REM'!$A$24:$B$35, 2, FALSE))
</f>
        <v/>
      </c>
      <c r="K1759" s="107"/>
      <c r="L1759" s="293"/>
      <c r="M1759" s="293"/>
      <c r="N1759" s="293"/>
      <c r="O1759" s="277"/>
      <c r="P1759" s="264"/>
      <c r="Q1759" s="264"/>
      <c r="R1759" s="264"/>
      <c r="S1759" s="264"/>
      <c r="T1759" s="264"/>
      <c r="U1759" s="264"/>
      <c r="V1759" s="264"/>
      <c r="W1759" s="264"/>
      <c r="X1759" s="264"/>
      <c r="Y1759" s="264"/>
      <c r="Z1759" s="264"/>
      <c r="AA1759" s="264"/>
      <c r="AB1759" s="264"/>
      <c r="AC1759" s="264"/>
      <c r="AD1759" s="264"/>
      <c r="AE1759" s="264"/>
    </row>
    <row r="1760">
      <c r="A1760" s="272"/>
      <c r="B1760" s="272"/>
      <c r="C1760" s="272"/>
      <c r="D1760" s="172"/>
      <c r="E1760" s="267" t="str">
        <f t="shared" si="22"/>
        <v/>
      </c>
      <c r="F1760" s="274"/>
      <c r="G1760" s="42"/>
      <c r="H1760" s="264"/>
      <c r="I1760" s="277"/>
      <c r="J1760" s="276" t="str">
        <f>IF(ISBLANK(I1760), "", VLOOKUP(E1760&amp;" "&amp;F1760, 'Info Tipo de Cambio y REM'!$A$24:$B$35, 2, FALSE))
</f>
        <v/>
      </c>
      <c r="K1760" s="107"/>
      <c r="L1760" s="293"/>
      <c r="M1760" s="293"/>
      <c r="N1760" s="293"/>
      <c r="O1760" s="277"/>
      <c r="P1760" s="264"/>
      <c r="Q1760" s="264"/>
      <c r="R1760" s="264"/>
      <c r="S1760" s="264"/>
      <c r="T1760" s="264"/>
      <c r="U1760" s="264"/>
      <c r="V1760" s="264"/>
      <c r="W1760" s="264"/>
      <c r="X1760" s="264"/>
      <c r="Y1760" s="264"/>
      <c r="Z1760" s="264"/>
      <c r="AA1760" s="264"/>
      <c r="AB1760" s="264"/>
      <c r="AC1760" s="264"/>
      <c r="AD1760" s="264"/>
      <c r="AE1760" s="264"/>
    </row>
    <row r="1761">
      <c r="A1761" s="272"/>
      <c r="B1761" s="272"/>
      <c r="C1761" s="272"/>
      <c r="D1761" s="172"/>
      <c r="E1761" s="267" t="str">
        <f t="shared" si="22"/>
        <v/>
      </c>
      <c r="F1761" s="274"/>
      <c r="G1761" s="42"/>
      <c r="H1761" s="264"/>
      <c r="I1761" s="277"/>
      <c r="J1761" s="276" t="str">
        <f>IF(ISBLANK(I1761), "", VLOOKUP(E1761&amp;" "&amp;F1761, 'Info Tipo de Cambio y REM'!$A$24:$B$35, 2, FALSE))
</f>
        <v/>
      </c>
      <c r="K1761" s="107"/>
      <c r="L1761" s="293"/>
      <c r="M1761" s="293"/>
      <c r="N1761" s="293"/>
      <c r="O1761" s="277"/>
      <c r="P1761" s="264"/>
      <c r="Q1761" s="264"/>
      <c r="R1761" s="264"/>
      <c r="S1761" s="264"/>
      <c r="T1761" s="264"/>
      <c r="U1761" s="264"/>
      <c r="V1761" s="264"/>
      <c r="W1761" s="264"/>
      <c r="X1761" s="264"/>
      <c r="Y1761" s="264"/>
      <c r="Z1761" s="264"/>
      <c r="AA1761" s="264"/>
      <c r="AB1761" s="264"/>
      <c r="AC1761" s="264"/>
      <c r="AD1761" s="264"/>
      <c r="AE1761" s="264"/>
    </row>
    <row r="1762">
      <c r="A1762" s="272"/>
      <c r="B1762" s="272"/>
      <c r="C1762" s="272"/>
      <c r="D1762" s="172"/>
      <c r="E1762" s="267" t="str">
        <f t="shared" si="22"/>
        <v/>
      </c>
      <c r="F1762" s="274"/>
      <c r="G1762" s="42"/>
      <c r="H1762" s="264"/>
      <c r="I1762" s="277"/>
      <c r="J1762" s="276" t="str">
        <f>IF(ISBLANK(I1762), "", VLOOKUP(E1762&amp;" "&amp;F1762, 'Info Tipo de Cambio y REM'!$A$24:$B$35, 2, FALSE))
</f>
        <v/>
      </c>
      <c r="K1762" s="107"/>
      <c r="L1762" s="293"/>
      <c r="M1762" s="293"/>
      <c r="N1762" s="293"/>
      <c r="O1762" s="277"/>
      <c r="P1762" s="264"/>
      <c r="Q1762" s="264"/>
      <c r="R1762" s="264"/>
      <c r="S1762" s="264"/>
      <c r="T1762" s="264"/>
      <c r="U1762" s="264"/>
      <c r="V1762" s="264"/>
      <c r="W1762" s="264"/>
      <c r="X1762" s="264"/>
      <c r="Y1762" s="264"/>
      <c r="Z1762" s="264"/>
      <c r="AA1762" s="264"/>
      <c r="AB1762" s="264"/>
      <c r="AC1762" s="264"/>
      <c r="AD1762" s="264"/>
      <c r="AE1762" s="264"/>
    </row>
    <row r="1763">
      <c r="A1763" s="272"/>
      <c r="B1763" s="272"/>
      <c r="C1763" s="272"/>
      <c r="D1763" s="172"/>
      <c r="E1763" s="267" t="str">
        <f t="shared" si="22"/>
        <v/>
      </c>
      <c r="F1763" s="274"/>
      <c r="G1763" s="42"/>
      <c r="H1763" s="264"/>
      <c r="I1763" s="277"/>
      <c r="J1763" s="276" t="str">
        <f>IF(ISBLANK(I1763), "", VLOOKUP(E1763&amp;" "&amp;F1763, 'Info Tipo de Cambio y REM'!$A$24:$B$35, 2, FALSE))
</f>
        <v/>
      </c>
      <c r="K1763" s="107"/>
      <c r="L1763" s="293"/>
      <c r="M1763" s="293"/>
      <c r="N1763" s="293"/>
      <c r="O1763" s="277"/>
      <c r="P1763" s="264"/>
      <c r="Q1763" s="264"/>
      <c r="R1763" s="264"/>
      <c r="S1763" s="264"/>
      <c r="T1763" s="264"/>
      <c r="U1763" s="264"/>
      <c r="V1763" s="264"/>
      <c r="W1763" s="264"/>
      <c r="X1763" s="264"/>
      <c r="Y1763" s="264"/>
      <c r="Z1763" s="264"/>
      <c r="AA1763" s="264"/>
      <c r="AB1763" s="264"/>
      <c r="AC1763" s="264"/>
      <c r="AD1763" s="264"/>
      <c r="AE1763" s="264"/>
    </row>
    <row r="1764">
      <c r="A1764" s="272"/>
      <c r="B1764" s="272"/>
      <c r="C1764" s="272"/>
      <c r="D1764" s="172"/>
      <c r="E1764" s="267" t="str">
        <f t="shared" si="22"/>
        <v/>
      </c>
      <c r="F1764" s="274"/>
      <c r="G1764" s="42"/>
      <c r="H1764" s="264"/>
      <c r="I1764" s="277"/>
      <c r="J1764" s="276" t="str">
        <f>IF(ISBLANK(I1764), "", VLOOKUP(E1764&amp;" "&amp;F1764, 'Info Tipo de Cambio y REM'!$A$24:$B$35, 2, FALSE))
</f>
        <v/>
      </c>
      <c r="K1764" s="107"/>
      <c r="L1764" s="293"/>
      <c r="M1764" s="293"/>
      <c r="N1764" s="293"/>
      <c r="O1764" s="277"/>
      <c r="P1764" s="264"/>
      <c r="Q1764" s="264"/>
      <c r="R1764" s="264"/>
      <c r="S1764" s="264"/>
      <c r="T1764" s="264"/>
      <c r="U1764" s="264"/>
      <c r="V1764" s="264"/>
      <c r="W1764" s="264"/>
      <c r="X1764" s="264"/>
      <c r="Y1764" s="264"/>
      <c r="Z1764" s="264"/>
      <c r="AA1764" s="264"/>
      <c r="AB1764" s="264"/>
      <c r="AC1764" s="264"/>
      <c r="AD1764" s="264"/>
      <c r="AE1764" s="264"/>
    </row>
    <row r="1765">
      <c r="A1765" s="272"/>
      <c r="B1765" s="272"/>
      <c r="C1765" s="272"/>
      <c r="D1765" s="172"/>
      <c r="E1765" s="267" t="str">
        <f t="shared" si="22"/>
        <v/>
      </c>
      <c r="F1765" s="274"/>
      <c r="G1765" s="42"/>
      <c r="H1765" s="264"/>
      <c r="I1765" s="277"/>
      <c r="J1765" s="276" t="str">
        <f>IF(ISBLANK(I1765), "", VLOOKUP(E1765&amp;" "&amp;F1765, 'Info Tipo de Cambio y REM'!$A$24:$B$35, 2, FALSE))
</f>
        <v/>
      </c>
      <c r="K1765" s="107"/>
      <c r="L1765" s="293"/>
      <c r="M1765" s="293"/>
      <c r="N1765" s="293"/>
      <c r="O1765" s="277"/>
      <c r="P1765" s="264"/>
      <c r="Q1765" s="264"/>
      <c r="R1765" s="264"/>
      <c r="S1765" s="264"/>
      <c r="T1765" s="264"/>
      <c r="U1765" s="264"/>
      <c r="V1765" s="264"/>
      <c r="W1765" s="264"/>
      <c r="X1765" s="264"/>
      <c r="Y1765" s="264"/>
      <c r="Z1765" s="264"/>
      <c r="AA1765" s="264"/>
      <c r="AB1765" s="264"/>
      <c r="AC1765" s="264"/>
      <c r="AD1765" s="264"/>
      <c r="AE1765" s="264"/>
    </row>
    <row r="1766">
      <c r="A1766" s="272"/>
      <c r="B1766" s="272"/>
      <c r="C1766" s="272"/>
      <c r="D1766" s="172"/>
      <c r="E1766" s="267" t="str">
        <f t="shared" si="22"/>
        <v/>
      </c>
      <c r="F1766" s="274"/>
      <c r="G1766" s="42"/>
      <c r="H1766" s="264"/>
      <c r="I1766" s="277"/>
      <c r="J1766" s="276" t="str">
        <f>IF(ISBLANK(I1766), "", VLOOKUP(E1766&amp;" "&amp;F1766, 'Info Tipo de Cambio y REM'!$A$24:$B$35, 2, FALSE))
</f>
        <v/>
      </c>
      <c r="K1766" s="107"/>
      <c r="L1766" s="293"/>
      <c r="M1766" s="293"/>
      <c r="N1766" s="293"/>
      <c r="O1766" s="277"/>
      <c r="P1766" s="264"/>
      <c r="Q1766" s="264"/>
      <c r="R1766" s="264"/>
      <c r="S1766" s="264"/>
      <c r="T1766" s="264"/>
      <c r="U1766" s="264"/>
      <c r="V1766" s="264"/>
      <c r="W1766" s="264"/>
      <c r="X1766" s="264"/>
      <c r="Y1766" s="264"/>
      <c r="Z1766" s="264"/>
      <c r="AA1766" s="264"/>
      <c r="AB1766" s="264"/>
      <c r="AC1766" s="264"/>
      <c r="AD1766" s="264"/>
      <c r="AE1766" s="264"/>
    </row>
    <row r="1767">
      <c r="A1767" s="272"/>
      <c r="B1767" s="272"/>
      <c r="C1767" s="272"/>
      <c r="D1767" s="172"/>
      <c r="E1767" s="267" t="str">
        <f t="shared" si="22"/>
        <v/>
      </c>
      <c r="F1767" s="274"/>
      <c r="G1767" s="42"/>
      <c r="H1767" s="264"/>
      <c r="I1767" s="277"/>
      <c r="J1767" s="276" t="str">
        <f>IF(ISBLANK(I1767), "", VLOOKUP(E1767&amp;" "&amp;F1767, 'Info Tipo de Cambio y REM'!$A$24:$B$35, 2, FALSE))
</f>
        <v/>
      </c>
      <c r="K1767" s="107"/>
      <c r="L1767" s="293"/>
      <c r="M1767" s="293"/>
      <c r="N1767" s="293"/>
      <c r="O1767" s="277"/>
      <c r="P1767" s="264"/>
      <c r="Q1767" s="264"/>
      <c r="R1767" s="264"/>
      <c r="S1767" s="264"/>
      <c r="T1767" s="264"/>
      <c r="U1767" s="264"/>
      <c r="V1767" s="264"/>
      <c r="W1767" s="264"/>
      <c r="X1767" s="264"/>
      <c r="Y1767" s="264"/>
      <c r="Z1767" s="264"/>
      <c r="AA1767" s="264"/>
      <c r="AB1767" s="264"/>
      <c r="AC1767" s="264"/>
      <c r="AD1767" s="264"/>
      <c r="AE1767" s="264"/>
    </row>
    <row r="1768">
      <c r="A1768" s="272"/>
      <c r="B1768" s="272"/>
      <c r="C1768" s="272"/>
      <c r="D1768" s="172"/>
      <c r="E1768" s="267" t="str">
        <f t="shared" si="22"/>
        <v/>
      </c>
      <c r="F1768" s="274"/>
      <c r="G1768" s="42"/>
      <c r="H1768" s="264"/>
      <c r="I1768" s="277"/>
      <c r="J1768" s="276" t="str">
        <f>IF(ISBLANK(I1768), "", VLOOKUP(E1768&amp;" "&amp;F1768, 'Info Tipo de Cambio y REM'!$A$24:$B$35, 2, FALSE))
</f>
        <v/>
      </c>
      <c r="K1768" s="107"/>
      <c r="L1768" s="293"/>
      <c r="M1768" s="293"/>
      <c r="N1768" s="293"/>
      <c r="O1768" s="277"/>
      <c r="P1768" s="264"/>
      <c r="Q1768" s="264"/>
      <c r="R1768" s="264"/>
      <c r="S1768" s="264"/>
      <c r="T1768" s="264"/>
      <c r="U1768" s="264"/>
      <c r="V1768" s="264"/>
      <c r="W1768" s="264"/>
      <c r="X1768" s="264"/>
      <c r="Y1768" s="264"/>
      <c r="Z1768" s="264"/>
      <c r="AA1768" s="264"/>
      <c r="AB1768" s="264"/>
      <c r="AC1768" s="264"/>
      <c r="AD1768" s="264"/>
      <c r="AE1768" s="264"/>
    </row>
    <row r="1769">
      <c r="A1769" s="272"/>
      <c r="B1769" s="272"/>
      <c r="C1769" s="272"/>
      <c r="D1769" s="172"/>
      <c r="E1769" s="267" t="str">
        <f t="shared" si="22"/>
        <v/>
      </c>
      <c r="F1769" s="274"/>
      <c r="G1769" s="42"/>
      <c r="H1769" s="264"/>
      <c r="I1769" s="277"/>
      <c r="J1769" s="276" t="str">
        <f>IF(ISBLANK(I1769), "", VLOOKUP(E1769&amp;" "&amp;F1769, 'Info Tipo de Cambio y REM'!$A$24:$B$35, 2, FALSE))
</f>
        <v/>
      </c>
      <c r="K1769" s="107"/>
      <c r="L1769" s="293"/>
      <c r="M1769" s="293"/>
      <c r="N1769" s="293"/>
      <c r="O1769" s="277"/>
      <c r="P1769" s="264"/>
      <c r="Q1769" s="264"/>
      <c r="R1769" s="264"/>
      <c r="S1769" s="264"/>
      <c r="T1769" s="264"/>
      <c r="U1769" s="264"/>
      <c r="V1769" s="264"/>
      <c r="W1769" s="264"/>
      <c r="X1769" s="264"/>
      <c r="Y1769" s="264"/>
      <c r="Z1769" s="264"/>
      <c r="AA1769" s="264"/>
      <c r="AB1769" s="264"/>
      <c r="AC1769" s="264"/>
      <c r="AD1769" s="264"/>
      <c r="AE1769" s="264"/>
    </row>
    <row r="1770">
      <c r="A1770" s="272"/>
      <c r="B1770" s="272"/>
      <c r="C1770" s="272"/>
      <c r="D1770" s="172"/>
      <c r="E1770" s="267" t="str">
        <f t="shared" si="22"/>
        <v/>
      </c>
      <c r="F1770" s="274"/>
      <c r="G1770" s="42"/>
      <c r="H1770" s="264"/>
      <c r="I1770" s="277"/>
      <c r="J1770" s="276" t="str">
        <f>IF(ISBLANK(I1770), "", VLOOKUP(E1770&amp;" "&amp;F1770, 'Info Tipo de Cambio y REM'!$A$24:$B$35, 2, FALSE))
</f>
        <v/>
      </c>
      <c r="K1770" s="107"/>
      <c r="L1770" s="293"/>
      <c r="M1770" s="293"/>
      <c r="N1770" s="293"/>
      <c r="O1770" s="277"/>
      <c r="P1770" s="264"/>
      <c r="Q1770" s="264"/>
      <c r="R1770" s="264"/>
      <c r="S1770" s="264"/>
      <c r="T1770" s="264"/>
      <c r="U1770" s="264"/>
      <c r="V1770" s="264"/>
      <c r="W1770" s="264"/>
      <c r="X1770" s="264"/>
      <c r="Y1770" s="264"/>
      <c r="Z1770" s="264"/>
      <c r="AA1770" s="264"/>
      <c r="AB1770" s="264"/>
      <c r="AC1770" s="264"/>
      <c r="AD1770" s="264"/>
      <c r="AE1770" s="264"/>
    </row>
    <row r="1771">
      <c r="A1771" s="272"/>
      <c r="B1771" s="272"/>
      <c r="C1771" s="272"/>
      <c r="D1771" s="172"/>
      <c r="E1771" s="267" t="str">
        <f t="shared" si="22"/>
        <v/>
      </c>
      <c r="F1771" s="274"/>
      <c r="G1771" s="42"/>
      <c r="H1771" s="264"/>
      <c r="I1771" s="277"/>
      <c r="J1771" s="276" t="str">
        <f>IF(ISBLANK(I1771), "", VLOOKUP(E1771&amp;" "&amp;F1771, 'Info Tipo de Cambio y REM'!$A$24:$B$35, 2, FALSE))
</f>
        <v/>
      </c>
      <c r="K1771" s="107"/>
      <c r="L1771" s="293"/>
      <c r="M1771" s="293"/>
      <c r="N1771" s="293"/>
      <c r="O1771" s="277"/>
      <c r="P1771" s="264"/>
      <c r="Q1771" s="264"/>
      <c r="R1771" s="264"/>
      <c r="S1771" s="264"/>
      <c r="T1771" s="264"/>
      <c r="U1771" s="264"/>
      <c r="V1771" s="264"/>
      <c r="W1771" s="264"/>
      <c r="X1771" s="264"/>
      <c r="Y1771" s="264"/>
      <c r="Z1771" s="264"/>
      <c r="AA1771" s="264"/>
      <c r="AB1771" s="264"/>
      <c r="AC1771" s="264"/>
      <c r="AD1771" s="264"/>
      <c r="AE1771" s="264"/>
    </row>
    <row r="1772">
      <c r="A1772" s="272"/>
      <c r="B1772" s="272"/>
      <c r="C1772" s="272"/>
      <c r="D1772" s="172"/>
      <c r="E1772" s="267" t="str">
        <f t="shared" si="22"/>
        <v/>
      </c>
      <c r="F1772" s="274"/>
      <c r="G1772" s="42"/>
      <c r="H1772" s="264"/>
      <c r="I1772" s="277"/>
      <c r="J1772" s="276" t="str">
        <f>IF(ISBLANK(I1772), "", VLOOKUP(E1772&amp;" "&amp;F1772, 'Info Tipo de Cambio y REM'!$A$24:$B$35, 2, FALSE))
</f>
        <v/>
      </c>
      <c r="K1772" s="107"/>
      <c r="L1772" s="293"/>
      <c r="M1772" s="293"/>
      <c r="N1772" s="293"/>
      <c r="O1772" s="277"/>
      <c r="P1772" s="264"/>
      <c r="Q1772" s="264"/>
      <c r="R1772" s="264"/>
      <c r="S1772" s="264"/>
      <c r="T1772" s="264"/>
      <c r="U1772" s="264"/>
      <c r="V1772" s="264"/>
      <c r="W1772" s="264"/>
      <c r="X1772" s="264"/>
      <c r="Y1772" s="264"/>
      <c r="Z1772" s="264"/>
      <c r="AA1772" s="264"/>
      <c r="AB1772" s="264"/>
      <c r="AC1772" s="264"/>
      <c r="AD1772" s="264"/>
      <c r="AE1772" s="264"/>
    </row>
    <row r="1773">
      <c r="A1773" s="272"/>
      <c r="B1773" s="272"/>
      <c r="C1773" s="272"/>
      <c r="D1773" s="172"/>
      <c r="E1773" s="267" t="str">
        <f t="shared" si="22"/>
        <v/>
      </c>
      <c r="F1773" s="274"/>
      <c r="G1773" s="42"/>
      <c r="H1773" s="264"/>
      <c r="I1773" s="277"/>
      <c r="J1773" s="276" t="str">
        <f>IF(ISBLANK(I1773), "", VLOOKUP(E1773&amp;" "&amp;F1773, 'Info Tipo de Cambio y REM'!$A$24:$B$35, 2, FALSE))
</f>
        <v/>
      </c>
      <c r="K1773" s="107"/>
      <c r="L1773" s="293"/>
      <c r="M1773" s="293"/>
      <c r="N1773" s="293"/>
      <c r="O1773" s="277"/>
      <c r="P1773" s="264"/>
      <c r="Q1773" s="264"/>
      <c r="R1773" s="264"/>
      <c r="S1773" s="264"/>
      <c r="T1773" s="264"/>
      <c r="U1773" s="264"/>
      <c r="V1773" s="264"/>
      <c r="W1773" s="264"/>
      <c r="X1773" s="264"/>
      <c r="Y1773" s="264"/>
      <c r="Z1773" s="264"/>
      <c r="AA1773" s="264"/>
      <c r="AB1773" s="264"/>
      <c r="AC1773" s="264"/>
      <c r="AD1773" s="264"/>
      <c r="AE1773" s="264"/>
    </row>
    <row r="1774">
      <c r="A1774" s="272"/>
      <c r="B1774" s="272"/>
      <c r="C1774" s="272"/>
      <c r="D1774" s="172"/>
      <c r="E1774" s="267" t="str">
        <f t="shared" si="22"/>
        <v/>
      </c>
      <c r="F1774" s="274"/>
      <c r="G1774" s="42"/>
      <c r="H1774" s="264"/>
      <c r="I1774" s="277"/>
      <c r="J1774" s="276" t="str">
        <f>IF(ISBLANK(I1774), "", VLOOKUP(E1774&amp;" "&amp;F1774, 'Info Tipo de Cambio y REM'!$A$24:$B$35, 2, FALSE))
</f>
        <v/>
      </c>
      <c r="K1774" s="107"/>
      <c r="L1774" s="293"/>
      <c r="M1774" s="293"/>
      <c r="N1774" s="293"/>
      <c r="O1774" s="277"/>
      <c r="P1774" s="264"/>
      <c r="Q1774" s="264"/>
      <c r="R1774" s="264"/>
      <c r="S1774" s="264"/>
      <c r="T1774" s="264"/>
      <c r="U1774" s="264"/>
      <c r="V1774" s="264"/>
      <c r="W1774" s="264"/>
      <c r="X1774" s="264"/>
      <c r="Y1774" s="264"/>
      <c r="Z1774" s="264"/>
      <c r="AA1774" s="264"/>
      <c r="AB1774" s="264"/>
      <c r="AC1774" s="264"/>
      <c r="AD1774" s="264"/>
      <c r="AE1774" s="264"/>
    </row>
    <row r="1775">
      <c r="A1775" s="272"/>
      <c r="B1775" s="272"/>
      <c r="C1775" s="272"/>
      <c r="D1775" s="172"/>
      <c r="E1775" s="267" t="str">
        <f t="shared" si="22"/>
        <v/>
      </c>
      <c r="F1775" s="274"/>
      <c r="G1775" s="42"/>
      <c r="H1775" s="264"/>
      <c r="I1775" s="277"/>
      <c r="J1775" s="276" t="str">
        <f>IF(ISBLANK(I1775), "", VLOOKUP(E1775&amp;" "&amp;F1775, 'Info Tipo de Cambio y REM'!$A$24:$B$35, 2, FALSE))
</f>
        <v/>
      </c>
      <c r="K1775" s="107"/>
      <c r="L1775" s="293"/>
      <c r="M1775" s="293"/>
      <c r="N1775" s="293"/>
      <c r="O1775" s="277"/>
      <c r="P1775" s="264"/>
      <c r="Q1775" s="264"/>
      <c r="R1775" s="264"/>
      <c r="S1775" s="264"/>
      <c r="T1775" s="264"/>
      <c r="U1775" s="264"/>
      <c r="V1775" s="264"/>
      <c r="W1775" s="264"/>
      <c r="X1775" s="264"/>
      <c r="Y1775" s="264"/>
      <c r="Z1775" s="264"/>
      <c r="AA1775" s="264"/>
      <c r="AB1775" s="264"/>
      <c r="AC1775" s="264"/>
      <c r="AD1775" s="264"/>
      <c r="AE1775" s="264"/>
    </row>
    <row r="1776">
      <c r="A1776" s="272"/>
      <c r="B1776" s="272"/>
      <c r="C1776" s="272"/>
      <c r="D1776" s="172"/>
      <c r="E1776" s="267" t="str">
        <f t="shared" si="22"/>
        <v/>
      </c>
      <c r="F1776" s="274"/>
      <c r="G1776" s="42"/>
      <c r="H1776" s="264"/>
      <c r="I1776" s="277"/>
      <c r="J1776" s="276" t="str">
        <f>IF(ISBLANK(I1776), "", VLOOKUP(E1776&amp;" "&amp;F1776, 'Info Tipo de Cambio y REM'!$A$24:$B$35, 2, FALSE))
</f>
        <v/>
      </c>
      <c r="K1776" s="107"/>
      <c r="L1776" s="293"/>
      <c r="M1776" s="293"/>
      <c r="N1776" s="293"/>
      <c r="O1776" s="277"/>
      <c r="P1776" s="264"/>
      <c r="Q1776" s="264"/>
      <c r="R1776" s="264"/>
      <c r="S1776" s="264"/>
      <c r="T1776" s="264"/>
      <c r="U1776" s="264"/>
      <c r="V1776" s="264"/>
      <c r="W1776" s="264"/>
      <c r="X1776" s="264"/>
      <c r="Y1776" s="264"/>
      <c r="Z1776" s="264"/>
      <c r="AA1776" s="264"/>
      <c r="AB1776" s="264"/>
      <c r="AC1776" s="264"/>
      <c r="AD1776" s="264"/>
      <c r="AE1776" s="264"/>
    </row>
    <row r="1777">
      <c r="A1777" s="272"/>
      <c r="B1777" s="272"/>
      <c r="C1777" s="272"/>
      <c r="D1777" s="172"/>
      <c r="E1777" s="267" t="str">
        <f t="shared" si="22"/>
        <v/>
      </c>
      <c r="F1777" s="274"/>
      <c r="G1777" s="42"/>
      <c r="H1777" s="264"/>
      <c r="I1777" s="277"/>
      <c r="J1777" s="276" t="str">
        <f>IF(ISBLANK(I1777), "", VLOOKUP(E1777&amp;" "&amp;F1777, 'Info Tipo de Cambio y REM'!$A$24:$B$35, 2, FALSE))
</f>
        <v/>
      </c>
      <c r="K1777" s="107"/>
      <c r="L1777" s="293"/>
      <c r="M1777" s="293"/>
      <c r="N1777" s="293"/>
      <c r="O1777" s="277"/>
      <c r="P1777" s="264"/>
      <c r="Q1777" s="264"/>
      <c r="R1777" s="264"/>
      <c r="S1777" s="264"/>
      <c r="T1777" s="264"/>
      <c r="U1777" s="264"/>
      <c r="V1777" s="264"/>
      <c r="W1777" s="264"/>
      <c r="X1777" s="264"/>
      <c r="Y1777" s="264"/>
      <c r="Z1777" s="264"/>
      <c r="AA1777" s="264"/>
      <c r="AB1777" s="264"/>
      <c r="AC1777" s="264"/>
      <c r="AD1777" s="264"/>
      <c r="AE1777" s="264"/>
    </row>
    <row r="1778">
      <c r="A1778" s="272"/>
      <c r="B1778" s="272"/>
      <c r="C1778" s="272"/>
      <c r="D1778" s="172"/>
      <c r="E1778" s="267" t="str">
        <f t="shared" si="22"/>
        <v/>
      </c>
      <c r="F1778" s="274"/>
      <c r="G1778" s="42"/>
      <c r="H1778" s="264"/>
      <c r="I1778" s="277"/>
      <c r="J1778" s="276" t="str">
        <f>IF(ISBLANK(I1778), "", VLOOKUP(E1778&amp;" "&amp;F1778, 'Info Tipo de Cambio y REM'!$A$24:$B$35, 2, FALSE))
</f>
        <v/>
      </c>
      <c r="K1778" s="107"/>
      <c r="L1778" s="293"/>
      <c r="M1778" s="293"/>
      <c r="N1778" s="293"/>
      <c r="O1778" s="277"/>
      <c r="P1778" s="264"/>
      <c r="Q1778" s="264"/>
      <c r="R1778" s="264"/>
      <c r="S1778" s="264"/>
      <c r="T1778" s="264"/>
      <c r="U1778" s="264"/>
      <c r="V1778" s="264"/>
      <c r="W1778" s="264"/>
      <c r="X1778" s="264"/>
      <c r="Y1778" s="264"/>
      <c r="Z1778" s="264"/>
      <c r="AA1778" s="264"/>
      <c r="AB1778" s="264"/>
      <c r="AC1778" s="264"/>
      <c r="AD1778" s="264"/>
      <c r="AE1778" s="264"/>
    </row>
    <row r="1779">
      <c r="A1779" s="272"/>
      <c r="B1779" s="272"/>
      <c r="C1779" s="272"/>
      <c r="D1779" s="172"/>
      <c r="E1779" s="267" t="str">
        <f t="shared" si="22"/>
        <v/>
      </c>
      <c r="F1779" s="274"/>
      <c r="G1779" s="42"/>
      <c r="H1779" s="264"/>
      <c r="I1779" s="277"/>
      <c r="J1779" s="276" t="str">
        <f>IF(ISBLANK(I1779), "", VLOOKUP(E1779&amp;" "&amp;F1779, 'Info Tipo de Cambio y REM'!$A$24:$B$35, 2, FALSE))
</f>
        <v/>
      </c>
      <c r="K1779" s="107"/>
      <c r="L1779" s="293"/>
      <c r="M1779" s="293"/>
      <c r="N1779" s="293"/>
      <c r="O1779" s="277"/>
      <c r="P1779" s="264"/>
      <c r="Q1779" s="264"/>
      <c r="R1779" s="264"/>
      <c r="S1779" s="264"/>
      <c r="T1779" s="264"/>
      <c r="U1779" s="264"/>
      <c r="V1779" s="264"/>
      <c r="W1779" s="264"/>
      <c r="X1779" s="264"/>
      <c r="Y1779" s="264"/>
      <c r="Z1779" s="264"/>
      <c r="AA1779" s="264"/>
      <c r="AB1779" s="264"/>
      <c r="AC1779" s="264"/>
      <c r="AD1779" s="264"/>
      <c r="AE1779" s="264"/>
    </row>
    <row r="1780">
      <c r="A1780" s="272"/>
      <c r="B1780" s="272"/>
      <c r="C1780" s="272"/>
      <c r="D1780" s="172"/>
      <c r="E1780" s="267" t="str">
        <f t="shared" si="22"/>
        <v/>
      </c>
      <c r="F1780" s="274"/>
      <c r="G1780" s="42"/>
      <c r="H1780" s="264"/>
      <c r="I1780" s="277"/>
      <c r="J1780" s="276" t="str">
        <f>IF(ISBLANK(I1780), "", VLOOKUP(E1780&amp;" "&amp;F1780, 'Info Tipo de Cambio y REM'!$A$24:$B$35, 2, FALSE))
</f>
        <v/>
      </c>
      <c r="K1780" s="107"/>
      <c r="L1780" s="293"/>
      <c r="M1780" s="293"/>
      <c r="N1780" s="293"/>
      <c r="O1780" s="277"/>
      <c r="P1780" s="264"/>
      <c r="Q1780" s="264"/>
      <c r="R1780" s="264"/>
      <c r="S1780" s="264"/>
      <c r="T1780" s="264"/>
      <c r="U1780" s="264"/>
      <c r="V1780" s="264"/>
      <c r="W1780" s="264"/>
      <c r="X1780" s="264"/>
      <c r="Y1780" s="264"/>
      <c r="Z1780" s="264"/>
      <c r="AA1780" s="264"/>
      <c r="AB1780" s="264"/>
      <c r="AC1780" s="264"/>
      <c r="AD1780" s="264"/>
      <c r="AE1780" s="264"/>
    </row>
    <row r="1781">
      <c r="A1781" s="272"/>
      <c r="B1781" s="272"/>
      <c r="C1781" s="272"/>
      <c r="D1781" s="172"/>
      <c r="E1781" s="267" t="str">
        <f t="shared" si="22"/>
        <v/>
      </c>
      <c r="F1781" s="274"/>
      <c r="G1781" s="42"/>
      <c r="H1781" s="264"/>
      <c r="I1781" s="277"/>
      <c r="J1781" s="276" t="str">
        <f>IF(ISBLANK(I1781), "", VLOOKUP(E1781&amp;" "&amp;F1781, 'Info Tipo de Cambio y REM'!$A$24:$B$35, 2, FALSE))
</f>
        <v/>
      </c>
      <c r="K1781" s="107"/>
      <c r="L1781" s="293"/>
      <c r="M1781" s="293"/>
      <c r="N1781" s="293"/>
      <c r="O1781" s="277"/>
      <c r="P1781" s="264"/>
      <c r="Q1781" s="264"/>
      <c r="R1781" s="264"/>
      <c r="S1781" s="264"/>
      <c r="T1781" s="264"/>
      <c r="U1781" s="264"/>
      <c r="V1781" s="264"/>
      <c r="W1781" s="264"/>
      <c r="X1781" s="264"/>
      <c r="Y1781" s="264"/>
      <c r="Z1781" s="264"/>
      <c r="AA1781" s="264"/>
      <c r="AB1781" s="264"/>
      <c r="AC1781" s="264"/>
      <c r="AD1781" s="264"/>
      <c r="AE1781" s="264"/>
    </row>
    <row r="1782">
      <c r="A1782" s="272"/>
      <c r="B1782" s="272"/>
      <c r="C1782" s="272"/>
      <c r="D1782" s="172"/>
      <c r="E1782" s="267" t="str">
        <f t="shared" si="22"/>
        <v/>
      </c>
      <c r="F1782" s="274"/>
      <c r="G1782" s="42"/>
      <c r="H1782" s="264"/>
      <c r="I1782" s="277"/>
      <c r="J1782" s="276" t="str">
        <f>IF(ISBLANK(I1782), "", VLOOKUP(E1782&amp;" "&amp;F1782, 'Info Tipo de Cambio y REM'!$A$24:$B$35, 2, FALSE))
</f>
        <v/>
      </c>
      <c r="K1782" s="107"/>
      <c r="L1782" s="293"/>
      <c r="M1782" s="293"/>
      <c r="N1782" s="293"/>
      <c r="O1782" s="277"/>
      <c r="P1782" s="264"/>
      <c r="Q1782" s="264"/>
      <c r="R1782" s="264"/>
      <c r="S1782" s="264"/>
      <c r="T1782" s="264"/>
      <c r="U1782" s="264"/>
      <c r="V1782" s="264"/>
      <c r="W1782" s="264"/>
      <c r="X1782" s="264"/>
      <c r="Y1782" s="264"/>
      <c r="Z1782" s="264"/>
      <c r="AA1782" s="264"/>
      <c r="AB1782" s="264"/>
      <c r="AC1782" s="264"/>
      <c r="AD1782" s="264"/>
      <c r="AE1782" s="264"/>
    </row>
    <row r="1783">
      <c r="A1783" s="272"/>
      <c r="B1783" s="272"/>
      <c r="C1783" s="272"/>
      <c r="D1783" s="172"/>
      <c r="E1783" s="267" t="str">
        <f t="shared" si="22"/>
        <v/>
      </c>
      <c r="F1783" s="274"/>
      <c r="G1783" s="42"/>
      <c r="H1783" s="264"/>
      <c r="I1783" s="277"/>
      <c r="J1783" s="276" t="str">
        <f>IF(ISBLANK(I1783), "", VLOOKUP(E1783&amp;" "&amp;F1783, 'Info Tipo de Cambio y REM'!$A$24:$B$35, 2, FALSE))
</f>
        <v/>
      </c>
      <c r="K1783" s="107"/>
      <c r="L1783" s="293"/>
      <c r="M1783" s="293"/>
      <c r="N1783" s="293"/>
      <c r="O1783" s="277"/>
      <c r="P1783" s="264"/>
      <c r="Q1783" s="264"/>
      <c r="R1783" s="264"/>
      <c r="S1783" s="264"/>
      <c r="T1783" s="264"/>
      <c r="U1783" s="264"/>
      <c r="V1783" s="264"/>
      <c r="W1783" s="264"/>
      <c r="X1783" s="264"/>
      <c r="Y1783" s="264"/>
      <c r="Z1783" s="264"/>
      <c r="AA1783" s="264"/>
      <c r="AB1783" s="264"/>
      <c r="AC1783" s="264"/>
      <c r="AD1783" s="264"/>
      <c r="AE1783" s="264"/>
    </row>
    <row r="1784">
      <c r="A1784" s="272"/>
      <c r="B1784" s="272"/>
      <c r="C1784" s="272"/>
      <c r="D1784" s="172"/>
      <c r="E1784" s="267" t="str">
        <f t="shared" si="22"/>
        <v/>
      </c>
      <c r="F1784" s="274"/>
      <c r="G1784" s="42"/>
      <c r="H1784" s="264"/>
      <c r="I1784" s="277"/>
      <c r="J1784" s="276" t="str">
        <f>IF(ISBLANK(I1784), "", VLOOKUP(E1784&amp;" "&amp;F1784, 'Info Tipo de Cambio y REM'!$A$24:$B$35, 2, FALSE))
</f>
        <v/>
      </c>
      <c r="K1784" s="107"/>
      <c r="L1784" s="293"/>
      <c r="M1784" s="293"/>
      <c r="N1784" s="293"/>
      <c r="O1784" s="277"/>
      <c r="P1784" s="264"/>
      <c r="Q1784" s="264"/>
      <c r="R1784" s="264"/>
      <c r="S1784" s="264"/>
      <c r="T1784" s="264"/>
      <c r="U1784" s="264"/>
      <c r="V1784" s="264"/>
      <c r="W1784" s="264"/>
      <c r="X1784" s="264"/>
      <c r="Y1784" s="264"/>
      <c r="Z1784" s="264"/>
      <c r="AA1784" s="264"/>
      <c r="AB1784" s="264"/>
      <c r="AC1784" s="264"/>
      <c r="AD1784" s="264"/>
      <c r="AE1784" s="264"/>
    </row>
    <row r="1785">
      <c r="A1785" s="272"/>
      <c r="B1785" s="272"/>
      <c r="C1785" s="272"/>
      <c r="D1785" s="172"/>
      <c r="E1785" s="267" t="str">
        <f t="shared" si="22"/>
        <v/>
      </c>
      <c r="F1785" s="274"/>
      <c r="G1785" s="42"/>
      <c r="H1785" s="264"/>
      <c r="I1785" s="277"/>
      <c r="J1785" s="276" t="str">
        <f>IF(ISBLANK(I1785), "", VLOOKUP(E1785&amp;" "&amp;F1785, 'Info Tipo de Cambio y REM'!$A$24:$B$35, 2, FALSE))
</f>
        <v/>
      </c>
      <c r="K1785" s="107"/>
      <c r="L1785" s="293"/>
      <c r="M1785" s="293"/>
      <c r="N1785" s="293"/>
      <c r="O1785" s="277"/>
      <c r="P1785" s="264"/>
      <c r="Q1785" s="264"/>
      <c r="R1785" s="264"/>
      <c r="S1785" s="264"/>
      <c r="T1785" s="264"/>
      <c r="U1785" s="264"/>
      <c r="V1785" s="264"/>
      <c r="W1785" s="264"/>
      <c r="X1785" s="264"/>
      <c r="Y1785" s="264"/>
      <c r="Z1785" s="264"/>
      <c r="AA1785" s="264"/>
      <c r="AB1785" s="264"/>
      <c r="AC1785" s="264"/>
      <c r="AD1785" s="264"/>
      <c r="AE1785" s="264"/>
    </row>
    <row r="1786">
      <c r="A1786" s="272"/>
      <c r="B1786" s="272"/>
      <c r="C1786" s="272"/>
      <c r="D1786" s="172"/>
      <c r="E1786" s="267" t="str">
        <f t="shared" si="22"/>
        <v/>
      </c>
      <c r="F1786" s="274"/>
      <c r="G1786" s="42"/>
      <c r="H1786" s="264"/>
      <c r="I1786" s="277"/>
      <c r="J1786" s="276" t="str">
        <f>IF(ISBLANK(I1786), "", VLOOKUP(E1786&amp;" "&amp;F1786, 'Info Tipo de Cambio y REM'!$A$24:$B$35, 2, FALSE))
</f>
        <v/>
      </c>
      <c r="K1786" s="107"/>
      <c r="L1786" s="293"/>
      <c r="M1786" s="293"/>
      <c r="N1786" s="293"/>
      <c r="O1786" s="277"/>
      <c r="P1786" s="264"/>
      <c r="Q1786" s="264"/>
      <c r="R1786" s="264"/>
      <c r="S1786" s="264"/>
      <c r="T1786" s="264"/>
      <c r="U1786" s="264"/>
      <c r="V1786" s="264"/>
      <c r="W1786" s="264"/>
      <c r="X1786" s="264"/>
      <c r="Y1786" s="264"/>
      <c r="Z1786" s="264"/>
      <c r="AA1786" s="264"/>
      <c r="AB1786" s="264"/>
      <c r="AC1786" s="264"/>
      <c r="AD1786" s="264"/>
      <c r="AE1786" s="264"/>
    </row>
    <row r="1787">
      <c r="A1787" s="272"/>
      <c r="B1787" s="272"/>
      <c r="C1787" s="272"/>
      <c r="D1787" s="172"/>
      <c r="E1787" s="267" t="str">
        <f t="shared" si="22"/>
        <v/>
      </c>
      <c r="F1787" s="274"/>
      <c r="G1787" s="42"/>
      <c r="H1787" s="264"/>
      <c r="I1787" s="277"/>
      <c r="J1787" s="276" t="str">
        <f>IF(ISBLANK(I1787), "", VLOOKUP(E1787&amp;" "&amp;F1787, 'Info Tipo de Cambio y REM'!$A$24:$B$35, 2, FALSE))
</f>
        <v/>
      </c>
      <c r="K1787" s="107"/>
      <c r="L1787" s="293"/>
      <c r="M1787" s="293"/>
      <c r="N1787" s="293"/>
      <c r="O1787" s="277"/>
      <c r="P1787" s="264"/>
      <c r="Q1787" s="264"/>
      <c r="R1787" s="264"/>
      <c r="S1787" s="264"/>
      <c r="T1787" s="264"/>
      <c r="U1787" s="264"/>
      <c r="V1787" s="264"/>
      <c r="W1787" s="264"/>
      <c r="X1787" s="264"/>
      <c r="Y1787" s="264"/>
      <c r="Z1787" s="264"/>
      <c r="AA1787" s="264"/>
      <c r="AB1787" s="264"/>
      <c r="AC1787" s="264"/>
      <c r="AD1787" s="264"/>
      <c r="AE1787" s="264"/>
    </row>
    <row r="1788">
      <c r="A1788" s="272"/>
      <c r="B1788" s="272"/>
      <c r="C1788" s="272"/>
      <c r="D1788" s="172"/>
      <c r="E1788" s="267" t="str">
        <f t="shared" si="22"/>
        <v/>
      </c>
      <c r="F1788" s="274"/>
      <c r="G1788" s="42"/>
      <c r="H1788" s="264"/>
      <c r="I1788" s="277"/>
      <c r="J1788" s="276" t="str">
        <f>IF(ISBLANK(I1788), "", VLOOKUP(E1788&amp;" "&amp;F1788, 'Info Tipo de Cambio y REM'!$A$24:$B$35, 2, FALSE))
</f>
        <v/>
      </c>
      <c r="K1788" s="107"/>
      <c r="L1788" s="293"/>
      <c r="M1788" s="293"/>
      <c r="N1788" s="293"/>
      <c r="O1788" s="277"/>
      <c r="P1788" s="264"/>
      <c r="Q1788" s="264"/>
      <c r="R1788" s="264"/>
      <c r="S1788" s="264"/>
      <c r="T1788" s="264"/>
      <c r="U1788" s="264"/>
      <c r="V1788" s="264"/>
      <c r="W1788" s="264"/>
      <c r="X1788" s="264"/>
      <c r="Y1788" s="264"/>
      <c r="Z1788" s="264"/>
      <c r="AA1788" s="264"/>
      <c r="AB1788" s="264"/>
      <c r="AC1788" s="264"/>
      <c r="AD1788" s="264"/>
      <c r="AE1788" s="264"/>
    </row>
    <row r="1789">
      <c r="A1789" s="272"/>
      <c r="B1789" s="272"/>
      <c r="C1789" s="272"/>
      <c r="D1789" s="172"/>
      <c r="E1789" s="267" t="str">
        <f t="shared" si="22"/>
        <v/>
      </c>
      <c r="F1789" s="274"/>
      <c r="G1789" s="42"/>
      <c r="H1789" s="264"/>
      <c r="I1789" s="277"/>
      <c r="J1789" s="276" t="str">
        <f>IF(ISBLANK(I1789), "", VLOOKUP(E1789&amp;" "&amp;F1789, 'Info Tipo de Cambio y REM'!$A$24:$B$35, 2, FALSE))
</f>
        <v/>
      </c>
      <c r="K1789" s="107"/>
      <c r="L1789" s="293"/>
      <c r="M1789" s="293"/>
      <c r="N1789" s="293"/>
      <c r="O1789" s="277"/>
      <c r="P1789" s="264"/>
      <c r="Q1789" s="264"/>
      <c r="R1789" s="264"/>
      <c r="S1789" s="264"/>
      <c r="T1789" s="264"/>
      <c r="U1789" s="264"/>
      <c r="V1789" s="264"/>
      <c r="W1789" s="264"/>
      <c r="X1789" s="264"/>
      <c r="Y1789" s="264"/>
      <c r="Z1789" s="264"/>
      <c r="AA1789" s="264"/>
      <c r="AB1789" s="264"/>
      <c r="AC1789" s="264"/>
      <c r="AD1789" s="264"/>
      <c r="AE1789" s="264"/>
    </row>
    <row r="1790">
      <c r="A1790" s="272"/>
      <c r="B1790" s="272"/>
      <c r="C1790" s="272"/>
      <c r="D1790" s="172"/>
      <c r="E1790" s="267" t="str">
        <f t="shared" si="22"/>
        <v/>
      </c>
      <c r="F1790" s="274"/>
      <c r="G1790" s="42"/>
      <c r="H1790" s="264"/>
      <c r="I1790" s="277"/>
      <c r="J1790" s="276" t="str">
        <f>IF(ISBLANK(I1790), "", VLOOKUP(E1790&amp;" "&amp;F1790, 'Info Tipo de Cambio y REM'!$A$24:$B$35, 2, FALSE))
</f>
        <v/>
      </c>
      <c r="K1790" s="107"/>
      <c r="L1790" s="293"/>
      <c r="M1790" s="293"/>
      <c r="N1790" s="293"/>
      <c r="O1790" s="277"/>
      <c r="P1790" s="264"/>
      <c r="Q1790" s="264"/>
      <c r="R1790" s="264"/>
      <c r="S1790" s="264"/>
      <c r="T1790" s="264"/>
      <c r="U1790" s="264"/>
      <c r="V1790" s="264"/>
      <c r="W1790" s="264"/>
      <c r="X1790" s="264"/>
      <c r="Y1790" s="264"/>
      <c r="Z1790" s="264"/>
      <c r="AA1790" s="264"/>
      <c r="AB1790" s="264"/>
      <c r="AC1790" s="264"/>
      <c r="AD1790" s="264"/>
      <c r="AE1790" s="264"/>
    </row>
    <row r="1791">
      <c r="A1791" s="272"/>
      <c r="B1791" s="272"/>
      <c r="C1791" s="272"/>
      <c r="D1791" s="172"/>
      <c r="E1791" s="267" t="str">
        <f t="shared" si="22"/>
        <v/>
      </c>
      <c r="F1791" s="274"/>
      <c r="G1791" s="42"/>
      <c r="H1791" s="264"/>
      <c r="I1791" s="277"/>
      <c r="J1791" s="276" t="str">
        <f>IF(ISBLANK(I1791), "", VLOOKUP(E1791&amp;" "&amp;F1791, 'Info Tipo de Cambio y REM'!$A$24:$B$35, 2, FALSE))
</f>
        <v/>
      </c>
      <c r="K1791" s="107"/>
      <c r="L1791" s="293"/>
      <c r="M1791" s="293"/>
      <c r="N1791" s="293"/>
      <c r="O1791" s="277"/>
      <c r="P1791" s="264"/>
      <c r="Q1791" s="264"/>
      <c r="R1791" s="264"/>
      <c r="S1791" s="264"/>
      <c r="T1791" s="264"/>
      <c r="U1791" s="264"/>
      <c r="V1791" s="264"/>
      <c r="W1791" s="264"/>
      <c r="X1791" s="264"/>
      <c r="Y1791" s="264"/>
      <c r="Z1791" s="264"/>
      <c r="AA1791" s="264"/>
      <c r="AB1791" s="264"/>
      <c r="AC1791" s="264"/>
      <c r="AD1791" s="264"/>
      <c r="AE1791" s="264"/>
    </row>
    <row r="1792">
      <c r="A1792" s="272"/>
      <c r="B1792" s="272"/>
      <c r="C1792" s="272"/>
      <c r="D1792" s="172"/>
      <c r="E1792" s="267" t="str">
        <f t="shared" si="22"/>
        <v/>
      </c>
      <c r="F1792" s="274"/>
      <c r="G1792" s="42"/>
      <c r="H1792" s="264"/>
      <c r="I1792" s="277"/>
      <c r="J1792" s="276" t="str">
        <f>IF(ISBLANK(I1792), "", VLOOKUP(E1792&amp;" "&amp;F1792, 'Info Tipo de Cambio y REM'!$A$24:$B$35, 2, FALSE))
</f>
        <v/>
      </c>
      <c r="K1792" s="107"/>
      <c r="L1792" s="293"/>
      <c r="M1792" s="293"/>
      <c r="N1792" s="293"/>
      <c r="O1792" s="277"/>
      <c r="P1792" s="264"/>
      <c r="Q1792" s="264"/>
      <c r="R1792" s="264"/>
      <c r="S1792" s="264"/>
      <c r="T1792" s="264"/>
      <c r="U1792" s="264"/>
      <c r="V1792" s="264"/>
      <c r="W1792" s="264"/>
      <c r="X1792" s="264"/>
      <c r="Y1792" s="264"/>
      <c r="Z1792" s="264"/>
      <c r="AA1792" s="264"/>
      <c r="AB1792" s="264"/>
      <c r="AC1792" s="264"/>
      <c r="AD1792" s="264"/>
      <c r="AE1792" s="264"/>
    </row>
    <row r="1793">
      <c r="A1793" s="272"/>
      <c r="B1793" s="272"/>
      <c r="C1793" s="272"/>
      <c r="D1793" s="172"/>
      <c r="E1793" s="267" t="str">
        <f t="shared" si="22"/>
        <v/>
      </c>
      <c r="F1793" s="274"/>
      <c r="G1793" s="42"/>
      <c r="H1793" s="264"/>
      <c r="I1793" s="277"/>
      <c r="J1793" s="276" t="str">
        <f>IF(ISBLANK(I1793), "", VLOOKUP(E1793&amp;" "&amp;F1793, 'Info Tipo de Cambio y REM'!$A$24:$B$35, 2, FALSE))
</f>
        <v/>
      </c>
      <c r="K1793" s="107"/>
      <c r="L1793" s="293"/>
      <c r="M1793" s="293"/>
      <c r="N1793" s="293"/>
      <c r="O1793" s="277"/>
      <c r="P1793" s="264"/>
      <c r="Q1793" s="264"/>
      <c r="R1793" s="264"/>
      <c r="S1793" s="264"/>
      <c r="T1793" s="264"/>
      <c r="U1793" s="264"/>
      <c r="V1793" s="264"/>
      <c r="W1793" s="264"/>
      <c r="X1793" s="264"/>
      <c r="Y1793" s="264"/>
      <c r="Z1793" s="264"/>
      <c r="AA1793" s="264"/>
      <c r="AB1793" s="264"/>
      <c r="AC1793" s="264"/>
      <c r="AD1793" s="264"/>
      <c r="AE1793" s="264"/>
    </row>
    <row r="1794">
      <c r="A1794" s="272"/>
      <c r="B1794" s="272"/>
      <c r="C1794" s="272"/>
      <c r="D1794" s="172"/>
      <c r="E1794" s="267" t="str">
        <f t="shared" si="22"/>
        <v/>
      </c>
      <c r="F1794" s="274"/>
      <c r="G1794" s="42"/>
      <c r="H1794" s="264"/>
      <c r="I1794" s="277"/>
      <c r="J1794" s="276" t="str">
        <f>IF(ISBLANK(I1794), "", VLOOKUP(E1794&amp;" "&amp;F1794, 'Info Tipo de Cambio y REM'!$A$24:$B$35, 2, FALSE))
</f>
        <v/>
      </c>
      <c r="K1794" s="107"/>
      <c r="L1794" s="293"/>
      <c r="M1794" s="293"/>
      <c r="N1794" s="293"/>
      <c r="O1794" s="277"/>
      <c r="P1794" s="264"/>
      <c r="Q1794" s="264"/>
      <c r="R1794" s="264"/>
      <c r="S1794" s="264"/>
      <c r="T1794" s="264"/>
      <c r="U1794" s="264"/>
      <c r="V1794" s="264"/>
      <c r="W1794" s="264"/>
      <c r="X1794" s="264"/>
      <c r="Y1794" s="264"/>
      <c r="Z1794" s="264"/>
      <c r="AA1794" s="264"/>
      <c r="AB1794" s="264"/>
      <c r="AC1794" s="264"/>
      <c r="AD1794" s="264"/>
      <c r="AE1794" s="264"/>
    </row>
    <row r="1795">
      <c r="A1795" s="272"/>
      <c r="B1795" s="272"/>
      <c r="C1795" s="272"/>
      <c r="D1795" s="172"/>
      <c r="E1795" s="267" t="str">
        <f t="shared" si="22"/>
        <v/>
      </c>
      <c r="F1795" s="274"/>
      <c r="G1795" s="42"/>
      <c r="H1795" s="264"/>
      <c r="I1795" s="277"/>
      <c r="J1795" s="276" t="str">
        <f>IF(ISBLANK(I1795), "", VLOOKUP(E1795&amp;" "&amp;F1795, 'Info Tipo de Cambio y REM'!$A$24:$B$35, 2, FALSE))
</f>
        <v/>
      </c>
      <c r="K1795" s="107"/>
      <c r="L1795" s="293"/>
      <c r="M1795" s="293"/>
      <c r="N1795" s="293"/>
      <c r="O1795" s="277"/>
      <c r="P1795" s="264"/>
      <c r="Q1795" s="264"/>
      <c r="R1795" s="264"/>
      <c r="S1795" s="264"/>
      <c r="T1795" s="264"/>
      <c r="U1795" s="264"/>
      <c r="V1795" s="264"/>
      <c r="W1795" s="264"/>
      <c r="X1795" s="264"/>
      <c r="Y1795" s="264"/>
      <c r="Z1795" s="264"/>
      <c r="AA1795" s="264"/>
      <c r="AB1795" s="264"/>
      <c r="AC1795" s="264"/>
      <c r="AD1795" s="264"/>
      <c r="AE1795" s="264"/>
    </row>
    <row r="1796">
      <c r="A1796" s="272"/>
      <c r="B1796" s="272"/>
      <c r="C1796" s="272"/>
      <c r="D1796" s="172"/>
      <c r="E1796" s="267" t="str">
        <f t="shared" si="22"/>
        <v/>
      </c>
      <c r="F1796" s="274"/>
      <c r="G1796" s="42"/>
      <c r="H1796" s="264"/>
      <c r="I1796" s="277"/>
      <c r="J1796" s="276" t="str">
        <f>IF(ISBLANK(I1796), "", VLOOKUP(E1796&amp;" "&amp;F1796, 'Info Tipo de Cambio y REM'!$A$24:$B$35, 2, FALSE))
</f>
        <v/>
      </c>
      <c r="K1796" s="107"/>
      <c r="L1796" s="293"/>
      <c r="M1796" s="293"/>
      <c r="N1796" s="293"/>
      <c r="O1796" s="277"/>
      <c r="P1796" s="264"/>
      <c r="Q1796" s="264"/>
      <c r="R1796" s="264"/>
      <c r="S1796" s="264"/>
      <c r="T1796" s="264"/>
      <c r="U1796" s="264"/>
      <c r="V1796" s="264"/>
      <c r="W1796" s="264"/>
      <c r="X1796" s="264"/>
      <c r="Y1796" s="264"/>
      <c r="Z1796" s="264"/>
      <c r="AA1796" s="264"/>
      <c r="AB1796" s="264"/>
      <c r="AC1796" s="264"/>
      <c r="AD1796" s="264"/>
      <c r="AE1796" s="264"/>
    </row>
    <row r="1797">
      <c r="A1797" s="272"/>
      <c r="B1797" s="272"/>
      <c r="C1797" s="272"/>
      <c r="D1797" s="172"/>
      <c r="E1797" s="267" t="str">
        <f t="shared" si="22"/>
        <v/>
      </c>
      <c r="F1797" s="274"/>
      <c r="G1797" s="42"/>
      <c r="H1797" s="264"/>
      <c r="I1797" s="277"/>
      <c r="J1797" s="276" t="str">
        <f>IF(ISBLANK(I1797), "", VLOOKUP(E1797&amp;" "&amp;F1797, 'Info Tipo de Cambio y REM'!$A$24:$B$35, 2, FALSE))
</f>
        <v/>
      </c>
      <c r="K1797" s="107"/>
      <c r="L1797" s="293"/>
      <c r="M1797" s="293"/>
      <c r="N1797" s="293"/>
      <c r="O1797" s="277"/>
      <c r="P1797" s="264"/>
      <c r="Q1797" s="264"/>
      <c r="R1797" s="264"/>
      <c r="S1797" s="264"/>
      <c r="T1797" s="264"/>
      <c r="U1797" s="264"/>
      <c r="V1797" s="264"/>
      <c r="W1797" s="264"/>
      <c r="X1797" s="264"/>
      <c r="Y1797" s="264"/>
      <c r="Z1797" s="264"/>
      <c r="AA1797" s="264"/>
      <c r="AB1797" s="264"/>
      <c r="AC1797" s="264"/>
      <c r="AD1797" s="264"/>
      <c r="AE1797" s="264"/>
    </row>
    <row r="1798">
      <c r="A1798" s="272"/>
      <c r="B1798" s="272"/>
      <c r="C1798" s="272"/>
      <c r="D1798" s="172"/>
      <c r="E1798" s="267" t="str">
        <f t="shared" si="22"/>
        <v/>
      </c>
      <c r="F1798" s="274"/>
      <c r="G1798" s="42"/>
      <c r="H1798" s="264"/>
      <c r="I1798" s="277"/>
      <c r="J1798" s="276" t="str">
        <f>IF(ISBLANK(I1798), "", VLOOKUP(E1798&amp;" "&amp;F1798, 'Info Tipo de Cambio y REM'!$A$24:$B$35, 2, FALSE))
</f>
        <v/>
      </c>
      <c r="K1798" s="107"/>
      <c r="L1798" s="293"/>
      <c r="M1798" s="293"/>
      <c r="N1798" s="293"/>
      <c r="O1798" s="277"/>
      <c r="P1798" s="264"/>
      <c r="Q1798" s="264"/>
      <c r="R1798" s="264"/>
      <c r="S1798" s="264"/>
      <c r="T1798" s="264"/>
      <c r="U1798" s="264"/>
      <c r="V1798" s="264"/>
      <c r="W1798" s="264"/>
      <c r="X1798" s="264"/>
      <c r="Y1798" s="264"/>
      <c r="Z1798" s="264"/>
      <c r="AA1798" s="264"/>
      <c r="AB1798" s="264"/>
      <c r="AC1798" s="264"/>
      <c r="AD1798" s="264"/>
      <c r="AE1798" s="264"/>
    </row>
    <row r="1799">
      <c r="A1799" s="272"/>
      <c r="B1799" s="272"/>
      <c r="C1799" s="272"/>
      <c r="D1799" s="172"/>
      <c r="E1799" s="267" t="str">
        <f t="shared" si="22"/>
        <v/>
      </c>
      <c r="F1799" s="274"/>
      <c r="G1799" s="42"/>
      <c r="H1799" s="264"/>
      <c r="I1799" s="277"/>
      <c r="J1799" s="276" t="str">
        <f>IF(ISBLANK(I1799), "", VLOOKUP(E1799&amp;" "&amp;F1799, 'Info Tipo de Cambio y REM'!$A$24:$B$35, 2, FALSE))
</f>
        <v/>
      </c>
      <c r="K1799" s="107"/>
      <c r="L1799" s="293"/>
      <c r="M1799" s="293"/>
      <c r="N1799" s="293"/>
      <c r="O1799" s="277"/>
      <c r="P1799" s="264"/>
      <c r="Q1799" s="264"/>
      <c r="R1799" s="264"/>
      <c r="S1799" s="264"/>
      <c r="T1799" s="264"/>
      <c r="U1799" s="264"/>
      <c r="V1799" s="264"/>
      <c r="W1799" s="264"/>
      <c r="X1799" s="264"/>
      <c r="Y1799" s="264"/>
      <c r="Z1799" s="264"/>
      <c r="AA1799" s="264"/>
      <c r="AB1799" s="264"/>
      <c r="AC1799" s="264"/>
      <c r="AD1799" s="264"/>
      <c r="AE1799" s="264"/>
    </row>
    <row r="1800">
      <c r="A1800" s="272"/>
      <c r="B1800" s="272"/>
      <c r="C1800" s="272"/>
      <c r="D1800" s="172"/>
      <c r="E1800" s="267" t="str">
        <f t="shared" si="22"/>
        <v/>
      </c>
      <c r="F1800" s="274"/>
      <c r="G1800" s="42"/>
      <c r="H1800" s="264"/>
      <c r="I1800" s="277"/>
      <c r="J1800" s="276" t="str">
        <f>IF(ISBLANK(I1800), "", VLOOKUP(E1800&amp;" "&amp;F1800, 'Info Tipo de Cambio y REM'!$A$24:$B$35, 2, FALSE))
</f>
        <v/>
      </c>
      <c r="K1800" s="107"/>
      <c r="L1800" s="293"/>
      <c r="M1800" s="293"/>
      <c r="N1800" s="293"/>
      <c r="O1800" s="277"/>
      <c r="P1800" s="264"/>
      <c r="Q1800" s="264"/>
      <c r="R1800" s="264"/>
      <c r="S1800" s="264"/>
      <c r="T1800" s="264"/>
      <c r="U1800" s="264"/>
      <c r="V1800" s="264"/>
      <c r="W1800" s="264"/>
      <c r="X1800" s="264"/>
      <c r="Y1800" s="264"/>
      <c r="Z1800" s="264"/>
      <c r="AA1800" s="264"/>
      <c r="AB1800" s="264"/>
      <c r="AC1800" s="264"/>
      <c r="AD1800" s="264"/>
      <c r="AE1800" s="264"/>
    </row>
    <row r="1801">
      <c r="A1801" s="272"/>
      <c r="B1801" s="272"/>
      <c r="C1801" s="272"/>
      <c r="D1801" s="172"/>
      <c r="E1801" s="267" t="str">
        <f t="shared" si="22"/>
        <v/>
      </c>
      <c r="F1801" s="274"/>
      <c r="G1801" s="42"/>
      <c r="H1801" s="264"/>
      <c r="I1801" s="277"/>
      <c r="J1801" s="276" t="str">
        <f>IF(ISBLANK(I1801), "", VLOOKUP(E1801&amp;" "&amp;F1801, 'Info Tipo de Cambio y REM'!$A$24:$B$35, 2, FALSE))
</f>
        <v/>
      </c>
      <c r="K1801" s="107"/>
      <c r="L1801" s="293"/>
      <c r="M1801" s="293"/>
      <c r="N1801" s="293"/>
      <c r="O1801" s="277"/>
      <c r="P1801" s="264"/>
      <c r="Q1801" s="264"/>
      <c r="R1801" s="264"/>
      <c r="S1801" s="264"/>
      <c r="T1801" s="264"/>
      <c r="U1801" s="264"/>
      <c r="V1801" s="264"/>
      <c r="W1801" s="264"/>
      <c r="X1801" s="264"/>
      <c r="Y1801" s="264"/>
      <c r="Z1801" s="264"/>
      <c r="AA1801" s="264"/>
      <c r="AB1801" s="264"/>
      <c r="AC1801" s="264"/>
      <c r="AD1801" s="264"/>
      <c r="AE1801" s="264"/>
    </row>
    <row r="1802">
      <c r="A1802" s="272"/>
      <c r="B1802" s="272"/>
      <c r="C1802" s="272"/>
      <c r="D1802" s="172"/>
      <c r="E1802" s="267" t="str">
        <f t="shared" si="22"/>
        <v/>
      </c>
      <c r="F1802" s="274"/>
      <c r="G1802" s="42"/>
      <c r="H1802" s="264"/>
      <c r="I1802" s="277"/>
      <c r="J1802" s="276" t="str">
        <f>IF(ISBLANK(I1802), "", VLOOKUP(E1802&amp;" "&amp;F1802, 'Info Tipo de Cambio y REM'!$A$24:$B$35, 2, FALSE))
</f>
        <v/>
      </c>
      <c r="K1802" s="107"/>
      <c r="L1802" s="293"/>
      <c r="M1802" s="293"/>
      <c r="N1802" s="293"/>
      <c r="O1802" s="277"/>
      <c r="P1802" s="264"/>
      <c r="Q1802" s="264"/>
      <c r="R1802" s="264"/>
      <c r="S1802" s="264"/>
      <c r="T1802" s="264"/>
      <c r="U1802" s="264"/>
      <c r="V1802" s="264"/>
      <c r="W1802" s="264"/>
      <c r="X1802" s="264"/>
      <c r="Y1802" s="264"/>
      <c r="Z1802" s="264"/>
      <c r="AA1802" s="264"/>
      <c r="AB1802" s="264"/>
      <c r="AC1802" s="264"/>
      <c r="AD1802" s="264"/>
      <c r="AE1802" s="264"/>
    </row>
    <row r="1803">
      <c r="A1803" s="272"/>
      <c r="B1803" s="272"/>
      <c r="C1803" s="272"/>
      <c r="D1803" s="172"/>
      <c r="E1803" s="267" t="str">
        <f t="shared" si="22"/>
        <v/>
      </c>
      <c r="F1803" s="274"/>
      <c r="G1803" s="42"/>
      <c r="H1803" s="264"/>
      <c r="I1803" s="277"/>
      <c r="J1803" s="276" t="str">
        <f>IF(ISBLANK(I1803), "", VLOOKUP(E1803&amp;" "&amp;F1803, 'Info Tipo de Cambio y REM'!$A$24:$B$35, 2, FALSE))
</f>
        <v/>
      </c>
      <c r="K1803" s="107"/>
      <c r="L1803" s="293"/>
      <c r="M1803" s="293"/>
      <c r="N1803" s="293"/>
      <c r="O1803" s="277"/>
      <c r="P1803" s="264"/>
      <c r="Q1803" s="264"/>
      <c r="R1803" s="264"/>
      <c r="S1803" s="264"/>
      <c r="T1803" s="264"/>
      <c r="U1803" s="264"/>
      <c r="V1803" s="264"/>
      <c r="W1803" s="264"/>
      <c r="X1803" s="264"/>
      <c r="Y1803" s="264"/>
      <c r="Z1803" s="264"/>
      <c r="AA1803" s="264"/>
      <c r="AB1803" s="264"/>
      <c r="AC1803" s="264"/>
      <c r="AD1803" s="264"/>
      <c r="AE1803" s="264"/>
    </row>
    <row r="1804">
      <c r="A1804" s="272"/>
      <c r="B1804" s="272"/>
      <c r="C1804" s="272"/>
      <c r="D1804" s="172"/>
      <c r="E1804" s="267" t="str">
        <f t="shared" si="22"/>
        <v/>
      </c>
      <c r="F1804" s="274"/>
      <c r="G1804" s="42"/>
      <c r="H1804" s="264"/>
      <c r="I1804" s="277"/>
      <c r="J1804" s="276" t="str">
        <f>IF(ISBLANK(I1804), "", VLOOKUP(E1804&amp;" "&amp;F1804, 'Info Tipo de Cambio y REM'!$A$24:$B$35, 2, FALSE))
</f>
        <v/>
      </c>
      <c r="K1804" s="107"/>
      <c r="L1804" s="293"/>
      <c r="M1804" s="293"/>
      <c r="N1804" s="293"/>
      <c r="O1804" s="277"/>
      <c r="P1804" s="264"/>
      <c r="Q1804" s="264"/>
      <c r="R1804" s="264"/>
      <c r="S1804" s="264"/>
      <c r="T1804" s="264"/>
      <c r="U1804" s="264"/>
      <c r="V1804" s="264"/>
      <c r="W1804" s="264"/>
      <c r="X1804" s="264"/>
      <c r="Y1804" s="264"/>
      <c r="Z1804" s="264"/>
      <c r="AA1804" s="264"/>
      <c r="AB1804" s="264"/>
      <c r="AC1804" s="264"/>
      <c r="AD1804" s="264"/>
      <c r="AE1804" s="264"/>
    </row>
    <row r="1805">
      <c r="A1805" s="272"/>
      <c r="B1805" s="272"/>
      <c r="C1805" s="272"/>
      <c r="D1805" s="172"/>
      <c r="E1805" s="267" t="str">
        <f t="shared" si="22"/>
        <v/>
      </c>
      <c r="F1805" s="274"/>
      <c r="G1805" s="42"/>
      <c r="H1805" s="264"/>
      <c r="I1805" s="277"/>
      <c r="J1805" s="276" t="str">
        <f>IF(ISBLANK(I1805), "", VLOOKUP(E1805&amp;" "&amp;F1805, 'Info Tipo de Cambio y REM'!$A$24:$B$35, 2, FALSE))
</f>
        <v/>
      </c>
      <c r="K1805" s="107"/>
      <c r="L1805" s="293"/>
      <c r="M1805" s="293"/>
      <c r="N1805" s="293"/>
      <c r="O1805" s="277"/>
      <c r="P1805" s="264"/>
      <c r="Q1805" s="264"/>
      <c r="R1805" s="264"/>
      <c r="S1805" s="264"/>
      <c r="T1805" s="264"/>
      <c r="U1805" s="264"/>
      <c r="V1805" s="264"/>
      <c r="W1805" s="264"/>
      <c r="X1805" s="264"/>
      <c r="Y1805" s="264"/>
      <c r="Z1805" s="264"/>
      <c r="AA1805" s="264"/>
      <c r="AB1805" s="264"/>
      <c r="AC1805" s="264"/>
      <c r="AD1805" s="264"/>
      <c r="AE1805" s="264"/>
    </row>
    <row r="1806">
      <c r="A1806" s="272"/>
      <c r="B1806" s="272"/>
      <c r="C1806" s="272"/>
      <c r="D1806" s="172"/>
      <c r="E1806" s="267" t="str">
        <f t="shared" si="22"/>
        <v/>
      </c>
      <c r="F1806" s="274"/>
      <c r="G1806" s="42"/>
      <c r="H1806" s="264"/>
      <c r="I1806" s="277"/>
      <c r="J1806" s="276" t="str">
        <f>IF(ISBLANK(I1806), "", VLOOKUP(E1806&amp;" "&amp;F1806, 'Info Tipo de Cambio y REM'!$A$24:$B$35, 2, FALSE))
</f>
        <v/>
      </c>
      <c r="K1806" s="107"/>
      <c r="L1806" s="293"/>
      <c r="M1806" s="293"/>
      <c r="N1806" s="293"/>
      <c r="O1806" s="277"/>
      <c r="P1806" s="264"/>
      <c r="Q1806" s="264"/>
      <c r="R1806" s="264"/>
      <c r="S1806" s="264"/>
      <c r="T1806" s="264"/>
      <c r="U1806" s="264"/>
      <c r="V1806" s="264"/>
      <c r="W1806" s="264"/>
      <c r="X1806" s="264"/>
      <c r="Y1806" s="264"/>
      <c r="Z1806" s="264"/>
      <c r="AA1806" s="264"/>
      <c r="AB1806" s="264"/>
      <c r="AC1806" s="264"/>
      <c r="AD1806" s="264"/>
      <c r="AE1806" s="264"/>
    </row>
    <row r="1807">
      <c r="A1807" s="272"/>
      <c r="B1807" s="272"/>
      <c r="C1807" s="272"/>
      <c r="D1807" s="172"/>
      <c r="E1807" s="267" t="str">
        <f t="shared" si="22"/>
        <v/>
      </c>
      <c r="F1807" s="274"/>
      <c r="G1807" s="42"/>
      <c r="H1807" s="264"/>
      <c r="I1807" s="277"/>
      <c r="J1807" s="276" t="str">
        <f>IF(ISBLANK(I1807), "", VLOOKUP(E1807&amp;" "&amp;F1807, 'Info Tipo de Cambio y REM'!$A$24:$B$35, 2, FALSE))
</f>
        <v/>
      </c>
      <c r="K1807" s="107"/>
      <c r="L1807" s="293"/>
      <c r="M1807" s="293"/>
      <c r="N1807" s="293"/>
      <c r="O1807" s="277"/>
      <c r="P1807" s="264"/>
      <c r="Q1807" s="264"/>
      <c r="R1807" s="264"/>
      <c r="S1807" s="264"/>
      <c r="T1807" s="264"/>
      <c r="U1807" s="264"/>
      <c r="V1807" s="264"/>
      <c r="W1807" s="264"/>
      <c r="X1807" s="264"/>
      <c r="Y1807" s="264"/>
      <c r="Z1807" s="264"/>
      <c r="AA1807" s="264"/>
      <c r="AB1807" s="264"/>
      <c r="AC1807" s="264"/>
      <c r="AD1807" s="264"/>
      <c r="AE1807" s="264"/>
    </row>
    <row r="1808">
      <c r="A1808" s="272"/>
      <c r="B1808" s="272"/>
      <c r="C1808" s="272"/>
      <c r="D1808" s="172"/>
      <c r="E1808" s="267" t="str">
        <f t="shared" si="22"/>
        <v/>
      </c>
      <c r="F1808" s="274"/>
      <c r="G1808" s="42"/>
      <c r="H1808" s="264"/>
      <c r="I1808" s="277"/>
      <c r="J1808" s="276" t="str">
        <f>IF(ISBLANK(I1808), "", VLOOKUP(E1808&amp;" "&amp;F1808, 'Info Tipo de Cambio y REM'!$A$24:$B$35, 2, FALSE))
</f>
        <v/>
      </c>
      <c r="K1808" s="107"/>
      <c r="L1808" s="293"/>
      <c r="M1808" s="293"/>
      <c r="N1808" s="293"/>
      <c r="O1808" s="277"/>
      <c r="P1808" s="264"/>
      <c r="Q1808" s="264"/>
      <c r="R1808" s="264"/>
      <c r="S1808" s="264"/>
      <c r="T1808" s="264"/>
      <c r="U1808" s="264"/>
      <c r="V1808" s="264"/>
      <c r="W1808" s="264"/>
      <c r="X1808" s="264"/>
      <c r="Y1808" s="264"/>
      <c r="Z1808" s="264"/>
      <c r="AA1808" s="264"/>
      <c r="AB1808" s="264"/>
      <c r="AC1808" s="264"/>
      <c r="AD1808" s="264"/>
      <c r="AE1808" s="264"/>
    </row>
    <row r="1809">
      <c r="A1809" s="272"/>
      <c r="B1809" s="272"/>
      <c r="C1809" s="272"/>
      <c r="D1809" s="172"/>
      <c r="E1809" s="267" t="str">
        <f t="shared" si="22"/>
        <v/>
      </c>
      <c r="F1809" s="274"/>
      <c r="G1809" s="42"/>
      <c r="H1809" s="264"/>
      <c r="I1809" s="277"/>
      <c r="J1809" s="276" t="str">
        <f>IF(ISBLANK(I1809), "", VLOOKUP(E1809&amp;" "&amp;F1809, 'Info Tipo de Cambio y REM'!$A$24:$B$35, 2, FALSE))
</f>
        <v/>
      </c>
      <c r="K1809" s="107"/>
      <c r="L1809" s="293"/>
      <c r="M1809" s="293"/>
      <c r="N1809" s="293"/>
      <c r="O1809" s="277"/>
      <c r="P1809" s="264"/>
      <c r="Q1809" s="264"/>
      <c r="R1809" s="264"/>
      <c r="S1809" s="264"/>
      <c r="T1809" s="264"/>
      <c r="U1809" s="264"/>
      <c r="V1809" s="264"/>
      <c r="W1809" s="264"/>
      <c r="X1809" s="264"/>
      <c r="Y1809" s="264"/>
      <c r="Z1809" s="264"/>
      <c r="AA1809" s="264"/>
      <c r="AB1809" s="264"/>
      <c r="AC1809" s="264"/>
      <c r="AD1809" s="264"/>
      <c r="AE1809" s="264"/>
    </row>
    <row r="1810">
      <c r="A1810" s="272"/>
      <c r="B1810" s="272"/>
      <c r="C1810" s="272"/>
      <c r="D1810" s="172"/>
      <c r="E1810" s="267" t="str">
        <f t="shared" si="22"/>
        <v/>
      </c>
      <c r="F1810" s="274"/>
      <c r="G1810" s="42"/>
      <c r="H1810" s="264"/>
      <c r="I1810" s="277"/>
      <c r="J1810" s="276" t="str">
        <f>IF(ISBLANK(I1810), "", VLOOKUP(E1810&amp;" "&amp;F1810, 'Info Tipo de Cambio y REM'!$A$24:$B$35, 2, FALSE))
</f>
        <v/>
      </c>
      <c r="K1810" s="107"/>
      <c r="L1810" s="293"/>
      <c r="M1810" s="293"/>
      <c r="N1810" s="293"/>
      <c r="O1810" s="277"/>
      <c r="P1810" s="264"/>
      <c r="Q1810" s="264"/>
      <c r="R1810" s="264"/>
      <c r="S1810" s="264"/>
      <c r="T1810" s="264"/>
      <c r="U1810" s="264"/>
      <c r="V1810" s="264"/>
      <c r="W1810" s="264"/>
      <c r="X1810" s="264"/>
      <c r="Y1810" s="264"/>
      <c r="Z1810" s="264"/>
      <c r="AA1810" s="264"/>
      <c r="AB1810" s="264"/>
      <c r="AC1810" s="264"/>
      <c r="AD1810" s="264"/>
      <c r="AE1810" s="264"/>
    </row>
    <row r="1811">
      <c r="A1811" s="272"/>
      <c r="B1811" s="272"/>
      <c r="C1811" s="272"/>
      <c r="D1811" s="172"/>
      <c r="E1811" s="267" t="str">
        <f t="shared" si="22"/>
        <v/>
      </c>
      <c r="F1811" s="274"/>
      <c r="G1811" s="42"/>
      <c r="H1811" s="264"/>
      <c r="I1811" s="277"/>
      <c r="J1811" s="276" t="str">
        <f>IF(ISBLANK(I1811), "", VLOOKUP(E1811&amp;" "&amp;F1811, 'Info Tipo de Cambio y REM'!$A$24:$B$35, 2, FALSE))
</f>
        <v/>
      </c>
      <c r="K1811" s="107"/>
      <c r="L1811" s="293"/>
      <c r="M1811" s="293"/>
      <c r="N1811" s="293"/>
      <c r="O1811" s="277"/>
      <c r="P1811" s="264"/>
      <c r="Q1811" s="264"/>
      <c r="R1811" s="264"/>
      <c r="S1811" s="264"/>
      <c r="T1811" s="264"/>
      <c r="U1811" s="264"/>
      <c r="V1811" s="264"/>
      <c r="W1811" s="264"/>
      <c r="X1811" s="264"/>
      <c r="Y1811" s="264"/>
      <c r="Z1811" s="264"/>
      <c r="AA1811" s="264"/>
      <c r="AB1811" s="264"/>
      <c r="AC1811" s="264"/>
      <c r="AD1811" s="264"/>
      <c r="AE1811" s="264"/>
    </row>
    <row r="1812">
      <c r="A1812" s="272"/>
      <c r="B1812" s="272"/>
      <c r="C1812" s="272"/>
      <c r="D1812" s="172"/>
      <c r="E1812" s="267" t="str">
        <f t="shared" si="22"/>
        <v/>
      </c>
      <c r="F1812" s="274"/>
      <c r="G1812" s="42"/>
      <c r="H1812" s="264"/>
      <c r="I1812" s="277"/>
      <c r="J1812" s="276" t="str">
        <f>IF(ISBLANK(I1812), "", VLOOKUP(E1812&amp;" "&amp;F1812, 'Info Tipo de Cambio y REM'!$A$24:$B$35, 2, FALSE))
</f>
        <v/>
      </c>
      <c r="K1812" s="107"/>
      <c r="L1812" s="293"/>
      <c r="M1812" s="293"/>
      <c r="N1812" s="293"/>
      <c r="O1812" s="277"/>
      <c r="P1812" s="264"/>
      <c r="Q1812" s="264"/>
      <c r="R1812" s="264"/>
      <c r="S1812" s="264"/>
      <c r="T1812" s="264"/>
      <c r="U1812" s="264"/>
      <c r="V1812" s="264"/>
      <c r="W1812" s="264"/>
      <c r="X1812" s="264"/>
      <c r="Y1812" s="264"/>
      <c r="Z1812" s="264"/>
      <c r="AA1812" s="264"/>
      <c r="AB1812" s="264"/>
      <c r="AC1812" s="264"/>
      <c r="AD1812" s="264"/>
      <c r="AE1812" s="264"/>
    </row>
    <row r="1813">
      <c r="A1813" s="272"/>
      <c r="B1813" s="272"/>
      <c r="C1813" s="272"/>
      <c r="D1813" s="172"/>
      <c r="E1813" s="267" t="str">
        <f t="shared" si="22"/>
        <v/>
      </c>
      <c r="F1813" s="274"/>
      <c r="G1813" s="42"/>
      <c r="H1813" s="264"/>
      <c r="I1813" s="277"/>
      <c r="J1813" s="276" t="str">
        <f>IF(ISBLANK(I1813), "", VLOOKUP(E1813&amp;" "&amp;F1813, 'Info Tipo de Cambio y REM'!$A$24:$B$35, 2, FALSE))
</f>
        <v/>
      </c>
      <c r="K1813" s="107"/>
      <c r="L1813" s="293"/>
      <c r="M1813" s="293"/>
      <c r="N1813" s="293"/>
      <c r="O1813" s="277"/>
      <c r="P1813" s="264"/>
      <c r="Q1813" s="264"/>
      <c r="R1813" s="264"/>
      <c r="S1813" s="264"/>
      <c r="T1813" s="264"/>
      <c r="U1813" s="264"/>
      <c r="V1813" s="264"/>
      <c r="W1813" s="264"/>
      <c r="X1813" s="264"/>
      <c r="Y1813" s="264"/>
      <c r="Z1813" s="264"/>
      <c r="AA1813" s="264"/>
      <c r="AB1813" s="264"/>
      <c r="AC1813" s="264"/>
      <c r="AD1813" s="264"/>
      <c r="AE1813" s="264"/>
    </row>
    <row r="1814">
      <c r="A1814" s="272"/>
      <c r="B1814" s="272"/>
      <c r="C1814" s="272"/>
      <c r="D1814" s="172"/>
      <c r="E1814" s="267" t="str">
        <f t="shared" si="22"/>
        <v/>
      </c>
      <c r="F1814" s="274"/>
      <c r="G1814" s="42"/>
      <c r="H1814" s="264"/>
      <c r="I1814" s="277"/>
      <c r="J1814" s="276" t="str">
        <f>IF(ISBLANK(I1814), "", VLOOKUP(E1814&amp;" "&amp;F1814, 'Info Tipo de Cambio y REM'!$A$24:$B$35, 2, FALSE))
</f>
        <v/>
      </c>
      <c r="K1814" s="107"/>
      <c r="L1814" s="293"/>
      <c r="M1814" s="293"/>
      <c r="N1814" s="293"/>
      <c r="O1814" s="277"/>
      <c r="P1814" s="264"/>
      <c r="Q1814" s="264"/>
      <c r="R1814" s="264"/>
      <c r="S1814" s="264"/>
      <c r="T1814" s="264"/>
      <c r="U1814" s="264"/>
      <c r="V1814" s="264"/>
      <c r="W1814" s="264"/>
      <c r="X1814" s="264"/>
      <c r="Y1814" s="264"/>
      <c r="Z1814" s="264"/>
      <c r="AA1814" s="264"/>
      <c r="AB1814" s="264"/>
      <c r="AC1814" s="264"/>
      <c r="AD1814" s="264"/>
      <c r="AE1814" s="264"/>
    </row>
    <row r="1815">
      <c r="A1815" s="272"/>
      <c r="B1815" s="272"/>
      <c r="C1815" s="272"/>
      <c r="D1815" s="172"/>
      <c r="E1815" s="267" t="str">
        <f t="shared" si="22"/>
        <v/>
      </c>
      <c r="F1815" s="274"/>
      <c r="G1815" s="42"/>
      <c r="H1815" s="264"/>
      <c r="I1815" s="277"/>
      <c r="J1815" s="276" t="str">
        <f>IF(ISBLANK(I1815), "", VLOOKUP(E1815&amp;" "&amp;F1815, 'Info Tipo de Cambio y REM'!$A$24:$B$35, 2, FALSE))
</f>
        <v/>
      </c>
      <c r="K1815" s="107"/>
      <c r="L1815" s="293"/>
      <c r="M1815" s="293"/>
      <c r="N1815" s="293"/>
      <c r="O1815" s="277"/>
      <c r="P1815" s="264"/>
      <c r="Q1815" s="264"/>
      <c r="R1815" s="264"/>
      <c r="S1815" s="264"/>
      <c r="T1815" s="264"/>
      <c r="U1815" s="264"/>
      <c r="V1815" s="264"/>
      <c r="W1815" s="264"/>
      <c r="X1815" s="264"/>
      <c r="Y1815" s="264"/>
      <c r="Z1815" s="264"/>
      <c r="AA1815" s="264"/>
      <c r="AB1815" s="264"/>
      <c r="AC1815" s="264"/>
      <c r="AD1815" s="264"/>
      <c r="AE1815" s="264"/>
    </row>
    <row r="1816">
      <c r="A1816" s="272"/>
      <c r="B1816" s="272"/>
      <c r="C1816" s="272"/>
      <c r="D1816" s="172"/>
      <c r="E1816" s="267" t="str">
        <f t="shared" si="22"/>
        <v/>
      </c>
      <c r="F1816" s="274"/>
      <c r="G1816" s="42"/>
      <c r="H1816" s="264"/>
      <c r="I1816" s="277"/>
      <c r="J1816" s="276" t="str">
        <f>IF(ISBLANK(I1816), "", VLOOKUP(E1816&amp;" "&amp;F1816, 'Info Tipo de Cambio y REM'!$A$24:$B$35, 2, FALSE))
</f>
        <v/>
      </c>
      <c r="K1816" s="107"/>
      <c r="L1816" s="293"/>
      <c r="M1816" s="293"/>
      <c r="N1816" s="293"/>
      <c r="O1816" s="277"/>
      <c r="P1816" s="264"/>
      <c r="Q1816" s="264"/>
      <c r="R1816" s="264"/>
      <c r="S1816" s="264"/>
      <c r="T1816" s="264"/>
      <c r="U1816" s="264"/>
      <c r="V1816" s="264"/>
      <c r="W1816" s="264"/>
      <c r="X1816" s="264"/>
      <c r="Y1816" s="264"/>
      <c r="Z1816" s="264"/>
      <c r="AA1816" s="264"/>
      <c r="AB1816" s="264"/>
      <c r="AC1816" s="264"/>
      <c r="AD1816" s="264"/>
      <c r="AE1816" s="264"/>
    </row>
    <row r="1817">
      <c r="A1817" s="272"/>
      <c r="B1817" s="272"/>
      <c r="C1817" s="272"/>
      <c r="D1817" s="172"/>
      <c r="E1817" s="267" t="str">
        <f t="shared" si="22"/>
        <v/>
      </c>
      <c r="F1817" s="274"/>
      <c r="G1817" s="42"/>
      <c r="H1817" s="264"/>
      <c r="I1817" s="277"/>
      <c r="J1817" s="276" t="str">
        <f>IF(ISBLANK(I1817), "", VLOOKUP(E1817&amp;" "&amp;F1817, 'Info Tipo de Cambio y REM'!$A$24:$B$35, 2, FALSE))
</f>
        <v/>
      </c>
      <c r="K1817" s="107"/>
      <c r="L1817" s="293"/>
      <c r="M1817" s="293"/>
      <c r="N1817" s="293"/>
      <c r="O1817" s="277"/>
      <c r="P1817" s="264"/>
      <c r="Q1817" s="264"/>
      <c r="R1817" s="264"/>
      <c r="S1817" s="264"/>
      <c r="T1817" s="264"/>
      <c r="U1817" s="264"/>
      <c r="V1817" s="264"/>
      <c r="W1817" s="264"/>
      <c r="X1817" s="264"/>
      <c r="Y1817" s="264"/>
      <c r="Z1817" s="264"/>
      <c r="AA1817" s="264"/>
      <c r="AB1817" s="264"/>
      <c r="AC1817" s="264"/>
      <c r="AD1817" s="264"/>
      <c r="AE1817" s="264"/>
    </row>
    <row r="1818">
      <c r="A1818" s="272"/>
      <c r="B1818" s="272"/>
      <c r="C1818" s="272"/>
      <c r="D1818" s="172"/>
      <c r="E1818" s="267" t="str">
        <f t="shared" si="22"/>
        <v/>
      </c>
      <c r="F1818" s="274"/>
      <c r="G1818" s="42"/>
      <c r="H1818" s="264"/>
      <c r="I1818" s="277"/>
      <c r="J1818" s="276" t="str">
        <f>IF(ISBLANK(I1818), "", VLOOKUP(E1818&amp;" "&amp;F1818, 'Info Tipo de Cambio y REM'!$A$24:$B$35, 2, FALSE))
</f>
        <v/>
      </c>
      <c r="K1818" s="107"/>
      <c r="L1818" s="293"/>
      <c r="M1818" s="293"/>
      <c r="N1818" s="293"/>
      <c r="O1818" s="277"/>
      <c r="P1818" s="264"/>
      <c r="Q1818" s="264"/>
      <c r="R1818" s="264"/>
      <c r="S1818" s="264"/>
      <c r="T1818" s="264"/>
      <c r="U1818" s="264"/>
      <c r="V1818" s="264"/>
      <c r="W1818" s="264"/>
      <c r="X1818" s="264"/>
      <c r="Y1818" s="264"/>
      <c r="Z1818" s="264"/>
      <c r="AA1818" s="264"/>
      <c r="AB1818" s="264"/>
      <c r="AC1818" s="264"/>
      <c r="AD1818" s="264"/>
      <c r="AE1818" s="264"/>
    </row>
    <row r="1819">
      <c r="A1819" s="272"/>
      <c r="B1819" s="272"/>
      <c r="C1819" s="272"/>
      <c r="D1819" s="172"/>
      <c r="E1819" s="267" t="str">
        <f t="shared" si="22"/>
        <v/>
      </c>
      <c r="F1819" s="274"/>
      <c r="G1819" s="42"/>
      <c r="H1819" s="264"/>
      <c r="I1819" s="277"/>
      <c r="J1819" s="276" t="str">
        <f>IF(ISBLANK(I1819), "", VLOOKUP(E1819&amp;" "&amp;F1819, 'Info Tipo de Cambio y REM'!$A$24:$B$35, 2, FALSE))
</f>
        <v/>
      </c>
      <c r="K1819" s="107"/>
      <c r="L1819" s="293"/>
      <c r="M1819" s="293"/>
      <c r="N1819" s="293"/>
      <c r="O1819" s="277"/>
      <c r="P1819" s="264"/>
      <c r="Q1819" s="264"/>
      <c r="R1819" s="264"/>
      <c r="S1819" s="264"/>
      <c r="T1819" s="264"/>
      <c r="U1819" s="264"/>
      <c r="V1819" s="264"/>
      <c r="W1819" s="264"/>
      <c r="X1819" s="264"/>
      <c r="Y1819" s="264"/>
      <c r="Z1819" s="264"/>
      <c r="AA1819" s="264"/>
      <c r="AB1819" s="264"/>
      <c r="AC1819" s="264"/>
      <c r="AD1819" s="264"/>
      <c r="AE1819" s="264"/>
    </row>
    <row r="1820">
      <c r="A1820" s="272"/>
      <c r="B1820" s="272"/>
      <c r="C1820" s="272"/>
      <c r="D1820" s="172"/>
      <c r="E1820" s="267" t="str">
        <f t="shared" si="22"/>
        <v/>
      </c>
      <c r="F1820" s="274"/>
      <c r="G1820" s="42"/>
      <c r="H1820" s="264"/>
      <c r="I1820" s="277"/>
      <c r="J1820" s="276" t="str">
        <f>IF(ISBLANK(I1820), "", VLOOKUP(E1820&amp;" "&amp;F1820, 'Info Tipo de Cambio y REM'!$A$24:$B$35, 2, FALSE))
</f>
        <v/>
      </c>
      <c r="K1820" s="107"/>
      <c r="L1820" s="293"/>
      <c r="M1820" s="293"/>
      <c r="N1820" s="293"/>
      <c r="O1820" s="277"/>
      <c r="P1820" s="264"/>
      <c r="Q1820" s="264"/>
      <c r="R1820" s="264"/>
      <c r="S1820" s="264"/>
      <c r="T1820" s="264"/>
      <c r="U1820" s="264"/>
      <c r="V1820" s="264"/>
      <c r="W1820" s="264"/>
      <c r="X1820" s="264"/>
      <c r="Y1820" s="264"/>
      <c r="Z1820" s="264"/>
      <c r="AA1820" s="264"/>
      <c r="AB1820" s="264"/>
      <c r="AC1820" s="264"/>
      <c r="AD1820" s="264"/>
      <c r="AE1820" s="264"/>
    </row>
    <row r="1821">
      <c r="A1821" s="272"/>
      <c r="B1821" s="272"/>
      <c r="C1821" s="272"/>
      <c r="D1821" s="172"/>
      <c r="E1821" s="267" t="str">
        <f t="shared" si="22"/>
        <v/>
      </c>
      <c r="F1821" s="274"/>
      <c r="G1821" s="42"/>
      <c r="H1821" s="264"/>
      <c r="I1821" s="277"/>
      <c r="J1821" s="276" t="str">
        <f>IF(ISBLANK(I1821), "", VLOOKUP(E1821&amp;" "&amp;F1821, 'Info Tipo de Cambio y REM'!$A$24:$B$35, 2, FALSE))
</f>
        <v/>
      </c>
      <c r="K1821" s="107"/>
      <c r="L1821" s="293"/>
      <c r="M1821" s="293"/>
      <c r="N1821" s="293"/>
      <c r="O1821" s="277"/>
      <c r="P1821" s="264"/>
      <c r="Q1821" s="264"/>
      <c r="R1821" s="264"/>
      <c r="S1821" s="264"/>
      <c r="T1821" s="264"/>
      <c r="U1821" s="264"/>
      <c r="V1821" s="264"/>
      <c r="W1821" s="264"/>
      <c r="X1821" s="264"/>
      <c r="Y1821" s="264"/>
      <c r="Z1821" s="264"/>
      <c r="AA1821" s="264"/>
      <c r="AB1821" s="264"/>
      <c r="AC1821" s="264"/>
      <c r="AD1821" s="264"/>
      <c r="AE1821" s="264"/>
    </row>
    <row r="1822">
      <c r="A1822" s="272"/>
      <c r="B1822" s="272"/>
      <c r="C1822" s="272"/>
      <c r="D1822" s="172"/>
      <c r="E1822" s="267" t="str">
        <f t="shared" si="22"/>
        <v/>
      </c>
      <c r="F1822" s="274"/>
      <c r="G1822" s="42"/>
      <c r="H1822" s="264"/>
      <c r="I1822" s="277"/>
      <c r="J1822" s="276" t="str">
        <f>IF(ISBLANK(I1822), "", VLOOKUP(E1822&amp;" "&amp;F1822, 'Info Tipo de Cambio y REM'!$A$24:$B$35, 2, FALSE))
</f>
        <v/>
      </c>
      <c r="K1822" s="107"/>
      <c r="L1822" s="293"/>
      <c r="M1822" s="293"/>
      <c r="N1822" s="293"/>
      <c r="O1822" s="277"/>
      <c r="P1822" s="264"/>
      <c r="Q1822" s="264"/>
      <c r="R1822" s="264"/>
      <c r="S1822" s="264"/>
      <c r="T1822" s="264"/>
      <c r="U1822" s="264"/>
      <c r="V1822" s="264"/>
      <c r="W1822" s="264"/>
      <c r="X1822" s="264"/>
      <c r="Y1822" s="264"/>
      <c r="Z1822" s="264"/>
      <c r="AA1822" s="264"/>
      <c r="AB1822" s="264"/>
      <c r="AC1822" s="264"/>
      <c r="AD1822" s="264"/>
      <c r="AE1822" s="264"/>
    </row>
    <row r="1823">
      <c r="A1823" s="272"/>
      <c r="B1823" s="272"/>
      <c r="C1823" s="272"/>
      <c r="D1823" s="172"/>
      <c r="E1823" s="267" t="str">
        <f t="shared" si="22"/>
        <v/>
      </c>
      <c r="F1823" s="274"/>
      <c r="G1823" s="42"/>
      <c r="H1823" s="264"/>
      <c r="I1823" s="277"/>
      <c r="J1823" s="276" t="str">
        <f>IF(ISBLANK(I1823), "", VLOOKUP(E1823&amp;" "&amp;F1823, 'Info Tipo de Cambio y REM'!$A$24:$B$35, 2, FALSE))
</f>
        <v/>
      </c>
      <c r="K1823" s="107"/>
      <c r="L1823" s="293"/>
      <c r="M1823" s="293"/>
      <c r="N1823" s="293"/>
      <c r="O1823" s="277"/>
      <c r="P1823" s="264"/>
      <c r="Q1823" s="264"/>
      <c r="R1823" s="264"/>
      <c r="S1823" s="264"/>
      <c r="T1823" s="264"/>
      <c r="U1823" s="264"/>
      <c r="V1823" s="264"/>
      <c r="W1823" s="264"/>
      <c r="X1823" s="264"/>
      <c r="Y1823" s="264"/>
      <c r="Z1823" s="264"/>
      <c r="AA1823" s="264"/>
      <c r="AB1823" s="264"/>
      <c r="AC1823" s="264"/>
      <c r="AD1823" s="264"/>
      <c r="AE1823" s="264"/>
    </row>
    <row r="1824">
      <c r="A1824" s="272"/>
      <c r="B1824" s="272"/>
      <c r="C1824" s="272"/>
      <c r="D1824" s="172"/>
      <c r="E1824" s="267" t="str">
        <f t="shared" si="22"/>
        <v/>
      </c>
      <c r="F1824" s="274"/>
      <c r="G1824" s="42"/>
      <c r="H1824" s="264"/>
      <c r="I1824" s="277"/>
      <c r="J1824" s="276" t="str">
        <f>IF(ISBLANK(I1824), "", VLOOKUP(E1824&amp;" "&amp;F1824, 'Info Tipo de Cambio y REM'!$A$24:$B$35, 2, FALSE))
</f>
        <v/>
      </c>
      <c r="K1824" s="107"/>
      <c r="L1824" s="293"/>
      <c r="M1824" s="293"/>
      <c r="N1824" s="293"/>
      <c r="O1824" s="277"/>
      <c r="P1824" s="264"/>
      <c r="Q1824" s="264"/>
      <c r="R1824" s="264"/>
      <c r="S1824" s="264"/>
      <c r="T1824" s="264"/>
      <c r="U1824" s="264"/>
      <c r="V1824" s="264"/>
      <c r="W1824" s="264"/>
      <c r="X1824" s="264"/>
      <c r="Y1824" s="264"/>
      <c r="Z1824" s="264"/>
      <c r="AA1824" s="264"/>
      <c r="AB1824" s="264"/>
      <c r="AC1824" s="264"/>
      <c r="AD1824" s="264"/>
      <c r="AE1824" s="264"/>
    </row>
    <row r="1825">
      <c r="A1825" s="272"/>
      <c r="B1825" s="272"/>
      <c r="C1825" s="272"/>
      <c r="D1825" s="172"/>
      <c r="E1825" s="267" t="str">
        <f t="shared" si="22"/>
        <v/>
      </c>
      <c r="F1825" s="274"/>
      <c r="G1825" s="42"/>
      <c r="H1825" s="264"/>
      <c r="I1825" s="277"/>
      <c r="J1825" s="276" t="str">
        <f>IF(ISBLANK(I1825), "", VLOOKUP(E1825&amp;" "&amp;F1825, 'Info Tipo de Cambio y REM'!$A$24:$B$35, 2, FALSE))
</f>
        <v/>
      </c>
      <c r="K1825" s="107"/>
      <c r="L1825" s="293"/>
      <c r="M1825" s="293"/>
      <c r="N1825" s="293"/>
      <c r="O1825" s="277"/>
      <c r="P1825" s="264"/>
      <c r="Q1825" s="264"/>
      <c r="R1825" s="264"/>
      <c r="S1825" s="264"/>
      <c r="T1825" s="264"/>
      <c r="U1825" s="264"/>
      <c r="V1825" s="264"/>
      <c r="W1825" s="264"/>
      <c r="X1825" s="264"/>
      <c r="Y1825" s="264"/>
      <c r="Z1825" s="264"/>
      <c r="AA1825" s="264"/>
      <c r="AB1825" s="264"/>
      <c r="AC1825" s="264"/>
      <c r="AD1825" s="264"/>
      <c r="AE1825" s="264"/>
    </row>
    <row r="1826">
      <c r="A1826" s="272"/>
      <c r="B1826" s="272"/>
      <c r="C1826" s="272"/>
      <c r="D1826" s="172"/>
      <c r="E1826" s="267" t="str">
        <f t="shared" si="22"/>
        <v/>
      </c>
      <c r="F1826" s="274"/>
      <c r="G1826" s="42"/>
      <c r="H1826" s="264"/>
      <c r="I1826" s="277"/>
      <c r="J1826" s="276" t="str">
        <f>IF(ISBLANK(I1826), "", VLOOKUP(E1826&amp;" "&amp;F1826, 'Info Tipo de Cambio y REM'!$A$24:$B$35, 2, FALSE))
</f>
        <v/>
      </c>
      <c r="K1826" s="107"/>
      <c r="L1826" s="293"/>
      <c r="M1826" s="293"/>
      <c r="N1826" s="293"/>
      <c r="O1826" s="277"/>
      <c r="P1826" s="264"/>
      <c r="Q1826" s="264"/>
      <c r="R1826" s="264"/>
      <c r="S1826" s="264"/>
      <c r="T1826" s="264"/>
      <c r="U1826" s="264"/>
      <c r="V1826" s="264"/>
      <c r="W1826" s="264"/>
      <c r="X1826" s="264"/>
      <c r="Y1826" s="264"/>
      <c r="Z1826" s="264"/>
      <c r="AA1826" s="264"/>
      <c r="AB1826" s="264"/>
      <c r="AC1826" s="264"/>
      <c r="AD1826" s="264"/>
      <c r="AE1826" s="264"/>
    </row>
    <row r="1827">
      <c r="A1827" s="272"/>
      <c r="B1827" s="272"/>
      <c r="C1827" s="272"/>
      <c r="D1827" s="172"/>
      <c r="E1827" s="267" t="str">
        <f t="shared" si="22"/>
        <v/>
      </c>
      <c r="F1827" s="274"/>
      <c r="G1827" s="42"/>
      <c r="H1827" s="264"/>
      <c r="I1827" s="277"/>
      <c r="J1827" s="276" t="str">
        <f>IF(ISBLANK(I1827), "", VLOOKUP(E1827&amp;" "&amp;F1827, 'Info Tipo de Cambio y REM'!$A$24:$B$35, 2, FALSE))
</f>
        <v/>
      </c>
      <c r="K1827" s="107"/>
      <c r="L1827" s="293"/>
      <c r="M1827" s="293"/>
      <c r="N1827" s="293"/>
      <c r="O1827" s="277"/>
      <c r="P1827" s="264"/>
      <c r="Q1827" s="264"/>
      <c r="R1827" s="264"/>
      <c r="S1827" s="264"/>
      <c r="T1827" s="264"/>
      <c r="U1827" s="264"/>
      <c r="V1827" s="264"/>
      <c r="W1827" s="264"/>
      <c r="X1827" s="264"/>
      <c r="Y1827" s="264"/>
      <c r="Z1827" s="264"/>
      <c r="AA1827" s="264"/>
      <c r="AB1827" s="264"/>
      <c r="AC1827" s="264"/>
      <c r="AD1827" s="264"/>
      <c r="AE1827" s="264"/>
    </row>
    <row r="1828">
      <c r="A1828" s="272"/>
      <c r="B1828" s="272"/>
      <c r="C1828" s="272"/>
      <c r="D1828" s="172"/>
      <c r="E1828" s="267" t="str">
        <f t="shared" si="22"/>
        <v/>
      </c>
      <c r="F1828" s="274"/>
      <c r="G1828" s="42"/>
      <c r="H1828" s="264"/>
      <c r="I1828" s="277"/>
      <c r="J1828" s="276" t="str">
        <f>IF(ISBLANK(I1828), "", VLOOKUP(E1828&amp;" "&amp;F1828, 'Info Tipo de Cambio y REM'!$A$24:$B$35, 2, FALSE))
</f>
        <v/>
      </c>
      <c r="K1828" s="107"/>
      <c r="L1828" s="293"/>
      <c r="M1828" s="293"/>
      <c r="N1828" s="293"/>
      <c r="O1828" s="277"/>
      <c r="P1828" s="264"/>
      <c r="Q1828" s="264"/>
      <c r="R1828" s="264"/>
      <c r="S1828" s="264"/>
      <c r="T1828" s="264"/>
      <c r="U1828" s="264"/>
      <c r="V1828" s="264"/>
      <c r="W1828" s="264"/>
      <c r="X1828" s="264"/>
      <c r="Y1828" s="264"/>
      <c r="Z1828" s="264"/>
      <c r="AA1828" s="264"/>
      <c r="AB1828" s="264"/>
      <c r="AC1828" s="264"/>
      <c r="AD1828" s="264"/>
      <c r="AE1828" s="264"/>
    </row>
    <row r="1829">
      <c r="A1829" s="272"/>
      <c r="B1829" s="272"/>
      <c r="C1829" s="272"/>
      <c r="D1829" s="172"/>
      <c r="E1829" s="267" t="str">
        <f t="shared" si="22"/>
        <v/>
      </c>
      <c r="F1829" s="274"/>
      <c r="G1829" s="42"/>
      <c r="H1829" s="264"/>
      <c r="I1829" s="277"/>
      <c r="J1829" s="276" t="str">
        <f>IF(ISBLANK(I1829), "", VLOOKUP(E1829&amp;" "&amp;F1829, 'Info Tipo de Cambio y REM'!$A$24:$B$35, 2, FALSE))
</f>
        <v/>
      </c>
      <c r="K1829" s="107"/>
      <c r="L1829" s="293"/>
      <c r="M1829" s="293"/>
      <c r="N1829" s="293"/>
      <c r="O1829" s="277"/>
      <c r="P1829" s="264"/>
      <c r="Q1829" s="264"/>
      <c r="R1829" s="264"/>
      <c r="S1829" s="264"/>
      <c r="T1829" s="264"/>
      <c r="U1829" s="264"/>
      <c r="V1829" s="264"/>
      <c r="W1829" s="264"/>
      <c r="X1829" s="264"/>
      <c r="Y1829" s="264"/>
      <c r="Z1829" s="264"/>
      <c r="AA1829" s="264"/>
      <c r="AB1829" s="264"/>
      <c r="AC1829" s="264"/>
      <c r="AD1829" s="264"/>
      <c r="AE1829" s="264"/>
    </row>
    <row r="1830">
      <c r="A1830" s="272"/>
      <c r="B1830" s="272"/>
      <c r="C1830" s="272"/>
      <c r="D1830" s="172"/>
      <c r="E1830" s="267" t="str">
        <f t="shared" si="22"/>
        <v/>
      </c>
      <c r="F1830" s="274"/>
      <c r="G1830" s="42"/>
      <c r="H1830" s="264"/>
      <c r="I1830" s="277"/>
      <c r="J1830" s="276" t="str">
        <f>IF(ISBLANK(I1830), "", VLOOKUP(E1830&amp;" "&amp;F1830, 'Info Tipo de Cambio y REM'!$A$24:$B$35, 2, FALSE))
</f>
        <v/>
      </c>
      <c r="K1830" s="107"/>
      <c r="L1830" s="293"/>
      <c r="M1830" s="293"/>
      <c r="N1830" s="293"/>
      <c r="O1830" s="277"/>
      <c r="P1830" s="264"/>
      <c r="Q1830" s="264"/>
      <c r="R1830" s="264"/>
      <c r="S1830" s="264"/>
      <c r="T1830" s="264"/>
      <c r="U1830" s="264"/>
      <c r="V1830" s="264"/>
      <c r="W1830" s="264"/>
      <c r="X1830" s="264"/>
      <c r="Y1830" s="264"/>
      <c r="Z1830" s="264"/>
      <c r="AA1830" s="264"/>
      <c r="AB1830" s="264"/>
      <c r="AC1830" s="264"/>
      <c r="AD1830" s="264"/>
      <c r="AE1830" s="264"/>
    </row>
    <row r="1831">
      <c r="A1831" s="272"/>
      <c r="B1831" s="272"/>
      <c r="C1831" s="272"/>
      <c r="D1831" s="172"/>
      <c r="E1831" s="267" t="str">
        <f t="shared" si="22"/>
        <v/>
      </c>
      <c r="F1831" s="274"/>
      <c r="G1831" s="42"/>
      <c r="H1831" s="264"/>
      <c r="I1831" s="277"/>
      <c r="J1831" s="276" t="str">
        <f>IF(ISBLANK(I1831), "", VLOOKUP(E1831&amp;" "&amp;F1831, 'Info Tipo de Cambio y REM'!$A$24:$B$35, 2, FALSE))
</f>
        <v/>
      </c>
      <c r="K1831" s="107"/>
      <c r="L1831" s="293"/>
      <c r="M1831" s="293"/>
      <c r="N1831" s="293"/>
      <c r="O1831" s="277"/>
      <c r="P1831" s="264"/>
      <c r="Q1831" s="264"/>
      <c r="R1831" s="264"/>
      <c r="S1831" s="264"/>
      <c r="T1831" s="264"/>
      <c r="U1831" s="264"/>
      <c r="V1831" s="264"/>
      <c r="W1831" s="264"/>
      <c r="X1831" s="264"/>
      <c r="Y1831" s="264"/>
      <c r="Z1831" s="264"/>
      <c r="AA1831" s="264"/>
      <c r="AB1831" s="264"/>
      <c r="AC1831" s="264"/>
      <c r="AD1831" s="264"/>
      <c r="AE1831" s="264"/>
    </row>
    <row r="1832">
      <c r="A1832" s="272"/>
      <c r="B1832" s="272"/>
      <c r="C1832" s="272"/>
      <c r="D1832" s="172"/>
      <c r="E1832" s="267" t="str">
        <f t="shared" si="22"/>
        <v/>
      </c>
      <c r="F1832" s="274"/>
      <c r="G1832" s="42"/>
      <c r="H1832" s="264"/>
      <c r="I1832" s="277"/>
      <c r="J1832" s="276" t="str">
        <f>IF(ISBLANK(I1832), "", VLOOKUP(E1832&amp;" "&amp;F1832, 'Info Tipo de Cambio y REM'!$A$24:$B$35, 2, FALSE))
</f>
        <v/>
      </c>
      <c r="K1832" s="107"/>
      <c r="L1832" s="293"/>
      <c r="M1832" s="293"/>
      <c r="N1832" s="293"/>
      <c r="O1832" s="277"/>
      <c r="P1832" s="264"/>
      <c r="Q1832" s="264"/>
      <c r="R1832" s="264"/>
      <c r="S1832" s="264"/>
      <c r="T1832" s="264"/>
      <c r="U1832" s="264"/>
      <c r="V1832" s="264"/>
      <c r="W1832" s="264"/>
      <c r="X1832" s="264"/>
      <c r="Y1832" s="264"/>
      <c r="Z1832" s="264"/>
      <c r="AA1832" s="264"/>
      <c r="AB1832" s="264"/>
      <c r="AC1832" s="264"/>
      <c r="AD1832" s="264"/>
      <c r="AE1832" s="264"/>
    </row>
    <row r="1833">
      <c r="A1833" s="272"/>
      <c r="B1833" s="272"/>
      <c r="C1833" s="272"/>
      <c r="D1833" s="172"/>
      <c r="E1833" s="267" t="str">
        <f t="shared" si="22"/>
        <v/>
      </c>
      <c r="F1833" s="274"/>
      <c r="G1833" s="42"/>
      <c r="H1833" s="264"/>
      <c r="I1833" s="277"/>
      <c r="J1833" s="276" t="str">
        <f>IF(ISBLANK(I1833), "", VLOOKUP(E1833&amp;" "&amp;F1833, 'Info Tipo de Cambio y REM'!$A$24:$B$35, 2, FALSE))
</f>
        <v/>
      </c>
      <c r="K1833" s="107"/>
      <c r="L1833" s="293"/>
      <c r="M1833" s="293"/>
      <c r="N1833" s="293"/>
      <c r="O1833" s="277"/>
      <c r="P1833" s="264"/>
      <c r="Q1833" s="264"/>
      <c r="R1833" s="264"/>
      <c r="S1833" s="264"/>
      <c r="T1833" s="264"/>
      <c r="U1833" s="264"/>
      <c r="V1833" s="264"/>
      <c r="W1833" s="264"/>
      <c r="X1833" s="264"/>
      <c r="Y1833" s="264"/>
      <c r="Z1833" s="264"/>
      <c r="AA1833" s="264"/>
      <c r="AB1833" s="264"/>
      <c r="AC1833" s="264"/>
      <c r="AD1833" s="264"/>
      <c r="AE1833" s="264"/>
    </row>
    <row r="1834">
      <c r="A1834" s="272"/>
      <c r="B1834" s="272"/>
      <c r="C1834" s="272"/>
      <c r="D1834" s="172"/>
      <c r="E1834" s="267" t="str">
        <f t="shared" si="22"/>
        <v/>
      </c>
      <c r="F1834" s="274"/>
      <c r="G1834" s="42"/>
      <c r="H1834" s="264"/>
      <c r="I1834" s="277"/>
      <c r="J1834" s="276" t="str">
        <f>IF(ISBLANK(I1834), "", VLOOKUP(E1834&amp;" "&amp;F1834, 'Info Tipo de Cambio y REM'!$A$24:$B$35, 2, FALSE))
</f>
        <v/>
      </c>
      <c r="K1834" s="107"/>
      <c r="L1834" s="293"/>
      <c r="M1834" s="293"/>
      <c r="N1834" s="293"/>
      <c r="O1834" s="277"/>
      <c r="P1834" s="264"/>
      <c r="Q1834" s="264"/>
      <c r="R1834" s="264"/>
      <c r="S1834" s="264"/>
      <c r="T1834" s="264"/>
      <c r="U1834" s="264"/>
      <c r="V1834" s="264"/>
      <c r="W1834" s="264"/>
      <c r="X1834" s="264"/>
      <c r="Y1834" s="264"/>
      <c r="Z1834" s="264"/>
      <c r="AA1834" s="264"/>
      <c r="AB1834" s="264"/>
      <c r="AC1834" s="264"/>
      <c r="AD1834" s="264"/>
      <c r="AE1834" s="264"/>
    </row>
    <row r="1835">
      <c r="A1835" s="272"/>
      <c r="B1835" s="272"/>
      <c r="C1835" s="272"/>
      <c r="D1835" s="172"/>
      <c r="E1835" s="267" t="str">
        <f t="shared" si="22"/>
        <v/>
      </c>
      <c r="F1835" s="274"/>
      <c r="G1835" s="42"/>
      <c r="H1835" s="264"/>
      <c r="I1835" s="277"/>
      <c r="J1835" s="276" t="str">
        <f>IF(ISBLANK(I1835), "", VLOOKUP(E1835&amp;" "&amp;F1835, 'Info Tipo de Cambio y REM'!$A$24:$B$35, 2, FALSE))
</f>
        <v/>
      </c>
      <c r="K1835" s="107"/>
      <c r="L1835" s="293"/>
      <c r="M1835" s="293"/>
      <c r="N1835" s="293"/>
      <c r="O1835" s="277"/>
      <c r="P1835" s="264"/>
      <c r="Q1835" s="264"/>
      <c r="R1835" s="264"/>
      <c r="S1835" s="264"/>
      <c r="T1835" s="264"/>
      <c r="U1835" s="264"/>
      <c r="V1835" s="264"/>
      <c r="W1835" s="264"/>
      <c r="X1835" s="264"/>
      <c r="Y1835" s="264"/>
      <c r="Z1835" s="264"/>
      <c r="AA1835" s="264"/>
      <c r="AB1835" s="264"/>
      <c r="AC1835" s="264"/>
      <c r="AD1835" s="264"/>
      <c r="AE1835" s="264"/>
    </row>
    <row r="1836">
      <c r="A1836" s="272"/>
      <c r="B1836" s="272"/>
      <c r="C1836" s="272"/>
      <c r="D1836" s="172"/>
      <c r="E1836" s="267" t="str">
        <f t="shared" si="22"/>
        <v/>
      </c>
      <c r="F1836" s="274"/>
      <c r="G1836" s="42"/>
      <c r="H1836" s="264"/>
      <c r="I1836" s="277"/>
      <c r="J1836" s="276" t="str">
        <f>IF(ISBLANK(I1836), "", VLOOKUP(E1836&amp;" "&amp;F1836, 'Info Tipo de Cambio y REM'!$A$24:$B$35, 2, FALSE))
</f>
        <v/>
      </c>
      <c r="K1836" s="107"/>
      <c r="L1836" s="293"/>
      <c r="M1836" s="293"/>
      <c r="N1836" s="293"/>
      <c r="O1836" s="277"/>
      <c r="P1836" s="264"/>
      <c r="Q1836" s="264"/>
      <c r="R1836" s="264"/>
      <c r="S1836" s="264"/>
      <c r="T1836" s="264"/>
      <c r="U1836" s="264"/>
      <c r="V1836" s="264"/>
      <c r="W1836" s="264"/>
      <c r="X1836" s="264"/>
      <c r="Y1836" s="264"/>
      <c r="Z1836" s="264"/>
      <c r="AA1836" s="264"/>
      <c r="AB1836" s="264"/>
      <c r="AC1836" s="264"/>
      <c r="AD1836" s="264"/>
      <c r="AE1836" s="264"/>
    </row>
    <row r="1837">
      <c r="A1837" s="272"/>
      <c r="B1837" s="272"/>
      <c r="C1837" s="272"/>
      <c r="D1837" s="172"/>
      <c r="E1837" s="267" t="str">
        <f t="shared" si="22"/>
        <v/>
      </c>
      <c r="F1837" s="274"/>
      <c r="G1837" s="42"/>
      <c r="H1837" s="264"/>
      <c r="I1837" s="277"/>
      <c r="J1837" s="276" t="str">
        <f>IF(ISBLANK(I1837), "", VLOOKUP(E1837&amp;" "&amp;F1837, 'Info Tipo de Cambio y REM'!$A$24:$B$35, 2, FALSE))
</f>
        <v/>
      </c>
      <c r="K1837" s="107"/>
      <c r="L1837" s="293"/>
      <c r="M1837" s="293"/>
      <c r="N1837" s="293"/>
      <c r="O1837" s="277"/>
      <c r="P1837" s="264"/>
      <c r="Q1837" s="264"/>
      <c r="R1837" s="264"/>
      <c r="S1837" s="264"/>
      <c r="T1837" s="264"/>
      <c r="U1837" s="264"/>
      <c r="V1837" s="264"/>
      <c r="W1837" s="264"/>
      <c r="X1837" s="264"/>
      <c r="Y1837" s="264"/>
      <c r="Z1837" s="264"/>
      <c r="AA1837" s="264"/>
      <c r="AB1837" s="264"/>
      <c r="AC1837" s="264"/>
      <c r="AD1837" s="264"/>
      <c r="AE1837" s="264"/>
    </row>
    <row r="1838">
      <c r="A1838" s="272"/>
      <c r="B1838" s="272"/>
      <c r="C1838" s="272"/>
      <c r="D1838" s="172"/>
      <c r="E1838" s="267" t="str">
        <f t="shared" si="22"/>
        <v/>
      </c>
      <c r="F1838" s="274"/>
      <c r="G1838" s="42"/>
      <c r="H1838" s="264"/>
      <c r="I1838" s="277"/>
      <c r="J1838" s="276" t="str">
        <f>IF(ISBLANK(I1838), "", VLOOKUP(E1838&amp;" "&amp;F1838, 'Info Tipo de Cambio y REM'!$A$24:$B$35, 2, FALSE))
</f>
        <v/>
      </c>
      <c r="K1838" s="107"/>
      <c r="L1838" s="293"/>
      <c r="M1838" s="293"/>
      <c r="N1838" s="293"/>
      <c r="O1838" s="277"/>
      <c r="P1838" s="264"/>
      <c r="Q1838" s="264"/>
      <c r="R1838" s="264"/>
      <c r="S1838" s="264"/>
      <c r="T1838" s="264"/>
      <c r="U1838" s="264"/>
      <c r="V1838" s="264"/>
      <c r="W1838" s="264"/>
      <c r="X1838" s="264"/>
      <c r="Y1838" s="264"/>
      <c r="Z1838" s="264"/>
      <c r="AA1838" s="264"/>
      <c r="AB1838" s="264"/>
      <c r="AC1838" s="264"/>
      <c r="AD1838" s="264"/>
      <c r="AE1838" s="264"/>
    </row>
    <row r="1839">
      <c r="A1839" s="272"/>
      <c r="B1839" s="272"/>
      <c r="C1839" s="272"/>
      <c r="D1839" s="172"/>
      <c r="E1839" s="267" t="str">
        <f t="shared" si="22"/>
        <v/>
      </c>
      <c r="F1839" s="274"/>
      <c r="G1839" s="42"/>
      <c r="H1839" s="264"/>
      <c r="I1839" s="277"/>
      <c r="J1839" s="276" t="str">
        <f>IF(ISBLANK(I1839), "", VLOOKUP(E1839&amp;" "&amp;F1839, 'Info Tipo de Cambio y REM'!$A$24:$B$35, 2, FALSE))
</f>
        <v/>
      </c>
      <c r="K1839" s="107"/>
      <c r="L1839" s="293"/>
      <c r="M1839" s="293"/>
      <c r="N1839" s="293"/>
      <c r="O1839" s="277"/>
      <c r="P1839" s="264"/>
      <c r="Q1839" s="264"/>
      <c r="R1839" s="264"/>
      <c r="S1839" s="264"/>
      <c r="T1839" s="264"/>
      <c r="U1839" s="264"/>
      <c r="V1839" s="264"/>
      <c r="W1839" s="264"/>
      <c r="X1839" s="264"/>
      <c r="Y1839" s="264"/>
      <c r="Z1839" s="264"/>
      <c r="AA1839" s="264"/>
      <c r="AB1839" s="264"/>
      <c r="AC1839" s="264"/>
      <c r="AD1839" s="264"/>
      <c r="AE1839" s="264"/>
    </row>
    <row r="1840">
      <c r="A1840" s="272"/>
      <c r="B1840" s="272"/>
      <c r="C1840" s="272"/>
      <c r="D1840" s="172"/>
      <c r="E1840" s="267" t="str">
        <f t="shared" si="22"/>
        <v/>
      </c>
      <c r="F1840" s="274"/>
      <c r="G1840" s="42"/>
      <c r="H1840" s="264"/>
      <c r="I1840" s="277"/>
      <c r="J1840" s="276" t="str">
        <f>IF(ISBLANK(I1840), "", VLOOKUP(E1840&amp;" "&amp;F1840, 'Info Tipo de Cambio y REM'!$A$24:$B$35, 2, FALSE))
</f>
        <v/>
      </c>
      <c r="K1840" s="107"/>
      <c r="L1840" s="293"/>
      <c r="M1840" s="293"/>
      <c r="N1840" s="293"/>
      <c r="O1840" s="277"/>
      <c r="P1840" s="264"/>
      <c r="Q1840" s="264"/>
      <c r="R1840" s="264"/>
      <c r="S1840" s="264"/>
      <c r="T1840" s="264"/>
      <c r="U1840" s="264"/>
      <c r="V1840" s="264"/>
      <c r="W1840" s="264"/>
      <c r="X1840" s="264"/>
      <c r="Y1840" s="264"/>
      <c r="Z1840" s="264"/>
      <c r="AA1840" s="264"/>
      <c r="AB1840" s="264"/>
      <c r="AC1840" s="264"/>
      <c r="AD1840" s="264"/>
      <c r="AE1840" s="264"/>
    </row>
    <row r="1841">
      <c r="A1841" s="272"/>
      <c r="B1841" s="272"/>
      <c r="C1841" s="272"/>
      <c r="D1841" s="172"/>
      <c r="E1841" s="267" t="str">
        <f t="shared" si="22"/>
        <v/>
      </c>
      <c r="F1841" s="274"/>
      <c r="G1841" s="42"/>
      <c r="H1841" s="264"/>
      <c r="I1841" s="277"/>
      <c r="J1841" s="276" t="str">
        <f>IF(ISBLANK(I1841), "", VLOOKUP(E1841&amp;" "&amp;F1841, 'Info Tipo de Cambio y REM'!$A$24:$B$35, 2, FALSE))
</f>
        <v/>
      </c>
      <c r="K1841" s="107"/>
      <c r="L1841" s="293"/>
      <c r="M1841" s="293"/>
      <c r="N1841" s="293"/>
      <c r="O1841" s="277"/>
      <c r="P1841" s="264"/>
      <c r="Q1841" s="264"/>
      <c r="R1841" s="264"/>
      <c r="S1841" s="264"/>
      <c r="T1841" s="264"/>
      <c r="U1841" s="264"/>
      <c r="V1841" s="264"/>
      <c r="W1841" s="264"/>
      <c r="X1841" s="264"/>
      <c r="Y1841" s="264"/>
      <c r="Z1841" s="264"/>
      <c r="AA1841" s="264"/>
      <c r="AB1841" s="264"/>
      <c r="AC1841" s="264"/>
      <c r="AD1841" s="264"/>
      <c r="AE1841" s="264"/>
    </row>
    <row r="1842">
      <c r="A1842" s="272"/>
      <c r="B1842" s="272"/>
      <c r="C1842" s="272"/>
      <c r="D1842" s="172"/>
      <c r="E1842" s="267" t="str">
        <f t="shared" si="22"/>
        <v/>
      </c>
      <c r="F1842" s="274"/>
      <c r="G1842" s="42"/>
      <c r="H1842" s="264"/>
      <c r="I1842" s="277"/>
      <c r="J1842" s="276" t="str">
        <f>IF(ISBLANK(I1842), "", VLOOKUP(E1842&amp;" "&amp;F1842, 'Info Tipo de Cambio y REM'!$A$24:$B$35, 2, FALSE))
</f>
        <v/>
      </c>
      <c r="K1842" s="107"/>
      <c r="L1842" s="293"/>
      <c r="M1842" s="293"/>
      <c r="N1842" s="293"/>
      <c r="O1842" s="277"/>
      <c r="P1842" s="264"/>
      <c r="Q1842" s="264"/>
      <c r="R1842" s="264"/>
      <c r="S1842" s="264"/>
      <c r="T1842" s="264"/>
      <c r="U1842" s="264"/>
      <c r="V1842" s="264"/>
      <c r="W1842" s="264"/>
      <c r="X1842" s="264"/>
      <c r="Y1842" s="264"/>
      <c r="Z1842" s="264"/>
      <c r="AA1842" s="264"/>
      <c r="AB1842" s="264"/>
      <c r="AC1842" s="264"/>
      <c r="AD1842" s="264"/>
      <c r="AE1842" s="264"/>
    </row>
    <row r="1843">
      <c r="A1843" s="272"/>
      <c r="B1843" s="272"/>
      <c r="C1843" s="272"/>
      <c r="D1843" s="172"/>
      <c r="E1843" s="267" t="str">
        <f t="shared" si="22"/>
        <v/>
      </c>
      <c r="F1843" s="274"/>
      <c r="G1843" s="42"/>
      <c r="H1843" s="264"/>
      <c r="I1843" s="277"/>
      <c r="J1843" s="276" t="str">
        <f>IF(ISBLANK(I1843), "", VLOOKUP(E1843&amp;" "&amp;F1843, 'Info Tipo de Cambio y REM'!$A$24:$B$35, 2, FALSE))
</f>
        <v/>
      </c>
      <c r="K1843" s="107"/>
      <c r="L1843" s="293"/>
      <c r="M1843" s="293"/>
      <c r="N1843" s="293"/>
      <c r="O1843" s="277"/>
      <c r="P1843" s="264"/>
      <c r="Q1843" s="264"/>
      <c r="R1843" s="264"/>
      <c r="S1843" s="264"/>
      <c r="T1843" s="264"/>
      <c r="U1843" s="264"/>
      <c r="V1843" s="264"/>
      <c r="W1843" s="264"/>
      <c r="X1843" s="264"/>
      <c r="Y1843" s="264"/>
      <c r="Z1843" s="264"/>
      <c r="AA1843" s="264"/>
      <c r="AB1843" s="264"/>
      <c r="AC1843" s="264"/>
      <c r="AD1843" s="264"/>
      <c r="AE1843" s="264"/>
    </row>
    <row r="1844">
      <c r="A1844" s="272"/>
      <c r="B1844" s="272"/>
      <c r="C1844" s="272"/>
      <c r="D1844" s="172"/>
      <c r="E1844" s="267" t="str">
        <f t="shared" si="22"/>
        <v/>
      </c>
      <c r="F1844" s="274"/>
      <c r="G1844" s="42"/>
      <c r="H1844" s="264"/>
      <c r="I1844" s="277"/>
      <c r="J1844" s="276" t="str">
        <f>IF(ISBLANK(I1844), "", VLOOKUP(E1844&amp;" "&amp;F1844, 'Info Tipo de Cambio y REM'!$A$24:$B$35, 2, FALSE))
</f>
        <v/>
      </c>
      <c r="K1844" s="107"/>
      <c r="L1844" s="293"/>
      <c r="M1844" s="293"/>
      <c r="N1844" s="293"/>
      <c r="O1844" s="277"/>
      <c r="P1844" s="264"/>
      <c r="Q1844" s="264"/>
      <c r="R1844" s="264"/>
      <c r="S1844" s="264"/>
      <c r="T1844" s="264"/>
      <c r="U1844" s="264"/>
      <c r="V1844" s="264"/>
      <c r="W1844" s="264"/>
      <c r="X1844" s="264"/>
      <c r="Y1844" s="264"/>
      <c r="Z1844" s="264"/>
      <c r="AA1844" s="264"/>
      <c r="AB1844" s="264"/>
      <c r="AC1844" s="264"/>
      <c r="AD1844" s="264"/>
      <c r="AE1844" s="264"/>
    </row>
    <row r="1845">
      <c r="A1845" s="272"/>
      <c r="B1845" s="272"/>
      <c r="C1845" s="272"/>
      <c r="D1845" s="172"/>
      <c r="E1845" s="267" t="str">
        <f t="shared" si="22"/>
        <v/>
      </c>
      <c r="F1845" s="274"/>
      <c r="G1845" s="42"/>
      <c r="H1845" s="264"/>
      <c r="I1845" s="277"/>
      <c r="J1845" s="276" t="str">
        <f>IF(ISBLANK(I1845), "", VLOOKUP(E1845&amp;" "&amp;F1845, 'Info Tipo de Cambio y REM'!$A$24:$B$35, 2, FALSE))
</f>
        <v/>
      </c>
      <c r="K1845" s="107"/>
      <c r="L1845" s="293"/>
      <c r="M1845" s="293"/>
      <c r="N1845" s="293"/>
      <c r="O1845" s="277"/>
      <c r="P1845" s="264"/>
      <c r="Q1845" s="264"/>
      <c r="R1845" s="264"/>
      <c r="S1845" s="264"/>
      <c r="T1845" s="264"/>
      <c r="U1845" s="264"/>
      <c r="V1845" s="264"/>
      <c r="W1845" s="264"/>
      <c r="X1845" s="264"/>
      <c r="Y1845" s="264"/>
      <c r="Z1845" s="264"/>
      <c r="AA1845" s="264"/>
      <c r="AB1845" s="264"/>
      <c r="AC1845" s="264"/>
      <c r="AD1845" s="264"/>
      <c r="AE1845" s="264"/>
    </row>
    <row r="1846">
      <c r="A1846" s="272"/>
      <c r="B1846" s="272"/>
      <c r="C1846" s="272"/>
      <c r="D1846" s="172"/>
      <c r="E1846" s="267" t="str">
        <f t="shared" si="22"/>
        <v/>
      </c>
      <c r="F1846" s="274"/>
      <c r="G1846" s="42"/>
      <c r="H1846" s="264"/>
      <c r="I1846" s="277"/>
      <c r="J1846" s="276" t="str">
        <f>IF(ISBLANK(I1846), "", VLOOKUP(E1846&amp;" "&amp;F1846, 'Info Tipo de Cambio y REM'!$A$24:$B$35, 2, FALSE))
</f>
        <v/>
      </c>
      <c r="K1846" s="107"/>
      <c r="L1846" s="293"/>
      <c r="M1846" s="293"/>
      <c r="N1846" s="293"/>
      <c r="O1846" s="277"/>
      <c r="P1846" s="264"/>
      <c r="Q1846" s="264"/>
      <c r="R1846" s="264"/>
      <c r="S1846" s="264"/>
      <c r="T1846" s="264"/>
      <c r="U1846" s="264"/>
      <c r="V1846" s="264"/>
      <c r="W1846" s="264"/>
      <c r="X1846" s="264"/>
      <c r="Y1846" s="264"/>
      <c r="Z1846" s="264"/>
      <c r="AA1846" s="264"/>
      <c r="AB1846" s="264"/>
      <c r="AC1846" s="264"/>
      <c r="AD1846" s="264"/>
      <c r="AE1846" s="264"/>
    </row>
    <row r="1847">
      <c r="A1847" s="272"/>
      <c r="B1847" s="272"/>
      <c r="C1847" s="272"/>
      <c r="D1847" s="172"/>
      <c r="E1847" s="267" t="str">
        <f t="shared" si="22"/>
        <v/>
      </c>
      <c r="F1847" s="274"/>
      <c r="G1847" s="42"/>
      <c r="H1847" s="264"/>
      <c r="I1847" s="277"/>
      <c r="J1847" s="276" t="str">
        <f>IF(ISBLANK(I1847), "", VLOOKUP(E1847&amp;" "&amp;F1847, 'Info Tipo de Cambio y REM'!$A$24:$B$35, 2, FALSE))
</f>
        <v/>
      </c>
      <c r="K1847" s="107"/>
      <c r="L1847" s="293"/>
      <c r="M1847" s="293"/>
      <c r="N1847" s="293"/>
      <c r="O1847" s="277"/>
      <c r="P1847" s="264"/>
      <c r="Q1847" s="264"/>
      <c r="R1847" s="264"/>
      <c r="S1847" s="264"/>
      <c r="T1847" s="264"/>
      <c r="U1847" s="264"/>
      <c r="V1847" s="264"/>
      <c r="W1847" s="264"/>
      <c r="X1847" s="264"/>
      <c r="Y1847" s="264"/>
      <c r="Z1847" s="264"/>
      <c r="AA1847" s="264"/>
      <c r="AB1847" s="264"/>
      <c r="AC1847" s="264"/>
      <c r="AD1847" s="264"/>
      <c r="AE1847" s="264"/>
    </row>
    <row r="1848">
      <c r="A1848" s="272"/>
      <c r="B1848" s="272"/>
      <c r="C1848" s="272"/>
      <c r="D1848" s="172"/>
      <c r="E1848" s="267" t="str">
        <f t="shared" si="22"/>
        <v/>
      </c>
      <c r="F1848" s="274"/>
      <c r="G1848" s="42"/>
      <c r="H1848" s="264"/>
      <c r="I1848" s="277"/>
      <c r="J1848" s="276" t="str">
        <f>IF(ISBLANK(I1848), "", VLOOKUP(E1848&amp;" "&amp;F1848, 'Info Tipo de Cambio y REM'!$A$24:$B$35, 2, FALSE))
</f>
        <v/>
      </c>
      <c r="K1848" s="107"/>
      <c r="L1848" s="293"/>
      <c r="M1848" s="293"/>
      <c r="N1848" s="293"/>
      <c r="O1848" s="277"/>
      <c r="P1848" s="264"/>
      <c r="Q1848" s="264"/>
      <c r="R1848" s="264"/>
      <c r="S1848" s="264"/>
      <c r="T1848" s="264"/>
      <c r="U1848" s="264"/>
      <c r="V1848" s="264"/>
      <c r="W1848" s="264"/>
      <c r="X1848" s="264"/>
      <c r="Y1848" s="264"/>
      <c r="Z1848" s="264"/>
      <c r="AA1848" s="264"/>
      <c r="AB1848" s="264"/>
      <c r="AC1848" s="264"/>
      <c r="AD1848" s="264"/>
      <c r="AE1848" s="264"/>
    </row>
    <row r="1849">
      <c r="A1849" s="272"/>
      <c r="B1849" s="272"/>
      <c r="C1849" s="272"/>
      <c r="D1849" s="172"/>
      <c r="E1849" s="267" t="str">
        <f t="shared" si="22"/>
        <v/>
      </c>
      <c r="F1849" s="274"/>
      <c r="G1849" s="42"/>
      <c r="H1849" s="264"/>
      <c r="I1849" s="277"/>
      <c r="J1849" s="276" t="str">
        <f>IF(ISBLANK(I1849), "", VLOOKUP(E1849&amp;" "&amp;F1849, 'Info Tipo de Cambio y REM'!$A$24:$B$35, 2, FALSE))
</f>
        <v/>
      </c>
      <c r="K1849" s="107"/>
      <c r="L1849" s="293"/>
      <c r="M1849" s="293"/>
      <c r="N1849" s="293"/>
      <c r="O1849" s="277"/>
      <c r="P1849" s="264"/>
      <c r="Q1849" s="264"/>
      <c r="R1849" s="264"/>
      <c r="S1849" s="264"/>
      <c r="T1849" s="264"/>
      <c r="U1849" s="264"/>
      <c r="V1849" s="264"/>
      <c r="W1849" s="264"/>
      <c r="X1849" s="264"/>
      <c r="Y1849" s="264"/>
      <c r="Z1849" s="264"/>
      <c r="AA1849" s="264"/>
      <c r="AB1849" s="264"/>
      <c r="AC1849" s="264"/>
      <c r="AD1849" s="264"/>
      <c r="AE1849" s="264"/>
    </row>
    <row r="1850">
      <c r="A1850" s="272"/>
      <c r="B1850" s="272"/>
      <c r="C1850" s="272"/>
      <c r="D1850" s="172"/>
      <c r="E1850" s="267" t="str">
        <f t="shared" si="22"/>
        <v/>
      </c>
      <c r="F1850" s="274"/>
      <c r="G1850" s="42"/>
      <c r="H1850" s="264"/>
      <c r="I1850" s="277"/>
      <c r="J1850" s="276" t="str">
        <f>IF(ISBLANK(I1850), "", VLOOKUP(E1850&amp;" "&amp;F1850, 'Info Tipo de Cambio y REM'!$A$24:$B$35, 2, FALSE))
</f>
        <v/>
      </c>
      <c r="K1850" s="107"/>
      <c r="L1850" s="293"/>
      <c r="M1850" s="293"/>
      <c r="N1850" s="293"/>
      <c r="O1850" s="277"/>
      <c r="P1850" s="264"/>
      <c r="Q1850" s="264"/>
      <c r="R1850" s="264"/>
      <c r="S1850" s="264"/>
      <c r="T1850" s="264"/>
      <c r="U1850" s="264"/>
      <c r="V1850" s="264"/>
      <c r="W1850" s="264"/>
      <c r="X1850" s="264"/>
      <c r="Y1850" s="264"/>
      <c r="Z1850" s="264"/>
      <c r="AA1850" s="264"/>
      <c r="AB1850" s="264"/>
      <c r="AC1850" s="264"/>
      <c r="AD1850" s="264"/>
      <c r="AE1850" s="264"/>
    </row>
    <row r="1851">
      <c r="A1851" s="272"/>
      <c r="B1851" s="272"/>
      <c r="C1851" s="272"/>
      <c r="D1851" s="172"/>
      <c r="E1851" s="267" t="str">
        <f t="shared" si="22"/>
        <v/>
      </c>
      <c r="F1851" s="274"/>
      <c r="G1851" s="42"/>
      <c r="H1851" s="264"/>
      <c r="I1851" s="277"/>
      <c r="J1851" s="276" t="str">
        <f>IF(ISBLANK(I1851), "", VLOOKUP(E1851&amp;" "&amp;F1851, 'Info Tipo de Cambio y REM'!$A$24:$B$35, 2, FALSE))
</f>
        <v/>
      </c>
      <c r="K1851" s="107"/>
      <c r="L1851" s="293"/>
      <c r="M1851" s="293"/>
      <c r="N1851" s="293"/>
      <c r="O1851" s="277"/>
      <c r="P1851" s="264"/>
      <c r="Q1851" s="264"/>
      <c r="R1851" s="264"/>
      <c r="S1851" s="264"/>
      <c r="T1851" s="264"/>
      <c r="U1851" s="264"/>
      <c r="V1851" s="264"/>
      <c r="W1851" s="264"/>
      <c r="X1851" s="264"/>
      <c r="Y1851" s="264"/>
      <c r="Z1851" s="264"/>
      <c r="AA1851" s="264"/>
      <c r="AB1851" s="264"/>
      <c r="AC1851" s="264"/>
      <c r="AD1851" s="264"/>
      <c r="AE1851" s="264"/>
    </row>
    <row r="1852">
      <c r="A1852" s="272"/>
      <c r="B1852" s="272"/>
      <c r="C1852" s="272"/>
      <c r="D1852" s="172"/>
      <c r="E1852" s="267" t="str">
        <f t="shared" si="22"/>
        <v/>
      </c>
      <c r="F1852" s="274"/>
      <c r="G1852" s="42"/>
      <c r="H1852" s="264"/>
      <c r="I1852" s="277"/>
      <c r="J1852" s="276" t="str">
        <f>IF(ISBLANK(I1852), "", VLOOKUP(E1852&amp;" "&amp;F1852, 'Info Tipo de Cambio y REM'!$A$24:$B$35, 2, FALSE))
</f>
        <v/>
      </c>
      <c r="K1852" s="107"/>
      <c r="L1852" s="293"/>
      <c r="M1852" s="293"/>
      <c r="N1852" s="293"/>
      <c r="O1852" s="277"/>
      <c r="P1852" s="264"/>
      <c r="Q1852" s="264"/>
      <c r="R1852" s="264"/>
      <c r="S1852" s="264"/>
      <c r="T1852" s="264"/>
      <c r="U1852" s="264"/>
      <c r="V1852" s="264"/>
      <c r="W1852" s="264"/>
      <c r="X1852" s="264"/>
      <c r="Y1852" s="264"/>
      <c r="Z1852" s="264"/>
      <c r="AA1852" s="264"/>
      <c r="AB1852" s="264"/>
      <c r="AC1852" s="264"/>
      <c r="AD1852" s="264"/>
      <c r="AE1852" s="264"/>
    </row>
    <row r="1853">
      <c r="A1853" s="272"/>
      <c r="B1853" s="272"/>
      <c r="C1853" s="272"/>
      <c r="D1853" s="172"/>
      <c r="E1853" s="267" t="str">
        <f t="shared" si="22"/>
        <v/>
      </c>
      <c r="F1853" s="274"/>
      <c r="G1853" s="42"/>
      <c r="H1853" s="264"/>
      <c r="I1853" s="277"/>
      <c r="J1853" s="276" t="str">
        <f>IF(ISBLANK(I1853), "", VLOOKUP(E1853&amp;" "&amp;F1853, 'Info Tipo de Cambio y REM'!$A$24:$B$35, 2, FALSE))
</f>
        <v/>
      </c>
      <c r="K1853" s="107"/>
      <c r="L1853" s="293"/>
      <c r="M1853" s="293"/>
      <c r="N1853" s="293"/>
      <c r="O1853" s="277"/>
      <c r="P1853" s="264"/>
      <c r="Q1853" s="264"/>
      <c r="R1853" s="264"/>
      <c r="S1853" s="264"/>
      <c r="T1853" s="264"/>
      <c r="U1853" s="264"/>
      <c r="V1853" s="264"/>
      <c r="W1853" s="264"/>
      <c r="X1853" s="264"/>
      <c r="Y1853" s="264"/>
      <c r="Z1853" s="264"/>
      <c r="AA1853" s="264"/>
      <c r="AB1853" s="264"/>
      <c r="AC1853" s="264"/>
      <c r="AD1853" s="264"/>
      <c r="AE1853" s="264"/>
    </row>
    <row r="1854">
      <c r="A1854" s="272"/>
      <c r="B1854" s="272"/>
      <c r="C1854" s="272"/>
      <c r="D1854" s="172"/>
      <c r="E1854" s="267" t="str">
        <f t="shared" si="22"/>
        <v/>
      </c>
      <c r="F1854" s="274"/>
      <c r="G1854" s="42"/>
      <c r="H1854" s="264"/>
      <c r="I1854" s="277"/>
      <c r="J1854" s="276" t="str">
        <f>IF(ISBLANK(I1854), "", VLOOKUP(E1854&amp;" "&amp;F1854, 'Info Tipo de Cambio y REM'!$A$24:$B$35, 2, FALSE))
</f>
        <v/>
      </c>
      <c r="K1854" s="107"/>
      <c r="L1854" s="293"/>
      <c r="M1854" s="293"/>
      <c r="N1854" s="293"/>
      <c r="O1854" s="277"/>
      <c r="P1854" s="264"/>
      <c r="Q1854" s="264"/>
      <c r="R1854" s="264"/>
      <c r="S1854" s="264"/>
      <c r="T1854" s="264"/>
      <c r="U1854" s="264"/>
      <c r="V1854" s="264"/>
      <c r="W1854" s="264"/>
      <c r="X1854" s="264"/>
      <c r="Y1854" s="264"/>
      <c r="Z1854" s="264"/>
      <c r="AA1854" s="264"/>
      <c r="AB1854" s="264"/>
      <c r="AC1854" s="264"/>
      <c r="AD1854" s="264"/>
      <c r="AE1854" s="264"/>
    </row>
    <row r="1855">
      <c r="A1855" s="272"/>
      <c r="B1855" s="272"/>
      <c r="C1855" s="272"/>
      <c r="D1855" s="172"/>
      <c r="E1855" s="267" t="str">
        <f t="shared" si="22"/>
        <v/>
      </c>
      <c r="F1855" s="274"/>
      <c r="G1855" s="42"/>
      <c r="H1855" s="264"/>
      <c r="I1855" s="277"/>
      <c r="J1855" s="276" t="str">
        <f>IF(ISBLANK(I1855), "", VLOOKUP(E1855&amp;" "&amp;F1855, 'Info Tipo de Cambio y REM'!$A$24:$B$35, 2, FALSE))
</f>
        <v/>
      </c>
      <c r="K1855" s="107"/>
      <c r="L1855" s="293"/>
      <c r="M1855" s="293"/>
      <c r="N1855" s="293"/>
      <c r="O1855" s="277"/>
      <c r="P1855" s="264"/>
      <c r="Q1855" s="264"/>
      <c r="R1855" s="264"/>
      <c r="S1855" s="264"/>
      <c r="T1855" s="264"/>
      <c r="U1855" s="264"/>
      <c r="V1855" s="264"/>
      <c r="W1855" s="264"/>
      <c r="X1855" s="264"/>
      <c r="Y1855" s="264"/>
      <c r="Z1855" s="264"/>
      <c r="AA1855" s="264"/>
      <c r="AB1855" s="264"/>
      <c r="AC1855" s="264"/>
      <c r="AD1855" s="264"/>
      <c r="AE1855" s="264"/>
    </row>
    <row r="1856">
      <c r="A1856" s="272"/>
      <c r="B1856" s="272"/>
      <c r="C1856" s="272"/>
      <c r="D1856" s="172"/>
      <c r="E1856" s="267" t="str">
        <f t="shared" si="22"/>
        <v/>
      </c>
      <c r="F1856" s="274"/>
      <c r="G1856" s="42"/>
      <c r="H1856" s="264"/>
      <c r="I1856" s="277"/>
      <c r="J1856" s="276" t="str">
        <f>IF(ISBLANK(I1856), "", VLOOKUP(E1856&amp;" "&amp;F1856, 'Info Tipo de Cambio y REM'!$A$24:$B$35, 2, FALSE))
</f>
        <v/>
      </c>
      <c r="K1856" s="107"/>
      <c r="L1856" s="293"/>
      <c r="M1856" s="293"/>
      <c r="N1856" s="293"/>
      <c r="O1856" s="277"/>
      <c r="P1856" s="264"/>
      <c r="Q1856" s="264"/>
      <c r="R1856" s="264"/>
      <c r="S1856" s="264"/>
      <c r="T1856" s="264"/>
      <c r="U1856" s="264"/>
      <c r="V1856" s="264"/>
      <c r="W1856" s="264"/>
      <c r="X1856" s="264"/>
      <c r="Y1856" s="264"/>
      <c r="Z1856" s="264"/>
      <c r="AA1856" s="264"/>
      <c r="AB1856" s="264"/>
      <c r="AC1856" s="264"/>
      <c r="AD1856" s="264"/>
      <c r="AE1856" s="264"/>
    </row>
    <row r="1857">
      <c r="A1857" s="272"/>
      <c r="B1857" s="272"/>
      <c r="C1857" s="272"/>
      <c r="D1857" s="172"/>
      <c r="E1857" s="267" t="str">
        <f t="shared" si="22"/>
        <v/>
      </c>
      <c r="F1857" s="274"/>
      <c r="G1857" s="42"/>
      <c r="H1857" s="264"/>
      <c r="I1857" s="277"/>
      <c r="J1857" s="276" t="str">
        <f>IF(ISBLANK(I1857), "", VLOOKUP(E1857&amp;" "&amp;F1857, 'Info Tipo de Cambio y REM'!$A$24:$B$35, 2, FALSE))
</f>
        <v/>
      </c>
      <c r="K1857" s="107"/>
      <c r="L1857" s="293"/>
      <c r="M1857" s="293"/>
      <c r="N1857" s="293"/>
      <c r="O1857" s="277"/>
      <c r="P1857" s="264"/>
      <c r="Q1857" s="264"/>
      <c r="R1857" s="264"/>
      <c r="S1857" s="264"/>
      <c r="T1857" s="264"/>
      <c r="U1857" s="264"/>
      <c r="V1857" s="264"/>
      <c r="W1857" s="264"/>
      <c r="X1857" s="264"/>
      <c r="Y1857" s="264"/>
      <c r="Z1857" s="264"/>
      <c r="AA1857" s="264"/>
      <c r="AB1857" s="264"/>
      <c r="AC1857" s="264"/>
      <c r="AD1857" s="264"/>
      <c r="AE1857" s="264"/>
    </row>
    <row r="1858">
      <c r="A1858" s="272"/>
      <c r="B1858" s="272"/>
      <c r="C1858" s="272"/>
      <c r="D1858" s="172"/>
      <c r="E1858" s="267" t="str">
        <f t="shared" si="22"/>
        <v/>
      </c>
      <c r="F1858" s="274"/>
      <c r="G1858" s="42"/>
      <c r="H1858" s="264"/>
      <c r="I1858" s="277"/>
      <c r="J1858" s="276" t="str">
        <f>IF(ISBLANK(I1858), "", VLOOKUP(E1858&amp;" "&amp;F1858, 'Info Tipo de Cambio y REM'!$A$24:$B$35, 2, FALSE))
</f>
        <v/>
      </c>
      <c r="K1858" s="107"/>
      <c r="L1858" s="293"/>
      <c r="M1858" s="293"/>
      <c r="N1858" s="293"/>
      <c r="O1858" s="277"/>
      <c r="P1858" s="264"/>
      <c r="Q1858" s="264"/>
      <c r="R1858" s="264"/>
      <c r="S1858" s="264"/>
      <c r="T1858" s="264"/>
      <c r="U1858" s="264"/>
      <c r="V1858" s="264"/>
      <c r="W1858" s="264"/>
      <c r="X1858" s="264"/>
      <c r="Y1858" s="264"/>
      <c r="Z1858" s="264"/>
      <c r="AA1858" s="264"/>
      <c r="AB1858" s="264"/>
      <c r="AC1858" s="264"/>
      <c r="AD1858" s="264"/>
      <c r="AE1858" s="264"/>
    </row>
    <row r="1859">
      <c r="A1859" s="272"/>
      <c r="B1859" s="272"/>
      <c r="C1859" s="272"/>
      <c r="D1859" s="172"/>
      <c r="E1859" s="267" t="str">
        <f t="shared" si="22"/>
        <v/>
      </c>
      <c r="F1859" s="274"/>
      <c r="G1859" s="42"/>
      <c r="H1859" s="264"/>
      <c r="I1859" s="277"/>
      <c r="J1859" s="276" t="str">
        <f>IF(ISBLANK(I1859), "", VLOOKUP(E1859&amp;" "&amp;F1859, 'Info Tipo de Cambio y REM'!$A$24:$B$35, 2, FALSE))
</f>
        <v/>
      </c>
      <c r="K1859" s="107"/>
      <c r="L1859" s="293"/>
      <c r="M1859" s="293"/>
      <c r="N1859" s="293"/>
      <c r="O1859" s="277"/>
      <c r="P1859" s="264"/>
      <c r="Q1859" s="264"/>
      <c r="R1859" s="264"/>
      <c r="S1859" s="264"/>
      <c r="T1859" s="264"/>
      <c r="U1859" s="264"/>
      <c r="V1859" s="264"/>
      <c r="W1859" s="264"/>
      <c r="X1859" s="264"/>
      <c r="Y1859" s="264"/>
      <c r="Z1859" s="264"/>
      <c r="AA1859" s="264"/>
      <c r="AB1859" s="264"/>
      <c r="AC1859" s="264"/>
      <c r="AD1859" s="264"/>
      <c r="AE1859" s="264"/>
    </row>
    <row r="1860">
      <c r="A1860" s="272"/>
      <c r="B1860" s="272"/>
      <c r="C1860" s="272"/>
      <c r="D1860" s="172"/>
      <c r="E1860" s="267" t="str">
        <f t="shared" si="22"/>
        <v/>
      </c>
      <c r="F1860" s="274"/>
      <c r="G1860" s="42"/>
      <c r="H1860" s="264"/>
      <c r="I1860" s="277"/>
      <c r="J1860" s="276" t="str">
        <f>IF(ISBLANK(I1860), "", VLOOKUP(E1860&amp;" "&amp;F1860, 'Info Tipo de Cambio y REM'!$A$24:$B$35, 2, FALSE))
</f>
        <v/>
      </c>
      <c r="K1860" s="107"/>
      <c r="L1860" s="293"/>
      <c r="M1860" s="293"/>
      <c r="N1860" s="293"/>
      <c r="O1860" s="277"/>
      <c r="P1860" s="264"/>
      <c r="Q1860" s="264"/>
      <c r="R1860" s="264"/>
      <c r="S1860" s="264"/>
      <c r="T1860" s="264"/>
      <c r="U1860" s="264"/>
      <c r="V1860" s="264"/>
      <c r="W1860" s="264"/>
      <c r="X1860" s="264"/>
      <c r="Y1860" s="264"/>
      <c r="Z1860" s="264"/>
      <c r="AA1860" s="264"/>
      <c r="AB1860" s="264"/>
      <c r="AC1860" s="264"/>
      <c r="AD1860" s="264"/>
      <c r="AE1860" s="264"/>
    </row>
    <row r="1861">
      <c r="A1861" s="272"/>
      <c r="B1861" s="272"/>
      <c r="C1861" s="272"/>
      <c r="D1861" s="172"/>
      <c r="E1861" s="267" t="str">
        <f t="shared" si="22"/>
        <v/>
      </c>
      <c r="F1861" s="274"/>
      <c r="G1861" s="42"/>
      <c r="H1861" s="264"/>
      <c r="I1861" s="277"/>
      <c r="J1861" s="276" t="str">
        <f>IF(ISBLANK(I1861), "", VLOOKUP(E1861&amp;" "&amp;F1861, 'Info Tipo de Cambio y REM'!$A$24:$B$35, 2, FALSE))
</f>
        <v/>
      </c>
      <c r="K1861" s="107"/>
      <c r="L1861" s="293"/>
      <c r="M1861" s="293"/>
      <c r="N1861" s="293"/>
      <c r="O1861" s="277"/>
      <c r="P1861" s="264"/>
      <c r="Q1861" s="264"/>
      <c r="R1861" s="264"/>
      <c r="S1861" s="264"/>
      <c r="T1861" s="264"/>
      <c r="U1861" s="264"/>
      <c r="V1861" s="264"/>
      <c r="W1861" s="264"/>
      <c r="X1861" s="264"/>
      <c r="Y1861" s="264"/>
      <c r="Z1861" s="264"/>
      <c r="AA1861" s="264"/>
      <c r="AB1861" s="264"/>
      <c r="AC1861" s="264"/>
      <c r="AD1861" s="264"/>
      <c r="AE1861" s="264"/>
    </row>
    <row r="1862">
      <c r="A1862" s="272"/>
      <c r="B1862" s="272"/>
      <c r="C1862" s="272"/>
      <c r="D1862" s="172"/>
      <c r="E1862" s="267" t="str">
        <f t="shared" si="22"/>
        <v/>
      </c>
      <c r="F1862" s="274"/>
      <c r="G1862" s="42"/>
      <c r="H1862" s="264"/>
      <c r="I1862" s="277"/>
      <c r="J1862" s="276" t="str">
        <f>IF(ISBLANK(I1862), "", VLOOKUP(E1862&amp;" "&amp;F1862, 'Info Tipo de Cambio y REM'!$A$24:$B$35, 2, FALSE))
</f>
        <v/>
      </c>
      <c r="K1862" s="107"/>
      <c r="L1862" s="293"/>
      <c r="M1862" s="293"/>
      <c r="N1862" s="293"/>
      <c r="O1862" s="277"/>
      <c r="P1862" s="264"/>
      <c r="Q1862" s="264"/>
      <c r="R1862" s="264"/>
      <c r="S1862" s="264"/>
      <c r="T1862" s="264"/>
      <c r="U1862" s="264"/>
      <c r="V1862" s="264"/>
      <c r="W1862" s="264"/>
      <c r="X1862" s="264"/>
      <c r="Y1862" s="264"/>
      <c r="Z1862" s="264"/>
      <c r="AA1862" s="264"/>
      <c r="AB1862" s="264"/>
      <c r="AC1862" s="264"/>
      <c r="AD1862" s="264"/>
      <c r="AE1862" s="264"/>
    </row>
    <row r="1863">
      <c r="A1863" s="272"/>
      <c r="B1863" s="272"/>
      <c r="C1863" s="272"/>
      <c r="D1863" s="172"/>
      <c r="E1863" s="267" t="str">
        <f t="shared" si="22"/>
        <v/>
      </c>
      <c r="F1863" s="274"/>
      <c r="G1863" s="42"/>
      <c r="H1863" s="264"/>
      <c r="I1863" s="277"/>
      <c r="J1863" s="276" t="str">
        <f>IF(ISBLANK(I1863), "", VLOOKUP(E1863&amp;" "&amp;F1863, 'Info Tipo de Cambio y REM'!$A$24:$B$35, 2, FALSE))
</f>
        <v/>
      </c>
      <c r="K1863" s="107"/>
      <c r="L1863" s="293"/>
      <c r="M1863" s="293"/>
      <c r="N1863" s="293"/>
      <c r="O1863" s="277"/>
      <c r="P1863" s="264"/>
      <c r="Q1863" s="264"/>
      <c r="R1863" s="264"/>
      <c r="S1863" s="264"/>
      <c r="T1863" s="264"/>
      <c r="U1863" s="264"/>
      <c r="V1863" s="264"/>
      <c r="W1863" s="264"/>
      <c r="X1863" s="264"/>
      <c r="Y1863" s="264"/>
      <c r="Z1863" s="264"/>
      <c r="AA1863" s="264"/>
      <c r="AB1863" s="264"/>
      <c r="AC1863" s="264"/>
      <c r="AD1863" s="264"/>
      <c r="AE1863" s="264"/>
    </row>
    <row r="1864">
      <c r="A1864" s="272"/>
      <c r="B1864" s="272"/>
      <c r="C1864" s="272"/>
      <c r="D1864" s="172"/>
      <c r="E1864" s="267" t="str">
        <f t="shared" si="22"/>
        <v/>
      </c>
      <c r="F1864" s="274"/>
      <c r="G1864" s="42"/>
      <c r="H1864" s="264"/>
      <c r="I1864" s="277"/>
      <c r="J1864" s="276" t="str">
        <f>IF(ISBLANK(I1864), "", VLOOKUP(E1864&amp;" "&amp;F1864, 'Info Tipo de Cambio y REM'!$A$24:$B$35, 2, FALSE))
</f>
        <v/>
      </c>
      <c r="K1864" s="107"/>
      <c r="L1864" s="293"/>
      <c r="M1864" s="293"/>
      <c r="N1864" s="293"/>
      <c r="O1864" s="277"/>
      <c r="P1864" s="264"/>
      <c r="Q1864" s="264"/>
      <c r="R1864" s="264"/>
      <c r="S1864" s="264"/>
      <c r="T1864" s="264"/>
      <c r="U1864" s="264"/>
      <c r="V1864" s="264"/>
      <c r="W1864" s="264"/>
      <c r="X1864" s="264"/>
      <c r="Y1864" s="264"/>
      <c r="Z1864" s="264"/>
      <c r="AA1864" s="264"/>
      <c r="AB1864" s="264"/>
      <c r="AC1864" s="264"/>
      <c r="AD1864" s="264"/>
      <c r="AE1864" s="264"/>
    </row>
    <row r="1865">
      <c r="A1865" s="272"/>
      <c r="B1865" s="272"/>
      <c r="C1865" s="272"/>
      <c r="D1865" s="172"/>
      <c r="E1865" s="267" t="str">
        <f t="shared" si="22"/>
        <v/>
      </c>
      <c r="F1865" s="274"/>
      <c r="G1865" s="42"/>
      <c r="H1865" s="264"/>
      <c r="I1865" s="277"/>
      <c r="J1865" s="276" t="str">
        <f>IF(ISBLANK(I1865), "", VLOOKUP(E1865&amp;" "&amp;F1865, 'Info Tipo de Cambio y REM'!$A$24:$B$35, 2, FALSE))
</f>
        <v/>
      </c>
      <c r="K1865" s="107"/>
      <c r="L1865" s="293"/>
      <c r="M1865" s="293"/>
      <c r="N1865" s="293"/>
      <c r="O1865" s="277"/>
      <c r="P1865" s="264"/>
      <c r="Q1865" s="264"/>
      <c r="R1865" s="264"/>
      <c r="S1865" s="264"/>
      <c r="T1865" s="264"/>
      <c r="U1865" s="264"/>
      <c r="V1865" s="264"/>
      <c r="W1865" s="264"/>
      <c r="X1865" s="264"/>
      <c r="Y1865" s="264"/>
      <c r="Z1865" s="264"/>
      <c r="AA1865" s="264"/>
      <c r="AB1865" s="264"/>
      <c r="AC1865" s="264"/>
      <c r="AD1865" s="264"/>
      <c r="AE1865" s="264"/>
    </row>
    <row r="1866">
      <c r="A1866" s="272"/>
      <c r="B1866" s="272"/>
      <c r="C1866" s="272"/>
      <c r="D1866" s="172"/>
      <c r="E1866" s="267" t="str">
        <f t="shared" si="22"/>
        <v/>
      </c>
      <c r="F1866" s="274"/>
      <c r="G1866" s="42"/>
      <c r="H1866" s="264"/>
      <c r="I1866" s="277"/>
      <c r="J1866" s="276" t="str">
        <f>IF(ISBLANK(I1866), "", VLOOKUP(E1866&amp;" "&amp;F1866, 'Info Tipo de Cambio y REM'!$A$24:$B$35, 2, FALSE))
</f>
        <v/>
      </c>
      <c r="K1866" s="107"/>
      <c r="L1866" s="293"/>
      <c r="M1866" s="293"/>
      <c r="N1866" s="293"/>
      <c r="O1866" s="277"/>
      <c r="P1866" s="264"/>
      <c r="Q1866" s="264"/>
      <c r="R1866" s="264"/>
      <c r="S1866" s="264"/>
      <c r="T1866" s="264"/>
      <c r="U1866" s="264"/>
      <c r="V1866" s="264"/>
      <c r="W1866" s="264"/>
      <c r="X1866" s="264"/>
      <c r="Y1866" s="264"/>
      <c r="Z1866" s="264"/>
      <c r="AA1866" s="264"/>
      <c r="AB1866" s="264"/>
      <c r="AC1866" s="264"/>
      <c r="AD1866" s="264"/>
      <c r="AE1866" s="264"/>
    </row>
    <row r="1867">
      <c r="A1867" s="272"/>
      <c r="B1867" s="272"/>
      <c r="C1867" s="272"/>
      <c r="D1867" s="172"/>
      <c r="E1867" s="267" t="str">
        <f t="shared" si="22"/>
        <v/>
      </c>
      <c r="F1867" s="274"/>
      <c r="G1867" s="42"/>
      <c r="H1867" s="264"/>
      <c r="I1867" s="277"/>
      <c r="J1867" s="276" t="str">
        <f>IF(ISBLANK(I1867), "", VLOOKUP(E1867&amp;" "&amp;F1867, 'Info Tipo de Cambio y REM'!$A$24:$B$35, 2, FALSE))
</f>
        <v/>
      </c>
      <c r="K1867" s="107"/>
      <c r="L1867" s="293"/>
      <c r="M1867" s="293"/>
      <c r="N1867" s="293"/>
      <c r="O1867" s="277"/>
      <c r="P1867" s="264"/>
      <c r="Q1867" s="264"/>
      <c r="R1867" s="264"/>
      <c r="S1867" s="264"/>
      <c r="T1867" s="264"/>
      <c r="U1867" s="264"/>
      <c r="V1867" s="264"/>
      <c r="W1867" s="264"/>
      <c r="X1867" s="264"/>
      <c r="Y1867" s="264"/>
      <c r="Z1867" s="264"/>
      <c r="AA1867" s="264"/>
      <c r="AB1867" s="264"/>
      <c r="AC1867" s="264"/>
      <c r="AD1867" s="264"/>
      <c r="AE1867" s="264"/>
    </row>
    <row r="1868">
      <c r="A1868" s="272"/>
      <c r="B1868" s="272"/>
      <c r="C1868" s="272"/>
      <c r="D1868" s="172"/>
      <c r="E1868" s="267" t="str">
        <f t="shared" si="22"/>
        <v/>
      </c>
      <c r="F1868" s="274"/>
      <c r="G1868" s="42"/>
      <c r="H1868" s="264"/>
      <c r="I1868" s="277"/>
      <c r="J1868" s="276" t="str">
        <f>IF(ISBLANK(I1868), "", VLOOKUP(E1868&amp;" "&amp;F1868, 'Info Tipo de Cambio y REM'!$A$24:$B$35, 2, FALSE))
</f>
        <v/>
      </c>
      <c r="K1868" s="107"/>
      <c r="L1868" s="293"/>
      <c r="M1868" s="293"/>
      <c r="N1868" s="293"/>
      <c r="O1868" s="277"/>
      <c r="P1868" s="264"/>
      <c r="Q1868" s="264"/>
      <c r="R1868" s="264"/>
      <c r="S1868" s="264"/>
      <c r="T1868" s="264"/>
      <c r="U1868" s="264"/>
      <c r="V1868" s="264"/>
      <c r="W1868" s="264"/>
      <c r="X1868" s="264"/>
      <c r="Y1868" s="264"/>
      <c r="Z1868" s="264"/>
      <c r="AA1868" s="264"/>
      <c r="AB1868" s="264"/>
      <c r="AC1868" s="264"/>
      <c r="AD1868" s="264"/>
      <c r="AE1868" s="264"/>
    </row>
    <row r="1869">
      <c r="A1869" s="272"/>
      <c r="B1869" s="272"/>
      <c r="C1869" s="272"/>
      <c r="D1869" s="172"/>
      <c r="E1869" s="267" t="str">
        <f t="shared" si="22"/>
        <v/>
      </c>
      <c r="F1869" s="274"/>
      <c r="G1869" s="42"/>
      <c r="H1869" s="264"/>
      <c r="I1869" s="277"/>
      <c r="J1869" s="276" t="str">
        <f>IF(ISBLANK(I1869), "", VLOOKUP(E1869&amp;" "&amp;F1869, 'Info Tipo de Cambio y REM'!$A$24:$B$35, 2, FALSE))
</f>
        <v/>
      </c>
      <c r="K1869" s="107"/>
      <c r="L1869" s="293"/>
      <c r="M1869" s="293"/>
      <c r="N1869" s="293"/>
      <c r="O1869" s="277"/>
      <c r="P1869" s="264"/>
      <c r="Q1869" s="264"/>
      <c r="R1869" s="264"/>
      <c r="S1869" s="264"/>
      <c r="T1869" s="264"/>
      <c r="U1869" s="264"/>
      <c r="V1869" s="264"/>
      <c r="W1869" s="264"/>
      <c r="X1869" s="264"/>
      <c r="Y1869" s="264"/>
      <c r="Z1869" s="264"/>
      <c r="AA1869" s="264"/>
      <c r="AB1869" s="264"/>
      <c r="AC1869" s="264"/>
      <c r="AD1869" s="264"/>
      <c r="AE1869" s="264"/>
    </row>
    <row r="1870">
      <c r="A1870" s="272"/>
      <c r="B1870" s="272"/>
      <c r="C1870" s="272"/>
      <c r="D1870" s="172"/>
      <c r="E1870" s="267" t="str">
        <f t="shared" si="22"/>
        <v/>
      </c>
      <c r="F1870" s="274"/>
      <c r="G1870" s="42"/>
      <c r="H1870" s="264"/>
      <c r="I1870" s="277"/>
      <c r="J1870" s="276" t="str">
        <f>IF(ISBLANK(I1870), "", VLOOKUP(E1870&amp;" "&amp;F1870, 'Info Tipo de Cambio y REM'!$A$24:$B$35, 2, FALSE))
</f>
        <v/>
      </c>
      <c r="K1870" s="107"/>
      <c r="L1870" s="293"/>
      <c r="M1870" s="293"/>
      <c r="N1870" s="293"/>
      <c r="O1870" s="277"/>
      <c r="P1870" s="264"/>
      <c r="Q1870" s="264"/>
      <c r="R1870" s="264"/>
      <c r="S1870" s="264"/>
      <c r="T1870" s="264"/>
      <c r="U1870" s="264"/>
      <c r="V1870" s="264"/>
      <c r="W1870" s="264"/>
      <c r="X1870" s="264"/>
      <c r="Y1870" s="264"/>
      <c r="Z1870" s="264"/>
      <c r="AA1870" s="264"/>
      <c r="AB1870" s="264"/>
      <c r="AC1870" s="264"/>
      <c r="AD1870" s="264"/>
      <c r="AE1870" s="264"/>
    </row>
    <row r="1871">
      <c r="A1871" s="272"/>
      <c r="B1871" s="272"/>
      <c r="C1871" s="272"/>
      <c r="D1871" s="172"/>
      <c r="E1871" s="267" t="str">
        <f t="shared" si="22"/>
        <v/>
      </c>
      <c r="F1871" s="274"/>
      <c r="G1871" s="42"/>
      <c r="H1871" s="264"/>
      <c r="I1871" s="277"/>
      <c r="J1871" s="276" t="str">
        <f>IF(ISBLANK(I1871), "", VLOOKUP(E1871&amp;" "&amp;F1871, 'Info Tipo de Cambio y REM'!$A$24:$B$35, 2, FALSE))
</f>
        <v/>
      </c>
      <c r="K1871" s="107"/>
      <c r="L1871" s="293"/>
      <c r="M1871" s="293"/>
      <c r="N1871" s="293"/>
      <c r="O1871" s="277"/>
      <c r="P1871" s="264"/>
      <c r="Q1871" s="264"/>
      <c r="R1871" s="264"/>
      <c r="S1871" s="264"/>
      <c r="T1871" s="264"/>
      <c r="U1871" s="264"/>
      <c r="V1871" s="264"/>
      <c r="W1871" s="264"/>
      <c r="X1871" s="264"/>
      <c r="Y1871" s="264"/>
      <c r="Z1871" s="264"/>
      <c r="AA1871" s="264"/>
      <c r="AB1871" s="264"/>
      <c r="AC1871" s="264"/>
      <c r="AD1871" s="264"/>
      <c r="AE1871" s="264"/>
    </row>
    <row r="1872">
      <c r="A1872" s="272"/>
      <c r="B1872" s="272"/>
      <c r="C1872" s="272"/>
      <c r="D1872" s="172"/>
      <c r="E1872" s="267" t="str">
        <f t="shared" si="22"/>
        <v/>
      </c>
      <c r="F1872" s="274"/>
      <c r="G1872" s="42"/>
      <c r="H1872" s="264"/>
      <c r="I1872" s="277"/>
      <c r="J1872" s="276" t="str">
        <f>IF(ISBLANK(I1872), "", VLOOKUP(E1872&amp;" "&amp;F1872, 'Info Tipo de Cambio y REM'!$A$24:$B$35, 2, FALSE))
</f>
        <v/>
      </c>
      <c r="K1872" s="107"/>
      <c r="L1872" s="293"/>
      <c r="M1872" s="293"/>
      <c r="N1872" s="293"/>
      <c r="O1872" s="277"/>
      <c r="P1872" s="264"/>
      <c r="Q1872" s="264"/>
      <c r="R1872" s="264"/>
      <c r="S1872" s="264"/>
      <c r="T1872" s="264"/>
      <c r="U1872" s="264"/>
      <c r="V1872" s="264"/>
      <c r="W1872" s="264"/>
      <c r="X1872" s="264"/>
      <c r="Y1872" s="264"/>
      <c r="Z1872" s="264"/>
      <c r="AA1872" s="264"/>
      <c r="AB1872" s="264"/>
      <c r="AC1872" s="264"/>
      <c r="AD1872" s="264"/>
      <c r="AE1872" s="264"/>
    </row>
    <row r="1873">
      <c r="A1873" s="272"/>
      <c r="B1873" s="272"/>
      <c r="C1873" s="272"/>
      <c r="D1873" s="172"/>
      <c r="E1873" s="267" t="str">
        <f t="shared" si="22"/>
        <v/>
      </c>
      <c r="F1873" s="274"/>
      <c r="G1873" s="42"/>
      <c r="H1873" s="264"/>
      <c r="I1873" s="277"/>
      <c r="J1873" s="276" t="str">
        <f>IF(ISBLANK(I1873), "", VLOOKUP(E1873&amp;" "&amp;F1873, 'Info Tipo de Cambio y REM'!$A$24:$B$35, 2, FALSE))
</f>
        <v/>
      </c>
      <c r="K1873" s="107"/>
      <c r="L1873" s="293"/>
      <c r="M1873" s="293"/>
      <c r="N1873" s="293"/>
      <c r="O1873" s="277"/>
      <c r="P1873" s="264"/>
      <c r="Q1873" s="264"/>
      <c r="R1873" s="264"/>
      <c r="S1873" s="264"/>
      <c r="T1873" s="264"/>
      <c r="U1873" s="264"/>
      <c r="V1873" s="264"/>
      <c r="W1873" s="264"/>
      <c r="X1873" s="264"/>
      <c r="Y1873" s="264"/>
      <c r="Z1873" s="264"/>
      <c r="AA1873" s="264"/>
      <c r="AB1873" s="264"/>
      <c r="AC1873" s="264"/>
      <c r="AD1873" s="264"/>
      <c r="AE1873" s="264"/>
    </row>
    <row r="1874">
      <c r="A1874" s="272"/>
      <c r="B1874" s="272"/>
      <c r="C1874" s="272"/>
      <c r="D1874" s="172"/>
      <c r="E1874" s="267" t="str">
        <f t="shared" si="22"/>
        <v/>
      </c>
      <c r="F1874" s="274"/>
      <c r="G1874" s="42"/>
      <c r="H1874" s="264"/>
      <c r="I1874" s="277"/>
      <c r="J1874" s="276" t="str">
        <f>IF(ISBLANK(I1874), "", VLOOKUP(E1874&amp;" "&amp;F1874, 'Info Tipo de Cambio y REM'!$A$24:$B$35, 2, FALSE))
</f>
        <v/>
      </c>
      <c r="K1874" s="107"/>
      <c r="L1874" s="293"/>
      <c r="M1874" s="293"/>
      <c r="N1874" s="293"/>
      <c r="O1874" s="277"/>
      <c r="P1874" s="264"/>
      <c r="Q1874" s="264"/>
      <c r="R1874" s="264"/>
      <c r="S1874" s="264"/>
      <c r="T1874" s="264"/>
      <c r="U1874" s="264"/>
      <c r="V1874" s="264"/>
      <c r="W1874" s="264"/>
      <c r="X1874" s="264"/>
      <c r="Y1874" s="264"/>
      <c r="Z1874" s="264"/>
      <c r="AA1874" s="264"/>
      <c r="AB1874" s="264"/>
      <c r="AC1874" s="264"/>
      <c r="AD1874" s="264"/>
      <c r="AE1874" s="264"/>
    </row>
    <row r="1875">
      <c r="A1875" s="272"/>
      <c r="B1875" s="272"/>
      <c r="C1875" s="272"/>
      <c r="D1875" s="172"/>
      <c r="E1875" s="267" t="str">
        <f t="shared" si="22"/>
        <v/>
      </c>
      <c r="F1875" s="274"/>
      <c r="G1875" s="42"/>
      <c r="H1875" s="264"/>
      <c r="I1875" s="277"/>
      <c r="J1875" s="276" t="str">
        <f>IF(ISBLANK(I1875), "", VLOOKUP(E1875&amp;" "&amp;F1875, 'Info Tipo de Cambio y REM'!$A$24:$B$35, 2, FALSE))
</f>
        <v/>
      </c>
      <c r="K1875" s="107"/>
      <c r="L1875" s="293"/>
      <c r="M1875" s="293"/>
      <c r="N1875" s="293"/>
      <c r="O1875" s="277"/>
      <c r="P1875" s="264"/>
      <c r="Q1875" s="264"/>
      <c r="R1875" s="264"/>
      <c r="S1875" s="264"/>
      <c r="T1875" s="264"/>
      <c r="U1875" s="264"/>
      <c r="V1875" s="264"/>
      <c r="W1875" s="264"/>
      <c r="X1875" s="264"/>
      <c r="Y1875" s="264"/>
      <c r="Z1875" s="264"/>
      <c r="AA1875" s="264"/>
      <c r="AB1875" s="264"/>
      <c r="AC1875" s="264"/>
      <c r="AD1875" s="264"/>
      <c r="AE1875" s="264"/>
    </row>
    <row r="1876">
      <c r="A1876" s="272"/>
      <c r="B1876" s="272"/>
      <c r="C1876" s="272"/>
      <c r="D1876" s="172"/>
      <c r="E1876" s="267" t="str">
        <f t="shared" si="22"/>
        <v/>
      </c>
      <c r="F1876" s="274"/>
      <c r="G1876" s="42"/>
      <c r="H1876" s="264"/>
      <c r="I1876" s="277"/>
      <c r="J1876" s="276" t="str">
        <f>IF(ISBLANK(I1876), "", VLOOKUP(E1876&amp;" "&amp;F1876, 'Info Tipo de Cambio y REM'!$A$24:$B$35, 2, FALSE))
</f>
        <v/>
      </c>
      <c r="K1876" s="107"/>
      <c r="L1876" s="293"/>
      <c r="M1876" s="293"/>
      <c r="N1876" s="293"/>
      <c r="O1876" s="277"/>
      <c r="P1876" s="264"/>
      <c r="Q1876" s="264"/>
      <c r="R1876" s="264"/>
      <c r="S1876" s="264"/>
      <c r="T1876" s="264"/>
      <c r="U1876" s="264"/>
      <c r="V1876" s="264"/>
      <c r="W1876" s="264"/>
      <c r="X1876" s="264"/>
      <c r="Y1876" s="264"/>
      <c r="Z1876" s="264"/>
      <c r="AA1876" s="264"/>
      <c r="AB1876" s="264"/>
      <c r="AC1876" s="264"/>
      <c r="AD1876" s="264"/>
      <c r="AE1876" s="264"/>
    </row>
    <row r="1877">
      <c r="A1877" s="272"/>
      <c r="B1877" s="272"/>
      <c r="C1877" s="272"/>
      <c r="D1877" s="172"/>
      <c r="E1877" s="267" t="str">
        <f t="shared" si="22"/>
        <v/>
      </c>
      <c r="F1877" s="274"/>
      <c r="G1877" s="42"/>
      <c r="H1877" s="264"/>
      <c r="I1877" s="277"/>
      <c r="J1877" s="276" t="str">
        <f>IF(ISBLANK(I1877), "", VLOOKUP(E1877&amp;" "&amp;F1877, 'Info Tipo de Cambio y REM'!$A$24:$B$35, 2, FALSE))
</f>
        <v/>
      </c>
      <c r="K1877" s="107"/>
      <c r="L1877" s="293"/>
      <c r="M1877" s="293"/>
      <c r="N1877" s="293"/>
      <c r="O1877" s="277"/>
      <c r="P1877" s="264"/>
      <c r="Q1877" s="264"/>
      <c r="R1877" s="264"/>
      <c r="S1877" s="264"/>
      <c r="T1877" s="264"/>
      <c r="U1877" s="264"/>
      <c r="V1877" s="264"/>
      <c r="W1877" s="264"/>
      <c r="X1877" s="264"/>
      <c r="Y1877" s="264"/>
      <c r="Z1877" s="264"/>
      <c r="AA1877" s="264"/>
      <c r="AB1877" s="264"/>
      <c r="AC1877" s="264"/>
      <c r="AD1877" s="264"/>
      <c r="AE1877" s="264"/>
    </row>
    <row r="1878">
      <c r="A1878" s="272"/>
      <c r="B1878" s="272"/>
      <c r="C1878" s="272"/>
      <c r="D1878" s="172"/>
      <c r="E1878" s="267" t="str">
        <f t="shared" si="22"/>
        <v/>
      </c>
      <c r="F1878" s="274"/>
      <c r="G1878" s="42"/>
      <c r="H1878" s="264"/>
      <c r="I1878" s="277"/>
      <c r="J1878" s="276" t="str">
        <f>IF(ISBLANK(I1878), "", VLOOKUP(E1878&amp;" "&amp;F1878, 'Info Tipo de Cambio y REM'!$A$24:$B$35, 2, FALSE))
</f>
        <v/>
      </c>
      <c r="K1878" s="107"/>
      <c r="L1878" s="293"/>
      <c r="M1878" s="293"/>
      <c r="N1878" s="293"/>
      <c r="O1878" s="277"/>
      <c r="P1878" s="264"/>
      <c r="Q1878" s="264"/>
      <c r="R1878" s="264"/>
      <c r="S1878" s="264"/>
      <c r="T1878" s="264"/>
      <c r="U1878" s="264"/>
      <c r="V1878" s="264"/>
      <c r="W1878" s="264"/>
      <c r="X1878" s="264"/>
      <c r="Y1878" s="264"/>
      <c r="Z1878" s="264"/>
      <c r="AA1878" s="264"/>
      <c r="AB1878" s="264"/>
      <c r="AC1878" s="264"/>
      <c r="AD1878" s="264"/>
      <c r="AE1878" s="264"/>
    </row>
    <row r="1879">
      <c r="A1879" s="272"/>
      <c r="B1879" s="272"/>
      <c r="C1879" s="272"/>
      <c r="D1879" s="172"/>
      <c r="E1879" s="267" t="str">
        <f t="shared" si="22"/>
        <v/>
      </c>
      <c r="F1879" s="274"/>
      <c r="G1879" s="42"/>
      <c r="H1879" s="264"/>
      <c r="I1879" s="277"/>
      <c r="J1879" s="276" t="str">
        <f>IF(ISBLANK(I1879), "", VLOOKUP(E1879&amp;" "&amp;F1879, 'Info Tipo de Cambio y REM'!$A$24:$B$35, 2, FALSE))
</f>
        <v/>
      </c>
      <c r="K1879" s="107"/>
      <c r="L1879" s="293"/>
      <c r="M1879" s="293"/>
      <c r="N1879" s="293"/>
      <c r="O1879" s="277"/>
      <c r="P1879" s="264"/>
      <c r="Q1879" s="264"/>
      <c r="R1879" s="264"/>
      <c r="S1879" s="264"/>
      <c r="T1879" s="264"/>
      <c r="U1879" s="264"/>
      <c r="V1879" s="264"/>
      <c r="W1879" s="264"/>
      <c r="X1879" s="264"/>
      <c r="Y1879" s="264"/>
      <c r="Z1879" s="264"/>
      <c r="AA1879" s="264"/>
      <c r="AB1879" s="264"/>
      <c r="AC1879" s="264"/>
      <c r="AD1879" s="264"/>
      <c r="AE1879" s="264"/>
    </row>
    <row r="1880">
      <c r="A1880" s="272"/>
      <c r="B1880" s="272"/>
      <c r="C1880" s="272"/>
      <c r="D1880" s="172"/>
      <c r="E1880" s="267" t="str">
        <f t="shared" si="22"/>
        <v/>
      </c>
      <c r="F1880" s="274"/>
      <c r="G1880" s="42"/>
      <c r="H1880" s="264"/>
      <c r="I1880" s="277"/>
      <c r="J1880" s="276" t="str">
        <f>IF(ISBLANK(I1880), "", VLOOKUP(E1880&amp;" "&amp;F1880, 'Info Tipo de Cambio y REM'!$A$24:$B$35, 2, FALSE))
</f>
        <v/>
      </c>
      <c r="K1880" s="107"/>
      <c r="L1880" s="293"/>
      <c r="M1880" s="293"/>
      <c r="N1880" s="293"/>
      <c r="O1880" s="277"/>
      <c r="P1880" s="264"/>
      <c r="Q1880" s="264"/>
      <c r="R1880" s="264"/>
      <c r="S1880" s="264"/>
      <c r="T1880" s="264"/>
      <c r="U1880" s="264"/>
      <c r="V1880" s="264"/>
      <c r="W1880" s="264"/>
      <c r="X1880" s="264"/>
      <c r="Y1880" s="264"/>
      <c r="Z1880" s="264"/>
      <c r="AA1880" s="264"/>
      <c r="AB1880" s="264"/>
      <c r="AC1880" s="264"/>
      <c r="AD1880" s="264"/>
      <c r="AE1880" s="264"/>
    </row>
    <row r="1881">
      <c r="A1881" s="272"/>
      <c r="B1881" s="272"/>
      <c r="C1881" s="272"/>
      <c r="D1881" s="172"/>
      <c r="E1881" s="267" t="str">
        <f t="shared" si="22"/>
        <v/>
      </c>
      <c r="F1881" s="274"/>
      <c r="G1881" s="42"/>
      <c r="H1881" s="264"/>
      <c r="I1881" s="277"/>
      <c r="J1881" s="276" t="str">
        <f>IF(ISBLANK(I1881), "", VLOOKUP(E1881&amp;" "&amp;F1881, 'Info Tipo de Cambio y REM'!$A$24:$B$35, 2, FALSE))
</f>
        <v/>
      </c>
      <c r="K1881" s="107"/>
      <c r="L1881" s="293"/>
      <c r="M1881" s="293"/>
      <c r="N1881" s="293"/>
      <c r="O1881" s="277"/>
      <c r="P1881" s="264"/>
      <c r="Q1881" s="264"/>
      <c r="R1881" s="264"/>
      <c r="S1881" s="264"/>
      <c r="T1881" s="264"/>
      <c r="U1881" s="264"/>
      <c r="V1881" s="264"/>
      <c r="W1881" s="264"/>
      <c r="X1881" s="264"/>
      <c r="Y1881" s="264"/>
      <c r="Z1881" s="264"/>
      <c r="AA1881" s="264"/>
      <c r="AB1881" s="264"/>
      <c r="AC1881" s="264"/>
      <c r="AD1881" s="264"/>
      <c r="AE1881" s="264"/>
    </row>
    <row r="1882">
      <c r="A1882" s="272"/>
      <c r="B1882" s="272"/>
      <c r="C1882" s="272"/>
      <c r="D1882" s="172"/>
      <c r="E1882" s="267" t="str">
        <f t="shared" si="22"/>
        <v/>
      </c>
      <c r="F1882" s="274"/>
      <c r="G1882" s="42"/>
      <c r="H1882" s="264"/>
      <c r="I1882" s="277"/>
      <c r="J1882" s="276" t="str">
        <f>IF(ISBLANK(I1882), "", VLOOKUP(E1882&amp;" "&amp;F1882, 'Info Tipo de Cambio y REM'!$A$24:$B$35, 2, FALSE))
</f>
        <v/>
      </c>
      <c r="K1882" s="107"/>
      <c r="L1882" s="293"/>
      <c r="M1882" s="293"/>
      <c r="N1882" s="293"/>
      <c r="O1882" s="277"/>
      <c r="P1882" s="264"/>
      <c r="Q1882" s="264"/>
      <c r="R1882" s="264"/>
      <c r="S1882" s="264"/>
      <c r="T1882" s="264"/>
      <c r="U1882" s="264"/>
      <c r="V1882" s="264"/>
      <c r="W1882" s="264"/>
      <c r="X1882" s="264"/>
      <c r="Y1882" s="264"/>
      <c r="Z1882" s="264"/>
      <c r="AA1882" s="264"/>
      <c r="AB1882" s="264"/>
      <c r="AC1882" s="264"/>
      <c r="AD1882" s="264"/>
      <c r="AE1882" s="264"/>
    </row>
    <row r="1883">
      <c r="A1883" s="272"/>
      <c r="B1883" s="272"/>
      <c r="C1883" s="272"/>
      <c r="D1883" s="172"/>
      <c r="E1883" s="267" t="str">
        <f t="shared" si="22"/>
        <v/>
      </c>
      <c r="F1883" s="274"/>
      <c r="G1883" s="42"/>
      <c r="H1883" s="264"/>
      <c r="I1883" s="277"/>
      <c r="J1883" s="276" t="str">
        <f>IF(ISBLANK(I1883), "", VLOOKUP(E1883&amp;" "&amp;F1883, 'Info Tipo de Cambio y REM'!$A$24:$B$35, 2, FALSE))
</f>
        <v/>
      </c>
      <c r="K1883" s="107"/>
      <c r="L1883" s="293"/>
      <c r="M1883" s="293"/>
      <c r="N1883" s="293"/>
      <c r="O1883" s="277"/>
      <c r="P1883" s="264"/>
      <c r="Q1883" s="264"/>
      <c r="R1883" s="264"/>
      <c r="S1883" s="264"/>
      <c r="T1883" s="264"/>
      <c r="U1883" s="264"/>
      <c r="V1883" s="264"/>
      <c r="W1883" s="264"/>
      <c r="X1883" s="264"/>
      <c r="Y1883" s="264"/>
      <c r="Z1883" s="264"/>
      <c r="AA1883" s="264"/>
      <c r="AB1883" s="264"/>
      <c r="AC1883" s="264"/>
      <c r="AD1883" s="264"/>
      <c r="AE1883" s="264"/>
    </row>
    <row r="1884">
      <c r="A1884" s="272"/>
      <c r="B1884" s="272"/>
      <c r="C1884" s="272"/>
      <c r="D1884" s="172"/>
      <c r="E1884" s="267" t="str">
        <f t="shared" si="22"/>
        <v/>
      </c>
      <c r="F1884" s="274"/>
      <c r="G1884" s="42"/>
      <c r="H1884" s="264"/>
      <c r="I1884" s="277"/>
      <c r="J1884" s="276" t="str">
        <f>IF(ISBLANK(I1884), "", VLOOKUP(E1884&amp;" "&amp;F1884, 'Info Tipo de Cambio y REM'!$A$24:$B$35, 2, FALSE))
</f>
        <v/>
      </c>
      <c r="K1884" s="107"/>
      <c r="L1884" s="293"/>
      <c r="M1884" s="293"/>
      <c r="N1884" s="293"/>
      <c r="O1884" s="277"/>
      <c r="P1884" s="264"/>
      <c r="Q1884" s="264"/>
      <c r="R1884" s="264"/>
      <c r="S1884" s="264"/>
      <c r="T1884" s="264"/>
      <c r="U1884" s="264"/>
      <c r="V1884" s="264"/>
      <c r="W1884" s="264"/>
      <c r="X1884" s="264"/>
      <c r="Y1884" s="264"/>
      <c r="Z1884" s="264"/>
      <c r="AA1884" s="264"/>
      <c r="AB1884" s="264"/>
      <c r="AC1884" s="264"/>
      <c r="AD1884" s="264"/>
      <c r="AE1884" s="264"/>
    </row>
    <row r="1885">
      <c r="A1885" s="272"/>
      <c r="B1885" s="272"/>
      <c r="C1885" s="272"/>
      <c r="D1885" s="172"/>
      <c r="E1885" s="267" t="str">
        <f t="shared" si="22"/>
        <v/>
      </c>
      <c r="F1885" s="274"/>
      <c r="G1885" s="42"/>
      <c r="H1885" s="264"/>
      <c r="I1885" s="277"/>
      <c r="J1885" s="276" t="str">
        <f>IF(ISBLANK(I1885), "", VLOOKUP(E1885&amp;" "&amp;F1885, 'Info Tipo de Cambio y REM'!$A$24:$B$35, 2, FALSE))
</f>
        <v/>
      </c>
      <c r="K1885" s="107"/>
      <c r="L1885" s="293"/>
      <c r="M1885" s="293"/>
      <c r="N1885" s="293"/>
      <c r="O1885" s="277"/>
      <c r="P1885" s="264"/>
      <c r="Q1885" s="264"/>
      <c r="R1885" s="264"/>
      <c r="S1885" s="264"/>
      <c r="T1885" s="264"/>
      <c r="U1885" s="264"/>
      <c r="V1885" s="264"/>
      <c r="W1885" s="264"/>
      <c r="X1885" s="264"/>
      <c r="Y1885" s="264"/>
      <c r="Z1885" s="264"/>
      <c r="AA1885" s="264"/>
      <c r="AB1885" s="264"/>
      <c r="AC1885" s="264"/>
      <c r="AD1885" s="264"/>
      <c r="AE1885" s="264"/>
    </row>
    <row r="1886">
      <c r="A1886" s="272"/>
      <c r="B1886" s="272"/>
      <c r="C1886" s="272"/>
      <c r="D1886" s="172"/>
      <c r="E1886" s="267" t="str">
        <f t="shared" si="22"/>
        <v/>
      </c>
      <c r="F1886" s="274"/>
      <c r="G1886" s="42"/>
      <c r="H1886" s="264"/>
      <c r="I1886" s="277"/>
      <c r="J1886" s="276" t="str">
        <f>IF(ISBLANK(I1886), "", VLOOKUP(E1886&amp;" "&amp;F1886, 'Info Tipo de Cambio y REM'!$A$24:$B$35, 2, FALSE))
</f>
        <v/>
      </c>
      <c r="K1886" s="107"/>
      <c r="L1886" s="293"/>
      <c r="M1886" s="293"/>
      <c r="N1886" s="293"/>
      <c r="O1886" s="277"/>
      <c r="P1886" s="264"/>
      <c r="Q1886" s="264"/>
      <c r="R1886" s="264"/>
      <c r="S1886" s="264"/>
      <c r="T1886" s="264"/>
      <c r="U1886" s="264"/>
      <c r="V1886" s="264"/>
      <c r="W1886" s="264"/>
      <c r="X1886" s="264"/>
      <c r="Y1886" s="264"/>
      <c r="Z1886" s="264"/>
      <c r="AA1886" s="264"/>
      <c r="AB1886" s="264"/>
      <c r="AC1886" s="264"/>
      <c r="AD1886" s="264"/>
      <c r="AE1886" s="264"/>
    </row>
    <row r="1887">
      <c r="A1887" s="272"/>
      <c r="B1887" s="272"/>
      <c r="C1887" s="272"/>
      <c r="D1887" s="172"/>
      <c r="E1887" s="267" t="str">
        <f t="shared" si="22"/>
        <v/>
      </c>
      <c r="F1887" s="274"/>
      <c r="G1887" s="42"/>
      <c r="H1887" s="264"/>
      <c r="I1887" s="277"/>
      <c r="J1887" s="276" t="str">
        <f>IF(ISBLANK(I1887), "", VLOOKUP(E1887&amp;" "&amp;F1887, 'Info Tipo de Cambio y REM'!$A$24:$B$35, 2, FALSE))
</f>
        <v/>
      </c>
      <c r="K1887" s="107"/>
      <c r="L1887" s="293"/>
      <c r="M1887" s="293"/>
      <c r="N1887" s="293"/>
      <c r="O1887" s="277"/>
      <c r="P1887" s="264"/>
      <c r="Q1887" s="264"/>
      <c r="R1887" s="264"/>
      <c r="S1887" s="264"/>
      <c r="T1887" s="264"/>
      <c r="U1887" s="264"/>
      <c r="V1887" s="264"/>
      <c r="W1887" s="264"/>
      <c r="X1887" s="264"/>
      <c r="Y1887" s="264"/>
      <c r="Z1887" s="264"/>
      <c r="AA1887" s="264"/>
      <c r="AB1887" s="264"/>
      <c r="AC1887" s="264"/>
      <c r="AD1887" s="264"/>
      <c r="AE1887" s="264"/>
    </row>
    <row r="1888">
      <c r="A1888" s="272"/>
      <c r="B1888" s="272"/>
      <c r="C1888" s="272"/>
      <c r="D1888" s="172"/>
      <c r="E1888" s="267" t="str">
        <f t="shared" si="22"/>
        <v/>
      </c>
      <c r="F1888" s="274"/>
      <c r="G1888" s="42"/>
      <c r="H1888" s="264"/>
      <c r="I1888" s="277"/>
      <c r="J1888" s="276" t="str">
        <f>IF(ISBLANK(I1888), "", VLOOKUP(E1888&amp;" "&amp;F1888, 'Info Tipo de Cambio y REM'!$A$24:$B$35, 2, FALSE))
</f>
        <v/>
      </c>
      <c r="K1888" s="107"/>
      <c r="L1888" s="293"/>
      <c r="M1888" s="293"/>
      <c r="N1888" s="293"/>
      <c r="O1888" s="277"/>
      <c r="P1888" s="264"/>
      <c r="Q1888" s="264"/>
      <c r="R1888" s="264"/>
      <c r="S1888" s="264"/>
      <c r="T1888" s="264"/>
      <c r="U1888" s="264"/>
      <c r="V1888" s="264"/>
      <c r="W1888" s="264"/>
      <c r="X1888" s="264"/>
      <c r="Y1888" s="264"/>
      <c r="Z1888" s="264"/>
      <c r="AA1888" s="264"/>
      <c r="AB1888" s="264"/>
      <c r="AC1888" s="264"/>
      <c r="AD1888" s="264"/>
      <c r="AE1888" s="264"/>
    </row>
    <row r="1889">
      <c r="A1889" s="272"/>
      <c r="B1889" s="272"/>
      <c r="C1889" s="272"/>
      <c r="D1889" s="172"/>
      <c r="E1889" s="267" t="str">
        <f t="shared" si="22"/>
        <v/>
      </c>
      <c r="F1889" s="274"/>
      <c r="G1889" s="42"/>
      <c r="H1889" s="264"/>
      <c r="I1889" s="277"/>
      <c r="J1889" s="276" t="str">
        <f>IF(ISBLANK(I1889), "", VLOOKUP(E1889&amp;" "&amp;F1889, 'Info Tipo de Cambio y REM'!$A$24:$B$35, 2, FALSE))
</f>
        <v/>
      </c>
      <c r="K1889" s="107"/>
      <c r="L1889" s="293"/>
      <c r="M1889" s="293"/>
      <c r="N1889" s="293"/>
      <c r="O1889" s="277"/>
      <c r="P1889" s="264"/>
      <c r="Q1889" s="264"/>
      <c r="R1889" s="264"/>
      <c r="S1889" s="264"/>
      <c r="T1889" s="264"/>
      <c r="U1889" s="264"/>
      <c r="V1889" s="264"/>
      <c r="W1889" s="264"/>
      <c r="X1889" s="264"/>
      <c r="Y1889" s="264"/>
      <c r="Z1889" s="264"/>
      <c r="AA1889" s="264"/>
      <c r="AB1889" s="264"/>
      <c r="AC1889" s="264"/>
      <c r="AD1889" s="264"/>
      <c r="AE1889" s="264"/>
    </row>
    <row r="1890">
      <c r="A1890" s="272"/>
      <c r="B1890" s="272"/>
      <c r="C1890" s="272"/>
      <c r="D1890" s="172"/>
      <c r="E1890" s="267" t="str">
        <f t="shared" si="22"/>
        <v/>
      </c>
      <c r="F1890" s="274"/>
      <c r="G1890" s="42"/>
      <c r="H1890" s="264"/>
      <c r="I1890" s="277"/>
      <c r="J1890" s="276" t="str">
        <f>IF(ISBLANK(I1890), "", VLOOKUP(E1890&amp;" "&amp;F1890, 'Info Tipo de Cambio y REM'!$A$24:$B$35, 2, FALSE))
</f>
        <v/>
      </c>
      <c r="K1890" s="107"/>
      <c r="L1890" s="293"/>
      <c r="M1890" s="293"/>
      <c r="N1890" s="293"/>
      <c r="O1890" s="277"/>
      <c r="P1890" s="264"/>
      <c r="Q1890" s="264"/>
      <c r="R1890" s="264"/>
      <c r="S1890" s="264"/>
      <c r="T1890" s="264"/>
      <c r="U1890" s="264"/>
      <c r="V1890" s="264"/>
      <c r="W1890" s="264"/>
      <c r="X1890" s="264"/>
      <c r="Y1890" s="264"/>
      <c r="Z1890" s="264"/>
      <c r="AA1890" s="264"/>
      <c r="AB1890" s="264"/>
      <c r="AC1890" s="264"/>
      <c r="AD1890" s="264"/>
      <c r="AE1890" s="264"/>
    </row>
    <row r="1891">
      <c r="A1891" s="272"/>
      <c r="B1891" s="272"/>
      <c r="C1891" s="272"/>
      <c r="D1891" s="172"/>
      <c r="E1891" s="267" t="str">
        <f t="shared" si="22"/>
        <v/>
      </c>
      <c r="F1891" s="274"/>
      <c r="G1891" s="42"/>
      <c r="H1891" s="264"/>
      <c r="I1891" s="277"/>
      <c r="J1891" s="276" t="str">
        <f>IF(ISBLANK(I1891), "", VLOOKUP(E1891&amp;" "&amp;F1891, 'Info Tipo de Cambio y REM'!$A$24:$B$35, 2, FALSE))
</f>
        <v/>
      </c>
      <c r="K1891" s="107"/>
      <c r="L1891" s="293"/>
      <c r="M1891" s="293"/>
      <c r="N1891" s="293"/>
      <c r="O1891" s="277"/>
      <c r="P1891" s="264"/>
      <c r="Q1891" s="264"/>
      <c r="R1891" s="264"/>
      <c r="S1891" s="264"/>
      <c r="T1891" s="264"/>
      <c r="U1891" s="264"/>
      <c r="V1891" s="264"/>
      <c r="W1891" s="264"/>
      <c r="X1891" s="264"/>
      <c r="Y1891" s="264"/>
      <c r="Z1891" s="264"/>
      <c r="AA1891" s="264"/>
      <c r="AB1891" s="264"/>
      <c r="AC1891" s="264"/>
      <c r="AD1891" s="264"/>
      <c r="AE1891" s="264"/>
    </row>
    <row r="1892">
      <c r="A1892" s="272"/>
      <c r="B1892" s="272"/>
      <c r="C1892" s="272"/>
      <c r="D1892" s="172"/>
      <c r="E1892" s="267" t="str">
        <f t="shared" si="22"/>
        <v/>
      </c>
      <c r="F1892" s="274"/>
      <c r="G1892" s="42"/>
      <c r="H1892" s="264"/>
      <c r="I1892" s="277"/>
      <c r="J1892" s="276" t="str">
        <f>IF(ISBLANK(I1892), "", VLOOKUP(E1892&amp;" "&amp;F1892, 'Info Tipo de Cambio y REM'!$A$24:$B$35, 2, FALSE))
</f>
        <v/>
      </c>
      <c r="K1892" s="107"/>
      <c r="L1892" s="293"/>
      <c r="M1892" s="293"/>
      <c r="N1892" s="293"/>
      <c r="O1892" s="277"/>
      <c r="P1892" s="264"/>
      <c r="Q1892" s="264"/>
      <c r="R1892" s="264"/>
      <c r="S1892" s="264"/>
      <c r="T1892" s="264"/>
      <c r="U1892" s="264"/>
      <c r="V1892" s="264"/>
      <c r="W1892" s="264"/>
      <c r="X1892" s="264"/>
      <c r="Y1892" s="264"/>
      <c r="Z1892" s="264"/>
      <c r="AA1892" s="264"/>
      <c r="AB1892" s="264"/>
      <c r="AC1892" s="264"/>
      <c r="AD1892" s="264"/>
      <c r="AE1892" s="264"/>
    </row>
    <row r="1893">
      <c r="A1893" s="272"/>
      <c r="B1893" s="272"/>
      <c r="C1893" s="272"/>
      <c r="D1893" s="172"/>
      <c r="E1893" s="267" t="str">
        <f t="shared" si="22"/>
        <v/>
      </c>
      <c r="F1893" s="274"/>
      <c r="G1893" s="42"/>
      <c r="H1893" s="264"/>
      <c r="I1893" s="277"/>
      <c r="J1893" s="276" t="str">
        <f>IF(ISBLANK(I1893), "", VLOOKUP(E1893&amp;" "&amp;F1893, 'Info Tipo de Cambio y REM'!$A$24:$B$35, 2, FALSE))
</f>
        <v/>
      </c>
      <c r="K1893" s="107"/>
      <c r="L1893" s="293"/>
      <c r="M1893" s="293"/>
      <c r="N1893" s="293"/>
      <c r="O1893" s="277"/>
      <c r="P1893" s="264"/>
      <c r="Q1893" s="264"/>
      <c r="R1893" s="264"/>
      <c r="S1893" s="264"/>
      <c r="T1893" s="264"/>
      <c r="U1893" s="264"/>
      <c r="V1893" s="264"/>
      <c r="W1893" s="264"/>
      <c r="X1893" s="264"/>
      <c r="Y1893" s="264"/>
      <c r="Z1893" s="264"/>
      <c r="AA1893" s="264"/>
      <c r="AB1893" s="264"/>
      <c r="AC1893" s="264"/>
      <c r="AD1893" s="264"/>
      <c r="AE1893" s="264"/>
    </row>
    <row r="1894">
      <c r="A1894" s="272"/>
      <c r="B1894" s="272"/>
      <c r="C1894" s="272"/>
      <c r="D1894" s="172"/>
      <c r="E1894" s="267" t="str">
        <f t="shared" si="22"/>
        <v/>
      </c>
      <c r="F1894" s="274"/>
      <c r="G1894" s="42"/>
      <c r="H1894" s="264"/>
      <c r="I1894" s="277"/>
      <c r="J1894" s="276" t="str">
        <f>IF(ISBLANK(I1894), "", VLOOKUP(E1894&amp;" "&amp;F1894, 'Info Tipo de Cambio y REM'!$A$24:$B$35, 2, FALSE))
</f>
        <v/>
      </c>
      <c r="K1894" s="107"/>
      <c r="L1894" s="293"/>
      <c r="M1894" s="293"/>
      <c r="N1894" s="293"/>
      <c r="O1894" s="277"/>
      <c r="P1894" s="264"/>
      <c r="Q1894" s="264"/>
      <c r="R1894" s="264"/>
      <c r="S1894" s="264"/>
      <c r="T1894" s="264"/>
      <c r="U1894" s="264"/>
      <c r="V1894" s="264"/>
      <c r="W1894" s="264"/>
      <c r="X1894" s="264"/>
      <c r="Y1894" s="264"/>
      <c r="Z1894" s="264"/>
      <c r="AA1894" s="264"/>
      <c r="AB1894" s="264"/>
      <c r="AC1894" s="264"/>
      <c r="AD1894" s="264"/>
      <c r="AE1894" s="264"/>
    </row>
    <row r="1895">
      <c r="A1895" s="272"/>
      <c r="B1895" s="272"/>
      <c r="C1895" s="272"/>
      <c r="D1895" s="172"/>
      <c r="E1895" s="267" t="str">
        <f t="shared" si="22"/>
        <v/>
      </c>
      <c r="F1895" s="274"/>
      <c r="G1895" s="42"/>
      <c r="H1895" s="264"/>
      <c r="I1895" s="277"/>
      <c r="J1895" s="276" t="str">
        <f>IF(ISBLANK(I1895), "", VLOOKUP(E1895&amp;" "&amp;F1895, 'Info Tipo de Cambio y REM'!$A$24:$B$35, 2, FALSE))
</f>
        <v/>
      </c>
      <c r="K1895" s="107"/>
      <c r="L1895" s="293"/>
      <c r="M1895" s="293"/>
      <c r="N1895" s="293"/>
      <c r="O1895" s="277"/>
      <c r="P1895" s="264"/>
      <c r="Q1895" s="264"/>
      <c r="R1895" s="264"/>
      <c r="S1895" s="264"/>
      <c r="T1895" s="264"/>
      <c r="U1895" s="264"/>
      <c r="V1895" s="264"/>
      <c r="W1895" s="264"/>
      <c r="X1895" s="264"/>
      <c r="Y1895" s="264"/>
      <c r="Z1895" s="264"/>
      <c r="AA1895" s="264"/>
      <c r="AB1895" s="264"/>
      <c r="AC1895" s="264"/>
      <c r="AD1895" s="264"/>
      <c r="AE1895" s="264"/>
    </row>
    <row r="1896">
      <c r="A1896" s="272"/>
      <c r="B1896" s="272"/>
      <c r="C1896" s="272"/>
      <c r="D1896" s="172"/>
      <c r="E1896" s="267" t="str">
        <f t="shared" si="22"/>
        <v/>
      </c>
      <c r="F1896" s="274"/>
      <c r="G1896" s="42"/>
      <c r="H1896" s="264"/>
      <c r="I1896" s="277"/>
      <c r="J1896" s="276" t="str">
        <f>IF(ISBLANK(I1896), "", VLOOKUP(E1896&amp;" "&amp;F1896, 'Info Tipo de Cambio y REM'!$A$24:$B$35, 2, FALSE))
</f>
        <v/>
      </c>
      <c r="K1896" s="107"/>
      <c r="L1896" s="293"/>
      <c r="M1896" s="293"/>
      <c r="N1896" s="293"/>
      <c r="O1896" s="277"/>
      <c r="P1896" s="264"/>
      <c r="Q1896" s="264"/>
      <c r="R1896" s="264"/>
      <c r="S1896" s="264"/>
      <c r="T1896" s="264"/>
      <c r="U1896" s="264"/>
      <c r="V1896" s="264"/>
      <c r="W1896" s="264"/>
      <c r="X1896" s="264"/>
      <c r="Y1896" s="264"/>
      <c r="Z1896" s="264"/>
      <c r="AA1896" s="264"/>
      <c r="AB1896" s="264"/>
      <c r="AC1896" s="264"/>
      <c r="AD1896" s="264"/>
      <c r="AE1896" s="264"/>
    </row>
    <row r="1897">
      <c r="A1897" s="272"/>
      <c r="B1897" s="272"/>
      <c r="C1897" s="272"/>
      <c r="D1897" s="172"/>
      <c r="E1897" s="267" t="str">
        <f t="shared" si="22"/>
        <v/>
      </c>
      <c r="F1897" s="274"/>
      <c r="G1897" s="42"/>
      <c r="H1897" s="264"/>
      <c r="I1897" s="277"/>
      <c r="J1897" s="276" t="str">
        <f>IF(ISBLANK(I1897), "", VLOOKUP(E1897&amp;" "&amp;F1897, 'Info Tipo de Cambio y REM'!$A$24:$B$35, 2, FALSE))
</f>
        <v/>
      </c>
      <c r="K1897" s="107"/>
      <c r="L1897" s="293"/>
      <c r="M1897" s="293"/>
      <c r="N1897" s="293"/>
      <c r="O1897" s="277"/>
      <c r="P1897" s="264"/>
      <c r="Q1897" s="264"/>
      <c r="R1897" s="264"/>
      <c r="S1897" s="264"/>
      <c r="T1897" s="264"/>
      <c r="U1897" s="264"/>
      <c r="V1897" s="264"/>
      <c r="W1897" s="264"/>
      <c r="X1897" s="264"/>
      <c r="Y1897" s="264"/>
      <c r="Z1897" s="264"/>
      <c r="AA1897" s="264"/>
      <c r="AB1897" s="264"/>
      <c r="AC1897" s="264"/>
      <c r="AD1897" s="264"/>
      <c r="AE1897" s="264"/>
    </row>
    <row r="1898">
      <c r="A1898" s="272"/>
      <c r="B1898" s="272"/>
      <c r="C1898" s="272"/>
      <c r="D1898" s="172"/>
      <c r="E1898" s="267" t="str">
        <f t="shared" si="22"/>
        <v/>
      </c>
      <c r="F1898" s="274"/>
      <c r="G1898" s="42"/>
      <c r="H1898" s="264"/>
      <c r="I1898" s="277"/>
      <c r="J1898" s="276" t="str">
        <f>IF(ISBLANK(I1898), "", VLOOKUP(E1898&amp;" "&amp;F1898, 'Info Tipo de Cambio y REM'!$A$24:$B$35, 2, FALSE))
</f>
        <v/>
      </c>
      <c r="K1898" s="107"/>
      <c r="L1898" s="293"/>
      <c r="M1898" s="293"/>
      <c r="N1898" s="293"/>
      <c r="O1898" s="277"/>
      <c r="P1898" s="264"/>
      <c r="Q1898" s="264"/>
      <c r="R1898" s="264"/>
      <c r="S1898" s="264"/>
      <c r="T1898" s="264"/>
      <c r="U1898" s="264"/>
      <c r="V1898" s="264"/>
      <c r="W1898" s="264"/>
      <c r="X1898" s="264"/>
      <c r="Y1898" s="264"/>
      <c r="Z1898" s="264"/>
      <c r="AA1898" s="264"/>
      <c r="AB1898" s="264"/>
      <c r="AC1898" s="264"/>
      <c r="AD1898" s="264"/>
      <c r="AE1898" s="264"/>
    </row>
    <row r="1899">
      <c r="A1899" s="272"/>
      <c r="B1899" s="272"/>
      <c r="C1899" s="272"/>
      <c r="D1899" s="172"/>
      <c r="E1899" s="267" t="str">
        <f t="shared" si="22"/>
        <v/>
      </c>
      <c r="F1899" s="274"/>
      <c r="G1899" s="42"/>
      <c r="H1899" s="264"/>
      <c r="I1899" s="277"/>
      <c r="J1899" s="276" t="str">
        <f>IF(ISBLANK(I1899), "", VLOOKUP(E1899&amp;" "&amp;F1899, 'Info Tipo de Cambio y REM'!$A$24:$B$35, 2, FALSE))
</f>
        <v/>
      </c>
      <c r="K1899" s="107"/>
      <c r="L1899" s="293"/>
      <c r="M1899" s="293"/>
      <c r="N1899" s="293"/>
      <c r="O1899" s="277"/>
      <c r="P1899" s="264"/>
      <c r="Q1899" s="264"/>
      <c r="R1899" s="264"/>
      <c r="S1899" s="264"/>
      <c r="T1899" s="264"/>
      <c r="U1899" s="264"/>
      <c r="V1899" s="264"/>
      <c r="W1899" s="264"/>
      <c r="X1899" s="264"/>
      <c r="Y1899" s="264"/>
      <c r="Z1899" s="264"/>
      <c r="AA1899" s="264"/>
      <c r="AB1899" s="264"/>
      <c r="AC1899" s="264"/>
      <c r="AD1899" s="264"/>
      <c r="AE1899" s="264"/>
    </row>
    <row r="1900">
      <c r="A1900" s="272"/>
      <c r="B1900" s="272"/>
      <c r="C1900" s="272"/>
      <c r="D1900" s="172"/>
      <c r="E1900" s="267" t="str">
        <f t="shared" si="22"/>
        <v/>
      </c>
      <c r="F1900" s="274"/>
      <c r="G1900" s="42"/>
      <c r="H1900" s="264"/>
      <c r="I1900" s="277"/>
      <c r="J1900" s="276" t="str">
        <f>IF(ISBLANK(I1900), "", VLOOKUP(E1900&amp;" "&amp;F1900, 'Info Tipo de Cambio y REM'!$A$24:$B$35, 2, FALSE))
</f>
        <v/>
      </c>
      <c r="K1900" s="107"/>
      <c r="L1900" s="293"/>
      <c r="M1900" s="293"/>
      <c r="N1900" s="293"/>
      <c r="O1900" s="277"/>
      <c r="P1900" s="264"/>
      <c r="Q1900" s="264"/>
      <c r="R1900" s="264"/>
      <c r="S1900" s="264"/>
      <c r="T1900" s="264"/>
      <c r="U1900" s="264"/>
      <c r="V1900" s="264"/>
      <c r="W1900" s="264"/>
      <c r="X1900" s="264"/>
      <c r="Y1900" s="264"/>
      <c r="Z1900" s="264"/>
      <c r="AA1900" s="264"/>
      <c r="AB1900" s="264"/>
      <c r="AC1900" s="264"/>
      <c r="AD1900" s="264"/>
      <c r="AE1900" s="264"/>
    </row>
    <row r="1901">
      <c r="A1901" s="272"/>
      <c r="B1901" s="272"/>
      <c r="C1901" s="272"/>
      <c r="D1901" s="172"/>
      <c r="E1901" s="267" t="str">
        <f t="shared" si="22"/>
        <v/>
      </c>
      <c r="F1901" s="274"/>
      <c r="G1901" s="42"/>
      <c r="H1901" s="264"/>
      <c r="I1901" s="277"/>
      <c r="J1901" s="276" t="str">
        <f>IF(ISBLANK(I1901), "", VLOOKUP(E1901&amp;" "&amp;F1901, 'Info Tipo de Cambio y REM'!$A$24:$B$35, 2, FALSE))
</f>
        <v/>
      </c>
      <c r="K1901" s="107"/>
      <c r="L1901" s="293"/>
      <c r="M1901" s="293"/>
      <c r="N1901" s="293"/>
      <c r="O1901" s="277"/>
      <c r="P1901" s="264"/>
      <c r="Q1901" s="264"/>
      <c r="R1901" s="264"/>
      <c r="S1901" s="264"/>
      <c r="T1901" s="264"/>
      <c r="U1901" s="264"/>
      <c r="V1901" s="264"/>
      <c r="W1901" s="264"/>
      <c r="X1901" s="264"/>
      <c r="Y1901" s="264"/>
      <c r="Z1901" s="264"/>
      <c r="AA1901" s="264"/>
      <c r="AB1901" s="264"/>
      <c r="AC1901" s="264"/>
      <c r="AD1901" s="264"/>
      <c r="AE1901" s="264"/>
    </row>
    <row r="1902">
      <c r="A1902" s="272"/>
      <c r="B1902" s="272"/>
      <c r="C1902" s="272"/>
      <c r="D1902" s="172"/>
      <c r="E1902" s="267" t="str">
        <f t="shared" si="22"/>
        <v/>
      </c>
      <c r="F1902" s="274"/>
      <c r="G1902" s="42"/>
      <c r="H1902" s="264"/>
      <c r="I1902" s="277"/>
      <c r="J1902" s="276" t="str">
        <f>IF(ISBLANK(I1902), "", VLOOKUP(E1902&amp;" "&amp;F1902, 'Info Tipo de Cambio y REM'!$A$24:$B$35, 2, FALSE))
</f>
        <v/>
      </c>
      <c r="K1902" s="107"/>
      <c r="L1902" s="293"/>
      <c r="M1902" s="293"/>
      <c r="N1902" s="293"/>
      <c r="O1902" s="277"/>
      <c r="P1902" s="264"/>
      <c r="Q1902" s="264"/>
      <c r="R1902" s="264"/>
      <c r="S1902" s="264"/>
      <c r="T1902" s="264"/>
      <c r="U1902" s="264"/>
      <c r="V1902" s="264"/>
      <c r="W1902" s="264"/>
      <c r="X1902" s="264"/>
      <c r="Y1902" s="264"/>
      <c r="Z1902" s="264"/>
      <c r="AA1902" s="264"/>
      <c r="AB1902" s="264"/>
      <c r="AC1902" s="264"/>
      <c r="AD1902" s="264"/>
      <c r="AE1902" s="264"/>
    </row>
    <row r="1903">
      <c r="A1903" s="272"/>
      <c r="B1903" s="272"/>
      <c r="C1903" s="272"/>
      <c r="D1903" s="172"/>
      <c r="E1903" s="267" t="str">
        <f t="shared" si="22"/>
        <v/>
      </c>
      <c r="F1903" s="274"/>
      <c r="G1903" s="42"/>
      <c r="H1903" s="264"/>
      <c r="I1903" s="277"/>
      <c r="J1903" s="276" t="str">
        <f>IF(ISBLANK(I1903), "", VLOOKUP(E1903&amp;" "&amp;F1903, 'Info Tipo de Cambio y REM'!$A$24:$B$35, 2, FALSE))
</f>
        <v/>
      </c>
      <c r="K1903" s="107"/>
      <c r="L1903" s="293"/>
      <c r="M1903" s="293"/>
      <c r="N1903" s="293"/>
      <c r="O1903" s="277"/>
      <c r="P1903" s="264"/>
      <c r="Q1903" s="264"/>
      <c r="R1903" s="264"/>
      <c r="S1903" s="264"/>
      <c r="T1903" s="264"/>
      <c r="U1903" s="264"/>
      <c r="V1903" s="264"/>
      <c r="W1903" s="264"/>
      <c r="X1903" s="264"/>
      <c r="Y1903" s="264"/>
      <c r="Z1903" s="264"/>
      <c r="AA1903" s="264"/>
      <c r="AB1903" s="264"/>
      <c r="AC1903" s="264"/>
      <c r="AD1903" s="264"/>
      <c r="AE1903" s="264"/>
    </row>
    <row r="1904">
      <c r="A1904" s="272"/>
      <c r="B1904" s="272"/>
      <c r="C1904" s="272"/>
      <c r="D1904" s="172"/>
      <c r="E1904" s="267" t="str">
        <f t="shared" si="22"/>
        <v/>
      </c>
      <c r="F1904" s="274"/>
      <c r="G1904" s="42"/>
      <c r="H1904" s="264"/>
      <c r="I1904" s="277"/>
      <c r="J1904" s="276" t="str">
        <f>IF(ISBLANK(I1904), "", VLOOKUP(E1904&amp;" "&amp;F1904, 'Info Tipo de Cambio y REM'!$A$24:$B$35, 2, FALSE))
</f>
        <v/>
      </c>
      <c r="K1904" s="107"/>
      <c r="L1904" s="293"/>
      <c r="M1904" s="293"/>
      <c r="N1904" s="293"/>
      <c r="O1904" s="277"/>
      <c r="P1904" s="264"/>
      <c r="Q1904" s="264"/>
      <c r="R1904" s="264"/>
      <c r="S1904" s="264"/>
      <c r="T1904" s="264"/>
      <c r="U1904" s="264"/>
      <c r="V1904" s="264"/>
      <c r="W1904" s="264"/>
      <c r="X1904" s="264"/>
      <c r="Y1904" s="264"/>
      <c r="Z1904" s="264"/>
      <c r="AA1904" s="264"/>
      <c r="AB1904" s="264"/>
      <c r="AC1904" s="264"/>
      <c r="AD1904" s="264"/>
      <c r="AE1904" s="264"/>
    </row>
    <row r="1905">
      <c r="A1905" s="272"/>
      <c r="B1905" s="272"/>
      <c r="C1905" s="272"/>
      <c r="D1905" s="172"/>
      <c r="E1905" s="267" t="str">
        <f t="shared" si="22"/>
        <v/>
      </c>
      <c r="F1905" s="274"/>
      <c r="G1905" s="42"/>
      <c r="H1905" s="264"/>
      <c r="I1905" s="277"/>
      <c r="J1905" s="276" t="str">
        <f>IF(ISBLANK(I1905), "", VLOOKUP(E1905&amp;" "&amp;F1905, 'Info Tipo de Cambio y REM'!$A$24:$B$35, 2, FALSE))
</f>
        <v/>
      </c>
      <c r="K1905" s="107"/>
      <c r="L1905" s="293"/>
      <c r="M1905" s="293"/>
      <c r="N1905" s="293"/>
      <c r="O1905" s="277"/>
      <c r="P1905" s="264"/>
      <c r="Q1905" s="264"/>
      <c r="R1905" s="264"/>
      <c r="S1905" s="264"/>
      <c r="T1905" s="264"/>
      <c r="U1905" s="264"/>
      <c r="V1905" s="264"/>
      <c r="W1905" s="264"/>
      <c r="X1905" s="264"/>
      <c r="Y1905" s="264"/>
      <c r="Z1905" s="264"/>
      <c r="AA1905" s="264"/>
      <c r="AB1905" s="264"/>
      <c r="AC1905" s="264"/>
      <c r="AD1905" s="264"/>
      <c r="AE1905" s="264"/>
    </row>
    <row r="1906">
      <c r="A1906" s="272"/>
      <c r="B1906" s="272"/>
      <c r="C1906" s="272"/>
      <c r="D1906" s="172"/>
      <c r="E1906" s="267" t="str">
        <f t="shared" si="22"/>
        <v/>
      </c>
      <c r="F1906" s="274"/>
      <c r="G1906" s="42"/>
      <c r="H1906" s="264"/>
      <c r="I1906" s="277"/>
      <c r="J1906" s="276" t="str">
        <f>IF(ISBLANK(I1906), "", VLOOKUP(E1906&amp;" "&amp;F1906, 'Info Tipo de Cambio y REM'!$A$24:$B$35, 2, FALSE))
</f>
        <v/>
      </c>
      <c r="K1906" s="107"/>
      <c r="L1906" s="293"/>
      <c r="M1906" s="293"/>
      <c r="N1906" s="293"/>
      <c r="O1906" s="277"/>
      <c r="P1906" s="264"/>
      <c r="Q1906" s="264"/>
      <c r="R1906" s="264"/>
      <c r="S1906" s="264"/>
      <c r="T1906" s="264"/>
      <c r="U1906" s="264"/>
      <c r="V1906" s="264"/>
      <c r="W1906" s="264"/>
      <c r="X1906" s="264"/>
      <c r="Y1906" s="264"/>
      <c r="Z1906" s="264"/>
      <c r="AA1906" s="264"/>
      <c r="AB1906" s="264"/>
      <c r="AC1906" s="264"/>
      <c r="AD1906" s="264"/>
      <c r="AE1906" s="264"/>
    </row>
    <row r="1907">
      <c r="A1907" s="272"/>
      <c r="B1907" s="272"/>
      <c r="C1907" s="272"/>
      <c r="D1907" s="172"/>
      <c r="E1907" s="267" t="str">
        <f t="shared" si="22"/>
        <v/>
      </c>
      <c r="F1907" s="274"/>
      <c r="G1907" s="42"/>
      <c r="H1907" s="264"/>
      <c r="I1907" s="277"/>
      <c r="J1907" s="276" t="str">
        <f>IF(ISBLANK(I1907), "", VLOOKUP(E1907&amp;" "&amp;F1907, 'Info Tipo de Cambio y REM'!$A$24:$B$35, 2, FALSE))
</f>
        <v/>
      </c>
      <c r="K1907" s="107"/>
      <c r="L1907" s="293"/>
      <c r="M1907" s="293"/>
      <c r="N1907" s="293"/>
      <c r="O1907" s="277"/>
      <c r="P1907" s="264"/>
      <c r="Q1907" s="264"/>
      <c r="R1907" s="264"/>
      <c r="S1907" s="264"/>
      <c r="T1907" s="264"/>
      <c r="U1907" s="264"/>
      <c r="V1907" s="264"/>
      <c r="W1907" s="264"/>
      <c r="X1907" s="264"/>
      <c r="Y1907" s="264"/>
      <c r="Z1907" s="264"/>
      <c r="AA1907" s="264"/>
      <c r="AB1907" s="264"/>
      <c r="AC1907" s="264"/>
      <c r="AD1907" s="264"/>
      <c r="AE1907" s="264"/>
    </row>
    <row r="1908">
      <c r="A1908" s="272"/>
      <c r="B1908" s="272"/>
      <c r="C1908" s="272"/>
      <c r="D1908" s="172"/>
      <c r="E1908" s="267" t="str">
        <f t="shared" si="22"/>
        <v/>
      </c>
      <c r="F1908" s="274"/>
      <c r="G1908" s="42"/>
      <c r="H1908" s="264"/>
      <c r="I1908" s="277"/>
      <c r="J1908" s="276" t="str">
        <f>IF(ISBLANK(I1908), "", VLOOKUP(E1908&amp;" "&amp;F1908, 'Info Tipo de Cambio y REM'!$A$24:$B$35, 2, FALSE))
</f>
        <v/>
      </c>
      <c r="K1908" s="107"/>
      <c r="L1908" s="293"/>
      <c r="M1908" s="293"/>
      <c r="N1908" s="293"/>
      <c r="O1908" s="277"/>
      <c r="P1908" s="264"/>
      <c r="Q1908" s="264"/>
      <c r="R1908" s="264"/>
      <c r="S1908" s="264"/>
      <c r="T1908" s="264"/>
      <c r="U1908" s="264"/>
      <c r="V1908" s="264"/>
      <c r="W1908" s="264"/>
      <c r="X1908" s="264"/>
      <c r="Y1908" s="264"/>
      <c r="Z1908" s="264"/>
      <c r="AA1908" s="264"/>
      <c r="AB1908" s="264"/>
      <c r="AC1908" s="264"/>
      <c r="AD1908" s="264"/>
      <c r="AE1908" s="264"/>
    </row>
    <row r="1909">
      <c r="A1909" s="272"/>
      <c r="B1909" s="272"/>
      <c r="C1909" s="272"/>
      <c r="D1909" s="172"/>
      <c r="E1909" s="267" t="str">
        <f t="shared" si="22"/>
        <v/>
      </c>
      <c r="F1909" s="274"/>
      <c r="G1909" s="42"/>
      <c r="H1909" s="264"/>
      <c r="I1909" s="277"/>
      <c r="J1909" s="276" t="str">
        <f>IF(ISBLANK(I1909), "", VLOOKUP(E1909&amp;" "&amp;F1909, 'Info Tipo de Cambio y REM'!$A$24:$B$35, 2, FALSE))
</f>
        <v/>
      </c>
      <c r="K1909" s="107"/>
      <c r="L1909" s="293"/>
      <c r="M1909" s="293"/>
      <c r="N1909" s="293"/>
      <c r="O1909" s="277"/>
      <c r="P1909" s="264"/>
      <c r="Q1909" s="264"/>
      <c r="R1909" s="264"/>
      <c r="S1909" s="264"/>
      <c r="T1909" s="264"/>
      <c r="U1909" s="264"/>
      <c r="V1909" s="264"/>
      <c r="W1909" s="264"/>
      <c r="X1909" s="264"/>
      <c r="Y1909" s="264"/>
      <c r="Z1909" s="264"/>
      <c r="AA1909" s="264"/>
      <c r="AB1909" s="264"/>
      <c r="AC1909" s="264"/>
      <c r="AD1909" s="264"/>
      <c r="AE1909" s="264"/>
    </row>
    <row r="1910">
      <c r="A1910" s="272"/>
      <c r="B1910" s="272"/>
      <c r="C1910" s="272"/>
      <c r="D1910" s="172"/>
      <c r="E1910" s="267" t="str">
        <f t="shared" si="22"/>
        <v/>
      </c>
      <c r="F1910" s="274"/>
      <c r="G1910" s="42"/>
      <c r="H1910" s="264"/>
      <c r="I1910" s="277"/>
      <c r="J1910" s="276" t="str">
        <f>IF(ISBLANK(I1910), "", VLOOKUP(E1910&amp;" "&amp;F1910, 'Info Tipo de Cambio y REM'!$A$24:$B$35, 2, FALSE))
</f>
        <v/>
      </c>
      <c r="K1910" s="107"/>
      <c r="L1910" s="293"/>
      <c r="M1910" s="293"/>
      <c r="N1910" s="293"/>
      <c r="O1910" s="277"/>
      <c r="P1910" s="264"/>
      <c r="Q1910" s="264"/>
      <c r="R1910" s="264"/>
      <c r="S1910" s="264"/>
      <c r="T1910" s="264"/>
      <c r="U1910" s="264"/>
      <c r="V1910" s="264"/>
      <c r="W1910" s="264"/>
      <c r="X1910" s="264"/>
      <c r="Y1910" s="264"/>
      <c r="Z1910" s="264"/>
      <c r="AA1910" s="264"/>
      <c r="AB1910" s="264"/>
      <c r="AC1910" s="264"/>
      <c r="AD1910" s="264"/>
      <c r="AE1910" s="264"/>
    </row>
    <row r="1911">
      <c r="A1911" s="272"/>
      <c r="B1911" s="272"/>
      <c r="C1911" s="272"/>
      <c r="D1911" s="172"/>
      <c r="E1911" s="267" t="str">
        <f t="shared" si="22"/>
        <v/>
      </c>
      <c r="F1911" s="274"/>
      <c r="G1911" s="42"/>
      <c r="H1911" s="264"/>
      <c r="I1911" s="277"/>
      <c r="J1911" s="276" t="str">
        <f>IF(ISBLANK(I1911), "", VLOOKUP(E1911&amp;" "&amp;F1911, 'Info Tipo de Cambio y REM'!$A$24:$B$35, 2, FALSE))
</f>
        <v/>
      </c>
      <c r="K1911" s="107"/>
      <c r="L1911" s="293"/>
      <c r="M1911" s="293"/>
      <c r="N1911" s="293"/>
      <c r="O1911" s="277"/>
      <c r="P1911" s="264"/>
      <c r="Q1911" s="264"/>
      <c r="R1911" s="264"/>
      <c r="S1911" s="264"/>
      <c r="T1911" s="264"/>
      <c r="U1911" s="264"/>
      <c r="V1911" s="264"/>
      <c r="W1911" s="264"/>
      <c r="X1911" s="264"/>
      <c r="Y1911" s="264"/>
      <c r="Z1911" s="264"/>
      <c r="AA1911" s="264"/>
      <c r="AB1911" s="264"/>
      <c r="AC1911" s="264"/>
      <c r="AD1911" s="264"/>
      <c r="AE1911" s="264"/>
    </row>
    <row r="1912">
      <c r="A1912" s="272"/>
      <c r="B1912" s="272"/>
      <c r="C1912" s="272"/>
      <c r="D1912" s="172"/>
      <c r="E1912" s="267" t="str">
        <f t="shared" si="22"/>
        <v/>
      </c>
      <c r="F1912" s="274"/>
      <c r="G1912" s="42"/>
      <c r="H1912" s="264"/>
      <c r="I1912" s="277"/>
      <c r="J1912" s="276" t="str">
        <f>IF(ISBLANK(I1912), "", VLOOKUP(E1912&amp;" "&amp;F1912, 'Info Tipo de Cambio y REM'!$A$24:$B$35, 2, FALSE))
</f>
        <v/>
      </c>
      <c r="K1912" s="107"/>
      <c r="L1912" s="293"/>
      <c r="M1912" s="293"/>
      <c r="N1912" s="293"/>
      <c r="O1912" s="277"/>
      <c r="P1912" s="264"/>
      <c r="Q1912" s="264"/>
      <c r="R1912" s="264"/>
      <c r="S1912" s="264"/>
      <c r="T1912" s="264"/>
      <c r="U1912" s="264"/>
      <c r="V1912" s="264"/>
      <c r="W1912" s="264"/>
      <c r="X1912" s="264"/>
      <c r="Y1912" s="264"/>
      <c r="Z1912" s="264"/>
      <c r="AA1912" s="264"/>
      <c r="AB1912" s="264"/>
      <c r="AC1912" s="264"/>
      <c r="AD1912" s="264"/>
      <c r="AE1912" s="264"/>
    </row>
    <row r="1913">
      <c r="A1913" s="272"/>
      <c r="B1913" s="272"/>
      <c r="C1913" s="272"/>
      <c r="D1913" s="172"/>
      <c r="E1913" s="267" t="str">
        <f t="shared" si="22"/>
        <v/>
      </c>
      <c r="F1913" s="274"/>
      <c r="G1913" s="42"/>
      <c r="H1913" s="264"/>
      <c r="I1913" s="277"/>
      <c r="J1913" s="276" t="str">
        <f>IF(ISBLANK(I1913), "", VLOOKUP(E1913&amp;" "&amp;F1913, 'Info Tipo de Cambio y REM'!$A$24:$B$35, 2, FALSE))
</f>
        <v/>
      </c>
      <c r="K1913" s="107"/>
      <c r="L1913" s="293"/>
      <c r="M1913" s="293"/>
      <c r="N1913" s="293"/>
      <c r="O1913" s="277"/>
      <c r="P1913" s="264"/>
      <c r="Q1913" s="264"/>
      <c r="R1913" s="264"/>
      <c r="S1913" s="264"/>
      <c r="T1913" s="264"/>
      <c r="U1913" s="264"/>
      <c r="V1913" s="264"/>
      <c r="W1913" s="264"/>
      <c r="X1913" s="264"/>
      <c r="Y1913" s="264"/>
      <c r="Z1913" s="264"/>
      <c r="AA1913" s="264"/>
      <c r="AB1913" s="264"/>
      <c r="AC1913" s="264"/>
      <c r="AD1913" s="264"/>
      <c r="AE1913" s="264"/>
    </row>
    <row r="1914">
      <c r="A1914" s="272"/>
      <c r="B1914" s="272"/>
      <c r="C1914" s="272"/>
      <c r="D1914" s="172"/>
      <c r="E1914" s="267" t="str">
        <f t="shared" si="22"/>
        <v/>
      </c>
      <c r="F1914" s="274"/>
      <c r="G1914" s="42"/>
      <c r="H1914" s="264"/>
      <c r="I1914" s="277"/>
      <c r="J1914" s="276" t="str">
        <f>IF(ISBLANK(I1914), "", VLOOKUP(E1914&amp;" "&amp;F1914, 'Info Tipo de Cambio y REM'!$A$24:$B$35, 2, FALSE))
</f>
        <v/>
      </c>
      <c r="K1914" s="107"/>
      <c r="L1914" s="293"/>
      <c r="M1914" s="293"/>
      <c r="N1914" s="293"/>
      <c r="O1914" s="277"/>
      <c r="P1914" s="264"/>
      <c r="Q1914" s="264"/>
      <c r="R1914" s="264"/>
      <c r="S1914" s="264"/>
      <c r="T1914" s="264"/>
      <c r="U1914" s="264"/>
      <c r="V1914" s="264"/>
      <c r="W1914" s="264"/>
      <c r="X1914" s="264"/>
      <c r="Y1914" s="264"/>
      <c r="Z1914" s="264"/>
      <c r="AA1914" s="264"/>
      <c r="AB1914" s="264"/>
      <c r="AC1914" s="264"/>
      <c r="AD1914" s="264"/>
      <c r="AE1914" s="264"/>
    </row>
    <row r="1915">
      <c r="A1915" s="272"/>
      <c r="B1915" s="272"/>
      <c r="C1915" s="272"/>
      <c r="D1915" s="172"/>
      <c r="E1915" s="267" t="str">
        <f t="shared" si="22"/>
        <v/>
      </c>
      <c r="F1915" s="274"/>
      <c r="G1915" s="42"/>
      <c r="H1915" s="264"/>
      <c r="I1915" s="277"/>
      <c r="J1915" s="276" t="str">
        <f>IF(ISBLANK(I1915), "", VLOOKUP(E1915&amp;" "&amp;F1915, 'Info Tipo de Cambio y REM'!$A$24:$B$35, 2, FALSE))
</f>
        <v/>
      </c>
      <c r="K1915" s="107"/>
      <c r="L1915" s="293"/>
      <c r="M1915" s="293"/>
      <c r="N1915" s="293"/>
      <c r="O1915" s="277"/>
      <c r="P1915" s="264"/>
      <c r="Q1915" s="264"/>
      <c r="R1915" s="264"/>
      <c r="S1915" s="264"/>
      <c r="T1915" s="264"/>
      <c r="U1915" s="264"/>
      <c r="V1915" s="264"/>
      <c r="W1915" s="264"/>
      <c r="X1915" s="264"/>
      <c r="Y1915" s="264"/>
      <c r="Z1915" s="264"/>
      <c r="AA1915" s="264"/>
      <c r="AB1915" s="264"/>
      <c r="AC1915" s="264"/>
      <c r="AD1915" s="264"/>
      <c r="AE1915" s="264"/>
    </row>
    <row r="1916">
      <c r="A1916" s="272"/>
      <c r="B1916" s="272"/>
      <c r="C1916" s="272"/>
      <c r="D1916" s="172"/>
      <c r="E1916" s="267" t="str">
        <f t="shared" si="22"/>
        <v/>
      </c>
      <c r="F1916" s="274"/>
      <c r="G1916" s="42"/>
      <c r="H1916" s="264"/>
      <c r="I1916" s="277"/>
      <c r="J1916" s="276" t="str">
        <f>IF(ISBLANK(I1916), "", VLOOKUP(E1916&amp;" "&amp;F1916, 'Info Tipo de Cambio y REM'!$A$24:$B$35, 2, FALSE))
</f>
        <v/>
      </c>
      <c r="K1916" s="107"/>
      <c r="L1916" s="293"/>
      <c r="M1916" s="293"/>
      <c r="N1916" s="293"/>
      <c r="O1916" s="277"/>
      <c r="P1916" s="264"/>
      <c r="Q1916" s="264"/>
      <c r="R1916" s="264"/>
      <c r="S1916" s="264"/>
      <c r="T1916" s="264"/>
      <c r="U1916" s="264"/>
      <c r="V1916" s="264"/>
      <c r="W1916" s="264"/>
      <c r="X1916" s="264"/>
      <c r="Y1916" s="264"/>
      <c r="Z1916" s="264"/>
      <c r="AA1916" s="264"/>
      <c r="AB1916" s="264"/>
      <c r="AC1916" s="264"/>
      <c r="AD1916" s="264"/>
      <c r="AE1916" s="264"/>
    </row>
    <row r="1917">
      <c r="A1917" s="272"/>
      <c r="B1917" s="272"/>
      <c r="C1917" s="272"/>
      <c r="D1917" s="172"/>
      <c r="E1917" s="267" t="str">
        <f t="shared" si="22"/>
        <v/>
      </c>
      <c r="F1917" s="274"/>
      <c r="G1917" s="42"/>
      <c r="H1917" s="264"/>
      <c r="I1917" s="277"/>
      <c r="J1917" s="276" t="str">
        <f>IF(ISBLANK(I1917), "", VLOOKUP(E1917&amp;" "&amp;F1917, 'Info Tipo de Cambio y REM'!$A$24:$B$35, 2, FALSE))
</f>
        <v/>
      </c>
      <c r="K1917" s="107"/>
      <c r="L1917" s="293"/>
      <c r="M1917" s="293"/>
      <c r="N1917" s="293"/>
      <c r="O1917" s="277"/>
      <c r="P1917" s="264"/>
      <c r="Q1917" s="264"/>
      <c r="R1917" s="264"/>
      <c r="S1917" s="264"/>
      <c r="T1917" s="264"/>
      <c r="U1917" s="264"/>
      <c r="V1917" s="264"/>
      <c r="W1917" s="264"/>
      <c r="X1917" s="264"/>
      <c r="Y1917" s="264"/>
      <c r="Z1917" s="264"/>
      <c r="AA1917" s="264"/>
      <c r="AB1917" s="264"/>
      <c r="AC1917" s="264"/>
      <c r="AD1917" s="264"/>
      <c r="AE1917" s="264"/>
    </row>
    <row r="1918">
      <c r="A1918" s="272"/>
      <c r="B1918" s="272"/>
      <c r="C1918" s="272"/>
      <c r="D1918" s="172"/>
      <c r="E1918" s="267" t="str">
        <f t="shared" si="22"/>
        <v/>
      </c>
      <c r="F1918" s="274"/>
      <c r="G1918" s="42"/>
      <c r="H1918" s="264"/>
      <c r="I1918" s="277"/>
      <c r="J1918" s="276" t="str">
        <f>IF(ISBLANK(I1918), "", VLOOKUP(E1918&amp;" "&amp;F1918, 'Info Tipo de Cambio y REM'!$A$24:$B$35, 2, FALSE))
</f>
        <v/>
      </c>
      <c r="K1918" s="107"/>
      <c r="L1918" s="293"/>
      <c r="M1918" s="293"/>
      <c r="N1918" s="293"/>
      <c r="O1918" s="277"/>
      <c r="P1918" s="264"/>
      <c r="Q1918" s="264"/>
      <c r="R1918" s="264"/>
      <c r="S1918" s="264"/>
      <c r="T1918" s="264"/>
      <c r="U1918" s="264"/>
      <c r="V1918" s="264"/>
      <c r="W1918" s="264"/>
      <c r="X1918" s="264"/>
      <c r="Y1918" s="264"/>
      <c r="Z1918" s="264"/>
      <c r="AA1918" s="264"/>
      <c r="AB1918" s="264"/>
      <c r="AC1918" s="264"/>
      <c r="AD1918" s="264"/>
      <c r="AE1918" s="264"/>
    </row>
    <row r="1919">
      <c r="A1919" s="272"/>
      <c r="B1919" s="272"/>
      <c r="C1919" s="272"/>
      <c r="D1919" s="172"/>
      <c r="E1919" s="267" t="str">
        <f t="shared" si="22"/>
        <v/>
      </c>
      <c r="F1919" s="274"/>
      <c r="G1919" s="42"/>
      <c r="H1919" s="264"/>
      <c r="I1919" s="277"/>
      <c r="J1919" s="276" t="str">
        <f>IF(ISBLANK(I1919), "", VLOOKUP(E1919&amp;" "&amp;F1919, 'Info Tipo de Cambio y REM'!$A$24:$B$35, 2, FALSE))
</f>
        <v/>
      </c>
      <c r="K1919" s="107"/>
      <c r="L1919" s="293"/>
      <c r="M1919" s="293"/>
      <c r="N1919" s="293"/>
      <c r="O1919" s="277"/>
      <c r="P1919" s="264"/>
      <c r="Q1919" s="264"/>
      <c r="R1919" s="264"/>
      <c r="S1919" s="264"/>
      <c r="T1919" s="264"/>
      <c r="U1919" s="264"/>
      <c r="V1919" s="264"/>
      <c r="W1919" s="264"/>
      <c r="X1919" s="264"/>
      <c r="Y1919" s="264"/>
      <c r="Z1919" s="264"/>
      <c r="AA1919" s="264"/>
      <c r="AB1919" s="264"/>
      <c r="AC1919" s="264"/>
      <c r="AD1919" s="264"/>
      <c r="AE1919" s="264"/>
    </row>
    <row r="1920">
      <c r="A1920" s="272"/>
      <c r="B1920" s="272"/>
      <c r="C1920" s="272"/>
      <c r="D1920" s="172"/>
      <c r="E1920" s="267" t="str">
        <f t="shared" si="22"/>
        <v/>
      </c>
      <c r="F1920" s="274"/>
      <c r="G1920" s="42"/>
      <c r="H1920" s="264"/>
      <c r="I1920" s="277"/>
      <c r="J1920" s="276" t="str">
        <f>IF(ISBLANK(I1920), "", VLOOKUP(E1920&amp;" "&amp;F1920, 'Info Tipo de Cambio y REM'!$A$24:$B$35, 2, FALSE))
</f>
        <v/>
      </c>
      <c r="K1920" s="107"/>
      <c r="L1920" s="293"/>
      <c r="M1920" s="293"/>
      <c r="N1920" s="293"/>
      <c r="O1920" s="277"/>
      <c r="P1920" s="264"/>
      <c r="Q1920" s="264"/>
      <c r="R1920" s="264"/>
      <c r="S1920" s="264"/>
      <c r="T1920" s="264"/>
      <c r="U1920" s="264"/>
      <c r="V1920" s="264"/>
      <c r="W1920" s="264"/>
      <c r="X1920" s="264"/>
      <c r="Y1920" s="264"/>
      <c r="Z1920" s="264"/>
      <c r="AA1920" s="264"/>
      <c r="AB1920" s="264"/>
      <c r="AC1920" s="264"/>
      <c r="AD1920" s="264"/>
      <c r="AE1920" s="264"/>
    </row>
    <row r="1921">
      <c r="A1921" s="272"/>
      <c r="B1921" s="272"/>
      <c r="C1921" s="272"/>
      <c r="D1921" s="172"/>
      <c r="E1921" s="267" t="str">
        <f t="shared" si="22"/>
        <v/>
      </c>
      <c r="F1921" s="274"/>
      <c r="G1921" s="42"/>
      <c r="H1921" s="264"/>
      <c r="I1921" s="277"/>
      <c r="J1921" s="276" t="str">
        <f>IF(ISBLANK(I1921), "", VLOOKUP(E1921&amp;" "&amp;F1921, 'Info Tipo de Cambio y REM'!$A$24:$B$35, 2, FALSE))
</f>
        <v/>
      </c>
      <c r="K1921" s="107"/>
      <c r="L1921" s="293"/>
      <c r="M1921" s="293"/>
      <c r="N1921" s="293"/>
      <c r="O1921" s="277"/>
      <c r="P1921" s="264"/>
      <c r="Q1921" s="264"/>
      <c r="R1921" s="264"/>
      <c r="S1921" s="264"/>
      <c r="T1921" s="264"/>
      <c r="U1921" s="264"/>
      <c r="V1921" s="264"/>
      <c r="W1921" s="264"/>
      <c r="X1921" s="264"/>
      <c r="Y1921" s="264"/>
      <c r="Z1921" s="264"/>
      <c r="AA1921" s="264"/>
      <c r="AB1921" s="264"/>
      <c r="AC1921" s="264"/>
      <c r="AD1921" s="264"/>
      <c r="AE1921" s="264"/>
    </row>
    <row r="1922">
      <c r="A1922" s="272"/>
      <c r="B1922" s="272"/>
      <c r="C1922" s="272"/>
      <c r="D1922" s="172"/>
      <c r="E1922" s="267" t="str">
        <f t="shared" si="22"/>
        <v/>
      </c>
      <c r="F1922" s="274"/>
      <c r="G1922" s="42"/>
      <c r="H1922" s="264"/>
      <c r="I1922" s="277"/>
      <c r="J1922" s="276" t="str">
        <f>IF(ISBLANK(I1922), "", VLOOKUP(E1922&amp;" "&amp;F1922, 'Info Tipo de Cambio y REM'!$A$24:$B$35, 2, FALSE))
</f>
        <v/>
      </c>
      <c r="K1922" s="107"/>
      <c r="L1922" s="293"/>
      <c r="M1922" s="293"/>
      <c r="N1922" s="293"/>
      <c r="O1922" s="277"/>
      <c r="P1922" s="264"/>
      <c r="Q1922" s="264"/>
      <c r="R1922" s="264"/>
      <c r="S1922" s="264"/>
      <c r="T1922" s="264"/>
      <c r="U1922" s="264"/>
      <c r="V1922" s="264"/>
      <c r="W1922" s="264"/>
      <c r="X1922" s="264"/>
      <c r="Y1922" s="264"/>
      <c r="Z1922" s="264"/>
      <c r="AA1922" s="264"/>
      <c r="AB1922" s="264"/>
      <c r="AC1922" s="264"/>
      <c r="AD1922" s="264"/>
      <c r="AE1922" s="264"/>
    </row>
    <row r="1923">
      <c r="A1923" s="272"/>
      <c r="B1923" s="272"/>
      <c r="C1923" s="272"/>
      <c r="D1923" s="172"/>
      <c r="E1923" s="267" t="str">
        <f t="shared" si="22"/>
        <v/>
      </c>
      <c r="F1923" s="274"/>
      <c r="G1923" s="42"/>
      <c r="H1923" s="264"/>
      <c r="I1923" s="277"/>
      <c r="J1923" s="276" t="str">
        <f>IF(ISBLANK(I1923), "", VLOOKUP(E1923&amp;" "&amp;F1923, 'Info Tipo de Cambio y REM'!$A$24:$B$35, 2, FALSE))
</f>
        <v/>
      </c>
      <c r="K1923" s="107"/>
      <c r="L1923" s="293"/>
      <c r="M1923" s="293"/>
      <c r="N1923" s="293"/>
      <c r="O1923" s="277"/>
      <c r="P1923" s="264"/>
      <c r="Q1923" s="264"/>
      <c r="R1923" s="264"/>
      <c r="S1923" s="264"/>
      <c r="T1923" s="264"/>
      <c r="U1923" s="264"/>
      <c r="V1923" s="264"/>
      <c r="W1923" s="264"/>
      <c r="X1923" s="264"/>
      <c r="Y1923" s="264"/>
      <c r="Z1923" s="264"/>
      <c r="AA1923" s="264"/>
      <c r="AB1923" s="264"/>
      <c r="AC1923" s="264"/>
      <c r="AD1923" s="264"/>
      <c r="AE1923" s="264"/>
    </row>
    <row r="1924">
      <c r="A1924" s="272"/>
      <c r="B1924" s="272"/>
      <c r="C1924" s="272"/>
      <c r="D1924" s="172"/>
      <c r="E1924" s="267" t="str">
        <f t="shared" si="22"/>
        <v/>
      </c>
      <c r="F1924" s="274"/>
      <c r="G1924" s="42"/>
      <c r="H1924" s="264"/>
      <c r="I1924" s="277"/>
      <c r="J1924" s="276" t="str">
        <f>IF(ISBLANK(I1924), "", VLOOKUP(E1924&amp;" "&amp;F1924, 'Info Tipo de Cambio y REM'!$A$24:$B$35, 2, FALSE))
</f>
        <v/>
      </c>
      <c r="K1924" s="107"/>
      <c r="L1924" s="293"/>
      <c r="M1924" s="293"/>
      <c r="N1924" s="293"/>
      <c r="O1924" s="277"/>
      <c r="P1924" s="264"/>
      <c r="Q1924" s="264"/>
      <c r="R1924" s="264"/>
      <c r="S1924" s="264"/>
      <c r="T1924" s="264"/>
      <c r="U1924" s="264"/>
      <c r="V1924" s="264"/>
      <c r="W1924" s="264"/>
      <c r="X1924" s="264"/>
      <c r="Y1924" s="264"/>
      <c r="Z1924" s="264"/>
      <c r="AA1924" s="264"/>
      <c r="AB1924" s="264"/>
      <c r="AC1924" s="264"/>
      <c r="AD1924" s="264"/>
      <c r="AE1924" s="264"/>
    </row>
    <row r="1925">
      <c r="A1925" s="272"/>
      <c r="B1925" s="272"/>
      <c r="C1925" s="272"/>
      <c r="D1925" s="172"/>
      <c r="E1925" s="267" t="str">
        <f t="shared" si="22"/>
        <v/>
      </c>
      <c r="F1925" s="274"/>
      <c r="G1925" s="42"/>
      <c r="H1925" s="264"/>
      <c r="I1925" s="277"/>
      <c r="J1925" s="276" t="str">
        <f>IF(ISBLANK(I1925), "", VLOOKUP(E1925&amp;" "&amp;F1925, 'Info Tipo de Cambio y REM'!$A$24:$B$35, 2, FALSE))
</f>
        <v/>
      </c>
      <c r="K1925" s="107"/>
      <c r="L1925" s="293"/>
      <c r="M1925" s="293"/>
      <c r="N1925" s="293"/>
      <c r="O1925" s="277"/>
      <c r="P1925" s="264"/>
      <c r="Q1925" s="264"/>
      <c r="R1925" s="264"/>
      <c r="S1925" s="264"/>
      <c r="T1925" s="264"/>
      <c r="U1925" s="264"/>
      <c r="V1925" s="264"/>
      <c r="W1925" s="264"/>
      <c r="X1925" s="264"/>
      <c r="Y1925" s="264"/>
      <c r="Z1925" s="264"/>
      <c r="AA1925" s="264"/>
      <c r="AB1925" s="264"/>
      <c r="AC1925" s="264"/>
      <c r="AD1925" s="264"/>
      <c r="AE1925" s="264"/>
    </row>
    <row r="1926">
      <c r="A1926" s="272"/>
      <c r="B1926" s="272"/>
      <c r="C1926" s="272"/>
      <c r="D1926" s="172"/>
      <c r="E1926" s="267" t="str">
        <f t="shared" si="22"/>
        <v/>
      </c>
      <c r="F1926" s="274"/>
      <c r="G1926" s="42"/>
      <c r="H1926" s="264"/>
      <c r="I1926" s="277"/>
      <c r="J1926" s="276" t="str">
        <f>IF(ISBLANK(I1926), "", VLOOKUP(E1926&amp;" "&amp;F1926, 'Info Tipo de Cambio y REM'!$A$24:$B$35, 2, FALSE))
</f>
        <v/>
      </c>
      <c r="K1926" s="107"/>
      <c r="L1926" s="293"/>
      <c r="M1926" s="293"/>
      <c r="N1926" s="293"/>
      <c r="O1926" s="277"/>
      <c r="P1926" s="264"/>
      <c r="Q1926" s="264"/>
      <c r="R1926" s="264"/>
      <c r="S1926" s="264"/>
      <c r="T1926" s="264"/>
      <c r="U1926" s="264"/>
      <c r="V1926" s="264"/>
      <c r="W1926" s="264"/>
      <c r="X1926" s="264"/>
      <c r="Y1926" s="264"/>
      <c r="Z1926" s="264"/>
      <c r="AA1926" s="264"/>
      <c r="AB1926" s="264"/>
      <c r="AC1926" s="264"/>
      <c r="AD1926" s="264"/>
      <c r="AE1926" s="264"/>
    </row>
    <row r="1927">
      <c r="A1927" s="272"/>
      <c r="B1927" s="272"/>
      <c r="C1927" s="272"/>
      <c r="D1927" s="172"/>
      <c r="E1927" s="267" t="str">
        <f t="shared" si="22"/>
        <v/>
      </c>
      <c r="F1927" s="274"/>
      <c r="G1927" s="42"/>
      <c r="H1927" s="264"/>
      <c r="I1927" s="277"/>
      <c r="J1927" s="276" t="str">
        <f>IF(ISBLANK(I1927), "", VLOOKUP(E1927&amp;" "&amp;F1927, 'Info Tipo de Cambio y REM'!$A$24:$B$35, 2, FALSE))
</f>
        <v/>
      </c>
      <c r="K1927" s="107"/>
      <c r="L1927" s="293"/>
      <c r="M1927" s="293"/>
      <c r="N1927" s="293"/>
      <c r="O1927" s="277"/>
      <c r="P1927" s="264"/>
      <c r="Q1927" s="264"/>
      <c r="R1927" s="264"/>
      <c r="S1927" s="264"/>
      <c r="T1927" s="264"/>
      <c r="U1927" s="264"/>
      <c r="V1927" s="264"/>
      <c r="W1927" s="264"/>
      <c r="X1927" s="264"/>
      <c r="Y1927" s="264"/>
      <c r="Z1927" s="264"/>
      <c r="AA1927" s="264"/>
      <c r="AB1927" s="264"/>
      <c r="AC1927" s="264"/>
      <c r="AD1927" s="264"/>
      <c r="AE1927" s="264"/>
    </row>
    <row r="1928">
      <c r="A1928" s="272"/>
      <c r="B1928" s="272"/>
      <c r="C1928" s="272"/>
      <c r="D1928" s="172"/>
      <c r="E1928" s="267" t="str">
        <f t="shared" si="22"/>
        <v/>
      </c>
      <c r="F1928" s="274"/>
      <c r="G1928" s="42"/>
      <c r="H1928" s="264"/>
      <c r="I1928" s="277"/>
      <c r="J1928" s="276" t="str">
        <f>IF(ISBLANK(I1928), "", VLOOKUP(E1928&amp;" "&amp;F1928, 'Info Tipo de Cambio y REM'!$A$24:$B$35, 2, FALSE))
</f>
        <v/>
      </c>
      <c r="K1928" s="107"/>
      <c r="L1928" s="293"/>
      <c r="M1928" s="293"/>
      <c r="N1928" s="293"/>
      <c r="O1928" s="277"/>
      <c r="P1928" s="264"/>
      <c r="Q1928" s="264"/>
      <c r="R1928" s="264"/>
      <c r="S1928" s="264"/>
      <c r="T1928" s="264"/>
      <c r="U1928" s="264"/>
      <c r="V1928" s="264"/>
      <c r="W1928" s="264"/>
      <c r="X1928" s="264"/>
      <c r="Y1928" s="264"/>
      <c r="Z1928" s="264"/>
      <c r="AA1928" s="264"/>
      <c r="AB1928" s="264"/>
      <c r="AC1928" s="264"/>
      <c r="AD1928" s="264"/>
      <c r="AE1928" s="264"/>
    </row>
    <row r="1929">
      <c r="A1929" s="272"/>
      <c r="B1929" s="272"/>
      <c r="C1929" s="272"/>
      <c r="D1929" s="172"/>
      <c r="E1929" s="267" t="str">
        <f t="shared" si="22"/>
        <v/>
      </c>
      <c r="F1929" s="274"/>
      <c r="G1929" s="42"/>
      <c r="H1929" s="264"/>
      <c r="I1929" s="277"/>
      <c r="J1929" s="276" t="str">
        <f>IF(ISBLANK(I1929), "", VLOOKUP(E1929&amp;" "&amp;F1929, 'Info Tipo de Cambio y REM'!$A$24:$B$35, 2, FALSE))
</f>
        <v/>
      </c>
      <c r="K1929" s="107"/>
      <c r="L1929" s="293"/>
      <c r="M1929" s="293"/>
      <c r="N1929" s="293"/>
      <c r="O1929" s="277"/>
      <c r="P1929" s="264"/>
      <c r="Q1929" s="264"/>
      <c r="R1929" s="264"/>
      <c r="S1929" s="264"/>
      <c r="T1929" s="264"/>
      <c r="U1929" s="264"/>
      <c r="V1929" s="264"/>
      <c r="W1929" s="264"/>
      <c r="X1929" s="264"/>
      <c r="Y1929" s="264"/>
      <c r="Z1929" s="264"/>
      <c r="AA1929" s="264"/>
      <c r="AB1929" s="264"/>
      <c r="AC1929" s="264"/>
      <c r="AD1929" s="264"/>
      <c r="AE1929" s="264"/>
    </row>
    <row r="1930">
      <c r="A1930" s="272"/>
      <c r="B1930" s="272"/>
      <c r="C1930" s="272"/>
      <c r="D1930" s="172"/>
      <c r="E1930" s="267" t="str">
        <f t="shared" si="22"/>
        <v/>
      </c>
      <c r="F1930" s="274"/>
      <c r="G1930" s="42"/>
      <c r="H1930" s="264"/>
      <c r="I1930" s="277"/>
      <c r="J1930" s="276" t="str">
        <f>IF(ISBLANK(I1930), "", VLOOKUP(E1930&amp;" "&amp;F1930, 'Info Tipo de Cambio y REM'!$A$24:$B$35, 2, FALSE))
</f>
        <v/>
      </c>
      <c r="K1930" s="107"/>
      <c r="L1930" s="293"/>
      <c r="M1930" s="293"/>
      <c r="N1930" s="293"/>
      <c r="O1930" s="277"/>
      <c r="P1930" s="264"/>
      <c r="Q1930" s="264"/>
      <c r="R1930" s="264"/>
      <c r="S1930" s="264"/>
      <c r="T1930" s="264"/>
      <c r="U1930" s="264"/>
      <c r="V1930" s="264"/>
      <c r="W1930" s="264"/>
      <c r="X1930" s="264"/>
      <c r="Y1930" s="264"/>
      <c r="Z1930" s="264"/>
      <c r="AA1930" s="264"/>
      <c r="AB1930" s="264"/>
      <c r="AC1930" s="264"/>
      <c r="AD1930" s="264"/>
      <c r="AE1930" s="264"/>
    </row>
    <row r="1931">
      <c r="A1931" s="272"/>
      <c r="B1931" s="272"/>
      <c r="C1931" s="272"/>
      <c r="D1931" s="172"/>
      <c r="E1931" s="267" t="str">
        <f t="shared" si="22"/>
        <v/>
      </c>
      <c r="F1931" s="274"/>
      <c r="G1931" s="42"/>
      <c r="H1931" s="264"/>
      <c r="I1931" s="277"/>
      <c r="J1931" s="276" t="str">
        <f>IF(ISBLANK(I1931), "", VLOOKUP(E1931&amp;" "&amp;F1931, 'Info Tipo de Cambio y REM'!$A$24:$B$35, 2, FALSE))
</f>
        <v/>
      </c>
      <c r="K1931" s="107"/>
      <c r="L1931" s="293"/>
      <c r="M1931" s="293"/>
      <c r="N1931" s="293"/>
      <c r="O1931" s="277"/>
      <c r="P1931" s="264"/>
      <c r="Q1931" s="264"/>
      <c r="R1931" s="264"/>
      <c r="S1931" s="264"/>
      <c r="T1931" s="264"/>
      <c r="U1931" s="264"/>
      <c r="V1931" s="264"/>
      <c r="W1931" s="264"/>
      <c r="X1931" s="264"/>
      <c r="Y1931" s="264"/>
      <c r="Z1931" s="264"/>
      <c r="AA1931" s="264"/>
      <c r="AB1931" s="264"/>
      <c r="AC1931" s="264"/>
      <c r="AD1931" s="264"/>
      <c r="AE1931" s="264"/>
    </row>
    <row r="1932">
      <c r="A1932" s="272"/>
      <c r="B1932" s="272"/>
      <c r="C1932" s="272"/>
      <c r="D1932" s="172"/>
      <c r="E1932" s="267" t="str">
        <f t="shared" si="22"/>
        <v/>
      </c>
      <c r="F1932" s="274"/>
      <c r="G1932" s="42"/>
      <c r="H1932" s="264"/>
      <c r="I1932" s="277"/>
      <c r="J1932" s="276" t="str">
        <f>IF(ISBLANK(I1932), "", VLOOKUP(E1932&amp;" "&amp;F1932, 'Info Tipo de Cambio y REM'!$A$24:$B$35, 2, FALSE))
</f>
        <v/>
      </c>
      <c r="K1932" s="107"/>
      <c r="L1932" s="293"/>
      <c r="M1932" s="293"/>
      <c r="N1932" s="293"/>
      <c r="O1932" s="277"/>
      <c r="P1932" s="264"/>
      <c r="Q1932" s="264"/>
      <c r="R1932" s="264"/>
      <c r="S1932" s="264"/>
      <c r="T1932" s="264"/>
      <c r="U1932" s="264"/>
      <c r="V1932" s="264"/>
      <c r="W1932" s="264"/>
      <c r="X1932" s="264"/>
      <c r="Y1932" s="264"/>
      <c r="Z1932" s="264"/>
      <c r="AA1932" s="264"/>
      <c r="AB1932" s="264"/>
      <c r="AC1932" s="264"/>
      <c r="AD1932" s="264"/>
      <c r="AE1932" s="264"/>
    </row>
    <row r="1933">
      <c r="A1933" s="272"/>
      <c r="B1933" s="272"/>
      <c r="C1933" s="272"/>
      <c r="D1933" s="172"/>
      <c r="E1933" s="267" t="str">
        <f t="shared" si="22"/>
        <v/>
      </c>
      <c r="F1933" s="274"/>
      <c r="G1933" s="42"/>
      <c r="H1933" s="264"/>
      <c r="I1933" s="277"/>
      <c r="J1933" s="276" t="str">
        <f>IF(ISBLANK(I1933), "", VLOOKUP(E1933&amp;" "&amp;F1933, 'Info Tipo de Cambio y REM'!$A$24:$B$35, 2, FALSE))
</f>
        <v/>
      </c>
      <c r="K1933" s="107"/>
      <c r="L1933" s="293"/>
      <c r="M1933" s="293"/>
      <c r="N1933" s="293"/>
      <c r="O1933" s="277"/>
      <c r="P1933" s="264"/>
      <c r="Q1933" s="264"/>
      <c r="R1933" s="264"/>
      <c r="S1933" s="264"/>
      <c r="T1933" s="264"/>
      <c r="U1933" s="264"/>
      <c r="V1933" s="264"/>
      <c r="W1933" s="264"/>
      <c r="X1933" s="264"/>
      <c r="Y1933" s="264"/>
      <c r="Z1933" s="264"/>
      <c r="AA1933" s="264"/>
      <c r="AB1933" s="264"/>
      <c r="AC1933" s="264"/>
      <c r="AD1933" s="264"/>
      <c r="AE1933" s="264"/>
    </row>
    <row r="1934">
      <c r="A1934" s="272"/>
      <c r="B1934" s="272"/>
      <c r="C1934" s="272"/>
      <c r="D1934" s="172"/>
      <c r="E1934" s="267" t="str">
        <f t="shared" si="22"/>
        <v/>
      </c>
      <c r="F1934" s="274"/>
      <c r="G1934" s="42"/>
      <c r="H1934" s="264"/>
      <c r="I1934" s="277"/>
      <c r="J1934" s="276" t="str">
        <f>IF(ISBLANK(I1934), "", VLOOKUP(E1934&amp;" "&amp;F1934, 'Info Tipo de Cambio y REM'!$A$24:$B$35, 2, FALSE))
</f>
        <v/>
      </c>
      <c r="K1934" s="107"/>
      <c r="L1934" s="293"/>
      <c r="M1934" s="293"/>
      <c r="N1934" s="293"/>
      <c r="O1934" s="277"/>
      <c r="P1934" s="264"/>
      <c r="Q1934" s="264"/>
      <c r="R1934" s="264"/>
      <c r="S1934" s="264"/>
      <c r="T1934" s="264"/>
      <c r="U1934" s="264"/>
      <c r="V1934" s="264"/>
      <c r="W1934" s="264"/>
      <c r="X1934" s="264"/>
      <c r="Y1934" s="264"/>
      <c r="Z1934" s="264"/>
      <c r="AA1934" s="264"/>
      <c r="AB1934" s="264"/>
      <c r="AC1934" s="264"/>
      <c r="AD1934" s="264"/>
      <c r="AE1934" s="264"/>
    </row>
    <row r="1935">
      <c r="A1935" s="272"/>
      <c r="B1935" s="272"/>
      <c r="C1935" s="272"/>
      <c r="D1935" s="172"/>
      <c r="E1935" s="267" t="str">
        <f t="shared" si="22"/>
        <v/>
      </c>
      <c r="F1935" s="274"/>
      <c r="G1935" s="42"/>
      <c r="H1935" s="264"/>
      <c r="I1935" s="277"/>
      <c r="J1935" s="276" t="str">
        <f>IF(ISBLANK(I1935), "", VLOOKUP(E1935&amp;" "&amp;F1935, 'Info Tipo de Cambio y REM'!$A$24:$B$35, 2, FALSE))
</f>
        <v/>
      </c>
      <c r="K1935" s="107"/>
      <c r="L1935" s="293"/>
      <c r="M1935" s="293"/>
      <c r="N1935" s="293"/>
      <c r="O1935" s="277"/>
      <c r="P1935" s="264"/>
      <c r="Q1935" s="264"/>
      <c r="R1935" s="264"/>
      <c r="S1935" s="264"/>
      <c r="T1935" s="264"/>
      <c r="U1935" s="264"/>
      <c r="V1935" s="264"/>
      <c r="W1935" s="264"/>
      <c r="X1935" s="264"/>
      <c r="Y1935" s="264"/>
      <c r="Z1935" s="264"/>
      <c r="AA1935" s="264"/>
      <c r="AB1935" s="264"/>
      <c r="AC1935" s="264"/>
      <c r="AD1935" s="264"/>
      <c r="AE1935" s="264"/>
    </row>
    <row r="1936">
      <c r="A1936" s="272"/>
      <c r="B1936" s="272"/>
      <c r="C1936" s="272"/>
      <c r="D1936" s="172"/>
      <c r="E1936" s="267" t="str">
        <f t="shared" si="22"/>
        <v/>
      </c>
      <c r="F1936" s="274"/>
      <c r="G1936" s="42"/>
      <c r="H1936" s="264"/>
      <c r="I1936" s="277"/>
      <c r="J1936" s="276" t="str">
        <f>IF(ISBLANK(I1936), "", VLOOKUP(E1936&amp;" "&amp;F1936, 'Info Tipo de Cambio y REM'!$A$24:$B$35, 2, FALSE))
</f>
        <v/>
      </c>
      <c r="K1936" s="107"/>
      <c r="L1936" s="293"/>
      <c r="M1936" s="293"/>
      <c r="N1936" s="293"/>
      <c r="O1936" s="277"/>
      <c r="P1936" s="264"/>
      <c r="Q1936" s="264"/>
      <c r="R1936" s="264"/>
      <c r="S1936" s="264"/>
      <c r="T1936" s="264"/>
      <c r="U1936" s="264"/>
      <c r="V1936" s="264"/>
      <c r="W1936" s="264"/>
      <c r="X1936" s="264"/>
      <c r="Y1936" s="264"/>
      <c r="Z1936" s="264"/>
      <c r="AA1936" s="264"/>
      <c r="AB1936" s="264"/>
      <c r="AC1936" s="264"/>
      <c r="AD1936" s="264"/>
      <c r="AE1936" s="264"/>
    </row>
    <row r="1937">
      <c r="A1937" s="272"/>
      <c r="B1937" s="272"/>
      <c r="C1937" s="272"/>
      <c r="D1937" s="172"/>
      <c r="E1937" s="267" t="str">
        <f t="shared" si="22"/>
        <v/>
      </c>
      <c r="F1937" s="274"/>
      <c r="G1937" s="42"/>
      <c r="H1937" s="264"/>
      <c r="I1937" s="277"/>
      <c r="J1937" s="276" t="str">
        <f>IF(ISBLANK(I1937), "", VLOOKUP(E1937&amp;" "&amp;F1937, 'Info Tipo de Cambio y REM'!$A$24:$B$35, 2, FALSE))
</f>
        <v/>
      </c>
      <c r="K1937" s="107"/>
      <c r="L1937" s="293"/>
      <c r="M1937" s="293"/>
      <c r="N1937" s="293"/>
      <c r="O1937" s="277"/>
      <c r="P1937" s="264"/>
      <c r="Q1937" s="264"/>
      <c r="R1937" s="264"/>
      <c r="S1937" s="264"/>
      <c r="T1937" s="264"/>
      <c r="U1937" s="264"/>
      <c r="V1937" s="264"/>
      <c r="W1937" s="264"/>
      <c r="X1937" s="264"/>
      <c r="Y1937" s="264"/>
      <c r="Z1937" s="264"/>
      <c r="AA1937" s="264"/>
      <c r="AB1937" s="264"/>
      <c r="AC1937" s="264"/>
      <c r="AD1937" s="264"/>
      <c r="AE1937" s="264"/>
    </row>
    <row r="1938">
      <c r="A1938" s="272"/>
      <c r="B1938" s="272"/>
      <c r="C1938" s="272"/>
      <c r="D1938" s="172"/>
      <c r="E1938" s="267" t="str">
        <f t="shared" si="22"/>
        <v/>
      </c>
      <c r="F1938" s="274"/>
      <c r="G1938" s="42"/>
      <c r="H1938" s="264"/>
      <c r="I1938" s="277"/>
      <c r="J1938" s="276" t="str">
        <f>IF(ISBLANK(I1938), "", VLOOKUP(E1938&amp;" "&amp;F1938, 'Info Tipo de Cambio y REM'!$A$24:$B$35, 2, FALSE))
</f>
        <v/>
      </c>
      <c r="K1938" s="107"/>
      <c r="L1938" s="293"/>
      <c r="M1938" s="293"/>
      <c r="N1938" s="293"/>
      <c r="O1938" s="277"/>
      <c r="P1938" s="264"/>
      <c r="Q1938" s="264"/>
      <c r="R1938" s="264"/>
      <c r="S1938" s="264"/>
      <c r="T1938" s="264"/>
      <c r="U1938" s="264"/>
      <c r="V1938" s="264"/>
      <c r="W1938" s="264"/>
      <c r="X1938" s="264"/>
      <c r="Y1938" s="264"/>
      <c r="Z1938" s="264"/>
      <c r="AA1938" s="264"/>
      <c r="AB1938" s="264"/>
      <c r="AC1938" s="264"/>
      <c r="AD1938" s="264"/>
      <c r="AE1938" s="264"/>
    </row>
    <row r="1939">
      <c r="A1939" s="272"/>
      <c r="B1939" s="272"/>
      <c r="C1939" s="272"/>
      <c r="D1939" s="172"/>
      <c r="E1939" s="267" t="str">
        <f t="shared" si="22"/>
        <v/>
      </c>
      <c r="F1939" s="274"/>
      <c r="G1939" s="42"/>
      <c r="H1939" s="264"/>
      <c r="I1939" s="277"/>
      <c r="J1939" s="276" t="str">
        <f>IF(ISBLANK(I1939), "", VLOOKUP(E1939&amp;" "&amp;F1939, 'Info Tipo de Cambio y REM'!$A$24:$B$35, 2, FALSE))
</f>
        <v/>
      </c>
      <c r="K1939" s="107"/>
      <c r="L1939" s="293"/>
      <c r="M1939" s="293"/>
      <c r="N1939" s="293"/>
      <c r="O1939" s="277"/>
      <c r="P1939" s="264"/>
      <c r="Q1939" s="264"/>
      <c r="R1939" s="264"/>
      <c r="S1939" s="264"/>
      <c r="T1939" s="264"/>
      <c r="U1939" s="264"/>
      <c r="V1939" s="264"/>
      <c r="W1939" s="264"/>
      <c r="X1939" s="264"/>
      <c r="Y1939" s="264"/>
      <c r="Z1939" s="264"/>
      <c r="AA1939" s="264"/>
      <c r="AB1939" s="264"/>
      <c r="AC1939" s="264"/>
      <c r="AD1939" s="264"/>
      <c r="AE1939" s="264"/>
    </row>
    <row r="1940">
      <c r="A1940" s="272"/>
      <c r="B1940" s="272"/>
      <c r="C1940" s="272"/>
      <c r="D1940" s="172"/>
      <c r="E1940" s="267" t="str">
        <f t="shared" si="22"/>
        <v/>
      </c>
      <c r="F1940" s="274"/>
      <c r="G1940" s="42"/>
      <c r="H1940" s="264"/>
      <c r="I1940" s="277"/>
      <c r="J1940" s="276" t="str">
        <f>IF(ISBLANK(I1940), "", VLOOKUP(E1940&amp;" "&amp;F1940, 'Info Tipo de Cambio y REM'!$A$24:$B$35, 2, FALSE))
</f>
        <v/>
      </c>
      <c r="K1940" s="107"/>
      <c r="L1940" s="293"/>
      <c r="M1940" s="293"/>
      <c r="N1940" s="293"/>
      <c r="O1940" s="277"/>
      <c r="P1940" s="264"/>
      <c r="Q1940" s="264"/>
      <c r="R1940" s="264"/>
      <c r="S1940" s="264"/>
      <c r="T1940" s="264"/>
      <c r="U1940" s="264"/>
      <c r="V1940" s="264"/>
      <c r="W1940" s="264"/>
      <c r="X1940" s="264"/>
      <c r="Y1940" s="264"/>
      <c r="Z1940" s="264"/>
      <c r="AA1940" s="264"/>
      <c r="AB1940" s="264"/>
      <c r="AC1940" s="264"/>
      <c r="AD1940" s="264"/>
      <c r="AE1940" s="264"/>
    </row>
    <row r="1941">
      <c r="A1941" s="272"/>
      <c r="B1941" s="272"/>
      <c r="C1941" s="272"/>
      <c r="D1941" s="172"/>
      <c r="E1941" s="267" t="str">
        <f t="shared" si="22"/>
        <v/>
      </c>
      <c r="F1941" s="274"/>
      <c r="G1941" s="42"/>
      <c r="H1941" s="264"/>
      <c r="I1941" s="277"/>
      <c r="J1941" s="276" t="str">
        <f>IF(ISBLANK(I1941), "", VLOOKUP(E1941&amp;" "&amp;F1941, 'Info Tipo de Cambio y REM'!$A$24:$B$35, 2, FALSE))
</f>
        <v/>
      </c>
      <c r="K1941" s="107"/>
      <c r="L1941" s="293"/>
      <c r="M1941" s="293"/>
      <c r="N1941" s="293"/>
      <c r="O1941" s="277"/>
      <c r="P1941" s="264"/>
      <c r="Q1941" s="264"/>
      <c r="R1941" s="264"/>
      <c r="S1941" s="264"/>
      <c r="T1941" s="264"/>
      <c r="U1941" s="264"/>
      <c r="V1941" s="264"/>
      <c r="W1941" s="264"/>
      <c r="X1941" s="264"/>
      <c r="Y1941" s="264"/>
      <c r="Z1941" s="264"/>
      <c r="AA1941" s="264"/>
      <c r="AB1941" s="264"/>
      <c r="AC1941" s="264"/>
      <c r="AD1941" s="264"/>
      <c r="AE1941" s="264"/>
    </row>
    <row r="1942">
      <c r="A1942" s="272"/>
      <c r="B1942" s="272"/>
      <c r="C1942" s="272"/>
      <c r="D1942" s="172"/>
      <c r="E1942" s="267" t="str">
        <f t="shared" si="22"/>
        <v/>
      </c>
      <c r="F1942" s="274"/>
      <c r="G1942" s="42"/>
      <c r="H1942" s="264"/>
      <c r="I1942" s="277"/>
      <c r="J1942" s="276" t="str">
        <f>IF(ISBLANK(I1942), "", VLOOKUP(E1942&amp;" "&amp;F1942, 'Info Tipo de Cambio y REM'!$A$24:$B$35, 2, FALSE))
</f>
        <v/>
      </c>
      <c r="K1942" s="107"/>
      <c r="L1942" s="293"/>
      <c r="M1942" s="293"/>
      <c r="N1942" s="293"/>
      <c r="O1942" s="277"/>
      <c r="P1942" s="264"/>
      <c r="Q1942" s="264"/>
      <c r="R1942" s="264"/>
      <c r="S1942" s="264"/>
      <c r="T1942" s="264"/>
      <c r="U1942" s="264"/>
      <c r="V1942" s="264"/>
      <c r="W1942" s="264"/>
      <c r="X1942" s="264"/>
      <c r="Y1942" s="264"/>
      <c r="Z1942" s="264"/>
      <c r="AA1942" s="264"/>
      <c r="AB1942" s="264"/>
      <c r="AC1942" s="264"/>
      <c r="AD1942" s="264"/>
      <c r="AE1942" s="264"/>
    </row>
    <row r="1943">
      <c r="A1943" s="272"/>
      <c r="B1943" s="272"/>
      <c r="C1943" s="272"/>
      <c r="D1943" s="172"/>
      <c r="E1943" s="267" t="str">
        <f t="shared" si="22"/>
        <v/>
      </c>
      <c r="F1943" s="274"/>
      <c r="G1943" s="42"/>
      <c r="H1943" s="264"/>
      <c r="I1943" s="277"/>
      <c r="J1943" s="276" t="str">
        <f>IF(ISBLANK(I1943), "", VLOOKUP(E1943&amp;" "&amp;F1943, 'Info Tipo de Cambio y REM'!$A$24:$B$35, 2, FALSE))
</f>
        <v/>
      </c>
      <c r="K1943" s="107"/>
      <c r="L1943" s="293"/>
      <c r="M1943" s="293"/>
      <c r="N1943" s="293"/>
      <c r="O1943" s="277"/>
      <c r="P1943" s="264"/>
      <c r="Q1943" s="264"/>
      <c r="R1943" s="264"/>
      <c r="S1943" s="264"/>
      <c r="T1943" s="264"/>
      <c r="U1943" s="264"/>
      <c r="V1943" s="264"/>
      <c r="W1943" s="264"/>
      <c r="X1943" s="264"/>
      <c r="Y1943" s="264"/>
      <c r="Z1943" s="264"/>
      <c r="AA1943" s="264"/>
      <c r="AB1943" s="264"/>
      <c r="AC1943" s="264"/>
      <c r="AD1943" s="264"/>
      <c r="AE1943" s="264"/>
    </row>
    <row r="1944">
      <c r="A1944" s="272"/>
      <c r="B1944" s="272"/>
      <c r="C1944" s="272"/>
      <c r="D1944" s="172"/>
      <c r="E1944" s="267" t="str">
        <f t="shared" si="22"/>
        <v/>
      </c>
      <c r="F1944" s="274"/>
      <c r="G1944" s="42"/>
      <c r="H1944" s="264"/>
      <c r="I1944" s="277"/>
      <c r="J1944" s="276" t="str">
        <f>IF(ISBLANK(I1944), "", VLOOKUP(E1944&amp;" "&amp;F1944, 'Info Tipo de Cambio y REM'!$A$24:$B$35, 2, FALSE))
</f>
        <v/>
      </c>
      <c r="K1944" s="107"/>
      <c r="L1944" s="293"/>
      <c r="M1944" s="293"/>
      <c r="N1944" s="293"/>
      <c r="O1944" s="277"/>
      <c r="P1944" s="264"/>
      <c r="Q1944" s="264"/>
      <c r="R1944" s="264"/>
      <c r="S1944" s="264"/>
      <c r="T1944" s="264"/>
      <c r="U1944" s="264"/>
      <c r="V1944" s="264"/>
      <c r="W1944" s="264"/>
      <c r="X1944" s="264"/>
      <c r="Y1944" s="264"/>
      <c r="Z1944" s="264"/>
      <c r="AA1944" s="264"/>
      <c r="AB1944" s="264"/>
      <c r="AC1944" s="264"/>
      <c r="AD1944" s="264"/>
      <c r="AE1944" s="264"/>
    </row>
    <row r="1945">
      <c r="A1945" s="272"/>
      <c r="B1945" s="272"/>
      <c r="C1945" s="272"/>
      <c r="D1945" s="172"/>
      <c r="E1945" s="267" t="str">
        <f t="shared" si="22"/>
        <v/>
      </c>
      <c r="F1945" s="274"/>
      <c r="G1945" s="42"/>
      <c r="H1945" s="264"/>
      <c r="I1945" s="277"/>
      <c r="J1945" s="276" t="str">
        <f>IF(ISBLANK(I1945), "", VLOOKUP(E1945&amp;" "&amp;F1945, 'Info Tipo de Cambio y REM'!$A$24:$B$35, 2, FALSE))
</f>
        <v/>
      </c>
      <c r="K1945" s="107"/>
      <c r="L1945" s="293"/>
      <c r="M1945" s="293"/>
      <c r="N1945" s="293"/>
      <c r="O1945" s="277"/>
      <c r="P1945" s="264"/>
      <c r="Q1945" s="264"/>
      <c r="R1945" s="264"/>
      <c r="S1945" s="264"/>
      <c r="T1945" s="264"/>
      <c r="U1945" s="264"/>
      <c r="V1945" s="264"/>
      <c r="W1945" s="264"/>
      <c r="X1945" s="264"/>
      <c r="Y1945" s="264"/>
      <c r="Z1945" s="264"/>
      <c r="AA1945" s="264"/>
      <c r="AB1945" s="264"/>
      <c r="AC1945" s="264"/>
      <c r="AD1945" s="264"/>
      <c r="AE1945" s="264"/>
    </row>
    <row r="1946">
      <c r="A1946" s="272"/>
      <c r="B1946" s="272"/>
      <c r="C1946" s="272"/>
      <c r="D1946" s="172"/>
      <c r="E1946" s="267" t="str">
        <f t="shared" si="22"/>
        <v/>
      </c>
      <c r="F1946" s="274"/>
      <c r="G1946" s="42"/>
      <c r="H1946" s="264"/>
      <c r="I1946" s="277"/>
      <c r="J1946" s="276" t="str">
        <f>IF(ISBLANK(I1946), "", VLOOKUP(E1946&amp;" "&amp;F1946, 'Info Tipo de Cambio y REM'!$A$24:$B$35, 2, FALSE))
</f>
        <v/>
      </c>
      <c r="K1946" s="107"/>
      <c r="L1946" s="293"/>
      <c r="M1946" s="293"/>
      <c r="N1946" s="293"/>
      <c r="O1946" s="277"/>
      <c r="P1946" s="264"/>
      <c r="Q1946" s="264"/>
      <c r="R1946" s="264"/>
      <c r="S1946" s="264"/>
      <c r="T1946" s="264"/>
      <c r="U1946" s="264"/>
      <c r="V1946" s="264"/>
      <c r="W1946" s="264"/>
      <c r="X1946" s="264"/>
      <c r="Y1946" s="264"/>
      <c r="Z1946" s="264"/>
      <c r="AA1946" s="264"/>
      <c r="AB1946" s="264"/>
      <c r="AC1946" s="264"/>
      <c r="AD1946" s="264"/>
      <c r="AE1946" s="264"/>
    </row>
    <row r="1947">
      <c r="A1947" s="272"/>
      <c r="B1947" s="272"/>
      <c r="C1947" s="272"/>
      <c r="D1947" s="172"/>
      <c r="E1947" s="267" t="str">
        <f t="shared" si="22"/>
        <v/>
      </c>
      <c r="F1947" s="274"/>
      <c r="G1947" s="42"/>
      <c r="H1947" s="264"/>
      <c r="I1947" s="277"/>
      <c r="J1947" s="276" t="str">
        <f>IF(ISBLANK(I1947), "", VLOOKUP(E1947&amp;" "&amp;F1947, 'Info Tipo de Cambio y REM'!$A$24:$B$35, 2, FALSE))
</f>
        <v/>
      </c>
      <c r="K1947" s="107"/>
      <c r="L1947" s="293"/>
      <c r="M1947" s="293"/>
      <c r="N1947" s="293"/>
      <c r="O1947" s="277"/>
      <c r="P1947" s="264"/>
      <c r="Q1947" s="264"/>
      <c r="R1947" s="264"/>
      <c r="S1947" s="264"/>
      <c r="T1947" s="264"/>
      <c r="U1947" s="264"/>
      <c r="V1947" s="264"/>
      <c r="W1947" s="264"/>
      <c r="X1947" s="264"/>
      <c r="Y1947" s="264"/>
      <c r="Z1947" s="264"/>
      <c r="AA1947" s="264"/>
      <c r="AB1947" s="264"/>
      <c r="AC1947" s="264"/>
      <c r="AD1947" s="264"/>
      <c r="AE1947" s="264"/>
    </row>
    <row r="1948">
      <c r="A1948" s="272"/>
      <c r="B1948" s="272"/>
      <c r="C1948" s="272"/>
      <c r="D1948" s="172"/>
      <c r="E1948" s="267" t="str">
        <f t="shared" si="22"/>
        <v/>
      </c>
      <c r="F1948" s="274"/>
      <c r="G1948" s="42"/>
      <c r="H1948" s="264"/>
      <c r="I1948" s="277"/>
      <c r="J1948" s="276" t="str">
        <f>IF(ISBLANK(I1948), "", VLOOKUP(E1948&amp;" "&amp;F1948, 'Info Tipo de Cambio y REM'!$A$24:$B$35, 2, FALSE))
</f>
        <v/>
      </c>
      <c r="K1948" s="107"/>
      <c r="L1948" s="293"/>
      <c r="M1948" s="293"/>
      <c r="N1948" s="293"/>
      <c r="O1948" s="277"/>
      <c r="P1948" s="264"/>
      <c r="Q1948" s="264"/>
      <c r="R1948" s="264"/>
      <c r="S1948" s="264"/>
      <c r="T1948" s="264"/>
      <c r="U1948" s="264"/>
      <c r="V1948" s="264"/>
      <c r="W1948" s="264"/>
      <c r="X1948" s="264"/>
      <c r="Y1948" s="264"/>
      <c r="Z1948" s="264"/>
      <c r="AA1948" s="264"/>
      <c r="AB1948" s="264"/>
      <c r="AC1948" s="264"/>
      <c r="AD1948" s="264"/>
      <c r="AE1948" s="264"/>
    </row>
    <row r="1949">
      <c r="A1949" s="272"/>
      <c r="B1949" s="272"/>
      <c r="C1949" s="272"/>
      <c r="D1949" s="172"/>
      <c r="E1949" s="267" t="str">
        <f t="shared" si="22"/>
        <v/>
      </c>
      <c r="F1949" s="274"/>
      <c r="G1949" s="42"/>
      <c r="H1949" s="264"/>
      <c r="I1949" s="277"/>
      <c r="J1949" s="276" t="str">
        <f>IF(ISBLANK(I1949), "", VLOOKUP(E1949&amp;" "&amp;F1949, 'Info Tipo de Cambio y REM'!$A$24:$B$35, 2, FALSE))
</f>
        <v/>
      </c>
      <c r="K1949" s="107"/>
      <c r="L1949" s="293"/>
      <c r="M1949" s="293"/>
      <c r="N1949" s="293"/>
      <c r="O1949" s="277"/>
      <c r="P1949" s="264"/>
      <c r="Q1949" s="264"/>
      <c r="R1949" s="264"/>
      <c r="S1949" s="264"/>
      <c r="T1949" s="264"/>
      <c r="U1949" s="264"/>
      <c r="V1949" s="264"/>
      <c r="W1949" s="264"/>
      <c r="X1949" s="264"/>
      <c r="Y1949" s="264"/>
      <c r="Z1949" s="264"/>
      <c r="AA1949" s="264"/>
      <c r="AB1949" s="264"/>
      <c r="AC1949" s="264"/>
      <c r="AD1949" s="264"/>
      <c r="AE1949" s="264"/>
    </row>
    <row r="1950">
      <c r="A1950" s="272"/>
      <c r="B1950" s="272"/>
      <c r="C1950" s="272"/>
      <c r="D1950" s="172"/>
      <c r="E1950" s="267" t="str">
        <f t="shared" si="22"/>
        <v/>
      </c>
      <c r="F1950" s="274"/>
      <c r="G1950" s="42"/>
      <c r="H1950" s="264"/>
      <c r="I1950" s="277"/>
      <c r="J1950" s="276" t="str">
        <f>IF(ISBLANK(I1950), "", VLOOKUP(E1950&amp;" "&amp;F1950, 'Info Tipo de Cambio y REM'!$A$24:$B$35, 2, FALSE))
</f>
        <v/>
      </c>
      <c r="K1950" s="107"/>
      <c r="L1950" s="293"/>
      <c r="M1950" s="293"/>
      <c r="N1950" s="293"/>
      <c r="O1950" s="277"/>
      <c r="P1950" s="264"/>
      <c r="Q1950" s="264"/>
      <c r="R1950" s="264"/>
      <c r="S1950" s="264"/>
      <c r="T1950" s="264"/>
      <c r="U1950" s="264"/>
      <c r="V1950" s="264"/>
      <c r="W1950" s="264"/>
      <c r="X1950" s="264"/>
      <c r="Y1950" s="264"/>
      <c r="Z1950" s="264"/>
      <c r="AA1950" s="264"/>
      <c r="AB1950" s="264"/>
      <c r="AC1950" s="264"/>
      <c r="AD1950" s="264"/>
      <c r="AE1950" s="264"/>
    </row>
    <row r="1951">
      <c r="A1951" s="272"/>
      <c r="B1951" s="272"/>
      <c r="C1951" s="272"/>
      <c r="D1951" s="172"/>
      <c r="E1951" s="267" t="str">
        <f t="shared" si="22"/>
        <v/>
      </c>
      <c r="F1951" s="274"/>
      <c r="G1951" s="42"/>
      <c r="H1951" s="264"/>
      <c r="I1951" s="277"/>
      <c r="J1951" s="276" t="str">
        <f>IF(ISBLANK(I1951), "", VLOOKUP(E1951&amp;" "&amp;F1951, 'Info Tipo de Cambio y REM'!$A$24:$B$35, 2, FALSE))
</f>
        <v/>
      </c>
      <c r="K1951" s="107"/>
      <c r="L1951" s="293"/>
      <c r="M1951" s="293"/>
      <c r="N1951" s="293"/>
      <c r="O1951" s="277"/>
      <c r="P1951" s="264"/>
      <c r="Q1951" s="264"/>
      <c r="R1951" s="264"/>
      <c r="S1951" s="264"/>
      <c r="T1951" s="264"/>
      <c r="U1951" s="264"/>
      <c r="V1951" s="264"/>
      <c r="W1951" s="264"/>
      <c r="X1951" s="264"/>
      <c r="Y1951" s="264"/>
      <c r="Z1951" s="264"/>
      <c r="AA1951" s="264"/>
      <c r="AB1951" s="264"/>
      <c r="AC1951" s="264"/>
      <c r="AD1951" s="264"/>
      <c r="AE1951" s="264"/>
    </row>
    <row r="1952">
      <c r="A1952" s="272"/>
      <c r="B1952" s="272"/>
      <c r="C1952" s="272"/>
      <c r="D1952" s="172"/>
      <c r="E1952" s="267" t="str">
        <f t="shared" si="22"/>
        <v/>
      </c>
      <c r="F1952" s="274"/>
      <c r="G1952" s="42"/>
      <c r="H1952" s="264"/>
      <c r="I1952" s="277"/>
      <c r="J1952" s="276" t="str">
        <f>IF(ISBLANK(I1952), "", VLOOKUP(E1952&amp;" "&amp;F1952, 'Info Tipo de Cambio y REM'!$A$24:$B$35, 2, FALSE))
</f>
        <v/>
      </c>
      <c r="K1952" s="107"/>
      <c r="L1952" s="293"/>
      <c r="M1952" s="293"/>
      <c r="N1952" s="293"/>
      <c r="O1952" s="277"/>
      <c r="P1952" s="264"/>
      <c r="Q1952" s="264"/>
      <c r="R1952" s="264"/>
      <c r="S1952" s="264"/>
      <c r="T1952" s="264"/>
      <c r="U1952" s="264"/>
      <c r="V1952" s="264"/>
      <c r="W1952" s="264"/>
      <c r="X1952" s="264"/>
      <c r="Y1952" s="264"/>
      <c r="Z1952" s="264"/>
      <c r="AA1952" s="264"/>
      <c r="AB1952" s="264"/>
      <c r="AC1952" s="264"/>
      <c r="AD1952" s="264"/>
      <c r="AE1952" s="264"/>
    </row>
    <row r="1953">
      <c r="A1953" s="272"/>
      <c r="B1953" s="272"/>
      <c r="C1953" s="272"/>
      <c r="D1953" s="172"/>
      <c r="E1953" s="267" t="str">
        <f t="shared" si="22"/>
        <v/>
      </c>
      <c r="F1953" s="274"/>
      <c r="G1953" s="42"/>
      <c r="H1953" s="264"/>
      <c r="I1953" s="277"/>
      <c r="J1953" s="276" t="str">
        <f>IF(ISBLANK(I1953), "", VLOOKUP(E1953&amp;" "&amp;F1953, 'Info Tipo de Cambio y REM'!$A$24:$B$35, 2, FALSE))
</f>
        <v/>
      </c>
      <c r="K1953" s="107"/>
      <c r="L1953" s="293"/>
      <c r="M1953" s="293"/>
      <c r="N1953" s="293"/>
      <c r="O1953" s="277"/>
      <c r="P1953" s="264"/>
      <c r="Q1953" s="264"/>
      <c r="R1953" s="264"/>
      <c r="S1953" s="264"/>
      <c r="T1953" s="264"/>
      <c r="U1953" s="264"/>
      <c r="V1953" s="264"/>
      <c r="W1953" s="264"/>
      <c r="X1953" s="264"/>
      <c r="Y1953" s="264"/>
      <c r="Z1953" s="264"/>
      <c r="AA1953" s="264"/>
      <c r="AB1953" s="264"/>
      <c r="AC1953" s="264"/>
      <c r="AD1953" s="264"/>
      <c r="AE1953" s="264"/>
    </row>
    <row r="1954">
      <c r="A1954" s="272"/>
      <c r="B1954" s="272"/>
      <c r="C1954" s="272"/>
      <c r="D1954" s="172"/>
      <c r="E1954" s="267" t="str">
        <f t="shared" si="22"/>
        <v/>
      </c>
      <c r="F1954" s="274"/>
      <c r="G1954" s="42"/>
      <c r="H1954" s="264"/>
      <c r="I1954" s="277"/>
      <c r="J1954" s="276" t="str">
        <f>IF(ISBLANK(I1954), "", VLOOKUP(E1954&amp;" "&amp;F1954, 'Info Tipo de Cambio y REM'!$A$24:$B$35, 2, FALSE))
</f>
        <v/>
      </c>
      <c r="K1954" s="107"/>
      <c r="L1954" s="293"/>
      <c r="M1954" s="293"/>
      <c r="N1954" s="293"/>
      <c r="O1954" s="277"/>
      <c r="P1954" s="264"/>
      <c r="Q1954" s="264"/>
      <c r="R1954" s="264"/>
      <c r="S1954" s="264"/>
      <c r="T1954" s="264"/>
      <c r="U1954" s="264"/>
      <c r="V1954" s="264"/>
      <c r="W1954" s="264"/>
      <c r="X1954" s="264"/>
      <c r="Y1954" s="264"/>
      <c r="Z1954" s="264"/>
      <c r="AA1954" s="264"/>
      <c r="AB1954" s="264"/>
      <c r="AC1954" s="264"/>
      <c r="AD1954" s="264"/>
      <c r="AE1954" s="264"/>
    </row>
    <row r="1955">
      <c r="A1955" s="272"/>
      <c r="B1955" s="272"/>
      <c r="C1955" s="272"/>
      <c r="D1955" s="172"/>
      <c r="E1955" s="267" t="str">
        <f t="shared" si="22"/>
        <v/>
      </c>
      <c r="F1955" s="274"/>
      <c r="G1955" s="42"/>
      <c r="H1955" s="264"/>
      <c r="I1955" s="277"/>
      <c r="J1955" s="276" t="str">
        <f>IF(ISBLANK(I1955), "", VLOOKUP(E1955&amp;" "&amp;F1955, 'Info Tipo de Cambio y REM'!$A$24:$B$35, 2, FALSE))
</f>
        <v/>
      </c>
      <c r="K1955" s="107"/>
      <c r="L1955" s="293"/>
      <c r="M1955" s="293"/>
      <c r="N1955" s="293"/>
      <c r="O1955" s="277"/>
      <c r="P1955" s="264"/>
      <c r="Q1955" s="264"/>
      <c r="R1955" s="264"/>
      <c r="S1955" s="264"/>
      <c r="T1955" s="264"/>
      <c r="U1955" s="264"/>
      <c r="V1955" s="264"/>
      <c r="W1955" s="264"/>
      <c r="X1955" s="264"/>
      <c r="Y1955" s="264"/>
      <c r="Z1955" s="264"/>
      <c r="AA1955" s="264"/>
      <c r="AB1955" s="264"/>
      <c r="AC1955" s="264"/>
      <c r="AD1955" s="264"/>
      <c r="AE1955" s="264"/>
    </row>
    <row r="1956">
      <c r="A1956" s="272"/>
      <c r="B1956" s="272"/>
      <c r="C1956" s="272"/>
      <c r="D1956" s="172"/>
      <c r="E1956" s="267" t="str">
        <f t="shared" si="22"/>
        <v/>
      </c>
      <c r="F1956" s="274"/>
      <c r="G1956" s="42"/>
      <c r="H1956" s="264"/>
      <c r="I1956" s="277"/>
      <c r="J1956" s="276" t="str">
        <f>IF(ISBLANK(I1956), "", VLOOKUP(E1956&amp;" "&amp;F1956, 'Info Tipo de Cambio y REM'!$A$24:$B$35, 2, FALSE))
</f>
        <v/>
      </c>
      <c r="K1956" s="107"/>
      <c r="L1956" s="293"/>
      <c r="M1956" s="293"/>
      <c r="N1956" s="293"/>
      <c r="O1956" s="277"/>
      <c r="P1956" s="264"/>
      <c r="Q1956" s="264"/>
      <c r="R1956" s="264"/>
      <c r="S1956" s="264"/>
      <c r="T1956" s="264"/>
      <c r="U1956" s="264"/>
      <c r="V1956" s="264"/>
      <c r="W1956" s="264"/>
      <c r="X1956" s="264"/>
      <c r="Y1956" s="264"/>
      <c r="Z1956" s="264"/>
      <c r="AA1956" s="264"/>
      <c r="AB1956" s="264"/>
      <c r="AC1956" s="264"/>
      <c r="AD1956" s="264"/>
      <c r="AE1956" s="264"/>
    </row>
    <row r="1957">
      <c r="A1957" s="272"/>
      <c r="B1957" s="272"/>
      <c r="C1957" s="272"/>
      <c r="D1957" s="172"/>
      <c r="E1957" s="267" t="str">
        <f t="shared" si="22"/>
        <v/>
      </c>
      <c r="F1957" s="274"/>
      <c r="G1957" s="42"/>
      <c r="H1957" s="264"/>
      <c r="I1957" s="277"/>
      <c r="J1957" s="276" t="str">
        <f>IF(ISBLANK(I1957), "", VLOOKUP(E1957&amp;" "&amp;F1957, 'Info Tipo de Cambio y REM'!$A$24:$B$35, 2, FALSE))
</f>
        <v/>
      </c>
      <c r="K1957" s="107"/>
      <c r="L1957" s="293"/>
      <c r="M1957" s="293"/>
      <c r="N1957" s="293"/>
      <c r="O1957" s="277"/>
      <c r="P1957" s="264"/>
      <c r="Q1957" s="264"/>
      <c r="R1957" s="264"/>
      <c r="S1957" s="264"/>
      <c r="T1957" s="264"/>
      <c r="U1957" s="264"/>
      <c r="V1957" s="264"/>
      <c r="W1957" s="264"/>
      <c r="X1957" s="264"/>
      <c r="Y1957" s="264"/>
      <c r="Z1957" s="264"/>
      <c r="AA1957" s="264"/>
      <c r="AB1957" s="264"/>
      <c r="AC1957" s="264"/>
      <c r="AD1957" s="264"/>
      <c r="AE1957" s="264"/>
    </row>
    <row r="1958">
      <c r="A1958" s="272"/>
      <c r="B1958" s="272"/>
      <c r="C1958" s="272"/>
      <c r="D1958" s="172"/>
      <c r="E1958" s="267" t="str">
        <f t="shared" si="22"/>
        <v/>
      </c>
      <c r="F1958" s="274"/>
      <c r="G1958" s="42"/>
      <c r="H1958" s="264"/>
      <c r="I1958" s="277"/>
      <c r="J1958" s="276" t="str">
        <f>IF(ISBLANK(I1958), "", VLOOKUP(E1958&amp;" "&amp;F1958, 'Info Tipo de Cambio y REM'!$A$24:$B$35, 2, FALSE))
</f>
        <v/>
      </c>
      <c r="K1958" s="107"/>
      <c r="L1958" s="293"/>
      <c r="M1958" s="293"/>
      <c r="N1958" s="293"/>
      <c r="O1958" s="277"/>
      <c r="P1958" s="264"/>
      <c r="Q1958" s="264"/>
      <c r="R1958" s="264"/>
      <c r="S1958" s="264"/>
      <c r="T1958" s="264"/>
      <c r="U1958" s="264"/>
      <c r="V1958" s="264"/>
      <c r="W1958" s="264"/>
      <c r="X1958" s="264"/>
      <c r="Y1958" s="264"/>
      <c r="Z1958" s="264"/>
      <c r="AA1958" s="264"/>
      <c r="AB1958" s="264"/>
      <c r="AC1958" s="264"/>
      <c r="AD1958" s="264"/>
      <c r="AE1958" s="264"/>
    </row>
    <row r="1959">
      <c r="A1959" s="272"/>
      <c r="B1959" s="272"/>
      <c r="C1959" s="272"/>
      <c r="D1959" s="172"/>
      <c r="E1959" s="267" t="str">
        <f t="shared" si="22"/>
        <v/>
      </c>
      <c r="F1959" s="274"/>
      <c r="G1959" s="42"/>
      <c r="H1959" s="264"/>
      <c r="I1959" s="277"/>
      <c r="J1959" s="276" t="str">
        <f>IF(ISBLANK(I1959), "", VLOOKUP(E1959&amp;" "&amp;F1959, 'Info Tipo de Cambio y REM'!$A$24:$B$35, 2, FALSE))
</f>
        <v/>
      </c>
      <c r="K1959" s="107"/>
      <c r="L1959" s="293"/>
      <c r="M1959" s="293"/>
      <c r="N1959" s="293"/>
      <c r="O1959" s="277"/>
      <c r="P1959" s="264"/>
      <c r="Q1959" s="264"/>
      <c r="R1959" s="264"/>
      <c r="S1959" s="264"/>
      <c r="T1959" s="264"/>
      <c r="U1959" s="264"/>
      <c r="V1959" s="264"/>
      <c r="W1959" s="264"/>
      <c r="X1959" s="264"/>
      <c r="Y1959" s="264"/>
      <c r="Z1959" s="264"/>
      <c r="AA1959" s="264"/>
      <c r="AB1959" s="264"/>
      <c r="AC1959" s="264"/>
      <c r="AD1959" s="264"/>
      <c r="AE1959" s="264"/>
    </row>
    <row r="1960">
      <c r="A1960" s="272"/>
      <c r="B1960" s="272"/>
      <c r="C1960" s="272"/>
      <c r="D1960" s="172"/>
      <c r="E1960" s="267" t="str">
        <f t="shared" si="22"/>
        <v/>
      </c>
      <c r="F1960" s="274"/>
      <c r="G1960" s="42"/>
      <c r="H1960" s="264"/>
      <c r="I1960" s="277"/>
      <c r="J1960" s="276" t="str">
        <f>IF(ISBLANK(I1960), "", VLOOKUP(E1960&amp;" "&amp;F1960, 'Info Tipo de Cambio y REM'!$A$24:$B$35, 2, FALSE))
</f>
        <v/>
      </c>
      <c r="K1960" s="107"/>
      <c r="L1960" s="293"/>
      <c r="M1960" s="293"/>
      <c r="N1960" s="293"/>
      <c r="O1960" s="277"/>
      <c r="P1960" s="264"/>
      <c r="Q1960" s="264"/>
      <c r="R1960" s="264"/>
      <c r="S1960" s="264"/>
      <c r="T1960" s="264"/>
      <c r="U1960" s="264"/>
      <c r="V1960" s="264"/>
      <c r="W1960" s="264"/>
      <c r="X1960" s="264"/>
      <c r="Y1960" s="264"/>
      <c r="Z1960" s="264"/>
      <c r="AA1960" s="264"/>
      <c r="AB1960" s="264"/>
      <c r="AC1960" s="264"/>
      <c r="AD1960" s="264"/>
      <c r="AE1960" s="264"/>
    </row>
    <row r="1961">
      <c r="A1961" s="272"/>
      <c r="B1961" s="272"/>
      <c r="C1961" s="272"/>
      <c r="D1961" s="172"/>
      <c r="E1961" s="267" t="str">
        <f t="shared" si="22"/>
        <v/>
      </c>
      <c r="F1961" s="274"/>
      <c r="G1961" s="42"/>
      <c r="H1961" s="264"/>
      <c r="I1961" s="277"/>
      <c r="J1961" s="276" t="str">
        <f>IF(ISBLANK(I1961), "", VLOOKUP(E1961&amp;" "&amp;F1961, 'Info Tipo de Cambio y REM'!$A$24:$B$35, 2, FALSE))
</f>
        <v/>
      </c>
      <c r="K1961" s="107"/>
      <c r="L1961" s="293"/>
      <c r="M1961" s="293"/>
      <c r="N1961" s="293"/>
      <c r="O1961" s="277"/>
      <c r="P1961" s="264"/>
      <c r="Q1961" s="264"/>
      <c r="R1961" s="264"/>
      <c r="S1961" s="264"/>
      <c r="T1961" s="264"/>
      <c r="U1961" s="264"/>
      <c r="V1961" s="264"/>
      <c r="W1961" s="264"/>
      <c r="X1961" s="264"/>
      <c r="Y1961" s="264"/>
      <c r="Z1961" s="264"/>
      <c r="AA1961" s="264"/>
      <c r="AB1961" s="264"/>
      <c r="AC1961" s="264"/>
      <c r="AD1961" s="264"/>
      <c r="AE1961" s="264"/>
    </row>
    <row r="1962">
      <c r="A1962" s="272"/>
      <c r="B1962" s="272"/>
      <c r="C1962" s="272"/>
      <c r="D1962" s="172"/>
      <c r="E1962" s="267" t="str">
        <f t="shared" si="22"/>
        <v/>
      </c>
      <c r="F1962" s="274"/>
      <c r="G1962" s="42"/>
      <c r="H1962" s="264"/>
      <c r="I1962" s="277"/>
      <c r="J1962" s="276" t="str">
        <f>IF(ISBLANK(I1962), "", VLOOKUP(E1962&amp;" "&amp;F1962, 'Info Tipo de Cambio y REM'!$A$24:$B$35, 2, FALSE))
</f>
        <v/>
      </c>
      <c r="K1962" s="107"/>
      <c r="L1962" s="293"/>
      <c r="M1962" s="293"/>
      <c r="N1962" s="293"/>
      <c r="O1962" s="277"/>
      <c r="P1962" s="264"/>
      <c r="Q1962" s="264"/>
      <c r="R1962" s="264"/>
      <c r="S1962" s="264"/>
      <c r="T1962" s="264"/>
      <c r="U1962" s="264"/>
      <c r="V1962" s="264"/>
      <c r="W1962" s="264"/>
      <c r="X1962" s="264"/>
      <c r="Y1962" s="264"/>
      <c r="Z1962" s="264"/>
      <c r="AA1962" s="264"/>
      <c r="AB1962" s="264"/>
      <c r="AC1962" s="264"/>
      <c r="AD1962" s="264"/>
      <c r="AE1962" s="264"/>
    </row>
    <row r="1963">
      <c r="A1963" s="272"/>
      <c r="B1963" s="272"/>
      <c r="C1963" s="272"/>
      <c r="D1963" s="172"/>
      <c r="E1963" s="267" t="str">
        <f t="shared" si="22"/>
        <v/>
      </c>
      <c r="F1963" s="274"/>
      <c r="G1963" s="42"/>
      <c r="H1963" s="264"/>
      <c r="I1963" s="277"/>
      <c r="J1963" s="276" t="str">
        <f>IF(ISBLANK(I1963), "", VLOOKUP(E1963&amp;" "&amp;F1963, 'Info Tipo de Cambio y REM'!$A$24:$B$35, 2, FALSE))
</f>
        <v/>
      </c>
      <c r="K1963" s="107"/>
      <c r="L1963" s="293"/>
      <c r="M1963" s="293"/>
      <c r="N1963" s="293"/>
      <c r="O1963" s="277"/>
      <c r="P1963" s="264"/>
      <c r="Q1963" s="264"/>
      <c r="R1963" s="264"/>
      <c r="S1963" s="264"/>
      <c r="T1963" s="264"/>
      <c r="U1963" s="264"/>
      <c r="V1963" s="264"/>
      <c r="W1963" s="264"/>
      <c r="X1963" s="264"/>
      <c r="Y1963" s="264"/>
      <c r="Z1963" s="264"/>
      <c r="AA1963" s="264"/>
      <c r="AB1963" s="264"/>
      <c r="AC1963" s="264"/>
      <c r="AD1963" s="264"/>
      <c r="AE1963" s="264"/>
    </row>
    <row r="1964">
      <c r="A1964" s="272"/>
      <c r="B1964" s="272"/>
      <c r="C1964" s="272"/>
      <c r="D1964" s="172"/>
      <c r="E1964" s="267" t="str">
        <f t="shared" si="22"/>
        <v/>
      </c>
      <c r="F1964" s="274"/>
      <c r="G1964" s="42"/>
      <c r="H1964" s="264"/>
      <c r="I1964" s="277"/>
      <c r="J1964" s="276" t="str">
        <f>IF(ISBLANK(I1964), "", VLOOKUP(E1964&amp;" "&amp;F1964, 'Info Tipo de Cambio y REM'!$A$24:$B$35, 2, FALSE))
</f>
        <v/>
      </c>
      <c r="K1964" s="107"/>
      <c r="L1964" s="293"/>
      <c r="M1964" s="293"/>
      <c r="N1964" s="293"/>
      <c r="O1964" s="277"/>
      <c r="P1964" s="264"/>
      <c r="Q1964" s="264"/>
      <c r="R1964" s="264"/>
      <c r="S1964" s="264"/>
      <c r="T1964" s="264"/>
      <c r="U1964" s="264"/>
      <c r="V1964" s="264"/>
      <c r="W1964" s="264"/>
      <c r="X1964" s="264"/>
      <c r="Y1964" s="264"/>
      <c r="Z1964" s="264"/>
      <c r="AA1964" s="264"/>
      <c r="AB1964" s="264"/>
      <c r="AC1964" s="264"/>
      <c r="AD1964" s="264"/>
      <c r="AE1964" s="264"/>
    </row>
    <row r="1965">
      <c r="A1965" s="272"/>
      <c r="B1965" s="272"/>
      <c r="C1965" s="272"/>
      <c r="D1965" s="172"/>
      <c r="E1965" s="267" t="str">
        <f t="shared" si="22"/>
        <v/>
      </c>
      <c r="F1965" s="274"/>
      <c r="G1965" s="42"/>
      <c r="H1965" s="264"/>
      <c r="I1965" s="277"/>
      <c r="J1965" s="276" t="str">
        <f>IF(ISBLANK(I1965), "", VLOOKUP(E1965&amp;" "&amp;F1965, 'Info Tipo de Cambio y REM'!$A$24:$B$35, 2, FALSE))
</f>
        <v/>
      </c>
      <c r="K1965" s="107"/>
      <c r="L1965" s="293"/>
      <c r="M1965" s="293"/>
      <c r="N1965" s="293"/>
      <c r="O1965" s="277"/>
      <c r="P1965" s="264"/>
      <c r="Q1965" s="264"/>
      <c r="R1965" s="264"/>
      <c r="S1965" s="264"/>
      <c r="T1965" s="264"/>
      <c r="U1965" s="264"/>
      <c r="V1965" s="264"/>
      <c r="W1965" s="264"/>
      <c r="X1965" s="264"/>
      <c r="Y1965" s="264"/>
      <c r="Z1965" s="264"/>
      <c r="AA1965" s="264"/>
      <c r="AB1965" s="264"/>
      <c r="AC1965" s="264"/>
      <c r="AD1965" s="264"/>
      <c r="AE1965" s="264"/>
    </row>
    <row r="1966">
      <c r="A1966" s="272"/>
      <c r="B1966" s="272"/>
      <c r="C1966" s="272"/>
      <c r="D1966" s="172"/>
      <c r="E1966" s="267" t="str">
        <f t="shared" si="22"/>
        <v/>
      </c>
      <c r="F1966" s="274"/>
      <c r="G1966" s="42"/>
      <c r="H1966" s="264"/>
      <c r="I1966" s="277"/>
      <c r="J1966" s="276" t="str">
        <f>IF(ISBLANK(I1966), "", VLOOKUP(E1966&amp;" "&amp;F1966, 'Info Tipo de Cambio y REM'!$A$24:$B$35, 2, FALSE))
</f>
        <v/>
      </c>
      <c r="K1966" s="107"/>
      <c r="L1966" s="293"/>
      <c r="M1966" s="293"/>
      <c r="N1966" s="293"/>
      <c r="O1966" s="277"/>
      <c r="P1966" s="264"/>
      <c r="Q1966" s="264"/>
      <c r="R1966" s="264"/>
      <c r="S1966" s="264"/>
      <c r="T1966" s="264"/>
      <c r="U1966" s="264"/>
      <c r="V1966" s="264"/>
      <c r="W1966" s="264"/>
      <c r="X1966" s="264"/>
      <c r="Y1966" s="264"/>
      <c r="Z1966" s="264"/>
      <c r="AA1966" s="264"/>
      <c r="AB1966" s="264"/>
      <c r="AC1966" s="264"/>
      <c r="AD1966" s="264"/>
      <c r="AE1966" s="264"/>
    </row>
    <row r="1967">
      <c r="A1967" s="272"/>
      <c r="B1967" s="272"/>
      <c r="C1967" s="272"/>
      <c r="D1967" s="172"/>
      <c r="E1967" s="267" t="str">
        <f t="shared" si="22"/>
        <v/>
      </c>
      <c r="F1967" s="274"/>
      <c r="G1967" s="42"/>
      <c r="H1967" s="264"/>
      <c r="I1967" s="277"/>
      <c r="J1967" s="276" t="str">
        <f>IF(ISBLANK(I1967), "", VLOOKUP(E1967&amp;" "&amp;F1967, 'Info Tipo de Cambio y REM'!$A$24:$B$35, 2, FALSE))
</f>
        <v/>
      </c>
      <c r="K1967" s="107"/>
      <c r="L1967" s="293"/>
      <c r="M1967" s="293"/>
      <c r="N1967" s="293"/>
      <c r="O1967" s="277"/>
      <c r="P1967" s="264"/>
      <c r="Q1967" s="264"/>
      <c r="R1967" s="264"/>
      <c r="S1967" s="264"/>
      <c r="T1967" s="264"/>
      <c r="U1967" s="264"/>
      <c r="V1967" s="264"/>
      <c r="W1967" s="264"/>
      <c r="X1967" s="264"/>
      <c r="Y1967" s="264"/>
      <c r="Z1967" s="264"/>
      <c r="AA1967" s="264"/>
      <c r="AB1967" s="264"/>
      <c r="AC1967" s="264"/>
      <c r="AD1967" s="264"/>
      <c r="AE1967" s="264"/>
    </row>
    <row r="1968">
      <c r="A1968" s="272"/>
      <c r="B1968" s="272"/>
      <c r="C1968" s="272"/>
      <c r="D1968" s="172"/>
      <c r="E1968" s="267" t="str">
        <f t="shared" si="22"/>
        <v/>
      </c>
      <c r="F1968" s="274"/>
      <c r="G1968" s="42"/>
      <c r="H1968" s="264"/>
      <c r="I1968" s="277"/>
      <c r="J1968" s="276" t="str">
        <f>IF(ISBLANK(I1968), "", VLOOKUP(E1968&amp;" "&amp;F1968, 'Info Tipo de Cambio y REM'!$A$24:$B$35, 2, FALSE))
</f>
        <v/>
      </c>
      <c r="K1968" s="107"/>
      <c r="L1968" s="293"/>
      <c r="M1968" s="293"/>
      <c r="N1968" s="293"/>
      <c r="O1968" s="277"/>
      <c r="P1968" s="264"/>
      <c r="Q1968" s="264"/>
      <c r="R1968" s="264"/>
      <c r="S1968" s="264"/>
      <c r="T1968" s="264"/>
      <c r="U1968" s="264"/>
      <c r="V1968" s="264"/>
      <c r="W1968" s="264"/>
      <c r="X1968" s="264"/>
      <c r="Y1968" s="264"/>
      <c r="Z1968" s="264"/>
      <c r="AA1968" s="264"/>
      <c r="AB1968" s="264"/>
      <c r="AC1968" s="264"/>
      <c r="AD1968" s="264"/>
      <c r="AE1968" s="264"/>
    </row>
    <row r="1969">
      <c r="A1969" s="272"/>
      <c r="B1969" s="272"/>
      <c r="C1969" s="272"/>
      <c r="D1969" s="172"/>
      <c r="E1969" s="267" t="str">
        <f t="shared" si="22"/>
        <v/>
      </c>
      <c r="F1969" s="274"/>
      <c r="G1969" s="42"/>
      <c r="H1969" s="264"/>
      <c r="I1969" s="277"/>
      <c r="J1969" s="276" t="str">
        <f>IF(ISBLANK(I1969), "", VLOOKUP(E1969&amp;" "&amp;F1969, 'Info Tipo de Cambio y REM'!$A$24:$B$35, 2, FALSE))
</f>
        <v/>
      </c>
      <c r="K1969" s="107"/>
      <c r="L1969" s="293"/>
      <c r="M1969" s="293"/>
      <c r="N1969" s="293"/>
      <c r="O1969" s="277"/>
      <c r="P1969" s="264"/>
      <c r="Q1969" s="264"/>
      <c r="R1969" s="264"/>
      <c r="S1969" s="264"/>
      <c r="T1969" s="264"/>
      <c r="U1969" s="264"/>
      <c r="V1969" s="264"/>
      <c r="W1969" s="264"/>
      <c r="X1969" s="264"/>
      <c r="Y1969" s="264"/>
      <c r="Z1969" s="264"/>
      <c r="AA1969" s="264"/>
      <c r="AB1969" s="264"/>
      <c r="AC1969" s="264"/>
      <c r="AD1969" s="264"/>
      <c r="AE1969" s="264"/>
    </row>
    <row r="1970">
      <c r="A1970" s="272"/>
      <c r="B1970" s="272"/>
      <c r="C1970" s="272"/>
      <c r="D1970" s="172"/>
      <c r="E1970" s="267" t="str">
        <f t="shared" si="22"/>
        <v/>
      </c>
      <c r="F1970" s="274"/>
      <c r="G1970" s="42"/>
      <c r="H1970" s="264"/>
      <c r="I1970" s="277"/>
      <c r="J1970" s="276" t="str">
        <f>IF(ISBLANK(I1970), "", VLOOKUP(E1970&amp;" "&amp;F1970, 'Info Tipo de Cambio y REM'!$A$24:$B$35, 2, FALSE))
</f>
        <v/>
      </c>
      <c r="K1970" s="107"/>
      <c r="L1970" s="293"/>
      <c r="M1970" s="293"/>
      <c r="N1970" s="293"/>
      <c r="O1970" s="277"/>
      <c r="P1970" s="264"/>
      <c r="Q1970" s="264"/>
      <c r="R1970" s="264"/>
      <c r="S1970" s="264"/>
      <c r="T1970" s="264"/>
      <c r="U1970" s="264"/>
      <c r="V1970" s="264"/>
      <c r="W1970" s="264"/>
      <c r="X1970" s="264"/>
      <c r="Y1970" s="264"/>
      <c r="Z1970" s="264"/>
      <c r="AA1970" s="264"/>
      <c r="AB1970" s="264"/>
      <c r="AC1970" s="264"/>
      <c r="AD1970" s="264"/>
      <c r="AE1970" s="264"/>
    </row>
    <row r="1971">
      <c r="A1971" s="272"/>
      <c r="B1971" s="272"/>
      <c r="C1971" s="272"/>
      <c r="D1971" s="172"/>
      <c r="E1971" s="267" t="str">
        <f t="shared" si="22"/>
        <v/>
      </c>
      <c r="F1971" s="274"/>
      <c r="G1971" s="42"/>
      <c r="H1971" s="264"/>
      <c r="I1971" s="277"/>
      <c r="J1971" s="276" t="str">
        <f>IF(ISBLANK(I1971), "", VLOOKUP(E1971&amp;" "&amp;F1971, 'Info Tipo de Cambio y REM'!$A$24:$B$35, 2, FALSE))
</f>
        <v/>
      </c>
      <c r="K1971" s="107"/>
      <c r="L1971" s="293"/>
      <c r="M1971" s="293"/>
      <c r="N1971" s="293"/>
      <c r="O1971" s="277"/>
      <c r="P1971" s="264"/>
      <c r="Q1971" s="264"/>
      <c r="R1971" s="264"/>
      <c r="S1971" s="264"/>
      <c r="T1971" s="264"/>
      <c r="U1971" s="264"/>
      <c r="V1971" s="264"/>
      <c r="W1971" s="264"/>
      <c r="X1971" s="264"/>
      <c r="Y1971" s="264"/>
      <c r="Z1971" s="264"/>
      <c r="AA1971" s="264"/>
      <c r="AB1971" s="264"/>
      <c r="AC1971" s="264"/>
      <c r="AD1971" s="264"/>
      <c r="AE1971" s="264"/>
    </row>
    <row r="1972">
      <c r="A1972" s="272"/>
      <c r="B1972" s="272"/>
      <c r="C1972" s="272"/>
      <c r="D1972" s="172"/>
      <c r="E1972" s="267" t="str">
        <f t="shared" si="22"/>
        <v/>
      </c>
      <c r="F1972" s="274"/>
      <c r="G1972" s="42"/>
      <c r="H1972" s="264"/>
      <c r="I1972" s="277"/>
      <c r="J1972" s="276" t="str">
        <f>IF(ISBLANK(I1972), "", VLOOKUP(E1972&amp;" "&amp;F1972, 'Info Tipo de Cambio y REM'!$A$24:$B$35, 2, FALSE))
</f>
        <v/>
      </c>
      <c r="K1972" s="107"/>
      <c r="L1972" s="293"/>
      <c r="M1972" s="293"/>
      <c r="N1972" s="293"/>
      <c r="O1972" s="277"/>
      <c r="P1972" s="264"/>
      <c r="Q1972" s="264"/>
      <c r="R1972" s="264"/>
      <c r="S1972" s="264"/>
      <c r="T1972" s="264"/>
      <c r="U1972" s="264"/>
      <c r="V1972" s="264"/>
      <c r="W1972" s="264"/>
      <c r="X1972" s="264"/>
      <c r="Y1972" s="264"/>
      <c r="Z1972" s="264"/>
      <c r="AA1972" s="264"/>
      <c r="AB1972" s="264"/>
      <c r="AC1972" s="264"/>
      <c r="AD1972" s="264"/>
      <c r="AE1972" s="264"/>
    </row>
    <row r="1973">
      <c r="A1973" s="272"/>
      <c r="B1973" s="272"/>
      <c r="C1973" s="272"/>
      <c r="D1973" s="172"/>
      <c r="E1973" s="267" t="str">
        <f t="shared" si="22"/>
        <v/>
      </c>
      <c r="F1973" s="274"/>
      <c r="G1973" s="42"/>
      <c r="H1973" s="264"/>
      <c r="I1973" s="277"/>
      <c r="J1973" s="276" t="str">
        <f>IF(ISBLANK(I1973), "", VLOOKUP(E1973&amp;" "&amp;F1973, 'Info Tipo de Cambio y REM'!$A$24:$B$35, 2, FALSE))
</f>
        <v/>
      </c>
      <c r="K1973" s="107"/>
      <c r="L1973" s="293"/>
      <c r="M1973" s="293"/>
      <c r="N1973" s="293"/>
      <c r="O1973" s="277"/>
      <c r="P1973" s="264"/>
      <c r="Q1973" s="264"/>
      <c r="R1973" s="264"/>
      <c r="S1973" s="264"/>
      <c r="T1973" s="264"/>
      <c r="U1973" s="264"/>
      <c r="V1973" s="264"/>
      <c r="W1973" s="264"/>
      <c r="X1973" s="264"/>
      <c r="Y1973" s="264"/>
      <c r="Z1973" s="264"/>
      <c r="AA1973" s="264"/>
      <c r="AB1973" s="264"/>
      <c r="AC1973" s="264"/>
      <c r="AD1973" s="264"/>
      <c r="AE1973" s="264"/>
    </row>
    <row r="1974">
      <c r="A1974" s="272"/>
      <c r="B1974" s="272"/>
      <c r="C1974" s="272"/>
      <c r="D1974" s="172"/>
      <c r="E1974" s="267" t="str">
        <f t="shared" si="22"/>
        <v/>
      </c>
      <c r="F1974" s="274"/>
      <c r="G1974" s="42"/>
      <c r="H1974" s="264"/>
      <c r="I1974" s="277"/>
      <c r="J1974" s="276" t="str">
        <f>IF(ISBLANK(I1974), "", VLOOKUP(E1974&amp;" "&amp;F1974, 'Info Tipo de Cambio y REM'!$A$24:$B$35, 2, FALSE))
</f>
        <v/>
      </c>
      <c r="K1974" s="107"/>
      <c r="L1974" s="293"/>
      <c r="M1974" s="293"/>
      <c r="N1974" s="293"/>
      <c r="O1974" s="277"/>
      <c r="P1974" s="264"/>
      <c r="Q1974" s="264"/>
      <c r="R1974" s="264"/>
      <c r="S1974" s="264"/>
      <c r="T1974" s="264"/>
      <c r="U1974" s="264"/>
      <c r="V1974" s="264"/>
      <c r="W1974" s="264"/>
      <c r="X1974" s="264"/>
      <c r="Y1974" s="264"/>
      <c r="Z1974" s="264"/>
      <c r="AA1974" s="264"/>
      <c r="AB1974" s="264"/>
      <c r="AC1974" s="264"/>
      <c r="AD1974" s="264"/>
      <c r="AE1974" s="264"/>
    </row>
    <row r="1975">
      <c r="A1975" s="272"/>
      <c r="B1975" s="272"/>
      <c r="C1975" s="272"/>
      <c r="D1975" s="172"/>
      <c r="E1975" s="267" t="str">
        <f t="shared" si="22"/>
        <v/>
      </c>
      <c r="F1975" s="274"/>
      <c r="G1975" s="42"/>
      <c r="H1975" s="264"/>
      <c r="I1975" s="277"/>
      <c r="J1975" s="276" t="str">
        <f>IF(ISBLANK(I1975), "", VLOOKUP(E1975&amp;" "&amp;F1975, 'Info Tipo de Cambio y REM'!$A$24:$B$35, 2, FALSE))
</f>
        <v/>
      </c>
      <c r="K1975" s="107"/>
      <c r="L1975" s="293"/>
      <c r="M1975" s="293"/>
      <c r="N1975" s="293"/>
      <c r="O1975" s="277"/>
      <c r="P1975" s="264"/>
      <c r="Q1975" s="264"/>
      <c r="R1975" s="264"/>
      <c r="S1975" s="264"/>
      <c r="T1975" s="264"/>
      <c r="U1975" s="264"/>
      <c r="V1975" s="264"/>
      <c r="W1975" s="264"/>
      <c r="X1975" s="264"/>
      <c r="Y1975" s="264"/>
      <c r="Z1975" s="264"/>
      <c r="AA1975" s="264"/>
      <c r="AB1975" s="264"/>
      <c r="AC1975" s="264"/>
      <c r="AD1975" s="264"/>
      <c r="AE1975" s="264"/>
    </row>
    <row r="1976">
      <c r="A1976" s="272"/>
      <c r="B1976" s="272"/>
      <c r="C1976" s="272"/>
      <c r="D1976" s="172"/>
      <c r="E1976" s="267" t="str">
        <f t="shared" si="22"/>
        <v/>
      </c>
      <c r="F1976" s="274"/>
      <c r="G1976" s="42"/>
      <c r="H1976" s="264"/>
      <c r="I1976" s="277"/>
      <c r="J1976" s="276" t="str">
        <f>IF(ISBLANK(I1976), "", VLOOKUP(E1976&amp;" "&amp;F1976, 'Info Tipo de Cambio y REM'!$A$24:$B$35, 2, FALSE))
</f>
        <v/>
      </c>
      <c r="K1976" s="107"/>
      <c r="L1976" s="293"/>
      <c r="M1976" s="293"/>
      <c r="N1976" s="293"/>
      <c r="O1976" s="277"/>
      <c r="P1976" s="264"/>
      <c r="Q1976" s="264"/>
      <c r="R1976" s="264"/>
      <c r="S1976" s="264"/>
      <c r="T1976" s="264"/>
      <c r="U1976" s="264"/>
      <c r="V1976" s="264"/>
      <c r="W1976" s="264"/>
      <c r="X1976" s="264"/>
      <c r="Y1976" s="264"/>
      <c r="Z1976" s="264"/>
      <c r="AA1976" s="264"/>
      <c r="AB1976" s="264"/>
      <c r="AC1976" s="264"/>
      <c r="AD1976" s="264"/>
      <c r="AE1976" s="264"/>
    </row>
    <row r="1977">
      <c r="A1977" s="272"/>
      <c r="B1977" s="272"/>
      <c r="C1977" s="272"/>
      <c r="D1977" s="172"/>
      <c r="E1977" s="267" t="str">
        <f t="shared" si="22"/>
        <v/>
      </c>
      <c r="F1977" s="274"/>
      <c r="G1977" s="42"/>
      <c r="H1977" s="264"/>
      <c r="I1977" s="277"/>
      <c r="J1977" s="276" t="str">
        <f>IF(ISBLANK(I1977), "", VLOOKUP(E1977&amp;" "&amp;F1977, 'Info Tipo de Cambio y REM'!$A$24:$B$35, 2, FALSE))
</f>
        <v/>
      </c>
      <c r="K1977" s="107"/>
      <c r="L1977" s="293"/>
      <c r="M1977" s="293"/>
      <c r="N1977" s="293"/>
      <c r="O1977" s="277"/>
      <c r="P1977" s="264"/>
      <c r="Q1977" s="264"/>
      <c r="R1977" s="264"/>
      <c r="S1977" s="264"/>
      <c r="T1977" s="264"/>
      <c r="U1977" s="264"/>
      <c r="V1977" s="264"/>
      <c r="W1977" s="264"/>
      <c r="X1977" s="264"/>
      <c r="Y1977" s="264"/>
      <c r="Z1977" s="264"/>
      <c r="AA1977" s="264"/>
      <c r="AB1977" s="264"/>
      <c r="AC1977" s="264"/>
      <c r="AD1977" s="264"/>
      <c r="AE1977" s="264"/>
    </row>
    <row r="1978">
      <c r="A1978" s="272"/>
      <c r="B1978" s="272"/>
      <c r="C1978" s="272"/>
      <c r="D1978" s="172"/>
      <c r="E1978" s="267" t="str">
        <f t="shared" si="22"/>
        <v/>
      </c>
      <c r="F1978" s="274"/>
      <c r="G1978" s="42"/>
      <c r="H1978" s="264"/>
      <c r="I1978" s="277"/>
      <c r="J1978" s="276" t="str">
        <f>IF(ISBLANK(I1978), "", VLOOKUP(E1978&amp;" "&amp;F1978, 'Info Tipo de Cambio y REM'!$A$24:$B$35, 2, FALSE))
</f>
        <v/>
      </c>
      <c r="K1978" s="107"/>
      <c r="L1978" s="293"/>
      <c r="M1978" s="293"/>
      <c r="N1978" s="293"/>
      <c r="O1978" s="277"/>
      <c r="P1978" s="264"/>
      <c r="Q1978" s="264"/>
      <c r="R1978" s="264"/>
      <c r="S1978" s="264"/>
      <c r="T1978" s="264"/>
      <c r="U1978" s="264"/>
      <c r="V1978" s="264"/>
      <c r="W1978" s="264"/>
      <c r="X1978" s="264"/>
      <c r="Y1978" s="264"/>
      <c r="Z1978" s="264"/>
      <c r="AA1978" s="264"/>
      <c r="AB1978" s="264"/>
      <c r="AC1978" s="264"/>
      <c r="AD1978" s="264"/>
      <c r="AE1978" s="264"/>
    </row>
    <row r="1979">
      <c r="A1979" s="272"/>
      <c r="B1979" s="272"/>
      <c r="C1979" s="272"/>
      <c r="D1979" s="172"/>
      <c r="E1979" s="267" t="str">
        <f t="shared" si="22"/>
        <v/>
      </c>
      <c r="F1979" s="274"/>
      <c r="G1979" s="42"/>
      <c r="H1979" s="264"/>
      <c r="I1979" s="277"/>
      <c r="J1979" s="276" t="str">
        <f>IF(ISBLANK(I1979), "", VLOOKUP(E1979&amp;" "&amp;F1979, 'Info Tipo de Cambio y REM'!$A$24:$B$35, 2, FALSE))
</f>
        <v/>
      </c>
      <c r="K1979" s="107"/>
      <c r="L1979" s="293"/>
      <c r="M1979" s="293"/>
      <c r="N1979" s="293"/>
      <c r="O1979" s="277"/>
      <c r="P1979" s="264"/>
      <c r="Q1979" s="264"/>
      <c r="R1979" s="264"/>
      <c r="S1979" s="264"/>
      <c r="T1979" s="264"/>
      <c r="U1979" s="264"/>
      <c r="V1979" s="264"/>
      <c r="W1979" s="264"/>
      <c r="X1979" s="264"/>
      <c r="Y1979" s="264"/>
      <c r="Z1979" s="264"/>
      <c r="AA1979" s="264"/>
      <c r="AB1979" s="264"/>
      <c r="AC1979" s="264"/>
      <c r="AD1979" s="264"/>
      <c r="AE1979" s="264"/>
    </row>
    <row r="1980">
      <c r="A1980" s="272"/>
      <c r="B1980" s="272"/>
      <c r="C1980" s="272"/>
      <c r="D1980" s="172"/>
      <c r="E1980" s="267" t="str">
        <f t="shared" si="22"/>
        <v/>
      </c>
      <c r="F1980" s="274"/>
      <c r="G1980" s="42"/>
      <c r="H1980" s="264"/>
      <c r="I1980" s="277"/>
      <c r="J1980" s="276" t="str">
        <f>IF(ISBLANK(I1980), "", VLOOKUP(E1980&amp;" "&amp;F1980, 'Info Tipo de Cambio y REM'!$A$24:$B$35, 2, FALSE))
</f>
        <v/>
      </c>
      <c r="K1980" s="107"/>
      <c r="L1980" s="293"/>
      <c r="M1980" s="293"/>
      <c r="N1980" s="293"/>
      <c r="O1980" s="277"/>
      <c r="P1980" s="264"/>
      <c r="Q1980" s="264"/>
      <c r="R1980" s="264"/>
      <c r="S1980" s="264"/>
      <c r="T1980" s="264"/>
      <c r="U1980" s="264"/>
      <c r="V1980" s="264"/>
      <c r="W1980" s="264"/>
      <c r="X1980" s="264"/>
      <c r="Y1980" s="264"/>
      <c r="Z1980" s="264"/>
      <c r="AA1980" s="264"/>
      <c r="AB1980" s="264"/>
      <c r="AC1980" s="264"/>
      <c r="AD1980" s="264"/>
      <c r="AE1980" s="264"/>
    </row>
    <row r="1981">
      <c r="A1981" s="272"/>
      <c r="B1981" s="272"/>
      <c r="C1981" s="272"/>
      <c r="D1981" s="172"/>
      <c r="E1981" s="267" t="str">
        <f t="shared" si="22"/>
        <v/>
      </c>
      <c r="F1981" s="274"/>
      <c r="G1981" s="42"/>
      <c r="H1981" s="264"/>
      <c r="I1981" s="277"/>
      <c r="J1981" s="276" t="str">
        <f>IF(ISBLANK(I1981), "", VLOOKUP(E1981&amp;" "&amp;F1981, 'Info Tipo de Cambio y REM'!$A$24:$B$35, 2, FALSE))
</f>
        <v/>
      </c>
      <c r="K1981" s="107"/>
      <c r="L1981" s="293"/>
      <c r="M1981" s="293"/>
      <c r="N1981" s="293"/>
      <c r="O1981" s="277"/>
      <c r="P1981" s="264"/>
      <c r="Q1981" s="264"/>
      <c r="R1981" s="264"/>
      <c r="S1981" s="264"/>
      <c r="T1981" s="264"/>
      <c r="U1981" s="264"/>
      <c r="V1981" s="264"/>
      <c r="W1981" s="264"/>
      <c r="X1981" s="264"/>
      <c r="Y1981" s="264"/>
      <c r="Z1981" s="264"/>
      <c r="AA1981" s="264"/>
      <c r="AB1981" s="264"/>
      <c r="AC1981" s="264"/>
      <c r="AD1981" s="264"/>
      <c r="AE1981" s="264"/>
    </row>
    <row r="1982">
      <c r="A1982" s="272"/>
      <c r="B1982" s="272"/>
      <c r="C1982" s="272"/>
      <c r="D1982" s="172"/>
      <c r="E1982" s="267" t="str">
        <f t="shared" si="22"/>
        <v/>
      </c>
      <c r="F1982" s="274"/>
      <c r="G1982" s="42"/>
      <c r="H1982" s="264"/>
      <c r="I1982" s="277"/>
      <c r="J1982" s="276" t="str">
        <f>IF(ISBLANK(I1982), "", VLOOKUP(E1982&amp;" "&amp;F1982, 'Info Tipo de Cambio y REM'!$A$24:$B$35, 2, FALSE))
</f>
        <v/>
      </c>
      <c r="K1982" s="107"/>
      <c r="L1982" s="293"/>
      <c r="M1982" s="293"/>
      <c r="N1982" s="293"/>
      <c r="O1982" s="277"/>
      <c r="P1982" s="264"/>
      <c r="Q1982" s="264"/>
      <c r="R1982" s="264"/>
      <c r="S1982" s="264"/>
      <c r="T1982" s="264"/>
      <c r="U1982" s="264"/>
      <c r="V1982" s="264"/>
      <c r="W1982" s="264"/>
      <c r="X1982" s="264"/>
      <c r="Y1982" s="264"/>
      <c r="Z1982" s="264"/>
      <c r="AA1982" s="264"/>
      <c r="AB1982" s="264"/>
      <c r="AC1982" s="264"/>
      <c r="AD1982" s="264"/>
      <c r="AE1982" s="264"/>
    </row>
    <row r="1983">
      <c r="A1983" s="272"/>
      <c r="B1983" s="272"/>
      <c r="C1983" s="272"/>
      <c r="D1983" s="172"/>
      <c r="E1983" s="267" t="str">
        <f t="shared" si="22"/>
        <v/>
      </c>
      <c r="F1983" s="274"/>
      <c r="G1983" s="42"/>
      <c r="H1983" s="264"/>
      <c r="I1983" s="277"/>
      <c r="J1983" s="276" t="str">
        <f>IF(ISBLANK(I1983), "", VLOOKUP(E1983&amp;" "&amp;F1983, 'Info Tipo de Cambio y REM'!$A$24:$B$35, 2, FALSE))
</f>
        <v/>
      </c>
      <c r="K1983" s="107"/>
      <c r="L1983" s="293"/>
      <c r="M1983" s="293"/>
      <c r="N1983" s="293"/>
      <c r="O1983" s="277"/>
      <c r="P1983" s="264"/>
      <c r="Q1983" s="264"/>
      <c r="R1983" s="264"/>
      <c r="S1983" s="264"/>
      <c r="T1983" s="264"/>
      <c r="U1983" s="264"/>
      <c r="V1983" s="264"/>
      <c r="W1983" s="264"/>
      <c r="X1983" s="264"/>
      <c r="Y1983" s="264"/>
      <c r="Z1983" s="264"/>
      <c r="AA1983" s="264"/>
      <c r="AB1983" s="264"/>
      <c r="AC1983" s="264"/>
      <c r="AD1983" s="264"/>
      <c r="AE1983" s="264"/>
    </row>
    <row r="1984">
      <c r="A1984" s="272"/>
      <c r="B1984" s="272"/>
      <c r="C1984" s="272"/>
      <c r="D1984" s="172"/>
      <c r="E1984" s="267" t="str">
        <f t="shared" si="22"/>
        <v/>
      </c>
      <c r="F1984" s="274"/>
      <c r="G1984" s="42"/>
      <c r="H1984" s="264"/>
      <c r="I1984" s="277"/>
      <c r="J1984" s="276" t="str">
        <f>IF(ISBLANK(I1984), "", VLOOKUP(E1984&amp;" "&amp;F1984, 'Info Tipo de Cambio y REM'!$A$24:$B$35, 2, FALSE))
</f>
        <v/>
      </c>
      <c r="K1984" s="107"/>
      <c r="L1984" s="293"/>
      <c r="M1984" s="293"/>
      <c r="N1984" s="293"/>
      <c r="O1984" s="277"/>
      <c r="P1984" s="264"/>
      <c r="Q1984" s="264"/>
      <c r="R1984" s="264"/>
      <c r="S1984" s="264"/>
      <c r="T1984" s="264"/>
      <c r="U1984" s="264"/>
      <c r="V1984" s="264"/>
      <c r="W1984" s="264"/>
      <c r="X1984" s="264"/>
      <c r="Y1984" s="264"/>
      <c r="Z1984" s="264"/>
      <c r="AA1984" s="264"/>
      <c r="AB1984" s="264"/>
      <c r="AC1984" s="264"/>
      <c r="AD1984" s="264"/>
      <c r="AE1984" s="264"/>
    </row>
    <row r="1985">
      <c r="A1985" s="272"/>
      <c r="B1985" s="272"/>
      <c r="C1985" s="272"/>
      <c r="D1985" s="172"/>
      <c r="E1985" s="267" t="str">
        <f t="shared" si="22"/>
        <v/>
      </c>
      <c r="F1985" s="274"/>
      <c r="G1985" s="42"/>
      <c r="H1985" s="264"/>
      <c r="I1985" s="277"/>
      <c r="J1985" s="276" t="str">
        <f>IF(ISBLANK(I1985), "", VLOOKUP(E1985&amp;" "&amp;F1985, 'Info Tipo de Cambio y REM'!$A$24:$B$35, 2, FALSE))
</f>
        <v/>
      </c>
      <c r="K1985" s="107"/>
      <c r="L1985" s="293"/>
      <c r="M1985" s="293"/>
      <c r="N1985" s="293"/>
      <c r="O1985" s="277"/>
      <c r="P1985" s="264"/>
      <c r="Q1985" s="264"/>
      <c r="R1985" s="264"/>
      <c r="S1985" s="264"/>
      <c r="T1985" s="264"/>
      <c r="U1985" s="264"/>
      <c r="V1985" s="264"/>
      <c r="W1985" s="264"/>
      <c r="X1985" s="264"/>
      <c r="Y1985" s="264"/>
      <c r="Z1985" s="264"/>
      <c r="AA1985" s="264"/>
      <c r="AB1985" s="264"/>
      <c r="AC1985" s="264"/>
      <c r="AD1985" s="264"/>
      <c r="AE1985" s="264"/>
    </row>
    <row r="1986">
      <c r="A1986" s="272"/>
      <c r="B1986" s="272"/>
      <c r="C1986" s="272"/>
      <c r="D1986" s="172"/>
      <c r="E1986" s="267" t="str">
        <f t="shared" si="22"/>
        <v/>
      </c>
      <c r="F1986" s="274"/>
      <c r="G1986" s="42"/>
      <c r="H1986" s="264"/>
      <c r="I1986" s="277"/>
      <c r="J1986" s="276" t="str">
        <f>IF(ISBLANK(I1986), "", VLOOKUP(E1986&amp;" "&amp;F1986, 'Info Tipo de Cambio y REM'!$A$24:$B$35, 2, FALSE))
</f>
        <v/>
      </c>
      <c r="K1986" s="107"/>
      <c r="L1986" s="293"/>
      <c r="M1986" s="293"/>
      <c r="N1986" s="293"/>
      <c r="O1986" s="277"/>
      <c r="P1986" s="264"/>
      <c r="Q1986" s="264"/>
      <c r="R1986" s="264"/>
      <c r="S1986" s="264"/>
      <c r="T1986" s="264"/>
      <c r="U1986" s="264"/>
      <c r="V1986" s="264"/>
      <c r="W1986" s="264"/>
      <c r="X1986" s="264"/>
      <c r="Y1986" s="264"/>
      <c r="Z1986" s="264"/>
      <c r="AA1986" s="264"/>
      <c r="AB1986" s="264"/>
      <c r="AC1986" s="264"/>
      <c r="AD1986" s="264"/>
      <c r="AE1986" s="264"/>
    </row>
    <row r="1987">
      <c r="A1987" s="272"/>
      <c r="B1987" s="272"/>
      <c r="C1987" s="272"/>
      <c r="D1987" s="172"/>
      <c r="E1987" s="267" t="str">
        <f t="shared" si="22"/>
        <v/>
      </c>
      <c r="F1987" s="274"/>
      <c r="G1987" s="42"/>
      <c r="H1987" s="264"/>
      <c r="I1987" s="277"/>
      <c r="J1987" s="276" t="str">
        <f>IF(ISBLANK(I1987), "", VLOOKUP(E1987&amp;" "&amp;F1987, 'Info Tipo de Cambio y REM'!$A$24:$B$35, 2, FALSE))
</f>
        <v/>
      </c>
      <c r="K1987" s="107"/>
      <c r="L1987" s="293"/>
      <c r="M1987" s="293"/>
      <c r="N1987" s="293"/>
      <c r="O1987" s="277"/>
      <c r="P1987" s="264"/>
      <c r="Q1987" s="264"/>
      <c r="R1987" s="264"/>
      <c r="S1987" s="264"/>
      <c r="T1987" s="264"/>
      <c r="U1987" s="264"/>
      <c r="V1987" s="264"/>
      <c r="W1987" s="264"/>
      <c r="X1987" s="264"/>
      <c r="Y1987" s="264"/>
      <c r="Z1987" s="264"/>
      <c r="AA1987" s="264"/>
      <c r="AB1987" s="264"/>
      <c r="AC1987" s="264"/>
      <c r="AD1987" s="264"/>
      <c r="AE1987" s="264"/>
    </row>
    <row r="1988">
      <c r="A1988" s="272"/>
      <c r="B1988" s="272"/>
      <c r="C1988" s="272"/>
      <c r="D1988" s="172"/>
      <c r="E1988" s="267" t="str">
        <f t="shared" si="22"/>
        <v/>
      </c>
      <c r="F1988" s="274"/>
      <c r="G1988" s="42"/>
      <c r="H1988" s="264"/>
      <c r="I1988" s="277"/>
      <c r="J1988" s="276" t="str">
        <f>IF(ISBLANK(I1988), "", VLOOKUP(E1988&amp;" "&amp;F1988, 'Info Tipo de Cambio y REM'!$A$24:$B$35, 2, FALSE))
</f>
        <v/>
      </c>
      <c r="K1988" s="107"/>
      <c r="L1988" s="293"/>
      <c r="M1988" s="293"/>
      <c r="N1988" s="293"/>
      <c r="O1988" s="277"/>
      <c r="P1988" s="264"/>
      <c r="Q1988" s="264"/>
      <c r="R1988" s="264"/>
      <c r="S1988" s="264"/>
      <c r="T1988" s="264"/>
      <c r="U1988" s="264"/>
      <c r="V1988" s="264"/>
      <c r="W1988" s="264"/>
      <c r="X1988" s="264"/>
      <c r="Y1988" s="264"/>
      <c r="Z1988" s="264"/>
      <c r="AA1988" s="264"/>
      <c r="AB1988" s="264"/>
      <c r="AC1988" s="264"/>
      <c r="AD1988" s="264"/>
      <c r="AE1988" s="264"/>
    </row>
    <row r="1989">
      <c r="A1989" s="272"/>
      <c r="B1989" s="272"/>
      <c r="C1989" s="272"/>
      <c r="D1989" s="172"/>
      <c r="E1989" s="267" t="str">
        <f t="shared" si="22"/>
        <v/>
      </c>
      <c r="F1989" s="274"/>
      <c r="G1989" s="42"/>
      <c r="H1989" s="264"/>
      <c r="I1989" s="277"/>
      <c r="J1989" s="276" t="str">
        <f>IF(ISBLANK(I1989), "", VLOOKUP(E1989&amp;" "&amp;F1989, 'Info Tipo de Cambio y REM'!$A$24:$B$35, 2, FALSE))
</f>
        <v/>
      </c>
      <c r="K1989" s="107"/>
      <c r="L1989" s="293"/>
      <c r="M1989" s="293"/>
      <c r="N1989" s="293"/>
      <c r="O1989" s="277"/>
      <c r="P1989" s="264"/>
      <c r="Q1989" s="264"/>
      <c r="R1989" s="264"/>
      <c r="S1989" s="264"/>
      <c r="T1989" s="264"/>
      <c r="U1989" s="264"/>
      <c r="V1989" s="264"/>
      <c r="W1989" s="264"/>
      <c r="X1989" s="264"/>
      <c r="Y1989" s="264"/>
      <c r="Z1989" s="264"/>
      <c r="AA1989" s="264"/>
      <c r="AB1989" s="264"/>
      <c r="AC1989" s="264"/>
      <c r="AD1989" s="264"/>
      <c r="AE1989" s="264"/>
    </row>
    <row r="1990">
      <c r="A1990" s="272"/>
      <c r="B1990" s="272"/>
      <c r="C1990" s="272"/>
      <c r="D1990" s="172"/>
      <c r="E1990" s="267" t="str">
        <f t="shared" si="22"/>
        <v/>
      </c>
      <c r="F1990" s="274"/>
      <c r="G1990" s="42"/>
      <c r="H1990" s="264"/>
      <c r="I1990" s="277"/>
      <c r="J1990" s="276" t="str">
        <f>IF(ISBLANK(I1990), "", VLOOKUP(E1990&amp;" "&amp;F1990, 'Info Tipo de Cambio y REM'!$A$24:$B$35, 2, FALSE))
</f>
        <v/>
      </c>
      <c r="K1990" s="107"/>
      <c r="L1990" s="293"/>
      <c r="M1990" s="293"/>
      <c r="N1990" s="293"/>
      <c r="O1990" s="277"/>
      <c r="P1990" s="264"/>
      <c r="Q1990" s="264"/>
      <c r="R1990" s="264"/>
      <c r="S1990" s="264"/>
      <c r="T1990" s="264"/>
      <c r="U1990" s="264"/>
      <c r="V1990" s="264"/>
      <c r="W1990" s="264"/>
      <c r="X1990" s="264"/>
      <c r="Y1990" s="264"/>
      <c r="Z1990" s="264"/>
      <c r="AA1990" s="264"/>
      <c r="AB1990" s="264"/>
      <c r="AC1990" s="264"/>
      <c r="AD1990" s="264"/>
      <c r="AE1990" s="264"/>
    </row>
    <row r="1991">
      <c r="A1991" s="272"/>
      <c r="B1991" s="272"/>
      <c r="C1991" s="272"/>
      <c r="D1991" s="172"/>
      <c r="E1991" s="267" t="str">
        <f t="shared" si="22"/>
        <v/>
      </c>
      <c r="F1991" s="274"/>
      <c r="G1991" s="42"/>
      <c r="H1991" s="264"/>
      <c r="I1991" s="277"/>
      <c r="J1991" s="276" t="str">
        <f>IF(ISBLANK(I1991), "", VLOOKUP(E1991&amp;" "&amp;F1991, 'Info Tipo de Cambio y REM'!$A$24:$B$35, 2, FALSE))
</f>
        <v/>
      </c>
      <c r="K1991" s="107"/>
      <c r="L1991" s="293"/>
      <c r="M1991" s="293"/>
      <c r="N1991" s="293"/>
      <c r="O1991" s="277"/>
      <c r="P1991" s="264"/>
      <c r="Q1991" s="264"/>
      <c r="R1991" s="264"/>
      <c r="S1991" s="264"/>
      <c r="T1991" s="264"/>
      <c r="U1991" s="264"/>
      <c r="V1991" s="264"/>
      <c r="W1991" s="264"/>
      <c r="X1991" s="264"/>
      <c r="Y1991" s="264"/>
      <c r="Z1991" s="264"/>
      <c r="AA1991" s="264"/>
      <c r="AB1991" s="264"/>
      <c r="AC1991" s="264"/>
      <c r="AD1991" s="264"/>
      <c r="AE1991" s="264"/>
    </row>
    <row r="1992">
      <c r="A1992" s="272"/>
      <c r="B1992" s="272"/>
      <c r="C1992" s="272"/>
      <c r="D1992" s="172"/>
      <c r="E1992" s="267" t="str">
        <f t="shared" si="22"/>
        <v/>
      </c>
      <c r="F1992" s="274"/>
      <c r="G1992" s="42"/>
      <c r="H1992" s="264"/>
      <c r="I1992" s="277"/>
      <c r="J1992" s="276" t="str">
        <f>IF(ISBLANK(I1992), "", VLOOKUP(E1992&amp;" "&amp;F1992, 'Info Tipo de Cambio y REM'!$A$24:$B$35, 2, FALSE))
</f>
        <v/>
      </c>
      <c r="K1992" s="107"/>
      <c r="L1992" s="293"/>
      <c r="M1992" s="293"/>
      <c r="N1992" s="293"/>
      <c r="O1992" s="277"/>
      <c r="P1992" s="264"/>
      <c r="Q1992" s="264"/>
      <c r="R1992" s="264"/>
      <c r="S1992" s="264"/>
      <c r="T1992" s="264"/>
      <c r="U1992" s="264"/>
      <c r="V1992" s="264"/>
      <c r="W1992" s="264"/>
      <c r="X1992" s="264"/>
      <c r="Y1992" s="264"/>
      <c r="Z1992" s="264"/>
      <c r="AA1992" s="264"/>
      <c r="AB1992" s="264"/>
      <c r="AC1992" s="264"/>
      <c r="AD1992" s="264"/>
      <c r="AE1992" s="264"/>
    </row>
    <row r="1993">
      <c r="A1993" s="272"/>
      <c r="B1993" s="272"/>
      <c r="C1993" s="272"/>
      <c r="D1993" s="172"/>
      <c r="E1993" s="267" t="str">
        <f t="shared" si="22"/>
        <v/>
      </c>
      <c r="F1993" s="274"/>
      <c r="G1993" s="42"/>
      <c r="H1993" s="264"/>
      <c r="I1993" s="277"/>
      <c r="J1993" s="276" t="str">
        <f>IF(ISBLANK(I1993), "", VLOOKUP(E1993&amp;" "&amp;F1993, 'Info Tipo de Cambio y REM'!$A$24:$B$35, 2, FALSE))
</f>
        <v/>
      </c>
      <c r="K1993" s="107"/>
      <c r="L1993" s="293"/>
      <c r="M1993" s="293"/>
      <c r="N1993" s="293"/>
      <c r="O1993" s="277"/>
      <c r="P1993" s="264"/>
      <c r="Q1993" s="264"/>
      <c r="R1993" s="264"/>
      <c r="S1993" s="264"/>
      <c r="T1993" s="264"/>
      <c r="U1993" s="264"/>
      <c r="V1993" s="264"/>
      <c r="W1993" s="264"/>
      <c r="X1993" s="264"/>
      <c r="Y1993" s="264"/>
      <c r="Z1993" s="264"/>
      <c r="AA1993" s="264"/>
      <c r="AB1993" s="264"/>
      <c r="AC1993" s="264"/>
      <c r="AD1993" s="264"/>
      <c r="AE1993" s="264"/>
    </row>
    <row r="1994">
      <c r="A1994" s="272"/>
      <c r="B1994" s="272"/>
      <c r="C1994" s="272"/>
      <c r="D1994" s="172"/>
      <c r="E1994" s="267" t="str">
        <f t="shared" si="22"/>
        <v/>
      </c>
      <c r="F1994" s="274"/>
      <c r="G1994" s="42"/>
      <c r="H1994" s="264"/>
      <c r="I1994" s="277"/>
      <c r="J1994" s="276" t="str">
        <f>IF(ISBLANK(I1994), "", VLOOKUP(E1994&amp;" "&amp;F1994, 'Info Tipo de Cambio y REM'!$A$24:$B$35, 2, FALSE))
</f>
        <v/>
      </c>
      <c r="K1994" s="107"/>
      <c r="L1994" s="293"/>
      <c r="M1994" s="293"/>
      <c r="N1994" s="293"/>
      <c r="O1994" s="277"/>
      <c r="P1994" s="264"/>
      <c r="Q1994" s="264"/>
      <c r="R1994" s="264"/>
      <c r="S1994" s="264"/>
      <c r="T1994" s="264"/>
      <c r="U1994" s="264"/>
      <c r="V1994" s="264"/>
      <c r="W1994" s="264"/>
      <c r="X1994" s="264"/>
      <c r="Y1994" s="264"/>
      <c r="Z1994" s="264"/>
      <c r="AA1994" s="264"/>
      <c r="AB1994" s="264"/>
      <c r="AC1994" s="264"/>
      <c r="AD1994" s="264"/>
      <c r="AE1994" s="264"/>
    </row>
    <row r="1995">
      <c r="A1995" s="272"/>
      <c r="B1995" s="272"/>
      <c r="C1995" s="272"/>
      <c r="D1995" s="172"/>
      <c r="E1995" s="267" t="str">
        <f t="shared" si="22"/>
        <v/>
      </c>
      <c r="F1995" s="274"/>
      <c r="G1995" s="42"/>
      <c r="H1995" s="264"/>
      <c r="I1995" s="277"/>
      <c r="J1995" s="276" t="str">
        <f>IF(ISBLANK(I1995), "", VLOOKUP(E1995&amp;" "&amp;F1995, 'Info Tipo de Cambio y REM'!$A$24:$B$35, 2, FALSE))
</f>
        <v/>
      </c>
      <c r="K1995" s="107"/>
      <c r="L1995" s="293"/>
      <c r="M1995" s="293"/>
      <c r="N1995" s="293"/>
      <c r="O1995" s="277"/>
      <c r="P1995" s="264"/>
      <c r="Q1995" s="264"/>
      <c r="R1995" s="264"/>
      <c r="S1995" s="264"/>
      <c r="T1995" s="264"/>
      <c r="U1995" s="264"/>
      <c r="V1995" s="264"/>
      <c r="W1995" s="264"/>
      <c r="X1995" s="264"/>
      <c r="Y1995" s="264"/>
      <c r="Z1995" s="264"/>
      <c r="AA1995" s="264"/>
      <c r="AB1995" s="264"/>
      <c r="AC1995" s="264"/>
      <c r="AD1995" s="264"/>
      <c r="AE1995" s="264"/>
    </row>
    <row r="1996">
      <c r="A1996" s="272"/>
      <c r="B1996" s="272"/>
      <c r="C1996" s="272"/>
      <c r="D1996" s="172"/>
      <c r="E1996" s="267" t="str">
        <f t="shared" si="22"/>
        <v/>
      </c>
      <c r="F1996" s="274"/>
      <c r="G1996" s="42"/>
      <c r="H1996" s="264"/>
      <c r="I1996" s="277"/>
      <c r="J1996" s="276" t="str">
        <f>IF(ISBLANK(I1996), "", VLOOKUP(E1996&amp;" "&amp;F1996, 'Info Tipo de Cambio y REM'!$A$24:$B$35, 2, FALSE))
</f>
        <v/>
      </c>
      <c r="K1996" s="107"/>
      <c r="L1996" s="293"/>
      <c r="M1996" s="293"/>
      <c r="N1996" s="293"/>
      <c r="O1996" s="277"/>
      <c r="P1996" s="264"/>
      <c r="Q1996" s="264"/>
      <c r="R1996" s="264"/>
      <c r="S1996" s="264"/>
      <c r="T1996" s="264"/>
      <c r="U1996" s="264"/>
      <c r="V1996" s="264"/>
      <c r="W1996" s="264"/>
      <c r="X1996" s="264"/>
      <c r="Y1996" s="264"/>
      <c r="Z1996" s="264"/>
      <c r="AA1996" s="264"/>
      <c r="AB1996" s="264"/>
      <c r="AC1996" s="264"/>
      <c r="AD1996" s="264"/>
      <c r="AE1996" s="264"/>
    </row>
    <row r="1997">
      <c r="A1997" s="272"/>
      <c r="B1997" s="272"/>
      <c r="C1997" s="272"/>
      <c r="D1997" s="172"/>
      <c r="E1997" s="267" t="str">
        <f t="shared" si="22"/>
        <v/>
      </c>
      <c r="F1997" s="274"/>
      <c r="G1997" s="42"/>
      <c r="H1997" s="264"/>
      <c r="I1997" s="277"/>
      <c r="J1997" s="276" t="str">
        <f>IF(ISBLANK(I1997), "", VLOOKUP(E1997&amp;" "&amp;F1997, 'Info Tipo de Cambio y REM'!$A$24:$B$35, 2, FALSE))
</f>
        <v/>
      </c>
      <c r="K1997" s="107"/>
      <c r="L1997" s="293"/>
      <c r="M1997" s="293"/>
      <c r="N1997" s="293"/>
      <c r="O1997" s="277"/>
      <c r="P1997" s="264"/>
      <c r="Q1997" s="264"/>
      <c r="R1997" s="264"/>
      <c r="S1997" s="264"/>
      <c r="T1997" s="264"/>
      <c r="U1997" s="264"/>
      <c r="V1997" s="264"/>
      <c r="W1997" s="264"/>
      <c r="X1997" s="264"/>
      <c r="Y1997" s="264"/>
      <c r="Z1997" s="264"/>
      <c r="AA1997" s="264"/>
      <c r="AB1997" s="264"/>
      <c r="AC1997" s="264"/>
      <c r="AD1997" s="264"/>
      <c r="AE1997" s="264"/>
    </row>
    <row r="1998">
      <c r="A1998" s="272"/>
      <c r="B1998" s="272"/>
      <c r="C1998" s="272"/>
      <c r="D1998" s="172"/>
      <c r="E1998" s="267" t="str">
        <f t="shared" si="22"/>
        <v/>
      </c>
      <c r="F1998" s="274"/>
      <c r="G1998" s="42"/>
      <c r="H1998" s="264"/>
      <c r="I1998" s="277"/>
      <c r="J1998" s="276" t="str">
        <f>IF(ISBLANK(I1998), "", VLOOKUP(E1998&amp;" "&amp;F1998, 'Info Tipo de Cambio y REM'!$A$24:$B$35, 2, FALSE))
</f>
        <v/>
      </c>
      <c r="K1998" s="107"/>
      <c r="L1998" s="293"/>
      <c r="M1998" s="293"/>
      <c r="N1998" s="293"/>
      <c r="O1998" s="277"/>
      <c r="P1998" s="264"/>
      <c r="Q1998" s="264"/>
      <c r="R1998" s="264"/>
      <c r="S1998" s="264"/>
      <c r="T1998" s="264"/>
      <c r="U1998" s="264"/>
      <c r="V1998" s="264"/>
      <c r="W1998" s="264"/>
      <c r="X1998" s="264"/>
      <c r="Y1998" s="264"/>
      <c r="Z1998" s="264"/>
      <c r="AA1998" s="264"/>
      <c r="AB1998" s="264"/>
      <c r="AC1998" s="264"/>
      <c r="AD1998" s="264"/>
      <c r="AE1998" s="264"/>
    </row>
    <row r="1999">
      <c r="A1999" s="272"/>
      <c r="B1999" s="272"/>
      <c r="C1999" s="272"/>
      <c r="D1999" s="172"/>
      <c r="E1999" s="267" t="str">
        <f t="shared" si="22"/>
        <v/>
      </c>
      <c r="F1999" s="274"/>
      <c r="G1999" s="42"/>
      <c r="H1999" s="264"/>
      <c r="I1999" s="277"/>
      <c r="J1999" s="276" t="str">
        <f>IF(ISBLANK(I1999), "", VLOOKUP(E1999&amp;" "&amp;F1999, 'Info Tipo de Cambio y REM'!$A$24:$B$35, 2, FALSE))
</f>
        <v/>
      </c>
      <c r="K1999" s="107"/>
      <c r="L1999" s="293"/>
      <c r="M1999" s="293"/>
      <c r="N1999" s="293"/>
      <c r="O1999" s="277"/>
      <c r="P1999" s="264"/>
      <c r="Q1999" s="264"/>
      <c r="R1999" s="264"/>
      <c r="S1999" s="264"/>
      <c r="T1999" s="264"/>
      <c r="U1999" s="264"/>
      <c r="V1999" s="264"/>
      <c r="W1999" s="264"/>
      <c r="X1999" s="264"/>
      <c r="Y1999" s="264"/>
      <c r="Z1999" s="264"/>
      <c r="AA1999" s="264"/>
      <c r="AB1999" s="264"/>
      <c r="AC1999" s="264"/>
      <c r="AD1999" s="264"/>
      <c r="AE1999" s="264"/>
    </row>
    <row r="2000">
      <c r="A2000" s="272"/>
      <c r="B2000" s="272"/>
      <c r="C2000" s="272"/>
      <c r="D2000" s="172"/>
      <c r="E2000" s="267" t="str">
        <f t="shared" si="22"/>
        <v/>
      </c>
      <c r="F2000" s="274"/>
      <c r="G2000" s="42"/>
      <c r="H2000" s="264"/>
      <c r="I2000" s="277"/>
      <c r="J2000" s="276" t="str">
        <f>IF(ISBLANK(I2000), "", VLOOKUP(E2000&amp;" "&amp;F2000, 'Info Tipo de Cambio y REM'!$A$24:$B$35, 2, FALSE))
</f>
        <v/>
      </c>
      <c r="K2000" s="107"/>
      <c r="L2000" s="293"/>
      <c r="M2000" s="293"/>
      <c r="N2000" s="293"/>
      <c r="O2000" s="277"/>
      <c r="P2000" s="264"/>
      <c r="Q2000" s="264"/>
      <c r="R2000" s="264"/>
      <c r="S2000" s="264"/>
      <c r="T2000" s="264"/>
      <c r="U2000" s="264"/>
      <c r="V2000" s="264"/>
      <c r="W2000" s="264"/>
      <c r="X2000" s="264"/>
      <c r="Y2000" s="264"/>
      <c r="Z2000" s="264"/>
      <c r="AA2000" s="264"/>
      <c r="AB2000" s="264"/>
      <c r="AC2000" s="264"/>
      <c r="AD2000" s="264"/>
      <c r="AE2000" s="264"/>
    </row>
    <row r="2001">
      <c r="A2001" s="272"/>
      <c r="B2001" s="272"/>
      <c r="C2001" s="272"/>
      <c r="D2001" s="172"/>
      <c r="E2001" s="267" t="str">
        <f t="shared" si="22"/>
        <v/>
      </c>
      <c r="F2001" s="274"/>
      <c r="G2001" s="42"/>
      <c r="H2001" s="264"/>
      <c r="I2001" s="277"/>
      <c r="J2001" s="276" t="str">
        <f>IF(ISBLANK(I2001), "", VLOOKUP(E2001&amp;" "&amp;F2001, 'Info Tipo de Cambio y REM'!$A$24:$B$35, 2, FALSE))
</f>
        <v/>
      </c>
      <c r="K2001" s="107"/>
      <c r="L2001" s="293"/>
      <c r="M2001" s="293"/>
      <c r="N2001" s="293"/>
      <c r="O2001" s="277"/>
      <c r="P2001" s="264"/>
      <c r="Q2001" s="264"/>
      <c r="R2001" s="264"/>
      <c r="S2001" s="264"/>
      <c r="T2001" s="264"/>
      <c r="U2001" s="264"/>
      <c r="V2001" s="264"/>
      <c r="W2001" s="264"/>
      <c r="X2001" s="264"/>
      <c r="Y2001" s="264"/>
      <c r="Z2001" s="264"/>
      <c r="AA2001" s="264"/>
      <c r="AB2001" s="264"/>
      <c r="AC2001" s="264"/>
      <c r="AD2001" s="264"/>
      <c r="AE2001" s="264"/>
    </row>
    <row r="2002">
      <c r="A2002" s="272"/>
      <c r="B2002" s="272"/>
      <c r="C2002" s="272"/>
      <c r="D2002" s="172"/>
      <c r="E2002" s="267" t="str">
        <f t="shared" si="22"/>
        <v/>
      </c>
      <c r="F2002" s="274"/>
      <c r="G2002" s="42"/>
      <c r="H2002" s="264"/>
      <c r="I2002" s="277"/>
      <c r="J2002" s="276" t="str">
        <f>IF(ISBLANK(I2002), "", VLOOKUP(E2002&amp;" "&amp;F2002, 'Info Tipo de Cambio y REM'!$A$24:$B$35, 2, FALSE))
</f>
        <v/>
      </c>
      <c r="K2002" s="107"/>
      <c r="L2002" s="293"/>
      <c r="M2002" s="293"/>
      <c r="N2002" s="293"/>
      <c r="O2002" s="277"/>
      <c r="P2002" s="264"/>
      <c r="Q2002" s="264"/>
      <c r="R2002" s="264"/>
      <c r="S2002" s="264"/>
      <c r="T2002" s="264"/>
      <c r="U2002" s="264"/>
      <c r="V2002" s="264"/>
      <c r="W2002" s="264"/>
      <c r="X2002" s="264"/>
      <c r="Y2002" s="264"/>
      <c r="Z2002" s="264"/>
      <c r="AA2002" s="264"/>
      <c r="AB2002" s="264"/>
      <c r="AC2002" s="264"/>
      <c r="AD2002" s="264"/>
      <c r="AE2002" s="264"/>
    </row>
    <row r="2003">
      <c r="A2003" s="272"/>
      <c r="B2003" s="272"/>
      <c r="C2003" s="272"/>
      <c r="D2003" s="172"/>
      <c r="E2003" s="267" t="str">
        <f t="shared" si="22"/>
        <v/>
      </c>
      <c r="F2003" s="274"/>
      <c r="G2003" s="42"/>
      <c r="H2003" s="264"/>
      <c r="I2003" s="277"/>
      <c r="J2003" s="276" t="str">
        <f>IF(ISBLANK(I2003), "", VLOOKUP(E2003&amp;" "&amp;F2003, 'Info Tipo de Cambio y REM'!$A$24:$B$35, 2, FALSE))
</f>
        <v/>
      </c>
      <c r="K2003" s="107"/>
      <c r="L2003" s="293"/>
      <c r="M2003" s="293"/>
      <c r="N2003" s="293"/>
      <c r="O2003" s="277"/>
      <c r="P2003" s="264"/>
      <c r="Q2003" s="264"/>
      <c r="R2003" s="264"/>
      <c r="S2003" s="264"/>
      <c r="T2003" s="264"/>
      <c r="U2003" s="264"/>
      <c r="V2003" s="264"/>
      <c r="W2003" s="264"/>
      <c r="X2003" s="264"/>
      <c r="Y2003" s="264"/>
      <c r="Z2003" s="264"/>
      <c r="AA2003" s="264"/>
      <c r="AB2003" s="264"/>
      <c r="AC2003" s="264"/>
      <c r="AD2003" s="264"/>
      <c r="AE2003" s="264"/>
    </row>
    <row r="2004">
      <c r="A2004" s="272"/>
      <c r="B2004" s="272"/>
      <c r="C2004" s="272"/>
      <c r="D2004" s="172"/>
      <c r="E2004" s="267" t="str">
        <f t="shared" si="22"/>
        <v/>
      </c>
      <c r="F2004" s="274"/>
      <c r="G2004" s="42"/>
      <c r="H2004" s="264"/>
      <c r="I2004" s="277"/>
      <c r="J2004" s="276" t="str">
        <f>IF(ISBLANK(I2004), "", VLOOKUP(E2004&amp;" "&amp;F2004, 'Info Tipo de Cambio y REM'!$A$24:$B$35, 2, FALSE))
</f>
        <v/>
      </c>
      <c r="K2004" s="107"/>
      <c r="L2004" s="293"/>
      <c r="M2004" s="293"/>
      <c r="N2004" s="293"/>
      <c r="O2004" s="277"/>
      <c r="P2004" s="264"/>
      <c r="Q2004" s="264"/>
      <c r="R2004" s="264"/>
      <c r="S2004" s="264"/>
      <c r="T2004" s="264"/>
      <c r="U2004" s="264"/>
      <c r="V2004" s="264"/>
      <c r="W2004" s="264"/>
      <c r="X2004" s="264"/>
      <c r="Y2004" s="264"/>
      <c r="Z2004" s="264"/>
      <c r="AA2004" s="264"/>
      <c r="AB2004" s="264"/>
      <c r="AC2004" s="264"/>
      <c r="AD2004" s="264"/>
      <c r="AE2004" s="264"/>
    </row>
    <row r="2005">
      <c r="A2005" s="272"/>
      <c r="B2005" s="272"/>
      <c r="C2005" s="272"/>
      <c r="D2005" s="172"/>
      <c r="E2005" s="267" t="str">
        <f t="shared" si="22"/>
        <v/>
      </c>
      <c r="F2005" s="274"/>
      <c r="G2005" s="42"/>
      <c r="H2005" s="264"/>
      <c r="I2005" s="277"/>
      <c r="J2005" s="276" t="str">
        <f>IF(ISBLANK(I2005), "", VLOOKUP(E2005&amp;" "&amp;F2005, 'Info Tipo de Cambio y REM'!$A$24:$B$35, 2, FALSE))
</f>
        <v/>
      </c>
      <c r="K2005" s="107"/>
      <c r="L2005" s="293"/>
      <c r="M2005" s="293"/>
      <c r="N2005" s="293"/>
      <c r="O2005" s="277"/>
      <c r="P2005" s="264"/>
      <c r="Q2005" s="264"/>
      <c r="R2005" s="264"/>
      <c r="S2005" s="264"/>
      <c r="T2005" s="264"/>
      <c r="U2005" s="264"/>
      <c r="V2005" s="264"/>
      <c r="W2005" s="264"/>
      <c r="X2005" s="264"/>
      <c r="Y2005" s="264"/>
      <c r="Z2005" s="264"/>
      <c r="AA2005" s="264"/>
      <c r="AB2005" s="264"/>
      <c r="AC2005" s="264"/>
      <c r="AD2005" s="264"/>
      <c r="AE2005" s="264"/>
    </row>
    <row r="2006">
      <c r="A2006" s="272"/>
      <c r="B2006" s="272"/>
      <c r="C2006" s="272"/>
      <c r="D2006" s="172"/>
      <c r="E2006" s="267" t="str">
        <f t="shared" si="22"/>
        <v/>
      </c>
      <c r="F2006" s="274"/>
      <c r="G2006" s="42"/>
      <c r="H2006" s="264"/>
      <c r="I2006" s="277"/>
      <c r="J2006" s="276" t="str">
        <f>IF(ISBLANK(I2006), "", VLOOKUP(E2006&amp;" "&amp;F2006, 'Info Tipo de Cambio y REM'!$A$24:$B$35, 2, FALSE))
</f>
        <v/>
      </c>
      <c r="K2006" s="107"/>
      <c r="L2006" s="293"/>
      <c r="M2006" s="293"/>
      <c r="N2006" s="293"/>
      <c r="O2006" s="277"/>
      <c r="P2006" s="264"/>
      <c r="Q2006" s="264"/>
      <c r="R2006" s="264"/>
      <c r="S2006" s="264"/>
      <c r="T2006" s="264"/>
      <c r="U2006" s="264"/>
      <c r="V2006" s="264"/>
      <c r="W2006" s="264"/>
      <c r="X2006" s="264"/>
      <c r="Y2006" s="264"/>
      <c r="Z2006" s="264"/>
      <c r="AA2006" s="264"/>
      <c r="AB2006" s="264"/>
      <c r="AC2006" s="264"/>
      <c r="AD2006" s="264"/>
      <c r="AE2006" s="264"/>
    </row>
    <row r="2007">
      <c r="A2007" s="272"/>
      <c r="B2007" s="272"/>
      <c r="C2007" s="272"/>
      <c r="D2007" s="172"/>
      <c r="E2007" s="267" t="str">
        <f t="shared" si="22"/>
        <v/>
      </c>
      <c r="F2007" s="274"/>
      <c r="G2007" s="42"/>
      <c r="H2007" s="264"/>
      <c r="I2007" s="277"/>
      <c r="J2007" s="276" t="str">
        <f>IF(ISBLANK(I2007), "", VLOOKUP(E2007&amp;" "&amp;F2007, 'Info Tipo de Cambio y REM'!$A$24:$B$35, 2, FALSE))
</f>
        <v/>
      </c>
      <c r="K2007" s="107"/>
      <c r="L2007" s="293"/>
      <c r="M2007" s="293"/>
      <c r="N2007" s="293"/>
      <c r="O2007" s="277"/>
      <c r="P2007" s="264"/>
      <c r="Q2007" s="264"/>
      <c r="R2007" s="264"/>
      <c r="S2007" s="264"/>
      <c r="T2007" s="264"/>
      <c r="U2007" s="264"/>
      <c r="V2007" s="264"/>
      <c r="W2007" s="264"/>
      <c r="X2007" s="264"/>
      <c r="Y2007" s="264"/>
      <c r="Z2007" s="264"/>
      <c r="AA2007" s="264"/>
      <c r="AB2007" s="264"/>
      <c r="AC2007" s="264"/>
      <c r="AD2007" s="264"/>
      <c r="AE2007" s="264"/>
    </row>
    <row r="2008">
      <c r="A2008" s="272"/>
      <c r="B2008" s="272"/>
      <c r="C2008" s="272"/>
      <c r="D2008" s="172"/>
      <c r="E2008" s="267" t="str">
        <f t="shared" si="22"/>
        <v/>
      </c>
      <c r="F2008" s="274"/>
      <c r="G2008" s="42"/>
      <c r="H2008" s="264"/>
      <c r="I2008" s="277"/>
      <c r="J2008" s="276" t="str">
        <f>IF(ISBLANK(I2008), "", VLOOKUP(E2008&amp;" "&amp;F2008, 'Info Tipo de Cambio y REM'!$A$24:$B$35, 2, FALSE))
</f>
        <v/>
      </c>
      <c r="K2008" s="107"/>
      <c r="L2008" s="293"/>
      <c r="M2008" s="293"/>
      <c r="N2008" s="293"/>
      <c r="O2008" s="277"/>
      <c r="P2008" s="264"/>
      <c r="Q2008" s="264"/>
      <c r="R2008" s="264"/>
      <c r="S2008" s="264"/>
      <c r="T2008" s="264"/>
      <c r="U2008" s="264"/>
      <c r="V2008" s="264"/>
      <c r="W2008" s="264"/>
      <c r="X2008" s="264"/>
      <c r="Y2008" s="264"/>
      <c r="Z2008" s="264"/>
      <c r="AA2008" s="264"/>
      <c r="AB2008" s="264"/>
      <c r="AC2008" s="264"/>
      <c r="AD2008" s="264"/>
      <c r="AE2008" s="264"/>
    </row>
    <row r="2009">
      <c r="A2009" s="272"/>
      <c r="B2009" s="272"/>
      <c r="C2009" s="272"/>
      <c r="D2009" s="172"/>
      <c r="E2009" s="267" t="str">
        <f t="shared" si="22"/>
        <v/>
      </c>
      <c r="F2009" s="274"/>
      <c r="G2009" s="42"/>
      <c r="H2009" s="264"/>
      <c r="I2009" s="277"/>
      <c r="J2009" s="276" t="str">
        <f>IF(ISBLANK(I2009), "", VLOOKUP(E2009&amp;" "&amp;F2009, 'Info Tipo de Cambio y REM'!$A$24:$B$35, 2, FALSE))
</f>
        <v/>
      </c>
      <c r="K2009" s="107"/>
      <c r="L2009" s="293"/>
      <c r="M2009" s="293"/>
      <c r="N2009" s="293"/>
      <c r="O2009" s="277"/>
      <c r="P2009" s="264"/>
      <c r="Q2009" s="264"/>
      <c r="R2009" s="264"/>
      <c r="S2009" s="264"/>
      <c r="T2009" s="264"/>
      <c r="U2009" s="264"/>
      <c r="V2009" s="264"/>
      <c r="W2009" s="264"/>
      <c r="X2009" s="264"/>
      <c r="Y2009" s="264"/>
      <c r="Z2009" s="264"/>
      <c r="AA2009" s="264"/>
      <c r="AB2009" s="264"/>
      <c r="AC2009" s="264"/>
      <c r="AD2009" s="264"/>
      <c r="AE2009" s="264"/>
    </row>
    <row r="2010">
      <c r="A2010" s="272"/>
      <c r="B2010" s="272"/>
      <c r="C2010" s="272"/>
      <c r="D2010" s="172"/>
      <c r="E2010" s="267" t="str">
        <f t="shared" si="22"/>
        <v/>
      </c>
      <c r="F2010" s="274"/>
      <c r="G2010" s="42"/>
      <c r="H2010" s="264"/>
      <c r="I2010" s="277"/>
      <c r="J2010" s="276" t="str">
        <f>IF(ISBLANK(I2010), "", VLOOKUP(E2010&amp;" "&amp;F2010, 'Info Tipo de Cambio y REM'!$A$24:$B$35, 2, FALSE))
</f>
        <v/>
      </c>
      <c r="K2010" s="107"/>
      <c r="L2010" s="293"/>
      <c r="M2010" s="293"/>
      <c r="N2010" s="293"/>
      <c r="O2010" s="277"/>
      <c r="P2010" s="264"/>
      <c r="Q2010" s="264"/>
      <c r="R2010" s="264"/>
      <c r="S2010" s="264"/>
      <c r="T2010" s="264"/>
      <c r="U2010" s="264"/>
      <c r="V2010" s="264"/>
      <c r="W2010" s="264"/>
      <c r="X2010" s="264"/>
      <c r="Y2010" s="264"/>
      <c r="Z2010" s="264"/>
      <c r="AA2010" s="264"/>
      <c r="AB2010" s="264"/>
      <c r="AC2010" s="264"/>
      <c r="AD2010" s="264"/>
      <c r="AE2010" s="264"/>
    </row>
    <row r="2011">
      <c r="A2011" s="272"/>
      <c r="B2011" s="272"/>
      <c r="C2011" s="272"/>
      <c r="D2011" s="172"/>
      <c r="E2011" s="267" t="str">
        <f t="shared" si="22"/>
        <v/>
      </c>
      <c r="F2011" s="274"/>
      <c r="G2011" s="42"/>
      <c r="H2011" s="264"/>
      <c r="I2011" s="277"/>
      <c r="J2011" s="276" t="str">
        <f>IF(ISBLANK(I2011), "", VLOOKUP(E2011&amp;" "&amp;F2011, 'Info Tipo de Cambio y REM'!$A$24:$B$35, 2, FALSE))
</f>
        <v/>
      </c>
      <c r="K2011" s="107"/>
      <c r="L2011" s="293"/>
      <c r="M2011" s="293"/>
      <c r="N2011" s="293"/>
      <c r="O2011" s="277"/>
      <c r="P2011" s="264"/>
      <c r="Q2011" s="264"/>
      <c r="R2011" s="264"/>
      <c r="S2011" s="264"/>
      <c r="T2011" s="264"/>
      <c r="U2011" s="264"/>
      <c r="V2011" s="264"/>
      <c r="W2011" s="264"/>
      <c r="X2011" s="264"/>
      <c r="Y2011" s="264"/>
      <c r="Z2011" s="264"/>
      <c r="AA2011" s="264"/>
      <c r="AB2011" s="264"/>
      <c r="AC2011" s="264"/>
      <c r="AD2011" s="264"/>
      <c r="AE2011" s="264"/>
    </row>
    <row r="2012">
      <c r="A2012" s="272"/>
      <c r="B2012" s="272"/>
      <c r="C2012" s="272"/>
      <c r="D2012" s="172"/>
      <c r="E2012" s="267" t="str">
        <f t="shared" si="22"/>
        <v/>
      </c>
      <c r="F2012" s="274"/>
      <c r="G2012" s="42"/>
      <c r="H2012" s="264"/>
      <c r="I2012" s="277"/>
      <c r="J2012" s="276" t="str">
        <f>IF(ISBLANK(I2012), "", VLOOKUP(E2012&amp;" "&amp;F2012, 'Info Tipo de Cambio y REM'!$A$24:$B$35, 2, FALSE))
</f>
        <v/>
      </c>
      <c r="K2012" s="107"/>
      <c r="L2012" s="293"/>
      <c r="M2012" s="293"/>
      <c r="N2012" s="293"/>
      <c r="O2012" s="277"/>
      <c r="P2012" s="264"/>
      <c r="Q2012" s="264"/>
      <c r="R2012" s="264"/>
      <c r="S2012" s="264"/>
      <c r="T2012" s="264"/>
      <c r="U2012" s="264"/>
      <c r="V2012" s="264"/>
      <c r="W2012" s="264"/>
      <c r="X2012" s="264"/>
      <c r="Y2012" s="264"/>
      <c r="Z2012" s="264"/>
      <c r="AA2012" s="264"/>
      <c r="AB2012" s="264"/>
      <c r="AC2012" s="264"/>
      <c r="AD2012" s="264"/>
      <c r="AE2012" s="264"/>
    </row>
    <row r="2013">
      <c r="A2013" s="272"/>
      <c r="B2013" s="272"/>
      <c r="C2013" s="272"/>
      <c r="D2013" s="172"/>
      <c r="E2013" s="267" t="str">
        <f t="shared" si="22"/>
        <v/>
      </c>
      <c r="F2013" s="274"/>
      <c r="G2013" s="42"/>
      <c r="H2013" s="264"/>
      <c r="I2013" s="277"/>
      <c r="J2013" s="276" t="str">
        <f>IF(ISBLANK(I2013), "", VLOOKUP(E2013&amp;" "&amp;F2013, 'Info Tipo de Cambio y REM'!$A$24:$B$35, 2, FALSE))
</f>
        <v/>
      </c>
      <c r="K2013" s="107"/>
      <c r="L2013" s="293"/>
      <c r="M2013" s="293"/>
      <c r="N2013" s="293"/>
      <c r="O2013" s="277"/>
      <c r="P2013" s="264"/>
      <c r="Q2013" s="264"/>
      <c r="R2013" s="264"/>
      <c r="S2013" s="264"/>
      <c r="T2013" s="264"/>
      <c r="U2013" s="264"/>
      <c r="V2013" s="264"/>
      <c r="W2013" s="264"/>
      <c r="X2013" s="264"/>
      <c r="Y2013" s="264"/>
      <c r="Z2013" s="264"/>
      <c r="AA2013" s="264"/>
      <c r="AB2013" s="264"/>
      <c r="AC2013" s="264"/>
      <c r="AD2013" s="264"/>
      <c r="AE2013" s="264"/>
    </row>
    <row r="2014">
      <c r="A2014" s="272"/>
      <c r="B2014" s="272"/>
      <c r="C2014" s="272"/>
      <c r="D2014" s="172"/>
      <c r="E2014" s="267" t="str">
        <f t="shared" si="22"/>
        <v/>
      </c>
      <c r="F2014" s="274"/>
      <c r="G2014" s="42"/>
      <c r="H2014" s="264"/>
      <c r="I2014" s="277"/>
      <c r="J2014" s="276" t="str">
        <f>IF(ISBLANK(I2014), "", VLOOKUP(E2014&amp;" "&amp;F2014, 'Info Tipo de Cambio y REM'!$A$24:$B$35, 2, FALSE))
</f>
        <v/>
      </c>
      <c r="K2014" s="107"/>
      <c r="L2014" s="293"/>
      <c r="M2014" s="293"/>
      <c r="N2014" s="293"/>
      <c r="O2014" s="277"/>
      <c r="P2014" s="264"/>
      <c r="Q2014" s="264"/>
      <c r="R2014" s="264"/>
      <c r="S2014" s="264"/>
      <c r="T2014" s="264"/>
      <c r="U2014" s="264"/>
      <c r="V2014" s="264"/>
      <c r="W2014" s="264"/>
      <c r="X2014" s="264"/>
      <c r="Y2014" s="264"/>
      <c r="Z2014" s="264"/>
      <c r="AA2014" s="264"/>
      <c r="AB2014" s="264"/>
      <c r="AC2014" s="264"/>
      <c r="AD2014" s="264"/>
      <c r="AE2014" s="264"/>
    </row>
    <row r="2015">
      <c r="A2015" s="272"/>
      <c r="B2015" s="272"/>
      <c r="C2015" s="272"/>
      <c r="D2015" s="172"/>
      <c r="E2015" s="267" t="str">
        <f t="shared" si="22"/>
        <v/>
      </c>
      <c r="F2015" s="274"/>
      <c r="G2015" s="42"/>
      <c r="H2015" s="264"/>
      <c r="I2015" s="277"/>
      <c r="J2015" s="276" t="str">
        <f>IF(ISBLANK(I2015), "", VLOOKUP(E2015&amp;" "&amp;F2015, 'Info Tipo de Cambio y REM'!$A$24:$B$35, 2, FALSE))
</f>
        <v/>
      </c>
      <c r="K2015" s="107"/>
      <c r="L2015" s="293"/>
      <c r="M2015" s="293"/>
      <c r="N2015" s="293"/>
      <c r="O2015" s="277"/>
      <c r="P2015" s="264"/>
      <c r="Q2015" s="264"/>
      <c r="R2015" s="264"/>
      <c r="S2015" s="264"/>
      <c r="T2015" s="264"/>
      <c r="U2015" s="264"/>
      <c r="V2015" s="264"/>
      <c r="W2015" s="264"/>
      <c r="X2015" s="264"/>
      <c r="Y2015" s="264"/>
      <c r="Z2015" s="264"/>
      <c r="AA2015" s="264"/>
      <c r="AB2015" s="264"/>
      <c r="AC2015" s="264"/>
      <c r="AD2015" s="264"/>
      <c r="AE2015" s="264"/>
    </row>
    <row r="2016">
      <c r="A2016" s="272"/>
      <c r="B2016" s="272"/>
      <c r="C2016" s="272"/>
      <c r="D2016" s="172"/>
      <c r="E2016" s="267" t="str">
        <f t="shared" si="22"/>
        <v/>
      </c>
      <c r="F2016" s="274"/>
      <c r="G2016" s="42"/>
      <c r="H2016" s="264"/>
      <c r="I2016" s="277"/>
      <c r="J2016" s="276" t="str">
        <f>IF(ISBLANK(I2016), "", VLOOKUP(E2016&amp;" "&amp;F2016, 'Info Tipo de Cambio y REM'!$A$24:$B$35, 2, FALSE))
</f>
        <v/>
      </c>
      <c r="K2016" s="107"/>
      <c r="L2016" s="293"/>
      <c r="M2016" s="293"/>
      <c r="N2016" s="293"/>
      <c r="O2016" s="277"/>
      <c r="P2016" s="264"/>
      <c r="Q2016" s="264"/>
      <c r="R2016" s="264"/>
      <c r="S2016" s="264"/>
      <c r="T2016" s="264"/>
      <c r="U2016" s="264"/>
      <c r="V2016" s="264"/>
      <c r="W2016" s="264"/>
      <c r="X2016" s="264"/>
      <c r="Y2016" s="264"/>
      <c r="Z2016" s="264"/>
      <c r="AA2016" s="264"/>
      <c r="AB2016" s="264"/>
      <c r="AC2016" s="264"/>
      <c r="AD2016" s="264"/>
      <c r="AE2016" s="264"/>
    </row>
    <row r="2017">
      <c r="A2017" s="272"/>
      <c r="B2017" s="272"/>
      <c r="C2017" s="272"/>
      <c r="D2017" s="172"/>
      <c r="E2017" s="267" t="str">
        <f t="shared" si="22"/>
        <v/>
      </c>
      <c r="F2017" s="274"/>
      <c r="G2017" s="42"/>
      <c r="H2017" s="264"/>
      <c r="I2017" s="277"/>
      <c r="J2017" s="276" t="str">
        <f>IF(ISBLANK(I2017), "", VLOOKUP(E2017&amp;" "&amp;F2017, 'Info Tipo de Cambio y REM'!$A$24:$B$35, 2, FALSE))
</f>
        <v/>
      </c>
      <c r="K2017" s="107"/>
      <c r="L2017" s="293"/>
      <c r="M2017" s="293"/>
      <c r="N2017" s="293"/>
      <c r="O2017" s="277"/>
      <c r="P2017" s="264"/>
      <c r="Q2017" s="264"/>
      <c r="R2017" s="264"/>
      <c r="S2017" s="264"/>
      <c r="T2017" s="264"/>
      <c r="U2017" s="264"/>
      <c r="V2017" s="264"/>
      <c r="W2017" s="264"/>
      <c r="X2017" s="264"/>
      <c r="Y2017" s="264"/>
      <c r="Z2017" s="264"/>
      <c r="AA2017" s="264"/>
      <c r="AB2017" s="264"/>
      <c r="AC2017" s="264"/>
      <c r="AD2017" s="264"/>
      <c r="AE2017" s="264"/>
    </row>
    <row r="2018">
      <c r="A2018" s="272"/>
      <c r="B2018" s="272"/>
      <c r="C2018" s="272"/>
      <c r="D2018" s="172"/>
      <c r="E2018" s="267" t="str">
        <f t="shared" si="22"/>
        <v/>
      </c>
      <c r="F2018" s="274"/>
      <c r="G2018" s="42"/>
      <c r="H2018" s="264"/>
      <c r="I2018" s="277"/>
      <c r="J2018" s="276" t="str">
        <f>IF(ISBLANK(I2018), "", VLOOKUP(E2018&amp;" "&amp;F2018, 'Info Tipo de Cambio y REM'!$A$24:$B$35, 2, FALSE))
</f>
        <v/>
      </c>
      <c r="K2018" s="107"/>
      <c r="L2018" s="293"/>
      <c r="M2018" s="293"/>
      <c r="N2018" s="293"/>
      <c r="O2018" s="277"/>
      <c r="P2018" s="264"/>
      <c r="Q2018" s="264"/>
      <c r="R2018" s="264"/>
      <c r="S2018" s="264"/>
      <c r="T2018" s="264"/>
      <c r="U2018" s="264"/>
      <c r="V2018" s="264"/>
      <c r="W2018" s="264"/>
      <c r="X2018" s="264"/>
      <c r="Y2018" s="264"/>
      <c r="Z2018" s="264"/>
      <c r="AA2018" s="264"/>
      <c r="AB2018" s="264"/>
      <c r="AC2018" s="264"/>
      <c r="AD2018" s="264"/>
      <c r="AE2018" s="264"/>
    </row>
    <row r="2019">
      <c r="A2019" s="272"/>
      <c r="B2019" s="272"/>
      <c r="C2019" s="272"/>
      <c r="D2019" s="172"/>
      <c r="E2019" s="267" t="str">
        <f t="shared" si="22"/>
        <v/>
      </c>
      <c r="F2019" s="274"/>
      <c r="G2019" s="42"/>
      <c r="H2019" s="264"/>
      <c r="I2019" s="277"/>
      <c r="J2019" s="276" t="str">
        <f>IF(ISBLANK(I2019), "", VLOOKUP(E2019&amp;" "&amp;F2019, 'Info Tipo de Cambio y REM'!$A$24:$B$35, 2, FALSE))
</f>
        <v/>
      </c>
      <c r="K2019" s="107"/>
      <c r="L2019" s="293"/>
      <c r="M2019" s="293"/>
      <c r="N2019" s="293"/>
      <c r="O2019" s="277"/>
      <c r="P2019" s="264"/>
      <c r="Q2019" s="264"/>
      <c r="R2019" s="264"/>
      <c r="S2019" s="264"/>
      <c r="T2019" s="264"/>
      <c r="U2019" s="264"/>
      <c r="V2019" s="264"/>
      <c r="W2019" s="264"/>
      <c r="X2019" s="264"/>
      <c r="Y2019" s="264"/>
      <c r="Z2019" s="264"/>
      <c r="AA2019" s="264"/>
      <c r="AB2019" s="264"/>
      <c r="AC2019" s="264"/>
      <c r="AD2019" s="264"/>
      <c r="AE2019" s="264"/>
    </row>
    <row r="2020">
      <c r="A2020" s="272"/>
      <c r="B2020" s="272"/>
      <c r="C2020" s="272"/>
      <c r="D2020" s="172"/>
      <c r="E2020" s="267" t="str">
        <f t="shared" si="22"/>
        <v/>
      </c>
      <c r="F2020" s="274"/>
      <c r="G2020" s="42"/>
      <c r="H2020" s="264"/>
      <c r="I2020" s="277"/>
      <c r="J2020" s="276" t="str">
        <f>IF(ISBLANK(I2020), "", VLOOKUP(E2020&amp;" "&amp;F2020, 'Info Tipo de Cambio y REM'!$A$24:$B$35, 2, FALSE))
</f>
        <v/>
      </c>
      <c r="K2020" s="107"/>
      <c r="L2020" s="293"/>
      <c r="M2020" s="293"/>
      <c r="N2020" s="293"/>
      <c r="O2020" s="277"/>
      <c r="P2020" s="264"/>
      <c r="Q2020" s="264"/>
      <c r="R2020" s="264"/>
      <c r="S2020" s="264"/>
      <c r="T2020" s="264"/>
      <c r="U2020" s="264"/>
      <c r="V2020" s="264"/>
      <c r="W2020" s="264"/>
      <c r="X2020" s="264"/>
      <c r="Y2020" s="264"/>
      <c r="Z2020" s="264"/>
      <c r="AA2020" s="264"/>
      <c r="AB2020" s="264"/>
      <c r="AC2020" s="264"/>
      <c r="AD2020" s="264"/>
      <c r="AE2020" s="264"/>
    </row>
    <row r="2021">
      <c r="A2021" s="272"/>
      <c r="B2021" s="272"/>
      <c r="C2021" s="272"/>
      <c r="D2021" s="172"/>
      <c r="E2021" s="267" t="str">
        <f t="shared" si="22"/>
        <v/>
      </c>
      <c r="F2021" s="274"/>
      <c r="G2021" s="42"/>
      <c r="H2021" s="264"/>
      <c r="I2021" s="277"/>
      <c r="J2021" s="276" t="str">
        <f>IF(ISBLANK(I2021), "", VLOOKUP(E2021&amp;" "&amp;F2021, 'Info Tipo de Cambio y REM'!$A$24:$B$35, 2, FALSE))
</f>
        <v/>
      </c>
      <c r="K2021" s="107"/>
      <c r="L2021" s="293"/>
      <c r="M2021" s="293"/>
      <c r="N2021" s="293"/>
      <c r="O2021" s="277"/>
      <c r="P2021" s="264"/>
      <c r="Q2021" s="264"/>
      <c r="R2021" s="264"/>
      <c r="S2021" s="264"/>
      <c r="T2021" s="264"/>
      <c r="U2021" s="264"/>
      <c r="V2021" s="264"/>
      <c r="W2021" s="264"/>
      <c r="X2021" s="264"/>
      <c r="Y2021" s="264"/>
      <c r="Z2021" s="264"/>
      <c r="AA2021" s="264"/>
      <c r="AB2021" s="264"/>
      <c r="AC2021" s="264"/>
      <c r="AD2021" s="264"/>
      <c r="AE2021" s="264"/>
    </row>
    <row r="2022">
      <c r="A2022" s="272"/>
      <c r="B2022" s="272"/>
      <c r="C2022" s="272"/>
      <c r="D2022" s="172"/>
      <c r="E2022" s="267" t="str">
        <f t="shared" si="22"/>
        <v/>
      </c>
      <c r="F2022" s="274"/>
      <c r="G2022" s="42"/>
      <c r="H2022" s="264"/>
      <c r="I2022" s="277"/>
      <c r="J2022" s="276" t="str">
        <f>IF(ISBLANK(I2022), "", VLOOKUP(E2022&amp;" "&amp;F2022, 'Info Tipo de Cambio y REM'!$A$24:$B$35, 2, FALSE))
</f>
        <v/>
      </c>
      <c r="K2022" s="107"/>
      <c r="L2022" s="293"/>
      <c r="M2022" s="293"/>
      <c r="N2022" s="293"/>
      <c r="O2022" s="277"/>
      <c r="P2022" s="264"/>
      <c r="Q2022" s="264"/>
      <c r="R2022" s="264"/>
      <c r="S2022" s="264"/>
      <c r="T2022" s="264"/>
      <c r="U2022" s="264"/>
      <c r="V2022" s="264"/>
      <c r="W2022" s="264"/>
      <c r="X2022" s="264"/>
      <c r="Y2022" s="264"/>
      <c r="Z2022" s="264"/>
      <c r="AA2022" s="264"/>
      <c r="AB2022" s="264"/>
      <c r="AC2022" s="264"/>
      <c r="AD2022" s="264"/>
      <c r="AE2022" s="264"/>
    </row>
    <row r="2023">
      <c r="A2023" s="272"/>
      <c r="B2023" s="272"/>
      <c r="C2023" s="272"/>
      <c r="D2023" s="172"/>
      <c r="E2023" s="267" t="str">
        <f t="shared" si="22"/>
        <v/>
      </c>
      <c r="F2023" s="274"/>
      <c r="G2023" s="42"/>
      <c r="H2023" s="264"/>
      <c r="I2023" s="277"/>
      <c r="J2023" s="276" t="str">
        <f>IF(ISBLANK(I2023), "", VLOOKUP(E2023&amp;" "&amp;F2023, 'Info Tipo de Cambio y REM'!$A$24:$B$35, 2, FALSE))
</f>
        <v/>
      </c>
      <c r="K2023" s="107"/>
      <c r="L2023" s="293"/>
      <c r="M2023" s="293"/>
      <c r="N2023" s="293"/>
      <c r="O2023" s="277"/>
      <c r="P2023" s="264"/>
      <c r="Q2023" s="264"/>
      <c r="R2023" s="264"/>
      <c r="S2023" s="264"/>
      <c r="T2023" s="264"/>
      <c r="U2023" s="264"/>
      <c r="V2023" s="264"/>
      <c r="W2023" s="264"/>
      <c r="X2023" s="264"/>
      <c r="Y2023" s="264"/>
      <c r="Z2023" s="264"/>
      <c r="AA2023" s="264"/>
      <c r="AB2023" s="264"/>
      <c r="AC2023" s="264"/>
      <c r="AD2023" s="264"/>
      <c r="AE2023" s="264"/>
    </row>
    <row r="2024">
      <c r="A2024" s="272"/>
      <c r="B2024" s="272"/>
      <c r="C2024" s="272"/>
      <c r="D2024" s="172"/>
      <c r="E2024" s="267" t="str">
        <f t="shared" si="22"/>
        <v/>
      </c>
      <c r="F2024" s="274"/>
      <c r="G2024" s="42"/>
      <c r="H2024" s="264"/>
      <c r="I2024" s="277"/>
      <c r="J2024" s="276" t="str">
        <f>IF(ISBLANK(I2024), "", VLOOKUP(E2024&amp;" "&amp;F2024, 'Info Tipo de Cambio y REM'!$A$24:$B$35, 2, FALSE))
</f>
        <v/>
      </c>
      <c r="K2024" s="107"/>
      <c r="L2024" s="293"/>
      <c r="M2024" s="293"/>
      <c r="N2024" s="293"/>
      <c r="O2024" s="277"/>
      <c r="P2024" s="264"/>
      <c r="Q2024" s="264"/>
      <c r="R2024" s="264"/>
      <c r="S2024" s="264"/>
      <c r="T2024" s="264"/>
      <c r="U2024" s="264"/>
      <c r="V2024" s="264"/>
      <c r="W2024" s="264"/>
      <c r="X2024" s="264"/>
      <c r="Y2024" s="264"/>
      <c r="Z2024" s="264"/>
      <c r="AA2024" s="264"/>
      <c r="AB2024" s="264"/>
      <c r="AC2024" s="264"/>
      <c r="AD2024" s="264"/>
      <c r="AE2024" s="264"/>
    </row>
    <row r="2025">
      <c r="A2025" s="272"/>
      <c r="B2025" s="272"/>
      <c r="C2025" s="272"/>
      <c r="D2025" s="172"/>
      <c r="E2025" s="267" t="str">
        <f t="shared" si="22"/>
        <v/>
      </c>
      <c r="F2025" s="274"/>
      <c r="G2025" s="42"/>
      <c r="H2025" s="264"/>
      <c r="I2025" s="277"/>
      <c r="J2025" s="276" t="str">
        <f>IF(ISBLANK(I2025), "", VLOOKUP(E2025&amp;" "&amp;F2025, 'Info Tipo de Cambio y REM'!$A$24:$B$35, 2, FALSE))
</f>
        <v/>
      </c>
      <c r="K2025" s="107"/>
      <c r="L2025" s="293"/>
      <c r="M2025" s="293"/>
      <c r="N2025" s="293"/>
      <c r="O2025" s="277"/>
      <c r="P2025" s="264"/>
      <c r="Q2025" s="264"/>
      <c r="R2025" s="264"/>
      <c r="S2025" s="264"/>
      <c r="T2025" s="264"/>
      <c r="U2025" s="264"/>
      <c r="V2025" s="264"/>
      <c r="W2025" s="264"/>
      <c r="X2025" s="264"/>
      <c r="Y2025" s="264"/>
      <c r="Z2025" s="264"/>
      <c r="AA2025" s="264"/>
      <c r="AB2025" s="264"/>
      <c r="AC2025" s="264"/>
      <c r="AD2025" s="264"/>
      <c r="AE2025" s="264"/>
    </row>
    <row r="2026">
      <c r="A2026" s="272"/>
      <c r="B2026" s="272"/>
      <c r="C2026" s="272"/>
      <c r="D2026" s="172"/>
      <c r="E2026" s="267" t="str">
        <f t="shared" si="22"/>
        <v/>
      </c>
      <c r="F2026" s="274"/>
      <c r="G2026" s="42"/>
      <c r="H2026" s="264"/>
      <c r="I2026" s="277"/>
      <c r="J2026" s="276" t="str">
        <f>IF(ISBLANK(I2026), "", VLOOKUP(E2026&amp;" "&amp;F2026, 'Info Tipo de Cambio y REM'!$A$24:$B$35, 2, FALSE))
</f>
        <v/>
      </c>
      <c r="K2026" s="107"/>
      <c r="L2026" s="293"/>
      <c r="M2026" s="293"/>
      <c r="N2026" s="293"/>
      <c r="O2026" s="277"/>
      <c r="P2026" s="264"/>
      <c r="Q2026" s="264"/>
      <c r="R2026" s="264"/>
      <c r="S2026" s="264"/>
      <c r="T2026" s="264"/>
      <c r="U2026" s="264"/>
      <c r="V2026" s="264"/>
      <c r="W2026" s="264"/>
      <c r="X2026" s="264"/>
      <c r="Y2026" s="264"/>
      <c r="Z2026" s="264"/>
      <c r="AA2026" s="264"/>
      <c r="AB2026" s="264"/>
      <c r="AC2026" s="264"/>
      <c r="AD2026" s="264"/>
      <c r="AE2026" s="264"/>
    </row>
    <row r="2027">
      <c r="A2027" s="272"/>
      <c r="B2027" s="272"/>
      <c r="C2027" s="272"/>
      <c r="D2027" s="172"/>
      <c r="E2027" s="267" t="str">
        <f t="shared" si="22"/>
        <v/>
      </c>
      <c r="F2027" s="274"/>
      <c r="G2027" s="42"/>
      <c r="H2027" s="264"/>
      <c r="I2027" s="277"/>
      <c r="J2027" s="276" t="str">
        <f>IF(ISBLANK(I2027), "", VLOOKUP(E2027&amp;" "&amp;F2027, 'Info Tipo de Cambio y REM'!$A$24:$B$35, 2, FALSE))
</f>
        <v/>
      </c>
      <c r="K2027" s="107"/>
      <c r="L2027" s="293"/>
      <c r="M2027" s="293"/>
      <c r="N2027" s="293"/>
      <c r="O2027" s="277"/>
      <c r="P2027" s="264"/>
      <c r="Q2027" s="264"/>
      <c r="R2027" s="264"/>
      <c r="S2027" s="264"/>
      <c r="T2027" s="264"/>
      <c r="U2027" s="264"/>
      <c r="V2027" s="264"/>
      <c r="W2027" s="264"/>
      <c r="X2027" s="264"/>
      <c r="Y2027" s="264"/>
      <c r="Z2027" s="264"/>
      <c r="AA2027" s="264"/>
      <c r="AB2027" s="264"/>
      <c r="AC2027" s="264"/>
      <c r="AD2027" s="264"/>
      <c r="AE2027" s="264"/>
    </row>
    <row r="2028">
      <c r="A2028" s="272"/>
      <c r="B2028" s="272"/>
      <c r="C2028" s="272"/>
      <c r="D2028" s="172"/>
      <c r="E2028" s="267" t="str">
        <f t="shared" si="22"/>
        <v/>
      </c>
      <c r="F2028" s="274"/>
      <c r="G2028" s="42"/>
      <c r="H2028" s="264"/>
      <c r="I2028" s="277"/>
      <c r="J2028" s="276" t="str">
        <f>IF(ISBLANK(I2028), "", VLOOKUP(E2028&amp;" "&amp;F2028, 'Info Tipo de Cambio y REM'!$A$24:$B$35, 2, FALSE))
</f>
        <v/>
      </c>
      <c r="K2028" s="107"/>
      <c r="L2028" s="293"/>
      <c r="M2028" s="293"/>
      <c r="N2028" s="293"/>
      <c r="O2028" s="277"/>
      <c r="P2028" s="264"/>
      <c r="Q2028" s="264"/>
      <c r="R2028" s="264"/>
      <c r="S2028" s="264"/>
      <c r="T2028" s="264"/>
      <c r="U2028" s="264"/>
      <c r="V2028" s="264"/>
      <c r="W2028" s="264"/>
      <c r="X2028" s="264"/>
      <c r="Y2028" s="264"/>
      <c r="Z2028" s="264"/>
      <c r="AA2028" s="264"/>
      <c r="AB2028" s="264"/>
      <c r="AC2028" s="264"/>
      <c r="AD2028" s="264"/>
      <c r="AE2028" s="264"/>
    </row>
    <row r="2029">
      <c r="A2029" s="272"/>
      <c r="B2029" s="272"/>
      <c r="C2029" s="272"/>
      <c r="D2029" s="172"/>
      <c r="E2029" s="267" t="str">
        <f t="shared" si="22"/>
        <v/>
      </c>
      <c r="F2029" s="274"/>
      <c r="G2029" s="42"/>
      <c r="H2029" s="264"/>
      <c r="I2029" s="277"/>
      <c r="J2029" s="276" t="str">
        <f>IF(ISBLANK(I2029), "", VLOOKUP(E2029&amp;" "&amp;F2029, 'Info Tipo de Cambio y REM'!$A$24:$B$35, 2, FALSE))
</f>
        <v/>
      </c>
      <c r="K2029" s="107"/>
      <c r="L2029" s="293"/>
      <c r="M2029" s="293"/>
      <c r="N2029" s="293"/>
      <c r="O2029" s="277"/>
      <c r="P2029" s="264"/>
      <c r="Q2029" s="264"/>
      <c r="R2029" s="264"/>
      <c r="S2029" s="264"/>
      <c r="T2029" s="264"/>
      <c r="U2029" s="264"/>
      <c r="V2029" s="264"/>
      <c r="W2029" s="264"/>
      <c r="X2029" s="264"/>
      <c r="Y2029" s="264"/>
      <c r="Z2029" s="264"/>
      <c r="AA2029" s="264"/>
      <c r="AB2029" s="264"/>
      <c r="AC2029" s="264"/>
      <c r="AD2029" s="264"/>
      <c r="AE2029" s="264"/>
    </row>
    <row r="2030">
      <c r="A2030" s="272"/>
      <c r="B2030" s="272"/>
      <c r="C2030" s="272"/>
      <c r="D2030" s="172"/>
      <c r="E2030" s="267" t="str">
        <f t="shared" si="22"/>
        <v/>
      </c>
      <c r="F2030" s="274"/>
      <c r="G2030" s="42"/>
      <c r="H2030" s="264"/>
      <c r="I2030" s="277"/>
      <c r="J2030" s="276" t="str">
        <f>IF(ISBLANK(I2030), "", VLOOKUP(E2030&amp;" "&amp;F2030, 'Info Tipo de Cambio y REM'!$A$24:$B$35, 2, FALSE))
</f>
        <v/>
      </c>
      <c r="K2030" s="107"/>
      <c r="L2030" s="293"/>
      <c r="M2030" s="293"/>
      <c r="N2030" s="293"/>
      <c r="O2030" s="277"/>
      <c r="P2030" s="264"/>
      <c r="Q2030" s="264"/>
      <c r="R2030" s="264"/>
      <c r="S2030" s="264"/>
      <c r="T2030" s="264"/>
      <c r="U2030" s="264"/>
      <c r="V2030" s="264"/>
      <c r="W2030" s="264"/>
      <c r="X2030" s="264"/>
      <c r="Y2030" s="264"/>
      <c r="Z2030" s="264"/>
      <c r="AA2030" s="264"/>
      <c r="AB2030" s="264"/>
      <c r="AC2030" s="264"/>
      <c r="AD2030" s="264"/>
      <c r="AE2030" s="264"/>
    </row>
    <row r="2031">
      <c r="A2031" s="272"/>
      <c r="B2031" s="272"/>
      <c r="C2031" s="272"/>
      <c r="D2031" s="172"/>
      <c r="E2031" s="267" t="str">
        <f t="shared" si="22"/>
        <v/>
      </c>
      <c r="F2031" s="274"/>
      <c r="G2031" s="42"/>
      <c r="H2031" s="264"/>
      <c r="I2031" s="277"/>
      <c r="J2031" s="276" t="str">
        <f>IF(ISBLANK(I2031), "", VLOOKUP(E2031&amp;" "&amp;F2031, 'Info Tipo de Cambio y REM'!$A$24:$B$35, 2, FALSE))
</f>
        <v/>
      </c>
      <c r="K2031" s="107"/>
      <c r="L2031" s="293"/>
      <c r="M2031" s="293"/>
      <c r="N2031" s="293"/>
      <c r="O2031" s="277"/>
      <c r="P2031" s="264"/>
      <c r="Q2031" s="264"/>
      <c r="R2031" s="264"/>
      <c r="S2031" s="264"/>
      <c r="T2031" s="264"/>
      <c r="U2031" s="264"/>
      <c r="V2031" s="264"/>
      <c r="W2031" s="264"/>
      <c r="X2031" s="264"/>
      <c r="Y2031" s="264"/>
      <c r="Z2031" s="264"/>
      <c r="AA2031" s="264"/>
      <c r="AB2031" s="264"/>
      <c r="AC2031" s="264"/>
      <c r="AD2031" s="264"/>
      <c r="AE2031" s="264"/>
    </row>
    <row r="2032">
      <c r="A2032" s="272"/>
      <c r="B2032" s="272"/>
      <c r="C2032" s="272"/>
      <c r="D2032" s="172"/>
      <c r="E2032" s="267" t="str">
        <f t="shared" si="22"/>
        <v/>
      </c>
      <c r="F2032" s="274"/>
      <c r="G2032" s="42"/>
      <c r="H2032" s="264"/>
      <c r="I2032" s="277"/>
      <c r="J2032" s="276" t="str">
        <f>IF(ISBLANK(I2032), "", VLOOKUP(E2032&amp;" "&amp;F2032, 'Info Tipo de Cambio y REM'!$A$24:$B$35, 2, FALSE))
</f>
        <v/>
      </c>
      <c r="K2032" s="107"/>
      <c r="L2032" s="293"/>
      <c r="M2032" s="293"/>
      <c r="N2032" s="293"/>
      <c r="O2032" s="277"/>
      <c r="P2032" s="264"/>
      <c r="Q2032" s="264"/>
      <c r="R2032" s="264"/>
      <c r="S2032" s="264"/>
      <c r="T2032" s="264"/>
      <c r="U2032" s="264"/>
      <c r="V2032" s="264"/>
      <c r="W2032" s="264"/>
      <c r="X2032" s="264"/>
      <c r="Y2032" s="264"/>
      <c r="Z2032" s="264"/>
      <c r="AA2032" s="264"/>
      <c r="AB2032" s="264"/>
      <c r="AC2032" s="264"/>
      <c r="AD2032" s="264"/>
      <c r="AE2032" s="264"/>
    </row>
    <row r="2033">
      <c r="A2033" s="272"/>
      <c r="B2033" s="272"/>
      <c r="C2033" s="272"/>
      <c r="D2033" s="172"/>
      <c r="E2033" s="267" t="str">
        <f t="shared" si="22"/>
        <v/>
      </c>
      <c r="F2033" s="274"/>
      <c r="G2033" s="42"/>
      <c r="H2033" s="264"/>
      <c r="I2033" s="277"/>
      <c r="J2033" s="276" t="str">
        <f>IF(ISBLANK(I2033), "", VLOOKUP(E2033&amp;" "&amp;F2033, 'Info Tipo de Cambio y REM'!$A$24:$B$35, 2, FALSE))
</f>
        <v/>
      </c>
      <c r="K2033" s="107"/>
      <c r="L2033" s="293"/>
      <c r="M2033" s="293"/>
      <c r="N2033" s="293"/>
      <c r="O2033" s="277"/>
      <c r="P2033" s="264"/>
      <c r="Q2033" s="264"/>
      <c r="R2033" s="264"/>
      <c r="S2033" s="264"/>
      <c r="T2033" s="264"/>
      <c r="U2033" s="264"/>
      <c r="V2033" s="264"/>
      <c r="W2033" s="264"/>
      <c r="X2033" s="264"/>
      <c r="Y2033" s="264"/>
      <c r="Z2033" s="264"/>
      <c r="AA2033" s="264"/>
      <c r="AB2033" s="264"/>
      <c r="AC2033" s="264"/>
      <c r="AD2033" s="264"/>
      <c r="AE2033" s="264"/>
    </row>
    <row r="2034">
      <c r="A2034" s="272"/>
      <c r="B2034" s="272"/>
      <c r="C2034" s="272"/>
      <c r="D2034" s="172"/>
      <c r="E2034" s="267" t="str">
        <f t="shared" si="22"/>
        <v/>
      </c>
      <c r="F2034" s="274"/>
      <c r="G2034" s="42"/>
      <c r="H2034" s="264"/>
      <c r="I2034" s="277"/>
      <c r="J2034" s="276" t="str">
        <f>IF(ISBLANK(I2034), "", VLOOKUP(E2034&amp;" "&amp;F2034, 'Info Tipo de Cambio y REM'!$A$24:$B$35, 2, FALSE))
</f>
        <v/>
      </c>
      <c r="K2034" s="107"/>
      <c r="L2034" s="293"/>
      <c r="M2034" s="293"/>
      <c r="N2034" s="293"/>
      <c r="O2034" s="277"/>
      <c r="P2034" s="264"/>
      <c r="Q2034" s="264"/>
      <c r="R2034" s="264"/>
      <c r="S2034" s="264"/>
      <c r="T2034" s="264"/>
      <c r="U2034" s="264"/>
      <c r="V2034" s="264"/>
      <c r="W2034" s="264"/>
      <c r="X2034" s="264"/>
      <c r="Y2034" s="264"/>
      <c r="Z2034" s="264"/>
      <c r="AA2034" s="264"/>
      <c r="AB2034" s="264"/>
      <c r="AC2034" s="264"/>
      <c r="AD2034" s="264"/>
      <c r="AE2034" s="264"/>
    </row>
    <row r="2035">
      <c r="A2035" s="272"/>
      <c r="B2035" s="272"/>
      <c r="C2035" s="272"/>
      <c r="D2035" s="172"/>
      <c r="E2035" s="267" t="str">
        <f t="shared" si="22"/>
        <v/>
      </c>
      <c r="F2035" s="274"/>
      <c r="G2035" s="42"/>
      <c r="H2035" s="264"/>
      <c r="I2035" s="277"/>
      <c r="J2035" s="276" t="str">
        <f>IF(ISBLANK(I2035), "", VLOOKUP(E2035&amp;" "&amp;F2035, 'Info Tipo de Cambio y REM'!$A$24:$B$35, 2, FALSE))
</f>
        <v/>
      </c>
      <c r="K2035" s="107"/>
      <c r="L2035" s="293"/>
      <c r="M2035" s="293"/>
      <c r="N2035" s="293"/>
      <c r="O2035" s="277"/>
      <c r="P2035" s="264"/>
      <c r="Q2035" s="264"/>
      <c r="R2035" s="264"/>
      <c r="S2035" s="264"/>
      <c r="T2035" s="264"/>
      <c r="U2035" s="264"/>
      <c r="V2035" s="264"/>
      <c r="W2035" s="264"/>
      <c r="X2035" s="264"/>
      <c r="Y2035" s="264"/>
      <c r="Z2035" s="264"/>
      <c r="AA2035" s="264"/>
      <c r="AB2035" s="264"/>
      <c r="AC2035" s="264"/>
      <c r="AD2035" s="264"/>
      <c r="AE2035" s="264"/>
    </row>
    <row r="2036">
      <c r="A2036" s="272"/>
      <c r="B2036" s="272"/>
      <c r="C2036" s="272"/>
      <c r="D2036" s="172"/>
      <c r="E2036" s="267" t="str">
        <f t="shared" si="22"/>
        <v/>
      </c>
      <c r="F2036" s="274"/>
      <c r="G2036" s="42"/>
      <c r="H2036" s="264"/>
      <c r="I2036" s="277"/>
      <c r="J2036" s="276" t="str">
        <f>IF(ISBLANK(I2036), "", VLOOKUP(E2036&amp;" "&amp;F2036, 'Info Tipo de Cambio y REM'!$A$24:$B$35, 2, FALSE))
</f>
        <v/>
      </c>
      <c r="K2036" s="107"/>
      <c r="L2036" s="293"/>
      <c r="M2036" s="293"/>
      <c r="N2036" s="293"/>
      <c r="O2036" s="277"/>
      <c r="P2036" s="264"/>
      <c r="Q2036" s="264"/>
      <c r="R2036" s="264"/>
      <c r="S2036" s="264"/>
      <c r="T2036" s="264"/>
      <c r="U2036" s="264"/>
      <c r="V2036" s="264"/>
      <c r="W2036" s="264"/>
      <c r="X2036" s="264"/>
      <c r="Y2036" s="264"/>
      <c r="Z2036" s="264"/>
      <c r="AA2036" s="264"/>
      <c r="AB2036" s="264"/>
      <c r="AC2036" s="264"/>
      <c r="AD2036" s="264"/>
      <c r="AE2036" s="264"/>
    </row>
    <row r="2037">
      <c r="A2037" s="272"/>
      <c r="B2037" s="272"/>
      <c r="C2037" s="272"/>
      <c r="D2037" s="172"/>
      <c r="E2037" s="267" t="str">
        <f t="shared" si="22"/>
        <v/>
      </c>
      <c r="F2037" s="274"/>
      <c r="G2037" s="42"/>
      <c r="H2037" s="264"/>
      <c r="I2037" s="277"/>
      <c r="J2037" s="276" t="str">
        <f>IF(ISBLANK(I2037), "", VLOOKUP(E2037&amp;" "&amp;F2037, 'Info Tipo de Cambio y REM'!$A$24:$B$35, 2, FALSE))
</f>
        <v/>
      </c>
      <c r="K2037" s="107"/>
      <c r="L2037" s="293"/>
      <c r="M2037" s="293"/>
      <c r="N2037" s="293"/>
      <c r="O2037" s="277"/>
      <c r="P2037" s="264"/>
      <c r="Q2037" s="264"/>
      <c r="R2037" s="264"/>
      <c r="S2037" s="264"/>
      <c r="T2037" s="264"/>
      <c r="U2037" s="264"/>
      <c r="V2037" s="264"/>
      <c r="W2037" s="264"/>
      <c r="X2037" s="264"/>
      <c r="Y2037" s="264"/>
      <c r="Z2037" s="264"/>
      <c r="AA2037" s="264"/>
      <c r="AB2037" s="264"/>
      <c r="AC2037" s="264"/>
      <c r="AD2037" s="264"/>
      <c r="AE2037" s="264"/>
    </row>
    <row r="2038">
      <c r="A2038" s="272"/>
      <c r="B2038" s="272"/>
      <c r="C2038" s="272"/>
      <c r="D2038" s="172"/>
      <c r="E2038" s="267" t="str">
        <f t="shared" si="22"/>
        <v/>
      </c>
      <c r="F2038" s="274"/>
      <c r="G2038" s="42"/>
      <c r="H2038" s="264"/>
      <c r="I2038" s="277"/>
      <c r="J2038" s="276" t="str">
        <f>IF(ISBLANK(I2038), "", VLOOKUP(E2038&amp;" "&amp;F2038, 'Info Tipo de Cambio y REM'!$A$24:$B$35, 2, FALSE))
</f>
        <v/>
      </c>
      <c r="K2038" s="107"/>
      <c r="L2038" s="293"/>
      <c r="M2038" s="293"/>
      <c r="N2038" s="293"/>
      <c r="O2038" s="277"/>
      <c r="P2038" s="264"/>
      <c r="Q2038" s="264"/>
      <c r="R2038" s="264"/>
      <c r="S2038" s="264"/>
      <c r="T2038" s="264"/>
      <c r="U2038" s="264"/>
      <c r="V2038" s="264"/>
      <c r="W2038" s="264"/>
      <c r="X2038" s="264"/>
      <c r="Y2038" s="264"/>
      <c r="Z2038" s="264"/>
      <c r="AA2038" s="264"/>
      <c r="AB2038" s="264"/>
      <c r="AC2038" s="264"/>
      <c r="AD2038" s="264"/>
      <c r="AE2038" s="264"/>
    </row>
    <row r="2039">
      <c r="A2039" s="272"/>
      <c r="B2039" s="272"/>
      <c r="C2039" s="272"/>
      <c r="D2039" s="172"/>
      <c r="E2039" s="267" t="str">
        <f t="shared" si="22"/>
        <v/>
      </c>
      <c r="F2039" s="274"/>
      <c r="G2039" s="42"/>
      <c r="H2039" s="264"/>
      <c r="I2039" s="277"/>
      <c r="J2039" s="276" t="str">
        <f>IF(ISBLANK(I2039), "", VLOOKUP(E2039&amp;" "&amp;F2039, 'Info Tipo de Cambio y REM'!$A$24:$B$35, 2, FALSE))
</f>
        <v/>
      </c>
      <c r="K2039" s="107"/>
      <c r="L2039" s="293"/>
      <c r="M2039" s="293"/>
      <c r="N2039" s="293"/>
      <c r="O2039" s="277"/>
      <c r="P2039" s="264"/>
      <c r="Q2039" s="264"/>
      <c r="R2039" s="264"/>
      <c r="S2039" s="264"/>
      <c r="T2039" s="264"/>
      <c r="U2039" s="264"/>
      <c r="V2039" s="264"/>
      <c r="W2039" s="264"/>
      <c r="X2039" s="264"/>
      <c r="Y2039" s="264"/>
      <c r="Z2039" s="264"/>
      <c r="AA2039" s="264"/>
      <c r="AB2039" s="264"/>
      <c r="AC2039" s="264"/>
      <c r="AD2039" s="264"/>
      <c r="AE2039" s="264"/>
    </row>
    <row r="2040">
      <c r="A2040" s="272"/>
      <c r="B2040" s="272"/>
      <c r="C2040" s="272"/>
      <c r="D2040" s="172"/>
      <c r="E2040" s="267" t="str">
        <f t="shared" si="22"/>
        <v/>
      </c>
      <c r="F2040" s="274"/>
      <c r="G2040" s="42"/>
      <c r="H2040" s="264"/>
      <c r="I2040" s="277"/>
      <c r="J2040" s="276" t="str">
        <f>IF(ISBLANK(I2040), "", VLOOKUP(E2040&amp;" "&amp;F2040, 'Info Tipo de Cambio y REM'!$A$24:$B$35, 2, FALSE))
</f>
        <v/>
      </c>
      <c r="K2040" s="107"/>
      <c r="L2040" s="293"/>
      <c r="M2040" s="293"/>
      <c r="N2040" s="293"/>
      <c r="O2040" s="277"/>
      <c r="P2040" s="264"/>
      <c r="Q2040" s="264"/>
      <c r="R2040" s="264"/>
      <c r="S2040" s="264"/>
      <c r="T2040" s="264"/>
      <c r="U2040" s="264"/>
      <c r="V2040" s="264"/>
      <c r="W2040" s="264"/>
      <c r="X2040" s="264"/>
      <c r="Y2040" s="264"/>
      <c r="Z2040" s="264"/>
      <c r="AA2040" s="264"/>
      <c r="AB2040" s="264"/>
      <c r="AC2040" s="264"/>
      <c r="AD2040" s="264"/>
      <c r="AE2040" s="264"/>
    </row>
    <row r="2041">
      <c r="A2041" s="272"/>
      <c r="B2041" s="272"/>
      <c r="C2041" s="272"/>
      <c r="D2041" s="172"/>
      <c r="E2041" s="267" t="str">
        <f t="shared" si="22"/>
        <v/>
      </c>
      <c r="F2041" s="274"/>
      <c r="G2041" s="42"/>
      <c r="H2041" s="264"/>
      <c r="I2041" s="277"/>
      <c r="J2041" s="276" t="str">
        <f>IF(ISBLANK(I2041), "", VLOOKUP(E2041&amp;" "&amp;F2041, 'Info Tipo de Cambio y REM'!$A$24:$B$35, 2, FALSE))
</f>
        <v/>
      </c>
      <c r="K2041" s="107"/>
      <c r="L2041" s="293"/>
      <c r="M2041" s="293"/>
      <c r="N2041" s="293"/>
      <c r="O2041" s="277"/>
      <c r="P2041" s="264"/>
      <c r="Q2041" s="264"/>
      <c r="R2041" s="264"/>
      <c r="S2041" s="264"/>
      <c r="T2041" s="264"/>
      <c r="U2041" s="264"/>
      <c r="V2041" s="264"/>
      <c r="W2041" s="264"/>
      <c r="X2041" s="264"/>
      <c r="Y2041" s="264"/>
      <c r="Z2041" s="264"/>
      <c r="AA2041" s="264"/>
      <c r="AB2041" s="264"/>
      <c r="AC2041" s="264"/>
      <c r="AD2041" s="264"/>
      <c r="AE2041" s="264"/>
    </row>
    <row r="2042">
      <c r="A2042" s="272"/>
      <c r="B2042" s="272"/>
      <c r="C2042" s="272"/>
      <c r="D2042" s="172"/>
      <c r="E2042" s="267" t="str">
        <f t="shared" si="22"/>
        <v/>
      </c>
      <c r="F2042" s="274"/>
      <c r="G2042" s="42"/>
      <c r="H2042" s="264"/>
      <c r="I2042" s="277"/>
      <c r="J2042" s="276" t="str">
        <f>IF(ISBLANK(I2042), "", VLOOKUP(E2042&amp;" "&amp;F2042, 'Info Tipo de Cambio y REM'!$A$24:$B$35, 2, FALSE))
</f>
        <v/>
      </c>
      <c r="K2042" s="107"/>
      <c r="L2042" s="293"/>
      <c r="M2042" s="293"/>
      <c r="N2042" s="293"/>
      <c r="O2042" s="277"/>
      <c r="P2042" s="264"/>
      <c r="Q2042" s="264"/>
      <c r="R2042" s="264"/>
      <c r="S2042" s="264"/>
      <c r="T2042" s="264"/>
      <c r="U2042" s="264"/>
      <c r="V2042" s="264"/>
      <c r="W2042" s="264"/>
      <c r="X2042" s="264"/>
      <c r="Y2042" s="264"/>
      <c r="Z2042" s="264"/>
      <c r="AA2042" s="264"/>
      <c r="AB2042" s="264"/>
      <c r="AC2042" s="264"/>
      <c r="AD2042" s="264"/>
      <c r="AE2042" s="264"/>
    </row>
    <row r="2043">
      <c r="A2043" s="272"/>
      <c r="B2043" s="272"/>
      <c r="C2043" s="272"/>
      <c r="D2043" s="172"/>
      <c r="E2043" s="267" t="str">
        <f t="shared" si="22"/>
        <v/>
      </c>
      <c r="F2043" s="274"/>
      <c r="G2043" s="42"/>
      <c r="H2043" s="264"/>
      <c r="I2043" s="277"/>
      <c r="J2043" s="276" t="str">
        <f>IF(ISBLANK(I2043), "", VLOOKUP(E2043&amp;" "&amp;F2043, 'Info Tipo de Cambio y REM'!$A$24:$B$35, 2, FALSE))
</f>
        <v/>
      </c>
      <c r="K2043" s="107"/>
      <c r="L2043" s="293"/>
      <c r="M2043" s="293"/>
      <c r="N2043" s="293"/>
      <c r="O2043" s="277"/>
      <c r="P2043" s="264"/>
      <c r="Q2043" s="264"/>
      <c r="R2043" s="264"/>
      <c r="S2043" s="264"/>
      <c r="T2043" s="264"/>
      <c r="U2043" s="264"/>
      <c r="V2043" s="264"/>
      <c r="W2043" s="264"/>
      <c r="X2043" s="264"/>
      <c r="Y2043" s="264"/>
      <c r="Z2043" s="264"/>
      <c r="AA2043" s="264"/>
      <c r="AB2043" s="264"/>
      <c r="AC2043" s="264"/>
      <c r="AD2043" s="264"/>
      <c r="AE2043" s="264"/>
    </row>
    <row r="2044">
      <c r="A2044" s="272"/>
      <c r="B2044" s="272"/>
      <c r="C2044" s="272"/>
      <c r="D2044" s="172"/>
      <c r="E2044" s="267" t="str">
        <f t="shared" si="22"/>
        <v/>
      </c>
      <c r="F2044" s="274"/>
      <c r="G2044" s="42"/>
      <c r="H2044" s="264"/>
      <c r="I2044" s="277"/>
      <c r="J2044" s="276" t="str">
        <f>IF(ISBLANK(I2044), "", VLOOKUP(E2044&amp;" "&amp;F2044, 'Info Tipo de Cambio y REM'!$A$24:$B$35, 2, FALSE))
</f>
        <v/>
      </c>
      <c r="K2044" s="107"/>
      <c r="L2044" s="293"/>
      <c r="M2044" s="293"/>
      <c r="N2044" s="293"/>
      <c r="O2044" s="277"/>
      <c r="P2044" s="264"/>
      <c r="Q2044" s="264"/>
      <c r="R2044" s="264"/>
      <c r="S2044" s="264"/>
      <c r="T2044" s="264"/>
      <c r="U2044" s="264"/>
      <c r="V2044" s="264"/>
      <c r="W2044" s="264"/>
      <c r="X2044" s="264"/>
      <c r="Y2044" s="264"/>
      <c r="Z2044" s="264"/>
      <c r="AA2044" s="264"/>
      <c r="AB2044" s="264"/>
      <c r="AC2044" s="264"/>
      <c r="AD2044" s="264"/>
      <c r="AE2044" s="264"/>
    </row>
    <row r="2045">
      <c r="A2045" s="272"/>
      <c r="B2045" s="272"/>
      <c r="C2045" s="272"/>
      <c r="D2045" s="172"/>
      <c r="E2045" s="267" t="str">
        <f t="shared" si="22"/>
        <v/>
      </c>
      <c r="F2045" s="274"/>
      <c r="G2045" s="42"/>
      <c r="H2045" s="264"/>
      <c r="I2045" s="277"/>
      <c r="J2045" s="276" t="str">
        <f>IF(ISBLANK(I2045), "", VLOOKUP(E2045&amp;" "&amp;F2045, 'Info Tipo de Cambio y REM'!$A$24:$B$35, 2, FALSE))
</f>
        <v/>
      </c>
      <c r="K2045" s="107"/>
      <c r="L2045" s="293"/>
      <c r="M2045" s="293"/>
      <c r="N2045" s="293"/>
      <c r="O2045" s="277"/>
      <c r="P2045" s="264"/>
      <c r="Q2045" s="264"/>
      <c r="R2045" s="264"/>
      <c r="S2045" s="264"/>
      <c r="T2045" s="264"/>
      <c r="U2045" s="264"/>
      <c r="V2045" s="264"/>
      <c r="W2045" s="264"/>
      <c r="X2045" s="264"/>
      <c r="Y2045" s="264"/>
      <c r="Z2045" s="264"/>
      <c r="AA2045" s="264"/>
      <c r="AB2045" s="264"/>
      <c r="AC2045" s="264"/>
      <c r="AD2045" s="264"/>
      <c r="AE2045" s="264"/>
    </row>
    <row r="2046">
      <c r="A2046" s="272"/>
      <c r="B2046" s="272"/>
      <c r="C2046" s="272"/>
      <c r="D2046" s="172"/>
      <c r="E2046" s="267" t="str">
        <f t="shared" si="22"/>
        <v/>
      </c>
      <c r="F2046" s="274"/>
      <c r="G2046" s="42"/>
      <c r="H2046" s="264"/>
      <c r="I2046" s="277"/>
      <c r="J2046" s="276" t="str">
        <f>IF(ISBLANK(I2046), "", VLOOKUP(E2046&amp;" "&amp;F2046, 'Info Tipo de Cambio y REM'!$A$24:$B$35, 2, FALSE))
</f>
        <v/>
      </c>
      <c r="K2046" s="107"/>
      <c r="L2046" s="293"/>
      <c r="M2046" s="293"/>
      <c r="N2046" s="293"/>
      <c r="O2046" s="277"/>
      <c r="P2046" s="264"/>
      <c r="Q2046" s="264"/>
      <c r="R2046" s="264"/>
      <c r="S2046" s="264"/>
      <c r="T2046" s="264"/>
      <c r="U2046" s="264"/>
      <c r="V2046" s="264"/>
      <c r="W2046" s="264"/>
      <c r="X2046" s="264"/>
      <c r="Y2046" s="264"/>
      <c r="Z2046" s="264"/>
      <c r="AA2046" s="264"/>
      <c r="AB2046" s="264"/>
      <c r="AC2046" s="264"/>
      <c r="AD2046" s="264"/>
      <c r="AE2046" s="264"/>
    </row>
    <row r="2047">
      <c r="A2047" s="272"/>
      <c r="B2047" s="272"/>
      <c r="C2047" s="272"/>
      <c r="D2047" s="172"/>
      <c r="E2047" s="267" t="str">
        <f t="shared" si="22"/>
        <v/>
      </c>
      <c r="F2047" s="274"/>
      <c r="G2047" s="42"/>
      <c r="H2047" s="264"/>
      <c r="I2047" s="277"/>
      <c r="J2047" s="276" t="str">
        <f>IF(ISBLANK(I2047), "", VLOOKUP(E2047&amp;" "&amp;F2047, 'Info Tipo de Cambio y REM'!$A$24:$B$35, 2, FALSE))
</f>
        <v/>
      </c>
      <c r="K2047" s="107"/>
      <c r="L2047" s="293"/>
      <c r="M2047" s="293"/>
      <c r="N2047" s="293"/>
      <c r="O2047" s="277"/>
      <c r="P2047" s="264"/>
      <c r="Q2047" s="264"/>
      <c r="R2047" s="264"/>
      <c r="S2047" s="264"/>
      <c r="T2047" s="264"/>
      <c r="U2047" s="264"/>
      <c r="V2047" s="264"/>
      <c r="W2047" s="264"/>
      <c r="X2047" s="264"/>
      <c r="Y2047" s="264"/>
      <c r="Z2047" s="264"/>
      <c r="AA2047" s="264"/>
      <c r="AB2047" s="264"/>
      <c r="AC2047" s="264"/>
      <c r="AD2047" s="264"/>
      <c r="AE2047" s="264"/>
    </row>
    <row r="2048">
      <c r="A2048" s="272"/>
      <c r="B2048" s="272"/>
      <c r="C2048" s="272"/>
      <c r="D2048" s="172"/>
      <c r="E2048" s="267" t="str">
        <f t="shared" si="22"/>
        <v/>
      </c>
      <c r="F2048" s="274"/>
      <c r="G2048" s="42"/>
      <c r="H2048" s="264"/>
      <c r="I2048" s="277"/>
      <c r="J2048" s="276" t="str">
        <f>IF(ISBLANK(I2048), "", VLOOKUP(E2048&amp;" "&amp;F2048, 'Info Tipo de Cambio y REM'!$A$24:$B$35, 2, FALSE))
</f>
        <v/>
      </c>
      <c r="K2048" s="107"/>
      <c r="L2048" s="293"/>
      <c r="M2048" s="293"/>
      <c r="N2048" s="293"/>
      <c r="O2048" s="277"/>
      <c r="P2048" s="264"/>
      <c r="Q2048" s="264"/>
      <c r="R2048" s="264"/>
      <c r="S2048" s="264"/>
      <c r="T2048" s="264"/>
      <c r="U2048" s="264"/>
      <c r="V2048" s="264"/>
      <c r="W2048" s="264"/>
      <c r="X2048" s="264"/>
      <c r="Y2048" s="264"/>
      <c r="Z2048" s="264"/>
      <c r="AA2048" s="264"/>
      <c r="AB2048" s="264"/>
      <c r="AC2048" s="264"/>
      <c r="AD2048" s="264"/>
      <c r="AE2048" s="264"/>
    </row>
    <row r="2049">
      <c r="A2049" s="272"/>
      <c r="B2049" s="272"/>
      <c r="C2049" s="272"/>
      <c r="D2049" s="172"/>
      <c r="E2049" s="267" t="str">
        <f t="shared" si="22"/>
        <v/>
      </c>
      <c r="F2049" s="274"/>
      <c r="G2049" s="42"/>
      <c r="H2049" s="264"/>
      <c r="I2049" s="277"/>
      <c r="J2049" s="276" t="str">
        <f>IF(ISBLANK(I2049), "", VLOOKUP(E2049&amp;" "&amp;F2049, 'Info Tipo de Cambio y REM'!$A$24:$B$35, 2, FALSE))
</f>
        <v/>
      </c>
      <c r="K2049" s="107"/>
      <c r="L2049" s="293"/>
      <c r="M2049" s="293"/>
      <c r="N2049" s="293"/>
      <c r="O2049" s="277"/>
      <c r="P2049" s="264"/>
      <c r="Q2049" s="264"/>
      <c r="R2049" s="264"/>
      <c r="S2049" s="264"/>
      <c r="T2049" s="264"/>
      <c r="U2049" s="264"/>
      <c r="V2049" s="264"/>
      <c r="W2049" s="264"/>
      <c r="X2049" s="264"/>
      <c r="Y2049" s="264"/>
      <c r="Z2049" s="264"/>
      <c r="AA2049" s="264"/>
      <c r="AB2049" s="264"/>
      <c r="AC2049" s="264"/>
      <c r="AD2049" s="264"/>
      <c r="AE2049" s="264"/>
    </row>
    <row r="2050">
      <c r="A2050" s="272"/>
      <c r="B2050" s="272"/>
      <c r="C2050" s="272"/>
      <c r="D2050" s="172"/>
      <c r="E2050" s="267" t="str">
        <f t="shared" si="22"/>
        <v/>
      </c>
      <c r="F2050" s="274"/>
      <c r="G2050" s="42"/>
      <c r="H2050" s="264"/>
      <c r="I2050" s="277"/>
      <c r="J2050" s="276" t="str">
        <f>IF(ISBLANK(I2050), "", VLOOKUP(E2050&amp;" "&amp;F2050, 'Info Tipo de Cambio y REM'!$A$24:$B$35, 2, FALSE))
</f>
        <v/>
      </c>
      <c r="K2050" s="107"/>
      <c r="L2050" s="293"/>
      <c r="M2050" s="293"/>
      <c r="N2050" s="293"/>
      <c r="O2050" s="277"/>
      <c r="P2050" s="264"/>
      <c r="Q2050" s="264"/>
      <c r="R2050" s="264"/>
      <c r="S2050" s="264"/>
      <c r="T2050" s="264"/>
      <c r="U2050" s="264"/>
      <c r="V2050" s="264"/>
      <c r="W2050" s="264"/>
      <c r="X2050" s="264"/>
      <c r="Y2050" s="264"/>
      <c r="Z2050" s="264"/>
      <c r="AA2050" s="264"/>
      <c r="AB2050" s="264"/>
      <c r="AC2050" s="264"/>
      <c r="AD2050" s="264"/>
      <c r="AE2050" s="264"/>
    </row>
    <row r="2051">
      <c r="A2051" s="272"/>
      <c r="B2051" s="272"/>
      <c r="C2051" s="272"/>
      <c r="D2051" s="172"/>
      <c r="E2051" s="267" t="str">
        <f t="shared" si="22"/>
        <v/>
      </c>
      <c r="F2051" s="274"/>
      <c r="G2051" s="42"/>
      <c r="H2051" s="264"/>
      <c r="I2051" s="277"/>
      <c r="J2051" s="276" t="str">
        <f>IF(ISBLANK(I2051), "", VLOOKUP(E2051&amp;" "&amp;F2051, 'Info Tipo de Cambio y REM'!$A$24:$B$35, 2, FALSE))
</f>
        <v/>
      </c>
      <c r="K2051" s="107"/>
      <c r="L2051" s="293"/>
      <c r="M2051" s="293"/>
      <c r="N2051" s="293"/>
      <c r="O2051" s="277"/>
      <c r="P2051" s="264"/>
      <c r="Q2051" s="264"/>
      <c r="R2051" s="264"/>
      <c r="S2051" s="264"/>
      <c r="T2051" s="264"/>
      <c r="U2051" s="264"/>
      <c r="V2051" s="264"/>
      <c r="W2051" s="264"/>
      <c r="X2051" s="264"/>
      <c r="Y2051" s="264"/>
      <c r="Z2051" s="264"/>
      <c r="AA2051" s="264"/>
      <c r="AB2051" s="264"/>
      <c r="AC2051" s="264"/>
      <c r="AD2051" s="264"/>
      <c r="AE2051" s="264"/>
    </row>
    <row r="2052">
      <c r="A2052" s="272"/>
      <c r="B2052" s="272"/>
      <c r="C2052" s="272"/>
      <c r="D2052" s="172"/>
      <c r="E2052" s="267" t="str">
        <f t="shared" si="22"/>
        <v/>
      </c>
      <c r="F2052" s="274"/>
      <c r="G2052" s="42"/>
      <c r="H2052" s="264"/>
      <c r="I2052" s="277"/>
      <c r="J2052" s="276" t="str">
        <f>IF(ISBLANK(I2052), "", VLOOKUP(E2052&amp;" "&amp;F2052, 'Info Tipo de Cambio y REM'!$A$24:$B$35, 2, FALSE))
</f>
        <v/>
      </c>
      <c r="K2052" s="107"/>
      <c r="L2052" s="293"/>
      <c r="M2052" s="293"/>
      <c r="N2052" s="293"/>
      <c r="O2052" s="277"/>
      <c r="P2052" s="264"/>
      <c r="Q2052" s="264"/>
      <c r="R2052" s="264"/>
      <c r="S2052" s="264"/>
      <c r="T2052" s="264"/>
      <c r="U2052" s="264"/>
      <c r="V2052" s="264"/>
      <c r="W2052" s="264"/>
      <c r="X2052" s="264"/>
      <c r="Y2052" s="264"/>
      <c r="Z2052" s="264"/>
      <c r="AA2052" s="264"/>
      <c r="AB2052" s="264"/>
      <c r="AC2052" s="264"/>
      <c r="AD2052" s="264"/>
      <c r="AE2052" s="264"/>
    </row>
    <row r="2053">
      <c r="A2053" s="272"/>
      <c r="B2053" s="272"/>
      <c r="C2053" s="272"/>
      <c r="D2053" s="172"/>
      <c r="E2053" s="267" t="str">
        <f t="shared" si="22"/>
        <v/>
      </c>
      <c r="F2053" s="274"/>
      <c r="G2053" s="42"/>
      <c r="H2053" s="264"/>
      <c r="I2053" s="277"/>
      <c r="J2053" s="276" t="str">
        <f>IF(ISBLANK(I2053), "", VLOOKUP(E2053&amp;" "&amp;F2053, 'Info Tipo de Cambio y REM'!$A$24:$B$35, 2, FALSE))
</f>
        <v/>
      </c>
      <c r="K2053" s="107"/>
      <c r="L2053" s="293"/>
      <c r="M2053" s="293"/>
      <c r="N2053" s="293"/>
      <c r="O2053" s="277"/>
      <c r="P2053" s="264"/>
      <c r="Q2053" s="264"/>
      <c r="R2053" s="264"/>
      <c r="S2053" s="264"/>
      <c r="T2053" s="264"/>
      <c r="U2053" s="264"/>
      <c r="V2053" s="264"/>
      <c r="W2053" s="264"/>
      <c r="X2053" s="264"/>
      <c r="Y2053" s="264"/>
      <c r="Z2053" s="264"/>
      <c r="AA2053" s="264"/>
      <c r="AB2053" s="264"/>
      <c r="AC2053" s="264"/>
      <c r="AD2053" s="264"/>
      <c r="AE2053" s="264"/>
    </row>
    <row r="2054">
      <c r="A2054" s="272"/>
      <c r="B2054" s="272"/>
      <c r="C2054" s="272"/>
      <c r="D2054" s="172"/>
      <c r="E2054" s="267" t="str">
        <f t="shared" si="22"/>
        <v/>
      </c>
      <c r="F2054" s="274"/>
      <c r="G2054" s="42"/>
      <c r="H2054" s="264"/>
      <c r="I2054" s="277"/>
      <c r="J2054" s="276" t="str">
        <f>IF(ISBLANK(I2054), "", VLOOKUP(E2054&amp;" "&amp;F2054, 'Info Tipo de Cambio y REM'!$A$24:$B$35, 2, FALSE))
</f>
        <v/>
      </c>
      <c r="K2054" s="107"/>
      <c r="L2054" s="293"/>
      <c r="M2054" s="293"/>
      <c r="N2054" s="293"/>
      <c r="O2054" s="277"/>
      <c r="P2054" s="264"/>
      <c r="Q2054" s="264"/>
      <c r="R2054" s="264"/>
      <c r="S2054" s="264"/>
      <c r="T2054" s="264"/>
      <c r="U2054" s="264"/>
      <c r="V2054" s="264"/>
      <c r="W2054" s="264"/>
      <c r="X2054" s="264"/>
      <c r="Y2054" s="264"/>
      <c r="Z2054" s="264"/>
      <c r="AA2054" s="264"/>
      <c r="AB2054" s="264"/>
      <c r="AC2054" s="264"/>
      <c r="AD2054" s="264"/>
      <c r="AE2054" s="264"/>
    </row>
    <row r="2055">
      <c r="A2055" s="272"/>
      <c r="B2055" s="272"/>
      <c r="C2055" s="272"/>
      <c r="D2055" s="172"/>
      <c r="E2055" s="267" t="str">
        <f t="shared" si="22"/>
        <v/>
      </c>
      <c r="F2055" s="274"/>
      <c r="G2055" s="42"/>
      <c r="H2055" s="264"/>
      <c r="I2055" s="277"/>
      <c r="J2055" s="276" t="str">
        <f>IF(ISBLANK(I2055), "", VLOOKUP(E2055&amp;" "&amp;F2055, 'Info Tipo de Cambio y REM'!$A$24:$B$35, 2, FALSE))
</f>
        <v/>
      </c>
      <c r="K2055" s="107"/>
      <c r="L2055" s="293"/>
      <c r="M2055" s="293"/>
      <c r="N2055" s="293"/>
      <c r="O2055" s="277"/>
      <c r="P2055" s="264"/>
      <c r="Q2055" s="264"/>
      <c r="R2055" s="264"/>
      <c r="S2055" s="264"/>
      <c r="T2055" s="264"/>
      <c r="U2055" s="264"/>
      <c r="V2055" s="264"/>
      <c r="W2055" s="264"/>
      <c r="X2055" s="264"/>
      <c r="Y2055" s="264"/>
      <c r="Z2055" s="264"/>
      <c r="AA2055" s="264"/>
      <c r="AB2055" s="264"/>
      <c r="AC2055" s="264"/>
      <c r="AD2055" s="264"/>
      <c r="AE2055" s="264"/>
    </row>
    <row r="2056">
      <c r="A2056" s="272"/>
      <c r="B2056" s="272"/>
      <c r="C2056" s="272"/>
      <c r="D2056" s="172"/>
      <c r="E2056" s="267" t="str">
        <f t="shared" si="22"/>
        <v/>
      </c>
      <c r="F2056" s="274"/>
      <c r="G2056" s="42"/>
      <c r="H2056" s="264"/>
      <c r="I2056" s="277"/>
      <c r="J2056" s="276" t="str">
        <f>IF(ISBLANK(I2056), "", VLOOKUP(E2056&amp;" "&amp;F2056, 'Info Tipo de Cambio y REM'!$A$24:$B$35, 2, FALSE))
</f>
        <v/>
      </c>
      <c r="K2056" s="107"/>
      <c r="L2056" s="293"/>
      <c r="M2056" s="293"/>
      <c r="N2056" s="293"/>
      <c r="O2056" s="277"/>
      <c r="P2056" s="264"/>
      <c r="Q2056" s="264"/>
      <c r="R2056" s="264"/>
      <c r="S2056" s="264"/>
      <c r="T2056" s="264"/>
      <c r="U2056" s="264"/>
      <c r="V2056" s="264"/>
      <c r="W2056" s="264"/>
      <c r="X2056" s="264"/>
      <c r="Y2056" s="264"/>
      <c r="Z2056" s="264"/>
      <c r="AA2056" s="264"/>
      <c r="AB2056" s="264"/>
      <c r="AC2056" s="264"/>
      <c r="AD2056" s="264"/>
      <c r="AE2056" s="264"/>
    </row>
    <row r="2057">
      <c r="A2057" s="272"/>
      <c r="B2057" s="272"/>
      <c r="C2057" s="272"/>
      <c r="D2057" s="172"/>
      <c r="E2057" s="267" t="str">
        <f t="shared" si="22"/>
        <v/>
      </c>
      <c r="F2057" s="274"/>
      <c r="G2057" s="42"/>
      <c r="H2057" s="264"/>
      <c r="I2057" s="277"/>
      <c r="J2057" s="276" t="str">
        <f>IF(ISBLANK(I2057), "", VLOOKUP(E2057&amp;" "&amp;F2057, 'Info Tipo de Cambio y REM'!$A$24:$B$35, 2, FALSE))
</f>
        <v/>
      </c>
      <c r="K2057" s="107"/>
      <c r="L2057" s="293"/>
      <c r="M2057" s="293"/>
      <c r="N2057" s="293"/>
      <c r="O2057" s="277"/>
      <c r="P2057" s="264"/>
      <c r="Q2057" s="264"/>
      <c r="R2057" s="264"/>
      <c r="S2057" s="264"/>
      <c r="T2057" s="264"/>
      <c r="U2057" s="264"/>
      <c r="V2057" s="264"/>
      <c r="W2057" s="264"/>
      <c r="X2057" s="264"/>
      <c r="Y2057" s="264"/>
      <c r="Z2057" s="264"/>
      <c r="AA2057" s="264"/>
      <c r="AB2057" s="264"/>
      <c r="AC2057" s="264"/>
      <c r="AD2057" s="264"/>
      <c r="AE2057" s="264"/>
    </row>
    <row r="2058">
      <c r="A2058" s="272"/>
      <c r="B2058" s="272"/>
      <c r="C2058" s="272"/>
      <c r="D2058" s="172"/>
      <c r="E2058" s="267" t="str">
        <f t="shared" si="22"/>
        <v/>
      </c>
      <c r="F2058" s="274"/>
      <c r="G2058" s="42"/>
      <c r="H2058" s="264"/>
      <c r="I2058" s="277"/>
      <c r="J2058" s="276" t="str">
        <f>IF(ISBLANK(I2058), "", VLOOKUP(E2058&amp;" "&amp;F2058, 'Info Tipo de Cambio y REM'!$A$24:$B$35, 2, FALSE))
</f>
        <v/>
      </c>
      <c r="K2058" s="107"/>
      <c r="L2058" s="293"/>
      <c r="M2058" s="293"/>
      <c r="N2058" s="293"/>
      <c r="O2058" s="277"/>
      <c r="P2058" s="264"/>
      <c r="Q2058" s="264"/>
      <c r="R2058" s="264"/>
      <c r="S2058" s="264"/>
      <c r="T2058" s="264"/>
      <c r="U2058" s="264"/>
      <c r="V2058" s="264"/>
      <c r="W2058" s="264"/>
      <c r="X2058" s="264"/>
      <c r="Y2058" s="264"/>
      <c r="Z2058" s="264"/>
      <c r="AA2058" s="264"/>
      <c r="AB2058" s="264"/>
      <c r="AC2058" s="264"/>
      <c r="AD2058" s="264"/>
      <c r="AE2058" s="264"/>
    </row>
  </sheetData>
  <autoFilter ref="$A$1:$AE$1075"/>
  <conditionalFormatting sqref="H126:H127 D133:D159 H133:H135 D163 D177:D182 D233:D246">
    <cfRule type="expression" dxfId="0" priority="1">
      <formula>AND(H126&lt;=TODAY(), H126&lt;&gt;"")</formula>
    </cfRule>
  </conditionalFormatting>
  <conditionalFormatting sqref="H126:H127 D133:D159 H133:H135 D163 D177:D182 D233:D246">
    <cfRule type="expression" dxfId="1" priority="2">
      <formula>AND(H126&gt;TODAY(), H126&lt;&gt;"")</formula>
    </cfRule>
  </conditionalFormatting>
  <dataValidations>
    <dataValidation type="list" allowBlank="1" showErrorMessage="1" sqref="E2:E2058">
      <formula1>Listas!$H$3:$H$14</formula1>
    </dataValidation>
    <dataValidation type="list" allowBlank="1" showErrorMessage="1" sqref="C2:C2058">
      <formula1>"ARS,USD,EUR,REA"</formula1>
    </dataValidation>
    <dataValidation type="list" allowBlank="1" showErrorMessage="1" sqref="A2:A2058">
      <formula1>"Ingreso,Egreso,Saldo"</formula1>
    </dataValidation>
    <dataValidation type="list" allowBlank="1" showErrorMessage="1" sqref="B2:B2058">
      <formula1>"Santander,Bank Of America,Caja"</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5.75"/>
    <col customWidth="1" min="2" max="2" width="18.25"/>
    <col customWidth="1" min="3" max="3" width="11.38"/>
    <col customWidth="1" min="4" max="4" width="9.63"/>
    <col customWidth="1" min="5" max="5" width="28.13"/>
    <col customWidth="1" min="6" max="6" width="15.13"/>
    <col customWidth="1" min="7" max="7" width="12.63"/>
    <col customWidth="1" min="8" max="8" width="10.88"/>
    <col customWidth="1" min="9" max="9" width="13.88"/>
    <col customWidth="1" min="10" max="10" width="11.63"/>
    <col customWidth="1" min="11" max="12" width="17.75"/>
    <col customWidth="1" min="13" max="13" width="18.38"/>
    <col customWidth="1" min="14" max="14" width="14.25"/>
    <col customWidth="1" min="15" max="32" width="43.38"/>
  </cols>
  <sheetData>
    <row r="1">
      <c r="A1" s="10" t="s">
        <v>112</v>
      </c>
      <c r="B1" s="93" t="s">
        <v>113</v>
      </c>
      <c r="C1" s="94" t="s">
        <v>116</v>
      </c>
      <c r="D1" s="95" t="s">
        <v>275</v>
      </c>
      <c r="E1" s="10" t="s">
        <v>367</v>
      </c>
      <c r="F1" s="10" t="s">
        <v>359</v>
      </c>
      <c r="G1" s="10" t="s">
        <v>368</v>
      </c>
      <c r="H1" s="152" t="s">
        <v>369</v>
      </c>
      <c r="I1" s="10" t="s">
        <v>370</v>
      </c>
      <c r="J1" s="153" t="s">
        <v>282</v>
      </c>
      <c r="K1" s="99" t="s">
        <v>283</v>
      </c>
      <c r="L1" s="154" t="s">
        <v>284</v>
      </c>
      <c r="M1" s="155" t="s">
        <v>285</v>
      </c>
      <c r="N1" s="101" t="s">
        <v>286</v>
      </c>
      <c r="O1" s="43" t="s">
        <v>278</v>
      </c>
    </row>
    <row r="2" hidden="1">
      <c r="A2" s="43" t="s">
        <v>237</v>
      </c>
      <c r="B2" s="43" t="str">
        <f>IF(A2="", "", IFERROR(VLOOKUP(A2, Clasificaciones!A:B, 2, FALSE), "DATO NO CARGADO"))</f>
        <v>Otros Proveedores</v>
      </c>
      <c r="C2" s="51" t="s">
        <v>123</v>
      </c>
      <c r="D2" s="156">
        <v>2025.0</v>
      </c>
      <c r="E2" s="102"/>
      <c r="F2" s="104"/>
      <c r="G2" s="104"/>
      <c r="H2" s="55" t="s">
        <v>372</v>
      </c>
      <c r="I2" s="43" t="s">
        <v>373</v>
      </c>
      <c r="J2" s="104">
        <v>45413.0</v>
      </c>
      <c r="K2" s="89">
        <v>96000.0</v>
      </c>
      <c r="L2" s="71"/>
      <c r="M2" s="106">
        <f>IF(ISBLANK(K2), "", VLOOKUP(C2&amp;" "&amp;D2, 'Info Tipo de Cambio y REM'!$A$24:$B$35, 2, FALSE))</f>
        <v>1220</v>
      </c>
      <c r="N2" s="107">
        <f t="shared" ref="N2:N417" si="1">IFERROR(IF(NOT(ISBLANK(K2)), K2 / M2, IF(NOT(ISBLANK(L2)), L2, "")), "")
</f>
        <v>78.68852459</v>
      </c>
      <c r="O2" s="102" t="str">
        <f t="shared" ref="O2:O1106" si="2">IF(
   A2="",
   "",
   IF(
      AND(
        E2="No Pagado",
        J2&lt;TODAY(),
        OR(F2="",F2&gt;J2)
      ),
      "Vencido",
      "A término"
   )
)
</f>
        <v>A término</v>
      </c>
    </row>
    <row r="3" hidden="1">
      <c r="A3" s="43" t="s">
        <v>236</v>
      </c>
      <c r="B3" s="43" t="str">
        <f>IF(A3="", "", IFERROR(VLOOKUP(A3, Clasificaciones!A:B, 2, FALSE), "DATO NO CARGADO"))</f>
        <v>Otros Proveedores</v>
      </c>
      <c r="C3" s="51" t="s">
        <v>123</v>
      </c>
      <c r="D3" s="156">
        <v>2025.0</v>
      </c>
      <c r="E3" s="102"/>
      <c r="F3" s="104"/>
      <c r="G3" s="104"/>
      <c r="H3" s="55" t="s">
        <v>375</v>
      </c>
      <c r="I3" s="43" t="s">
        <v>376</v>
      </c>
      <c r="J3" s="104">
        <v>45690.0</v>
      </c>
      <c r="K3" s="89">
        <v>1827887.0</v>
      </c>
      <c r="L3" s="71"/>
      <c r="M3" s="106">
        <f>IF(ISBLANK(K3), "", VLOOKUP(C3&amp;" "&amp;D3, 'Info Tipo de Cambio y REM'!$A$24:$B$35, 2, FALSE))</f>
        <v>1220</v>
      </c>
      <c r="N3" s="107">
        <f t="shared" si="1"/>
        <v>1498.268033</v>
      </c>
      <c r="O3" s="102" t="str">
        <f t="shared" si="2"/>
        <v>A término</v>
      </c>
    </row>
    <row r="4" hidden="1">
      <c r="A4" s="43" t="s">
        <v>212</v>
      </c>
      <c r="B4" s="43" t="str">
        <f>IF(A4="", "", IFERROR(VLOOKUP(A4, Clasificaciones!A:B, 2, FALSE), "DATO NO CARGADO"))</f>
        <v>Equipo</v>
      </c>
      <c r="C4" s="51" t="s">
        <v>123</v>
      </c>
      <c r="D4" s="156">
        <v>2025.0</v>
      </c>
      <c r="E4" s="102"/>
      <c r="F4" s="104"/>
      <c r="G4" s="104"/>
      <c r="H4" s="55" t="s">
        <v>377</v>
      </c>
      <c r="I4" s="43" t="s">
        <v>378</v>
      </c>
      <c r="J4" s="104">
        <v>45688.0</v>
      </c>
      <c r="K4" s="89">
        <v>218190.0</v>
      </c>
      <c r="L4" s="71"/>
      <c r="M4" s="106">
        <f>IF(ISBLANK(K4), "", VLOOKUP(C4&amp;" "&amp;D4, 'Info Tipo de Cambio y REM'!$A$24:$B$35, 2, FALSE))</f>
        <v>1220</v>
      </c>
      <c r="N4" s="107">
        <f t="shared" si="1"/>
        <v>178.8442623</v>
      </c>
      <c r="O4" s="102" t="str">
        <f t="shared" si="2"/>
        <v>A término</v>
      </c>
    </row>
    <row r="5" hidden="1">
      <c r="A5" s="43" t="s">
        <v>205</v>
      </c>
      <c r="B5" s="43" t="str">
        <f>IF(A5="", "", IFERROR(VLOOKUP(A5, Clasificaciones!A:B, 2, FALSE), "DATO NO CARGADO"))</f>
        <v>Equipo</v>
      </c>
      <c r="C5" s="51" t="s">
        <v>123</v>
      </c>
      <c r="D5" s="156">
        <v>2025.0</v>
      </c>
      <c r="E5" s="102"/>
      <c r="F5" s="104"/>
      <c r="G5" s="104"/>
      <c r="H5" s="55" t="s">
        <v>379</v>
      </c>
      <c r="I5" s="43" t="s">
        <v>380</v>
      </c>
      <c r="J5" s="104">
        <v>45688.0</v>
      </c>
      <c r="K5" s="89">
        <v>644403.0</v>
      </c>
      <c r="L5" s="71"/>
      <c r="M5" s="106">
        <f>IF(ISBLANK(K5), "", VLOOKUP(C5&amp;" "&amp;D5, 'Info Tipo de Cambio y REM'!$A$24:$B$35, 2, FALSE))</f>
        <v>1220</v>
      </c>
      <c r="N5" s="107">
        <f t="shared" si="1"/>
        <v>528.1991803</v>
      </c>
      <c r="O5" s="102" t="str">
        <f t="shared" si="2"/>
        <v>A término</v>
      </c>
    </row>
    <row r="6" hidden="1">
      <c r="A6" s="43" t="s">
        <v>200</v>
      </c>
      <c r="B6" s="43" t="str">
        <f>IF(A6="", "", IFERROR(VLOOKUP(A6, Clasificaciones!A:B, 2, FALSE), "DATO NO CARGADO"))</f>
        <v>Equipo</v>
      </c>
      <c r="C6" s="51" t="s">
        <v>123</v>
      </c>
      <c r="D6" s="156">
        <v>2025.0</v>
      </c>
      <c r="E6" s="102"/>
      <c r="F6" s="104"/>
      <c r="G6" s="104"/>
      <c r="H6" s="55" t="s">
        <v>381</v>
      </c>
      <c r="I6" s="43" t="s">
        <v>382</v>
      </c>
      <c r="J6" s="104">
        <v>45688.0</v>
      </c>
      <c r="K6" s="89">
        <v>1851120.0</v>
      </c>
      <c r="L6" s="71"/>
      <c r="M6" s="106">
        <f>IF(ISBLANK(K6), "", VLOOKUP(C6&amp;" "&amp;D6, 'Info Tipo de Cambio y REM'!$A$24:$B$35, 2, FALSE))</f>
        <v>1220</v>
      </c>
      <c r="N6" s="107">
        <f t="shared" si="1"/>
        <v>1517.311475</v>
      </c>
      <c r="O6" s="102" t="str">
        <f t="shared" si="2"/>
        <v>A término</v>
      </c>
    </row>
    <row r="7" hidden="1">
      <c r="A7" s="43" t="s">
        <v>226</v>
      </c>
      <c r="B7" s="43" t="str">
        <f>IF(A7="", "", IFERROR(VLOOKUP(A7, Clasificaciones!A:B, 2, FALSE), "DATO NO CARGADO"))</f>
        <v>Administración Finanzas</v>
      </c>
      <c r="C7" s="51" t="s">
        <v>123</v>
      </c>
      <c r="D7" s="156">
        <v>2025.0</v>
      </c>
      <c r="E7" s="102"/>
      <c r="F7" s="104"/>
      <c r="G7" s="104"/>
      <c r="H7" s="55" t="s">
        <v>383</v>
      </c>
      <c r="I7" s="43" t="s">
        <v>384</v>
      </c>
      <c r="J7" s="104">
        <v>45688.0</v>
      </c>
      <c r="K7" s="89">
        <v>537700.0</v>
      </c>
      <c r="L7" s="71"/>
      <c r="M7" s="106">
        <f>IF(ISBLANK(K7), "", VLOOKUP(C7&amp;" "&amp;D7, 'Info Tipo de Cambio y REM'!$A$24:$B$35, 2, FALSE))</f>
        <v>1220</v>
      </c>
      <c r="N7" s="107">
        <f t="shared" si="1"/>
        <v>440.7377049</v>
      </c>
      <c r="O7" s="102" t="str">
        <f t="shared" si="2"/>
        <v>A término</v>
      </c>
    </row>
    <row r="8" hidden="1">
      <c r="A8" s="43" t="s">
        <v>235</v>
      </c>
      <c r="B8" s="43" t="str">
        <f>IF(A8="", "", IFERROR(VLOOKUP(A8, Clasificaciones!A:B, 2, FALSE), "DATO NO CARGADO"))</f>
        <v>Otros Proveedores</v>
      </c>
      <c r="C8" s="51" t="s">
        <v>123</v>
      </c>
      <c r="D8" s="156">
        <v>2025.0</v>
      </c>
      <c r="E8" s="102"/>
      <c r="F8" s="104"/>
      <c r="G8" s="104"/>
      <c r="H8" s="55" t="s">
        <v>385</v>
      </c>
      <c r="I8" s="43" t="s">
        <v>386</v>
      </c>
      <c r="J8" s="104">
        <v>45688.0</v>
      </c>
      <c r="K8" s="89">
        <v>1280000.0</v>
      </c>
      <c r="L8" s="71"/>
      <c r="M8" s="106">
        <f>IF(ISBLANK(K8), "", VLOOKUP(C8&amp;" "&amp;D8, 'Info Tipo de Cambio y REM'!$A$24:$B$35, 2, FALSE))</f>
        <v>1220</v>
      </c>
      <c r="N8" s="107">
        <f t="shared" si="1"/>
        <v>1049.180328</v>
      </c>
      <c r="O8" s="102" t="str">
        <f t="shared" si="2"/>
        <v>A término</v>
      </c>
    </row>
    <row r="9" hidden="1">
      <c r="A9" s="43" t="s">
        <v>120</v>
      </c>
      <c r="B9" s="43" t="str">
        <f>IF(A9="", "", IFERROR(VLOOKUP(A9, Clasificaciones!A:B, 2, FALSE), "DATO NO CARGADO"))</f>
        <v>Equipo</v>
      </c>
      <c r="C9" s="51" t="s">
        <v>123</v>
      </c>
      <c r="D9" s="156">
        <v>2025.0</v>
      </c>
      <c r="E9" s="102"/>
      <c r="F9" s="104"/>
      <c r="G9" s="104"/>
      <c r="H9" s="55" t="s">
        <v>387</v>
      </c>
      <c r="I9" s="43" t="s">
        <v>388</v>
      </c>
      <c r="J9" s="104">
        <v>45688.0</v>
      </c>
      <c r="K9" s="89">
        <v>2500000.0</v>
      </c>
      <c r="L9" s="71"/>
      <c r="M9" s="106">
        <f>IF(ISBLANK(K9), "", VLOOKUP(C9&amp;" "&amp;D9, 'Info Tipo de Cambio y REM'!$A$24:$B$35, 2, FALSE))</f>
        <v>1220</v>
      </c>
      <c r="N9" s="107">
        <f t="shared" si="1"/>
        <v>2049.180328</v>
      </c>
      <c r="O9" s="102" t="str">
        <f t="shared" si="2"/>
        <v>A término</v>
      </c>
    </row>
    <row r="10" hidden="1">
      <c r="A10" s="43" t="s">
        <v>207</v>
      </c>
      <c r="B10" s="43" t="str">
        <f>IF(A10="", "", IFERROR(VLOOKUP(A10, Clasificaciones!A:B, 2, FALSE), "DATO NO CARGADO"))</f>
        <v>Equipo</v>
      </c>
      <c r="C10" s="51" t="s">
        <v>123</v>
      </c>
      <c r="D10" s="156">
        <v>2025.0</v>
      </c>
      <c r="E10" s="102"/>
      <c r="F10" s="104"/>
      <c r="G10" s="104"/>
      <c r="H10" s="55" t="s">
        <v>389</v>
      </c>
      <c r="I10" s="43" t="s">
        <v>390</v>
      </c>
      <c r="J10" s="104">
        <v>45688.0</v>
      </c>
      <c r="K10" s="89">
        <v>776000.0</v>
      </c>
      <c r="L10" s="71"/>
      <c r="M10" s="106">
        <f>IF(ISBLANK(K10), "", VLOOKUP(C10&amp;" "&amp;D10, 'Info Tipo de Cambio y REM'!$A$24:$B$35, 2, FALSE))</f>
        <v>1220</v>
      </c>
      <c r="N10" s="107">
        <f t="shared" si="1"/>
        <v>636.0655738</v>
      </c>
      <c r="O10" s="102" t="str">
        <f t="shared" si="2"/>
        <v>A término</v>
      </c>
    </row>
    <row r="11" hidden="1">
      <c r="A11" s="43" t="s">
        <v>87</v>
      </c>
      <c r="B11" s="43" t="str">
        <f>IF(A11="", "", IFERROR(VLOOKUP(A11, Clasificaciones!A:B, 2, FALSE), "DATO NO CARGADO"))</f>
        <v>Equipo</v>
      </c>
      <c r="C11" s="51" t="s">
        <v>123</v>
      </c>
      <c r="D11" s="156">
        <v>2025.0</v>
      </c>
      <c r="E11" s="102"/>
      <c r="F11" s="104"/>
      <c r="G11" s="104"/>
      <c r="H11" s="55" t="s">
        <v>391</v>
      </c>
      <c r="I11" s="43" t="s">
        <v>392</v>
      </c>
      <c r="J11" s="104">
        <v>45688.0</v>
      </c>
      <c r="K11" s="89">
        <v>420501.0</v>
      </c>
      <c r="L11" s="71"/>
      <c r="M11" s="106">
        <f>IF(ISBLANK(K11), "", VLOOKUP(C11&amp;" "&amp;D11, 'Info Tipo de Cambio y REM'!$A$24:$B$35, 2, FALSE))</f>
        <v>1220</v>
      </c>
      <c r="N11" s="107">
        <f t="shared" si="1"/>
        <v>344.6729508</v>
      </c>
      <c r="O11" s="102" t="str">
        <f t="shared" si="2"/>
        <v>A término</v>
      </c>
    </row>
    <row r="12" hidden="1">
      <c r="A12" s="43" t="s">
        <v>127</v>
      </c>
      <c r="B12" s="43" t="str">
        <f>IF(A12="", "", IFERROR(VLOOKUP(A12, Clasificaciones!A:B, 2, FALSE), "DATO NO CARGADO"))</f>
        <v>Board</v>
      </c>
      <c r="C12" s="51" t="s">
        <v>123</v>
      </c>
      <c r="D12" s="156">
        <v>2025.0</v>
      </c>
      <c r="E12" s="102"/>
      <c r="F12" s="104"/>
      <c r="G12" s="104"/>
      <c r="H12" s="55" t="s">
        <v>393</v>
      </c>
      <c r="I12" s="43" t="s">
        <v>394</v>
      </c>
      <c r="J12" s="104">
        <v>45693.0</v>
      </c>
      <c r="K12" s="89">
        <v>898903.0</v>
      </c>
      <c r="L12" s="71"/>
      <c r="M12" s="106">
        <f>IF(ISBLANK(K12), "", VLOOKUP(C12&amp;" "&amp;D12, 'Info Tipo de Cambio y REM'!$A$24:$B$35, 2, FALSE))</f>
        <v>1220</v>
      </c>
      <c r="N12" s="107">
        <f t="shared" si="1"/>
        <v>736.8057377</v>
      </c>
      <c r="O12" s="102" t="str">
        <f t="shared" si="2"/>
        <v>A término</v>
      </c>
    </row>
    <row r="13" hidden="1">
      <c r="A13" s="43" t="s">
        <v>127</v>
      </c>
      <c r="B13" s="43" t="str">
        <f>IF(A13="", "", IFERROR(VLOOKUP(A13, Clasificaciones!A:B, 2, FALSE), "DATO NO CARGADO"))</f>
        <v>Board</v>
      </c>
      <c r="C13" s="51" t="s">
        <v>123</v>
      </c>
      <c r="D13" s="156">
        <v>2025.0</v>
      </c>
      <c r="E13" s="102"/>
      <c r="F13" s="104"/>
      <c r="G13" s="104"/>
      <c r="H13" s="55" t="s">
        <v>395</v>
      </c>
      <c r="I13" s="43" t="s">
        <v>396</v>
      </c>
      <c r="J13" s="104">
        <v>45692.0</v>
      </c>
      <c r="K13" s="89">
        <v>1085230.0</v>
      </c>
      <c r="L13" s="71"/>
      <c r="M13" s="106">
        <f>IF(ISBLANK(K13), "", VLOOKUP(C13&amp;" "&amp;D13, 'Info Tipo de Cambio y REM'!$A$24:$B$35, 2, FALSE))</f>
        <v>1220</v>
      </c>
      <c r="N13" s="107">
        <f t="shared" si="1"/>
        <v>889.5327869</v>
      </c>
      <c r="O13" s="102" t="str">
        <f t="shared" si="2"/>
        <v>A término</v>
      </c>
    </row>
    <row r="14" hidden="1">
      <c r="A14" s="43" t="s">
        <v>210</v>
      </c>
      <c r="B14" s="43" t="str">
        <f>IF(A14="", "", IFERROR(VLOOKUP(A14, Clasificaciones!A:B, 2, FALSE), "DATO NO CARGADO"))</f>
        <v>Equipo</v>
      </c>
      <c r="C14" s="51" t="s">
        <v>123</v>
      </c>
      <c r="D14" s="156">
        <v>2025.0</v>
      </c>
      <c r="E14" s="102"/>
      <c r="F14" s="104"/>
      <c r="G14" s="104"/>
      <c r="H14" s="55" t="s">
        <v>397</v>
      </c>
      <c r="I14" s="43" t="s">
        <v>398</v>
      </c>
      <c r="J14" s="104">
        <v>45691.0</v>
      </c>
      <c r="K14" s="89">
        <v>161887.0</v>
      </c>
      <c r="L14" s="71"/>
      <c r="M14" s="106">
        <f>IF(ISBLANK(K14), "", VLOOKUP(C14&amp;" "&amp;D14, 'Info Tipo de Cambio y REM'!$A$24:$B$35, 2, FALSE))</f>
        <v>1220</v>
      </c>
      <c r="N14" s="107">
        <f t="shared" si="1"/>
        <v>132.6942623</v>
      </c>
      <c r="O14" s="102" t="str">
        <f t="shared" si="2"/>
        <v>A término</v>
      </c>
    </row>
    <row r="15" hidden="1">
      <c r="A15" s="43" t="s">
        <v>219</v>
      </c>
      <c r="B15" s="43" t="str">
        <f>IF(A15="", "", IFERROR(VLOOKUP(A15, Clasificaciones!A:B, 2, FALSE), "DATO NO CARGADO"))</f>
        <v>Gastos Varios</v>
      </c>
      <c r="C15" s="51" t="s">
        <v>123</v>
      </c>
      <c r="D15" s="156">
        <v>2025.0</v>
      </c>
      <c r="E15" s="102"/>
      <c r="F15" s="104"/>
      <c r="G15" s="104"/>
      <c r="H15" s="55" t="s">
        <v>399</v>
      </c>
      <c r="I15" s="43" t="s">
        <v>400</v>
      </c>
      <c r="J15" s="104">
        <v>45688.0</v>
      </c>
      <c r="K15" s="89">
        <v>291750.0</v>
      </c>
      <c r="L15" s="71"/>
      <c r="M15" s="106">
        <f>IF(ISBLANK(K15), "", VLOOKUP(C15&amp;" "&amp;D15, 'Info Tipo de Cambio y REM'!$A$24:$B$35, 2, FALSE))</f>
        <v>1220</v>
      </c>
      <c r="N15" s="107">
        <f t="shared" si="1"/>
        <v>239.1393443</v>
      </c>
      <c r="O15" s="102" t="str">
        <f t="shared" si="2"/>
        <v>A término</v>
      </c>
    </row>
    <row r="16" hidden="1">
      <c r="A16" s="43" t="s">
        <v>216</v>
      </c>
      <c r="B16" s="43" t="str">
        <f>IF(A16="", "", IFERROR(VLOOKUP(A16, Clasificaciones!A:B, 2, FALSE), "DATO NO CARGADO"))</f>
        <v>Equipo</v>
      </c>
      <c r="C16" s="51" t="s">
        <v>123</v>
      </c>
      <c r="D16" s="156">
        <v>2025.0</v>
      </c>
      <c r="E16" s="102"/>
      <c r="F16" s="104"/>
      <c r="G16" s="104"/>
      <c r="H16" s="55" t="s">
        <v>401</v>
      </c>
      <c r="I16" s="43" t="s">
        <v>402</v>
      </c>
      <c r="J16" s="104">
        <v>45688.0</v>
      </c>
      <c r="K16" s="89">
        <v>413401.0</v>
      </c>
      <c r="L16" s="71"/>
      <c r="M16" s="106">
        <f>IF(ISBLANK(K16), "", VLOOKUP(C16&amp;" "&amp;D16, 'Info Tipo de Cambio y REM'!$A$24:$B$35, 2, FALSE))</f>
        <v>1220</v>
      </c>
      <c r="N16" s="107">
        <f t="shared" si="1"/>
        <v>338.8532787</v>
      </c>
      <c r="O16" s="102" t="str">
        <f t="shared" si="2"/>
        <v>A término</v>
      </c>
    </row>
    <row r="17" hidden="1">
      <c r="A17" s="43" t="s">
        <v>194</v>
      </c>
      <c r="B17" s="43" t="str">
        <f>IF(A17="", "", IFERROR(VLOOKUP(A17, Clasificaciones!A:B, 2, FALSE), "DATO NO CARGADO"))</f>
        <v>Equipo</v>
      </c>
      <c r="C17" s="51" t="s">
        <v>123</v>
      </c>
      <c r="D17" s="156">
        <v>2025.0</v>
      </c>
      <c r="E17" s="102"/>
      <c r="F17" s="104"/>
      <c r="G17" s="104"/>
      <c r="H17" s="55" t="s">
        <v>403</v>
      </c>
      <c r="I17" s="43" t="s">
        <v>404</v>
      </c>
      <c r="J17" s="104">
        <v>45688.0</v>
      </c>
      <c r="K17" s="89">
        <v>1550000.0</v>
      </c>
      <c r="L17" s="71"/>
      <c r="M17" s="106">
        <f>IF(ISBLANK(K17), "", VLOOKUP(C17&amp;" "&amp;D17, 'Info Tipo de Cambio y REM'!$A$24:$B$35, 2, FALSE))</f>
        <v>1220</v>
      </c>
      <c r="N17" s="107">
        <f t="shared" si="1"/>
        <v>1270.491803</v>
      </c>
      <c r="O17" s="102" t="str">
        <f t="shared" si="2"/>
        <v>A término</v>
      </c>
    </row>
    <row r="18" hidden="1">
      <c r="A18" s="43" t="s">
        <v>220</v>
      </c>
      <c r="B18" s="43" t="str">
        <f>IF(A18="", "", IFERROR(VLOOKUP(A18, Clasificaciones!A:B, 2, FALSE), "DATO NO CARGADO"))</f>
        <v>Equipo</v>
      </c>
      <c r="C18" s="51" t="s">
        <v>123</v>
      </c>
      <c r="D18" s="156">
        <v>2025.0</v>
      </c>
      <c r="E18" s="102"/>
      <c r="F18" s="104"/>
      <c r="G18" s="104"/>
      <c r="H18" s="55" t="s">
        <v>405</v>
      </c>
      <c r="I18" s="43" t="s">
        <v>406</v>
      </c>
      <c r="J18" s="104">
        <v>45678.0</v>
      </c>
      <c r="K18" s="89">
        <v>1113200.0</v>
      </c>
      <c r="L18" s="71"/>
      <c r="M18" s="106">
        <f>IF(ISBLANK(K18), "", VLOOKUP(C18&amp;" "&amp;D18, 'Info Tipo de Cambio y REM'!$A$24:$B$35, 2, FALSE))</f>
        <v>1220</v>
      </c>
      <c r="N18" s="107">
        <f t="shared" si="1"/>
        <v>912.4590164</v>
      </c>
      <c r="O18" s="102" t="str">
        <f t="shared" si="2"/>
        <v>A término</v>
      </c>
    </row>
    <row r="19" hidden="1">
      <c r="A19" s="43" t="s">
        <v>221</v>
      </c>
      <c r="B19" s="43" t="str">
        <f>IF(A19="", "", IFERROR(VLOOKUP(A19, Clasificaciones!A:B, 2, FALSE), "DATO NO CARGADO"))</f>
        <v>Equipo</v>
      </c>
      <c r="C19" s="51" t="s">
        <v>123</v>
      </c>
      <c r="D19" s="156">
        <v>2025.0</v>
      </c>
      <c r="E19" s="102"/>
      <c r="F19" s="104"/>
      <c r="G19" s="104"/>
      <c r="H19" s="55" t="s">
        <v>407</v>
      </c>
      <c r="I19" s="43" t="s">
        <v>408</v>
      </c>
      <c r="J19" s="104">
        <v>45692.0</v>
      </c>
      <c r="K19" s="89">
        <v>1408176.0</v>
      </c>
      <c r="L19" s="71"/>
      <c r="M19" s="106">
        <f>IF(ISBLANK(K19), "", VLOOKUP(C19&amp;" "&amp;D19, 'Info Tipo de Cambio y REM'!$A$24:$B$35, 2, FALSE))</f>
        <v>1220</v>
      </c>
      <c r="N19" s="107">
        <f t="shared" si="1"/>
        <v>1154.242623</v>
      </c>
      <c r="O19" s="102" t="str">
        <f t="shared" si="2"/>
        <v>A término</v>
      </c>
    </row>
    <row r="20" hidden="1">
      <c r="A20" s="43" t="s">
        <v>203</v>
      </c>
      <c r="B20" s="43" t="str">
        <f>IF(A20="", "", IFERROR(VLOOKUP(A20, Clasificaciones!A:B, 2, FALSE), "DATO NO CARGADO"))</f>
        <v>Equipo</v>
      </c>
      <c r="C20" s="51" t="s">
        <v>123</v>
      </c>
      <c r="D20" s="156">
        <v>2025.0</v>
      </c>
      <c r="E20" s="102"/>
      <c r="F20" s="104"/>
      <c r="G20" s="104"/>
      <c r="H20" s="55" t="s">
        <v>409</v>
      </c>
      <c r="I20" s="43" t="s">
        <v>410</v>
      </c>
      <c r="J20" s="104">
        <v>45688.0</v>
      </c>
      <c r="K20" s="89">
        <v>963542.0</v>
      </c>
      <c r="L20" s="71"/>
      <c r="M20" s="106">
        <f>IF(ISBLANK(K20), "", VLOOKUP(C20&amp;" "&amp;D20, 'Info Tipo de Cambio y REM'!$A$24:$B$35, 2, FALSE))</f>
        <v>1220</v>
      </c>
      <c r="N20" s="107">
        <f t="shared" si="1"/>
        <v>789.7885246</v>
      </c>
      <c r="O20" s="102" t="str">
        <f t="shared" si="2"/>
        <v>A término</v>
      </c>
    </row>
    <row r="21" hidden="1">
      <c r="A21" s="43" t="s">
        <v>197</v>
      </c>
      <c r="B21" s="43" t="str">
        <f>IF(A21="", "", IFERROR(VLOOKUP(A21, Clasificaciones!A:B, 2, FALSE), "DATO NO CARGADO"))</f>
        <v>Equipo</v>
      </c>
      <c r="C21" s="51" t="s">
        <v>123</v>
      </c>
      <c r="D21" s="156">
        <v>2025.0</v>
      </c>
      <c r="E21" s="102"/>
      <c r="F21" s="104"/>
      <c r="G21" s="104"/>
      <c r="H21" s="55" t="s">
        <v>411</v>
      </c>
      <c r="I21" s="43" t="s">
        <v>412</v>
      </c>
      <c r="J21" s="104">
        <v>45688.0</v>
      </c>
      <c r="K21" s="89">
        <v>1447861.0</v>
      </c>
      <c r="L21" s="71"/>
      <c r="M21" s="106">
        <f>IF(ISBLANK(K21), "", VLOOKUP(C21&amp;" "&amp;D21, 'Info Tipo de Cambio y REM'!$A$24:$B$35, 2, FALSE))</f>
        <v>1220</v>
      </c>
      <c r="N21" s="107">
        <f t="shared" si="1"/>
        <v>1186.771311</v>
      </c>
      <c r="O21" s="102" t="str">
        <f t="shared" si="2"/>
        <v>A término</v>
      </c>
    </row>
    <row r="22" hidden="1">
      <c r="A22" s="43" t="s">
        <v>139</v>
      </c>
      <c r="B22" s="43" t="str">
        <f>IF(A22="", "", IFERROR(VLOOKUP(A22, Clasificaciones!A:B, 2, FALSE), "DATO NO CARGADO"))</f>
        <v>People</v>
      </c>
      <c r="C22" s="51" t="s">
        <v>123</v>
      </c>
      <c r="D22" s="156">
        <v>2025.0</v>
      </c>
      <c r="E22" s="102"/>
      <c r="F22" s="104"/>
      <c r="G22" s="104"/>
      <c r="H22" s="55" t="s">
        <v>413</v>
      </c>
      <c r="I22" s="43" t="s">
        <v>388</v>
      </c>
      <c r="J22" s="104">
        <v>45688.0</v>
      </c>
      <c r="K22" s="89">
        <v>32400.0</v>
      </c>
      <c r="L22" s="71"/>
      <c r="M22" s="106">
        <f>IF(ISBLANK(K22), "", VLOOKUP(C22&amp;" "&amp;D22, 'Info Tipo de Cambio y REM'!$A$24:$B$35, 2, FALSE))</f>
        <v>1220</v>
      </c>
      <c r="N22" s="107">
        <f t="shared" si="1"/>
        <v>26.55737705</v>
      </c>
      <c r="O22" s="102" t="str">
        <f t="shared" si="2"/>
        <v>A término</v>
      </c>
    </row>
    <row r="23" hidden="1">
      <c r="A23" s="43" t="s">
        <v>218</v>
      </c>
      <c r="B23" s="43" t="str">
        <f>IF(A23="", "", IFERROR(VLOOKUP(A23, Clasificaciones!A:B, 2, FALSE), "DATO NO CARGADO"))</f>
        <v>Equipo</v>
      </c>
      <c r="C23" s="51" t="s">
        <v>123</v>
      </c>
      <c r="D23" s="156">
        <v>2025.0</v>
      </c>
      <c r="E23" s="102"/>
      <c r="F23" s="104"/>
      <c r="G23" s="104"/>
      <c r="H23" s="55" t="s">
        <v>414</v>
      </c>
      <c r="I23" s="43" t="s">
        <v>415</v>
      </c>
      <c r="J23" s="104">
        <v>45691.0</v>
      </c>
      <c r="K23" s="89">
        <v>2160000.0</v>
      </c>
      <c r="L23" s="71"/>
      <c r="M23" s="106">
        <f>IF(ISBLANK(K23), "", VLOOKUP(C23&amp;" "&amp;D23, 'Info Tipo de Cambio y REM'!$A$24:$B$35, 2, FALSE))</f>
        <v>1220</v>
      </c>
      <c r="N23" s="107">
        <f t="shared" si="1"/>
        <v>1770.491803</v>
      </c>
      <c r="O23" s="102" t="str">
        <f t="shared" si="2"/>
        <v>A término</v>
      </c>
    </row>
    <row r="24" hidden="1">
      <c r="A24" s="43" t="s">
        <v>139</v>
      </c>
      <c r="B24" s="43" t="str">
        <f>IF(A24="", "", IFERROR(VLOOKUP(A24, Clasificaciones!A:B, 2, FALSE), "DATO NO CARGADO"))</f>
        <v>People</v>
      </c>
      <c r="C24" s="51" t="s">
        <v>123</v>
      </c>
      <c r="D24" s="156">
        <v>2025.0</v>
      </c>
      <c r="E24" s="102"/>
      <c r="F24" s="104"/>
      <c r="G24" s="104"/>
      <c r="H24" s="55" t="s">
        <v>416</v>
      </c>
      <c r="I24" s="43"/>
      <c r="J24" s="104">
        <v>45693.0</v>
      </c>
      <c r="K24" s="89">
        <v>178400.0</v>
      </c>
      <c r="L24" s="71"/>
      <c r="M24" s="106">
        <f>IF(ISBLANK(K24), "", VLOOKUP(C24&amp;" "&amp;D24, 'Info Tipo de Cambio y REM'!$A$24:$B$35, 2, FALSE))</f>
        <v>1220</v>
      </c>
      <c r="N24" s="107">
        <f t="shared" si="1"/>
        <v>146.2295082</v>
      </c>
      <c r="O24" s="102" t="str">
        <f t="shared" si="2"/>
        <v>A término</v>
      </c>
    </row>
    <row r="25" hidden="1">
      <c r="A25" s="43" t="s">
        <v>169</v>
      </c>
      <c r="B25" s="43" t="str">
        <f>IF(A25="", "", IFERROR(VLOOKUP(A25, Clasificaciones!A:B, 2, FALSE), "DATO NO CARGADO"))</f>
        <v>Suscripciones/Herramientas</v>
      </c>
      <c r="C25" s="51" t="s">
        <v>123</v>
      </c>
      <c r="D25" s="156">
        <v>2025.0</v>
      </c>
      <c r="E25" s="102"/>
      <c r="F25" s="104"/>
      <c r="G25" s="104"/>
      <c r="H25" s="55" t="s">
        <v>417</v>
      </c>
      <c r="I25" s="43"/>
      <c r="J25" s="104">
        <v>45536.0</v>
      </c>
      <c r="K25" s="89"/>
      <c r="L25" s="89">
        <v>4050.0</v>
      </c>
      <c r="M25" s="106" t="str">
        <f>IF(ISBLANK(K25), "", VLOOKUP(C25&amp;" "&amp;D25, 'Info Tipo de Cambio y REM'!$A$24:$B$35, 2, FALSE))</f>
        <v/>
      </c>
      <c r="N25" s="107">
        <f t="shared" si="1"/>
        <v>4050</v>
      </c>
      <c r="O25" s="102" t="str">
        <f t="shared" si="2"/>
        <v>A término</v>
      </c>
    </row>
    <row r="26" hidden="1">
      <c r="A26" s="43" t="s">
        <v>187</v>
      </c>
      <c r="B26" s="43" t="str">
        <f>IF(A26="", "", IFERROR(VLOOKUP(A26, Clasificaciones!A:B, 2, FALSE), "DATO NO CARGADO"))</f>
        <v>Gastos Varios</v>
      </c>
      <c r="C26" s="51" t="s">
        <v>123</v>
      </c>
      <c r="D26" s="156">
        <v>2025.0</v>
      </c>
      <c r="E26" s="102"/>
      <c r="F26" s="104"/>
      <c r="G26" s="104"/>
      <c r="H26" s="55" t="s">
        <v>418</v>
      </c>
      <c r="I26" s="43"/>
      <c r="J26" s="104">
        <v>45688.0</v>
      </c>
      <c r="K26" s="89"/>
      <c r="L26" s="89">
        <v>600.0</v>
      </c>
      <c r="M26" s="106" t="str">
        <f>IF(ISBLANK(K26), "", VLOOKUP(C26&amp;" "&amp;D26, 'Info Tipo de Cambio y REM'!$A$24:$B$35, 2, FALSE))</f>
        <v/>
      </c>
      <c r="N26" s="107">
        <f t="shared" si="1"/>
        <v>600</v>
      </c>
      <c r="O26" s="102" t="str">
        <f t="shared" si="2"/>
        <v>A término</v>
      </c>
    </row>
    <row r="27" hidden="1">
      <c r="A27" s="43" t="s">
        <v>173</v>
      </c>
      <c r="B27" s="43" t="str">
        <f>IF(A27="", "", IFERROR(VLOOKUP(A27, Clasificaciones!A:B, 2, FALSE), "DATO NO CARGADO"))</f>
        <v>Suscripciones/Herramientas</v>
      </c>
      <c r="C27" s="51" t="s">
        <v>123</v>
      </c>
      <c r="D27" s="156">
        <v>2025.0</v>
      </c>
      <c r="E27" s="102"/>
      <c r="F27" s="104"/>
      <c r="G27" s="104"/>
      <c r="H27" s="55" t="s">
        <v>419</v>
      </c>
      <c r="I27" s="43" t="s">
        <v>420</v>
      </c>
      <c r="J27" s="104">
        <v>45716.0</v>
      </c>
      <c r="K27" s="89"/>
      <c r="L27" s="89">
        <v>7500.0</v>
      </c>
      <c r="M27" s="106" t="str">
        <f>IF(ISBLANK(K27), "", VLOOKUP(C27&amp;" "&amp;D27, 'Info Tipo de Cambio y REM'!$A$24:$B$35, 2, FALSE))</f>
        <v/>
      </c>
      <c r="N27" s="107">
        <f t="shared" si="1"/>
        <v>7500</v>
      </c>
      <c r="O27" s="102" t="str">
        <f t="shared" si="2"/>
        <v>A término</v>
      </c>
    </row>
    <row r="28" hidden="1">
      <c r="A28" s="43" t="s">
        <v>164</v>
      </c>
      <c r="B28" s="43" t="str">
        <f>IF(A28="", "", IFERROR(VLOOKUP(A28, Clasificaciones!A:B, 2, FALSE), "DATO NO CARGADO"))</f>
        <v>Estudio Contable</v>
      </c>
      <c r="C28" s="51" t="s">
        <v>123</v>
      </c>
      <c r="D28" s="156">
        <v>2025.0</v>
      </c>
      <c r="E28" s="102"/>
      <c r="F28" s="104"/>
      <c r="G28" s="104"/>
      <c r="H28" s="55" t="s">
        <v>421</v>
      </c>
      <c r="I28" s="43"/>
      <c r="J28" s="104">
        <v>45698.0</v>
      </c>
      <c r="K28" s="89">
        <v>86677.0</v>
      </c>
      <c r="L28" s="71"/>
      <c r="M28" s="106">
        <f>IF(ISBLANK(K28), "", VLOOKUP(C28&amp;" "&amp;D28, 'Info Tipo de Cambio y REM'!$A$24:$B$35, 2, FALSE))</f>
        <v>1220</v>
      </c>
      <c r="N28" s="107">
        <f t="shared" si="1"/>
        <v>71.04672131</v>
      </c>
      <c r="O28" s="102" t="str">
        <f t="shared" si="2"/>
        <v>A término</v>
      </c>
    </row>
    <row r="29" hidden="1">
      <c r="A29" s="43" t="s">
        <v>158</v>
      </c>
      <c r="B29" s="43" t="str">
        <f>IF(A29="", "", IFERROR(VLOOKUP(A29, Clasificaciones!A:B, 2, FALSE), "DATO NO CARGADO"))</f>
        <v>Tarjeta</v>
      </c>
      <c r="C29" s="51" t="s">
        <v>123</v>
      </c>
      <c r="D29" s="156">
        <v>2025.0</v>
      </c>
      <c r="E29" s="102"/>
      <c r="F29" s="104"/>
      <c r="G29" s="104"/>
      <c r="H29" s="55" t="s">
        <v>422</v>
      </c>
      <c r="I29" s="43"/>
      <c r="J29" s="104">
        <v>45693.0</v>
      </c>
      <c r="K29" s="89">
        <v>28405.0</v>
      </c>
      <c r="L29" s="71"/>
      <c r="M29" s="106">
        <f>IF(ISBLANK(K29), "", VLOOKUP(C29&amp;" "&amp;D29, 'Info Tipo de Cambio y REM'!$A$24:$B$35, 2, FALSE))</f>
        <v>1220</v>
      </c>
      <c r="N29" s="107">
        <f t="shared" si="1"/>
        <v>23.28278689</v>
      </c>
      <c r="O29" s="102" t="str">
        <f t="shared" si="2"/>
        <v>A término</v>
      </c>
    </row>
    <row r="30" hidden="1">
      <c r="A30" s="43" t="s">
        <v>146</v>
      </c>
      <c r="B30" s="43" t="str">
        <f>IF(A30="", "", IFERROR(VLOOKUP(A30, Clasificaciones!A:B, 2, FALSE), "DATO NO CARGADO"))</f>
        <v>Impuestos ARG</v>
      </c>
      <c r="C30" s="51" t="s">
        <v>123</v>
      </c>
      <c r="D30" s="156">
        <v>2025.0</v>
      </c>
      <c r="E30" s="102"/>
      <c r="F30" s="104"/>
      <c r="G30" s="104"/>
      <c r="H30" s="55" t="s">
        <v>423</v>
      </c>
      <c r="I30" s="43"/>
      <c r="J30" s="104">
        <v>45706.0</v>
      </c>
      <c r="K30" s="89">
        <v>579408.0</v>
      </c>
      <c r="L30" s="71"/>
      <c r="M30" s="106">
        <f>IF(ISBLANK(K30), "", VLOOKUP(C30&amp;" "&amp;D30, 'Info Tipo de Cambio y REM'!$A$24:$B$35, 2, FALSE))</f>
        <v>1220</v>
      </c>
      <c r="N30" s="107">
        <f t="shared" si="1"/>
        <v>474.9245902</v>
      </c>
      <c r="O30" s="102" t="str">
        <f t="shared" si="2"/>
        <v>A término</v>
      </c>
    </row>
    <row r="31" hidden="1">
      <c r="A31" s="43" t="s">
        <v>152</v>
      </c>
      <c r="B31" s="43" t="str">
        <f>IF(A31="", "", IFERROR(VLOOKUP(A31, Clasificaciones!A:B, 2, FALSE), "DATO NO CARGADO"))</f>
        <v>Impuestos ARG</v>
      </c>
      <c r="C31" s="51" t="s">
        <v>123</v>
      </c>
      <c r="D31" s="156">
        <v>2025.0</v>
      </c>
      <c r="E31" s="102"/>
      <c r="F31" s="104"/>
      <c r="G31" s="104"/>
      <c r="H31" s="55" t="s">
        <v>424</v>
      </c>
      <c r="I31" s="43"/>
      <c r="J31" s="104">
        <v>45710.0</v>
      </c>
      <c r="K31" s="89">
        <v>2689779.0</v>
      </c>
      <c r="L31" s="71"/>
      <c r="M31" s="106">
        <f>IF(ISBLANK(K31), "", VLOOKUP(C31&amp;" "&amp;D31, 'Info Tipo de Cambio y REM'!$A$24:$B$35, 2, FALSE))</f>
        <v>1220</v>
      </c>
      <c r="N31" s="107">
        <f t="shared" si="1"/>
        <v>2204.736885</v>
      </c>
      <c r="O31" s="102" t="str">
        <f t="shared" si="2"/>
        <v>A término</v>
      </c>
    </row>
    <row r="32" hidden="1">
      <c r="A32" s="43" t="s">
        <v>133</v>
      </c>
      <c r="B32" s="43" t="str">
        <f>IF(A32="", "", IFERROR(VLOOKUP(A32, Clasificaciones!A:B, 2, FALSE), "DATO NO CARGADO"))</f>
        <v>Board</v>
      </c>
      <c r="C32" s="51" t="s">
        <v>123</v>
      </c>
      <c r="D32" s="156">
        <v>2025.0</v>
      </c>
      <c r="E32" s="102"/>
      <c r="F32" s="104"/>
      <c r="G32" s="104"/>
      <c r="H32" s="55" t="s">
        <v>425</v>
      </c>
      <c r="I32" s="43"/>
      <c r="J32" s="104">
        <v>45693.0</v>
      </c>
      <c r="K32" s="89">
        <v>3025000.0</v>
      </c>
      <c r="L32" s="71"/>
      <c r="M32" s="106">
        <f>IF(ISBLANK(K32), "", VLOOKUP(C32&amp;" "&amp;D32, 'Info Tipo de Cambio y REM'!$A$24:$B$35, 2, FALSE))</f>
        <v>1220</v>
      </c>
      <c r="N32" s="107">
        <f t="shared" si="1"/>
        <v>2479.508197</v>
      </c>
      <c r="O32" s="102" t="str">
        <f t="shared" si="2"/>
        <v>A término</v>
      </c>
    </row>
    <row r="33" hidden="1">
      <c r="A33" s="43" t="s">
        <v>222</v>
      </c>
      <c r="B33" s="43" t="str">
        <f>IF(A33="", "", IFERROR(VLOOKUP(A33, Clasificaciones!A:B, 2, FALSE), "DATO NO CARGADO"))</f>
        <v>Oxean</v>
      </c>
      <c r="C33" s="51" t="s">
        <v>123</v>
      </c>
      <c r="D33" s="156">
        <v>2025.0</v>
      </c>
      <c r="E33" s="102"/>
      <c r="F33" s="104"/>
      <c r="G33" s="104"/>
      <c r="H33" s="55" t="s">
        <v>426</v>
      </c>
      <c r="I33" s="43"/>
      <c r="J33" s="104">
        <v>45693.0</v>
      </c>
      <c r="K33" s="89">
        <v>3025000.0</v>
      </c>
      <c r="L33" s="71"/>
      <c r="M33" s="106">
        <f>IF(ISBLANK(K33), "", VLOOKUP(C33&amp;" "&amp;D33, 'Info Tipo de Cambio y REM'!$A$24:$B$35, 2, FALSE))</f>
        <v>1220</v>
      </c>
      <c r="N33" s="107">
        <f t="shared" si="1"/>
        <v>2479.508197</v>
      </c>
      <c r="O33" s="102" t="str">
        <f t="shared" si="2"/>
        <v>A término</v>
      </c>
    </row>
    <row r="34" hidden="1">
      <c r="A34" s="43" t="s">
        <v>191</v>
      </c>
      <c r="B34" s="43" t="str">
        <f>IF(A34="", "", IFERROR(VLOOKUP(A34, Clasificaciones!A:B, 2, FALSE), "DATO NO CARGADO"))</f>
        <v>Tarjeta</v>
      </c>
      <c r="C34" s="51" t="s">
        <v>123</v>
      </c>
      <c r="D34" s="156">
        <v>2025.0</v>
      </c>
      <c r="E34" s="102"/>
      <c r="F34" s="104"/>
      <c r="G34" s="104"/>
      <c r="H34" s="55" t="s">
        <v>427</v>
      </c>
      <c r="I34" s="43"/>
      <c r="J34" s="104"/>
      <c r="K34" s="89"/>
      <c r="L34" s="89">
        <v>12.0</v>
      </c>
      <c r="M34" s="106" t="str">
        <f>IF(ISBLANK(K34), "", VLOOKUP(C34&amp;" "&amp;D34, 'Info Tipo de Cambio y REM'!$A$24:$B$35, 2, FALSE))</f>
        <v/>
      </c>
      <c r="N34" s="107">
        <f t="shared" si="1"/>
        <v>12</v>
      </c>
      <c r="O34" s="102" t="str">
        <f t="shared" si="2"/>
        <v>A término</v>
      </c>
    </row>
    <row r="35" hidden="1">
      <c r="A35" s="43" t="s">
        <v>191</v>
      </c>
      <c r="B35" s="43" t="str">
        <f>IF(A35="", "", IFERROR(VLOOKUP(A35, Clasificaciones!A:B, 2, FALSE), "DATO NO CARGADO"))</f>
        <v>Tarjeta</v>
      </c>
      <c r="C35" s="51" t="s">
        <v>123</v>
      </c>
      <c r="D35" s="156">
        <v>2025.0</v>
      </c>
      <c r="E35" s="102"/>
      <c r="F35" s="104"/>
      <c r="G35" s="104"/>
      <c r="H35" s="55" t="s">
        <v>428</v>
      </c>
      <c r="I35" s="43"/>
      <c r="J35" s="104"/>
      <c r="K35" s="89"/>
      <c r="L35" s="89">
        <v>450.0</v>
      </c>
      <c r="M35" s="106" t="str">
        <f>IF(ISBLANK(K35), "", VLOOKUP(C35&amp;" "&amp;D35, 'Info Tipo de Cambio y REM'!$A$24:$B$35, 2, FALSE))</f>
        <v/>
      </c>
      <c r="N35" s="107">
        <f t="shared" si="1"/>
        <v>450</v>
      </c>
      <c r="O35" s="102" t="str">
        <f t="shared" si="2"/>
        <v>A término</v>
      </c>
    </row>
    <row r="36" hidden="1">
      <c r="A36" s="43" t="s">
        <v>191</v>
      </c>
      <c r="B36" s="43" t="str">
        <f>IF(A36="", "", IFERROR(VLOOKUP(A36, Clasificaciones!A:B, 2, FALSE), "DATO NO CARGADO"))</f>
        <v>Tarjeta</v>
      </c>
      <c r="C36" s="51" t="s">
        <v>123</v>
      </c>
      <c r="D36" s="156">
        <v>2025.0</v>
      </c>
      <c r="E36" s="102"/>
      <c r="F36" s="104"/>
      <c r="G36" s="104"/>
      <c r="H36" s="55" t="s">
        <v>429</v>
      </c>
      <c r="I36" s="43"/>
      <c r="J36" s="104"/>
      <c r="K36" s="89"/>
      <c r="L36" s="89">
        <v>303.0</v>
      </c>
      <c r="M36" s="106" t="str">
        <f>IF(ISBLANK(K36), "", VLOOKUP(C36&amp;" "&amp;D36, 'Info Tipo de Cambio y REM'!$A$24:$B$35, 2, FALSE))</f>
        <v/>
      </c>
      <c r="N36" s="107">
        <f t="shared" si="1"/>
        <v>303</v>
      </c>
      <c r="O36" s="102" t="str">
        <f t="shared" si="2"/>
        <v>A término</v>
      </c>
    </row>
    <row r="37" hidden="1">
      <c r="A37" s="43" t="s">
        <v>191</v>
      </c>
      <c r="B37" s="43" t="str">
        <f>IF(A37="", "", IFERROR(VLOOKUP(A37, Clasificaciones!A:B, 2, FALSE), "DATO NO CARGADO"))</f>
        <v>Tarjeta</v>
      </c>
      <c r="C37" s="51" t="s">
        <v>123</v>
      </c>
      <c r="D37" s="156">
        <v>2025.0</v>
      </c>
      <c r="E37" s="102"/>
      <c r="F37" s="104"/>
      <c r="G37" s="104"/>
      <c r="H37" s="55" t="s">
        <v>430</v>
      </c>
      <c r="I37" s="43"/>
      <c r="J37" s="104"/>
      <c r="K37" s="89"/>
      <c r="L37" s="89">
        <v>8.0</v>
      </c>
      <c r="M37" s="106" t="str">
        <f>IF(ISBLANK(K37), "", VLOOKUP(C37&amp;" "&amp;D37, 'Info Tipo de Cambio y REM'!$A$24:$B$35, 2, FALSE))</f>
        <v/>
      </c>
      <c r="N37" s="107">
        <f t="shared" si="1"/>
        <v>8</v>
      </c>
      <c r="O37" s="102" t="str">
        <f t="shared" si="2"/>
        <v>A término</v>
      </c>
    </row>
    <row r="38" hidden="1">
      <c r="A38" s="43" t="s">
        <v>191</v>
      </c>
      <c r="B38" s="43" t="str">
        <f>IF(A38="", "", IFERROR(VLOOKUP(A38, Clasificaciones!A:B, 2, FALSE), "DATO NO CARGADO"))</f>
        <v>Tarjeta</v>
      </c>
      <c r="C38" s="51" t="s">
        <v>123</v>
      </c>
      <c r="D38" s="156">
        <v>2025.0</v>
      </c>
      <c r="E38" s="102"/>
      <c r="F38" s="104"/>
      <c r="G38" s="104"/>
      <c r="H38" s="55" t="s">
        <v>431</v>
      </c>
      <c r="I38" s="43"/>
      <c r="J38" s="104"/>
      <c r="K38" s="89"/>
      <c r="L38" s="89">
        <v>14.19</v>
      </c>
      <c r="M38" s="106" t="str">
        <f>IF(ISBLANK(K38), "", VLOOKUP(C38&amp;" "&amp;D38, 'Info Tipo de Cambio y REM'!$A$24:$B$35, 2, FALSE))</f>
        <v/>
      </c>
      <c r="N38" s="107">
        <f t="shared" si="1"/>
        <v>14.19</v>
      </c>
      <c r="O38" s="102" t="str">
        <f t="shared" si="2"/>
        <v>A término</v>
      </c>
    </row>
    <row r="39" hidden="1">
      <c r="A39" s="43" t="s">
        <v>191</v>
      </c>
      <c r="B39" s="43" t="str">
        <f>IF(A39="", "", IFERROR(VLOOKUP(A39, Clasificaciones!A:B, 2, FALSE), "DATO NO CARGADO"))</f>
        <v>Tarjeta</v>
      </c>
      <c r="C39" s="51" t="s">
        <v>123</v>
      </c>
      <c r="D39" s="156">
        <v>2025.0</v>
      </c>
      <c r="E39" s="102"/>
      <c r="F39" s="104"/>
      <c r="G39" s="104"/>
      <c r="H39" s="55" t="s">
        <v>432</v>
      </c>
      <c r="I39" s="43"/>
      <c r="J39" s="104"/>
      <c r="K39" s="89"/>
      <c r="L39" s="89">
        <v>22.99</v>
      </c>
      <c r="M39" s="106" t="str">
        <f>IF(ISBLANK(K39), "", VLOOKUP(C39&amp;" "&amp;D39, 'Info Tipo de Cambio y REM'!$A$24:$B$35, 2, FALSE))</f>
        <v/>
      </c>
      <c r="N39" s="107">
        <f t="shared" si="1"/>
        <v>22.99</v>
      </c>
      <c r="O39" s="102" t="str">
        <f t="shared" si="2"/>
        <v>A término</v>
      </c>
    </row>
    <row r="40" hidden="1">
      <c r="A40" s="43" t="s">
        <v>191</v>
      </c>
      <c r="B40" s="43" t="str">
        <f>IF(A40="", "", IFERROR(VLOOKUP(A40, Clasificaciones!A:B, 2, FALSE), "DATO NO CARGADO"))</f>
        <v>Tarjeta</v>
      </c>
      <c r="C40" s="51" t="s">
        <v>123</v>
      </c>
      <c r="D40" s="156">
        <v>2025.0</v>
      </c>
      <c r="E40" s="102"/>
      <c r="F40" s="104"/>
      <c r="G40" s="104"/>
      <c r="H40" s="55" t="s">
        <v>433</v>
      </c>
      <c r="I40" s="43"/>
      <c r="J40" s="104"/>
      <c r="K40" s="89"/>
      <c r="L40" s="89">
        <v>25.0</v>
      </c>
      <c r="M40" s="106" t="str">
        <f>IF(ISBLANK(K40), "", VLOOKUP(C40&amp;" "&amp;D40, 'Info Tipo de Cambio y REM'!$A$24:$B$35, 2, FALSE))</f>
        <v/>
      </c>
      <c r="N40" s="107">
        <f t="shared" si="1"/>
        <v>25</v>
      </c>
      <c r="O40" s="102" t="str">
        <f t="shared" si="2"/>
        <v>A término</v>
      </c>
    </row>
    <row r="41" hidden="1">
      <c r="A41" s="43" t="s">
        <v>153</v>
      </c>
      <c r="B41" s="43" t="str">
        <f>IF(A41="", "", IFERROR(VLOOKUP(A41, Clasificaciones!A:B, 2, FALSE), "DATO NO CARGADO"))</f>
        <v>Impuestos USA</v>
      </c>
      <c r="C41" s="51" t="s">
        <v>123</v>
      </c>
      <c r="D41" s="156">
        <v>2025.0</v>
      </c>
      <c r="E41" s="102"/>
      <c r="F41" s="104"/>
      <c r="G41" s="104"/>
      <c r="H41" s="55" t="s">
        <v>434</v>
      </c>
      <c r="I41" s="43"/>
      <c r="J41" s="104"/>
      <c r="K41" s="89"/>
      <c r="L41" s="89">
        <v>17732.0</v>
      </c>
      <c r="M41" s="106" t="str">
        <f>IF(ISBLANK(K41), "", VLOOKUP(C41&amp;" "&amp;D41, 'Info Tipo de Cambio y REM'!$A$24:$B$35, 2, FALSE))</f>
        <v/>
      </c>
      <c r="N41" s="107">
        <f t="shared" si="1"/>
        <v>17732</v>
      </c>
      <c r="O41" s="102" t="str">
        <f t="shared" si="2"/>
        <v>A término</v>
      </c>
    </row>
    <row r="42" hidden="1">
      <c r="A42" s="43" t="s">
        <v>237</v>
      </c>
      <c r="B42" s="43" t="str">
        <f>IF(A42="", "", IFERROR(VLOOKUP(A42, Clasificaciones!A:B, 2, FALSE), "DATO NO CARGADO"))</f>
        <v>Otros Proveedores</v>
      </c>
      <c r="C42" s="51" t="s">
        <v>129</v>
      </c>
      <c r="D42" s="156">
        <v>2025.0</v>
      </c>
      <c r="E42" s="102"/>
      <c r="F42" s="104"/>
      <c r="G42" s="104"/>
      <c r="H42" s="55" t="s">
        <v>372</v>
      </c>
      <c r="I42" s="43" t="s">
        <v>373</v>
      </c>
      <c r="J42" s="104">
        <v>45413.0</v>
      </c>
      <c r="K42" s="89">
        <v>96000.0</v>
      </c>
      <c r="L42" s="71"/>
      <c r="M42" s="106">
        <f>IF(ISBLANK(K42), "", VLOOKUP(C42&amp;" "&amp;D42, 'Info Tipo de Cambio y REM'!$A$24:$B$35, 2, FALSE))</f>
        <v>1230</v>
      </c>
      <c r="N42" s="107">
        <f t="shared" si="1"/>
        <v>78.04878049</v>
      </c>
      <c r="O42" s="102" t="str">
        <f t="shared" si="2"/>
        <v>A término</v>
      </c>
    </row>
    <row r="43" hidden="1">
      <c r="A43" s="43" t="s">
        <v>236</v>
      </c>
      <c r="B43" s="43" t="str">
        <f>IF(A43="", "", IFERROR(VLOOKUP(A43, Clasificaciones!A:B, 2, FALSE), "DATO NO CARGADO"))</f>
        <v>Otros Proveedores</v>
      </c>
      <c r="C43" s="51" t="s">
        <v>129</v>
      </c>
      <c r="D43" s="156">
        <v>2025.0</v>
      </c>
      <c r="E43" s="102"/>
      <c r="F43" s="104"/>
      <c r="G43" s="104"/>
      <c r="H43" s="55" t="s">
        <v>375</v>
      </c>
      <c r="I43" s="43" t="s">
        <v>435</v>
      </c>
      <c r="J43" s="104">
        <v>45717.0</v>
      </c>
      <c r="K43" s="89">
        <v>1763636.0</v>
      </c>
      <c r="L43" s="71"/>
      <c r="M43" s="106">
        <f>IF(ISBLANK(K43), "", VLOOKUP(C43&amp;" "&amp;D43, 'Info Tipo de Cambio y REM'!$A$24:$B$35, 2, FALSE))</f>
        <v>1230</v>
      </c>
      <c r="N43" s="107">
        <f t="shared" si="1"/>
        <v>1433.850407</v>
      </c>
      <c r="O43" s="102" t="str">
        <f t="shared" si="2"/>
        <v>A término</v>
      </c>
    </row>
    <row r="44" hidden="1">
      <c r="A44" s="43" t="s">
        <v>87</v>
      </c>
      <c r="B44" s="43" t="str">
        <f>IF(A44="", "", IFERROR(VLOOKUP(A44, Clasificaciones!A:B, 2, FALSE), "DATO NO CARGADO"))</f>
        <v>Equipo</v>
      </c>
      <c r="C44" s="51" t="s">
        <v>129</v>
      </c>
      <c r="D44" s="156">
        <v>2025.0</v>
      </c>
      <c r="E44" s="102"/>
      <c r="F44" s="104"/>
      <c r="G44" s="104"/>
      <c r="H44" s="55" t="s">
        <v>391</v>
      </c>
      <c r="I44" s="43" t="s">
        <v>415</v>
      </c>
      <c r="J44" s="104">
        <v>45722.0</v>
      </c>
      <c r="K44" s="89">
        <v>1173315.0</v>
      </c>
      <c r="L44" s="71"/>
      <c r="M44" s="106">
        <f>IF(ISBLANK(K44), "", VLOOKUP(C44&amp;" "&amp;D44, 'Info Tipo de Cambio y REM'!$A$24:$B$35, 2, FALSE))</f>
        <v>1230</v>
      </c>
      <c r="N44" s="107">
        <f t="shared" si="1"/>
        <v>953.9146341</v>
      </c>
      <c r="O44" s="102" t="str">
        <f t="shared" si="2"/>
        <v>A término</v>
      </c>
    </row>
    <row r="45" hidden="1">
      <c r="A45" s="43" t="s">
        <v>228</v>
      </c>
      <c r="B45" s="43" t="str">
        <f>IF(A45="", "", IFERROR(VLOOKUP(A45, Clasificaciones!A:B, 2, FALSE), "DATO NO CARGADO"))</f>
        <v>Equipo</v>
      </c>
      <c r="C45" s="51" t="s">
        <v>129</v>
      </c>
      <c r="D45" s="156">
        <v>2025.0</v>
      </c>
      <c r="E45" s="102"/>
      <c r="F45" s="104"/>
      <c r="G45" s="104"/>
      <c r="H45" s="55" t="s">
        <v>436</v>
      </c>
      <c r="I45" s="43" t="s">
        <v>437</v>
      </c>
      <c r="J45" s="104">
        <v>45716.0</v>
      </c>
      <c r="K45" s="89">
        <v>1926000.0</v>
      </c>
      <c r="L45" s="71"/>
      <c r="M45" s="106">
        <f>IF(ISBLANK(K45), "", VLOOKUP(C45&amp;" "&amp;D45, 'Info Tipo de Cambio y REM'!$A$24:$B$35, 2, FALSE))</f>
        <v>1230</v>
      </c>
      <c r="N45" s="107">
        <f t="shared" si="1"/>
        <v>1565.853659</v>
      </c>
      <c r="O45" s="102" t="str">
        <f t="shared" si="2"/>
        <v>A término</v>
      </c>
    </row>
    <row r="46" hidden="1">
      <c r="A46" s="43" t="s">
        <v>194</v>
      </c>
      <c r="B46" s="43" t="str">
        <f>IF(A46="", "", IFERROR(VLOOKUP(A46, Clasificaciones!A:B, 2, FALSE), "DATO NO CARGADO"))</f>
        <v>Equipo</v>
      </c>
      <c r="C46" s="51" t="s">
        <v>129</v>
      </c>
      <c r="D46" s="156">
        <v>2025.0</v>
      </c>
      <c r="E46" s="102"/>
      <c r="F46" s="104"/>
      <c r="G46" s="104"/>
      <c r="H46" s="55" t="s">
        <v>403</v>
      </c>
      <c r="I46" s="43" t="s">
        <v>438</v>
      </c>
      <c r="J46" s="104">
        <v>45716.0</v>
      </c>
      <c r="K46" s="89">
        <v>1782500.0</v>
      </c>
      <c r="L46" s="71"/>
      <c r="M46" s="106">
        <f>IF(ISBLANK(K46), "", VLOOKUP(C46&amp;" "&amp;D46, 'Info Tipo de Cambio y REM'!$A$24:$B$35, 2, FALSE))</f>
        <v>1230</v>
      </c>
      <c r="N46" s="107">
        <f t="shared" si="1"/>
        <v>1449.186992</v>
      </c>
      <c r="O46" s="102" t="str">
        <f t="shared" si="2"/>
        <v>A término</v>
      </c>
    </row>
    <row r="47" hidden="1">
      <c r="A47" s="43" t="s">
        <v>197</v>
      </c>
      <c r="B47" s="43" t="str">
        <f>IF(A47="", "", IFERROR(VLOOKUP(A47, Clasificaciones!A:B, 2, FALSE), "DATO NO CARGADO"))</f>
        <v>Equipo</v>
      </c>
      <c r="C47" s="51" t="s">
        <v>129</v>
      </c>
      <c r="D47" s="156">
        <v>2025.0</v>
      </c>
      <c r="E47" s="102"/>
      <c r="F47" s="104"/>
      <c r="G47" s="104"/>
      <c r="H47" s="55" t="s">
        <v>411</v>
      </c>
      <c r="I47" s="43" t="s">
        <v>439</v>
      </c>
      <c r="J47" s="104">
        <v>45716.0</v>
      </c>
      <c r="K47" s="89">
        <v>1606924.0</v>
      </c>
      <c r="L47" s="71"/>
      <c r="M47" s="106">
        <f>IF(ISBLANK(K47), "", VLOOKUP(C47&amp;" "&amp;D47, 'Info Tipo de Cambio y REM'!$A$24:$B$35, 2, FALSE))</f>
        <v>1230</v>
      </c>
      <c r="N47" s="107">
        <f t="shared" si="1"/>
        <v>1306.442276</v>
      </c>
      <c r="O47" s="102" t="str">
        <f t="shared" si="2"/>
        <v>A término</v>
      </c>
    </row>
    <row r="48" hidden="1">
      <c r="A48" s="43" t="s">
        <v>203</v>
      </c>
      <c r="B48" s="43" t="str">
        <f>IF(A48="", "", IFERROR(VLOOKUP(A48, Clasificaciones!A:B, 2, FALSE), "DATO NO CARGADO"))</f>
        <v>Equipo</v>
      </c>
      <c r="C48" s="51" t="s">
        <v>129</v>
      </c>
      <c r="D48" s="156">
        <v>2025.0</v>
      </c>
      <c r="E48" s="102"/>
      <c r="F48" s="104"/>
      <c r="G48" s="104"/>
      <c r="H48" s="55" t="s">
        <v>409</v>
      </c>
      <c r="I48" s="43" t="s">
        <v>440</v>
      </c>
      <c r="J48" s="104">
        <v>45716.0</v>
      </c>
      <c r="K48" s="89">
        <v>1219798.0</v>
      </c>
      <c r="L48" s="71"/>
      <c r="M48" s="106">
        <f>IF(ISBLANK(K48), "", VLOOKUP(C48&amp;" "&amp;D48, 'Info Tipo de Cambio y REM'!$A$24:$B$35, 2, FALSE))</f>
        <v>1230</v>
      </c>
      <c r="N48" s="107">
        <f t="shared" si="1"/>
        <v>991.7056911</v>
      </c>
      <c r="O48" s="102" t="str">
        <f t="shared" si="2"/>
        <v>A término</v>
      </c>
    </row>
    <row r="49" hidden="1">
      <c r="A49" s="43" t="s">
        <v>205</v>
      </c>
      <c r="B49" s="43" t="str">
        <f>IF(A49="", "", IFERROR(VLOOKUP(A49, Clasificaciones!A:B, 2, FALSE), "DATO NO CARGADO"))</f>
        <v>Equipo</v>
      </c>
      <c r="C49" s="51" t="s">
        <v>129</v>
      </c>
      <c r="D49" s="156">
        <v>2025.0</v>
      </c>
      <c r="E49" s="102"/>
      <c r="F49" s="104"/>
      <c r="G49" s="104"/>
      <c r="H49" s="55" t="s">
        <v>379</v>
      </c>
      <c r="I49" s="43" t="s">
        <v>441</v>
      </c>
      <c r="J49" s="104">
        <v>45716.0</v>
      </c>
      <c r="K49" s="89">
        <v>965821.0</v>
      </c>
      <c r="L49" s="71"/>
      <c r="M49" s="106">
        <f>IF(ISBLANK(K49), "", VLOOKUP(C49&amp;" "&amp;D49, 'Info Tipo de Cambio y REM'!$A$24:$B$35, 2, FALSE))</f>
        <v>1230</v>
      </c>
      <c r="N49" s="107">
        <f t="shared" si="1"/>
        <v>785.2203252</v>
      </c>
      <c r="O49" s="102" t="str">
        <f t="shared" si="2"/>
        <v>A término</v>
      </c>
    </row>
    <row r="50" hidden="1">
      <c r="A50" s="43" t="s">
        <v>216</v>
      </c>
      <c r="B50" s="43" t="str">
        <f>IF(A50="", "", IFERROR(VLOOKUP(A50, Clasificaciones!A:B, 2, FALSE), "DATO NO CARGADO"))</f>
        <v>Equipo</v>
      </c>
      <c r="C50" s="51" t="s">
        <v>129</v>
      </c>
      <c r="D50" s="156">
        <v>2025.0</v>
      </c>
      <c r="E50" s="102"/>
      <c r="F50" s="104"/>
      <c r="G50" s="104"/>
      <c r="H50" s="55" t="s">
        <v>401</v>
      </c>
      <c r="I50" s="43" t="s">
        <v>442</v>
      </c>
      <c r="J50" s="104">
        <v>45716.0</v>
      </c>
      <c r="K50" s="89">
        <v>829482.0</v>
      </c>
      <c r="L50" s="71"/>
      <c r="M50" s="106">
        <f>IF(ISBLANK(K50), "", VLOOKUP(C50&amp;" "&amp;D50, 'Info Tipo de Cambio y REM'!$A$24:$B$35, 2, FALSE))</f>
        <v>1230</v>
      </c>
      <c r="N50" s="107">
        <f t="shared" si="1"/>
        <v>674.3756098</v>
      </c>
      <c r="O50" s="102" t="str">
        <f t="shared" si="2"/>
        <v>A término</v>
      </c>
    </row>
    <row r="51" hidden="1">
      <c r="A51" s="43" t="s">
        <v>207</v>
      </c>
      <c r="B51" s="43" t="str">
        <f>IF(A51="", "", IFERROR(VLOOKUP(A51, Clasificaciones!A:B, 2, FALSE), "DATO NO CARGADO"))</f>
        <v>Equipo</v>
      </c>
      <c r="C51" s="51" t="s">
        <v>129</v>
      </c>
      <c r="D51" s="156">
        <v>2025.0</v>
      </c>
      <c r="E51" s="102"/>
      <c r="F51" s="104"/>
      <c r="G51" s="104"/>
      <c r="H51" s="55" t="s">
        <v>389</v>
      </c>
      <c r="I51" s="43" t="s">
        <v>443</v>
      </c>
      <c r="J51" s="104">
        <v>45716.0</v>
      </c>
      <c r="K51" s="89">
        <v>810000.0</v>
      </c>
      <c r="L51" s="71"/>
      <c r="M51" s="106">
        <f>IF(ISBLANK(K51), "", VLOOKUP(C51&amp;" "&amp;D51, 'Info Tipo de Cambio y REM'!$A$24:$B$35, 2, FALSE))</f>
        <v>1230</v>
      </c>
      <c r="N51" s="107">
        <f t="shared" si="1"/>
        <v>658.5365854</v>
      </c>
      <c r="O51" s="102" t="str">
        <f t="shared" si="2"/>
        <v>A término</v>
      </c>
    </row>
    <row r="52" hidden="1">
      <c r="A52" s="43" t="s">
        <v>218</v>
      </c>
      <c r="B52" s="43" t="str">
        <f>IF(A52="", "", IFERROR(VLOOKUP(A52, Clasificaciones!A:B, 2, FALSE), "DATO NO CARGADO"))</f>
        <v>Equipo</v>
      </c>
      <c r="C52" s="51" t="s">
        <v>129</v>
      </c>
      <c r="D52" s="156">
        <v>2025.0</v>
      </c>
      <c r="E52" s="102"/>
      <c r="F52" s="104"/>
      <c r="G52" s="104"/>
      <c r="H52" s="55" t="s">
        <v>414</v>
      </c>
      <c r="I52" s="43" t="s">
        <v>444</v>
      </c>
      <c r="J52" s="104">
        <v>45716.0</v>
      </c>
      <c r="K52" s="89">
        <v>609300.0</v>
      </c>
      <c r="L52" s="71"/>
      <c r="M52" s="106">
        <f>IF(ISBLANK(K52), "", VLOOKUP(C52&amp;" "&amp;D52, 'Info Tipo de Cambio y REM'!$A$24:$B$35, 2, FALSE))</f>
        <v>1230</v>
      </c>
      <c r="N52" s="107">
        <f t="shared" si="1"/>
        <v>495.3658537</v>
      </c>
      <c r="O52" s="102" t="str">
        <f t="shared" si="2"/>
        <v>A término</v>
      </c>
    </row>
    <row r="53" hidden="1">
      <c r="A53" s="43" t="s">
        <v>226</v>
      </c>
      <c r="B53" s="43" t="str">
        <f>IF(A53="", "", IFERROR(VLOOKUP(A53, Clasificaciones!A:B, 2, FALSE), "DATO NO CARGADO"))</f>
        <v>Administración Finanzas</v>
      </c>
      <c r="C53" s="51" t="s">
        <v>129</v>
      </c>
      <c r="D53" s="156">
        <v>2025.0</v>
      </c>
      <c r="E53" s="102"/>
      <c r="F53" s="104"/>
      <c r="G53" s="104"/>
      <c r="H53" s="55" t="s">
        <v>383</v>
      </c>
      <c r="I53" s="43" t="s">
        <v>445</v>
      </c>
      <c r="J53" s="104">
        <v>45716.0</v>
      </c>
      <c r="K53" s="89">
        <v>537700.0</v>
      </c>
      <c r="L53" s="71"/>
      <c r="M53" s="106">
        <f>IF(ISBLANK(K53), "", VLOOKUP(C53&amp;" "&amp;D53, 'Info Tipo de Cambio y REM'!$A$24:$B$35, 2, FALSE))</f>
        <v>1230</v>
      </c>
      <c r="N53" s="107">
        <f t="shared" si="1"/>
        <v>437.1544715</v>
      </c>
      <c r="O53" s="102" t="str">
        <f t="shared" si="2"/>
        <v>A término</v>
      </c>
    </row>
    <row r="54" hidden="1">
      <c r="A54" s="43" t="s">
        <v>214</v>
      </c>
      <c r="B54" s="43" t="str">
        <f>IF(A54="", "", IFERROR(VLOOKUP(A54, Clasificaciones!A:B, 2, FALSE), "DATO NO CARGADO"))</f>
        <v>Equipo</v>
      </c>
      <c r="C54" s="51" t="s">
        <v>129</v>
      </c>
      <c r="D54" s="156">
        <v>2025.0</v>
      </c>
      <c r="E54" s="102"/>
      <c r="F54" s="104"/>
      <c r="G54" s="104"/>
      <c r="H54" s="55" t="s">
        <v>446</v>
      </c>
      <c r="I54" s="43" t="s">
        <v>447</v>
      </c>
      <c r="J54" s="104">
        <v>45716.0</v>
      </c>
      <c r="K54" s="89">
        <v>130500.0</v>
      </c>
      <c r="L54" s="71"/>
      <c r="M54" s="106">
        <f>IF(ISBLANK(K54), "", VLOOKUP(C54&amp;" "&amp;D54, 'Info Tipo de Cambio y REM'!$A$24:$B$35, 2, FALSE))</f>
        <v>1230</v>
      </c>
      <c r="N54" s="107">
        <f t="shared" si="1"/>
        <v>106.097561</v>
      </c>
      <c r="O54" s="102" t="str">
        <f t="shared" si="2"/>
        <v>A término</v>
      </c>
    </row>
    <row r="55" hidden="1">
      <c r="A55" s="43" t="s">
        <v>139</v>
      </c>
      <c r="B55" s="43" t="str">
        <f>IF(A55="", "", IFERROR(VLOOKUP(A55, Clasificaciones!A:B, 2, FALSE), "DATO NO CARGADO"))</f>
        <v>People</v>
      </c>
      <c r="C55" s="51" t="s">
        <v>129</v>
      </c>
      <c r="D55" s="156">
        <v>2025.0</v>
      </c>
      <c r="E55" s="102"/>
      <c r="F55" s="104"/>
      <c r="G55" s="104"/>
      <c r="H55" s="55" t="s">
        <v>413</v>
      </c>
      <c r="I55" s="43" t="s">
        <v>448</v>
      </c>
      <c r="J55" s="104">
        <v>45716.0</v>
      </c>
      <c r="K55" s="89">
        <v>48399.0</v>
      </c>
      <c r="L55" s="71"/>
      <c r="M55" s="106">
        <f>IF(ISBLANK(K55), "", VLOOKUP(C55&amp;" "&amp;D55, 'Info Tipo de Cambio y REM'!$A$24:$B$35, 2, FALSE))</f>
        <v>1230</v>
      </c>
      <c r="N55" s="107">
        <f t="shared" si="1"/>
        <v>39.34878049</v>
      </c>
      <c r="O55" s="102" t="str">
        <f t="shared" si="2"/>
        <v>A término</v>
      </c>
    </row>
    <row r="56" hidden="1">
      <c r="A56" s="43" t="s">
        <v>235</v>
      </c>
      <c r="B56" s="43" t="str">
        <f>IF(A56="", "", IFERROR(VLOOKUP(A56, Clasificaciones!A:B, 2, FALSE), "DATO NO CARGADO"))</f>
        <v>Otros Proveedores</v>
      </c>
      <c r="C56" s="51" t="s">
        <v>129</v>
      </c>
      <c r="D56" s="156">
        <v>2025.0</v>
      </c>
      <c r="E56" s="102"/>
      <c r="F56" s="104"/>
      <c r="G56" s="104"/>
      <c r="H56" s="55" t="s">
        <v>385</v>
      </c>
      <c r="I56" s="43" t="s">
        <v>449</v>
      </c>
      <c r="J56" s="104">
        <v>45712.0</v>
      </c>
      <c r="K56" s="89">
        <v>845000.0</v>
      </c>
      <c r="L56" s="71"/>
      <c r="M56" s="106">
        <f>IF(ISBLANK(K56), "", VLOOKUP(C56&amp;" "&amp;D56, 'Info Tipo de Cambio y REM'!$A$24:$B$35, 2, FALSE))</f>
        <v>1230</v>
      </c>
      <c r="N56" s="107">
        <f t="shared" si="1"/>
        <v>686.9918699</v>
      </c>
      <c r="O56" s="102" t="str">
        <f t="shared" si="2"/>
        <v>A término</v>
      </c>
    </row>
    <row r="57" hidden="1">
      <c r="A57" s="43" t="s">
        <v>200</v>
      </c>
      <c r="B57" s="43" t="str">
        <f>IF(A57="", "", IFERROR(VLOOKUP(A57, Clasificaciones!A:B, 2, FALSE), "DATO NO CARGADO"))</f>
        <v>Equipo</v>
      </c>
      <c r="C57" s="51" t="s">
        <v>129</v>
      </c>
      <c r="D57" s="156">
        <v>2025.0</v>
      </c>
      <c r="E57" s="102"/>
      <c r="F57" s="104"/>
      <c r="G57" s="104"/>
      <c r="H57" s="55" t="s">
        <v>450</v>
      </c>
      <c r="I57" s="43" t="s">
        <v>451</v>
      </c>
      <c r="J57" s="104">
        <v>45716.0</v>
      </c>
      <c r="K57" s="89">
        <v>2460976.0</v>
      </c>
      <c r="L57" s="71"/>
      <c r="M57" s="106">
        <f>IF(ISBLANK(K57), "", VLOOKUP(C57&amp;" "&amp;D57, 'Info Tipo de Cambio y REM'!$A$24:$B$35, 2, FALSE))</f>
        <v>1230</v>
      </c>
      <c r="N57" s="107">
        <f t="shared" si="1"/>
        <v>2000.793496</v>
      </c>
      <c r="O57" s="102" t="str">
        <f t="shared" si="2"/>
        <v>A término</v>
      </c>
    </row>
    <row r="58" hidden="1">
      <c r="A58" s="43" t="s">
        <v>210</v>
      </c>
      <c r="B58" s="43" t="str">
        <f>IF(A58="", "", IFERROR(VLOOKUP(A58, Clasificaciones!A:B, 2, FALSE), "DATO NO CARGADO"))</f>
        <v>Equipo</v>
      </c>
      <c r="C58" s="51" t="s">
        <v>129</v>
      </c>
      <c r="D58" s="156">
        <v>2025.0</v>
      </c>
      <c r="E58" s="102"/>
      <c r="F58" s="104"/>
      <c r="G58" s="104"/>
      <c r="H58" s="55" t="s">
        <v>452</v>
      </c>
      <c r="I58" s="43" t="s">
        <v>453</v>
      </c>
      <c r="J58" s="104">
        <v>45721.0</v>
      </c>
      <c r="K58" s="89">
        <v>309057.0</v>
      </c>
      <c r="L58" s="71"/>
      <c r="M58" s="106">
        <f>IF(ISBLANK(K58), "", VLOOKUP(C58&amp;" "&amp;D58, 'Info Tipo de Cambio y REM'!$A$24:$B$35, 2, FALSE))</f>
        <v>1230</v>
      </c>
      <c r="N58" s="107">
        <f t="shared" si="1"/>
        <v>251.2658537</v>
      </c>
      <c r="O58" s="102" t="str">
        <f t="shared" si="2"/>
        <v>A término</v>
      </c>
    </row>
    <row r="59" hidden="1">
      <c r="A59" s="43" t="s">
        <v>221</v>
      </c>
      <c r="B59" s="43" t="str">
        <f>IF(A59="", "", IFERROR(VLOOKUP(A59, Clasificaciones!A:B, 2, FALSE), "DATO NO CARGADO"))</f>
        <v>Equipo</v>
      </c>
      <c r="C59" s="51" t="s">
        <v>129</v>
      </c>
      <c r="D59" s="156">
        <v>2025.0</v>
      </c>
      <c r="E59" s="102"/>
      <c r="F59" s="104"/>
      <c r="G59" s="104"/>
      <c r="H59" s="55" t="s">
        <v>454</v>
      </c>
      <c r="I59" s="43" t="s">
        <v>455</v>
      </c>
      <c r="J59" s="104">
        <v>45727.0</v>
      </c>
      <c r="K59" s="89">
        <v>1619384.0</v>
      </c>
      <c r="L59" s="71"/>
      <c r="M59" s="106">
        <f>IF(ISBLANK(K59), "", VLOOKUP(C59&amp;" "&amp;D59, 'Info Tipo de Cambio y REM'!$A$24:$B$35, 2, FALSE))</f>
        <v>1230</v>
      </c>
      <c r="N59" s="107">
        <f t="shared" si="1"/>
        <v>1316.572358</v>
      </c>
      <c r="O59" s="102" t="str">
        <f t="shared" si="2"/>
        <v>A término</v>
      </c>
    </row>
    <row r="60" hidden="1">
      <c r="A60" s="43" t="s">
        <v>120</v>
      </c>
      <c r="B60" s="43" t="str">
        <f>IF(A60="", "", IFERROR(VLOOKUP(A60, Clasificaciones!A:B, 2, FALSE), "DATO NO CARGADO"))</f>
        <v>Equipo</v>
      </c>
      <c r="C60" s="51" t="s">
        <v>129</v>
      </c>
      <c r="D60" s="156">
        <v>2025.0</v>
      </c>
      <c r="E60" s="102"/>
      <c r="F60" s="104"/>
      <c r="G60" s="104"/>
      <c r="H60" s="55" t="s">
        <v>456</v>
      </c>
      <c r="I60" s="43" t="s">
        <v>448</v>
      </c>
      <c r="J60" s="104">
        <v>45716.0</v>
      </c>
      <c r="K60" s="89">
        <v>2500000.0</v>
      </c>
      <c r="L60" s="71"/>
      <c r="M60" s="106">
        <f>IF(ISBLANK(K60), "", VLOOKUP(C60&amp;" "&amp;D60, 'Info Tipo de Cambio y REM'!$A$24:$B$35, 2, FALSE))</f>
        <v>1230</v>
      </c>
      <c r="N60" s="107">
        <f t="shared" si="1"/>
        <v>2032.520325</v>
      </c>
      <c r="O60" s="102" t="str">
        <f t="shared" si="2"/>
        <v>A término</v>
      </c>
    </row>
    <row r="61" hidden="1">
      <c r="A61" s="43" t="s">
        <v>127</v>
      </c>
      <c r="B61" s="43" t="str">
        <f>IF(A61="", "", IFERROR(VLOOKUP(A61, Clasificaciones!A:B, 2, FALSE), "DATO NO CARGADO"))</f>
        <v>Board</v>
      </c>
      <c r="C61" s="51" t="s">
        <v>129</v>
      </c>
      <c r="D61" s="156">
        <v>2025.0</v>
      </c>
      <c r="E61" s="102"/>
      <c r="F61" s="104"/>
      <c r="G61" s="104"/>
      <c r="H61" s="55" t="s">
        <v>393</v>
      </c>
      <c r="I61" s="43" t="s">
        <v>457</v>
      </c>
      <c r="J61" s="104">
        <v>45722.0</v>
      </c>
      <c r="K61" s="89">
        <v>1000000.0</v>
      </c>
      <c r="L61" s="71"/>
      <c r="M61" s="106">
        <f>IF(ISBLANK(K61), "", VLOOKUP(C61&amp;" "&amp;D61, 'Info Tipo de Cambio y REM'!$A$24:$B$35, 2, FALSE))</f>
        <v>1230</v>
      </c>
      <c r="N61" s="107">
        <f t="shared" si="1"/>
        <v>813.0081301</v>
      </c>
      <c r="O61" s="102" t="str">
        <f t="shared" si="2"/>
        <v>A término</v>
      </c>
    </row>
    <row r="62" hidden="1">
      <c r="A62" s="43" t="s">
        <v>127</v>
      </c>
      <c r="B62" s="43" t="str">
        <f>IF(A62="", "", IFERROR(VLOOKUP(A62, Clasificaciones!A:B, 2, FALSE), "DATO NO CARGADO"))</f>
        <v>Board</v>
      </c>
      <c r="C62" s="51" t="s">
        <v>129</v>
      </c>
      <c r="D62" s="156">
        <v>2025.0</v>
      </c>
      <c r="E62" s="102"/>
      <c r="F62" s="104"/>
      <c r="G62" s="104"/>
      <c r="H62" s="55" t="s">
        <v>458</v>
      </c>
      <c r="I62" s="43" t="s">
        <v>459</v>
      </c>
      <c r="J62" s="104">
        <v>45722.0</v>
      </c>
      <c r="K62" s="89">
        <v>1403068.0</v>
      </c>
      <c r="L62" s="71"/>
      <c r="M62" s="106">
        <f>IF(ISBLANK(K62), "", VLOOKUP(C62&amp;" "&amp;D62, 'Info Tipo de Cambio y REM'!$A$24:$B$35, 2, FALSE))</f>
        <v>1230</v>
      </c>
      <c r="N62" s="107">
        <f t="shared" si="1"/>
        <v>1140.705691</v>
      </c>
      <c r="O62" s="102" t="str">
        <f t="shared" si="2"/>
        <v>A término</v>
      </c>
    </row>
    <row r="63" hidden="1">
      <c r="A63" s="43" t="s">
        <v>212</v>
      </c>
      <c r="B63" s="43" t="str">
        <f>IF(A63="", "", IFERROR(VLOOKUP(A63, Clasificaciones!A:B, 2, FALSE), "DATO NO CARGADO"))</f>
        <v>Equipo</v>
      </c>
      <c r="C63" s="51" t="s">
        <v>129</v>
      </c>
      <c r="D63" s="156">
        <v>2025.0</v>
      </c>
      <c r="E63" s="102"/>
      <c r="F63" s="104"/>
      <c r="G63" s="104"/>
      <c r="H63" s="55" t="s">
        <v>377</v>
      </c>
      <c r="I63" s="43"/>
      <c r="J63" s="104"/>
      <c r="K63" s="89">
        <v>377230.0</v>
      </c>
      <c r="L63" s="71"/>
      <c r="M63" s="106">
        <f>IF(ISBLANK(K63), "", VLOOKUP(C63&amp;" "&amp;D63, 'Info Tipo de Cambio y REM'!$A$24:$B$35, 2, FALSE))</f>
        <v>1230</v>
      </c>
      <c r="N63" s="107">
        <f t="shared" si="1"/>
        <v>306.6910569</v>
      </c>
      <c r="O63" s="102" t="str">
        <f t="shared" si="2"/>
        <v>A término</v>
      </c>
    </row>
    <row r="64" hidden="1">
      <c r="A64" s="43" t="s">
        <v>169</v>
      </c>
      <c r="B64" s="43" t="str">
        <f>IF(A64="", "", IFERROR(VLOOKUP(A64, Clasificaciones!A:B, 2, FALSE), "DATO NO CARGADO"))</f>
        <v>Suscripciones/Herramientas</v>
      </c>
      <c r="C64" s="51" t="s">
        <v>129</v>
      </c>
      <c r="D64" s="156">
        <v>2025.0</v>
      </c>
      <c r="E64" s="102"/>
      <c r="F64" s="104"/>
      <c r="G64" s="104"/>
      <c r="H64" s="55" t="s">
        <v>417</v>
      </c>
      <c r="I64" s="43"/>
      <c r="J64" s="104">
        <v>45536.0</v>
      </c>
      <c r="K64" s="89"/>
      <c r="L64" s="89">
        <v>4050.0</v>
      </c>
      <c r="M64" s="106" t="str">
        <f>IF(ISBLANK(K64), "", VLOOKUP(C64&amp;" "&amp;D64, 'Info Tipo de Cambio y REM'!$A$24:$B$35, 2, FALSE))</f>
        <v/>
      </c>
      <c r="N64" s="107">
        <f t="shared" si="1"/>
        <v>4050</v>
      </c>
      <c r="O64" s="102" t="str">
        <f t="shared" si="2"/>
        <v>A término</v>
      </c>
    </row>
    <row r="65" hidden="1">
      <c r="A65" s="43" t="s">
        <v>187</v>
      </c>
      <c r="B65" s="43" t="str">
        <f>IF(A65="", "", IFERROR(VLOOKUP(A65, Clasificaciones!A:B, 2, FALSE), "DATO NO CARGADO"))</f>
        <v>Gastos Varios</v>
      </c>
      <c r="C65" s="51" t="s">
        <v>129</v>
      </c>
      <c r="D65" s="156">
        <v>2025.0</v>
      </c>
      <c r="E65" s="102"/>
      <c r="F65" s="104"/>
      <c r="G65" s="104"/>
      <c r="H65" s="55" t="s">
        <v>418</v>
      </c>
      <c r="I65" s="43" t="s">
        <v>460</v>
      </c>
      <c r="J65" s="104">
        <v>45721.0</v>
      </c>
      <c r="K65" s="89"/>
      <c r="L65" s="89">
        <v>600.0</v>
      </c>
      <c r="M65" s="106" t="str">
        <f>IF(ISBLANK(K65), "", VLOOKUP(C65&amp;" "&amp;D65, 'Info Tipo de Cambio y REM'!$A$24:$B$35, 2, FALSE))</f>
        <v/>
      </c>
      <c r="N65" s="107">
        <f t="shared" si="1"/>
        <v>600</v>
      </c>
      <c r="O65" s="102" t="str">
        <f t="shared" si="2"/>
        <v>A término</v>
      </c>
    </row>
    <row r="66" hidden="1">
      <c r="A66" s="43" t="s">
        <v>164</v>
      </c>
      <c r="B66" s="43" t="str">
        <f>IF(A66="", "", IFERROR(VLOOKUP(A66, Clasificaciones!A:B, 2, FALSE), "DATO NO CARGADO"))</f>
        <v>Estudio Contable</v>
      </c>
      <c r="C66" s="51" t="s">
        <v>129</v>
      </c>
      <c r="D66" s="156">
        <v>2025.0</v>
      </c>
      <c r="E66" s="102"/>
      <c r="F66" s="104"/>
      <c r="G66" s="104"/>
      <c r="H66" s="55" t="s">
        <v>461</v>
      </c>
      <c r="I66" s="43"/>
      <c r="J66" s="104">
        <v>45726.0</v>
      </c>
      <c r="K66" s="89">
        <v>45838.0</v>
      </c>
      <c r="L66" s="71"/>
      <c r="M66" s="106">
        <f>IF(ISBLANK(K66), "", VLOOKUP(C66&amp;" "&amp;D66, 'Info Tipo de Cambio y REM'!$A$24:$B$35, 2, FALSE))</f>
        <v>1230</v>
      </c>
      <c r="N66" s="107">
        <f t="shared" si="1"/>
        <v>37.26666667</v>
      </c>
      <c r="O66" s="102" t="str">
        <f t="shared" si="2"/>
        <v>A término</v>
      </c>
    </row>
    <row r="67" hidden="1">
      <c r="A67" s="43" t="s">
        <v>158</v>
      </c>
      <c r="B67" s="43" t="str">
        <f>IF(A67="", "", IFERROR(VLOOKUP(A67, Clasificaciones!A:B, 2, FALSE), "DATO NO CARGADO"))</f>
        <v>Tarjeta</v>
      </c>
      <c r="C67" s="51" t="s">
        <v>129</v>
      </c>
      <c r="D67" s="156">
        <v>2025.0</v>
      </c>
      <c r="E67" s="102"/>
      <c r="F67" s="104"/>
      <c r="G67" s="104"/>
      <c r="H67" s="55" t="s">
        <v>462</v>
      </c>
      <c r="I67" s="43"/>
      <c r="J67" s="104">
        <v>45721.0</v>
      </c>
      <c r="K67" s="89">
        <v>86405.0</v>
      </c>
      <c r="L67" s="71"/>
      <c r="M67" s="106">
        <f>IF(ISBLANK(K67), "", VLOOKUP(C67&amp;" "&amp;D67, 'Info Tipo de Cambio y REM'!$A$24:$B$35, 2, FALSE))</f>
        <v>1230</v>
      </c>
      <c r="N67" s="107">
        <f t="shared" si="1"/>
        <v>70.24796748</v>
      </c>
      <c r="O67" s="102" t="str">
        <f t="shared" si="2"/>
        <v>A término</v>
      </c>
    </row>
    <row r="68" hidden="1">
      <c r="A68" s="43" t="s">
        <v>146</v>
      </c>
      <c r="B68" s="43" t="str">
        <f>IF(A68="", "", IFERROR(VLOOKUP(A68, Clasificaciones!A:B, 2, FALSE), "DATO NO CARGADO"))</f>
        <v>Impuestos ARG</v>
      </c>
      <c r="C68" s="51" t="s">
        <v>129</v>
      </c>
      <c r="D68" s="156">
        <v>2025.0</v>
      </c>
      <c r="E68" s="102"/>
      <c r="F68" s="104"/>
      <c r="G68" s="104"/>
      <c r="H68" s="55" t="s">
        <v>463</v>
      </c>
      <c r="I68" s="43"/>
      <c r="J68" s="104">
        <v>45734.0</v>
      </c>
      <c r="K68" s="89">
        <v>306411.0</v>
      </c>
      <c r="L68" s="71"/>
      <c r="M68" s="106">
        <f>IF(ISBLANK(K68), "", VLOOKUP(C68&amp;" "&amp;D68, 'Info Tipo de Cambio y REM'!$A$24:$B$35, 2, FALSE))</f>
        <v>1230</v>
      </c>
      <c r="N68" s="107">
        <f t="shared" si="1"/>
        <v>249.1146341</v>
      </c>
      <c r="O68" s="102" t="str">
        <f t="shared" si="2"/>
        <v>A término</v>
      </c>
    </row>
    <row r="69" hidden="1">
      <c r="A69" s="43" t="s">
        <v>152</v>
      </c>
      <c r="B69" s="43" t="str">
        <f>IF(A69="", "", IFERROR(VLOOKUP(A69, Clasificaciones!A:B, 2, FALSE), "DATO NO CARGADO"))</f>
        <v>Impuestos ARG</v>
      </c>
      <c r="C69" s="51" t="s">
        <v>129</v>
      </c>
      <c r="D69" s="156">
        <v>2025.0</v>
      </c>
      <c r="E69" s="102"/>
      <c r="F69" s="104"/>
      <c r="G69" s="104"/>
      <c r="H69" s="55" t="s">
        <v>464</v>
      </c>
      <c r="I69" s="43"/>
      <c r="J69" s="104">
        <v>45738.0</v>
      </c>
      <c r="K69" s="89">
        <v>1256673.0</v>
      </c>
      <c r="L69" s="71"/>
      <c r="M69" s="106">
        <f>IF(ISBLANK(K69), "", VLOOKUP(C69&amp;" "&amp;D69, 'Info Tipo de Cambio y REM'!$A$24:$B$35, 2, FALSE))</f>
        <v>1230</v>
      </c>
      <c r="N69" s="107">
        <f t="shared" si="1"/>
        <v>1021.685366</v>
      </c>
      <c r="O69" s="102" t="str">
        <f t="shared" si="2"/>
        <v>A término</v>
      </c>
    </row>
    <row r="70" hidden="1">
      <c r="A70" s="43" t="s">
        <v>133</v>
      </c>
      <c r="B70" s="43" t="str">
        <f>IF(A70="", "", IFERROR(VLOOKUP(A70, Clasificaciones!A:B, 2, FALSE), "DATO NO CARGADO"))</f>
        <v>Board</v>
      </c>
      <c r="C70" s="51" t="s">
        <v>129</v>
      </c>
      <c r="D70" s="156">
        <v>2025.0</v>
      </c>
      <c r="E70" s="102"/>
      <c r="F70" s="104"/>
      <c r="G70" s="104"/>
      <c r="H70" s="55" t="s">
        <v>465</v>
      </c>
      <c r="I70" s="43"/>
      <c r="J70" s="104">
        <v>45721.0</v>
      </c>
      <c r="K70" s="89">
        <v>1263720.0</v>
      </c>
      <c r="L70" s="71"/>
      <c r="M70" s="106">
        <f>IF(ISBLANK(K70), "", VLOOKUP(C70&amp;" "&amp;D70, 'Info Tipo de Cambio y REM'!$A$24:$B$35, 2, FALSE))</f>
        <v>1230</v>
      </c>
      <c r="N70" s="107">
        <f t="shared" si="1"/>
        <v>1027.414634</v>
      </c>
      <c r="O70" s="102" t="str">
        <f t="shared" si="2"/>
        <v>A término</v>
      </c>
    </row>
    <row r="71" hidden="1">
      <c r="A71" s="43" t="s">
        <v>222</v>
      </c>
      <c r="B71" s="43" t="str">
        <f>IF(A71="", "", IFERROR(VLOOKUP(A71, Clasificaciones!A:B, 2, FALSE), "DATO NO CARGADO"))</f>
        <v>Oxean</v>
      </c>
      <c r="C71" s="51" t="s">
        <v>129</v>
      </c>
      <c r="D71" s="156">
        <v>2025.0</v>
      </c>
      <c r="E71" s="102"/>
      <c r="F71" s="104"/>
      <c r="G71" s="104"/>
      <c r="H71" s="55" t="s">
        <v>466</v>
      </c>
      <c r="I71" s="43"/>
      <c r="J71" s="104">
        <v>45721.0</v>
      </c>
      <c r="K71" s="89">
        <v>3418250.0</v>
      </c>
      <c r="L71" s="71"/>
      <c r="M71" s="106">
        <f>IF(ISBLANK(K71), "", VLOOKUP(C71&amp;" "&amp;D71, 'Info Tipo de Cambio y REM'!$A$24:$B$35, 2, FALSE))</f>
        <v>1230</v>
      </c>
      <c r="N71" s="107">
        <f t="shared" si="1"/>
        <v>2779.065041</v>
      </c>
      <c r="O71" s="102" t="str">
        <f t="shared" si="2"/>
        <v>A término</v>
      </c>
    </row>
    <row r="72" hidden="1">
      <c r="A72" s="43" t="s">
        <v>191</v>
      </c>
      <c r="B72" s="43" t="str">
        <f>IF(A72="", "", IFERROR(VLOOKUP(A72, Clasificaciones!A:B, 2, FALSE), "DATO NO CARGADO"))</f>
        <v>Tarjeta</v>
      </c>
      <c r="C72" s="51" t="s">
        <v>129</v>
      </c>
      <c r="D72" s="156">
        <v>2025.0</v>
      </c>
      <c r="E72" s="102"/>
      <c r="F72" s="104"/>
      <c r="G72" s="104"/>
      <c r="H72" s="158"/>
      <c r="I72" s="43" t="s">
        <v>467</v>
      </c>
      <c r="J72" s="104"/>
      <c r="K72" s="89"/>
      <c r="L72" s="89">
        <v>12.0</v>
      </c>
      <c r="M72" s="106" t="str">
        <f>IF(ISBLANK(K72), "", VLOOKUP(C72&amp;" "&amp;D72, 'Info Tipo de Cambio y REM'!$A$24:$B$35, 2, FALSE))</f>
        <v/>
      </c>
      <c r="N72" s="107">
        <f t="shared" si="1"/>
        <v>12</v>
      </c>
      <c r="O72" s="102" t="str">
        <f t="shared" si="2"/>
        <v>A término</v>
      </c>
    </row>
    <row r="73" hidden="1">
      <c r="A73" s="43" t="s">
        <v>191</v>
      </c>
      <c r="B73" s="43" t="str">
        <f>IF(A73="", "", IFERROR(VLOOKUP(A73, Clasificaciones!A:B, 2, FALSE), "DATO NO CARGADO"))</f>
        <v>Tarjeta</v>
      </c>
      <c r="C73" s="51" t="s">
        <v>129</v>
      </c>
      <c r="D73" s="156">
        <v>2025.0</v>
      </c>
      <c r="E73" s="102"/>
      <c r="F73" s="104"/>
      <c r="G73" s="104"/>
      <c r="H73" s="158"/>
      <c r="I73" s="43" t="s">
        <v>468</v>
      </c>
      <c r="J73" s="104"/>
      <c r="K73" s="89"/>
      <c r="L73" s="89">
        <v>466.0</v>
      </c>
      <c r="M73" s="106" t="str">
        <f>IF(ISBLANK(K73), "", VLOOKUP(C73&amp;" "&amp;D73, 'Info Tipo de Cambio y REM'!$A$24:$B$35, 2, FALSE))</f>
        <v/>
      </c>
      <c r="N73" s="107">
        <f t="shared" si="1"/>
        <v>466</v>
      </c>
      <c r="O73" s="102" t="str">
        <f t="shared" si="2"/>
        <v>A término</v>
      </c>
    </row>
    <row r="74" hidden="1">
      <c r="A74" s="43" t="s">
        <v>191</v>
      </c>
      <c r="B74" s="43" t="str">
        <f>IF(A74="", "", IFERROR(VLOOKUP(A74, Clasificaciones!A:B, 2, FALSE), "DATO NO CARGADO"))</f>
        <v>Tarjeta</v>
      </c>
      <c r="C74" s="51" t="s">
        <v>129</v>
      </c>
      <c r="D74" s="156">
        <v>2025.0</v>
      </c>
      <c r="E74" s="102"/>
      <c r="F74" s="104"/>
      <c r="G74" s="104"/>
      <c r="H74" s="158"/>
      <c r="I74" s="43" t="s">
        <v>469</v>
      </c>
      <c r="J74" s="104"/>
      <c r="K74" s="89"/>
      <c r="L74" s="89">
        <v>304.0</v>
      </c>
      <c r="M74" s="106" t="str">
        <f>IF(ISBLANK(K74), "", VLOOKUP(C74&amp;" "&amp;D74, 'Info Tipo de Cambio y REM'!$A$24:$B$35, 2, FALSE))</f>
        <v/>
      </c>
      <c r="N74" s="107">
        <f t="shared" si="1"/>
        <v>304</v>
      </c>
      <c r="O74" s="102" t="str">
        <f t="shared" si="2"/>
        <v>A término</v>
      </c>
    </row>
    <row r="75" hidden="1">
      <c r="A75" s="43" t="s">
        <v>191</v>
      </c>
      <c r="B75" s="43" t="str">
        <f>IF(A75="", "", IFERROR(VLOOKUP(A75, Clasificaciones!A:B, 2, FALSE), "DATO NO CARGADO"))</f>
        <v>Tarjeta</v>
      </c>
      <c r="C75" s="51" t="s">
        <v>129</v>
      </c>
      <c r="D75" s="156">
        <v>2025.0</v>
      </c>
      <c r="E75" s="102"/>
      <c r="F75" s="104"/>
      <c r="G75" s="104"/>
      <c r="H75" s="158"/>
      <c r="I75" s="43" t="s">
        <v>470</v>
      </c>
      <c r="J75" s="104"/>
      <c r="K75" s="89"/>
      <c r="L75" s="89">
        <v>8.0</v>
      </c>
      <c r="M75" s="106" t="str">
        <f>IF(ISBLANK(K75), "", VLOOKUP(C75&amp;" "&amp;D75, 'Info Tipo de Cambio y REM'!$A$24:$B$35, 2, FALSE))</f>
        <v/>
      </c>
      <c r="N75" s="107">
        <f t="shared" si="1"/>
        <v>8</v>
      </c>
      <c r="O75" s="102" t="str">
        <f t="shared" si="2"/>
        <v>A término</v>
      </c>
    </row>
    <row r="76" hidden="1">
      <c r="A76" s="43" t="s">
        <v>191</v>
      </c>
      <c r="B76" s="43" t="str">
        <f>IF(A76="", "", IFERROR(VLOOKUP(A76, Clasificaciones!A:B, 2, FALSE), "DATO NO CARGADO"))</f>
        <v>Tarjeta</v>
      </c>
      <c r="C76" s="51" t="s">
        <v>129</v>
      </c>
      <c r="D76" s="156">
        <v>2025.0</v>
      </c>
      <c r="E76" s="102"/>
      <c r="F76" s="104"/>
      <c r="G76" s="104"/>
      <c r="H76" s="158"/>
      <c r="I76" s="43" t="s">
        <v>471</v>
      </c>
      <c r="J76" s="104"/>
      <c r="K76" s="89"/>
      <c r="L76" s="89">
        <v>14.19</v>
      </c>
      <c r="M76" s="106" t="str">
        <f>IF(ISBLANK(K76), "", VLOOKUP(C76&amp;" "&amp;D76, 'Info Tipo de Cambio y REM'!$A$24:$B$35, 2, FALSE))</f>
        <v/>
      </c>
      <c r="N76" s="107">
        <f t="shared" si="1"/>
        <v>14.19</v>
      </c>
      <c r="O76" s="102" t="str">
        <f t="shared" si="2"/>
        <v>A término</v>
      </c>
    </row>
    <row r="77" hidden="1">
      <c r="A77" s="43" t="s">
        <v>191</v>
      </c>
      <c r="B77" s="43" t="str">
        <f>IF(A77="", "", IFERROR(VLOOKUP(A77, Clasificaciones!A:B, 2, FALSE), "DATO NO CARGADO"))</f>
        <v>Tarjeta</v>
      </c>
      <c r="C77" s="51" t="s">
        <v>129</v>
      </c>
      <c r="D77" s="156">
        <v>2025.0</v>
      </c>
      <c r="E77" s="102"/>
      <c r="F77" s="104"/>
      <c r="G77" s="104"/>
      <c r="H77" s="158"/>
      <c r="I77" s="43" t="s">
        <v>472</v>
      </c>
      <c r="J77" s="104"/>
      <c r="K77" s="89"/>
      <c r="L77" s="89">
        <v>22.99</v>
      </c>
      <c r="M77" s="106" t="str">
        <f>IF(ISBLANK(K77), "", VLOOKUP(C77&amp;" "&amp;D77, 'Info Tipo de Cambio y REM'!$A$24:$B$35, 2, FALSE))</f>
        <v/>
      </c>
      <c r="N77" s="107">
        <f t="shared" si="1"/>
        <v>22.99</v>
      </c>
      <c r="O77" s="102" t="str">
        <f t="shared" si="2"/>
        <v>A término</v>
      </c>
    </row>
    <row r="78" hidden="1">
      <c r="A78" s="43" t="s">
        <v>191</v>
      </c>
      <c r="B78" s="43" t="str">
        <f>IF(A78="", "", IFERROR(VLOOKUP(A78, Clasificaciones!A:B, 2, FALSE), "DATO NO CARGADO"))</f>
        <v>Tarjeta</v>
      </c>
      <c r="C78" s="51" t="s">
        <v>129</v>
      </c>
      <c r="D78" s="156">
        <v>2025.0</v>
      </c>
      <c r="E78" s="102"/>
      <c r="F78" s="104"/>
      <c r="G78" s="104"/>
      <c r="H78" s="158"/>
      <c r="I78" s="43" t="s">
        <v>473</v>
      </c>
      <c r="J78" s="104"/>
      <c r="K78" s="89"/>
      <c r="L78" s="89">
        <v>25.0</v>
      </c>
      <c r="M78" s="106" t="str">
        <f>IF(ISBLANK(K78), "", VLOOKUP(C78&amp;" "&amp;D78, 'Info Tipo de Cambio y REM'!$A$24:$B$35, 2, FALSE))</f>
        <v/>
      </c>
      <c r="N78" s="107">
        <f t="shared" si="1"/>
        <v>25</v>
      </c>
      <c r="O78" s="102" t="str">
        <f t="shared" si="2"/>
        <v>A término</v>
      </c>
    </row>
    <row r="79" hidden="1">
      <c r="A79" s="43" t="s">
        <v>191</v>
      </c>
      <c r="B79" s="43" t="str">
        <f>IF(A79="", "", IFERROR(VLOOKUP(A79, Clasificaciones!A:B, 2, FALSE), "DATO NO CARGADO"))</f>
        <v>Tarjeta</v>
      </c>
      <c r="C79" s="51" t="s">
        <v>129</v>
      </c>
      <c r="D79" s="156">
        <v>2025.0</v>
      </c>
      <c r="E79" s="102"/>
      <c r="F79" s="104"/>
      <c r="G79" s="104"/>
      <c r="H79" s="158"/>
      <c r="I79" s="43" t="s">
        <v>474</v>
      </c>
      <c r="J79" s="104"/>
      <c r="K79" s="89"/>
      <c r="L79" s="89">
        <v>20.0</v>
      </c>
      <c r="M79" s="106" t="str">
        <f>IF(ISBLANK(K79), "", VLOOKUP(C79&amp;" "&amp;D79, 'Info Tipo de Cambio y REM'!$A$24:$B$35, 2, FALSE))</f>
        <v/>
      </c>
      <c r="N79" s="107">
        <f t="shared" si="1"/>
        <v>20</v>
      </c>
      <c r="O79" s="102" t="str">
        <f t="shared" si="2"/>
        <v>A término</v>
      </c>
    </row>
    <row r="80" hidden="1">
      <c r="A80" s="43" t="s">
        <v>191</v>
      </c>
      <c r="B80" s="43" t="str">
        <f>IF(A80="", "", IFERROR(VLOOKUP(A80, Clasificaciones!A:B, 2, FALSE), "DATO NO CARGADO"))</f>
        <v>Tarjeta</v>
      </c>
      <c r="C80" s="51" t="s">
        <v>129</v>
      </c>
      <c r="D80" s="156">
        <v>2025.0</v>
      </c>
      <c r="E80" s="102"/>
      <c r="F80" s="104"/>
      <c r="G80" s="104"/>
      <c r="H80" s="158"/>
      <c r="I80" s="43" t="s">
        <v>475</v>
      </c>
      <c r="J80" s="104"/>
      <c r="K80" s="89"/>
      <c r="L80" s="89">
        <v>6.49</v>
      </c>
      <c r="M80" s="106" t="str">
        <f>IF(ISBLANK(K80), "", VLOOKUP(C80&amp;" "&amp;D80, 'Info Tipo de Cambio y REM'!$A$24:$B$35, 2, FALSE))</f>
        <v/>
      </c>
      <c r="N80" s="107">
        <f t="shared" si="1"/>
        <v>6.49</v>
      </c>
      <c r="O80" s="102" t="str">
        <f t="shared" si="2"/>
        <v>A término</v>
      </c>
    </row>
    <row r="81" hidden="1">
      <c r="A81" s="43" t="s">
        <v>153</v>
      </c>
      <c r="B81" s="43" t="str">
        <f>IF(A81="", "", IFERROR(VLOOKUP(A81, Clasificaciones!A:B, 2, FALSE), "DATO NO CARGADO"))</f>
        <v>Impuestos USA</v>
      </c>
      <c r="C81" s="51" t="s">
        <v>129</v>
      </c>
      <c r="D81" s="156">
        <v>2025.0</v>
      </c>
      <c r="E81" s="102"/>
      <c r="F81" s="104"/>
      <c r="G81" s="104"/>
      <c r="H81" s="55" t="s">
        <v>434</v>
      </c>
      <c r="I81" s="43"/>
      <c r="J81" s="104"/>
      <c r="K81" s="89"/>
      <c r="L81" s="89">
        <v>16758.0</v>
      </c>
      <c r="M81" s="106" t="str">
        <f>IF(ISBLANK(K81), "", VLOOKUP(C81&amp;" "&amp;D81, 'Info Tipo de Cambio y REM'!$A$24:$B$35, 2, FALSE))</f>
        <v/>
      </c>
      <c r="N81" s="107">
        <f t="shared" si="1"/>
        <v>16758</v>
      </c>
      <c r="O81" s="102" t="str">
        <f t="shared" si="2"/>
        <v>A término</v>
      </c>
    </row>
    <row r="82" hidden="1">
      <c r="A82" s="43" t="s">
        <v>237</v>
      </c>
      <c r="B82" s="43" t="str">
        <f>IF(A82="", "", IFERROR(VLOOKUP(A82, Clasificaciones!A:B, 2, FALSE), "DATO NO CARGADO"))</f>
        <v>Otros Proveedores</v>
      </c>
      <c r="C82" s="51" t="s">
        <v>136</v>
      </c>
      <c r="D82" s="156">
        <v>2025.0</v>
      </c>
      <c r="E82" s="102"/>
      <c r="F82" s="104"/>
      <c r="G82" s="104"/>
      <c r="H82" s="55" t="s">
        <v>372</v>
      </c>
      <c r="I82" s="43" t="s">
        <v>373</v>
      </c>
      <c r="J82" s="104"/>
      <c r="K82" s="89">
        <v>96000.0</v>
      </c>
      <c r="L82" s="71"/>
      <c r="M82" s="106">
        <f>IF(ISBLANK(K82), "", VLOOKUP(C82&amp;" "&amp;D82, 'Info Tipo de Cambio y REM'!$A$24:$B$35, 2, FALSE))</f>
        <v>1325</v>
      </c>
      <c r="N82" s="107">
        <f t="shared" si="1"/>
        <v>72.45283019</v>
      </c>
      <c r="O82" s="102" t="str">
        <f t="shared" si="2"/>
        <v>A término</v>
      </c>
    </row>
    <row r="83" hidden="1">
      <c r="A83" s="43" t="s">
        <v>205</v>
      </c>
      <c r="B83" s="43" t="str">
        <f>IF(A83="", "", IFERROR(VLOOKUP(A83, Clasificaciones!A:B, 2, FALSE), "DATO NO CARGADO"))</f>
        <v>Equipo</v>
      </c>
      <c r="C83" s="51" t="s">
        <v>136</v>
      </c>
      <c r="D83" s="156">
        <v>2025.0</v>
      </c>
      <c r="E83" s="102"/>
      <c r="F83" s="104"/>
      <c r="G83" s="104"/>
      <c r="H83" s="55" t="s">
        <v>379</v>
      </c>
      <c r="I83" s="43"/>
      <c r="J83" s="104"/>
      <c r="K83" s="89">
        <v>1087761.0</v>
      </c>
      <c r="L83" s="71"/>
      <c r="M83" s="106">
        <f>IF(ISBLANK(K83), "", VLOOKUP(C83&amp;" "&amp;D83, 'Info Tipo de Cambio y REM'!$A$24:$B$35, 2, FALSE))</f>
        <v>1325</v>
      </c>
      <c r="N83" s="107">
        <f t="shared" si="1"/>
        <v>820.9516981</v>
      </c>
      <c r="O83" s="102" t="str">
        <f t="shared" si="2"/>
        <v>A término</v>
      </c>
    </row>
    <row r="84" hidden="1">
      <c r="A84" s="43" t="s">
        <v>214</v>
      </c>
      <c r="B84" s="43" t="str">
        <f>IF(A84="", "", IFERROR(VLOOKUP(A84, Clasificaciones!A:B, 2, FALSE), "DATO NO CARGADO"))</f>
        <v>Equipo</v>
      </c>
      <c r="C84" s="51" t="s">
        <v>136</v>
      </c>
      <c r="D84" s="156">
        <v>2025.0</v>
      </c>
      <c r="E84" s="102"/>
      <c r="F84" s="104"/>
      <c r="G84" s="104"/>
      <c r="H84" s="55" t="s">
        <v>476</v>
      </c>
      <c r="I84" s="43"/>
      <c r="J84" s="104"/>
      <c r="K84" s="89">
        <v>1500000.0</v>
      </c>
      <c r="L84" s="71"/>
      <c r="M84" s="106">
        <f>IF(ISBLANK(K84), "", VLOOKUP(C84&amp;" "&amp;D84, 'Info Tipo de Cambio y REM'!$A$24:$B$35, 2, FALSE))</f>
        <v>1325</v>
      </c>
      <c r="N84" s="107">
        <f t="shared" si="1"/>
        <v>1132.075472</v>
      </c>
      <c r="O84" s="102" t="str">
        <f t="shared" si="2"/>
        <v>A término</v>
      </c>
    </row>
    <row r="85" hidden="1">
      <c r="A85" s="43" t="s">
        <v>200</v>
      </c>
      <c r="B85" s="43" t="str">
        <f>IF(A85="", "", IFERROR(VLOOKUP(A85, Clasificaciones!A:B, 2, FALSE), "DATO NO CARGADO"))</f>
        <v>Equipo</v>
      </c>
      <c r="C85" s="51" t="s">
        <v>136</v>
      </c>
      <c r="D85" s="156">
        <v>2025.0</v>
      </c>
      <c r="E85" s="102"/>
      <c r="F85" s="104"/>
      <c r="G85" s="104"/>
      <c r="H85" s="55" t="s">
        <v>381</v>
      </c>
      <c r="I85" s="43"/>
      <c r="J85" s="104"/>
      <c r="K85" s="89">
        <v>2022720.0</v>
      </c>
      <c r="L85" s="71"/>
      <c r="M85" s="106">
        <f>IF(ISBLANK(K85), "", VLOOKUP(C85&amp;" "&amp;D85, 'Info Tipo de Cambio y REM'!$A$24:$B$35, 2, FALSE))</f>
        <v>1325</v>
      </c>
      <c r="N85" s="107">
        <f t="shared" si="1"/>
        <v>1526.581132</v>
      </c>
      <c r="O85" s="102" t="str">
        <f t="shared" si="2"/>
        <v>A término</v>
      </c>
    </row>
    <row r="86" hidden="1">
      <c r="A86" s="43" t="s">
        <v>234</v>
      </c>
      <c r="B86" s="43" t="str">
        <f>IF(A86="", "", IFERROR(VLOOKUP(A86, Clasificaciones!A:B, 2, FALSE), "DATO NO CARGADO"))</f>
        <v>Equipo</v>
      </c>
      <c r="C86" s="51" t="s">
        <v>136</v>
      </c>
      <c r="D86" s="156">
        <v>2025.0</v>
      </c>
      <c r="E86" s="102"/>
      <c r="F86" s="104"/>
      <c r="G86" s="104"/>
      <c r="H86" s="55" t="s">
        <v>477</v>
      </c>
      <c r="I86" s="43"/>
      <c r="J86" s="104"/>
      <c r="K86" s="89">
        <v>800000.0</v>
      </c>
      <c r="L86" s="71"/>
      <c r="M86" s="106">
        <f>IF(ISBLANK(K86), "", VLOOKUP(C86&amp;" "&amp;D86, 'Info Tipo de Cambio y REM'!$A$24:$B$35, 2, FALSE))</f>
        <v>1325</v>
      </c>
      <c r="N86" s="107">
        <f t="shared" si="1"/>
        <v>603.7735849</v>
      </c>
      <c r="O86" s="102" t="str">
        <f t="shared" si="2"/>
        <v>A término</v>
      </c>
    </row>
    <row r="87" hidden="1">
      <c r="A87" s="43" t="s">
        <v>228</v>
      </c>
      <c r="B87" s="43" t="str">
        <f>IF(A87="", "", IFERROR(VLOOKUP(A87, Clasificaciones!A:B, 2, FALSE), "DATO NO CARGADO"))</f>
        <v>Equipo</v>
      </c>
      <c r="C87" s="51" t="s">
        <v>136</v>
      </c>
      <c r="D87" s="156">
        <v>2025.0</v>
      </c>
      <c r="E87" s="102"/>
      <c r="F87" s="104"/>
      <c r="G87" s="104"/>
      <c r="H87" s="55" t="s">
        <v>436</v>
      </c>
      <c r="I87" s="43"/>
      <c r="J87" s="104"/>
      <c r="K87" s="89">
        <v>1620000.0</v>
      </c>
      <c r="L87" s="71"/>
      <c r="M87" s="106">
        <f>IF(ISBLANK(K87), "", VLOOKUP(C87&amp;" "&amp;D87, 'Info Tipo de Cambio y REM'!$A$24:$B$35, 2, FALSE))</f>
        <v>1325</v>
      </c>
      <c r="N87" s="107">
        <f t="shared" si="1"/>
        <v>1222.641509</v>
      </c>
      <c r="O87" s="102" t="str">
        <f t="shared" si="2"/>
        <v>A término</v>
      </c>
    </row>
    <row r="88" hidden="1">
      <c r="A88" s="43" t="s">
        <v>226</v>
      </c>
      <c r="B88" s="43" t="str">
        <f>IF(A88="", "", IFERROR(VLOOKUP(A88, Clasificaciones!A:B, 2, FALSE), "DATO NO CARGADO"))</f>
        <v>Administración Finanzas</v>
      </c>
      <c r="C88" s="51" t="s">
        <v>136</v>
      </c>
      <c r="D88" s="156">
        <v>2025.0</v>
      </c>
      <c r="E88" s="102"/>
      <c r="F88" s="104"/>
      <c r="G88" s="104"/>
      <c r="H88" s="55" t="s">
        <v>383</v>
      </c>
      <c r="I88" s="43"/>
      <c r="J88" s="104"/>
      <c r="K88" s="89">
        <v>537700.0</v>
      </c>
      <c r="L88" s="71"/>
      <c r="M88" s="106">
        <f>IF(ISBLANK(K88), "", VLOOKUP(C88&amp;" "&amp;D88, 'Info Tipo de Cambio y REM'!$A$24:$B$35, 2, FALSE))</f>
        <v>1325</v>
      </c>
      <c r="N88" s="107">
        <f t="shared" si="1"/>
        <v>405.8113208</v>
      </c>
      <c r="O88" s="102" t="str">
        <f t="shared" si="2"/>
        <v>A término</v>
      </c>
    </row>
    <row r="89" hidden="1">
      <c r="A89" s="43" t="s">
        <v>235</v>
      </c>
      <c r="B89" s="43" t="str">
        <f>IF(A89="", "", IFERROR(VLOOKUP(A89, Clasificaciones!A:B, 2, FALSE), "DATO NO CARGADO"))</f>
        <v>Otros Proveedores</v>
      </c>
      <c r="C89" s="51" t="s">
        <v>136</v>
      </c>
      <c r="D89" s="156">
        <v>2025.0</v>
      </c>
      <c r="E89" s="102"/>
      <c r="F89" s="104"/>
      <c r="G89" s="104"/>
      <c r="H89" s="55" t="s">
        <v>385</v>
      </c>
      <c r="I89" s="43"/>
      <c r="J89" s="104"/>
      <c r="K89" s="89">
        <v>845000.0</v>
      </c>
      <c r="L89" s="71"/>
      <c r="M89" s="106">
        <f>IF(ISBLANK(K89), "", VLOOKUP(C89&amp;" "&amp;D89, 'Info Tipo de Cambio y REM'!$A$24:$B$35, 2, FALSE))</f>
        <v>1325</v>
      </c>
      <c r="N89" s="107">
        <f t="shared" si="1"/>
        <v>637.7358491</v>
      </c>
      <c r="O89" s="102" t="str">
        <f t="shared" si="2"/>
        <v>A término</v>
      </c>
    </row>
    <row r="90" hidden="1">
      <c r="A90" s="43" t="s">
        <v>120</v>
      </c>
      <c r="B90" s="43" t="str">
        <f>IF(A90="", "", IFERROR(VLOOKUP(A90, Clasificaciones!A:B, 2, FALSE), "DATO NO CARGADO"))</f>
        <v>Equipo</v>
      </c>
      <c r="C90" s="51" t="s">
        <v>136</v>
      </c>
      <c r="D90" s="156">
        <v>2025.0</v>
      </c>
      <c r="E90" s="102"/>
      <c r="F90" s="104"/>
      <c r="G90" s="104"/>
      <c r="H90" s="55" t="s">
        <v>387</v>
      </c>
      <c r="I90" s="43"/>
      <c r="J90" s="104"/>
      <c r="K90" s="89">
        <v>2500000.0</v>
      </c>
      <c r="L90" s="71"/>
      <c r="M90" s="106">
        <f>IF(ISBLANK(K90), "", VLOOKUP(C90&amp;" "&amp;D90, 'Info Tipo de Cambio y REM'!$A$24:$B$35, 2, FALSE))</f>
        <v>1325</v>
      </c>
      <c r="N90" s="107">
        <f t="shared" si="1"/>
        <v>1886.792453</v>
      </c>
      <c r="O90" s="102" t="str">
        <f t="shared" si="2"/>
        <v>A término</v>
      </c>
    </row>
    <row r="91" hidden="1">
      <c r="A91" s="43" t="s">
        <v>207</v>
      </c>
      <c r="B91" s="43" t="str">
        <f>IF(A91="", "", IFERROR(VLOOKUP(A91, Clasificaciones!A:B, 2, FALSE), "DATO NO CARGADO"))</f>
        <v>Equipo</v>
      </c>
      <c r="C91" s="51" t="s">
        <v>136</v>
      </c>
      <c r="D91" s="156">
        <v>2025.0</v>
      </c>
      <c r="E91" s="102"/>
      <c r="F91" s="104"/>
      <c r="G91" s="104"/>
      <c r="H91" s="55" t="s">
        <v>389</v>
      </c>
      <c r="I91" s="43"/>
      <c r="J91" s="104"/>
      <c r="K91" s="89">
        <v>820000.0</v>
      </c>
      <c r="L91" s="71"/>
      <c r="M91" s="106">
        <f>IF(ISBLANK(K91), "", VLOOKUP(C91&amp;" "&amp;D91, 'Info Tipo de Cambio y REM'!$A$24:$B$35, 2, FALSE))</f>
        <v>1325</v>
      </c>
      <c r="N91" s="107">
        <f t="shared" si="1"/>
        <v>618.8679245</v>
      </c>
      <c r="O91" s="102" t="str">
        <f t="shared" si="2"/>
        <v>A término</v>
      </c>
    </row>
    <row r="92" hidden="1">
      <c r="A92" s="43" t="s">
        <v>87</v>
      </c>
      <c r="B92" s="43" t="str">
        <f>IF(A92="", "", IFERROR(VLOOKUP(A92, Clasificaciones!A:B, 2, FALSE), "DATO NO CARGADO"))</f>
        <v>Equipo</v>
      </c>
      <c r="C92" s="51" t="s">
        <v>136</v>
      </c>
      <c r="D92" s="156">
        <v>2025.0</v>
      </c>
      <c r="E92" s="102"/>
      <c r="F92" s="104"/>
      <c r="G92" s="104"/>
      <c r="H92" s="55" t="s">
        <v>391</v>
      </c>
      <c r="I92" s="43"/>
      <c r="J92" s="104"/>
      <c r="K92" s="89">
        <v>572000.0</v>
      </c>
      <c r="L92" s="71"/>
      <c r="M92" s="106">
        <f>IF(ISBLANK(K92), "", VLOOKUP(C92&amp;" "&amp;D92, 'Info Tipo de Cambio y REM'!$A$24:$B$35, 2, FALSE))</f>
        <v>1325</v>
      </c>
      <c r="N92" s="107">
        <f t="shared" si="1"/>
        <v>431.6981132</v>
      </c>
      <c r="O92" s="102" t="str">
        <f t="shared" si="2"/>
        <v>A término</v>
      </c>
    </row>
    <row r="93" hidden="1">
      <c r="A93" s="43" t="s">
        <v>127</v>
      </c>
      <c r="B93" s="43" t="str">
        <f>IF(A93="", "", IFERROR(VLOOKUP(A93, Clasificaciones!A:B, 2, FALSE), "DATO NO CARGADO"))</f>
        <v>Board</v>
      </c>
      <c r="C93" s="51" t="s">
        <v>136</v>
      </c>
      <c r="D93" s="156">
        <v>2025.0</v>
      </c>
      <c r="E93" s="102"/>
      <c r="F93" s="104"/>
      <c r="G93" s="104"/>
      <c r="H93" s="55" t="s">
        <v>393</v>
      </c>
      <c r="I93" s="43"/>
      <c r="J93" s="104"/>
      <c r="K93" s="89">
        <v>1000000.0</v>
      </c>
      <c r="L93" s="71"/>
      <c r="M93" s="106">
        <f>IF(ISBLANK(K93), "", VLOOKUP(C93&amp;" "&amp;D93, 'Info Tipo de Cambio y REM'!$A$24:$B$35, 2, FALSE))</f>
        <v>1325</v>
      </c>
      <c r="N93" s="107">
        <f t="shared" si="1"/>
        <v>754.7169811</v>
      </c>
      <c r="O93" s="102" t="str">
        <f t="shared" si="2"/>
        <v>A término</v>
      </c>
    </row>
    <row r="94" hidden="1">
      <c r="A94" s="43" t="s">
        <v>210</v>
      </c>
      <c r="B94" s="43" t="str">
        <f>IF(A94="", "", IFERROR(VLOOKUP(A94, Clasificaciones!A:B, 2, FALSE), "DATO NO CARGADO"))</f>
        <v>Equipo</v>
      </c>
      <c r="C94" s="51" t="s">
        <v>136</v>
      </c>
      <c r="D94" s="156">
        <v>2025.0</v>
      </c>
      <c r="E94" s="102"/>
      <c r="F94" s="104"/>
      <c r="G94" s="104"/>
      <c r="H94" s="55" t="s">
        <v>397</v>
      </c>
      <c r="I94" s="43"/>
      <c r="J94" s="104"/>
      <c r="K94" s="89">
        <v>390001.0</v>
      </c>
      <c r="L94" s="71"/>
      <c r="M94" s="106">
        <f>IF(ISBLANK(K94), "", VLOOKUP(C94&amp;" "&amp;D94, 'Info Tipo de Cambio y REM'!$A$24:$B$35, 2, FALSE))</f>
        <v>1325</v>
      </c>
      <c r="N94" s="107">
        <f t="shared" si="1"/>
        <v>294.3403774</v>
      </c>
      <c r="O94" s="102" t="str">
        <f t="shared" si="2"/>
        <v>A término</v>
      </c>
    </row>
    <row r="95" hidden="1">
      <c r="A95" s="43" t="s">
        <v>219</v>
      </c>
      <c r="B95" s="43" t="str">
        <f>IF(A95="", "", IFERROR(VLOOKUP(A95, Clasificaciones!A:B, 2, FALSE), "DATO NO CARGADO"))</f>
        <v>Gastos Varios</v>
      </c>
      <c r="C95" s="51" t="s">
        <v>136</v>
      </c>
      <c r="D95" s="156">
        <v>2025.0</v>
      </c>
      <c r="E95" s="102"/>
      <c r="F95" s="104"/>
      <c r="G95" s="104"/>
      <c r="H95" s="55" t="s">
        <v>399</v>
      </c>
      <c r="I95" s="43"/>
      <c r="J95" s="104"/>
      <c r="K95" s="89">
        <v>495998.0</v>
      </c>
      <c r="L95" s="71"/>
      <c r="M95" s="106">
        <f>IF(ISBLANK(K95), "", VLOOKUP(C95&amp;" "&amp;D95, 'Info Tipo de Cambio y REM'!$A$24:$B$35, 2, FALSE))</f>
        <v>1325</v>
      </c>
      <c r="N95" s="107">
        <f t="shared" si="1"/>
        <v>374.3381132</v>
      </c>
      <c r="O95" s="102" t="str">
        <f t="shared" si="2"/>
        <v>A término</v>
      </c>
    </row>
    <row r="96" hidden="1">
      <c r="A96" s="43" t="s">
        <v>139</v>
      </c>
      <c r="B96" s="43" t="str">
        <f>IF(A96="", "", IFERROR(VLOOKUP(A96, Clasificaciones!A:B, 2, FALSE), "DATO NO CARGADO"))</f>
        <v>People</v>
      </c>
      <c r="C96" s="51" t="s">
        <v>136</v>
      </c>
      <c r="D96" s="156">
        <v>2025.0</v>
      </c>
      <c r="E96" s="102"/>
      <c r="F96" s="104"/>
      <c r="G96" s="104"/>
      <c r="H96" s="55" t="s">
        <v>413</v>
      </c>
      <c r="I96" s="43"/>
      <c r="J96" s="104"/>
      <c r="K96" s="89">
        <v>103712.0</v>
      </c>
      <c r="L96" s="71"/>
      <c r="M96" s="106">
        <f>IF(ISBLANK(K96), "", VLOOKUP(C96&amp;" "&amp;D96, 'Info Tipo de Cambio y REM'!$A$24:$B$35, 2, FALSE))</f>
        <v>1325</v>
      </c>
      <c r="N96" s="107">
        <f t="shared" si="1"/>
        <v>78.27320755</v>
      </c>
      <c r="O96" s="102" t="str">
        <f t="shared" si="2"/>
        <v>A término</v>
      </c>
    </row>
    <row r="97" hidden="1">
      <c r="A97" s="43" t="s">
        <v>203</v>
      </c>
      <c r="B97" s="43" t="str">
        <f>IF(A97="", "", IFERROR(VLOOKUP(A97, Clasificaciones!A:B, 2, FALSE), "DATO NO CARGADO"))</f>
        <v>Equipo</v>
      </c>
      <c r="C97" s="51" t="s">
        <v>136</v>
      </c>
      <c r="D97" s="156">
        <v>2025.0</v>
      </c>
      <c r="E97" s="102"/>
      <c r="F97" s="104"/>
      <c r="G97" s="104"/>
      <c r="H97" s="55" t="s">
        <v>409</v>
      </c>
      <c r="I97" s="43"/>
      <c r="J97" s="104"/>
      <c r="K97" s="89">
        <v>1148215.0</v>
      </c>
      <c r="L97" s="71"/>
      <c r="M97" s="106">
        <f>IF(ISBLANK(K97), "", VLOOKUP(C97&amp;" "&amp;D97, 'Info Tipo de Cambio y REM'!$A$24:$B$35, 2, FALSE))</f>
        <v>1325</v>
      </c>
      <c r="N97" s="107">
        <f t="shared" si="1"/>
        <v>866.5773585</v>
      </c>
      <c r="O97" s="102" t="str">
        <f t="shared" si="2"/>
        <v>A término</v>
      </c>
    </row>
    <row r="98" hidden="1">
      <c r="A98" s="43" t="s">
        <v>197</v>
      </c>
      <c r="B98" s="43" t="str">
        <f>IF(A98="", "", IFERROR(VLOOKUP(A98, Clasificaciones!A:B, 2, FALSE), "DATO NO CARGADO"))</f>
        <v>Equipo</v>
      </c>
      <c r="C98" s="51" t="s">
        <v>136</v>
      </c>
      <c r="D98" s="156">
        <v>2025.0</v>
      </c>
      <c r="E98" s="102"/>
      <c r="F98" s="104"/>
      <c r="G98" s="104"/>
      <c r="H98" s="55" t="s">
        <v>411</v>
      </c>
      <c r="I98" s="43"/>
      <c r="J98" s="104"/>
      <c r="K98" s="89">
        <v>1645291.0</v>
      </c>
      <c r="L98" s="71"/>
      <c r="M98" s="106">
        <f>IF(ISBLANK(K98), "", VLOOKUP(C98&amp;" "&amp;D98, 'Info Tipo de Cambio y REM'!$A$24:$B$35, 2, FALSE))</f>
        <v>1325</v>
      </c>
      <c r="N98" s="107">
        <f t="shared" si="1"/>
        <v>1241.729057</v>
      </c>
      <c r="O98" s="102" t="str">
        <f t="shared" si="2"/>
        <v>A término</v>
      </c>
    </row>
    <row r="99" hidden="1">
      <c r="A99" s="43" t="s">
        <v>127</v>
      </c>
      <c r="B99" s="43" t="str">
        <f>IF(A99="", "", IFERROR(VLOOKUP(A99, Clasificaciones!A:B, 2, FALSE), "DATO NO CARGADO"))</f>
        <v>Board</v>
      </c>
      <c r="C99" s="51" t="s">
        <v>136</v>
      </c>
      <c r="D99" s="156">
        <v>2025.0</v>
      </c>
      <c r="E99" s="102"/>
      <c r="F99" s="104"/>
      <c r="G99" s="104"/>
      <c r="H99" s="55" t="s">
        <v>458</v>
      </c>
      <c r="I99" s="43"/>
      <c r="J99" s="104"/>
      <c r="K99" s="89">
        <v>1094028.0</v>
      </c>
      <c r="L99" s="71"/>
      <c r="M99" s="106">
        <f>IF(ISBLANK(K99), "", VLOOKUP(C99&amp;" "&amp;D99, 'Info Tipo de Cambio y REM'!$A$24:$B$35, 2, FALSE))</f>
        <v>1325</v>
      </c>
      <c r="N99" s="107">
        <f t="shared" si="1"/>
        <v>825.6815094</v>
      </c>
      <c r="O99" s="102" t="str">
        <f t="shared" si="2"/>
        <v>A término</v>
      </c>
    </row>
    <row r="100" hidden="1">
      <c r="A100" s="43" t="s">
        <v>212</v>
      </c>
      <c r="B100" s="43" t="str">
        <f>IF(A100="", "", IFERROR(VLOOKUP(A100, Clasificaciones!A:B, 2, FALSE), "DATO NO CARGADO"))</f>
        <v>Equipo</v>
      </c>
      <c r="C100" s="51" t="s">
        <v>136</v>
      </c>
      <c r="D100" s="156">
        <v>2025.0</v>
      </c>
      <c r="E100" s="102"/>
      <c r="F100" s="104"/>
      <c r="G100" s="104"/>
      <c r="H100" s="55" t="s">
        <v>478</v>
      </c>
      <c r="I100" s="43"/>
      <c r="J100" s="104"/>
      <c r="K100" s="89">
        <v>186575.0</v>
      </c>
      <c r="L100" s="71"/>
      <c r="M100" s="106">
        <f>IF(ISBLANK(K100), "", VLOOKUP(C100&amp;" "&amp;D100, 'Info Tipo de Cambio y REM'!$A$24:$B$35, 2, FALSE))</f>
        <v>1325</v>
      </c>
      <c r="N100" s="107">
        <f t="shared" si="1"/>
        <v>140.8113208</v>
      </c>
      <c r="O100" s="102" t="str">
        <f t="shared" si="2"/>
        <v>A término</v>
      </c>
    </row>
    <row r="101" hidden="1">
      <c r="A101" s="43" t="s">
        <v>194</v>
      </c>
      <c r="B101" s="43" t="str">
        <f>IF(A101="", "", IFERROR(VLOOKUP(A101, Clasificaciones!A:B, 2, FALSE), "DATO NO CARGADO"))</f>
        <v>Equipo</v>
      </c>
      <c r="C101" s="51" t="s">
        <v>136</v>
      </c>
      <c r="D101" s="156">
        <v>2025.0</v>
      </c>
      <c r="E101" s="102"/>
      <c r="F101" s="104"/>
      <c r="G101" s="104"/>
      <c r="H101" s="55" t="s">
        <v>403</v>
      </c>
      <c r="I101" s="43"/>
      <c r="J101" s="104"/>
      <c r="K101" s="89">
        <v>1782500.0</v>
      </c>
      <c r="L101" s="71"/>
      <c r="M101" s="106">
        <f>IF(ISBLANK(K101), "", VLOOKUP(C101&amp;" "&amp;D101, 'Info Tipo de Cambio y REM'!$A$24:$B$35, 2, FALSE))</f>
        <v>1325</v>
      </c>
      <c r="N101" s="107">
        <f t="shared" si="1"/>
        <v>1345.283019</v>
      </c>
      <c r="O101" s="102" t="str">
        <f t="shared" si="2"/>
        <v>A término</v>
      </c>
    </row>
    <row r="102" hidden="1">
      <c r="A102" s="43" t="s">
        <v>216</v>
      </c>
      <c r="B102" s="43" t="str">
        <f>IF(A102="", "", IFERROR(VLOOKUP(A102, Clasificaciones!A:B, 2, FALSE), "DATO NO CARGADO"))</f>
        <v>Equipo</v>
      </c>
      <c r="C102" s="51" t="s">
        <v>136</v>
      </c>
      <c r="D102" s="156">
        <v>2025.0</v>
      </c>
      <c r="E102" s="102"/>
      <c r="F102" s="104"/>
      <c r="G102" s="104"/>
      <c r="H102" s="55" t="s">
        <v>479</v>
      </c>
      <c r="I102" s="43"/>
      <c r="J102" s="104"/>
      <c r="K102" s="89">
        <v>614524.0</v>
      </c>
      <c r="L102" s="71"/>
      <c r="M102" s="106">
        <f>IF(ISBLANK(K102), "", VLOOKUP(C102&amp;" "&amp;D102, 'Info Tipo de Cambio y REM'!$A$24:$B$35, 2, FALSE))</f>
        <v>1325</v>
      </c>
      <c r="N102" s="107">
        <f t="shared" si="1"/>
        <v>463.7916981</v>
      </c>
      <c r="O102" s="102" t="str">
        <f t="shared" si="2"/>
        <v>A término</v>
      </c>
    </row>
    <row r="103" hidden="1">
      <c r="A103" s="43" t="s">
        <v>218</v>
      </c>
      <c r="B103" s="43" t="str">
        <f>IF(A103="", "", IFERROR(VLOOKUP(A103, Clasificaciones!A:B, 2, FALSE), "DATO NO CARGADO"))</f>
        <v>Equipo</v>
      </c>
      <c r="C103" s="51" t="s">
        <v>136</v>
      </c>
      <c r="D103" s="156">
        <v>2025.0</v>
      </c>
      <c r="E103" s="102"/>
      <c r="F103" s="104"/>
      <c r="G103" s="104"/>
      <c r="H103" s="55" t="s">
        <v>414</v>
      </c>
      <c r="I103" s="43"/>
      <c r="J103" s="104"/>
      <c r="K103" s="89">
        <v>1368000.0</v>
      </c>
      <c r="L103" s="71"/>
      <c r="M103" s="106">
        <f>IF(ISBLANK(K103), "", VLOOKUP(C103&amp;" "&amp;D103, 'Info Tipo de Cambio y REM'!$A$24:$B$35, 2, FALSE))</f>
        <v>1325</v>
      </c>
      <c r="N103" s="107">
        <f t="shared" si="1"/>
        <v>1032.45283</v>
      </c>
      <c r="O103" s="102" t="str">
        <f t="shared" si="2"/>
        <v>A término</v>
      </c>
    </row>
    <row r="104" hidden="1">
      <c r="A104" s="43" t="s">
        <v>221</v>
      </c>
      <c r="B104" s="43" t="str">
        <f>IF(A104="", "", IFERROR(VLOOKUP(A104, Clasificaciones!A:B, 2, FALSE), "DATO NO CARGADO"))</f>
        <v>Equipo</v>
      </c>
      <c r="C104" s="51" t="s">
        <v>136</v>
      </c>
      <c r="D104" s="156">
        <v>2025.0</v>
      </c>
      <c r="E104" s="102"/>
      <c r="F104" s="104"/>
      <c r="G104" s="104"/>
      <c r="H104" s="55" t="s">
        <v>480</v>
      </c>
      <c r="I104" s="43"/>
      <c r="J104" s="104"/>
      <c r="K104" s="89">
        <v>1862292.0</v>
      </c>
      <c r="L104" s="71"/>
      <c r="M104" s="106">
        <f>IF(ISBLANK(K104), "", VLOOKUP(C104&amp;" "&amp;D104, 'Info Tipo de Cambio y REM'!$A$24:$B$35, 2, FALSE))</f>
        <v>1325</v>
      </c>
      <c r="N104" s="107">
        <f t="shared" si="1"/>
        <v>1405.503396</v>
      </c>
      <c r="O104" s="102" t="str">
        <f t="shared" si="2"/>
        <v>A término</v>
      </c>
    </row>
    <row r="105" hidden="1">
      <c r="A105" s="43" t="s">
        <v>169</v>
      </c>
      <c r="B105" s="43" t="str">
        <f>IF(A105="", "", IFERROR(VLOOKUP(A105, Clasificaciones!A:B, 2, FALSE), "DATO NO CARGADO"))</f>
        <v>Suscripciones/Herramientas</v>
      </c>
      <c r="C105" s="51" t="s">
        <v>136</v>
      </c>
      <c r="D105" s="156">
        <v>2025.0</v>
      </c>
      <c r="E105" s="102"/>
      <c r="F105" s="104"/>
      <c r="G105" s="104"/>
      <c r="H105" s="55" t="s">
        <v>417</v>
      </c>
      <c r="I105" s="43"/>
      <c r="J105" s="104">
        <v>45536.0</v>
      </c>
      <c r="K105" s="89"/>
      <c r="L105" s="89">
        <v>4050.0</v>
      </c>
      <c r="M105" s="106" t="str">
        <f>IF(ISBLANK(K105), "", VLOOKUP(C105&amp;" "&amp;D105, 'Info Tipo de Cambio y REM'!$A$24:$B$35, 2, FALSE))</f>
        <v/>
      </c>
      <c r="N105" s="107">
        <f t="shared" si="1"/>
        <v>4050</v>
      </c>
      <c r="O105" s="102" t="str">
        <f t="shared" si="2"/>
        <v>A término</v>
      </c>
    </row>
    <row r="106" hidden="1">
      <c r="A106" s="43" t="s">
        <v>187</v>
      </c>
      <c r="B106" s="43" t="str">
        <f>IF(A106="", "", IFERROR(VLOOKUP(A106, Clasificaciones!A:B, 2, FALSE), "DATO NO CARGADO"))</f>
        <v>Gastos Varios</v>
      </c>
      <c r="C106" s="51" t="s">
        <v>136</v>
      </c>
      <c r="D106" s="156">
        <v>2025.0</v>
      </c>
      <c r="E106" s="102"/>
      <c r="F106" s="104"/>
      <c r="G106" s="104"/>
      <c r="H106" s="55" t="s">
        <v>418</v>
      </c>
      <c r="I106" s="43"/>
      <c r="J106" s="104"/>
      <c r="K106" s="89"/>
      <c r="L106" s="89">
        <v>600.0</v>
      </c>
      <c r="M106" s="106" t="str">
        <f>IF(ISBLANK(K106), "", VLOOKUP(C106&amp;" "&amp;D106, 'Info Tipo de Cambio y REM'!$A$24:$B$35, 2, FALSE))</f>
        <v/>
      </c>
      <c r="N106" s="107">
        <f t="shared" si="1"/>
        <v>600</v>
      </c>
      <c r="O106" s="102" t="str">
        <f t="shared" si="2"/>
        <v>A término</v>
      </c>
    </row>
    <row r="107" hidden="1">
      <c r="A107" s="43" t="s">
        <v>164</v>
      </c>
      <c r="B107" s="43" t="str">
        <f>IF(A107="", "", IFERROR(VLOOKUP(A107, Clasificaciones!A:B, 2, FALSE), "DATO NO CARGADO"))</f>
        <v>Estudio Contable</v>
      </c>
      <c r="C107" s="51" t="s">
        <v>136</v>
      </c>
      <c r="D107" s="156">
        <v>2025.0</v>
      </c>
      <c r="E107" s="102"/>
      <c r="F107" s="104"/>
      <c r="G107" s="104"/>
      <c r="H107" s="55" t="s">
        <v>481</v>
      </c>
      <c r="I107" s="43"/>
      <c r="J107" s="104"/>
      <c r="K107" s="89">
        <v>69810.0</v>
      </c>
      <c r="L107" s="71"/>
      <c r="M107" s="106">
        <f>IF(ISBLANK(K107), "", VLOOKUP(C107&amp;" "&amp;D107, 'Info Tipo de Cambio y REM'!$A$24:$B$35, 2, FALSE))</f>
        <v>1325</v>
      </c>
      <c r="N107" s="107">
        <f t="shared" si="1"/>
        <v>52.68679245</v>
      </c>
      <c r="O107" s="102" t="str">
        <f t="shared" si="2"/>
        <v>A término</v>
      </c>
    </row>
    <row r="108" hidden="1">
      <c r="A108" s="43" t="s">
        <v>158</v>
      </c>
      <c r="B108" s="43" t="str">
        <f>IF(A108="", "", IFERROR(VLOOKUP(A108, Clasificaciones!A:B, 2, FALSE), "DATO NO CARGADO"))</f>
        <v>Tarjeta</v>
      </c>
      <c r="C108" s="51" t="s">
        <v>136</v>
      </c>
      <c r="D108" s="156">
        <v>2025.0</v>
      </c>
      <c r="E108" s="102"/>
      <c r="F108" s="104"/>
      <c r="G108" s="104"/>
      <c r="H108" s="55" t="s">
        <v>482</v>
      </c>
      <c r="I108" s="43"/>
      <c r="J108" s="104"/>
      <c r="K108" s="89">
        <v>0.0</v>
      </c>
      <c r="L108" s="71"/>
      <c r="M108" s="106">
        <f>IF(ISBLANK(K108), "", VLOOKUP(C108&amp;" "&amp;D108, 'Info Tipo de Cambio y REM'!$A$24:$B$35, 2, FALSE))</f>
        <v>1325</v>
      </c>
      <c r="N108" s="107">
        <f t="shared" si="1"/>
        <v>0</v>
      </c>
      <c r="O108" s="102" t="str">
        <f t="shared" si="2"/>
        <v>A término</v>
      </c>
    </row>
    <row r="109" hidden="1">
      <c r="A109" s="43" t="s">
        <v>146</v>
      </c>
      <c r="B109" s="43" t="str">
        <f>IF(A109="", "", IFERROR(VLOOKUP(A109, Clasificaciones!A:B, 2, FALSE), "DATO NO CARGADO"))</f>
        <v>Impuestos ARG</v>
      </c>
      <c r="C109" s="51" t="s">
        <v>136</v>
      </c>
      <c r="D109" s="156">
        <v>2025.0</v>
      </c>
      <c r="E109" s="102"/>
      <c r="F109" s="104"/>
      <c r="G109" s="104"/>
      <c r="H109" s="55" t="s">
        <v>483</v>
      </c>
      <c r="I109" s="43"/>
      <c r="J109" s="104"/>
      <c r="K109" s="89">
        <v>466656.0</v>
      </c>
      <c r="L109" s="71"/>
      <c r="M109" s="106">
        <f>IF(ISBLANK(K109), "", VLOOKUP(C109&amp;" "&amp;D109, 'Info Tipo de Cambio y REM'!$A$24:$B$35, 2, FALSE))</f>
        <v>1325</v>
      </c>
      <c r="N109" s="107">
        <f t="shared" si="1"/>
        <v>352.1932075</v>
      </c>
      <c r="O109" s="102" t="str">
        <f t="shared" si="2"/>
        <v>A término</v>
      </c>
    </row>
    <row r="110" hidden="1">
      <c r="A110" s="43" t="s">
        <v>152</v>
      </c>
      <c r="B110" s="43" t="str">
        <f>IF(A110="", "", IFERROR(VLOOKUP(A110, Clasificaciones!A:B, 2, FALSE), "DATO NO CARGADO"))</f>
        <v>Impuestos ARG</v>
      </c>
      <c r="C110" s="51" t="s">
        <v>136</v>
      </c>
      <c r="D110" s="156">
        <v>2025.0</v>
      </c>
      <c r="E110" s="102"/>
      <c r="F110" s="104"/>
      <c r="G110" s="104"/>
      <c r="H110" s="55" t="s">
        <v>484</v>
      </c>
      <c r="I110" s="43"/>
      <c r="J110" s="104"/>
      <c r="K110" s="89">
        <v>2420141.0</v>
      </c>
      <c r="L110" s="71"/>
      <c r="M110" s="106">
        <f>IF(ISBLANK(K110), "", VLOOKUP(C110&amp;" "&amp;D110, 'Info Tipo de Cambio y REM'!$A$24:$B$35, 2, FALSE))</f>
        <v>1325</v>
      </c>
      <c r="N110" s="107">
        <f t="shared" si="1"/>
        <v>1826.521509</v>
      </c>
      <c r="O110" s="102" t="str">
        <f t="shared" si="2"/>
        <v>A término</v>
      </c>
    </row>
    <row r="111" hidden="1">
      <c r="A111" s="43" t="s">
        <v>133</v>
      </c>
      <c r="B111" s="43" t="str">
        <f>IF(A111="", "", IFERROR(VLOOKUP(A111, Clasificaciones!A:B, 2, FALSE), "DATO NO CARGADO"))</f>
        <v>Board</v>
      </c>
      <c r="C111" s="51" t="s">
        <v>136</v>
      </c>
      <c r="D111" s="156">
        <v>2025.0</v>
      </c>
      <c r="E111" s="102"/>
      <c r="F111" s="104"/>
      <c r="G111" s="104"/>
      <c r="H111" s="55" t="s">
        <v>485</v>
      </c>
      <c r="I111" s="43"/>
      <c r="J111" s="104"/>
      <c r="K111" s="89">
        <v>4500000.0</v>
      </c>
      <c r="L111" s="71"/>
      <c r="M111" s="106">
        <f>IF(ISBLANK(K111), "", VLOOKUP(C111&amp;" "&amp;D111, 'Info Tipo de Cambio y REM'!$A$24:$B$35, 2, FALSE))</f>
        <v>1325</v>
      </c>
      <c r="N111" s="107">
        <f t="shared" si="1"/>
        <v>3396.226415</v>
      </c>
      <c r="O111" s="102" t="str">
        <f t="shared" si="2"/>
        <v>A término</v>
      </c>
    </row>
    <row r="112" hidden="1">
      <c r="A112" s="43" t="s">
        <v>222</v>
      </c>
      <c r="B112" s="43" t="str">
        <f>IF(A112="", "", IFERROR(VLOOKUP(A112, Clasificaciones!A:B, 2, FALSE), "DATO NO CARGADO"))</f>
        <v>Oxean</v>
      </c>
      <c r="C112" s="51" t="s">
        <v>136</v>
      </c>
      <c r="D112" s="156">
        <v>2025.0</v>
      </c>
      <c r="E112" s="102"/>
      <c r="F112" s="104"/>
      <c r="G112" s="104"/>
      <c r="H112" s="55" t="s">
        <v>486</v>
      </c>
      <c r="I112" s="43"/>
      <c r="J112" s="104"/>
      <c r="K112" s="89">
        <v>4500000.0</v>
      </c>
      <c r="L112" s="71"/>
      <c r="M112" s="106">
        <f>IF(ISBLANK(K112), "", VLOOKUP(C112&amp;" "&amp;D112, 'Info Tipo de Cambio y REM'!$A$24:$B$35, 2, FALSE))</f>
        <v>1325</v>
      </c>
      <c r="N112" s="107">
        <f t="shared" si="1"/>
        <v>3396.226415</v>
      </c>
      <c r="O112" s="102" t="str">
        <f t="shared" si="2"/>
        <v>A término</v>
      </c>
    </row>
    <row r="113" hidden="1">
      <c r="A113" s="43" t="s">
        <v>191</v>
      </c>
      <c r="B113" s="43" t="str">
        <f>IF(A113="", "", IFERROR(VLOOKUP(A113, Clasificaciones!A:B, 2, FALSE), "DATO NO CARGADO"))</f>
        <v>Tarjeta</v>
      </c>
      <c r="C113" s="51" t="s">
        <v>136</v>
      </c>
      <c r="D113" s="156">
        <v>2025.0</v>
      </c>
      <c r="E113" s="102"/>
      <c r="F113" s="104"/>
      <c r="G113" s="104"/>
      <c r="H113" s="158"/>
      <c r="I113" s="159" t="s">
        <v>487</v>
      </c>
      <c r="J113" s="104"/>
      <c r="K113" s="89"/>
      <c r="L113" s="89">
        <v>12.0</v>
      </c>
      <c r="M113" s="106" t="str">
        <f>IF(ISBLANK(K113), "", VLOOKUP(C113&amp;" "&amp;D113, 'Info Tipo de Cambio y REM'!$A$24:$B$35, 2, FALSE))</f>
        <v/>
      </c>
      <c r="N113" s="107">
        <f t="shared" si="1"/>
        <v>12</v>
      </c>
      <c r="O113" s="102" t="str">
        <f t="shared" si="2"/>
        <v>A término</v>
      </c>
    </row>
    <row r="114" hidden="1">
      <c r="A114" s="43" t="s">
        <v>191</v>
      </c>
      <c r="B114" s="43" t="str">
        <f>IF(A114="", "", IFERROR(VLOOKUP(A114, Clasificaciones!A:B, 2, FALSE), "DATO NO CARGADO"))</f>
        <v>Tarjeta</v>
      </c>
      <c r="C114" s="51" t="s">
        <v>136</v>
      </c>
      <c r="D114" s="156">
        <v>2025.0</v>
      </c>
      <c r="E114" s="102"/>
      <c r="F114" s="104"/>
      <c r="G114" s="104"/>
      <c r="H114" s="158"/>
      <c r="I114" s="159" t="s">
        <v>488</v>
      </c>
      <c r="J114" s="104"/>
      <c r="K114" s="89"/>
      <c r="L114" s="89">
        <v>515.0</v>
      </c>
      <c r="M114" s="106" t="str">
        <f>IF(ISBLANK(K114), "", VLOOKUP(C114&amp;" "&amp;D114, 'Info Tipo de Cambio y REM'!$A$24:$B$35, 2, FALSE))</f>
        <v/>
      </c>
      <c r="N114" s="107">
        <f t="shared" si="1"/>
        <v>515</v>
      </c>
      <c r="O114" s="102" t="str">
        <f t="shared" si="2"/>
        <v>A término</v>
      </c>
    </row>
    <row r="115" hidden="1">
      <c r="A115" s="43" t="s">
        <v>191</v>
      </c>
      <c r="B115" s="43" t="str">
        <f>IF(A115="", "", IFERROR(VLOOKUP(A115, Clasificaciones!A:B, 2, FALSE), "DATO NO CARGADO"))</f>
        <v>Tarjeta</v>
      </c>
      <c r="C115" s="51" t="s">
        <v>136</v>
      </c>
      <c r="D115" s="156">
        <v>2025.0</v>
      </c>
      <c r="E115" s="102"/>
      <c r="F115" s="104"/>
      <c r="G115" s="104"/>
      <c r="H115" s="158"/>
      <c r="I115" s="159" t="s">
        <v>489</v>
      </c>
      <c r="J115" s="104"/>
      <c r="K115" s="89"/>
      <c r="L115" s="89">
        <v>112.0</v>
      </c>
      <c r="M115" s="106" t="str">
        <f>IF(ISBLANK(K115), "", VLOOKUP(C115&amp;" "&amp;D115, 'Info Tipo de Cambio y REM'!$A$24:$B$35, 2, FALSE))</f>
        <v/>
      </c>
      <c r="N115" s="107">
        <f t="shared" si="1"/>
        <v>112</v>
      </c>
      <c r="O115" s="102" t="str">
        <f t="shared" si="2"/>
        <v>A término</v>
      </c>
    </row>
    <row r="116" hidden="1">
      <c r="A116" s="43" t="s">
        <v>191</v>
      </c>
      <c r="B116" s="43" t="str">
        <f>IF(A116="", "", IFERROR(VLOOKUP(A116, Clasificaciones!A:B, 2, FALSE), "DATO NO CARGADO"))</f>
        <v>Tarjeta</v>
      </c>
      <c r="C116" s="51" t="s">
        <v>136</v>
      </c>
      <c r="D116" s="156">
        <v>2025.0</v>
      </c>
      <c r="E116" s="102"/>
      <c r="F116" s="104"/>
      <c r="G116" s="104"/>
      <c r="H116" s="158"/>
      <c r="I116" s="159" t="s">
        <v>490</v>
      </c>
      <c r="J116" s="104"/>
      <c r="K116" s="89"/>
      <c r="L116" s="89">
        <v>7.72</v>
      </c>
      <c r="M116" s="106" t="str">
        <f>IF(ISBLANK(K116), "", VLOOKUP(C116&amp;" "&amp;D116, 'Info Tipo de Cambio y REM'!$A$24:$B$35, 2, FALSE))</f>
        <v/>
      </c>
      <c r="N116" s="107">
        <f t="shared" si="1"/>
        <v>7.72</v>
      </c>
      <c r="O116" s="102" t="str">
        <f t="shared" si="2"/>
        <v>A término</v>
      </c>
    </row>
    <row r="117" hidden="1">
      <c r="A117" s="43" t="s">
        <v>191</v>
      </c>
      <c r="B117" s="43" t="str">
        <f>IF(A117="", "", IFERROR(VLOOKUP(A117, Clasificaciones!A:B, 2, FALSE), "DATO NO CARGADO"))</f>
        <v>Tarjeta</v>
      </c>
      <c r="C117" s="51" t="s">
        <v>136</v>
      </c>
      <c r="D117" s="156">
        <v>2025.0</v>
      </c>
      <c r="E117" s="102"/>
      <c r="F117" s="104"/>
      <c r="G117" s="104"/>
      <c r="H117" s="158"/>
      <c r="I117" s="159" t="s">
        <v>491</v>
      </c>
      <c r="J117" s="104"/>
      <c r="K117" s="89"/>
      <c r="L117" s="89">
        <v>14.19</v>
      </c>
      <c r="M117" s="106" t="str">
        <f>IF(ISBLANK(K117), "", VLOOKUP(C117&amp;" "&amp;D117, 'Info Tipo de Cambio y REM'!$A$24:$B$35, 2, FALSE))</f>
        <v/>
      </c>
      <c r="N117" s="107">
        <f t="shared" si="1"/>
        <v>14.19</v>
      </c>
      <c r="O117" s="102" t="str">
        <f t="shared" si="2"/>
        <v>A término</v>
      </c>
    </row>
    <row r="118" hidden="1">
      <c r="A118" s="43" t="s">
        <v>153</v>
      </c>
      <c r="B118" s="43" t="str">
        <f>IF(A118="", "", IFERROR(VLOOKUP(A118, Clasificaciones!A:B, 2, FALSE), "DATO NO CARGADO"))</f>
        <v>Impuestos USA</v>
      </c>
      <c r="C118" s="51" t="s">
        <v>136</v>
      </c>
      <c r="D118" s="156">
        <v>2025.0</v>
      </c>
      <c r="E118" s="102"/>
      <c r="F118" s="104"/>
      <c r="G118" s="104"/>
      <c r="H118" s="55" t="s">
        <v>434</v>
      </c>
      <c r="I118" s="43"/>
      <c r="J118" s="104"/>
      <c r="K118" s="89"/>
      <c r="L118" s="89">
        <v>16536.0</v>
      </c>
      <c r="M118" s="106" t="str">
        <f>IF(ISBLANK(K118), "", VLOOKUP(C118&amp;" "&amp;D118, 'Info Tipo de Cambio y REM'!$A$24:$B$35, 2, FALSE))</f>
        <v/>
      </c>
      <c r="N118" s="107">
        <f t="shared" si="1"/>
        <v>16536</v>
      </c>
      <c r="O118" s="102" t="str">
        <f t="shared" si="2"/>
        <v>A término</v>
      </c>
    </row>
    <row r="119" hidden="1">
      <c r="A119" s="43" t="s">
        <v>237</v>
      </c>
      <c r="B119" s="43" t="str">
        <f>IF(A119="", "", IFERROR(VLOOKUP(A119, Clasificaciones!A:B, 2, FALSE), "DATO NO CARGADO"))</f>
        <v>Otros Proveedores</v>
      </c>
      <c r="C119" s="51" t="s">
        <v>143</v>
      </c>
      <c r="D119" s="156">
        <v>2025.0</v>
      </c>
      <c r="E119" s="43" t="s">
        <v>371</v>
      </c>
      <c r="F119" s="104"/>
      <c r="G119" s="104"/>
      <c r="H119" s="158" t="s">
        <v>372</v>
      </c>
      <c r="I119" s="43" t="s">
        <v>373</v>
      </c>
      <c r="J119" s="104">
        <v>45413.0</v>
      </c>
      <c r="K119" s="89">
        <v>96000.0</v>
      </c>
      <c r="L119" s="71"/>
      <c r="M119" s="106">
        <f>IF(ISBLANK(K119), "", VLOOKUP(C119&amp;" "&amp;D119, 'Info Tipo de Cambio y REM'!$A$24:$B$35, 2, FALSE))</f>
        <v>1185</v>
      </c>
      <c r="N119" s="107">
        <f t="shared" si="1"/>
        <v>81.01265823</v>
      </c>
      <c r="O119" s="102" t="str">
        <f t="shared" si="2"/>
        <v>Vencido</v>
      </c>
    </row>
    <row r="120" hidden="1">
      <c r="A120" s="43" t="s">
        <v>205</v>
      </c>
      <c r="B120" s="43" t="str">
        <f>IF(A120="", "", IFERROR(VLOOKUP(A120, Clasificaciones!A:B, 2, FALSE), "DATO NO CARGADO"))</f>
        <v>Equipo</v>
      </c>
      <c r="C120" s="51" t="s">
        <v>143</v>
      </c>
      <c r="D120" s="156">
        <v>2025.0</v>
      </c>
      <c r="E120" s="102"/>
      <c r="F120" s="104"/>
      <c r="G120" s="104"/>
      <c r="H120" s="158" t="s">
        <v>379</v>
      </c>
      <c r="I120" s="43" t="s">
        <v>492</v>
      </c>
      <c r="J120" s="104">
        <v>45777.0</v>
      </c>
      <c r="K120" s="89">
        <v>1354400.0</v>
      </c>
      <c r="L120" s="71"/>
      <c r="M120" s="106">
        <f>IF(ISBLANK(K120), "", VLOOKUP(C120&amp;" "&amp;D120, 'Info Tipo de Cambio y REM'!$A$24:$B$35, 2, FALSE))</f>
        <v>1185</v>
      </c>
      <c r="N120" s="107">
        <f t="shared" si="1"/>
        <v>1142.953586</v>
      </c>
      <c r="O120" s="102" t="str">
        <f t="shared" si="2"/>
        <v>A término</v>
      </c>
    </row>
    <row r="121" hidden="1">
      <c r="A121" s="43" t="s">
        <v>214</v>
      </c>
      <c r="B121" s="43" t="str">
        <f>IF(A121="", "", IFERROR(VLOOKUP(A121, Clasificaciones!A:B, 2, FALSE), "DATO NO CARGADO"))</f>
        <v>Equipo</v>
      </c>
      <c r="C121" s="51" t="s">
        <v>143</v>
      </c>
      <c r="D121" s="156">
        <v>2025.0</v>
      </c>
      <c r="E121" s="102"/>
      <c r="F121" s="104"/>
      <c r="G121" s="104"/>
      <c r="H121" s="158" t="s">
        <v>476</v>
      </c>
      <c r="I121" s="43" t="s">
        <v>493</v>
      </c>
      <c r="J121" s="104">
        <v>45777.0</v>
      </c>
      <c r="K121" s="89">
        <v>1550000.0</v>
      </c>
      <c r="L121" s="71"/>
      <c r="M121" s="106">
        <f>IF(ISBLANK(K121), "", VLOOKUP(C121&amp;" "&amp;D121, 'Info Tipo de Cambio y REM'!$A$24:$B$35, 2, FALSE))</f>
        <v>1185</v>
      </c>
      <c r="N121" s="107">
        <f t="shared" si="1"/>
        <v>1308.016878</v>
      </c>
      <c r="O121" s="102" t="str">
        <f t="shared" si="2"/>
        <v>A término</v>
      </c>
    </row>
    <row r="122" hidden="1">
      <c r="A122" s="43" t="s">
        <v>200</v>
      </c>
      <c r="B122" s="43" t="str">
        <f>IF(A122="", "", IFERROR(VLOOKUP(A122, Clasificaciones!A:B, 2, FALSE), "DATO NO CARGADO"))</f>
        <v>Equipo</v>
      </c>
      <c r="C122" s="51" t="s">
        <v>143</v>
      </c>
      <c r="D122" s="156">
        <v>2025.0</v>
      </c>
      <c r="E122" s="102"/>
      <c r="F122" s="104"/>
      <c r="G122" s="104"/>
      <c r="H122" s="158" t="s">
        <v>381</v>
      </c>
      <c r="I122" s="43" t="s">
        <v>494</v>
      </c>
      <c r="J122" s="104">
        <v>45777.0</v>
      </c>
      <c r="K122" s="89">
        <v>2022720.0</v>
      </c>
      <c r="L122" s="71"/>
      <c r="M122" s="106">
        <f>IF(ISBLANK(K122), "", VLOOKUP(C122&amp;" "&amp;D122, 'Info Tipo de Cambio y REM'!$A$24:$B$35, 2, FALSE))</f>
        <v>1185</v>
      </c>
      <c r="N122" s="107">
        <f t="shared" si="1"/>
        <v>1706.936709</v>
      </c>
      <c r="O122" s="102" t="str">
        <f t="shared" si="2"/>
        <v>A término</v>
      </c>
    </row>
    <row r="123" hidden="1">
      <c r="A123" s="43" t="s">
        <v>228</v>
      </c>
      <c r="B123" s="43" t="str">
        <f>IF(A123="", "", IFERROR(VLOOKUP(A123, Clasificaciones!A:B, 2, FALSE), "DATO NO CARGADO"))</f>
        <v>Equipo</v>
      </c>
      <c r="C123" s="51" t="s">
        <v>143</v>
      </c>
      <c r="D123" s="156">
        <v>2025.0</v>
      </c>
      <c r="E123" s="102"/>
      <c r="F123" s="104"/>
      <c r="G123" s="104"/>
      <c r="H123" s="158" t="s">
        <v>436</v>
      </c>
      <c r="I123" s="43" t="s">
        <v>495</v>
      </c>
      <c r="J123" s="104">
        <v>45782.0</v>
      </c>
      <c r="K123" s="89">
        <v>1602000.0</v>
      </c>
      <c r="L123" s="71"/>
      <c r="M123" s="106">
        <f>IF(ISBLANK(K123), "", VLOOKUP(C123&amp;" "&amp;D123, 'Info Tipo de Cambio y REM'!$A$24:$B$35, 2, FALSE))</f>
        <v>1185</v>
      </c>
      <c r="N123" s="107">
        <f t="shared" si="1"/>
        <v>1351.898734</v>
      </c>
      <c r="O123" s="102" t="str">
        <f t="shared" si="2"/>
        <v>A término</v>
      </c>
    </row>
    <row r="124" hidden="1">
      <c r="A124" s="43" t="s">
        <v>226</v>
      </c>
      <c r="B124" s="43" t="str">
        <f>IF(A124="", "", IFERROR(VLOOKUP(A124, Clasificaciones!A:B, 2, FALSE), "DATO NO CARGADO"))</f>
        <v>Administración Finanzas</v>
      </c>
      <c r="C124" s="51" t="s">
        <v>143</v>
      </c>
      <c r="D124" s="156">
        <v>2025.0</v>
      </c>
      <c r="E124" s="102"/>
      <c r="F124" s="104"/>
      <c r="G124" s="104"/>
      <c r="H124" s="158" t="s">
        <v>383</v>
      </c>
      <c r="I124" s="43" t="s">
        <v>496</v>
      </c>
      <c r="J124" s="104">
        <v>45777.0</v>
      </c>
      <c r="K124" s="89">
        <v>537700.0</v>
      </c>
      <c r="L124" s="71"/>
      <c r="M124" s="106">
        <f>IF(ISBLANK(K124), "", VLOOKUP(C124&amp;" "&amp;D124, 'Info Tipo de Cambio y REM'!$A$24:$B$35, 2, FALSE))</f>
        <v>1185</v>
      </c>
      <c r="N124" s="107">
        <f t="shared" si="1"/>
        <v>453.7552743</v>
      </c>
      <c r="O124" s="102" t="str">
        <f t="shared" si="2"/>
        <v>A término</v>
      </c>
    </row>
    <row r="125" hidden="1">
      <c r="A125" s="43" t="s">
        <v>120</v>
      </c>
      <c r="B125" s="43" t="str">
        <f>IF(A125="", "", IFERROR(VLOOKUP(A125, Clasificaciones!A:B, 2, FALSE), "DATO NO CARGADO"))</f>
        <v>Equipo</v>
      </c>
      <c r="C125" s="51" t="s">
        <v>143</v>
      </c>
      <c r="D125" s="156">
        <v>2025.0</v>
      </c>
      <c r="E125" s="102"/>
      <c r="F125" s="104"/>
      <c r="G125" s="104"/>
      <c r="H125" s="158" t="s">
        <v>387</v>
      </c>
      <c r="I125" s="43" t="s">
        <v>415</v>
      </c>
      <c r="J125" s="104">
        <v>45777.0</v>
      </c>
      <c r="K125" s="89">
        <v>2900000.0</v>
      </c>
      <c r="L125" s="71"/>
      <c r="M125" s="106">
        <f>IF(ISBLANK(K125), "", VLOOKUP(C125&amp;" "&amp;D125, 'Info Tipo de Cambio y REM'!$A$24:$B$35, 2, FALSE))</f>
        <v>1185</v>
      </c>
      <c r="N125" s="107">
        <f t="shared" si="1"/>
        <v>2447.257384</v>
      </c>
      <c r="O125" s="102" t="str">
        <f t="shared" si="2"/>
        <v>A término</v>
      </c>
    </row>
    <row r="126" hidden="1">
      <c r="A126" s="43" t="s">
        <v>207</v>
      </c>
      <c r="B126" s="43" t="str">
        <f>IF(A126="", "", IFERROR(VLOOKUP(A126, Clasificaciones!A:B, 2, FALSE), "DATO NO CARGADO"))</f>
        <v>Equipo</v>
      </c>
      <c r="C126" s="51" t="s">
        <v>143</v>
      </c>
      <c r="D126" s="156">
        <v>2025.0</v>
      </c>
      <c r="E126" s="102"/>
      <c r="F126" s="104"/>
      <c r="G126" s="104"/>
      <c r="H126" s="158" t="s">
        <v>389</v>
      </c>
      <c r="I126" s="43" t="s">
        <v>498</v>
      </c>
      <c r="J126" s="104">
        <v>45777.0</v>
      </c>
      <c r="K126" s="89">
        <v>891000.0</v>
      </c>
      <c r="L126" s="71"/>
      <c r="M126" s="106">
        <f>IF(ISBLANK(K126), "", VLOOKUP(C126&amp;" "&amp;D126, 'Info Tipo de Cambio y REM'!$A$24:$B$35, 2, FALSE))</f>
        <v>1185</v>
      </c>
      <c r="N126" s="107">
        <f t="shared" si="1"/>
        <v>751.8987342</v>
      </c>
      <c r="O126" s="102" t="str">
        <f t="shared" si="2"/>
        <v>A término</v>
      </c>
    </row>
    <row r="127" hidden="1">
      <c r="A127" s="43" t="s">
        <v>87</v>
      </c>
      <c r="B127" s="43" t="str">
        <f>IF(A127="", "", IFERROR(VLOOKUP(A127, Clasificaciones!A:B, 2, FALSE), "DATO NO CARGADO"))</f>
        <v>Equipo</v>
      </c>
      <c r="C127" s="51" t="s">
        <v>143</v>
      </c>
      <c r="D127" s="156">
        <v>2025.0</v>
      </c>
      <c r="E127" s="102"/>
      <c r="F127" s="104"/>
      <c r="G127" s="104"/>
      <c r="H127" s="158" t="s">
        <v>391</v>
      </c>
      <c r="I127" s="43" t="s">
        <v>449</v>
      </c>
      <c r="J127" s="104">
        <v>45779.0</v>
      </c>
      <c r="K127" s="89">
        <v>1080125.0</v>
      </c>
      <c r="L127" s="71"/>
      <c r="M127" s="106">
        <f>IF(ISBLANK(K127), "", VLOOKUP(C127&amp;" "&amp;D127, 'Info Tipo de Cambio y REM'!$A$24:$B$35, 2, FALSE))</f>
        <v>1185</v>
      </c>
      <c r="N127" s="107">
        <f t="shared" si="1"/>
        <v>911.4978903</v>
      </c>
      <c r="O127" s="102" t="str">
        <f t="shared" si="2"/>
        <v>A término</v>
      </c>
    </row>
    <row r="128" hidden="1">
      <c r="A128" s="43" t="s">
        <v>127</v>
      </c>
      <c r="B128" s="43" t="str">
        <f>IF(A128="", "", IFERROR(VLOOKUP(A128, Clasificaciones!A:B, 2, FALSE), "DATO NO CARGADO"))</f>
        <v>Board</v>
      </c>
      <c r="C128" s="51" t="s">
        <v>143</v>
      </c>
      <c r="D128" s="156">
        <v>2025.0</v>
      </c>
      <c r="E128" s="102"/>
      <c r="F128" s="104"/>
      <c r="G128" s="104"/>
      <c r="H128" s="158" t="s">
        <v>393</v>
      </c>
      <c r="I128" s="43" t="s">
        <v>499</v>
      </c>
      <c r="J128" s="104">
        <v>45783.0</v>
      </c>
      <c r="K128" s="89">
        <v>1000000.0</v>
      </c>
      <c r="L128" s="71"/>
      <c r="M128" s="106">
        <f>IF(ISBLANK(K128), "", VLOOKUP(C128&amp;" "&amp;D128, 'Info Tipo de Cambio y REM'!$A$24:$B$35, 2, FALSE))</f>
        <v>1185</v>
      </c>
      <c r="N128" s="107">
        <f t="shared" si="1"/>
        <v>843.8818565</v>
      </c>
      <c r="O128" s="102" t="str">
        <f t="shared" si="2"/>
        <v>A término</v>
      </c>
    </row>
    <row r="129" hidden="1">
      <c r="A129" s="43" t="s">
        <v>210</v>
      </c>
      <c r="B129" s="43" t="str">
        <f>IF(A129="", "", IFERROR(VLOOKUP(A129, Clasificaciones!A:B, 2, FALSE), "DATO NO CARGADO"))</f>
        <v>Equipo</v>
      </c>
      <c r="C129" s="51" t="s">
        <v>143</v>
      </c>
      <c r="D129" s="156">
        <v>2025.0</v>
      </c>
      <c r="E129" s="102"/>
      <c r="F129" s="104"/>
      <c r="G129" s="104"/>
      <c r="H129" s="158" t="s">
        <v>397</v>
      </c>
      <c r="I129" s="43" t="s">
        <v>500</v>
      </c>
      <c r="J129" s="104">
        <v>45782.0</v>
      </c>
      <c r="K129" s="89">
        <v>456227.0</v>
      </c>
      <c r="L129" s="71"/>
      <c r="M129" s="106">
        <f>IF(ISBLANK(K129), "", VLOOKUP(C129&amp;" "&amp;D129, 'Info Tipo de Cambio y REM'!$A$24:$B$35, 2, FALSE))</f>
        <v>1185</v>
      </c>
      <c r="N129" s="107">
        <f t="shared" si="1"/>
        <v>385.0016878</v>
      </c>
      <c r="O129" s="102" t="str">
        <f t="shared" si="2"/>
        <v>A término</v>
      </c>
    </row>
    <row r="130" hidden="1">
      <c r="A130" s="43" t="s">
        <v>219</v>
      </c>
      <c r="B130" s="43" t="str">
        <f>IF(A130="", "", IFERROR(VLOOKUP(A130, Clasificaciones!A:B, 2, FALSE), "DATO NO CARGADO"))</f>
        <v>Gastos Varios</v>
      </c>
      <c r="C130" s="51" t="s">
        <v>143</v>
      </c>
      <c r="D130" s="156">
        <v>2025.0</v>
      </c>
      <c r="E130" s="102"/>
      <c r="F130" s="104"/>
      <c r="G130" s="104"/>
      <c r="H130" s="158" t="s">
        <v>399</v>
      </c>
      <c r="I130" s="43" t="s">
        <v>501</v>
      </c>
      <c r="J130" s="104">
        <v>45779.0</v>
      </c>
      <c r="K130" s="89">
        <v>374498.0</v>
      </c>
      <c r="L130" s="71"/>
      <c r="M130" s="106">
        <f>IF(ISBLANK(K130), "", VLOOKUP(C130&amp;" "&amp;D130, 'Info Tipo de Cambio y REM'!$A$24:$B$35, 2, FALSE))</f>
        <v>1185</v>
      </c>
      <c r="N130" s="107">
        <f t="shared" si="1"/>
        <v>316.0320675</v>
      </c>
      <c r="O130" s="102" t="str">
        <f t="shared" si="2"/>
        <v>A término</v>
      </c>
    </row>
    <row r="131" hidden="1">
      <c r="A131" s="43" t="s">
        <v>207</v>
      </c>
      <c r="B131" s="43" t="str">
        <f>IF(A131="", "", IFERROR(VLOOKUP(A131, Clasificaciones!A:B, 2, FALSE), "DATO NO CARGADO"))</f>
        <v>Equipo</v>
      </c>
      <c r="C131" s="51" t="s">
        <v>143</v>
      </c>
      <c r="D131" s="156">
        <v>2025.0</v>
      </c>
      <c r="E131" s="102"/>
      <c r="F131" s="104"/>
      <c r="G131" s="104"/>
      <c r="H131" s="158" t="s">
        <v>401</v>
      </c>
      <c r="I131" s="43" t="s">
        <v>502</v>
      </c>
      <c r="J131" s="104">
        <v>45783.0</v>
      </c>
      <c r="K131" s="89">
        <v>617533.0</v>
      </c>
      <c r="L131" s="71"/>
      <c r="M131" s="106">
        <f>IF(ISBLANK(K131), "", VLOOKUP(C131&amp;" "&amp;D131, 'Info Tipo de Cambio y REM'!$A$24:$B$35, 2, FALSE))</f>
        <v>1185</v>
      </c>
      <c r="N131" s="107">
        <f t="shared" si="1"/>
        <v>521.1248945</v>
      </c>
      <c r="O131" s="102" t="str">
        <f t="shared" si="2"/>
        <v>A término</v>
      </c>
    </row>
    <row r="132" hidden="1">
      <c r="A132" s="43" t="s">
        <v>194</v>
      </c>
      <c r="B132" s="43" t="str">
        <f>IF(A132="", "", IFERROR(VLOOKUP(A132, Clasificaciones!A:B, 2, FALSE), "DATO NO CARGADO"))</f>
        <v>Equipo</v>
      </c>
      <c r="C132" s="51" t="s">
        <v>143</v>
      </c>
      <c r="D132" s="156">
        <v>2025.0</v>
      </c>
      <c r="E132" s="102"/>
      <c r="F132" s="104"/>
      <c r="G132" s="104"/>
      <c r="H132" s="158" t="s">
        <v>403</v>
      </c>
      <c r="I132" s="43" t="s">
        <v>503</v>
      </c>
      <c r="J132" s="104">
        <v>45777.0</v>
      </c>
      <c r="K132" s="89">
        <v>1782500.0</v>
      </c>
      <c r="L132" s="71"/>
      <c r="M132" s="106">
        <f>IF(ISBLANK(K132), "", VLOOKUP(C132&amp;" "&amp;D132, 'Info Tipo de Cambio y REM'!$A$24:$B$35, 2, FALSE))</f>
        <v>1185</v>
      </c>
      <c r="N132" s="107">
        <f t="shared" si="1"/>
        <v>1504.219409</v>
      </c>
      <c r="O132" s="102" t="str">
        <f t="shared" si="2"/>
        <v>A término</v>
      </c>
    </row>
    <row r="133" hidden="1">
      <c r="A133" s="43" t="s">
        <v>139</v>
      </c>
      <c r="B133" s="43" t="str">
        <f>IF(A133="", "", IFERROR(VLOOKUP(A133, Clasificaciones!A:B, 2, FALSE), "DATO NO CARGADO"))</f>
        <v>People</v>
      </c>
      <c r="C133" s="51" t="s">
        <v>143</v>
      </c>
      <c r="D133" s="156">
        <v>2025.0</v>
      </c>
      <c r="E133" s="102"/>
      <c r="F133" s="104"/>
      <c r="G133" s="104"/>
      <c r="H133" s="158" t="s">
        <v>413</v>
      </c>
      <c r="I133" s="43" t="s">
        <v>415</v>
      </c>
      <c r="J133" s="104">
        <v>45777.0</v>
      </c>
      <c r="K133" s="89">
        <v>48399.0</v>
      </c>
      <c r="L133" s="71"/>
      <c r="M133" s="106">
        <f>IF(ISBLANK(K133), "", VLOOKUP(C133&amp;" "&amp;D133, 'Info Tipo de Cambio y REM'!$A$24:$B$35, 2, FALSE))</f>
        <v>1185</v>
      </c>
      <c r="N133" s="107">
        <f t="shared" si="1"/>
        <v>40.84303797</v>
      </c>
      <c r="O133" s="102" t="str">
        <f t="shared" si="2"/>
        <v>A término</v>
      </c>
    </row>
    <row r="134" hidden="1">
      <c r="A134" s="43" t="s">
        <v>229</v>
      </c>
      <c r="B134" s="43" t="str">
        <f>IF(A134="", "", IFERROR(VLOOKUP(A134, Clasificaciones!A:B, 2, FALSE), "DATO NO CARGADO"))</f>
        <v>Equipo</v>
      </c>
      <c r="C134" s="51" t="s">
        <v>143</v>
      </c>
      <c r="D134" s="156">
        <v>2025.0</v>
      </c>
      <c r="E134" s="102"/>
      <c r="F134" s="104"/>
      <c r="G134" s="104"/>
      <c r="H134" s="158" t="s">
        <v>504</v>
      </c>
      <c r="I134" s="43" t="s">
        <v>505</v>
      </c>
      <c r="J134" s="104">
        <v>45777.0</v>
      </c>
      <c r="K134" s="89">
        <v>131250.0</v>
      </c>
      <c r="L134" s="71"/>
      <c r="M134" s="106">
        <f>IF(ISBLANK(K134), "", VLOOKUP(C134&amp;" "&amp;D134, 'Info Tipo de Cambio y REM'!$A$24:$B$35, 2, FALSE))</f>
        <v>1185</v>
      </c>
      <c r="N134" s="107">
        <f t="shared" si="1"/>
        <v>110.7594937</v>
      </c>
      <c r="O134" s="102" t="str">
        <f t="shared" si="2"/>
        <v>A término</v>
      </c>
    </row>
    <row r="135" hidden="1">
      <c r="A135" s="43" t="s">
        <v>203</v>
      </c>
      <c r="B135" s="43" t="str">
        <f>IF(A135="", "", IFERROR(VLOOKUP(A135, Clasificaciones!A:B, 2, FALSE), "DATO NO CARGADO"))</f>
        <v>Equipo</v>
      </c>
      <c r="C135" s="51" t="s">
        <v>143</v>
      </c>
      <c r="D135" s="156">
        <v>2025.0</v>
      </c>
      <c r="E135" s="102"/>
      <c r="F135" s="104"/>
      <c r="G135" s="104"/>
      <c r="H135" s="158" t="s">
        <v>409</v>
      </c>
      <c r="I135" s="43" t="s">
        <v>506</v>
      </c>
      <c r="J135" s="104">
        <v>45777.0</v>
      </c>
      <c r="K135" s="89">
        <v>1104780.0</v>
      </c>
      <c r="L135" s="71"/>
      <c r="M135" s="106">
        <f>IF(ISBLANK(K135), "", VLOOKUP(C135&amp;" "&amp;D135, 'Info Tipo de Cambio y REM'!$A$24:$B$35, 2, FALSE))</f>
        <v>1185</v>
      </c>
      <c r="N135" s="107">
        <f t="shared" si="1"/>
        <v>932.3037975</v>
      </c>
      <c r="O135" s="102" t="str">
        <f t="shared" si="2"/>
        <v>A término</v>
      </c>
    </row>
    <row r="136" hidden="1">
      <c r="A136" s="43" t="s">
        <v>197</v>
      </c>
      <c r="B136" s="43" t="str">
        <f>IF(A136="", "", IFERROR(VLOOKUP(A136, Clasificaciones!A:B, 2, FALSE), "DATO NO CARGADO"))</f>
        <v>Equipo</v>
      </c>
      <c r="C136" s="51" t="s">
        <v>143</v>
      </c>
      <c r="D136" s="156">
        <v>2025.0</v>
      </c>
      <c r="E136" s="102"/>
      <c r="F136" s="104"/>
      <c r="G136" s="104"/>
      <c r="H136" s="158" t="s">
        <v>411</v>
      </c>
      <c r="I136" s="43" t="s">
        <v>507</v>
      </c>
      <c r="J136" s="104">
        <v>45782.0</v>
      </c>
      <c r="K136" s="89">
        <v>1772986.0</v>
      </c>
      <c r="L136" s="71"/>
      <c r="M136" s="106">
        <f>IF(ISBLANK(K136), "", VLOOKUP(C136&amp;" "&amp;D136, 'Info Tipo de Cambio y REM'!$A$24:$B$35, 2, FALSE))</f>
        <v>1185</v>
      </c>
      <c r="N136" s="107">
        <f t="shared" si="1"/>
        <v>1496.190717</v>
      </c>
      <c r="O136" s="102" t="str">
        <f t="shared" si="2"/>
        <v>A término</v>
      </c>
    </row>
    <row r="137" hidden="1">
      <c r="A137" s="43" t="s">
        <v>127</v>
      </c>
      <c r="B137" s="43" t="str">
        <f>IF(A137="", "", IFERROR(VLOOKUP(A137, Clasificaciones!A:B, 2, FALSE), "DATO NO CARGADO"))</f>
        <v>Board</v>
      </c>
      <c r="C137" s="51" t="s">
        <v>143</v>
      </c>
      <c r="D137" s="156">
        <v>2025.0</v>
      </c>
      <c r="E137" s="102"/>
      <c r="F137" s="104"/>
      <c r="G137" s="104"/>
      <c r="H137" s="158" t="s">
        <v>458</v>
      </c>
      <c r="I137" s="43" t="s">
        <v>508</v>
      </c>
      <c r="J137" s="104">
        <v>45782.0</v>
      </c>
      <c r="K137" s="89">
        <v>1271818.0</v>
      </c>
      <c r="L137" s="71"/>
      <c r="M137" s="106">
        <f>IF(ISBLANK(K137), "", VLOOKUP(C137&amp;" "&amp;D137, 'Info Tipo de Cambio y REM'!$A$24:$B$35, 2, FALSE))</f>
        <v>1185</v>
      </c>
      <c r="N137" s="107">
        <f t="shared" si="1"/>
        <v>1073.264135</v>
      </c>
      <c r="O137" s="102" t="str">
        <f t="shared" si="2"/>
        <v>A término</v>
      </c>
    </row>
    <row r="138" hidden="1">
      <c r="A138" s="43" t="s">
        <v>212</v>
      </c>
      <c r="B138" s="43" t="str">
        <f>IF(A138="", "", IFERROR(VLOOKUP(A138, Clasificaciones!A:B, 2, FALSE), "DATO NO CARGADO"))</f>
        <v>Equipo</v>
      </c>
      <c r="C138" s="51" t="s">
        <v>143</v>
      </c>
      <c r="D138" s="156">
        <v>2025.0</v>
      </c>
      <c r="E138" s="102"/>
      <c r="F138" s="104"/>
      <c r="G138" s="104"/>
      <c r="H138" s="158" t="s">
        <v>377</v>
      </c>
      <c r="I138" s="43" t="s">
        <v>509</v>
      </c>
      <c r="J138" s="104">
        <v>45777.0</v>
      </c>
      <c r="K138" s="89">
        <v>386580.0</v>
      </c>
      <c r="L138" s="71"/>
      <c r="M138" s="106">
        <f>IF(ISBLANK(K138), "", VLOOKUP(C138&amp;" "&amp;D138, 'Info Tipo de Cambio y REM'!$A$24:$B$35, 2, FALSE))</f>
        <v>1185</v>
      </c>
      <c r="N138" s="107">
        <f t="shared" si="1"/>
        <v>326.2278481</v>
      </c>
      <c r="O138" s="102" t="str">
        <f t="shared" si="2"/>
        <v>A término</v>
      </c>
    </row>
    <row r="139" hidden="1">
      <c r="A139" s="43" t="s">
        <v>221</v>
      </c>
      <c r="B139" s="43" t="str">
        <f>IF(A139="", "", IFERROR(VLOOKUP(A139, Clasificaciones!A:B, 2, FALSE), "DATO NO CARGADO"))</f>
        <v>Equipo</v>
      </c>
      <c r="C139" s="51" t="s">
        <v>143</v>
      </c>
      <c r="D139" s="156">
        <v>2025.0</v>
      </c>
      <c r="E139" s="102"/>
      <c r="F139" s="104"/>
      <c r="G139" s="104"/>
      <c r="H139" s="55" t="s">
        <v>407</v>
      </c>
      <c r="I139" s="43" t="s">
        <v>510</v>
      </c>
      <c r="J139" s="104">
        <v>45784.0</v>
      </c>
      <c r="K139" s="89">
        <v>1619384.0</v>
      </c>
      <c r="L139" s="71"/>
      <c r="M139" s="106">
        <f>IF(ISBLANK(K139), "", VLOOKUP(C139&amp;" "&amp;D139, 'Info Tipo de Cambio y REM'!$A$24:$B$35, 2, FALSE))</f>
        <v>1185</v>
      </c>
      <c r="N139" s="107">
        <f t="shared" si="1"/>
        <v>1366.568776</v>
      </c>
      <c r="O139" s="102" t="str">
        <f t="shared" si="2"/>
        <v>A término</v>
      </c>
    </row>
    <row r="140" hidden="1">
      <c r="A140" s="43" t="s">
        <v>218</v>
      </c>
      <c r="B140" s="43" t="str">
        <f>IF(A140="", "", IFERROR(VLOOKUP(A140, Clasificaciones!A:B, 2, FALSE), "DATO NO CARGADO"))</f>
        <v>Equipo</v>
      </c>
      <c r="C140" s="51" t="s">
        <v>143</v>
      </c>
      <c r="D140" s="156">
        <v>2025.0</v>
      </c>
      <c r="E140" s="102"/>
      <c r="F140" s="104"/>
      <c r="G140" s="104"/>
      <c r="H140" s="160" t="s">
        <v>511</v>
      </c>
      <c r="I140" s="43" t="s">
        <v>449</v>
      </c>
      <c r="J140" s="104">
        <v>45783.0</v>
      </c>
      <c r="K140" s="89">
        <v>703000.0</v>
      </c>
      <c r="L140" s="71"/>
      <c r="M140" s="106">
        <f>IF(ISBLANK(K140), "", VLOOKUP(C140&amp;" "&amp;D140, 'Info Tipo de Cambio y REM'!$A$24:$B$35, 2, FALSE))</f>
        <v>1185</v>
      </c>
      <c r="N140" s="107">
        <f t="shared" si="1"/>
        <v>593.2489451</v>
      </c>
      <c r="O140" s="102" t="str">
        <f t="shared" si="2"/>
        <v>A término</v>
      </c>
    </row>
    <row r="141" hidden="1">
      <c r="A141" s="43" t="s">
        <v>217</v>
      </c>
      <c r="B141" s="43" t="str">
        <f>IF(A141="", "", IFERROR(VLOOKUP(A141, Clasificaciones!A:B, 2, FALSE), "DATO NO CARGADO"))</f>
        <v>Equipo</v>
      </c>
      <c r="C141" s="51" t="s">
        <v>143</v>
      </c>
      <c r="D141" s="156">
        <v>2025.0</v>
      </c>
      <c r="E141" s="102"/>
      <c r="F141" s="104"/>
      <c r="G141" s="104"/>
      <c r="H141" s="161" t="s">
        <v>512</v>
      </c>
      <c r="I141" s="43" t="s">
        <v>513</v>
      </c>
      <c r="J141" s="104">
        <v>45778.0</v>
      </c>
      <c r="K141" s="89">
        <v>878172.0</v>
      </c>
      <c r="L141" s="71"/>
      <c r="M141" s="106">
        <f>IF(ISBLANK(K141), "", VLOOKUP(C141&amp;" "&amp;D141, 'Info Tipo de Cambio y REM'!$A$24:$B$35, 2, FALSE))</f>
        <v>1185</v>
      </c>
      <c r="N141" s="107">
        <f t="shared" si="1"/>
        <v>741.0734177</v>
      </c>
      <c r="O141" s="102" t="str">
        <f t="shared" si="2"/>
        <v>A término</v>
      </c>
    </row>
    <row r="142" hidden="1">
      <c r="A142" s="43" t="s">
        <v>169</v>
      </c>
      <c r="B142" s="43" t="str">
        <f>IF(A142="", "", IFERROR(VLOOKUP(A142, Clasificaciones!A:B, 2, FALSE), "DATO NO CARGADO"))</f>
        <v>Suscripciones/Herramientas</v>
      </c>
      <c r="C142" s="51" t="s">
        <v>143</v>
      </c>
      <c r="D142" s="156">
        <v>2025.0</v>
      </c>
      <c r="E142" s="43" t="s">
        <v>371</v>
      </c>
      <c r="F142" s="104"/>
      <c r="G142" s="104"/>
      <c r="H142" s="162" t="s">
        <v>417</v>
      </c>
      <c r="J142" s="104">
        <v>45536.0</v>
      </c>
      <c r="L142" s="89">
        <v>4050.0</v>
      </c>
      <c r="M142" s="106" t="str">
        <f>IF(ISBLANK(K142), "", VLOOKUP(C142&amp;" "&amp;D142, 'Info Tipo de Cambio y REM'!$A$24:$B$35, 2, FALSE))</f>
        <v/>
      </c>
      <c r="N142" s="107">
        <f t="shared" si="1"/>
        <v>4050</v>
      </c>
      <c r="O142" s="102" t="str">
        <f t="shared" si="2"/>
        <v>Vencido</v>
      </c>
    </row>
    <row r="143" hidden="1">
      <c r="A143" s="43" t="s">
        <v>187</v>
      </c>
      <c r="B143" s="43" t="str">
        <f>IF(A143="", "", IFERROR(VLOOKUP(A143, Clasificaciones!A:B, 2, FALSE), "DATO NO CARGADO"))</f>
        <v>Gastos Varios</v>
      </c>
      <c r="C143" s="51" t="s">
        <v>143</v>
      </c>
      <c r="D143" s="156">
        <v>2025.0</v>
      </c>
      <c r="E143" s="102"/>
      <c r="F143" s="104"/>
      <c r="G143" s="104"/>
      <c r="H143" s="162" t="s">
        <v>418</v>
      </c>
      <c r="I143" s="43" t="s">
        <v>514</v>
      </c>
      <c r="J143" s="104">
        <v>45752.0</v>
      </c>
      <c r="L143" s="89">
        <v>600.0</v>
      </c>
      <c r="M143" s="106" t="str">
        <f>IF(ISBLANK(K143), "", VLOOKUP(C143&amp;" "&amp;D143, 'Info Tipo de Cambio y REM'!$A$24:$B$35, 2, FALSE))</f>
        <v/>
      </c>
      <c r="N143" s="107">
        <f t="shared" si="1"/>
        <v>600</v>
      </c>
      <c r="O143" s="102" t="str">
        <f t="shared" si="2"/>
        <v>A término</v>
      </c>
    </row>
    <row r="144" hidden="1">
      <c r="A144" s="43" t="s">
        <v>173</v>
      </c>
      <c r="B144" s="43" t="str">
        <f>IF(A144="", "", IFERROR(VLOOKUP(A144, Clasificaciones!A:B, 2, FALSE), "DATO NO CARGADO"))</f>
        <v>Suscripciones/Herramientas</v>
      </c>
      <c r="C144" s="51" t="s">
        <v>143</v>
      </c>
      <c r="D144" s="156">
        <v>2025.0</v>
      </c>
      <c r="E144" s="102"/>
      <c r="F144" s="104"/>
      <c r="G144" s="104"/>
      <c r="H144" s="163" t="s">
        <v>419</v>
      </c>
      <c r="I144" s="43" t="s">
        <v>515</v>
      </c>
      <c r="J144" s="104">
        <v>45808.0</v>
      </c>
      <c r="L144" s="89">
        <v>7500.0</v>
      </c>
      <c r="M144" s="106" t="str">
        <f>IF(ISBLANK(K144), "", VLOOKUP(C144&amp;" "&amp;D144, 'Info Tipo de Cambio y REM'!$A$24:$B$35, 2, FALSE))</f>
        <v/>
      </c>
      <c r="N144" s="107">
        <f t="shared" si="1"/>
        <v>7500</v>
      </c>
      <c r="O144" s="102" t="str">
        <f t="shared" si="2"/>
        <v>A término</v>
      </c>
    </row>
    <row r="145" hidden="1">
      <c r="A145" s="43" t="s">
        <v>164</v>
      </c>
      <c r="B145" s="43" t="str">
        <f>IF(A145="", "", IFERROR(VLOOKUP(A145, Clasificaciones!A:B, 2, FALSE), "DATO NO CARGADO"))</f>
        <v>Estudio Contable</v>
      </c>
      <c r="C145" s="51" t="s">
        <v>143</v>
      </c>
      <c r="D145" s="156">
        <v>2025.0</v>
      </c>
      <c r="E145" s="102"/>
      <c r="F145" s="104"/>
      <c r="G145" s="104"/>
      <c r="H145" s="162" t="s">
        <v>516</v>
      </c>
      <c r="J145" s="104">
        <v>45818.0</v>
      </c>
      <c r="K145" s="89">
        <v>49230.0</v>
      </c>
      <c r="L145" s="71"/>
      <c r="M145" s="106">
        <f>IF(ISBLANK(K145), "", VLOOKUP(C145&amp;" "&amp;D145, 'Info Tipo de Cambio y REM'!$A$24:$B$35, 2, FALSE))</f>
        <v>1185</v>
      </c>
      <c r="N145" s="107">
        <f t="shared" si="1"/>
        <v>41.5443038</v>
      </c>
      <c r="O145" s="102" t="str">
        <f t="shared" si="2"/>
        <v>A término</v>
      </c>
    </row>
    <row r="146" hidden="1">
      <c r="A146" s="43" t="s">
        <v>158</v>
      </c>
      <c r="B146" s="43" t="str">
        <f>IF(A146="", "", IFERROR(VLOOKUP(A146, Clasificaciones!A:B, 2, FALSE), "DATO NO CARGADO"))</f>
        <v>Tarjeta</v>
      </c>
      <c r="C146" s="51" t="s">
        <v>143</v>
      </c>
      <c r="D146" s="156">
        <v>2025.0</v>
      </c>
      <c r="E146" s="102"/>
      <c r="F146" s="104"/>
      <c r="G146" s="104"/>
      <c r="H146" s="160" t="s">
        <v>517</v>
      </c>
      <c r="J146" s="104">
        <v>45782.0</v>
      </c>
      <c r="K146" s="89">
        <v>53969.0</v>
      </c>
      <c r="L146" s="71"/>
      <c r="M146" s="106">
        <f>IF(ISBLANK(K146), "", VLOOKUP(C146&amp;" "&amp;D146, 'Info Tipo de Cambio y REM'!$A$24:$B$35, 2, FALSE))</f>
        <v>1185</v>
      </c>
      <c r="N146" s="107">
        <f t="shared" si="1"/>
        <v>45.54345992</v>
      </c>
      <c r="O146" s="102" t="str">
        <f t="shared" si="2"/>
        <v>A término</v>
      </c>
    </row>
    <row r="147" hidden="1">
      <c r="A147" s="43" t="s">
        <v>146</v>
      </c>
      <c r="B147" s="43" t="str">
        <f>IF(A147="", "", IFERROR(VLOOKUP(A147, Clasificaciones!A:B, 2, FALSE), "DATO NO CARGADO"))</f>
        <v>Impuestos ARG</v>
      </c>
      <c r="C147" s="51" t="s">
        <v>143</v>
      </c>
      <c r="D147" s="156">
        <v>2025.0</v>
      </c>
      <c r="E147" s="102"/>
      <c r="F147" s="104"/>
      <c r="G147" s="104"/>
      <c r="H147" s="160" t="s">
        <v>518</v>
      </c>
      <c r="J147" s="104">
        <v>45795.0</v>
      </c>
      <c r="K147" s="89">
        <v>329085.0</v>
      </c>
      <c r="L147" s="71"/>
      <c r="M147" s="106">
        <f>IF(ISBLANK(K147), "", VLOOKUP(C147&amp;" "&amp;D147, 'Info Tipo de Cambio y REM'!$A$24:$B$35, 2, FALSE))</f>
        <v>1185</v>
      </c>
      <c r="N147" s="107">
        <f t="shared" si="1"/>
        <v>277.7088608</v>
      </c>
      <c r="O147" s="102" t="str">
        <f t="shared" si="2"/>
        <v>A término</v>
      </c>
    </row>
    <row r="148" hidden="1">
      <c r="A148" s="43" t="s">
        <v>152</v>
      </c>
      <c r="B148" s="43" t="str">
        <f>IF(A148="", "", IFERROR(VLOOKUP(A148, Clasificaciones!A:B, 2, FALSE), "DATO NO CARGADO"))</f>
        <v>Impuestos ARG</v>
      </c>
      <c r="C148" s="51" t="s">
        <v>143</v>
      </c>
      <c r="D148" s="156">
        <v>2025.0</v>
      </c>
      <c r="E148" s="102"/>
      <c r="F148" s="104"/>
      <c r="G148" s="104"/>
      <c r="H148" s="160" t="s">
        <v>519</v>
      </c>
      <c r="J148" s="104">
        <v>45799.0</v>
      </c>
      <c r="K148" s="89">
        <v>1694577.0</v>
      </c>
      <c r="L148" s="71"/>
      <c r="M148" s="106">
        <f>IF(ISBLANK(K148), "", VLOOKUP(C148&amp;" "&amp;D148, 'Info Tipo de Cambio y REM'!$A$24:$B$35, 2, FALSE))</f>
        <v>1185</v>
      </c>
      <c r="N148" s="107">
        <f t="shared" si="1"/>
        <v>1430.022785</v>
      </c>
      <c r="O148" s="102" t="str">
        <f t="shared" si="2"/>
        <v>A término</v>
      </c>
    </row>
    <row r="149" hidden="1">
      <c r="A149" s="43" t="s">
        <v>133</v>
      </c>
      <c r="B149" s="43" t="str">
        <f>IF(A149="", "", IFERROR(VLOOKUP(A149, Clasificaciones!A:B, 2, FALSE), "DATO NO CARGADO"))</f>
        <v>Board</v>
      </c>
      <c r="C149" s="51" t="s">
        <v>143</v>
      </c>
      <c r="D149" s="156">
        <v>2025.0</v>
      </c>
      <c r="E149" s="102"/>
      <c r="F149" s="104"/>
      <c r="G149" s="104"/>
      <c r="H149" s="160" t="s">
        <v>520</v>
      </c>
      <c r="J149" s="104">
        <v>45782.0</v>
      </c>
      <c r="K149" s="89">
        <v>1062717.0</v>
      </c>
      <c r="L149" s="71"/>
      <c r="M149" s="106">
        <f>IF(ISBLANK(K149), "", VLOOKUP(C149&amp;" "&amp;D149, 'Info Tipo de Cambio y REM'!$A$24:$B$35, 2, FALSE))</f>
        <v>1185</v>
      </c>
      <c r="N149" s="107">
        <f t="shared" si="1"/>
        <v>896.8075949</v>
      </c>
      <c r="O149" s="102" t="str">
        <f t="shared" si="2"/>
        <v>A término</v>
      </c>
    </row>
    <row r="150" hidden="1">
      <c r="A150" s="43" t="s">
        <v>222</v>
      </c>
      <c r="B150" s="43" t="str">
        <f>IF(A150="", "", IFERROR(VLOOKUP(A150, Clasificaciones!A:B, 2, FALSE), "DATO NO CARGADO"))</f>
        <v>Oxean</v>
      </c>
      <c r="C150" s="51" t="s">
        <v>143</v>
      </c>
      <c r="D150" s="156">
        <v>2025.0</v>
      </c>
      <c r="E150" s="102"/>
      <c r="F150" s="104"/>
      <c r="G150" s="104"/>
      <c r="H150" s="160" t="s">
        <v>521</v>
      </c>
      <c r="J150" s="104">
        <v>45782.0</v>
      </c>
      <c r="K150" s="89">
        <v>4500000.0</v>
      </c>
      <c r="L150" s="71"/>
      <c r="M150" s="106">
        <f>IF(ISBLANK(K150), "", VLOOKUP(C150&amp;" "&amp;D150, 'Info Tipo de Cambio y REM'!$A$24:$B$35, 2, FALSE))</f>
        <v>1185</v>
      </c>
      <c r="N150" s="107">
        <f t="shared" si="1"/>
        <v>3797.468354</v>
      </c>
      <c r="O150" s="102" t="str">
        <f t="shared" si="2"/>
        <v>A término</v>
      </c>
    </row>
    <row r="151" hidden="1">
      <c r="A151" s="43" t="s">
        <v>191</v>
      </c>
      <c r="B151" s="43" t="str">
        <f>IF(A151="", "", IFERROR(VLOOKUP(A151, Clasificaciones!A:B, 2, FALSE), "DATO NO CARGADO"))</f>
        <v>Tarjeta</v>
      </c>
      <c r="C151" s="51" t="s">
        <v>143</v>
      </c>
      <c r="D151" s="156">
        <v>2025.0</v>
      </c>
      <c r="E151" s="102"/>
      <c r="F151" s="103"/>
      <c r="G151" s="103"/>
      <c r="H151" s="55" t="s">
        <v>522</v>
      </c>
      <c r="I151" s="43" t="s">
        <v>523</v>
      </c>
      <c r="J151" s="103"/>
      <c r="L151" s="89">
        <v>12.0</v>
      </c>
      <c r="M151" s="106" t="str">
        <f>IF(ISBLANK(K151), "", VLOOKUP(C151&amp;" "&amp;D151, 'Info Tipo de Cambio y REM'!$A$24:$B$35, 2, FALSE))</f>
        <v/>
      </c>
      <c r="N151" s="107">
        <f t="shared" si="1"/>
        <v>12</v>
      </c>
      <c r="O151" s="102" t="str">
        <f t="shared" si="2"/>
        <v>A término</v>
      </c>
    </row>
    <row r="152" hidden="1">
      <c r="A152" s="43" t="s">
        <v>191</v>
      </c>
      <c r="B152" s="43" t="str">
        <f>IF(A152="", "", IFERROR(VLOOKUP(A152, Clasificaciones!A:B, 2, FALSE), "DATO NO CARGADO"))</f>
        <v>Tarjeta</v>
      </c>
      <c r="C152" s="51" t="s">
        <v>143</v>
      </c>
      <c r="D152" s="156">
        <v>2025.0</v>
      </c>
      <c r="E152" s="102"/>
      <c r="F152" s="103"/>
      <c r="G152" s="103"/>
      <c r="H152" s="55" t="s">
        <v>522</v>
      </c>
      <c r="I152" s="43" t="s">
        <v>524</v>
      </c>
      <c r="J152" s="103"/>
      <c r="L152" s="89">
        <v>515.0</v>
      </c>
      <c r="M152" s="106" t="str">
        <f>IF(ISBLANK(K152), "", VLOOKUP(C152&amp;" "&amp;D152, 'Info Tipo de Cambio y REM'!$A$24:$B$35, 2, FALSE))</f>
        <v/>
      </c>
      <c r="N152" s="107">
        <f t="shared" si="1"/>
        <v>515</v>
      </c>
      <c r="O152" s="102" t="str">
        <f t="shared" si="2"/>
        <v>A término</v>
      </c>
    </row>
    <row r="153" hidden="1">
      <c r="A153" s="43" t="s">
        <v>191</v>
      </c>
      <c r="B153" s="43" t="str">
        <f>IF(A153="", "", IFERROR(VLOOKUP(A153, Clasificaciones!A:B, 2, FALSE), "DATO NO CARGADO"))</f>
        <v>Tarjeta</v>
      </c>
      <c r="C153" s="51" t="s">
        <v>143</v>
      </c>
      <c r="D153" s="156">
        <v>2025.0</v>
      </c>
      <c r="E153" s="102"/>
      <c r="F153" s="103"/>
      <c r="G153" s="103"/>
      <c r="H153" s="55" t="s">
        <v>522</v>
      </c>
      <c r="I153" s="43" t="s">
        <v>525</v>
      </c>
      <c r="J153" s="103"/>
      <c r="L153" s="89">
        <v>112.0</v>
      </c>
      <c r="M153" s="106" t="str">
        <f>IF(ISBLANK(K153), "", VLOOKUP(C153&amp;" "&amp;D153, 'Info Tipo de Cambio y REM'!$A$24:$B$35, 2, FALSE))</f>
        <v/>
      </c>
      <c r="N153" s="107">
        <f t="shared" si="1"/>
        <v>112</v>
      </c>
      <c r="O153" s="102" t="str">
        <f t="shared" si="2"/>
        <v>A término</v>
      </c>
    </row>
    <row r="154" hidden="1">
      <c r="A154" s="43" t="s">
        <v>191</v>
      </c>
      <c r="B154" s="43" t="str">
        <f>IF(A154="", "", IFERROR(VLOOKUP(A154, Clasificaciones!A:B, 2, FALSE), "DATO NO CARGADO"))</f>
        <v>Tarjeta</v>
      </c>
      <c r="C154" s="51" t="s">
        <v>143</v>
      </c>
      <c r="D154" s="156">
        <v>2025.0</v>
      </c>
      <c r="E154" s="102"/>
      <c r="F154" s="103"/>
      <c r="G154" s="103"/>
      <c r="H154" s="55" t="s">
        <v>522</v>
      </c>
      <c r="I154" s="43" t="s">
        <v>526</v>
      </c>
      <c r="J154" s="103"/>
      <c r="L154" s="89">
        <v>7.72</v>
      </c>
      <c r="M154" s="106" t="str">
        <f>IF(ISBLANK(K154), "", VLOOKUP(C154&amp;" "&amp;D154, 'Info Tipo de Cambio y REM'!$A$24:$B$35, 2, FALSE))</f>
        <v/>
      </c>
      <c r="N154" s="107">
        <f t="shared" si="1"/>
        <v>7.72</v>
      </c>
      <c r="O154" s="102" t="str">
        <f t="shared" si="2"/>
        <v>A término</v>
      </c>
    </row>
    <row r="155" hidden="1">
      <c r="A155" s="43" t="s">
        <v>191</v>
      </c>
      <c r="B155" s="43" t="str">
        <f>IF(A155="", "", IFERROR(VLOOKUP(A155, Clasificaciones!A:B, 2, FALSE), "DATO NO CARGADO"))</f>
        <v>Tarjeta</v>
      </c>
      <c r="C155" s="51" t="s">
        <v>143</v>
      </c>
      <c r="D155" s="156">
        <v>2025.0</v>
      </c>
      <c r="E155" s="102"/>
      <c r="F155" s="103"/>
      <c r="G155" s="103"/>
      <c r="H155" s="55" t="s">
        <v>522</v>
      </c>
      <c r="I155" s="43" t="s">
        <v>527</v>
      </c>
      <c r="J155" s="103"/>
      <c r="L155" s="89">
        <v>14.19</v>
      </c>
      <c r="M155" s="106" t="str">
        <f>IF(ISBLANK(K155), "", VLOOKUP(C155&amp;" "&amp;D155, 'Info Tipo de Cambio y REM'!$A$24:$B$35, 2, FALSE))</f>
        <v/>
      </c>
      <c r="N155" s="107">
        <f t="shared" si="1"/>
        <v>14.19</v>
      </c>
      <c r="O155" s="102" t="str">
        <f t="shared" si="2"/>
        <v>A término</v>
      </c>
    </row>
    <row r="156" hidden="1">
      <c r="A156" s="43" t="s">
        <v>153</v>
      </c>
      <c r="B156" s="43" t="str">
        <f>IF(A156="", "", IFERROR(VLOOKUP(A156, Clasificaciones!A:B, 2, FALSE), "DATO NO CARGADO"))</f>
        <v>Impuestos USA</v>
      </c>
      <c r="C156" s="51" t="s">
        <v>143</v>
      </c>
      <c r="D156" s="156">
        <v>2025.0</v>
      </c>
      <c r="E156" s="43" t="s">
        <v>371</v>
      </c>
      <c r="F156" s="164"/>
      <c r="G156" s="164"/>
      <c r="H156" s="165" t="s">
        <v>528</v>
      </c>
      <c r="I156" s="166" t="s">
        <v>529</v>
      </c>
      <c r="J156" s="164">
        <v>46142.0</v>
      </c>
      <c r="L156" s="89">
        <v>117.0</v>
      </c>
      <c r="M156" s="106" t="str">
        <f>IF(ISBLANK(K156), "", VLOOKUP(C156&amp;" "&amp;D156, 'Info Tipo de Cambio y REM'!$A$24:$B$35, 2, FALSE))</f>
        <v/>
      </c>
      <c r="N156" s="107">
        <f t="shared" si="1"/>
        <v>117</v>
      </c>
      <c r="O156" s="102" t="str">
        <f t="shared" si="2"/>
        <v>A término</v>
      </c>
    </row>
    <row r="157" hidden="1">
      <c r="A157" s="43" t="s">
        <v>153</v>
      </c>
      <c r="B157" s="43" t="str">
        <f>IF(A157="", "", IFERROR(VLOOKUP(A157, Clasificaciones!A:B, 2, FALSE), "DATO NO CARGADO"))</f>
        <v>Impuestos USA</v>
      </c>
      <c r="C157" s="51" t="s">
        <v>143</v>
      </c>
      <c r="D157" s="156">
        <v>2025.0</v>
      </c>
      <c r="E157" s="43" t="s">
        <v>371</v>
      </c>
      <c r="F157" s="167"/>
      <c r="G157" s="167"/>
      <c r="H157" s="165" t="s">
        <v>528</v>
      </c>
      <c r="I157" s="166" t="s">
        <v>530</v>
      </c>
      <c r="J157" s="167">
        <v>46142.0</v>
      </c>
      <c r="L157" s="89">
        <v>-222.0</v>
      </c>
      <c r="M157" s="106" t="str">
        <f>IF(ISBLANK(K157), "", VLOOKUP(C157&amp;" "&amp;D157, 'Info Tipo de Cambio y REM'!$A$24:$B$35, 2, FALSE))</f>
        <v/>
      </c>
      <c r="N157" s="107">
        <f t="shared" si="1"/>
        <v>-222</v>
      </c>
      <c r="O157" s="102" t="str">
        <f t="shared" si="2"/>
        <v>A término</v>
      </c>
    </row>
    <row r="158" hidden="1">
      <c r="A158" s="43" t="s">
        <v>153</v>
      </c>
      <c r="B158" s="43" t="str">
        <f>IF(A158="", "", IFERROR(VLOOKUP(A158, Clasificaciones!A:B, 2, FALSE), "DATO NO CARGADO"))</f>
        <v>Impuestos USA</v>
      </c>
      <c r="C158" s="51" t="s">
        <v>143</v>
      </c>
      <c r="D158" s="156">
        <v>2025.0</v>
      </c>
      <c r="E158" s="43" t="s">
        <v>371</v>
      </c>
      <c r="F158" s="167"/>
      <c r="G158" s="167"/>
      <c r="H158" s="165" t="s">
        <v>528</v>
      </c>
      <c r="I158" s="166" t="s">
        <v>531</v>
      </c>
      <c r="J158" s="167">
        <v>46142.0</v>
      </c>
      <c r="L158" s="89">
        <v>-974.0</v>
      </c>
      <c r="M158" s="106" t="str">
        <f>IF(ISBLANK(K158), "", VLOOKUP(C158&amp;" "&amp;D158, 'Info Tipo de Cambio y REM'!$A$24:$B$35, 2, FALSE))</f>
        <v/>
      </c>
      <c r="N158" s="107">
        <f t="shared" si="1"/>
        <v>-974</v>
      </c>
      <c r="O158" s="102" t="str">
        <f t="shared" si="2"/>
        <v>A término</v>
      </c>
    </row>
    <row r="159" hidden="1">
      <c r="A159" s="43" t="s">
        <v>153</v>
      </c>
      <c r="B159" s="43" t="str">
        <f>IF(A159="", "", IFERROR(VLOOKUP(A159, Clasificaciones!A:B, 2, FALSE), "DATO NO CARGADO"))</f>
        <v>Impuestos USA</v>
      </c>
      <c r="C159" s="51" t="s">
        <v>143</v>
      </c>
      <c r="D159" s="156">
        <v>2025.0</v>
      </c>
      <c r="E159" s="43" t="s">
        <v>371</v>
      </c>
      <c r="F159" s="167"/>
      <c r="G159" s="167"/>
      <c r="H159" s="165" t="s">
        <v>528</v>
      </c>
      <c r="I159" s="166" t="s">
        <v>532</v>
      </c>
      <c r="J159" s="167">
        <v>46142.0</v>
      </c>
      <c r="L159" s="89">
        <v>1186.0</v>
      </c>
      <c r="M159" s="106" t="str">
        <f>IF(ISBLANK(K159), "", VLOOKUP(C159&amp;" "&amp;D159, 'Info Tipo de Cambio y REM'!$A$24:$B$35, 2, FALSE))</f>
        <v/>
      </c>
      <c r="N159" s="107">
        <f t="shared" si="1"/>
        <v>1186</v>
      </c>
      <c r="O159" s="102" t="str">
        <f t="shared" si="2"/>
        <v>A término</v>
      </c>
    </row>
    <row r="160" hidden="1">
      <c r="A160" s="43" t="s">
        <v>185</v>
      </c>
      <c r="B160" s="43" t="str">
        <f>IF(A160="", "", IFERROR(VLOOKUP(A160, Clasificaciones!A:B, 2, FALSE), "DATO NO CARGADO"))</f>
        <v>Comisiones Bancarias</v>
      </c>
      <c r="C160" s="51" t="s">
        <v>149</v>
      </c>
      <c r="D160" s="156">
        <v>2025.0</v>
      </c>
      <c r="E160" s="43" t="s">
        <v>371</v>
      </c>
      <c r="F160" s="168">
        <v>45810.0</v>
      </c>
      <c r="G160" s="168">
        <v>45778.0</v>
      </c>
      <c r="H160" s="55" t="s">
        <v>533</v>
      </c>
      <c r="I160" s="43"/>
      <c r="J160" s="104">
        <v>45778.0</v>
      </c>
      <c r="K160" s="89">
        <v>45600.0</v>
      </c>
      <c r="L160" s="71"/>
      <c r="M160" s="106">
        <f>IF(ISBLANK(K160), "", VLOOKUP(C160&amp;" "&amp;D160, 'Info Tipo de Cambio y REM'!$A$24:$B$35, 2, FALSE))</f>
        <v>1180</v>
      </c>
      <c r="N160" s="107">
        <f t="shared" si="1"/>
        <v>38.6440678</v>
      </c>
      <c r="O160" s="102" t="str">
        <f t="shared" si="2"/>
        <v>Vencido</v>
      </c>
    </row>
    <row r="161" hidden="1">
      <c r="A161" s="43" t="s">
        <v>223</v>
      </c>
      <c r="B161" s="43" t="str">
        <f>IF(A161="", "", IFERROR(VLOOKUP(A161, Clasificaciones!A:B, 2, FALSE), "DATO NO CARGADO"))</f>
        <v>Otros Proveedores</v>
      </c>
      <c r="C161" s="51" t="s">
        <v>149</v>
      </c>
      <c r="D161" s="156">
        <v>2025.0</v>
      </c>
      <c r="E161" s="43" t="s">
        <v>374</v>
      </c>
      <c r="F161" s="168">
        <v>45792.0</v>
      </c>
      <c r="G161" s="168">
        <v>45778.0</v>
      </c>
      <c r="H161" s="55" t="s">
        <v>534</v>
      </c>
      <c r="I161" s="43" t="s">
        <v>535</v>
      </c>
      <c r="J161" s="104">
        <v>45786.0</v>
      </c>
      <c r="K161" s="89">
        <v>133705.0</v>
      </c>
      <c r="L161" s="71"/>
      <c r="M161" s="106">
        <f>IF(ISBLANK(K161), "", VLOOKUP(C161&amp;" "&amp;D161, 'Info Tipo de Cambio y REM'!$A$24:$B$35, 2, FALSE))</f>
        <v>1180</v>
      </c>
      <c r="N161" s="107">
        <f t="shared" si="1"/>
        <v>113.309322</v>
      </c>
      <c r="O161" s="102" t="str">
        <f t="shared" si="2"/>
        <v>A término</v>
      </c>
    </row>
    <row r="162" hidden="1">
      <c r="A162" s="43" t="s">
        <v>191</v>
      </c>
      <c r="B162" s="43" t="str">
        <f>IF(A162="", "", IFERROR(VLOOKUP(A162, Clasificaciones!A:B, 2, FALSE), "DATO NO CARGADO"))</f>
        <v>Tarjeta</v>
      </c>
      <c r="C162" s="51" t="s">
        <v>149</v>
      </c>
      <c r="D162" s="156">
        <v>2025.0</v>
      </c>
      <c r="E162" s="43" t="s">
        <v>374</v>
      </c>
      <c r="F162" s="168"/>
      <c r="G162" s="168">
        <v>45778.0</v>
      </c>
      <c r="H162" s="55" t="s">
        <v>522</v>
      </c>
      <c r="I162" s="169" t="s">
        <v>536</v>
      </c>
      <c r="J162" s="104">
        <v>45778.0</v>
      </c>
      <c r="L162" s="89">
        <v>50.03</v>
      </c>
      <c r="M162" s="106" t="str">
        <f>IF(ISBLANK(K162), "", VLOOKUP(C162&amp;" "&amp;D162, 'Info Tipo de Cambio y REM'!$A$24:$B$35, 2, FALSE))</f>
        <v/>
      </c>
      <c r="N162" s="107">
        <f t="shared" si="1"/>
        <v>50.03</v>
      </c>
      <c r="O162" s="102" t="str">
        <f t="shared" si="2"/>
        <v>A término</v>
      </c>
    </row>
    <row r="163" hidden="1">
      <c r="A163" s="43" t="s">
        <v>191</v>
      </c>
      <c r="B163" s="43" t="str">
        <f>IF(A163="", "", IFERROR(VLOOKUP(A163, Clasificaciones!A:B, 2, FALSE), "DATO NO CARGADO"))</f>
        <v>Tarjeta</v>
      </c>
      <c r="C163" s="51" t="s">
        <v>149</v>
      </c>
      <c r="D163" s="156">
        <v>2025.0</v>
      </c>
      <c r="E163" s="43" t="s">
        <v>374</v>
      </c>
      <c r="F163" s="168"/>
      <c r="G163" s="168">
        <v>45779.0</v>
      </c>
      <c r="H163" s="55" t="s">
        <v>522</v>
      </c>
      <c r="I163" s="43" t="s">
        <v>537</v>
      </c>
      <c r="J163" s="104">
        <v>45779.0</v>
      </c>
      <c r="L163" s="89">
        <v>3.08</v>
      </c>
      <c r="M163" s="106" t="str">
        <f>IF(ISBLANK(K163), "", VLOOKUP(C163&amp;" "&amp;D163, 'Info Tipo de Cambio y REM'!$A$24:$B$35, 2, FALSE))</f>
        <v/>
      </c>
      <c r="N163" s="107">
        <f t="shared" si="1"/>
        <v>3.08</v>
      </c>
      <c r="O163" s="102" t="str">
        <f t="shared" si="2"/>
        <v>A término</v>
      </c>
    </row>
    <row r="164" hidden="1">
      <c r="A164" s="43" t="s">
        <v>191</v>
      </c>
      <c r="B164" s="43" t="str">
        <f>IF(A164="", "", IFERROR(VLOOKUP(A164, Clasificaciones!A:B, 2, FALSE), "DATO NO CARGADO"))</f>
        <v>Tarjeta</v>
      </c>
      <c r="C164" s="51" t="s">
        <v>149</v>
      </c>
      <c r="D164" s="156">
        <v>2025.0</v>
      </c>
      <c r="E164" s="43" t="s">
        <v>374</v>
      </c>
      <c r="F164" s="170">
        <v>45782.0</v>
      </c>
      <c r="G164" s="170">
        <v>45782.0</v>
      </c>
      <c r="H164" s="55" t="s">
        <v>522</v>
      </c>
      <c r="I164" s="169" t="s">
        <v>538</v>
      </c>
      <c r="J164" s="170">
        <v>45782.0</v>
      </c>
      <c r="L164" s="171">
        <v>22.99</v>
      </c>
      <c r="M164" s="106" t="str">
        <f>IF(ISBLANK(K164), "", VLOOKUP(C164&amp;" "&amp;D164, 'Info Tipo de Cambio y REM'!$A$24:$B$35, 2, FALSE))</f>
        <v/>
      </c>
      <c r="N164" s="107">
        <f t="shared" si="1"/>
        <v>22.99</v>
      </c>
      <c r="O164" s="102" t="str">
        <f t="shared" si="2"/>
        <v>A término</v>
      </c>
    </row>
    <row r="165" hidden="1">
      <c r="A165" s="43" t="s">
        <v>191</v>
      </c>
      <c r="B165" s="43" t="str">
        <f>IF(A165="", "", IFERROR(VLOOKUP(A165, Clasificaciones!A:B, 2, FALSE), "DATO NO CARGADO"))</f>
        <v>Tarjeta</v>
      </c>
      <c r="C165" s="51" t="s">
        <v>149</v>
      </c>
      <c r="D165" s="156">
        <v>2025.0</v>
      </c>
      <c r="E165" s="43" t="s">
        <v>374</v>
      </c>
      <c r="F165" s="170">
        <v>45782.0</v>
      </c>
      <c r="G165" s="170">
        <v>45782.0</v>
      </c>
      <c r="H165" s="55" t="s">
        <v>522</v>
      </c>
      <c r="I165" s="169" t="s">
        <v>539</v>
      </c>
      <c r="J165" s="170">
        <v>45782.0</v>
      </c>
      <c r="L165" s="171">
        <v>46.41</v>
      </c>
      <c r="M165" s="106" t="str">
        <f>IF(ISBLANK(K165), "", VLOOKUP(C165&amp;" "&amp;D165, 'Info Tipo de Cambio y REM'!$A$24:$B$35, 2, FALSE))</f>
        <v/>
      </c>
      <c r="N165" s="107">
        <f t="shared" si="1"/>
        <v>46.41</v>
      </c>
      <c r="O165" s="102" t="str">
        <f t="shared" si="2"/>
        <v>A término</v>
      </c>
    </row>
    <row r="166" hidden="1">
      <c r="A166" s="43" t="s">
        <v>191</v>
      </c>
      <c r="B166" s="43" t="str">
        <f>IF(A166="", "", IFERROR(VLOOKUP(A166, Clasificaciones!A:B, 2, FALSE), "DATO NO CARGADO"))</f>
        <v>Tarjeta</v>
      </c>
      <c r="C166" s="51" t="s">
        <v>149</v>
      </c>
      <c r="D166" s="156">
        <v>2025.0</v>
      </c>
      <c r="E166" s="43" t="s">
        <v>374</v>
      </c>
      <c r="F166" s="170">
        <v>45783.0</v>
      </c>
      <c r="G166" s="170">
        <v>45783.0</v>
      </c>
      <c r="H166" s="55" t="s">
        <v>522</v>
      </c>
      <c r="I166" s="169" t="s">
        <v>540</v>
      </c>
      <c r="J166" s="170">
        <v>45783.0</v>
      </c>
      <c r="L166" s="171">
        <v>500.47</v>
      </c>
      <c r="M166" s="106" t="str">
        <f>IF(ISBLANK(K166), "", VLOOKUP(C166&amp;" "&amp;D166, 'Info Tipo de Cambio y REM'!$A$24:$B$35, 2, FALSE))</f>
        <v/>
      </c>
      <c r="N166" s="107">
        <f t="shared" si="1"/>
        <v>500.47</v>
      </c>
      <c r="O166" s="102" t="str">
        <f t="shared" si="2"/>
        <v>A término</v>
      </c>
    </row>
    <row r="167" hidden="1">
      <c r="A167" s="43" t="s">
        <v>191</v>
      </c>
      <c r="B167" s="43" t="str">
        <f>IF(A167="", "", IFERROR(VLOOKUP(A167, Clasificaciones!A:B, 2, FALSE), "DATO NO CARGADO"))</f>
        <v>Tarjeta</v>
      </c>
      <c r="C167" s="51" t="s">
        <v>149</v>
      </c>
      <c r="D167" s="156">
        <v>2025.0</v>
      </c>
      <c r="E167" s="43" t="s">
        <v>374</v>
      </c>
      <c r="F167" s="328">
        <v>45784.0</v>
      </c>
      <c r="G167" s="170">
        <v>45784.0</v>
      </c>
      <c r="H167" s="55" t="s">
        <v>522</v>
      </c>
      <c r="I167" s="169" t="s">
        <v>541</v>
      </c>
      <c r="J167" s="170">
        <v>45784.0</v>
      </c>
      <c r="L167" s="171">
        <v>20.0</v>
      </c>
      <c r="M167" s="106" t="str">
        <f>IF(ISBLANK(K167), "", VLOOKUP(C167&amp;" "&amp;D167, 'Info Tipo de Cambio y REM'!$A$24:$B$35, 2, FALSE))</f>
        <v/>
      </c>
      <c r="N167" s="107">
        <f t="shared" si="1"/>
        <v>20</v>
      </c>
      <c r="O167" s="102" t="str">
        <f t="shared" si="2"/>
        <v>A término</v>
      </c>
    </row>
    <row r="168" hidden="1">
      <c r="A168" s="43" t="s">
        <v>191</v>
      </c>
      <c r="B168" s="43" t="str">
        <f>IF(A168="", "", IFERROR(VLOOKUP(A168, Clasificaciones!A:B, 2, FALSE), "DATO NO CARGADO"))</f>
        <v>Tarjeta</v>
      </c>
      <c r="C168" s="51" t="s">
        <v>149</v>
      </c>
      <c r="D168" s="156">
        <v>2025.0</v>
      </c>
      <c r="E168" s="43" t="s">
        <v>374</v>
      </c>
      <c r="F168" s="170">
        <v>45785.0</v>
      </c>
      <c r="G168" s="170">
        <v>45785.0</v>
      </c>
      <c r="H168" s="55" t="s">
        <v>522</v>
      </c>
      <c r="I168" s="169" t="s">
        <v>542</v>
      </c>
      <c r="J168" s="170">
        <v>45785.0</v>
      </c>
      <c r="L168" s="171">
        <v>6.49</v>
      </c>
      <c r="M168" s="106" t="str">
        <f>IF(ISBLANK(K168), "", VLOOKUP(C168&amp;" "&amp;D168, 'Info Tipo de Cambio y REM'!$A$24:$B$35, 2, FALSE))</f>
        <v/>
      </c>
      <c r="N168" s="107">
        <f t="shared" si="1"/>
        <v>6.49</v>
      </c>
      <c r="O168" s="102" t="str">
        <f t="shared" si="2"/>
        <v>A término</v>
      </c>
    </row>
    <row r="169" hidden="1">
      <c r="A169" s="43" t="s">
        <v>191</v>
      </c>
      <c r="B169" s="43" t="str">
        <f>IF(A169="", "", IFERROR(VLOOKUP(A169, Clasificaciones!A:B, 2, FALSE), "DATO NO CARGADO"))</f>
        <v>Tarjeta</v>
      </c>
      <c r="C169" s="51" t="s">
        <v>149</v>
      </c>
      <c r="D169" s="156">
        <v>2025.0</v>
      </c>
      <c r="E169" s="43" t="s">
        <v>374</v>
      </c>
      <c r="F169" s="170">
        <v>45785.0</v>
      </c>
      <c r="G169" s="170">
        <v>45785.0</v>
      </c>
      <c r="H169" s="55" t="s">
        <v>522</v>
      </c>
      <c r="I169" s="169" t="s">
        <v>543</v>
      </c>
      <c r="J169" s="170">
        <v>45785.0</v>
      </c>
      <c r="L169" s="171">
        <v>29.0</v>
      </c>
      <c r="M169" s="106" t="str">
        <f>IF(ISBLANK(K169), "", VLOOKUP(C169&amp;" "&amp;D169, 'Info Tipo de Cambio y REM'!$A$24:$B$35, 2, FALSE))</f>
        <v/>
      </c>
      <c r="N169" s="107">
        <f t="shared" si="1"/>
        <v>29</v>
      </c>
      <c r="O169" s="102" t="str">
        <f t="shared" si="2"/>
        <v>A término</v>
      </c>
    </row>
    <row r="170" hidden="1">
      <c r="A170" s="43" t="s">
        <v>191</v>
      </c>
      <c r="B170" s="43" t="str">
        <f>IF(A170="", "", IFERROR(VLOOKUP(A170, Clasificaciones!A:B, 2, FALSE), "DATO NO CARGADO"))</f>
        <v>Tarjeta</v>
      </c>
      <c r="C170" s="51" t="s">
        <v>149</v>
      </c>
      <c r="D170" s="156">
        <v>2025.0</v>
      </c>
      <c r="E170" s="43" t="s">
        <v>374</v>
      </c>
      <c r="F170" s="170">
        <v>45789.0</v>
      </c>
      <c r="G170" s="170">
        <v>45789.0</v>
      </c>
      <c r="H170" s="55" t="s">
        <v>522</v>
      </c>
      <c r="I170" s="169" t="s">
        <v>544</v>
      </c>
      <c r="J170" s="170">
        <v>45789.0</v>
      </c>
      <c r="L170" s="171">
        <v>192.0</v>
      </c>
      <c r="M170" s="106" t="str">
        <f>IF(ISBLANK(K170), "", VLOOKUP(C170&amp;" "&amp;D170, 'Info Tipo de Cambio y REM'!$A$24:$B$35, 2, FALSE))</f>
        <v/>
      </c>
      <c r="N170" s="107">
        <f t="shared" si="1"/>
        <v>192</v>
      </c>
      <c r="O170" s="102" t="str">
        <f t="shared" si="2"/>
        <v>A término</v>
      </c>
    </row>
    <row r="171" hidden="1">
      <c r="A171" s="43" t="s">
        <v>191</v>
      </c>
      <c r="B171" s="43" t="str">
        <f>IF(A171="", "", IFERROR(VLOOKUP(A171, Clasificaciones!A:B, 2, FALSE), "DATO NO CARGADO"))</f>
        <v>Tarjeta</v>
      </c>
      <c r="C171" s="51" t="s">
        <v>149</v>
      </c>
      <c r="D171" s="156">
        <v>2025.0</v>
      </c>
      <c r="E171" s="43" t="s">
        <v>374</v>
      </c>
      <c r="F171" s="170">
        <v>45789.0</v>
      </c>
      <c r="G171" s="170">
        <v>45789.0</v>
      </c>
      <c r="H171" s="55" t="s">
        <v>522</v>
      </c>
      <c r="I171" s="169" t="s">
        <v>545</v>
      </c>
      <c r="J171" s="170">
        <v>45789.0</v>
      </c>
      <c r="L171" s="171">
        <v>20.0</v>
      </c>
      <c r="M171" s="106" t="str">
        <f>IF(ISBLANK(K171), "", VLOOKUP(C171&amp;" "&amp;D171, 'Info Tipo de Cambio y REM'!$A$24:$B$35, 2, FALSE))</f>
        <v/>
      </c>
      <c r="N171" s="107">
        <f t="shared" si="1"/>
        <v>20</v>
      </c>
      <c r="O171" s="102" t="str">
        <f t="shared" si="2"/>
        <v>A término</v>
      </c>
    </row>
    <row r="172" hidden="1">
      <c r="A172" s="43" t="s">
        <v>191</v>
      </c>
      <c r="B172" s="43" t="str">
        <f>IF(A172="", "", IFERROR(VLOOKUP(A172, Clasificaciones!A:B, 2, FALSE), "DATO NO CARGADO"))</f>
        <v>Tarjeta</v>
      </c>
      <c r="C172" s="51" t="s">
        <v>149</v>
      </c>
      <c r="D172" s="156">
        <v>2025.0</v>
      </c>
      <c r="E172" s="43" t="s">
        <v>374</v>
      </c>
      <c r="F172" s="170">
        <v>45796.0</v>
      </c>
      <c r="G172" s="170">
        <v>45796.0</v>
      </c>
      <c r="H172" s="55" t="s">
        <v>522</v>
      </c>
      <c r="I172" s="169" t="s">
        <v>546</v>
      </c>
      <c r="J172" s="170">
        <v>45796.0</v>
      </c>
      <c r="L172" s="171">
        <v>8.0</v>
      </c>
      <c r="M172" s="106" t="str">
        <f>IF(ISBLANK(K172), "", VLOOKUP(C172&amp;" "&amp;D172, 'Info Tipo de Cambio y REM'!$A$24:$B$35, 2, FALSE))</f>
        <v/>
      </c>
      <c r="N172" s="107">
        <f t="shared" si="1"/>
        <v>8</v>
      </c>
      <c r="O172" s="102" t="str">
        <f t="shared" si="2"/>
        <v>A término</v>
      </c>
    </row>
    <row r="173" hidden="1">
      <c r="A173" s="43" t="s">
        <v>191</v>
      </c>
      <c r="B173" s="43" t="str">
        <f>IF(A173="", "", IFERROR(VLOOKUP(A173, Clasificaciones!A:B, 2, FALSE), "DATO NO CARGADO"))</f>
        <v>Tarjeta</v>
      </c>
      <c r="C173" s="51" t="s">
        <v>149</v>
      </c>
      <c r="D173" s="156">
        <v>2025.0</v>
      </c>
      <c r="E173" s="43" t="s">
        <v>374</v>
      </c>
      <c r="F173" s="170">
        <v>45797.0</v>
      </c>
      <c r="G173" s="170">
        <v>45797.0</v>
      </c>
      <c r="H173" s="55" t="s">
        <v>522</v>
      </c>
      <c r="I173" s="169" t="s">
        <v>547</v>
      </c>
      <c r="J173" s="170">
        <v>45797.0</v>
      </c>
      <c r="L173" s="171">
        <v>25.3</v>
      </c>
      <c r="M173" s="106" t="str">
        <f>IF(ISBLANK(K173), "", VLOOKUP(C173&amp;" "&amp;D173, 'Info Tipo de Cambio y REM'!$A$24:$B$35, 2, FALSE))</f>
        <v/>
      </c>
      <c r="N173" s="107">
        <f t="shared" si="1"/>
        <v>25.3</v>
      </c>
      <c r="O173" s="102" t="str">
        <f t="shared" si="2"/>
        <v>A término</v>
      </c>
    </row>
    <row r="174" hidden="1">
      <c r="A174" s="43" t="s">
        <v>127</v>
      </c>
      <c r="B174" s="43" t="str">
        <f>IF(A174="", "", IFERROR(VLOOKUP(A174, Clasificaciones!A:B, 2, FALSE), "DATO NO CARGADO"))</f>
        <v>Board</v>
      </c>
      <c r="C174" s="51" t="s">
        <v>149</v>
      </c>
      <c r="D174" s="156">
        <v>2025.0</v>
      </c>
      <c r="E174" s="43" t="s">
        <v>374</v>
      </c>
      <c r="F174" s="170">
        <v>45797.0</v>
      </c>
      <c r="G174" s="170">
        <v>45792.0</v>
      </c>
      <c r="H174" s="55" t="s">
        <v>458</v>
      </c>
      <c r="I174" s="169" t="s">
        <v>548</v>
      </c>
      <c r="J174" s="170">
        <v>45797.0</v>
      </c>
      <c r="L174" s="171">
        <v>2000.0</v>
      </c>
      <c r="M174" s="106" t="str">
        <f>IF(ISBLANK(K174), "", VLOOKUP(C174&amp;" "&amp;D174, 'Info Tipo de Cambio y REM'!$A$24:$B$35, 2, FALSE))</f>
        <v/>
      </c>
      <c r="N174" s="107">
        <f t="shared" si="1"/>
        <v>2000</v>
      </c>
      <c r="O174" s="102" t="str">
        <f t="shared" si="2"/>
        <v>A término</v>
      </c>
    </row>
    <row r="175" hidden="1">
      <c r="A175" s="43" t="s">
        <v>191</v>
      </c>
      <c r="B175" s="43" t="str">
        <f>IF(A175="", "", IFERROR(VLOOKUP(A175, Clasificaciones!A:B, 2, FALSE), "DATO NO CARGADO"))</f>
        <v>Tarjeta</v>
      </c>
      <c r="C175" s="51" t="s">
        <v>149</v>
      </c>
      <c r="D175" s="156">
        <v>2025.0</v>
      </c>
      <c r="E175" s="43" t="s">
        <v>374</v>
      </c>
      <c r="F175" s="170">
        <v>45797.0</v>
      </c>
      <c r="G175" s="170">
        <v>45797.0</v>
      </c>
      <c r="H175" s="55" t="s">
        <v>522</v>
      </c>
      <c r="I175" s="169" t="s">
        <v>549</v>
      </c>
      <c r="J175" s="170">
        <v>45797.0</v>
      </c>
      <c r="L175" s="171">
        <v>45.0</v>
      </c>
      <c r="M175" s="106" t="str">
        <f>IF(ISBLANK(K175), "", VLOOKUP(C175&amp;" "&amp;D175, 'Info Tipo de Cambio y REM'!$A$24:$B$35, 2, FALSE))</f>
        <v/>
      </c>
      <c r="N175" s="107">
        <f t="shared" si="1"/>
        <v>45</v>
      </c>
      <c r="O175" s="102" t="str">
        <f t="shared" si="2"/>
        <v>A término</v>
      </c>
    </row>
    <row r="176" hidden="1">
      <c r="A176" s="43" t="s">
        <v>187</v>
      </c>
      <c r="B176" s="43" t="str">
        <f>IF(A176="", "", IFERROR(VLOOKUP(A176, Clasificaciones!A:B, 2, FALSE), "DATO NO CARGADO"))</f>
        <v>Gastos Varios</v>
      </c>
      <c r="C176" s="51" t="s">
        <v>149</v>
      </c>
      <c r="D176" s="156">
        <v>2025.0</v>
      </c>
      <c r="E176" s="43" t="s">
        <v>371</v>
      </c>
      <c r="F176" s="170">
        <v>45813.0</v>
      </c>
      <c r="G176" s="170">
        <v>45777.0</v>
      </c>
      <c r="H176" s="162" t="s">
        <v>418</v>
      </c>
      <c r="I176" s="169" t="s">
        <v>550</v>
      </c>
      <c r="J176" s="170">
        <v>45813.0</v>
      </c>
      <c r="L176" s="171">
        <v>600.0</v>
      </c>
      <c r="M176" s="106" t="str">
        <f>IF(ISBLANK(K176), "", VLOOKUP(C176&amp;" "&amp;D176, 'Info Tipo de Cambio y REM'!$A$24:$B$35, 2, FALSE))</f>
        <v/>
      </c>
      <c r="N176" s="107">
        <f t="shared" si="1"/>
        <v>600</v>
      </c>
      <c r="O176" s="102" t="str">
        <f t="shared" si="2"/>
        <v>A término</v>
      </c>
    </row>
    <row r="177" hidden="1">
      <c r="A177" s="43" t="s">
        <v>120</v>
      </c>
      <c r="B177" s="43" t="str">
        <f>IF(A177="", "", IFERROR(VLOOKUP(A177, Clasificaciones!A:B, 2, FALSE), "DATO NO CARGADO"))</f>
        <v>Equipo</v>
      </c>
      <c r="C177" s="51" t="s">
        <v>149</v>
      </c>
      <c r="D177" s="156">
        <v>2025.0</v>
      </c>
      <c r="E177" s="43" t="s">
        <v>374</v>
      </c>
      <c r="F177" s="104">
        <v>45805.0</v>
      </c>
      <c r="G177" s="172">
        <v>45805.0</v>
      </c>
      <c r="H177" s="165" t="s">
        <v>387</v>
      </c>
      <c r="I177" s="43" t="s">
        <v>551</v>
      </c>
      <c r="J177" s="104">
        <v>45805.0</v>
      </c>
      <c r="L177" s="89">
        <v>1000.0</v>
      </c>
      <c r="M177" s="106" t="str">
        <f>IF(ISBLANK(K177), "", VLOOKUP(C177&amp;" "&amp;D177, 'Info Tipo de Cambio y REM'!$A$24:$B$35, 2, FALSE))</f>
        <v/>
      </c>
      <c r="N177" s="107">
        <f t="shared" si="1"/>
        <v>1000</v>
      </c>
      <c r="O177" s="102" t="str">
        <f t="shared" si="2"/>
        <v>A término</v>
      </c>
      <c r="P177" s="173"/>
      <c r="Q177" s="173"/>
      <c r="R177" s="173"/>
      <c r="S177" s="173"/>
      <c r="T177" s="173"/>
      <c r="U177" s="173"/>
      <c r="V177" s="173"/>
      <c r="W177" s="173"/>
      <c r="X177" s="173"/>
      <c r="Y177" s="173"/>
      <c r="Z177" s="173"/>
      <c r="AA177" s="173"/>
      <c r="AB177" s="173"/>
      <c r="AC177" s="173"/>
      <c r="AD177" s="173"/>
      <c r="AE177" s="173"/>
      <c r="AF177" s="173"/>
    </row>
    <row r="178" hidden="1">
      <c r="A178" s="43" t="s">
        <v>120</v>
      </c>
      <c r="B178" s="43" t="str">
        <f>IF(A178="", "", IFERROR(VLOOKUP(A178, Clasificaciones!A:B, 2, FALSE), "DATO NO CARGADO"))</f>
        <v>Equipo</v>
      </c>
      <c r="C178" s="51" t="s">
        <v>149</v>
      </c>
      <c r="D178" s="156">
        <v>2025.0</v>
      </c>
      <c r="E178" s="43" t="s">
        <v>374</v>
      </c>
      <c r="F178" s="104">
        <v>45805.0</v>
      </c>
      <c r="G178" s="172">
        <v>45805.0</v>
      </c>
      <c r="H178" s="165" t="s">
        <v>387</v>
      </c>
      <c r="I178" s="43" t="s">
        <v>552</v>
      </c>
      <c r="J178" s="104">
        <v>45805.0</v>
      </c>
      <c r="L178" s="89">
        <v>45.0</v>
      </c>
      <c r="M178" s="106" t="str">
        <f>IF(ISBLANK(K178), "", VLOOKUP(C178&amp;" "&amp;D178, 'Info Tipo de Cambio y REM'!$A$24:$B$35, 2, FALSE))</f>
        <v/>
      </c>
      <c r="N178" s="107">
        <f t="shared" si="1"/>
        <v>45</v>
      </c>
      <c r="O178" s="102" t="str">
        <f t="shared" si="2"/>
        <v>A término</v>
      </c>
      <c r="P178" s="173"/>
      <c r="Q178" s="173"/>
      <c r="R178" s="173"/>
      <c r="S178" s="173"/>
      <c r="T178" s="173"/>
      <c r="U178" s="173"/>
      <c r="V178" s="173"/>
      <c r="W178" s="173"/>
      <c r="X178" s="173"/>
      <c r="Y178" s="173"/>
      <c r="Z178" s="173"/>
      <c r="AA178" s="173"/>
      <c r="AB178" s="173"/>
      <c r="AC178" s="173"/>
      <c r="AD178" s="173"/>
      <c r="AE178" s="173"/>
      <c r="AF178" s="173"/>
    </row>
    <row r="179" hidden="1">
      <c r="A179" s="43" t="s">
        <v>228</v>
      </c>
      <c r="B179" s="43" t="str">
        <f>IF(A179="", "", IFERROR(VLOOKUP(A179, Clasificaciones!A:B, 2, FALSE), "DATO NO CARGADO"))</f>
        <v>Equipo</v>
      </c>
      <c r="C179" s="51" t="s">
        <v>149</v>
      </c>
      <c r="D179" s="156">
        <v>2025.0</v>
      </c>
      <c r="E179" s="43" t="s">
        <v>374</v>
      </c>
      <c r="F179" s="104">
        <v>45805.0</v>
      </c>
      <c r="G179" s="172">
        <v>45805.0</v>
      </c>
      <c r="H179" s="158" t="s">
        <v>436</v>
      </c>
      <c r="I179" s="43" t="s">
        <v>551</v>
      </c>
      <c r="J179" s="104">
        <v>45805.0</v>
      </c>
      <c r="L179" s="89">
        <v>1000.0</v>
      </c>
      <c r="M179" s="106" t="str">
        <f>IF(ISBLANK(K179), "", VLOOKUP(C179&amp;" "&amp;D179, 'Info Tipo de Cambio y REM'!$A$24:$B$35, 2, FALSE))</f>
        <v/>
      </c>
      <c r="N179" s="107">
        <f t="shared" si="1"/>
        <v>1000</v>
      </c>
      <c r="O179" s="102" t="str">
        <f t="shared" si="2"/>
        <v>A término</v>
      </c>
      <c r="P179" s="173"/>
      <c r="Q179" s="173"/>
      <c r="R179" s="173"/>
      <c r="S179" s="173"/>
      <c r="T179" s="173"/>
      <c r="U179" s="173"/>
      <c r="V179" s="173"/>
      <c r="W179" s="173"/>
      <c r="X179" s="173"/>
      <c r="Y179" s="173"/>
      <c r="Z179" s="173"/>
      <c r="AA179" s="173"/>
      <c r="AB179" s="173"/>
      <c r="AC179" s="173"/>
      <c r="AD179" s="173"/>
      <c r="AE179" s="173"/>
      <c r="AF179" s="173"/>
    </row>
    <row r="180" hidden="1">
      <c r="A180" s="43" t="s">
        <v>228</v>
      </c>
      <c r="B180" s="43" t="str">
        <f>IF(A180="", "", IFERROR(VLOOKUP(A180, Clasificaciones!A:B, 2, FALSE), "DATO NO CARGADO"))</f>
        <v>Equipo</v>
      </c>
      <c r="C180" s="51" t="s">
        <v>149</v>
      </c>
      <c r="D180" s="156">
        <v>2025.0</v>
      </c>
      <c r="E180" s="43" t="s">
        <v>374</v>
      </c>
      <c r="F180" s="104">
        <v>45805.0</v>
      </c>
      <c r="G180" s="172">
        <v>45805.0</v>
      </c>
      <c r="H180" s="158" t="s">
        <v>436</v>
      </c>
      <c r="I180" s="43" t="s">
        <v>552</v>
      </c>
      <c r="J180" s="104">
        <v>45805.0</v>
      </c>
      <c r="L180" s="89">
        <v>45.0</v>
      </c>
      <c r="M180" s="106" t="str">
        <f>IF(ISBLANK(K180), "", VLOOKUP(C180&amp;" "&amp;D180, 'Info Tipo de Cambio y REM'!$A$24:$B$35, 2, FALSE))</f>
        <v/>
      </c>
      <c r="N180" s="107">
        <f t="shared" si="1"/>
        <v>45</v>
      </c>
      <c r="O180" s="102" t="str">
        <f t="shared" si="2"/>
        <v>A término</v>
      </c>
      <c r="P180" s="173"/>
      <c r="Q180" s="173"/>
      <c r="R180" s="173"/>
      <c r="S180" s="173"/>
      <c r="T180" s="173"/>
      <c r="U180" s="173"/>
      <c r="V180" s="173"/>
      <c r="W180" s="173"/>
      <c r="X180" s="173"/>
      <c r="Y180" s="173"/>
      <c r="Z180" s="173"/>
      <c r="AA180" s="173"/>
      <c r="AB180" s="173"/>
      <c r="AC180" s="173"/>
      <c r="AD180" s="173"/>
      <c r="AE180" s="173"/>
      <c r="AF180" s="173"/>
    </row>
    <row r="181" hidden="1">
      <c r="A181" s="43" t="s">
        <v>191</v>
      </c>
      <c r="B181" s="43" t="str">
        <f>IF(A181="", "", IFERROR(VLOOKUP(A181, Clasificaciones!A:B, 2, FALSE), "DATO NO CARGADO"))</f>
        <v>Tarjeta</v>
      </c>
      <c r="C181" s="51" t="s">
        <v>149</v>
      </c>
      <c r="D181" s="156">
        <v>2025.0</v>
      </c>
      <c r="E181" s="43" t="s">
        <v>374</v>
      </c>
      <c r="F181" s="104">
        <v>45800.0</v>
      </c>
      <c r="G181" s="104">
        <v>45800.0</v>
      </c>
      <c r="H181" s="55" t="s">
        <v>522</v>
      </c>
      <c r="I181" s="169" t="s">
        <v>553</v>
      </c>
      <c r="J181" s="174">
        <v>45800.0</v>
      </c>
      <c r="L181" s="171">
        <v>29.99</v>
      </c>
      <c r="M181" s="106" t="str">
        <f>IF(ISBLANK(K181), "", VLOOKUP(C181&amp;" "&amp;D181, 'Info Tipo de Cambio y REM'!$A$24:$B$35, 2, FALSE))</f>
        <v/>
      </c>
      <c r="N181" s="107">
        <f t="shared" si="1"/>
        <v>29.99</v>
      </c>
      <c r="O181" s="102" t="str">
        <f t="shared" si="2"/>
        <v>A término</v>
      </c>
      <c r="P181" s="173"/>
      <c r="Q181" s="173"/>
      <c r="R181" s="173"/>
      <c r="S181" s="173"/>
      <c r="T181" s="173"/>
      <c r="U181" s="173"/>
      <c r="V181" s="173"/>
      <c r="W181" s="173"/>
      <c r="X181" s="173"/>
      <c r="Y181" s="173"/>
      <c r="Z181" s="173"/>
      <c r="AA181" s="173"/>
      <c r="AB181" s="173"/>
      <c r="AC181" s="173"/>
      <c r="AD181" s="173"/>
      <c r="AE181" s="173"/>
      <c r="AF181" s="173"/>
    </row>
    <row r="182" hidden="1">
      <c r="A182" s="43" t="s">
        <v>191</v>
      </c>
      <c r="B182" s="43" t="str">
        <f>IF(A182="", "", IFERROR(VLOOKUP(A182, Clasificaciones!A:B, 2, FALSE), "DATO NO CARGADO"))</f>
        <v>Tarjeta</v>
      </c>
      <c r="C182" s="51" t="s">
        <v>149</v>
      </c>
      <c r="D182" s="156">
        <v>2025.0</v>
      </c>
      <c r="E182" s="43" t="s">
        <v>374</v>
      </c>
      <c r="F182" s="104">
        <v>45804.0</v>
      </c>
      <c r="G182" s="104">
        <v>45804.0</v>
      </c>
      <c r="H182" s="55" t="s">
        <v>522</v>
      </c>
      <c r="I182" s="169" t="s">
        <v>554</v>
      </c>
      <c r="J182" s="174">
        <v>45804.0</v>
      </c>
      <c r="L182" s="171">
        <v>588.0</v>
      </c>
      <c r="M182" s="106" t="str">
        <f>IF(ISBLANK(K182), "", VLOOKUP(C182&amp;" "&amp;D182, 'Info Tipo de Cambio y REM'!$A$24:$B$35, 2, FALSE))</f>
        <v/>
      </c>
      <c r="N182" s="107">
        <f t="shared" si="1"/>
        <v>588</v>
      </c>
      <c r="O182" s="102" t="str">
        <f t="shared" si="2"/>
        <v>A término</v>
      </c>
      <c r="P182" s="173"/>
      <c r="Q182" s="173"/>
      <c r="R182" s="173"/>
      <c r="S182" s="173"/>
      <c r="T182" s="173"/>
      <c r="U182" s="173"/>
      <c r="V182" s="173"/>
      <c r="W182" s="173"/>
      <c r="X182" s="173"/>
      <c r="Y182" s="173"/>
      <c r="Z182" s="173"/>
      <c r="AA182" s="173"/>
      <c r="AB182" s="173"/>
      <c r="AC182" s="173"/>
      <c r="AD182" s="173"/>
      <c r="AE182" s="173"/>
      <c r="AF182" s="173"/>
    </row>
    <row r="183" hidden="1">
      <c r="A183" s="43" t="s">
        <v>191</v>
      </c>
      <c r="B183" s="43" t="str">
        <f>IF(A183="", "", IFERROR(VLOOKUP(A183, Clasificaciones!A:B, 2, FALSE), "DATO NO CARGADO"))</f>
        <v>Tarjeta</v>
      </c>
      <c r="C183" s="51" t="s">
        <v>149</v>
      </c>
      <c r="D183" s="156">
        <v>2025.0</v>
      </c>
      <c r="E183" s="43" t="s">
        <v>374</v>
      </c>
      <c r="F183" s="104">
        <v>45804.0</v>
      </c>
      <c r="G183" s="104">
        <v>45804.0</v>
      </c>
      <c r="H183" s="55" t="s">
        <v>522</v>
      </c>
      <c r="I183" s="169" t="s">
        <v>555</v>
      </c>
      <c r="J183" s="174">
        <v>45804.0</v>
      </c>
      <c r="L183" s="171">
        <v>609.8</v>
      </c>
      <c r="M183" s="106" t="str">
        <f>IF(ISBLANK(K183), "", VLOOKUP(C183&amp;" "&amp;D183, 'Info Tipo de Cambio y REM'!$A$24:$B$35, 2, FALSE))</f>
        <v/>
      </c>
      <c r="N183" s="107">
        <f t="shared" si="1"/>
        <v>609.8</v>
      </c>
      <c r="O183" s="102" t="str">
        <f t="shared" si="2"/>
        <v>A término</v>
      </c>
      <c r="P183" s="173"/>
      <c r="Q183" s="173"/>
      <c r="R183" s="173"/>
      <c r="S183" s="173"/>
      <c r="T183" s="173"/>
      <c r="U183" s="173"/>
      <c r="V183" s="173"/>
      <c r="W183" s="173"/>
      <c r="X183" s="173"/>
      <c r="Y183" s="173"/>
      <c r="Z183" s="173"/>
      <c r="AA183" s="173"/>
      <c r="AB183" s="173"/>
      <c r="AC183" s="173"/>
      <c r="AD183" s="173"/>
      <c r="AE183" s="173"/>
      <c r="AF183" s="173"/>
    </row>
    <row r="184" hidden="1">
      <c r="A184" s="43" t="s">
        <v>191</v>
      </c>
      <c r="B184" s="43" t="str">
        <f>IF(A184="", "", IFERROR(VLOOKUP(A184, Clasificaciones!A:B, 2, FALSE), "DATO NO CARGADO"))</f>
        <v>Tarjeta</v>
      </c>
      <c r="C184" s="51" t="s">
        <v>149</v>
      </c>
      <c r="D184" s="156">
        <v>2025.0</v>
      </c>
      <c r="E184" s="43" t="s">
        <v>374</v>
      </c>
      <c r="F184" s="104">
        <v>45805.0</v>
      </c>
      <c r="G184" s="104">
        <v>45805.0</v>
      </c>
      <c r="H184" s="55" t="s">
        <v>522</v>
      </c>
      <c r="I184" s="169" t="s">
        <v>556</v>
      </c>
      <c r="J184" s="174">
        <v>45805.0</v>
      </c>
      <c r="L184" s="171">
        <v>500.46</v>
      </c>
      <c r="M184" s="106" t="str">
        <f>IF(ISBLANK(K184), "", VLOOKUP(C184&amp;" "&amp;D184, 'Info Tipo de Cambio y REM'!$A$24:$B$35, 2, FALSE))</f>
        <v/>
      </c>
      <c r="N184" s="107">
        <f t="shared" si="1"/>
        <v>500.46</v>
      </c>
      <c r="O184" s="102" t="str">
        <f t="shared" si="2"/>
        <v>A término</v>
      </c>
      <c r="P184" s="173"/>
      <c r="Q184" s="173"/>
      <c r="R184" s="173"/>
      <c r="S184" s="173"/>
      <c r="T184" s="173"/>
      <c r="U184" s="173"/>
      <c r="V184" s="173"/>
      <c r="W184" s="173"/>
      <c r="X184" s="173"/>
      <c r="Y184" s="173"/>
      <c r="Z184" s="173"/>
      <c r="AA184" s="173"/>
      <c r="AB184" s="173"/>
      <c r="AC184" s="173"/>
      <c r="AD184" s="173"/>
      <c r="AE184" s="173"/>
      <c r="AF184" s="173"/>
    </row>
    <row r="185" hidden="1">
      <c r="A185" s="43" t="s">
        <v>191</v>
      </c>
      <c r="B185" s="43" t="str">
        <f>IF(A185="", "", IFERROR(VLOOKUP(A185, Clasificaciones!A:B, 2, FALSE), "DATO NO CARGADO"))</f>
        <v>Tarjeta</v>
      </c>
      <c r="C185" s="51" t="s">
        <v>149</v>
      </c>
      <c r="D185" s="156">
        <v>2025.0</v>
      </c>
      <c r="E185" s="43" t="s">
        <v>374</v>
      </c>
      <c r="F185" s="104">
        <v>45806.0</v>
      </c>
      <c r="G185" s="104">
        <v>45805.0</v>
      </c>
      <c r="H185" s="55" t="s">
        <v>522</v>
      </c>
      <c r="I185" s="169" t="s">
        <v>557</v>
      </c>
      <c r="J185" s="174">
        <v>45806.0</v>
      </c>
      <c r="L185" s="171">
        <v>6.15</v>
      </c>
      <c r="M185" s="106" t="str">
        <f>IF(ISBLANK(K185), "", VLOOKUP(C185&amp;" "&amp;D185, 'Info Tipo de Cambio y REM'!$A$24:$B$35, 2, FALSE))</f>
        <v/>
      </c>
      <c r="N185" s="107">
        <f t="shared" si="1"/>
        <v>6.15</v>
      </c>
      <c r="O185" s="102" t="str">
        <f t="shared" si="2"/>
        <v>A término</v>
      </c>
      <c r="P185" s="173"/>
      <c r="Q185" s="173"/>
      <c r="R185" s="173"/>
      <c r="S185" s="173"/>
      <c r="T185" s="173"/>
      <c r="U185" s="173"/>
      <c r="V185" s="173"/>
      <c r="W185" s="173"/>
      <c r="X185" s="173"/>
      <c r="Y185" s="173"/>
      <c r="Z185" s="173"/>
      <c r="AA185" s="173"/>
      <c r="AB185" s="173"/>
      <c r="AC185" s="173"/>
      <c r="AD185" s="173"/>
      <c r="AE185" s="173"/>
      <c r="AF185" s="173"/>
    </row>
    <row r="186" hidden="1">
      <c r="A186" s="43" t="s">
        <v>187</v>
      </c>
      <c r="B186" s="43" t="str">
        <f>IF(A186="", "", IFERROR(VLOOKUP(A186, Clasificaciones!A:B, 2, FALSE), "DATO NO CARGADO"))</f>
        <v>Gastos Varios</v>
      </c>
      <c r="C186" s="51" t="s">
        <v>149</v>
      </c>
      <c r="D186" s="156">
        <v>2025.0</v>
      </c>
      <c r="E186" s="43" t="s">
        <v>371</v>
      </c>
      <c r="F186" s="170">
        <v>45842.0</v>
      </c>
      <c r="G186" s="104">
        <v>45807.0</v>
      </c>
      <c r="H186" s="165" t="s">
        <v>418</v>
      </c>
      <c r="I186" s="43" t="s">
        <v>558</v>
      </c>
      <c r="J186" s="168">
        <v>45839.0</v>
      </c>
      <c r="L186" s="89">
        <v>600.0</v>
      </c>
      <c r="M186" s="106" t="str">
        <f>IF(ISBLANK(K186), "", VLOOKUP(C186&amp;" "&amp;D186, 'Info Tipo de Cambio y REM'!$A$24:$B$35, 2, FALSE))</f>
        <v/>
      </c>
      <c r="N186" s="107">
        <f t="shared" si="1"/>
        <v>600</v>
      </c>
      <c r="O186" s="102" t="str">
        <f t="shared" si="2"/>
        <v>Vencido</v>
      </c>
    </row>
    <row r="187" hidden="1">
      <c r="A187" s="43" t="s">
        <v>152</v>
      </c>
      <c r="B187" s="43" t="str">
        <f>IF(A187="", "", IFERROR(VLOOKUP(A187, Clasificaciones!A:B, 2, FALSE), "DATO NO CARGADO"))</f>
        <v>Impuestos ARG</v>
      </c>
      <c r="C187" s="51" t="s">
        <v>149</v>
      </c>
      <c r="D187" s="156">
        <v>2025.0</v>
      </c>
      <c r="E187" s="43" t="s">
        <v>371</v>
      </c>
      <c r="F187" s="329">
        <v>45831.0</v>
      </c>
      <c r="G187" s="172">
        <v>45807.0</v>
      </c>
      <c r="H187" s="165" t="s">
        <v>559</v>
      </c>
      <c r="J187" s="168">
        <v>45832.0</v>
      </c>
      <c r="K187" s="175">
        <v>1673785.0</v>
      </c>
      <c r="L187" s="71"/>
      <c r="M187" s="106">
        <f>IF(ISBLANK(K187), "", VLOOKUP(C187&amp;" "&amp;D187, 'Info Tipo de Cambio y REM'!$A$24:$B$35, 2, FALSE))</f>
        <v>1180</v>
      </c>
      <c r="N187" s="107">
        <f t="shared" si="1"/>
        <v>1418.461864</v>
      </c>
      <c r="O187" s="102" t="str">
        <f t="shared" si="2"/>
        <v>A término</v>
      </c>
    </row>
    <row r="188" hidden="1">
      <c r="A188" s="43" t="s">
        <v>146</v>
      </c>
      <c r="B188" s="43" t="str">
        <f>IF(A188="", "", IFERROR(VLOOKUP(A188, Clasificaciones!A:B, 2, FALSE), "DATO NO CARGADO"))</f>
        <v>Impuestos ARG</v>
      </c>
      <c r="C188" s="51" t="s">
        <v>149</v>
      </c>
      <c r="D188" s="156">
        <v>2025.0</v>
      </c>
      <c r="E188" s="43" t="s">
        <v>371</v>
      </c>
      <c r="F188" s="329">
        <v>45831.0</v>
      </c>
      <c r="G188" s="172">
        <v>45807.0</v>
      </c>
      <c r="H188" s="165" t="s">
        <v>560</v>
      </c>
      <c r="J188" s="168">
        <v>45827.0</v>
      </c>
      <c r="K188" s="176">
        <v>308917.53465000005</v>
      </c>
      <c r="L188" s="71"/>
      <c r="M188" s="106">
        <f>IF(ISBLANK(K188), "", VLOOKUP(C188&amp;" "&amp;D188, 'Info Tipo de Cambio y REM'!$A$24:$B$35, 2, FALSE))</f>
        <v>1180</v>
      </c>
      <c r="N188" s="107">
        <f t="shared" si="1"/>
        <v>261.7945209</v>
      </c>
      <c r="O188" s="102" t="str">
        <f t="shared" si="2"/>
        <v>Vencido</v>
      </c>
    </row>
    <row r="189" hidden="1">
      <c r="A189" s="43" t="s">
        <v>164</v>
      </c>
      <c r="B189" s="43" t="str">
        <f>IF(A189="", "", IFERROR(VLOOKUP(A189, Clasificaciones!A:B, 2, FALSE), "DATO NO CARGADO"))</f>
        <v>Estudio Contable</v>
      </c>
      <c r="C189" s="51" t="s">
        <v>149</v>
      </c>
      <c r="D189" s="156">
        <v>2025.0</v>
      </c>
      <c r="E189" s="43" t="s">
        <v>371</v>
      </c>
      <c r="F189" s="329">
        <v>45866.0</v>
      </c>
      <c r="G189" s="172">
        <v>45807.0</v>
      </c>
      <c r="H189" s="165" t="s">
        <v>561</v>
      </c>
      <c r="J189" s="168">
        <v>45848.0</v>
      </c>
      <c r="K189" s="176">
        <v>49229.886</v>
      </c>
      <c r="L189" s="71"/>
      <c r="M189" s="106">
        <f>IF(ISBLANK(K189), "", VLOOKUP(C189&amp;" "&amp;D189, 'Info Tipo de Cambio y REM'!$A$24:$B$35, 2, FALSE))</f>
        <v>1180</v>
      </c>
      <c r="N189" s="107">
        <f t="shared" si="1"/>
        <v>41.72024237</v>
      </c>
      <c r="O189" s="102" t="str">
        <f t="shared" si="2"/>
        <v>Vencido</v>
      </c>
    </row>
    <row r="190" hidden="1">
      <c r="A190" s="156" t="s">
        <v>153</v>
      </c>
      <c r="B190" s="156" t="str">
        <f>IF(A190="", "", IFERROR(VLOOKUP(A190, Clasificaciones!A:B, 2, FALSE), "DATO NO CARGADO"))</f>
        <v>Impuestos USA</v>
      </c>
      <c r="C190" s="330" t="s">
        <v>149</v>
      </c>
      <c r="D190" s="156">
        <v>2025.0</v>
      </c>
      <c r="E190" s="156" t="s">
        <v>371</v>
      </c>
      <c r="F190" s="183"/>
      <c r="G190" s="183">
        <v>45807.0</v>
      </c>
      <c r="H190" s="230" t="s">
        <v>562</v>
      </c>
      <c r="I190" s="156" t="s">
        <v>563</v>
      </c>
      <c r="J190" s="183">
        <v>46142.0</v>
      </c>
      <c r="K190" s="331"/>
      <c r="L190" s="332">
        <v>-4124.0</v>
      </c>
      <c r="M190" s="106" t="str">
        <f>IF(ISBLANK(K190), "", VLOOKUP(C190&amp;" "&amp;D190, 'Info Tipo de Cambio y REM'!$A$24:$B$35, 2, FALSE))</f>
        <v/>
      </c>
      <c r="N190" s="333">
        <f t="shared" si="1"/>
        <v>-4124</v>
      </c>
      <c r="O190" s="102" t="str">
        <f t="shared" si="2"/>
        <v>A término</v>
      </c>
      <c r="P190" s="257"/>
      <c r="Q190" s="257"/>
      <c r="R190" s="257"/>
      <c r="S190" s="257"/>
      <c r="T190" s="257"/>
      <c r="U190" s="257"/>
      <c r="V190" s="257"/>
      <c r="W190" s="257"/>
      <c r="X190" s="257"/>
      <c r="Y190" s="257"/>
      <c r="Z190" s="257"/>
      <c r="AA190" s="257"/>
      <c r="AB190" s="257"/>
      <c r="AC190" s="257"/>
      <c r="AD190" s="257"/>
      <c r="AE190" s="257"/>
      <c r="AF190" s="257"/>
    </row>
    <row r="191" hidden="1">
      <c r="A191" s="43" t="s">
        <v>222</v>
      </c>
      <c r="B191" s="43" t="str">
        <f>IF(A191="", "", IFERROR(VLOOKUP(A191, Clasificaciones!A:B, 2, FALSE), "DATO NO CARGADO"))</f>
        <v>Oxean</v>
      </c>
      <c r="C191" s="51" t="s">
        <v>149</v>
      </c>
      <c r="D191" s="156">
        <v>2025.0</v>
      </c>
      <c r="E191" s="43" t="s">
        <v>371</v>
      </c>
      <c r="F191" s="329">
        <v>45831.0</v>
      </c>
      <c r="G191" s="183">
        <v>45807.0</v>
      </c>
      <c r="H191" s="165" t="s">
        <v>564</v>
      </c>
      <c r="J191" s="168">
        <v>45818.0</v>
      </c>
      <c r="K191" s="89">
        <v>4500000.0</v>
      </c>
      <c r="L191" s="71"/>
      <c r="M191" s="106">
        <f>IF(ISBLANK(K191), "", VLOOKUP(C191&amp;" "&amp;D191, 'Info Tipo de Cambio y REM'!$A$24:$B$35, 2, FALSE))</f>
        <v>1180</v>
      </c>
      <c r="N191" s="107">
        <f t="shared" si="1"/>
        <v>3813.559322</v>
      </c>
      <c r="O191" s="102" t="str">
        <f t="shared" si="2"/>
        <v>Vencido</v>
      </c>
    </row>
    <row r="192" hidden="1">
      <c r="A192" s="43" t="s">
        <v>158</v>
      </c>
      <c r="B192" s="43" t="str">
        <f>IF(A192="", "", IFERROR(VLOOKUP(A192, Clasificaciones!A:B, 2, FALSE), "DATO NO CARGADO"))</f>
        <v>Tarjeta</v>
      </c>
      <c r="C192" s="51" t="s">
        <v>149</v>
      </c>
      <c r="D192" s="156">
        <v>2025.0</v>
      </c>
      <c r="E192" s="43" t="s">
        <v>371</v>
      </c>
      <c r="F192" s="329">
        <v>45821.0</v>
      </c>
      <c r="G192" s="104">
        <v>45807.0</v>
      </c>
      <c r="H192" s="184" t="s">
        <v>565</v>
      </c>
      <c r="I192" s="132"/>
      <c r="J192" s="185">
        <v>45826.0</v>
      </c>
      <c r="K192" s="89">
        <v>223609.31</v>
      </c>
      <c r="L192" s="71"/>
      <c r="M192" s="106">
        <f>IF(ISBLANK(K192), "", VLOOKUP(C192&amp;" "&amp;D192, 'Info Tipo de Cambio y REM'!$A$24:$B$35, 2, FALSE))</f>
        <v>1180</v>
      </c>
      <c r="N192" s="107">
        <f t="shared" si="1"/>
        <v>189.4994153</v>
      </c>
      <c r="O192" s="102" t="str">
        <f t="shared" si="2"/>
        <v>A término</v>
      </c>
    </row>
    <row r="193" hidden="1">
      <c r="A193" s="43" t="s">
        <v>214</v>
      </c>
      <c r="B193" s="43" t="str">
        <f>IF(A193="", "", IFERROR(VLOOKUP(A193, Clasificaciones!A:B, 2, FALSE), "DATO NO CARGADO"))</f>
        <v>Equipo</v>
      </c>
      <c r="C193" s="51" t="s">
        <v>149</v>
      </c>
      <c r="D193" s="156">
        <v>2025.0</v>
      </c>
      <c r="E193" s="43" t="s">
        <v>371</v>
      </c>
      <c r="F193" s="329">
        <v>45820.0</v>
      </c>
      <c r="G193" s="186">
        <v>45807.0</v>
      </c>
      <c r="H193" s="187" t="s">
        <v>566</v>
      </c>
      <c r="I193" s="121" t="s">
        <v>567</v>
      </c>
      <c r="J193" s="104">
        <v>45820.0</v>
      </c>
      <c r="K193" s="188">
        <v>1600000.0</v>
      </c>
      <c r="L193" s="71"/>
      <c r="M193" s="106">
        <f>IF(ISBLANK(K193), "", VLOOKUP(C193&amp;" "&amp;D193, 'Info Tipo de Cambio y REM'!$A$24:$B$35, 2, FALSE))</f>
        <v>1180</v>
      </c>
      <c r="N193" s="107">
        <f t="shared" si="1"/>
        <v>1355.932203</v>
      </c>
      <c r="O193" s="102" t="str">
        <f t="shared" si="2"/>
        <v>A término</v>
      </c>
    </row>
    <row r="194" hidden="1">
      <c r="A194" s="43" t="s">
        <v>205</v>
      </c>
      <c r="B194" s="43" t="str">
        <f>IF(A194="", "", IFERROR(VLOOKUP(A194, Clasificaciones!A:B, 2, FALSE), "DATO NO CARGADO"))</f>
        <v>Equipo</v>
      </c>
      <c r="C194" s="51" t="s">
        <v>149</v>
      </c>
      <c r="D194" s="156">
        <v>2025.0</v>
      </c>
      <c r="E194" s="43" t="s">
        <v>371</v>
      </c>
      <c r="F194" s="329">
        <v>45820.0</v>
      </c>
      <c r="G194" s="186">
        <v>45808.0</v>
      </c>
      <c r="H194" s="187" t="s">
        <v>379</v>
      </c>
      <c r="I194" s="121" t="s">
        <v>568</v>
      </c>
      <c r="J194" s="104">
        <v>45820.0</v>
      </c>
      <c r="K194" s="188">
        <v>1173200.0</v>
      </c>
      <c r="L194" s="71"/>
      <c r="M194" s="106">
        <f>IF(ISBLANK(K194), "", VLOOKUP(C194&amp;" "&amp;D194, 'Info Tipo de Cambio y REM'!$A$24:$B$35, 2, FALSE))</f>
        <v>1180</v>
      </c>
      <c r="N194" s="107">
        <f t="shared" si="1"/>
        <v>994.2372881</v>
      </c>
      <c r="O194" s="102" t="str">
        <f t="shared" si="2"/>
        <v>A término</v>
      </c>
    </row>
    <row r="195" hidden="1">
      <c r="A195" s="43" t="s">
        <v>200</v>
      </c>
      <c r="B195" s="43" t="str">
        <f>IF(A195="", "", IFERROR(VLOOKUP(A195, Clasificaciones!A:B, 2, FALSE), "DATO NO CARGADO"))</f>
        <v>Equipo</v>
      </c>
      <c r="C195" s="51" t="s">
        <v>149</v>
      </c>
      <c r="D195" s="156">
        <v>2025.0</v>
      </c>
      <c r="E195" s="43" t="s">
        <v>371</v>
      </c>
      <c r="F195" s="329">
        <v>45820.0</v>
      </c>
      <c r="G195" s="186">
        <v>45807.0</v>
      </c>
      <c r="H195" s="187" t="s">
        <v>381</v>
      </c>
      <c r="I195" s="121" t="s">
        <v>569</v>
      </c>
      <c r="J195" s="104">
        <v>45820.0</v>
      </c>
      <c r="K195" s="188">
        <v>2829279.0</v>
      </c>
      <c r="L195" s="71"/>
      <c r="M195" s="106">
        <f>IF(ISBLANK(K195), "", VLOOKUP(C195&amp;" "&amp;D195, 'Info Tipo de Cambio y REM'!$A$24:$B$35, 2, FALSE))</f>
        <v>1180</v>
      </c>
      <c r="N195" s="107">
        <f t="shared" si="1"/>
        <v>2397.694068</v>
      </c>
      <c r="O195" s="102" t="str">
        <f t="shared" si="2"/>
        <v>A término</v>
      </c>
    </row>
    <row r="196" hidden="1">
      <c r="A196" s="43" t="s">
        <v>228</v>
      </c>
      <c r="B196" s="43" t="str">
        <f>IF(A196="", "", IFERROR(VLOOKUP(A196, Clasificaciones!A:B, 2, FALSE), "DATO NO CARGADO"))</f>
        <v>Equipo</v>
      </c>
      <c r="C196" s="51" t="s">
        <v>149</v>
      </c>
      <c r="D196" s="156">
        <v>2025.0</v>
      </c>
      <c r="E196" s="43" t="s">
        <v>371</v>
      </c>
      <c r="F196" s="329">
        <v>45820.0</v>
      </c>
      <c r="G196" s="186">
        <v>45807.0</v>
      </c>
      <c r="H196" s="187" t="s">
        <v>436</v>
      </c>
      <c r="I196" s="121" t="s">
        <v>570</v>
      </c>
      <c r="J196" s="104">
        <v>45813.0</v>
      </c>
      <c r="K196" s="188">
        <v>785600.0</v>
      </c>
      <c r="L196" s="71"/>
      <c r="M196" s="106">
        <f>IF(ISBLANK(K196), "", VLOOKUP(C196&amp;" "&amp;D196, 'Info Tipo de Cambio y REM'!$A$24:$B$35, 2, FALSE))</f>
        <v>1180</v>
      </c>
      <c r="N196" s="107">
        <f t="shared" si="1"/>
        <v>665.7627119</v>
      </c>
      <c r="O196" s="102" t="str">
        <f t="shared" si="2"/>
        <v>Vencido</v>
      </c>
    </row>
    <row r="197" hidden="1">
      <c r="A197" s="43" t="s">
        <v>226</v>
      </c>
      <c r="B197" s="43" t="str">
        <f>IF(A197="", "", IFERROR(VLOOKUP(A197, Clasificaciones!A:B, 2, FALSE), "DATO NO CARGADO"))</f>
        <v>Administración Finanzas</v>
      </c>
      <c r="C197" s="51" t="s">
        <v>149</v>
      </c>
      <c r="D197" s="156">
        <v>2025.0</v>
      </c>
      <c r="E197" s="43" t="s">
        <v>371</v>
      </c>
      <c r="F197" s="329">
        <v>45820.0</v>
      </c>
      <c r="G197" s="186">
        <v>45807.0</v>
      </c>
      <c r="H197" s="187" t="s">
        <v>383</v>
      </c>
      <c r="I197" s="121" t="s">
        <v>571</v>
      </c>
      <c r="J197" s="104">
        <v>45820.0</v>
      </c>
      <c r="K197" s="188">
        <v>537700.0</v>
      </c>
      <c r="L197" s="71"/>
      <c r="M197" s="106">
        <f>IF(ISBLANK(K197), "", VLOOKUP(C197&amp;" "&amp;D197, 'Info Tipo de Cambio y REM'!$A$24:$B$35, 2, FALSE))</f>
        <v>1180</v>
      </c>
      <c r="N197" s="107">
        <f t="shared" si="1"/>
        <v>455.6779661</v>
      </c>
      <c r="O197" s="102" t="str">
        <f t="shared" si="2"/>
        <v>A término</v>
      </c>
    </row>
    <row r="198" hidden="1">
      <c r="A198" s="43" t="s">
        <v>120</v>
      </c>
      <c r="B198" s="43" t="str">
        <f>IF(A198="", "", IFERROR(VLOOKUP(A198, Clasificaciones!A:B, 2, FALSE), "DATO NO CARGADO"))</f>
        <v>Equipo</v>
      </c>
      <c r="C198" s="51" t="s">
        <v>149</v>
      </c>
      <c r="D198" s="156">
        <v>2025.0</v>
      </c>
      <c r="E198" s="43" t="s">
        <v>371</v>
      </c>
      <c r="F198" s="329">
        <v>45820.0</v>
      </c>
      <c r="G198" s="186">
        <v>45807.0</v>
      </c>
      <c r="H198" s="187" t="s">
        <v>387</v>
      </c>
      <c r="I198" s="121" t="s">
        <v>386</v>
      </c>
      <c r="J198" s="104">
        <v>45813.0</v>
      </c>
      <c r="K198" s="188">
        <v>1770877.0</v>
      </c>
      <c r="L198" s="71"/>
      <c r="M198" s="106">
        <f>IF(ISBLANK(K198), "", VLOOKUP(C198&amp;" "&amp;D198, 'Info Tipo de Cambio y REM'!$A$24:$B$35, 2, FALSE))</f>
        <v>1180</v>
      </c>
      <c r="N198" s="107">
        <f t="shared" si="1"/>
        <v>1500.74322</v>
      </c>
      <c r="O198" s="102" t="str">
        <f t="shared" si="2"/>
        <v>Vencido</v>
      </c>
    </row>
    <row r="199" hidden="1">
      <c r="A199" s="43" t="s">
        <v>207</v>
      </c>
      <c r="B199" s="43" t="str">
        <f>IF(A199="", "", IFERROR(VLOOKUP(A199, Clasificaciones!A:B, 2, FALSE), "DATO NO CARGADO"))</f>
        <v>Equipo</v>
      </c>
      <c r="C199" s="51" t="s">
        <v>149</v>
      </c>
      <c r="D199" s="156">
        <v>2025.0</v>
      </c>
      <c r="E199" s="43" t="s">
        <v>371</v>
      </c>
      <c r="F199" s="329">
        <v>45820.0</v>
      </c>
      <c r="G199" s="186">
        <v>45807.0</v>
      </c>
      <c r="H199" s="187" t="s">
        <v>389</v>
      </c>
      <c r="I199" s="121" t="s">
        <v>572</v>
      </c>
      <c r="J199" s="104">
        <v>45820.0</v>
      </c>
      <c r="K199" s="188">
        <v>1015300.0</v>
      </c>
      <c r="L199" s="71"/>
      <c r="M199" s="106">
        <f>IF(ISBLANK(K199), "", VLOOKUP(C199&amp;" "&amp;D199, 'Info Tipo de Cambio y REM'!$A$24:$B$35, 2, FALSE))</f>
        <v>1180</v>
      </c>
      <c r="N199" s="107">
        <f t="shared" si="1"/>
        <v>860.4237288</v>
      </c>
      <c r="O199" s="102" t="str">
        <f t="shared" si="2"/>
        <v>A término</v>
      </c>
    </row>
    <row r="200" hidden="1">
      <c r="A200" s="43" t="s">
        <v>87</v>
      </c>
      <c r="B200" s="43" t="str">
        <f>IF(A200="", "", IFERROR(VLOOKUP(A200, Clasificaciones!A:B, 2, FALSE), "DATO NO CARGADO"))</f>
        <v>Equipo</v>
      </c>
      <c r="C200" s="51" t="s">
        <v>149</v>
      </c>
      <c r="D200" s="156">
        <v>2025.0</v>
      </c>
      <c r="E200" s="43" t="s">
        <v>371</v>
      </c>
      <c r="F200" s="329">
        <v>45820.0</v>
      </c>
      <c r="G200" s="186">
        <v>45810.0</v>
      </c>
      <c r="H200" s="187" t="s">
        <v>391</v>
      </c>
      <c r="I200" s="121" t="s">
        <v>573</v>
      </c>
      <c r="J200" s="104">
        <v>45820.0</v>
      </c>
      <c r="K200" s="188">
        <v>701360.0</v>
      </c>
      <c r="L200" s="71"/>
      <c r="M200" s="106">
        <f>IF(ISBLANK(K200), "", VLOOKUP(C200&amp;" "&amp;D200, 'Info Tipo de Cambio y REM'!$A$24:$B$35, 2, FALSE))</f>
        <v>1180</v>
      </c>
      <c r="N200" s="107">
        <f t="shared" si="1"/>
        <v>594.3728814</v>
      </c>
      <c r="O200" s="102" t="str">
        <f t="shared" si="2"/>
        <v>A término</v>
      </c>
    </row>
    <row r="201" hidden="1">
      <c r="A201" s="43" t="s">
        <v>210</v>
      </c>
      <c r="B201" s="43" t="str">
        <f>IF(A201="", "", IFERROR(VLOOKUP(A201, Clasificaciones!A:B, 2, FALSE), "DATO NO CARGADO"))</f>
        <v>Equipo</v>
      </c>
      <c r="C201" s="51" t="s">
        <v>149</v>
      </c>
      <c r="D201" s="156">
        <v>2025.0</v>
      </c>
      <c r="E201" s="43" t="s">
        <v>371</v>
      </c>
      <c r="F201" s="329">
        <v>45820.0</v>
      </c>
      <c r="G201" s="186">
        <v>45807.0</v>
      </c>
      <c r="H201" s="187" t="s">
        <v>397</v>
      </c>
      <c r="I201" s="121" t="s">
        <v>574</v>
      </c>
      <c r="J201" s="104">
        <v>45820.0</v>
      </c>
      <c r="K201" s="188">
        <v>117320.0</v>
      </c>
      <c r="L201" s="71"/>
      <c r="M201" s="106">
        <f>IF(ISBLANK(K201), "", VLOOKUP(C201&amp;" "&amp;D201, 'Info Tipo de Cambio y REM'!$A$24:$B$35, 2, FALSE))</f>
        <v>1180</v>
      </c>
      <c r="N201" s="107">
        <f t="shared" si="1"/>
        <v>99.42372881</v>
      </c>
      <c r="O201" s="102" t="str">
        <f t="shared" si="2"/>
        <v>A término</v>
      </c>
    </row>
    <row r="202" hidden="1">
      <c r="A202" s="43" t="s">
        <v>219</v>
      </c>
      <c r="B202" s="43" t="str">
        <f>IF(A202="", "", IFERROR(VLOOKUP(A202, Clasificaciones!A:B, 2, FALSE), "DATO NO CARGADO"))</f>
        <v>Gastos Varios</v>
      </c>
      <c r="C202" s="51" t="s">
        <v>149</v>
      </c>
      <c r="D202" s="156">
        <v>2025.0</v>
      </c>
      <c r="E202" s="43" t="s">
        <v>371</v>
      </c>
      <c r="F202" s="329">
        <v>45821.0</v>
      </c>
      <c r="G202" s="186">
        <v>45807.0</v>
      </c>
      <c r="H202" s="187" t="s">
        <v>575</v>
      </c>
      <c r="I202" s="189"/>
      <c r="J202" s="104">
        <v>45820.0</v>
      </c>
      <c r="K202" s="188">
        <v>529405.0</v>
      </c>
      <c r="L202" s="71"/>
      <c r="M202" s="106">
        <f>IF(ISBLANK(K202), "", VLOOKUP(C202&amp;" "&amp;D202, 'Info Tipo de Cambio y REM'!$A$24:$B$35, 2, FALSE))</f>
        <v>1180</v>
      </c>
      <c r="N202" s="107">
        <f t="shared" si="1"/>
        <v>448.6483051</v>
      </c>
      <c r="O202" s="102" t="str">
        <f t="shared" si="2"/>
        <v>Vencido</v>
      </c>
    </row>
    <row r="203" hidden="1">
      <c r="A203" s="43" t="s">
        <v>216</v>
      </c>
      <c r="B203" s="43" t="str">
        <f>IF(A203="", "", IFERROR(VLOOKUP(A203, Clasificaciones!A:B, 2, FALSE), "DATO NO CARGADO"))</f>
        <v>Equipo</v>
      </c>
      <c r="C203" s="51" t="s">
        <v>149</v>
      </c>
      <c r="D203" s="156">
        <v>2025.0</v>
      </c>
      <c r="E203" s="43" t="s">
        <v>371</v>
      </c>
      <c r="F203" s="329">
        <v>45820.0</v>
      </c>
      <c r="G203" s="186">
        <v>45807.0</v>
      </c>
      <c r="H203" s="187" t="s">
        <v>401</v>
      </c>
      <c r="I203" s="121" t="s">
        <v>576</v>
      </c>
      <c r="J203" s="104">
        <v>45820.0</v>
      </c>
      <c r="K203" s="188">
        <v>998564.0</v>
      </c>
      <c r="L203" s="71"/>
      <c r="M203" s="106">
        <f>IF(ISBLANK(K203), "", VLOOKUP(C203&amp;" "&amp;D203, 'Info Tipo de Cambio y REM'!$A$24:$B$35, 2, FALSE))</f>
        <v>1180</v>
      </c>
      <c r="N203" s="107">
        <f t="shared" si="1"/>
        <v>846.240678</v>
      </c>
      <c r="O203" s="102" t="str">
        <f t="shared" si="2"/>
        <v>A término</v>
      </c>
    </row>
    <row r="204" hidden="1">
      <c r="A204" s="43" t="s">
        <v>194</v>
      </c>
      <c r="B204" s="43" t="str">
        <f>IF(A204="", "", IFERROR(VLOOKUP(A204, Clasificaciones!A:B, 2, FALSE), "DATO NO CARGADO"))</f>
        <v>Equipo</v>
      </c>
      <c r="C204" s="51" t="s">
        <v>149</v>
      </c>
      <c r="D204" s="156">
        <v>2025.0</v>
      </c>
      <c r="E204" s="43" t="s">
        <v>371</v>
      </c>
      <c r="F204" s="329">
        <v>45820.0</v>
      </c>
      <c r="G204" s="186">
        <v>45807.0</v>
      </c>
      <c r="H204" s="187" t="s">
        <v>403</v>
      </c>
      <c r="I204" s="121" t="s">
        <v>568</v>
      </c>
      <c r="J204" s="104">
        <v>45820.0</v>
      </c>
      <c r="K204" s="188">
        <v>1929556.0</v>
      </c>
      <c r="L204" s="71"/>
      <c r="M204" s="106">
        <f>IF(ISBLANK(K204), "", VLOOKUP(C204&amp;" "&amp;D204, 'Info Tipo de Cambio y REM'!$A$24:$B$35, 2, FALSE))</f>
        <v>1180</v>
      </c>
      <c r="N204" s="107">
        <f t="shared" si="1"/>
        <v>1635.216949</v>
      </c>
      <c r="O204" s="102" t="str">
        <f t="shared" si="2"/>
        <v>A término</v>
      </c>
    </row>
    <row r="205" hidden="1">
      <c r="A205" s="43" t="s">
        <v>139</v>
      </c>
      <c r="B205" s="43" t="str">
        <f>IF(A205="", "", IFERROR(VLOOKUP(A205, Clasificaciones!A:B, 2, FALSE), "DATO NO CARGADO"))</f>
        <v>People</v>
      </c>
      <c r="C205" s="51" t="s">
        <v>149</v>
      </c>
      <c r="D205" s="156">
        <v>2025.0</v>
      </c>
      <c r="E205" s="43" t="s">
        <v>371</v>
      </c>
      <c r="F205" s="329">
        <v>45820.0</v>
      </c>
      <c r="G205" s="186">
        <v>45807.0</v>
      </c>
      <c r="H205" s="187" t="s">
        <v>413</v>
      </c>
      <c r="I205" s="121" t="s">
        <v>444</v>
      </c>
      <c r="J205" s="104">
        <v>45820.0</v>
      </c>
      <c r="K205" s="188">
        <v>45658.4</v>
      </c>
      <c r="L205" s="71"/>
      <c r="M205" s="106">
        <f>IF(ISBLANK(K205), "", VLOOKUP(C205&amp;" "&amp;D205, 'Info Tipo de Cambio y REM'!$A$24:$B$35, 2, FALSE))</f>
        <v>1180</v>
      </c>
      <c r="N205" s="107">
        <f t="shared" si="1"/>
        <v>38.69355932</v>
      </c>
      <c r="O205" s="102" t="str">
        <f t="shared" si="2"/>
        <v>A término</v>
      </c>
    </row>
    <row r="206" hidden="1">
      <c r="A206" s="43" t="s">
        <v>230</v>
      </c>
      <c r="B206" s="43" t="str">
        <f>IF(A206="", "", IFERROR(VLOOKUP(A206, Clasificaciones!A:B, 2, FALSE), "DATO NO CARGADO"))</f>
        <v>Equipo</v>
      </c>
      <c r="C206" s="51" t="s">
        <v>149</v>
      </c>
      <c r="D206" s="156">
        <v>2025.0</v>
      </c>
      <c r="E206" s="43" t="s">
        <v>371</v>
      </c>
      <c r="F206" s="329">
        <v>45820.0</v>
      </c>
      <c r="G206" s="186">
        <v>45807.0</v>
      </c>
      <c r="H206" s="187" t="s">
        <v>577</v>
      </c>
      <c r="I206" s="121" t="s">
        <v>578</v>
      </c>
      <c r="J206" s="104">
        <v>45820.0</v>
      </c>
      <c r="K206" s="188">
        <v>1700000.0</v>
      </c>
      <c r="L206" s="71"/>
      <c r="M206" s="106">
        <f>IF(ISBLANK(K206), "", VLOOKUP(C206&amp;" "&amp;D206, 'Info Tipo de Cambio y REM'!$A$24:$B$35, 2, FALSE))</f>
        <v>1180</v>
      </c>
      <c r="N206" s="107">
        <f t="shared" si="1"/>
        <v>1440.677966</v>
      </c>
      <c r="O206" s="102" t="str">
        <f t="shared" si="2"/>
        <v>A término</v>
      </c>
    </row>
    <row r="207" hidden="1">
      <c r="A207" s="43" t="s">
        <v>229</v>
      </c>
      <c r="B207" s="43" t="str">
        <f>IF(A207="", "", IFERROR(VLOOKUP(A207, Clasificaciones!A:B, 2, FALSE), "DATO NO CARGADO"))</f>
        <v>Equipo</v>
      </c>
      <c r="C207" s="51" t="s">
        <v>149</v>
      </c>
      <c r="D207" s="156">
        <v>2025.0</v>
      </c>
      <c r="E207" s="43" t="s">
        <v>371</v>
      </c>
      <c r="F207" s="329">
        <v>45820.0</v>
      </c>
      <c r="G207" s="186">
        <v>45807.0</v>
      </c>
      <c r="H207" s="187" t="s">
        <v>504</v>
      </c>
      <c r="I207" s="121" t="s">
        <v>579</v>
      </c>
      <c r="J207" s="104">
        <v>45820.0</v>
      </c>
      <c r="K207" s="188">
        <v>442500.0</v>
      </c>
      <c r="L207" s="71"/>
      <c r="M207" s="106">
        <f>IF(ISBLANK(K207), "", VLOOKUP(C207&amp;" "&amp;D207, 'Info Tipo de Cambio y REM'!$A$24:$B$35, 2, FALSE))</f>
        <v>1180</v>
      </c>
      <c r="N207" s="107">
        <f t="shared" si="1"/>
        <v>375</v>
      </c>
      <c r="O207" s="102" t="str">
        <f t="shared" si="2"/>
        <v>A término</v>
      </c>
    </row>
    <row r="208" hidden="1">
      <c r="A208" s="43" t="s">
        <v>217</v>
      </c>
      <c r="B208" s="43" t="str">
        <f>IF(A208="", "", IFERROR(VLOOKUP(A208, Clasificaciones!A:B, 2, FALSE), "DATO NO CARGADO"))</f>
        <v>Equipo</v>
      </c>
      <c r="C208" s="51" t="s">
        <v>149</v>
      </c>
      <c r="D208" s="156">
        <v>2025.0</v>
      </c>
      <c r="E208" s="43" t="s">
        <v>371</v>
      </c>
      <c r="F208" s="329">
        <v>45820.0</v>
      </c>
      <c r="G208" s="186">
        <v>45807.0</v>
      </c>
      <c r="H208" s="187" t="s">
        <v>580</v>
      </c>
      <c r="I208" s="121" t="s">
        <v>581</v>
      </c>
      <c r="J208" s="104">
        <v>45820.0</v>
      </c>
      <c r="K208" s="188">
        <v>1550000.0</v>
      </c>
      <c r="L208" s="71"/>
      <c r="M208" s="106">
        <f>IF(ISBLANK(K208), "", VLOOKUP(C208&amp;" "&amp;D208, 'Info Tipo de Cambio y REM'!$A$24:$B$35, 2, FALSE))</f>
        <v>1180</v>
      </c>
      <c r="N208" s="107">
        <f t="shared" si="1"/>
        <v>1313.559322</v>
      </c>
      <c r="O208" s="102" t="str">
        <f t="shared" si="2"/>
        <v>A término</v>
      </c>
    </row>
    <row r="209" hidden="1">
      <c r="A209" s="43" t="s">
        <v>221</v>
      </c>
      <c r="B209" s="43" t="str">
        <f>IF(A209="", "", IFERROR(VLOOKUP(A209, Clasificaciones!A:B, 2, FALSE), "DATO NO CARGADO"))</f>
        <v>Equipo</v>
      </c>
      <c r="C209" s="51" t="s">
        <v>149</v>
      </c>
      <c r="D209" s="156">
        <v>2025.0</v>
      </c>
      <c r="E209" s="43" t="s">
        <v>371</v>
      </c>
      <c r="F209" s="329">
        <v>45820.0</v>
      </c>
      <c r="G209" s="186">
        <v>45807.0</v>
      </c>
      <c r="H209" s="187" t="s">
        <v>407</v>
      </c>
      <c r="I209" s="121" t="s">
        <v>582</v>
      </c>
      <c r="J209" s="104">
        <v>45820.0</v>
      </c>
      <c r="K209" s="188">
        <v>1757032.0</v>
      </c>
      <c r="L209" s="71"/>
      <c r="M209" s="106">
        <f>IF(ISBLANK(K209), "", VLOOKUP(C209&amp;" "&amp;D209, 'Info Tipo de Cambio y REM'!$A$24:$B$35, 2, FALSE))</f>
        <v>1180</v>
      </c>
      <c r="N209" s="107">
        <f t="shared" si="1"/>
        <v>1489.010169</v>
      </c>
      <c r="O209" s="102" t="str">
        <f t="shared" si="2"/>
        <v>A término</v>
      </c>
    </row>
    <row r="210" hidden="1">
      <c r="A210" s="43" t="s">
        <v>203</v>
      </c>
      <c r="B210" s="43" t="str">
        <f>IF(A210="", "", IFERROR(VLOOKUP(A210, Clasificaciones!A:B, 2, FALSE), "DATO NO CARGADO"))</f>
        <v>Equipo</v>
      </c>
      <c r="C210" s="51" t="s">
        <v>149</v>
      </c>
      <c r="D210" s="156">
        <v>2025.0</v>
      </c>
      <c r="E210" s="43" t="s">
        <v>371</v>
      </c>
      <c r="F210" s="329">
        <v>45820.0</v>
      </c>
      <c r="G210" s="186">
        <v>45806.0</v>
      </c>
      <c r="H210" s="187" t="s">
        <v>409</v>
      </c>
      <c r="I210" s="121" t="s">
        <v>583</v>
      </c>
      <c r="J210" s="104">
        <v>45820.0</v>
      </c>
      <c r="K210" s="188">
        <v>1100658.0</v>
      </c>
      <c r="L210" s="71"/>
      <c r="M210" s="106">
        <f>IF(ISBLANK(K210), "", VLOOKUP(C210&amp;" "&amp;D210, 'Info Tipo de Cambio y REM'!$A$24:$B$35, 2, FALSE))</f>
        <v>1180</v>
      </c>
      <c r="N210" s="107">
        <f t="shared" si="1"/>
        <v>932.7610169</v>
      </c>
      <c r="O210" s="102" t="str">
        <f t="shared" si="2"/>
        <v>A término</v>
      </c>
    </row>
    <row r="211" hidden="1">
      <c r="A211" s="43" t="s">
        <v>197</v>
      </c>
      <c r="B211" s="43" t="str">
        <f>IF(A211="", "", IFERROR(VLOOKUP(A211, Clasificaciones!A:B, 2, FALSE), "DATO NO CARGADO"))</f>
        <v>Equipo</v>
      </c>
      <c r="C211" s="51" t="s">
        <v>149</v>
      </c>
      <c r="D211" s="156">
        <v>2025.0</v>
      </c>
      <c r="E211" s="43" t="s">
        <v>371</v>
      </c>
      <c r="F211" s="329">
        <v>45820.0</v>
      </c>
      <c r="G211" s="186">
        <v>45807.0</v>
      </c>
      <c r="H211" s="187" t="s">
        <v>411</v>
      </c>
      <c r="I211" s="121" t="s">
        <v>584</v>
      </c>
      <c r="J211" s="104">
        <v>45820.0</v>
      </c>
      <c r="K211" s="188">
        <v>2038934.0</v>
      </c>
      <c r="L211" s="71"/>
      <c r="M211" s="106">
        <f>IF(ISBLANK(K211), "", VLOOKUP(C211&amp;" "&amp;D211, 'Info Tipo de Cambio y REM'!$A$24:$B$35, 2, FALSE))</f>
        <v>1180</v>
      </c>
      <c r="N211" s="107">
        <f t="shared" si="1"/>
        <v>1727.910169</v>
      </c>
      <c r="O211" s="102" t="str">
        <f t="shared" si="2"/>
        <v>A término</v>
      </c>
    </row>
    <row r="212" hidden="1">
      <c r="A212" s="43" t="s">
        <v>218</v>
      </c>
      <c r="B212" s="43" t="str">
        <f>IF(A212="", "", IFERROR(VLOOKUP(A212, Clasificaciones!A:B, 2, FALSE), "DATO NO CARGADO"))</f>
        <v>Equipo</v>
      </c>
      <c r="C212" s="51" t="s">
        <v>149</v>
      </c>
      <c r="D212" s="156">
        <v>2025.0</v>
      </c>
      <c r="E212" s="43" t="s">
        <v>371</v>
      </c>
      <c r="F212" s="329">
        <v>45820.0</v>
      </c>
      <c r="G212" s="186">
        <v>45812.0</v>
      </c>
      <c r="H212" s="160" t="s">
        <v>511</v>
      </c>
      <c r="I212" s="121" t="s">
        <v>573</v>
      </c>
      <c r="J212" s="104">
        <v>45820.0</v>
      </c>
      <c r="K212" s="188">
        <v>684000.0</v>
      </c>
      <c r="L212" s="71"/>
      <c r="M212" s="106">
        <f>IF(ISBLANK(K212), "", VLOOKUP(C212&amp;" "&amp;D212, 'Info Tipo de Cambio y REM'!$A$24:$B$35, 2, FALSE))</f>
        <v>1180</v>
      </c>
      <c r="N212" s="107">
        <f t="shared" si="1"/>
        <v>579.6610169</v>
      </c>
      <c r="O212" s="102" t="str">
        <f t="shared" si="2"/>
        <v>A término</v>
      </c>
    </row>
    <row r="213" hidden="1">
      <c r="A213" s="43" t="s">
        <v>133</v>
      </c>
      <c r="B213" s="43" t="str">
        <f>IF(A213="", "", IFERROR(VLOOKUP(A213, Clasificaciones!A:B, 2, FALSE), "DATO NO CARGADO"))</f>
        <v>Board</v>
      </c>
      <c r="C213" s="51" t="s">
        <v>149</v>
      </c>
      <c r="D213" s="156">
        <v>2025.0</v>
      </c>
      <c r="E213" s="43" t="s">
        <v>371</v>
      </c>
      <c r="F213" s="329">
        <v>45820.0</v>
      </c>
      <c r="G213" s="190">
        <v>45810.0</v>
      </c>
      <c r="H213" s="184" t="s">
        <v>585</v>
      </c>
      <c r="I213" s="121" t="s">
        <v>586</v>
      </c>
      <c r="J213" s="104">
        <v>45810.0</v>
      </c>
      <c r="K213" s="113"/>
      <c r="L213" s="89">
        <v>4000.0</v>
      </c>
      <c r="M213" s="106" t="str">
        <f>IF(ISBLANK(K213), "", VLOOKUP(C213&amp;" "&amp;D213, 'Info Tipo de Cambio y REM'!$A$24:$B$35, 2, FALSE))</f>
        <v/>
      </c>
      <c r="N213" s="107">
        <f t="shared" si="1"/>
        <v>4000</v>
      </c>
      <c r="O213" s="102" t="str">
        <f t="shared" si="2"/>
        <v>Vencido</v>
      </c>
    </row>
    <row r="214" hidden="1">
      <c r="A214" s="43" t="s">
        <v>212</v>
      </c>
      <c r="B214" s="43" t="str">
        <f>IF(A214="", "", IFERROR(VLOOKUP(A214, Clasificaciones!A:B, 2, FALSE), "DATO NO CARGADO"))</f>
        <v>Equipo</v>
      </c>
      <c r="C214" s="51" t="s">
        <v>149</v>
      </c>
      <c r="D214" s="156">
        <v>2025.0</v>
      </c>
      <c r="E214" s="43" t="s">
        <v>371</v>
      </c>
      <c r="F214" s="329">
        <v>45820.0</v>
      </c>
      <c r="G214" s="104">
        <v>45807.0</v>
      </c>
      <c r="H214" s="158" t="s">
        <v>377</v>
      </c>
      <c r="I214" s="43" t="s">
        <v>509</v>
      </c>
      <c r="J214" s="104">
        <v>45820.0</v>
      </c>
      <c r="K214" s="112">
        <v>483820.0</v>
      </c>
      <c r="L214" s="71"/>
      <c r="M214" s="106">
        <f>IF(ISBLANK(K214), "", VLOOKUP(C214&amp;" "&amp;D214, 'Info Tipo de Cambio y REM'!$A$24:$B$35, 2, FALSE))</f>
        <v>1180</v>
      </c>
      <c r="N214" s="107">
        <f t="shared" si="1"/>
        <v>410.0169492</v>
      </c>
      <c r="O214" s="102" t="str">
        <f t="shared" si="2"/>
        <v>A término</v>
      </c>
    </row>
    <row r="215" hidden="1">
      <c r="A215" s="43" t="s">
        <v>127</v>
      </c>
      <c r="B215" s="43" t="str">
        <f>IF(A215="", "", IFERROR(VLOOKUP(A215, Clasificaciones!A:B, 2, FALSE), "DATO NO CARGADO"))</f>
        <v>Board</v>
      </c>
      <c r="C215" s="51" t="s">
        <v>149</v>
      </c>
      <c r="D215" s="156">
        <v>2025.0</v>
      </c>
      <c r="E215" s="43" t="s">
        <v>371</v>
      </c>
      <c r="F215" s="329">
        <v>45820.0</v>
      </c>
      <c r="G215" s="191">
        <v>45813.0</v>
      </c>
      <c r="H215" s="55" t="s">
        <v>458</v>
      </c>
      <c r="I215" s="121" t="s">
        <v>587</v>
      </c>
      <c r="J215" s="104">
        <v>45814.0</v>
      </c>
      <c r="K215" s="112">
        <v>702565.0</v>
      </c>
      <c r="L215" s="71"/>
      <c r="M215" s="106">
        <f>IF(ISBLANK(K215), "", VLOOKUP(C215&amp;" "&amp;D215, 'Info Tipo de Cambio y REM'!$A$24:$B$35, 2, FALSE))</f>
        <v>1180</v>
      </c>
      <c r="N215" s="107">
        <f t="shared" si="1"/>
        <v>595.3940678</v>
      </c>
      <c r="O215" s="102" t="str">
        <f t="shared" si="2"/>
        <v>Vencido</v>
      </c>
    </row>
    <row r="216" hidden="1">
      <c r="A216" s="43" t="s">
        <v>127</v>
      </c>
      <c r="B216" s="43" t="str">
        <f>IF(A216="", "", IFERROR(VLOOKUP(A216, Clasificaciones!A:B, 2, FALSE), "DATO NO CARGADO"))</f>
        <v>Board</v>
      </c>
      <c r="C216" s="51" t="s">
        <v>149</v>
      </c>
      <c r="D216" s="156">
        <v>2025.0</v>
      </c>
      <c r="E216" s="43" t="s">
        <v>371</v>
      </c>
      <c r="F216" s="329">
        <v>45820.0</v>
      </c>
      <c r="G216" s="191">
        <v>45813.0</v>
      </c>
      <c r="H216" s="158" t="s">
        <v>393</v>
      </c>
      <c r="I216" s="121" t="s">
        <v>588</v>
      </c>
      <c r="J216" s="104">
        <v>45814.0</v>
      </c>
      <c r="K216" s="112">
        <v>1000000.0</v>
      </c>
      <c r="L216" s="71"/>
      <c r="M216" s="106">
        <f>IF(ISBLANK(K216), "", VLOOKUP(C216&amp;" "&amp;D216, 'Info Tipo de Cambio y REM'!$A$24:$B$35, 2, FALSE))</f>
        <v>1180</v>
      </c>
      <c r="N216" s="107">
        <f t="shared" si="1"/>
        <v>847.4576271</v>
      </c>
      <c r="O216" s="102" t="str">
        <f t="shared" si="2"/>
        <v>Vencido</v>
      </c>
    </row>
    <row r="217" hidden="1">
      <c r="A217" s="43" t="s">
        <v>133</v>
      </c>
      <c r="B217" s="43" t="str">
        <f>IF(A217="", "", IFERROR(VLOOKUP(A217, Clasificaciones!A:B, 2, FALSE), "DATO NO CARGADO"))</f>
        <v>Board</v>
      </c>
      <c r="C217" s="51" t="s">
        <v>149</v>
      </c>
      <c r="D217" s="156">
        <v>2025.0</v>
      </c>
      <c r="E217" s="43" t="s">
        <v>371</v>
      </c>
      <c r="F217" s="329">
        <v>45820.0</v>
      </c>
      <c r="G217" s="104">
        <v>45814.0</v>
      </c>
      <c r="H217" s="165" t="s">
        <v>589</v>
      </c>
      <c r="I217" s="192" t="s">
        <v>590</v>
      </c>
      <c r="J217" s="104">
        <v>45814.0</v>
      </c>
      <c r="K217" s="112">
        <v>483647.0</v>
      </c>
      <c r="L217" s="71"/>
      <c r="M217" s="106">
        <f>IF(ISBLANK(K217), "", VLOOKUP(C217&amp;" "&amp;D217, 'Info Tipo de Cambio y REM'!$A$24:$B$35, 2, FALSE))</f>
        <v>1180</v>
      </c>
      <c r="N217" s="107">
        <f t="shared" si="1"/>
        <v>409.870339</v>
      </c>
      <c r="O217" s="102" t="str">
        <f t="shared" si="2"/>
        <v>Vencido</v>
      </c>
    </row>
    <row r="218" hidden="1">
      <c r="A218" s="43" t="s">
        <v>223</v>
      </c>
      <c r="B218" s="43" t="str">
        <f>IF(A218="", "", IFERROR(VLOOKUP(A218, Clasificaciones!A:B, 2, FALSE), "DATO NO CARGADO"))</f>
        <v>Otros Proveedores</v>
      </c>
      <c r="C218" s="51" t="s">
        <v>155</v>
      </c>
      <c r="D218" s="156">
        <v>2025.0</v>
      </c>
      <c r="E218" s="43" t="s">
        <v>374</v>
      </c>
      <c r="F218" s="104">
        <v>45827.0</v>
      </c>
      <c r="G218" s="104">
        <v>45810.0</v>
      </c>
      <c r="H218" s="165" t="s">
        <v>534</v>
      </c>
      <c r="I218" s="43" t="s">
        <v>591</v>
      </c>
      <c r="J218" s="104">
        <v>45820.0</v>
      </c>
      <c r="K218" s="112">
        <v>143990.0</v>
      </c>
      <c r="L218" s="71"/>
      <c r="M218" s="106">
        <f>IF(ISBLANK(K218), "", VLOOKUP(C218&amp;" "&amp;D218, 'Info Tipo de Cambio y REM'!$A$24:$B$35, 2, FALSE))</f>
        <v>1215</v>
      </c>
      <c r="N218" s="107">
        <f t="shared" si="1"/>
        <v>118.5102881</v>
      </c>
      <c r="O218" s="102" t="str">
        <f t="shared" si="2"/>
        <v>A término</v>
      </c>
    </row>
    <row r="219" hidden="1">
      <c r="A219" s="43" t="s">
        <v>133</v>
      </c>
      <c r="B219" s="43" t="str">
        <f>IF(A219="", "", IFERROR(VLOOKUP(A219, Clasificaciones!A:B, 2, FALSE), "DATO NO CARGADO"))</f>
        <v>Board</v>
      </c>
      <c r="C219" s="51" t="s">
        <v>155</v>
      </c>
      <c r="D219" s="156">
        <v>2025.0</v>
      </c>
      <c r="E219" s="43" t="s">
        <v>374</v>
      </c>
      <c r="F219" s="104">
        <v>45835.0</v>
      </c>
      <c r="G219" s="104">
        <v>45814.0</v>
      </c>
      <c r="H219" s="165" t="s">
        <v>589</v>
      </c>
      <c r="I219" s="43" t="s">
        <v>552</v>
      </c>
      <c r="J219" s="104">
        <v>45810.0</v>
      </c>
      <c r="K219" s="113"/>
      <c r="L219" s="109">
        <v>45.0</v>
      </c>
      <c r="M219" s="106" t="str">
        <f>IF(ISBLANK(K219), "", VLOOKUP(C219&amp;" "&amp;D219, 'Info Tipo de Cambio y REM'!$A$24:$B$35, 2, FALSE))</f>
        <v/>
      </c>
      <c r="N219" s="107">
        <f t="shared" si="1"/>
        <v>45</v>
      </c>
      <c r="O219" s="102" t="str">
        <f t="shared" si="2"/>
        <v>A término</v>
      </c>
    </row>
    <row r="220" hidden="1">
      <c r="A220" s="43" t="s">
        <v>191</v>
      </c>
      <c r="B220" s="43" t="str">
        <f>IF(A220="", "", IFERROR(VLOOKUP(A220, Clasificaciones!A:B, 2, FALSE), "DATO NO CARGADO"))</f>
        <v>Tarjeta</v>
      </c>
      <c r="C220" s="51" t="s">
        <v>155</v>
      </c>
      <c r="D220" s="156">
        <v>2025.0</v>
      </c>
      <c r="E220" s="43" t="s">
        <v>374</v>
      </c>
      <c r="F220" s="122">
        <v>45810.0</v>
      </c>
      <c r="G220" s="122">
        <v>45810.0</v>
      </c>
      <c r="H220" s="165" t="s">
        <v>522</v>
      </c>
      <c r="I220" s="83" t="s">
        <v>592</v>
      </c>
      <c r="J220" s="122">
        <v>45810.0</v>
      </c>
      <c r="K220" s="113"/>
      <c r="L220" s="193">
        <v>12.0</v>
      </c>
      <c r="M220" s="106" t="str">
        <f>IF(ISBLANK(K220), "", VLOOKUP(C220&amp;" "&amp;D220, 'Info Tipo de Cambio y REM'!$A$24:$B$35, 2, FALSE))</f>
        <v/>
      </c>
      <c r="N220" s="107">
        <f t="shared" si="1"/>
        <v>12</v>
      </c>
      <c r="O220" s="102" t="str">
        <f t="shared" si="2"/>
        <v>A término</v>
      </c>
    </row>
    <row r="221" hidden="1">
      <c r="A221" s="43" t="s">
        <v>191</v>
      </c>
      <c r="B221" s="43" t="str">
        <f>IF(A221="", "", IFERROR(VLOOKUP(A221, Clasificaciones!A:B, 2, FALSE), "DATO NO CARGADO"))</f>
        <v>Tarjeta</v>
      </c>
      <c r="C221" s="51" t="s">
        <v>155</v>
      </c>
      <c r="D221" s="156">
        <v>2025.0</v>
      </c>
      <c r="E221" s="43" t="s">
        <v>374</v>
      </c>
      <c r="F221" s="122">
        <v>45810.0</v>
      </c>
      <c r="G221" s="122">
        <v>45810.0</v>
      </c>
      <c r="H221" s="165" t="s">
        <v>522</v>
      </c>
      <c r="I221" s="83" t="s">
        <v>593</v>
      </c>
      <c r="J221" s="122">
        <v>45810.0</v>
      </c>
      <c r="K221" s="113"/>
      <c r="L221" s="193">
        <v>633.6</v>
      </c>
      <c r="M221" s="106" t="str">
        <f>IF(ISBLANK(K221), "", VLOOKUP(C221&amp;" "&amp;D221, 'Info Tipo de Cambio y REM'!$A$24:$B$35, 2, FALSE))</f>
        <v/>
      </c>
      <c r="N221" s="107">
        <f t="shared" si="1"/>
        <v>633.6</v>
      </c>
      <c r="O221" s="102" t="str">
        <f t="shared" si="2"/>
        <v>A término</v>
      </c>
    </row>
    <row r="222" hidden="1">
      <c r="A222" s="43" t="s">
        <v>191</v>
      </c>
      <c r="B222" s="43" t="str">
        <f>IF(A222="", "", IFERROR(VLOOKUP(A222, Clasificaciones!A:B, 2, FALSE), "DATO NO CARGADO"))</f>
        <v>Tarjeta</v>
      </c>
      <c r="C222" s="51" t="s">
        <v>155</v>
      </c>
      <c r="D222" s="156">
        <v>2025.0</v>
      </c>
      <c r="E222" s="43" t="s">
        <v>374</v>
      </c>
      <c r="F222" s="122">
        <v>45810.0</v>
      </c>
      <c r="G222" s="122">
        <v>45810.0</v>
      </c>
      <c r="H222" s="165" t="s">
        <v>522</v>
      </c>
      <c r="I222" s="83" t="s">
        <v>594</v>
      </c>
      <c r="J222" s="122">
        <v>45810.0</v>
      </c>
      <c r="K222" s="113"/>
      <c r="L222" s="193">
        <v>8.0</v>
      </c>
      <c r="M222" s="106" t="str">
        <f>IF(ISBLANK(K222), "", VLOOKUP(C222&amp;" "&amp;D222, 'Info Tipo de Cambio y REM'!$A$24:$B$35, 2, FALSE))</f>
        <v/>
      </c>
      <c r="N222" s="107">
        <f t="shared" si="1"/>
        <v>8</v>
      </c>
      <c r="O222" s="102" t="str">
        <f t="shared" si="2"/>
        <v>A término</v>
      </c>
    </row>
    <row r="223" hidden="1">
      <c r="A223" s="43" t="s">
        <v>191</v>
      </c>
      <c r="B223" s="43" t="str">
        <f>IF(A223="", "", IFERROR(VLOOKUP(A223, Clasificaciones!A:B, 2, FALSE), "DATO NO CARGADO"))</f>
        <v>Tarjeta</v>
      </c>
      <c r="C223" s="51" t="s">
        <v>155</v>
      </c>
      <c r="D223" s="156">
        <v>2025.0</v>
      </c>
      <c r="E223" s="43" t="s">
        <v>374</v>
      </c>
      <c r="F223" s="122">
        <v>45810.0</v>
      </c>
      <c r="G223" s="122">
        <v>45810.0</v>
      </c>
      <c r="H223" s="165" t="s">
        <v>522</v>
      </c>
      <c r="I223" s="83" t="s">
        <v>595</v>
      </c>
      <c r="J223" s="122">
        <v>45810.0</v>
      </c>
      <c r="K223" s="113"/>
      <c r="L223" s="193">
        <v>6.91</v>
      </c>
      <c r="M223" s="106" t="str">
        <f>IF(ISBLANK(K223), "", VLOOKUP(C223&amp;" "&amp;D223, 'Info Tipo de Cambio y REM'!$A$24:$B$35, 2, FALSE))</f>
        <v/>
      </c>
      <c r="N223" s="107">
        <f t="shared" si="1"/>
        <v>6.91</v>
      </c>
      <c r="O223" s="102" t="str">
        <f t="shared" si="2"/>
        <v>A término</v>
      </c>
    </row>
    <row r="224" hidden="1">
      <c r="A224" s="43" t="s">
        <v>191</v>
      </c>
      <c r="B224" s="43" t="str">
        <f>IF(A224="", "", IFERROR(VLOOKUP(A224, Clasificaciones!A:B, 2, FALSE), "DATO NO CARGADO"))</f>
        <v>Tarjeta</v>
      </c>
      <c r="C224" s="51" t="s">
        <v>155</v>
      </c>
      <c r="D224" s="156">
        <v>2025.0</v>
      </c>
      <c r="E224" s="43" t="s">
        <v>374</v>
      </c>
      <c r="F224" s="122">
        <v>45810.0</v>
      </c>
      <c r="G224" s="122">
        <v>45810.0</v>
      </c>
      <c r="H224" s="165" t="s">
        <v>522</v>
      </c>
      <c r="I224" s="83" t="s">
        <v>596</v>
      </c>
      <c r="J224" s="122">
        <v>45810.0</v>
      </c>
      <c r="K224" s="113"/>
      <c r="L224" s="193">
        <v>14.19</v>
      </c>
      <c r="M224" s="106" t="str">
        <f>IF(ISBLANK(K224), "", VLOOKUP(C224&amp;" "&amp;D224, 'Info Tipo de Cambio y REM'!$A$24:$B$35, 2, FALSE))</f>
        <v/>
      </c>
      <c r="N224" s="107">
        <f t="shared" si="1"/>
        <v>14.19</v>
      </c>
      <c r="O224" s="102" t="str">
        <f t="shared" si="2"/>
        <v>A término</v>
      </c>
    </row>
    <row r="225" hidden="1">
      <c r="A225" s="43" t="s">
        <v>191</v>
      </c>
      <c r="B225" s="43" t="str">
        <f>IF(A225="", "", IFERROR(VLOOKUP(A225, Clasificaciones!A:B, 2, FALSE), "DATO NO CARGADO"))</f>
        <v>Tarjeta</v>
      </c>
      <c r="C225" s="51" t="s">
        <v>155</v>
      </c>
      <c r="D225" s="156">
        <v>2025.0</v>
      </c>
      <c r="E225" s="43" t="s">
        <v>374</v>
      </c>
      <c r="F225" s="194">
        <v>45810.0</v>
      </c>
      <c r="G225" s="194">
        <v>45810.0</v>
      </c>
      <c r="H225" s="165" t="s">
        <v>522</v>
      </c>
      <c r="I225" s="83" t="s">
        <v>597</v>
      </c>
      <c r="J225" s="122">
        <v>45810.0</v>
      </c>
      <c r="K225" s="113"/>
      <c r="L225" s="193">
        <v>22.99</v>
      </c>
      <c r="M225" s="106" t="str">
        <f>IF(ISBLANK(K225), "", VLOOKUP(C225&amp;" "&amp;D225, 'Info Tipo de Cambio y REM'!$A$24:$B$35, 2, FALSE))</f>
        <v/>
      </c>
      <c r="N225" s="107">
        <f t="shared" si="1"/>
        <v>22.99</v>
      </c>
      <c r="O225" s="102" t="str">
        <f t="shared" si="2"/>
        <v>A término</v>
      </c>
    </row>
    <row r="226" hidden="1">
      <c r="A226" s="43" t="s">
        <v>191</v>
      </c>
      <c r="B226" s="43" t="str">
        <f>IF(A226="", "", IFERROR(VLOOKUP(A226, Clasificaciones!A:B, 2, FALSE), "DATO NO CARGADO"))</f>
        <v>Tarjeta</v>
      </c>
      <c r="C226" s="51" t="s">
        <v>155</v>
      </c>
      <c r="D226" s="156">
        <v>2025.0</v>
      </c>
      <c r="E226" s="43" t="s">
        <v>374</v>
      </c>
      <c r="F226" s="122">
        <v>45817.0</v>
      </c>
      <c r="G226" s="82">
        <v>45817.0</v>
      </c>
      <c r="H226" s="165" t="s">
        <v>522</v>
      </c>
      <c r="I226" s="121" t="s">
        <v>598</v>
      </c>
      <c r="J226" s="82">
        <v>45817.0</v>
      </c>
      <c r="K226" s="113"/>
      <c r="L226" s="193">
        <v>20.0</v>
      </c>
      <c r="M226" s="106" t="str">
        <f>IF(ISBLANK(K226), "", VLOOKUP(C226&amp;" "&amp;D226, 'Info Tipo de Cambio y REM'!$A$24:$B$35, 2, FALSE))</f>
        <v/>
      </c>
      <c r="N226" s="107">
        <f t="shared" si="1"/>
        <v>20</v>
      </c>
      <c r="O226" s="102" t="str">
        <f t="shared" si="2"/>
        <v>A término</v>
      </c>
    </row>
    <row r="227" hidden="1">
      <c r="A227" s="43" t="s">
        <v>191</v>
      </c>
      <c r="B227" s="43" t="str">
        <f>IF(A227="", "", IFERROR(VLOOKUP(A227, Clasificaciones!A:B, 2, FALSE), "DATO NO CARGADO"))</f>
        <v>Tarjeta</v>
      </c>
      <c r="C227" s="51" t="s">
        <v>155</v>
      </c>
      <c r="D227" s="156">
        <v>2025.0</v>
      </c>
      <c r="E227" s="43" t="s">
        <v>374</v>
      </c>
      <c r="F227" s="122">
        <v>45817.0</v>
      </c>
      <c r="G227" s="82">
        <v>45817.0</v>
      </c>
      <c r="H227" s="165" t="s">
        <v>522</v>
      </c>
      <c r="I227" s="121" t="s">
        <v>599</v>
      </c>
      <c r="J227" s="82">
        <v>45817.0</v>
      </c>
      <c r="K227" s="113"/>
      <c r="L227" s="193">
        <v>6.49</v>
      </c>
      <c r="M227" s="106" t="str">
        <f>IF(ISBLANK(K227), "", VLOOKUP(C227&amp;" "&amp;D227, 'Info Tipo de Cambio y REM'!$A$24:$B$35, 2, FALSE))</f>
        <v/>
      </c>
      <c r="N227" s="107">
        <f t="shared" si="1"/>
        <v>6.49</v>
      </c>
      <c r="O227" s="102" t="str">
        <f t="shared" si="2"/>
        <v>A término</v>
      </c>
    </row>
    <row r="228" hidden="1">
      <c r="A228" s="43" t="s">
        <v>191</v>
      </c>
      <c r="B228" s="43" t="str">
        <f>IF(A228="", "", IFERROR(VLOOKUP(A228, Clasificaciones!A:B, 2, FALSE), "DATO NO CARGADO"))</f>
        <v>Tarjeta</v>
      </c>
      <c r="C228" s="51" t="s">
        <v>155</v>
      </c>
      <c r="D228" s="156">
        <v>2025.0</v>
      </c>
      <c r="E228" s="43" t="s">
        <v>374</v>
      </c>
      <c r="F228" s="122">
        <v>45817.0</v>
      </c>
      <c r="G228" s="82">
        <v>45817.0</v>
      </c>
      <c r="H228" s="165" t="s">
        <v>522</v>
      </c>
      <c r="I228" s="121" t="s">
        <v>600</v>
      </c>
      <c r="J228" s="82">
        <v>45817.0</v>
      </c>
      <c r="K228" s="113"/>
      <c r="L228" s="193">
        <v>29.0</v>
      </c>
      <c r="M228" s="106" t="str">
        <f>IF(ISBLANK(K228), "", VLOOKUP(C228&amp;" "&amp;D228, 'Info Tipo de Cambio y REM'!$A$24:$B$35, 2, FALSE))</f>
        <v/>
      </c>
      <c r="N228" s="107">
        <f t="shared" si="1"/>
        <v>29</v>
      </c>
      <c r="O228" s="102" t="str">
        <f t="shared" si="2"/>
        <v>A término</v>
      </c>
    </row>
    <row r="229" hidden="1">
      <c r="A229" s="43" t="s">
        <v>191</v>
      </c>
      <c r="B229" s="43" t="str">
        <f>IF(A229="", "", IFERROR(VLOOKUP(A229, Clasificaciones!A:B, 2, FALSE), "DATO NO CARGADO"))</f>
        <v>Tarjeta</v>
      </c>
      <c r="C229" s="51" t="s">
        <v>155</v>
      </c>
      <c r="D229" s="156">
        <v>2025.0</v>
      </c>
      <c r="E229" s="43" t="s">
        <v>374</v>
      </c>
      <c r="F229" s="122">
        <v>45817.0</v>
      </c>
      <c r="G229" s="82">
        <v>45817.0</v>
      </c>
      <c r="H229" s="165" t="s">
        <v>522</v>
      </c>
      <c r="I229" s="121" t="s">
        <v>601</v>
      </c>
      <c r="J229" s="82">
        <v>45817.0</v>
      </c>
      <c r="K229" s="113"/>
      <c r="L229" s="193">
        <v>59.88</v>
      </c>
      <c r="M229" s="106" t="str">
        <f>IF(ISBLANK(K229), "", VLOOKUP(C229&amp;" "&amp;D229, 'Info Tipo de Cambio y REM'!$A$24:$B$35, 2, FALSE))</f>
        <v/>
      </c>
      <c r="N229" s="107">
        <f t="shared" si="1"/>
        <v>59.88</v>
      </c>
      <c r="O229" s="102" t="str">
        <f t="shared" si="2"/>
        <v>A término</v>
      </c>
    </row>
    <row r="230" hidden="1">
      <c r="A230" s="43" t="s">
        <v>191</v>
      </c>
      <c r="B230" s="43" t="str">
        <f>IF(A230="", "", IFERROR(VLOOKUP(A230, Clasificaciones!A:B, 2, FALSE), "DATO NO CARGADO"))</f>
        <v>Tarjeta</v>
      </c>
      <c r="C230" s="51" t="s">
        <v>155</v>
      </c>
      <c r="D230" s="156">
        <v>2025.0</v>
      </c>
      <c r="E230" s="43" t="s">
        <v>374</v>
      </c>
      <c r="F230" s="122">
        <v>45818.0</v>
      </c>
      <c r="G230" s="82">
        <v>45818.0</v>
      </c>
      <c r="H230" s="165" t="s">
        <v>522</v>
      </c>
      <c r="I230" s="121" t="s">
        <v>602</v>
      </c>
      <c r="J230" s="82">
        <v>45818.0</v>
      </c>
      <c r="K230" s="113"/>
      <c r="L230" s="193">
        <v>22.17</v>
      </c>
      <c r="M230" s="106" t="str">
        <f>IF(ISBLANK(K230), "", VLOOKUP(C230&amp;" "&amp;D230, 'Info Tipo de Cambio y REM'!$A$24:$B$35, 2, FALSE))</f>
        <v/>
      </c>
      <c r="N230" s="107">
        <f t="shared" si="1"/>
        <v>22.17</v>
      </c>
      <c r="O230" s="102" t="str">
        <f t="shared" si="2"/>
        <v>A término</v>
      </c>
    </row>
    <row r="231" hidden="1">
      <c r="A231" s="43" t="s">
        <v>191</v>
      </c>
      <c r="B231" s="43" t="str">
        <f>IF(A231="", "", IFERROR(VLOOKUP(A231, Clasificaciones!A:B, 2, FALSE), "DATO NO CARGADO"))</f>
        <v>Tarjeta</v>
      </c>
      <c r="C231" s="51" t="s">
        <v>155</v>
      </c>
      <c r="D231" s="156">
        <v>2025.0</v>
      </c>
      <c r="E231" s="43" t="s">
        <v>374</v>
      </c>
      <c r="F231" s="122">
        <v>45818.0</v>
      </c>
      <c r="G231" s="82">
        <v>45818.0</v>
      </c>
      <c r="H231" s="165" t="s">
        <v>522</v>
      </c>
      <c r="I231" s="121" t="s">
        <v>603</v>
      </c>
      <c r="J231" s="82">
        <v>45818.0</v>
      </c>
      <c r="K231" s="113"/>
      <c r="L231" s="193">
        <v>383.56</v>
      </c>
      <c r="M231" s="106" t="str">
        <f>IF(ISBLANK(K231), "", VLOOKUP(C231&amp;" "&amp;D231, 'Info Tipo de Cambio y REM'!$A$24:$B$35, 2, FALSE))</f>
        <v/>
      </c>
      <c r="N231" s="107">
        <f t="shared" si="1"/>
        <v>383.56</v>
      </c>
      <c r="O231" s="102" t="str">
        <f t="shared" si="2"/>
        <v>A término</v>
      </c>
    </row>
    <row r="232" hidden="1">
      <c r="A232" s="43" t="s">
        <v>191</v>
      </c>
      <c r="B232" s="43" t="str">
        <f>IF(A232="", "", IFERROR(VLOOKUP(A232, Clasificaciones!A:B, 2, FALSE), "DATO NO CARGADO"))</f>
        <v>Tarjeta</v>
      </c>
      <c r="C232" s="51" t="s">
        <v>155</v>
      </c>
      <c r="D232" s="156">
        <v>2025.0</v>
      </c>
      <c r="E232" s="43" t="s">
        <v>374</v>
      </c>
      <c r="F232" s="122">
        <v>45819.0</v>
      </c>
      <c r="G232" s="82">
        <v>45819.0</v>
      </c>
      <c r="H232" s="165" t="s">
        <v>522</v>
      </c>
      <c r="I232" s="121" t="s">
        <v>604</v>
      </c>
      <c r="J232" s="82">
        <v>45819.0</v>
      </c>
      <c r="K232" s="113"/>
      <c r="L232" s="193">
        <v>6.11</v>
      </c>
      <c r="M232" s="106" t="str">
        <f>IF(ISBLANK(K232), "", VLOOKUP(C232&amp;" "&amp;D232, 'Info Tipo de Cambio y REM'!$A$24:$B$35, 2, FALSE))</f>
        <v/>
      </c>
      <c r="N232" s="107">
        <f t="shared" si="1"/>
        <v>6.11</v>
      </c>
      <c r="O232" s="102" t="str">
        <f t="shared" si="2"/>
        <v>A término</v>
      </c>
    </row>
    <row r="233" hidden="1">
      <c r="A233" s="43" t="s">
        <v>191</v>
      </c>
      <c r="B233" s="43" t="str">
        <f>IF(A233="", "", IFERROR(VLOOKUP(A233, Clasificaciones!A:B, 2, FALSE), "DATO NO CARGADO"))</f>
        <v>Tarjeta</v>
      </c>
      <c r="C233" s="51" t="s">
        <v>155</v>
      </c>
      <c r="D233" s="156">
        <v>2025.0</v>
      </c>
      <c r="E233" s="43" t="s">
        <v>374</v>
      </c>
      <c r="F233" s="122">
        <v>45820.0</v>
      </c>
      <c r="G233" s="82">
        <v>45820.0</v>
      </c>
      <c r="H233" s="165" t="s">
        <v>522</v>
      </c>
      <c r="I233" s="121" t="s">
        <v>605</v>
      </c>
      <c r="J233" s="82">
        <v>45820.0</v>
      </c>
      <c r="K233" s="113"/>
      <c r="L233" s="193">
        <v>20.0</v>
      </c>
      <c r="M233" s="106" t="str">
        <f>IF(ISBLANK(K233), "", VLOOKUP(C233&amp;" "&amp;D233, 'Info Tipo de Cambio y REM'!$A$24:$B$35, 2, FALSE))</f>
        <v/>
      </c>
      <c r="N233" s="107">
        <f t="shared" si="1"/>
        <v>20</v>
      </c>
      <c r="O233" s="102" t="str">
        <f t="shared" si="2"/>
        <v>A término</v>
      </c>
    </row>
    <row r="234" hidden="1">
      <c r="A234" s="43" t="s">
        <v>191</v>
      </c>
      <c r="B234" s="43" t="str">
        <f>IF(A234="", "", IFERROR(VLOOKUP(A234, Clasificaciones!A:B, 2, FALSE), "DATO NO CARGADO"))</f>
        <v>Tarjeta</v>
      </c>
      <c r="C234" s="51" t="s">
        <v>155</v>
      </c>
      <c r="D234" s="156">
        <v>2025.0</v>
      </c>
      <c r="E234" s="43" t="s">
        <v>374</v>
      </c>
      <c r="F234" s="122">
        <v>45826.0</v>
      </c>
      <c r="G234" s="82">
        <v>45826.0</v>
      </c>
      <c r="H234" s="165" t="s">
        <v>522</v>
      </c>
      <c r="I234" s="195" t="s">
        <v>606</v>
      </c>
      <c r="J234" s="82">
        <v>45826.0</v>
      </c>
      <c r="K234" s="113"/>
      <c r="L234" s="109">
        <v>8.0</v>
      </c>
      <c r="M234" s="106" t="str">
        <f>IF(ISBLANK(K234), "", VLOOKUP(C234&amp;" "&amp;D234, 'Info Tipo de Cambio y REM'!$A$24:$B$35, 2, FALSE))</f>
        <v/>
      </c>
      <c r="N234" s="107">
        <f t="shared" si="1"/>
        <v>8</v>
      </c>
      <c r="O234" s="102" t="str">
        <f t="shared" si="2"/>
        <v>A término</v>
      </c>
    </row>
    <row r="235" hidden="1">
      <c r="A235" s="43" t="s">
        <v>191</v>
      </c>
      <c r="B235" s="43" t="str">
        <f>IF(A235="", "", IFERROR(VLOOKUP(A235, Clasificaciones!A:B, 2, FALSE), "DATO NO CARGADO"))</f>
        <v>Tarjeta</v>
      </c>
      <c r="C235" s="51" t="s">
        <v>155</v>
      </c>
      <c r="D235" s="156">
        <v>2025.0</v>
      </c>
      <c r="E235" s="43" t="s">
        <v>374</v>
      </c>
      <c r="F235" s="122">
        <v>45828.0</v>
      </c>
      <c r="G235" s="82">
        <v>45828.0</v>
      </c>
      <c r="H235" s="165" t="s">
        <v>522</v>
      </c>
      <c r="I235" s="195" t="s">
        <v>607</v>
      </c>
      <c r="J235" s="82">
        <v>45828.0</v>
      </c>
      <c r="K235" s="113"/>
      <c r="L235" s="109">
        <v>25.19</v>
      </c>
      <c r="M235" s="106" t="str">
        <f>IF(ISBLANK(K235), "", VLOOKUP(C235&amp;" "&amp;D235, 'Info Tipo de Cambio y REM'!$A$24:$B$35, 2, FALSE))</f>
        <v/>
      </c>
      <c r="N235" s="107">
        <f t="shared" si="1"/>
        <v>25.19</v>
      </c>
      <c r="O235" s="102" t="str">
        <f t="shared" si="2"/>
        <v>A término</v>
      </c>
    </row>
    <row r="236" hidden="1">
      <c r="A236" s="43" t="s">
        <v>127</v>
      </c>
      <c r="B236" s="43" t="str">
        <f>IF(A236="", "", IFERROR(VLOOKUP(A236, Clasificaciones!A:B, 2, FALSE), "DATO NO CARGADO"))</f>
        <v>Board</v>
      </c>
      <c r="C236" s="51" t="s">
        <v>155</v>
      </c>
      <c r="D236" s="156">
        <v>2025.0</v>
      </c>
      <c r="E236" s="43" t="s">
        <v>374</v>
      </c>
      <c r="F236" s="122">
        <v>45827.0</v>
      </c>
      <c r="G236" s="170">
        <v>45827.0</v>
      </c>
      <c r="H236" s="55" t="s">
        <v>458</v>
      </c>
      <c r="I236" s="169" t="s">
        <v>608</v>
      </c>
      <c r="J236" s="104">
        <v>45834.0</v>
      </c>
      <c r="K236" s="113"/>
      <c r="L236" s="109">
        <v>3000.0</v>
      </c>
      <c r="M236" s="106" t="str">
        <f>IF(ISBLANK(K236), "", VLOOKUP(C236&amp;" "&amp;D236, 'Info Tipo de Cambio y REM'!$A$24:$B$35, 2, FALSE))</f>
        <v/>
      </c>
      <c r="N236" s="107">
        <f t="shared" si="1"/>
        <v>3000</v>
      </c>
      <c r="O236" s="102" t="str">
        <f t="shared" si="2"/>
        <v>A término</v>
      </c>
    </row>
    <row r="237" hidden="1">
      <c r="A237" s="43" t="s">
        <v>127</v>
      </c>
      <c r="B237" s="43" t="str">
        <f>IF(A237="", "", IFERROR(VLOOKUP(A237, Clasificaciones!A:B, 2, FALSE), "DATO NO CARGADO"))</f>
        <v>Board</v>
      </c>
      <c r="C237" s="51" t="s">
        <v>155</v>
      </c>
      <c r="D237" s="156">
        <v>2025.0</v>
      </c>
      <c r="E237" s="43" t="s">
        <v>374</v>
      </c>
      <c r="F237" s="122">
        <v>45827.0</v>
      </c>
      <c r="G237" s="170">
        <v>45827.0</v>
      </c>
      <c r="H237" s="55" t="s">
        <v>458</v>
      </c>
      <c r="I237" s="43" t="s">
        <v>552</v>
      </c>
      <c r="J237" s="104">
        <v>45834.0</v>
      </c>
      <c r="K237" s="113"/>
      <c r="L237" s="109">
        <v>45.0</v>
      </c>
      <c r="M237" s="106" t="str">
        <f>IF(ISBLANK(K237), "", VLOOKUP(C237&amp;" "&amp;D237, 'Info Tipo de Cambio y REM'!$A$24:$B$35, 2, FALSE))</f>
        <v/>
      </c>
      <c r="N237" s="107">
        <f t="shared" si="1"/>
        <v>45</v>
      </c>
      <c r="O237" s="102" t="str">
        <f t="shared" si="2"/>
        <v>A término</v>
      </c>
    </row>
    <row r="238" hidden="1">
      <c r="A238" s="43" t="s">
        <v>191</v>
      </c>
      <c r="B238" s="43" t="str">
        <f>IF(A238="", "", IFERROR(VLOOKUP(A238, Clasificaciones!A:B, 2, FALSE), "DATO NO CARGADO"))</f>
        <v>Tarjeta</v>
      </c>
      <c r="C238" s="51" t="s">
        <v>155</v>
      </c>
      <c r="D238" s="156">
        <v>2025.0</v>
      </c>
      <c r="E238" s="43" t="s">
        <v>374</v>
      </c>
      <c r="F238" s="122">
        <v>45831.0</v>
      </c>
      <c r="G238" s="196">
        <v>45831.0</v>
      </c>
      <c r="H238" s="165" t="s">
        <v>522</v>
      </c>
      <c r="I238" s="83" t="s">
        <v>609</v>
      </c>
      <c r="J238" s="104">
        <v>45831.0</v>
      </c>
      <c r="K238" s="189"/>
      <c r="L238" s="123">
        <v>45.0</v>
      </c>
      <c r="M238" s="106" t="str">
        <f>IF(ISBLANK(K238), "", VLOOKUP(C238&amp;" "&amp;D238, 'Info Tipo de Cambio y REM'!$A$24:$B$35, 2, FALSE))</f>
        <v/>
      </c>
      <c r="N238" s="107">
        <f t="shared" si="1"/>
        <v>45</v>
      </c>
      <c r="O238" s="102" t="str">
        <f t="shared" si="2"/>
        <v>A término</v>
      </c>
    </row>
    <row r="239" hidden="1">
      <c r="A239" s="43" t="s">
        <v>191</v>
      </c>
      <c r="B239" s="43" t="str">
        <f>IF(A239="", "", IFERROR(VLOOKUP(A239, Clasificaciones!A:B, 2, FALSE), "DATO NO CARGADO"))</f>
        <v>Tarjeta</v>
      </c>
      <c r="C239" s="51" t="s">
        <v>155</v>
      </c>
      <c r="D239" s="156">
        <v>2025.0</v>
      </c>
      <c r="E239" s="43" t="s">
        <v>374</v>
      </c>
      <c r="F239" s="122">
        <v>45831.0</v>
      </c>
      <c r="G239" s="196">
        <v>45831.0</v>
      </c>
      <c r="H239" s="165" t="s">
        <v>522</v>
      </c>
      <c r="I239" s="83" t="s">
        <v>610</v>
      </c>
      <c r="J239" s="104">
        <v>45831.0</v>
      </c>
      <c r="K239" s="189"/>
      <c r="L239" s="123">
        <v>29.99</v>
      </c>
      <c r="M239" s="106" t="str">
        <f>IF(ISBLANK(K239), "", VLOOKUP(C239&amp;" "&amp;D239, 'Info Tipo de Cambio y REM'!$A$24:$B$35, 2, FALSE))</f>
        <v/>
      </c>
      <c r="N239" s="107">
        <f t="shared" si="1"/>
        <v>29.99</v>
      </c>
      <c r="O239" s="102" t="str">
        <f t="shared" si="2"/>
        <v>A término</v>
      </c>
    </row>
    <row r="240" hidden="1">
      <c r="A240" s="43" t="s">
        <v>191</v>
      </c>
      <c r="B240" s="43" t="str">
        <f>IF(A240="", "", IFERROR(VLOOKUP(A240, Clasificaciones!A:B, 2, FALSE), "DATO NO CARGADO"))</f>
        <v>Tarjeta</v>
      </c>
      <c r="C240" s="51" t="s">
        <v>155</v>
      </c>
      <c r="D240" s="156">
        <v>2025.0</v>
      </c>
      <c r="E240" s="43" t="s">
        <v>374</v>
      </c>
      <c r="F240" s="122">
        <v>45831.0</v>
      </c>
      <c r="G240" s="196">
        <v>45831.0</v>
      </c>
      <c r="H240" s="165" t="s">
        <v>522</v>
      </c>
      <c r="I240" s="83" t="s">
        <v>611</v>
      </c>
      <c r="J240" s="104">
        <v>45831.0</v>
      </c>
      <c r="K240" s="189"/>
      <c r="L240" s="123">
        <v>609.8</v>
      </c>
      <c r="M240" s="106" t="str">
        <f>IF(ISBLANK(K240), "", VLOOKUP(C240&amp;" "&amp;D240, 'Info Tipo de Cambio y REM'!$A$24:$B$35, 2, FALSE))</f>
        <v/>
      </c>
      <c r="N240" s="107">
        <f t="shared" si="1"/>
        <v>609.8</v>
      </c>
      <c r="O240" s="102" t="str">
        <f t="shared" si="2"/>
        <v>A término</v>
      </c>
    </row>
    <row r="241" hidden="1">
      <c r="A241" s="43" t="s">
        <v>258</v>
      </c>
      <c r="B241" s="43" t="str">
        <f>IF(A241="", "", IFERROR(VLOOKUP(A241, Clasificaciones!A:B, 2, FALSE), "DATO NO CARGADO"))</f>
        <v>Equipo</v>
      </c>
      <c r="C241" s="51" t="s">
        <v>155</v>
      </c>
      <c r="D241" s="156">
        <v>2025.0</v>
      </c>
      <c r="E241" s="43" t="s">
        <v>374</v>
      </c>
      <c r="F241" s="122">
        <v>45835.0</v>
      </c>
      <c r="G241" s="104">
        <v>45832.0</v>
      </c>
      <c r="H241" s="165" t="s">
        <v>566</v>
      </c>
      <c r="I241" s="43" t="s">
        <v>612</v>
      </c>
      <c r="J241" s="104">
        <v>45832.0</v>
      </c>
      <c r="L241" s="89">
        <v>1440.0</v>
      </c>
      <c r="M241" s="106" t="str">
        <f>IF(ISBLANK(K241), "", VLOOKUP(C241&amp;" "&amp;D241, 'Info Tipo de Cambio y REM'!$A$24:$B$35, 2, FALSE))</f>
        <v/>
      </c>
      <c r="N241" s="107">
        <f t="shared" si="1"/>
        <v>1440</v>
      </c>
      <c r="O241" s="102" t="str">
        <f t="shared" si="2"/>
        <v>A término</v>
      </c>
    </row>
    <row r="242" hidden="1">
      <c r="A242" s="43" t="s">
        <v>207</v>
      </c>
      <c r="B242" s="43" t="str">
        <f>IF(A242="", "", IFERROR(VLOOKUP(A242, Clasificaciones!A:B, 2, FALSE), "DATO NO CARGADO"))</f>
        <v>Equipo</v>
      </c>
      <c r="C242" s="51" t="s">
        <v>155</v>
      </c>
      <c r="D242" s="156">
        <v>2025.0</v>
      </c>
      <c r="E242" s="43" t="s">
        <v>374</v>
      </c>
      <c r="F242" s="122">
        <v>45835.0</v>
      </c>
      <c r="G242" s="104">
        <v>45833.0</v>
      </c>
      <c r="H242" s="165" t="s">
        <v>389</v>
      </c>
      <c r="I242" s="43" t="s">
        <v>613</v>
      </c>
      <c r="J242" s="104">
        <v>45833.0</v>
      </c>
      <c r="L242" s="89">
        <v>597.0</v>
      </c>
      <c r="M242" s="106" t="str">
        <f>IF(ISBLANK(K242), "", VLOOKUP(C242&amp;" "&amp;D242, 'Info Tipo de Cambio y REM'!$A$24:$B$35, 2, FALSE))</f>
        <v/>
      </c>
      <c r="N242" s="107">
        <f t="shared" si="1"/>
        <v>597</v>
      </c>
      <c r="O242" s="102" t="str">
        <f t="shared" si="2"/>
        <v>A término</v>
      </c>
    </row>
    <row r="243" hidden="1">
      <c r="A243" s="43" t="s">
        <v>120</v>
      </c>
      <c r="B243" s="43" t="str">
        <f>IF(A243="", "", IFERROR(VLOOKUP(A243, Clasificaciones!A:B, 2, FALSE), "DATO NO CARGADO"))</f>
        <v>Equipo</v>
      </c>
      <c r="C243" s="51" t="s">
        <v>155</v>
      </c>
      <c r="D243" s="156">
        <v>2025.0</v>
      </c>
      <c r="E243" s="43" t="s">
        <v>374</v>
      </c>
      <c r="F243" s="122">
        <v>45835.0</v>
      </c>
      <c r="G243" s="104">
        <v>45833.0</v>
      </c>
      <c r="H243" s="165" t="s">
        <v>387</v>
      </c>
      <c r="I243" s="43" t="s">
        <v>614</v>
      </c>
      <c r="J243" s="104">
        <v>45833.0</v>
      </c>
      <c r="L243" s="89">
        <v>2279.0</v>
      </c>
      <c r="M243" s="106" t="str">
        <f>IF(ISBLANK(K243), "", VLOOKUP(C243&amp;" "&amp;D243, 'Info Tipo de Cambio y REM'!$A$24:$B$35, 2, FALSE))</f>
        <v/>
      </c>
      <c r="N243" s="107">
        <f t="shared" si="1"/>
        <v>2279</v>
      </c>
      <c r="O243" s="102" t="str">
        <f t="shared" si="2"/>
        <v>A término</v>
      </c>
    </row>
    <row r="244" hidden="1">
      <c r="A244" s="43" t="s">
        <v>205</v>
      </c>
      <c r="B244" s="43" t="str">
        <f>IF(A244="", "", IFERROR(VLOOKUP(A244, Clasificaciones!A:B, 2, FALSE), "DATO NO CARGADO"))</f>
        <v>Equipo</v>
      </c>
      <c r="C244" s="51" t="s">
        <v>155</v>
      </c>
      <c r="D244" s="156">
        <v>2025.0</v>
      </c>
      <c r="E244" s="43" t="s">
        <v>374</v>
      </c>
      <c r="F244" s="122">
        <v>45835.0</v>
      </c>
      <c r="G244" s="104">
        <v>45834.0</v>
      </c>
      <c r="H244" s="165" t="s">
        <v>379</v>
      </c>
      <c r="I244" s="43" t="s">
        <v>615</v>
      </c>
      <c r="J244" s="104">
        <v>45834.0</v>
      </c>
      <c r="L244" s="89">
        <v>873.0</v>
      </c>
      <c r="M244" s="106" t="str">
        <f>IF(ISBLANK(K244), "", VLOOKUP(C244&amp;" "&amp;D244, 'Info Tipo de Cambio y REM'!$A$24:$B$35, 2, FALSE))</f>
        <v/>
      </c>
      <c r="N244" s="107">
        <f t="shared" si="1"/>
        <v>873</v>
      </c>
      <c r="O244" s="102" t="str">
        <f t="shared" si="2"/>
        <v>A término</v>
      </c>
    </row>
    <row r="245" hidden="1">
      <c r="A245" s="43" t="s">
        <v>194</v>
      </c>
      <c r="B245" s="43" t="str">
        <f>IF(A245="", "", IFERROR(VLOOKUP(A245, Clasificaciones!A:B, 2, FALSE), "DATO NO CARGADO"))</f>
        <v>Equipo</v>
      </c>
      <c r="C245" s="51" t="s">
        <v>155</v>
      </c>
      <c r="D245" s="156">
        <v>2025.0</v>
      </c>
      <c r="E245" s="43" t="s">
        <v>374</v>
      </c>
      <c r="F245" s="122">
        <v>45835.0</v>
      </c>
      <c r="G245" s="104">
        <v>45834.0</v>
      </c>
      <c r="H245" s="165" t="s">
        <v>403</v>
      </c>
      <c r="I245" s="43" t="s">
        <v>615</v>
      </c>
      <c r="J245" s="104">
        <v>45834.0</v>
      </c>
      <c r="L245" s="89">
        <v>1469.0</v>
      </c>
      <c r="M245" s="106" t="str">
        <f>IF(ISBLANK(K245), "", VLOOKUP(C245&amp;" "&amp;D245, 'Info Tipo de Cambio y REM'!$A$24:$B$35, 2, FALSE))</f>
        <v/>
      </c>
      <c r="N245" s="107">
        <f t="shared" si="1"/>
        <v>1469</v>
      </c>
      <c r="O245" s="102" t="str">
        <f t="shared" si="2"/>
        <v>A término</v>
      </c>
    </row>
    <row r="246" hidden="1">
      <c r="A246" s="43" t="s">
        <v>217</v>
      </c>
      <c r="B246" s="43" t="str">
        <f>IF(A246="", "", IFERROR(VLOOKUP(A246, Clasificaciones!A:B, 2, FALSE), "DATO NO CARGADO"))</f>
        <v>Equipo</v>
      </c>
      <c r="C246" s="51" t="s">
        <v>155</v>
      </c>
      <c r="D246" s="156">
        <v>2025.0</v>
      </c>
      <c r="E246" s="43" t="s">
        <v>374</v>
      </c>
      <c r="F246" s="122">
        <v>45835.0</v>
      </c>
      <c r="G246" s="104">
        <v>45834.0</v>
      </c>
      <c r="H246" s="165" t="s">
        <v>580</v>
      </c>
      <c r="I246" s="43" t="s">
        <v>616</v>
      </c>
      <c r="J246" s="104">
        <v>45834.0</v>
      </c>
      <c r="L246" s="89">
        <v>1218.0</v>
      </c>
      <c r="M246" s="106" t="str">
        <f>IF(ISBLANK(K246), "", VLOOKUP(C246&amp;" "&amp;D246, 'Info Tipo de Cambio y REM'!$A$24:$B$35, 2, FALSE))</f>
        <v/>
      </c>
      <c r="N246" s="107">
        <f t="shared" si="1"/>
        <v>1218</v>
      </c>
      <c r="O246" s="102" t="str">
        <f t="shared" si="2"/>
        <v>A término</v>
      </c>
    </row>
    <row r="247" hidden="1">
      <c r="A247" s="43" t="s">
        <v>133</v>
      </c>
      <c r="B247" s="43" t="str">
        <f>IF(A247="", "", IFERROR(VLOOKUP(A247, Clasificaciones!A:B, 2, FALSE), "DATO NO CARGADO"))</f>
        <v>Board</v>
      </c>
      <c r="C247" s="51" t="s">
        <v>155</v>
      </c>
      <c r="D247" s="156">
        <v>2025.0</v>
      </c>
      <c r="E247" s="43" t="s">
        <v>374</v>
      </c>
      <c r="F247" s="122">
        <v>45835.0</v>
      </c>
      <c r="G247" s="104">
        <v>45835.0</v>
      </c>
      <c r="H247" s="165" t="s">
        <v>589</v>
      </c>
      <c r="I247" s="43" t="s">
        <v>617</v>
      </c>
      <c r="J247" s="104">
        <v>45835.0</v>
      </c>
      <c r="L247" s="89">
        <v>4500.0</v>
      </c>
      <c r="M247" s="106" t="str">
        <f>IF(ISBLANK(K247), "", VLOOKUP(C247&amp;" "&amp;D247, 'Info Tipo de Cambio y REM'!$A$24:$B$35, 2, FALSE))</f>
        <v/>
      </c>
      <c r="N247" s="107">
        <f t="shared" si="1"/>
        <v>4500</v>
      </c>
      <c r="O247" s="102" t="str">
        <f t="shared" si="2"/>
        <v>A término</v>
      </c>
    </row>
    <row r="248" hidden="1">
      <c r="A248" s="43" t="s">
        <v>200</v>
      </c>
      <c r="B248" s="43" t="str">
        <f>IF(A248="", "", IFERROR(VLOOKUP(A248, Clasificaciones!A:B, 2, FALSE), "DATO NO CARGADO"))</f>
        <v>Equipo</v>
      </c>
      <c r="C248" s="51" t="s">
        <v>155</v>
      </c>
      <c r="D248" s="156">
        <v>2025.0</v>
      </c>
      <c r="E248" s="43" t="s">
        <v>374</v>
      </c>
      <c r="F248" s="122">
        <v>45835.0</v>
      </c>
      <c r="G248" s="104">
        <v>45835.0</v>
      </c>
      <c r="H248" s="165" t="s">
        <v>407</v>
      </c>
      <c r="I248" s="43" t="s">
        <v>615</v>
      </c>
      <c r="J248" s="104">
        <v>45835.0</v>
      </c>
      <c r="L248" s="89">
        <v>1352.0</v>
      </c>
      <c r="M248" s="106" t="str">
        <f>IF(ISBLANK(K248), "", VLOOKUP(C248&amp;" "&amp;D248, 'Info Tipo de Cambio y REM'!$A$24:$B$35, 2, FALSE))</f>
        <v/>
      </c>
      <c r="N248" s="107">
        <f t="shared" si="1"/>
        <v>1352</v>
      </c>
      <c r="O248" s="102" t="str">
        <f t="shared" si="2"/>
        <v>A término</v>
      </c>
    </row>
    <row r="249" hidden="1">
      <c r="A249" s="43" t="s">
        <v>221</v>
      </c>
      <c r="B249" s="43" t="str">
        <f>IF(A249="", "", IFERROR(VLOOKUP(A249, Clasificaciones!A:B, 2, FALSE), "DATO NO CARGADO"))</f>
        <v>Equipo</v>
      </c>
      <c r="C249" s="51" t="s">
        <v>155</v>
      </c>
      <c r="D249" s="156">
        <v>2025.0</v>
      </c>
      <c r="E249" s="43" t="s">
        <v>374</v>
      </c>
      <c r="F249" s="122">
        <v>45835.0</v>
      </c>
      <c r="G249" s="104">
        <v>45835.0</v>
      </c>
      <c r="H249" s="165" t="s">
        <v>450</v>
      </c>
      <c r="I249" s="43" t="s">
        <v>615</v>
      </c>
      <c r="J249" s="104">
        <v>45835.0</v>
      </c>
      <c r="L249" s="89">
        <v>1557.0</v>
      </c>
      <c r="M249" s="106" t="str">
        <f>IF(ISBLANK(K249), "", VLOOKUP(C249&amp;" "&amp;D249, 'Info Tipo de Cambio y REM'!$A$24:$B$35, 2, FALSE))</f>
        <v/>
      </c>
      <c r="N249" s="107">
        <f t="shared" si="1"/>
        <v>1557</v>
      </c>
      <c r="O249" s="102" t="str">
        <f t="shared" si="2"/>
        <v>A término</v>
      </c>
    </row>
    <row r="250" hidden="1">
      <c r="A250" s="43" t="s">
        <v>228</v>
      </c>
      <c r="B250" s="43" t="str">
        <f>IF(A250="", "", IFERROR(VLOOKUP(A250, Clasificaciones!A:B, 2, FALSE), "DATO NO CARGADO"))</f>
        <v>Equipo</v>
      </c>
      <c r="C250" s="51" t="s">
        <v>155</v>
      </c>
      <c r="D250" s="156">
        <v>2025.0</v>
      </c>
      <c r="E250" s="43" t="s">
        <v>374</v>
      </c>
      <c r="F250" s="122">
        <v>45835.0</v>
      </c>
      <c r="G250" s="104">
        <v>45838.0</v>
      </c>
      <c r="H250" s="165" t="s">
        <v>436</v>
      </c>
      <c r="I250" s="43" t="s">
        <v>614</v>
      </c>
      <c r="J250" s="104">
        <v>45838.0</v>
      </c>
      <c r="L250" s="89">
        <v>1156.0</v>
      </c>
      <c r="M250" s="106" t="str">
        <f>IF(ISBLANK(K250), "", VLOOKUP(C250&amp;" "&amp;D250, 'Info Tipo de Cambio y REM'!$A$24:$B$35, 2, FALSE))</f>
        <v/>
      </c>
      <c r="N250" s="107">
        <f t="shared" si="1"/>
        <v>1156</v>
      </c>
      <c r="O250" s="102" t="str">
        <f t="shared" si="2"/>
        <v>A término</v>
      </c>
    </row>
    <row r="251" hidden="1">
      <c r="A251" s="43" t="s">
        <v>197</v>
      </c>
      <c r="B251" s="43" t="str">
        <f>IF(A251="", "", IFERROR(VLOOKUP(A251, Clasificaciones!A:B, 2, FALSE), "DATO NO CARGADO"))</f>
        <v>Equipo</v>
      </c>
      <c r="C251" s="51" t="s">
        <v>155</v>
      </c>
      <c r="D251" s="156">
        <v>2025.0</v>
      </c>
      <c r="E251" s="43" t="s">
        <v>374</v>
      </c>
      <c r="F251" s="122">
        <v>45835.0</v>
      </c>
      <c r="G251" s="104">
        <v>45838.0</v>
      </c>
      <c r="H251" s="165" t="s">
        <v>411</v>
      </c>
      <c r="I251" s="43" t="s">
        <v>615</v>
      </c>
      <c r="J251" s="104">
        <v>45838.0</v>
      </c>
      <c r="L251" s="89">
        <v>1568.0</v>
      </c>
      <c r="M251" s="106" t="str">
        <f>IF(ISBLANK(K251), "", VLOOKUP(C251&amp;" "&amp;D251, 'Info Tipo de Cambio y REM'!$A$24:$B$35, 2, FALSE))</f>
        <v/>
      </c>
      <c r="N251" s="107">
        <f t="shared" si="1"/>
        <v>1568</v>
      </c>
      <c r="O251" s="102" t="str">
        <f t="shared" si="2"/>
        <v>A término</v>
      </c>
    </row>
    <row r="252" hidden="1">
      <c r="A252" s="43" t="s">
        <v>230</v>
      </c>
      <c r="B252" s="43" t="str">
        <f>IF(A252="", "", IFERROR(VLOOKUP(A252, Clasificaciones!A:B, 2, FALSE), "DATO NO CARGADO"))</f>
        <v>Equipo</v>
      </c>
      <c r="C252" s="51" t="s">
        <v>155</v>
      </c>
      <c r="D252" s="156">
        <v>2025.0</v>
      </c>
      <c r="E252" s="43" t="s">
        <v>374</v>
      </c>
      <c r="F252" s="122">
        <v>45835.0</v>
      </c>
      <c r="G252" s="104">
        <v>45838.0</v>
      </c>
      <c r="H252" s="165" t="s">
        <v>577</v>
      </c>
      <c r="I252" s="43" t="s">
        <v>615</v>
      </c>
      <c r="J252" s="104">
        <v>45838.0</v>
      </c>
      <c r="L252" s="89">
        <v>1465.0</v>
      </c>
      <c r="M252" s="106" t="str">
        <f>IF(ISBLANK(K252), "", VLOOKUP(C252&amp;" "&amp;D252, 'Info Tipo de Cambio y REM'!$A$24:$B$35, 2, FALSE))</f>
        <v/>
      </c>
      <c r="N252" s="107">
        <f t="shared" si="1"/>
        <v>1465</v>
      </c>
      <c r="O252" s="102" t="str">
        <f t="shared" si="2"/>
        <v>A término</v>
      </c>
    </row>
    <row r="253" hidden="1">
      <c r="A253" s="43" t="s">
        <v>214</v>
      </c>
      <c r="B253" s="43" t="str">
        <f>IF(A253="", "", IFERROR(VLOOKUP(A253, Clasificaciones!A:B, 2, FALSE), "DATO NO CARGADO"))</f>
        <v>Equipo</v>
      </c>
      <c r="C253" s="51" t="s">
        <v>155</v>
      </c>
      <c r="D253" s="156">
        <v>2025.0</v>
      </c>
      <c r="E253" s="43" t="s">
        <v>374</v>
      </c>
      <c r="F253" s="122">
        <v>45835.0</v>
      </c>
      <c r="G253" s="104">
        <v>45832.0</v>
      </c>
      <c r="H253" s="165" t="s">
        <v>566</v>
      </c>
      <c r="I253" s="43" t="s">
        <v>552</v>
      </c>
      <c r="J253" s="104">
        <v>45832.0</v>
      </c>
      <c r="L253" s="89">
        <v>45.0</v>
      </c>
      <c r="M253" s="106" t="str">
        <f>IF(ISBLANK(K253), "", VLOOKUP(C253&amp;" "&amp;D253, 'Info Tipo de Cambio y REM'!$A$24:$B$35, 2, FALSE))</f>
        <v/>
      </c>
      <c r="N253" s="107">
        <f t="shared" si="1"/>
        <v>45</v>
      </c>
      <c r="O253" s="102" t="str">
        <f t="shared" si="2"/>
        <v>A término</v>
      </c>
    </row>
    <row r="254" hidden="1">
      <c r="A254" s="43" t="s">
        <v>207</v>
      </c>
      <c r="B254" s="43" t="str">
        <f>IF(A254="", "", IFERROR(VLOOKUP(A254, Clasificaciones!A:B, 2, FALSE), "DATO NO CARGADO"))</f>
        <v>Equipo</v>
      </c>
      <c r="C254" s="51" t="s">
        <v>155</v>
      </c>
      <c r="D254" s="156">
        <v>2025.0</v>
      </c>
      <c r="E254" s="43" t="s">
        <v>374</v>
      </c>
      <c r="F254" s="122">
        <v>45835.0</v>
      </c>
      <c r="G254" s="104">
        <v>45833.0</v>
      </c>
      <c r="H254" s="165" t="s">
        <v>389</v>
      </c>
      <c r="I254" s="43" t="s">
        <v>552</v>
      </c>
      <c r="J254" s="104">
        <v>45833.0</v>
      </c>
      <c r="L254" s="89">
        <v>45.0</v>
      </c>
      <c r="M254" s="106" t="str">
        <f>IF(ISBLANK(K254), "", VLOOKUP(C254&amp;" "&amp;D254, 'Info Tipo de Cambio y REM'!$A$24:$B$35, 2, FALSE))</f>
        <v/>
      </c>
      <c r="N254" s="107">
        <f t="shared" si="1"/>
        <v>45</v>
      </c>
      <c r="O254" s="102" t="str">
        <f t="shared" si="2"/>
        <v>A término</v>
      </c>
    </row>
    <row r="255" hidden="1">
      <c r="A255" s="43" t="s">
        <v>120</v>
      </c>
      <c r="B255" s="43" t="str">
        <f>IF(A255="", "", IFERROR(VLOOKUP(A255, Clasificaciones!A:B, 2, FALSE), "DATO NO CARGADO"))</f>
        <v>Equipo</v>
      </c>
      <c r="C255" s="51" t="s">
        <v>155</v>
      </c>
      <c r="D255" s="156">
        <v>2025.0</v>
      </c>
      <c r="E255" s="43" t="s">
        <v>374</v>
      </c>
      <c r="F255" s="122">
        <v>45835.0</v>
      </c>
      <c r="G255" s="104">
        <v>45833.0</v>
      </c>
      <c r="H255" s="165" t="s">
        <v>387</v>
      </c>
      <c r="I255" s="43" t="s">
        <v>552</v>
      </c>
      <c r="J255" s="104">
        <v>45833.0</v>
      </c>
      <c r="L255" s="89">
        <v>45.0</v>
      </c>
      <c r="M255" s="106" t="str">
        <f>IF(ISBLANK(K255), "", VLOOKUP(C255&amp;" "&amp;D255, 'Info Tipo de Cambio y REM'!$A$24:$B$35, 2, FALSE))</f>
        <v/>
      </c>
      <c r="N255" s="107">
        <f t="shared" si="1"/>
        <v>45</v>
      </c>
      <c r="O255" s="102" t="str">
        <f t="shared" si="2"/>
        <v>A término</v>
      </c>
    </row>
    <row r="256" hidden="1">
      <c r="A256" s="43" t="s">
        <v>205</v>
      </c>
      <c r="B256" s="43" t="str">
        <f>IF(A256="", "", IFERROR(VLOOKUP(A256, Clasificaciones!A:B, 2, FALSE), "DATO NO CARGADO"))</f>
        <v>Equipo</v>
      </c>
      <c r="C256" s="51" t="s">
        <v>155</v>
      </c>
      <c r="D256" s="156">
        <v>2025.0</v>
      </c>
      <c r="E256" s="43" t="s">
        <v>374</v>
      </c>
      <c r="F256" s="122">
        <v>45835.0</v>
      </c>
      <c r="G256" s="104">
        <v>45834.0</v>
      </c>
      <c r="H256" s="165" t="s">
        <v>379</v>
      </c>
      <c r="I256" s="43" t="s">
        <v>552</v>
      </c>
      <c r="J256" s="104">
        <v>45834.0</v>
      </c>
      <c r="L256" s="89">
        <v>45.0</v>
      </c>
      <c r="M256" s="106" t="str">
        <f>IF(ISBLANK(K256), "", VLOOKUP(C256&amp;" "&amp;D256, 'Info Tipo de Cambio y REM'!$A$24:$B$35, 2, FALSE))</f>
        <v/>
      </c>
      <c r="N256" s="107">
        <f t="shared" si="1"/>
        <v>45</v>
      </c>
      <c r="O256" s="102" t="str">
        <f t="shared" si="2"/>
        <v>A término</v>
      </c>
    </row>
    <row r="257" hidden="1">
      <c r="A257" s="43" t="s">
        <v>194</v>
      </c>
      <c r="B257" s="43" t="str">
        <f>IF(A257="", "", IFERROR(VLOOKUP(A257, Clasificaciones!A:B, 2, FALSE), "DATO NO CARGADO"))</f>
        <v>Equipo</v>
      </c>
      <c r="C257" s="51" t="s">
        <v>155</v>
      </c>
      <c r="D257" s="156">
        <v>2025.0</v>
      </c>
      <c r="E257" s="43" t="s">
        <v>374</v>
      </c>
      <c r="F257" s="122">
        <v>45835.0</v>
      </c>
      <c r="G257" s="104">
        <v>45834.0</v>
      </c>
      <c r="H257" s="165" t="s">
        <v>403</v>
      </c>
      <c r="I257" s="43" t="s">
        <v>552</v>
      </c>
      <c r="J257" s="104">
        <v>45834.0</v>
      </c>
      <c r="L257" s="89">
        <v>45.0</v>
      </c>
      <c r="M257" s="106" t="str">
        <f>IF(ISBLANK(K257), "", VLOOKUP(C257&amp;" "&amp;D257, 'Info Tipo de Cambio y REM'!$A$24:$B$35, 2, FALSE))</f>
        <v/>
      </c>
      <c r="N257" s="107">
        <f t="shared" si="1"/>
        <v>45</v>
      </c>
      <c r="O257" s="102" t="str">
        <f t="shared" si="2"/>
        <v>A término</v>
      </c>
    </row>
    <row r="258" hidden="1">
      <c r="A258" s="43" t="s">
        <v>217</v>
      </c>
      <c r="B258" s="43" t="str">
        <f>IF(A258="", "", IFERROR(VLOOKUP(A258, Clasificaciones!A:B, 2, FALSE), "DATO NO CARGADO"))</f>
        <v>Equipo</v>
      </c>
      <c r="C258" s="51" t="s">
        <v>155</v>
      </c>
      <c r="D258" s="156">
        <v>2025.0</v>
      </c>
      <c r="E258" s="43" t="s">
        <v>374</v>
      </c>
      <c r="F258" s="122">
        <v>45835.0</v>
      </c>
      <c r="G258" s="104">
        <v>45834.0</v>
      </c>
      <c r="H258" s="165" t="s">
        <v>580</v>
      </c>
      <c r="I258" s="43" t="s">
        <v>552</v>
      </c>
      <c r="J258" s="104">
        <v>45834.0</v>
      </c>
      <c r="L258" s="89">
        <v>45.0</v>
      </c>
      <c r="M258" s="106" t="str">
        <f>IF(ISBLANK(K258), "", VLOOKUP(C258&amp;" "&amp;D258, 'Info Tipo de Cambio y REM'!$A$24:$B$35, 2, FALSE))</f>
        <v/>
      </c>
      <c r="N258" s="107">
        <f t="shared" si="1"/>
        <v>45</v>
      </c>
      <c r="O258" s="102" t="str">
        <f t="shared" si="2"/>
        <v>A término</v>
      </c>
    </row>
    <row r="259" hidden="1">
      <c r="A259" s="43" t="s">
        <v>133</v>
      </c>
      <c r="B259" s="43" t="str">
        <f>IF(A259="", "", IFERROR(VLOOKUP(A259, Clasificaciones!A:B, 2, FALSE), "DATO NO CARGADO"))</f>
        <v>Board</v>
      </c>
      <c r="C259" s="51" t="s">
        <v>155</v>
      </c>
      <c r="D259" s="156">
        <v>2025.0</v>
      </c>
      <c r="E259" s="43" t="s">
        <v>374</v>
      </c>
      <c r="F259" s="122">
        <v>45835.0</v>
      </c>
      <c r="G259" s="104">
        <v>45835.0</v>
      </c>
      <c r="H259" s="165" t="s">
        <v>589</v>
      </c>
      <c r="I259" s="43" t="s">
        <v>552</v>
      </c>
      <c r="J259" s="104">
        <v>45835.0</v>
      </c>
      <c r="L259" s="89">
        <v>45.0</v>
      </c>
      <c r="M259" s="106" t="str">
        <f>IF(ISBLANK(K259), "", VLOOKUP(C259&amp;" "&amp;D259, 'Info Tipo de Cambio y REM'!$A$24:$B$35, 2, FALSE))</f>
        <v/>
      </c>
      <c r="N259" s="107">
        <f t="shared" si="1"/>
        <v>45</v>
      </c>
      <c r="O259" s="102" t="str">
        <f t="shared" si="2"/>
        <v>A término</v>
      </c>
    </row>
    <row r="260" hidden="1">
      <c r="A260" s="43" t="s">
        <v>221</v>
      </c>
      <c r="B260" s="43" t="str">
        <f>IF(A260="", "", IFERROR(VLOOKUP(A260, Clasificaciones!A:B, 2, FALSE), "DATO NO CARGADO"))</f>
        <v>Equipo</v>
      </c>
      <c r="C260" s="51" t="s">
        <v>155</v>
      </c>
      <c r="D260" s="156">
        <v>2025.0</v>
      </c>
      <c r="E260" s="43" t="s">
        <v>374</v>
      </c>
      <c r="F260" s="122">
        <v>45835.0</v>
      </c>
      <c r="G260" s="104">
        <v>45835.0</v>
      </c>
      <c r="H260" s="165" t="s">
        <v>407</v>
      </c>
      <c r="I260" s="43" t="s">
        <v>552</v>
      </c>
      <c r="J260" s="104">
        <v>45835.0</v>
      </c>
      <c r="L260" s="89">
        <v>45.0</v>
      </c>
      <c r="M260" s="106" t="str">
        <f>IF(ISBLANK(K260), "", VLOOKUP(C260&amp;" "&amp;D260, 'Info Tipo de Cambio y REM'!$A$24:$B$35, 2, FALSE))</f>
        <v/>
      </c>
      <c r="N260" s="107">
        <f t="shared" si="1"/>
        <v>45</v>
      </c>
      <c r="O260" s="102" t="str">
        <f t="shared" si="2"/>
        <v>A término</v>
      </c>
    </row>
    <row r="261" hidden="1">
      <c r="A261" s="43" t="s">
        <v>200</v>
      </c>
      <c r="B261" s="43" t="str">
        <f>IF(A261="", "", IFERROR(VLOOKUP(A261, Clasificaciones!A:B, 2, FALSE), "DATO NO CARGADO"))</f>
        <v>Equipo</v>
      </c>
      <c r="C261" s="51" t="s">
        <v>155</v>
      </c>
      <c r="D261" s="156">
        <v>2025.0</v>
      </c>
      <c r="E261" s="43" t="s">
        <v>374</v>
      </c>
      <c r="F261" s="122">
        <v>45835.0</v>
      </c>
      <c r="G261" s="104">
        <v>45835.0</v>
      </c>
      <c r="H261" s="165" t="s">
        <v>450</v>
      </c>
      <c r="I261" s="43" t="s">
        <v>552</v>
      </c>
      <c r="J261" s="104">
        <v>45835.0</v>
      </c>
      <c r="L261" s="89">
        <v>45.0</v>
      </c>
      <c r="M261" s="106" t="str">
        <f>IF(ISBLANK(K261), "", VLOOKUP(C261&amp;" "&amp;D261, 'Info Tipo de Cambio y REM'!$A$24:$B$35, 2, FALSE))</f>
        <v/>
      </c>
      <c r="N261" s="107">
        <f t="shared" si="1"/>
        <v>45</v>
      </c>
      <c r="O261" s="102" t="str">
        <f t="shared" si="2"/>
        <v>A término</v>
      </c>
    </row>
    <row r="262" hidden="1">
      <c r="A262" s="43" t="s">
        <v>228</v>
      </c>
      <c r="B262" s="43" t="str">
        <f>IF(A262="", "", IFERROR(VLOOKUP(A262, Clasificaciones!A:B, 2, FALSE), "DATO NO CARGADO"))</f>
        <v>Equipo</v>
      </c>
      <c r="C262" s="51" t="s">
        <v>155</v>
      </c>
      <c r="D262" s="156">
        <v>2025.0</v>
      </c>
      <c r="E262" s="43" t="s">
        <v>374</v>
      </c>
      <c r="F262" s="122">
        <v>45835.0</v>
      </c>
      <c r="G262" s="104">
        <v>45838.0</v>
      </c>
      <c r="H262" s="165" t="s">
        <v>436</v>
      </c>
      <c r="I262" s="43" t="s">
        <v>552</v>
      </c>
      <c r="J262" s="104">
        <v>45838.0</v>
      </c>
      <c r="L262" s="89">
        <v>45.0</v>
      </c>
      <c r="M262" s="106" t="str">
        <f>IF(ISBLANK(K262), "", VLOOKUP(C262&amp;" "&amp;D262, 'Info Tipo de Cambio y REM'!$A$24:$B$35, 2, FALSE))</f>
        <v/>
      </c>
      <c r="N262" s="107">
        <f t="shared" si="1"/>
        <v>45</v>
      </c>
      <c r="O262" s="102" t="str">
        <f t="shared" si="2"/>
        <v>A término</v>
      </c>
    </row>
    <row r="263" hidden="1">
      <c r="A263" s="43" t="s">
        <v>197</v>
      </c>
      <c r="B263" s="43" t="str">
        <f>IF(A263="", "", IFERROR(VLOOKUP(A263, Clasificaciones!A:B, 2, FALSE), "DATO NO CARGADO"))</f>
        <v>Equipo</v>
      </c>
      <c r="C263" s="51" t="s">
        <v>155</v>
      </c>
      <c r="D263" s="156">
        <v>2025.0</v>
      </c>
      <c r="E263" s="43" t="s">
        <v>374</v>
      </c>
      <c r="F263" s="122">
        <v>45835.0</v>
      </c>
      <c r="G263" s="104">
        <v>45838.0</v>
      </c>
      <c r="H263" s="165" t="s">
        <v>411</v>
      </c>
      <c r="I263" s="43" t="s">
        <v>552</v>
      </c>
      <c r="J263" s="104">
        <v>45838.0</v>
      </c>
      <c r="L263" s="89">
        <v>45.0</v>
      </c>
      <c r="M263" s="106" t="str">
        <f>IF(ISBLANK(K263), "", VLOOKUP(C263&amp;" "&amp;D263, 'Info Tipo de Cambio y REM'!$A$24:$B$35, 2, FALSE))</f>
        <v/>
      </c>
      <c r="N263" s="107">
        <f t="shared" si="1"/>
        <v>45</v>
      </c>
      <c r="O263" s="102" t="str">
        <f t="shared" si="2"/>
        <v>A término</v>
      </c>
    </row>
    <row r="264" hidden="1">
      <c r="A264" s="43" t="s">
        <v>230</v>
      </c>
      <c r="B264" s="43" t="str">
        <f>IF(A264="", "", IFERROR(VLOOKUP(A264, Clasificaciones!A:B, 2, FALSE), "DATO NO CARGADO"))</f>
        <v>Equipo</v>
      </c>
      <c r="C264" s="51" t="s">
        <v>155</v>
      </c>
      <c r="D264" s="156">
        <v>2025.0</v>
      </c>
      <c r="E264" s="43" t="s">
        <v>374</v>
      </c>
      <c r="F264" s="122">
        <v>45835.0</v>
      </c>
      <c r="G264" s="104">
        <v>45838.0</v>
      </c>
      <c r="H264" s="165" t="s">
        <v>577</v>
      </c>
      <c r="I264" s="43" t="s">
        <v>552</v>
      </c>
      <c r="J264" s="104">
        <v>45838.0</v>
      </c>
      <c r="L264" s="89">
        <v>45.0</v>
      </c>
      <c r="M264" s="106" t="str">
        <f>IF(ISBLANK(K264), "", VLOOKUP(C264&amp;" "&amp;D264, 'Info Tipo de Cambio y REM'!$A$24:$B$35, 2, FALSE))</f>
        <v/>
      </c>
      <c r="N264" s="107">
        <f t="shared" si="1"/>
        <v>45</v>
      </c>
      <c r="O264" s="102" t="str">
        <f t="shared" si="2"/>
        <v>A término</v>
      </c>
    </row>
    <row r="265" hidden="1">
      <c r="A265" s="43" t="s">
        <v>187</v>
      </c>
      <c r="B265" s="43" t="str">
        <f>IF(A265="", "", IFERROR(VLOOKUP(A265, Clasificaciones!A:B, 2, FALSE), "DATO NO CARGADO"))</f>
        <v>Gastos Varios</v>
      </c>
      <c r="C265" s="51" t="s">
        <v>155</v>
      </c>
      <c r="D265" s="156">
        <v>2025.0</v>
      </c>
      <c r="E265" s="43" t="s">
        <v>371</v>
      </c>
      <c r="F265" s="122">
        <v>45867.0</v>
      </c>
      <c r="G265" s="104">
        <v>45838.0</v>
      </c>
      <c r="H265" s="165" t="s">
        <v>418</v>
      </c>
      <c r="I265" s="43" t="s">
        <v>618</v>
      </c>
      <c r="J265" s="104">
        <v>45868.0</v>
      </c>
      <c r="L265" s="89">
        <v>600.0</v>
      </c>
      <c r="M265" s="106" t="str">
        <f>IF(ISBLANK(K265), "", VLOOKUP(C265&amp;" "&amp;D265, 'Info Tipo de Cambio y REM'!$A$24:$B$35, 2, FALSE))</f>
        <v/>
      </c>
      <c r="N265" s="107">
        <f t="shared" si="1"/>
        <v>600</v>
      </c>
      <c r="O265" s="102" t="str">
        <f t="shared" si="2"/>
        <v>A término</v>
      </c>
    </row>
    <row r="266" hidden="1">
      <c r="A266" s="43" t="s">
        <v>152</v>
      </c>
      <c r="B266" s="43" t="str">
        <f>IF(A266="", "", IFERROR(VLOOKUP(A266, Clasificaciones!A:B, 2, FALSE), "DATO NO CARGADO"))</f>
        <v>Impuestos ARG</v>
      </c>
      <c r="C266" s="51" t="s">
        <v>155</v>
      </c>
      <c r="D266" s="156">
        <v>2025.0</v>
      </c>
      <c r="E266" s="43" t="s">
        <v>371</v>
      </c>
      <c r="F266" s="122">
        <v>45866.0</v>
      </c>
      <c r="G266" s="104">
        <v>45838.0</v>
      </c>
      <c r="H266" s="165" t="s">
        <v>619</v>
      </c>
      <c r="I266" s="1"/>
      <c r="J266" s="168">
        <v>45862.0</v>
      </c>
      <c r="K266" s="89">
        <v>1835920.0</v>
      </c>
      <c r="L266" s="71"/>
      <c r="M266" s="106">
        <f>IF(ISBLANK(K266), "", VLOOKUP(C266&amp;" "&amp;D266, 'Info Tipo de Cambio y REM'!$A$24:$B$35, 2, FALSE))</f>
        <v>1215</v>
      </c>
      <c r="N266" s="107">
        <f t="shared" si="1"/>
        <v>1511.045267</v>
      </c>
      <c r="O266" s="102" t="str">
        <f t="shared" si="2"/>
        <v>Vencido</v>
      </c>
    </row>
    <row r="267" hidden="1">
      <c r="A267" s="43" t="s">
        <v>146</v>
      </c>
      <c r="B267" s="43" t="str">
        <f>IF(A267="", "", IFERROR(VLOOKUP(A267, Clasificaciones!A:B, 2, FALSE), "DATO NO CARGADO"))</f>
        <v>Impuestos ARG</v>
      </c>
      <c r="C267" s="51" t="s">
        <v>155</v>
      </c>
      <c r="D267" s="156">
        <v>2025.0</v>
      </c>
      <c r="E267" s="43" t="s">
        <v>371</v>
      </c>
      <c r="F267" s="122">
        <v>45866.0</v>
      </c>
      <c r="G267" s="104">
        <v>45838.0</v>
      </c>
      <c r="H267" s="165" t="s">
        <v>620</v>
      </c>
      <c r="I267" s="1"/>
      <c r="J267" s="168">
        <v>45857.0</v>
      </c>
      <c r="K267" s="89">
        <v>337214.0</v>
      </c>
      <c r="L267" s="71"/>
      <c r="M267" s="106">
        <f>IF(ISBLANK(K267), "", VLOOKUP(C267&amp;" "&amp;D267, 'Info Tipo de Cambio y REM'!$A$24:$B$35, 2, FALSE))</f>
        <v>1215</v>
      </c>
      <c r="N267" s="107">
        <f t="shared" si="1"/>
        <v>277.5423868</v>
      </c>
      <c r="O267" s="102" t="str">
        <f t="shared" si="2"/>
        <v>Vencido</v>
      </c>
    </row>
    <row r="268" hidden="1">
      <c r="A268" s="43" t="s">
        <v>164</v>
      </c>
      <c r="B268" s="43" t="str">
        <f>IF(A268="", "", IFERROR(VLOOKUP(A268, Clasificaciones!A:B, 2, FALSE), "DATO NO CARGADO"))</f>
        <v>Estudio Contable</v>
      </c>
      <c r="C268" s="51" t="s">
        <v>155</v>
      </c>
      <c r="D268" s="156">
        <v>2025.0</v>
      </c>
      <c r="E268" s="43" t="s">
        <v>371</v>
      </c>
      <c r="F268" s="313">
        <v>45894.0</v>
      </c>
      <c r="G268" s="104">
        <v>45838.0</v>
      </c>
      <c r="H268" s="165" t="s">
        <v>621</v>
      </c>
      <c r="I268" s="1"/>
      <c r="J268" s="168">
        <v>45879.0</v>
      </c>
      <c r="K268" s="89">
        <v>59568.3</v>
      </c>
      <c r="L268" s="71"/>
      <c r="M268" s="106">
        <f>IF(ISBLANK(K268), "", VLOOKUP(C268&amp;" "&amp;D268, 'Info Tipo de Cambio y REM'!$A$24:$B$35, 2, FALSE))</f>
        <v>1215</v>
      </c>
      <c r="N268" s="107">
        <f t="shared" si="1"/>
        <v>49.02740741</v>
      </c>
      <c r="O268" s="102" t="str">
        <f t="shared" si="2"/>
        <v>Vencido</v>
      </c>
    </row>
    <row r="269" hidden="1">
      <c r="A269" s="334" t="s">
        <v>153</v>
      </c>
      <c r="B269" s="156" t="str">
        <f>IF(A269="", "", IFERROR(VLOOKUP(A269, Clasificaciones!A:B, 2, FALSE), "DATO NO CARGADO"))</f>
        <v>Impuestos USA</v>
      </c>
      <c r="C269" s="330" t="s">
        <v>155</v>
      </c>
      <c r="D269" s="334">
        <v>2025.0</v>
      </c>
      <c r="E269" s="334" t="s">
        <v>371</v>
      </c>
      <c r="F269" s="183"/>
      <c r="G269" s="183">
        <v>45838.0</v>
      </c>
      <c r="H269" s="230" t="s">
        <v>622</v>
      </c>
      <c r="I269" s="156" t="s">
        <v>623</v>
      </c>
      <c r="J269" s="183">
        <v>46142.0</v>
      </c>
      <c r="K269" s="335"/>
      <c r="L269" s="336">
        <v>-4204.92</v>
      </c>
      <c r="M269" s="106" t="str">
        <f>IF(ISBLANK(K269), "", VLOOKUP(C269&amp;" "&amp;D269, 'Info Tipo de Cambio y REM'!$A$24:$B$35, 2, FALSE))</f>
        <v/>
      </c>
      <c r="N269" s="337">
        <f t="shared" si="1"/>
        <v>-4204.92</v>
      </c>
      <c r="O269" s="102" t="str">
        <f t="shared" si="2"/>
        <v>A término</v>
      </c>
      <c r="P269" s="335"/>
      <c r="Q269" s="335"/>
      <c r="R269" s="335"/>
      <c r="S269" s="335"/>
      <c r="T269" s="335"/>
      <c r="U269" s="335"/>
      <c r="V269" s="335"/>
      <c r="W269" s="335"/>
      <c r="X269" s="335"/>
      <c r="Y269" s="335"/>
      <c r="Z269" s="335"/>
      <c r="AA269" s="335"/>
      <c r="AB269" s="335"/>
      <c r="AC269" s="335"/>
      <c r="AD269" s="335"/>
      <c r="AE269" s="335"/>
      <c r="AF269" s="335"/>
    </row>
    <row r="270" hidden="1">
      <c r="A270" s="43" t="s">
        <v>222</v>
      </c>
      <c r="B270" s="43" t="str">
        <f>IF(A270="", "", IFERROR(VLOOKUP(A270, Clasificaciones!A:B, 2, FALSE), "DATO NO CARGADO"))</f>
        <v>Oxean</v>
      </c>
      <c r="C270" s="51" t="s">
        <v>155</v>
      </c>
      <c r="D270" s="156">
        <v>2025.0</v>
      </c>
      <c r="E270" s="334" t="s">
        <v>371</v>
      </c>
      <c r="F270" s="313">
        <v>45866.0</v>
      </c>
      <c r="G270" s="104">
        <v>45838.0</v>
      </c>
      <c r="H270" s="165" t="s">
        <v>624</v>
      </c>
      <c r="I270" s="1"/>
      <c r="J270" s="168">
        <v>45848.0</v>
      </c>
      <c r="K270" s="89">
        <v>4910000.0</v>
      </c>
      <c r="L270" s="71"/>
      <c r="M270" s="106">
        <f>IF(ISBLANK(K270), "", VLOOKUP(C270&amp;" "&amp;D270, 'Info Tipo de Cambio y REM'!$A$24:$B$35, 2, FALSE))</f>
        <v>1215</v>
      </c>
      <c r="N270" s="107">
        <f t="shared" si="1"/>
        <v>4041.152263</v>
      </c>
      <c r="O270" s="102" t="str">
        <f t="shared" si="2"/>
        <v>Vencido</v>
      </c>
    </row>
    <row r="271" hidden="1">
      <c r="A271" s="43" t="s">
        <v>158</v>
      </c>
      <c r="B271" s="43" t="str">
        <f>IF(A271="", "", IFERROR(VLOOKUP(A271, Clasificaciones!A:B, 2, FALSE), "DATO NO CARGADO"))</f>
        <v>Tarjeta</v>
      </c>
      <c r="C271" s="51" t="s">
        <v>155</v>
      </c>
      <c r="D271" s="156">
        <v>2025.0</v>
      </c>
      <c r="E271" s="43" t="s">
        <v>371</v>
      </c>
      <c r="F271" s="313">
        <v>45866.0</v>
      </c>
      <c r="G271" s="104">
        <v>45838.0</v>
      </c>
      <c r="H271" s="184" t="s">
        <v>625</v>
      </c>
      <c r="I271" s="1"/>
      <c r="J271" s="185">
        <v>45856.0</v>
      </c>
      <c r="K271" s="201">
        <v>111382.0</v>
      </c>
      <c r="L271" s="71"/>
      <c r="M271" s="106">
        <f>IF(ISBLANK(K271), "", VLOOKUP(C271&amp;" "&amp;D271, 'Info Tipo de Cambio y REM'!$A$24:$B$35, 2, FALSE))</f>
        <v>1215</v>
      </c>
      <c r="N271" s="107">
        <f t="shared" si="1"/>
        <v>91.67242798</v>
      </c>
      <c r="O271" s="102" t="str">
        <f t="shared" si="2"/>
        <v>Vencido</v>
      </c>
    </row>
    <row r="272" hidden="1">
      <c r="A272" s="43" t="s">
        <v>222</v>
      </c>
      <c r="B272" s="43" t="str">
        <f>IF(A272="", "", IFERROR(VLOOKUP(A272, Clasificaciones!A:B, 2, FALSE), "DATO NO CARGADO"))</f>
        <v>Oxean</v>
      </c>
      <c r="C272" s="51" t="s">
        <v>155</v>
      </c>
      <c r="D272" s="156">
        <v>2025.0</v>
      </c>
      <c r="E272" s="43" t="s">
        <v>374</v>
      </c>
      <c r="F272" s="329">
        <v>45831.0</v>
      </c>
      <c r="G272" s="104">
        <v>45838.0</v>
      </c>
      <c r="H272" s="165" t="s">
        <v>626</v>
      </c>
      <c r="J272" s="104">
        <v>45838.0</v>
      </c>
      <c r="K272" s="89">
        <v>410000.0</v>
      </c>
      <c r="L272" s="71"/>
      <c r="M272" s="106">
        <f>IF(ISBLANK(K272), "", VLOOKUP(C272&amp;" "&amp;D272, 'Info Tipo de Cambio y REM'!$A$24:$B$35, 2, FALSE))</f>
        <v>1215</v>
      </c>
      <c r="N272" s="107">
        <f t="shared" si="1"/>
        <v>337.4485597</v>
      </c>
      <c r="O272" s="102" t="str">
        <f t="shared" si="2"/>
        <v>A término</v>
      </c>
    </row>
    <row r="273" hidden="1">
      <c r="A273" s="43" t="s">
        <v>133</v>
      </c>
      <c r="B273" s="43" t="str">
        <f>IF(A273="", "", IFERROR(VLOOKUP(A273, Clasificaciones!A:B, 2, FALSE), "DATO NO CARGADO"))</f>
        <v>Board</v>
      </c>
      <c r="C273" s="51" t="s">
        <v>161</v>
      </c>
      <c r="D273" s="156">
        <v>2025.0</v>
      </c>
      <c r="E273" s="43" t="s">
        <v>371</v>
      </c>
      <c r="F273" s="313">
        <v>45881.0</v>
      </c>
      <c r="G273" s="104">
        <v>45838.0</v>
      </c>
      <c r="H273" s="165" t="s">
        <v>627</v>
      </c>
      <c r="J273" s="104">
        <v>45869.0</v>
      </c>
      <c r="K273" s="89">
        <v>-318979.0</v>
      </c>
      <c r="L273" s="71"/>
      <c r="M273" s="106">
        <f>IF(ISBLANK(K273), "", VLOOKUP(C273&amp;" "&amp;D273, 'Info Tipo de Cambio y REM'!$A$24:$B$35, 2, FALSE))</f>
        <v>1320</v>
      </c>
      <c r="N273" s="107">
        <f t="shared" si="1"/>
        <v>-241.6507576</v>
      </c>
      <c r="O273" s="102" t="str">
        <f t="shared" si="2"/>
        <v>Vencido</v>
      </c>
    </row>
    <row r="274" hidden="1">
      <c r="A274" s="43" t="s">
        <v>228</v>
      </c>
      <c r="B274" s="43" t="str">
        <f>IF(A274="", "", IFERROR(VLOOKUP(A274, Clasificaciones!A:B, 2, FALSE), "DATO NO CARGADO"))</f>
        <v>Equipo</v>
      </c>
      <c r="C274" s="51" t="s">
        <v>155</v>
      </c>
      <c r="D274" s="156">
        <v>2025.0</v>
      </c>
      <c r="E274" s="43" t="s">
        <v>371</v>
      </c>
      <c r="F274" s="110">
        <v>45848.0</v>
      </c>
      <c r="G274" s="104">
        <v>45838.0</v>
      </c>
      <c r="H274" s="202" t="s">
        <v>628</v>
      </c>
      <c r="I274" s="203" t="s">
        <v>629</v>
      </c>
      <c r="J274" s="104">
        <v>45845.0</v>
      </c>
      <c r="K274" s="112">
        <v>392090.0</v>
      </c>
      <c r="L274" s="71"/>
      <c r="M274" s="106">
        <f>IF(ISBLANK(K274), "", VLOOKUP(C274&amp;" "&amp;D274, 'Info Tipo de Cambio y REM'!$A$24:$B$35, 2, FALSE))</f>
        <v>1215</v>
      </c>
      <c r="N274" s="107">
        <f t="shared" si="1"/>
        <v>322.7078189</v>
      </c>
      <c r="O274" s="102" t="str">
        <f t="shared" si="2"/>
        <v>Vencido</v>
      </c>
    </row>
    <row r="275" hidden="1">
      <c r="A275" s="43" t="s">
        <v>214</v>
      </c>
      <c r="B275" s="43" t="str">
        <f>IF(A275="", "", IFERROR(VLOOKUP(A275, Clasificaciones!A:B, 2, FALSE), "DATO NO CARGADO"))</f>
        <v>Equipo</v>
      </c>
      <c r="C275" s="51" t="s">
        <v>155</v>
      </c>
      <c r="D275" s="156">
        <v>2025.0</v>
      </c>
      <c r="E275" s="43" t="s">
        <v>371</v>
      </c>
      <c r="F275" s="110">
        <v>45848.0</v>
      </c>
      <c r="G275" s="104">
        <v>45838.0</v>
      </c>
      <c r="H275" s="203" t="s">
        <v>566</v>
      </c>
      <c r="I275" s="203" t="s">
        <v>630</v>
      </c>
      <c r="J275" s="104">
        <v>45845.0</v>
      </c>
      <c r="K275" s="112">
        <v>60123.0</v>
      </c>
      <c r="L275" s="71"/>
      <c r="M275" s="106">
        <f>IF(ISBLANK(K275), "", VLOOKUP(C275&amp;" "&amp;D275, 'Info Tipo de Cambio y REM'!$A$24:$B$35, 2, FALSE))</f>
        <v>1215</v>
      </c>
      <c r="N275" s="107">
        <f t="shared" si="1"/>
        <v>49.48395062</v>
      </c>
      <c r="O275" s="102" t="str">
        <f t="shared" si="2"/>
        <v>Vencido</v>
      </c>
    </row>
    <row r="276" hidden="1">
      <c r="A276" s="43" t="s">
        <v>205</v>
      </c>
      <c r="B276" s="43" t="str">
        <f>IF(A276="", "", IFERROR(VLOOKUP(A276, Clasificaciones!A:B, 2, FALSE), "DATO NO CARGADO"))</f>
        <v>Equipo</v>
      </c>
      <c r="C276" s="51" t="s">
        <v>155</v>
      </c>
      <c r="D276" s="156">
        <v>2025.0</v>
      </c>
      <c r="E276" s="43" t="s">
        <v>371</v>
      </c>
      <c r="F276" s="110">
        <v>45848.0</v>
      </c>
      <c r="G276" s="104">
        <v>45838.0</v>
      </c>
      <c r="H276" s="203" t="s">
        <v>379</v>
      </c>
      <c r="I276" s="203" t="s">
        <v>631</v>
      </c>
      <c r="J276" s="104">
        <v>45845.0</v>
      </c>
      <c r="K276" s="112">
        <v>401555.0</v>
      </c>
      <c r="L276" s="71"/>
      <c r="M276" s="106">
        <f>IF(ISBLANK(K276), "", VLOOKUP(C276&amp;" "&amp;D276, 'Info Tipo de Cambio y REM'!$A$24:$B$35, 2, FALSE))</f>
        <v>1215</v>
      </c>
      <c r="N276" s="107">
        <f t="shared" si="1"/>
        <v>330.4979424</v>
      </c>
      <c r="O276" s="102" t="str">
        <f t="shared" si="2"/>
        <v>Vencido</v>
      </c>
    </row>
    <row r="277" hidden="1">
      <c r="A277" s="43" t="s">
        <v>200</v>
      </c>
      <c r="B277" s="43" t="str">
        <f>IF(A277="", "", IFERROR(VLOOKUP(A277, Clasificaciones!A:B, 2, FALSE), "DATO NO CARGADO"))</f>
        <v>Equipo</v>
      </c>
      <c r="C277" s="51" t="s">
        <v>155</v>
      </c>
      <c r="D277" s="156">
        <v>2025.0</v>
      </c>
      <c r="E277" s="43" t="s">
        <v>371</v>
      </c>
      <c r="F277" s="110">
        <v>45848.0</v>
      </c>
      <c r="G277" s="104">
        <v>45838.0</v>
      </c>
      <c r="H277" s="203" t="s">
        <v>381</v>
      </c>
      <c r="I277" s="203" t="s">
        <v>632</v>
      </c>
      <c r="J277" s="104">
        <v>45845.0</v>
      </c>
      <c r="K277" s="112">
        <v>338952.0</v>
      </c>
      <c r="L277" s="71"/>
      <c r="M277" s="106">
        <f>IF(ISBLANK(K277), "", VLOOKUP(C277&amp;" "&amp;D277, 'Info Tipo de Cambio y REM'!$A$24:$B$35, 2, FALSE))</f>
        <v>1215</v>
      </c>
      <c r="N277" s="107">
        <f t="shared" si="1"/>
        <v>278.9728395</v>
      </c>
      <c r="O277" s="102" t="str">
        <f t="shared" si="2"/>
        <v>Vencido</v>
      </c>
    </row>
    <row r="278" hidden="1">
      <c r="A278" s="43" t="s">
        <v>226</v>
      </c>
      <c r="B278" s="43" t="str">
        <f>IF(A278="", "", IFERROR(VLOOKUP(A278, Clasificaciones!A:B, 2, FALSE), "DATO NO CARGADO"))</f>
        <v>Administración Finanzas</v>
      </c>
      <c r="C278" s="51" t="s">
        <v>155</v>
      </c>
      <c r="D278" s="156">
        <v>2025.0</v>
      </c>
      <c r="E278" s="43" t="s">
        <v>371</v>
      </c>
      <c r="F278" s="110">
        <v>45848.0</v>
      </c>
      <c r="G278" s="104">
        <v>45838.0</v>
      </c>
      <c r="H278" s="203" t="s">
        <v>383</v>
      </c>
      <c r="I278" s="203" t="s">
        <v>633</v>
      </c>
      <c r="J278" s="104">
        <v>45848.0</v>
      </c>
      <c r="K278" s="112">
        <v>537700.0</v>
      </c>
      <c r="L278" s="71"/>
      <c r="M278" s="106">
        <f>IF(ISBLANK(K278), "", VLOOKUP(C278&amp;" "&amp;D278, 'Info Tipo de Cambio y REM'!$A$24:$B$35, 2, FALSE))</f>
        <v>1215</v>
      </c>
      <c r="N278" s="107">
        <f t="shared" si="1"/>
        <v>442.5514403</v>
      </c>
      <c r="O278" s="102" t="str">
        <f t="shared" si="2"/>
        <v>A término</v>
      </c>
    </row>
    <row r="279" hidden="1">
      <c r="A279" s="43" t="s">
        <v>120</v>
      </c>
      <c r="B279" s="43" t="str">
        <f>IF(A279="", "", IFERROR(VLOOKUP(A279, Clasificaciones!A:B, 2, FALSE), "DATO NO CARGADO"))</f>
        <v>Equipo</v>
      </c>
      <c r="C279" s="51" t="s">
        <v>155</v>
      </c>
      <c r="D279" s="156">
        <v>2025.0</v>
      </c>
      <c r="E279" s="43" t="s">
        <v>371</v>
      </c>
      <c r="F279" s="110">
        <v>45848.0</v>
      </c>
      <c r="G279" s="104">
        <v>45838.0</v>
      </c>
      <c r="H279" s="203" t="s">
        <v>387</v>
      </c>
      <c r="I279" s="203" t="s">
        <v>573</v>
      </c>
      <c r="J279" s="104">
        <v>45845.0</v>
      </c>
      <c r="K279" s="112">
        <v>281174.0</v>
      </c>
      <c r="L279" s="71"/>
      <c r="M279" s="106">
        <f>IF(ISBLANK(K279), "", VLOOKUP(C279&amp;" "&amp;D279, 'Info Tipo de Cambio y REM'!$A$24:$B$35, 2, FALSE))</f>
        <v>1215</v>
      </c>
      <c r="N279" s="107">
        <f t="shared" si="1"/>
        <v>231.41893</v>
      </c>
      <c r="O279" s="102" t="str">
        <f t="shared" si="2"/>
        <v>Vencido</v>
      </c>
    </row>
    <row r="280" hidden="1">
      <c r="A280" s="43" t="s">
        <v>207</v>
      </c>
      <c r="B280" s="43" t="str">
        <f>IF(A280="", "", IFERROR(VLOOKUP(A280, Clasificaciones!A:B, 2, FALSE), "DATO NO CARGADO"))</f>
        <v>Equipo</v>
      </c>
      <c r="C280" s="51" t="s">
        <v>155</v>
      </c>
      <c r="D280" s="156">
        <v>2025.0</v>
      </c>
      <c r="E280" s="43" t="s">
        <v>371</v>
      </c>
      <c r="F280" s="110">
        <v>45848.0</v>
      </c>
      <c r="G280" s="104">
        <v>45838.0</v>
      </c>
      <c r="H280" s="203" t="s">
        <v>389</v>
      </c>
      <c r="I280" s="203" t="s">
        <v>634</v>
      </c>
      <c r="J280" s="104">
        <v>45845.0</v>
      </c>
      <c r="K280" s="112">
        <v>245242.0</v>
      </c>
      <c r="L280" s="71"/>
      <c r="M280" s="106">
        <f>IF(ISBLANK(K280), "", VLOOKUP(C280&amp;" "&amp;D280, 'Info Tipo de Cambio y REM'!$A$24:$B$35, 2, FALSE))</f>
        <v>1215</v>
      </c>
      <c r="N280" s="107">
        <f t="shared" si="1"/>
        <v>201.8452675</v>
      </c>
      <c r="O280" s="102" t="str">
        <f t="shared" si="2"/>
        <v>Vencido</v>
      </c>
    </row>
    <row r="281" hidden="1">
      <c r="A281" s="43" t="s">
        <v>87</v>
      </c>
      <c r="B281" s="43" t="str">
        <f>IF(A281="", "", IFERROR(VLOOKUP(A281, Clasificaciones!A:B, 2, FALSE), "DATO NO CARGADO"))</f>
        <v>Equipo</v>
      </c>
      <c r="C281" s="51" t="s">
        <v>155</v>
      </c>
      <c r="D281" s="156">
        <v>2025.0</v>
      </c>
      <c r="E281" s="43" t="s">
        <v>371</v>
      </c>
      <c r="F281" s="110">
        <v>45848.0</v>
      </c>
      <c r="G281" s="104">
        <v>45838.0</v>
      </c>
      <c r="H281" s="203" t="s">
        <v>391</v>
      </c>
      <c r="I281" s="203" t="s">
        <v>579</v>
      </c>
      <c r="J281" s="104">
        <v>45848.0</v>
      </c>
      <c r="K281" s="112">
        <v>671880.0</v>
      </c>
      <c r="L281" s="71"/>
      <c r="M281" s="106">
        <f>IF(ISBLANK(K281), "", VLOOKUP(C281&amp;" "&amp;D281, 'Info Tipo de Cambio y REM'!$A$24:$B$35, 2, FALSE))</f>
        <v>1215</v>
      </c>
      <c r="N281" s="107">
        <f t="shared" si="1"/>
        <v>552.9876543</v>
      </c>
      <c r="O281" s="102" t="str">
        <f t="shared" si="2"/>
        <v>A término</v>
      </c>
    </row>
    <row r="282" hidden="1">
      <c r="A282" s="43" t="s">
        <v>210</v>
      </c>
      <c r="B282" s="43" t="str">
        <f>IF(A282="", "", IFERROR(VLOOKUP(A282, Clasificaciones!A:B, 2, FALSE), "DATO NO CARGADO"))</f>
        <v>Equipo</v>
      </c>
      <c r="C282" s="51" t="s">
        <v>155</v>
      </c>
      <c r="D282" s="156">
        <v>2025.0</v>
      </c>
      <c r="E282" s="43" t="s">
        <v>371</v>
      </c>
      <c r="F282" s="110">
        <v>45848.0</v>
      </c>
      <c r="G282" s="104">
        <v>45838.0</v>
      </c>
      <c r="H282" s="203" t="s">
        <v>397</v>
      </c>
      <c r="I282" s="203" t="s">
        <v>635</v>
      </c>
      <c r="J282" s="104">
        <v>45848.0</v>
      </c>
      <c r="K282" s="112">
        <v>201120.0</v>
      </c>
      <c r="L282" s="71"/>
      <c r="M282" s="106">
        <f>IF(ISBLANK(K282), "", VLOOKUP(C282&amp;" "&amp;D282, 'Info Tipo de Cambio y REM'!$A$24:$B$35, 2, FALSE))</f>
        <v>1215</v>
      </c>
      <c r="N282" s="107">
        <f t="shared" si="1"/>
        <v>165.5308642</v>
      </c>
      <c r="O282" s="102" t="str">
        <f t="shared" si="2"/>
        <v>A término</v>
      </c>
    </row>
    <row r="283" hidden="1">
      <c r="A283" s="43" t="s">
        <v>216</v>
      </c>
      <c r="B283" s="43" t="str">
        <f>IF(A283="", "", IFERROR(VLOOKUP(A283, Clasificaciones!A:B, 2, FALSE), "DATO NO CARGADO"))</f>
        <v>Equipo</v>
      </c>
      <c r="C283" s="51" t="s">
        <v>155</v>
      </c>
      <c r="D283" s="156">
        <v>2025.0</v>
      </c>
      <c r="E283" s="43" t="s">
        <v>371</v>
      </c>
      <c r="F283" s="110">
        <v>45848.0</v>
      </c>
      <c r="G283" s="104">
        <v>45838.0</v>
      </c>
      <c r="H283" s="203" t="s">
        <v>401</v>
      </c>
      <c r="I283" s="203" t="s">
        <v>636</v>
      </c>
      <c r="J283" s="104">
        <v>45848.0</v>
      </c>
      <c r="K283" s="112">
        <v>394178.0</v>
      </c>
      <c r="L283" s="71"/>
      <c r="M283" s="106">
        <f>IF(ISBLANK(K283), "", VLOOKUP(C283&amp;" "&amp;D283, 'Info Tipo de Cambio y REM'!$A$24:$B$35, 2, FALSE))</f>
        <v>1215</v>
      </c>
      <c r="N283" s="107">
        <f t="shared" si="1"/>
        <v>324.4263374</v>
      </c>
      <c r="O283" s="102" t="str">
        <f t="shared" si="2"/>
        <v>A término</v>
      </c>
    </row>
    <row r="284" hidden="1">
      <c r="A284" s="43" t="s">
        <v>194</v>
      </c>
      <c r="B284" s="43" t="str">
        <f>IF(A284="", "", IFERROR(VLOOKUP(A284, Clasificaciones!A:B, 2, FALSE), "DATO NO CARGADO"))</f>
        <v>Equipo</v>
      </c>
      <c r="C284" s="51" t="s">
        <v>155</v>
      </c>
      <c r="D284" s="156">
        <v>2025.0</v>
      </c>
      <c r="E284" s="43" t="s">
        <v>371</v>
      </c>
      <c r="F284" s="110">
        <v>45848.0</v>
      </c>
      <c r="G284" s="104">
        <v>45838.0</v>
      </c>
      <c r="H284" s="203" t="s">
        <v>403</v>
      </c>
      <c r="I284" s="203" t="s">
        <v>637</v>
      </c>
      <c r="J284" s="104">
        <v>45845.0</v>
      </c>
      <c r="K284" s="112">
        <v>251466.0</v>
      </c>
      <c r="L284" s="71"/>
      <c r="M284" s="106">
        <f>IF(ISBLANK(K284), "", VLOOKUP(C284&amp;" "&amp;D284, 'Info Tipo de Cambio y REM'!$A$24:$B$35, 2, FALSE))</f>
        <v>1215</v>
      </c>
      <c r="N284" s="107">
        <f t="shared" si="1"/>
        <v>206.9679012</v>
      </c>
      <c r="O284" s="102" t="str">
        <f t="shared" si="2"/>
        <v>Vencido</v>
      </c>
    </row>
    <row r="285" hidden="1">
      <c r="A285" s="43" t="s">
        <v>139</v>
      </c>
      <c r="B285" s="43" t="str">
        <f>IF(A285="", "", IFERROR(VLOOKUP(A285, Clasificaciones!A:B, 2, FALSE), "DATO NO CARGADO"))</f>
        <v>People</v>
      </c>
      <c r="C285" s="51" t="s">
        <v>155</v>
      </c>
      <c r="D285" s="156">
        <v>2025.0</v>
      </c>
      <c r="E285" s="43" t="s">
        <v>371</v>
      </c>
      <c r="F285" s="110">
        <v>45848.0</v>
      </c>
      <c r="G285" s="104">
        <v>45838.0</v>
      </c>
      <c r="H285" s="203" t="s">
        <v>413</v>
      </c>
      <c r="I285" s="203" t="s">
        <v>386</v>
      </c>
      <c r="J285" s="104">
        <v>45848.0</v>
      </c>
      <c r="K285" s="112">
        <v>22829.2</v>
      </c>
      <c r="L285" s="71"/>
      <c r="M285" s="106">
        <f>IF(ISBLANK(K285), "", VLOOKUP(C285&amp;" "&amp;D285, 'Info Tipo de Cambio y REM'!$A$24:$B$35, 2, FALSE))</f>
        <v>1215</v>
      </c>
      <c r="N285" s="107">
        <f t="shared" si="1"/>
        <v>18.78946502</v>
      </c>
      <c r="O285" s="102" t="str">
        <f t="shared" si="2"/>
        <v>A término</v>
      </c>
    </row>
    <row r="286" hidden="1">
      <c r="A286" s="43" t="s">
        <v>230</v>
      </c>
      <c r="B286" s="43" t="str">
        <f>IF(A286="", "", IFERROR(VLOOKUP(A286, Clasificaciones!A:B, 2, FALSE), "DATO NO CARGADO"))</f>
        <v>Equipo</v>
      </c>
      <c r="C286" s="51" t="s">
        <v>155</v>
      </c>
      <c r="D286" s="156">
        <v>2025.0</v>
      </c>
      <c r="E286" s="43" t="s">
        <v>371</v>
      </c>
      <c r="F286" s="110">
        <v>45848.0</v>
      </c>
      <c r="G286" s="104">
        <v>45838.0</v>
      </c>
      <c r="H286" s="203" t="s">
        <v>577</v>
      </c>
      <c r="I286" s="203" t="s">
        <v>638</v>
      </c>
      <c r="J286" s="104">
        <v>45845.0</v>
      </c>
      <c r="K286" s="112">
        <v>183868.0</v>
      </c>
      <c r="L286" s="71"/>
      <c r="M286" s="106">
        <f>IF(ISBLANK(K286), "", VLOOKUP(C286&amp;" "&amp;D286, 'Info Tipo de Cambio y REM'!$A$24:$B$35, 2, FALSE))</f>
        <v>1215</v>
      </c>
      <c r="N286" s="107">
        <f t="shared" si="1"/>
        <v>151.3316872</v>
      </c>
      <c r="O286" s="102" t="str">
        <f t="shared" si="2"/>
        <v>Vencido</v>
      </c>
    </row>
    <row r="287" hidden="1">
      <c r="A287" s="43" t="s">
        <v>229</v>
      </c>
      <c r="B287" s="43" t="str">
        <f>IF(A287="", "", IFERROR(VLOOKUP(A287, Clasificaciones!A:B, 2, FALSE), "DATO NO CARGADO"))</f>
        <v>Equipo</v>
      </c>
      <c r="C287" s="51" t="s">
        <v>155</v>
      </c>
      <c r="D287" s="156">
        <v>2025.0</v>
      </c>
      <c r="E287" s="43" t="s">
        <v>371</v>
      </c>
      <c r="F287" s="110">
        <v>45848.0</v>
      </c>
      <c r="G287" s="104">
        <v>45838.0</v>
      </c>
      <c r="H287" s="203" t="s">
        <v>504</v>
      </c>
      <c r="I287" s="203" t="s">
        <v>639</v>
      </c>
      <c r="J287" s="104">
        <v>45848.0</v>
      </c>
      <c r="K287" s="112">
        <v>408375.0</v>
      </c>
      <c r="L287" s="71"/>
      <c r="M287" s="106">
        <f>IF(ISBLANK(K287), "", VLOOKUP(C287&amp;" "&amp;D287, 'Info Tipo de Cambio y REM'!$A$24:$B$35, 2, FALSE))</f>
        <v>1215</v>
      </c>
      <c r="N287" s="107">
        <f t="shared" si="1"/>
        <v>336.1111111</v>
      </c>
      <c r="O287" s="102" t="str">
        <f t="shared" si="2"/>
        <v>A término</v>
      </c>
    </row>
    <row r="288" hidden="1">
      <c r="A288" s="43" t="s">
        <v>217</v>
      </c>
      <c r="B288" s="43" t="str">
        <f>IF(A288="", "", IFERROR(VLOOKUP(A288, Clasificaciones!A:B, 2, FALSE), "DATO NO CARGADO"))</f>
        <v>Equipo</v>
      </c>
      <c r="C288" s="51" t="s">
        <v>155</v>
      </c>
      <c r="D288" s="156">
        <v>2025.0</v>
      </c>
      <c r="E288" s="43" t="s">
        <v>371</v>
      </c>
      <c r="F288" s="110">
        <v>45848.0</v>
      </c>
      <c r="G288" s="104">
        <v>45838.0</v>
      </c>
      <c r="H288" s="203" t="s">
        <v>580</v>
      </c>
      <c r="I288" s="203" t="s">
        <v>640</v>
      </c>
      <c r="J288" s="104">
        <v>45845.0</v>
      </c>
      <c r="K288" s="112">
        <v>164136.0</v>
      </c>
      <c r="L288" s="71"/>
      <c r="M288" s="106">
        <f>IF(ISBLANK(K288), "", VLOOKUP(C288&amp;" "&amp;D288, 'Info Tipo de Cambio y REM'!$A$24:$B$35, 2, FALSE))</f>
        <v>1215</v>
      </c>
      <c r="N288" s="107">
        <f t="shared" si="1"/>
        <v>135.091358</v>
      </c>
      <c r="O288" s="102" t="str">
        <f t="shared" si="2"/>
        <v>Vencido</v>
      </c>
    </row>
    <row r="289" hidden="1">
      <c r="A289" s="43" t="s">
        <v>221</v>
      </c>
      <c r="B289" s="43" t="str">
        <f>IF(A289="", "", IFERROR(VLOOKUP(A289, Clasificaciones!A:B, 2, FALSE), "DATO NO CARGADO"))</f>
        <v>Equipo</v>
      </c>
      <c r="C289" s="51" t="s">
        <v>155</v>
      </c>
      <c r="D289" s="156">
        <v>2025.0</v>
      </c>
      <c r="E289" s="43" t="s">
        <v>371</v>
      </c>
      <c r="F289" s="110">
        <v>45848.0</v>
      </c>
      <c r="G289" s="104">
        <v>45838.0</v>
      </c>
      <c r="H289" s="203" t="s">
        <v>407</v>
      </c>
      <c r="I289" s="203" t="s">
        <v>641</v>
      </c>
      <c r="J289" s="104">
        <v>45845.0</v>
      </c>
      <c r="K289" s="112">
        <v>250356.0</v>
      </c>
      <c r="L289" s="71"/>
      <c r="M289" s="106">
        <f>IF(ISBLANK(K289), "", VLOOKUP(C289&amp;" "&amp;D289, 'Info Tipo de Cambio y REM'!$A$24:$B$35, 2, FALSE))</f>
        <v>1215</v>
      </c>
      <c r="N289" s="107">
        <f t="shared" si="1"/>
        <v>206.054321</v>
      </c>
      <c r="O289" s="102" t="str">
        <f t="shared" si="2"/>
        <v>Vencido</v>
      </c>
    </row>
    <row r="290" hidden="1">
      <c r="A290" s="43" t="s">
        <v>203</v>
      </c>
      <c r="B290" s="43" t="str">
        <f>IF(A290="", "", IFERROR(VLOOKUP(A290, Clasificaciones!A:B, 2, FALSE), "DATO NO CARGADO"))</f>
        <v>Equipo</v>
      </c>
      <c r="C290" s="51" t="s">
        <v>155</v>
      </c>
      <c r="D290" s="156">
        <v>2025.0</v>
      </c>
      <c r="E290" s="43" t="s">
        <v>371</v>
      </c>
      <c r="F290" s="110">
        <v>45848.0</v>
      </c>
      <c r="G290" s="104">
        <v>45838.0</v>
      </c>
      <c r="H290" s="203" t="s">
        <v>409</v>
      </c>
      <c r="I290" s="203" t="s">
        <v>642</v>
      </c>
      <c r="J290" s="104">
        <v>45848.0</v>
      </c>
      <c r="K290" s="204">
        <v>750055.0</v>
      </c>
      <c r="L290" s="71"/>
      <c r="M290" s="106">
        <f>IF(ISBLANK(K290), "", VLOOKUP(C290&amp;" "&amp;D290, 'Info Tipo de Cambio y REM'!$A$24:$B$35, 2, FALSE))</f>
        <v>1215</v>
      </c>
      <c r="N290" s="107">
        <f t="shared" si="1"/>
        <v>617.3292181</v>
      </c>
      <c r="O290" s="102" t="str">
        <f t="shared" si="2"/>
        <v>A término</v>
      </c>
    </row>
    <row r="291" hidden="1">
      <c r="A291" s="43" t="s">
        <v>197</v>
      </c>
      <c r="B291" s="43" t="str">
        <f>IF(A291="", "", IFERROR(VLOOKUP(A291, Clasificaciones!A:B, 2, FALSE), "DATO NO CARGADO"))</f>
        <v>Equipo</v>
      </c>
      <c r="C291" s="51" t="s">
        <v>155</v>
      </c>
      <c r="D291" s="156">
        <v>2025.0</v>
      </c>
      <c r="E291" s="43" t="s">
        <v>371</v>
      </c>
      <c r="F291" s="110">
        <v>45848.0</v>
      </c>
      <c r="G291" s="104">
        <v>45838.0</v>
      </c>
      <c r="H291" s="203" t="s">
        <v>411</v>
      </c>
      <c r="I291" s="203" t="s">
        <v>643</v>
      </c>
      <c r="J291" s="104">
        <v>45845.0</v>
      </c>
      <c r="K291" s="204">
        <v>232403.0</v>
      </c>
      <c r="L291" s="71"/>
      <c r="M291" s="106">
        <f>IF(ISBLANK(K291), "", VLOOKUP(C291&amp;" "&amp;D291, 'Info Tipo de Cambio y REM'!$A$24:$B$35, 2, FALSE))</f>
        <v>1215</v>
      </c>
      <c r="N291" s="107">
        <f t="shared" si="1"/>
        <v>191.2781893</v>
      </c>
      <c r="O291" s="102" t="str">
        <f t="shared" si="2"/>
        <v>Vencido</v>
      </c>
    </row>
    <row r="292" hidden="1">
      <c r="A292" s="43" t="s">
        <v>212</v>
      </c>
      <c r="B292" s="43" t="str">
        <f>IF(A292="", "", IFERROR(VLOOKUP(A292, Clasificaciones!A:B, 2, FALSE), "DATO NO CARGADO"))</f>
        <v>Equipo</v>
      </c>
      <c r="C292" s="51" t="s">
        <v>155</v>
      </c>
      <c r="D292" s="156">
        <v>2025.0</v>
      </c>
      <c r="E292" s="43" t="s">
        <v>371</v>
      </c>
      <c r="F292" s="110">
        <v>45848.0</v>
      </c>
      <c r="G292" s="104">
        <v>45838.0</v>
      </c>
      <c r="H292" s="203" t="s">
        <v>377</v>
      </c>
      <c r="I292" s="203" t="s">
        <v>509</v>
      </c>
      <c r="J292" s="104">
        <v>45845.0</v>
      </c>
      <c r="K292" s="205">
        <v>284750.0</v>
      </c>
      <c r="L292" s="71"/>
      <c r="M292" s="106">
        <f>IF(ISBLANK(K292), "", VLOOKUP(C292&amp;" "&amp;D292, 'Info Tipo de Cambio y REM'!$A$24:$B$35, 2, FALSE))</f>
        <v>1215</v>
      </c>
      <c r="N292" s="107">
        <f t="shared" si="1"/>
        <v>234.3621399</v>
      </c>
      <c r="O292" s="102" t="str">
        <f t="shared" si="2"/>
        <v>Vencido</v>
      </c>
    </row>
    <row r="293" hidden="1">
      <c r="A293" s="43" t="s">
        <v>219</v>
      </c>
      <c r="B293" s="43" t="str">
        <f>IF(A293="", "", IFERROR(VLOOKUP(A293, Clasificaciones!A:B, 2, FALSE), "DATO NO CARGADO"))</f>
        <v>Gastos Varios</v>
      </c>
      <c r="C293" s="51" t="s">
        <v>155</v>
      </c>
      <c r="D293" s="43">
        <v>2025.0</v>
      </c>
      <c r="E293" s="43" t="s">
        <v>371</v>
      </c>
      <c r="F293" s="110">
        <v>45848.0</v>
      </c>
      <c r="G293" s="104">
        <v>45838.0</v>
      </c>
      <c r="H293" s="203" t="s">
        <v>575</v>
      </c>
      <c r="I293" s="202"/>
      <c r="J293" s="104">
        <v>45848.0</v>
      </c>
      <c r="K293" s="204">
        <v>802040.0</v>
      </c>
      <c r="L293" s="71"/>
      <c r="M293" s="106">
        <f>IF(ISBLANK(K293), "", VLOOKUP(C293&amp;" "&amp;D293, 'Info Tipo de Cambio y REM'!$A$24:$B$35, 2, FALSE))</f>
        <v>1215</v>
      </c>
      <c r="N293" s="107">
        <f t="shared" si="1"/>
        <v>660.1152263</v>
      </c>
      <c r="O293" s="102" t="str">
        <f t="shared" si="2"/>
        <v>A término</v>
      </c>
    </row>
    <row r="294" hidden="1">
      <c r="A294" s="43" t="s">
        <v>218</v>
      </c>
      <c r="B294" s="43" t="str">
        <f>IF(A294="", "", IFERROR(VLOOKUP(A294, Clasificaciones!A:B, 2, FALSE), "DATO NO CARGADO"))</f>
        <v>Equipo</v>
      </c>
      <c r="C294" s="51" t="s">
        <v>155</v>
      </c>
      <c r="D294" s="156">
        <v>2025.0</v>
      </c>
      <c r="E294" s="43" t="s">
        <v>371</v>
      </c>
      <c r="F294" s="110">
        <v>45848.0</v>
      </c>
      <c r="G294" s="104">
        <v>45838.0</v>
      </c>
      <c r="H294" s="211" t="s">
        <v>644</v>
      </c>
      <c r="I294" s="202" t="s">
        <v>645</v>
      </c>
      <c r="J294" s="104">
        <v>45848.0</v>
      </c>
      <c r="K294" s="212">
        <v>674500.0</v>
      </c>
      <c r="L294" s="71"/>
      <c r="M294" s="106">
        <f>IF(ISBLANK(K294), "", VLOOKUP(C294&amp;" "&amp;D294, 'Info Tipo de Cambio y REM'!$A$24:$B$35, 2, FALSE))</f>
        <v>1215</v>
      </c>
      <c r="N294" s="107">
        <f t="shared" si="1"/>
        <v>555.1440329</v>
      </c>
      <c r="O294" s="102" t="str">
        <f t="shared" si="2"/>
        <v>A término</v>
      </c>
    </row>
    <row r="295" hidden="1">
      <c r="A295" s="43" t="s">
        <v>127</v>
      </c>
      <c r="B295" s="43" t="str">
        <f>IF(A295="", "", IFERROR(VLOOKUP(A295, Clasificaciones!A:B, 2, FALSE), "DATO NO CARGADO"))</f>
        <v>Board</v>
      </c>
      <c r="C295" s="51" t="s">
        <v>155</v>
      </c>
      <c r="D295" s="156">
        <v>2025.0</v>
      </c>
      <c r="E295" s="43" t="s">
        <v>371</v>
      </c>
      <c r="F295" s="110">
        <v>45848.0</v>
      </c>
      <c r="G295" s="104">
        <v>45838.0</v>
      </c>
      <c r="H295" s="43" t="s">
        <v>646</v>
      </c>
      <c r="I295" s="202" t="s">
        <v>647</v>
      </c>
      <c r="J295" s="104">
        <v>45845.0</v>
      </c>
      <c r="K295" s="112">
        <v>515961.0</v>
      </c>
      <c r="L295" s="71"/>
      <c r="M295" s="106">
        <f>IF(ISBLANK(K295), "", VLOOKUP(C295&amp;" "&amp;D295, 'Info Tipo de Cambio y REM'!$A$24:$B$35, 2, FALSE))</f>
        <v>1215</v>
      </c>
      <c r="N295" s="107">
        <f t="shared" si="1"/>
        <v>424.6592593</v>
      </c>
      <c r="O295" s="102" t="str">
        <f t="shared" si="2"/>
        <v>Vencido</v>
      </c>
    </row>
    <row r="296" hidden="1">
      <c r="A296" s="43" t="s">
        <v>164</v>
      </c>
      <c r="B296" s="43" t="s">
        <v>164</v>
      </c>
      <c r="C296" s="51" t="s">
        <v>155</v>
      </c>
      <c r="D296" s="156">
        <v>2025.0</v>
      </c>
      <c r="E296" s="43" t="s">
        <v>371</v>
      </c>
      <c r="F296" s="172">
        <v>45866.0</v>
      </c>
      <c r="G296" s="104"/>
      <c r="H296" s="165" t="s">
        <v>561</v>
      </c>
      <c r="J296" s="104"/>
      <c r="K296" s="123">
        <v>49230.0</v>
      </c>
      <c r="L296" s="89"/>
      <c r="M296" s="106">
        <f>IF(ISBLANK(K296), "", VLOOKUP(C296&amp;" "&amp;D296, 'Info Tipo de Cambio y REM'!$A$24:$B$35, 2, FALSE))</f>
        <v>1215</v>
      </c>
      <c r="N296" s="107">
        <f t="shared" si="1"/>
        <v>40.51851852</v>
      </c>
      <c r="O296" s="102" t="str">
        <f t="shared" si="2"/>
        <v>Vencido</v>
      </c>
    </row>
    <row r="297" hidden="1">
      <c r="A297" s="43" t="s">
        <v>201</v>
      </c>
      <c r="B297" s="43" t="str">
        <f>IF(A297="", "", IFERROR(VLOOKUP(A297, Clasificaciones!A:B, 2, FALSE), "DATO NO CARGADO"))</f>
        <v>Intereses Oxean</v>
      </c>
      <c r="C297" s="51" t="s">
        <v>161</v>
      </c>
      <c r="D297" s="156">
        <v>2025.0</v>
      </c>
      <c r="E297" s="43" t="s">
        <v>371</v>
      </c>
      <c r="F297" s="104"/>
      <c r="G297" s="104"/>
      <c r="H297" s="165"/>
      <c r="J297" s="104"/>
      <c r="L297" s="89">
        <v>919.79</v>
      </c>
      <c r="M297" s="106" t="str">
        <f>IF(ISBLANK(K297), "", VLOOKUP(C297&amp;" "&amp;D297, 'Info Tipo de Cambio y REM'!$A$24:$B$35, 2, FALSE))</f>
        <v/>
      </c>
      <c r="N297" s="107">
        <f t="shared" si="1"/>
        <v>919.79</v>
      </c>
      <c r="O297" s="102" t="str">
        <f t="shared" si="2"/>
        <v>Vencido</v>
      </c>
    </row>
    <row r="298" hidden="1">
      <c r="A298" s="43" t="s">
        <v>191</v>
      </c>
      <c r="B298" s="43" t="str">
        <f>IF(A298="", "", IFERROR(VLOOKUP(A298, Clasificaciones!A:B, 2, FALSE), "DATO NO CARGADO"))</f>
        <v>Tarjeta</v>
      </c>
      <c r="C298" s="51" t="s">
        <v>161</v>
      </c>
      <c r="D298" s="156">
        <v>2025.0</v>
      </c>
      <c r="E298" s="43" t="s">
        <v>374</v>
      </c>
      <c r="F298" s="104">
        <v>45839.0</v>
      </c>
      <c r="G298" s="104">
        <v>45839.0</v>
      </c>
      <c r="H298" s="165" t="s">
        <v>649</v>
      </c>
      <c r="I298" s="165" t="s">
        <v>650</v>
      </c>
      <c r="J298" s="104">
        <v>45839.0</v>
      </c>
      <c r="L298" s="89">
        <v>14.82</v>
      </c>
      <c r="M298" s="106" t="str">
        <f>IF(ISBLANK(K298), "", VLOOKUP(C298&amp;" "&amp;D298, 'Info Tipo de Cambio y REM'!$A$24:$B$35, 2, FALSE))</f>
        <v/>
      </c>
      <c r="N298" s="107">
        <f t="shared" si="1"/>
        <v>14.82</v>
      </c>
      <c r="O298" s="102" t="str">
        <f t="shared" si="2"/>
        <v>A término</v>
      </c>
    </row>
    <row r="299" hidden="1">
      <c r="A299" s="43" t="s">
        <v>191</v>
      </c>
      <c r="B299" s="43" t="str">
        <f>IF(A299="", "", IFERROR(VLOOKUP(A299, Clasificaciones!A:B, 2, FALSE), "DATO NO CARGADO"))</f>
        <v>Tarjeta</v>
      </c>
      <c r="C299" s="51" t="s">
        <v>161</v>
      </c>
      <c r="D299" s="156">
        <v>2025.0</v>
      </c>
      <c r="E299" s="43" t="s">
        <v>374</v>
      </c>
      <c r="F299" s="104">
        <v>45840.0</v>
      </c>
      <c r="G299" s="104">
        <v>45840.0</v>
      </c>
      <c r="H299" s="165" t="s">
        <v>649</v>
      </c>
      <c r="I299" s="165" t="s">
        <v>651</v>
      </c>
      <c r="J299" s="104">
        <v>45840.0</v>
      </c>
      <c r="L299" s="89">
        <v>633.6</v>
      </c>
      <c r="M299" s="106" t="str">
        <f>IF(ISBLANK(K299), "", VLOOKUP(C299&amp;" "&amp;D299, 'Info Tipo de Cambio y REM'!$A$24:$B$35, 2, FALSE))</f>
        <v/>
      </c>
      <c r="N299" s="107">
        <f t="shared" si="1"/>
        <v>633.6</v>
      </c>
      <c r="O299" s="102" t="str">
        <f t="shared" si="2"/>
        <v>A término</v>
      </c>
    </row>
    <row r="300" hidden="1">
      <c r="A300" s="43" t="s">
        <v>191</v>
      </c>
      <c r="B300" s="43" t="str">
        <f>IF(A300="", "", IFERROR(VLOOKUP(A300, Clasificaciones!A:B, 2, FALSE), "DATO NO CARGADO"))</f>
        <v>Tarjeta</v>
      </c>
      <c r="C300" s="51" t="s">
        <v>161</v>
      </c>
      <c r="D300" s="156">
        <v>2025.0</v>
      </c>
      <c r="E300" s="43" t="s">
        <v>374</v>
      </c>
      <c r="F300" s="104">
        <v>45840.0</v>
      </c>
      <c r="G300" s="104">
        <v>45840.0</v>
      </c>
      <c r="H300" s="165" t="s">
        <v>649</v>
      </c>
      <c r="I300" s="165" t="s">
        <v>652</v>
      </c>
      <c r="J300" s="104">
        <v>45840.0</v>
      </c>
      <c r="L300" s="89">
        <v>6.91</v>
      </c>
      <c r="M300" s="106" t="str">
        <f>IF(ISBLANK(K300), "", VLOOKUP(C300&amp;" "&amp;D300, 'Info Tipo de Cambio y REM'!$A$24:$B$35, 2, FALSE))</f>
        <v/>
      </c>
      <c r="N300" s="107">
        <f t="shared" si="1"/>
        <v>6.91</v>
      </c>
      <c r="O300" s="102" t="str">
        <f t="shared" si="2"/>
        <v>A término</v>
      </c>
    </row>
    <row r="301" hidden="1">
      <c r="A301" s="43" t="s">
        <v>191</v>
      </c>
      <c r="B301" s="43" t="str">
        <f>IF(A301="", "", IFERROR(VLOOKUP(A301, Clasificaciones!A:B, 2, FALSE), "DATO NO CARGADO"))</f>
        <v>Tarjeta</v>
      </c>
      <c r="C301" s="51" t="s">
        <v>161</v>
      </c>
      <c r="D301" s="156">
        <v>2025.0</v>
      </c>
      <c r="E301" s="43" t="s">
        <v>374</v>
      </c>
      <c r="F301" s="104">
        <v>45840.0</v>
      </c>
      <c r="G301" s="104">
        <v>45840.0</v>
      </c>
      <c r="H301" s="165" t="s">
        <v>649</v>
      </c>
      <c r="I301" s="165" t="s">
        <v>653</v>
      </c>
      <c r="J301" s="104">
        <v>45840.0</v>
      </c>
      <c r="L301" s="89">
        <v>11.0</v>
      </c>
      <c r="M301" s="106" t="str">
        <f>IF(ISBLANK(K301), "", VLOOKUP(C301&amp;" "&amp;D301, 'Info Tipo de Cambio y REM'!$A$24:$B$35, 2, FALSE))</f>
        <v/>
      </c>
      <c r="N301" s="107">
        <f t="shared" si="1"/>
        <v>11</v>
      </c>
      <c r="O301" s="102" t="str">
        <f t="shared" si="2"/>
        <v>A término</v>
      </c>
    </row>
    <row r="302" hidden="1">
      <c r="A302" s="43" t="s">
        <v>191</v>
      </c>
      <c r="B302" s="43" t="str">
        <f>IF(A302="", "", IFERROR(VLOOKUP(A302, Clasificaciones!A:B, 2, FALSE), "DATO NO CARGADO"))</f>
        <v>Tarjeta</v>
      </c>
      <c r="C302" s="51" t="s">
        <v>161</v>
      </c>
      <c r="D302" s="156">
        <v>2025.0</v>
      </c>
      <c r="E302" s="43" t="s">
        <v>374</v>
      </c>
      <c r="F302" s="104">
        <v>45841.0</v>
      </c>
      <c r="G302" s="104">
        <v>45841.0</v>
      </c>
      <c r="H302" s="165" t="s">
        <v>649</v>
      </c>
      <c r="I302" s="165" t="s">
        <v>654</v>
      </c>
      <c r="J302" s="104">
        <v>45841.0</v>
      </c>
      <c r="L302" s="89">
        <v>14.19</v>
      </c>
      <c r="M302" s="106" t="str">
        <f>IF(ISBLANK(K302), "", VLOOKUP(C302&amp;" "&amp;D302, 'Info Tipo de Cambio y REM'!$A$24:$B$35, 2, FALSE))</f>
        <v/>
      </c>
      <c r="N302" s="107">
        <f t="shared" si="1"/>
        <v>14.19</v>
      </c>
      <c r="O302" s="102" t="str">
        <f t="shared" si="2"/>
        <v>A término</v>
      </c>
    </row>
    <row r="303" hidden="1">
      <c r="A303" s="43" t="s">
        <v>191</v>
      </c>
      <c r="B303" s="43" t="str">
        <f>IF(A303="", "", IFERROR(VLOOKUP(A303, Clasificaciones!A:B, 2, FALSE), "DATO NO CARGADO"))</f>
        <v>Tarjeta</v>
      </c>
      <c r="C303" s="51" t="s">
        <v>161</v>
      </c>
      <c r="D303" s="156">
        <v>2025.0</v>
      </c>
      <c r="E303" s="43" t="s">
        <v>374</v>
      </c>
      <c r="F303" s="104">
        <v>45841.0</v>
      </c>
      <c r="G303" s="104">
        <v>45841.0</v>
      </c>
      <c r="H303" s="165" t="s">
        <v>649</v>
      </c>
      <c r="I303" s="165" t="s">
        <v>655</v>
      </c>
      <c r="J303" s="104">
        <v>45841.0</v>
      </c>
      <c r="L303" s="89">
        <v>507.4</v>
      </c>
      <c r="M303" s="106" t="str">
        <f>IF(ISBLANK(K303), "", VLOOKUP(C303&amp;" "&amp;D303, 'Info Tipo de Cambio y REM'!$A$24:$B$35, 2, FALSE))</f>
        <v/>
      </c>
      <c r="N303" s="107">
        <f t="shared" si="1"/>
        <v>507.4</v>
      </c>
      <c r="O303" s="102" t="str">
        <f t="shared" si="2"/>
        <v>A término</v>
      </c>
    </row>
    <row r="304" hidden="1">
      <c r="A304" s="43" t="s">
        <v>191</v>
      </c>
      <c r="B304" s="43" t="str">
        <f>IF(A304="", "", IFERROR(VLOOKUP(A304, Clasificaciones!A:B, 2, FALSE), "DATO NO CARGADO"))</f>
        <v>Tarjeta</v>
      </c>
      <c r="C304" s="51" t="s">
        <v>161</v>
      </c>
      <c r="D304" s="156">
        <v>2025.0</v>
      </c>
      <c r="E304" s="43" t="s">
        <v>374</v>
      </c>
      <c r="F304" s="104">
        <v>45845.0</v>
      </c>
      <c r="G304" s="122">
        <v>45845.0</v>
      </c>
      <c r="H304" s="165" t="s">
        <v>649</v>
      </c>
      <c r="I304" s="83" t="s">
        <v>656</v>
      </c>
      <c r="J304" s="213">
        <v>45845.0</v>
      </c>
      <c r="L304" s="214">
        <v>22.99</v>
      </c>
      <c r="M304" s="106" t="str">
        <f>IF(ISBLANK(K304), "", VLOOKUP(C304&amp;" "&amp;D304, 'Info Tipo de Cambio y REM'!$A$24:$B$35, 2, FALSE))</f>
        <v/>
      </c>
      <c r="N304" s="107">
        <f t="shared" si="1"/>
        <v>22.99</v>
      </c>
      <c r="O304" s="102" t="str">
        <f t="shared" si="2"/>
        <v>A término</v>
      </c>
    </row>
    <row r="305" hidden="1">
      <c r="A305" s="43" t="s">
        <v>191</v>
      </c>
      <c r="B305" s="43" t="str">
        <f>IF(A305="", "", IFERROR(VLOOKUP(A305, Clasificaciones!A:B, 2, FALSE), "DATO NO CARGADO"))</f>
        <v>Tarjeta</v>
      </c>
      <c r="C305" s="51" t="s">
        <v>161</v>
      </c>
      <c r="D305" s="156">
        <v>2025.0</v>
      </c>
      <c r="E305" s="43" t="s">
        <v>374</v>
      </c>
      <c r="F305" s="104">
        <v>45845.0</v>
      </c>
      <c r="G305" s="122">
        <v>45845.0</v>
      </c>
      <c r="H305" s="165" t="s">
        <v>649</v>
      </c>
      <c r="I305" s="83" t="s">
        <v>657</v>
      </c>
      <c r="J305" s="213">
        <v>45845.0</v>
      </c>
      <c r="L305" s="214">
        <v>20.0</v>
      </c>
      <c r="M305" s="106" t="str">
        <f>IF(ISBLANK(K305), "", VLOOKUP(C305&amp;" "&amp;D305, 'Info Tipo de Cambio y REM'!$A$24:$B$35, 2, FALSE))</f>
        <v/>
      </c>
      <c r="N305" s="107">
        <f t="shared" si="1"/>
        <v>20</v>
      </c>
      <c r="O305" s="102" t="str">
        <f t="shared" si="2"/>
        <v>A término</v>
      </c>
    </row>
    <row r="306" hidden="1">
      <c r="A306" s="43" t="s">
        <v>191</v>
      </c>
      <c r="B306" s="43" t="str">
        <f>IF(A306="", "", IFERROR(VLOOKUP(A306, Clasificaciones!A:B, 2, FALSE), "DATO NO CARGADO"))</f>
        <v>Tarjeta</v>
      </c>
      <c r="C306" s="51" t="s">
        <v>161</v>
      </c>
      <c r="D306" s="156">
        <v>2025.0</v>
      </c>
      <c r="E306" s="43" t="s">
        <v>374</v>
      </c>
      <c r="F306" s="104">
        <v>45845.0</v>
      </c>
      <c r="G306" s="122">
        <v>45845.0</v>
      </c>
      <c r="H306" s="165" t="s">
        <v>649</v>
      </c>
      <c r="I306" s="83" t="s">
        <v>658</v>
      </c>
      <c r="J306" s="213">
        <v>45845.0</v>
      </c>
      <c r="L306" s="214">
        <v>6.49</v>
      </c>
      <c r="M306" s="106" t="str">
        <f>IF(ISBLANK(K306), "", VLOOKUP(C306&amp;" "&amp;D306, 'Info Tipo de Cambio y REM'!$A$24:$B$35, 2, FALSE))</f>
        <v/>
      </c>
      <c r="N306" s="107">
        <f t="shared" si="1"/>
        <v>6.49</v>
      </c>
      <c r="O306" s="102" t="str">
        <f t="shared" si="2"/>
        <v>A término</v>
      </c>
    </row>
    <row r="307" hidden="1">
      <c r="A307" s="43" t="s">
        <v>191</v>
      </c>
      <c r="B307" s="43" t="str">
        <f>IF(A307="", "", IFERROR(VLOOKUP(A307, Clasificaciones!A:B, 2, FALSE), "DATO NO CARGADO"))</f>
        <v>Tarjeta</v>
      </c>
      <c r="C307" s="51" t="s">
        <v>161</v>
      </c>
      <c r="D307" s="156">
        <v>2025.0</v>
      </c>
      <c r="E307" s="43" t="s">
        <v>374</v>
      </c>
      <c r="F307" s="104">
        <v>45846.0</v>
      </c>
      <c r="G307" s="122">
        <v>45846.0</v>
      </c>
      <c r="H307" s="165" t="s">
        <v>649</v>
      </c>
      <c r="I307" s="83" t="s">
        <v>659</v>
      </c>
      <c r="J307" s="213">
        <v>45846.0</v>
      </c>
      <c r="L307" s="214">
        <v>29.0</v>
      </c>
      <c r="M307" s="106" t="str">
        <f>IF(ISBLANK(K307), "", VLOOKUP(C307&amp;" "&amp;D307, 'Info Tipo de Cambio y REM'!$A$24:$B$35, 2, FALSE))</f>
        <v/>
      </c>
      <c r="N307" s="107">
        <f t="shared" si="1"/>
        <v>29</v>
      </c>
      <c r="O307" s="102" t="str">
        <f t="shared" si="2"/>
        <v>A término</v>
      </c>
    </row>
    <row r="308" hidden="1">
      <c r="A308" s="43" t="s">
        <v>191</v>
      </c>
      <c r="B308" s="43" t="str">
        <f>IF(A308="", "", IFERROR(VLOOKUP(A308, Clasificaciones!A:B, 2, FALSE), "DATO NO CARGADO"))</f>
        <v>Tarjeta</v>
      </c>
      <c r="C308" s="51" t="s">
        <v>161</v>
      </c>
      <c r="D308" s="156">
        <v>2025.0</v>
      </c>
      <c r="E308" s="43" t="s">
        <v>374</v>
      </c>
      <c r="F308" s="104">
        <v>45848.0</v>
      </c>
      <c r="G308" s="122">
        <v>45848.0</v>
      </c>
      <c r="H308" s="165" t="s">
        <v>649</v>
      </c>
      <c r="I308" s="83" t="s">
        <v>660</v>
      </c>
      <c r="J308" s="213">
        <v>45848.0</v>
      </c>
      <c r="L308" s="214">
        <v>132.72</v>
      </c>
      <c r="M308" s="106" t="str">
        <f>IF(ISBLANK(K308), "", VLOOKUP(C308&amp;" "&amp;D308, 'Info Tipo de Cambio y REM'!$A$24:$B$35, 2, FALSE))</f>
        <v/>
      </c>
      <c r="N308" s="107">
        <f t="shared" si="1"/>
        <v>132.72</v>
      </c>
      <c r="O308" s="102" t="str">
        <f t="shared" si="2"/>
        <v>A término</v>
      </c>
    </row>
    <row r="309" hidden="1">
      <c r="A309" s="43" t="s">
        <v>223</v>
      </c>
      <c r="B309" s="43" t="str">
        <f>IF(A309="", "", IFERROR(VLOOKUP(A309, Clasificaciones!A:B, 2, FALSE), "DATO NO CARGADO"))</f>
        <v>Otros Proveedores</v>
      </c>
      <c r="C309" s="51" t="s">
        <v>161</v>
      </c>
      <c r="D309" s="156">
        <v>2025.0</v>
      </c>
      <c r="E309" s="43" t="s">
        <v>371</v>
      </c>
      <c r="F309" s="104">
        <v>45882.0</v>
      </c>
      <c r="G309" s="104">
        <v>45840.0</v>
      </c>
      <c r="H309" s="215" t="s">
        <v>661</v>
      </c>
      <c r="I309" s="63" t="s">
        <v>662</v>
      </c>
      <c r="J309" s="104">
        <v>45840.0</v>
      </c>
      <c r="K309" s="215">
        <v>143990.0</v>
      </c>
      <c r="L309" s="71"/>
      <c r="M309" s="106">
        <f>IF(ISBLANK(K309), "", VLOOKUP(C309&amp;" "&amp;D309, 'Info Tipo de Cambio y REM'!$A$24:$B$35, 2, FALSE))</f>
        <v>1320</v>
      </c>
      <c r="N309" s="107">
        <f t="shared" si="1"/>
        <v>109.0833333</v>
      </c>
      <c r="O309" s="102" t="str">
        <f t="shared" si="2"/>
        <v>Vencido</v>
      </c>
    </row>
    <row r="310" hidden="1">
      <c r="A310" s="43" t="s">
        <v>230</v>
      </c>
      <c r="B310" s="43" t="str">
        <f>IF(A310="", "", IFERROR(VLOOKUP(A310, Clasificaciones!A:B, 2, FALSE), "DATO NO CARGADO"))</f>
        <v>Equipo</v>
      </c>
      <c r="C310" s="51" t="s">
        <v>161</v>
      </c>
      <c r="D310" s="156">
        <v>2025.0</v>
      </c>
      <c r="E310" s="43" t="s">
        <v>374</v>
      </c>
      <c r="F310" s="216"/>
      <c r="G310" s="216">
        <v>45846.0</v>
      </c>
      <c r="H310" s="217" t="s">
        <v>663</v>
      </c>
      <c r="I310" s="217" t="s">
        <v>577</v>
      </c>
      <c r="J310" s="104">
        <v>45855.0</v>
      </c>
      <c r="K310" s="218">
        <v>72726.0</v>
      </c>
      <c r="L310" s="71"/>
      <c r="M310" s="106">
        <f>IF(ISBLANK(K310), "", VLOOKUP(C310&amp;" "&amp;D310, 'Info Tipo de Cambio y REM'!$A$24:$B$35, 2, FALSE))</f>
        <v>1320</v>
      </c>
      <c r="N310" s="107">
        <f t="shared" si="1"/>
        <v>55.09545455</v>
      </c>
      <c r="O310" s="102" t="str">
        <f t="shared" si="2"/>
        <v>A término</v>
      </c>
    </row>
    <row r="311" hidden="1">
      <c r="A311" s="43" t="s">
        <v>218</v>
      </c>
      <c r="B311" s="43" t="str">
        <f>IF(A311="", "", IFERROR(VLOOKUP(A311, Clasificaciones!A:B, 2, FALSE), "DATO NO CARGADO"))</f>
        <v>Equipo</v>
      </c>
      <c r="C311" s="51" t="s">
        <v>161</v>
      </c>
      <c r="D311" s="156">
        <v>2025.0</v>
      </c>
      <c r="E311" s="43" t="s">
        <v>374</v>
      </c>
      <c r="F311" s="104"/>
      <c r="G311" s="104">
        <v>45854.0</v>
      </c>
      <c r="H311" s="165" t="s">
        <v>664</v>
      </c>
      <c r="J311" s="104">
        <v>45854.0</v>
      </c>
      <c r="K311" s="89">
        <v>161500.0</v>
      </c>
      <c r="L311" s="71"/>
      <c r="M311" s="106">
        <f>IF(ISBLANK(K311), "", VLOOKUP(C311&amp;" "&amp;D311, 'Info Tipo de Cambio y REM'!$A$24:$B$35, 2, FALSE))</f>
        <v>1320</v>
      </c>
      <c r="N311" s="107">
        <f t="shared" si="1"/>
        <v>122.3484848</v>
      </c>
      <c r="O311" s="102" t="str">
        <f t="shared" si="2"/>
        <v>A término</v>
      </c>
    </row>
    <row r="312" hidden="1">
      <c r="A312" s="43" t="s">
        <v>191</v>
      </c>
      <c r="B312" s="43" t="str">
        <f>IF(A312="", "", IFERROR(VLOOKUP(A312, Clasificaciones!A:B, 2, FALSE), "DATO NO CARGADO"))</f>
        <v>Tarjeta</v>
      </c>
      <c r="C312" s="51" t="s">
        <v>161</v>
      </c>
      <c r="D312" s="156">
        <v>2025.0</v>
      </c>
      <c r="E312" s="43" t="s">
        <v>374</v>
      </c>
      <c r="F312" s="104">
        <v>45845.0</v>
      </c>
      <c r="G312" s="104">
        <v>45852.0</v>
      </c>
      <c r="H312" s="83" t="s">
        <v>665</v>
      </c>
      <c r="J312" s="104">
        <v>45852.0</v>
      </c>
      <c r="L312" s="123">
        <v>20.0</v>
      </c>
      <c r="M312" s="106" t="str">
        <f>IF(ISBLANK(K312), "", VLOOKUP(C312&amp;" "&amp;D312, 'Info Tipo de Cambio y REM'!$A$24:$B$35, 2, FALSE))</f>
        <v/>
      </c>
      <c r="N312" s="107">
        <f t="shared" si="1"/>
        <v>20</v>
      </c>
      <c r="O312" s="102" t="str">
        <f t="shared" si="2"/>
        <v>A término</v>
      </c>
    </row>
    <row r="313" hidden="1">
      <c r="A313" s="43" t="s">
        <v>191</v>
      </c>
      <c r="B313" s="43" t="str">
        <f>IF(A313="", "", IFERROR(VLOOKUP(A313, Clasificaciones!A:B, 2, FALSE), "DATO NO CARGADO"))</f>
        <v>Tarjeta</v>
      </c>
      <c r="C313" s="51" t="s">
        <v>161</v>
      </c>
      <c r="D313" s="156">
        <v>2025.0</v>
      </c>
      <c r="E313" s="43" t="s">
        <v>374</v>
      </c>
      <c r="F313" s="104">
        <v>45856.0</v>
      </c>
      <c r="G313" s="196">
        <v>45856.0</v>
      </c>
      <c r="H313" s="83" t="s">
        <v>666</v>
      </c>
      <c r="J313" s="196">
        <v>45856.0</v>
      </c>
      <c r="L313" s="123">
        <v>5.0</v>
      </c>
      <c r="M313" s="106" t="str">
        <f>IF(ISBLANK(K313), "", VLOOKUP(C313&amp;" "&amp;D313, 'Info Tipo de Cambio y REM'!$A$24:$B$35, 2, FALSE))</f>
        <v/>
      </c>
      <c r="N313" s="107">
        <f t="shared" si="1"/>
        <v>5</v>
      </c>
      <c r="O313" s="102" t="str">
        <f t="shared" si="2"/>
        <v>A término</v>
      </c>
    </row>
    <row r="314" hidden="1">
      <c r="A314" s="43" t="s">
        <v>191</v>
      </c>
      <c r="B314" s="43" t="str">
        <f>IF(A314="", "", IFERROR(VLOOKUP(A314, Clasificaciones!A:B, 2, FALSE), "DATO NO CARGADO"))</f>
        <v>Tarjeta</v>
      </c>
      <c r="C314" s="51" t="s">
        <v>161</v>
      </c>
      <c r="D314" s="156">
        <v>2025.0</v>
      </c>
      <c r="E314" s="43" t="s">
        <v>374</v>
      </c>
      <c r="F314" s="104">
        <v>45859.0</v>
      </c>
      <c r="G314" s="196">
        <v>45859.0</v>
      </c>
      <c r="H314" s="83" t="s">
        <v>667</v>
      </c>
      <c r="J314" s="196">
        <v>45859.0</v>
      </c>
      <c r="L314" s="123">
        <v>22.52</v>
      </c>
      <c r="M314" s="106" t="str">
        <f>IF(ISBLANK(K314), "", VLOOKUP(C314&amp;" "&amp;D314, 'Info Tipo de Cambio y REM'!$A$24:$B$35, 2, FALSE))</f>
        <v/>
      </c>
      <c r="N314" s="107">
        <f t="shared" si="1"/>
        <v>22.52</v>
      </c>
      <c r="O314" s="102" t="str">
        <f t="shared" si="2"/>
        <v>A término</v>
      </c>
    </row>
    <row r="315" hidden="1">
      <c r="A315" s="43" t="s">
        <v>191</v>
      </c>
      <c r="B315" s="43" t="str">
        <f>IF(A315="", "", IFERROR(VLOOKUP(A315, Clasificaciones!A:B, 2, FALSE), "DATO NO CARGADO"))</f>
        <v>Tarjeta</v>
      </c>
      <c r="C315" s="51" t="s">
        <v>161</v>
      </c>
      <c r="D315" s="156">
        <v>2025.0</v>
      </c>
      <c r="E315" s="43" t="s">
        <v>374</v>
      </c>
      <c r="F315" s="104">
        <v>45860.0</v>
      </c>
      <c r="G315" s="196">
        <v>45860.0</v>
      </c>
      <c r="H315" s="83" t="s">
        <v>668</v>
      </c>
      <c r="J315" s="196">
        <v>45860.0</v>
      </c>
      <c r="L315" s="123">
        <v>45.0</v>
      </c>
      <c r="M315" s="106" t="str">
        <f>IF(ISBLANK(K315), "", VLOOKUP(C315&amp;" "&amp;D315, 'Info Tipo de Cambio y REM'!$A$24:$B$35, 2, FALSE))</f>
        <v/>
      </c>
      <c r="N315" s="107">
        <f t="shared" si="1"/>
        <v>45</v>
      </c>
      <c r="O315" s="102" t="str">
        <f t="shared" si="2"/>
        <v>A término</v>
      </c>
    </row>
    <row r="316" hidden="1">
      <c r="A316" s="43" t="s">
        <v>191</v>
      </c>
      <c r="B316" s="43" t="str">
        <f>IF(A316="", "", IFERROR(VLOOKUP(A316, Clasificaciones!A:B, 2, FALSE), "DATO NO CARGADO"))</f>
        <v>Tarjeta</v>
      </c>
      <c r="C316" s="51" t="s">
        <v>161</v>
      </c>
      <c r="D316" s="156">
        <v>2025.0</v>
      </c>
      <c r="E316" s="43" t="s">
        <v>374</v>
      </c>
      <c r="F316" s="104">
        <v>45861.0</v>
      </c>
      <c r="G316" s="104">
        <v>45861.0</v>
      </c>
      <c r="H316" s="83" t="s">
        <v>669</v>
      </c>
      <c r="J316" s="104">
        <v>45861.0</v>
      </c>
      <c r="L316" s="123">
        <v>29.99</v>
      </c>
      <c r="M316" s="106" t="str">
        <f>IF(ISBLANK(K316), "", VLOOKUP(C316&amp;" "&amp;D316, 'Info Tipo de Cambio y REM'!$A$24:$B$35, 2, FALSE))</f>
        <v/>
      </c>
      <c r="N316" s="107">
        <f t="shared" si="1"/>
        <v>29.99</v>
      </c>
      <c r="O316" s="102" t="str">
        <f t="shared" si="2"/>
        <v>A término</v>
      </c>
    </row>
    <row r="317" hidden="1">
      <c r="A317" s="43" t="s">
        <v>191</v>
      </c>
      <c r="B317" s="43" t="str">
        <f>IF(A317="", "", IFERROR(VLOOKUP(A317, Clasificaciones!A:B, 2, FALSE), "DATO NO CARGADO"))</f>
        <v>Tarjeta</v>
      </c>
      <c r="C317" s="51" t="s">
        <v>161</v>
      </c>
      <c r="D317" s="156">
        <v>2025.0</v>
      </c>
      <c r="E317" s="43" t="s">
        <v>374</v>
      </c>
      <c r="F317" s="104">
        <v>45863.0</v>
      </c>
      <c r="G317" s="104">
        <v>45863.0</v>
      </c>
      <c r="H317" s="83" t="s">
        <v>670</v>
      </c>
      <c r="J317" s="104">
        <v>45863.0</v>
      </c>
      <c r="L317" s="123">
        <v>502.07</v>
      </c>
      <c r="M317" s="106" t="str">
        <f>IF(ISBLANK(K317), "", VLOOKUP(C317&amp;" "&amp;D317, 'Info Tipo de Cambio y REM'!$A$24:$B$35, 2, FALSE))</f>
        <v/>
      </c>
      <c r="N317" s="107">
        <f t="shared" si="1"/>
        <v>502.07</v>
      </c>
      <c r="O317" s="102" t="str">
        <f t="shared" si="2"/>
        <v>A término</v>
      </c>
    </row>
    <row r="318" hidden="1">
      <c r="A318" s="43" t="s">
        <v>194</v>
      </c>
      <c r="B318" s="43" t="s">
        <v>195</v>
      </c>
      <c r="C318" s="51" t="s">
        <v>161</v>
      </c>
      <c r="D318" s="156">
        <v>2025.0</v>
      </c>
      <c r="E318" s="43" t="s">
        <v>371</v>
      </c>
      <c r="F318" s="104">
        <v>45881.0</v>
      </c>
      <c r="G318" s="104">
        <v>45856.0</v>
      </c>
      <c r="H318" s="165" t="s">
        <v>671</v>
      </c>
      <c r="J318" s="104">
        <v>45869.0</v>
      </c>
      <c r="K318" s="89">
        <v>142317.48</v>
      </c>
      <c r="L318" s="71"/>
      <c r="M318" s="106">
        <f>IF(ISBLANK(K318), "", VLOOKUP(C318&amp;" "&amp;D318, 'Info Tipo de Cambio y REM'!$A$24:$B$35, 2, FALSE))</f>
        <v>1320</v>
      </c>
      <c r="N318" s="107">
        <f t="shared" si="1"/>
        <v>107.8162727</v>
      </c>
      <c r="O318" s="102" t="str">
        <f t="shared" si="2"/>
        <v>Vencido</v>
      </c>
    </row>
    <row r="319" hidden="1">
      <c r="A319" s="219" t="s">
        <v>133</v>
      </c>
      <c r="B319" s="219" t="s">
        <v>195</v>
      </c>
      <c r="C319" s="220" t="s">
        <v>161</v>
      </c>
      <c r="D319" s="221">
        <v>2025.0</v>
      </c>
      <c r="E319" s="219" t="s">
        <v>371</v>
      </c>
      <c r="F319" s="104">
        <v>45881.0</v>
      </c>
      <c r="G319" s="222">
        <v>45856.0</v>
      </c>
      <c r="H319" s="223" t="s">
        <v>672</v>
      </c>
      <c r="I319" s="219" t="s">
        <v>589</v>
      </c>
      <c r="J319" s="222">
        <v>45869.0</v>
      </c>
      <c r="K319" s="224">
        <v>221400.0</v>
      </c>
      <c r="L319" s="225"/>
      <c r="M319" s="106">
        <f>IF(ISBLANK(K319), "", VLOOKUP(C319&amp;" "&amp;D319, 'Info Tipo de Cambio y REM'!$A$24:$B$35, 2, FALSE))</f>
        <v>1320</v>
      </c>
      <c r="N319" s="227">
        <f t="shared" si="1"/>
        <v>167.7272727</v>
      </c>
      <c r="O319" s="102" t="str">
        <f t="shared" si="2"/>
        <v>Vencido</v>
      </c>
      <c r="P319" s="228"/>
      <c r="Q319" s="228"/>
      <c r="R319" s="228"/>
      <c r="S319" s="228"/>
      <c r="T319" s="228"/>
      <c r="U319" s="228"/>
      <c r="V319" s="228"/>
      <c r="W319" s="228"/>
      <c r="X319" s="228"/>
      <c r="Y319" s="228"/>
      <c r="Z319" s="228"/>
      <c r="AA319" s="228"/>
      <c r="AB319" s="228"/>
      <c r="AC319" s="228"/>
      <c r="AD319" s="228"/>
      <c r="AE319" s="228"/>
      <c r="AF319" s="228"/>
    </row>
    <row r="320" hidden="1">
      <c r="A320" s="43" t="s">
        <v>226</v>
      </c>
      <c r="B320" s="43" t="s">
        <v>195</v>
      </c>
      <c r="C320" s="51" t="s">
        <v>161</v>
      </c>
      <c r="D320" s="156">
        <v>2025.0</v>
      </c>
      <c r="E320" s="43" t="s">
        <v>371</v>
      </c>
      <c r="F320" s="104">
        <v>45881.0</v>
      </c>
      <c r="G320" s="104">
        <v>45856.0</v>
      </c>
      <c r="H320" s="165" t="s">
        <v>673</v>
      </c>
      <c r="I320" s="43" t="s">
        <v>674</v>
      </c>
      <c r="J320" s="104">
        <v>45869.0</v>
      </c>
      <c r="K320" s="89">
        <v>20000.0</v>
      </c>
      <c r="L320" s="71"/>
      <c r="M320" s="106">
        <f>IF(ISBLANK(K320), "", VLOOKUP(C320&amp;" "&amp;D320, 'Info Tipo de Cambio y REM'!$A$24:$B$35, 2, FALSE))</f>
        <v>1320</v>
      </c>
      <c r="N320" s="107">
        <f t="shared" si="1"/>
        <v>15.15151515</v>
      </c>
      <c r="O320" s="102" t="str">
        <f t="shared" si="2"/>
        <v>Vencido</v>
      </c>
    </row>
    <row r="321" hidden="1">
      <c r="A321" s="43" t="s">
        <v>127</v>
      </c>
      <c r="B321" s="43" t="s">
        <v>195</v>
      </c>
      <c r="C321" s="51" t="s">
        <v>161</v>
      </c>
      <c r="D321" s="156">
        <v>2025.0</v>
      </c>
      <c r="E321" s="43" t="s">
        <v>371</v>
      </c>
      <c r="F321" s="104">
        <v>45881.0</v>
      </c>
      <c r="G321" s="104">
        <v>45856.0</v>
      </c>
      <c r="H321" s="165" t="s">
        <v>675</v>
      </c>
      <c r="I321" s="43" t="s">
        <v>458</v>
      </c>
      <c r="J321" s="104">
        <v>45869.0</v>
      </c>
      <c r="K321" s="89">
        <v>132000.0</v>
      </c>
      <c r="L321" s="71"/>
      <c r="M321" s="106">
        <f>IF(ISBLANK(K321), "", VLOOKUP(C321&amp;" "&amp;D321, 'Info Tipo de Cambio y REM'!$A$24:$B$35, 2, FALSE))</f>
        <v>1320</v>
      </c>
      <c r="N321" s="107">
        <f t="shared" si="1"/>
        <v>100</v>
      </c>
      <c r="O321" s="102" t="str">
        <f t="shared" si="2"/>
        <v>Vencido</v>
      </c>
    </row>
    <row r="322" hidden="1">
      <c r="A322" s="43" t="s">
        <v>214</v>
      </c>
      <c r="B322" s="43" t="str">
        <f>IF(A322="", "", IFERROR(VLOOKUP(A322, Clasificaciones!A:B, 2, FALSE), "DATO NO CARGADO"))</f>
        <v>Equipo</v>
      </c>
      <c r="C322" s="51" t="s">
        <v>161</v>
      </c>
      <c r="D322" s="43">
        <v>2025.0</v>
      </c>
      <c r="E322" s="43" t="s">
        <v>371</v>
      </c>
      <c r="F322" s="104">
        <v>45879.0</v>
      </c>
      <c r="G322" s="104">
        <v>45866.0</v>
      </c>
      <c r="H322" s="125" t="s">
        <v>566</v>
      </c>
      <c r="I322" s="43" t="s">
        <v>676</v>
      </c>
      <c r="J322" s="104">
        <v>45870.0</v>
      </c>
      <c r="L322" s="89">
        <v>1141.0</v>
      </c>
      <c r="M322" s="106" t="str">
        <f>IF(ISBLANK(K322), "", VLOOKUP(C322&amp;" "&amp;D322, 'Info Tipo de Cambio y REM'!$A$24:$B$35, 2, FALSE))</f>
        <v/>
      </c>
      <c r="N322" s="107">
        <f t="shared" si="1"/>
        <v>1141</v>
      </c>
      <c r="O322" s="102" t="str">
        <f t="shared" si="2"/>
        <v>Vencido</v>
      </c>
    </row>
    <row r="323" hidden="1">
      <c r="A323" s="43" t="s">
        <v>207</v>
      </c>
      <c r="B323" s="43" t="str">
        <f>IF(A323="", "", IFERROR(VLOOKUP(A323, Clasificaciones!A:B, 2, FALSE), "DATO NO CARGADO"))</f>
        <v>Equipo</v>
      </c>
      <c r="C323" s="51" t="s">
        <v>161</v>
      </c>
      <c r="D323" s="43">
        <v>2025.0</v>
      </c>
      <c r="E323" s="43" t="s">
        <v>371</v>
      </c>
      <c r="F323" s="104">
        <v>45879.0</v>
      </c>
      <c r="G323" s="104">
        <v>45861.0</v>
      </c>
      <c r="H323" s="125" t="s">
        <v>389</v>
      </c>
      <c r="I323" s="43" t="s">
        <v>677</v>
      </c>
      <c r="J323" s="104">
        <v>45870.0</v>
      </c>
      <c r="L323" s="89">
        <v>614.0</v>
      </c>
      <c r="M323" s="106" t="str">
        <f>IF(ISBLANK(K323), "", VLOOKUP(C323&amp;" "&amp;D323, 'Info Tipo de Cambio y REM'!$A$24:$B$35, 2, FALSE))</f>
        <v/>
      </c>
      <c r="N323" s="107">
        <f t="shared" si="1"/>
        <v>614</v>
      </c>
      <c r="O323" s="102" t="str">
        <f t="shared" si="2"/>
        <v>Vencido</v>
      </c>
    </row>
    <row r="324" hidden="1">
      <c r="A324" s="43" t="s">
        <v>120</v>
      </c>
      <c r="B324" s="43" t="str">
        <f>IF(A324="", "", IFERROR(VLOOKUP(A324, Clasificaciones!A:B, 2, FALSE), "DATO NO CARGADO"))</f>
        <v>Equipo</v>
      </c>
      <c r="C324" s="51" t="s">
        <v>161</v>
      </c>
      <c r="D324" s="43">
        <v>2025.0</v>
      </c>
      <c r="E324" s="43" t="s">
        <v>371</v>
      </c>
      <c r="F324" s="104">
        <v>45879.0</v>
      </c>
      <c r="G324" s="104">
        <v>45862.0</v>
      </c>
      <c r="H324" s="125" t="s">
        <v>387</v>
      </c>
      <c r="I324" s="43" t="s">
        <v>678</v>
      </c>
      <c r="J324" s="104">
        <v>45870.0</v>
      </c>
      <c r="L324" s="89">
        <v>2722.0</v>
      </c>
      <c r="M324" s="106" t="str">
        <f>IF(ISBLANK(K324), "", VLOOKUP(C324&amp;" "&amp;D324, 'Info Tipo de Cambio y REM'!$A$24:$B$35, 2, FALSE))</f>
        <v/>
      </c>
      <c r="N324" s="107">
        <f t="shared" si="1"/>
        <v>2722</v>
      </c>
      <c r="O324" s="102" t="str">
        <f t="shared" si="2"/>
        <v>Vencido</v>
      </c>
    </row>
    <row r="325" hidden="1">
      <c r="A325" s="43" t="s">
        <v>205</v>
      </c>
      <c r="B325" s="43" t="str">
        <f>IF(A325="", "", IFERROR(VLOOKUP(A325, Clasificaciones!A:B, 2, FALSE), "DATO NO CARGADO"))</f>
        <v>Equipo</v>
      </c>
      <c r="C325" s="51" t="s">
        <v>161</v>
      </c>
      <c r="D325" s="43">
        <v>2025.0</v>
      </c>
      <c r="E325" s="43" t="s">
        <v>371</v>
      </c>
      <c r="F325" s="104">
        <v>45879.0</v>
      </c>
      <c r="G325" s="104">
        <v>45862.0</v>
      </c>
      <c r="H325" s="125" t="s">
        <v>379</v>
      </c>
      <c r="I325" s="43" t="s">
        <v>676</v>
      </c>
      <c r="J325" s="104">
        <v>45870.0</v>
      </c>
      <c r="L325" s="89">
        <v>1366.0</v>
      </c>
      <c r="M325" s="106" t="str">
        <f>IF(ISBLANK(K325), "", VLOOKUP(C325&amp;" "&amp;D325, 'Info Tipo de Cambio y REM'!$A$24:$B$35, 2, FALSE))</f>
        <v/>
      </c>
      <c r="N325" s="107">
        <f t="shared" si="1"/>
        <v>1366</v>
      </c>
      <c r="O325" s="102" t="str">
        <f t="shared" si="2"/>
        <v>Vencido</v>
      </c>
    </row>
    <row r="326" hidden="1">
      <c r="A326" s="43" t="s">
        <v>194</v>
      </c>
      <c r="B326" s="43" t="str">
        <f>IF(A326="", "", IFERROR(VLOOKUP(A326, Clasificaciones!A:B, 2, FALSE), "DATO NO CARGADO"))</f>
        <v>Equipo</v>
      </c>
      <c r="C326" s="51" t="s">
        <v>161</v>
      </c>
      <c r="D326" s="43">
        <v>2025.0</v>
      </c>
      <c r="E326" s="43" t="s">
        <v>371</v>
      </c>
      <c r="F326" s="104">
        <v>45879.0</v>
      </c>
      <c r="G326" s="104">
        <v>45862.0</v>
      </c>
      <c r="H326" s="125" t="s">
        <v>403</v>
      </c>
      <c r="I326" s="43" t="s">
        <v>676</v>
      </c>
      <c r="J326" s="104">
        <v>45870.0</v>
      </c>
      <c r="L326" s="89">
        <v>1412.0</v>
      </c>
      <c r="M326" s="106" t="str">
        <f>IF(ISBLANK(K326), "", VLOOKUP(C326&amp;" "&amp;D326, 'Info Tipo de Cambio y REM'!$A$24:$B$35, 2, FALSE))</f>
        <v/>
      </c>
      <c r="N326" s="107">
        <f t="shared" si="1"/>
        <v>1412</v>
      </c>
      <c r="O326" s="102" t="str">
        <f t="shared" si="2"/>
        <v>Vencido</v>
      </c>
    </row>
    <row r="327" hidden="1">
      <c r="A327" s="43" t="s">
        <v>217</v>
      </c>
      <c r="B327" s="43" t="str">
        <f>IF(A327="", "", IFERROR(VLOOKUP(A327, Clasificaciones!A:B, 2, FALSE), "DATO NO CARGADO"))</f>
        <v>Equipo</v>
      </c>
      <c r="C327" s="51" t="s">
        <v>161</v>
      </c>
      <c r="D327" s="43">
        <v>2025.0</v>
      </c>
      <c r="E327" s="43" t="s">
        <v>371</v>
      </c>
      <c r="F327" s="104">
        <v>45879.0</v>
      </c>
      <c r="G327" s="104">
        <v>45863.0</v>
      </c>
      <c r="H327" s="125" t="s">
        <v>580</v>
      </c>
      <c r="I327" s="43" t="s">
        <v>679</v>
      </c>
      <c r="J327" s="104">
        <v>45870.0</v>
      </c>
      <c r="L327" s="89">
        <v>1313.0</v>
      </c>
      <c r="M327" s="106" t="str">
        <f>IF(ISBLANK(K327), "", VLOOKUP(C327&amp;" "&amp;D327, 'Info Tipo de Cambio y REM'!$A$24:$B$35, 2, FALSE))</f>
        <v/>
      </c>
      <c r="N327" s="107">
        <f t="shared" si="1"/>
        <v>1313</v>
      </c>
      <c r="O327" s="102" t="str">
        <f t="shared" si="2"/>
        <v>Vencido</v>
      </c>
    </row>
    <row r="328" hidden="1">
      <c r="A328" s="43" t="s">
        <v>200</v>
      </c>
      <c r="B328" s="43" t="str">
        <f>IF(A328="", "", IFERROR(VLOOKUP(A328, Clasificaciones!A:B, 2, FALSE), "DATO NO CARGADO"))</f>
        <v>Equipo</v>
      </c>
      <c r="C328" s="51" t="s">
        <v>161</v>
      </c>
      <c r="D328" s="43">
        <v>2025.0</v>
      </c>
      <c r="E328" s="43" t="s">
        <v>371</v>
      </c>
      <c r="F328" s="104">
        <v>45879.0</v>
      </c>
      <c r="G328" s="104">
        <v>45863.0</v>
      </c>
      <c r="H328" s="125" t="s">
        <v>450</v>
      </c>
      <c r="I328" s="43" t="s">
        <v>676</v>
      </c>
      <c r="J328" s="104">
        <v>45870.0</v>
      </c>
      <c r="L328" s="89">
        <v>1978.0</v>
      </c>
      <c r="M328" s="106" t="str">
        <f>IF(ISBLANK(K328), "", VLOOKUP(C328&amp;" "&amp;D328, 'Info Tipo de Cambio y REM'!$A$24:$B$35, 2, FALSE))</f>
        <v/>
      </c>
      <c r="N328" s="107">
        <f t="shared" si="1"/>
        <v>1978</v>
      </c>
      <c r="O328" s="102" t="str">
        <f t="shared" si="2"/>
        <v>Vencido</v>
      </c>
    </row>
    <row r="329" hidden="1">
      <c r="A329" s="43" t="s">
        <v>230</v>
      </c>
      <c r="B329" s="43" t="str">
        <f>IF(A329="", "", IFERROR(VLOOKUP(A329, Clasificaciones!A:B, 2, FALSE), "DATO NO CARGADO"))</f>
        <v>Equipo</v>
      </c>
      <c r="C329" s="51" t="s">
        <v>161</v>
      </c>
      <c r="D329" s="43">
        <v>2025.0</v>
      </c>
      <c r="E329" s="43" t="s">
        <v>371</v>
      </c>
      <c r="F329" s="104">
        <v>45879.0</v>
      </c>
      <c r="G329" s="104">
        <v>45862.0</v>
      </c>
      <c r="H329" s="125" t="s">
        <v>577</v>
      </c>
      <c r="I329" s="43" t="s">
        <v>676</v>
      </c>
      <c r="J329" s="104">
        <v>45870.0</v>
      </c>
      <c r="L329" s="89">
        <v>1526.0</v>
      </c>
      <c r="M329" s="106" t="str">
        <f>IF(ISBLANK(K329), "", VLOOKUP(C329&amp;" "&amp;D329, 'Info Tipo de Cambio y REM'!$A$24:$B$35, 2, FALSE))</f>
        <v/>
      </c>
      <c r="N329" s="107">
        <f t="shared" si="1"/>
        <v>1526</v>
      </c>
      <c r="O329" s="102" t="str">
        <f t="shared" si="2"/>
        <v>Vencido</v>
      </c>
    </row>
    <row r="330" hidden="1">
      <c r="A330" s="43" t="s">
        <v>197</v>
      </c>
      <c r="B330" s="43" t="str">
        <f>IF(A330="", "", IFERROR(VLOOKUP(A330, Clasificaciones!A:B, 2, FALSE), "DATO NO CARGADO"))</f>
        <v>Equipo</v>
      </c>
      <c r="C330" s="51" t="s">
        <v>161</v>
      </c>
      <c r="D330" s="43">
        <v>2025.0</v>
      </c>
      <c r="E330" s="43" t="s">
        <v>371</v>
      </c>
      <c r="F330" s="104">
        <v>45879.0</v>
      </c>
      <c r="G330" s="104">
        <v>45866.0</v>
      </c>
      <c r="H330" s="43" t="s">
        <v>411</v>
      </c>
      <c r="I330" s="43" t="s">
        <v>676</v>
      </c>
      <c r="J330" s="104">
        <v>45870.0</v>
      </c>
      <c r="L330" s="89">
        <v>1791.0</v>
      </c>
      <c r="M330" s="106" t="str">
        <f>IF(ISBLANK(K330), "", VLOOKUP(C330&amp;" "&amp;D330, 'Info Tipo de Cambio y REM'!$A$24:$B$35, 2, FALSE))</f>
        <v/>
      </c>
      <c r="N330" s="107">
        <f t="shared" si="1"/>
        <v>1791</v>
      </c>
      <c r="O330" s="102" t="str">
        <f t="shared" si="2"/>
        <v>Vencido</v>
      </c>
    </row>
    <row r="331" hidden="1">
      <c r="A331" s="43" t="s">
        <v>228</v>
      </c>
      <c r="B331" s="43" t="str">
        <f>IF(A331="", "", IFERROR(VLOOKUP(A331, Clasificaciones!A:B, 2, FALSE), "DATO NO CARGADO"))</f>
        <v>Equipo</v>
      </c>
      <c r="C331" s="51" t="s">
        <v>161</v>
      </c>
      <c r="D331" s="43">
        <v>2025.0</v>
      </c>
      <c r="E331" s="43" t="s">
        <v>371</v>
      </c>
      <c r="F331" s="104">
        <v>45879.0</v>
      </c>
      <c r="G331" s="104">
        <v>45863.0</v>
      </c>
      <c r="H331" s="124" t="s">
        <v>680</v>
      </c>
      <c r="I331" s="43" t="s">
        <v>678</v>
      </c>
      <c r="J331" s="104">
        <v>45870.0</v>
      </c>
      <c r="L331" s="89">
        <v>1429.0</v>
      </c>
      <c r="M331" s="106" t="str">
        <f>IF(ISBLANK(K331), "", VLOOKUP(C331&amp;" "&amp;D331, 'Info Tipo de Cambio y REM'!$A$24:$B$35, 2, FALSE))</f>
        <v/>
      </c>
      <c r="N331" s="107">
        <f t="shared" si="1"/>
        <v>1429</v>
      </c>
      <c r="O331" s="102" t="str">
        <f t="shared" si="2"/>
        <v>Vencido</v>
      </c>
    </row>
    <row r="332" hidden="1">
      <c r="A332" s="43" t="s">
        <v>203</v>
      </c>
      <c r="B332" s="43" t="str">
        <f>IF(A332="", "", IFERROR(VLOOKUP(A332, Clasificaciones!A:B, 2, FALSE), "DATO NO CARGADO"))</f>
        <v>Equipo</v>
      </c>
      <c r="C332" s="51" t="s">
        <v>161</v>
      </c>
      <c r="D332" s="43">
        <v>2025.0</v>
      </c>
      <c r="E332" s="43" t="s">
        <v>371</v>
      </c>
      <c r="F332" s="104">
        <v>45879.0</v>
      </c>
      <c r="G332" s="104">
        <v>45859.0</v>
      </c>
      <c r="H332" s="43" t="s">
        <v>681</v>
      </c>
      <c r="I332" s="43" t="s">
        <v>551</v>
      </c>
      <c r="J332" s="104">
        <v>45870.0</v>
      </c>
      <c r="L332" s="89">
        <v>614.0</v>
      </c>
      <c r="M332" s="106" t="str">
        <f>IF(ISBLANK(K332), "", VLOOKUP(C332&amp;" "&amp;D332, 'Info Tipo de Cambio y REM'!$A$24:$B$35, 2, FALSE))</f>
        <v/>
      </c>
      <c r="N332" s="107">
        <f t="shared" si="1"/>
        <v>614</v>
      </c>
      <c r="O332" s="102" t="str">
        <f t="shared" si="2"/>
        <v>Vencido</v>
      </c>
    </row>
    <row r="333" hidden="1">
      <c r="A333" s="43" t="s">
        <v>127</v>
      </c>
      <c r="B333" s="43" t="str">
        <f>IF(A333="", "", IFERROR(VLOOKUP(A333, Clasificaciones!A:B, 2, FALSE), "DATO NO CARGADO"))</f>
        <v>Board</v>
      </c>
      <c r="C333" s="51" t="s">
        <v>161</v>
      </c>
      <c r="D333" s="43">
        <v>2025.0</v>
      </c>
      <c r="E333" s="43" t="s">
        <v>371</v>
      </c>
      <c r="F333" s="104">
        <v>45879.0</v>
      </c>
      <c r="G333" s="104">
        <v>45866.0</v>
      </c>
      <c r="H333" s="124" t="s">
        <v>458</v>
      </c>
      <c r="I333" s="43" t="s">
        <v>682</v>
      </c>
      <c r="J333" s="104">
        <v>45870.0</v>
      </c>
      <c r="L333" s="89">
        <v>2200.0</v>
      </c>
      <c r="M333" s="106" t="str">
        <f>IF(ISBLANK(K333), "", VLOOKUP(C333&amp;" "&amp;D333, 'Info Tipo de Cambio y REM'!$A$24:$B$35, 2, FALSE))</f>
        <v/>
      </c>
      <c r="N333" s="107">
        <f t="shared" si="1"/>
        <v>2200</v>
      </c>
      <c r="O333" s="102" t="str">
        <f t="shared" si="2"/>
        <v>Vencido</v>
      </c>
    </row>
    <row r="334" hidden="1">
      <c r="A334" s="43" t="s">
        <v>127</v>
      </c>
      <c r="B334" s="43" t="str">
        <f>IF(A334="", "", IFERROR(VLOOKUP(A334, Clasificaciones!A:B, 2, FALSE), "DATO NO CARGADO"))</f>
        <v>Board</v>
      </c>
      <c r="C334" s="51" t="s">
        <v>161</v>
      </c>
      <c r="D334" s="43">
        <v>2025.0</v>
      </c>
      <c r="E334" s="43" t="s">
        <v>371</v>
      </c>
      <c r="F334" s="104">
        <v>45879.0</v>
      </c>
      <c r="G334" s="104">
        <v>45866.0</v>
      </c>
      <c r="H334" s="43" t="s">
        <v>683</v>
      </c>
      <c r="I334" s="43" t="s">
        <v>551</v>
      </c>
      <c r="J334" s="104">
        <v>45870.0</v>
      </c>
      <c r="L334" s="89">
        <v>1500.0</v>
      </c>
      <c r="M334" s="106" t="str">
        <f>IF(ISBLANK(K334), "", VLOOKUP(C334&amp;" "&amp;D334, 'Info Tipo de Cambio y REM'!$A$24:$B$35, 2, FALSE))</f>
        <v/>
      </c>
      <c r="N334" s="107">
        <f t="shared" si="1"/>
        <v>1500</v>
      </c>
      <c r="O334" s="102" t="str">
        <f t="shared" si="2"/>
        <v>Vencido</v>
      </c>
    </row>
    <row r="335" hidden="1">
      <c r="A335" s="43" t="s">
        <v>152</v>
      </c>
      <c r="B335" s="43" t="str">
        <f>IF(A335="", "", IFERROR(VLOOKUP(A335, Clasificaciones!A:B, 2, FALSE), "DATO NO CARGADO"))</f>
        <v>Impuestos ARG</v>
      </c>
      <c r="C335" s="51" t="s">
        <v>161</v>
      </c>
      <c r="D335" s="156">
        <v>2025.0</v>
      </c>
      <c r="E335" s="43" t="s">
        <v>371</v>
      </c>
      <c r="F335" s="104">
        <v>45894.0</v>
      </c>
      <c r="G335" s="104">
        <v>45869.0</v>
      </c>
      <c r="H335" s="165" t="s">
        <v>684</v>
      </c>
      <c r="I335" s="1"/>
      <c r="J335" s="168">
        <v>45862.0</v>
      </c>
      <c r="K335" s="229">
        <v>2012802.0</v>
      </c>
      <c r="L335" s="89"/>
      <c r="M335" s="106">
        <f>IF(ISBLANK(K335), "", VLOOKUP(C335&amp;" "&amp;D335, 'Info Tipo de Cambio y REM'!$A$24:$B$35, 2, FALSE))</f>
        <v>1320</v>
      </c>
      <c r="N335" s="107">
        <f t="shared" si="1"/>
        <v>1524.85</v>
      </c>
      <c r="O335" s="102" t="str">
        <f t="shared" si="2"/>
        <v>Vencido</v>
      </c>
    </row>
    <row r="336" hidden="1">
      <c r="A336" s="43" t="s">
        <v>146</v>
      </c>
      <c r="B336" s="43" t="str">
        <f>IF(A336="", "", IFERROR(VLOOKUP(A336, Clasificaciones!A:B, 2, FALSE), "DATO NO CARGADO"))</f>
        <v>Impuestos ARG</v>
      </c>
      <c r="C336" s="51" t="s">
        <v>161</v>
      </c>
      <c r="D336" s="156">
        <v>2025.0</v>
      </c>
      <c r="E336" s="43" t="s">
        <v>371</v>
      </c>
      <c r="F336" s="104">
        <v>45894.0</v>
      </c>
      <c r="G336" s="104">
        <v>45869.0</v>
      </c>
      <c r="H336" s="165" t="s">
        <v>685</v>
      </c>
      <c r="I336" s="1"/>
      <c r="J336" s="168">
        <v>45857.0</v>
      </c>
      <c r="K336" s="229">
        <v>369970.0</v>
      </c>
      <c r="L336" s="89"/>
      <c r="M336" s="106">
        <f>IF(ISBLANK(K336), "", VLOOKUP(C336&amp;" "&amp;D336, 'Info Tipo de Cambio y REM'!$A$24:$B$35, 2, FALSE))</f>
        <v>1320</v>
      </c>
      <c r="N336" s="107">
        <f t="shared" si="1"/>
        <v>280.280303</v>
      </c>
      <c r="O336" s="102" t="str">
        <f t="shared" si="2"/>
        <v>Vencido</v>
      </c>
    </row>
    <row r="337" hidden="1">
      <c r="A337" s="43" t="s">
        <v>164</v>
      </c>
      <c r="B337" s="43" t="str">
        <f>IF(A337="", "", IFERROR(VLOOKUP(A337, Clasificaciones!A:B, 2, FALSE), "DATO NO CARGADO"))</f>
        <v>Estudio Contable</v>
      </c>
      <c r="C337" s="51" t="s">
        <v>161</v>
      </c>
      <c r="D337" s="156">
        <v>2025.0</v>
      </c>
      <c r="E337" s="43" t="s">
        <v>371</v>
      </c>
      <c r="F337" s="104">
        <v>45922.0</v>
      </c>
      <c r="G337" s="104">
        <v>45869.0</v>
      </c>
      <c r="H337" s="165" t="s">
        <v>686</v>
      </c>
      <c r="I337" s="1"/>
      <c r="J337" s="168">
        <v>45910.0</v>
      </c>
      <c r="K337" s="229">
        <v>71341.0</v>
      </c>
      <c r="L337" s="89"/>
      <c r="M337" s="106">
        <f>IF(ISBLANK(K337), "", VLOOKUP(C337&amp;" "&amp;D337, 'Info Tipo de Cambio y REM'!$A$24:$B$35, 2, FALSE))</f>
        <v>1320</v>
      </c>
      <c r="N337" s="107">
        <f t="shared" si="1"/>
        <v>54.04621212</v>
      </c>
      <c r="O337" s="102" t="str">
        <f t="shared" si="2"/>
        <v>Vencido</v>
      </c>
    </row>
    <row r="338" hidden="1">
      <c r="A338" s="197" t="s">
        <v>153</v>
      </c>
      <c r="B338" s="43" t="str">
        <f>IF(A338="", "", IFERROR(VLOOKUP(A338, Clasificaciones!A:B, 2, FALSE), "DATO NO CARGADO"))</f>
        <v>Impuestos USA</v>
      </c>
      <c r="C338" s="51" t="s">
        <v>161</v>
      </c>
      <c r="D338" s="156">
        <v>2025.0</v>
      </c>
      <c r="E338" s="43" t="s">
        <v>371</v>
      </c>
      <c r="F338" s="104"/>
      <c r="G338" s="104">
        <v>45869.0</v>
      </c>
      <c r="H338" s="230" t="s">
        <v>687</v>
      </c>
      <c r="I338" s="156" t="s">
        <v>688</v>
      </c>
      <c r="J338" s="183">
        <v>46142.0</v>
      </c>
      <c r="K338" s="198"/>
      <c r="L338" s="229">
        <v>725.0</v>
      </c>
      <c r="M338" s="106" t="str">
        <f>IF(ISBLANK(K338), "", VLOOKUP(C338&amp;" "&amp;D338, 'Info Tipo de Cambio y REM'!$A$24:$B$35, 2, FALSE))</f>
        <v/>
      </c>
      <c r="N338" s="107">
        <f t="shared" si="1"/>
        <v>725</v>
      </c>
      <c r="O338" s="102" t="str">
        <f t="shared" si="2"/>
        <v>A término</v>
      </c>
    </row>
    <row r="339" hidden="1">
      <c r="A339" s="43" t="s">
        <v>222</v>
      </c>
      <c r="B339" s="43" t="str">
        <f>IF(A339="", "", IFERROR(VLOOKUP(A339, Clasificaciones!A:B, 2, FALSE), "DATO NO CARGADO"))</f>
        <v>Oxean</v>
      </c>
      <c r="C339" s="51" t="s">
        <v>161</v>
      </c>
      <c r="D339" s="156">
        <v>2025.0</v>
      </c>
      <c r="E339" s="43" t="s">
        <v>371</v>
      </c>
      <c r="F339" s="104">
        <v>45894.0</v>
      </c>
      <c r="G339" s="104">
        <v>45869.0</v>
      </c>
      <c r="H339" s="165" t="s">
        <v>689</v>
      </c>
      <c r="I339" s="1"/>
      <c r="J339" s="168">
        <v>45879.0</v>
      </c>
      <c r="K339" s="89">
        <v>4910000.0</v>
      </c>
      <c r="L339" s="71"/>
      <c r="M339" s="106">
        <f>IF(ISBLANK(K339), "", VLOOKUP(C339&amp;" "&amp;D339, 'Info Tipo de Cambio y REM'!$A$24:$B$35, 2, FALSE))</f>
        <v>1320</v>
      </c>
      <c r="N339" s="107">
        <f t="shared" si="1"/>
        <v>3719.69697</v>
      </c>
      <c r="O339" s="102" t="str">
        <f t="shared" si="2"/>
        <v>Vencido</v>
      </c>
    </row>
    <row r="340" hidden="1">
      <c r="A340" s="43" t="s">
        <v>158</v>
      </c>
      <c r="B340" s="43" t="str">
        <f>IF(A340="", "", IFERROR(VLOOKUP(A340, Clasificaciones!A:B, 2, FALSE), "DATO NO CARGADO"))</f>
        <v>Tarjeta</v>
      </c>
      <c r="C340" s="51" t="s">
        <v>161</v>
      </c>
      <c r="D340" s="156">
        <v>2025.0</v>
      </c>
      <c r="E340" s="43" t="s">
        <v>371</v>
      </c>
      <c r="F340" s="104">
        <v>45894.0</v>
      </c>
      <c r="G340" s="104">
        <v>45869.0</v>
      </c>
      <c r="H340" s="184" t="s">
        <v>690</v>
      </c>
      <c r="I340" s="1"/>
      <c r="J340" s="185">
        <v>45887.0</v>
      </c>
      <c r="K340" s="229">
        <v>118200.0</v>
      </c>
      <c r="L340" s="71"/>
      <c r="M340" s="106">
        <f>IF(ISBLANK(K340), "", VLOOKUP(C340&amp;" "&amp;D340, 'Info Tipo de Cambio y REM'!$A$24:$B$35, 2, FALSE))</f>
        <v>1320</v>
      </c>
      <c r="N340" s="107">
        <f t="shared" si="1"/>
        <v>89.54545455</v>
      </c>
      <c r="O340" s="102" t="str">
        <f t="shared" si="2"/>
        <v>Vencido</v>
      </c>
    </row>
    <row r="341" hidden="1">
      <c r="A341" s="43" t="s">
        <v>191</v>
      </c>
      <c r="B341" s="43" t="str">
        <f>IF(A341="", "", IFERROR(VLOOKUP(A341, Clasificaciones!A:B, 2, FALSE), "DATO NO CARGADO"))</f>
        <v>Tarjeta</v>
      </c>
      <c r="C341" s="51" t="s">
        <v>161</v>
      </c>
      <c r="D341" s="156">
        <v>2025.0</v>
      </c>
      <c r="E341" s="43" t="s">
        <v>374</v>
      </c>
      <c r="F341" s="104">
        <v>45866.0</v>
      </c>
      <c r="G341" s="104">
        <v>45866.0</v>
      </c>
      <c r="H341" s="83" t="s">
        <v>691</v>
      </c>
      <c r="I341" s="83" t="s">
        <v>692</v>
      </c>
      <c r="J341" s="104"/>
      <c r="K341" s="89"/>
      <c r="L341" s="231">
        <v>609.8</v>
      </c>
      <c r="M341" s="106" t="str">
        <f>IF(ISBLANK(K341), "", VLOOKUP(C341&amp;" "&amp;D341, 'Info Tipo de Cambio y REM'!$A$24:$B$35, 2, FALSE))</f>
        <v/>
      </c>
      <c r="N341" s="107">
        <f t="shared" si="1"/>
        <v>609.8</v>
      </c>
      <c r="O341" s="102" t="str">
        <f t="shared" si="2"/>
        <v>A término</v>
      </c>
    </row>
    <row r="342" hidden="1">
      <c r="A342" s="43" t="s">
        <v>191</v>
      </c>
      <c r="B342" s="43" t="str">
        <f>IF(A342="", "", IFERROR(VLOOKUP(A342, Clasificaciones!A:B, 2, FALSE), "DATO NO CARGADO"))</f>
        <v>Tarjeta</v>
      </c>
      <c r="C342" s="51" t="s">
        <v>161</v>
      </c>
      <c r="D342" s="156">
        <v>2025.0</v>
      </c>
      <c r="E342" s="43" t="s">
        <v>374</v>
      </c>
      <c r="F342" s="104">
        <v>45866.0</v>
      </c>
      <c r="G342" s="104">
        <v>45866.0</v>
      </c>
      <c r="H342" s="83" t="s">
        <v>691</v>
      </c>
      <c r="I342" s="83" t="s">
        <v>693</v>
      </c>
      <c r="J342" s="103"/>
      <c r="L342" s="231">
        <v>49.0</v>
      </c>
      <c r="M342" s="106" t="str">
        <f>IF(ISBLANK(K342), "", VLOOKUP(C342&amp;" "&amp;D342, 'Info Tipo de Cambio y REM'!$A$24:$B$35, 2, FALSE))</f>
        <v/>
      </c>
      <c r="N342" s="107">
        <f t="shared" si="1"/>
        <v>49</v>
      </c>
      <c r="O342" s="102" t="str">
        <f t="shared" si="2"/>
        <v>A término</v>
      </c>
    </row>
    <row r="343" hidden="1">
      <c r="A343" s="43" t="s">
        <v>191</v>
      </c>
      <c r="B343" s="43" t="str">
        <f>IF(A343="", "", IFERROR(VLOOKUP(A343, Clasificaciones!A:B, 2, FALSE), "DATO NO CARGADO"))</f>
        <v>Tarjeta</v>
      </c>
      <c r="C343" s="51" t="s">
        <v>161</v>
      </c>
      <c r="D343" s="156">
        <v>2025.0</v>
      </c>
      <c r="E343" s="43" t="s">
        <v>374</v>
      </c>
      <c r="F343" s="104">
        <v>45867.0</v>
      </c>
      <c r="G343" s="104">
        <v>45867.0</v>
      </c>
      <c r="H343" s="83" t="s">
        <v>691</v>
      </c>
      <c r="I343" s="83" t="s">
        <v>694</v>
      </c>
      <c r="J343" s="103"/>
      <c r="L343" s="231">
        <v>139.95</v>
      </c>
      <c r="M343" s="106" t="str">
        <f>IF(ISBLANK(K343), "", VLOOKUP(C343&amp;" "&amp;D343, 'Info Tipo de Cambio y REM'!$A$24:$B$35, 2, FALSE))</f>
        <v/>
      </c>
      <c r="N343" s="107">
        <f t="shared" si="1"/>
        <v>139.95</v>
      </c>
      <c r="O343" s="102" t="str">
        <f t="shared" si="2"/>
        <v>A término</v>
      </c>
    </row>
    <row r="344" hidden="1">
      <c r="A344" s="43" t="s">
        <v>191</v>
      </c>
      <c r="B344" s="43" t="str">
        <f>IF(A344="", "", IFERROR(VLOOKUP(A344, Clasificaciones!A:B, 2, FALSE), "DATO NO CARGADO"))</f>
        <v>Tarjeta</v>
      </c>
      <c r="C344" s="51" t="s">
        <v>161</v>
      </c>
      <c r="D344" s="156">
        <v>2025.0</v>
      </c>
      <c r="E344" s="43" t="s">
        <v>374</v>
      </c>
      <c r="F344" s="104">
        <v>45867.0</v>
      </c>
      <c r="G344" s="104">
        <v>45867.0</v>
      </c>
      <c r="H344" s="83" t="s">
        <v>691</v>
      </c>
      <c r="I344" s="83" t="s">
        <v>695</v>
      </c>
      <c r="J344" s="103"/>
      <c r="L344" s="231">
        <v>500.54</v>
      </c>
      <c r="M344" s="106" t="str">
        <f>IF(ISBLANK(K344), "", VLOOKUP(C344&amp;" "&amp;D344, 'Info Tipo de Cambio y REM'!$A$24:$B$35, 2, FALSE))</f>
        <v/>
      </c>
      <c r="N344" s="107">
        <f t="shared" si="1"/>
        <v>500.54</v>
      </c>
      <c r="O344" s="102" t="str">
        <f t="shared" si="2"/>
        <v>A término</v>
      </c>
    </row>
    <row r="345" hidden="1">
      <c r="A345" s="151" t="s">
        <v>133</v>
      </c>
      <c r="B345" s="151" t="str">
        <f>IF(A345="", "", IFERROR(VLOOKUP(A345, Clasificaciones!A:B, 2, FALSE), "DATO NO CARGADO"))</f>
        <v>Board</v>
      </c>
      <c r="C345" s="232" t="s">
        <v>161</v>
      </c>
      <c r="D345" s="233">
        <v>2025.0</v>
      </c>
      <c r="E345" s="151" t="s">
        <v>371</v>
      </c>
      <c r="F345" s="104">
        <v>45879.0</v>
      </c>
      <c r="G345" s="234">
        <v>45869.0</v>
      </c>
      <c r="H345" s="235" t="s">
        <v>696</v>
      </c>
      <c r="I345" s="235"/>
      <c r="J345" s="234">
        <v>45877.0</v>
      </c>
      <c r="K345" s="236">
        <v>4910000.0</v>
      </c>
      <c r="L345" s="237"/>
      <c r="M345" s="106">
        <f>IF(ISBLANK(K345), "", VLOOKUP(C345&amp;" "&amp;D345, 'Info Tipo de Cambio y REM'!$A$24:$B$35, 2, FALSE))</f>
        <v>1320</v>
      </c>
      <c r="N345" s="239">
        <f t="shared" si="1"/>
        <v>3719.69697</v>
      </c>
      <c r="O345" s="102" t="str">
        <f t="shared" si="2"/>
        <v>Vencido</v>
      </c>
      <c r="P345" s="240"/>
      <c r="Q345" s="240"/>
      <c r="R345" s="240"/>
      <c r="S345" s="240"/>
      <c r="T345" s="240"/>
      <c r="U345" s="240"/>
      <c r="V345" s="240"/>
      <c r="W345" s="240"/>
      <c r="X345" s="240"/>
      <c r="Y345" s="240"/>
      <c r="Z345" s="240"/>
      <c r="AA345" s="240"/>
      <c r="AB345" s="240"/>
      <c r="AC345" s="240"/>
      <c r="AD345" s="240"/>
      <c r="AE345" s="240"/>
      <c r="AF345" s="240"/>
    </row>
    <row r="346" hidden="1">
      <c r="A346" s="151" t="s">
        <v>133</v>
      </c>
      <c r="B346" s="151" t="str">
        <f>IF(A346="", "", IFERROR(VLOOKUP(A346, Clasificaciones!A:B, 2, FALSE), "DATO NO CARGADO"))</f>
        <v>Board</v>
      </c>
      <c r="C346" s="232" t="s">
        <v>161</v>
      </c>
      <c r="D346" s="233">
        <v>2025.0</v>
      </c>
      <c r="E346" s="151" t="s">
        <v>371</v>
      </c>
      <c r="F346" s="104">
        <v>45879.0</v>
      </c>
      <c r="G346" s="234">
        <v>45869.0</v>
      </c>
      <c r="H346" s="241" t="s">
        <v>697</v>
      </c>
      <c r="I346" s="240"/>
      <c r="J346" s="234">
        <v>45877.0</v>
      </c>
      <c r="K346" s="240"/>
      <c r="L346" s="236">
        <v>820.0</v>
      </c>
      <c r="M346" s="106" t="str">
        <f>IF(ISBLANK(K346), "", VLOOKUP(C346&amp;" "&amp;D346, 'Info Tipo de Cambio y REM'!$A$24:$B$35, 2, FALSE))</f>
        <v/>
      </c>
      <c r="N346" s="239">
        <f t="shared" si="1"/>
        <v>820</v>
      </c>
      <c r="O346" s="102" t="str">
        <f t="shared" si="2"/>
        <v>Vencido</v>
      </c>
      <c r="P346" s="240"/>
      <c r="Q346" s="240"/>
      <c r="R346" s="240"/>
      <c r="S346" s="240"/>
      <c r="T346" s="240"/>
      <c r="U346" s="240"/>
      <c r="V346" s="240"/>
      <c r="W346" s="240"/>
      <c r="X346" s="240"/>
      <c r="Y346" s="240"/>
      <c r="Z346" s="240"/>
      <c r="AA346" s="240"/>
      <c r="AB346" s="240"/>
      <c r="AC346" s="240"/>
      <c r="AD346" s="240"/>
      <c r="AE346" s="240"/>
      <c r="AF346" s="240"/>
    </row>
    <row r="347" hidden="1">
      <c r="A347" s="43" t="s">
        <v>164</v>
      </c>
      <c r="B347" s="43" t="str">
        <f>IF(A347="", "", IFERROR(VLOOKUP(A347, Clasificaciones!A:B, 2, FALSE), "DATO NO CARGADO"))</f>
        <v>Estudio Contable</v>
      </c>
      <c r="C347" s="51" t="s">
        <v>161</v>
      </c>
      <c r="D347" s="156">
        <v>2025.0</v>
      </c>
      <c r="E347" s="43" t="s">
        <v>371</v>
      </c>
      <c r="F347" s="104">
        <v>45894.0</v>
      </c>
      <c r="G347" s="122"/>
      <c r="H347" s="165" t="s">
        <v>698</v>
      </c>
      <c r="J347" s="122">
        <v>45879.0</v>
      </c>
      <c r="K347" s="123">
        <v>59568.0</v>
      </c>
      <c r="L347" s="242"/>
      <c r="M347" s="106">
        <f>IF(ISBLANK(K347), "", VLOOKUP(C347&amp;" "&amp;D347, 'Info Tipo de Cambio y REM'!$A$24:$B$35, 2, FALSE))</f>
        <v>1320</v>
      </c>
      <c r="N347" s="107">
        <f t="shared" si="1"/>
        <v>45.12727273</v>
      </c>
      <c r="O347" s="102" t="str">
        <f t="shared" si="2"/>
        <v>Vencido</v>
      </c>
    </row>
    <row r="348" hidden="1">
      <c r="A348" s="43" t="s">
        <v>185</v>
      </c>
      <c r="B348" s="43" t="str">
        <f>IF(A348="", "", IFERROR(VLOOKUP(A348, Clasificaciones!A:B, 2, FALSE), "DATO NO CARGADO"))</f>
        <v>Comisiones Bancarias</v>
      </c>
      <c r="C348" s="51" t="s">
        <v>166</v>
      </c>
      <c r="D348" s="43">
        <v>2025.0</v>
      </c>
      <c r="E348" s="43" t="s">
        <v>374</v>
      </c>
      <c r="F348" s="170">
        <v>45879.0</v>
      </c>
      <c r="G348" s="170">
        <v>45870.0</v>
      </c>
      <c r="H348" s="169" t="s">
        <v>549</v>
      </c>
      <c r="I348" s="169"/>
      <c r="J348" s="170">
        <v>45870.0</v>
      </c>
      <c r="K348" s="106"/>
      <c r="L348" s="171">
        <v>45.0</v>
      </c>
      <c r="M348" s="106" t="str">
        <f>IF(ISBLANK(K348), "", VLOOKUP(C348&amp;" "&amp;D348, 'Info Tipo de Cambio y REM'!$A$24:$B$35, 2, FALSE))</f>
        <v/>
      </c>
      <c r="N348" s="107">
        <f t="shared" si="1"/>
        <v>45</v>
      </c>
      <c r="O348" s="102" t="str">
        <f t="shared" si="2"/>
        <v>A término</v>
      </c>
    </row>
    <row r="349" hidden="1">
      <c r="A349" s="43" t="s">
        <v>185</v>
      </c>
      <c r="B349" s="43" t="str">
        <f>IF(A349="", "", IFERROR(VLOOKUP(A349, Clasificaciones!A:B, 2, FALSE), "DATO NO CARGADO"))</f>
        <v>Comisiones Bancarias</v>
      </c>
      <c r="C349" s="51" t="s">
        <v>166</v>
      </c>
      <c r="D349" s="43">
        <v>2025.0</v>
      </c>
      <c r="E349" s="43" t="s">
        <v>374</v>
      </c>
      <c r="F349" s="170">
        <v>45879.0</v>
      </c>
      <c r="G349" s="170">
        <v>45871.0</v>
      </c>
      <c r="H349" s="169" t="s">
        <v>549</v>
      </c>
      <c r="J349" s="170">
        <v>45870.0</v>
      </c>
      <c r="L349" s="171">
        <v>45.0</v>
      </c>
      <c r="M349" s="106" t="str">
        <f>IF(ISBLANK(K349), "", VLOOKUP(C349&amp;" "&amp;D349, 'Info Tipo de Cambio y REM'!$A$24:$B$35, 2, FALSE))</f>
        <v/>
      </c>
      <c r="N349" s="107">
        <f t="shared" si="1"/>
        <v>45</v>
      </c>
      <c r="O349" s="102" t="str">
        <f t="shared" si="2"/>
        <v>A término</v>
      </c>
    </row>
    <row r="350" hidden="1">
      <c r="A350" s="43" t="s">
        <v>185</v>
      </c>
      <c r="B350" s="43" t="str">
        <f>IF(A350="", "", IFERROR(VLOOKUP(A350, Clasificaciones!A:B, 2, FALSE), "DATO NO CARGADO"))</f>
        <v>Comisiones Bancarias</v>
      </c>
      <c r="C350" s="51" t="s">
        <v>166</v>
      </c>
      <c r="D350" s="43">
        <v>2025.0</v>
      </c>
      <c r="E350" s="43" t="s">
        <v>374</v>
      </c>
      <c r="F350" s="170">
        <v>45879.0</v>
      </c>
      <c r="G350" s="170">
        <v>45872.0</v>
      </c>
      <c r="H350" s="169" t="s">
        <v>549</v>
      </c>
      <c r="J350" s="170">
        <v>45870.0</v>
      </c>
      <c r="L350" s="171">
        <v>45.0</v>
      </c>
      <c r="M350" s="106" t="str">
        <f>IF(ISBLANK(K350), "", VLOOKUP(C350&amp;" "&amp;D350, 'Info Tipo de Cambio y REM'!$A$24:$B$35, 2, FALSE))</f>
        <v/>
      </c>
      <c r="N350" s="107">
        <f t="shared" si="1"/>
        <v>45</v>
      </c>
      <c r="O350" s="102" t="str">
        <f t="shared" si="2"/>
        <v>A término</v>
      </c>
    </row>
    <row r="351" hidden="1">
      <c r="A351" s="43" t="s">
        <v>185</v>
      </c>
      <c r="B351" s="43" t="str">
        <f>IF(A351="", "", IFERROR(VLOOKUP(A351, Clasificaciones!A:B, 2, FALSE), "DATO NO CARGADO"))</f>
        <v>Comisiones Bancarias</v>
      </c>
      <c r="C351" s="51" t="s">
        <v>166</v>
      </c>
      <c r="D351" s="43">
        <v>2025.0</v>
      </c>
      <c r="E351" s="43" t="s">
        <v>374</v>
      </c>
      <c r="F351" s="170">
        <v>45879.0</v>
      </c>
      <c r="G351" s="170">
        <v>45873.0</v>
      </c>
      <c r="H351" s="169" t="s">
        <v>549</v>
      </c>
      <c r="J351" s="170">
        <v>45870.0</v>
      </c>
      <c r="L351" s="171">
        <v>45.0</v>
      </c>
      <c r="M351" s="106" t="str">
        <f>IF(ISBLANK(K351), "", VLOOKUP(C351&amp;" "&amp;D351, 'Info Tipo de Cambio y REM'!$A$24:$B$35, 2, FALSE))</f>
        <v/>
      </c>
      <c r="N351" s="107">
        <f t="shared" si="1"/>
        <v>45</v>
      </c>
      <c r="O351" s="102" t="str">
        <f t="shared" si="2"/>
        <v>A término</v>
      </c>
    </row>
    <row r="352" hidden="1">
      <c r="A352" s="43" t="s">
        <v>185</v>
      </c>
      <c r="B352" s="43" t="str">
        <f>IF(A352="", "", IFERROR(VLOOKUP(A352, Clasificaciones!A:B, 2, FALSE), "DATO NO CARGADO"))</f>
        <v>Comisiones Bancarias</v>
      </c>
      <c r="C352" s="51" t="s">
        <v>166</v>
      </c>
      <c r="D352" s="43">
        <v>2025.0</v>
      </c>
      <c r="E352" s="43" t="s">
        <v>374</v>
      </c>
      <c r="F352" s="170">
        <v>45879.0</v>
      </c>
      <c r="G352" s="170">
        <v>45874.0</v>
      </c>
      <c r="H352" s="169" t="s">
        <v>549</v>
      </c>
      <c r="J352" s="170">
        <v>45870.0</v>
      </c>
      <c r="L352" s="171">
        <v>45.0</v>
      </c>
      <c r="M352" s="106" t="str">
        <f>IF(ISBLANK(K352), "", VLOOKUP(C352&amp;" "&amp;D352, 'Info Tipo de Cambio y REM'!$A$24:$B$35, 2, FALSE))</f>
        <v/>
      </c>
      <c r="N352" s="107">
        <f t="shared" si="1"/>
        <v>45</v>
      </c>
      <c r="O352" s="102" t="str">
        <f t="shared" si="2"/>
        <v>A término</v>
      </c>
    </row>
    <row r="353" hidden="1">
      <c r="A353" s="43" t="s">
        <v>185</v>
      </c>
      <c r="B353" s="43" t="str">
        <f>IF(A353="", "", IFERROR(VLOOKUP(A353, Clasificaciones!A:B, 2, FALSE), "DATO NO CARGADO"))</f>
        <v>Comisiones Bancarias</v>
      </c>
      <c r="C353" s="51" t="s">
        <v>166</v>
      </c>
      <c r="D353" s="43">
        <v>2025.0</v>
      </c>
      <c r="E353" s="43" t="s">
        <v>374</v>
      </c>
      <c r="F353" s="170">
        <v>45879.0</v>
      </c>
      <c r="G353" s="170">
        <v>45875.0</v>
      </c>
      <c r="H353" s="169" t="s">
        <v>549</v>
      </c>
      <c r="J353" s="170">
        <v>45870.0</v>
      </c>
      <c r="L353" s="171">
        <v>45.0</v>
      </c>
      <c r="M353" s="106" t="str">
        <f>IF(ISBLANK(K353), "", VLOOKUP(C353&amp;" "&amp;D353, 'Info Tipo de Cambio y REM'!$A$24:$B$35, 2, FALSE))</f>
        <v/>
      </c>
      <c r="N353" s="107">
        <f t="shared" si="1"/>
        <v>45</v>
      </c>
      <c r="O353" s="102" t="str">
        <f t="shared" si="2"/>
        <v>A término</v>
      </c>
    </row>
    <row r="354" hidden="1">
      <c r="A354" s="43" t="s">
        <v>185</v>
      </c>
      <c r="B354" s="43" t="str">
        <f>IF(A354="", "", IFERROR(VLOOKUP(A354, Clasificaciones!A:B, 2, FALSE), "DATO NO CARGADO"))</f>
        <v>Comisiones Bancarias</v>
      </c>
      <c r="C354" s="51" t="s">
        <v>166</v>
      </c>
      <c r="D354" s="43">
        <v>2025.0</v>
      </c>
      <c r="E354" s="43" t="s">
        <v>374</v>
      </c>
      <c r="F354" s="170">
        <v>45879.0</v>
      </c>
      <c r="G354" s="170">
        <v>45876.0</v>
      </c>
      <c r="H354" s="169" t="s">
        <v>549</v>
      </c>
      <c r="J354" s="170">
        <v>45870.0</v>
      </c>
      <c r="L354" s="171">
        <v>45.0</v>
      </c>
      <c r="M354" s="106" t="str">
        <f>IF(ISBLANK(K354), "", VLOOKUP(C354&amp;" "&amp;D354, 'Info Tipo de Cambio y REM'!$A$24:$B$35, 2, FALSE))</f>
        <v/>
      </c>
      <c r="N354" s="107">
        <f t="shared" si="1"/>
        <v>45</v>
      </c>
      <c r="O354" s="102" t="str">
        <f t="shared" si="2"/>
        <v>A término</v>
      </c>
    </row>
    <row r="355" hidden="1">
      <c r="A355" s="43" t="s">
        <v>185</v>
      </c>
      <c r="B355" s="43" t="str">
        <f>IF(A355="", "", IFERROR(VLOOKUP(A355, Clasificaciones!A:B, 2, FALSE), "DATO NO CARGADO"))</f>
        <v>Comisiones Bancarias</v>
      </c>
      <c r="C355" s="51" t="s">
        <v>166</v>
      </c>
      <c r="D355" s="43">
        <v>2025.0</v>
      </c>
      <c r="E355" s="43" t="s">
        <v>374</v>
      </c>
      <c r="F355" s="170">
        <v>45879.0</v>
      </c>
      <c r="G355" s="170">
        <v>45877.0</v>
      </c>
      <c r="H355" s="169" t="s">
        <v>549</v>
      </c>
      <c r="J355" s="170">
        <v>45870.0</v>
      </c>
      <c r="L355" s="171">
        <v>45.0</v>
      </c>
      <c r="M355" s="106" t="str">
        <f>IF(ISBLANK(K355), "", VLOOKUP(C355&amp;" "&amp;D355, 'Info Tipo de Cambio y REM'!$A$24:$B$35, 2, FALSE))</f>
        <v/>
      </c>
      <c r="N355" s="107">
        <f t="shared" si="1"/>
        <v>45</v>
      </c>
      <c r="O355" s="102" t="str">
        <f t="shared" si="2"/>
        <v>A término</v>
      </c>
    </row>
    <row r="356" hidden="1">
      <c r="A356" s="43" t="s">
        <v>185</v>
      </c>
      <c r="B356" s="43" t="str">
        <f>IF(A356="", "", IFERROR(VLOOKUP(A356, Clasificaciones!A:B, 2, FALSE), "DATO NO CARGADO"))</f>
        <v>Comisiones Bancarias</v>
      </c>
      <c r="C356" s="51" t="s">
        <v>166</v>
      </c>
      <c r="D356" s="43">
        <v>2025.0</v>
      </c>
      <c r="E356" s="43" t="s">
        <v>374</v>
      </c>
      <c r="F356" s="170">
        <v>45879.0</v>
      </c>
      <c r="G356" s="170">
        <v>45878.0</v>
      </c>
      <c r="H356" s="169" t="s">
        <v>549</v>
      </c>
      <c r="J356" s="170">
        <v>45870.0</v>
      </c>
      <c r="L356" s="171">
        <v>45.0</v>
      </c>
      <c r="M356" s="106" t="str">
        <f>IF(ISBLANK(K356), "", VLOOKUP(C356&amp;" "&amp;D356, 'Info Tipo de Cambio y REM'!$A$24:$B$35, 2, FALSE))</f>
        <v/>
      </c>
      <c r="N356" s="107">
        <f t="shared" si="1"/>
        <v>45</v>
      </c>
      <c r="O356" s="102" t="str">
        <f t="shared" si="2"/>
        <v>A término</v>
      </c>
    </row>
    <row r="357" hidden="1">
      <c r="A357" s="43" t="s">
        <v>185</v>
      </c>
      <c r="B357" s="43" t="str">
        <f>IF(A357="", "", IFERROR(VLOOKUP(A357, Clasificaciones!A:B, 2, FALSE), "DATO NO CARGADO"))</f>
        <v>Comisiones Bancarias</v>
      </c>
      <c r="C357" s="51" t="s">
        <v>166</v>
      </c>
      <c r="D357" s="43">
        <v>2025.0</v>
      </c>
      <c r="E357" s="43" t="s">
        <v>374</v>
      </c>
      <c r="F357" s="170">
        <v>45879.0</v>
      </c>
      <c r="G357" s="170">
        <v>45879.0</v>
      </c>
      <c r="H357" s="169" t="s">
        <v>549</v>
      </c>
      <c r="J357" s="170">
        <v>45870.0</v>
      </c>
      <c r="L357" s="171">
        <v>45.0</v>
      </c>
      <c r="M357" s="106" t="str">
        <f>IF(ISBLANK(K357), "", VLOOKUP(C357&amp;" "&amp;D357, 'Info Tipo de Cambio y REM'!$A$24:$B$35, 2, FALSE))</f>
        <v/>
      </c>
      <c r="N357" s="107">
        <f t="shared" si="1"/>
        <v>45</v>
      </c>
      <c r="O357" s="102" t="str">
        <f t="shared" si="2"/>
        <v>A término</v>
      </c>
    </row>
    <row r="358" hidden="1">
      <c r="A358" s="43" t="s">
        <v>185</v>
      </c>
      <c r="B358" s="43" t="str">
        <f>IF(A358="", "", IFERROR(VLOOKUP(A358, Clasificaciones!A:B, 2, FALSE), "DATO NO CARGADO"))</f>
        <v>Comisiones Bancarias</v>
      </c>
      <c r="C358" s="51" t="s">
        <v>166</v>
      </c>
      <c r="D358" s="43">
        <v>2025.0</v>
      </c>
      <c r="E358" s="43" t="s">
        <v>374</v>
      </c>
      <c r="F358" s="170">
        <v>45879.0</v>
      </c>
      <c r="G358" s="170">
        <v>45880.0</v>
      </c>
      <c r="H358" s="169" t="s">
        <v>549</v>
      </c>
      <c r="J358" s="170">
        <v>45870.0</v>
      </c>
      <c r="L358" s="171">
        <v>45.0</v>
      </c>
      <c r="M358" s="106" t="str">
        <f>IF(ISBLANK(K358), "", VLOOKUP(C358&amp;" "&amp;D358, 'Info Tipo de Cambio y REM'!$A$24:$B$35, 2, FALSE))</f>
        <v/>
      </c>
      <c r="N358" s="107">
        <f t="shared" si="1"/>
        <v>45</v>
      </c>
      <c r="O358" s="102" t="str">
        <f t="shared" si="2"/>
        <v>A término</v>
      </c>
    </row>
    <row r="359" hidden="1">
      <c r="A359" s="43" t="s">
        <v>185</v>
      </c>
      <c r="B359" s="43" t="str">
        <f>IF(A359="", "", IFERROR(VLOOKUP(A359, Clasificaciones!A:B, 2, FALSE), "DATO NO CARGADO"))</f>
        <v>Comisiones Bancarias</v>
      </c>
      <c r="C359" s="51" t="s">
        <v>166</v>
      </c>
      <c r="D359" s="43">
        <v>2025.0</v>
      </c>
      <c r="E359" s="43" t="s">
        <v>374</v>
      </c>
      <c r="F359" s="170">
        <v>45879.0</v>
      </c>
      <c r="G359" s="170">
        <v>45881.0</v>
      </c>
      <c r="H359" s="169" t="s">
        <v>549</v>
      </c>
      <c r="I359" s="243"/>
      <c r="J359" s="170">
        <v>45874.0</v>
      </c>
      <c r="L359" s="89">
        <v>45.0</v>
      </c>
      <c r="M359" s="106" t="str">
        <f>IF(ISBLANK(K359), "", VLOOKUP(C359&amp;" "&amp;D359, 'Info Tipo de Cambio y REM'!$A$24:$B$35, 2, FALSE))</f>
        <v/>
      </c>
      <c r="N359" s="107">
        <f t="shared" si="1"/>
        <v>45</v>
      </c>
      <c r="O359" s="102" t="str">
        <f t="shared" si="2"/>
        <v>A término</v>
      </c>
    </row>
    <row r="360" hidden="1">
      <c r="A360" s="43" t="s">
        <v>185</v>
      </c>
      <c r="B360" s="43" t="str">
        <f>IF(A360="", "", IFERROR(VLOOKUP(A360, Clasificaciones!A:B, 2, FALSE), "DATO NO CARGADO"))</f>
        <v>Comisiones Bancarias</v>
      </c>
      <c r="C360" s="51" t="s">
        <v>166</v>
      </c>
      <c r="D360" s="43">
        <v>2025.0</v>
      </c>
      <c r="E360" s="43" t="s">
        <v>374</v>
      </c>
      <c r="F360" s="170">
        <v>45879.0</v>
      </c>
      <c r="G360" s="170">
        <v>45882.0</v>
      </c>
      <c r="H360" s="169" t="s">
        <v>549</v>
      </c>
      <c r="I360" s="243"/>
      <c r="J360" s="170">
        <v>45875.0</v>
      </c>
      <c r="L360" s="89">
        <v>45.0</v>
      </c>
      <c r="M360" s="106" t="str">
        <f>IF(ISBLANK(K360), "", VLOOKUP(C360&amp;" "&amp;D360, 'Info Tipo de Cambio y REM'!$A$24:$B$35, 2, FALSE))</f>
        <v/>
      </c>
      <c r="N360" s="107">
        <f t="shared" si="1"/>
        <v>45</v>
      </c>
      <c r="O360" s="102" t="str">
        <f t="shared" si="2"/>
        <v>A término</v>
      </c>
    </row>
    <row r="361" hidden="1">
      <c r="A361" s="43" t="s">
        <v>185</v>
      </c>
      <c r="B361" s="43" t="str">
        <f>IF(A361="", "", IFERROR(VLOOKUP(A361, Clasificaciones!A:B, 2, FALSE), "DATO NO CARGADO"))</f>
        <v>Comisiones Bancarias</v>
      </c>
      <c r="C361" s="51" t="s">
        <v>166</v>
      </c>
      <c r="D361" s="43">
        <v>2025.0</v>
      </c>
      <c r="E361" s="43" t="s">
        <v>374</v>
      </c>
      <c r="F361" s="170">
        <v>45879.0</v>
      </c>
      <c r="G361" s="170">
        <v>45883.0</v>
      </c>
      <c r="H361" s="169" t="s">
        <v>549</v>
      </c>
      <c r="I361" s="243"/>
      <c r="J361" s="170">
        <v>45883.0</v>
      </c>
      <c r="L361" s="89">
        <v>45.0</v>
      </c>
      <c r="M361" s="106" t="str">
        <f>IF(ISBLANK(K361), "", VLOOKUP(C361&amp;" "&amp;D361, 'Info Tipo de Cambio y REM'!$A$24:$B$35, 2, FALSE))</f>
        <v/>
      </c>
      <c r="N361" s="107">
        <f t="shared" si="1"/>
        <v>45</v>
      </c>
      <c r="O361" s="102" t="str">
        <f t="shared" si="2"/>
        <v>A término</v>
      </c>
    </row>
    <row r="362" hidden="1">
      <c r="A362" s="43" t="s">
        <v>221</v>
      </c>
      <c r="B362" s="43" t="str">
        <f>IF(A362="", "", IFERROR(VLOOKUP(A362, Clasificaciones!A:B, 2, FALSE), "DATO NO CARGADO"))</f>
        <v>Equipo</v>
      </c>
      <c r="C362" s="51" t="s">
        <v>166</v>
      </c>
      <c r="D362" s="43">
        <v>2025.0</v>
      </c>
      <c r="E362" s="43" t="s">
        <v>374</v>
      </c>
      <c r="F362" s="170">
        <v>45874.0</v>
      </c>
      <c r="G362" s="104">
        <v>45874.0</v>
      </c>
      <c r="H362" s="169" t="s">
        <v>407</v>
      </c>
      <c r="I362" s="169" t="s">
        <v>699</v>
      </c>
      <c r="J362" s="104">
        <v>45874.0</v>
      </c>
      <c r="L362" s="89">
        <v>1489.0</v>
      </c>
      <c r="M362" s="106" t="str">
        <f>IF(ISBLANK(K362), "", VLOOKUP(C362&amp;" "&amp;D362, 'Info Tipo de Cambio y REM'!$A$24:$B$35, 2, FALSE))</f>
        <v/>
      </c>
      <c r="N362" s="107">
        <f t="shared" si="1"/>
        <v>1489</v>
      </c>
      <c r="O362" s="102" t="str">
        <f t="shared" si="2"/>
        <v>A término</v>
      </c>
    </row>
    <row r="363" hidden="1">
      <c r="A363" s="43" t="s">
        <v>191</v>
      </c>
      <c r="B363" s="43" t="str">
        <f>IF(A363="", "", IFERROR(VLOOKUP(A363, Clasificaciones!A:B, 2, FALSE), "DATO NO CARGADO"))</f>
        <v>Tarjeta</v>
      </c>
      <c r="C363" s="51" t="s">
        <v>166</v>
      </c>
      <c r="D363" s="43">
        <v>2025.0</v>
      </c>
      <c r="E363" s="43" t="s">
        <v>374</v>
      </c>
      <c r="F363" s="170">
        <v>45870.0</v>
      </c>
      <c r="G363" s="170">
        <v>45870.0</v>
      </c>
      <c r="H363" s="169" t="s">
        <v>700</v>
      </c>
      <c r="I363" s="243"/>
      <c r="J363" s="170">
        <v>45870.0</v>
      </c>
      <c r="L363" s="89">
        <v>14.0</v>
      </c>
      <c r="M363" s="106" t="str">
        <f>IF(ISBLANK(K363), "", VLOOKUP(C363&amp;" "&amp;D363, 'Info Tipo de Cambio y REM'!$A$24:$B$35, 2, FALSE))</f>
        <v/>
      </c>
      <c r="N363" s="107">
        <f t="shared" si="1"/>
        <v>14</v>
      </c>
      <c r="O363" s="102" t="str">
        <f t="shared" si="2"/>
        <v>A término</v>
      </c>
    </row>
    <row r="364" hidden="1">
      <c r="A364" s="43" t="s">
        <v>191</v>
      </c>
      <c r="B364" s="43" t="str">
        <f>IF(A364="", "", IFERROR(VLOOKUP(A364, Clasificaciones!A:B, 2, FALSE), "DATO NO CARGADO"))</f>
        <v>Tarjeta</v>
      </c>
      <c r="C364" s="51" t="s">
        <v>166</v>
      </c>
      <c r="D364" s="43">
        <v>2025.0</v>
      </c>
      <c r="E364" s="43" t="s">
        <v>374</v>
      </c>
      <c r="F364" s="170">
        <v>45873.0</v>
      </c>
      <c r="G364" s="170">
        <v>45873.0</v>
      </c>
      <c r="H364" s="169" t="s">
        <v>701</v>
      </c>
      <c r="I364" s="243"/>
      <c r="J364" s="170">
        <v>45873.0</v>
      </c>
      <c r="L364" s="89">
        <v>633.6</v>
      </c>
      <c r="M364" s="106" t="str">
        <f>IF(ISBLANK(K364), "", VLOOKUP(C364&amp;" "&amp;D364, 'Info Tipo de Cambio y REM'!$A$24:$B$35, 2, FALSE))</f>
        <v/>
      </c>
      <c r="N364" s="107">
        <f t="shared" si="1"/>
        <v>633.6</v>
      </c>
      <c r="O364" s="102" t="str">
        <f t="shared" si="2"/>
        <v>A término</v>
      </c>
    </row>
    <row r="365" hidden="1">
      <c r="A365" s="43" t="s">
        <v>191</v>
      </c>
      <c r="B365" s="43" t="str">
        <f>IF(A365="", "", IFERROR(VLOOKUP(A365, Clasificaciones!A:B, 2, FALSE), "DATO NO CARGADO"))</f>
        <v>Tarjeta</v>
      </c>
      <c r="C365" s="51" t="s">
        <v>166</v>
      </c>
      <c r="D365" s="43">
        <v>2025.0</v>
      </c>
      <c r="E365" s="43" t="s">
        <v>374</v>
      </c>
      <c r="F365" s="170">
        <v>45873.0</v>
      </c>
      <c r="G365" s="170">
        <v>45873.0</v>
      </c>
      <c r="H365" s="169" t="s">
        <v>702</v>
      </c>
      <c r="I365" s="243"/>
      <c r="J365" s="170">
        <v>45873.0</v>
      </c>
      <c r="L365" s="89">
        <v>6.08</v>
      </c>
      <c r="M365" s="106" t="str">
        <f>IF(ISBLANK(K365), "", VLOOKUP(C365&amp;" "&amp;D365, 'Info Tipo de Cambio y REM'!$A$24:$B$35, 2, FALSE))</f>
        <v/>
      </c>
      <c r="N365" s="107">
        <f t="shared" si="1"/>
        <v>6.08</v>
      </c>
      <c r="O365" s="102" t="str">
        <f t="shared" si="2"/>
        <v>A término</v>
      </c>
    </row>
    <row r="366" hidden="1">
      <c r="A366" s="43" t="s">
        <v>191</v>
      </c>
      <c r="B366" s="43" t="str">
        <f>IF(A366="", "", IFERROR(VLOOKUP(A366, Clasificaciones!A:B, 2, FALSE), "DATO NO CARGADO"))</f>
        <v>Tarjeta</v>
      </c>
      <c r="C366" s="51" t="s">
        <v>166</v>
      </c>
      <c r="D366" s="43">
        <v>2025.0</v>
      </c>
      <c r="E366" s="43" t="s">
        <v>374</v>
      </c>
      <c r="F366" s="170">
        <v>45873.0</v>
      </c>
      <c r="G366" s="170">
        <v>45873.0</v>
      </c>
      <c r="H366" s="169" t="s">
        <v>703</v>
      </c>
      <c r="I366" s="243"/>
      <c r="J366" s="170">
        <v>45873.0</v>
      </c>
      <c r="L366" s="89">
        <v>14.19</v>
      </c>
      <c r="M366" s="106" t="str">
        <f>IF(ISBLANK(K366), "", VLOOKUP(C366&amp;" "&amp;D366, 'Info Tipo de Cambio y REM'!$A$24:$B$35, 2, FALSE))</f>
        <v/>
      </c>
      <c r="N366" s="107">
        <f t="shared" si="1"/>
        <v>14.19</v>
      </c>
      <c r="O366" s="102" t="str">
        <f t="shared" si="2"/>
        <v>A término</v>
      </c>
    </row>
    <row r="367" hidden="1">
      <c r="A367" s="43" t="s">
        <v>191</v>
      </c>
      <c r="B367" s="43" t="str">
        <f>IF(A367="", "", IFERROR(VLOOKUP(A367, Clasificaciones!A:B, 2, FALSE), "DATO NO CARGADO"))</f>
        <v>Tarjeta</v>
      </c>
      <c r="C367" s="51" t="s">
        <v>166</v>
      </c>
      <c r="D367" s="43">
        <v>2025.0</v>
      </c>
      <c r="E367" s="43" t="s">
        <v>374</v>
      </c>
      <c r="F367" s="170">
        <v>45873.0</v>
      </c>
      <c r="G367" s="170">
        <v>45873.0</v>
      </c>
      <c r="H367" s="169" t="s">
        <v>704</v>
      </c>
      <c r="I367" s="243"/>
      <c r="J367" s="170">
        <v>45873.0</v>
      </c>
      <c r="L367" s="89">
        <v>22.99</v>
      </c>
      <c r="M367" s="106" t="str">
        <f>IF(ISBLANK(K367), "", VLOOKUP(C367&amp;" "&amp;D367, 'Info Tipo de Cambio y REM'!$A$24:$B$35, 2, FALSE))</f>
        <v/>
      </c>
      <c r="N367" s="107">
        <f t="shared" si="1"/>
        <v>22.99</v>
      </c>
      <c r="O367" s="102" t="str">
        <f t="shared" si="2"/>
        <v>A término</v>
      </c>
    </row>
    <row r="368" hidden="1">
      <c r="A368" s="43" t="s">
        <v>191</v>
      </c>
      <c r="B368" s="43" t="str">
        <f>IF(A368="", "", IFERROR(VLOOKUP(A368, Clasificaciones!A:B, 2, FALSE), "DATO NO CARGADO"))</f>
        <v>Tarjeta</v>
      </c>
      <c r="C368" s="51" t="s">
        <v>166</v>
      </c>
      <c r="D368" s="43">
        <v>2025.0</v>
      </c>
      <c r="E368" s="43" t="s">
        <v>374</v>
      </c>
      <c r="F368" s="170">
        <v>45876.0</v>
      </c>
      <c r="G368" s="170">
        <v>45876.0</v>
      </c>
      <c r="H368" s="169" t="s">
        <v>705</v>
      </c>
      <c r="I368" s="243"/>
      <c r="J368" s="170">
        <v>45876.0</v>
      </c>
      <c r="L368" s="89">
        <v>20.0</v>
      </c>
      <c r="M368" s="106" t="str">
        <f>IF(ISBLANK(K368), "", VLOOKUP(C368&amp;" "&amp;D368, 'Info Tipo de Cambio y REM'!$A$24:$B$35, 2, FALSE))</f>
        <v/>
      </c>
      <c r="N368" s="107">
        <f t="shared" si="1"/>
        <v>20</v>
      </c>
      <c r="O368" s="102" t="str">
        <f t="shared" si="2"/>
        <v>A término</v>
      </c>
    </row>
    <row r="369" hidden="1">
      <c r="A369" s="43" t="s">
        <v>191</v>
      </c>
      <c r="B369" s="43" t="str">
        <f>IF(A369="", "", IFERROR(VLOOKUP(A369, Clasificaciones!A:B, 2, FALSE), "DATO NO CARGADO"))</f>
        <v>Tarjeta</v>
      </c>
      <c r="C369" s="51" t="s">
        <v>166</v>
      </c>
      <c r="D369" s="43">
        <v>2025.0</v>
      </c>
      <c r="E369" s="43" t="s">
        <v>374</v>
      </c>
      <c r="F369" s="170">
        <v>45876.0</v>
      </c>
      <c r="G369" s="170">
        <v>45876.0</v>
      </c>
      <c r="H369" s="169" t="s">
        <v>706</v>
      </c>
      <c r="I369" s="243"/>
      <c r="J369" s="170">
        <v>45876.0</v>
      </c>
      <c r="L369" s="89">
        <v>6.49</v>
      </c>
      <c r="M369" s="106" t="str">
        <f>IF(ISBLANK(K369), "", VLOOKUP(C369&amp;" "&amp;D369, 'Info Tipo de Cambio y REM'!$A$24:$B$35, 2, FALSE))</f>
        <v/>
      </c>
      <c r="N369" s="107">
        <f t="shared" si="1"/>
        <v>6.49</v>
      </c>
      <c r="O369" s="102" t="str">
        <f t="shared" si="2"/>
        <v>A término</v>
      </c>
    </row>
    <row r="370" hidden="1">
      <c r="A370" s="43" t="s">
        <v>191</v>
      </c>
      <c r="B370" s="43" t="str">
        <f>IF(A370="", "", IFERROR(VLOOKUP(A370, Clasificaciones!A:B, 2, FALSE), "DATO NO CARGADO"))</f>
        <v>Tarjeta</v>
      </c>
      <c r="C370" s="51" t="s">
        <v>166</v>
      </c>
      <c r="D370" s="43">
        <v>2025.0</v>
      </c>
      <c r="E370" s="43" t="s">
        <v>374</v>
      </c>
      <c r="F370" s="170">
        <v>45877.0</v>
      </c>
      <c r="G370" s="170">
        <v>45877.0</v>
      </c>
      <c r="H370" s="169" t="s">
        <v>707</v>
      </c>
      <c r="I370" s="243"/>
      <c r="J370" s="170">
        <v>45877.0</v>
      </c>
      <c r="L370" s="89">
        <v>29.0</v>
      </c>
      <c r="M370" s="106" t="str">
        <f>IF(ISBLANK(K370), "", VLOOKUP(C370&amp;" "&amp;D370, 'Info Tipo de Cambio y REM'!$A$24:$B$35, 2, FALSE))</f>
        <v/>
      </c>
      <c r="N370" s="107">
        <f t="shared" si="1"/>
        <v>29</v>
      </c>
      <c r="O370" s="102" t="str">
        <f t="shared" si="2"/>
        <v>A término</v>
      </c>
    </row>
    <row r="371" hidden="1">
      <c r="A371" s="43" t="s">
        <v>191</v>
      </c>
      <c r="B371" s="43" t="str">
        <f>IF(A371="", "", IFERROR(VLOOKUP(A371, Clasificaciones!A:B, 2, FALSE), "DATO NO CARGADO"))</f>
        <v>Tarjeta</v>
      </c>
      <c r="C371" s="51" t="s">
        <v>166</v>
      </c>
      <c r="D371" s="43">
        <v>2025.0</v>
      </c>
      <c r="E371" s="43" t="s">
        <v>374</v>
      </c>
      <c r="F371" s="170">
        <v>45880.0</v>
      </c>
      <c r="G371" s="170">
        <v>45880.0</v>
      </c>
      <c r="H371" s="169" t="s">
        <v>708</v>
      </c>
      <c r="I371" s="243"/>
      <c r="J371" s="170">
        <v>45880.0</v>
      </c>
      <c r="L371" s="89">
        <v>491.63</v>
      </c>
      <c r="M371" s="106" t="str">
        <f>IF(ISBLANK(K371), "", VLOOKUP(C371&amp;" "&amp;D371, 'Info Tipo de Cambio y REM'!$A$24:$B$35, 2, FALSE))</f>
        <v/>
      </c>
      <c r="N371" s="107">
        <f t="shared" si="1"/>
        <v>491.63</v>
      </c>
      <c r="O371" s="102" t="str">
        <f t="shared" si="2"/>
        <v>A término</v>
      </c>
    </row>
    <row r="372" hidden="1">
      <c r="A372" s="43" t="s">
        <v>191</v>
      </c>
      <c r="B372" s="43" t="str">
        <f>IF(A372="", "", IFERROR(VLOOKUP(A372, Clasificaciones!A:B, 2, FALSE), "DATO NO CARGADO"))</f>
        <v>Tarjeta</v>
      </c>
      <c r="C372" s="51" t="s">
        <v>166</v>
      </c>
      <c r="D372" s="43">
        <v>2025.0</v>
      </c>
      <c r="E372" s="43" t="s">
        <v>374</v>
      </c>
      <c r="F372" s="170">
        <v>45881.0</v>
      </c>
      <c r="G372" s="170">
        <v>45881.0</v>
      </c>
      <c r="H372" s="169" t="s">
        <v>709</v>
      </c>
      <c r="I372" s="243"/>
      <c r="J372" s="170">
        <v>45881.0</v>
      </c>
      <c r="L372" s="89">
        <v>20.0</v>
      </c>
      <c r="M372" s="106" t="str">
        <f>IF(ISBLANK(K372), "", VLOOKUP(C372&amp;" "&amp;D372, 'Info Tipo de Cambio y REM'!$A$24:$B$35, 2, FALSE))</f>
        <v/>
      </c>
      <c r="N372" s="107">
        <f t="shared" si="1"/>
        <v>20</v>
      </c>
      <c r="O372" s="102" t="str">
        <f t="shared" si="2"/>
        <v>A término</v>
      </c>
    </row>
    <row r="373" hidden="1">
      <c r="A373" s="43" t="s">
        <v>173</v>
      </c>
      <c r="B373" s="43" t="str">
        <f>IF(A373="", "", IFERROR(VLOOKUP(A373, Clasificaciones!A:B, 2, FALSE), "DATO NO CARGADO"))</f>
        <v>Suscripciones/Herramientas</v>
      </c>
      <c r="C373" s="51" t="s">
        <v>166</v>
      </c>
      <c r="D373" s="43">
        <v>2025.0</v>
      </c>
      <c r="E373" s="43" t="s">
        <v>374</v>
      </c>
      <c r="F373" s="170">
        <v>45883.0</v>
      </c>
      <c r="G373" s="170">
        <v>45883.0</v>
      </c>
      <c r="H373" s="169" t="s">
        <v>419</v>
      </c>
      <c r="I373" s="243"/>
      <c r="J373" s="170">
        <v>45883.0</v>
      </c>
      <c r="L373" s="89">
        <v>10634.0</v>
      </c>
      <c r="M373" s="106" t="str">
        <f>IF(ISBLANK(K373), "", VLOOKUP(C373&amp;" "&amp;D373, 'Info Tipo de Cambio y REM'!$A$24:$B$35, 2, FALSE))</f>
        <v/>
      </c>
      <c r="N373" s="107">
        <f t="shared" si="1"/>
        <v>10634</v>
      </c>
      <c r="O373" s="102" t="str">
        <f t="shared" si="2"/>
        <v>A término</v>
      </c>
    </row>
    <row r="374" hidden="1">
      <c r="A374" s="43" t="s">
        <v>223</v>
      </c>
      <c r="B374" s="43" t="str">
        <f>IF(A374="", "", IFERROR(VLOOKUP(A374, Clasificaciones!A:B, 2, FALSE), "DATO NO CARGADO"))</f>
        <v>Otros Proveedores</v>
      </c>
      <c r="C374" s="51" t="s">
        <v>166</v>
      </c>
      <c r="D374" s="43">
        <v>2025.0</v>
      </c>
      <c r="E374" s="43" t="s">
        <v>374</v>
      </c>
      <c r="F374" s="170">
        <v>45882.0</v>
      </c>
      <c r="G374" s="129">
        <v>45882.0</v>
      </c>
      <c r="H374" s="59" t="s">
        <v>710</v>
      </c>
      <c r="I374" s="59" t="s">
        <v>534</v>
      </c>
      <c r="J374" s="129">
        <v>45882.0</v>
      </c>
      <c r="K374" s="244">
        <v>143990.0</v>
      </c>
      <c r="L374" s="71"/>
      <c r="M374" s="106">
        <f>IF(ISBLANK(K374), "", VLOOKUP(C374&amp;" "&amp;D374, 'Info Tipo de Cambio y REM'!$A$24:$B$35, 2, FALSE))</f>
        <v>1345</v>
      </c>
      <c r="N374" s="107">
        <f t="shared" si="1"/>
        <v>107.0557621</v>
      </c>
      <c r="O374" s="102" t="str">
        <f t="shared" si="2"/>
        <v>A término</v>
      </c>
    </row>
    <row r="375" hidden="1">
      <c r="A375" s="43" t="s">
        <v>225</v>
      </c>
      <c r="B375" s="43" t="str">
        <f>IF(A375="", "", IFERROR(VLOOKUP(A375, Clasificaciones!A:B, 2, FALSE), "DATO NO CARGADO"))</f>
        <v>Gastos Varios</v>
      </c>
      <c r="C375" s="51" t="s">
        <v>166</v>
      </c>
      <c r="D375" s="43">
        <v>2025.0</v>
      </c>
      <c r="E375" s="43" t="s">
        <v>374</v>
      </c>
      <c r="F375" s="170">
        <v>45882.0</v>
      </c>
      <c r="G375" s="129">
        <v>45882.0</v>
      </c>
      <c r="H375" s="59" t="s">
        <v>711</v>
      </c>
      <c r="I375" s="59" t="s">
        <v>712</v>
      </c>
      <c r="J375" s="129">
        <v>45882.0</v>
      </c>
      <c r="K375" s="244">
        <v>72000.0</v>
      </c>
      <c r="L375" s="71"/>
      <c r="M375" s="106">
        <f>IF(ISBLANK(K375), "", VLOOKUP(C375&amp;" "&amp;D375, 'Info Tipo de Cambio y REM'!$A$24:$B$35, 2, FALSE))</f>
        <v>1345</v>
      </c>
      <c r="N375" s="107">
        <f t="shared" si="1"/>
        <v>53.53159851</v>
      </c>
      <c r="O375" s="102" t="str">
        <f t="shared" si="2"/>
        <v>A término</v>
      </c>
    </row>
    <row r="376" hidden="1">
      <c r="A376" s="43" t="s">
        <v>230</v>
      </c>
      <c r="B376" s="43" t="str">
        <f>IF(A376="", "", IFERROR(VLOOKUP(A376, Clasificaciones!A:B, 2, FALSE), "DATO NO CARGADO"))</f>
        <v>Equipo</v>
      </c>
      <c r="C376" s="51" t="s">
        <v>166</v>
      </c>
      <c r="D376" s="43">
        <v>2025.0</v>
      </c>
      <c r="E376" s="43" t="s">
        <v>374</v>
      </c>
      <c r="F376" s="170">
        <v>45881.0</v>
      </c>
      <c r="G376" s="129">
        <v>45881.0</v>
      </c>
      <c r="H376" s="59" t="s">
        <v>713</v>
      </c>
      <c r="I376" s="59" t="s">
        <v>577</v>
      </c>
      <c r="J376" s="129">
        <v>45881.0</v>
      </c>
      <c r="K376" s="245">
        <v>169473.0</v>
      </c>
      <c r="L376" s="71"/>
      <c r="M376" s="106">
        <f>IF(ISBLANK(K376), "", VLOOKUP(C376&amp;" "&amp;D376, 'Info Tipo de Cambio y REM'!$A$24:$B$35, 2, FALSE))</f>
        <v>1345</v>
      </c>
      <c r="N376" s="107">
        <f t="shared" si="1"/>
        <v>126.0022305</v>
      </c>
      <c r="O376" s="102" t="str">
        <f t="shared" si="2"/>
        <v>A término</v>
      </c>
    </row>
    <row r="377" hidden="1">
      <c r="A377" s="43" t="s">
        <v>207</v>
      </c>
      <c r="B377" s="43" t="str">
        <f>IF(A377="", "", IFERROR(VLOOKUP(A377, Clasificaciones!A:B, 2, FALSE), "DATO NO CARGADO"))</f>
        <v>Equipo</v>
      </c>
      <c r="C377" s="51" t="s">
        <v>166</v>
      </c>
      <c r="D377" s="43">
        <v>2025.0</v>
      </c>
      <c r="E377" s="43" t="s">
        <v>374</v>
      </c>
      <c r="F377" s="170">
        <v>45881.0</v>
      </c>
      <c r="G377" s="129">
        <v>45881.0</v>
      </c>
      <c r="H377" s="59" t="s">
        <v>714</v>
      </c>
      <c r="I377" s="59" t="s">
        <v>389</v>
      </c>
      <c r="J377" s="129">
        <v>45881.0</v>
      </c>
      <c r="K377" s="245">
        <v>26385.0</v>
      </c>
      <c r="L377" s="71"/>
      <c r="M377" s="106">
        <f>IF(ISBLANK(K377), "", VLOOKUP(C377&amp;" "&amp;D377, 'Info Tipo de Cambio y REM'!$A$24:$B$35, 2, FALSE))</f>
        <v>1345</v>
      </c>
      <c r="N377" s="107">
        <f t="shared" si="1"/>
        <v>19.61710037</v>
      </c>
      <c r="O377" s="102" t="str">
        <f t="shared" si="2"/>
        <v>A término</v>
      </c>
    </row>
    <row r="378" hidden="1">
      <c r="A378" s="43" t="s">
        <v>229</v>
      </c>
      <c r="B378" s="43" t="str">
        <f>IF(A378="", "", IFERROR(VLOOKUP(A378, Clasificaciones!A:B, 2, FALSE), "DATO NO CARGADO"))</f>
        <v>Equipo</v>
      </c>
      <c r="C378" s="51" t="s">
        <v>166</v>
      </c>
      <c r="D378" s="43">
        <v>2025.0</v>
      </c>
      <c r="E378" s="43" t="s">
        <v>374</v>
      </c>
      <c r="F378" s="170">
        <v>45881.0</v>
      </c>
      <c r="G378" s="129">
        <v>45881.0</v>
      </c>
      <c r="H378" s="59" t="s">
        <v>715</v>
      </c>
      <c r="I378" s="59" t="s">
        <v>504</v>
      </c>
      <c r="J378" s="129">
        <v>45881.0</v>
      </c>
      <c r="K378" s="245">
        <v>436875.0</v>
      </c>
      <c r="L378" s="71"/>
      <c r="M378" s="106">
        <f>IF(ISBLANK(K378), "", VLOOKUP(C378&amp;" "&amp;D378, 'Info Tipo de Cambio y REM'!$A$24:$B$35, 2, FALSE))</f>
        <v>1345</v>
      </c>
      <c r="N378" s="107">
        <f t="shared" si="1"/>
        <v>324.8141264</v>
      </c>
      <c r="O378" s="102" t="str">
        <f t="shared" si="2"/>
        <v>A término</v>
      </c>
    </row>
    <row r="379" hidden="1">
      <c r="A379" s="43" t="s">
        <v>205</v>
      </c>
      <c r="B379" s="43" t="str">
        <f>IF(A379="", "", IFERROR(VLOOKUP(A379, Clasificaciones!A:B, 2, FALSE), "DATO NO CARGADO"))</f>
        <v>Equipo</v>
      </c>
      <c r="C379" s="51" t="s">
        <v>166</v>
      </c>
      <c r="D379" s="43">
        <v>2025.0</v>
      </c>
      <c r="E379" s="43" t="s">
        <v>374</v>
      </c>
      <c r="F379" s="170">
        <v>45881.0</v>
      </c>
      <c r="G379" s="129">
        <v>45881.0</v>
      </c>
      <c r="H379" s="59" t="s">
        <v>716</v>
      </c>
      <c r="I379" s="59" t="s">
        <v>379</v>
      </c>
      <c r="J379" s="129">
        <v>45881.0</v>
      </c>
      <c r="K379" s="245">
        <v>89131.0</v>
      </c>
      <c r="L379" s="71"/>
      <c r="M379" s="106">
        <f>IF(ISBLANK(K379), "", VLOOKUP(C379&amp;" "&amp;D379, 'Info Tipo de Cambio y REM'!$A$24:$B$35, 2, FALSE))</f>
        <v>1345</v>
      </c>
      <c r="N379" s="107">
        <f t="shared" si="1"/>
        <v>66.26840149</v>
      </c>
      <c r="O379" s="102" t="str">
        <f t="shared" si="2"/>
        <v>A término</v>
      </c>
    </row>
    <row r="380" hidden="1">
      <c r="A380" s="43" t="s">
        <v>216</v>
      </c>
      <c r="B380" s="43" t="str">
        <f>IF(A380="", "", IFERROR(VLOOKUP(A380, Clasificaciones!A:B, 2, FALSE), "DATO NO CARGADO"))</f>
        <v>Equipo</v>
      </c>
      <c r="C380" s="51" t="s">
        <v>166</v>
      </c>
      <c r="D380" s="43">
        <v>2025.0</v>
      </c>
      <c r="E380" s="43" t="s">
        <v>374</v>
      </c>
      <c r="F380" s="170">
        <v>45881.0</v>
      </c>
      <c r="G380" s="129">
        <v>45881.0</v>
      </c>
      <c r="H380" s="59" t="s">
        <v>717</v>
      </c>
      <c r="I380" s="59" t="s">
        <v>401</v>
      </c>
      <c r="J380" s="129">
        <v>45881.0</v>
      </c>
      <c r="K380" s="245">
        <v>1049356.0</v>
      </c>
      <c r="L380" s="71"/>
      <c r="M380" s="106">
        <f>IF(ISBLANK(K380), "", VLOOKUP(C380&amp;" "&amp;D380, 'Info Tipo de Cambio y REM'!$A$24:$B$35, 2, FALSE))</f>
        <v>1345</v>
      </c>
      <c r="N380" s="107">
        <f t="shared" si="1"/>
        <v>780.1903346</v>
      </c>
      <c r="O380" s="102" t="str">
        <f t="shared" si="2"/>
        <v>A término</v>
      </c>
    </row>
    <row r="381" hidden="1">
      <c r="A381" s="43" t="s">
        <v>210</v>
      </c>
      <c r="B381" s="43" t="str">
        <f>IF(A381="", "", IFERROR(VLOOKUP(A381, Clasificaciones!A:B, 2, FALSE), "DATO NO CARGADO"))</f>
        <v>Equipo</v>
      </c>
      <c r="C381" s="51" t="s">
        <v>166</v>
      </c>
      <c r="D381" s="43">
        <v>2025.0</v>
      </c>
      <c r="E381" s="43" t="s">
        <v>374</v>
      </c>
      <c r="F381" s="170">
        <v>45881.0</v>
      </c>
      <c r="G381" s="129">
        <v>45881.0</v>
      </c>
      <c r="H381" s="59" t="s">
        <v>718</v>
      </c>
      <c r="I381" s="59" t="s">
        <v>397</v>
      </c>
      <c r="J381" s="129">
        <v>45881.0</v>
      </c>
      <c r="K381" s="245">
        <v>326820.0</v>
      </c>
      <c r="L381" s="71"/>
      <c r="M381" s="106">
        <f>IF(ISBLANK(K381), "", VLOOKUP(C381&amp;" "&amp;D381, 'Info Tipo de Cambio y REM'!$A$24:$B$35, 2, FALSE))</f>
        <v>1345</v>
      </c>
      <c r="N381" s="107">
        <f t="shared" si="1"/>
        <v>242.9888476</v>
      </c>
      <c r="O381" s="102" t="str">
        <f t="shared" si="2"/>
        <v>A término</v>
      </c>
    </row>
    <row r="382" hidden="1">
      <c r="A382" s="43" t="s">
        <v>197</v>
      </c>
      <c r="B382" s="43" t="str">
        <f>IF(A382="", "", IFERROR(VLOOKUP(A382, Clasificaciones!A:B, 2, FALSE), "DATO NO CARGADO"))</f>
        <v>Equipo</v>
      </c>
      <c r="C382" s="51" t="s">
        <v>166</v>
      </c>
      <c r="D382" s="43">
        <v>2025.0</v>
      </c>
      <c r="E382" s="43" t="s">
        <v>374</v>
      </c>
      <c r="F382" s="170">
        <v>45881.0</v>
      </c>
      <c r="G382" s="129">
        <v>45881.0</v>
      </c>
      <c r="H382" s="59" t="s">
        <v>719</v>
      </c>
      <c r="I382" s="59" t="s">
        <v>411</v>
      </c>
      <c r="J382" s="129">
        <v>45881.0</v>
      </c>
      <c r="K382" s="245">
        <v>111181.0</v>
      </c>
      <c r="L382" s="71"/>
      <c r="M382" s="106">
        <f>IF(ISBLANK(K382), "", VLOOKUP(C382&amp;" "&amp;D382, 'Info Tipo de Cambio y REM'!$A$24:$B$35, 2, FALSE))</f>
        <v>1345</v>
      </c>
      <c r="N382" s="107">
        <f t="shared" si="1"/>
        <v>82.66245353</v>
      </c>
      <c r="O382" s="102" t="str">
        <f t="shared" si="2"/>
        <v>A término</v>
      </c>
    </row>
    <row r="383" hidden="1">
      <c r="A383" s="43" t="s">
        <v>226</v>
      </c>
      <c r="B383" s="43" t="str">
        <f>IF(A383="", "", IFERROR(VLOOKUP(A383, Clasificaciones!A:B, 2, FALSE), "DATO NO CARGADO"))</f>
        <v>Administración Finanzas</v>
      </c>
      <c r="C383" s="51" t="s">
        <v>166</v>
      </c>
      <c r="D383" s="43">
        <v>2025.0</v>
      </c>
      <c r="E383" s="43" t="s">
        <v>374</v>
      </c>
      <c r="F383" s="170">
        <v>45881.0</v>
      </c>
      <c r="G383" s="129">
        <v>45881.0</v>
      </c>
      <c r="H383" s="59" t="s">
        <v>720</v>
      </c>
      <c r="I383" s="59" t="s">
        <v>383</v>
      </c>
      <c r="J383" s="129">
        <v>45881.0</v>
      </c>
      <c r="K383" s="244">
        <v>537700.0</v>
      </c>
      <c r="L383" s="71"/>
      <c r="M383" s="106">
        <f>IF(ISBLANK(K383), "", VLOOKUP(C383&amp;" "&amp;D383, 'Info Tipo de Cambio y REM'!$A$24:$B$35, 2, FALSE))</f>
        <v>1345</v>
      </c>
      <c r="N383" s="107">
        <f t="shared" si="1"/>
        <v>399.7769517</v>
      </c>
      <c r="O383" s="102" t="str">
        <f t="shared" si="2"/>
        <v>A término</v>
      </c>
    </row>
    <row r="384" hidden="1">
      <c r="A384" s="43" t="s">
        <v>87</v>
      </c>
      <c r="B384" s="43" t="str">
        <f>IF(A384="", "", IFERROR(VLOOKUP(A384, Clasificaciones!A:B, 2, FALSE), "DATO NO CARGADO"))</f>
        <v>Equipo</v>
      </c>
      <c r="C384" s="51" t="s">
        <v>166</v>
      </c>
      <c r="D384" s="43">
        <v>2025.0</v>
      </c>
      <c r="E384" s="43" t="s">
        <v>374</v>
      </c>
      <c r="F384" s="170">
        <v>45881.0</v>
      </c>
      <c r="G384" s="129">
        <v>45881.0</v>
      </c>
      <c r="H384" s="59" t="s">
        <v>721</v>
      </c>
      <c r="I384" s="59" t="s">
        <v>391</v>
      </c>
      <c r="J384" s="129">
        <v>45881.0</v>
      </c>
      <c r="K384" s="245">
        <v>1150600.0</v>
      </c>
      <c r="L384" s="71"/>
      <c r="M384" s="106">
        <f>IF(ISBLANK(K384), "", VLOOKUP(C384&amp;" "&amp;D384, 'Info Tipo de Cambio y REM'!$A$24:$B$35, 2, FALSE))</f>
        <v>1345</v>
      </c>
      <c r="N384" s="107">
        <f t="shared" si="1"/>
        <v>855.464684</v>
      </c>
      <c r="O384" s="102" t="str">
        <f t="shared" si="2"/>
        <v>A término</v>
      </c>
    </row>
    <row r="385" hidden="1">
      <c r="A385" s="43" t="s">
        <v>221</v>
      </c>
      <c r="B385" s="43" t="str">
        <f>IF(A385="", "", IFERROR(VLOOKUP(A385, Clasificaciones!A:B, 2, FALSE), "DATO NO CARGADO"))</f>
        <v>Equipo</v>
      </c>
      <c r="C385" s="51" t="s">
        <v>166</v>
      </c>
      <c r="D385" s="43">
        <v>2025.0</v>
      </c>
      <c r="E385" s="43" t="s">
        <v>374</v>
      </c>
      <c r="F385" s="170">
        <v>45881.0</v>
      </c>
      <c r="G385" s="129">
        <v>45881.0</v>
      </c>
      <c r="H385" s="59" t="s">
        <v>722</v>
      </c>
      <c r="I385" s="59" t="s">
        <v>407</v>
      </c>
      <c r="J385" s="129">
        <v>45881.0</v>
      </c>
      <c r="K385" s="245">
        <v>237372.0</v>
      </c>
      <c r="L385" s="71"/>
      <c r="M385" s="106">
        <f>IF(ISBLANK(K385), "", VLOOKUP(C385&amp;" "&amp;D385, 'Info Tipo de Cambio y REM'!$A$24:$B$35, 2, FALSE))</f>
        <v>1345</v>
      </c>
      <c r="N385" s="107">
        <f t="shared" si="1"/>
        <v>176.4847584</v>
      </c>
      <c r="O385" s="102" t="str">
        <f t="shared" si="2"/>
        <v>A término</v>
      </c>
    </row>
    <row r="386" hidden="1">
      <c r="A386" s="43" t="s">
        <v>200</v>
      </c>
      <c r="B386" s="43" t="str">
        <f>IF(A386="", "", IFERROR(VLOOKUP(A386, Clasificaciones!A:B, 2, FALSE), "DATO NO CARGADO"))</f>
        <v>Equipo</v>
      </c>
      <c r="C386" s="51" t="s">
        <v>166</v>
      </c>
      <c r="D386" s="43">
        <v>2025.0</v>
      </c>
      <c r="E386" s="43" t="s">
        <v>374</v>
      </c>
      <c r="F386" s="170">
        <v>45881.0</v>
      </c>
      <c r="G386" s="129">
        <v>45881.0</v>
      </c>
      <c r="H386" s="59" t="s">
        <v>723</v>
      </c>
      <c r="I386" s="59" t="s">
        <v>381</v>
      </c>
      <c r="J386" s="129">
        <v>45881.0</v>
      </c>
      <c r="K386" s="245">
        <v>260763.0</v>
      </c>
      <c r="L386" s="71"/>
      <c r="M386" s="106">
        <f>IF(ISBLANK(K386), "", VLOOKUP(C386&amp;" "&amp;D386, 'Info Tipo de Cambio y REM'!$A$24:$B$35, 2, FALSE))</f>
        <v>1345</v>
      </c>
      <c r="N386" s="107">
        <f t="shared" si="1"/>
        <v>193.8758364</v>
      </c>
      <c r="O386" s="102" t="str">
        <f t="shared" si="2"/>
        <v>A término</v>
      </c>
    </row>
    <row r="387" hidden="1">
      <c r="A387" s="43" t="s">
        <v>218</v>
      </c>
      <c r="B387" s="43" t="str">
        <f>IF(A387="", "", IFERROR(VLOOKUP(A387, Clasificaciones!A:B, 2, FALSE), "DATO NO CARGADO"))</f>
        <v>Equipo</v>
      </c>
      <c r="C387" s="51" t="s">
        <v>166</v>
      </c>
      <c r="D387" s="43">
        <v>2025.0</v>
      </c>
      <c r="E387" s="43" t="s">
        <v>374</v>
      </c>
      <c r="F387" s="170">
        <v>45881.0</v>
      </c>
      <c r="G387" s="129">
        <v>45881.0</v>
      </c>
      <c r="H387" s="59" t="s">
        <v>724</v>
      </c>
      <c r="I387" s="59" t="s">
        <v>414</v>
      </c>
      <c r="J387" s="129">
        <v>45881.0</v>
      </c>
      <c r="K387" s="245">
        <v>912000.0</v>
      </c>
      <c r="L387" s="71"/>
      <c r="M387" s="106">
        <f>IF(ISBLANK(K387), "", VLOOKUP(C387&amp;" "&amp;D387, 'Info Tipo de Cambio y REM'!$A$24:$B$35, 2, FALSE))</f>
        <v>1345</v>
      </c>
      <c r="N387" s="107">
        <f t="shared" si="1"/>
        <v>678.0669145</v>
      </c>
      <c r="O387" s="102" t="str">
        <f t="shared" si="2"/>
        <v>A término</v>
      </c>
    </row>
    <row r="388" hidden="1">
      <c r="A388" s="43" t="s">
        <v>203</v>
      </c>
      <c r="B388" s="43" t="str">
        <f>IF(A388="", "", IFERROR(VLOOKUP(A388, Clasificaciones!A:B, 2, FALSE), "DATO NO CARGADO"))</f>
        <v>Equipo</v>
      </c>
      <c r="C388" s="51" t="s">
        <v>166</v>
      </c>
      <c r="D388" s="43">
        <v>2025.0</v>
      </c>
      <c r="E388" s="43" t="s">
        <v>374</v>
      </c>
      <c r="F388" s="170">
        <v>45881.0</v>
      </c>
      <c r="G388" s="129">
        <v>45881.0</v>
      </c>
      <c r="H388" s="59" t="s">
        <v>725</v>
      </c>
      <c r="I388" s="59" t="s">
        <v>409</v>
      </c>
      <c r="J388" s="129">
        <v>45881.0</v>
      </c>
      <c r="K388" s="245">
        <v>318008.0</v>
      </c>
      <c r="L388" s="71"/>
      <c r="M388" s="106">
        <f>IF(ISBLANK(K388), "", VLOOKUP(C388&amp;" "&amp;D388, 'Info Tipo de Cambio y REM'!$A$24:$B$35, 2, FALSE))</f>
        <v>1345</v>
      </c>
      <c r="N388" s="107">
        <f t="shared" si="1"/>
        <v>236.4371747</v>
      </c>
      <c r="O388" s="102" t="str">
        <f t="shared" si="2"/>
        <v>A término</v>
      </c>
    </row>
    <row r="389" hidden="1">
      <c r="A389" s="43" t="s">
        <v>194</v>
      </c>
      <c r="B389" s="43" t="str">
        <f>IF(A389="", "", IFERROR(VLOOKUP(A389, Clasificaciones!A:B, 2, FALSE), "DATO NO CARGADO"))</f>
        <v>Equipo</v>
      </c>
      <c r="C389" s="51" t="s">
        <v>166</v>
      </c>
      <c r="D389" s="43">
        <v>2025.0</v>
      </c>
      <c r="E389" s="43" t="s">
        <v>374</v>
      </c>
      <c r="F389" s="170">
        <v>45881.0</v>
      </c>
      <c r="G389" s="129">
        <v>45881.0</v>
      </c>
      <c r="H389" s="59" t="s">
        <v>726</v>
      </c>
      <c r="I389" s="59" t="s">
        <v>403</v>
      </c>
      <c r="J389" s="129">
        <v>45881.0</v>
      </c>
      <c r="K389" s="245">
        <v>503308.0</v>
      </c>
      <c r="L389" s="71"/>
      <c r="M389" s="106">
        <f>IF(ISBLANK(K389), "", VLOOKUP(C389&amp;" "&amp;D389, 'Info Tipo de Cambio y REM'!$A$24:$B$35, 2, FALSE))</f>
        <v>1345</v>
      </c>
      <c r="N389" s="107">
        <f t="shared" si="1"/>
        <v>374.2066914</v>
      </c>
      <c r="O389" s="102" t="str">
        <f t="shared" si="2"/>
        <v>A término</v>
      </c>
    </row>
    <row r="390" hidden="1">
      <c r="A390" s="43" t="s">
        <v>228</v>
      </c>
      <c r="B390" s="43" t="str">
        <f>IF(A390="", "", IFERROR(VLOOKUP(A390, Clasificaciones!A:B, 2, FALSE), "DATO NO CARGADO"))</f>
        <v>Equipo</v>
      </c>
      <c r="C390" s="51" t="s">
        <v>166</v>
      </c>
      <c r="D390" s="43">
        <v>2025.0</v>
      </c>
      <c r="E390" s="43" t="s">
        <v>374</v>
      </c>
      <c r="F390" s="170">
        <v>45881.0</v>
      </c>
      <c r="G390" s="129">
        <v>45881.0</v>
      </c>
      <c r="H390" s="59" t="s">
        <v>727</v>
      </c>
      <c r="I390" s="59" t="s">
        <v>436</v>
      </c>
      <c r="J390" s="129">
        <v>45881.0</v>
      </c>
      <c r="K390" s="245">
        <v>296488.0</v>
      </c>
      <c r="L390" s="71"/>
      <c r="M390" s="106">
        <f>IF(ISBLANK(K390), "", VLOOKUP(C390&amp;" "&amp;D390, 'Info Tipo de Cambio y REM'!$A$24:$B$35, 2, FALSE))</f>
        <v>1345</v>
      </c>
      <c r="N390" s="107">
        <f t="shared" si="1"/>
        <v>220.4371747</v>
      </c>
      <c r="O390" s="102" t="str">
        <f t="shared" si="2"/>
        <v>A término</v>
      </c>
    </row>
    <row r="391" hidden="1">
      <c r="A391" s="43" t="s">
        <v>219</v>
      </c>
      <c r="B391" s="43" t="str">
        <f>IF(A391="", "", IFERROR(VLOOKUP(A391, Clasificaciones!A:B, 2, FALSE), "DATO NO CARGADO"))</f>
        <v>Gastos Varios</v>
      </c>
      <c r="C391" s="51" t="s">
        <v>166</v>
      </c>
      <c r="D391" s="43">
        <v>2025.0</v>
      </c>
      <c r="E391" s="43" t="s">
        <v>374</v>
      </c>
      <c r="F391" s="170">
        <v>45881.0</v>
      </c>
      <c r="G391" s="129">
        <v>45876.0</v>
      </c>
      <c r="H391" s="59" t="s">
        <v>728</v>
      </c>
      <c r="I391" s="59" t="s">
        <v>399</v>
      </c>
      <c r="J391" s="129">
        <v>45876.0</v>
      </c>
      <c r="K391" s="244">
        <v>712040.0</v>
      </c>
      <c r="L391" s="71"/>
      <c r="M391" s="106">
        <f>IF(ISBLANK(K391), "", VLOOKUP(C391&amp;" "&amp;D391, 'Info Tipo de Cambio y REM'!$A$24:$B$35, 2, FALSE))</f>
        <v>1345</v>
      </c>
      <c r="N391" s="107">
        <f t="shared" si="1"/>
        <v>529.3977695</v>
      </c>
      <c r="O391" s="102" t="str">
        <f t="shared" si="2"/>
        <v>A término</v>
      </c>
    </row>
    <row r="392" hidden="1">
      <c r="A392" s="43" t="s">
        <v>139</v>
      </c>
      <c r="B392" s="43" t="str">
        <f>IF(A392="", "", IFERROR(VLOOKUP(A392, Clasificaciones!A:B, 2, FALSE), "DATO NO CARGADO"))</f>
        <v>People</v>
      </c>
      <c r="C392" s="51" t="s">
        <v>166</v>
      </c>
      <c r="D392" s="43">
        <v>2025.0</v>
      </c>
      <c r="E392" s="43" t="s">
        <v>374</v>
      </c>
      <c r="F392" s="170">
        <v>45881.0</v>
      </c>
      <c r="G392" s="129">
        <v>45881.0</v>
      </c>
      <c r="H392" s="59" t="s">
        <v>729</v>
      </c>
      <c r="I392" s="59" t="s">
        <v>413</v>
      </c>
      <c r="J392" s="129">
        <v>45881.0</v>
      </c>
      <c r="K392" s="244">
        <v>38048.66</v>
      </c>
      <c r="L392" s="71"/>
      <c r="M392" s="106">
        <f>IF(ISBLANK(K392), "", VLOOKUP(C392&amp;" "&amp;D392, 'Info Tipo de Cambio y REM'!$A$24:$B$35, 2, FALSE))</f>
        <v>1345</v>
      </c>
      <c r="N392" s="107">
        <f t="shared" si="1"/>
        <v>28.28896654</v>
      </c>
      <c r="O392" s="102" t="str">
        <f t="shared" si="2"/>
        <v>A término</v>
      </c>
    </row>
    <row r="393" hidden="1">
      <c r="A393" s="43" t="s">
        <v>191</v>
      </c>
      <c r="B393" s="43" t="str">
        <f>IF(A393="", "", IFERROR(VLOOKUP(A393, Clasificaciones!A:B, 2, FALSE), "DATO NO CARGADO"))</f>
        <v>Tarjeta</v>
      </c>
      <c r="C393" s="51" t="s">
        <v>166</v>
      </c>
      <c r="D393" s="43">
        <v>2025.0</v>
      </c>
      <c r="E393" s="43" t="s">
        <v>374</v>
      </c>
      <c r="F393" s="170">
        <v>45887.0</v>
      </c>
      <c r="G393" s="104">
        <v>45887.0</v>
      </c>
      <c r="H393" s="83" t="s">
        <v>730</v>
      </c>
      <c r="I393" s="43" t="s">
        <v>731</v>
      </c>
      <c r="J393" s="104">
        <v>45887.0</v>
      </c>
      <c r="L393" s="89">
        <v>5.0</v>
      </c>
      <c r="M393" s="106" t="str">
        <f>IF(ISBLANK(K393), "", VLOOKUP(C393&amp;" "&amp;D393, 'Info Tipo de Cambio y REM'!$A$24:$B$35, 2, FALSE))</f>
        <v/>
      </c>
      <c r="N393" s="107">
        <f t="shared" si="1"/>
        <v>5</v>
      </c>
      <c r="O393" s="102" t="str">
        <f t="shared" si="2"/>
        <v>A término</v>
      </c>
    </row>
    <row r="394" hidden="1">
      <c r="A394" s="43" t="s">
        <v>191</v>
      </c>
      <c r="B394" s="43" t="str">
        <f>IF(A394="", "", IFERROR(VLOOKUP(A394, Clasificaciones!A:B, 2, FALSE), "DATO NO CARGADO"))</f>
        <v>Tarjeta</v>
      </c>
      <c r="C394" s="51" t="s">
        <v>166</v>
      </c>
      <c r="D394" s="43">
        <v>2025.0</v>
      </c>
      <c r="E394" s="43" t="s">
        <v>374</v>
      </c>
      <c r="F394" s="170">
        <v>45888.0</v>
      </c>
      <c r="G394" s="104">
        <v>45888.0</v>
      </c>
      <c r="H394" s="83" t="s">
        <v>732</v>
      </c>
      <c r="J394" s="104">
        <v>45888.0</v>
      </c>
      <c r="L394" s="123">
        <v>501.77</v>
      </c>
      <c r="M394" s="106" t="str">
        <f>IF(ISBLANK(K394), "", VLOOKUP(C394&amp;" "&amp;D394, 'Info Tipo de Cambio y REM'!$A$24:$B$35, 2, FALSE))</f>
        <v/>
      </c>
      <c r="N394" s="107">
        <f t="shared" si="1"/>
        <v>501.77</v>
      </c>
      <c r="O394" s="102" t="str">
        <f t="shared" si="2"/>
        <v>A término</v>
      </c>
    </row>
    <row r="395" hidden="1">
      <c r="A395" s="43" t="s">
        <v>191</v>
      </c>
      <c r="B395" s="43" t="str">
        <f>IF(A395="", "", IFERROR(VLOOKUP(A395, Clasificaciones!A:B, 2, FALSE), "DATO NO CARGADO"))</f>
        <v>Tarjeta</v>
      </c>
      <c r="C395" s="51" t="s">
        <v>166</v>
      </c>
      <c r="D395" s="43">
        <v>2025.0</v>
      </c>
      <c r="E395" s="43" t="s">
        <v>374</v>
      </c>
      <c r="F395" s="170">
        <v>45888.0</v>
      </c>
      <c r="G395" s="104">
        <v>45888.0</v>
      </c>
      <c r="H395" s="83" t="s">
        <v>733</v>
      </c>
      <c r="J395" s="104">
        <v>45888.0</v>
      </c>
      <c r="L395" s="123">
        <v>22.26</v>
      </c>
      <c r="M395" s="106" t="str">
        <f>IF(ISBLANK(K395), "", VLOOKUP(C395&amp;" "&amp;D395, 'Info Tipo de Cambio y REM'!$A$24:$B$35, 2, FALSE))</f>
        <v/>
      </c>
      <c r="N395" s="107">
        <f t="shared" si="1"/>
        <v>22.26</v>
      </c>
      <c r="O395" s="102" t="str">
        <f t="shared" si="2"/>
        <v>A término</v>
      </c>
    </row>
    <row r="396" hidden="1">
      <c r="A396" s="43" t="s">
        <v>191</v>
      </c>
      <c r="B396" s="43" t="str">
        <f>IF(A396="", "", IFERROR(VLOOKUP(A396, Clasificaciones!A:B, 2, FALSE), "DATO NO CARGADO"))</f>
        <v>Tarjeta</v>
      </c>
      <c r="C396" s="51" t="s">
        <v>166</v>
      </c>
      <c r="D396" s="43">
        <v>2025.0</v>
      </c>
      <c r="E396" s="43" t="s">
        <v>374</v>
      </c>
      <c r="F396" s="170">
        <v>45891.0</v>
      </c>
      <c r="G396" s="104">
        <v>45891.0</v>
      </c>
      <c r="H396" s="83" t="s">
        <v>734</v>
      </c>
      <c r="J396" s="104">
        <v>45891.0</v>
      </c>
      <c r="L396" s="123">
        <v>45.0</v>
      </c>
      <c r="M396" s="106" t="str">
        <f>IF(ISBLANK(K396), "", VLOOKUP(C396&amp;" "&amp;D396, 'Info Tipo de Cambio y REM'!$A$24:$B$35, 2, FALSE))</f>
        <v/>
      </c>
      <c r="N396" s="107">
        <f t="shared" si="1"/>
        <v>45</v>
      </c>
      <c r="O396" s="102" t="str">
        <f t="shared" si="2"/>
        <v>A término</v>
      </c>
    </row>
    <row r="397" hidden="1">
      <c r="A397" s="1" t="s">
        <v>214</v>
      </c>
      <c r="B397" s="1" t="str">
        <f>IF(A397="", "", IFERROR(VLOOKUP(A397, Clasificaciones!A:B, 2, FALSE), "DATO NO CARGADO"))</f>
        <v>Equipo</v>
      </c>
      <c r="C397" s="48" t="s">
        <v>166</v>
      </c>
      <c r="D397" s="1">
        <v>2025.0</v>
      </c>
      <c r="E397" s="1" t="s">
        <v>371</v>
      </c>
      <c r="F397" s="104">
        <v>45902.0</v>
      </c>
      <c r="G397" s="104">
        <v>45894.0</v>
      </c>
      <c r="H397" s="246" t="s">
        <v>735</v>
      </c>
      <c r="I397" s="43" t="s">
        <v>736</v>
      </c>
      <c r="J397" s="104">
        <v>45901.0</v>
      </c>
      <c r="L397" s="89">
        <v>408.0</v>
      </c>
      <c r="M397" s="106" t="str">
        <f>IF(ISBLANK(K397), "", VLOOKUP(C397&amp;" "&amp;D397, 'Info Tipo de Cambio y REM'!$A$24:$B$35, 2, FALSE))</f>
        <v/>
      </c>
      <c r="N397" s="107">
        <f t="shared" si="1"/>
        <v>408</v>
      </c>
      <c r="O397" s="102" t="str">
        <f t="shared" si="2"/>
        <v>Vencido</v>
      </c>
    </row>
    <row r="398" hidden="1">
      <c r="A398" s="1" t="s">
        <v>228</v>
      </c>
      <c r="B398" s="1" t="str">
        <f>IF(A398="", "", IFERROR(VLOOKUP(A398, Clasificaciones!A:B, 2, FALSE), "DATO NO CARGADO"))</f>
        <v>Equipo</v>
      </c>
      <c r="C398" s="48" t="s">
        <v>166</v>
      </c>
      <c r="D398" s="1">
        <v>2025.0</v>
      </c>
      <c r="E398" s="1" t="s">
        <v>371</v>
      </c>
      <c r="F398" s="104">
        <v>45902.0</v>
      </c>
      <c r="G398" s="104">
        <v>45894.0</v>
      </c>
      <c r="H398" s="246" t="s">
        <v>735</v>
      </c>
      <c r="I398" s="43" t="s">
        <v>737</v>
      </c>
      <c r="J398" s="104">
        <v>45901.0</v>
      </c>
      <c r="L398" s="89">
        <v>1084.0</v>
      </c>
      <c r="M398" s="106" t="str">
        <f>IF(ISBLANK(K398), "", VLOOKUP(C398&amp;" "&amp;D398, 'Info Tipo de Cambio y REM'!$A$24:$B$35, 2, FALSE))</f>
        <v/>
      </c>
      <c r="N398" s="107">
        <f t="shared" si="1"/>
        <v>1084</v>
      </c>
      <c r="O398" s="102" t="str">
        <f t="shared" si="2"/>
        <v>Vencido</v>
      </c>
    </row>
    <row r="399" hidden="1">
      <c r="A399" s="1" t="s">
        <v>197</v>
      </c>
      <c r="B399" s="1" t="str">
        <f>IF(A399="", "", IFERROR(VLOOKUP(A399, Clasificaciones!A:B, 2, FALSE), "DATO NO CARGADO"))</f>
        <v>Equipo</v>
      </c>
      <c r="C399" s="48" t="s">
        <v>166</v>
      </c>
      <c r="D399" s="1">
        <v>2025.0</v>
      </c>
      <c r="E399" s="1" t="s">
        <v>371</v>
      </c>
      <c r="F399" s="104">
        <v>45902.0</v>
      </c>
      <c r="G399" s="104">
        <v>45895.0</v>
      </c>
      <c r="H399" s="165" t="s">
        <v>738</v>
      </c>
      <c r="I399" s="43" t="s">
        <v>739</v>
      </c>
      <c r="J399" s="104">
        <v>45901.0</v>
      </c>
      <c r="L399" s="89">
        <v>1472.0</v>
      </c>
      <c r="M399" s="106" t="str">
        <f>IF(ISBLANK(K399), "", VLOOKUP(C399&amp;" "&amp;D399, 'Info Tipo de Cambio y REM'!$A$24:$B$35, 2, FALSE))</f>
        <v/>
      </c>
      <c r="N399" s="107">
        <f t="shared" si="1"/>
        <v>1472</v>
      </c>
      <c r="O399" s="102" t="str">
        <f t="shared" si="2"/>
        <v>Vencido</v>
      </c>
    </row>
    <row r="400" hidden="1">
      <c r="A400" s="1" t="s">
        <v>207</v>
      </c>
      <c r="B400" s="1" t="str">
        <f>IF(A400="", "", IFERROR(VLOOKUP(A400, Clasificaciones!A:B, 2, FALSE), "DATO NO CARGADO"))</f>
        <v>Equipo</v>
      </c>
      <c r="C400" s="48" t="s">
        <v>166</v>
      </c>
      <c r="D400" s="1">
        <v>2025.0</v>
      </c>
      <c r="E400" s="1" t="s">
        <v>371</v>
      </c>
      <c r="F400" s="104">
        <v>45902.0</v>
      </c>
      <c r="G400" s="104">
        <v>45894.0</v>
      </c>
      <c r="H400" s="165" t="s">
        <v>740</v>
      </c>
      <c r="I400" s="43" t="s">
        <v>741</v>
      </c>
      <c r="J400" s="104">
        <v>45901.0</v>
      </c>
      <c r="L400" s="89">
        <v>455.0</v>
      </c>
      <c r="M400" s="106" t="str">
        <f>IF(ISBLANK(K400), "", VLOOKUP(C400&amp;" "&amp;D400, 'Info Tipo de Cambio y REM'!$A$24:$B$35, 2, FALSE))</f>
        <v/>
      </c>
      <c r="N400" s="107">
        <f t="shared" si="1"/>
        <v>455</v>
      </c>
      <c r="O400" s="102" t="str">
        <f t="shared" si="2"/>
        <v>Vencido</v>
      </c>
    </row>
    <row r="401" hidden="1">
      <c r="A401" s="1" t="s">
        <v>205</v>
      </c>
      <c r="B401" s="1" t="str">
        <f>IF(A401="", "", IFERROR(VLOOKUP(A401, Clasificaciones!A:B, 2, FALSE), "DATO NO CARGADO"))</f>
        <v>Equipo</v>
      </c>
      <c r="C401" s="48" t="s">
        <v>166</v>
      </c>
      <c r="D401" s="1">
        <v>2025.0</v>
      </c>
      <c r="E401" s="1" t="s">
        <v>371</v>
      </c>
      <c r="F401" s="104">
        <v>45902.0</v>
      </c>
      <c r="G401" s="104">
        <v>45895.0</v>
      </c>
      <c r="H401" s="165" t="s">
        <v>742</v>
      </c>
      <c r="I401" s="43" t="s">
        <v>743</v>
      </c>
      <c r="J401" s="104">
        <v>45901.0</v>
      </c>
      <c r="L401" s="89">
        <v>1116.0</v>
      </c>
      <c r="M401" s="106" t="str">
        <f>IF(ISBLANK(K401), "", VLOOKUP(C401&amp;" "&amp;D401, 'Info Tipo de Cambio y REM'!$A$24:$B$35, 2, FALSE))</f>
        <v/>
      </c>
      <c r="N401" s="107">
        <f t="shared" si="1"/>
        <v>1116</v>
      </c>
      <c r="O401" s="102" t="str">
        <f t="shared" si="2"/>
        <v>Vencido</v>
      </c>
    </row>
    <row r="402" hidden="1">
      <c r="A402" s="1" t="s">
        <v>217</v>
      </c>
      <c r="B402" s="1" t="str">
        <f>IF(A402="", "", IFERROR(VLOOKUP(A402, Clasificaciones!A:B, 2, FALSE), "DATO NO CARGADO"))</f>
        <v>Equipo</v>
      </c>
      <c r="C402" s="48" t="s">
        <v>166</v>
      </c>
      <c r="D402" s="1">
        <v>2025.0</v>
      </c>
      <c r="E402" s="1" t="s">
        <v>371</v>
      </c>
      <c r="F402" s="104">
        <v>45902.0</v>
      </c>
      <c r="G402" s="104">
        <v>45895.0</v>
      </c>
      <c r="H402" s="165" t="s">
        <v>744</v>
      </c>
      <c r="I402" s="43" t="s">
        <v>512</v>
      </c>
      <c r="J402" s="104">
        <v>45901.0</v>
      </c>
      <c r="L402" s="89">
        <v>1120.0</v>
      </c>
      <c r="M402" s="106" t="str">
        <f>IF(ISBLANK(K402), "", VLOOKUP(C402&amp;" "&amp;D402, 'Info Tipo de Cambio y REM'!$A$24:$B$35, 2, FALSE))</f>
        <v/>
      </c>
      <c r="N402" s="107">
        <f t="shared" si="1"/>
        <v>1120</v>
      </c>
      <c r="O402" s="102" t="str">
        <f t="shared" si="2"/>
        <v>Vencido</v>
      </c>
    </row>
    <row r="403" hidden="1">
      <c r="A403" s="1" t="s">
        <v>120</v>
      </c>
      <c r="B403" s="1" t="str">
        <f>IF(A403="", "", IFERROR(VLOOKUP(A403, Clasificaciones!A:B, 2, FALSE), "DATO NO CARGADO"))</f>
        <v>Equipo</v>
      </c>
      <c r="C403" s="48" t="s">
        <v>166</v>
      </c>
      <c r="D403" s="1">
        <v>2025.0</v>
      </c>
      <c r="E403" s="1" t="s">
        <v>371</v>
      </c>
      <c r="F403" s="104">
        <v>45902.0</v>
      </c>
      <c r="G403" s="104">
        <v>45895.0</v>
      </c>
      <c r="H403" s="165" t="s">
        <v>745</v>
      </c>
      <c r="I403" s="43" t="s">
        <v>746</v>
      </c>
      <c r="J403" s="104">
        <v>45901.0</v>
      </c>
      <c r="L403" s="89">
        <v>2140.0</v>
      </c>
      <c r="M403" s="106" t="str">
        <f>IF(ISBLANK(K403), "", VLOOKUP(C403&amp;" "&amp;D403, 'Info Tipo de Cambio y REM'!$A$24:$B$35, 2, FALSE))</f>
        <v/>
      </c>
      <c r="N403" s="107">
        <f t="shared" si="1"/>
        <v>2140</v>
      </c>
      <c r="O403" s="102" t="str">
        <f t="shared" si="2"/>
        <v>Vencido</v>
      </c>
    </row>
    <row r="404" hidden="1">
      <c r="A404" s="1" t="s">
        <v>221</v>
      </c>
      <c r="B404" s="1" t="str">
        <f>IF(A404="", "", IFERROR(VLOOKUP(A404, Clasificaciones!A:B, 2, FALSE), "DATO NO CARGADO"))</f>
        <v>Equipo</v>
      </c>
      <c r="C404" s="48" t="s">
        <v>166</v>
      </c>
      <c r="D404" s="1">
        <v>2025.0</v>
      </c>
      <c r="E404" s="1" t="s">
        <v>371</v>
      </c>
      <c r="F404" s="104">
        <v>45902.0</v>
      </c>
      <c r="G404" s="104">
        <v>45895.0</v>
      </c>
      <c r="H404" s="165" t="s">
        <v>747</v>
      </c>
      <c r="I404" s="43" t="s">
        <v>748</v>
      </c>
      <c r="J404" s="104">
        <v>45901.0</v>
      </c>
      <c r="L404" s="89">
        <v>1284.0</v>
      </c>
      <c r="M404" s="106" t="str">
        <f>IF(ISBLANK(K404), "", VLOOKUP(C404&amp;" "&amp;D404, 'Info Tipo de Cambio y REM'!$A$24:$B$35, 2, FALSE))</f>
        <v/>
      </c>
      <c r="N404" s="107">
        <f t="shared" si="1"/>
        <v>1284</v>
      </c>
      <c r="O404" s="102" t="str">
        <f t="shared" si="2"/>
        <v>Vencido</v>
      </c>
    </row>
    <row r="405" hidden="1">
      <c r="A405" s="1" t="s">
        <v>230</v>
      </c>
      <c r="B405" s="1" t="str">
        <f>IF(A405="", "", IFERROR(VLOOKUP(A405, Clasificaciones!A:B, 2, FALSE), "DATO NO CARGADO"))</f>
        <v>Equipo</v>
      </c>
      <c r="C405" s="48" t="s">
        <v>166</v>
      </c>
      <c r="D405" s="1">
        <v>2025.0</v>
      </c>
      <c r="E405" s="1" t="s">
        <v>371</v>
      </c>
      <c r="F405" s="104">
        <v>45902.0</v>
      </c>
      <c r="G405" s="104">
        <v>45895.0</v>
      </c>
      <c r="H405" s="165" t="s">
        <v>738</v>
      </c>
      <c r="I405" s="43" t="s">
        <v>749</v>
      </c>
      <c r="J405" s="104">
        <v>45901.0</v>
      </c>
      <c r="L405" s="89">
        <v>1354.0</v>
      </c>
      <c r="M405" s="106" t="str">
        <f>IF(ISBLANK(K405), "", VLOOKUP(C405&amp;" "&amp;D405, 'Info Tipo de Cambio y REM'!$A$24:$B$35, 2, FALSE))</f>
        <v/>
      </c>
      <c r="N405" s="107">
        <f t="shared" si="1"/>
        <v>1354</v>
      </c>
      <c r="O405" s="102" t="str">
        <f t="shared" si="2"/>
        <v>Vencido</v>
      </c>
    </row>
    <row r="406" hidden="1">
      <c r="A406" s="1" t="s">
        <v>203</v>
      </c>
      <c r="B406" s="1" t="str">
        <f>IF(A406="", "", IFERROR(VLOOKUP(A406, Clasificaciones!A:B, 2, FALSE), "DATO NO CARGADO"))</f>
        <v>Equipo</v>
      </c>
      <c r="C406" s="48" t="s">
        <v>166</v>
      </c>
      <c r="D406" s="1">
        <v>2025.0</v>
      </c>
      <c r="E406" s="1" t="s">
        <v>371</v>
      </c>
      <c r="F406" s="104">
        <v>45902.0</v>
      </c>
      <c r="G406" s="104">
        <v>45897.0</v>
      </c>
      <c r="H406" s="246" t="s">
        <v>750</v>
      </c>
      <c r="I406" s="43" t="s">
        <v>751</v>
      </c>
      <c r="J406" s="104">
        <v>45901.0</v>
      </c>
      <c r="L406" s="89">
        <v>607.0</v>
      </c>
      <c r="M406" s="106" t="str">
        <f>IF(ISBLANK(K406), "", VLOOKUP(C406&amp;" "&amp;D406, 'Info Tipo de Cambio y REM'!$A$24:$B$35, 2, FALSE))</f>
        <v/>
      </c>
      <c r="N406" s="107">
        <f t="shared" si="1"/>
        <v>607</v>
      </c>
      <c r="O406" s="102" t="str">
        <f t="shared" si="2"/>
        <v>Vencido</v>
      </c>
    </row>
    <row r="407" hidden="1">
      <c r="A407" s="1" t="s">
        <v>194</v>
      </c>
      <c r="B407" s="1" t="str">
        <f>IF(A407="", "", IFERROR(VLOOKUP(A407, Clasificaciones!A:B, 2, FALSE), "DATO NO CARGADO"))</f>
        <v>Equipo</v>
      </c>
      <c r="C407" s="48" t="s">
        <v>166</v>
      </c>
      <c r="D407" s="1">
        <v>2025.0</v>
      </c>
      <c r="E407" s="1" t="s">
        <v>371</v>
      </c>
      <c r="F407" s="104">
        <v>45902.0</v>
      </c>
      <c r="G407" s="104">
        <v>45895.0</v>
      </c>
      <c r="H407" s="246" t="s">
        <v>742</v>
      </c>
      <c r="I407" s="43" t="s">
        <v>752</v>
      </c>
      <c r="J407" s="104">
        <v>45901.0</v>
      </c>
      <c r="L407" s="89">
        <v>1469.0</v>
      </c>
      <c r="M407" s="106" t="str">
        <f>IF(ISBLANK(K407), "", VLOOKUP(C407&amp;" "&amp;D407, 'Info Tipo de Cambio y REM'!$A$24:$B$35, 2, FALSE))</f>
        <v/>
      </c>
      <c r="N407" s="107">
        <f t="shared" si="1"/>
        <v>1469</v>
      </c>
      <c r="O407" s="102" t="str">
        <f t="shared" si="2"/>
        <v>Vencido</v>
      </c>
    </row>
    <row r="408" hidden="1">
      <c r="A408" s="1" t="s">
        <v>200</v>
      </c>
      <c r="B408" s="1" t="str">
        <f>IF(A408="", "", IFERROR(VLOOKUP(A408, Clasificaciones!A:B, 2, FALSE), "DATO NO CARGADO"))</f>
        <v>Equipo</v>
      </c>
      <c r="C408" s="48" t="s">
        <v>166</v>
      </c>
      <c r="D408" s="1">
        <v>2025.0</v>
      </c>
      <c r="E408" s="1" t="s">
        <v>371</v>
      </c>
      <c r="F408" s="104">
        <v>45902.0</v>
      </c>
      <c r="G408" s="104">
        <v>45895.0</v>
      </c>
      <c r="H408" s="246" t="s">
        <v>753</v>
      </c>
      <c r="I408" s="43" t="s">
        <v>381</v>
      </c>
      <c r="J408" s="104">
        <v>45901.0</v>
      </c>
      <c r="L408" s="89">
        <v>1516.0</v>
      </c>
      <c r="M408" s="106" t="str">
        <f>IF(ISBLANK(K408), "", VLOOKUP(C408&amp;" "&amp;D408, 'Info Tipo de Cambio y REM'!$A$24:$B$35, 2, FALSE))</f>
        <v/>
      </c>
      <c r="N408" s="107">
        <f t="shared" si="1"/>
        <v>1516</v>
      </c>
      <c r="O408" s="102" t="str">
        <f t="shared" si="2"/>
        <v>Vencido</v>
      </c>
    </row>
    <row r="409" hidden="1">
      <c r="A409" s="1" t="s">
        <v>127</v>
      </c>
      <c r="B409" s="1" t="str">
        <f>IF(A409="", "", IFERROR(VLOOKUP(A409, Clasificaciones!A:B, 2, FALSE), "DATO NO CARGADO"))</f>
        <v>Board</v>
      </c>
      <c r="C409" s="48" t="s">
        <v>166</v>
      </c>
      <c r="D409" s="1">
        <v>2025.0</v>
      </c>
      <c r="E409" s="1" t="s">
        <v>371</v>
      </c>
      <c r="F409" s="104">
        <v>45902.0</v>
      </c>
      <c r="G409" s="104">
        <v>45900.0</v>
      </c>
      <c r="H409" s="246" t="s">
        <v>754</v>
      </c>
      <c r="I409" s="43" t="s">
        <v>646</v>
      </c>
      <c r="J409" s="104">
        <v>45901.0</v>
      </c>
      <c r="L409" s="89">
        <v>1000.0</v>
      </c>
      <c r="M409" s="106" t="str">
        <f>IF(ISBLANK(K409), "", VLOOKUP(C409&amp;" "&amp;D409, 'Info Tipo de Cambio y REM'!$A$24:$B$35, 2, FALSE))</f>
        <v/>
      </c>
      <c r="N409" s="107">
        <f t="shared" si="1"/>
        <v>1000</v>
      </c>
      <c r="O409" s="102" t="str">
        <f t="shared" si="2"/>
        <v>Vencido</v>
      </c>
    </row>
    <row r="410" hidden="1">
      <c r="A410" s="1" t="s">
        <v>127</v>
      </c>
      <c r="B410" s="1" t="str">
        <f>IF(A410="", "", IFERROR(VLOOKUP(A410, Clasificaciones!A:B, 2, FALSE), "DATO NO CARGADO"))</f>
        <v>Board</v>
      </c>
      <c r="C410" s="48" t="s">
        <v>166</v>
      </c>
      <c r="D410" s="1">
        <v>2025.0</v>
      </c>
      <c r="E410" s="1" t="s">
        <v>371</v>
      </c>
      <c r="F410" s="104">
        <v>45902.0</v>
      </c>
      <c r="G410" s="104">
        <v>45900.0</v>
      </c>
      <c r="H410" s="246" t="s">
        <v>753</v>
      </c>
      <c r="I410" s="43" t="s">
        <v>458</v>
      </c>
      <c r="J410" s="104">
        <v>45901.0</v>
      </c>
      <c r="L410" s="89">
        <v>2200.0</v>
      </c>
      <c r="M410" s="106" t="str">
        <f>IF(ISBLANK(K410), "", VLOOKUP(C410&amp;" "&amp;D410, 'Info Tipo de Cambio y REM'!$A$24:$B$35, 2, FALSE))</f>
        <v/>
      </c>
      <c r="N410" s="107">
        <f t="shared" si="1"/>
        <v>2200</v>
      </c>
      <c r="O410" s="102" t="str">
        <f t="shared" si="2"/>
        <v>Vencido</v>
      </c>
    </row>
    <row r="411" hidden="1">
      <c r="A411" s="43" t="s">
        <v>164</v>
      </c>
      <c r="B411" s="43" t="str">
        <f>IF(A411="", "", IFERROR(VLOOKUP(A411, Clasificaciones!A:B, 2, FALSE), "DATO NO CARGADO"))</f>
        <v>Estudio Contable</v>
      </c>
      <c r="C411" s="51" t="s">
        <v>166</v>
      </c>
      <c r="D411" s="43">
        <v>2025.0</v>
      </c>
      <c r="E411" s="43" t="s">
        <v>371</v>
      </c>
      <c r="F411" s="104"/>
      <c r="G411" s="104">
        <v>45900.0</v>
      </c>
      <c r="H411" s="230" t="s">
        <v>755</v>
      </c>
      <c r="J411" s="104">
        <v>45945.0</v>
      </c>
      <c r="K411" s="247">
        <v>66138.0</v>
      </c>
      <c r="L411" s="71"/>
      <c r="M411" s="106">
        <f>IF(ISBLANK(K411), "", VLOOKUP(C411&amp;" "&amp;D411, 'Info Tipo de Cambio y REM'!$A$24:$B$35, 2, FALSE))</f>
        <v>1345</v>
      </c>
      <c r="N411" s="107">
        <f t="shared" si="1"/>
        <v>49.1732342</v>
      </c>
      <c r="O411" s="102" t="str">
        <f t="shared" si="2"/>
        <v>Vencido</v>
      </c>
    </row>
    <row r="412" hidden="1">
      <c r="A412" s="43" t="s">
        <v>153</v>
      </c>
      <c r="B412" s="43" t="str">
        <f>IF(A412="", "", IFERROR(VLOOKUP(A412, Clasificaciones!A:B, 2, FALSE), "DATO NO CARGADO"))</f>
        <v>Impuestos USA</v>
      </c>
      <c r="C412" s="51" t="s">
        <v>166</v>
      </c>
      <c r="D412" s="43">
        <v>2025.0</v>
      </c>
      <c r="E412" s="43" t="s">
        <v>371</v>
      </c>
      <c r="F412" s="104"/>
      <c r="G412" s="104">
        <v>45900.0</v>
      </c>
      <c r="H412" s="165" t="s">
        <v>756</v>
      </c>
      <c r="J412" s="104">
        <v>46142.0</v>
      </c>
      <c r="L412" s="229">
        <v>15228.0</v>
      </c>
      <c r="M412" s="106" t="str">
        <f>IF(ISBLANK(K412), "", VLOOKUP(C412&amp;" "&amp;D412, 'Info Tipo de Cambio y REM'!$A$24:$B$35, 2, FALSE))</f>
        <v/>
      </c>
      <c r="N412" s="107">
        <f t="shared" si="1"/>
        <v>15228</v>
      </c>
      <c r="O412" s="102" t="str">
        <f t="shared" si="2"/>
        <v>A término</v>
      </c>
    </row>
    <row r="413" hidden="1">
      <c r="A413" s="43" t="s">
        <v>222</v>
      </c>
      <c r="B413" s="43" t="str">
        <f>IF(A413="", "", IFERROR(VLOOKUP(A413, Clasificaciones!A:B, 2, FALSE), "DATO NO CARGADO"))</f>
        <v>Oxean</v>
      </c>
      <c r="C413" s="51" t="s">
        <v>166</v>
      </c>
      <c r="D413" s="43">
        <v>2025.0</v>
      </c>
      <c r="E413" s="43" t="s">
        <v>371</v>
      </c>
      <c r="F413" s="104">
        <v>45922.0</v>
      </c>
      <c r="G413" s="104">
        <v>45900.0</v>
      </c>
      <c r="H413" s="165" t="s">
        <v>757</v>
      </c>
      <c r="J413" s="248">
        <v>45915.0</v>
      </c>
      <c r="K413" s="43">
        <v>5302886.0</v>
      </c>
      <c r="L413" s="71"/>
      <c r="M413" s="106">
        <f>IF(ISBLANK(K413), "", VLOOKUP(C413&amp;" "&amp;D413, 'Info Tipo de Cambio y REM'!$A$24:$B$35, 2, FALSE))</f>
        <v>1345</v>
      </c>
      <c r="N413" s="107">
        <f t="shared" si="1"/>
        <v>3942.666171</v>
      </c>
      <c r="O413" s="102" t="str">
        <f t="shared" si="2"/>
        <v>Vencido</v>
      </c>
    </row>
    <row r="414" hidden="1">
      <c r="A414" s="43" t="s">
        <v>158</v>
      </c>
      <c r="B414" s="43" t="str">
        <f>IF(A414="", "", IFERROR(VLOOKUP(A414, Clasificaciones!A:B, 2, FALSE), "DATO NO CARGADO"))</f>
        <v>Tarjeta</v>
      </c>
      <c r="C414" s="51" t="s">
        <v>166</v>
      </c>
      <c r="D414" s="43">
        <v>2025.0</v>
      </c>
      <c r="E414" s="43" t="s">
        <v>371</v>
      </c>
      <c r="F414" s="104">
        <v>45922.0</v>
      </c>
      <c r="G414" s="104">
        <v>45900.0</v>
      </c>
      <c r="H414" s="184" t="s">
        <v>758</v>
      </c>
      <c r="J414" s="104">
        <v>45915.0</v>
      </c>
      <c r="K414" s="43">
        <v>0.0</v>
      </c>
      <c r="L414" s="71"/>
      <c r="M414" s="106">
        <f>IF(ISBLANK(K414), "", VLOOKUP(C414&amp;" "&amp;D414, 'Info Tipo de Cambio y REM'!$A$24:$B$35, 2, FALSE))</f>
        <v>1345</v>
      </c>
      <c r="N414" s="107">
        <f t="shared" si="1"/>
        <v>0</v>
      </c>
      <c r="O414" s="102" t="str">
        <f t="shared" si="2"/>
        <v>Vencido</v>
      </c>
    </row>
    <row r="415" hidden="1">
      <c r="A415" s="92" t="s">
        <v>133</v>
      </c>
      <c r="B415" s="92" t="str">
        <f>IF(A415="", "", IFERROR(VLOOKUP(A415, Clasificaciones!A:B, 2, FALSE), "DATO NO CARGADO"))</f>
        <v>Board</v>
      </c>
      <c r="C415" s="338" t="s">
        <v>166</v>
      </c>
      <c r="D415" s="92">
        <v>2025.0</v>
      </c>
      <c r="E415" s="92" t="s">
        <v>371</v>
      </c>
      <c r="F415" s="208">
        <v>45930.0</v>
      </c>
      <c r="G415" s="208">
        <v>45900.0</v>
      </c>
      <c r="H415" s="178" t="s">
        <v>759</v>
      </c>
      <c r="I415" s="182"/>
      <c r="J415" s="208">
        <v>45901.0</v>
      </c>
      <c r="K415" s="92">
        <v>5302886.0</v>
      </c>
      <c r="L415" s="210"/>
      <c r="M415" s="339">
        <f>IF(ISBLANK(K415), "", VLOOKUP(C415&amp;" "&amp;D415, 'Info Tipo de Cambio y REM'!$A$24:$B$35, 2, FALSE))</f>
        <v>1345</v>
      </c>
      <c r="N415" s="181">
        <f t="shared" si="1"/>
        <v>3942.666171</v>
      </c>
      <c r="O415" s="257" t="str">
        <f t="shared" si="2"/>
        <v>Vencido</v>
      </c>
      <c r="P415" s="182"/>
      <c r="Q415" s="182"/>
      <c r="R415" s="182"/>
      <c r="S415" s="182"/>
      <c r="T415" s="182"/>
      <c r="U415" s="182"/>
      <c r="V415" s="182"/>
      <c r="W415" s="182"/>
      <c r="X415" s="182"/>
      <c r="Y415" s="182"/>
      <c r="Z415" s="182"/>
      <c r="AA415" s="182"/>
      <c r="AB415" s="182"/>
      <c r="AC415" s="182"/>
      <c r="AD415" s="182"/>
      <c r="AE415" s="182"/>
      <c r="AF415" s="182"/>
    </row>
    <row r="416" hidden="1">
      <c r="A416" s="43" t="s">
        <v>191</v>
      </c>
      <c r="B416" s="43" t="str">
        <f>IF(A416="", "", IFERROR(VLOOKUP(A416, Clasificaciones!A:B, 2, FALSE), "DATO NO CARGADO"))</f>
        <v>Tarjeta</v>
      </c>
      <c r="C416" s="51" t="s">
        <v>166</v>
      </c>
      <c r="D416" s="43">
        <v>2025.0</v>
      </c>
      <c r="E416" s="43" t="s">
        <v>374</v>
      </c>
      <c r="F416" s="104"/>
      <c r="G416" s="104">
        <v>45894.0</v>
      </c>
      <c r="H416" s="169" t="s">
        <v>760</v>
      </c>
      <c r="J416" s="104">
        <v>45894.0</v>
      </c>
      <c r="L416" s="89">
        <v>29.99</v>
      </c>
      <c r="M416" s="106" t="str">
        <f>IF(ISBLANK(K416), "", VLOOKUP(C416&amp;" "&amp;D416, 'Info Tipo de Cambio y REM'!$A$24:$B$35, 2, FALSE))</f>
        <v/>
      </c>
      <c r="N416" s="107">
        <f t="shared" si="1"/>
        <v>29.99</v>
      </c>
      <c r="O416" s="102" t="str">
        <f t="shared" si="2"/>
        <v>A término</v>
      </c>
    </row>
    <row r="417" hidden="1">
      <c r="A417" s="43" t="s">
        <v>191</v>
      </c>
      <c r="B417" s="43" t="str">
        <f>IF(A417="", "", IFERROR(VLOOKUP(A417, Clasificaciones!A:B, 2, FALSE), "DATO NO CARGADO"))</f>
        <v>Tarjeta</v>
      </c>
      <c r="C417" s="51" t="s">
        <v>166</v>
      </c>
      <c r="D417" s="43">
        <v>2025.0</v>
      </c>
      <c r="E417" s="43" t="s">
        <v>374</v>
      </c>
      <c r="F417" s="104"/>
      <c r="G417" s="104">
        <v>45896.0</v>
      </c>
      <c r="H417" s="169" t="s">
        <v>761</v>
      </c>
      <c r="J417" s="104">
        <v>45896.0</v>
      </c>
      <c r="L417" s="89">
        <v>500.07</v>
      </c>
      <c r="M417" s="106" t="str">
        <f>IF(ISBLANK(K417), "", VLOOKUP(C417&amp;" "&amp;D417, 'Info Tipo de Cambio y REM'!$A$24:$B$35, 2, FALSE))</f>
        <v/>
      </c>
      <c r="N417" s="107">
        <f t="shared" si="1"/>
        <v>500.07</v>
      </c>
      <c r="O417" s="102" t="str">
        <f t="shared" si="2"/>
        <v>A término</v>
      </c>
    </row>
    <row r="418" hidden="1">
      <c r="A418" s="43" t="s">
        <v>191</v>
      </c>
      <c r="B418" s="43" t="str">
        <f>IF(A418="", "", IFERROR(VLOOKUP(A418, Clasificaciones!A:B, 2, FALSE), "DATO NO CARGADO"))</f>
        <v>Tarjeta</v>
      </c>
      <c r="C418" s="51" t="s">
        <v>166</v>
      </c>
      <c r="D418" s="43">
        <v>2025.0</v>
      </c>
      <c r="E418" s="43" t="s">
        <v>374</v>
      </c>
      <c r="F418" s="104"/>
      <c r="G418" s="104">
        <v>45896.0</v>
      </c>
      <c r="H418" s="169" t="s">
        <v>762</v>
      </c>
      <c r="J418" s="104">
        <v>45896.0</v>
      </c>
      <c r="L418" s="89">
        <v>609.8</v>
      </c>
      <c r="M418" s="106" t="str">
        <f>IF(ISBLANK(K418), "", VLOOKUP(C418&amp;" "&amp;D418, 'Info Tipo de Cambio y REM'!$A$24:$B$35, 2, FALSE))</f>
        <v/>
      </c>
      <c r="N418" s="107">
        <f t="shared" ref="N418:N1106" si="3">IF(NOT(ISBLANK(K418)), K418 / M418, IF(NOT(ISBLANK(L418)), L418, ""))</f>
        <v>609.8</v>
      </c>
      <c r="O418" s="102" t="str">
        <f t="shared" si="2"/>
        <v>A término</v>
      </c>
    </row>
    <row r="419" hidden="1">
      <c r="A419" s="43" t="s">
        <v>173</v>
      </c>
      <c r="B419" s="43" t="str">
        <f>IF(A419="", "", IFERROR(VLOOKUP(A419, Clasificaciones!A:B, 2, FALSE), "DATO NO CARGADO"))</f>
        <v>Suscripciones/Herramientas</v>
      </c>
      <c r="C419" s="51" t="s">
        <v>166</v>
      </c>
      <c r="D419" s="43">
        <v>2025.0</v>
      </c>
      <c r="E419" s="43" t="s">
        <v>371</v>
      </c>
      <c r="F419" s="104"/>
      <c r="G419" s="104">
        <v>45883.0</v>
      </c>
      <c r="H419" s="165" t="s">
        <v>419</v>
      </c>
      <c r="J419" s="104">
        <v>45975.0</v>
      </c>
      <c r="L419" s="89">
        <v>10634.0</v>
      </c>
      <c r="M419" s="106" t="str">
        <f>IF(ISBLANK(K419), "", VLOOKUP(C419&amp;" "&amp;D419, 'Info Tipo de Cambio y REM'!$A$24:$B$35, 2, FALSE))</f>
        <v/>
      </c>
      <c r="N419" s="107">
        <f t="shared" si="3"/>
        <v>10634</v>
      </c>
      <c r="O419" s="102" t="str">
        <f t="shared" si="2"/>
        <v>A término</v>
      </c>
    </row>
    <row r="420" hidden="1">
      <c r="A420" s="43" t="s">
        <v>185</v>
      </c>
      <c r="B420" s="43" t="str">
        <f>IF(A420="", "", IFERROR(VLOOKUP(A420, Clasificaciones!A:B, 2, FALSE), "DATO NO CARGADO"))</f>
        <v>Comisiones Bancarias</v>
      </c>
      <c r="C420" s="51" t="s">
        <v>166</v>
      </c>
      <c r="D420" s="43">
        <v>2025.0</v>
      </c>
      <c r="E420" s="43" t="s">
        <v>374</v>
      </c>
      <c r="F420" s="104"/>
      <c r="G420" s="104">
        <v>45900.0</v>
      </c>
      <c r="H420" s="169" t="s">
        <v>549</v>
      </c>
      <c r="J420" s="104">
        <v>45900.0</v>
      </c>
      <c r="L420" s="89">
        <v>45.0</v>
      </c>
      <c r="M420" s="106" t="str">
        <f>IF(ISBLANK(K420), "", VLOOKUP(C420&amp;" "&amp;D420, 'Info Tipo de Cambio y REM'!$A$24:$B$35, 2, FALSE))</f>
        <v/>
      </c>
      <c r="N420" s="107">
        <f t="shared" si="3"/>
        <v>45</v>
      </c>
      <c r="O420" s="102" t="str">
        <f t="shared" si="2"/>
        <v>A término</v>
      </c>
    </row>
    <row r="421" hidden="1">
      <c r="A421" s="43" t="s">
        <v>185</v>
      </c>
      <c r="B421" s="43" t="str">
        <f>IF(A421="", "", IFERROR(VLOOKUP(A421, Clasificaciones!A:B, 2, FALSE), "DATO NO CARGADO"))</f>
        <v>Comisiones Bancarias</v>
      </c>
      <c r="C421" s="51" t="s">
        <v>166</v>
      </c>
      <c r="D421" s="43">
        <v>2025.0</v>
      </c>
      <c r="E421" s="43" t="s">
        <v>374</v>
      </c>
      <c r="F421" s="104"/>
      <c r="G421" s="104">
        <v>45900.0</v>
      </c>
      <c r="H421" s="169" t="s">
        <v>549</v>
      </c>
      <c r="J421" s="104">
        <v>45900.0</v>
      </c>
      <c r="L421" s="89">
        <v>45.0</v>
      </c>
      <c r="M421" s="106" t="str">
        <f>IF(ISBLANK(K421), "", VLOOKUP(C421&amp;" "&amp;D421, 'Info Tipo de Cambio y REM'!$A$24:$B$35, 2, FALSE))</f>
        <v/>
      </c>
      <c r="N421" s="107">
        <f t="shared" si="3"/>
        <v>45</v>
      </c>
      <c r="O421" s="102" t="str">
        <f t="shared" si="2"/>
        <v>A término</v>
      </c>
    </row>
    <row r="422" hidden="1">
      <c r="A422" s="43" t="s">
        <v>201</v>
      </c>
      <c r="B422" s="43" t="str">
        <f>IF(A422="", "", IFERROR(VLOOKUP(A422, Clasificaciones!A:B, 2, FALSE), "DATO NO CARGADO"))</f>
        <v>Intereses Oxean</v>
      </c>
      <c r="C422" s="51" t="s">
        <v>166</v>
      </c>
      <c r="D422" s="43">
        <v>2025.0</v>
      </c>
      <c r="E422" s="43" t="s">
        <v>371</v>
      </c>
      <c r="F422" s="104"/>
      <c r="G422" s="104">
        <v>45900.0</v>
      </c>
      <c r="H422" s="165" t="s">
        <v>763</v>
      </c>
      <c r="J422" s="104">
        <v>46142.0</v>
      </c>
      <c r="L422" s="340">
        <f>683.02+425.53</f>
        <v>1108.55</v>
      </c>
      <c r="M422" s="106" t="str">
        <f>IF(ISBLANK(K422), "", VLOOKUP(C422&amp;" "&amp;D422, 'Info Tipo de Cambio y REM'!$A$24:$B$35, 2, FALSE))</f>
        <v/>
      </c>
      <c r="N422" s="107">
        <f t="shared" si="3"/>
        <v>1108.55</v>
      </c>
      <c r="O422" s="102" t="str">
        <f t="shared" si="2"/>
        <v>A término</v>
      </c>
    </row>
    <row r="423" hidden="1">
      <c r="A423" s="43" t="s">
        <v>152</v>
      </c>
      <c r="B423" s="43" t="str">
        <f>IF(A423="", "", IFERROR(VLOOKUP(A423, Clasificaciones!A:B, 2, FALSE), "DATO NO CARGADO"))</f>
        <v>Impuestos ARG</v>
      </c>
      <c r="C423" s="51" t="s">
        <v>166</v>
      </c>
      <c r="D423" s="156">
        <v>2025.0</v>
      </c>
      <c r="E423" s="43" t="s">
        <v>371</v>
      </c>
      <c r="F423" s="104">
        <v>45922.0</v>
      </c>
      <c r="G423" s="104">
        <v>45900.0</v>
      </c>
      <c r="H423" s="230" t="s">
        <v>764</v>
      </c>
      <c r="J423" s="103"/>
      <c r="K423" s="43">
        <v>1876795.0</v>
      </c>
      <c r="L423" s="71"/>
      <c r="M423" s="106">
        <f>IF(ISBLANK(K423), "", VLOOKUP(C423&amp;" "&amp;D423, 'Info Tipo de Cambio y REM'!$A$24:$B$35, 2, FALSE))</f>
        <v>1345</v>
      </c>
      <c r="N423" s="107">
        <f t="shared" si="3"/>
        <v>1395.386617</v>
      </c>
      <c r="O423" s="102" t="str">
        <f t="shared" si="2"/>
        <v>Vencido</v>
      </c>
    </row>
    <row r="424" hidden="1">
      <c r="A424" s="43" t="s">
        <v>146</v>
      </c>
      <c r="B424" s="43" t="str">
        <f>IF(A424="", "", IFERROR(VLOOKUP(A424, Clasificaciones!A:B, 2, FALSE), "DATO NO CARGADO"))</f>
        <v>Impuestos ARG</v>
      </c>
      <c r="C424" s="51" t="s">
        <v>166</v>
      </c>
      <c r="D424" s="156">
        <v>2025.0</v>
      </c>
      <c r="E424" s="43" t="s">
        <v>371</v>
      </c>
      <c r="F424" s="104">
        <v>45922.0</v>
      </c>
      <c r="G424" s="104">
        <v>45901.0</v>
      </c>
      <c r="H424" s="230" t="s">
        <v>765</v>
      </c>
      <c r="J424" s="103"/>
      <c r="K424" s="43">
        <v>342986.0</v>
      </c>
      <c r="L424" s="71"/>
      <c r="M424" s="106">
        <f>IF(ISBLANK(K424), "", VLOOKUP(C424&amp;" "&amp;D424, 'Info Tipo de Cambio y REM'!$A$24:$B$35, 2, FALSE))</f>
        <v>1345</v>
      </c>
      <c r="N424" s="107">
        <f t="shared" si="3"/>
        <v>255.0081784</v>
      </c>
      <c r="O424" s="102" t="str">
        <f t="shared" si="2"/>
        <v>Vencido</v>
      </c>
    </row>
    <row r="425" hidden="1">
      <c r="A425" s="43" t="s">
        <v>226</v>
      </c>
      <c r="B425" s="43" t="str">
        <f>IF(A425="", "", IFERROR(VLOOKUP(A425, Clasificaciones!A:B, 2, FALSE), "DATO NO CARGADO"))</f>
        <v>Administración Finanzas</v>
      </c>
      <c r="C425" s="51" t="s">
        <v>166</v>
      </c>
      <c r="D425" s="156">
        <v>2025.0</v>
      </c>
      <c r="E425" s="43" t="s">
        <v>371</v>
      </c>
      <c r="F425" s="104">
        <v>45910.0</v>
      </c>
      <c r="G425" s="104">
        <v>45898.0</v>
      </c>
      <c r="H425" s="251" t="s">
        <v>766</v>
      </c>
      <c r="I425" s="59" t="s">
        <v>383</v>
      </c>
      <c r="J425" s="104"/>
      <c r="K425" s="252">
        <v>537000.0</v>
      </c>
      <c r="L425" s="71"/>
      <c r="M425" s="106">
        <f>IF(ISBLANK(K425), "", VLOOKUP(C425&amp;" "&amp;D425, 'Info Tipo de Cambio y REM'!$A$24:$B$35, 2, FALSE))</f>
        <v>1345</v>
      </c>
      <c r="N425" s="107">
        <f t="shared" si="3"/>
        <v>399.2565056</v>
      </c>
      <c r="O425" s="102" t="str">
        <f t="shared" si="2"/>
        <v>Vencido</v>
      </c>
    </row>
    <row r="426" hidden="1">
      <c r="A426" s="43" t="s">
        <v>219</v>
      </c>
      <c r="B426" s="43" t="str">
        <f>IF(A426="", "", IFERROR(VLOOKUP(A426, Clasificaciones!A:B, 2, FALSE), "DATO NO CARGADO"))</f>
        <v>Gastos Varios</v>
      </c>
      <c r="C426" s="51" t="s">
        <v>166</v>
      </c>
      <c r="D426" s="156">
        <v>2025.0</v>
      </c>
      <c r="E426" s="43" t="s">
        <v>371</v>
      </c>
      <c r="F426" s="104">
        <v>45909.0</v>
      </c>
      <c r="G426" s="104">
        <v>45898.0</v>
      </c>
      <c r="H426" s="43" t="s">
        <v>767</v>
      </c>
      <c r="I426" s="43" t="s">
        <v>399</v>
      </c>
      <c r="J426" s="103"/>
      <c r="K426" s="252">
        <v>962040.0</v>
      </c>
      <c r="L426" s="71"/>
      <c r="M426" s="106">
        <f>IF(ISBLANK(K426), "", VLOOKUP(C426&amp;" "&amp;D426, 'Info Tipo de Cambio y REM'!$A$24:$B$35, 2, FALSE))</f>
        <v>1345</v>
      </c>
      <c r="N426" s="107">
        <f t="shared" si="3"/>
        <v>715.2713755</v>
      </c>
      <c r="O426" s="102" t="str">
        <f t="shared" si="2"/>
        <v>Vencido</v>
      </c>
    </row>
    <row r="427" hidden="1">
      <c r="A427" s="43" t="s">
        <v>139</v>
      </c>
      <c r="B427" s="43" t="str">
        <f>IF(A427="", "", IFERROR(VLOOKUP(A427, Clasificaciones!A:B, 2, FALSE), "DATO NO CARGADO"))</f>
        <v>People</v>
      </c>
      <c r="C427" s="51" t="s">
        <v>166</v>
      </c>
      <c r="D427" s="156">
        <v>2025.0</v>
      </c>
      <c r="E427" s="43" t="s">
        <v>371</v>
      </c>
      <c r="F427" s="104">
        <v>45910.0</v>
      </c>
      <c r="G427" s="104">
        <v>45898.0</v>
      </c>
      <c r="H427" s="165" t="s">
        <v>573</v>
      </c>
      <c r="I427" s="43" t="s">
        <v>413</v>
      </c>
      <c r="J427" s="103"/>
      <c r="K427" s="252">
        <v>61260.57</v>
      </c>
      <c r="L427" s="71"/>
      <c r="M427" s="106">
        <f>IF(ISBLANK(K427), "", VLOOKUP(C427&amp;" "&amp;D427, 'Info Tipo de Cambio y REM'!$A$24:$B$35, 2, FALSE))</f>
        <v>1345</v>
      </c>
      <c r="N427" s="107">
        <f t="shared" si="3"/>
        <v>45.54689219</v>
      </c>
      <c r="O427" s="102" t="str">
        <f t="shared" si="2"/>
        <v>Vencido</v>
      </c>
    </row>
    <row r="428" hidden="1">
      <c r="A428" s="43" t="s">
        <v>229</v>
      </c>
      <c r="B428" s="43" t="str">
        <f>IF(A428="", "", IFERROR(VLOOKUP(A428, Clasificaciones!A:B, 2, FALSE), "DATO NO CARGADO"))</f>
        <v>Equipo</v>
      </c>
      <c r="C428" s="51" t="s">
        <v>166</v>
      </c>
      <c r="D428" s="156">
        <v>2025.0</v>
      </c>
      <c r="E428" s="43" t="s">
        <v>371</v>
      </c>
      <c r="F428" s="104">
        <v>45910.0</v>
      </c>
      <c r="G428" s="104">
        <v>45898.0</v>
      </c>
      <c r="H428" s="165" t="s">
        <v>768</v>
      </c>
      <c r="I428" s="43" t="s">
        <v>504</v>
      </c>
      <c r="J428" s="103"/>
      <c r="K428" s="252">
        <v>397500.0</v>
      </c>
      <c r="L428" s="71"/>
      <c r="M428" s="106">
        <f>IF(ISBLANK(K428), "", VLOOKUP(C428&amp;" "&amp;D428, 'Info Tipo de Cambio y REM'!$A$24:$B$35, 2, FALSE))</f>
        <v>1345</v>
      </c>
      <c r="N428" s="107">
        <f t="shared" si="3"/>
        <v>295.5390335</v>
      </c>
      <c r="O428" s="102" t="str">
        <f t="shared" si="2"/>
        <v>Vencido</v>
      </c>
    </row>
    <row r="429" hidden="1">
      <c r="A429" s="43" t="s">
        <v>218</v>
      </c>
      <c r="B429" s="43" t="str">
        <f>IF(A429="", "", IFERROR(VLOOKUP(A429, Clasificaciones!A:B, 2, FALSE), "DATO NO CARGADO"))</f>
        <v>Equipo</v>
      </c>
      <c r="C429" s="51" t="s">
        <v>166</v>
      </c>
      <c r="D429" s="156">
        <v>2025.0</v>
      </c>
      <c r="E429" s="43" t="s">
        <v>371</v>
      </c>
      <c r="F429" s="104">
        <v>45910.0</v>
      </c>
      <c r="G429" s="104">
        <v>45898.0</v>
      </c>
      <c r="H429" s="165" t="s">
        <v>579</v>
      </c>
      <c r="I429" s="43" t="s">
        <v>414</v>
      </c>
      <c r="J429" s="103"/>
      <c r="K429" s="252">
        <v>950380.0</v>
      </c>
      <c r="L429" s="71"/>
      <c r="M429" s="106">
        <f>IF(ISBLANK(K429), "", VLOOKUP(C429&amp;" "&amp;D429, 'Info Tipo de Cambio y REM'!$A$24:$B$35, 2, FALSE))</f>
        <v>1345</v>
      </c>
      <c r="N429" s="107">
        <f t="shared" si="3"/>
        <v>706.6022305</v>
      </c>
      <c r="O429" s="102" t="str">
        <f t="shared" si="2"/>
        <v>Vencido</v>
      </c>
    </row>
    <row r="430" hidden="1">
      <c r="A430" s="43" t="s">
        <v>214</v>
      </c>
      <c r="B430" s="43" t="str">
        <f>IF(A430="", "", IFERROR(VLOOKUP(A430, Clasificaciones!A:B, 2, FALSE), "DATO NO CARGADO"))</f>
        <v>Equipo</v>
      </c>
      <c r="C430" s="51" t="s">
        <v>166</v>
      </c>
      <c r="D430" s="156">
        <v>2025.0</v>
      </c>
      <c r="E430" s="43" t="s">
        <v>371</v>
      </c>
      <c r="F430" s="104">
        <v>45910.0</v>
      </c>
      <c r="G430" s="104">
        <v>45903.0</v>
      </c>
      <c r="H430" s="251" t="s">
        <v>769</v>
      </c>
      <c r="I430" s="43" t="s">
        <v>736</v>
      </c>
      <c r="J430" s="103"/>
      <c r="K430" s="43">
        <v>411785.0</v>
      </c>
      <c r="L430" s="71"/>
      <c r="M430" s="106">
        <f>IF(ISBLANK(K430), "", VLOOKUP(C430&amp;" "&amp;D430, 'Info Tipo de Cambio y REM'!$A$24:$B$35, 2, FALSE))</f>
        <v>1345</v>
      </c>
      <c r="N430" s="107">
        <f t="shared" si="3"/>
        <v>306.1598513</v>
      </c>
      <c r="O430" s="102" t="str">
        <f t="shared" si="2"/>
        <v>Vencido</v>
      </c>
    </row>
    <row r="431" hidden="1">
      <c r="A431" s="43" t="s">
        <v>197</v>
      </c>
      <c r="B431" s="43" t="str">
        <f>IF(A431="", "", IFERROR(VLOOKUP(A431, Clasificaciones!A:B, 2, FALSE), "DATO NO CARGADO"))</f>
        <v>Equipo</v>
      </c>
      <c r="C431" s="51" t="s">
        <v>166</v>
      </c>
      <c r="D431" s="156">
        <v>2025.0</v>
      </c>
      <c r="E431" s="43" t="s">
        <v>371</v>
      </c>
      <c r="F431" s="104">
        <v>45910.0</v>
      </c>
      <c r="G431" s="253">
        <v>45903.0</v>
      </c>
      <c r="H431" s="254" t="s">
        <v>770</v>
      </c>
      <c r="I431" s="203" t="s">
        <v>411</v>
      </c>
      <c r="J431" s="255"/>
      <c r="K431" s="43">
        <v>199810.0</v>
      </c>
      <c r="L431" s="71"/>
      <c r="M431" s="106">
        <f>IF(ISBLANK(K431), "", VLOOKUP(C431&amp;" "&amp;D431, 'Info Tipo de Cambio y REM'!$A$24:$B$35, 2, FALSE))</f>
        <v>1345</v>
      </c>
      <c r="N431" s="107">
        <f t="shared" si="3"/>
        <v>148.5576208</v>
      </c>
      <c r="O431" s="102" t="str">
        <f t="shared" si="2"/>
        <v>Vencido</v>
      </c>
    </row>
    <row r="432" hidden="1">
      <c r="A432" s="43" t="s">
        <v>207</v>
      </c>
      <c r="B432" s="43" t="str">
        <f>IF(A432="", "", IFERROR(VLOOKUP(A432, Clasificaciones!A:B, 2, FALSE), "DATO NO CARGADO"))</f>
        <v>Equipo</v>
      </c>
      <c r="C432" s="51" t="s">
        <v>166</v>
      </c>
      <c r="D432" s="156">
        <v>2025.0</v>
      </c>
      <c r="E432" s="43" t="s">
        <v>371</v>
      </c>
      <c r="F432" s="104">
        <v>45910.0</v>
      </c>
      <c r="G432" s="253">
        <v>45903.0</v>
      </c>
      <c r="H432" s="203" t="s">
        <v>771</v>
      </c>
      <c r="I432" s="203" t="s">
        <v>741</v>
      </c>
      <c r="J432" s="103"/>
      <c r="K432" s="43">
        <v>384121.0</v>
      </c>
      <c r="L432" s="71"/>
      <c r="M432" s="106">
        <f>IF(ISBLANK(K432), "", VLOOKUP(C432&amp;" "&amp;D432, 'Info Tipo de Cambio y REM'!$A$24:$B$35, 2, FALSE))</f>
        <v>1345</v>
      </c>
      <c r="N432" s="107">
        <f t="shared" si="3"/>
        <v>285.5918216</v>
      </c>
      <c r="O432" s="102" t="str">
        <f t="shared" si="2"/>
        <v>Vencido</v>
      </c>
    </row>
    <row r="433" hidden="1">
      <c r="A433" s="43" t="s">
        <v>120</v>
      </c>
      <c r="B433" s="43" t="str">
        <f>IF(A433="", "", IFERROR(VLOOKUP(A433, Clasificaciones!A:B, 2, FALSE), "DATO NO CARGADO"))</f>
        <v>Equipo</v>
      </c>
      <c r="C433" s="51" t="s">
        <v>166</v>
      </c>
      <c r="D433" s="156">
        <v>2025.0</v>
      </c>
      <c r="E433" s="43" t="s">
        <v>371</v>
      </c>
      <c r="F433" s="104">
        <v>45909.0</v>
      </c>
      <c r="G433" s="253">
        <v>45903.0</v>
      </c>
      <c r="H433" s="203" t="s">
        <v>505</v>
      </c>
      <c r="I433" s="203" t="s">
        <v>387</v>
      </c>
      <c r="J433" s="103"/>
      <c r="K433" s="43">
        <v>666467.0</v>
      </c>
      <c r="L433" s="71"/>
      <c r="M433" s="106">
        <f>IF(ISBLANK(K433), "", VLOOKUP(C433&amp;" "&amp;D433, 'Info Tipo de Cambio y REM'!$A$24:$B$35, 2, FALSE))</f>
        <v>1345</v>
      </c>
      <c r="N433" s="107">
        <f t="shared" si="3"/>
        <v>495.5144981</v>
      </c>
      <c r="O433" s="102" t="str">
        <f t="shared" si="2"/>
        <v>Vencido</v>
      </c>
    </row>
    <row r="434" hidden="1">
      <c r="A434" s="43" t="s">
        <v>221</v>
      </c>
      <c r="B434" s="43" t="str">
        <f>IF(A434="", "", IFERROR(VLOOKUP(A434, Clasificaciones!A:B, 2, FALSE), "DATO NO CARGADO"))</f>
        <v>Equipo</v>
      </c>
      <c r="C434" s="51" t="s">
        <v>166</v>
      </c>
      <c r="D434" s="156">
        <v>2025.0</v>
      </c>
      <c r="E434" s="43" t="s">
        <v>371</v>
      </c>
      <c r="F434" s="104">
        <v>45910.0</v>
      </c>
      <c r="G434" s="253">
        <v>45904.0</v>
      </c>
      <c r="H434" s="203" t="s">
        <v>772</v>
      </c>
      <c r="I434" s="203" t="s">
        <v>748</v>
      </c>
      <c r="J434" s="103"/>
      <c r="K434" s="43">
        <v>203711.0</v>
      </c>
      <c r="L434" s="71"/>
      <c r="M434" s="106">
        <f>IF(ISBLANK(K434), "", VLOOKUP(C434&amp;" "&amp;D434, 'Info Tipo de Cambio y REM'!$A$24:$B$35, 2, FALSE))</f>
        <v>1345</v>
      </c>
      <c r="N434" s="107">
        <f t="shared" si="3"/>
        <v>151.4579926</v>
      </c>
      <c r="O434" s="102" t="str">
        <f t="shared" si="2"/>
        <v>Vencido</v>
      </c>
    </row>
    <row r="435" hidden="1">
      <c r="A435" s="43" t="s">
        <v>230</v>
      </c>
      <c r="B435" s="43" t="str">
        <f>IF(A435="", "", IFERROR(VLOOKUP(A435, Clasificaciones!A:B, 2, FALSE), "DATO NO CARGADO"))</f>
        <v>Equipo</v>
      </c>
      <c r="C435" s="51" t="s">
        <v>166</v>
      </c>
      <c r="D435" s="156">
        <v>2025.0</v>
      </c>
      <c r="E435" s="43" t="s">
        <v>371</v>
      </c>
      <c r="F435" s="104">
        <v>45910.0</v>
      </c>
      <c r="G435" s="253">
        <v>45902.0</v>
      </c>
      <c r="H435" s="203" t="s">
        <v>773</v>
      </c>
      <c r="I435" s="203" t="s">
        <v>577</v>
      </c>
      <c r="J435" s="103"/>
      <c r="K435" s="43">
        <v>275935.0</v>
      </c>
      <c r="L435" s="71"/>
      <c r="M435" s="106">
        <f>IF(ISBLANK(K435), "", VLOOKUP(C435&amp;" "&amp;D435, 'Info Tipo de Cambio y REM'!$A$24:$B$35, 2, FALSE))</f>
        <v>1345</v>
      </c>
      <c r="N435" s="107">
        <f t="shared" si="3"/>
        <v>205.1561338</v>
      </c>
      <c r="O435" s="102" t="str">
        <f t="shared" si="2"/>
        <v>Vencido</v>
      </c>
    </row>
    <row r="436" hidden="1">
      <c r="A436" s="43" t="s">
        <v>200</v>
      </c>
      <c r="B436" s="43" t="str">
        <f>IF(A436="", "", IFERROR(VLOOKUP(A436, Clasificaciones!A:B, 2, FALSE), "DATO NO CARGADO"))</f>
        <v>Equipo</v>
      </c>
      <c r="C436" s="51" t="s">
        <v>166</v>
      </c>
      <c r="D436" s="156">
        <v>2025.0</v>
      </c>
      <c r="E436" s="43" t="s">
        <v>371</v>
      </c>
      <c r="F436" s="104">
        <v>45910.0</v>
      </c>
      <c r="G436" s="253">
        <v>45904.0</v>
      </c>
      <c r="H436" s="203" t="s">
        <v>774</v>
      </c>
      <c r="I436" s="203" t="s">
        <v>381</v>
      </c>
      <c r="J436" s="103"/>
      <c r="K436" s="43">
        <v>614374.0</v>
      </c>
      <c r="L436" s="71"/>
      <c r="M436" s="106">
        <f>IF(ISBLANK(K436), "", VLOOKUP(C436&amp;" "&amp;D436, 'Info Tipo de Cambio y REM'!$A$24:$B$35, 2, FALSE))</f>
        <v>1345</v>
      </c>
      <c r="N436" s="107">
        <f t="shared" si="3"/>
        <v>456.7836431</v>
      </c>
      <c r="O436" s="102" t="str">
        <f t="shared" si="2"/>
        <v>Vencido</v>
      </c>
    </row>
    <row r="437" hidden="1">
      <c r="A437" s="43" t="s">
        <v>87</v>
      </c>
      <c r="B437" s="43" t="str">
        <f>IF(A437="", "", IFERROR(VLOOKUP(A437, Clasificaciones!A:B, 2, FALSE), "DATO NO CARGADO"))</f>
        <v>Equipo</v>
      </c>
      <c r="C437" s="51" t="s">
        <v>166</v>
      </c>
      <c r="D437" s="156">
        <v>2025.0</v>
      </c>
      <c r="E437" s="43" t="s">
        <v>371</v>
      </c>
      <c r="F437" s="104">
        <v>45910.0</v>
      </c>
      <c r="G437" s="253">
        <v>45901.0</v>
      </c>
      <c r="H437" s="203" t="s">
        <v>775</v>
      </c>
      <c r="I437" s="203" t="s">
        <v>776</v>
      </c>
      <c r="J437" s="103"/>
      <c r="K437" s="43">
        <v>1171485.0</v>
      </c>
      <c r="L437" s="71"/>
      <c r="M437" s="106">
        <f>IF(ISBLANK(K437), "", VLOOKUP(C437&amp;" "&amp;D437, 'Info Tipo de Cambio y REM'!$A$24:$B$35, 2, FALSE))</f>
        <v>1345</v>
      </c>
      <c r="N437" s="107">
        <f t="shared" si="3"/>
        <v>870.9925651</v>
      </c>
      <c r="O437" s="102" t="str">
        <f t="shared" si="2"/>
        <v>Vencido</v>
      </c>
    </row>
    <row r="438" hidden="1">
      <c r="A438" s="43" t="s">
        <v>210</v>
      </c>
      <c r="B438" s="43" t="str">
        <f>IF(A438="", "", IFERROR(VLOOKUP(A438, Clasificaciones!A:B, 2, FALSE), "DATO NO CARGADO"))</f>
        <v>Equipo</v>
      </c>
      <c r="C438" s="51" t="s">
        <v>166</v>
      </c>
      <c r="D438" s="156">
        <v>2025.0</v>
      </c>
      <c r="E438" s="43" t="s">
        <v>371</v>
      </c>
      <c r="F438" s="104">
        <v>45910.0</v>
      </c>
      <c r="G438" s="256">
        <v>45902.0</v>
      </c>
      <c r="H438" s="203" t="s">
        <v>777</v>
      </c>
      <c r="I438" s="203" t="s">
        <v>397</v>
      </c>
      <c r="J438" s="103"/>
      <c r="K438" s="43">
        <v>450425.0</v>
      </c>
      <c r="L438" s="71"/>
      <c r="M438" s="106">
        <f>IF(ISBLANK(K438), "", VLOOKUP(C438&amp;" "&amp;D438, 'Info Tipo de Cambio y REM'!$A$24:$B$35, 2, FALSE))</f>
        <v>1345</v>
      </c>
      <c r="N438" s="107">
        <f t="shared" si="3"/>
        <v>334.8884758</v>
      </c>
      <c r="O438" s="102" t="str">
        <f t="shared" si="2"/>
        <v>Vencido</v>
      </c>
    </row>
    <row r="439">
      <c r="A439" s="43" t="s">
        <v>191</v>
      </c>
      <c r="B439" s="43" t="str">
        <f>IF(A439="", "", IFERROR(VLOOKUP(A439, Clasificaciones!A:B, 2, FALSE), "DATO NO CARGADO"))</f>
        <v>Tarjeta</v>
      </c>
      <c r="C439" s="51" t="s">
        <v>171</v>
      </c>
      <c r="D439" s="156">
        <v>2025.0</v>
      </c>
      <c r="E439" s="43" t="s">
        <v>374</v>
      </c>
      <c r="F439" s="103"/>
      <c r="G439" s="104">
        <v>45902.0</v>
      </c>
      <c r="H439" s="83" t="s">
        <v>910</v>
      </c>
      <c r="J439" s="104">
        <v>45902.0</v>
      </c>
      <c r="L439" s="123">
        <v>500.96</v>
      </c>
      <c r="M439" s="106" t="str">
        <f>IF(ISBLANK(K439), "", VLOOKUP(C439&amp;" "&amp;D439, 'Info Tipo de Cambio y REM'!$A$24:$B$35, 2, FALSE))</f>
        <v/>
      </c>
      <c r="N439" s="107">
        <f t="shared" si="3"/>
        <v>500.96</v>
      </c>
      <c r="O439" s="102" t="str">
        <f t="shared" si="2"/>
        <v>A término</v>
      </c>
    </row>
    <row r="440">
      <c r="A440" s="43" t="s">
        <v>191</v>
      </c>
      <c r="B440" s="43" t="str">
        <f>IF(A440="", "", IFERROR(VLOOKUP(A440, Clasificaciones!A:B, 2, FALSE), "DATO NO CARGADO"))</f>
        <v>Tarjeta</v>
      </c>
      <c r="C440" s="51" t="s">
        <v>171</v>
      </c>
      <c r="D440" s="156">
        <v>2025.0</v>
      </c>
      <c r="E440" s="43" t="s">
        <v>374</v>
      </c>
      <c r="F440" s="103"/>
      <c r="G440" s="104">
        <v>45902.0</v>
      </c>
      <c r="H440" s="83" t="s">
        <v>911</v>
      </c>
      <c r="J440" s="104">
        <v>45902.0</v>
      </c>
      <c r="L440" s="123">
        <v>14.0</v>
      </c>
      <c r="M440" s="106" t="str">
        <f>IF(ISBLANK(K440), "", VLOOKUP(C440&amp;" "&amp;D440, 'Info Tipo de Cambio y REM'!$A$24:$B$35, 2, FALSE))</f>
        <v/>
      </c>
      <c r="N440" s="107">
        <f t="shared" si="3"/>
        <v>14</v>
      </c>
      <c r="O440" s="102" t="str">
        <f t="shared" si="2"/>
        <v>A término</v>
      </c>
    </row>
    <row r="441">
      <c r="A441" s="43" t="s">
        <v>191</v>
      </c>
      <c r="B441" s="43" t="str">
        <f>IF(A441="", "", IFERROR(VLOOKUP(A441, Clasificaciones!A:B, 2, FALSE), "DATO NO CARGADO"))</f>
        <v>Tarjeta</v>
      </c>
      <c r="C441" s="51" t="s">
        <v>171</v>
      </c>
      <c r="D441" s="156">
        <v>2025.0</v>
      </c>
      <c r="E441" s="43" t="s">
        <v>374</v>
      </c>
      <c r="F441" s="103"/>
      <c r="G441" s="104">
        <v>45902.0</v>
      </c>
      <c r="H441" s="83" t="s">
        <v>912</v>
      </c>
      <c r="J441" s="104">
        <v>45902.0</v>
      </c>
      <c r="L441" s="123">
        <v>607.42</v>
      </c>
      <c r="M441" s="106" t="str">
        <f>IF(ISBLANK(K441), "", VLOOKUP(C441&amp;" "&amp;D441, 'Info Tipo de Cambio y REM'!$A$24:$B$35, 2, FALSE))</f>
        <v/>
      </c>
      <c r="N441" s="107">
        <f t="shared" si="3"/>
        <v>607.42</v>
      </c>
      <c r="O441" s="102" t="str">
        <f t="shared" si="2"/>
        <v>A término</v>
      </c>
    </row>
    <row r="442">
      <c r="A442" s="43" t="s">
        <v>191</v>
      </c>
      <c r="B442" s="43" t="str">
        <f>IF(A442="", "", IFERROR(VLOOKUP(A442, Clasificaciones!A:B, 2, FALSE), "DATO NO CARGADO"))</f>
        <v>Tarjeta</v>
      </c>
      <c r="C442" s="51" t="s">
        <v>171</v>
      </c>
      <c r="D442" s="156">
        <v>2025.0</v>
      </c>
      <c r="E442" s="43" t="s">
        <v>374</v>
      </c>
      <c r="F442" s="103"/>
      <c r="G442" s="104">
        <v>45902.0</v>
      </c>
      <c r="H442" s="83" t="s">
        <v>913</v>
      </c>
      <c r="J442" s="104">
        <v>45902.0</v>
      </c>
      <c r="L442" s="123">
        <v>6.05</v>
      </c>
      <c r="M442" s="106" t="str">
        <f>IF(ISBLANK(K442), "", VLOOKUP(C442&amp;" "&amp;D442, 'Info Tipo de Cambio y REM'!$A$24:$B$35, 2, FALSE))</f>
        <v/>
      </c>
      <c r="N442" s="107">
        <f t="shared" si="3"/>
        <v>6.05</v>
      </c>
      <c r="O442" s="102" t="str">
        <f t="shared" si="2"/>
        <v>A término</v>
      </c>
    </row>
    <row r="443">
      <c r="A443" s="43" t="s">
        <v>191</v>
      </c>
      <c r="B443" s="43" t="str">
        <f>IF(A443="", "", IFERROR(VLOOKUP(A443, Clasificaciones!A:B, 2, FALSE), "DATO NO CARGADO"))</f>
        <v>Tarjeta</v>
      </c>
      <c r="C443" s="51" t="s">
        <v>171</v>
      </c>
      <c r="D443" s="156">
        <v>2025.0</v>
      </c>
      <c r="E443" s="43" t="s">
        <v>374</v>
      </c>
      <c r="F443" s="103"/>
      <c r="G443" s="104">
        <v>45903.0</v>
      </c>
      <c r="H443" s="83" t="s">
        <v>914</v>
      </c>
      <c r="J443" s="104">
        <v>45903.0</v>
      </c>
      <c r="L443" s="123">
        <v>14.19</v>
      </c>
      <c r="M443" s="106" t="str">
        <f>IF(ISBLANK(K443), "", VLOOKUP(C443&amp;" "&amp;D443, 'Info Tipo de Cambio y REM'!$A$24:$B$35, 2, FALSE))</f>
        <v/>
      </c>
      <c r="N443" s="107">
        <f t="shared" si="3"/>
        <v>14.19</v>
      </c>
      <c r="O443" s="102" t="str">
        <f t="shared" si="2"/>
        <v>A término</v>
      </c>
    </row>
    <row r="444">
      <c r="A444" s="43" t="s">
        <v>191</v>
      </c>
      <c r="B444" s="43" t="str">
        <f>IF(A444="", "", IFERROR(VLOOKUP(A444, Clasificaciones!A:B, 2, FALSE), "DATO NO CARGADO"))</f>
        <v>Tarjeta</v>
      </c>
      <c r="C444" s="51" t="s">
        <v>171</v>
      </c>
      <c r="D444" s="156">
        <v>2025.0</v>
      </c>
      <c r="E444" s="43" t="s">
        <v>374</v>
      </c>
      <c r="F444" s="103"/>
      <c r="G444" s="104">
        <v>45903.0</v>
      </c>
      <c r="H444" s="83" t="s">
        <v>915</v>
      </c>
      <c r="J444" s="104">
        <v>45903.0</v>
      </c>
      <c r="L444" s="123">
        <v>22.99</v>
      </c>
      <c r="M444" s="106" t="str">
        <f>IF(ISBLANK(K444), "", VLOOKUP(C444&amp;" "&amp;D444, 'Info Tipo de Cambio y REM'!$A$24:$B$35, 2, FALSE))</f>
        <v/>
      </c>
      <c r="N444" s="107">
        <f t="shared" si="3"/>
        <v>22.99</v>
      </c>
      <c r="O444" s="102" t="str">
        <f t="shared" si="2"/>
        <v>A término</v>
      </c>
    </row>
    <row r="445">
      <c r="A445" s="43" t="s">
        <v>191</v>
      </c>
      <c r="B445" s="43" t="str">
        <f>IF(A445="", "", IFERROR(VLOOKUP(A445, Clasificaciones!A:B, 2, FALSE), "DATO NO CARGADO"))</f>
        <v>Tarjeta</v>
      </c>
      <c r="C445" s="51" t="s">
        <v>171</v>
      </c>
      <c r="D445" s="156">
        <v>2025.0</v>
      </c>
      <c r="E445" s="43" t="s">
        <v>374</v>
      </c>
      <c r="F445" s="103"/>
      <c r="G445" s="104">
        <v>45908.0</v>
      </c>
      <c r="H445" s="83" t="s">
        <v>916</v>
      </c>
      <c r="J445" s="104">
        <v>45908.0</v>
      </c>
      <c r="L445" s="123">
        <v>20.0</v>
      </c>
      <c r="M445" s="106" t="str">
        <f>IF(ISBLANK(K445), "", VLOOKUP(C445&amp;" "&amp;D445, 'Info Tipo de Cambio y REM'!$A$24:$B$35, 2, FALSE))</f>
        <v/>
      </c>
      <c r="N445" s="107">
        <f t="shared" si="3"/>
        <v>20</v>
      </c>
      <c r="O445" s="102" t="str">
        <f t="shared" si="2"/>
        <v>A término</v>
      </c>
    </row>
    <row r="446">
      <c r="A446" s="43" t="s">
        <v>191</v>
      </c>
      <c r="B446" s="43" t="str">
        <f>IF(A446="", "", IFERROR(VLOOKUP(A446, Clasificaciones!A:B, 2, FALSE), "DATO NO CARGADO"))</f>
        <v>Tarjeta</v>
      </c>
      <c r="C446" s="51" t="s">
        <v>171</v>
      </c>
      <c r="D446" s="156">
        <v>2025.0</v>
      </c>
      <c r="E446" s="43" t="s">
        <v>374</v>
      </c>
      <c r="F446" s="103"/>
      <c r="G446" s="104">
        <v>45908.0</v>
      </c>
      <c r="H446" s="83" t="s">
        <v>917</v>
      </c>
      <c r="J446" s="104">
        <v>45908.0</v>
      </c>
      <c r="L446" s="123">
        <v>6.49</v>
      </c>
      <c r="M446" s="106" t="str">
        <f>IF(ISBLANK(K446), "", VLOOKUP(C446&amp;" "&amp;D446, 'Info Tipo de Cambio y REM'!$A$24:$B$35, 2, FALSE))</f>
        <v/>
      </c>
      <c r="N446" s="107">
        <f t="shared" si="3"/>
        <v>6.49</v>
      </c>
      <c r="O446" s="102" t="str">
        <f t="shared" si="2"/>
        <v>A término</v>
      </c>
    </row>
    <row r="447">
      <c r="A447" s="43" t="s">
        <v>191</v>
      </c>
      <c r="B447" s="43" t="str">
        <f>IF(A447="", "", IFERROR(VLOOKUP(A447, Clasificaciones!A:B, 2, FALSE), "DATO NO CARGADO"))</f>
        <v>Tarjeta</v>
      </c>
      <c r="C447" s="51" t="s">
        <v>171</v>
      </c>
      <c r="D447" s="156">
        <v>2025.0</v>
      </c>
      <c r="E447" s="43" t="s">
        <v>374</v>
      </c>
      <c r="F447" s="103"/>
      <c r="G447" s="104">
        <v>45908.0</v>
      </c>
      <c r="H447" s="83" t="s">
        <v>918</v>
      </c>
      <c r="J447" s="104">
        <v>45908.0</v>
      </c>
      <c r="L447" s="123">
        <v>29.0</v>
      </c>
      <c r="M447" s="106" t="str">
        <f>IF(ISBLANK(K447), "", VLOOKUP(C447&amp;" "&amp;D447, 'Info Tipo de Cambio y REM'!$A$24:$B$35, 2, FALSE))</f>
        <v/>
      </c>
      <c r="N447" s="107">
        <f t="shared" si="3"/>
        <v>29</v>
      </c>
      <c r="O447" s="102" t="str">
        <f t="shared" si="2"/>
        <v>A término</v>
      </c>
    </row>
    <row r="448">
      <c r="A448" s="43" t="s">
        <v>191</v>
      </c>
      <c r="B448" s="43" t="str">
        <f>IF(A448="", "", IFERROR(VLOOKUP(A448, Clasificaciones!A:B, 2, FALSE), "DATO NO CARGADO"))</f>
        <v>Tarjeta</v>
      </c>
      <c r="C448" s="51" t="s">
        <v>171</v>
      </c>
      <c r="D448" s="156">
        <v>2025.0</v>
      </c>
      <c r="E448" s="43" t="s">
        <v>374</v>
      </c>
      <c r="F448" s="103"/>
      <c r="G448" s="104">
        <v>45909.0</v>
      </c>
      <c r="H448" s="83" t="s">
        <v>919</v>
      </c>
      <c r="J448" s="104">
        <v>45909.0</v>
      </c>
      <c r="L448" s="123">
        <v>500.2</v>
      </c>
      <c r="M448" s="106" t="str">
        <f>IF(ISBLANK(K448), "", VLOOKUP(C448&amp;" "&amp;D448, 'Info Tipo de Cambio y REM'!$A$24:$B$35, 2, FALSE))</f>
        <v/>
      </c>
      <c r="N448" s="107">
        <f t="shared" si="3"/>
        <v>500.2</v>
      </c>
      <c r="O448" s="102" t="str">
        <f t="shared" si="2"/>
        <v>A término</v>
      </c>
    </row>
    <row r="449">
      <c r="A449" s="43" t="s">
        <v>191</v>
      </c>
      <c r="B449" s="43" t="str">
        <f>IF(A449="", "", IFERROR(VLOOKUP(A449, Clasificaciones!A:B, 2, FALSE), "DATO NO CARGADO"))</f>
        <v>Tarjeta</v>
      </c>
      <c r="C449" s="51" t="s">
        <v>171</v>
      </c>
      <c r="D449" s="156">
        <v>2025.0</v>
      </c>
      <c r="E449" s="43" t="s">
        <v>374</v>
      </c>
      <c r="F449" s="103"/>
      <c r="G449" s="104">
        <v>45910.0</v>
      </c>
      <c r="H449" s="83" t="s">
        <v>920</v>
      </c>
      <c r="J449" s="104">
        <v>45910.0</v>
      </c>
      <c r="L449" s="123">
        <v>171.47</v>
      </c>
      <c r="M449" s="106" t="str">
        <f>IF(ISBLANK(K449), "", VLOOKUP(C449&amp;" "&amp;D449, 'Info Tipo de Cambio y REM'!$A$24:$B$35, 2, FALSE))</f>
        <v/>
      </c>
      <c r="N449" s="107">
        <f t="shared" si="3"/>
        <v>171.47</v>
      </c>
      <c r="O449" s="102" t="str">
        <f t="shared" si="2"/>
        <v>A término</v>
      </c>
    </row>
    <row r="450">
      <c r="A450" s="43" t="s">
        <v>191</v>
      </c>
      <c r="B450" s="43" t="str">
        <f>IF(A450="", "", IFERROR(VLOOKUP(A450, Clasificaciones!A:B, 2, FALSE), "DATO NO CARGADO"))</f>
        <v>Tarjeta</v>
      </c>
      <c r="C450" s="51" t="s">
        <v>171</v>
      </c>
      <c r="D450" s="156">
        <v>2025.0</v>
      </c>
      <c r="E450" s="43" t="s">
        <v>374</v>
      </c>
      <c r="F450" s="103"/>
      <c r="G450" s="104">
        <v>45912.0</v>
      </c>
      <c r="H450" s="83" t="s">
        <v>921</v>
      </c>
      <c r="J450" s="104">
        <v>45912.0</v>
      </c>
      <c r="L450" s="123">
        <v>20.0</v>
      </c>
      <c r="M450" s="106" t="str">
        <f>IF(ISBLANK(K450), "", VLOOKUP(C450&amp;" "&amp;D450, 'Info Tipo de Cambio y REM'!$A$24:$B$35, 2, FALSE))</f>
        <v/>
      </c>
      <c r="N450" s="107">
        <f t="shared" si="3"/>
        <v>20</v>
      </c>
      <c r="O450" s="102" t="str">
        <f t="shared" si="2"/>
        <v>A término</v>
      </c>
    </row>
    <row r="451">
      <c r="A451" s="43" t="s">
        <v>185</v>
      </c>
      <c r="B451" s="43" t="str">
        <f>IF(A451="", "", IFERROR(VLOOKUP(A451, Clasificaciones!A:B, 2, FALSE), "DATO NO CARGADO"))</f>
        <v>Comisiones Bancarias</v>
      </c>
      <c r="C451" s="51" t="s">
        <v>171</v>
      </c>
      <c r="D451" s="156">
        <v>2025.0</v>
      </c>
      <c r="E451" s="43" t="s">
        <v>374</v>
      </c>
      <c r="F451" s="103"/>
      <c r="G451" s="104">
        <v>45902.0</v>
      </c>
      <c r="H451" s="83" t="s">
        <v>549</v>
      </c>
      <c r="J451" s="104">
        <v>45902.0</v>
      </c>
      <c r="L451" s="89">
        <v>45.0</v>
      </c>
      <c r="M451" s="106" t="str">
        <f>IF(ISBLANK(K451), "", VLOOKUP(C451&amp;" "&amp;D451, 'Info Tipo de Cambio y REM'!$A$24:$B$35, 2, FALSE))</f>
        <v/>
      </c>
      <c r="N451" s="107">
        <f t="shared" si="3"/>
        <v>45</v>
      </c>
      <c r="O451" s="102" t="str">
        <f t="shared" si="2"/>
        <v>A término</v>
      </c>
    </row>
    <row r="452">
      <c r="A452" s="43" t="s">
        <v>185</v>
      </c>
      <c r="B452" s="43" t="str">
        <f>IF(A452="", "", IFERROR(VLOOKUP(A452, Clasificaciones!A:B, 2, FALSE), "DATO NO CARGADO"))</f>
        <v>Comisiones Bancarias</v>
      </c>
      <c r="C452" s="51" t="s">
        <v>171</v>
      </c>
      <c r="D452" s="156">
        <v>2025.0</v>
      </c>
      <c r="E452" s="43" t="s">
        <v>374</v>
      </c>
      <c r="F452" s="103"/>
      <c r="G452" s="104">
        <v>45902.0</v>
      </c>
      <c r="H452" s="83" t="s">
        <v>549</v>
      </c>
      <c r="J452" s="104">
        <v>45902.0</v>
      </c>
      <c r="L452" s="89">
        <v>45.0</v>
      </c>
      <c r="M452" s="106" t="str">
        <f>IF(ISBLANK(K452), "", VLOOKUP(C452&amp;" "&amp;D452, 'Info Tipo de Cambio y REM'!$A$24:$B$35, 2, FALSE))</f>
        <v/>
      </c>
      <c r="N452" s="107">
        <f t="shared" si="3"/>
        <v>45</v>
      </c>
      <c r="O452" s="102" t="str">
        <f t="shared" si="2"/>
        <v>A término</v>
      </c>
    </row>
    <row r="453">
      <c r="A453" s="43" t="s">
        <v>185</v>
      </c>
      <c r="B453" s="43" t="str">
        <f>IF(A453="", "", IFERROR(VLOOKUP(A453, Clasificaciones!A:B, 2, FALSE), "DATO NO CARGADO"))</f>
        <v>Comisiones Bancarias</v>
      </c>
      <c r="C453" s="51" t="s">
        <v>171</v>
      </c>
      <c r="D453" s="156">
        <v>2025.0</v>
      </c>
      <c r="E453" s="43" t="s">
        <v>374</v>
      </c>
      <c r="F453" s="103"/>
      <c r="G453" s="104">
        <v>45902.0</v>
      </c>
      <c r="H453" s="83" t="s">
        <v>549</v>
      </c>
      <c r="J453" s="104">
        <v>45902.0</v>
      </c>
      <c r="L453" s="89">
        <v>45.0</v>
      </c>
      <c r="M453" s="106" t="str">
        <f>IF(ISBLANK(K453), "", VLOOKUP(C453&amp;" "&amp;D453, 'Info Tipo de Cambio y REM'!$A$24:$B$35, 2, FALSE))</f>
        <v/>
      </c>
      <c r="N453" s="107">
        <f t="shared" si="3"/>
        <v>45</v>
      </c>
      <c r="O453" s="102" t="str">
        <f t="shared" si="2"/>
        <v>A término</v>
      </c>
    </row>
    <row r="454">
      <c r="A454" s="43" t="s">
        <v>185</v>
      </c>
      <c r="B454" s="43" t="str">
        <f>IF(A454="", "", IFERROR(VLOOKUP(A454, Clasificaciones!A:B, 2, FALSE), "DATO NO CARGADO"))</f>
        <v>Comisiones Bancarias</v>
      </c>
      <c r="C454" s="51" t="s">
        <v>171</v>
      </c>
      <c r="D454" s="156">
        <v>2025.0</v>
      </c>
      <c r="E454" s="43" t="s">
        <v>374</v>
      </c>
      <c r="F454" s="103"/>
      <c r="G454" s="104">
        <v>45902.0</v>
      </c>
      <c r="H454" s="83" t="s">
        <v>549</v>
      </c>
      <c r="J454" s="104">
        <v>45902.0</v>
      </c>
      <c r="L454" s="89">
        <v>45.0</v>
      </c>
      <c r="M454" s="106" t="str">
        <f>IF(ISBLANK(K454), "", VLOOKUP(C454&amp;" "&amp;D454, 'Info Tipo de Cambio y REM'!$A$24:$B$35, 2, FALSE))</f>
        <v/>
      </c>
      <c r="N454" s="107">
        <f t="shared" si="3"/>
        <v>45</v>
      </c>
      <c r="O454" s="102" t="str">
        <f t="shared" si="2"/>
        <v>A término</v>
      </c>
    </row>
    <row r="455">
      <c r="A455" s="43" t="s">
        <v>185</v>
      </c>
      <c r="B455" s="43" t="str">
        <f>IF(A455="", "", IFERROR(VLOOKUP(A455, Clasificaciones!A:B, 2, FALSE), "DATO NO CARGADO"))</f>
        <v>Comisiones Bancarias</v>
      </c>
      <c r="C455" s="51" t="s">
        <v>171</v>
      </c>
      <c r="D455" s="156">
        <v>2025.0</v>
      </c>
      <c r="E455" s="43" t="s">
        <v>374</v>
      </c>
      <c r="F455" s="103"/>
      <c r="G455" s="104">
        <v>45902.0</v>
      </c>
      <c r="H455" s="83" t="s">
        <v>549</v>
      </c>
      <c r="J455" s="104">
        <v>45902.0</v>
      </c>
      <c r="L455" s="89">
        <v>45.0</v>
      </c>
      <c r="M455" s="106" t="str">
        <f>IF(ISBLANK(K455), "", VLOOKUP(C455&amp;" "&amp;D455, 'Info Tipo de Cambio y REM'!$A$24:$B$35, 2, FALSE))</f>
        <v/>
      </c>
      <c r="N455" s="107">
        <f t="shared" si="3"/>
        <v>45</v>
      </c>
      <c r="O455" s="102" t="str">
        <f t="shared" si="2"/>
        <v>A término</v>
      </c>
    </row>
    <row r="456">
      <c r="A456" s="43" t="s">
        <v>185</v>
      </c>
      <c r="B456" s="43" t="str">
        <f>IF(A456="", "", IFERROR(VLOOKUP(A456, Clasificaciones!A:B, 2, FALSE), "DATO NO CARGADO"))</f>
        <v>Comisiones Bancarias</v>
      </c>
      <c r="C456" s="51" t="s">
        <v>171</v>
      </c>
      <c r="D456" s="156">
        <v>2025.0</v>
      </c>
      <c r="E456" s="43" t="s">
        <v>374</v>
      </c>
      <c r="F456" s="103"/>
      <c r="G456" s="104">
        <v>45902.0</v>
      </c>
      <c r="H456" s="83" t="s">
        <v>549</v>
      </c>
      <c r="J456" s="104">
        <v>45902.0</v>
      </c>
      <c r="L456" s="89">
        <v>45.0</v>
      </c>
      <c r="M456" s="106" t="str">
        <f>IF(ISBLANK(K456), "", VLOOKUP(C456&amp;" "&amp;D456, 'Info Tipo de Cambio y REM'!$A$24:$B$35, 2, FALSE))</f>
        <v/>
      </c>
      <c r="N456" s="107">
        <f t="shared" si="3"/>
        <v>45</v>
      </c>
      <c r="O456" s="102" t="str">
        <f t="shared" si="2"/>
        <v>A término</v>
      </c>
    </row>
    <row r="457">
      <c r="A457" s="43" t="s">
        <v>185</v>
      </c>
      <c r="B457" s="43" t="str">
        <f>IF(A457="", "", IFERROR(VLOOKUP(A457, Clasificaciones!A:B, 2, FALSE), "DATO NO CARGADO"))</f>
        <v>Comisiones Bancarias</v>
      </c>
      <c r="C457" s="51" t="s">
        <v>171</v>
      </c>
      <c r="D457" s="156">
        <v>2025.0</v>
      </c>
      <c r="E457" s="43" t="s">
        <v>374</v>
      </c>
      <c r="F457" s="103"/>
      <c r="G457" s="104">
        <v>45902.0</v>
      </c>
      <c r="H457" s="83" t="s">
        <v>549</v>
      </c>
      <c r="J457" s="104">
        <v>45902.0</v>
      </c>
      <c r="L457" s="89">
        <v>45.0</v>
      </c>
      <c r="M457" s="106" t="str">
        <f>IF(ISBLANK(K457), "", VLOOKUP(C457&amp;" "&amp;D457, 'Info Tipo de Cambio y REM'!$A$24:$B$35, 2, FALSE))</f>
        <v/>
      </c>
      <c r="N457" s="107">
        <f t="shared" si="3"/>
        <v>45</v>
      </c>
      <c r="O457" s="102" t="str">
        <f t="shared" si="2"/>
        <v>A término</v>
      </c>
    </row>
    <row r="458">
      <c r="A458" s="43" t="s">
        <v>185</v>
      </c>
      <c r="B458" s="43" t="str">
        <f>IF(A458="", "", IFERROR(VLOOKUP(A458, Clasificaciones!A:B, 2, FALSE), "DATO NO CARGADO"))</f>
        <v>Comisiones Bancarias</v>
      </c>
      <c r="C458" s="51" t="s">
        <v>171</v>
      </c>
      <c r="D458" s="156">
        <v>2025.0</v>
      </c>
      <c r="E458" s="43" t="s">
        <v>374</v>
      </c>
      <c r="F458" s="103"/>
      <c r="G458" s="104">
        <v>45902.0</v>
      </c>
      <c r="H458" s="83" t="s">
        <v>549</v>
      </c>
      <c r="J458" s="104">
        <v>45902.0</v>
      </c>
      <c r="L458" s="89">
        <v>45.0</v>
      </c>
      <c r="M458" s="106" t="str">
        <f>IF(ISBLANK(K458), "", VLOOKUP(C458&amp;" "&amp;D458, 'Info Tipo de Cambio y REM'!$A$24:$B$35, 2, FALSE))</f>
        <v/>
      </c>
      <c r="N458" s="107">
        <f t="shared" si="3"/>
        <v>45</v>
      </c>
      <c r="O458" s="102" t="str">
        <f t="shared" si="2"/>
        <v>A término</v>
      </c>
    </row>
    <row r="459">
      <c r="A459" s="43" t="s">
        <v>185</v>
      </c>
      <c r="B459" s="43" t="str">
        <f>IF(A459="", "", IFERROR(VLOOKUP(A459, Clasificaciones!A:B, 2, FALSE), "DATO NO CARGADO"))</f>
        <v>Comisiones Bancarias</v>
      </c>
      <c r="C459" s="51" t="s">
        <v>171</v>
      </c>
      <c r="D459" s="156">
        <v>2025.0</v>
      </c>
      <c r="E459" s="43" t="s">
        <v>374</v>
      </c>
      <c r="F459" s="103"/>
      <c r="G459" s="104">
        <v>45902.0</v>
      </c>
      <c r="H459" s="83" t="s">
        <v>549</v>
      </c>
      <c r="J459" s="104">
        <v>45902.0</v>
      </c>
      <c r="L459" s="89">
        <v>45.0</v>
      </c>
      <c r="M459" s="106" t="str">
        <f>IF(ISBLANK(K459), "", VLOOKUP(C459&amp;" "&amp;D459, 'Info Tipo de Cambio y REM'!$A$24:$B$35, 2, FALSE))</f>
        <v/>
      </c>
      <c r="N459" s="107">
        <f t="shared" si="3"/>
        <v>45</v>
      </c>
      <c r="O459" s="102" t="str">
        <f t="shared" si="2"/>
        <v>A término</v>
      </c>
    </row>
    <row r="460">
      <c r="A460" s="43" t="s">
        <v>185</v>
      </c>
      <c r="B460" s="43" t="str">
        <f>IF(A460="", "", IFERROR(VLOOKUP(A460, Clasificaciones!A:B, 2, FALSE), "DATO NO CARGADO"))</f>
        <v>Comisiones Bancarias</v>
      </c>
      <c r="C460" s="51" t="s">
        <v>171</v>
      </c>
      <c r="D460" s="156">
        <v>2025.0</v>
      </c>
      <c r="E460" s="43" t="s">
        <v>374</v>
      </c>
      <c r="F460" s="103"/>
      <c r="G460" s="104">
        <v>45902.0</v>
      </c>
      <c r="H460" s="83" t="s">
        <v>549</v>
      </c>
      <c r="J460" s="104">
        <v>45902.0</v>
      </c>
      <c r="L460" s="89">
        <v>45.0</v>
      </c>
      <c r="M460" s="106" t="str">
        <f>IF(ISBLANK(K460), "", VLOOKUP(C460&amp;" "&amp;D460, 'Info Tipo de Cambio y REM'!$A$24:$B$35, 2, FALSE))</f>
        <v/>
      </c>
      <c r="N460" s="107">
        <f t="shared" si="3"/>
        <v>45</v>
      </c>
      <c r="O460" s="102" t="str">
        <f t="shared" si="2"/>
        <v>A término</v>
      </c>
    </row>
    <row r="461">
      <c r="A461" s="43" t="s">
        <v>185</v>
      </c>
      <c r="B461" s="43" t="str">
        <f>IF(A461="", "", IFERROR(VLOOKUP(A461, Clasificaciones!A:B, 2, FALSE), "DATO NO CARGADO"))</f>
        <v>Comisiones Bancarias</v>
      </c>
      <c r="C461" s="51" t="s">
        <v>171</v>
      </c>
      <c r="D461" s="156">
        <v>2025.0</v>
      </c>
      <c r="E461" s="43" t="s">
        <v>374</v>
      </c>
      <c r="F461" s="103"/>
      <c r="G461" s="104">
        <v>45902.0</v>
      </c>
      <c r="H461" s="83" t="s">
        <v>549</v>
      </c>
      <c r="J461" s="104">
        <v>45902.0</v>
      </c>
      <c r="L461" s="89">
        <v>45.0</v>
      </c>
      <c r="M461" s="106" t="str">
        <f>IF(ISBLANK(K461), "", VLOOKUP(C461&amp;" "&amp;D461, 'Info Tipo de Cambio y REM'!$A$24:$B$35, 2, FALSE))</f>
        <v/>
      </c>
      <c r="N461" s="107">
        <f t="shared" si="3"/>
        <v>45</v>
      </c>
      <c r="O461" s="102" t="str">
        <f t="shared" si="2"/>
        <v>A término</v>
      </c>
    </row>
    <row r="462">
      <c r="A462" s="43" t="s">
        <v>185</v>
      </c>
      <c r="B462" s="43" t="str">
        <f>IF(A462="", "", IFERROR(VLOOKUP(A462, Clasificaciones!A:B, 2, FALSE), "DATO NO CARGADO"))</f>
        <v>Comisiones Bancarias</v>
      </c>
      <c r="C462" s="51" t="s">
        <v>171</v>
      </c>
      <c r="D462" s="156">
        <v>2025.0</v>
      </c>
      <c r="E462" s="43" t="s">
        <v>374</v>
      </c>
      <c r="F462" s="103"/>
      <c r="G462" s="104">
        <v>45902.0</v>
      </c>
      <c r="H462" s="83" t="s">
        <v>549</v>
      </c>
      <c r="J462" s="104">
        <v>45902.0</v>
      </c>
      <c r="L462" s="89">
        <v>45.0</v>
      </c>
      <c r="M462" s="106" t="str">
        <f>IF(ISBLANK(K462), "", VLOOKUP(C462&amp;" "&amp;D462, 'Info Tipo de Cambio y REM'!$A$24:$B$35, 2, FALSE))</f>
        <v/>
      </c>
      <c r="N462" s="107">
        <f t="shared" si="3"/>
        <v>45</v>
      </c>
      <c r="O462" s="102" t="str">
        <f t="shared" si="2"/>
        <v>A término</v>
      </c>
    </row>
    <row r="463">
      <c r="A463" s="43" t="s">
        <v>185</v>
      </c>
      <c r="B463" s="43" t="str">
        <f>IF(A463="", "", IFERROR(VLOOKUP(A463, Clasificaciones!A:B, 2, FALSE), "DATO NO CARGADO"))</f>
        <v>Comisiones Bancarias</v>
      </c>
      <c r="C463" s="51" t="s">
        <v>171</v>
      </c>
      <c r="D463" s="156">
        <v>2025.0</v>
      </c>
      <c r="E463" s="43" t="s">
        <v>374</v>
      </c>
      <c r="F463" s="103"/>
      <c r="G463" s="104">
        <v>45902.0</v>
      </c>
      <c r="H463" s="83" t="s">
        <v>549</v>
      </c>
      <c r="J463" s="104">
        <v>45902.0</v>
      </c>
      <c r="L463" s="89">
        <v>45.0</v>
      </c>
      <c r="M463" s="106" t="str">
        <f>IF(ISBLANK(K463), "", VLOOKUP(C463&amp;" "&amp;D463, 'Info Tipo de Cambio y REM'!$A$24:$B$35, 2, FALSE))</f>
        <v/>
      </c>
      <c r="N463" s="107">
        <f t="shared" si="3"/>
        <v>45</v>
      </c>
      <c r="O463" s="102" t="str">
        <f t="shared" si="2"/>
        <v>A término</v>
      </c>
    </row>
    <row r="464">
      <c r="A464" s="43" t="s">
        <v>185</v>
      </c>
      <c r="B464" s="43" t="str">
        <f>IF(A464="", "", IFERROR(VLOOKUP(A464, Clasificaciones!A:B, 2, FALSE), "DATO NO CARGADO"))</f>
        <v>Comisiones Bancarias</v>
      </c>
      <c r="C464" s="51" t="s">
        <v>171</v>
      </c>
      <c r="D464" s="156">
        <v>2025.0</v>
      </c>
      <c r="E464" s="43" t="s">
        <v>374</v>
      </c>
      <c r="F464" s="103"/>
      <c r="G464" s="104">
        <v>45902.0</v>
      </c>
      <c r="H464" s="83" t="s">
        <v>549</v>
      </c>
      <c r="J464" s="104">
        <v>45902.0</v>
      </c>
      <c r="L464" s="89">
        <v>45.0</v>
      </c>
      <c r="M464" s="106" t="str">
        <f>IF(ISBLANK(K464), "", VLOOKUP(C464&amp;" "&amp;D464, 'Info Tipo de Cambio y REM'!$A$24:$B$35, 2, FALSE))</f>
        <v/>
      </c>
      <c r="N464" s="107">
        <f t="shared" si="3"/>
        <v>45</v>
      </c>
      <c r="O464" s="102" t="str">
        <f t="shared" si="2"/>
        <v>A término</v>
      </c>
    </row>
    <row r="465">
      <c r="A465" s="43" t="s">
        <v>185</v>
      </c>
      <c r="B465" s="43" t="str">
        <f>IF(A465="", "", IFERROR(VLOOKUP(A465, Clasificaciones!A:B, 2, FALSE), "DATO NO CARGADO"))</f>
        <v>Comisiones Bancarias</v>
      </c>
      <c r="C465" s="51" t="s">
        <v>171</v>
      </c>
      <c r="D465" s="156">
        <v>2025.0</v>
      </c>
      <c r="E465" s="43" t="s">
        <v>374</v>
      </c>
      <c r="F465" s="103"/>
      <c r="G465" s="104">
        <v>45902.0</v>
      </c>
      <c r="H465" s="83" t="s">
        <v>549</v>
      </c>
      <c r="J465" s="104">
        <v>45902.0</v>
      </c>
      <c r="L465" s="89">
        <v>45.0</v>
      </c>
      <c r="M465" s="106" t="str">
        <f>IF(ISBLANK(K465), "", VLOOKUP(C465&amp;" "&amp;D465, 'Info Tipo de Cambio y REM'!$A$24:$B$35, 2, FALSE))</f>
        <v/>
      </c>
      <c r="N465" s="107">
        <f t="shared" si="3"/>
        <v>45</v>
      </c>
      <c r="O465" s="102" t="str">
        <f t="shared" si="2"/>
        <v>A término</v>
      </c>
    </row>
    <row r="466">
      <c r="A466" s="43" t="s">
        <v>194</v>
      </c>
      <c r="B466" s="43" t="str">
        <f>IF(A466="", "", IFERROR(VLOOKUP(A466, Clasificaciones!A:B, 2, FALSE), "DATO NO CARGADO"))</f>
        <v>Equipo</v>
      </c>
      <c r="C466" s="51" t="s">
        <v>171</v>
      </c>
      <c r="D466" s="156">
        <v>2025.0</v>
      </c>
      <c r="E466" s="43" t="s">
        <v>374</v>
      </c>
      <c r="F466" s="103"/>
      <c r="G466" s="104">
        <v>45908.0</v>
      </c>
      <c r="H466" s="59" t="s">
        <v>1004</v>
      </c>
      <c r="I466" s="59" t="s">
        <v>403</v>
      </c>
      <c r="J466" s="104">
        <v>45910.0</v>
      </c>
      <c r="K466" s="341">
        <v>155290.0</v>
      </c>
      <c r="L466" s="71"/>
      <c r="M466" s="106">
        <f>IF(ISBLANK(K466), "", VLOOKUP(C466&amp;" "&amp;D466, 'Info Tipo de Cambio y REM'!$A$24:$B$35, 2, FALSE))</f>
        <v>1445</v>
      </c>
      <c r="N466" s="107">
        <f t="shared" si="3"/>
        <v>107.467128</v>
      </c>
      <c r="O466" s="102" t="str">
        <f t="shared" si="2"/>
        <v>A término</v>
      </c>
    </row>
    <row r="467">
      <c r="A467" s="43" t="s">
        <v>203</v>
      </c>
      <c r="B467" s="43" t="str">
        <f>IF(A467="", "", IFERROR(VLOOKUP(A467, Clasificaciones!A:B, 2, FALSE), "DATO NO CARGADO"))</f>
        <v>Equipo</v>
      </c>
      <c r="C467" s="51" t="s">
        <v>171</v>
      </c>
      <c r="D467" s="156">
        <v>2025.0</v>
      </c>
      <c r="E467" s="43" t="s">
        <v>374</v>
      </c>
      <c r="F467" s="103"/>
      <c r="G467" s="104">
        <v>45905.0</v>
      </c>
      <c r="H467" s="59" t="s">
        <v>1005</v>
      </c>
      <c r="I467" s="59" t="s">
        <v>409</v>
      </c>
      <c r="J467" s="104">
        <v>45910.0</v>
      </c>
      <c r="K467" s="341">
        <v>621186.0</v>
      </c>
      <c r="L467" s="71"/>
      <c r="M467" s="106">
        <f>IF(ISBLANK(K467), "", VLOOKUP(C467&amp;" "&amp;D467, 'Info Tipo de Cambio y REM'!$A$24:$B$35, 2, FALSE))</f>
        <v>1445</v>
      </c>
      <c r="N467" s="107">
        <f t="shared" si="3"/>
        <v>429.8865052</v>
      </c>
      <c r="O467" s="102" t="str">
        <f t="shared" si="2"/>
        <v>A término</v>
      </c>
    </row>
    <row r="468">
      <c r="A468" s="43" t="s">
        <v>205</v>
      </c>
      <c r="B468" s="43" t="str">
        <f>IF(A468="", "", IFERROR(VLOOKUP(A468, Clasificaciones!A:B, 2, FALSE), "DATO NO CARGADO"))</f>
        <v>Equipo</v>
      </c>
      <c r="C468" s="51" t="s">
        <v>171</v>
      </c>
      <c r="D468" s="156">
        <v>2025.0</v>
      </c>
      <c r="E468" s="43" t="s">
        <v>374</v>
      </c>
      <c r="F468" s="103"/>
      <c r="G468" s="104">
        <v>45908.0</v>
      </c>
      <c r="H468" s="59" t="s">
        <v>1006</v>
      </c>
      <c r="I468" s="59" t="s">
        <v>379</v>
      </c>
      <c r="J468" s="104">
        <v>45910.0</v>
      </c>
      <c r="K468" s="341">
        <v>155249.0</v>
      </c>
      <c r="L468" s="71"/>
      <c r="M468" s="106">
        <f>IF(ISBLANK(K468), "", VLOOKUP(C468&amp;" "&amp;D468, 'Info Tipo de Cambio y REM'!$A$24:$B$35, 2, FALSE))</f>
        <v>1445</v>
      </c>
      <c r="N468" s="107">
        <f t="shared" si="3"/>
        <v>107.4387543</v>
      </c>
      <c r="O468" s="102" t="str">
        <f t="shared" si="2"/>
        <v>A término</v>
      </c>
    </row>
    <row r="469">
      <c r="A469" s="43" t="s">
        <v>223</v>
      </c>
      <c r="B469" s="43" t="str">
        <f>IF(A469="", "", IFERROR(VLOOKUP(A469, Clasificaciones!A:B, 2, FALSE), "DATO NO CARGADO"))</f>
        <v>Otros Proveedores</v>
      </c>
      <c r="C469" s="51" t="s">
        <v>171</v>
      </c>
      <c r="D469" s="156">
        <v>2025.0</v>
      </c>
      <c r="E469" s="43" t="s">
        <v>374</v>
      </c>
      <c r="F469" s="103"/>
      <c r="G469" s="104">
        <v>45902.0</v>
      </c>
      <c r="H469" s="165" t="s">
        <v>1007</v>
      </c>
      <c r="I469" s="59" t="s">
        <v>534</v>
      </c>
      <c r="J469" s="104">
        <v>45910.0</v>
      </c>
      <c r="K469" s="341">
        <v>143990.0</v>
      </c>
      <c r="L469" s="71"/>
      <c r="M469" s="106">
        <f>IF(ISBLANK(K469), "", VLOOKUP(C469&amp;" "&amp;D469, 'Info Tipo de Cambio y REM'!$A$24:$B$35, 2, FALSE))</f>
        <v>1445</v>
      </c>
      <c r="N469" s="107">
        <f t="shared" si="3"/>
        <v>99.64705882</v>
      </c>
      <c r="O469" s="102" t="str">
        <f t="shared" si="2"/>
        <v>A término</v>
      </c>
    </row>
    <row r="470">
      <c r="A470" s="43" t="s">
        <v>228</v>
      </c>
      <c r="B470" s="43" t="str">
        <f>IF(A470="", "", IFERROR(VLOOKUP(A470, Clasificaciones!A:B, 2, FALSE), "DATO NO CARGADO"))</f>
        <v>Equipo</v>
      </c>
      <c r="C470" s="51" t="s">
        <v>171</v>
      </c>
      <c r="D470" s="156">
        <v>2025.0</v>
      </c>
      <c r="E470" s="43" t="s">
        <v>374</v>
      </c>
      <c r="F470" s="103"/>
      <c r="G470" s="104">
        <v>45910.0</v>
      </c>
      <c r="H470" s="165" t="s">
        <v>1008</v>
      </c>
      <c r="I470" s="63" t="s">
        <v>436</v>
      </c>
      <c r="J470" s="104">
        <v>45910.0</v>
      </c>
      <c r="K470" s="342">
        <v>289910.0</v>
      </c>
      <c r="L470" s="71"/>
      <c r="M470" s="106">
        <f>IF(ISBLANK(K470), "", VLOOKUP(C470&amp;" "&amp;D470, 'Info Tipo de Cambio y REM'!$A$24:$B$35, 2, FALSE))</f>
        <v>1445</v>
      </c>
      <c r="N470" s="107">
        <f t="shared" si="3"/>
        <v>200.6297578</v>
      </c>
      <c r="O470" s="102" t="str">
        <f t="shared" si="2"/>
        <v>A término</v>
      </c>
    </row>
    <row r="471">
      <c r="A471" s="43" t="s">
        <v>127</v>
      </c>
      <c r="B471" s="43" t="str">
        <f>IF(A471="", "", IFERROR(VLOOKUP(A471, Clasificaciones!A:B, 2, FALSE), "DATO NO CARGADO"))</f>
        <v>Board</v>
      </c>
      <c r="C471" s="51" t="s">
        <v>171</v>
      </c>
      <c r="D471" s="156">
        <v>2025.0</v>
      </c>
      <c r="E471" s="43" t="s">
        <v>374</v>
      </c>
      <c r="F471" s="103"/>
      <c r="G471" s="104">
        <v>45911.0</v>
      </c>
      <c r="H471" s="165" t="s">
        <v>1009</v>
      </c>
      <c r="I471" s="63" t="s">
        <v>458</v>
      </c>
      <c r="J471" s="104">
        <v>45910.0</v>
      </c>
      <c r="K471" s="342">
        <v>153310.0</v>
      </c>
      <c r="L471" s="71"/>
      <c r="M471" s="106">
        <f>IF(ISBLANK(K471), "", VLOOKUP(C471&amp;" "&amp;D471, 'Info Tipo de Cambio y REM'!$A$24:$B$35, 2, FALSE))</f>
        <v>1445</v>
      </c>
      <c r="N471" s="107">
        <f t="shared" si="3"/>
        <v>106.0968858</v>
      </c>
      <c r="O471" s="102" t="str">
        <f t="shared" si="2"/>
        <v>A término</v>
      </c>
    </row>
    <row r="472">
      <c r="A472" s="43" t="s">
        <v>216</v>
      </c>
      <c r="B472" s="43" t="str">
        <f>IF(A472="", "", IFERROR(VLOOKUP(A472, Clasificaciones!A:B, 2, FALSE), "DATO NO CARGADO"))</f>
        <v>Equipo</v>
      </c>
      <c r="C472" s="51" t="s">
        <v>171</v>
      </c>
      <c r="D472" s="156">
        <v>2025.0</v>
      </c>
      <c r="E472" s="43" t="s">
        <v>374</v>
      </c>
      <c r="F472" s="103"/>
      <c r="G472" s="104">
        <v>45909.0</v>
      </c>
      <c r="H472" s="165" t="s">
        <v>1010</v>
      </c>
      <c r="I472" s="63" t="s">
        <v>401</v>
      </c>
      <c r="J472" s="104">
        <v>45910.0</v>
      </c>
      <c r="K472" s="342">
        <v>836948.0</v>
      </c>
      <c r="L472" s="71"/>
      <c r="M472" s="106">
        <f>IF(ISBLANK(K472), "", VLOOKUP(C472&amp;" "&amp;D472, 'Info Tipo de Cambio y REM'!$A$24:$B$35, 2, FALSE))</f>
        <v>1445</v>
      </c>
      <c r="N472" s="107">
        <f t="shared" si="3"/>
        <v>579.2027682</v>
      </c>
      <c r="O472" s="102" t="str">
        <f t="shared" si="2"/>
        <v>A término</v>
      </c>
    </row>
    <row r="473">
      <c r="A473" s="43" t="s">
        <v>127</v>
      </c>
      <c r="B473" s="43" t="str">
        <f>IF(A473="", "", IFERROR(VLOOKUP(A473, Clasificaciones!A:B, 2, FALSE), "DATO NO CARGADO"))</f>
        <v>Board</v>
      </c>
      <c r="C473" s="51" t="s">
        <v>171</v>
      </c>
      <c r="D473" s="156">
        <v>2025.0</v>
      </c>
      <c r="E473" s="43" t="s">
        <v>371</v>
      </c>
      <c r="F473" s="103"/>
      <c r="G473" s="104">
        <v>45911.0</v>
      </c>
      <c r="H473" s="165" t="s">
        <v>1011</v>
      </c>
      <c r="I473" s="43" t="s">
        <v>458</v>
      </c>
      <c r="J473" s="104">
        <v>45940.0</v>
      </c>
      <c r="K473" s="112">
        <v>-96690.0</v>
      </c>
      <c r="L473" s="71"/>
      <c r="M473" s="106">
        <f>IF(ISBLANK(K473), "", VLOOKUP(C473&amp;" "&amp;D473, 'Info Tipo de Cambio y REM'!$A$24:$B$35, 2, FALSE))</f>
        <v>1445</v>
      </c>
      <c r="N473" s="107">
        <f t="shared" si="3"/>
        <v>-66.91349481</v>
      </c>
      <c r="O473" s="102" t="str">
        <f t="shared" si="2"/>
        <v>Vencido</v>
      </c>
    </row>
    <row r="474">
      <c r="A474" s="43" t="s">
        <v>191</v>
      </c>
      <c r="B474" s="43" t="str">
        <f>IF(A474="", "", IFERROR(VLOOKUP(A474, Clasificaciones!A:B, 2, FALSE), "DATO NO CARGADO"))</f>
        <v>Tarjeta</v>
      </c>
      <c r="C474" s="51" t="s">
        <v>171</v>
      </c>
      <c r="D474" s="156">
        <v>2025.0</v>
      </c>
      <c r="E474" s="43" t="s">
        <v>374</v>
      </c>
      <c r="F474" s="103"/>
      <c r="G474" s="104">
        <v>45915.0</v>
      </c>
      <c r="H474" s="121" t="s">
        <v>946</v>
      </c>
      <c r="J474" s="104">
        <v>45915.0</v>
      </c>
      <c r="L474" s="123">
        <v>501.0</v>
      </c>
      <c r="M474" s="106" t="str">
        <f>IF(ISBLANK(K474), "", VLOOKUP(C474&amp;" "&amp;D474, 'Info Tipo de Cambio y REM'!$A$24:$B$35, 2, FALSE))</f>
        <v/>
      </c>
      <c r="N474" s="107">
        <f t="shared" si="3"/>
        <v>501</v>
      </c>
      <c r="O474" s="102" t="str">
        <f t="shared" si="2"/>
        <v>A término</v>
      </c>
    </row>
    <row r="475">
      <c r="A475" s="43" t="s">
        <v>191</v>
      </c>
      <c r="B475" s="43" t="str">
        <f>IF(A475="", "", IFERROR(VLOOKUP(A475, Clasificaciones!A:B, 2, FALSE), "DATO NO CARGADO"))</f>
        <v>Tarjeta</v>
      </c>
      <c r="C475" s="51" t="s">
        <v>171</v>
      </c>
      <c r="D475" s="156">
        <v>2025.0</v>
      </c>
      <c r="E475" s="43" t="s">
        <v>374</v>
      </c>
      <c r="F475" s="103"/>
      <c r="G475" s="104">
        <v>45917.0</v>
      </c>
      <c r="H475" s="121" t="s">
        <v>947</v>
      </c>
      <c r="J475" s="104">
        <v>45917.0</v>
      </c>
      <c r="L475" s="123">
        <v>5.0</v>
      </c>
      <c r="M475" s="106" t="str">
        <f>IF(ISBLANK(K475), "", VLOOKUP(C475&amp;" "&amp;D475, 'Info Tipo de Cambio y REM'!$A$24:$B$35, 2, FALSE))</f>
        <v/>
      </c>
      <c r="N475" s="107">
        <f t="shared" si="3"/>
        <v>5</v>
      </c>
      <c r="O475" s="102" t="str">
        <f t="shared" si="2"/>
        <v>A término</v>
      </c>
    </row>
    <row r="476">
      <c r="A476" s="43" t="s">
        <v>231</v>
      </c>
      <c r="B476" s="43" t="str">
        <f>IF(A476="", "", IFERROR(VLOOKUP(A476, Clasificaciones!A:B, 2, FALSE), "DATO NO CARGADO"))</f>
        <v>Gastos Varios</v>
      </c>
      <c r="C476" s="51" t="s">
        <v>171</v>
      </c>
      <c r="D476" s="156">
        <v>2025.0</v>
      </c>
      <c r="E476" s="43" t="s">
        <v>374</v>
      </c>
      <c r="F476" s="103"/>
      <c r="G476" s="104">
        <v>45919.0</v>
      </c>
      <c r="H476" s="42" t="s">
        <v>948</v>
      </c>
      <c r="J476" s="104">
        <v>45919.0</v>
      </c>
      <c r="K476" s="43">
        <v>130000.0</v>
      </c>
      <c r="L476" s="71"/>
      <c r="M476" s="106">
        <f>IF(ISBLANK(K476), "", VLOOKUP(C476&amp;" "&amp;D476, 'Info Tipo de Cambio y REM'!$A$24:$B$35, 2, FALSE))</f>
        <v>1445</v>
      </c>
      <c r="N476" s="107">
        <f t="shared" si="3"/>
        <v>89.96539792</v>
      </c>
      <c r="O476" s="102" t="str">
        <f t="shared" si="2"/>
        <v>A término</v>
      </c>
    </row>
    <row r="477">
      <c r="A477" s="43" t="s">
        <v>133</v>
      </c>
      <c r="B477" s="43" t="str">
        <f>IF(A477="", "", IFERROR(VLOOKUP(A477, Clasificaciones!A:B, 2, FALSE), "DATO NO CARGADO"))</f>
        <v>Board</v>
      </c>
      <c r="C477" s="51" t="s">
        <v>171</v>
      </c>
      <c r="D477" s="156">
        <v>2025.0</v>
      </c>
      <c r="E477" s="43" t="s">
        <v>371</v>
      </c>
      <c r="F477" s="103"/>
      <c r="G477" s="104">
        <v>45924.0</v>
      </c>
      <c r="H477" s="165" t="s">
        <v>1012</v>
      </c>
      <c r="J477" s="104">
        <v>45931.0</v>
      </c>
      <c r="K477" s="43">
        <v>66500.0</v>
      </c>
      <c r="L477" s="71"/>
      <c r="M477" s="106">
        <f>IF(ISBLANK(K477), "", VLOOKUP(C477&amp;" "&amp;D477, 'Info Tipo de Cambio y REM'!$A$24:$B$35, 2, FALSE))</f>
        <v>1445</v>
      </c>
      <c r="N477" s="107">
        <f t="shared" si="3"/>
        <v>46.02076125</v>
      </c>
      <c r="O477" s="102" t="str">
        <f t="shared" si="2"/>
        <v>Vencido</v>
      </c>
    </row>
    <row r="478">
      <c r="A478" s="43" t="s">
        <v>217</v>
      </c>
      <c r="B478" s="43" t="str">
        <f>IF(A478="", "", IFERROR(VLOOKUP(A478, Clasificaciones!A:B, 2, FALSE), "DATO NO CARGADO"))</f>
        <v>Equipo</v>
      </c>
      <c r="C478" s="51" t="s">
        <v>171</v>
      </c>
      <c r="D478" s="156">
        <v>2025.0</v>
      </c>
      <c r="E478" s="43" t="s">
        <v>371</v>
      </c>
      <c r="F478" s="104">
        <v>45931.0</v>
      </c>
      <c r="G478" s="104">
        <v>45926.0</v>
      </c>
      <c r="H478" s="59" t="s">
        <v>1013</v>
      </c>
      <c r="I478" s="165" t="s">
        <v>580</v>
      </c>
      <c r="J478" s="104">
        <v>45931.0</v>
      </c>
      <c r="L478" s="89">
        <v>1112.0</v>
      </c>
      <c r="M478" s="106" t="str">
        <f>IF(ISBLANK(K478), "", VLOOKUP(C478&amp;" "&amp;D478, 'Info Tipo de Cambio y REM'!$A$24:$B$35, 2, FALSE))</f>
        <v/>
      </c>
      <c r="N478" s="107">
        <f t="shared" si="3"/>
        <v>1112</v>
      </c>
      <c r="O478" s="102" t="str">
        <f t="shared" si="2"/>
        <v>A término</v>
      </c>
    </row>
    <row r="479">
      <c r="A479" s="43" t="s">
        <v>214</v>
      </c>
      <c r="B479" s="43" t="str">
        <f>IF(A479="", "", IFERROR(VLOOKUP(A479, Clasificaciones!A:B, 2, FALSE), "DATO NO CARGADO"))</f>
        <v>Equipo</v>
      </c>
      <c r="C479" s="51" t="s">
        <v>171</v>
      </c>
      <c r="D479" s="156">
        <v>2025.0</v>
      </c>
      <c r="E479" s="43" t="s">
        <v>371</v>
      </c>
      <c r="F479" s="104">
        <v>45931.0</v>
      </c>
      <c r="G479" s="104">
        <v>45925.0</v>
      </c>
      <c r="H479" s="59" t="s">
        <v>1014</v>
      </c>
      <c r="I479" s="43" t="s">
        <v>736</v>
      </c>
      <c r="J479" s="104">
        <v>45931.0</v>
      </c>
      <c r="L479" s="89">
        <v>1151.0</v>
      </c>
      <c r="M479" s="106" t="str">
        <f>IF(ISBLANK(K479), "", VLOOKUP(C479&amp;" "&amp;D479, 'Info Tipo de Cambio y REM'!$A$24:$B$35, 2, FALSE))</f>
        <v/>
      </c>
      <c r="N479" s="107">
        <f t="shared" si="3"/>
        <v>1151</v>
      </c>
      <c r="O479" s="102" t="str">
        <f t="shared" si="2"/>
        <v>A término</v>
      </c>
    </row>
    <row r="480">
      <c r="A480" s="43" t="s">
        <v>221</v>
      </c>
      <c r="B480" s="43" t="str">
        <f>IF(A480="", "", IFERROR(VLOOKUP(A480, Clasificaciones!A:B, 2, FALSE), "DATO NO CARGADO"))</f>
        <v>Equipo</v>
      </c>
      <c r="C480" s="51" t="s">
        <v>171</v>
      </c>
      <c r="D480" s="156">
        <v>2025.0</v>
      </c>
      <c r="E480" s="43" t="s">
        <v>371</v>
      </c>
      <c r="F480" s="104">
        <v>45931.0</v>
      </c>
      <c r="G480" s="104">
        <v>45926.0</v>
      </c>
      <c r="H480" s="59" t="s">
        <v>1015</v>
      </c>
      <c r="I480" s="43" t="s">
        <v>1016</v>
      </c>
      <c r="J480" s="104">
        <v>45931.0</v>
      </c>
      <c r="L480" s="89">
        <v>1299.0</v>
      </c>
      <c r="M480" s="106" t="str">
        <f>IF(ISBLANK(K480), "", VLOOKUP(C480&amp;" "&amp;D480, 'Info Tipo de Cambio y REM'!$A$24:$B$35, 2, FALSE))</f>
        <v/>
      </c>
      <c r="N480" s="107">
        <f t="shared" si="3"/>
        <v>1299</v>
      </c>
      <c r="O480" s="102" t="str">
        <f t="shared" si="2"/>
        <v>A término</v>
      </c>
    </row>
    <row r="481">
      <c r="A481" s="43" t="s">
        <v>207</v>
      </c>
      <c r="B481" s="43" t="str">
        <f>IF(A481="", "", IFERROR(VLOOKUP(A481, Clasificaciones!A:B, 2, FALSE), "DATO NO CARGADO"))</f>
        <v>Equipo</v>
      </c>
      <c r="C481" s="51" t="s">
        <v>171</v>
      </c>
      <c r="D481" s="156">
        <v>2025.0</v>
      </c>
      <c r="E481" s="43" t="s">
        <v>371</v>
      </c>
      <c r="F481" s="104">
        <v>45931.0</v>
      </c>
      <c r="G481" s="104">
        <v>45925.0</v>
      </c>
      <c r="H481" s="59" t="s">
        <v>1017</v>
      </c>
      <c r="I481" s="43" t="s">
        <v>1018</v>
      </c>
      <c r="J481" s="104">
        <v>45931.0</v>
      </c>
      <c r="L481" s="89">
        <v>473.0</v>
      </c>
      <c r="M481" s="106" t="str">
        <f>IF(ISBLANK(K481), "", VLOOKUP(C481&amp;" "&amp;D481, 'Info Tipo de Cambio y REM'!$A$24:$B$35, 2, FALSE))</f>
        <v/>
      </c>
      <c r="N481" s="107">
        <f t="shared" si="3"/>
        <v>473</v>
      </c>
      <c r="O481" s="102" t="str">
        <f t="shared" si="2"/>
        <v>A término</v>
      </c>
    </row>
    <row r="482">
      <c r="A482" s="43" t="s">
        <v>203</v>
      </c>
      <c r="B482" s="43" t="str">
        <f>IF(A482="", "", IFERROR(VLOOKUP(A482, Clasificaciones!A:B, 2, FALSE), "DATO NO CARGADO"))</f>
        <v>Equipo</v>
      </c>
      <c r="C482" s="51" t="s">
        <v>171</v>
      </c>
      <c r="D482" s="156">
        <v>2025.0</v>
      </c>
      <c r="E482" s="43" t="s">
        <v>371</v>
      </c>
      <c r="F482" s="104">
        <v>45931.0</v>
      </c>
      <c r="G482" s="104">
        <v>45925.0</v>
      </c>
      <c r="H482" s="59" t="s">
        <v>1019</v>
      </c>
      <c r="I482" s="43" t="s">
        <v>751</v>
      </c>
      <c r="J482" s="104">
        <v>45931.0</v>
      </c>
      <c r="L482" s="89">
        <v>629.0</v>
      </c>
      <c r="M482" s="106" t="str">
        <f>IF(ISBLANK(K482), "", VLOOKUP(C482&amp;" "&amp;D482, 'Info Tipo de Cambio y REM'!$A$24:$B$35, 2, FALSE))</f>
        <v/>
      </c>
      <c r="N482" s="107">
        <f t="shared" si="3"/>
        <v>629</v>
      </c>
      <c r="O482" s="102" t="str">
        <f t="shared" si="2"/>
        <v>A término</v>
      </c>
    </row>
    <row r="483">
      <c r="A483" s="43" t="s">
        <v>230</v>
      </c>
      <c r="B483" s="43" t="str">
        <f>IF(A483="", "", IFERROR(VLOOKUP(A483, Clasificaciones!A:B, 2, FALSE), "DATO NO CARGADO"))</f>
        <v>Equipo</v>
      </c>
      <c r="C483" s="51" t="s">
        <v>171</v>
      </c>
      <c r="D483" s="156">
        <v>2025.0</v>
      </c>
      <c r="E483" s="43" t="s">
        <v>371</v>
      </c>
      <c r="F483" s="104">
        <v>45931.0</v>
      </c>
      <c r="G483" s="104">
        <v>45925.0</v>
      </c>
      <c r="H483" s="59" t="s">
        <v>1020</v>
      </c>
      <c r="I483" s="43" t="s">
        <v>749</v>
      </c>
      <c r="J483" s="104">
        <v>45931.0</v>
      </c>
      <c r="L483" s="89">
        <v>1369.0</v>
      </c>
      <c r="M483" s="106" t="str">
        <f>IF(ISBLANK(K483), "", VLOOKUP(C483&amp;" "&amp;D483, 'Info Tipo de Cambio y REM'!$A$24:$B$35, 2, FALSE))</f>
        <v/>
      </c>
      <c r="N483" s="107">
        <f t="shared" si="3"/>
        <v>1369</v>
      </c>
      <c r="O483" s="102" t="str">
        <f t="shared" si="2"/>
        <v>A término</v>
      </c>
    </row>
    <row r="484">
      <c r="A484" s="43" t="s">
        <v>120</v>
      </c>
      <c r="B484" s="43" t="str">
        <f>IF(A484="", "", IFERROR(VLOOKUP(A484, Clasificaciones!A:B, 2, FALSE), "DATO NO CARGADO"))</f>
        <v>Equipo</v>
      </c>
      <c r="C484" s="51" t="s">
        <v>171</v>
      </c>
      <c r="D484" s="156">
        <v>2025.0</v>
      </c>
      <c r="E484" s="43" t="s">
        <v>371</v>
      </c>
      <c r="F484" s="104">
        <v>45931.0</v>
      </c>
      <c r="G484" s="104">
        <v>45925.0</v>
      </c>
      <c r="H484" s="59" t="s">
        <v>1021</v>
      </c>
      <c r="I484" s="43" t="s">
        <v>746</v>
      </c>
      <c r="J484" s="104">
        <v>45931.0</v>
      </c>
      <c r="L484" s="89">
        <v>2200.0</v>
      </c>
      <c r="M484" s="106" t="str">
        <f>IF(ISBLANK(K484), "", VLOOKUP(C484&amp;" "&amp;D484, 'Info Tipo de Cambio y REM'!$A$24:$B$35, 2, FALSE))</f>
        <v/>
      </c>
      <c r="N484" s="107">
        <f t="shared" si="3"/>
        <v>2200</v>
      </c>
      <c r="O484" s="102" t="str">
        <f t="shared" si="2"/>
        <v>A término</v>
      </c>
    </row>
    <row r="485">
      <c r="A485" s="43" t="s">
        <v>194</v>
      </c>
      <c r="B485" s="43" t="str">
        <f>IF(A485="", "", IFERROR(VLOOKUP(A485, Clasificaciones!A:B, 2, FALSE), "DATO NO CARGADO"))</f>
        <v>Equipo</v>
      </c>
      <c r="C485" s="51" t="s">
        <v>171</v>
      </c>
      <c r="D485" s="156">
        <v>2025.0</v>
      </c>
      <c r="E485" s="43" t="s">
        <v>371</v>
      </c>
      <c r="F485" s="104">
        <v>45931.0</v>
      </c>
      <c r="G485" s="104">
        <v>45924.0</v>
      </c>
      <c r="H485" s="59" t="s">
        <v>1022</v>
      </c>
      <c r="I485" s="43" t="s">
        <v>752</v>
      </c>
      <c r="J485" s="104">
        <v>45931.0</v>
      </c>
      <c r="L485" s="89">
        <v>1375.0</v>
      </c>
      <c r="M485" s="106" t="str">
        <f>IF(ISBLANK(K485), "", VLOOKUP(C485&amp;" "&amp;D485, 'Info Tipo de Cambio y REM'!$A$24:$B$35, 2, FALSE))</f>
        <v/>
      </c>
      <c r="N485" s="107">
        <f t="shared" si="3"/>
        <v>1375</v>
      </c>
      <c r="O485" s="102" t="str">
        <f t="shared" si="2"/>
        <v>A término</v>
      </c>
    </row>
    <row r="486">
      <c r="A486" s="43" t="s">
        <v>228</v>
      </c>
      <c r="B486" s="43" t="str">
        <f>IF(A486="", "", IFERROR(VLOOKUP(A486, Clasificaciones!A:B, 2, FALSE), "DATO NO CARGADO"))</f>
        <v>Equipo</v>
      </c>
      <c r="C486" s="51" t="s">
        <v>171</v>
      </c>
      <c r="D486" s="156">
        <v>2025.0</v>
      </c>
      <c r="E486" s="43" t="s">
        <v>371</v>
      </c>
      <c r="F486" s="104">
        <v>45931.0</v>
      </c>
      <c r="G486" s="104">
        <v>45926.0</v>
      </c>
      <c r="H486" s="59" t="s">
        <v>1014</v>
      </c>
      <c r="I486" s="43" t="s">
        <v>737</v>
      </c>
      <c r="J486" s="104">
        <v>45931.0</v>
      </c>
      <c r="L486" s="89">
        <v>972.0</v>
      </c>
      <c r="M486" s="106" t="str">
        <f>IF(ISBLANK(K486), "", VLOOKUP(C486&amp;" "&amp;D486, 'Info Tipo de Cambio y REM'!$A$24:$B$35, 2, FALSE))</f>
        <v/>
      </c>
      <c r="N486" s="107">
        <f t="shared" si="3"/>
        <v>972</v>
      </c>
      <c r="O486" s="102" t="str">
        <f t="shared" si="2"/>
        <v>A término</v>
      </c>
    </row>
    <row r="487">
      <c r="A487" s="43" t="s">
        <v>197</v>
      </c>
      <c r="B487" s="43" t="str">
        <f>IF(A487="", "", IFERROR(VLOOKUP(A487, Clasificaciones!A:B, 2, FALSE), "DATO NO CARGADO"))</f>
        <v>Equipo</v>
      </c>
      <c r="C487" s="51" t="s">
        <v>171</v>
      </c>
      <c r="D487" s="156">
        <v>2025.0</v>
      </c>
      <c r="E487" s="43" t="s">
        <v>371</v>
      </c>
      <c r="F487" s="104">
        <v>45931.0</v>
      </c>
      <c r="G487" s="104">
        <v>45926.0</v>
      </c>
      <c r="H487" s="59" t="s">
        <v>1020</v>
      </c>
      <c r="I487" s="43" t="s">
        <v>739</v>
      </c>
      <c r="J487" s="104">
        <v>45931.0</v>
      </c>
      <c r="L487" s="89">
        <v>1478.0</v>
      </c>
      <c r="M487" s="106" t="str">
        <f>IF(ISBLANK(K487), "", VLOOKUP(C487&amp;" "&amp;D487, 'Info Tipo de Cambio y REM'!$A$24:$B$35, 2, FALSE))</f>
        <v/>
      </c>
      <c r="N487" s="107">
        <f t="shared" si="3"/>
        <v>1478</v>
      </c>
      <c r="O487" s="102" t="str">
        <f t="shared" si="2"/>
        <v>A término</v>
      </c>
    </row>
    <row r="488">
      <c r="A488" s="43" t="s">
        <v>205</v>
      </c>
      <c r="B488" s="43" t="str">
        <f>IF(A488="", "", IFERROR(VLOOKUP(A488, Clasificaciones!A:B, 2, FALSE), "DATO NO CARGADO"))</f>
        <v>Equipo</v>
      </c>
      <c r="C488" s="51" t="s">
        <v>171</v>
      </c>
      <c r="D488" s="156">
        <v>2025.0</v>
      </c>
      <c r="E488" s="43" t="s">
        <v>371</v>
      </c>
      <c r="F488" s="104">
        <v>45931.0</v>
      </c>
      <c r="G488" s="104">
        <v>45925.0</v>
      </c>
      <c r="H488" s="59" t="s">
        <v>1022</v>
      </c>
      <c r="I488" s="43" t="s">
        <v>743</v>
      </c>
      <c r="J488" s="104">
        <v>45931.0</v>
      </c>
      <c r="L488" s="89">
        <v>1099.0</v>
      </c>
      <c r="M488" s="106" t="str">
        <f>IF(ISBLANK(K488), "", VLOOKUP(C488&amp;" "&amp;D488, 'Info Tipo de Cambio y REM'!$A$24:$B$35, 2, FALSE))</f>
        <v/>
      </c>
      <c r="N488" s="107">
        <f t="shared" si="3"/>
        <v>1099</v>
      </c>
      <c r="O488" s="102" t="str">
        <f t="shared" si="2"/>
        <v>A término</v>
      </c>
    </row>
    <row r="489">
      <c r="A489" s="43" t="s">
        <v>127</v>
      </c>
      <c r="B489" s="43" t="str">
        <f>IF(A489="", "", IFERROR(VLOOKUP(A489, Clasificaciones!A:B, 2, FALSE), "DATO NO CARGADO"))</f>
        <v>Board</v>
      </c>
      <c r="C489" s="51" t="s">
        <v>171</v>
      </c>
      <c r="D489" s="156">
        <v>2025.0</v>
      </c>
      <c r="E489" s="43" t="s">
        <v>371</v>
      </c>
      <c r="F489" s="104">
        <v>45931.0</v>
      </c>
      <c r="G489" s="104">
        <v>45929.0</v>
      </c>
      <c r="H489" s="59" t="s">
        <v>1023</v>
      </c>
      <c r="I489" s="43" t="s">
        <v>458</v>
      </c>
      <c r="J489" s="104">
        <v>45931.0</v>
      </c>
      <c r="L489" s="89">
        <v>2200.0</v>
      </c>
      <c r="M489" s="106" t="str">
        <f>IF(ISBLANK(K489), "", VLOOKUP(C489&amp;" "&amp;D489, 'Info Tipo de Cambio y REM'!$A$24:$B$35, 2, FALSE))</f>
        <v/>
      </c>
      <c r="N489" s="107">
        <f t="shared" si="3"/>
        <v>2200</v>
      </c>
      <c r="O489" s="102" t="str">
        <f t="shared" si="2"/>
        <v>A término</v>
      </c>
    </row>
    <row r="490">
      <c r="A490" s="43" t="s">
        <v>127</v>
      </c>
      <c r="B490" s="43" t="str">
        <f>IF(A490="", "", IFERROR(VLOOKUP(A490, Clasificaciones!A:B, 2, FALSE), "DATO NO CARGADO"))</f>
        <v>Board</v>
      </c>
      <c r="C490" s="51" t="s">
        <v>171</v>
      </c>
      <c r="D490" s="156">
        <v>2025.0</v>
      </c>
      <c r="E490" s="43" t="s">
        <v>371</v>
      </c>
      <c r="F490" s="104">
        <v>45931.0</v>
      </c>
      <c r="G490" s="104">
        <v>45929.0</v>
      </c>
      <c r="H490" s="59" t="s">
        <v>1024</v>
      </c>
      <c r="I490" s="43" t="s">
        <v>683</v>
      </c>
      <c r="J490" s="104">
        <v>45931.0</v>
      </c>
      <c r="L490" s="89">
        <v>1000.0</v>
      </c>
      <c r="M490" s="106" t="str">
        <f>IF(ISBLANK(K490), "", VLOOKUP(C490&amp;" "&amp;D490, 'Info Tipo de Cambio y REM'!$A$24:$B$35, 2, FALSE))</f>
        <v/>
      </c>
      <c r="N490" s="107">
        <f t="shared" si="3"/>
        <v>1000</v>
      </c>
      <c r="O490" s="102" t="str">
        <f t="shared" si="2"/>
        <v>A término</v>
      </c>
    </row>
    <row r="491">
      <c r="A491" s="43" t="s">
        <v>200</v>
      </c>
      <c r="B491" s="43" t="str">
        <f>IF(A491="", "", IFERROR(VLOOKUP(A491, Clasificaciones!A:B, 2, FALSE), "DATO NO CARGADO"))</f>
        <v>Equipo</v>
      </c>
      <c r="C491" s="51" t="s">
        <v>171</v>
      </c>
      <c r="D491" s="156">
        <v>2025.0</v>
      </c>
      <c r="E491" s="43" t="s">
        <v>371</v>
      </c>
      <c r="F491" s="104">
        <v>45931.0</v>
      </c>
      <c r="G491" s="104">
        <v>45927.0</v>
      </c>
      <c r="H491" s="59" t="s">
        <v>1025</v>
      </c>
      <c r="I491" s="43" t="s">
        <v>450</v>
      </c>
      <c r="J491" s="104">
        <v>45931.0</v>
      </c>
      <c r="L491" s="89">
        <v>1339.0</v>
      </c>
      <c r="M491" s="106" t="str">
        <f>IF(ISBLANK(K491), "", VLOOKUP(C491&amp;" "&amp;D491, 'Info Tipo de Cambio y REM'!$A$24:$B$35, 2, FALSE))</f>
        <v/>
      </c>
      <c r="N491" s="107">
        <f t="shared" si="3"/>
        <v>1339</v>
      </c>
      <c r="O491" s="102" t="str">
        <f t="shared" si="2"/>
        <v>A término</v>
      </c>
    </row>
    <row r="492">
      <c r="A492" s="43" t="s">
        <v>133</v>
      </c>
      <c r="B492" s="43" t="s">
        <v>128</v>
      </c>
      <c r="C492" s="51" t="s">
        <v>171</v>
      </c>
      <c r="D492" s="156">
        <v>2025.0</v>
      </c>
      <c r="E492" s="43" t="s">
        <v>371</v>
      </c>
      <c r="F492" s="104">
        <v>45931.0</v>
      </c>
      <c r="G492" s="104">
        <v>45930.0</v>
      </c>
      <c r="H492" s="59" t="s">
        <v>1026</v>
      </c>
      <c r="I492" s="43" t="s">
        <v>1027</v>
      </c>
      <c r="J492" s="104">
        <v>45931.0</v>
      </c>
      <c r="L492" s="89">
        <v>2500.0</v>
      </c>
      <c r="M492" s="106" t="str">
        <f>IF(ISBLANK(K492), "", VLOOKUP(C492&amp;" "&amp;D492, 'Info Tipo de Cambio y REM'!$A$24:$B$35, 2, FALSE))</f>
        <v/>
      </c>
      <c r="N492" s="107">
        <f t="shared" si="3"/>
        <v>2500</v>
      </c>
      <c r="O492" s="102" t="str">
        <f t="shared" si="2"/>
        <v>A término</v>
      </c>
    </row>
    <row r="493">
      <c r="A493" s="43" t="s">
        <v>133</v>
      </c>
      <c r="B493" s="43" t="s">
        <v>128</v>
      </c>
      <c r="C493" s="51" t="s">
        <v>171</v>
      </c>
      <c r="D493" s="156">
        <v>2025.0</v>
      </c>
      <c r="E493" s="43" t="s">
        <v>371</v>
      </c>
      <c r="F493" s="104">
        <v>45933.0</v>
      </c>
      <c r="G493" s="104">
        <v>45930.0</v>
      </c>
      <c r="H493" s="59" t="s">
        <v>1028</v>
      </c>
      <c r="I493" s="43"/>
      <c r="J493" s="104">
        <v>45931.0</v>
      </c>
      <c r="K493" s="43"/>
      <c r="L493" s="89">
        <v>1361.64</v>
      </c>
      <c r="M493" s="106"/>
      <c r="N493" s="107">
        <f t="shared" si="3"/>
        <v>1361.64</v>
      </c>
      <c r="O493" s="102" t="str">
        <f t="shared" si="2"/>
        <v>Vencido</v>
      </c>
    </row>
    <row r="494">
      <c r="A494" s="43" t="s">
        <v>191</v>
      </c>
      <c r="B494" s="43" t="str">
        <f>IF(A494="", "", IFERROR(VLOOKUP(A494, Clasificaciones!A:B, 2, FALSE), "DATO NO CARGADO"))</f>
        <v>Tarjeta</v>
      </c>
      <c r="C494" s="51" t="s">
        <v>171</v>
      </c>
      <c r="D494" s="156">
        <v>2025.0</v>
      </c>
      <c r="E494" s="43" t="s">
        <v>374</v>
      </c>
      <c r="F494" s="103"/>
      <c r="G494" s="104">
        <v>45922.0</v>
      </c>
      <c r="H494" s="165" t="s">
        <v>949</v>
      </c>
      <c r="J494" s="103"/>
      <c r="L494" s="89">
        <v>20.0</v>
      </c>
      <c r="M494" s="106" t="str">
        <f>IF(ISBLANK(K494), "", VLOOKUP(C494&amp;" "&amp;D494, 'Info Tipo de Cambio y REM'!$A$24:$B$35, 2, FALSE))</f>
        <v/>
      </c>
      <c r="N494" s="107">
        <f t="shared" si="3"/>
        <v>20</v>
      </c>
      <c r="O494" s="102" t="str">
        <f t="shared" si="2"/>
        <v>A término</v>
      </c>
    </row>
    <row r="495">
      <c r="A495" s="43" t="s">
        <v>191</v>
      </c>
      <c r="B495" s="43" t="str">
        <f>IF(A495="", "", IFERROR(VLOOKUP(A495, Clasificaciones!A:B, 2, FALSE), "DATO NO CARGADO"))</f>
        <v>Tarjeta</v>
      </c>
      <c r="C495" s="51" t="s">
        <v>171</v>
      </c>
      <c r="D495" s="156">
        <v>2025.0</v>
      </c>
      <c r="E495" s="43" t="s">
        <v>374</v>
      </c>
      <c r="F495" s="103"/>
      <c r="G495" s="104">
        <v>45923.0</v>
      </c>
      <c r="H495" s="165" t="s">
        <v>950</v>
      </c>
      <c r="J495" s="103"/>
      <c r="L495" s="89">
        <v>45.0</v>
      </c>
      <c r="M495" s="106" t="str">
        <f>IF(ISBLANK(K495), "", VLOOKUP(C495&amp;" "&amp;D495, 'Info Tipo de Cambio y REM'!$A$24:$B$35, 2, FALSE))</f>
        <v/>
      </c>
      <c r="N495" s="107">
        <f t="shared" si="3"/>
        <v>45</v>
      </c>
      <c r="O495" s="102" t="str">
        <f t="shared" si="2"/>
        <v>A término</v>
      </c>
    </row>
    <row r="496">
      <c r="A496" s="43" t="s">
        <v>191</v>
      </c>
      <c r="B496" s="43" t="str">
        <f>IF(A496="", "", IFERROR(VLOOKUP(A496, Clasificaciones!A:B, 2, FALSE), "DATO NO CARGADO"))</f>
        <v>Tarjeta</v>
      </c>
      <c r="C496" s="51" t="s">
        <v>171</v>
      </c>
      <c r="D496" s="156">
        <v>2025.0</v>
      </c>
      <c r="E496" s="43" t="s">
        <v>374</v>
      </c>
      <c r="F496" s="103"/>
      <c r="G496" s="104">
        <v>45923.0</v>
      </c>
      <c r="H496" s="165" t="s">
        <v>951</v>
      </c>
      <c r="J496" s="103"/>
      <c r="L496" s="89">
        <v>30.0</v>
      </c>
      <c r="M496" s="106" t="str">
        <f>IF(ISBLANK(K496), "", VLOOKUP(C496&amp;" "&amp;D496, 'Info Tipo de Cambio y REM'!$A$24:$B$35, 2, FALSE))</f>
        <v/>
      </c>
      <c r="N496" s="107">
        <f t="shared" si="3"/>
        <v>30</v>
      </c>
      <c r="O496" s="102" t="str">
        <f t="shared" si="2"/>
        <v>A término</v>
      </c>
    </row>
    <row r="497">
      <c r="A497" s="43" t="s">
        <v>191</v>
      </c>
      <c r="B497" s="43" t="str">
        <f>IF(A497="", "", IFERROR(VLOOKUP(A497, Clasificaciones!A:B, 2, FALSE), "DATO NO CARGADO"))</f>
        <v>Tarjeta</v>
      </c>
      <c r="C497" s="51" t="s">
        <v>171</v>
      </c>
      <c r="D497" s="156">
        <v>2025.0</v>
      </c>
      <c r="E497" s="43" t="s">
        <v>374</v>
      </c>
      <c r="F497" s="103"/>
      <c r="G497" s="104">
        <v>45924.0</v>
      </c>
      <c r="H497" s="165" t="s">
        <v>952</v>
      </c>
      <c r="J497" s="103"/>
      <c r="L497" s="89">
        <v>502.0</v>
      </c>
      <c r="M497" s="106" t="str">
        <f>IF(ISBLANK(K497), "", VLOOKUP(C497&amp;" "&amp;D497, 'Info Tipo de Cambio y REM'!$A$24:$B$35, 2, FALSE))</f>
        <v/>
      </c>
      <c r="N497" s="107">
        <f t="shared" si="3"/>
        <v>502</v>
      </c>
      <c r="O497" s="102" t="str">
        <f t="shared" si="2"/>
        <v>A término</v>
      </c>
    </row>
    <row r="498">
      <c r="A498" s="43" t="s">
        <v>191</v>
      </c>
      <c r="B498" s="43" t="str">
        <f>IF(A498="", "", IFERROR(VLOOKUP(A498, Clasificaciones!A:B, 2, FALSE), "DATO NO CARGADO"))</f>
        <v>Tarjeta</v>
      </c>
      <c r="C498" s="51" t="s">
        <v>171</v>
      </c>
      <c r="D498" s="156">
        <v>2025.0</v>
      </c>
      <c r="E498" s="43" t="s">
        <v>374</v>
      </c>
      <c r="F498" s="103"/>
      <c r="G498" s="104">
        <v>45929.0</v>
      </c>
      <c r="H498" s="165" t="s">
        <v>953</v>
      </c>
      <c r="J498" s="103"/>
      <c r="L498" s="89">
        <v>610.0</v>
      </c>
      <c r="M498" s="106" t="str">
        <f>IF(ISBLANK(K498), "", VLOOKUP(C498&amp;" "&amp;D498, 'Info Tipo de Cambio y REM'!$A$24:$B$35, 2, FALSE))</f>
        <v/>
      </c>
      <c r="N498" s="107">
        <f t="shared" si="3"/>
        <v>610</v>
      </c>
      <c r="O498" s="102" t="str">
        <f t="shared" si="2"/>
        <v>A término</v>
      </c>
    </row>
    <row r="499">
      <c r="A499" s="43" t="s">
        <v>205</v>
      </c>
      <c r="B499" s="43" t="str">
        <f>IF(A499="", "", IFERROR(VLOOKUP(A499, Clasificaciones!A:B, 2, FALSE), "DATO NO CARGADO"))</f>
        <v>Equipo</v>
      </c>
      <c r="C499" s="51" t="s">
        <v>171</v>
      </c>
      <c r="D499" s="156">
        <v>2025.0</v>
      </c>
      <c r="E499" s="43" t="s">
        <v>371</v>
      </c>
      <c r="F499" s="129">
        <v>45938.0</v>
      </c>
      <c r="G499" s="104">
        <v>45937.0</v>
      </c>
      <c r="H499" s="165" t="s">
        <v>379</v>
      </c>
      <c r="I499" s="43" t="s">
        <v>1029</v>
      </c>
      <c r="J499" s="103"/>
      <c r="K499" s="343">
        <v>103069.0</v>
      </c>
      <c r="L499" s="89"/>
      <c r="M499" s="106">
        <f>IF(ISBLANK(K499), "", VLOOKUP(C499&amp;" "&amp;D499, 'Info Tipo de Cambio y REM'!$A$24:$B$35, 2, FALSE))</f>
        <v>1445</v>
      </c>
      <c r="N499" s="107">
        <f t="shared" si="3"/>
        <v>71.32802768</v>
      </c>
      <c r="O499" s="102" t="str">
        <f t="shared" si="2"/>
        <v>Vencido</v>
      </c>
    </row>
    <row r="500">
      <c r="A500" s="43" t="s">
        <v>200</v>
      </c>
      <c r="B500" s="43" t="str">
        <f>IF(A500="", "", IFERROR(VLOOKUP(A500, Clasificaciones!A:B, 2, FALSE), "DATO NO CARGADO"))</f>
        <v>Equipo</v>
      </c>
      <c r="C500" s="51" t="s">
        <v>171</v>
      </c>
      <c r="D500" s="156">
        <v>2025.0</v>
      </c>
      <c r="E500" s="43" t="s">
        <v>371</v>
      </c>
      <c r="F500" s="129">
        <v>45938.0</v>
      </c>
      <c r="G500" s="104">
        <v>45930.0</v>
      </c>
      <c r="H500" s="165" t="s">
        <v>381</v>
      </c>
      <c r="I500" s="43" t="s">
        <v>1030</v>
      </c>
      <c r="J500" s="103"/>
      <c r="K500" s="343">
        <v>317047.0</v>
      </c>
      <c r="L500" s="71"/>
      <c r="M500" s="106">
        <f>IF(ISBLANK(K500), "", VLOOKUP(C500&amp;" "&amp;D500, 'Info Tipo de Cambio y REM'!$A$24:$B$35, 2, FALSE))</f>
        <v>1445</v>
      </c>
      <c r="N500" s="107">
        <f t="shared" si="3"/>
        <v>219.4096886</v>
      </c>
      <c r="O500" s="102" t="str">
        <f t="shared" si="2"/>
        <v>Vencido</v>
      </c>
    </row>
    <row r="501">
      <c r="A501" s="43" t="s">
        <v>240</v>
      </c>
      <c r="B501" s="43" t="str">
        <f>IF(A501="", "", IFERROR(VLOOKUP(A501, Clasificaciones!A:B, 2, FALSE), "DATO NO CARGADO"))</f>
        <v>Equipo</v>
      </c>
      <c r="C501" s="51" t="s">
        <v>171</v>
      </c>
      <c r="D501" s="156">
        <v>2025.0</v>
      </c>
      <c r="E501" s="43" t="s">
        <v>371</v>
      </c>
      <c r="F501" s="129">
        <v>45938.0</v>
      </c>
      <c r="G501" s="104">
        <v>45930.0</v>
      </c>
      <c r="H501" s="165" t="s">
        <v>988</v>
      </c>
      <c r="I501" s="43" t="s">
        <v>1031</v>
      </c>
      <c r="J501" s="103"/>
      <c r="K501" s="343">
        <v>860000.0</v>
      </c>
      <c r="L501" s="71"/>
      <c r="M501" s="106">
        <f>IF(ISBLANK(K501), "", VLOOKUP(C501&amp;" "&amp;D501, 'Info Tipo de Cambio y REM'!$A$24:$B$35, 2, FALSE))</f>
        <v>1445</v>
      </c>
      <c r="N501" s="107">
        <f t="shared" si="3"/>
        <v>595.1557093</v>
      </c>
      <c r="O501" s="102" t="str">
        <f t="shared" si="2"/>
        <v>Vencido</v>
      </c>
    </row>
    <row r="502">
      <c r="A502" s="43" t="s">
        <v>228</v>
      </c>
      <c r="B502" s="43" t="str">
        <f>IF(A502="", "", IFERROR(VLOOKUP(A502, Clasificaciones!A:B, 2, FALSE), "DATO NO CARGADO"))</f>
        <v>Equipo</v>
      </c>
      <c r="C502" s="51" t="s">
        <v>171</v>
      </c>
      <c r="D502" s="156">
        <v>2025.0</v>
      </c>
      <c r="E502" s="43" t="s">
        <v>371</v>
      </c>
      <c r="F502" s="129">
        <v>45938.0</v>
      </c>
      <c r="G502" s="104">
        <v>45932.0</v>
      </c>
      <c r="H502" s="165" t="s">
        <v>436</v>
      </c>
      <c r="I502" s="43" t="s">
        <v>1032</v>
      </c>
      <c r="J502" s="103"/>
      <c r="K502" s="343">
        <v>296603.0</v>
      </c>
      <c r="L502" s="71"/>
      <c r="M502" s="106">
        <f>IF(ISBLANK(K502), "", VLOOKUP(C502&amp;" "&amp;D502, 'Info Tipo de Cambio y REM'!$A$24:$B$35, 2, FALSE))</f>
        <v>1445</v>
      </c>
      <c r="N502" s="107">
        <f t="shared" si="3"/>
        <v>205.2615917</v>
      </c>
      <c r="O502" s="102" t="str">
        <f t="shared" si="2"/>
        <v>Vencido</v>
      </c>
    </row>
    <row r="503">
      <c r="A503" s="43" t="s">
        <v>226</v>
      </c>
      <c r="B503" s="43" t="str">
        <f>IF(A503="", "", IFERROR(VLOOKUP(A503, Clasificaciones!A:B, 2, FALSE), "DATO NO CARGADO"))</f>
        <v>Administración Finanzas</v>
      </c>
      <c r="C503" s="51" t="s">
        <v>171</v>
      </c>
      <c r="D503" s="156">
        <v>2025.0</v>
      </c>
      <c r="E503" s="43" t="s">
        <v>371</v>
      </c>
      <c r="F503" s="129">
        <v>45938.0</v>
      </c>
      <c r="G503" s="104">
        <v>45930.0</v>
      </c>
      <c r="H503" s="165" t="s">
        <v>383</v>
      </c>
      <c r="I503" s="43" t="s">
        <v>1033</v>
      </c>
      <c r="J503" s="103"/>
      <c r="K503" s="343">
        <v>675800.0</v>
      </c>
      <c r="L503" s="71"/>
      <c r="M503" s="106">
        <f>IF(ISBLANK(K503), "", VLOOKUP(C503&amp;" "&amp;D503, 'Info Tipo de Cambio y REM'!$A$24:$B$35, 2, FALSE))</f>
        <v>1445</v>
      </c>
      <c r="N503" s="107">
        <f t="shared" si="3"/>
        <v>467.6816609</v>
      </c>
      <c r="O503" s="102" t="str">
        <f t="shared" si="2"/>
        <v>Vencido</v>
      </c>
    </row>
    <row r="504">
      <c r="A504" s="43" t="s">
        <v>207</v>
      </c>
      <c r="B504" s="43" t="str">
        <f>IF(A504="", "", IFERROR(VLOOKUP(A504, Clasificaciones!A:B, 2, FALSE), "DATO NO CARGADO"))</f>
        <v>Equipo</v>
      </c>
      <c r="C504" s="51" t="s">
        <v>171</v>
      </c>
      <c r="D504" s="156">
        <v>2025.0</v>
      </c>
      <c r="E504" s="43" t="s">
        <v>371</v>
      </c>
      <c r="F504" s="129">
        <v>45938.0</v>
      </c>
      <c r="G504" s="104">
        <v>45932.0</v>
      </c>
      <c r="H504" s="165" t="s">
        <v>389</v>
      </c>
      <c r="I504" s="43" t="s">
        <v>1034</v>
      </c>
      <c r="J504" s="103"/>
      <c r="K504" s="343">
        <v>316575.0</v>
      </c>
      <c r="L504" s="71"/>
      <c r="M504" s="106">
        <f>IF(ISBLANK(K504), "", VLOOKUP(C504&amp;" "&amp;D504, 'Info Tipo de Cambio y REM'!$A$24:$B$35, 2, FALSE))</f>
        <v>1445</v>
      </c>
      <c r="N504" s="107">
        <f t="shared" si="3"/>
        <v>219.083045</v>
      </c>
      <c r="O504" s="102" t="str">
        <f t="shared" si="2"/>
        <v>Vencido</v>
      </c>
    </row>
    <row r="505">
      <c r="A505" s="43" t="s">
        <v>87</v>
      </c>
      <c r="B505" s="43" t="str">
        <f>IF(A505="", "", IFERROR(VLOOKUP(A505, Clasificaciones!A:B, 2, FALSE), "DATO NO CARGADO"))</f>
        <v>Equipo</v>
      </c>
      <c r="C505" s="51" t="s">
        <v>171</v>
      </c>
      <c r="D505" s="156">
        <v>2025.0</v>
      </c>
      <c r="E505" s="43" t="s">
        <v>371</v>
      </c>
      <c r="F505" s="129">
        <v>45938.0</v>
      </c>
      <c r="G505" s="104">
        <v>45929.0</v>
      </c>
      <c r="H505" s="165" t="s">
        <v>391</v>
      </c>
      <c r="I505" s="43" t="s">
        <v>768</v>
      </c>
      <c r="J505" s="103"/>
      <c r="K505" s="343">
        <v>1364748.0</v>
      </c>
      <c r="L505" s="71"/>
      <c r="M505" s="106">
        <f>IF(ISBLANK(K505), "", VLOOKUP(C505&amp;" "&amp;D505, 'Info Tipo de Cambio y REM'!$A$24:$B$35, 2, FALSE))</f>
        <v>1445</v>
      </c>
      <c r="N505" s="107">
        <f t="shared" si="3"/>
        <v>944.4622837</v>
      </c>
      <c r="O505" s="102" t="str">
        <f t="shared" si="2"/>
        <v>Vencido</v>
      </c>
    </row>
    <row r="506">
      <c r="A506" s="43" t="s">
        <v>210</v>
      </c>
      <c r="B506" s="43" t="str">
        <f>IF(A506="", "", IFERROR(VLOOKUP(A506, Clasificaciones!A:B, 2, FALSE), "DATO NO CARGADO"))</f>
        <v>Equipo</v>
      </c>
      <c r="C506" s="51" t="s">
        <v>171</v>
      </c>
      <c r="D506" s="156">
        <v>2025.0</v>
      </c>
      <c r="E506" s="43" t="s">
        <v>371</v>
      </c>
      <c r="F506" s="129">
        <v>45938.0</v>
      </c>
      <c r="G506" s="104">
        <v>45931.0</v>
      </c>
      <c r="H506" s="165" t="s">
        <v>397</v>
      </c>
      <c r="I506" s="43" t="s">
        <v>1035</v>
      </c>
      <c r="J506" s="103"/>
      <c r="K506" s="343">
        <v>270255.0</v>
      </c>
      <c r="L506" s="71"/>
      <c r="M506" s="106">
        <f>IF(ISBLANK(K506), "", VLOOKUP(C506&amp;" "&amp;D506, 'Info Tipo de Cambio y REM'!$A$24:$B$35, 2, FALSE))</f>
        <v>1445</v>
      </c>
      <c r="N506" s="107">
        <f t="shared" si="3"/>
        <v>187.0276817</v>
      </c>
      <c r="O506" s="102" t="str">
        <f t="shared" si="2"/>
        <v>Vencido</v>
      </c>
    </row>
    <row r="507">
      <c r="A507" s="43" t="s">
        <v>194</v>
      </c>
      <c r="B507" s="43" t="str">
        <f>IF(A507="", "", IFERROR(VLOOKUP(A507, Clasificaciones!A:B, 2, FALSE), "DATO NO CARGADO"))</f>
        <v>Equipo</v>
      </c>
      <c r="C507" s="51" t="s">
        <v>171</v>
      </c>
      <c r="D507" s="156">
        <v>2025.0</v>
      </c>
      <c r="E507" s="43" t="s">
        <v>371</v>
      </c>
      <c r="F507" s="129">
        <v>45938.0</v>
      </c>
      <c r="G507" s="104">
        <v>45933.0</v>
      </c>
      <c r="H507" s="165" t="s">
        <v>403</v>
      </c>
      <c r="I507" s="43" t="s">
        <v>1036</v>
      </c>
      <c r="J507" s="103"/>
      <c r="K507" s="343">
        <v>110561.0</v>
      </c>
      <c r="L507" s="71"/>
      <c r="M507" s="106">
        <f>IF(ISBLANK(K507), "", VLOOKUP(C507&amp;" "&amp;D507, 'Info Tipo de Cambio y REM'!$A$24:$B$35, 2, FALSE))</f>
        <v>1445</v>
      </c>
      <c r="N507" s="107">
        <f t="shared" si="3"/>
        <v>76.51280277</v>
      </c>
      <c r="O507" s="102" t="str">
        <f t="shared" si="2"/>
        <v>Vencido</v>
      </c>
    </row>
    <row r="508">
      <c r="A508" s="43" t="s">
        <v>139</v>
      </c>
      <c r="B508" s="43" t="str">
        <f>IF(A508="", "", IFERROR(VLOOKUP(A508, Clasificaciones!A:B, 2, FALSE), "DATO NO CARGADO"))</f>
        <v>People</v>
      </c>
      <c r="C508" s="51" t="s">
        <v>171</v>
      </c>
      <c r="D508" s="156">
        <v>2025.0</v>
      </c>
      <c r="E508" s="43" t="s">
        <v>371</v>
      </c>
      <c r="F508" s="129">
        <v>45938.0</v>
      </c>
      <c r="G508" s="104">
        <v>45930.0</v>
      </c>
      <c r="H508" s="165" t="s">
        <v>413</v>
      </c>
      <c r="I508" s="43" t="s">
        <v>505</v>
      </c>
      <c r="J508" s="103"/>
      <c r="K508" s="343">
        <v>87515.1</v>
      </c>
      <c r="L508" s="71"/>
      <c r="M508" s="106">
        <f>IF(ISBLANK(K508), "", VLOOKUP(C508&amp;" "&amp;D508, 'Info Tipo de Cambio y REM'!$A$24:$B$35, 2, FALSE))</f>
        <v>1445</v>
      </c>
      <c r="N508" s="107">
        <f t="shared" si="3"/>
        <v>60.56408304</v>
      </c>
      <c r="O508" s="102" t="str">
        <f t="shared" si="2"/>
        <v>Vencido</v>
      </c>
    </row>
    <row r="509">
      <c r="A509" s="43" t="s">
        <v>229</v>
      </c>
      <c r="B509" s="43" t="str">
        <f>IF(A509="", "", IFERROR(VLOOKUP(A509, Clasificaciones!A:B, 2, FALSE), "DATO NO CARGADO"))</f>
        <v>Equipo</v>
      </c>
      <c r="C509" s="51" t="s">
        <v>171</v>
      </c>
      <c r="D509" s="156">
        <v>2025.0</v>
      </c>
      <c r="E509" s="43" t="s">
        <v>371</v>
      </c>
      <c r="F509" s="129">
        <v>45938.0</v>
      </c>
      <c r="G509" s="104">
        <v>45932.0</v>
      </c>
      <c r="H509" s="165" t="s">
        <v>504</v>
      </c>
      <c r="I509" s="43" t="s">
        <v>1037</v>
      </c>
      <c r="J509" s="103"/>
      <c r="K509" s="343">
        <v>487500.0</v>
      </c>
      <c r="L509" s="71"/>
      <c r="M509" s="106">
        <f>IF(ISBLANK(K509), "", VLOOKUP(C509&amp;" "&amp;D509, 'Info Tipo de Cambio y REM'!$A$24:$B$35, 2, FALSE))</f>
        <v>1445</v>
      </c>
      <c r="N509" s="107">
        <f t="shared" si="3"/>
        <v>337.3702422</v>
      </c>
      <c r="O509" s="102" t="str">
        <f t="shared" si="2"/>
        <v>Vencido</v>
      </c>
    </row>
    <row r="510">
      <c r="A510" s="43" t="s">
        <v>203</v>
      </c>
      <c r="B510" s="43" t="str">
        <f>IF(A510="", "", IFERROR(VLOOKUP(A510, Clasificaciones!A:B, 2, FALSE), "DATO NO CARGADO"))</f>
        <v>Equipo</v>
      </c>
      <c r="C510" s="51" t="s">
        <v>171</v>
      </c>
      <c r="D510" s="156">
        <v>2025.0</v>
      </c>
      <c r="E510" s="43" t="s">
        <v>371</v>
      </c>
      <c r="F510" s="129">
        <v>45938.0</v>
      </c>
      <c r="G510" s="104">
        <v>45932.0</v>
      </c>
      <c r="H510" s="165" t="s">
        <v>409</v>
      </c>
      <c r="I510" s="43" t="s">
        <v>1038</v>
      </c>
      <c r="J510" s="103"/>
      <c r="K510" s="343">
        <v>222501.0</v>
      </c>
      <c r="L510" s="71"/>
      <c r="M510" s="106">
        <f>IF(ISBLANK(K510), "", VLOOKUP(C510&amp;" "&amp;D510, 'Info Tipo de Cambio y REM'!$A$24:$B$35, 2, FALSE))</f>
        <v>1445</v>
      </c>
      <c r="N510" s="107">
        <f t="shared" si="3"/>
        <v>153.9799308</v>
      </c>
      <c r="O510" s="102" t="str">
        <f t="shared" si="2"/>
        <v>Vencido</v>
      </c>
    </row>
    <row r="511">
      <c r="A511" s="43" t="s">
        <v>197</v>
      </c>
      <c r="B511" s="43" t="str">
        <f>IF(A511="", "", IFERROR(VLOOKUP(A511, Clasificaciones!A:B, 2, FALSE), "DATO NO CARGADO"))</f>
        <v>Equipo</v>
      </c>
      <c r="C511" s="51" t="s">
        <v>171</v>
      </c>
      <c r="D511" s="156">
        <v>2025.0</v>
      </c>
      <c r="E511" s="43" t="s">
        <v>371</v>
      </c>
      <c r="F511" s="129">
        <v>45938.0</v>
      </c>
      <c r="G511" s="104">
        <v>45936.0</v>
      </c>
      <c r="H511" s="165" t="s">
        <v>411</v>
      </c>
      <c r="I511" s="43" t="s">
        <v>1039</v>
      </c>
      <c r="J511" s="103"/>
      <c r="K511" s="343">
        <v>102978.0</v>
      </c>
      <c r="L511" s="71"/>
      <c r="M511" s="106">
        <f>IF(ISBLANK(K511), "", VLOOKUP(C511&amp;" "&amp;D511, 'Info Tipo de Cambio y REM'!$A$24:$B$35, 2, FALSE))</f>
        <v>1445</v>
      </c>
      <c r="N511" s="107">
        <f t="shared" si="3"/>
        <v>71.2650519</v>
      </c>
      <c r="O511" s="102" t="str">
        <f t="shared" si="2"/>
        <v>Vencido</v>
      </c>
    </row>
    <row r="512">
      <c r="A512" s="43" t="s">
        <v>218</v>
      </c>
      <c r="B512" s="43" t="str">
        <f>IF(A512="", "", IFERROR(VLOOKUP(A512, Clasificaciones!A:B, 2, FALSE), "DATO NO CARGADO"))</f>
        <v>Equipo</v>
      </c>
      <c r="C512" s="51" t="s">
        <v>171</v>
      </c>
      <c r="D512" s="156">
        <v>2025.0</v>
      </c>
      <c r="E512" s="43" t="s">
        <v>371</v>
      </c>
      <c r="F512" s="129">
        <v>45938.0</v>
      </c>
      <c r="G512" s="104">
        <v>45930.0</v>
      </c>
      <c r="H512" s="165" t="s">
        <v>414</v>
      </c>
      <c r="I512" s="43" t="s">
        <v>1040</v>
      </c>
      <c r="J512" s="103"/>
      <c r="K512" s="343">
        <v>805000.0</v>
      </c>
      <c r="L512" s="71"/>
      <c r="M512" s="106">
        <f>IF(ISBLANK(K512), "", VLOOKUP(C512&amp;" "&amp;D512, 'Info Tipo de Cambio y REM'!$A$24:$B$35, 2, FALSE))</f>
        <v>1445</v>
      </c>
      <c r="N512" s="107">
        <f t="shared" si="3"/>
        <v>557.0934256</v>
      </c>
      <c r="O512" s="102" t="str">
        <f t="shared" si="2"/>
        <v>Vencido</v>
      </c>
    </row>
    <row r="513">
      <c r="A513" s="43" t="s">
        <v>219</v>
      </c>
      <c r="B513" s="43" t="str">
        <f>IF(A513="", "", IFERROR(VLOOKUP(A513, Clasificaciones!A:B, 2, FALSE), "DATO NO CARGADO"))</f>
        <v>Gastos Varios</v>
      </c>
      <c r="C513" s="51" t="s">
        <v>171</v>
      </c>
      <c r="D513" s="156">
        <v>2025.0</v>
      </c>
      <c r="E513" s="43" t="s">
        <v>371</v>
      </c>
      <c r="F513" s="104">
        <v>45939.0</v>
      </c>
      <c r="G513" s="104">
        <v>45930.0</v>
      </c>
      <c r="H513" s="165" t="s">
        <v>575</v>
      </c>
      <c r="J513" s="103"/>
      <c r="K513" s="112">
        <v>762594.0</v>
      </c>
      <c r="L513" s="71"/>
      <c r="M513" s="106">
        <f>IF(ISBLANK(K513), "", VLOOKUP(C513&amp;" "&amp;D513, 'Info Tipo de Cambio y REM'!$A$24:$B$35, 2, FALSE))</f>
        <v>1445</v>
      </c>
      <c r="N513" s="107">
        <f t="shared" si="3"/>
        <v>527.7467128</v>
      </c>
      <c r="O513" s="102" t="str">
        <f t="shared" si="2"/>
        <v>Vencido</v>
      </c>
    </row>
    <row r="514">
      <c r="A514" s="43" t="s">
        <v>158</v>
      </c>
      <c r="B514" s="43" t="str">
        <f>IF(A514="", "", IFERROR(VLOOKUP(A514, Clasificaciones!A:B, 2, FALSE), "DATO NO CARGADO"))</f>
        <v>Tarjeta</v>
      </c>
      <c r="C514" s="51" t="s">
        <v>171</v>
      </c>
      <c r="D514" s="156">
        <v>2025.0</v>
      </c>
      <c r="E514" s="43" t="s">
        <v>371</v>
      </c>
      <c r="F514" s="103"/>
      <c r="G514" s="104">
        <v>45930.0</v>
      </c>
      <c r="H514" s="165" t="s">
        <v>1041</v>
      </c>
      <c r="J514" s="103"/>
      <c r="K514" s="112">
        <v>32000.0</v>
      </c>
      <c r="L514" s="71"/>
      <c r="M514" s="106">
        <f>IF(ISBLANK(K514), "", VLOOKUP(C514&amp;" "&amp;D514, 'Info Tipo de Cambio y REM'!$A$24:$B$35, 2, FALSE))</f>
        <v>1445</v>
      </c>
      <c r="N514" s="107">
        <f t="shared" si="3"/>
        <v>22.14532872</v>
      </c>
      <c r="O514" s="102" t="str">
        <f t="shared" si="2"/>
        <v>Vencido</v>
      </c>
    </row>
    <row r="515">
      <c r="A515" s="43" t="s">
        <v>164</v>
      </c>
      <c r="B515" s="43" t="str">
        <f>IF(A515="", "", IFERROR(VLOOKUP(A515, Clasificaciones!A:B, 2, FALSE), "DATO NO CARGADO"))</f>
        <v>Estudio Contable</v>
      </c>
      <c r="C515" s="51" t="s">
        <v>171</v>
      </c>
      <c r="D515" s="156">
        <v>2025.0</v>
      </c>
      <c r="E515" s="43" t="s">
        <v>371</v>
      </c>
      <c r="F515" s="103"/>
      <c r="G515" s="104">
        <v>45930.0</v>
      </c>
      <c r="H515" s="230" t="s">
        <v>1042</v>
      </c>
      <c r="J515" s="103"/>
      <c r="K515" s="43">
        <v>98675.0</v>
      </c>
      <c r="L515" s="71"/>
      <c r="M515" s="106">
        <f>IF(ISBLANK(K515), "", VLOOKUP(C515&amp;" "&amp;D515, 'Info Tipo de Cambio y REM'!$A$24:$B$35, 2, FALSE))</f>
        <v>1445</v>
      </c>
      <c r="N515" s="107">
        <f t="shared" si="3"/>
        <v>68.28719723</v>
      </c>
      <c r="O515" s="102" t="str">
        <f t="shared" si="2"/>
        <v>Vencido</v>
      </c>
    </row>
    <row r="516">
      <c r="A516" s="43" t="s">
        <v>153</v>
      </c>
      <c r="B516" s="43" t="str">
        <f>IF(A516="", "", IFERROR(VLOOKUP(A516, Clasificaciones!A:B, 2, FALSE), "DATO NO CARGADO"))</f>
        <v>Impuestos USA</v>
      </c>
      <c r="C516" s="51" t="s">
        <v>171</v>
      </c>
      <c r="D516" s="156">
        <v>2025.0</v>
      </c>
      <c r="E516" s="43" t="s">
        <v>371</v>
      </c>
      <c r="F516" s="103"/>
      <c r="G516" s="104">
        <v>45930.0</v>
      </c>
      <c r="H516" s="165" t="s">
        <v>1043</v>
      </c>
      <c r="J516" s="103"/>
      <c r="L516" s="89">
        <v>10801.0</v>
      </c>
      <c r="M516" s="106" t="str">
        <f>IF(ISBLANK(K516), "", VLOOKUP(C516&amp;" "&amp;D516, 'Info Tipo de Cambio y REM'!$A$24:$B$35, 2, FALSE))</f>
        <v/>
      </c>
      <c r="N516" s="107">
        <f t="shared" si="3"/>
        <v>10801</v>
      </c>
      <c r="O516" s="102" t="str">
        <f t="shared" si="2"/>
        <v>Vencido</v>
      </c>
    </row>
    <row r="517">
      <c r="A517" s="43" t="s">
        <v>222</v>
      </c>
      <c r="B517" s="43" t="str">
        <f>IF(A517="", "", IFERROR(VLOOKUP(A517, Clasificaciones!A:B, 2, FALSE), "DATO NO CARGADO"))</f>
        <v>Oxean</v>
      </c>
      <c r="C517" s="51" t="s">
        <v>171</v>
      </c>
      <c r="D517" s="156">
        <v>2025.0</v>
      </c>
      <c r="E517" s="43" t="s">
        <v>371</v>
      </c>
      <c r="F517" s="103"/>
      <c r="G517" s="104">
        <v>45930.0</v>
      </c>
      <c r="H517" s="230" t="s">
        <v>1044</v>
      </c>
      <c r="J517" s="103"/>
      <c r="K517" s="229">
        <v>5302886.0</v>
      </c>
      <c r="L517" s="344"/>
      <c r="M517" s="106">
        <f>IF(ISBLANK(K517), "", VLOOKUP(C517&amp;" "&amp;D517, 'Info Tipo de Cambio y REM'!$A$24:$B$35, 2, FALSE))</f>
        <v>1445</v>
      </c>
      <c r="N517" s="107">
        <f t="shared" si="3"/>
        <v>3669.817301</v>
      </c>
      <c r="O517" s="102" t="str">
        <f t="shared" si="2"/>
        <v>Vencido</v>
      </c>
    </row>
    <row r="518">
      <c r="A518" s="43" t="s">
        <v>201</v>
      </c>
      <c r="B518" s="43" t="str">
        <f>IF(A518="", "", IFERROR(VLOOKUP(A518, Clasificaciones!A:B, 2, FALSE), "DATO NO CARGADO"))</f>
        <v>Intereses Oxean</v>
      </c>
      <c r="C518" s="51" t="s">
        <v>171</v>
      </c>
      <c r="D518" s="156">
        <v>2025.0</v>
      </c>
      <c r="E518" s="43" t="s">
        <v>371</v>
      </c>
      <c r="F518" s="103"/>
      <c r="G518" s="104">
        <v>45930.0</v>
      </c>
      <c r="H518" s="230" t="s">
        <v>1045</v>
      </c>
      <c r="J518" s="103"/>
      <c r="L518" s="89">
        <v>743.2</v>
      </c>
      <c r="M518" s="106" t="str">
        <f>IF(ISBLANK(K518), "", VLOOKUP(C518&amp;" "&amp;D518, 'Info Tipo de Cambio y REM'!$A$24:$B$35, 2, FALSE))</f>
        <v/>
      </c>
      <c r="N518" s="107">
        <f t="shared" si="3"/>
        <v>743.2</v>
      </c>
      <c r="O518" s="102" t="str">
        <f t="shared" si="2"/>
        <v>Vencido</v>
      </c>
    </row>
    <row r="519">
      <c r="A519" s="43" t="s">
        <v>152</v>
      </c>
      <c r="B519" s="43" t="str">
        <f>IF(A519="", "", IFERROR(VLOOKUP(A519, Clasificaciones!A:B, 2, FALSE), "DATO NO CARGADO"))</f>
        <v>Impuestos ARG</v>
      </c>
      <c r="C519" s="51" t="s">
        <v>171</v>
      </c>
      <c r="D519" s="156">
        <v>2025.0</v>
      </c>
      <c r="E519" s="43" t="s">
        <v>371</v>
      </c>
      <c r="F519" s="103"/>
      <c r="G519" s="104">
        <v>45930.0</v>
      </c>
      <c r="H519" s="230" t="s">
        <v>1046</v>
      </c>
      <c r="J519" s="103"/>
      <c r="K519" s="43">
        <v>2811304.0</v>
      </c>
      <c r="L519" s="71"/>
      <c r="M519" s="106">
        <f>IF(ISBLANK(K519), "", VLOOKUP(C519&amp;" "&amp;D519, 'Info Tipo de Cambio y REM'!$A$24:$B$35, 2, FALSE))</f>
        <v>1445</v>
      </c>
      <c r="N519" s="107">
        <f t="shared" si="3"/>
        <v>1945.5391</v>
      </c>
      <c r="O519" s="102" t="str">
        <f t="shared" si="2"/>
        <v>Vencido</v>
      </c>
    </row>
    <row r="520">
      <c r="A520" s="43" t="s">
        <v>146</v>
      </c>
      <c r="B520" s="43" t="str">
        <f>IF(A520="", "", IFERROR(VLOOKUP(A520, Clasificaciones!A:B, 2, FALSE), "DATO NO CARGADO"))</f>
        <v>Impuestos ARG</v>
      </c>
      <c r="C520" s="51" t="s">
        <v>171</v>
      </c>
      <c r="D520" s="156">
        <v>2025.0</v>
      </c>
      <c r="E520" s="43" t="s">
        <v>371</v>
      </c>
      <c r="F520" s="103"/>
      <c r="G520" s="104">
        <v>45930.0</v>
      </c>
      <c r="H520" s="230" t="s">
        <v>1047</v>
      </c>
      <c r="J520" s="103"/>
      <c r="K520" s="43">
        <v>511723.0</v>
      </c>
      <c r="L520" s="71"/>
      <c r="M520" s="106">
        <f>IF(ISBLANK(K520), "", VLOOKUP(C520&amp;" "&amp;D520, 'Info Tipo de Cambio y REM'!$A$24:$B$35, 2, FALSE))</f>
        <v>1445</v>
      </c>
      <c r="N520" s="107">
        <f t="shared" si="3"/>
        <v>354.133564</v>
      </c>
      <c r="O520" s="102" t="str">
        <f t="shared" si="2"/>
        <v>Vencido</v>
      </c>
    </row>
    <row r="521">
      <c r="A521" s="43" t="s">
        <v>191</v>
      </c>
      <c r="B521" s="43" t="str">
        <f>IF(A521="", "", IFERROR(VLOOKUP(A521, Clasificaciones!A:B, 2, FALSE), "DATO NO CARGADO"))</f>
        <v>Tarjeta</v>
      </c>
      <c r="C521" s="51" t="s">
        <v>175</v>
      </c>
      <c r="D521" s="156">
        <v>2025.0</v>
      </c>
      <c r="E521" s="43" t="s">
        <v>374</v>
      </c>
      <c r="F521" s="103"/>
      <c r="G521" s="172">
        <v>45931.0</v>
      </c>
      <c r="H521" s="83" t="s">
        <v>976</v>
      </c>
      <c r="J521" s="103"/>
      <c r="L521" s="114">
        <v>2.25</v>
      </c>
      <c r="M521" s="106" t="str">
        <f>IF(ISBLANK(K521), "", VLOOKUP(C521&amp;" "&amp;D521, 'Info Tipo de Cambio y REM'!$A$24:$B$35, 2, FALSE))</f>
        <v/>
      </c>
      <c r="N521" s="107">
        <f t="shared" si="3"/>
        <v>2.25</v>
      </c>
      <c r="O521" s="102" t="str">
        <f t="shared" si="2"/>
        <v>A término</v>
      </c>
    </row>
    <row r="522">
      <c r="A522" s="43" t="s">
        <v>191</v>
      </c>
      <c r="B522" s="43" t="str">
        <f>IF(A522="", "", IFERROR(VLOOKUP(A522, Clasificaciones!A:B, 2, FALSE), "DATO NO CARGADO"))</f>
        <v>Tarjeta</v>
      </c>
      <c r="C522" s="51" t="s">
        <v>175</v>
      </c>
      <c r="D522" s="156">
        <v>2025.0</v>
      </c>
      <c r="E522" s="43" t="s">
        <v>374</v>
      </c>
      <c r="F522" s="103"/>
      <c r="G522" s="172">
        <v>45932.0</v>
      </c>
      <c r="H522" s="83" t="s">
        <v>977</v>
      </c>
      <c r="J522" s="103"/>
      <c r="L522" s="307">
        <v>609.36</v>
      </c>
      <c r="M522" s="106" t="str">
        <f>IF(ISBLANK(K522), "", VLOOKUP(C522&amp;" "&amp;D522, 'Info Tipo de Cambio y REM'!$A$24:$B$35, 2, FALSE))</f>
        <v/>
      </c>
      <c r="N522" s="107">
        <f t="shared" si="3"/>
        <v>609.36</v>
      </c>
      <c r="O522" s="102" t="str">
        <f t="shared" si="2"/>
        <v>A término</v>
      </c>
    </row>
    <row r="523">
      <c r="A523" s="43" t="s">
        <v>191</v>
      </c>
      <c r="B523" s="43" t="str">
        <f>IF(A523="", "", IFERROR(VLOOKUP(A523, Clasificaciones!A:B, 2, FALSE), "DATO NO CARGADO"))</f>
        <v>Tarjeta</v>
      </c>
      <c r="C523" s="51" t="s">
        <v>175</v>
      </c>
      <c r="D523" s="156">
        <v>2025.0</v>
      </c>
      <c r="E523" s="43" t="s">
        <v>374</v>
      </c>
      <c r="F523" s="103"/>
      <c r="G523" s="172">
        <v>45932.0</v>
      </c>
      <c r="H523" s="83" t="s">
        <v>978</v>
      </c>
      <c r="J523" s="103"/>
      <c r="L523" s="307">
        <v>5.82</v>
      </c>
      <c r="M523" s="106" t="str">
        <f>IF(ISBLANK(K523), "", VLOOKUP(C523&amp;" "&amp;D523, 'Info Tipo de Cambio y REM'!$A$24:$B$35, 2, FALSE))</f>
        <v/>
      </c>
      <c r="N523" s="107">
        <f t="shared" si="3"/>
        <v>5.82</v>
      </c>
      <c r="O523" s="102" t="str">
        <f t="shared" si="2"/>
        <v>A término</v>
      </c>
    </row>
    <row r="524">
      <c r="A524" s="43" t="s">
        <v>191</v>
      </c>
      <c r="B524" s="43" t="str">
        <f>IF(A524="", "", IFERROR(VLOOKUP(A524, Clasificaciones!A:B, 2, FALSE), "DATO NO CARGADO"))</f>
        <v>Tarjeta</v>
      </c>
      <c r="C524" s="51" t="s">
        <v>175</v>
      </c>
      <c r="D524" s="156">
        <v>2025.0</v>
      </c>
      <c r="E524" s="43" t="s">
        <v>374</v>
      </c>
      <c r="F524" s="103"/>
      <c r="G524" s="172">
        <v>45933.0</v>
      </c>
      <c r="H524" s="83" t="s">
        <v>979</v>
      </c>
      <c r="J524" s="103"/>
      <c r="L524" s="114">
        <v>14.19</v>
      </c>
      <c r="M524" s="106" t="str">
        <f>IF(ISBLANK(K524), "", VLOOKUP(C524&amp;" "&amp;D524, 'Info Tipo de Cambio y REM'!$A$24:$B$35, 2, FALSE))</f>
        <v/>
      </c>
      <c r="N524" s="107">
        <f t="shared" si="3"/>
        <v>14.19</v>
      </c>
      <c r="O524" s="102" t="str">
        <f t="shared" si="2"/>
        <v>A término</v>
      </c>
    </row>
    <row r="525">
      <c r="A525" s="43" t="s">
        <v>191</v>
      </c>
      <c r="B525" s="43" t="str">
        <f>IF(A525="", "", IFERROR(VLOOKUP(A525, Clasificaciones!A:B, 2, FALSE), "DATO NO CARGADO"))</f>
        <v>Tarjeta</v>
      </c>
      <c r="C525" s="51" t="s">
        <v>175</v>
      </c>
      <c r="D525" s="156">
        <v>2025.0</v>
      </c>
      <c r="E525" s="43" t="s">
        <v>374</v>
      </c>
      <c r="F525" s="103"/>
      <c r="G525" s="172">
        <v>45936.0</v>
      </c>
      <c r="H525" s="83" t="s">
        <v>980</v>
      </c>
      <c r="J525" s="103"/>
      <c r="L525" s="307">
        <v>22.99</v>
      </c>
      <c r="M525" s="106" t="str">
        <f>IF(ISBLANK(K525), "", VLOOKUP(C525&amp;" "&amp;D525, 'Info Tipo de Cambio y REM'!$A$24:$B$35, 2, FALSE))</f>
        <v/>
      </c>
      <c r="N525" s="107">
        <f t="shared" si="3"/>
        <v>22.99</v>
      </c>
      <c r="O525" s="102" t="str">
        <f t="shared" si="2"/>
        <v>A término</v>
      </c>
    </row>
    <row r="526">
      <c r="A526" s="43" t="s">
        <v>191</v>
      </c>
      <c r="B526" s="43" t="str">
        <f>IF(A526="", "", IFERROR(VLOOKUP(A526, Clasificaciones!A:B, 2, FALSE), "DATO NO CARGADO"))</f>
        <v>Tarjeta</v>
      </c>
      <c r="C526" s="51" t="s">
        <v>175</v>
      </c>
      <c r="D526" s="156">
        <v>2025.0</v>
      </c>
      <c r="E526" s="43" t="s">
        <v>374</v>
      </c>
      <c r="F526" s="103"/>
      <c r="G526" s="172">
        <v>45936.0</v>
      </c>
      <c r="H526" s="83" t="s">
        <v>981</v>
      </c>
      <c r="J526" s="103"/>
      <c r="L526" s="307">
        <v>6.24</v>
      </c>
      <c r="M526" s="106" t="str">
        <f>IF(ISBLANK(K526), "", VLOOKUP(C526&amp;" "&amp;D526, 'Info Tipo de Cambio y REM'!$A$24:$B$35, 2, FALSE))</f>
        <v/>
      </c>
      <c r="N526" s="107">
        <f t="shared" si="3"/>
        <v>6.24</v>
      </c>
      <c r="O526" s="102" t="str">
        <f t="shared" si="2"/>
        <v>A término</v>
      </c>
    </row>
    <row r="527">
      <c r="A527" s="43" t="s">
        <v>191</v>
      </c>
      <c r="B527" s="43" t="str">
        <f>IF(A527="", "", IFERROR(VLOOKUP(A527, Clasificaciones!A:B, 2, FALSE), "DATO NO CARGADO"))</f>
        <v>Tarjeta</v>
      </c>
      <c r="C527" s="51" t="s">
        <v>175</v>
      </c>
      <c r="D527" s="156">
        <v>2025.0</v>
      </c>
      <c r="E527" s="43" t="s">
        <v>374</v>
      </c>
      <c r="F527" s="103"/>
      <c r="G527" s="172">
        <v>45937.0</v>
      </c>
      <c r="H527" s="83" t="s">
        <v>982</v>
      </c>
      <c r="J527" s="103"/>
      <c r="L527" s="307">
        <v>20.0</v>
      </c>
      <c r="M527" s="106" t="str">
        <f>IF(ISBLANK(K527), "", VLOOKUP(C527&amp;" "&amp;D527, 'Info Tipo de Cambio y REM'!$A$24:$B$35, 2, FALSE))</f>
        <v/>
      </c>
      <c r="N527" s="107">
        <f t="shared" si="3"/>
        <v>20</v>
      </c>
      <c r="O527" s="102" t="str">
        <f t="shared" si="2"/>
        <v>A término</v>
      </c>
    </row>
    <row r="528">
      <c r="A528" s="43" t="s">
        <v>191</v>
      </c>
      <c r="B528" s="43" t="str">
        <f>IF(A528="", "", IFERROR(VLOOKUP(A528, Clasificaciones!A:B, 2, FALSE), "DATO NO CARGADO"))</f>
        <v>Tarjeta</v>
      </c>
      <c r="C528" s="51" t="s">
        <v>175</v>
      </c>
      <c r="D528" s="156">
        <v>2025.0</v>
      </c>
      <c r="E528" s="43" t="s">
        <v>374</v>
      </c>
      <c r="F528" s="103"/>
      <c r="G528" s="172">
        <v>45937.0</v>
      </c>
      <c r="H528" s="83" t="s">
        <v>983</v>
      </c>
      <c r="J528" s="103"/>
      <c r="L528" s="307">
        <v>29.0</v>
      </c>
      <c r="M528" s="106" t="str">
        <f>IF(ISBLANK(K528), "", VLOOKUP(C528&amp;" "&amp;D528, 'Info Tipo de Cambio y REM'!$A$24:$B$35, 2, FALSE))</f>
        <v/>
      </c>
      <c r="N528" s="107">
        <f t="shared" si="3"/>
        <v>29</v>
      </c>
      <c r="O528" s="102" t="str">
        <f t="shared" si="2"/>
        <v>A término</v>
      </c>
    </row>
    <row r="529">
      <c r="A529" s="43" t="s">
        <v>191</v>
      </c>
      <c r="B529" s="43" t="str">
        <f>IF(A529="", "", IFERROR(VLOOKUP(A529, Clasificaciones!A:B, 2, FALSE), "DATO NO CARGADO"))</f>
        <v>Tarjeta</v>
      </c>
      <c r="C529" s="51" t="s">
        <v>175</v>
      </c>
      <c r="D529" s="156">
        <v>2025.0</v>
      </c>
      <c r="E529" s="43" t="s">
        <v>374</v>
      </c>
      <c r="F529" s="103"/>
      <c r="G529" s="172">
        <v>45938.0</v>
      </c>
      <c r="H529" s="83" t="s">
        <v>984</v>
      </c>
      <c r="J529" s="103"/>
      <c r="L529" s="307">
        <v>6.49</v>
      </c>
      <c r="M529" s="106" t="str">
        <f>IF(ISBLANK(K529), "", VLOOKUP(C529&amp;" "&amp;D529, 'Info Tipo de Cambio y REM'!$A$24:$B$35, 2, FALSE))</f>
        <v/>
      </c>
      <c r="N529" s="107">
        <f t="shared" si="3"/>
        <v>6.49</v>
      </c>
      <c r="O529" s="102" t="str">
        <f t="shared" si="2"/>
        <v>A término</v>
      </c>
    </row>
    <row r="530">
      <c r="A530" s="43" t="s">
        <v>191</v>
      </c>
      <c r="B530" s="43" t="str">
        <f>IF(A530="", "", IFERROR(VLOOKUP(A530, Clasificaciones!A:B, 2, FALSE), "DATO NO CARGADO"))</f>
        <v>Tarjeta</v>
      </c>
      <c r="C530" s="51" t="s">
        <v>175</v>
      </c>
      <c r="D530" s="156">
        <v>2025.0</v>
      </c>
      <c r="E530" s="43" t="s">
        <v>374</v>
      </c>
      <c r="F530" s="103"/>
      <c r="G530" s="172">
        <v>45940.0</v>
      </c>
      <c r="H530" s="83" t="s">
        <v>985</v>
      </c>
      <c r="J530" s="103"/>
      <c r="L530" s="307">
        <v>490.49</v>
      </c>
      <c r="M530" s="106" t="str">
        <f>IF(ISBLANK(K530), "", VLOOKUP(C530&amp;" "&amp;D530, 'Info Tipo de Cambio y REM'!$A$24:$B$35, 2, FALSE))</f>
        <v/>
      </c>
      <c r="N530" s="107">
        <f t="shared" si="3"/>
        <v>490.49</v>
      </c>
      <c r="O530" s="102" t="str">
        <f t="shared" si="2"/>
        <v>A término</v>
      </c>
    </row>
    <row r="531">
      <c r="A531" s="43" t="s">
        <v>185</v>
      </c>
      <c r="B531" s="43" t="str">
        <f>IF(A531="", "", IFERROR(VLOOKUP(A531, Clasificaciones!A:B, 2, FALSE), "DATO NO CARGADO"))</f>
        <v>Comisiones Bancarias</v>
      </c>
      <c r="C531" s="51" t="s">
        <v>175</v>
      </c>
      <c r="D531" s="156">
        <v>2025.0</v>
      </c>
      <c r="E531" s="43" t="s">
        <v>374</v>
      </c>
      <c r="F531" s="103"/>
      <c r="G531" s="172">
        <v>45931.0</v>
      </c>
      <c r="H531" s="83" t="s">
        <v>549</v>
      </c>
      <c r="J531" s="103"/>
      <c r="L531" s="114">
        <v>45.0</v>
      </c>
      <c r="M531" s="106" t="str">
        <f>IF(ISBLANK(K531), "", VLOOKUP(C531&amp;" "&amp;D531, 'Info Tipo de Cambio y REM'!$A$24:$B$35, 2, FALSE))</f>
        <v/>
      </c>
      <c r="N531" s="107">
        <f t="shared" si="3"/>
        <v>45</v>
      </c>
      <c r="O531" s="102" t="str">
        <f t="shared" si="2"/>
        <v>A término</v>
      </c>
    </row>
    <row r="532">
      <c r="A532" s="43" t="s">
        <v>185</v>
      </c>
      <c r="B532" s="43" t="str">
        <f>IF(A532="", "", IFERROR(VLOOKUP(A532, Clasificaciones!A:B, 2, FALSE), "DATO NO CARGADO"))</f>
        <v>Comisiones Bancarias</v>
      </c>
      <c r="C532" s="51" t="s">
        <v>175</v>
      </c>
      <c r="D532" s="156">
        <v>2025.0</v>
      </c>
      <c r="E532" s="43" t="s">
        <v>374</v>
      </c>
      <c r="F532" s="103"/>
      <c r="G532" s="172">
        <v>45931.0</v>
      </c>
      <c r="H532" s="83" t="s">
        <v>549</v>
      </c>
      <c r="J532" s="103"/>
      <c r="L532" s="114">
        <v>45.0</v>
      </c>
      <c r="M532" s="106" t="str">
        <f>IF(ISBLANK(K532), "", VLOOKUP(C532&amp;" "&amp;D532, 'Info Tipo de Cambio y REM'!$A$24:$B$35, 2, FALSE))</f>
        <v/>
      </c>
      <c r="N532" s="107">
        <f t="shared" si="3"/>
        <v>45</v>
      </c>
      <c r="O532" s="102" t="str">
        <f t="shared" si="2"/>
        <v>A término</v>
      </c>
    </row>
    <row r="533">
      <c r="A533" s="43" t="s">
        <v>185</v>
      </c>
      <c r="B533" s="43" t="str">
        <f>IF(A533="", "", IFERROR(VLOOKUP(A533, Clasificaciones!A:B, 2, FALSE), "DATO NO CARGADO"))</f>
        <v>Comisiones Bancarias</v>
      </c>
      <c r="C533" s="51" t="s">
        <v>175</v>
      </c>
      <c r="D533" s="156">
        <v>2025.0</v>
      </c>
      <c r="E533" s="43" t="s">
        <v>374</v>
      </c>
      <c r="F533" s="103"/>
      <c r="G533" s="172">
        <v>45931.0</v>
      </c>
      <c r="H533" s="83" t="s">
        <v>549</v>
      </c>
      <c r="J533" s="103"/>
      <c r="L533" s="114">
        <v>45.0</v>
      </c>
      <c r="M533" s="106" t="str">
        <f>IF(ISBLANK(K533), "", VLOOKUP(C533&amp;" "&amp;D533, 'Info Tipo de Cambio y REM'!$A$24:$B$35, 2, FALSE))</f>
        <v/>
      </c>
      <c r="N533" s="107">
        <f t="shared" si="3"/>
        <v>45</v>
      </c>
      <c r="O533" s="102" t="str">
        <f t="shared" si="2"/>
        <v>A término</v>
      </c>
    </row>
    <row r="534">
      <c r="A534" s="43" t="s">
        <v>185</v>
      </c>
      <c r="B534" s="43" t="str">
        <f>IF(A534="", "", IFERROR(VLOOKUP(A534, Clasificaciones!A:B, 2, FALSE), "DATO NO CARGADO"))</f>
        <v>Comisiones Bancarias</v>
      </c>
      <c r="C534" s="51" t="s">
        <v>175</v>
      </c>
      <c r="D534" s="156">
        <v>2025.0</v>
      </c>
      <c r="E534" s="43" t="s">
        <v>374</v>
      </c>
      <c r="F534" s="103"/>
      <c r="G534" s="172">
        <v>45931.0</v>
      </c>
      <c r="H534" s="83" t="s">
        <v>549</v>
      </c>
      <c r="J534" s="103"/>
      <c r="L534" s="114">
        <v>45.0</v>
      </c>
      <c r="M534" s="106" t="str">
        <f>IF(ISBLANK(K534), "", VLOOKUP(C534&amp;" "&amp;D534, 'Info Tipo de Cambio y REM'!$A$24:$B$35, 2, FALSE))</f>
        <v/>
      </c>
      <c r="N534" s="107">
        <f t="shared" si="3"/>
        <v>45</v>
      </c>
      <c r="O534" s="102" t="str">
        <f t="shared" si="2"/>
        <v>A término</v>
      </c>
    </row>
    <row r="535">
      <c r="A535" s="43" t="s">
        <v>185</v>
      </c>
      <c r="B535" s="43" t="str">
        <f>IF(A535="", "", IFERROR(VLOOKUP(A535, Clasificaciones!A:B, 2, FALSE), "DATO NO CARGADO"))</f>
        <v>Comisiones Bancarias</v>
      </c>
      <c r="C535" s="51" t="s">
        <v>175</v>
      </c>
      <c r="D535" s="156">
        <v>2025.0</v>
      </c>
      <c r="E535" s="43" t="s">
        <v>374</v>
      </c>
      <c r="F535" s="103"/>
      <c r="G535" s="172">
        <v>45931.0</v>
      </c>
      <c r="H535" s="83" t="s">
        <v>549</v>
      </c>
      <c r="J535" s="103"/>
      <c r="L535" s="114">
        <v>45.0</v>
      </c>
      <c r="M535" s="106" t="str">
        <f>IF(ISBLANK(K535), "", VLOOKUP(C535&amp;" "&amp;D535, 'Info Tipo de Cambio y REM'!$A$24:$B$35, 2, FALSE))</f>
        <v/>
      </c>
      <c r="N535" s="107">
        <f t="shared" si="3"/>
        <v>45</v>
      </c>
      <c r="O535" s="102" t="str">
        <f t="shared" si="2"/>
        <v>A término</v>
      </c>
    </row>
    <row r="536">
      <c r="A536" s="43" t="s">
        <v>185</v>
      </c>
      <c r="B536" s="43" t="str">
        <f>IF(A536="", "", IFERROR(VLOOKUP(A536, Clasificaciones!A:B, 2, FALSE), "DATO NO CARGADO"))</f>
        <v>Comisiones Bancarias</v>
      </c>
      <c r="C536" s="51" t="s">
        <v>175</v>
      </c>
      <c r="D536" s="156">
        <v>2025.0</v>
      </c>
      <c r="E536" s="43" t="s">
        <v>374</v>
      </c>
      <c r="F536" s="103"/>
      <c r="G536" s="172">
        <v>45931.0</v>
      </c>
      <c r="H536" s="83" t="s">
        <v>549</v>
      </c>
      <c r="J536" s="103"/>
      <c r="L536" s="114">
        <v>45.0</v>
      </c>
      <c r="M536" s="106" t="str">
        <f>IF(ISBLANK(K536), "", VLOOKUP(C536&amp;" "&amp;D536, 'Info Tipo de Cambio y REM'!$A$24:$B$35, 2, FALSE))</f>
        <v/>
      </c>
      <c r="N536" s="107">
        <f t="shared" si="3"/>
        <v>45</v>
      </c>
      <c r="O536" s="102" t="str">
        <f t="shared" si="2"/>
        <v>A término</v>
      </c>
    </row>
    <row r="537">
      <c r="A537" s="43" t="s">
        <v>185</v>
      </c>
      <c r="B537" s="43" t="str">
        <f>IF(A537="", "", IFERROR(VLOOKUP(A537, Clasificaciones!A:B, 2, FALSE), "DATO NO CARGADO"))</f>
        <v>Comisiones Bancarias</v>
      </c>
      <c r="C537" s="51" t="s">
        <v>175</v>
      </c>
      <c r="D537" s="156">
        <v>2025.0</v>
      </c>
      <c r="E537" s="43" t="s">
        <v>374</v>
      </c>
      <c r="F537" s="103"/>
      <c r="G537" s="172">
        <v>45931.0</v>
      </c>
      <c r="H537" s="83" t="s">
        <v>549</v>
      </c>
      <c r="J537" s="103"/>
      <c r="L537" s="114">
        <v>45.0</v>
      </c>
      <c r="M537" s="106" t="str">
        <f>IF(ISBLANK(K537), "", VLOOKUP(C537&amp;" "&amp;D537, 'Info Tipo de Cambio y REM'!$A$24:$B$35, 2, FALSE))</f>
        <v/>
      </c>
      <c r="N537" s="107">
        <f t="shared" si="3"/>
        <v>45</v>
      </c>
      <c r="O537" s="102" t="str">
        <f t="shared" si="2"/>
        <v>A término</v>
      </c>
    </row>
    <row r="538">
      <c r="A538" s="43" t="s">
        <v>185</v>
      </c>
      <c r="B538" s="43" t="str">
        <f>IF(A538="", "", IFERROR(VLOOKUP(A538, Clasificaciones!A:B, 2, FALSE), "DATO NO CARGADO"))</f>
        <v>Comisiones Bancarias</v>
      </c>
      <c r="C538" s="51" t="s">
        <v>175</v>
      </c>
      <c r="D538" s="156">
        <v>2025.0</v>
      </c>
      <c r="E538" s="43" t="s">
        <v>374</v>
      </c>
      <c r="F538" s="103"/>
      <c r="G538" s="172">
        <v>45931.0</v>
      </c>
      <c r="H538" s="83" t="s">
        <v>549</v>
      </c>
      <c r="J538" s="103"/>
      <c r="L538" s="114">
        <v>45.0</v>
      </c>
      <c r="M538" s="106" t="str">
        <f>IF(ISBLANK(K538), "", VLOOKUP(C538&amp;" "&amp;D538, 'Info Tipo de Cambio y REM'!$A$24:$B$35, 2, FALSE))</f>
        <v/>
      </c>
      <c r="N538" s="107">
        <f t="shared" si="3"/>
        <v>45</v>
      </c>
      <c r="O538" s="102" t="str">
        <f t="shared" si="2"/>
        <v>A término</v>
      </c>
    </row>
    <row r="539">
      <c r="A539" s="43" t="s">
        <v>185</v>
      </c>
      <c r="B539" s="43" t="str">
        <f>IF(A539="", "", IFERROR(VLOOKUP(A539, Clasificaciones!A:B, 2, FALSE), "DATO NO CARGADO"))</f>
        <v>Comisiones Bancarias</v>
      </c>
      <c r="C539" s="51" t="s">
        <v>175</v>
      </c>
      <c r="D539" s="156">
        <v>2025.0</v>
      </c>
      <c r="E539" s="43" t="s">
        <v>374</v>
      </c>
      <c r="F539" s="103"/>
      <c r="G539" s="172">
        <v>45931.0</v>
      </c>
      <c r="H539" s="83" t="s">
        <v>549</v>
      </c>
      <c r="J539" s="103"/>
      <c r="L539" s="114">
        <v>45.0</v>
      </c>
      <c r="M539" s="106" t="str">
        <f>IF(ISBLANK(K539), "", VLOOKUP(C539&amp;" "&amp;D539, 'Info Tipo de Cambio y REM'!$A$24:$B$35, 2, FALSE))</f>
        <v/>
      </c>
      <c r="N539" s="107">
        <f t="shared" si="3"/>
        <v>45</v>
      </c>
      <c r="O539" s="102" t="str">
        <f t="shared" si="2"/>
        <v>A término</v>
      </c>
    </row>
    <row r="540">
      <c r="A540" s="43" t="s">
        <v>185</v>
      </c>
      <c r="B540" s="43" t="str">
        <f>IF(A540="", "", IFERROR(VLOOKUP(A540, Clasificaciones!A:B, 2, FALSE), "DATO NO CARGADO"))</f>
        <v>Comisiones Bancarias</v>
      </c>
      <c r="C540" s="51" t="s">
        <v>175</v>
      </c>
      <c r="D540" s="156">
        <v>2025.0</v>
      </c>
      <c r="E540" s="43" t="s">
        <v>374</v>
      </c>
      <c r="F540" s="103"/>
      <c r="G540" s="172">
        <v>45931.0</v>
      </c>
      <c r="H540" s="83" t="s">
        <v>549</v>
      </c>
      <c r="J540" s="103"/>
      <c r="L540" s="114">
        <v>45.0</v>
      </c>
      <c r="M540" s="106" t="str">
        <f>IF(ISBLANK(K540), "", VLOOKUP(C540&amp;" "&amp;D540, 'Info Tipo de Cambio y REM'!$A$24:$B$35, 2, FALSE))</f>
        <v/>
      </c>
      <c r="N540" s="107">
        <f t="shared" si="3"/>
        <v>45</v>
      </c>
      <c r="O540" s="102" t="str">
        <f t="shared" si="2"/>
        <v>A término</v>
      </c>
    </row>
    <row r="541">
      <c r="A541" s="43" t="s">
        <v>185</v>
      </c>
      <c r="B541" s="43" t="str">
        <f>IF(A541="", "", IFERROR(VLOOKUP(A541, Clasificaciones!A:B, 2, FALSE), "DATO NO CARGADO"))</f>
        <v>Comisiones Bancarias</v>
      </c>
      <c r="C541" s="51" t="s">
        <v>175</v>
      </c>
      <c r="D541" s="156">
        <v>2025.0</v>
      </c>
      <c r="E541" s="43" t="s">
        <v>374</v>
      </c>
      <c r="F541" s="103"/>
      <c r="G541" s="172">
        <v>45931.0</v>
      </c>
      <c r="H541" s="83" t="s">
        <v>549</v>
      </c>
      <c r="J541" s="103"/>
      <c r="L541" s="114">
        <v>45.0</v>
      </c>
      <c r="M541" s="106" t="str">
        <f>IF(ISBLANK(K541), "", VLOOKUP(C541&amp;" "&amp;D541, 'Info Tipo de Cambio y REM'!$A$24:$B$35, 2, FALSE))</f>
        <v/>
      </c>
      <c r="N541" s="107">
        <f t="shared" si="3"/>
        <v>45</v>
      </c>
      <c r="O541" s="102" t="str">
        <f t="shared" si="2"/>
        <v>A término</v>
      </c>
    </row>
    <row r="542">
      <c r="A542" s="43" t="s">
        <v>185</v>
      </c>
      <c r="B542" s="43" t="str">
        <f>IF(A542="", "", IFERROR(VLOOKUP(A542, Clasificaciones!A:B, 2, FALSE), "DATO NO CARGADO"))</f>
        <v>Comisiones Bancarias</v>
      </c>
      <c r="C542" s="51" t="s">
        <v>175</v>
      </c>
      <c r="D542" s="156">
        <v>2025.0</v>
      </c>
      <c r="E542" s="43" t="s">
        <v>374</v>
      </c>
      <c r="F542" s="103"/>
      <c r="G542" s="172">
        <v>45931.0</v>
      </c>
      <c r="H542" s="83" t="s">
        <v>549</v>
      </c>
      <c r="J542" s="103"/>
      <c r="L542" s="114">
        <v>45.0</v>
      </c>
      <c r="M542" s="106" t="str">
        <f>IF(ISBLANK(K542), "", VLOOKUP(C542&amp;" "&amp;D542, 'Info Tipo de Cambio y REM'!$A$24:$B$35, 2, FALSE))</f>
        <v/>
      </c>
      <c r="N542" s="107">
        <f t="shared" si="3"/>
        <v>45</v>
      </c>
      <c r="O542" s="102" t="str">
        <f t="shared" si="2"/>
        <v>A término</v>
      </c>
    </row>
    <row r="543">
      <c r="A543" s="43" t="s">
        <v>185</v>
      </c>
      <c r="B543" s="43" t="str">
        <f>IF(A543="", "", IFERROR(VLOOKUP(A543, Clasificaciones!A:B, 2, FALSE), "DATO NO CARGADO"))</f>
        <v>Comisiones Bancarias</v>
      </c>
      <c r="C543" s="51" t="s">
        <v>175</v>
      </c>
      <c r="D543" s="156">
        <v>2025.0</v>
      </c>
      <c r="E543" s="43" t="s">
        <v>374</v>
      </c>
      <c r="F543" s="103"/>
      <c r="G543" s="172">
        <v>45931.0</v>
      </c>
      <c r="H543" s="83" t="s">
        <v>549</v>
      </c>
      <c r="J543" s="103"/>
      <c r="L543" s="114">
        <v>45.0</v>
      </c>
      <c r="M543" s="106" t="str">
        <f>IF(ISBLANK(K543), "", VLOOKUP(C543&amp;" "&amp;D543, 'Info Tipo de Cambio y REM'!$A$24:$B$35, 2, FALSE))</f>
        <v/>
      </c>
      <c r="N543" s="107">
        <f t="shared" si="3"/>
        <v>45</v>
      </c>
      <c r="O543" s="102" t="str">
        <f t="shared" si="2"/>
        <v>A término</v>
      </c>
    </row>
    <row r="544">
      <c r="A544" s="43" t="s">
        <v>185</v>
      </c>
      <c r="B544" s="43" t="str">
        <f>IF(A544="", "", IFERROR(VLOOKUP(A544, Clasificaciones!A:B, 2, FALSE), "DATO NO CARGADO"))</f>
        <v>Comisiones Bancarias</v>
      </c>
      <c r="C544" s="51" t="s">
        <v>175</v>
      </c>
      <c r="D544" s="156">
        <v>2025.0</v>
      </c>
      <c r="E544" s="43" t="s">
        <v>374</v>
      </c>
      <c r="F544" s="103"/>
      <c r="G544" s="172">
        <v>45931.0</v>
      </c>
      <c r="H544" s="83" t="s">
        <v>549</v>
      </c>
      <c r="J544" s="103"/>
      <c r="L544" s="114">
        <v>45.0</v>
      </c>
      <c r="M544" s="106" t="str">
        <f>IF(ISBLANK(K544), "", VLOOKUP(C544&amp;" "&amp;D544, 'Info Tipo de Cambio y REM'!$A$24:$B$35, 2, FALSE))</f>
        <v/>
      </c>
      <c r="N544" s="107">
        <f t="shared" si="3"/>
        <v>45</v>
      </c>
      <c r="O544" s="102" t="str">
        <f t="shared" si="2"/>
        <v>A término</v>
      </c>
    </row>
    <row r="545">
      <c r="A545" s="43" t="s">
        <v>185</v>
      </c>
      <c r="B545" s="43" t="str">
        <f>IF(A545="", "", IFERROR(VLOOKUP(A545, Clasificaciones!A:B, 2, FALSE), "DATO NO CARGADO"))</f>
        <v>Comisiones Bancarias</v>
      </c>
      <c r="C545" s="51" t="s">
        <v>175</v>
      </c>
      <c r="D545" s="156">
        <v>2025.0</v>
      </c>
      <c r="E545" s="43" t="s">
        <v>374</v>
      </c>
      <c r="F545" s="103"/>
      <c r="G545" s="172">
        <v>45931.0</v>
      </c>
      <c r="H545" s="83" t="s">
        <v>549</v>
      </c>
      <c r="J545" s="103"/>
      <c r="L545" s="114">
        <v>45.0</v>
      </c>
      <c r="M545" s="106" t="str">
        <f>IF(ISBLANK(K545), "", VLOOKUP(C545&amp;" "&amp;D545, 'Info Tipo de Cambio y REM'!$A$24:$B$35, 2, FALSE))</f>
        <v/>
      </c>
      <c r="N545" s="107">
        <f t="shared" si="3"/>
        <v>45</v>
      </c>
      <c r="O545" s="102" t="str">
        <f t="shared" si="2"/>
        <v>A término</v>
      </c>
    </row>
    <row r="546">
      <c r="A546" s="43" t="s">
        <v>185</v>
      </c>
      <c r="B546" s="43" t="str">
        <f>IF(A546="", "", IFERROR(VLOOKUP(A546, Clasificaciones!A:B, 2, FALSE), "DATO NO CARGADO"))</f>
        <v>Comisiones Bancarias</v>
      </c>
      <c r="C546" s="51" t="s">
        <v>175</v>
      </c>
      <c r="D546" s="156">
        <v>2025.0</v>
      </c>
      <c r="E546" s="43" t="s">
        <v>374</v>
      </c>
      <c r="F546" s="103"/>
      <c r="G546" s="172">
        <v>45933.0</v>
      </c>
      <c r="H546" s="83" t="s">
        <v>549</v>
      </c>
      <c r="J546" s="103"/>
      <c r="L546" s="114">
        <v>45.0</v>
      </c>
      <c r="M546" s="106" t="str">
        <f>IF(ISBLANK(K546), "", VLOOKUP(C546&amp;" "&amp;D546, 'Info Tipo de Cambio y REM'!$A$24:$B$35, 2, FALSE))</f>
        <v/>
      </c>
      <c r="N546" s="107">
        <f t="shared" si="3"/>
        <v>45</v>
      </c>
      <c r="O546" s="102" t="str">
        <f t="shared" si="2"/>
        <v>A término</v>
      </c>
    </row>
    <row r="547">
      <c r="A547" s="43" t="s">
        <v>120</v>
      </c>
      <c r="B547" s="43" t="str">
        <f>IF(A547="", "", IFERROR(VLOOKUP(A547, Clasificaciones!A:B, 2, FALSE), "DATO NO CARGADO"))</f>
        <v>Equipo</v>
      </c>
      <c r="C547" s="51" t="s">
        <v>175</v>
      </c>
      <c r="D547" s="156">
        <v>2025.0</v>
      </c>
      <c r="E547" s="43" t="s">
        <v>374</v>
      </c>
      <c r="F547" s="103"/>
      <c r="G547" s="104">
        <v>45939.0</v>
      </c>
      <c r="H547" s="59" t="s">
        <v>1048</v>
      </c>
      <c r="I547" s="59" t="s">
        <v>387</v>
      </c>
      <c r="J547" s="103"/>
      <c r="K547" s="43">
        <v>369517.0</v>
      </c>
      <c r="L547" s="71"/>
      <c r="M547" s="106">
        <f>IF(ISBLANK(K547), "", VLOOKUP(C547&amp;" "&amp;D547, 'Info Tipo de Cambio y REM'!$A$24:$B$35, 2, FALSE))</f>
        <v>1440</v>
      </c>
      <c r="N547" s="107">
        <f t="shared" si="3"/>
        <v>256.6090278</v>
      </c>
      <c r="O547" s="102" t="str">
        <f t="shared" si="2"/>
        <v>A término</v>
      </c>
    </row>
    <row r="548">
      <c r="A548" s="43" t="s">
        <v>230</v>
      </c>
      <c r="B548" s="43" t="str">
        <f>IF(A548="", "", IFERROR(VLOOKUP(A548, Clasificaciones!A:B, 2, FALSE), "DATO NO CARGADO"))</f>
        <v>Equipo</v>
      </c>
      <c r="C548" s="51" t="s">
        <v>175</v>
      </c>
      <c r="D548" s="156">
        <v>2025.0</v>
      </c>
      <c r="E548" s="43" t="s">
        <v>374</v>
      </c>
      <c r="F548" s="103"/>
      <c r="G548" s="104">
        <v>45939.0</v>
      </c>
      <c r="H548" s="59" t="s">
        <v>1048</v>
      </c>
      <c r="I548" s="59" t="s">
        <v>577</v>
      </c>
      <c r="J548" s="103"/>
      <c r="K548" s="43">
        <v>83680.0</v>
      </c>
      <c r="L548" s="71"/>
      <c r="M548" s="106">
        <f>IF(ISBLANK(K548), "", VLOOKUP(C548&amp;" "&amp;D548, 'Info Tipo de Cambio y REM'!$A$24:$B$35, 2, FALSE))</f>
        <v>1440</v>
      </c>
      <c r="N548" s="107">
        <f t="shared" si="3"/>
        <v>58.11111111</v>
      </c>
      <c r="O548" s="102" t="str">
        <f t="shared" si="2"/>
        <v>A término</v>
      </c>
    </row>
    <row r="549">
      <c r="A549" s="43" t="s">
        <v>127</v>
      </c>
      <c r="B549" s="43" t="str">
        <f>IF(A549="", "", IFERROR(VLOOKUP(A549, Clasificaciones!A:B, 2, FALSE), "DATO NO CARGADO"))</f>
        <v>Board</v>
      </c>
      <c r="C549" s="51" t="s">
        <v>175</v>
      </c>
      <c r="D549" s="156">
        <v>2025.0</v>
      </c>
      <c r="E549" s="43" t="s">
        <v>371</v>
      </c>
      <c r="F549" s="103"/>
      <c r="G549" s="104">
        <v>45946.0</v>
      </c>
      <c r="H549" s="165" t="s">
        <v>458</v>
      </c>
      <c r="I549" s="43" t="s">
        <v>1049</v>
      </c>
      <c r="J549" s="103"/>
      <c r="K549" s="102">
        <f>126900+15000</f>
        <v>141900</v>
      </c>
      <c r="L549" s="71"/>
      <c r="M549" s="106">
        <f>IF(ISBLANK(K549), "", VLOOKUP(C549&amp;" "&amp;D549, 'Info Tipo de Cambio y REM'!$A$24:$B$35, 2, FALSE))</f>
        <v>1440</v>
      </c>
      <c r="N549" s="107">
        <f t="shared" si="3"/>
        <v>98.54166667</v>
      </c>
      <c r="O549" s="102" t="str">
        <f t="shared" si="2"/>
        <v>Vencido</v>
      </c>
    </row>
    <row r="550">
      <c r="A550" s="102"/>
      <c r="B550" s="43" t="str">
        <f>IF(A550="", "", IFERROR(VLOOKUP(A550, Clasificaciones!A:B, 2, FALSE), "DATO NO CARGADO"))</f>
        <v/>
      </c>
      <c r="C550" s="51"/>
      <c r="D550" s="257"/>
      <c r="E550" s="102"/>
      <c r="F550" s="103"/>
      <c r="G550" s="103"/>
      <c r="H550" s="258"/>
      <c r="J550" s="103"/>
      <c r="L550" s="71"/>
      <c r="M550" s="106" t="str">
        <f>IF(ISBLANK(K550), "", VLOOKUP(C550&amp;" "&amp;D550, 'Info Tipo de Cambio y REM'!$A$24:$B$35, 2, FALSE))</f>
        <v/>
      </c>
      <c r="N550" s="107" t="str">
        <f t="shared" si="3"/>
        <v/>
      </c>
      <c r="O550" s="102" t="str">
        <f t="shared" si="2"/>
        <v/>
      </c>
    </row>
    <row r="551">
      <c r="A551" s="102"/>
      <c r="B551" s="43" t="str">
        <f>IF(A551="", "", IFERROR(VLOOKUP(A551, Clasificaciones!A:B, 2, FALSE), "DATO NO CARGADO"))</f>
        <v/>
      </c>
      <c r="C551" s="51"/>
      <c r="D551" s="257"/>
      <c r="E551" s="102"/>
      <c r="F551" s="103"/>
      <c r="G551" s="103"/>
      <c r="H551" s="258"/>
      <c r="J551" s="103"/>
      <c r="L551" s="71"/>
      <c r="M551" s="106" t="str">
        <f>IF(ISBLANK(K551), "", VLOOKUP(C551&amp;" "&amp;D551, 'Info Tipo de Cambio y REM'!$A$24:$B$35, 2, FALSE))</f>
        <v/>
      </c>
      <c r="N551" s="107" t="str">
        <f t="shared" si="3"/>
        <v/>
      </c>
      <c r="O551" s="102" t="str">
        <f t="shared" si="2"/>
        <v/>
      </c>
    </row>
    <row r="552">
      <c r="A552" s="102"/>
      <c r="B552" s="43" t="str">
        <f>IF(A552="", "", IFERROR(VLOOKUP(A552, Clasificaciones!A:B, 2, FALSE), "DATO NO CARGADO"))</f>
        <v/>
      </c>
      <c r="C552" s="51"/>
      <c r="D552" s="257"/>
      <c r="E552" s="102"/>
      <c r="F552" s="103"/>
      <c r="G552" s="103"/>
      <c r="H552" s="258"/>
      <c r="J552" s="103"/>
      <c r="L552" s="71"/>
      <c r="M552" s="106" t="str">
        <f>IF(ISBLANK(K552), "", VLOOKUP(C552&amp;" "&amp;D552, 'Info Tipo de Cambio y REM'!$A$24:$B$35, 2, FALSE))</f>
        <v/>
      </c>
      <c r="N552" s="107" t="str">
        <f t="shared" si="3"/>
        <v/>
      </c>
      <c r="O552" s="102" t="str">
        <f t="shared" si="2"/>
        <v/>
      </c>
    </row>
    <row r="553">
      <c r="A553" s="102"/>
      <c r="B553" s="43" t="str">
        <f>IF(A553="", "", IFERROR(VLOOKUP(A553, Clasificaciones!A:B, 2, FALSE), "DATO NO CARGADO"))</f>
        <v/>
      </c>
      <c r="C553" s="51"/>
      <c r="D553" s="257"/>
      <c r="E553" s="102"/>
      <c r="F553" s="103"/>
      <c r="G553" s="103"/>
      <c r="H553" s="258"/>
      <c r="J553" s="103"/>
      <c r="L553" s="71"/>
      <c r="M553" s="106" t="str">
        <f>IF(ISBLANK(K553), "", VLOOKUP(C553&amp;" "&amp;D553, 'Info Tipo de Cambio y REM'!$A$24:$B$35, 2, FALSE))</f>
        <v/>
      </c>
      <c r="N553" s="107" t="str">
        <f t="shared" si="3"/>
        <v/>
      </c>
      <c r="O553" s="102" t="str">
        <f t="shared" si="2"/>
        <v/>
      </c>
    </row>
    <row r="554">
      <c r="A554" s="102"/>
      <c r="B554" s="43" t="str">
        <f>IF(A554="", "", IFERROR(VLOOKUP(A554, Clasificaciones!A:B, 2, FALSE), "DATO NO CARGADO"))</f>
        <v/>
      </c>
      <c r="C554" s="51"/>
      <c r="D554" s="257"/>
      <c r="E554" s="102"/>
      <c r="F554" s="103"/>
      <c r="G554" s="103"/>
      <c r="H554" s="258"/>
      <c r="J554" s="103"/>
      <c r="L554" s="71"/>
      <c r="M554" s="106" t="str">
        <f>IF(ISBLANK(K554), "", VLOOKUP(C554&amp;" "&amp;D554, 'Info Tipo de Cambio y REM'!$A$24:$B$35, 2, FALSE))</f>
        <v/>
      </c>
      <c r="N554" s="107" t="str">
        <f t="shared" si="3"/>
        <v/>
      </c>
      <c r="O554" s="102" t="str">
        <f t="shared" si="2"/>
        <v/>
      </c>
    </row>
    <row r="555">
      <c r="A555" s="102"/>
      <c r="B555" s="43" t="str">
        <f>IF(A555="", "", IFERROR(VLOOKUP(A555, Clasificaciones!A:B, 2, FALSE), "DATO NO CARGADO"))</f>
        <v/>
      </c>
      <c r="C555" s="51"/>
      <c r="D555" s="257"/>
      <c r="E555" s="102"/>
      <c r="F555" s="103"/>
      <c r="G555" s="103"/>
      <c r="H555" s="258"/>
      <c r="J555" s="103"/>
      <c r="L555" s="71"/>
      <c r="M555" s="106" t="str">
        <f>IF(ISBLANK(K555), "", VLOOKUP(C555&amp;" "&amp;D555, 'Info Tipo de Cambio y REM'!$A$24:$B$35, 2, FALSE))</f>
        <v/>
      </c>
      <c r="N555" s="107" t="str">
        <f t="shared" si="3"/>
        <v/>
      </c>
      <c r="O555" s="102" t="str">
        <f t="shared" si="2"/>
        <v/>
      </c>
    </row>
    <row r="556">
      <c r="A556" s="102"/>
      <c r="B556" s="43" t="str">
        <f>IF(A556="", "", IFERROR(VLOOKUP(A556, Clasificaciones!A:B, 2, FALSE), "DATO NO CARGADO"))</f>
        <v/>
      </c>
      <c r="C556" s="51"/>
      <c r="D556" s="257"/>
      <c r="E556" s="102"/>
      <c r="F556" s="103"/>
      <c r="G556" s="103"/>
      <c r="H556" s="258"/>
      <c r="J556" s="103"/>
      <c r="L556" s="71"/>
      <c r="M556" s="106" t="str">
        <f>IF(ISBLANK(K556), "", VLOOKUP(C556&amp;" "&amp;D556, 'Info Tipo de Cambio y REM'!$A$24:$B$35, 2, FALSE))</f>
        <v/>
      </c>
      <c r="N556" s="107" t="str">
        <f t="shared" si="3"/>
        <v/>
      </c>
      <c r="O556" s="102" t="str">
        <f t="shared" si="2"/>
        <v/>
      </c>
    </row>
    <row r="557">
      <c r="A557" s="102"/>
      <c r="B557" s="43" t="str">
        <f>IF(A557="", "", IFERROR(VLOOKUP(A557, Clasificaciones!A:B, 2, FALSE), "DATO NO CARGADO"))</f>
        <v/>
      </c>
      <c r="C557" s="51"/>
      <c r="D557" s="257"/>
      <c r="E557" s="102"/>
      <c r="F557" s="103"/>
      <c r="G557" s="103"/>
      <c r="H557" s="258"/>
      <c r="J557" s="103"/>
      <c r="L557" s="71"/>
      <c r="M557" s="106" t="str">
        <f>IF(ISBLANK(K557), "", VLOOKUP(C557&amp;" "&amp;D557, 'Info Tipo de Cambio y REM'!$A$24:$B$35, 2, FALSE))</f>
        <v/>
      </c>
      <c r="N557" s="107" t="str">
        <f t="shared" si="3"/>
        <v/>
      </c>
      <c r="O557" s="102" t="str">
        <f t="shared" si="2"/>
        <v/>
      </c>
    </row>
    <row r="558">
      <c r="A558" s="102"/>
      <c r="B558" s="43" t="str">
        <f>IF(A558="", "", IFERROR(VLOOKUP(A558, Clasificaciones!A:B, 2, FALSE), "DATO NO CARGADO"))</f>
        <v/>
      </c>
      <c r="C558" s="51"/>
      <c r="D558" s="257"/>
      <c r="E558" s="102"/>
      <c r="F558" s="103"/>
      <c r="G558" s="103"/>
      <c r="H558" s="258"/>
      <c r="J558" s="103"/>
      <c r="L558" s="71"/>
      <c r="M558" s="106" t="str">
        <f>IF(ISBLANK(K558), "", VLOOKUP(C558&amp;" "&amp;D558, 'Info Tipo de Cambio y REM'!$A$24:$B$35, 2, FALSE))</f>
        <v/>
      </c>
      <c r="N558" s="107" t="str">
        <f t="shared" si="3"/>
        <v/>
      </c>
      <c r="O558" s="102" t="str">
        <f t="shared" si="2"/>
        <v/>
      </c>
    </row>
    <row r="559">
      <c r="A559" s="102"/>
      <c r="B559" s="43" t="str">
        <f>IF(A559="", "", IFERROR(VLOOKUP(A559, Clasificaciones!A:B, 2, FALSE), "DATO NO CARGADO"))</f>
        <v/>
      </c>
      <c r="C559" s="51"/>
      <c r="D559" s="257"/>
      <c r="E559" s="102"/>
      <c r="F559" s="103"/>
      <c r="G559" s="103"/>
      <c r="H559" s="258"/>
      <c r="J559" s="103"/>
      <c r="L559" s="71"/>
      <c r="M559" s="106" t="str">
        <f>IF(ISBLANK(K559), "", VLOOKUP(C559&amp;" "&amp;D559, 'Info Tipo de Cambio y REM'!$A$24:$B$35, 2, FALSE))</f>
        <v/>
      </c>
      <c r="N559" s="107" t="str">
        <f t="shared" si="3"/>
        <v/>
      </c>
      <c r="O559" s="102" t="str">
        <f t="shared" si="2"/>
        <v/>
      </c>
    </row>
    <row r="560">
      <c r="A560" s="102"/>
      <c r="B560" s="43" t="str">
        <f>IF(A560="", "", IFERROR(VLOOKUP(A560, Clasificaciones!A:B, 2, FALSE), "DATO NO CARGADO"))</f>
        <v/>
      </c>
      <c r="C560" s="51"/>
      <c r="D560" s="257"/>
      <c r="E560" s="102"/>
      <c r="F560" s="103"/>
      <c r="G560" s="103"/>
      <c r="H560" s="258"/>
      <c r="J560" s="103"/>
      <c r="L560" s="71"/>
      <c r="M560" s="106" t="str">
        <f>IF(ISBLANK(K560), "", VLOOKUP(C560&amp;" "&amp;D560, 'Info Tipo de Cambio y REM'!$A$24:$B$35, 2, FALSE))</f>
        <v/>
      </c>
      <c r="N560" s="107" t="str">
        <f t="shared" si="3"/>
        <v/>
      </c>
      <c r="O560" s="102" t="str">
        <f t="shared" si="2"/>
        <v/>
      </c>
    </row>
    <row r="561">
      <c r="A561" s="102"/>
      <c r="B561" s="43" t="str">
        <f>IF(A561="", "", IFERROR(VLOOKUP(A561, Clasificaciones!A:B, 2, FALSE), "DATO NO CARGADO"))</f>
        <v/>
      </c>
      <c r="C561" s="51"/>
      <c r="D561" s="257"/>
      <c r="E561" s="102"/>
      <c r="F561" s="103"/>
      <c r="G561" s="103"/>
      <c r="H561" s="258"/>
      <c r="J561" s="103"/>
      <c r="L561" s="71"/>
      <c r="M561" s="106" t="str">
        <f>IF(ISBLANK(K561), "", VLOOKUP(C561&amp;" "&amp;D561, 'Info Tipo de Cambio y REM'!$A$24:$B$35, 2, FALSE))</f>
        <v/>
      </c>
      <c r="N561" s="107" t="str">
        <f t="shared" si="3"/>
        <v/>
      </c>
      <c r="O561" s="102" t="str">
        <f t="shared" si="2"/>
        <v/>
      </c>
    </row>
    <row r="562">
      <c r="A562" s="102"/>
      <c r="B562" s="43" t="str">
        <f>IF(A562="", "", IFERROR(VLOOKUP(A562, Clasificaciones!A:B, 2, FALSE), "DATO NO CARGADO"))</f>
        <v/>
      </c>
      <c r="C562" s="51"/>
      <c r="D562" s="257"/>
      <c r="E562" s="102"/>
      <c r="F562" s="103"/>
      <c r="G562" s="103"/>
      <c r="H562" s="258"/>
      <c r="J562" s="103"/>
      <c r="L562" s="71"/>
      <c r="M562" s="106" t="str">
        <f>IF(ISBLANK(K562), "", VLOOKUP(C562&amp;" "&amp;D562, 'Info Tipo de Cambio y REM'!$A$24:$B$35, 2, FALSE))</f>
        <v/>
      </c>
      <c r="N562" s="107" t="str">
        <f t="shared" si="3"/>
        <v/>
      </c>
      <c r="O562" s="102" t="str">
        <f t="shared" si="2"/>
        <v/>
      </c>
    </row>
    <row r="563">
      <c r="A563" s="102"/>
      <c r="B563" s="43" t="str">
        <f>IF(A563="", "", IFERROR(VLOOKUP(A563, Clasificaciones!A:B, 2, FALSE), "DATO NO CARGADO"))</f>
        <v/>
      </c>
      <c r="C563" s="51"/>
      <c r="D563" s="257"/>
      <c r="E563" s="102"/>
      <c r="F563" s="103"/>
      <c r="G563" s="103"/>
      <c r="H563" s="258"/>
      <c r="J563" s="103"/>
      <c r="L563" s="71"/>
      <c r="M563" s="106" t="str">
        <f>IF(ISBLANK(K563), "", VLOOKUP(C563&amp;" "&amp;D563, 'Info Tipo de Cambio y REM'!$A$24:$B$35, 2, FALSE))</f>
        <v/>
      </c>
      <c r="N563" s="107" t="str">
        <f t="shared" si="3"/>
        <v/>
      </c>
      <c r="O563" s="102" t="str">
        <f t="shared" si="2"/>
        <v/>
      </c>
    </row>
    <row r="564">
      <c r="A564" s="102"/>
      <c r="B564" s="43" t="str">
        <f>IF(A564="", "", IFERROR(VLOOKUP(A564, Clasificaciones!A:B, 2, FALSE), "DATO NO CARGADO"))</f>
        <v/>
      </c>
      <c r="C564" s="51"/>
      <c r="D564" s="257"/>
      <c r="E564" s="102"/>
      <c r="F564" s="103"/>
      <c r="G564" s="103"/>
      <c r="H564" s="258"/>
      <c r="J564" s="103"/>
      <c r="L564" s="71"/>
      <c r="M564" s="106" t="str">
        <f>IF(ISBLANK(K564), "", VLOOKUP(C564&amp;" "&amp;D564, 'Info Tipo de Cambio y REM'!$A$24:$B$35, 2, FALSE))</f>
        <v/>
      </c>
      <c r="N564" s="107" t="str">
        <f t="shared" si="3"/>
        <v/>
      </c>
      <c r="O564" s="102" t="str">
        <f t="shared" si="2"/>
        <v/>
      </c>
    </row>
    <row r="565">
      <c r="A565" s="102"/>
      <c r="B565" s="43" t="str">
        <f>IF(A565="", "", IFERROR(VLOOKUP(A565, Clasificaciones!A:B, 2, FALSE), "DATO NO CARGADO"))</f>
        <v/>
      </c>
      <c r="C565" s="51"/>
      <c r="D565" s="257"/>
      <c r="E565" s="102"/>
      <c r="F565" s="103"/>
      <c r="G565" s="103"/>
      <c r="H565" s="258"/>
      <c r="J565" s="103"/>
      <c r="L565" s="71"/>
      <c r="M565" s="106" t="str">
        <f>IF(ISBLANK(K565), "", VLOOKUP(C565&amp;" "&amp;D565, 'Info Tipo de Cambio y REM'!$A$24:$B$35, 2, FALSE))</f>
        <v/>
      </c>
      <c r="N565" s="107" t="str">
        <f t="shared" si="3"/>
        <v/>
      </c>
      <c r="O565" s="102" t="str">
        <f t="shared" si="2"/>
        <v/>
      </c>
    </row>
    <row r="566">
      <c r="A566" s="102"/>
      <c r="B566" s="43" t="str">
        <f>IF(A566="", "", IFERROR(VLOOKUP(A566, Clasificaciones!A:B, 2, FALSE), "DATO NO CARGADO"))</f>
        <v/>
      </c>
      <c r="C566" s="51"/>
      <c r="D566" s="257"/>
      <c r="E566" s="102"/>
      <c r="F566" s="103"/>
      <c r="G566" s="103"/>
      <c r="H566" s="258"/>
      <c r="J566" s="103"/>
      <c r="L566" s="71"/>
      <c r="M566" s="106" t="str">
        <f>IF(ISBLANK(K566), "", VLOOKUP(C566&amp;" "&amp;D566, 'Info Tipo de Cambio y REM'!$A$24:$B$35, 2, FALSE))</f>
        <v/>
      </c>
      <c r="N566" s="107" t="str">
        <f t="shared" si="3"/>
        <v/>
      </c>
      <c r="O566" s="102" t="str">
        <f t="shared" si="2"/>
        <v/>
      </c>
    </row>
    <row r="567">
      <c r="A567" s="102"/>
      <c r="B567" s="43" t="str">
        <f>IF(A567="", "", IFERROR(VLOOKUP(A567, Clasificaciones!A:B, 2, FALSE), "DATO NO CARGADO"))</f>
        <v/>
      </c>
      <c r="C567" s="51"/>
      <c r="D567" s="257"/>
      <c r="E567" s="102"/>
      <c r="F567" s="103"/>
      <c r="G567" s="103"/>
      <c r="H567" s="258"/>
      <c r="J567" s="103"/>
      <c r="L567" s="71"/>
      <c r="M567" s="106" t="str">
        <f>IF(ISBLANK(K567), "", VLOOKUP(C567&amp;" "&amp;D567, 'Info Tipo de Cambio y REM'!$A$24:$B$35, 2, FALSE))</f>
        <v/>
      </c>
      <c r="N567" s="107" t="str">
        <f t="shared" si="3"/>
        <v/>
      </c>
      <c r="O567" s="102" t="str">
        <f t="shared" si="2"/>
        <v/>
      </c>
    </row>
    <row r="568">
      <c r="A568" s="102"/>
      <c r="B568" s="43" t="str">
        <f>IF(A568="", "", IFERROR(VLOOKUP(A568, Clasificaciones!A:B, 2, FALSE), "DATO NO CARGADO"))</f>
        <v/>
      </c>
      <c r="C568" s="51"/>
      <c r="D568" s="257"/>
      <c r="E568" s="102"/>
      <c r="F568" s="103"/>
      <c r="G568" s="103"/>
      <c r="H568" s="258"/>
      <c r="J568" s="103"/>
      <c r="L568" s="71"/>
      <c r="M568" s="106" t="str">
        <f>IF(ISBLANK(K568), "", VLOOKUP(C568&amp;" "&amp;D568, 'Info Tipo de Cambio y REM'!$A$24:$B$35, 2, FALSE))</f>
        <v/>
      </c>
      <c r="N568" s="107" t="str">
        <f t="shared" si="3"/>
        <v/>
      </c>
      <c r="O568" s="102" t="str">
        <f t="shared" si="2"/>
        <v/>
      </c>
    </row>
    <row r="569">
      <c r="A569" s="102"/>
      <c r="B569" s="43" t="str">
        <f>IF(A569="", "", IFERROR(VLOOKUP(A569, Clasificaciones!A:B, 2, FALSE), "DATO NO CARGADO"))</f>
        <v/>
      </c>
      <c r="C569" s="51"/>
      <c r="D569" s="257"/>
      <c r="E569" s="102"/>
      <c r="F569" s="103"/>
      <c r="G569" s="103"/>
      <c r="H569" s="258"/>
      <c r="J569" s="103"/>
      <c r="L569" s="71"/>
      <c r="M569" s="106" t="str">
        <f>IF(ISBLANK(K569), "", VLOOKUP(C569&amp;" "&amp;D569, 'Info Tipo de Cambio y REM'!$A$24:$B$35, 2, FALSE))</f>
        <v/>
      </c>
      <c r="N569" s="107" t="str">
        <f t="shared" si="3"/>
        <v/>
      </c>
      <c r="O569" s="102" t="str">
        <f t="shared" si="2"/>
        <v/>
      </c>
    </row>
    <row r="570">
      <c r="A570" s="102"/>
      <c r="B570" s="43" t="str">
        <f>IF(A570="", "", IFERROR(VLOOKUP(A570, Clasificaciones!A:B, 2, FALSE), "DATO NO CARGADO"))</f>
        <v/>
      </c>
      <c r="C570" s="51"/>
      <c r="D570" s="257"/>
      <c r="E570" s="102"/>
      <c r="F570" s="103"/>
      <c r="G570" s="103"/>
      <c r="H570" s="258"/>
      <c r="J570" s="103"/>
      <c r="L570" s="71"/>
      <c r="M570" s="106" t="str">
        <f>IF(ISBLANK(K570), "", VLOOKUP(C570&amp;" "&amp;D570, 'Info Tipo de Cambio y REM'!$A$24:$B$35, 2, FALSE))</f>
        <v/>
      </c>
      <c r="N570" s="107" t="str">
        <f t="shared" si="3"/>
        <v/>
      </c>
      <c r="O570" s="102" t="str">
        <f t="shared" si="2"/>
        <v/>
      </c>
    </row>
    <row r="571">
      <c r="A571" s="102"/>
      <c r="B571" s="43" t="str">
        <f>IF(A571="", "", IFERROR(VLOOKUP(A571, Clasificaciones!A:B, 2, FALSE), "DATO NO CARGADO"))</f>
        <v/>
      </c>
      <c r="C571" s="51"/>
      <c r="D571" s="257"/>
      <c r="E571" s="102"/>
      <c r="F571" s="103"/>
      <c r="G571" s="103"/>
      <c r="H571" s="258"/>
      <c r="J571" s="103"/>
      <c r="L571" s="71"/>
      <c r="M571" s="106" t="str">
        <f>IF(ISBLANK(K571), "", VLOOKUP(C571&amp;" "&amp;D571, 'Info Tipo de Cambio y REM'!$A$24:$B$35, 2, FALSE))</f>
        <v/>
      </c>
      <c r="N571" s="107" t="str">
        <f t="shared" si="3"/>
        <v/>
      </c>
      <c r="O571" s="102" t="str">
        <f t="shared" si="2"/>
        <v/>
      </c>
    </row>
    <row r="572">
      <c r="A572" s="102"/>
      <c r="B572" s="43" t="str">
        <f>IF(A572="", "", IFERROR(VLOOKUP(A572, Clasificaciones!A:B, 2, FALSE), "DATO NO CARGADO"))</f>
        <v/>
      </c>
      <c r="C572" s="51"/>
      <c r="D572" s="257"/>
      <c r="E572" s="102"/>
      <c r="F572" s="103"/>
      <c r="G572" s="103"/>
      <c r="H572" s="258"/>
      <c r="J572" s="103"/>
      <c r="L572" s="71"/>
      <c r="M572" s="106" t="str">
        <f>IF(ISBLANK(K572), "", VLOOKUP(C572&amp;" "&amp;D572, 'Info Tipo de Cambio y REM'!$A$24:$B$35, 2, FALSE))</f>
        <v/>
      </c>
      <c r="N572" s="107" t="str">
        <f t="shared" si="3"/>
        <v/>
      </c>
      <c r="O572" s="102" t="str">
        <f t="shared" si="2"/>
        <v/>
      </c>
    </row>
    <row r="573">
      <c r="A573" s="102"/>
      <c r="B573" s="43" t="str">
        <f>IF(A573="", "", IFERROR(VLOOKUP(A573, Clasificaciones!A:B, 2, FALSE), "DATO NO CARGADO"))</f>
        <v/>
      </c>
      <c r="C573" s="51"/>
      <c r="D573" s="257"/>
      <c r="E573" s="102"/>
      <c r="F573" s="103"/>
      <c r="G573" s="103"/>
      <c r="H573" s="258"/>
      <c r="J573" s="103"/>
      <c r="L573" s="71"/>
      <c r="M573" s="106" t="str">
        <f>IF(ISBLANK(K573), "", VLOOKUP(C573&amp;" "&amp;D573, 'Info Tipo de Cambio y REM'!$A$24:$B$35, 2, FALSE))</f>
        <v/>
      </c>
      <c r="N573" s="107" t="str">
        <f t="shared" si="3"/>
        <v/>
      </c>
      <c r="O573" s="102" t="str">
        <f t="shared" si="2"/>
        <v/>
      </c>
    </row>
    <row r="574">
      <c r="A574" s="102"/>
      <c r="B574" s="43" t="str">
        <f>IF(A574="", "", IFERROR(VLOOKUP(A574, Clasificaciones!A:B, 2, FALSE), "DATO NO CARGADO"))</f>
        <v/>
      </c>
      <c r="C574" s="51"/>
      <c r="D574" s="257"/>
      <c r="E574" s="102"/>
      <c r="F574" s="103"/>
      <c r="G574" s="103"/>
      <c r="H574" s="258"/>
      <c r="J574" s="103"/>
      <c r="L574" s="71"/>
      <c r="M574" s="106" t="str">
        <f>IF(ISBLANK(K574), "", VLOOKUP(C574&amp;" "&amp;D574, 'Info Tipo de Cambio y REM'!$A$24:$B$35, 2, FALSE))</f>
        <v/>
      </c>
      <c r="N574" s="107" t="str">
        <f t="shared" si="3"/>
        <v/>
      </c>
      <c r="O574" s="102" t="str">
        <f t="shared" si="2"/>
        <v/>
      </c>
    </row>
    <row r="575">
      <c r="A575" s="102"/>
      <c r="B575" s="43" t="str">
        <f>IF(A575="", "", IFERROR(VLOOKUP(A575, Clasificaciones!A:B, 2, FALSE), "DATO NO CARGADO"))</f>
        <v/>
      </c>
      <c r="C575" s="51"/>
      <c r="D575" s="257"/>
      <c r="E575" s="102"/>
      <c r="F575" s="103"/>
      <c r="G575" s="103"/>
      <c r="H575" s="258"/>
      <c r="J575" s="103"/>
      <c r="L575" s="71"/>
      <c r="M575" s="106" t="str">
        <f>IF(ISBLANK(K575), "", VLOOKUP(C575&amp;" "&amp;D575, 'Info Tipo de Cambio y REM'!$A$24:$B$35, 2, FALSE))</f>
        <v/>
      </c>
      <c r="N575" s="107" t="str">
        <f t="shared" si="3"/>
        <v/>
      </c>
      <c r="O575" s="102" t="str">
        <f t="shared" si="2"/>
        <v/>
      </c>
    </row>
    <row r="576">
      <c r="A576" s="102"/>
      <c r="B576" s="43" t="str">
        <f>IF(A576="", "", IFERROR(VLOOKUP(A576, Clasificaciones!A:B, 2, FALSE), "DATO NO CARGADO"))</f>
        <v/>
      </c>
      <c r="C576" s="51"/>
      <c r="D576" s="257"/>
      <c r="E576" s="102"/>
      <c r="F576" s="103"/>
      <c r="G576" s="103"/>
      <c r="H576" s="258"/>
      <c r="J576" s="103"/>
      <c r="L576" s="71"/>
      <c r="M576" s="106" t="str">
        <f>IF(ISBLANK(K576), "", VLOOKUP(C576&amp;" "&amp;D576, 'Info Tipo de Cambio y REM'!$A$24:$B$35, 2, FALSE))</f>
        <v/>
      </c>
      <c r="N576" s="107" t="str">
        <f t="shared" si="3"/>
        <v/>
      </c>
      <c r="O576" s="102" t="str">
        <f t="shared" si="2"/>
        <v/>
      </c>
    </row>
    <row r="577">
      <c r="A577" s="102"/>
      <c r="B577" s="43" t="str">
        <f>IF(A577="", "", IFERROR(VLOOKUP(A577, Clasificaciones!A:B, 2, FALSE), "DATO NO CARGADO"))</f>
        <v/>
      </c>
      <c r="C577" s="51"/>
      <c r="D577" s="257"/>
      <c r="E577" s="102"/>
      <c r="F577" s="103"/>
      <c r="G577" s="103"/>
      <c r="H577" s="258"/>
      <c r="J577" s="103"/>
      <c r="L577" s="71"/>
      <c r="M577" s="106" t="str">
        <f>IF(ISBLANK(K577), "", VLOOKUP(C577&amp;" "&amp;D577, 'Info Tipo de Cambio y REM'!$A$24:$B$35, 2, FALSE))</f>
        <v/>
      </c>
      <c r="N577" s="107" t="str">
        <f t="shared" si="3"/>
        <v/>
      </c>
      <c r="O577" s="102" t="str">
        <f t="shared" si="2"/>
        <v/>
      </c>
    </row>
    <row r="578">
      <c r="A578" s="102"/>
      <c r="B578" s="43" t="str">
        <f>IF(A578="", "", IFERROR(VLOOKUP(A578, Clasificaciones!A:B, 2, FALSE), "DATO NO CARGADO"))</f>
        <v/>
      </c>
      <c r="C578" s="51"/>
      <c r="D578" s="257"/>
      <c r="E578" s="102"/>
      <c r="F578" s="103"/>
      <c r="G578" s="103"/>
      <c r="H578" s="258"/>
      <c r="J578" s="103"/>
      <c r="L578" s="71"/>
      <c r="M578" s="106" t="str">
        <f>IF(ISBLANK(K578), "", VLOOKUP(C578&amp;" "&amp;D578, 'Info Tipo de Cambio y REM'!$A$24:$B$35, 2, FALSE))</f>
        <v/>
      </c>
      <c r="N578" s="107" t="str">
        <f t="shared" si="3"/>
        <v/>
      </c>
      <c r="O578" s="102" t="str">
        <f t="shared" si="2"/>
        <v/>
      </c>
    </row>
    <row r="579">
      <c r="A579" s="102"/>
      <c r="B579" s="43" t="str">
        <f>IF(A579="", "", IFERROR(VLOOKUP(A579, Clasificaciones!A:B, 2, FALSE), "DATO NO CARGADO"))</f>
        <v/>
      </c>
      <c r="C579" s="51"/>
      <c r="D579" s="257"/>
      <c r="E579" s="102"/>
      <c r="F579" s="103"/>
      <c r="G579" s="103"/>
      <c r="H579" s="258"/>
      <c r="J579" s="103"/>
      <c r="L579" s="71"/>
      <c r="M579" s="106" t="str">
        <f>IF(ISBLANK(K579), "", VLOOKUP(C579&amp;" "&amp;D579, 'Info Tipo de Cambio y REM'!$A$24:$B$35, 2, FALSE))</f>
        <v/>
      </c>
      <c r="N579" s="107" t="str">
        <f t="shared" si="3"/>
        <v/>
      </c>
      <c r="O579" s="102" t="str">
        <f t="shared" si="2"/>
        <v/>
      </c>
    </row>
    <row r="580">
      <c r="A580" s="102"/>
      <c r="B580" s="43" t="str">
        <f>IF(A580="", "", IFERROR(VLOOKUP(A580, Clasificaciones!A:B, 2, FALSE), "DATO NO CARGADO"))</f>
        <v/>
      </c>
      <c r="C580" s="51"/>
      <c r="D580" s="257"/>
      <c r="E580" s="102"/>
      <c r="F580" s="103"/>
      <c r="G580" s="103"/>
      <c r="H580" s="258"/>
      <c r="J580" s="103"/>
      <c r="L580" s="71"/>
      <c r="M580" s="106" t="str">
        <f>IF(ISBLANK(K580), "", VLOOKUP(C580&amp;" "&amp;D580, 'Info Tipo de Cambio y REM'!$A$24:$B$35, 2, FALSE))</f>
        <v/>
      </c>
      <c r="N580" s="107" t="str">
        <f t="shared" si="3"/>
        <v/>
      </c>
      <c r="O580" s="102" t="str">
        <f t="shared" si="2"/>
        <v/>
      </c>
    </row>
    <row r="581">
      <c r="A581" s="102"/>
      <c r="B581" s="43" t="str">
        <f>IF(A581="", "", IFERROR(VLOOKUP(A581, Clasificaciones!A:B, 2, FALSE), "DATO NO CARGADO"))</f>
        <v/>
      </c>
      <c r="C581" s="51"/>
      <c r="D581" s="257"/>
      <c r="E581" s="102"/>
      <c r="F581" s="103"/>
      <c r="G581" s="103"/>
      <c r="H581" s="258"/>
      <c r="J581" s="103"/>
      <c r="L581" s="71"/>
      <c r="M581" s="106" t="str">
        <f>IF(ISBLANK(K581), "", VLOOKUP(C581&amp;" "&amp;D581, 'Info Tipo de Cambio y REM'!$A$24:$B$35, 2, FALSE))</f>
        <v/>
      </c>
      <c r="N581" s="107" t="str">
        <f t="shared" si="3"/>
        <v/>
      </c>
      <c r="O581" s="102" t="str">
        <f t="shared" si="2"/>
        <v/>
      </c>
    </row>
    <row r="582">
      <c r="A582" s="102"/>
      <c r="B582" s="43" t="str">
        <f>IF(A582="", "", IFERROR(VLOOKUP(A582, Clasificaciones!A:B, 2, FALSE), "DATO NO CARGADO"))</f>
        <v/>
      </c>
      <c r="C582" s="51"/>
      <c r="D582" s="257"/>
      <c r="E582" s="102"/>
      <c r="F582" s="103"/>
      <c r="G582" s="103"/>
      <c r="H582" s="258"/>
      <c r="J582" s="103"/>
      <c r="L582" s="71"/>
      <c r="M582" s="106" t="str">
        <f>IF(ISBLANK(K582), "", VLOOKUP(C582&amp;" "&amp;D582, 'Info Tipo de Cambio y REM'!$A$24:$B$35, 2, FALSE))</f>
        <v/>
      </c>
      <c r="N582" s="107" t="str">
        <f t="shared" si="3"/>
        <v/>
      </c>
      <c r="O582" s="102" t="str">
        <f t="shared" si="2"/>
        <v/>
      </c>
    </row>
    <row r="583">
      <c r="A583" s="102"/>
      <c r="B583" s="43" t="str">
        <f>IF(A583="", "", IFERROR(VLOOKUP(A583, Clasificaciones!A:B, 2, FALSE), "DATO NO CARGADO"))</f>
        <v/>
      </c>
      <c r="C583" s="51"/>
      <c r="D583" s="257"/>
      <c r="E583" s="102"/>
      <c r="F583" s="103"/>
      <c r="G583" s="103"/>
      <c r="H583" s="258"/>
      <c r="J583" s="103"/>
      <c r="L583" s="71"/>
      <c r="M583" s="106" t="str">
        <f>IF(ISBLANK(K583), "", VLOOKUP(C583&amp;" "&amp;D583, 'Info Tipo de Cambio y REM'!$A$24:$B$35, 2, FALSE))</f>
        <v/>
      </c>
      <c r="N583" s="107" t="str">
        <f t="shared" si="3"/>
        <v/>
      </c>
      <c r="O583" s="102" t="str">
        <f t="shared" si="2"/>
        <v/>
      </c>
    </row>
    <row r="584">
      <c r="A584" s="102"/>
      <c r="B584" s="43" t="str">
        <f>IF(A584="", "", IFERROR(VLOOKUP(A584, Clasificaciones!A:B, 2, FALSE), "DATO NO CARGADO"))</f>
        <v/>
      </c>
      <c r="C584" s="51"/>
      <c r="D584" s="257"/>
      <c r="E584" s="102"/>
      <c r="F584" s="103"/>
      <c r="G584" s="103"/>
      <c r="H584" s="258"/>
      <c r="J584" s="103"/>
      <c r="L584" s="71"/>
      <c r="M584" s="106" t="str">
        <f>IF(ISBLANK(K584), "", VLOOKUP(C584&amp;" "&amp;D584, 'Info Tipo de Cambio y REM'!$A$24:$B$35, 2, FALSE))</f>
        <v/>
      </c>
      <c r="N584" s="107" t="str">
        <f t="shared" si="3"/>
        <v/>
      </c>
      <c r="O584" s="102" t="str">
        <f t="shared" si="2"/>
        <v/>
      </c>
    </row>
    <row r="585">
      <c r="A585" s="102"/>
      <c r="B585" s="43" t="str">
        <f>IF(A585="", "", IFERROR(VLOOKUP(A585, Clasificaciones!A:B, 2, FALSE), "DATO NO CARGADO"))</f>
        <v/>
      </c>
      <c r="C585" s="51"/>
      <c r="D585" s="257"/>
      <c r="E585" s="102"/>
      <c r="F585" s="103"/>
      <c r="G585" s="103"/>
      <c r="H585" s="258"/>
      <c r="J585" s="103"/>
      <c r="L585" s="71"/>
      <c r="M585" s="106" t="str">
        <f>IF(ISBLANK(K585), "", VLOOKUP(C585&amp;" "&amp;D585, 'Info Tipo de Cambio y REM'!$A$24:$B$35, 2, FALSE))</f>
        <v/>
      </c>
      <c r="N585" s="107" t="str">
        <f t="shared" si="3"/>
        <v/>
      </c>
      <c r="O585" s="102" t="str">
        <f t="shared" si="2"/>
        <v/>
      </c>
    </row>
    <row r="586">
      <c r="A586" s="102"/>
      <c r="B586" s="43" t="str">
        <f>IF(A586="", "", IFERROR(VLOOKUP(A586, Clasificaciones!A:B, 2, FALSE), "DATO NO CARGADO"))</f>
        <v/>
      </c>
      <c r="C586" s="51"/>
      <c r="D586" s="257"/>
      <c r="E586" s="102"/>
      <c r="F586" s="103"/>
      <c r="G586" s="103"/>
      <c r="H586" s="258"/>
      <c r="J586" s="103"/>
      <c r="L586" s="71"/>
      <c r="M586" s="106" t="str">
        <f>IF(ISBLANK(K586), "", VLOOKUP(C586&amp;" "&amp;D586, 'Info Tipo de Cambio y REM'!$A$24:$B$35, 2, FALSE))</f>
        <v/>
      </c>
      <c r="N586" s="107" t="str">
        <f t="shared" si="3"/>
        <v/>
      </c>
      <c r="O586" s="102" t="str">
        <f t="shared" si="2"/>
        <v/>
      </c>
    </row>
    <row r="587">
      <c r="A587" s="102"/>
      <c r="B587" s="43" t="str">
        <f>IF(A587="", "", IFERROR(VLOOKUP(A587, Clasificaciones!A:B, 2, FALSE), "DATO NO CARGADO"))</f>
        <v/>
      </c>
      <c r="C587" s="51"/>
      <c r="D587" s="257"/>
      <c r="E587" s="102"/>
      <c r="F587" s="103"/>
      <c r="G587" s="103"/>
      <c r="H587" s="258"/>
      <c r="J587" s="103"/>
      <c r="L587" s="71"/>
      <c r="M587" s="106" t="str">
        <f>IF(ISBLANK(K587), "", VLOOKUP(C587&amp;" "&amp;D587, 'Info Tipo de Cambio y REM'!$A$24:$B$35, 2, FALSE))</f>
        <v/>
      </c>
      <c r="N587" s="107" t="str">
        <f t="shared" si="3"/>
        <v/>
      </c>
      <c r="O587" s="102" t="str">
        <f t="shared" si="2"/>
        <v/>
      </c>
    </row>
    <row r="588">
      <c r="A588" s="102"/>
      <c r="B588" s="43" t="str">
        <f>IF(A588="", "", IFERROR(VLOOKUP(A588, Clasificaciones!A:B, 2, FALSE), "DATO NO CARGADO"))</f>
        <v/>
      </c>
      <c r="C588" s="51"/>
      <c r="D588" s="257"/>
      <c r="E588" s="102"/>
      <c r="F588" s="103"/>
      <c r="G588" s="103"/>
      <c r="H588" s="258"/>
      <c r="J588" s="103"/>
      <c r="L588" s="71"/>
      <c r="M588" s="106" t="str">
        <f>IF(ISBLANK(K588), "", VLOOKUP(C588&amp;" "&amp;D588, 'Info Tipo de Cambio y REM'!$A$24:$B$35, 2, FALSE))</f>
        <v/>
      </c>
      <c r="N588" s="107" t="str">
        <f t="shared" si="3"/>
        <v/>
      </c>
      <c r="O588" s="102" t="str">
        <f t="shared" si="2"/>
        <v/>
      </c>
    </row>
    <row r="589">
      <c r="A589" s="102"/>
      <c r="B589" s="43" t="str">
        <f>IF(A589="", "", IFERROR(VLOOKUP(A589, Clasificaciones!A:B, 2, FALSE), "DATO NO CARGADO"))</f>
        <v/>
      </c>
      <c r="C589" s="51"/>
      <c r="D589" s="257"/>
      <c r="E589" s="102"/>
      <c r="F589" s="103"/>
      <c r="G589" s="103"/>
      <c r="H589" s="258"/>
      <c r="J589" s="103"/>
      <c r="L589" s="71"/>
      <c r="M589" s="106" t="str">
        <f>IF(ISBLANK(K589), "", VLOOKUP(C589&amp;" "&amp;D589, 'Info Tipo de Cambio y REM'!$A$24:$B$35, 2, FALSE))</f>
        <v/>
      </c>
      <c r="N589" s="107" t="str">
        <f t="shared" si="3"/>
        <v/>
      </c>
      <c r="O589" s="102" t="str">
        <f t="shared" si="2"/>
        <v/>
      </c>
    </row>
    <row r="590">
      <c r="A590" s="102"/>
      <c r="B590" s="43" t="str">
        <f>IF(A590="", "", IFERROR(VLOOKUP(A590, Clasificaciones!A:B, 2, FALSE), "DATO NO CARGADO"))</f>
        <v/>
      </c>
      <c r="C590" s="51"/>
      <c r="D590" s="257"/>
      <c r="E590" s="102"/>
      <c r="F590" s="103"/>
      <c r="G590" s="103"/>
      <c r="H590" s="258"/>
      <c r="J590" s="103"/>
      <c r="L590" s="71"/>
      <c r="M590" s="106" t="str">
        <f>IF(ISBLANK(K590), "", VLOOKUP(C590&amp;" "&amp;D590, 'Info Tipo de Cambio y REM'!$A$24:$B$35, 2, FALSE))</f>
        <v/>
      </c>
      <c r="N590" s="107" t="str">
        <f t="shared" si="3"/>
        <v/>
      </c>
      <c r="O590" s="102" t="str">
        <f t="shared" si="2"/>
        <v/>
      </c>
    </row>
    <row r="591">
      <c r="A591" s="102"/>
      <c r="B591" s="43" t="str">
        <f>IF(A591="", "", IFERROR(VLOOKUP(A591, Clasificaciones!A:B, 2, FALSE), "DATO NO CARGADO"))</f>
        <v/>
      </c>
      <c r="C591" s="51"/>
      <c r="D591" s="257"/>
      <c r="E591" s="102"/>
      <c r="F591" s="103"/>
      <c r="G591" s="103"/>
      <c r="H591" s="258"/>
      <c r="J591" s="103"/>
      <c r="L591" s="71"/>
      <c r="M591" s="106" t="str">
        <f>IF(ISBLANK(K591), "", VLOOKUP(C591&amp;" "&amp;D591, 'Info Tipo de Cambio y REM'!$A$24:$B$35, 2, FALSE))</f>
        <v/>
      </c>
      <c r="N591" s="107" t="str">
        <f t="shared" si="3"/>
        <v/>
      </c>
      <c r="O591" s="102" t="str">
        <f t="shared" si="2"/>
        <v/>
      </c>
    </row>
    <row r="592">
      <c r="A592" s="102"/>
      <c r="B592" s="43" t="str">
        <f>IF(A592="", "", IFERROR(VLOOKUP(A592, Clasificaciones!A:B, 2, FALSE), "DATO NO CARGADO"))</f>
        <v/>
      </c>
      <c r="C592" s="51"/>
      <c r="D592" s="257"/>
      <c r="E592" s="102"/>
      <c r="F592" s="103"/>
      <c r="G592" s="103"/>
      <c r="H592" s="258"/>
      <c r="J592" s="103"/>
      <c r="L592" s="71"/>
      <c r="M592" s="106" t="str">
        <f>IF(ISBLANK(K592), "", VLOOKUP(C592&amp;" "&amp;D592, 'Info Tipo de Cambio y REM'!$A$24:$B$35, 2, FALSE))</f>
        <v/>
      </c>
      <c r="N592" s="107" t="str">
        <f t="shared" si="3"/>
        <v/>
      </c>
      <c r="O592" s="102" t="str">
        <f t="shared" si="2"/>
        <v/>
      </c>
    </row>
    <row r="593">
      <c r="A593" s="102"/>
      <c r="B593" s="43" t="str">
        <f>IF(A593="", "", IFERROR(VLOOKUP(A593, Clasificaciones!A:B, 2, FALSE), "DATO NO CARGADO"))</f>
        <v/>
      </c>
      <c r="C593" s="51"/>
      <c r="D593" s="257"/>
      <c r="E593" s="102"/>
      <c r="F593" s="103"/>
      <c r="G593" s="103"/>
      <c r="H593" s="258"/>
      <c r="J593" s="103"/>
      <c r="L593" s="71"/>
      <c r="M593" s="106" t="str">
        <f>IF(ISBLANK(K593), "", VLOOKUP(C593&amp;" "&amp;D593, 'Info Tipo de Cambio y REM'!$A$24:$B$35, 2, FALSE))</f>
        <v/>
      </c>
      <c r="N593" s="107" t="str">
        <f t="shared" si="3"/>
        <v/>
      </c>
      <c r="O593" s="102" t="str">
        <f t="shared" si="2"/>
        <v/>
      </c>
    </row>
    <row r="594">
      <c r="A594" s="102"/>
      <c r="B594" s="43" t="str">
        <f>IF(A594="", "", IFERROR(VLOOKUP(A594, Clasificaciones!A:B, 2, FALSE), "DATO NO CARGADO"))</f>
        <v/>
      </c>
      <c r="C594" s="51"/>
      <c r="D594" s="257"/>
      <c r="E594" s="102"/>
      <c r="F594" s="103"/>
      <c r="G594" s="103"/>
      <c r="H594" s="258"/>
      <c r="J594" s="103"/>
      <c r="L594" s="71"/>
      <c r="M594" s="106" t="str">
        <f>IF(ISBLANK(K594), "", VLOOKUP(C594&amp;" "&amp;D594, 'Info Tipo de Cambio y REM'!$A$24:$B$35, 2, FALSE))</f>
        <v/>
      </c>
      <c r="N594" s="107" t="str">
        <f t="shared" si="3"/>
        <v/>
      </c>
      <c r="O594" s="102" t="str">
        <f t="shared" si="2"/>
        <v/>
      </c>
    </row>
    <row r="595">
      <c r="A595" s="102"/>
      <c r="B595" s="43" t="str">
        <f>IF(A595="", "", IFERROR(VLOOKUP(A595, Clasificaciones!A:B, 2, FALSE), "DATO NO CARGADO"))</f>
        <v/>
      </c>
      <c r="C595" s="51"/>
      <c r="D595" s="257"/>
      <c r="E595" s="102"/>
      <c r="F595" s="103"/>
      <c r="G595" s="103"/>
      <c r="H595" s="258"/>
      <c r="J595" s="103"/>
      <c r="L595" s="71"/>
      <c r="M595" s="106" t="str">
        <f>IF(ISBLANK(K595), "", VLOOKUP(C595&amp;" "&amp;D595, 'Info Tipo de Cambio y REM'!$A$24:$B$35, 2, FALSE))</f>
        <v/>
      </c>
      <c r="N595" s="107" t="str">
        <f t="shared" si="3"/>
        <v/>
      </c>
      <c r="O595" s="102" t="str">
        <f t="shared" si="2"/>
        <v/>
      </c>
    </row>
    <row r="596">
      <c r="A596" s="102"/>
      <c r="B596" s="43" t="str">
        <f>IF(A596="", "", IFERROR(VLOOKUP(A596, Clasificaciones!A:B, 2, FALSE), "DATO NO CARGADO"))</f>
        <v/>
      </c>
      <c r="C596" s="51"/>
      <c r="D596" s="257"/>
      <c r="E596" s="102"/>
      <c r="F596" s="103"/>
      <c r="G596" s="103"/>
      <c r="H596" s="258"/>
      <c r="J596" s="103"/>
      <c r="L596" s="71"/>
      <c r="M596" s="106" t="str">
        <f>IF(ISBLANK(K596), "", VLOOKUP(C596&amp;" "&amp;D596, 'Info Tipo de Cambio y REM'!$A$24:$B$35, 2, FALSE))</f>
        <v/>
      </c>
      <c r="N596" s="107" t="str">
        <f t="shared" si="3"/>
        <v/>
      </c>
      <c r="O596" s="102" t="str">
        <f t="shared" si="2"/>
        <v/>
      </c>
    </row>
    <row r="597">
      <c r="A597" s="102"/>
      <c r="B597" s="43" t="str">
        <f>IF(A597="", "", IFERROR(VLOOKUP(A597, Clasificaciones!A:B, 2, FALSE), "DATO NO CARGADO"))</f>
        <v/>
      </c>
      <c r="C597" s="51"/>
      <c r="D597" s="257"/>
      <c r="E597" s="102"/>
      <c r="F597" s="103"/>
      <c r="G597" s="103"/>
      <c r="H597" s="258"/>
      <c r="J597" s="103"/>
      <c r="L597" s="71"/>
      <c r="M597" s="106" t="str">
        <f>IF(ISBLANK(K597), "", VLOOKUP(C597&amp;" "&amp;D597, 'Info Tipo de Cambio y REM'!$A$24:$B$35, 2, FALSE))</f>
        <v/>
      </c>
      <c r="N597" s="107" t="str">
        <f t="shared" si="3"/>
        <v/>
      </c>
      <c r="O597" s="102" t="str">
        <f t="shared" si="2"/>
        <v/>
      </c>
    </row>
    <row r="598">
      <c r="A598" s="102"/>
      <c r="B598" s="43" t="str">
        <f>IF(A598="", "", IFERROR(VLOOKUP(A598, Clasificaciones!A:B, 2, FALSE), "DATO NO CARGADO"))</f>
        <v/>
      </c>
      <c r="C598" s="51"/>
      <c r="D598" s="257"/>
      <c r="E598" s="102"/>
      <c r="F598" s="103"/>
      <c r="G598" s="103"/>
      <c r="H598" s="258"/>
      <c r="J598" s="103"/>
      <c r="L598" s="71"/>
      <c r="M598" s="106" t="str">
        <f>IF(ISBLANK(K598), "", VLOOKUP(C598&amp;" "&amp;D598, 'Info Tipo de Cambio y REM'!$A$24:$B$35, 2, FALSE))</f>
        <v/>
      </c>
      <c r="N598" s="107" t="str">
        <f t="shared" si="3"/>
        <v/>
      </c>
      <c r="O598" s="102" t="str">
        <f t="shared" si="2"/>
        <v/>
      </c>
    </row>
    <row r="599">
      <c r="A599" s="102"/>
      <c r="B599" s="43" t="str">
        <f>IF(A599="", "", IFERROR(VLOOKUP(A599, Clasificaciones!A:B, 2, FALSE), "DATO NO CARGADO"))</f>
        <v/>
      </c>
      <c r="C599" s="51"/>
      <c r="D599" s="257"/>
      <c r="E599" s="102"/>
      <c r="F599" s="103"/>
      <c r="G599" s="103"/>
      <c r="H599" s="258"/>
      <c r="J599" s="103"/>
      <c r="L599" s="71"/>
      <c r="M599" s="106" t="str">
        <f>IF(ISBLANK(K599), "", VLOOKUP(C599&amp;" "&amp;D599, 'Info Tipo de Cambio y REM'!$A$24:$B$35, 2, FALSE))</f>
        <v/>
      </c>
      <c r="N599" s="107" t="str">
        <f t="shared" si="3"/>
        <v/>
      </c>
      <c r="O599" s="102" t="str">
        <f t="shared" si="2"/>
        <v/>
      </c>
    </row>
    <row r="600">
      <c r="A600" s="102"/>
      <c r="B600" s="43" t="str">
        <f>IF(A600="", "", IFERROR(VLOOKUP(A600, Clasificaciones!A:B, 2, FALSE), "DATO NO CARGADO"))</f>
        <v/>
      </c>
      <c r="C600" s="51"/>
      <c r="D600" s="257"/>
      <c r="E600" s="102"/>
      <c r="F600" s="103"/>
      <c r="G600" s="103"/>
      <c r="H600" s="258"/>
      <c r="J600" s="103"/>
      <c r="L600" s="71"/>
      <c r="M600" s="106" t="str">
        <f>IF(ISBLANK(K600), "", VLOOKUP(C600&amp;" "&amp;D600, 'Info Tipo de Cambio y REM'!$A$24:$B$35, 2, FALSE))</f>
        <v/>
      </c>
      <c r="N600" s="107" t="str">
        <f t="shared" si="3"/>
        <v/>
      </c>
      <c r="O600" s="102" t="str">
        <f t="shared" si="2"/>
        <v/>
      </c>
    </row>
    <row r="601">
      <c r="A601" s="102"/>
      <c r="B601" s="43" t="str">
        <f>IF(A601="", "", IFERROR(VLOOKUP(A601, Clasificaciones!A:B, 2, FALSE), "DATO NO CARGADO"))</f>
        <v/>
      </c>
      <c r="C601" s="51"/>
      <c r="D601" s="257"/>
      <c r="E601" s="102"/>
      <c r="F601" s="103"/>
      <c r="G601" s="103"/>
      <c r="H601" s="258"/>
      <c r="J601" s="103"/>
      <c r="L601" s="71"/>
      <c r="M601" s="106" t="str">
        <f>IF(ISBLANK(K601), "", VLOOKUP(C601&amp;" "&amp;D601, 'Info Tipo de Cambio y REM'!$A$24:$B$35, 2, FALSE))</f>
        <v/>
      </c>
      <c r="N601" s="107" t="str">
        <f t="shared" si="3"/>
        <v/>
      </c>
      <c r="O601" s="102" t="str">
        <f t="shared" si="2"/>
        <v/>
      </c>
    </row>
    <row r="602">
      <c r="A602" s="102"/>
      <c r="B602" s="43" t="str">
        <f>IF(A602="", "", IFERROR(VLOOKUP(A602, Clasificaciones!A:B, 2, FALSE), "DATO NO CARGADO"))</f>
        <v/>
      </c>
      <c r="C602" s="51"/>
      <c r="D602" s="257"/>
      <c r="E602" s="102"/>
      <c r="F602" s="103"/>
      <c r="G602" s="103"/>
      <c r="H602" s="258"/>
      <c r="J602" s="103"/>
      <c r="L602" s="71"/>
      <c r="M602" s="106" t="str">
        <f>IF(ISBLANK(K602), "", VLOOKUP(C602&amp;" "&amp;D602, 'Info Tipo de Cambio y REM'!$A$24:$B$35, 2, FALSE))</f>
        <v/>
      </c>
      <c r="N602" s="107" t="str">
        <f t="shared" si="3"/>
        <v/>
      </c>
      <c r="O602" s="102" t="str">
        <f t="shared" si="2"/>
        <v/>
      </c>
    </row>
    <row r="603">
      <c r="A603" s="102"/>
      <c r="B603" s="43" t="str">
        <f>IF(A603="", "", IFERROR(VLOOKUP(A603, Clasificaciones!A:B, 2, FALSE), "DATO NO CARGADO"))</f>
        <v/>
      </c>
      <c r="C603" s="51"/>
      <c r="D603" s="257"/>
      <c r="E603" s="102"/>
      <c r="F603" s="103"/>
      <c r="G603" s="103"/>
      <c r="H603" s="258"/>
      <c r="J603" s="103"/>
      <c r="L603" s="71"/>
      <c r="M603" s="106" t="str">
        <f>IF(ISBLANK(K603), "", VLOOKUP(C603&amp;" "&amp;D603, 'Info Tipo de Cambio y REM'!$A$24:$B$35, 2, FALSE))</f>
        <v/>
      </c>
      <c r="N603" s="107" t="str">
        <f t="shared" si="3"/>
        <v/>
      </c>
      <c r="O603" s="102" t="str">
        <f t="shared" si="2"/>
        <v/>
      </c>
    </row>
    <row r="604">
      <c r="A604" s="102"/>
      <c r="B604" s="43" t="str">
        <f>IF(A604="", "", IFERROR(VLOOKUP(A604, Clasificaciones!A:B, 2, FALSE), "DATO NO CARGADO"))</f>
        <v/>
      </c>
      <c r="C604" s="51"/>
      <c r="D604" s="257"/>
      <c r="E604" s="102"/>
      <c r="F604" s="103"/>
      <c r="G604" s="103"/>
      <c r="H604" s="258"/>
      <c r="J604" s="103"/>
      <c r="L604" s="71"/>
      <c r="M604" s="106" t="str">
        <f>IF(ISBLANK(K604), "", VLOOKUP(C604&amp;" "&amp;D604, 'Info Tipo de Cambio y REM'!$A$24:$B$35, 2, FALSE))</f>
        <v/>
      </c>
      <c r="N604" s="107" t="str">
        <f t="shared" si="3"/>
        <v/>
      </c>
      <c r="O604" s="102" t="str">
        <f t="shared" si="2"/>
        <v/>
      </c>
    </row>
    <row r="605">
      <c r="A605" s="102"/>
      <c r="B605" s="43" t="str">
        <f>IF(A605="", "", IFERROR(VLOOKUP(A605, Clasificaciones!A:B, 2, FALSE), "DATO NO CARGADO"))</f>
        <v/>
      </c>
      <c r="C605" s="51"/>
      <c r="D605" s="257"/>
      <c r="E605" s="102"/>
      <c r="F605" s="103"/>
      <c r="G605" s="103"/>
      <c r="H605" s="258"/>
      <c r="J605" s="103"/>
      <c r="L605" s="71"/>
      <c r="M605" s="106" t="str">
        <f>IF(ISBLANK(K605), "", VLOOKUP(C605&amp;" "&amp;D605, 'Info Tipo de Cambio y REM'!$A$24:$B$35, 2, FALSE))</f>
        <v/>
      </c>
      <c r="N605" s="107" t="str">
        <f t="shared" si="3"/>
        <v/>
      </c>
      <c r="O605" s="102" t="str">
        <f t="shared" si="2"/>
        <v/>
      </c>
    </row>
    <row r="606">
      <c r="A606" s="102"/>
      <c r="B606" s="43" t="str">
        <f>IF(A606="", "", IFERROR(VLOOKUP(A606, Clasificaciones!A:B, 2, FALSE), "DATO NO CARGADO"))</f>
        <v/>
      </c>
      <c r="C606" s="51"/>
      <c r="D606" s="257"/>
      <c r="E606" s="102"/>
      <c r="F606" s="103"/>
      <c r="G606" s="103"/>
      <c r="H606" s="258"/>
      <c r="J606" s="103"/>
      <c r="L606" s="71"/>
      <c r="M606" s="106" t="str">
        <f>IF(ISBLANK(K606), "", VLOOKUP(C606&amp;" "&amp;D606, 'Info Tipo de Cambio y REM'!$A$24:$B$35, 2, FALSE))</f>
        <v/>
      </c>
      <c r="N606" s="107" t="str">
        <f t="shared" si="3"/>
        <v/>
      </c>
      <c r="O606" s="102" t="str">
        <f t="shared" si="2"/>
        <v/>
      </c>
    </row>
    <row r="607">
      <c r="A607" s="102"/>
      <c r="B607" s="43" t="str">
        <f>IF(A607="", "", IFERROR(VLOOKUP(A607, Clasificaciones!A:B, 2, FALSE), "DATO NO CARGADO"))</f>
        <v/>
      </c>
      <c r="C607" s="51"/>
      <c r="D607" s="257"/>
      <c r="E607" s="102"/>
      <c r="F607" s="103"/>
      <c r="G607" s="103"/>
      <c r="H607" s="258"/>
      <c r="J607" s="103"/>
      <c r="L607" s="71"/>
      <c r="M607" s="106" t="str">
        <f>IF(ISBLANK(K607), "", VLOOKUP(C607&amp;" "&amp;D607, 'Info Tipo de Cambio y REM'!$A$24:$B$35, 2, FALSE))</f>
        <v/>
      </c>
      <c r="N607" s="107" t="str">
        <f t="shared" si="3"/>
        <v/>
      </c>
      <c r="O607" s="102" t="str">
        <f t="shared" si="2"/>
        <v/>
      </c>
    </row>
    <row r="608">
      <c r="A608" s="102"/>
      <c r="B608" s="43" t="str">
        <f>IF(A608="", "", IFERROR(VLOOKUP(A608, Clasificaciones!A:B, 2, FALSE), "DATO NO CARGADO"))</f>
        <v/>
      </c>
      <c r="C608" s="51"/>
      <c r="D608" s="257"/>
      <c r="E608" s="102"/>
      <c r="F608" s="103"/>
      <c r="G608" s="103"/>
      <c r="H608" s="258"/>
      <c r="J608" s="103"/>
      <c r="L608" s="71"/>
      <c r="M608" s="106" t="str">
        <f>IF(ISBLANK(K608), "", VLOOKUP(C608&amp;" "&amp;D608, 'Info Tipo de Cambio y REM'!$A$24:$B$35, 2, FALSE))</f>
        <v/>
      </c>
      <c r="N608" s="107" t="str">
        <f t="shared" si="3"/>
        <v/>
      </c>
      <c r="O608" s="102" t="str">
        <f t="shared" si="2"/>
        <v/>
      </c>
    </row>
    <row r="609">
      <c r="A609" s="102"/>
      <c r="B609" s="43" t="str">
        <f>IF(A609="", "", IFERROR(VLOOKUP(A609, Clasificaciones!A:B, 2, FALSE), "DATO NO CARGADO"))</f>
        <v/>
      </c>
      <c r="C609" s="51"/>
      <c r="D609" s="257"/>
      <c r="E609" s="102"/>
      <c r="F609" s="103"/>
      <c r="G609" s="103"/>
      <c r="H609" s="258"/>
      <c r="J609" s="103"/>
      <c r="L609" s="71"/>
      <c r="M609" s="106" t="str">
        <f>IF(ISBLANK(K609), "", VLOOKUP(C609&amp;" "&amp;D609, 'Info Tipo de Cambio y REM'!$A$24:$B$35, 2, FALSE))</f>
        <v/>
      </c>
      <c r="N609" s="107" t="str">
        <f t="shared" si="3"/>
        <v/>
      </c>
      <c r="O609" s="102" t="str">
        <f t="shared" si="2"/>
        <v/>
      </c>
    </row>
    <row r="610">
      <c r="A610" s="102"/>
      <c r="B610" s="43" t="str">
        <f>IF(A610="", "", IFERROR(VLOOKUP(A610, Clasificaciones!A:B, 2, FALSE), "DATO NO CARGADO"))</f>
        <v/>
      </c>
      <c r="C610" s="51"/>
      <c r="D610" s="257"/>
      <c r="E610" s="102"/>
      <c r="F610" s="103"/>
      <c r="G610" s="103"/>
      <c r="H610" s="258"/>
      <c r="J610" s="103"/>
      <c r="L610" s="71"/>
      <c r="M610" s="106" t="str">
        <f>IF(ISBLANK(K610), "", VLOOKUP(C610&amp;" "&amp;D610, 'Info Tipo de Cambio y REM'!$A$24:$B$35, 2, FALSE))</f>
        <v/>
      </c>
      <c r="N610" s="107" t="str">
        <f t="shared" si="3"/>
        <v/>
      </c>
      <c r="O610" s="102" t="str">
        <f t="shared" si="2"/>
        <v/>
      </c>
    </row>
    <row r="611">
      <c r="A611" s="102"/>
      <c r="B611" s="43" t="str">
        <f>IF(A611="", "", IFERROR(VLOOKUP(A611, Clasificaciones!A:B, 2, FALSE), "DATO NO CARGADO"))</f>
        <v/>
      </c>
      <c r="C611" s="51"/>
      <c r="D611" s="257"/>
      <c r="E611" s="102"/>
      <c r="F611" s="103"/>
      <c r="G611" s="103"/>
      <c r="H611" s="258"/>
      <c r="J611" s="103"/>
      <c r="L611" s="71"/>
      <c r="M611" s="106" t="str">
        <f>IF(ISBLANK(K611), "", VLOOKUP(C611&amp;" "&amp;D611, 'Info Tipo de Cambio y REM'!$A$24:$B$35, 2, FALSE))</f>
        <v/>
      </c>
      <c r="N611" s="107" t="str">
        <f t="shared" si="3"/>
        <v/>
      </c>
      <c r="O611" s="102" t="str">
        <f t="shared" si="2"/>
        <v/>
      </c>
    </row>
    <row r="612">
      <c r="A612" s="102"/>
      <c r="B612" s="43" t="str">
        <f>IF(A612="", "", IFERROR(VLOOKUP(A612, Clasificaciones!A:B, 2, FALSE), "DATO NO CARGADO"))</f>
        <v/>
      </c>
      <c r="C612" s="51"/>
      <c r="D612" s="257"/>
      <c r="E612" s="102"/>
      <c r="F612" s="103"/>
      <c r="G612" s="103"/>
      <c r="H612" s="258"/>
      <c r="J612" s="103"/>
      <c r="L612" s="71"/>
      <c r="M612" s="106" t="str">
        <f>IF(ISBLANK(K612), "", VLOOKUP(C612&amp;" "&amp;D612, 'Info Tipo de Cambio y REM'!$A$24:$B$35, 2, FALSE))</f>
        <v/>
      </c>
      <c r="N612" s="107" t="str">
        <f t="shared" si="3"/>
        <v/>
      </c>
      <c r="O612" s="102" t="str">
        <f t="shared" si="2"/>
        <v/>
      </c>
    </row>
    <row r="613">
      <c r="A613" s="102"/>
      <c r="B613" s="43" t="str">
        <f>IF(A613="", "", IFERROR(VLOOKUP(A613, Clasificaciones!A:B, 2, FALSE), "DATO NO CARGADO"))</f>
        <v/>
      </c>
      <c r="C613" s="51"/>
      <c r="D613" s="257"/>
      <c r="E613" s="102"/>
      <c r="F613" s="103"/>
      <c r="G613" s="103"/>
      <c r="H613" s="258"/>
      <c r="J613" s="103"/>
      <c r="L613" s="71"/>
      <c r="M613" s="106" t="str">
        <f>IF(ISBLANK(K613), "", VLOOKUP(C613&amp;" "&amp;D613, 'Info Tipo de Cambio y REM'!$A$24:$B$35, 2, FALSE))</f>
        <v/>
      </c>
      <c r="N613" s="107" t="str">
        <f t="shared" si="3"/>
        <v/>
      </c>
      <c r="O613" s="102" t="str">
        <f t="shared" si="2"/>
        <v/>
      </c>
    </row>
    <row r="614">
      <c r="A614" s="102"/>
      <c r="B614" s="43" t="str">
        <f>IF(A614="", "", IFERROR(VLOOKUP(A614, Clasificaciones!A:B, 2, FALSE), "DATO NO CARGADO"))</f>
        <v/>
      </c>
      <c r="C614" s="51"/>
      <c r="D614" s="257"/>
      <c r="E614" s="102"/>
      <c r="F614" s="103"/>
      <c r="G614" s="103"/>
      <c r="H614" s="258"/>
      <c r="J614" s="103"/>
      <c r="L614" s="71"/>
      <c r="M614" s="106" t="str">
        <f>IF(ISBLANK(K614), "", VLOOKUP(C614&amp;" "&amp;D614, 'Info Tipo de Cambio y REM'!$A$24:$B$35, 2, FALSE))</f>
        <v/>
      </c>
      <c r="N614" s="107" t="str">
        <f t="shared" si="3"/>
        <v/>
      </c>
      <c r="O614" s="102" t="str">
        <f t="shared" si="2"/>
        <v/>
      </c>
    </row>
    <row r="615">
      <c r="A615" s="102"/>
      <c r="B615" s="43" t="str">
        <f>IF(A615="", "", IFERROR(VLOOKUP(A615, Clasificaciones!A:B, 2, FALSE), "DATO NO CARGADO"))</f>
        <v/>
      </c>
      <c r="C615" s="51"/>
      <c r="D615" s="257"/>
      <c r="E615" s="102"/>
      <c r="F615" s="103"/>
      <c r="G615" s="103"/>
      <c r="H615" s="258"/>
      <c r="J615" s="103"/>
      <c r="L615" s="71"/>
      <c r="M615" s="106" t="str">
        <f>IF(ISBLANK(K615), "", VLOOKUP(C615&amp;" "&amp;D615, 'Info Tipo de Cambio y REM'!$A$24:$B$35, 2, FALSE))</f>
        <v/>
      </c>
      <c r="N615" s="107" t="str">
        <f t="shared" si="3"/>
        <v/>
      </c>
      <c r="O615" s="102" t="str">
        <f t="shared" si="2"/>
        <v/>
      </c>
    </row>
    <row r="616">
      <c r="A616" s="102"/>
      <c r="B616" s="43" t="str">
        <f>IF(A616="", "", IFERROR(VLOOKUP(A616, Clasificaciones!A:B, 2, FALSE), "DATO NO CARGADO"))</f>
        <v/>
      </c>
      <c r="C616" s="51"/>
      <c r="D616" s="257"/>
      <c r="E616" s="102"/>
      <c r="F616" s="103"/>
      <c r="G616" s="103"/>
      <c r="H616" s="258"/>
      <c r="J616" s="103"/>
      <c r="L616" s="71"/>
      <c r="M616" s="106" t="str">
        <f>IF(ISBLANK(K616), "", VLOOKUP(C616&amp;" "&amp;D616, 'Info Tipo de Cambio y REM'!$A$24:$B$35, 2, FALSE))</f>
        <v/>
      </c>
      <c r="N616" s="107" t="str">
        <f t="shared" si="3"/>
        <v/>
      </c>
      <c r="O616" s="102" t="str">
        <f t="shared" si="2"/>
        <v/>
      </c>
    </row>
    <row r="617">
      <c r="A617" s="102"/>
      <c r="B617" s="43" t="str">
        <f>IF(A617="", "", IFERROR(VLOOKUP(A617, Clasificaciones!A:B, 2, FALSE), "DATO NO CARGADO"))</f>
        <v/>
      </c>
      <c r="C617" s="51"/>
      <c r="D617" s="257"/>
      <c r="E617" s="102"/>
      <c r="F617" s="103"/>
      <c r="G617" s="103"/>
      <c r="H617" s="258"/>
      <c r="J617" s="103"/>
      <c r="L617" s="71"/>
      <c r="M617" s="106" t="str">
        <f>IF(ISBLANK(K617), "", VLOOKUP(C617&amp;" "&amp;D617, 'Info Tipo de Cambio y REM'!$A$24:$B$35, 2, FALSE))</f>
        <v/>
      </c>
      <c r="N617" s="107" t="str">
        <f t="shared" si="3"/>
        <v/>
      </c>
      <c r="O617" s="102" t="str">
        <f t="shared" si="2"/>
        <v/>
      </c>
    </row>
    <row r="618">
      <c r="A618" s="102"/>
      <c r="B618" s="43" t="str">
        <f>IF(A618="", "", IFERROR(VLOOKUP(A618, Clasificaciones!A:B, 2, FALSE), "DATO NO CARGADO"))</f>
        <v/>
      </c>
      <c r="C618" s="51"/>
      <c r="D618" s="257"/>
      <c r="E618" s="102"/>
      <c r="F618" s="103"/>
      <c r="G618" s="103"/>
      <c r="H618" s="258"/>
      <c r="J618" s="103"/>
      <c r="L618" s="71"/>
      <c r="M618" s="106" t="str">
        <f>IF(ISBLANK(K618), "", VLOOKUP(C618&amp;" "&amp;D618, 'Info Tipo de Cambio y REM'!$A$24:$B$35, 2, FALSE))</f>
        <v/>
      </c>
      <c r="N618" s="107" t="str">
        <f t="shared" si="3"/>
        <v/>
      </c>
      <c r="O618" s="102" t="str">
        <f t="shared" si="2"/>
        <v/>
      </c>
    </row>
    <row r="619">
      <c r="A619" s="102"/>
      <c r="B619" s="43" t="str">
        <f>IF(A619="", "", IFERROR(VLOOKUP(A619, Clasificaciones!A:B, 2, FALSE), "DATO NO CARGADO"))</f>
        <v/>
      </c>
      <c r="C619" s="51"/>
      <c r="D619" s="257"/>
      <c r="E619" s="102"/>
      <c r="F619" s="103"/>
      <c r="G619" s="103"/>
      <c r="H619" s="258"/>
      <c r="J619" s="103"/>
      <c r="L619" s="71"/>
      <c r="M619" s="106" t="str">
        <f>IF(ISBLANK(K619), "", VLOOKUP(C619&amp;" "&amp;D619, 'Info Tipo de Cambio y REM'!$A$24:$B$35, 2, FALSE))</f>
        <v/>
      </c>
      <c r="N619" s="107" t="str">
        <f t="shared" si="3"/>
        <v/>
      </c>
      <c r="O619" s="102" t="str">
        <f t="shared" si="2"/>
        <v/>
      </c>
    </row>
    <row r="620">
      <c r="A620" s="102"/>
      <c r="B620" s="43" t="str">
        <f>IF(A620="", "", IFERROR(VLOOKUP(A620, Clasificaciones!A:B, 2, FALSE), "DATO NO CARGADO"))</f>
        <v/>
      </c>
      <c r="C620" s="51"/>
      <c r="D620" s="257"/>
      <c r="E620" s="102"/>
      <c r="F620" s="103"/>
      <c r="G620" s="103"/>
      <c r="H620" s="258"/>
      <c r="J620" s="103"/>
      <c r="L620" s="71"/>
      <c r="M620" s="106" t="str">
        <f>IF(ISBLANK(K620), "", VLOOKUP(C620&amp;" "&amp;D620, 'Info Tipo de Cambio y REM'!$A$24:$B$35, 2, FALSE))</f>
        <v/>
      </c>
      <c r="N620" s="107" t="str">
        <f t="shared" si="3"/>
        <v/>
      </c>
      <c r="O620" s="102" t="str">
        <f t="shared" si="2"/>
        <v/>
      </c>
    </row>
    <row r="621">
      <c r="A621" s="102"/>
      <c r="B621" s="43" t="str">
        <f>IF(A621="", "", IFERROR(VLOOKUP(A621, Clasificaciones!A:B, 2, FALSE), "DATO NO CARGADO"))</f>
        <v/>
      </c>
      <c r="C621" s="51"/>
      <c r="D621" s="257"/>
      <c r="E621" s="102"/>
      <c r="F621" s="103"/>
      <c r="G621" s="103"/>
      <c r="H621" s="258"/>
      <c r="J621" s="103"/>
      <c r="L621" s="71"/>
      <c r="M621" s="106" t="str">
        <f>IF(ISBLANK(K621), "", VLOOKUP(C621&amp;" "&amp;D621, 'Info Tipo de Cambio y REM'!$A$24:$B$35, 2, FALSE))</f>
        <v/>
      </c>
      <c r="N621" s="107" t="str">
        <f t="shared" si="3"/>
        <v/>
      </c>
      <c r="O621" s="102" t="str">
        <f t="shared" si="2"/>
        <v/>
      </c>
    </row>
    <row r="622">
      <c r="A622" s="102"/>
      <c r="B622" s="43" t="str">
        <f>IF(A622="", "", IFERROR(VLOOKUP(A622, Clasificaciones!A:B, 2, FALSE), "DATO NO CARGADO"))</f>
        <v/>
      </c>
      <c r="C622" s="51"/>
      <c r="D622" s="257"/>
      <c r="E622" s="102"/>
      <c r="F622" s="103"/>
      <c r="G622" s="103"/>
      <c r="H622" s="258"/>
      <c r="J622" s="103"/>
      <c r="L622" s="71"/>
      <c r="M622" s="106" t="str">
        <f>IF(ISBLANK(K622), "", VLOOKUP(C622&amp;" "&amp;D622, 'Info Tipo de Cambio y REM'!$A$24:$B$35, 2, FALSE))</f>
        <v/>
      </c>
      <c r="N622" s="107" t="str">
        <f t="shared" si="3"/>
        <v/>
      </c>
      <c r="O622" s="102" t="str">
        <f t="shared" si="2"/>
        <v/>
      </c>
    </row>
    <row r="623">
      <c r="A623" s="102"/>
      <c r="B623" s="43" t="str">
        <f>IF(A623="", "", IFERROR(VLOOKUP(A623, Clasificaciones!A:B, 2, FALSE), "DATO NO CARGADO"))</f>
        <v/>
      </c>
      <c r="C623" s="51"/>
      <c r="D623" s="257"/>
      <c r="E623" s="102"/>
      <c r="F623" s="103"/>
      <c r="G623" s="103"/>
      <c r="H623" s="258"/>
      <c r="J623" s="103"/>
      <c r="L623" s="71"/>
      <c r="M623" s="106" t="str">
        <f>IF(ISBLANK(K623), "", VLOOKUP(C623&amp;" "&amp;D623, 'Info Tipo de Cambio y REM'!$A$24:$B$35, 2, FALSE))</f>
        <v/>
      </c>
      <c r="N623" s="107" t="str">
        <f t="shared" si="3"/>
        <v/>
      </c>
      <c r="O623" s="102" t="str">
        <f t="shared" si="2"/>
        <v/>
      </c>
    </row>
    <row r="624">
      <c r="A624" s="102"/>
      <c r="B624" s="43" t="str">
        <f>IF(A624="", "", IFERROR(VLOOKUP(A624, Clasificaciones!A:B, 2, FALSE), "DATO NO CARGADO"))</f>
        <v/>
      </c>
      <c r="C624" s="51"/>
      <c r="D624" s="257"/>
      <c r="E624" s="102"/>
      <c r="F624" s="103"/>
      <c r="G624" s="103"/>
      <c r="H624" s="258"/>
      <c r="J624" s="103"/>
      <c r="L624" s="71"/>
      <c r="M624" s="106" t="str">
        <f>IF(ISBLANK(K624), "", VLOOKUP(C624&amp;" "&amp;D624, 'Info Tipo de Cambio y REM'!$A$24:$B$35, 2, FALSE))</f>
        <v/>
      </c>
      <c r="N624" s="107" t="str">
        <f t="shared" si="3"/>
        <v/>
      </c>
      <c r="O624" s="102" t="str">
        <f t="shared" si="2"/>
        <v/>
      </c>
    </row>
    <row r="625">
      <c r="A625" s="102"/>
      <c r="B625" s="43" t="str">
        <f>IF(A625="", "", IFERROR(VLOOKUP(A625, Clasificaciones!A:B, 2, FALSE), "DATO NO CARGADO"))</f>
        <v/>
      </c>
      <c r="C625" s="51"/>
      <c r="D625" s="257"/>
      <c r="E625" s="102"/>
      <c r="F625" s="103"/>
      <c r="G625" s="103"/>
      <c r="H625" s="258"/>
      <c r="J625" s="103"/>
      <c r="L625" s="71"/>
      <c r="M625" s="106" t="str">
        <f>IF(ISBLANK(K625), "", VLOOKUP(C625&amp;" "&amp;D625, 'Info Tipo de Cambio y REM'!$A$24:$B$35, 2, FALSE))</f>
        <v/>
      </c>
      <c r="N625" s="107" t="str">
        <f t="shared" si="3"/>
        <v/>
      </c>
      <c r="O625" s="102" t="str">
        <f t="shared" si="2"/>
        <v/>
      </c>
    </row>
    <row r="626">
      <c r="A626" s="102"/>
      <c r="B626" s="43" t="str">
        <f>IF(A626="", "", IFERROR(VLOOKUP(A626, Clasificaciones!A:B, 2, FALSE), "DATO NO CARGADO"))</f>
        <v/>
      </c>
      <c r="C626" s="51"/>
      <c r="D626" s="257"/>
      <c r="E626" s="102"/>
      <c r="F626" s="103"/>
      <c r="G626" s="103"/>
      <c r="H626" s="258"/>
      <c r="J626" s="103"/>
      <c r="L626" s="71"/>
      <c r="M626" s="106" t="str">
        <f>IF(ISBLANK(K626), "", VLOOKUP(C626&amp;" "&amp;D626, 'Info Tipo de Cambio y REM'!$A$24:$B$35, 2, FALSE))</f>
        <v/>
      </c>
      <c r="N626" s="107" t="str">
        <f t="shared" si="3"/>
        <v/>
      </c>
      <c r="O626" s="102" t="str">
        <f t="shared" si="2"/>
        <v/>
      </c>
    </row>
    <row r="627">
      <c r="A627" s="102"/>
      <c r="B627" s="43" t="str">
        <f>IF(A627="", "", IFERROR(VLOOKUP(A627, Clasificaciones!A:B, 2, FALSE), "DATO NO CARGADO"))</f>
        <v/>
      </c>
      <c r="C627" s="51"/>
      <c r="D627" s="257"/>
      <c r="E627" s="102"/>
      <c r="F627" s="103"/>
      <c r="G627" s="103"/>
      <c r="H627" s="258"/>
      <c r="J627" s="103"/>
      <c r="L627" s="71"/>
      <c r="M627" s="106" t="str">
        <f>IF(ISBLANK(K627), "", VLOOKUP(C627&amp;" "&amp;D627, 'Info Tipo de Cambio y REM'!$A$24:$B$35, 2, FALSE))</f>
        <v/>
      </c>
      <c r="N627" s="107" t="str">
        <f t="shared" si="3"/>
        <v/>
      </c>
      <c r="O627" s="102" t="str">
        <f t="shared" si="2"/>
        <v/>
      </c>
    </row>
    <row r="628">
      <c r="A628" s="102"/>
      <c r="B628" s="43" t="str">
        <f>IF(A628="", "", IFERROR(VLOOKUP(A628, Clasificaciones!A:B, 2, FALSE), "DATO NO CARGADO"))</f>
        <v/>
      </c>
      <c r="C628" s="51"/>
      <c r="D628" s="257"/>
      <c r="E628" s="102"/>
      <c r="F628" s="103"/>
      <c r="G628" s="103"/>
      <c r="H628" s="258"/>
      <c r="J628" s="103"/>
      <c r="L628" s="71"/>
      <c r="M628" s="106" t="str">
        <f>IF(ISBLANK(K628), "", VLOOKUP(C628&amp;" "&amp;D628, 'Info Tipo de Cambio y REM'!$A$24:$B$35, 2, FALSE))</f>
        <v/>
      </c>
      <c r="N628" s="107" t="str">
        <f t="shared" si="3"/>
        <v/>
      </c>
      <c r="O628" s="102" t="str">
        <f t="shared" si="2"/>
        <v/>
      </c>
    </row>
    <row r="629">
      <c r="A629" s="102"/>
      <c r="B629" s="43" t="str">
        <f>IF(A629="", "", IFERROR(VLOOKUP(A629, Clasificaciones!A:B, 2, FALSE), "DATO NO CARGADO"))</f>
        <v/>
      </c>
      <c r="C629" s="51"/>
      <c r="D629" s="257"/>
      <c r="E629" s="102"/>
      <c r="F629" s="103"/>
      <c r="G629" s="103"/>
      <c r="H629" s="258"/>
      <c r="J629" s="103"/>
      <c r="L629" s="71"/>
      <c r="M629" s="106" t="str">
        <f>IF(ISBLANK(K629), "", VLOOKUP(C629&amp;" "&amp;D629, 'Info Tipo de Cambio y REM'!$A$24:$B$35, 2, FALSE))</f>
        <v/>
      </c>
      <c r="N629" s="107" t="str">
        <f t="shared" si="3"/>
        <v/>
      </c>
      <c r="O629" s="102" t="str">
        <f t="shared" si="2"/>
        <v/>
      </c>
    </row>
    <row r="630">
      <c r="A630" s="102"/>
      <c r="B630" s="43" t="str">
        <f>IF(A630="", "", IFERROR(VLOOKUP(A630, Clasificaciones!A:B, 2, FALSE), "DATO NO CARGADO"))</f>
        <v/>
      </c>
      <c r="C630" s="51"/>
      <c r="D630" s="257"/>
      <c r="E630" s="102"/>
      <c r="F630" s="103"/>
      <c r="G630" s="103"/>
      <c r="H630" s="258"/>
      <c r="J630" s="103"/>
      <c r="L630" s="71"/>
      <c r="M630" s="106" t="str">
        <f>IF(ISBLANK(K630), "", VLOOKUP(C630&amp;" "&amp;D630, 'Info Tipo de Cambio y REM'!$A$24:$B$35, 2, FALSE))</f>
        <v/>
      </c>
      <c r="N630" s="107" t="str">
        <f t="shared" si="3"/>
        <v/>
      </c>
      <c r="O630" s="102" t="str">
        <f t="shared" si="2"/>
        <v/>
      </c>
    </row>
    <row r="631">
      <c r="A631" s="102"/>
      <c r="B631" s="43" t="str">
        <f>IF(A631="", "", IFERROR(VLOOKUP(A631, Clasificaciones!A:B, 2, FALSE), "DATO NO CARGADO"))</f>
        <v/>
      </c>
      <c r="C631" s="51"/>
      <c r="D631" s="257"/>
      <c r="E631" s="102"/>
      <c r="F631" s="103"/>
      <c r="G631" s="103"/>
      <c r="H631" s="258"/>
      <c r="J631" s="103"/>
      <c r="L631" s="71"/>
      <c r="M631" s="106" t="str">
        <f>IF(ISBLANK(K631), "", VLOOKUP(C631&amp;" "&amp;D631, 'Info Tipo de Cambio y REM'!$A$24:$B$35, 2, FALSE))</f>
        <v/>
      </c>
      <c r="N631" s="107" t="str">
        <f t="shared" si="3"/>
        <v/>
      </c>
      <c r="O631" s="102" t="str">
        <f t="shared" si="2"/>
        <v/>
      </c>
    </row>
    <row r="632">
      <c r="A632" s="102"/>
      <c r="B632" s="43" t="str">
        <f>IF(A632="", "", IFERROR(VLOOKUP(A632, Clasificaciones!A:B, 2, FALSE), "DATO NO CARGADO"))</f>
        <v/>
      </c>
      <c r="C632" s="51"/>
      <c r="D632" s="257"/>
      <c r="E632" s="102"/>
      <c r="F632" s="103"/>
      <c r="G632" s="103"/>
      <c r="H632" s="258"/>
      <c r="J632" s="103"/>
      <c r="L632" s="71"/>
      <c r="M632" s="106" t="str">
        <f>IF(ISBLANK(K632), "", VLOOKUP(C632&amp;" "&amp;D632, 'Info Tipo de Cambio y REM'!$A$24:$B$35, 2, FALSE))</f>
        <v/>
      </c>
      <c r="N632" s="107" t="str">
        <f t="shared" si="3"/>
        <v/>
      </c>
      <c r="O632" s="102" t="str">
        <f t="shared" si="2"/>
        <v/>
      </c>
    </row>
    <row r="633">
      <c r="A633" s="102"/>
      <c r="B633" s="43" t="str">
        <f>IF(A633="", "", IFERROR(VLOOKUP(A633, Clasificaciones!A:B, 2, FALSE), "DATO NO CARGADO"))</f>
        <v/>
      </c>
      <c r="C633" s="51"/>
      <c r="D633" s="257"/>
      <c r="E633" s="102"/>
      <c r="F633" s="103"/>
      <c r="G633" s="103"/>
      <c r="H633" s="258"/>
      <c r="J633" s="103"/>
      <c r="L633" s="71"/>
      <c r="M633" s="106" t="str">
        <f>IF(ISBLANK(K633), "", VLOOKUP(C633&amp;" "&amp;D633, 'Info Tipo de Cambio y REM'!$A$24:$B$35, 2, FALSE))</f>
        <v/>
      </c>
      <c r="N633" s="107" t="str">
        <f t="shared" si="3"/>
        <v/>
      </c>
      <c r="O633" s="102" t="str">
        <f t="shared" si="2"/>
        <v/>
      </c>
    </row>
    <row r="634">
      <c r="A634" s="102"/>
      <c r="B634" s="43" t="str">
        <f>IF(A634="", "", IFERROR(VLOOKUP(A634, Clasificaciones!A:B, 2, FALSE), "DATO NO CARGADO"))</f>
        <v/>
      </c>
      <c r="C634" s="51"/>
      <c r="D634" s="257"/>
      <c r="E634" s="102"/>
      <c r="F634" s="103"/>
      <c r="G634" s="103"/>
      <c r="H634" s="258"/>
      <c r="J634" s="103"/>
      <c r="L634" s="71"/>
      <c r="M634" s="106" t="str">
        <f>IF(ISBLANK(K634), "", VLOOKUP(C634&amp;" "&amp;D634, 'Info Tipo de Cambio y REM'!$A$24:$B$35, 2, FALSE))</f>
        <v/>
      </c>
      <c r="N634" s="107" t="str">
        <f t="shared" si="3"/>
        <v/>
      </c>
      <c r="O634" s="102" t="str">
        <f t="shared" si="2"/>
        <v/>
      </c>
    </row>
    <row r="635">
      <c r="A635" s="102"/>
      <c r="B635" s="43" t="str">
        <f>IF(A635="", "", IFERROR(VLOOKUP(A635, Clasificaciones!A:B, 2, FALSE), "DATO NO CARGADO"))</f>
        <v/>
      </c>
      <c r="C635" s="51"/>
      <c r="D635" s="257"/>
      <c r="E635" s="102"/>
      <c r="F635" s="103"/>
      <c r="G635" s="103"/>
      <c r="H635" s="258"/>
      <c r="J635" s="103"/>
      <c r="L635" s="71"/>
      <c r="M635" s="106" t="str">
        <f>IF(ISBLANK(K635), "", VLOOKUP(C635&amp;" "&amp;D635, 'Info Tipo de Cambio y REM'!$A$24:$B$35, 2, FALSE))</f>
        <v/>
      </c>
      <c r="N635" s="107" t="str">
        <f t="shared" si="3"/>
        <v/>
      </c>
      <c r="O635" s="102" t="str">
        <f t="shared" si="2"/>
        <v/>
      </c>
    </row>
    <row r="636">
      <c r="A636" s="102"/>
      <c r="B636" s="43" t="str">
        <f>IF(A636="", "", IFERROR(VLOOKUP(A636, Clasificaciones!A:B, 2, FALSE), "DATO NO CARGADO"))</f>
        <v/>
      </c>
      <c r="C636" s="51"/>
      <c r="D636" s="257"/>
      <c r="E636" s="102"/>
      <c r="F636" s="103"/>
      <c r="G636" s="103"/>
      <c r="H636" s="258"/>
      <c r="J636" s="103"/>
      <c r="L636" s="71"/>
      <c r="M636" s="106" t="str">
        <f>IF(ISBLANK(K636), "", VLOOKUP(C636&amp;" "&amp;D636, 'Info Tipo de Cambio y REM'!$A$24:$B$35, 2, FALSE))</f>
        <v/>
      </c>
      <c r="N636" s="107" t="str">
        <f t="shared" si="3"/>
        <v/>
      </c>
      <c r="O636" s="102" t="str">
        <f t="shared" si="2"/>
        <v/>
      </c>
    </row>
    <row r="637">
      <c r="A637" s="102"/>
      <c r="B637" s="43" t="str">
        <f>IF(A637="", "", IFERROR(VLOOKUP(A637, Clasificaciones!A:B, 2, FALSE), "DATO NO CARGADO"))</f>
        <v/>
      </c>
      <c r="C637" s="51"/>
      <c r="D637" s="257"/>
      <c r="E637" s="102"/>
      <c r="F637" s="103"/>
      <c r="G637" s="103"/>
      <c r="H637" s="258"/>
      <c r="J637" s="103"/>
      <c r="L637" s="71"/>
      <c r="M637" s="106" t="str">
        <f>IF(ISBLANK(K637), "", VLOOKUP(C637&amp;" "&amp;D637, 'Info Tipo de Cambio y REM'!$A$24:$B$35, 2, FALSE))</f>
        <v/>
      </c>
      <c r="N637" s="107" t="str">
        <f t="shared" si="3"/>
        <v/>
      </c>
      <c r="O637" s="102" t="str">
        <f t="shared" si="2"/>
        <v/>
      </c>
    </row>
    <row r="638">
      <c r="A638" s="102"/>
      <c r="B638" s="43" t="str">
        <f>IF(A638="", "", IFERROR(VLOOKUP(A638, Clasificaciones!A:B, 2, FALSE), "DATO NO CARGADO"))</f>
        <v/>
      </c>
      <c r="C638" s="51"/>
      <c r="D638" s="257"/>
      <c r="E638" s="102"/>
      <c r="F638" s="103"/>
      <c r="G638" s="103"/>
      <c r="H638" s="258"/>
      <c r="J638" s="103"/>
      <c r="L638" s="71"/>
      <c r="M638" s="106" t="str">
        <f>IF(ISBLANK(K638), "", VLOOKUP(C638&amp;" "&amp;D638, 'Info Tipo de Cambio y REM'!$A$24:$B$35, 2, FALSE))</f>
        <v/>
      </c>
      <c r="N638" s="107" t="str">
        <f t="shared" si="3"/>
        <v/>
      </c>
      <c r="O638" s="102" t="str">
        <f t="shared" si="2"/>
        <v/>
      </c>
    </row>
    <row r="639">
      <c r="A639" s="102"/>
      <c r="B639" s="43" t="str">
        <f>IF(A639="", "", IFERROR(VLOOKUP(A639, Clasificaciones!A:B, 2, FALSE), "DATO NO CARGADO"))</f>
        <v/>
      </c>
      <c r="C639" s="51"/>
      <c r="D639" s="257"/>
      <c r="E639" s="102"/>
      <c r="F639" s="103"/>
      <c r="G639" s="103"/>
      <c r="H639" s="258"/>
      <c r="J639" s="103"/>
      <c r="L639" s="71"/>
      <c r="M639" s="106" t="str">
        <f>IF(ISBLANK(K639), "", VLOOKUP(C639&amp;" "&amp;D639, 'Info Tipo de Cambio y REM'!$A$24:$B$35, 2, FALSE))</f>
        <v/>
      </c>
      <c r="N639" s="107" t="str">
        <f t="shared" si="3"/>
        <v/>
      </c>
      <c r="O639" s="102" t="str">
        <f t="shared" si="2"/>
        <v/>
      </c>
    </row>
    <row r="640">
      <c r="A640" s="102"/>
      <c r="B640" s="43" t="str">
        <f>IF(A640="", "", IFERROR(VLOOKUP(A640, Clasificaciones!A:B, 2, FALSE), "DATO NO CARGADO"))</f>
        <v/>
      </c>
      <c r="C640" s="51"/>
      <c r="D640" s="257"/>
      <c r="E640" s="102"/>
      <c r="F640" s="103"/>
      <c r="G640" s="103"/>
      <c r="H640" s="258"/>
      <c r="J640" s="103"/>
      <c r="L640" s="71"/>
      <c r="M640" s="106" t="str">
        <f>IF(ISBLANK(K640), "", VLOOKUP(C640&amp;" "&amp;D640, 'Info Tipo de Cambio y REM'!$A$24:$B$35, 2, FALSE))</f>
        <v/>
      </c>
      <c r="N640" s="107" t="str">
        <f t="shared" si="3"/>
        <v/>
      </c>
      <c r="O640" s="102" t="str">
        <f t="shared" si="2"/>
        <v/>
      </c>
    </row>
    <row r="641">
      <c r="A641" s="102"/>
      <c r="B641" s="43" t="str">
        <f>IF(A641="", "", IFERROR(VLOOKUP(A641, Clasificaciones!A:B, 2, FALSE), "DATO NO CARGADO"))</f>
        <v/>
      </c>
      <c r="C641" s="51"/>
      <c r="D641" s="257"/>
      <c r="E641" s="102"/>
      <c r="F641" s="103"/>
      <c r="G641" s="103"/>
      <c r="H641" s="258"/>
      <c r="J641" s="103"/>
      <c r="L641" s="71"/>
      <c r="M641" s="106" t="str">
        <f>IF(ISBLANK(K641), "", VLOOKUP(C641&amp;" "&amp;D641, 'Info Tipo de Cambio y REM'!$A$24:$B$35, 2, FALSE))</f>
        <v/>
      </c>
      <c r="N641" s="107" t="str">
        <f t="shared" si="3"/>
        <v/>
      </c>
      <c r="O641" s="102" t="str">
        <f t="shared" si="2"/>
        <v/>
      </c>
    </row>
    <row r="642">
      <c r="A642" s="102"/>
      <c r="B642" s="43" t="str">
        <f>IF(A642="", "", IFERROR(VLOOKUP(A642, Clasificaciones!A:B, 2, FALSE), "DATO NO CARGADO"))</f>
        <v/>
      </c>
      <c r="C642" s="51"/>
      <c r="D642" s="257"/>
      <c r="E642" s="102"/>
      <c r="F642" s="103"/>
      <c r="G642" s="103"/>
      <c r="H642" s="258"/>
      <c r="J642" s="103"/>
      <c r="L642" s="71"/>
      <c r="M642" s="106" t="str">
        <f>IF(ISBLANK(K642), "", VLOOKUP(C642&amp;" "&amp;D642, 'Info Tipo de Cambio y REM'!$A$24:$B$35, 2, FALSE))</f>
        <v/>
      </c>
      <c r="N642" s="107" t="str">
        <f t="shared" si="3"/>
        <v/>
      </c>
      <c r="O642" s="102" t="str">
        <f t="shared" si="2"/>
        <v/>
      </c>
    </row>
    <row r="643">
      <c r="A643" s="102"/>
      <c r="B643" s="43" t="str">
        <f>IF(A643="", "", IFERROR(VLOOKUP(A643, Clasificaciones!A:B, 2, FALSE), "DATO NO CARGADO"))</f>
        <v/>
      </c>
      <c r="C643" s="51"/>
      <c r="D643" s="257"/>
      <c r="E643" s="102"/>
      <c r="F643" s="103"/>
      <c r="G643" s="103"/>
      <c r="H643" s="258"/>
      <c r="J643" s="103"/>
      <c r="L643" s="71"/>
      <c r="M643" s="106" t="str">
        <f>IF(ISBLANK(K643), "", VLOOKUP(C643&amp;" "&amp;D643, 'Info Tipo de Cambio y REM'!$A$24:$B$35, 2, FALSE))</f>
        <v/>
      </c>
      <c r="N643" s="107" t="str">
        <f t="shared" si="3"/>
        <v/>
      </c>
      <c r="O643" s="102" t="str">
        <f t="shared" si="2"/>
        <v/>
      </c>
    </row>
    <row r="644">
      <c r="A644" s="102"/>
      <c r="B644" s="43" t="str">
        <f>IF(A644="", "", IFERROR(VLOOKUP(A644, Clasificaciones!A:B, 2, FALSE), "DATO NO CARGADO"))</f>
        <v/>
      </c>
      <c r="C644" s="51"/>
      <c r="D644" s="257"/>
      <c r="E644" s="102"/>
      <c r="F644" s="103"/>
      <c r="G644" s="103"/>
      <c r="H644" s="258"/>
      <c r="J644" s="103"/>
      <c r="L644" s="71"/>
      <c r="M644" s="106" t="str">
        <f>IF(ISBLANK(K644), "", VLOOKUP(C644&amp;" "&amp;D644, 'Info Tipo de Cambio y REM'!$A$24:$B$35, 2, FALSE))</f>
        <v/>
      </c>
      <c r="N644" s="107" t="str">
        <f t="shared" si="3"/>
        <v/>
      </c>
      <c r="O644" s="102" t="str">
        <f t="shared" si="2"/>
        <v/>
      </c>
    </row>
    <row r="645">
      <c r="A645" s="102"/>
      <c r="B645" s="43" t="str">
        <f>IF(A645="", "", IFERROR(VLOOKUP(A645, Clasificaciones!A:B, 2, FALSE), "DATO NO CARGADO"))</f>
        <v/>
      </c>
      <c r="C645" s="51"/>
      <c r="D645" s="257"/>
      <c r="E645" s="102"/>
      <c r="F645" s="103"/>
      <c r="G645" s="103"/>
      <c r="H645" s="258"/>
      <c r="J645" s="103"/>
      <c r="L645" s="71"/>
      <c r="M645" s="106" t="str">
        <f>IF(ISBLANK(K645), "", VLOOKUP(C645&amp;" "&amp;D645, 'Info Tipo de Cambio y REM'!$A$24:$B$35, 2, FALSE))</f>
        <v/>
      </c>
      <c r="N645" s="107" t="str">
        <f t="shared" si="3"/>
        <v/>
      </c>
      <c r="O645" s="102" t="str">
        <f t="shared" si="2"/>
        <v/>
      </c>
    </row>
    <row r="646">
      <c r="A646" s="102"/>
      <c r="B646" s="43" t="str">
        <f>IF(A646="", "", IFERROR(VLOOKUP(A646, Clasificaciones!A:B, 2, FALSE), "DATO NO CARGADO"))</f>
        <v/>
      </c>
      <c r="C646" s="51"/>
      <c r="D646" s="257"/>
      <c r="E646" s="102"/>
      <c r="F646" s="103"/>
      <c r="G646" s="103"/>
      <c r="H646" s="258"/>
      <c r="J646" s="103"/>
      <c r="L646" s="71"/>
      <c r="M646" s="106" t="str">
        <f>IF(ISBLANK(K646), "", VLOOKUP(C646&amp;" "&amp;D646, 'Info Tipo de Cambio y REM'!$A$24:$B$35, 2, FALSE))</f>
        <v/>
      </c>
      <c r="N646" s="107" t="str">
        <f t="shared" si="3"/>
        <v/>
      </c>
      <c r="O646" s="102" t="str">
        <f t="shared" si="2"/>
        <v/>
      </c>
    </row>
    <row r="647">
      <c r="A647" s="102"/>
      <c r="B647" s="43" t="str">
        <f>IF(A647="", "", IFERROR(VLOOKUP(A647, Clasificaciones!A:B, 2, FALSE), "DATO NO CARGADO"))</f>
        <v/>
      </c>
      <c r="C647" s="51"/>
      <c r="D647" s="257"/>
      <c r="E647" s="102"/>
      <c r="F647" s="103"/>
      <c r="G647" s="103"/>
      <c r="H647" s="258"/>
      <c r="J647" s="103"/>
      <c r="L647" s="71"/>
      <c r="M647" s="106" t="str">
        <f>IF(ISBLANK(K647), "", VLOOKUP(C647&amp;" "&amp;D647, 'Info Tipo de Cambio y REM'!$A$24:$B$35, 2, FALSE))</f>
        <v/>
      </c>
      <c r="N647" s="107" t="str">
        <f t="shared" si="3"/>
        <v/>
      </c>
      <c r="O647" s="102" t="str">
        <f t="shared" si="2"/>
        <v/>
      </c>
    </row>
    <row r="648">
      <c r="A648" s="102"/>
      <c r="B648" s="43" t="str">
        <f>IF(A648="", "", IFERROR(VLOOKUP(A648, Clasificaciones!A:B, 2, FALSE), "DATO NO CARGADO"))</f>
        <v/>
      </c>
      <c r="C648" s="51"/>
      <c r="D648" s="257"/>
      <c r="E648" s="102"/>
      <c r="F648" s="103"/>
      <c r="G648" s="103"/>
      <c r="H648" s="258"/>
      <c r="J648" s="103"/>
      <c r="L648" s="71"/>
      <c r="M648" s="106" t="str">
        <f>IF(ISBLANK(K648), "", VLOOKUP(C648&amp;" "&amp;D648, 'Info Tipo de Cambio y REM'!$A$24:$B$35, 2, FALSE))</f>
        <v/>
      </c>
      <c r="N648" s="107" t="str">
        <f t="shared" si="3"/>
        <v/>
      </c>
      <c r="O648" s="102" t="str">
        <f t="shared" si="2"/>
        <v/>
      </c>
    </row>
    <row r="649">
      <c r="A649" s="102"/>
      <c r="B649" s="43" t="str">
        <f>IF(A649="", "", IFERROR(VLOOKUP(A649, Clasificaciones!A:B, 2, FALSE), "DATO NO CARGADO"))</f>
        <v/>
      </c>
      <c r="C649" s="51"/>
      <c r="D649" s="257"/>
      <c r="E649" s="102"/>
      <c r="F649" s="103"/>
      <c r="G649" s="103"/>
      <c r="H649" s="258"/>
      <c r="J649" s="103"/>
      <c r="L649" s="71"/>
      <c r="M649" s="106" t="str">
        <f>IF(ISBLANK(K649), "", VLOOKUP(C649&amp;" "&amp;D649, 'Info Tipo de Cambio y REM'!$A$24:$B$35, 2, FALSE))</f>
        <v/>
      </c>
      <c r="N649" s="107" t="str">
        <f t="shared" si="3"/>
        <v/>
      </c>
      <c r="O649" s="102" t="str">
        <f t="shared" si="2"/>
        <v/>
      </c>
    </row>
    <row r="650">
      <c r="A650" s="102"/>
      <c r="B650" s="43" t="str">
        <f>IF(A650="", "", IFERROR(VLOOKUP(A650, Clasificaciones!A:B, 2, FALSE), "DATO NO CARGADO"))</f>
        <v/>
      </c>
      <c r="C650" s="51"/>
      <c r="D650" s="257"/>
      <c r="E650" s="102"/>
      <c r="F650" s="103"/>
      <c r="G650" s="103"/>
      <c r="H650" s="258"/>
      <c r="J650" s="103"/>
      <c r="L650" s="71"/>
      <c r="M650" s="106" t="str">
        <f>IF(ISBLANK(K650), "", VLOOKUP(C650&amp;" "&amp;D650, 'Info Tipo de Cambio y REM'!$A$24:$B$35, 2, FALSE))</f>
        <v/>
      </c>
      <c r="N650" s="107" t="str">
        <f t="shared" si="3"/>
        <v/>
      </c>
      <c r="O650" s="102" t="str">
        <f t="shared" si="2"/>
        <v/>
      </c>
    </row>
    <row r="651">
      <c r="A651" s="102"/>
      <c r="B651" s="43" t="str">
        <f>IF(A651="", "", IFERROR(VLOOKUP(A651, Clasificaciones!A:B, 2, FALSE), "DATO NO CARGADO"))</f>
        <v/>
      </c>
      <c r="C651" s="51"/>
      <c r="D651" s="257"/>
      <c r="E651" s="102"/>
      <c r="F651" s="103"/>
      <c r="G651" s="103"/>
      <c r="H651" s="258"/>
      <c r="J651" s="103"/>
      <c r="L651" s="71"/>
      <c r="M651" s="106" t="str">
        <f>IF(ISBLANK(K651), "", VLOOKUP(C651&amp;" "&amp;D651, 'Info Tipo de Cambio y REM'!$A$24:$B$35, 2, FALSE))</f>
        <v/>
      </c>
      <c r="N651" s="107" t="str">
        <f t="shared" si="3"/>
        <v/>
      </c>
      <c r="O651" s="102" t="str">
        <f t="shared" si="2"/>
        <v/>
      </c>
    </row>
    <row r="652">
      <c r="A652" s="102"/>
      <c r="B652" s="43" t="str">
        <f>IF(A652="", "", IFERROR(VLOOKUP(A652, Clasificaciones!A:B, 2, FALSE), "DATO NO CARGADO"))</f>
        <v/>
      </c>
      <c r="C652" s="51"/>
      <c r="D652" s="257"/>
      <c r="E652" s="102"/>
      <c r="F652" s="103"/>
      <c r="G652" s="103"/>
      <c r="H652" s="258"/>
      <c r="J652" s="103"/>
      <c r="L652" s="71"/>
      <c r="M652" s="106" t="str">
        <f>IF(ISBLANK(K652), "", VLOOKUP(C652&amp;" "&amp;D652, 'Info Tipo de Cambio y REM'!$A$24:$B$35, 2, FALSE))</f>
        <v/>
      </c>
      <c r="N652" s="107" t="str">
        <f t="shared" si="3"/>
        <v/>
      </c>
      <c r="O652" s="102" t="str">
        <f t="shared" si="2"/>
        <v/>
      </c>
    </row>
    <row r="653">
      <c r="A653" s="102"/>
      <c r="B653" s="43" t="str">
        <f>IF(A653="", "", IFERROR(VLOOKUP(A653, Clasificaciones!A:B, 2, FALSE), "DATO NO CARGADO"))</f>
        <v/>
      </c>
      <c r="C653" s="51"/>
      <c r="D653" s="257"/>
      <c r="E653" s="102"/>
      <c r="F653" s="103"/>
      <c r="G653" s="103"/>
      <c r="H653" s="258"/>
      <c r="J653" s="103"/>
      <c r="L653" s="71"/>
      <c r="M653" s="106" t="str">
        <f>IF(ISBLANK(K653), "", VLOOKUP(C653&amp;" "&amp;D653, 'Info Tipo de Cambio y REM'!$A$24:$B$35, 2, FALSE))</f>
        <v/>
      </c>
      <c r="N653" s="107" t="str">
        <f t="shared" si="3"/>
        <v/>
      </c>
      <c r="O653" s="102" t="str">
        <f t="shared" si="2"/>
        <v/>
      </c>
    </row>
    <row r="654">
      <c r="A654" s="102"/>
      <c r="B654" s="43" t="str">
        <f>IF(A654="", "", IFERROR(VLOOKUP(A654, Clasificaciones!A:B, 2, FALSE), "DATO NO CARGADO"))</f>
        <v/>
      </c>
      <c r="C654" s="51"/>
      <c r="D654" s="257"/>
      <c r="E654" s="102"/>
      <c r="F654" s="103"/>
      <c r="G654" s="103"/>
      <c r="H654" s="258"/>
      <c r="J654" s="103"/>
      <c r="L654" s="71"/>
      <c r="M654" s="106" t="str">
        <f>IF(ISBLANK(K654), "", VLOOKUP(C654&amp;" "&amp;D654, 'Info Tipo de Cambio y REM'!$A$24:$B$35, 2, FALSE))</f>
        <v/>
      </c>
      <c r="N654" s="107" t="str">
        <f t="shared" si="3"/>
        <v/>
      </c>
      <c r="O654" s="102" t="str">
        <f t="shared" si="2"/>
        <v/>
      </c>
    </row>
    <row r="655">
      <c r="A655" s="102"/>
      <c r="B655" s="43" t="str">
        <f>IF(A655="", "", IFERROR(VLOOKUP(A655, Clasificaciones!A:B, 2, FALSE), "DATO NO CARGADO"))</f>
        <v/>
      </c>
      <c r="C655" s="51"/>
      <c r="D655" s="257"/>
      <c r="E655" s="102"/>
      <c r="F655" s="103"/>
      <c r="G655" s="103"/>
      <c r="H655" s="258"/>
      <c r="J655" s="103"/>
      <c r="L655" s="71"/>
      <c r="M655" s="106" t="str">
        <f>IF(ISBLANK(K655), "", VLOOKUP(C655&amp;" "&amp;D655, 'Info Tipo de Cambio y REM'!$A$24:$B$35, 2, FALSE))</f>
        <v/>
      </c>
      <c r="N655" s="107" t="str">
        <f t="shared" si="3"/>
        <v/>
      </c>
      <c r="O655" s="102" t="str">
        <f t="shared" si="2"/>
        <v/>
      </c>
    </row>
    <row r="656">
      <c r="A656" s="102"/>
      <c r="B656" s="43" t="str">
        <f>IF(A656="", "", IFERROR(VLOOKUP(A656, Clasificaciones!A:B, 2, FALSE), "DATO NO CARGADO"))</f>
        <v/>
      </c>
      <c r="C656" s="51"/>
      <c r="D656" s="257"/>
      <c r="E656" s="102"/>
      <c r="F656" s="103"/>
      <c r="G656" s="103"/>
      <c r="H656" s="258"/>
      <c r="J656" s="103"/>
      <c r="L656" s="71"/>
      <c r="M656" s="106" t="str">
        <f>IF(ISBLANK(K656), "", VLOOKUP(C656&amp;" "&amp;D656, 'Info Tipo de Cambio y REM'!$A$24:$B$35, 2, FALSE))</f>
        <v/>
      </c>
      <c r="N656" s="107" t="str">
        <f t="shared" si="3"/>
        <v/>
      </c>
      <c r="O656" s="102" t="str">
        <f t="shared" si="2"/>
        <v/>
      </c>
    </row>
    <row r="657">
      <c r="A657" s="102"/>
      <c r="B657" s="43" t="str">
        <f>IF(A657="", "", IFERROR(VLOOKUP(A657, Clasificaciones!A:B, 2, FALSE), "DATO NO CARGADO"))</f>
        <v/>
      </c>
      <c r="C657" s="51"/>
      <c r="D657" s="257"/>
      <c r="E657" s="102"/>
      <c r="F657" s="103"/>
      <c r="G657" s="103"/>
      <c r="H657" s="258"/>
      <c r="J657" s="103"/>
      <c r="L657" s="71"/>
      <c r="M657" s="106" t="str">
        <f>IF(ISBLANK(K657), "", VLOOKUP(C657&amp;" "&amp;D657, 'Info Tipo de Cambio y REM'!$A$24:$B$35, 2, FALSE))</f>
        <v/>
      </c>
      <c r="N657" s="107" t="str">
        <f t="shared" si="3"/>
        <v/>
      </c>
      <c r="O657" s="102" t="str">
        <f t="shared" si="2"/>
        <v/>
      </c>
    </row>
    <row r="658">
      <c r="A658" s="102"/>
      <c r="B658" s="43" t="str">
        <f>IF(A658="", "", IFERROR(VLOOKUP(A658, Clasificaciones!A:B, 2, FALSE), "DATO NO CARGADO"))</f>
        <v/>
      </c>
      <c r="C658" s="51"/>
      <c r="D658" s="257"/>
      <c r="E658" s="102"/>
      <c r="F658" s="103"/>
      <c r="G658" s="103"/>
      <c r="H658" s="258"/>
      <c r="J658" s="103"/>
      <c r="L658" s="71"/>
      <c r="M658" s="106" t="str">
        <f>IF(ISBLANK(K658), "", VLOOKUP(C658&amp;" "&amp;D658, 'Info Tipo de Cambio y REM'!$A$24:$B$35, 2, FALSE))</f>
        <v/>
      </c>
      <c r="N658" s="107" t="str">
        <f t="shared" si="3"/>
        <v/>
      </c>
      <c r="O658" s="102" t="str">
        <f t="shared" si="2"/>
        <v/>
      </c>
    </row>
    <row r="659">
      <c r="A659" s="102"/>
      <c r="B659" s="43" t="str">
        <f>IF(A659="", "", IFERROR(VLOOKUP(A659, Clasificaciones!A:B, 2, FALSE), "DATO NO CARGADO"))</f>
        <v/>
      </c>
      <c r="C659" s="51"/>
      <c r="D659" s="257"/>
      <c r="E659" s="102"/>
      <c r="F659" s="103"/>
      <c r="G659" s="103"/>
      <c r="H659" s="258"/>
      <c r="J659" s="103"/>
      <c r="L659" s="71"/>
      <c r="M659" s="106" t="str">
        <f>IF(ISBLANK(K659), "", VLOOKUP(C659&amp;" "&amp;D659, 'Info Tipo de Cambio y REM'!$A$24:$B$35, 2, FALSE))</f>
        <v/>
      </c>
      <c r="N659" s="107" t="str">
        <f t="shared" si="3"/>
        <v/>
      </c>
      <c r="O659" s="102" t="str">
        <f t="shared" si="2"/>
        <v/>
      </c>
    </row>
    <row r="660">
      <c r="A660" s="102"/>
      <c r="B660" s="43" t="str">
        <f>IF(A660="", "", IFERROR(VLOOKUP(A660, Clasificaciones!A:B, 2, FALSE), "DATO NO CARGADO"))</f>
        <v/>
      </c>
      <c r="C660" s="51"/>
      <c r="D660" s="257"/>
      <c r="E660" s="102"/>
      <c r="F660" s="103"/>
      <c r="G660" s="103"/>
      <c r="H660" s="258"/>
      <c r="J660" s="103"/>
      <c r="L660" s="71"/>
      <c r="M660" s="106" t="str">
        <f>IF(ISBLANK(K660), "", VLOOKUP(C660&amp;" "&amp;D660, 'Info Tipo de Cambio y REM'!$A$24:$B$35, 2, FALSE))</f>
        <v/>
      </c>
      <c r="N660" s="107" t="str">
        <f t="shared" si="3"/>
        <v/>
      </c>
      <c r="O660" s="102" t="str">
        <f t="shared" si="2"/>
        <v/>
      </c>
    </row>
    <row r="661">
      <c r="A661" s="102"/>
      <c r="B661" s="43" t="str">
        <f>IF(A661="", "", IFERROR(VLOOKUP(A661, Clasificaciones!A:B, 2, FALSE), "DATO NO CARGADO"))</f>
        <v/>
      </c>
      <c r="C661" s="51"/>
      <c r="D661" s="257"/>
      <c r="E661" s="102"/>
      <c r="F661" s="103"/>
      <c r="G661" s="103"/>
      <c r="H661" s="258"/>
      <c r="J661" s="103"/>
      <c r="L661" s="71"/>
      <c r="M661" s="106" t="str">
        <f>IF(ISBLANK(K661), "", VLOOKUP(C661&amp;" "&amp;D661, 'Info Tipo de Cambio y REM'!$A$24:$B$35, 2, FALSE))</f>
        <v/>
      </c>
      <c r="N661" s="107" t="str">
        <f t="shared" si="3"/>
        <v/>
      </c>
      <c r="O661" s="102" t="str">
        <f t="shared" si="2"/>
        <v/>
      </c>
    </row>
    <row r="662">
      <c r="A662" s="102"/>
      <c r="B662" s="43" t="str">
        <f>IF(A662="", "", IFERROR(VLOOKUP(A662, Clasificaciones!A:B, 2, FALSE), "DATO NO CARGADO"))</f>
        <v/>
      </c>
      <c r="C662" s="51"/>
      <c r="D662" s="257"/>
      <c r="E662" s="102"/>
      <c r="F662" s="103"/>
      <c r="G662" s="103"/>
      <c r="H662" s="258"/>
      <c r="J662" s="103"/>
      <c r="L662" s="71"/>
      <c r="M662" s="106" t="str">
        <f>IF(ISBLANK(K662), "", VLOOKUP(C662&amp;" "&amp;D662, 'Info Tipo de Cambio y REM'!$A$24:$B$35, 2, FALSE))</f>
        <v/>
      </c>
      <c r="N662" s="107" t="str">
        <f t="shared" si="3"/>
        <v/>
      </c>
      <c r="O662" s="102" t="str">
        <f t="shared" si="2"/>
        <v/>
      </c>
    </row>
    <row r="663">
      <c r="A663" s="102"/>
      <c r="B663" s="43" t="str">
        <f>IF(A663="", "", IFERROR(VLOOKUP(A663, Clasificaciones!A:B, 2, FALSE), "DATO NO CARGADO"))</f>
        <v/>
      </c>
      <c r="C663" s="51"/>
      <c r="D663" s="257"/>
      <c r="E663" s="102"/>
      <c r="F663" s="103"/>
      <c r="G663" s="103"/>
      <c r="H663" s="258"/>
      <c r="J663" s="103"/>
      <c r="L663" s="71"/>
      <c r="M663" s="106" t="str">
        <f>IF(ISBLANK(K663), "", VLOOKUP(C663&amp;" "&amp;D663, 'Info Tipo de Cambio y REM'!$A$24:$B$35, 2, FALSE))</f>
        <v/>
      </c>
      <c r="N663" s="107" t="str">
        <f t="shared" si="3"/>
        <v/>
      </c>
      <c r="O663" s="102" t="str">
        <f t="shared" si="2"/>
        <v/>
      </c>
    </row>
    <row r="664">
      <c r="A664" s="102"/>
      <c r="B664" s="43" t="str">
        <f>IF(A664="", "", IFERROR(VLOOKUP(A664, Clasificaciones!A:B, 2, FALSE), "DATO NO CARGADO"))</f>
        <v/>
      </c>
      <c r="C664" s="51"/>
      <c r="D664" s="257"/>
      <c r="E664" s="102"/>
      <c r="F664" s="103"/>
      <c r="G664" s="103"/>
      <c r="H664" s="258"/>
      <c r="J664" s="103"/>
      <c r="L664" s="71"/>
      <c r="M664" s="106" t="str">
        <f>IF(ISBLANK(K664), "", VLOOKUP(C664&amp;" "&amp;D664, 'Info Tipo de Cambio y REM'!$A$24:$B$35, 2, FALSE))</f>
        <v/>
      </c>
      <c r="N664" s="107" t="str">
        <f t="shared" si="3"/>
        <v/>
      </c>
      <c r="O664" s="102" t="str">
        <f t="shared" si="2"/>
        <v/>
      </c>
    </row>
    <row r="665">
      <c r="A665" s="102"/>
      <c r="B665" s="43" t="str">
        <f>IF(A665="", "", IFERROR(VLOOKUP(A665, Clasificaciones!A:B, 2, FALSE), "DATO NO CARGADO"))</f>
        <v/>
      </c>
      <c r="C665" s="51"/>
      <c r="D665" s="257"/>
      <c r="E665" s="102"/>
      <c r="F665" s="103"/>
      <c r="G665" s="103"/>
      <c r="H665" s="258"/>
      <c r="J665" s="103"/>
      <c r="L665" s="71"/>
      <c r="M665" s="106" t="str">
        <f>IF(ISBLANK(K665), "", VLOOKUP(C665&amp;" "&amp;D665, 'Info Tipo de Cambio y REM'!$A$24:$B$35, 2, FALSE))</f>
        <v/>
      </c>
      <c r="N665" s="107" t="str">
        <f t="shared" si="3"/>
        <v/>
      </c>
      <c r="O665" s="102" t="str">
        <f t="shared" si="2"/>
        <v/>
      </c>
    </row>
    <row r="666">
      <c r="A666" s="102"/>
      <c r="B666" s="43" t="str">
        <f>IF(A666="", "", IFERROR(VLOOKUP(A666, Clasificaciones!A:B, 2, FALSE), "DATO NO CARGADO"))</f>
        <v/>
      </c>
      <c r="C666" s="51"/>
      <c r="D666" s="257"/>
      <c r="E666" s="102"/>
      <c r="F666" s="103"/>
      <c r="G666" s="103"/>
      <c r="H666" s="258"/>
      <c r="J666" s="103"/>
      <c r="L666" s="71"/>
      <c r="M666" s="106" t="str">
        <f>IF(ISBLANK(K666), "", VLOOKUP(C666&amp;" "&amp;D666, 'Info Tipo de Cambio y REM'!$A$24:$B$35, 2, FALSE))</f>
        <v/>
      </c>
      <c r="N666" s="107" t="str">
        <f t="shared" si="3"/>
        <v/>
      </c>
      <c r="O666" s="102" t="str">
        <f t="shared" si="2"/>
        <v/>
      </c>
    </row>
    <row r="667">
      <c r="A667" s="102"/>
      <c r="B667" s="43" t="str">
        <f>IF(A667="", "", IFERROR(VLOOKUP(A667, Clasificaciones!A:B, 2, FALSE), "DATO NO CARGADO"))</f>
        <v/>
      </c>
      <c r="C667" s="51"/>
      <c r="D667" s="257"/>
      <c r="E667" s="102"/>
      <c r="F667" s="103"/>
      <c r="G667" s="103"/>
      <c r="H667" s="258"/>
      <c r="J667" s="103"/>
      <c r="L667" s="71"/>
      <c r="M667" s="106" t="str">
        <f>IF(ISBLANK(K667), "", VLOOKUP(C667&amp;" "&amp;D667, 'Info Tipo de Cambio y REM'!$A$24:$B$35, 2, FALSE))</f>
        <v/>
      </c>
      <c r="N667" s="107" t="str">
        <f t="shared" si="3"/>
        <v/>
      </c>
      <c r="O667" s="102" t="str">
        <f t="shared" si="2"/>
        <v/>
      </c>
    </row>
    <row r="668">
      <c r="A668" s="102"/>
      <c r="B668" s="43" t="str">
        <f>IF(A668="", "", IFERROR(VLOOKUP(A668, Clasificaciones!A:B, 2, FALSE), "DATO NO CARGADO"))</f>
        <v/>
      </c>
      <c r="C668" s="51"/>
      <c r="D668" s="257"/>
      <c r="E668" s="102"/>
      <c r="F668" s="103"/>
      <c r="G668" s="103"/>
      <c r="H668" s="258"/>
      <c r="J668" s="103"/>
      <c r="L668" s="71"/>
      <c r="M668" s="106" t="str">
        <f>IF(ISBLANK(K668), "", VLOOKUP(C668&amp;" "&amp;D668, 'Info Tipo de Cambio y REM'!$A$24:$B$35, 2, FALSE))</f>
        <v/>
      </c>
      <c r="N668" s="107" t="str">
        <f t="shared" si="3"/>
        <v/>
      </c>
      <c r="O668" s="102" t="str">
        <f t="shared" si="2"/>
        <v/>
      </c>
    </row>
    <row r="669">
      <c r="A669" s="102"/>
      <c r="B669" s="43" t="str">
        <f>IF(A669="", "", IFERROR(VLOOKUP(A669, Clasificaciones!A:B, 2, FALSE), "DATO NO CARGADO"))</f>
        <v/>
      </c>
      <c r="C669" s="51"/>
      <c r="D669" s="257"/>
      <c r="E669" s="102"/>
      <c r="F669" s="103"/>
      <c r="G669" s="103"/>
      <c r="H669" s="258"/>
      <c r="J669" s="103"/>
      <c r="L669" s="71"/>
      <c r="M669" s="106" t="str">
        <f>IF(ISBLANK(K669), "", VLOOKUP(C669&amp;" "&amp;D669, 'Info Tipo de Cambio y REM'!$A$24:$B$35, 2, FALSE))</f>
        <v/>
      </c>
      <c r="N669" s="107" t="str">
        <f t="shared" si="3"/>
        <v/>
      </c>
      <c r="O669" s="102" t="str">
        <f t="shared" si="2"/>
        <v/>
      </c>
    </row>
    <row r="670">
      <c r="A670" s="102"/>
      <c r="B670" s="43" t="str">
        <f>IF(A670="", "", IFERROR(VLOOKUP(A670, Clasificaciones!A:B, 2, FALSE), "DATO NO CARGADO"))</f>
        <v/>
      </c>
      <c r="C670" s="51"/>
      <c r="D670" s="257"/>
      <c r="E670" s="102"/>
      <c r="F670" s="103"/>
      <c r="G670" s="103"/>
      <c r="H670" s="258"/>
      <c r="J670" s="103"/>
      <c r="L670" s="71"/>
      <c r="M670" s="106" t="str">
        <f>IF(ISBLANK(K670), "", VLOOKUP(C670&amp;" "&amp;D670, 'Info Tipo de Cambio y REM'!$A$24:$B$35, 2, FALSE))</f>
        <v/>
      </c>
      <c r="N670" s="107" t="str">
        <f t="shared" si="3"/>
        <v/>
      </c>
      <c r="O670" s="102" t="str">
        <f t="shared" si="2"/>
        <v/>
      </c>
    </row>
    <row r="671">
      <c r="A671" s="102"/>
      <c r="B671" s="43" t="str">
        <f>IF(A671="", "", IFERROR(VLOOKUP(A671, Clasificaciones!A:B, 2, FALSE), "DATO NO CARGADO"))</f>
        <v/>
      </c>
      <c r="C671" s="51"/>
      <c r="D671" s="257"/>
      <c r="E671" s="102"/>
      <c r="F671" s="103"/>
      <c r="G671" s="103"/>
      <c r="H671" s="258"/>
      <c r="J671" s="103"/>
      <c r="L671" s="71"/>
      <c r="M671" s="106" t="str">
        <f>IF(ISBLANK(K671), "", VLOOKUP(C671&amp;" "&amp;D671, 'Info Tipo de Cambio y REM'!$A$24:$B$35, 2, FALSE))</f>
        <v/>
      </c>
      <c r="N671" s="107" t="str">
        <f t="shared" si="3"/>
        <v/>
      </c>
      <c r="O671" s="102" t="str">
        <f t="shared" si="2"/>
        <v/>
      </c>
    </row>
    <row r="672">
      <c r="A672" s="102"/>
      <c r="B672" s="43" t="str">
        <f>IF(A672="", "", IFERROR(VLOOKUP(A672, Clasificaciones!A:B, 2, FALSE), "DATO NO CARGADO"))</f>
        <v/>
      </c>
      <c r="C672" s="51"/>
      <c r="D672" s="257"/>
      <c r="E672" s="102"/>
      <c r="F672" s="103"/>
      <c r="G672" s="103"/>
      <c r="H672" s="258"/>
      <c r="J672" s="103"/>
      <c r="L672" s="71"/>
      <c r="M672" s="106" t="str">
        <f>IF(ISBLANK(K672), "", VLOOKUP(C672&amp;" "&amp;D672, 'Info Tipo de Cambio y REM'!$A$24:$B$35, 2, FALSE))</f>
        <v/>
      </c>
      <c r="N672" s="107" t="str">
        <f t="shared" si="3"/>
        <v/>
      </c>
      <c r="O672" s="102" t="str">
        <f t="shared" si="2"/>
        <v/>
      </c>
    </row>
    <row r="673">
      <c r="A673" s="102"/>
      <c r="B673" s="43" t="str">
        <f>IF(A673="", "", IFERROR(VLOOKUP(A673, Clasificaciones!A:B, 2, FALSE), "DATO NO CARGADO"))</f>
        <v/>
      </c>
      <c r="C673" s="51"/>
      <c r="D673" s="257"/>
      <c r="E673" s="102"/>
      <c r="F673" s="103"/>
      <c r="G673" s="103"/>
      <c r="H673" s="258"/>
      <c r="J673" s="103"/>
      <c r="L673" s="71"/>
      <c r="M673" s="106" t="str">
        <f>IF(ISBLANK(K673), "", VLOOKUP(C673&amp;" "&amp;D673, 'Info Tipo de Cambio y REM'!$A$24:$B$35, 2, FALSE))</f>
        <v/>
      </c>
      <c r="N673" s="107" t="str">
        <f t="shared" si="3"/>
        <v/>
      </c>
      <c r="O673" s="102" t="str">
        <f t="shared" si="2"/>
        <v/>
      </c>
    </row>
    <row r="674">
      <c r="A674" s="102"/>
      <c r="B674" s="43" t="str">
        <f>IF(A674="", "", IFERROR(VLOOKUP(A674, Clasificaciones!A:B, 2, FALSE), "DATO NO CARGADO"))</f>
        <v/>
      </c>
      <c r="C674" s="51"/>
      <c r="D674" s="257"/>
      <c r="E674" s="102"/>
      <c r="F674" s="103"/>
      <c r="G674" s="103"/>
      <c r="H674" s="258"/>
      <c r="J674" s="103"/>
      <c r="L674" s="71"/>
      <c r="M674" s="106" t="str">
        <f>IF(ISBLANK(K674), "", VLOOKUP(C674&amp;" "&amp;D674, 'Info Tipo de Cambio y REM'!$A$24:$B$35, 2, FALSE))</f>
        <v/>
      </c>
      <c r="N674" s="107" t="str">
        <f t="shared" si="3"/>
        <v/>
      </c>
      <c r="O674" s="102" t="str">
        <f t="shared" si="2"/>
        <v/>
      </c>
    </row>
    <row r="675">
      <c r="A675" s="102"/>
      <c r="B675" s="43" t="str">
        <f>IF(A675="", "", IFERROR(VLOOKUP(A675, Clasificaciones!A:B, 2, FALSE), "DATO NO CARGADO"))</f>
        <v/>
      </c>
      <c r="C675" s="51"/>
      <c r="D675" s="257"/>
      <c r="E675" s="102"/>
      <c r="F675" s="103"/>
      <c r="G675" s="103"/>
      <c r="H675" s="258"/>
      <c r="J675" s="103"/>
      <c r="L675" s="71"/>
      <c r="M675" s="106" t="str">
        <f>IF(ISBLANK(K675), "", VLOOKUP(C675&amp;" "&amp;D675, 'Info Tipo de Cambio y REM'!$A$24:$B$35, 2, FALSE))</f>
        <v/>
      </c>
      <c r="N675" s="107" t="str">
        <f t="shared" si="3"/>
        <v/>
      </c>
      <c r="O675" s="102" t="str">
        <f t="shared" si="2"/>
        <v/>
      </c>
    </row>
    <row r="676">
      <c r="A676" s="102"/>
      <c r="B676" s="43" t="str">
        <f>IF(A676="", "", IFERROR(VLOOKUP(A676, Clasificaciones!A:B, 2, FALSE), "DATO NO CARGADO"))</f>
        <v/>
      </c>
      <c r="C676" s="51"/>
      <c r="D676" s="257"/>
      <c r="E676" s="102"/>
      <c r="F676" s="103"/>
      <c r="G676" s="103"/>
      <c r="H676" s="258"/>
      <c r="J676" s="103"/>
      <c r="L676" s="71"/>
      <c r="M676" s="106" t="str">
        <f>IF(ISBLANK(K676), "", VLOOKUP(C676&amp;" "&amp;D676, 'Info Tipo de Cambio y REM'!$A$24:$B$35, 2, FALSE))</f>
        <v/>
      </c>
      <c r="N676" s="107" t="str">
        <f t="shared" si="3"/>
        <v/>
      </c>
      <c r="O676" s="102" t="str">
        <f t="shared" si="2"/>
        <v/>
      </c>
    </row>
    <row r="677">
      <c r="A677" s="102"/>
      <c r="B677" s="43" t="str">
        <f>IF(A677="", "", IFERROR(VLOOKUP(A677, Clasificaciones!A:B, 2, FALSE), "DATO NO CARGADO"))</f>
        <v/>
      </c>
      <c r="C677" s="51"/>
      <c r="D677" s="257"/>
      <c r="E677" s="102"/>
      <c r="F677" s="103"/>
      <c r="G677" s="103"/>
      <c r="H677" s="258"/>
      <c r="J677" s="103"/>
      <c r="L677" s="71"/>
      <c r="M677" s="106" t="str">
        <f>IF(ISBLANK(K677), "", VLOOKUP(C677&amp;" "&amp;D677, 'Info Tipo de Cambio y REM'!$A$24:$B$35, 2, FALSE))</f>
        <v/>
      </c>
      <c r="N677" s="107" t="str">
        <f t="shared" si="3"/>
        <v/>
      </c>
      <c r="O677" s="102" t="str">
        <f t="shared" si="2"/>
        <v/>
      </c>
    </row>
    <row r="678">
      <c r="A678" s="102"/>
      <c r="B678" s="43" t="str">
        <f>IF(A678="", "", IFERROR(VLOOKUP(A678, Clasificaciones!A:B, 2, FALSE), "DATO NO CARGADO"))</f>
        <v/>
      </c>
      <c r="C678" s="51"/>
      <c r="D678" s="257"/>
      <c r="E678" s="102"/>
      <c r="F678" s="103"/>
      <c r="G678" s="103"/>
      <c r="H678" s="258"/>
      <c r="J678" s="103"/>
      <c r="L678" s="71"/>
      <c r="M678" s="106" t="str">
        <f>IF(ISBLANK(K678), "", VLOOKUP(C678&amp;" "&amp;D678, 'Info Tipo de Cambio y REM'!$A$24:$B$35, 2, FALSE))</f>
        <v/>
      </c>
      <c r="N678" s="107" t="str">
        <f t="shared" si="3"/>
        <v/>
      </c>
      <c r="O678" s="102" t="str">
        <f t="shared" si="2"/>
        <v/>
      </c>
    </row>
    <row r="679">
      <c r="A679" s="102"/>
      <c r="B679" s="43" t="str">
        <f>IF(A679="", "", IFERROR(VLOOKUP(A679, Clasificaciones!A:B, 2, FALSE), "DATO NO CARGADO"))</f>
        <v/>
      </c>
      <c r="C679" s="51"/>
      <c r="D679" s="257"/>
      <c r="E679" s="102"/>
      <c r="F679" s="103"/>
      <c r="G679" s="103"/>
      <c r="H679" s="258"/>
      <c r="J679" s="103"/>
      <c r="L679" s="71"/>
      <c r="M679" s="106" t="str">
        <f>IF(ISBLANK(K679), "", VLOOKUP(C679&amp;" "&amp;D679, 'Info Tipo de Cambio y REM'!$A$24:$B$35, 2, FALSE))</f>
        <v/>
      </c>
      <c r="N679" s="107" t="str">
        <f t="shared" si="3"/>
        <v/>
      </c>
      <c r="O679" s="102" t="str">
        <f t="shared" si="2"/>
        <v/>
      </c>
    </row>
    <row r="680">
      <c r="A680" s="102"/>
      <c r="B680" s="43" t="str">
        <f>IF(A680="", "", IFERROR(VLOOKUP(A680, Clasificaciones!A:B, 2, FALSE), "DATO NO CARGADO"))</f>
        <v/>
      </c>
      <c r="C680" s="51"/>
      <c r="D680" s="257"/>
      <c r="E680" s="102"/>
      <c r="F680" s="103"/>
      <c r="G680" s="103"/>
      <c r="H680" s="258"/>
      <c r="J680" s="103"/>
      <c r="L680" s="71"/>
      <c r="M680" s="106" t="str">
        <f>IF(ISBLANK(K680), "", VLOOKUP(C680&amp;" "&amp;D680, 'Info Tipo de Cambio y REM'!$A$24:$B$35, 2, FALSE))</f>
        <v/>
      </c>
      <c r="N680" s="107" t="str">
        <f t="shared" si="3"/>
        <v/>
      </c>
      <c r="O680" s="102" t="str">
        <f t="shared" si="2"/>
        <v/>
      </c>
    </row>
    <row r="681">
      <c r="A681" s="102"/>
      <c r="B681" s="43" t="str">
        <f>IF(A681="", "", IFERROR(VLOOKUP(A681, Clasificaciones!A:B, 2, FALSE), "DATO NO CARGADO"))</f>
        <v/>
      </c>
      <c r="C681" s="51"/>
      <c r="D681" s="257"/>
      <c r="E681" s="102"/>
      <c r="F681" s="103"/>
      <c r="G681" s="103"/>
      <c r="H681" s="258"/>
      <c r="J681" s="103"/>
      <c r="L681" s="71"/>
      <c r="M681" s="106" t="str">
        <f>IF(ISBLANK(K681), "", VLOOKUP(C681&amp;" "&amp;D681, 'Info Tipo de Cambio y REM'!$A$24:$B$35, 2, FALSE))</f>
        <v/>
      </c>
      <c r="N681" s="107" t="str">
        <f t="shared" si="3"/>
        <v/>
      </c>
      <c r="O681" s="102" t="str">
        <f t="shared" si="2"/>
        <v/>
      </c>
    </row>
    <row r="682">
      <c r="A682" s="102"/>
      <c r="B682" s="43" t="str">
        <f>IF(A682="", "", IFERROR(VLOOKUP(A682, Clasificaciones!A:B, 2, FALSE), "DATO NO CARGADO"))</f>
        <v/>
      </c>
      <c r="C682" s="51"/>
      <c r="D682" s="257"/>
      <c r="E682" s="102"/>
      <c r="F682" s="103"/>
      <c r="G682" s="103"/>
      <c r="H682" s="258"/>
      <c r="J682" s="103"/>
      <c r="L682" s="71"/>
      <c r="M682" s="106" t="str">
        <f>IF(ISBLANK(K682), "", VLOOKUP(C682&amp;" "&amp;D682, 'Info Tipo de Cambio y REM'!$A$24:$B$35, 2, FALSE))</f>
        <v/>
      </c>
      <c r="N682" s="107" t="str">
        <f t="shared" si="3"/>
        <v/>
      </c>
      <c r="O682" s="102" t="str">
        <f t="shared" si="2"/>
        <v/>
      </c>
    </row>
    <row r="683">
      <c r="A683" s="102"/>
      <c r="B683" s="43" t="str">
        <f>IF(A683="", "", IFERROR(VLOOKUP(A683, Clasificaciones!A:B, 2, FALSE), "DATO NO CARGADO"))</f>
        <v/>
      </c>
      <c r="C683" s="51"/>
      <c r="D683" s="257"/>
      <c r="E683" s="102"/>
      <c r="F683" s="103"/>
      <c r="G683" s="103"/>
      <c r="H683" s="258"/>
      <c r="J683" s="103"/>
      <c r="L683" s="71"/>
      <c r="M683" s="106" t="str">
        <f>IF(ISBLANK(K683), "", VLOOKUP(C683&amp;" "&amp;D683, 'Info Tipo de Cambio y REM'!$A$24:$B$35, 2, FALSE))</f>
        <v/>
      </c>
      <c r="N683" s="107" t="str">
        <f t="shared" si="3"/>
        <v/>
      </c>
      <c r="O683" s="102" t="str">
        <f t="shared" si="2"/>
        <v/>
      </c>
    </row>
    <row r="684">
      <c r="A684" s="102"/>
      <c r="B684" s="43" t="str">
        <f>IF(A684="", "", IFERROR(VLOOKUP(A684, Clasificaciones!A:B, 2, FALSE), "DATO NO CARGADO"))</f>
        <v/>
      </c>
      <c r="C684" s="51"/>
      <c r="D684" s="257"/>
      <c r="E684" s="102"/>
      <c r="F684" s="103"/>
      <c r="G684" s="103"/>
      <c r="H684" s="258"/>
      <c r="J684" s="103"/>
      <c r="L684" s="71"/>
      <c r="M684" s="106" t="str">
        <f>IF(ISBLANK(K684), "", VLOOKUP(C684&amp;" "&amp;D684, 'Info Tipo de Cambio y REM'!$A$24:$B$35, 2, FALSE))</f>
        <v/>
      </c>
      <c r="N684" s="107" t="str">
        <f t="shared" si="3"/>
        <v/>
      </c>
      <c r="O684" s="102" t="str">
        <f t="shared" si="2"/>
        <v/>
      </c>
    </row>
    <row r="685">
      <c r="A685" s="102"/>
      <c r="B685" s="43" t="str">
        <f>IF(A685="", "", IFERROR(VLOOKUP(A685, Clasificaciones!A:B, 2, FALSE), "DATO NO CARGADO"))</f>
        <v/>
      </c>
      <c r="C685" s="51"/>
      <c r="D685" s="257"/>
      <c r="E685" s="102"/>
      <c r="F685" s="103"/>
      <c r="G685" s="103"/>
      <c r="H685" s="258"/>
      <c r="J685" s="103"/>
      <c r="L685" s="71"/>
      <c r="M685" s="106" t="str">
        <f>IF(ISBLANK(K685), "", VLOOKUP(C685&amp;" "&amp;D685, 'Info Tipo de Cambio y REM'!$A$24:$B$35, 2, FALSE))</f>
        <v/>
      </c>
      <c r="N685" s="107" t="str">
        <f t="shared" si="3"/>
        <v/>
      </c>
      <c r="O685" s="102" t="str">
        <f t="shared" si="2"/>
        <v/>
      </c>
    </row>
    <row r="686">
      <c r="A686" s="102"/>
      <c r="B686" s="43" t="str">
        <f>IF(A686="", "", IFERROR(VLOOKUP(A686, Clasificaciones!A:B, 2, FALSE), "DATO NO CARGADO"))</f>
        <v/>
      </c>
      <c r="C686" s="51"/>
      <c r="D686" s="257"/>
      <c r="E686" s="102"/>
      <c r="F686" s="103"/>
      <c r="G686" s="103"/>
      <c r="H686" s="258"/>
      <c r="J686" s="103"/>
      <c r="L686" s="71"/>
      <c r="M686" s="106" t="str">
        <f>IF(ISBLANK(K686), "", VLOOKUP(C686&amp;" "&amp;D686, 'Info Tipo de Cambio y REM'!$A$24:$B$35, 2, FALSE))</f>
        <v/>
      </c>
      <c r="N686" s="107" t="str">
        <f t="shared" si="3"/>
        <v/>
      </c>
      <c r="O686" s="102" t="str">
        <f t="shared" si="2"/>
        <v/>
      </c>
    </row>
    <row r="687">
      <c r="A687" s="102"/>
      <c r="B687" s="43" t="str">
        <f>IF(A687="", "", IFERROR(VLOOKUP(A687, Clasificaciones!A:B, 2, FALSE), "DATO NO CARGADO"))</f>
        <v/>
      </c>
      <c r="C687" s="51"/>
      <c r="D687" s="257"/>
      <c r="E687" s="102"/>
      <c r="F687" s="103"/>
      <c r="G687" s="103"/>
      <c r="H687" s="258"/>
      <c r="J687" s="103"/>
      <c r="L687" s="71"/>
      <c r="M687" s="106" t="str">
        <f>IF(ISBLANK(K687), "", VLOOKUP(C687&amp;" "&amp;D687, 'Info Tipo de Cambio y REM'!$A$24:$B$35, 2, FALSE))</f>
        <v/>
      </c>
      <c r="N687" s="107" t="str">
        <f t="shared" si="3"/>
        <v/>
      </c>
      <c r="O687" s="102" t="str">
        <f t="shared" si="2"/>
        <v/>
      </c>
    </row>
    <row r="688">
      <c r="A688" s="102"/>
      <c r="B688" s="43" t="str">
        <f>IF(A688="", "", IFERROR(VLOOKUP(A688, Clasificaciones!A:B, 2, FALSE), "DATO NO CARGADO"))</f>
        <v/>
      </c>
      <c r="C688" s="51"/>
      <c r="D688" s="257"/>
      <c r="E688" s="102"/>
      <c r="F688" s="103"/>
      <c r="G688" s="103"/>
      <c r="H688" s="258"/>
      <c r="J688" s="103"/>
      <c r="L688" s="71"/>
      <c r="M688" s="106" t="str">
        <f>IF(ISBLANK(K688), "", VLOOKUP(C688&amp;" "&amp;D688, 'Info Tipo de Cambio y REM'!$A$24:$B$35, 2, FALSE))</f>
        <v/>
      </c>
      <c r="N688" s="107" t="str">
        <f t="shared" si="3"/>
        <v/>
      </c>
      <c r="O688" s="102" t="str">
        <f t="shared" si="2"/>
        <v/>
      </c>
    </row>
    <row r="689">
      <c r="A689" s="102"/>
      <c r="B689" s="43" t="str">
        <f>IF(A689="", "", IFERROR(VLOOKUP(A689, Clasificaciones!A:B, 2, FALSE), "DATO NO CARGADO"))</f>
        <v/>
      </c>
      <c r="C689" s="51"/>
      <c r="D689" s="257"/>
      <c r="E689" s="102"/>
      <c r="F689" s="103"/>
      <c r="G689" s="103"/>
      <c r="H689" s="258"/>
      <c r="J689" s="103"/>
      <c r="L689" s="71"/>
      <c r="M689" s="106" t="str">
        <f>IF(ISBLANK(K689), "", VLOOKUP(C689&amp;" "&amp;D689, 'Info Tipo de Cambio y REM'!$A$24:$B$35, 2, FALSE))</f>
        <v/>
      </c>
      <c r="N689" s="107" t="str">
        <f t="shared" si="3"/>
        <v/>
      </c>
      <c r="O689" s="102" t="str">
        <f t="shared" si="2"/>
        <v/>
      </c>
    </row>
    <row r="690">
      <c r="A690" s="102"/>
      <c r="B690" s="43" t="str">
        <f>IF(A690="", "", IFERROR(VLOOKUP(A690, Clasificaciones!A:B, 2, FALSE), "DATO NO CARGADO"))</f>
        <v/>
      </c>
      <c r="C690" s="51"/>
      <c r="D690" s="257"/>
      <c r="E690" s="102"/>
      <c r="F690" s="103"/>
      <c r="G690" s="103"/>
      <c r="H690" s="258"/>
      <c r="J690" s="103"/>
      <c r="L690" s="71"/>
      <c r="M690" s="106" t="str">
        <f>IF(ISBLANK(K690), "", VLOOKUP(C690&amp;" "&amp;D690, 'Info Tipo de Cambio y REM'!$A$24:$B$35, 2, FALSE))</f>
        <v/>
      </c>
      <c r="N690" s="107" t="str">
        <f t="shared" si="3"/>
        <v/>
      </c>
      <c r="O690" s="102" t="str">
        <f t="shared" si="2"/>
        <v/>
      </c>
    </row>
    <row r="691">
      <c r="A691" s="102"/>
      <c r="B691" s="43" t="str">
        <f>IF(A691="", "", IFERROR(VLOOKUP(A691, Clasificaciones!A:B, 2, FALSE), "DATO NO CARGADO"))</f>
        <v/>
      </c>
      <c r="C691" s="51"/>
      <c r="D691" s="257"/>
      <c r="E691" s="102"/>
      <c r="F691" s="103"/>
      <c r="G691" s="103"/>
      <c r="H691" s="258"/>
      <c r="J691" s="103"/>
      <c r="L691" s="71"/>
      <c r="M691" s="106" t="str">
        <f>IF(ISBLANK(K691), "", VLOOKUP(C691&amp;" "&amp;D691, 'Info Tipo de Cambio y REM'!$A$24:$B$35, 2, FALSE))</f>
        <v/>
      </c>
      <c r="N691" s="107" t="str">
        <f t="shared" si="3"/>
        <v/>
      </c>
      <c r="O691" s="102" t="str">
        <f t="shared" si="2"/>
        <v/>
      </c>
    </row>
    <row r="692">
      <c r="A692" s="102"/>
      <c r="B692" s="43" t="str">
        <f>IF(A692="", "", IFERROR(VLOOKUP(A692, Clasificaciones!A:B, 2, FALSE), "DATO NO CARGADO"))</f>
        <v/>
      </c>
      <c r="C692" s="51"/>
      <c r="D692" s="257"/>
      <c r="E692" s="102"/>
      <c r="F692" s="103"/>
      <c r="G692" s="103"/>
      <c r="H692" s="258"/>
      <c r="J692" s="103"/>
      <c r="L692" s="71"/>
      <c r="M692" s="106" t="str">
        <f>IF(ISBLANK(K692), "", VLOOKUP(C692&amp;" "&amp;D692, 'Info Tipo de Cambio y REM'!$A$24:$B$35, 2, FALSE))</f>
        <v/>
      </c>
      <c r="N692" s="107" t="str">
        <f t="shared" si="3"/>
        <v/>
      </c>
      <c r="O692" s="102" t="str">
        <f t="shared" si="2"/>
        <v/>
      </c>
    </row>
    <row r="693">
      <c r="A693" s="102"/>
      <c r="B693" s="43" t="str">
        <f>IF(A693="", "", IFERROR(VLOOKUP(A693, Clasificaciones!A:B, 2, FALSE), "DATO NO CARGADO"))</f>
        <v/>
      </c>
      <c r="C693" s="51"/>
      <c r="D693" s="257"/>
      <c r="E693" s="102"/>
      <c r="F693" s="103"/>
      <c r="G693" s="103"/>
      <c r="H693" s="258"/>
      <c r="J693" s="103"/>
      <c r="L693" s="71"/>
      <c r="M693" s="106" t="str">
        <f>IF(ISBLANK(K693), "", VLOOKUP(C693&amp;" "&amp;D693, 'Info Tipo de Cambio y REM'!$A$24:$B$35, 2, FALSE))</f>
        <v/>
      </c>
      <c r="N693" s="107" t="str">
        <f t="shared" si="3"/>
        <v/>
      </c>
      <c r="O693" s="102" t="str">
        <f t="shared" si="2"/>
        <v/>
      </c>
    </row>
    <row r="694">
      <c r="A694" s="102"/>
      <c r="B694" s="43" t="str">
        <f>IF(A694="", "", IFERROR(VLOOKUP(A694, Clasificaciones!A:B, 2, FALSE), "DATO NO CARGADO"))</f>
        <v/>
      </c>
      <c r="C694" s="51"/>
      <c r="D694" s="257"/>
      <c r="E694" s="102"/>
      <c r="F694" s="103"/>
      <c r="G694" s="103"/>
      <c r="H694" s="258"/>
      <c r="J694" s="103"/>
      <c r="L694" s="71"/>
      <c r="M694" s="106" t="str">
        <f>IF(ISBLANK(K694), "", VLOOKUP(C694&amp;" "&amp;D694, 'Info Tipo de Cambio y REM'!$A$24:$B$35, 2, FALSE))</f>
        <v/>
      </c>
      <c r="N694" s="107" t="str">
        <f t="shared" si="3"/>
        <v/>
      </c>
      <c r="O694" s="102" t="str">
        <f t="shared" si="2"/>
        <v/>
      </c>
    </row>
    <row r="695">
      <c r="A695" s="102"/>
      <c r="B695" s="43" t="str">
        <f>IF(A695="", "", IFERROR(VLOOKUP(A695, Clasificaciones!A:B, 2, FALSE), "DATO NO CARGADO"))</f>
        <v/>
      </c>
      <c r="C695" s="51"/>
      <c r="D695" s="257"/>
      <c r="E695" s="102"/>
      <c r="F695" s="103"/>
      <c r="G695" s="103"/>
      <c r="H695" s="258"/>
      <c r="J695" s="103"/>
      <c r="L695" s="71"/>
      <c r="M695" s="106" t="str">
        <f>IF(ISBLANK(K695), "", VLOOKUP(C695&amp;" "&amp;D695, 'Info Tipo de Cambio y REM'!$A$24:$B$35, 2, FALSE))</f>
        <v/>
      </c>
      <c r="N695" s="107" t="str">
        <f t="shared" si="3"/>
        <v/>
      </c>
      <c r="O695" s="102" t="str">
        <f t="shared" si="2"/>
        <v/>
      </c>
    </row>
    <row r="696">
      <c r="A696" s="102"/>
      <c r="B696" s="43" t="str">
        <f>IF(A696="", "", IFERROR(VLOOKUP(A696, Clasificaciones!A:B, 2, FALSE), "DATO NO CARGADO"))</f>
        <v/>
      </c>
      <c r="C696" s="51"/>
      <c r="D696" s="257"/>
      <c r="E696" s="102"/>
      <c r="F696" s="103"/>
      <c r="G696" s="103"/>
      <c r="H696" s="258"/>
      <c r="J696" s="103"/>
      <c r="L696" s="71"/>
      <c r="M696" s="106" t="str">
        <f>IF(ISBLANK(K696), "", VLOOKUP(C696&amp;" "&amp;D696, 'Info Tipo de Cambio y REM'!$A$24:$B$35, 2, FALSE))</f>
        <v/>
      </c>
      <c r="N696" s="107" t="str">
        <f t="shared" si="3"/>
        <v/>
      </c>
      <c r="O696" s="102" t="str">
        <f t="shared" si="2"/>
        <v/>
      </c>
    </row>
    <row r="697">
      <c r="A697" s="102"/>
      <c r="B697" s="43" t="str">
        <f>IF(A697="", "", IFERROR(VLOOKUP(A697, Clasificaciones!A:B, 2, FALSE), "DATO NO CARGADO"))</f>
        <v/>
      </c>
      <c r="C697" s="51"/>
      <c r="D697" s="257"/>
      <c r="E697" s="102"/>
      <c r="F697" s="103"/>
      <c r="G697" s="103"/>
      <c r="H697" s="258"/>
      <c r="J697" s="103"/>
      <c r="L697" s="71"/>
      <c r="M697" s="106" t="str">
        <f>IF(ISBLANK(K697), "", VLOOKUP(C697&amp;" "&amp;D697, 'Info Tipo de Cambio y REM'!$A$24:$B$35, 2, FALSE))</f>
        <v/>
      </c>
      <c r="N697" s="107" t="str">
        <f t="shared" si="3"/>
        <v/>
      </c>
      <c r="O697" s="102" t="str">
        <f t="shared" si="2"/>
        <v/>
      </c>
    </row>
    <row r="698">
      <c r="A698" s="102"/>
      <c r="B698" s="43" t="str">
        <f>IF(A698="", "", IFERROR(VLOOKUP(A698, Clasificaciones!A:B, 2, FALSE), "DATO NO CARGADO"))</f>
        <v/>
      </c>
      <c r="C698" s="51"/>
      <c r="D698" s="257"/>
      <c r="E698" s="102"/>
      <c r="F698" s="103"/>
      <c r="G698" s="103"/>
      <c r="H698" s="258"/>
      <c r="J698" s="103"/>
      <c r="L698" s="71"/>
      <c r="M698" s="106" t="str">
        <f>IF(ISBLANK(K698), "", VLOOKUP(C698&amp;" "&amp;D698, 'Info Tipo de Cambio y REM'!$A$24:$B$35, 2, FALSE))</f>
        <v/>
      </c>
      <c r="N698" s="107" t="str">
        <f t="shared" si="3"/>
        <v/>
      </c>
      <c r="O698" s="102" t="str">
        <f t="shared" si="2"/>
        <v/>
      </c>
    </row>
    <row r="699">
      <c r="A699" s="102"/>
      <c r="B699" s="43" t="str">
        <f>IF(A699="", "", IFERROR(VLOOKUP(A699, Clasificaciones!A:B, 2, FALSE), "DATO NO CARGADO"))</f>
        <v/>
      </c>
      <c r="C699" s="51"/>
      <c r="D699" s="257"/>
      <c r="E699" s="102"/>
      <c r="F699" s="103"/>
      <c r="G699" s="103"/>
      <c r="H699" s="258"/>
      <c r="J699" s="103"/>
      <c r="L699" s="71"/>
      <c r="M699" s="106" t="str">
        <f>IF(ISBLANK(K699), "", VLOOKUP(C699&amp;" "&amp;D699, 'Info Tipo de Cambio y REM'!$A$24:$B$35, 2, FALSE))</f>
        <v/>
      </c>
      <c r="N699" s="107" t="str">
        <f t="shared" si="3"/>
        <v/>
      </c>
      <c r="O699" s="102" t="str">
        <f t="shared" si="2"/>
        <v/>
      </c>
    </row>
    <row r="700">
      <c r="A700" s="102"/>
      <c r="B700" s="43" t="str">
        <f>IF(A700="", "", IFERROR(VLOOKUP(A700, Clasificaciones!A:B, 2, FALSE), "DATO NO CARGADO"))</f>
        <v/>
      </c>
      <c r="C700" s="51"/>
      <c r="D700" s="257"/>
      <c r="E700" s="102"/>
      <c r="F700" s="103"/>
      <c r="G700" s="103"/>
      <c r="H700" s="258"/>
      <c r="J700" s="103"/>
      <c r="L700" s="71"/>
      <c r="M700" s="106" t="str">
        <f>IF(ISBLANK(K700), "", VLOOKUP(C700&amp;" "&amp;D700, 'Info Tipo de Cambio y REM'!$A$24:$B$35, 2, FALSE))</f>
        <v/>
      </c>
      <c r="N700" s="107" t="str">
        <f t="shared" si="3"/>
        <v/>
      </c>
      <c r="O700" s="102" t="str">
        <f t="shared" si="2"/>
        <v/>
      </c>
    </row>
    <row r="701">
      <c r="A701" s="102"/>
      <c r="B701" s="43" t="str">
        <f>IF(A701="", "", IFERROR(VLOOKUP(A701, Clasificaciones!A:B, 2, FALSE), "DATO NO CARGADO"))</f>
        <v/>
      </c>
      <c r="C701" s="51"/>
      <c r="D701" s="257"/>
      <c r="E701" s="102"/>
      <c r="F701" s="103"/>
      <c r="G701" s="103"/>
      <c r="H701" s="258"/>
      <c r="J701" s="103"/>
      <c r="L701" s="71"/>
      <c r="M701" s="106" t="str">
        <f>IF(ISBLANK(K701), "", VLOOKUP(C701&amp;" "&amp;D701, 'Info Tipo de Cambio y REM'!$A$24:$B$35, 2, FALSE))</f>
        <v/>
      </c>
      <c r="N701" s="107" t="str">
        <f t="shared" si="3"/>
        <v/>
      </c>
      <c r="O701" s="102" t="str">
        <f t="shared" si="2"/>
        <v/>
      </c>
    </row>
    <row r="702">
      <c r="A702" s="102"/>
      <c r="B702" s="43" t="str">
        <f>IF(A702="", "", IFERROR(VLOOKUP(A702, Clasificaciones!A:B, 2, FALSE), "DATO NO CARGADO"))</f>
        <v/>
      </c>
      <c r="C702" s="51"/>
      <c r="D702" s="257"/>
      <c r="E702" s="102"/>
      <c r="F702" s="103"/>
      <c r="G702" s="103"/>
      <c r="H702" s="258"/>
      <c r="J702" s="103"/>
      <c r="L702" s="71"/>
      <c r="M702" s="106" t="str">
        <f>IF(ISBLANK(K702), "", VLOOKUP(C702&amp;" "&amp;D702, 'Info Tipo de Cambio y REM'!$A$24:$B$35, 2, FALSE))</f>
        <v/>
      </c>
      <c r="N702" s="107" t="str">
        <f t="shared" si="3"/>
        <v/>
      </c>
      <c r="O702" s="102" t="str">
        <f t="shared" si="2"/>
        <v/>
      </c>
    </row>
    <row r="703">
      <c r="A703" s="102"/>
      <c r="B703" s="43" t="str">
        <f>IF(A703="", "", IFERROR(VLOOKUP(A703, Clasificaciones!A:B, 2, FALSE), "DATO NO CARGADO"))</f>
        <v/>
      </c>
      <c r="C703" s="51"/>
      <c r="D703" s="257"/>
      <c r="E703" s="102"/>
      <c r="F703" s="103"/>
      <c r="G703" s="103"/>
      <c r="H703" s="258"/>
      <c r="J703" s="103"/>
      <c r="L703" s="71"/>
      <c r="M703" s="106" t="str">
        <f>IF(ISBLANK(K703), "", VLOOKUP(C703&amp;" "&amp;D703, 'Info Tipo de Cambio y REM'!$A$24:$B$35, 2, FALSE))</f>
        <v/>
      </c>
      <c r="N703" s="107" t="str">
        <f t="shared" si="3"/>
        <v/>
      </c>
      <c r="O703" s="102" t="str">
        <f t="shared" si="2"/>
        <v/>
      </c>
    </row>
    <row r="704">
      <c r="A704" s="102"/>
      <c r="B704" s="43" t="str">
        <f>IF(A704="", "", IFERROR(VLOOKUP(A704, Clasificaciones!A:B, 2, FALSE), "DATO NO CARGADO"))</f>
        <v/>
      </c>
      <c r="C704" s="51"/>
      <c r="D704" s="257"/>
      <c r="E704" s="102"/>
      <c r="F704" s="103"/>
      <c r="G704" s="103"/>
      <c r="H704" s="258"/>
      <c r="J704" s="103"/>
      <c r="L704" s="71"/>
      <c r="M704" s="106" t="str">
        <f>IF(ISBLANK(K704), "", VLOOKUP(C704&amp;" "&amp;D704, 'Info Tipo de Cambio y REM'!$A$24:$B$35, 2, FALSE))</f>
        <v/>
      </c>
      <c r="N704" s="107" t="str">
        <f t="shared" si="3"/>
        <v/>
      </c>
      <c r="O704" s="102" t="str">
        <f t="shared" si="2"/>
        <v/>
      </c>
    </row>
    <row r="705">
      <c r="A705" s="102"/>
      <c r="B705" s="43" t="str">
        <f>IF(A705="", "", IFERROR(VLOOKUP(A705, Clasificaciones!A:B, 2, FALSE), "DATO NO CARGADO"))</f>
        <v/>
      </c>
      <c r="C705" s="51"/>
      <c r="D705" s="257"/>
      <c r="E705" s="102"/>
      <c r="F705" s="103"/>
      <c r="G705" s="103"/>
      <c r="H705" s="258"/>
      <c r="J705" s="103"/>
      <c r="L705" s="71"/>
      <c r="M705" s="106" t="str">
        <f>IF(ISBLANK(K705), "", VLOOKUP(C705&amp;" "&amp;D705, 'Info Tipo de Cambio y REM'!$A$24:$B$35, 2, FALSE))</f>
        <v/>
      </c>
      <c r="N705" s="107" t="str">
        <f t="shared" si="3"/>
        <v/>
      </c>
      <c r="O705" s="102" t="str">
        <f t="shared" si="2"/>
        <v/>
      </c>
    </row>
    <row r="706">
      <c r="A706" s="102"/>
      <c r="B706" s="43" t="str">
        <f>IF(A706="", "", IFERROR(VLOOKUP(A706, Clasificaciones!A:B, 2, FALSE), "DATO NO CARGADO"))</f>
        <v/>
      </c>
      <c r="C706" s="51"/>
      <c r="D706" s="257"/>
      <c r="E706" s="102"/>
      <c r="F706" s="103"/>
      <c r="G706" s="103"/>
      <c r="H706" s="258"/>
      <c r="J706" s="103"/>
      <c r="L706" s="71"/>
      <c r="M706" s="106" t="str">
        <f>IF(ISBLANK(K706), "", VLOOKUP(C706&amp;" "&amp;D706, 'Info Tipo de Cambio y REM'!$A$24:$B$35, 2, FALSE))</f>
        <v/>
      </c>
      <c r="N706" s="107" t="str">
        <f t="shared" si="3"/>
        <v/>
      </c>
      <c r="O706" s="102" t="str">
        <f t="shared" si="2"/>
        <v/>
      </c>
    </row>
    <row r="707">
      <c r="A707" s="102"/>
      <c r="B707" s="43" t="str">
        <f>IF(A707="", "", IFERROR(VLOOKUP(A707, Clasificaciones!A:B, 2, FALSE), "DATO NO CARGADO"))</f>
        <v/>
      </c>
      <c r="C707" s="51"/>
      <c r="D707" s="257"/>
      <c r="E707" s="102"/>
      <c r="F707" s="103"/>
      <c r="G707" s="103"/>
      <c r="H707" s="258"/>
      <c r="J707" s="103"/>
      <c r="L707" s="71"/>
      <c r="M707" s="106" t="str">
        <f>IF(ISBLANK(K707), "", VLOOKUP(C707&amp;" "&amp;D707, 'Info Tipo de Cambio y REM'!$A$24:$B$35, 2, FALSE))</f>
        <v/>
      </c>
      <c r="N707" s="107" t="str">
        <f t="shared" si="3"/>
        <v/>
      </c>
      <c r="O707" s="102" t="str">
        <f t="shared" si="2"/>
        <v/>
      </c>
    </row>
    <row r="708">
      <c r="A708" s="102"/>
      <c r="B708" s="43" t="str">
        <f>IF(A708="", "", IFERROR(VLOOKUP(A708, Clasificaciones!A:B, 2, FALSE), "DATO NO CARGADO"))</f>
        <v/>
      </c>
      <c r="C708" s="51"/>
      <c r="D708" s="257"/>
      <c r="E708" s="102"/>
      <c r="F708" s="103"/>
      <c r="G708" s="103"/>
      <c r="H708" s="258"/>
      <c r="J708" s="103"/>
      <c r="L708" s="71"/>
      <c r="M708" s="106" t="str">
        <f>IF(ISBLANK(K708), "", VLOOKUP(C708&amp;" "&amp;D708, 'Info Tipo de Cambio y REM'!$A$24:$B$35, 2, FALSE))</f>
        <v/>
      </c>
      <c r="N708" s="107" t="str">
        <f t="shared" si="3"/>
        <v/>
      </c>
      <c r="O708" s="102" t="str">
        <f t="shared" si="2"/>
        <v/>
      </c>
    </row>
    <row r="709">
      <c r="A709" s="102"/>
      <c r="B709" s="43" t="str">
        <f>IF(A709="", "", IFERROR(VLOOKUP(A709, Clasificaciones!A:B, 2, FALSE), "DATO NO CARGADO"))</f>
        <v/>
      </c>
      <c r="C709" s="51"/>
      <c r="D709" s="257"/>
      <c r="E709" s="102"/>
      <c r="F709" s="103"/>
      <c r="G709" s="103"/>
      <c r="H709" s="258"/>
      <c r="J709" s="103"/>
      <c r="L709" s="71"/>
      <c r="M709" s="106" t="str">
        <f>IF(ISBLANK(K709), "", VLOOKUP(C709&amp;" "&amp;D709, 'Info Tipo de Cambio y REM'!$A$24:$B$35, 2, FALSE))</f>
        <v/>
      </c>
      <c r="N709" s="107" t="str">
        <f t="shared" si="3"/>
        <v/>
      </c>
      <c r="O709" s="102" t="str">
        <f t="shared" si="2"/>
        <v/>
      </c>
    </row>
    <row r="710">
      <c r="A710" s="102"/>
      <c r="B710" s="43" t="str">
        <f>IF(A710="", "", IFERROR(VLOOKUP(A710, Clasificaciones!A:B, 2, FALSE), "DATO NO CARGADO"))</f>
        <v/>
      </c>
      <c r="C710" s="51"/>
      <c r="D710" s="257"/>
      <c r="E710" s="102"/>
      <c r="F710" s="103"/>
      <c r="G710" s="103"/>
      <c r="H710" s="258"/>
      <c r="J710" s="103"/>
      <c r="L710" s="71"/>
      <c r="M710" s="106" t="str">
        <f>IF(ISBLANK(K710), "", VLOOKUP(C710&amp;" "&amp;D710, 'Info Tipo de Cambio y REM'!$A$24:$B$35, 2, FALSE))</f>
        <v/>
      </c>
      <c r="N710" s="107" t="str">
        <f t="shared" si="3"/>
        <v/>
      </c>
      <c r="O710" s="102" t="str">
        <f t="shared" si="2"/>
        <v/>
      </c>
    </row>
    <row r="711">
      <c r="A711" s="102"/>
      <c r="B711" s="43" t="str">
        <f>IF(A711="", "", IFERROR(VLOOKUP(A711, Clasificaciones!A:B, 2, FALSE), "DATO NO CARGADO"))</f>
        <v/>
      </c>
      <c r="C711" s="51"/>
      <c r="D711" s="257"/>
      <c r="E711" s="102"/>
      <c r="F711" s="103"/>
      <c r="G711" s="103"/>
      <c r="H711" s="258"/>
      <c r="J711" s="103"/>
      <c r="L711" s="71"/>
      <c r="M711" s="106" t="str">
        <f>IF(ISBLANK(K711), "", VLOOKUP(C711&amp;" "&amp;D711, 'Info Tipo de Cambio y REM'!$A$24:$B$35, 2, FALSE))</f>
        <v/>
      </c>
      <c r="N711" s="107" t="str">
        <f t="shared" si="3"/>
        <v/>
      </c>
      <c r="O711" s="102" t="str">
        <f t="shared" si="2"/>
        <v/>
      </c>
    </row>
    <row r="712">
      <c r="A712" s="102"/>
      <c r="B712" s="43" t="str">
        <f>IF(A712="", "", IFERROR(VLOOKUP(A712, Clasificaciones!A:B, 2, FALSE), "DATO NO CARGADO"))</f>
        <v/>
      </c>
      <c r="C712" s="51"/>
      <c r="D712" s="257"/>
      <c r="E712" s="102"/>
      <c r="F712" s="103"/>
      <c r="G712" s="103"/>
      <c r="H712" s="258"/>
      <c r="J712" s="103"/>
      <c r="L712" s="71"/>
      <c r="M712" s="106" t="str">
        <f>IF(ISBLANK(K712), "", VLOOKUP(C712&amp;" "&amp;D712, 'Info Tipo de Cambio y REM'!$A$24:$B$35, 2, FALSE))</f>
        <v/>
      </c>
      <c r="N712" s="107" t="str">
        <f t="shared" si="3"/>
        <v/>
      </c>
      <c r="O712" s="102" t="str">
        <f t="shared" si="2"/>
        <v/>
      </c>
    </row>
    <row r="713">
      <c r="A713" s="102"/>
      <c r="B713" s="43" t="str">
        <f>IF(A713="", "", IFERROR(VLOOKUP(A713, Clasificaciones!A:B, 2, FALSE), "DATO NO CARGADO"))</f>
        <v/>
      </c>
      <c r="C713" s="51"/>
      <c r="D713" s="257"/>
      <c r="E713" s="102"/>
      <c r="F713" s="103"/>
      <c r="G713" s="103"/>
      <c r="H713" s="258"/>
      <c r="J713" s="103"/>
      <c r="L713" s="71"/>
      <c r="M713" s="106" t="str">
        <f>IF(ISBLANK(K713), "", VLOOKUP(C713&amp;" "&amp;D713, 'Info Tipo de Cambio y REM'!$A$24:$B$35, 2, FALSE))</f>
        <v/>
      </c>
      <c r="N713" s="107" t="str">
        <f t="shared" si="3"/>
        <v/>
      </c>
      <c r="O713" s="102" t="str">
        <f t="shared" si="2"/>
        <v/>
      </c>
    </row>
    <row r="714">
      <c r="A714" s="102"/>
      <c r="B714" s="43" t="str">
        <f>IF(A714="", "", IFERROR(VLOOKUP(A714, Clasificaciones!A:B, 2, FALSE), "DATO NO CARGADO"))</f>
        <v/>
      </c>
      <c r="C714" s="51"/>
      <c r="D714" s="257"/>
      <c r="E714" s="102"/>
      <c r="F714" s="103"/>
      <c r="G714" s="103"/>
      <c r="H714" s="258"/>
      <c r="J714" s="103"/>
      <c r="L714" s="71"/>
      <c r="M714" s="106" t="str">
        <f>IF(ISBLANK(K714), "", VLOOKUP(C714&amp;" "&amp;D714, 'Info Tipo de Cambio y REM'!$A$24:$B$35, 2, FALSE))</f>
        <v/>
      </c>
      <c r="N714" s="107" t="str">
        <f t="shared" si="3"/>
        <v/>
      </c>
      <c r="O714" s="102" t="str">
        <f t="shared" si="2"/>
        <v/>
      </c>
    </row>
    <row r="715">
      <c r="A715" s="102"/>
      <c r="B715" s="43" t="str">
        <f>IF(A715="", "", IFERROR(VLOOKUP(A715, Clasificaciones!A:B, 2, FALSE), "DATO NO CARGADO"))</f>
        <v/>
      </c>
      <c r="C715" s="51"/>
      <c r="D715" s="257"/>
      <c r="E715" s="102"/>
      <c r="F715" s="103"/>
      <c r="G715" s="103"/>
      <c r="H715" s="258"/>
      <c r="J715" s="103"/>
      <c r="L715" s="71"/>
      <c r="M715" s="106" t="str">
        <f>IF(ISBLANK(K715), "", VLOOKUP(C715&amp;" "&amp;D715, 'Info Tipo de Cambio y REM'!$A$24:$B$35, 2, FALSE))</f>
        <v/>
      </c>
      <c r="N715" s="107" t="str">
        <f t="shared" si="3"/>
        <v/>
      </c>
      <c r="O715" s="102" t="str">
        <f t="shared" si="2"/>
        <v/>
      </c>
    </row>
    <row r="716">
      <c r="A716" s="102"/>
      <c r="B716" s="43" t="str">
        <f>IF(A716="", "", IFERROR(VLOOKUP(A716, Clasificaciones!A:B, 2, FALSE), "DATO NO CARGADO"))</f>
        <v/>
      </c>
      <c r="C716" s="51"/>
      <c r="D716" s="257"/>
      <c r="E716" s="102"/>
      <c r="F716" s="103"/>
      <c r="G716" s="103"/>
      <c r="H716" s="258"/>
      <c r="J716" s="103"/>
      <c r="L716" s="71"/>
      <c r="M716" s="106" t="str">
        <f>IF(ISBLANK(K716), "", VLOOKUP(C716&amp;" "&amp;D716, 'Info Tipo de Cambio y REM'!$A$24:$B$35, 2, FALSE))</f>
        <v/>
      </c>
      <c r="N716" s="107" t="str">
        <f t="shared" si="3"/>
        <v/>
      </c>
      <c r="O716" s="102" t="str">
        <f t="shared" si="2"/>
        <v/>
      </c>
    </row>
    <row r="717">
      <c r="A717" s="102"/>
      <c r="B717" s="43" t="str">
        <f>IF(A717="", "", IFERROR(VLOOKUP(A717, Clasificaciones!A:B, 2, FALSE), "DATO NO CARGADO"))</f>
        <v/>
      </c>
      <c r="C717" s="51"/>
      <c r="D717" s="257"/>
      <c r="E717" s="102"/>
      <c r="F717" s="103"/>
      <c r="G717" s="103"/>
      <c r="H717" s="258"/>
      <c r="J717" s="103"/>
      <c r="L717" s="71"/>
      <c r="M717" s="106" t="str">
        <f>IF(ISBLANK(K717), "", VLOOKUP(C717&amp;" "&amp;D717, 'Info Tipo de Cambio y REM'!$A$24:$B$35, 2, FALSE))</f>
        <v/>
      </c>
      <c r="N717" s="107" t="str">
        <f t="shared" si="3"/>
        <v/>
      </c>
      <c r="O717" s="102" t="str">
        <f t="shared" si="2"/>
        <v/>
      </c>
    </row>
    <row r="718">
      <c r="A718" s="102"/>
      <c r="B718" s="43" t="str">
        <f>IF(A718="", "", IFERROR(VLOOKUP(A718, Clasificaciones!A:B, 2, FALSE), "DATO NO CARGADO"))</f>
        <v/>
      </c>
      <c r="C718" s="51"/>
      <c r="D718" s="257"/>
      <c r="E718" s="102"/>
      <c r="F718" s="103"/>
      <c r="G718" s="103"/>
      <c r="H718" s="258"/>
      <c r="J718" s="103"/>
      <c r="L718" s="71"/>
      <c r="M718" s="106" t="str">
        <f>IF(ISBLANK(K718), "", VLOOKUP(C718&amp;" "&amp;D718, 'Info Tipo de Cambio y REM'!$A$24:$B$35, 2, FALSE))</f>
        <v/>
      </c>
      <c r="N718" s="107" t="str">
        <f t="shared" si="3"/>
        <v/>
      </c>
      <c r="O718" s="102" t="str">
        <f t="shared" si="2"/>
        <v/>
      </c>
    </row>
    <row r="719">
      <c r="A719" s="102"/>
      <c r="B719" s="43" t="str">
        <f>IF(A719="", "", IFERROR(VLOOKUP(A719, Clasificaciones!A:B, 2, FALSE), "DATO NO CARGADO"))</f>
        <v/>
      </c>
      <c r="C719" s="51"/>
      <c r="D719" s="257"/>
      <c r="E719" s="102"/>
      <c r="F719" s="103"/>
      <c r="G719" s="103"/>
      <c r="H719" s="258"/>
      <c r="J719" s="103"/>
      <c r="L719" s="71"/>
      <c r="M719" s="106" t="str">
        <f>IF(ISBLANK(K719), "", VLOOKUP(C719&amp;" "&amp;D719, 'Info Tipo de Cambio y REM'!$A$24:$B$35, 2, FALSE))</f>
        <v/>
      </c>
      <c r="N719" s="107" t="str">
        <f t="shared" si="3"/>
        <v/>
      </c>
      <c r="O719" s="102" t="str">
        <f t="shared" si="2"/>
        <v/>
      </c>
    </row>
    <row r="720">
      <c r="A720" s="102"/>
      <c r="B720" s="43" t="str">
        <f>IF(A720="", "", IFERROR(VLOOKUP(A720, Clasificaciones!A:B, 2, FALSE), "DATO NO CARGADO"))</f>
        <v/>
      </c>
      <c r="C720" s="51"/>
      <c r="D720" s="257"/>
      <c r="E720" s="102"/>
      <c r="F720" s="103"/>
      <c r="G720" s="103"/>
      <c r="H720" s="258"/>
      <c r="J720" s="103"/>
      <c r="L720" s="71"/>
      <c r="M720" s="106" t="str">
        <f>IF(ISBLANK(K720), "", VLOOKUP(C720&amp;" "&amp;D720, 'Info Tipo de Cambio y REM'!$A$24:$B$35, 2, FALSE))</f>
        <v/>
      </c>
      <c r="N720" s="107" t="str">
        <f t="shared" si="3"/>
        <v/>
      </c>
      <c r="O720" s="102" t="str">
        <f t="shared" si="2"/>
        <v/>
      </c>
    </row>
    <row r="721">
      <c r="A721" s="102"/>
      <c r="B721" s="43" t="str">
        <f>IF(A721="", "", IFERROR(VLOOKUP(A721, Clasificaciones!A:B, 2, FALSE), "DATO NO CARGADO"))</f>
        <v/>
      </c>
      <c r="C721" s="51"/>
      <c r="D721" s="257"/>
      <c r="E721" s="102"/>
      <c r="F721" s="103"/>
      <c r="G721" s="103"/>
      <c r="H721" s="258"/>
      <c r="J721" s="103"/>
      <c r="L721" s="71"/>
      <c r="M721" s="106" t="str">
        <f>IF(ISBLANK(K721), "", VLOOKUP(C721&amp;" "&amp;D721, 'Info Tipo de Cambio y REM'!$A$24:$B$35, 2, FALSE))</f>
        <v/>
      </c>
      <c r="N721" s="107" t="str">
        <f t="shared" si="3"/>
        <v/>
      </c>
      <c r="O721" s="102" t="str">
        <f t="shared" si="2"/>
        <v/>
      </c>
    </row>
    <row r="722">
      <c r="A722" s="102"/>
      <c r="B722" s="43" t="str">
        <f>IF(A722="", "", IFERROR(VLOOKUP(A722, Clasificaciones!A:B, 2, FALSE), "DATO NO CARGADO"))</f>
        <v/>
      </c>
      <c r="C722" s="51"/>
      <c r="D722" s="257"/>
      <c r="E722" s="102"/>
      <c r="F722" s="103"/>
      <c r="G722" s="103"/>
      <c r="H722" s="258"/>
      <c r="J722" s="103"/>
      <c r="L722" s="71"/>
      <c r="M722" s="106" t="str">
        <f>IF(ISBLANK(K722), "", VLOOKUP(C722&amp;" "&amp;D722, 'Info Tipo de Cambio y REM'!$A$24:$B$35, 2, FALSE))</f>
        <v/>
      </c>
      <c r="N722" s="107" t="str">
        <f t="shared" si="3"/>
        <v/>
      </c>
      <c r="O722" s="102" t="str">
        <f t="shared" si="2"/>
        <v/>
      </c>
    </row>
    <row r="723">
      <c r="A723" s="102"/>
      <c r="B723" s="43" t="str">
        <f>IF(A723="", "", IFERROR(VLOOKUP(A723, Clasificaciones!A:B, 2, FALSE), "DATO NO CARGADO"))</f>
        <v/>
      </c>
      <c r="C723" s="51"/>
      <c r="D723" s="257"/>
      <c r="E723" s="102"/>
      <c r="F723" s="103"/>
      <c r="G723" s="103"/>
      <c r="H723" s="258"/>
      <c r="J723" s="103"/>
      <c r="L723" s="71"/>
      <c r="M723" s="106" t="str">
        <f>IF(ISBLANK(K723), "", VLOOKUP(C723&amp;" "&amp;D723, 'Info Tipo de Cambio y REM'!$A$24:$B$35, 2, FALSE))</f>
        <v/>
      </c>
      <c r="N723" s="107" t="str">
        <f t="shared" si="3"/>
        <v/>
      </c>
      <c r="O723" s="102" t="str">
        <f t="shared" si="2"/>
        <v/>
      </c>
    </row>
    <row r="724">
      <c r="A724" s="102"/>
      <c r="B724" s="43" t="str">
        <f>IF(A724="", "", IFERROR(VLOOKUP(A724, Clasificaciones!A:B, 2, FALSE), "DATO NO CARGADO"))</f>
        <v/>
      </c>
      <c r="C724" s="51"/>
      <c r="D724" s="257"/>
      <c r="E724" s="102"/>
      <c r="F724" s="103"/>
      <c r="G724" s="103"/>
      <c r="H724" s="258"/>
      <c r="J724" s="103"/>
      <c r="L724" s="71"/>
      <c r="M724" s="106" t="str">
        <f>IF(ISBLANK(K724), "", VLOOKUP(C724&amp;" "&amp;D724, 'Info Tipo de Cambio y REM'!$A$24:$B$35, 2, FALSE))</f>
        <v/>
      </c>
      <c r="N724" s="107" t="str">
        <f t="shared" si="3"/>
        <v/>
      </c>
      <c r="O724" s="102" t="str">
        <f t="shared" si="2"/>
        <v/>
      </c>
    </row>
    <row r="725">
      <c r="A725" s="102"/>
      <c r="B725" s="43" t="str">
        <f>IF(A725="", "", IFERROR(VLOOKUP(A725, Clasificaciones!A:B, 2, FALSE), "DATO NO CARGADO"))</f>
        <v/>
      </c>
      <c r="C725" s="51"/>
      <c r="D725" s="257"/>
      <c r="E725" s="102"/>
      <c r="F725" s="103"/>
      <c r="G725" s="103"/>
      <c r="H725" s="258"/>
      <c r="J725" s="103"/>
      <c r="L725" s="71"/>
      <c r="M725" s="106" t="str">
        <f>IF(ISBLANK(K725), "", VLOOKUP(C725&amp;" "&amp;D725, 'Info Tipo de Cambio y REM'!$A$24:$B$35, 2, FALSE))</f>
        <v/>
      </c>
      <c r="N725" s="107" t="str">
        <f t="shared" si="3"/>
        <v/>
      </c>
      <c r="O725" s="102" t="str">
        <f t="shared" si="2"/>
        <v/>
      </c>
    </row>
    <row r="726">
      <c r="A726" s="102"/>
      <c r="B726" s="43" t="str">
        <f>IF(A726="", "", IFERROR(VLOOKUP(A726, Clasificaciones!A:B, 2, FALSE), "DATO NO CARGADO"))</f>
        <v/>
      </c>
      <c r="C726" s="51"/>
      <c r="D726" s="257"/>
      <c r="E726" s="102"/>
      <c r="F726" s="103"/>
      <c r="G726" s="103"/>
      <c r="H726" s="258"/>
      <c r="J726" s="103"/>
      <c r="L726" s="71"/>
      <c r="M726" s="106" t="str">
        <f>IF(ISBLANK(K726), "", VLOOKUP(C726&amp;" "&amp;D726, 'Info Tipo de Cambio y REM'!$A$24:$B$35, 2, FALSE))</f>
        <v/>
      </c>
      <c r="N726" s="107" t="str">
        <f t="shared" si="3"/>
        <v/>
      </c>
      <c r="O726" s="102" t="str">
        <f t="shared" si="2"/>
        <v/>
      </c>
    </row>
    <row r="727">
      <c r="A727" s="102"/>
      <c r="B727" s="43" t="str">
        <f>IF(A727="", "", IFERROR(VLOOKUP(A727, Clasificaciones!A:B, 2, FALSE), "DATO NO CARGADO"))</f>
        <v/>
      </c>
      <c r="C727" s="51"/>
      <c r="D727" s="257"/>
      <c r="E727" s="102"/>
      <c r="F727" s="103"/>
      <c r="G727" s="103"/>
      <c r="H727" s="258"/>
      <c r="J727" s="103"/>
      <c r="L727" s="71"/>
      <c r="M727" s="106" t="str">
        <f>IF(ISBLANK(K727), "", VLOOKUP(C727&amp;" "&amp;D727, 'Info Tipo de Cambio y REM'!$A$24:$B$35, 2, FALSE))</f>
        <v/>
      </c>
      <c r="N727" s="107" t="str">
        <f t="shared" si="3"/>
        <v/>
      </c>
      <c r="O727" s="102" t="str">
        <f t="shared" si="2"/>
        <v/>
      </c>
    </row>
    <row r="728">
      <c r="A728" s="102"/>
      <c r="B728" s="43" t="str">
        <f>IF(A728="", "", IFERROR(VLOOKUP(A728, Clasificaciones!A:B, 2, FALSE), "DATO NO CARGADO"))</f>
        <v/>
      </c>
      <c r="C728" s="51"/>
      <c r="D728" s="257"/>
      <c r="E728" s="102"/>
      <c r="F728" s="103"/>
      <c r="G728" s="103"/>
      <c r="H728" s="258"/>
      <c r="J728" s="103"/>
      <c r="L728" s="71"/>
      <c r="M728" s="106" t="str">
        <f>IF(ISBLANK(K728), "", VLOOKUP(C728&amp;" "&amp;D728, 'Info Tipo de Cambio y REM'!$A$24:$B$35, 2, FALSE))</f>
        <v/>
      </c>
      <c r="N728" s="107" t="str">
        <f t="shared" si="3"/>
        <v/>
      </c>
      <c r="O728" s="102" t="str">
        <f t="shared" si="2"/>
        <v/>
      </c>
    </row>
    <row r="729">
      <c r="A729" s="102"/>
      <c r="B729" s="43" t="str">
        <f>IF(A729="", "", IFERROR(VLOOKUP(A729, Clasificaciones!A:B, 2, FALSE), "DATO NO CARGADO"))</f>
        <v/>
      </c>
      <c r="C729" s="51"/>
      <c r="D729" s="257"/>
      <c r="E729" s="102"/>
      <c r="F729" s="103"/>
      <c r="G729" s="103"/>
      <c r="H729" s="258"/>
      <c r="J729" s="103"/>
      <c r="L729" s="71"/>
      <c r="M729" s="106" t="str">
        <f>IF(ISBLANK(K729), "", VLOOKUP(C729&amp;" "&amp;D729, 'Info Tipo de Cambio y REM'!$A$24:$B$35, 2, FALSE))</f>
        <v/>
      </c>
      <c r="N729" s="107" t="str">
        <f t="shared" si="3"/>
        <v/>
      </c>
      <c r="O729" s="102" t="str">
        <f t="shared" si="2"/>
        <v/>
      </c>
    </row>
    <row r="730">
      <c r="A730" s="102"/>
      <c r="B730" s="43" t="str">
        <f>IF(A730="", "", IFERROR(VLOOKUP(A730, Clasificaciones!A:B, 2, FALSE), "DATO NO CARGADO"))</f>
        <v/>
      </c>
      <c r="C730" s="51"/>
      <c r="D730" s="257"/>
      <c r="E730" s="102"/>
      <c r="F730" s="103"/>
      <c r="G730" s="103"/>
      <c r="H730" s="258"/>
      <c r="J730" s="103"/>
      <c r="L730" s="71"/>
      <c r="M730" s="106" t="str">
        <f>IF(ISBLANK(K730), "", VLOOKUP(C730&amp;" "&amp;D730, 'Info Tipo de Cambio y REM'!$A$24:$B$35, 2, FALSE))</f>
        <v/>
      </c>
      <c r="N730" s="107" t="str">
        <f t="shared" si="3"/>
        <v/>
      </c>
      <c r="O730" s="102" t="str">
        <f t="shared" si="2"/>
        <v/>
      </c>
    </row>
    <row r="731">
      <c r="A731" s="102"/>
      <c r="B731" s="43" t="str">
        <f>IF(A731="", "", IFERROR(VLOOKUP(A731, Clasificaciones!A:B, 2, FALSE), "DATO NO CARGADO"))</f>
        <v/>
      </c>
      <c r="C731" s="51"/>
      <c r="D731" s="257"/>
      <c r="E731" s="102"/>
      <c r="F731" s="103"/>
      <c r="G731" s="103"/>
      <c r="H731" s="258"/>
      <c r="J731" s="103"/>
      <c r="L731" s="71"/>
      <c r="M731" s="106" t="str">
        <f>IF(ISBLANK(K731), "", VLOOKUP(C731&amp;" "&amp;D731, 'Info Tipo de Cambio y REM'!$A$24:$B$35, 2, FALSE))</f>
        <v/>
      </c>
      <c r="N731" s="107" t="str">
        <f t="shared" si="3"/>
        <v/>
      </c>
      <c r="O731" s="102" t="str">
        <f t="shared" si="2"/>
        <v/>
      </c>
    </row>
    <row r="732">
      <c r="A732" s="102"/>
      <c r="B732" s="43" t="str">
        <f>IF(A732="", "", IFERROR(VLOOKUP(A732, Clasificaciones!A:B, 2, FALSE), "DATO NO CARGADO"))</f>
        <v/>
      </c>
      <c r="C732" s="51"/>
      <c r="D732" s="257"/>
      <c r="E732" s="102"/>
      <c r="F732" s="103"/>
      <c r="G732" s="103"/>
      <c r="H732" s="258"/>
      <c r="J732" s="103"/>
      <c r="L732" s="71"/>
      <c r="M732" s="106" t="str">
        <f>IF(ISBLANK(K732), "", VLOOKUP(C732&amp;" "&amp;D732, 'Info Tipo de Cambio y REM'!$A$24:$B$35, 2, FALSE))</f>
        <v/>
      </c>
      <c r="N732" s="107" t="str">
        <f t="shared" si="3"/>
        <v/>
      </c>
      <c r="O732" s="102" t="str">
        <f t="shared" si="2"/>
        <v/>
      </c>
    </row>
    <row r="733">
      <c r="A733" s="102"/>
      <c r="B733" s="43" t="str">
        <f>IF(A733="", "", IFERROR(VLOOKUP(A733, Clasificaciones!A:B, 2, FALSE), "DATO NO CARGADO"))</f>
        <v/>
      </c>
      <c r="C733" s="51"/>
      <c r="D733" s="257"/>
      <c r="E733" s="102"/>
      <c r="F733" s="103"/>
      <c r="G733" s="103"/>
      <c r="H733" s="258"/>
      <c r="J733" s="103"/>
      <c r="L733" s="71"/>
      <c r="M733" s="106" t="str">
        <f>IF(ISBLANK(K733), "", VLOOKUP(C733&amp;" "&amp;D733, 'Info Tipo de Cambio y REM'!$A$24:$B$35, 2, FALSE))</f>
        <v/>
      </c>
      <c r="N733" s="107" t="str">
        <f t="shared" si="3"/>
        <v/>
      </c>
      <c r="O733" s="102" t="str">
        <f t="shared" si="2"/>
        <v/>
      </c>
    </row>
    <row r="734">
      <c r="A734" s="102"/>
      <c r="B734" s="43" t="str">
        <f>IF(A734="", "", IFERROR(VLOOKUP(A734, Clasificaciones!A:B, 2, FALSE), "DATO NO CARGADO"))</f>
        <v/>
      </c>
      <c r="C734" s="51"/>
      <c r="D734" s="257"/>
      <c r="E734" s="102"/>
      <c r="F734" s="103"/>
      <c r="G734" s="103"/>
      <c r="H734" s="258"/>
      <c r="J734" s="103"/>
      <c r="L734" s="71"/>
      <c r="M734" s="106" t="str">
        <f>IF(ISBLANK(K734), "", VLOOKUP(C734&amp;" "&amp;D734, 'Info Tipo de Cambio y REM'!$A$24:$B$35, 2, FALSE))</f>
        <v/>
      </c>
      <c r="N734" s="107" t="str">
        <f t="shared" si="3"/>
        <v/>
      </c>
      <c r="O734" s="102" t="str">
        <f t="shared" si="2"/>
        <v/>
      </c>
    </row>
    <row r="735">
      <c r="A735" s="102"/>
      <c r="B735" s="43" t="str">
        <f>IF(A735="", "", IFERROR(VLOOKUP(A735, Clasificaciones!A:B, 2, FALSE), "DATO NO CARGADO"))</f>
        <v/>
      </c>
      <c r="C735" s="51"/>
      <c r="D735" s="257"/>
      <c r="E735" s="102"/>
      <c r="F735" s="103"/>
      <c r="G735" s="103"/>
      <c r="H735" s="258"/>
      <c r="J735" s="103"/>
      <c r="L735" s="71"/>
      <c r="M735" s="106" t="str">
        <f>IF(ISBLANK(K735), "", VLOOKUP(C735&amp;" "&amp;D735, 'Info Tipo de Cambio y REM'!$A$24:$B$35, 2, FALSE))</f>
        <v/>
      </c>
      <c r="N735" s="107" t="str">
        <f t="shared" si="3"/>
        <v/>
      </c>
      <c r="O735" s="102" t="str">
        <f t="shared" si="2"/>
        <v/>
      </c>
    </row>
    <row r="736">
      <c r="A736" s="102"/>
      <c r="B736" s="43" t="str">
        <f>IF(A736="", "", IFERROR(VLOOKUP(A736, Clasificaciones!A:B, 2, FALSE), "DATO NO CARGADO"))</f>
        <v/>
      </c>
      <c r="C736" s="51"/>
      <c r="D736" s="257"/>
      <c r="E736" s="102"/>
      <c r="F736" s="103"/>
      <c r="G736" s="103"/>
      <c r="H736" s="258"/>
      <c r="J736" s="103"/>
      <c r="L736" s="71"/>
      <c r="M736" s="106" t="str">
        <f>IF(ISBLANK(K736), "", VLOOKUP(C736&amp;" "&amp;D736, 'Info Tipo de Cambio y REM'!$A$24:$B$35, 2, FALSE))</f>
        <v/>
      </c>
      <c r="N736" s="107" t="str">
        <f t="shared" si="3"/>
        <v/>
      </c>
      <c r="O736" s="102" t="str">
        <f t="shared" si="2"/>
        <v/>
      </c>
    </row>
    <row r="737">
      <c r="A737" s="102"/>
      <c r="B737" s="43" t="str">
        <f>IF(A737="", "", IFERROR(VLOOKUP(A737, Clasificaciones!A:B, 2, FALSE), "DATO NO CARGADO"))</f>
        <v/>
      </c>
      <c r="C737" s="51"/>
      <c r="D737" s="257"/>
      <c r="E737" s="102"/>
      <c r="F737" s="103"/>
      <c r="G737" s="103"/>
      <c r="H737" s="258"/>
      <c r="J737" s="103"/>
      <c r="L737" s="71"/>
      <c r="M737" s="106" t="str">
        <f>IF(ISBLANK(K737), "", VLOOKUP(C737&amp;" "&amp;D737, 'Info Tipo de Cambio y REM'!$A$24:$B$35, 2, FALSE))</f>
        <v/>
      </c>
      <c r="N737" s="107" t="str">
        <f t="shared" si="3"/>
        <v/>
      </c>
      <c r="O737" s="102" t="str">
        <f t="shared" si="2"/>
        <v/>
      </c>
    </row>
    <row r="738">
      <c r="A738" s="102"/>
      <c r="B738" s="43" t="str">
        <f>IF(A738="", "", IFERROR(VLOOKUP(A738, Clasificaciones!A:B, 2, FALSE), "DATO NO CARGADO"))</f>
        <v/>
      </c>
      <c r="C738" s="51"/>
      <c r="D738" s="257"/>
      <c r="E738" s="102"/>
      <c r="F738" s="103"/>
      <c r="G738" s="103"/>
      <c r="H738" s="258"/>
      <c r="J738" s="103"/>
      <c r="L738" s="71"/>
      <c r="M738" s="106" t="str">
        <f>IF(ISBLANK(K738), "", VLOOKUP(C738&amp;" "&amp;D738, 'Info Tipo de Cambio y REM'!$A$24:$B$35, 2, FALSE))</f>
        <v/>
      </c>
      <c r="N738" s="107" t="str">
        <f t="shared" si="3"/>
        <v/>
      </c>
      <c r="O738" s="102" t="str">
        <f t="shared" si="2"/>
        <v/>
      </c>
    </row>
    <row r="739">
      <c r="A739" s="102"/>
      <c r="B739" s="43" t="str">
        <f>IF(A739="", "", IFERROR(VLOOKUP(A739, Clasificaciones!A:B, 2, FALSE), "DATO NO CARGADO"))</f>
        <v/>
      </c>
      <c r="C739" s="51"/>
      <c r="D739" s="257"/>
      <c r="E739" s="102"/>
      <c r="F739" s="103"/>
      <c r="G739" s="103"/>
      <c r="H739" s="258"/>
      <c r="J739" s="103"/>
      <c r="L739" s="71"/>
      <c r="M739" s="106" t="str">
        <f>IF(ISBLANK(K739), "", VLOOKUP(C739&amp;" "&amp;D739, 'Info Tipo de Cambio y REM'!$A$24:$B$35, 2, FALSE))</f>
        <v/>
      </c>
      <c r="N739" s="107" t="str">
        <f t="shared" si="3"/>
        <v/>
      </c>
      <c r="O739" s="102" t="str">
        <f t="shared" si="2"/>
        <v/>
      </c>
    </row>
    <row r="740">
      <c r="A740" s="102"/>
      <c r="B740" s="43" t="str">
        <f>IF(A740="", "", IFERROR(VLOOKUP(A740, Clasificaciones!A:B, 2, FALSE), "DATO NO CARGADO"))</f>
        <v/>
      </c>
      <c r="C740" s="51"/>
      <c r="D740" s="257"/>
      <c r="E740" s="102"/>
      <c r="F740" s="103"/>
      <c r="G740" s="103"/>
      <c r="H740" s="258"/>
      <c r="J740" s="103"/>
      <c r="L740" s="71"/>
      <c r="M740" s="106" t="str">
        <f>IF(ISBLANK(K740), "", VLOOKUP(C740&amp;" "&amp;D740, 'Info Tipo de Cambio y REM'!$A$24:$B$35, 2, FALSE))</f>
        <v/>
      </c>
      <c r="N740" s="107" t="str">
        <f t="shared" si="3"/>
        <v/>
      </c>
      <c r="O740" s="102" t="str">
        <f t="shared" si="2"/>
        <v/>
      </c>
    </row>
    <row r="741">
      <c r="A741" s="102"/>
      <c r="B741" s="43" t="str">
        <f>IF(A741="", "", IFERROR(VLOOKUP(A741, Clasificaciones!A:B, 2, FALSE), "DATO NO CARGADO"))</f>
        <v/>
      </c>
      <c r="C741" s="51"/>
      <c r="D741" s="257"/>
      <c r="E741" s="102"/>
      <c r="F741" s="103"/>
      <c r="G741" s="103"/>
      <c r="H741" s="258"/>
      <c r="J741" s="103"/>
      <c r="L741" s="71"/>
      <c r="M741" s="106" t="str">
        <f>IF(ISBLANK(K741), "", VLOOKUP(C741&amp;" "&amp;D741, 'Info Tipo de Cambio y REM'!$A$24:$B$35, 2, FALSE))</f>
        <v/>
      </c>
      <c r="N741" s="107" t="str">
        <f t="shared" si="3"/>
        <v/>
      </c>
      <c r="O741" s="102" t="str">
        <f t="shared" si="2"/>
        <v/>
      </c>
    </row>
    <row r="742">
      <c r="A742" s="102"/>
      <c r="B742" s="43" t="str">
        <f>IF(A742="", "", IFERROR(VLOOKUP(A742, Clasificaciones!A:B, 2, FALSE), "DATO NO CARGADO"))</f>
        <v/>
      </c>
      <c r="C742" s="51"/>
      <c r="D742" s="257"/>
      <c r="E742" s="102"/>
      <c r="F742" s="103"/>
      <c r="G742" s="103"/>
      <c r="H742" s="258"/>
      <c r="J742" s="103"/>
      <c r="L742" s="71"/>
      <c r="M742" s="106" t="str">
        <f>IF(ISBLANK(K742), "", VLOOKUP(C742&amp;" "&amp;D742, 'Info Tipo de Cambio y REM'!$A$24:$B$35, 2, FALSE))</f>
        <v/>
      </c>
      <c r="N742" s="107" t="str">
        <f t="shared" si="3"/>
        <v/>
      </c>
      <c r="O742" s="102" t="str">
        <f t="shared" si="2"/>
        <v/>
      </c>
    </row>
    <row r="743">
      <c r="A743" s="102"/>
      <c r="B743" s="43" t="str">
        <f>IF(A743="", "", IFERROR(VLOOKUP(A743, Clasificaciones!A:B, 2, FALSE), "DATO NO CARGADO"))</f>
        <v/>
      </c>
      <c r="C743" s="51"/>
      <c r="D743" s="257"/>
      <c r="E743" s="102"/>
      <c r="F743" s="103"/>
      <c r="G743" s="103"/>
      <c r="H743" s="258"/>
      <c r="J743" s="103"/>
      <c r="L743" s="71"/>
      <c r="M743" s="106" t="str">
        <f>IF(ISBLANK(K743), "", VLOOKUP(C743&amp;" "&amp;D743, 'Info Tipo de Cambio y REM'!$A$24:$B$35, 2, FALSE))</f>
        <v/>
      </c>
      <c r="N743" s="107" t="str">
        <f t="shared" si="3"/>
        <v/>
      </c>
      <c r="O743" s="102" t="str">
        <f t="shared" si="2"/>
        <v/>
      </c>
    </row>
    <row r="744">
      <c r="A744" s="102"/>
      <c r="B744" s="43" t="str">
        <f>IF(A744="", "", IFERROR(VLOOKUP(A744, Clasificaciones!A:B, 2, FALSE), "DATO NO CARGADO"))</f>
        <v/>
      </c>
      <c r="C744" s="51"/>
      <c r="D744" s="257"/>
      <c r="E744" s="102"/>
      <c r="F744" s="103"/>
      <c r="G744" s="103"/>
      <c r="H744" s="258"/>
      <c r="J744" s="103"/>
      <c r="L744" s="71"/>
      <c r="M744" s="106" t="str">
        <f>IF(ISBLANK(K744), "", VLOOKUP(C744&amp;" "&amp;D744, 'Info Tipo de Cambio y REM'!$A$24:$B$35, 2, FALSE))</f>
        <v/>
      </c>
      <c r="N744" s="107" t="str">
        <f t="shared" si="3"/>
        <v/>
      </c>
      <c r="O744" s="102" t="str">
        <f t="shared" si="2"/>
        <v/>
      </c>
    </row>
    <row r="745">
      <c r="A745" s="102"/>
      <c r="B745" s="43" t="str">
        <f>IF(A745="", "", IFERROR(VLOOKUP(A745, Clasificaciones!A:B, 2, FALSE), "DATO NO CARGADO"))</f>
        <v/>
      </c>
      <c r="C745" s="51"/>
      <c r="D745" s="257"/>
      <c r="E745" s="102"/>
      <c r="F745" s="103"/>
      <c r="G745" s="103"/>
      <c r="H745" s="258"/>
      <c r="J745" s="103"/>
      <c r="L745" s="71"/>
      <c r="M745" s="106" t="str">
        <f>IF(ISBLANK(K745), "", VLOOKUP(C745&amp;" "&amp;D745, 'Info Tipo de Cambio y REM'!$A$24:$B$35, 2, FALSE))</f>
        <v/>
      </c>
      <c r="N745" s="107" t="str">
        <f t="shared" si="3"/>
        <v/>
      </c>
      <c r="O745" s="102" t="str">
        <f t="shared" si="2"/>
        <v/>
      </c>
    </row>
    <row r="746">
      <c r="A746" s="102"/>
      <c r="B746" s="43" t="str">
        <f>IF(A746="", "", IFERROR(VLOOKUP(A746, Clasificaciones!A:B, 2, FALSE), "DATO NO CARGADO"))</f>
        <v/>
      </c>
      <c r="C746" s="51"/>
      <c r="D746" s="257"/>
      <c r="E746" s="102"/>
      <c r="F746" s="103"/>
      <c r="G746" s="103"/>
      <c r="H746" s="258"/>
      <c r="J746" s="103"/>
      <c r="L746" s="71"/>
      <c r="M746" s="106" t="str">
        <f>IF(ISBLANK(K746), "", VLOOKUP(C746&amp;" "&amp;D746, 'Info Tipo de Cambio y REM'!$A$24:$B$35, 2, FALSE))</f>
        <v/>
      </c>
      <c r="N746" s="107" t="str">
        <f t="shared" si="3"/>
        <v/>
      </c>
      <c r="O746" s="102" t="str">
        <f t="shared" si="2"/>
        <v/>
      </c>
    </row>
    <row r="747">
      <c r="A747" s="102"/>
      <c r="B747" s="43" t="str">
        <f>IF(A747="", "", IFERROR(VLOOKUP(A747, Clasificaciones!A:B, 2, FALSE), "DATO NO CARGADO"))</f>
        <v/>
      </c>
      <c r="C747" s="51"/>
      <c r="D747" s="257"/>
      <c r="E747" s="102"/>
      <c r="F747" s="103"/>
      <c r="G747" s="103"/>
      <c r="H747" s="258"/>
      <c r="J747" s="103"/>
      <c r="L747" s="71"/>
      <c r="M747" s="106" t="str">
        <f>IF(ISBLANK(K747), "", VLOOKUP(C747&amp;" "&amp;D747, 'Info Tipo de Cambio y REM'!$A$24:$B$35, 2, FALSE))</f>
        <v/>
      </c>
      <c r="N747" s="107" t="str">
        <f t="shared" si="3"/>
        <v/>
      </c>
      <c r="O747" s="102" t="str">
        <f t="shared" si="2"/>
        <v/>
      </c>
    </row>
    <row r="748">
      <c r="A748" s="102"/>
      <c r="B748" s="43" t="str">
        <f>IF(A748="", "", IFERROR(VLOOKUP(A748, Clasificaciones!A:B, 2, FALSE), "DATO NO CARGADO"))</f>
        <v/>
      </c>
      <c r="C748" s="51"/>
      <c r="D748" s="257"/>
      <c r="E748" s="102"/>
      <c r="F748" s="103"/>
      <c r="G748" s="103"/>
      <c r="H748" s="258"/>
      <c r="J748" s="103"/>
      <c r="L748" s="71"/>
      <c r="M748" s="106" t="str">
        <f>IF(ISBLANK(K748), "", VLOOKUP(C748&amp;" "&amp;D748, 'Info Tipo de Cambio y REM'!$A$24:$B$35, 2, FALSE))</f>
        <v/>
      </c>
      <c r="N748" s="107" t="str">
        <f t="shared" si="3"/>
        <v/>
      </c>
      <c r="O748" s="102" t="str">
        <f t="shared" si="2"/>
        <v/>
      </c>
    </row>
    <row r="749">
      <c r="A749" s="102"/>
      <c r="B749" s="43" t="str">
        <f>IF(A749="", "", IFERROR(VLOOKUP(A749, Clasificaciones!A:B, 2, FALSE), "DATO NO CARGADO"))</f>
        <v/>
      </c>
      <c r="C749" s="51"/>
      <c r="D749" s="257"/>
      <c r="E749" s="102"/>
      <c r="F749" s="103"/>
      <c r="G749" s="103"/>
      <c r="H749" s="258"/>
      <c r="J749" s="103"/>
      <c r="L749" s="71"/>
      <c r="M749" s="106" t="str">
        <f>IF(ISBLANK(K749), "", VLOOKUP(C749&amp;" "&amp;D749, 'Info Tipo de Cambio y REM'!$A$24:$B$35, 2, FALSE))</f>
        <v/>
      </c>
      <c r="N749" s="107" t="str">
        <f t="shared" si="3"/>
        <v/>
      </c>
      <c r="O749" s="102" t="str">
        <f t="shared" si="2"/>
        <v/>
      </c>
    </row>
    <row r="750">
      <c r="A750" s="102"/>
      <c r="B750" s="43" t="str">
        <f>IF(A750="", "", IFERROR(VLOOKUP(A750, Clasificaciones!A:B, 2, FALSE), "DATO NO CARGADO"))</f>
        <v/>
      </c>
      <c r="C750" s="51"/>
      <c r="D750" s="257"/>
      <c r="E750" s="102"/>
      <c r="F750" s="103"/>
      <c r="G750" s="103"/>
      <c r="H750" s="258"/>
      <c r="J750" s="103"/>
      <c r="L750" s="71"/>
      <c r="M750" s="106" t="str">
        <f>IF(ISBLANK(K750), "", VLOOKUP(C750&amp;" "&amp;D750, 'Info Tipo de Cambio y REM'!$A$24:$B$35, 2, FALSE))</f>
        <v/>
      </c>
      <c r="N750" s="107" t="str">
        <f t="shared" si="3"/>
        <v/>
      </c>
      <c r="O750" s="102" t="str">
        <f t="shared" si="2"/>
        <v/>
      </c>
    </row>
    <row r="751">
      <c r="A751" s="102"/>
      <c r="B751" s="43" t="str">
        <f>IF(A751="", "", IFERROR(VLOOKUP(A751, Clasificaciones!A:B, 2, FALSE), "DATO NO CARGADO"))</f>
        <v/>
      </c>
      <c r="C751" s="51"/>
      <c r="D751" s="257"/>
      <c r="E751" s="102"/>
      <c r="F751" s="103"/>
      <c r="G751" s="103"/>
      <c r="H751" s="258"/>
      <c r="J751" s="103"/>
      <c r="L751" s="71"/>
      <c r="M751" s="106" t="str">
        <f>IF(ISBLANK(K751), "", VLOOKUP(C751&amp;" "&amp;D751, 'Info Tipo de Cambio y REM'!$A$24:$B$35, 2, FALSE))</f>
        <v/>
      </c>
      <c r="N751" s="107" t="str">
        <f t="shared" si="3"/>
        <v/>
      </c>
      <c r="O751" s="102" t="str">
        <f t="shared" si="2"/>
        <v/>
      </c>
    </row>
    <row r="752">
      <c r="A752" s="102"/>
      <c r="B752" s="43" t="str">
        <f>IF(A752="", "", IFERROR(VLOOKUP(A752, Clasificaciones!A:B, 2, FALSE), "DATO NO CARGADO"))</f>
        <v/>
      </c>
      <c r="C752" s="51"/>
      <c r="D752" s="257"/>
      <c r="E752" s="102"/>
      <c r="F752" s="103"/>
      <c r="G752" s="103"/>
      <c r="H752" s="258"/>
      <c r="J752" s="103"/>
      <c r="L752" s="71"/>
      <c r="M752" s="106" t="str">
        <f>IF(ISBLANK(K752), "", VLOOKUP(C752&amp;" "&amp;D752, 'Info Tipo de Cambio y REM'!$A$24:$B$35, 2, FALSE))</f>
        <v/>
      </c>
      <c r="N752" s="107" t="str">
        <f t="shared" si="3"/>
        <v/>
      </c>
      <c r="O752" s="102" t="str">
        <f t="shared" si="2"/>
        <v/>
      </c>
    </row>
    <row r="753">
      <c r="A753" s="102"/>
      <c r="B753" s="43" t="str">
        <f>IF(A753="", "", IFERROR(VLOOKUP(A753, Clasificaciones!A:B, 2, FALSE), "DATO NO CARGADO"))</f>
        <v/>
      </c>
      <c r="C753" s="51"/>
      <c r="D753" s="257"/>
      <c r="E753" s="102"/>
      <c r="F753" s="103"/>
      <c r="G753" s="103"/>
      <c r="H753" s="258"/>
      <c r="J753" s="103"/>
      <c r="L753" s="71"/>
      <c r="M753" s="106" t="str">
        <f>IF(ISBLANK(K753), "", VLOOKUP(C753&amp;" "&amp;D753, 'Info Tipo de Cambio y REM'!$A$24:$B$35, 2, FALSE))</f>
        <v/>
      </c>
      <c r="N753" s="107" t="str">
        <f t="shared" si="3"/>
        <v/>
      </c>
      <c r="O753" s="102" t="str">
        <f t="shared" si="2"/>
        <v/>
      </c>
    </row>
    <row r="754">
      <c r="A754" s="102"/>
      <c r="B754" s="43" t="str">
        <f>IF(A754="", "", IFERROR(VLOOKUP(A754, Clasificaciones!A:B, 2, FALSE), "DATO NO CARGADO"))</f>
        <v/>
      </c>
      <c r="C754" s="51"/>
      <c r="D754" s="257"/>
      <c r="E754" s="102"/>
      <c r="F754" s="103"/>
      <c r="G754" s="103"/>
      <c r="H754" s="258"/>
      <c r="J754" s="103"/>
      <c r="L754" s="71"/>
      <c r="M754" s="106" t="str">
        <f>IF(ISBLANK(K754), "", VLOOKUP(C754&amp;" "&amp;D754, 'Info Tipo de Cambio y REM'!$A$24:$B$35, 2, FALSE))</f>
        <v/>
      </c>
      <c r="N754" s="107" t="str">
        <f t="shared" si="3"/>
        <v/>
      </c>
      <c r="O754" s="102" t="str">
        <f t="shared" si="2"/>
        <v/>
      </c>
    </row>
    <row r="755">
      <c r="A755" s="102"/>
      <c r="B755" s="43" t="str">
        <f>IF(A755="", "", IFERROR(VLOOKUP(A755, Clasificaciones!A:B, 2, FALSE), "DATO NO CARGADO"))</f>
        <v/>
      </c>
      <c r="C755" s="51"/>
      <c r="D755" s="257"/>
      <c r="E755" s="102"/>
      <c r="F755" s="103"/>
      <c r="G755" s="103"/>
      <c r="H755" s="258"/>
      <c r="J755" s="103"/>
      <c r="L755" s="71"/>
      <c r="M755" s="106" t="str">
        <f>IF(ISBLANK(K755), "", VLOOKUP(C755&amp;" "&amp;D755, 'Info Tipo de Cambio y REM'!$A$24:$B$35, 2, FALSE))</f>
        <v/>
      </c>
      <c r="N755" s="107" t="str">
        <f t="shared" si="3"/>
        <v/>
      </c>
      <c r="O755" s="102" t="str">
        <f t="shared" si="2"/>
        <v/>
      </c>
    </row>
    <row r="756">
      <c r="A756" s="102"/>
      <c r="B756" s="43" t="str">
        <f>IF(A756="", "", IFERROR(VLOOKUP(A756, Clasificaciones!A:B, 2, FALSE), "DATO NO CARGADO"))</f>
        <v/>
      </c>
      <c r="C756" s="51"/>
      <c r="D756" s="257"/>
      <c r="E756" s="102"/>
      <c r="F756" s="103"/>
      <c r="G756" s="103"/>
      <c r="H756" s="258"/>
      <c r="J756" s="103"/>
      <c r="L756" s="71"/>
      <c r="M756" s="106" t="str">
        <f>IF(ISBLANK(K756), "", VLOOKUP(C756&amp;" "&amp;D756, 'Info Tipo de Cambio y REM'!$A$24:$B$35, 2, FALSE))</f>
        <v/>
      </c>
      <c r="N756" s="107" t="str">
        <f t="shared" si="3"/>
        <v/>
      </c>
      <c r="O756" s="102" t="str">
        <f t="shared" si="2"/>
        <v/>
      </c>
    </row>
    <row r="757">
      <c r="A757" s="102"/>
      <c r="B757" s="43" t="str">
        <f>IF(A757="", "", IFERROR(VLOOKUP(A757, Clasificaciones!A:B, 2, FALSE), "DATO NO CARGADO"))</f>
        <v/>
      </c>
      <c r="C757" s="51"/>
      <c r="D757" s="257"/>
      <c r="E757" s="102"/>
      <c r="F757" s="103"/>
      <c r="G757" s="103"/>
      <c r="H757" s="258"/>
      <c r="J757" s="103"/>
      <c r="L757" s="71"/>
      <c r="M757" s="106" t="str">
        <f>IF(ISBLANK(K757), "", VLOOKUP(C757&amp;" "&amp;D757, 'Info Tipo de Cambio y REM'!$A$24:$B$35, 2, FALSE))</f>
        <v/>
      </c>
      <c r="N757" s="107" t="str">
        <f t="shared" si="3"/>
        <v/>
      </c>
      <c r="O757" s="102" t="str">
        <f t="shared" si="2"/>
        <v/>
      </c>
    </row>
    <row r="758">
      <c r="A758" s="102"/>
      <c r="B758" s="43" t="str">
        <f>IF(A758="", "", IFERROR(VLOOKUP(A758, Clasificaciones!A:B, 2, FALSE), "DATO NO CARGADO"))</f>
        <v/>
      </c>
      <c r="C758" s="51"/>
      <c r="D758" s="257"/>
      <c r="E758" s="102"/>
      <c r="F758" s="103"/>
      <c r="G758" s="103"/>
      <c r="H758" s="258"/>
      <c r="J758" s="103"/>
      <c r="L758" s="71"/>
      <c r="M758" s="106" t="str">
        <f>IF(ISBLANK(K758), "", VLOOKUP(C758&amp;" "&amp;D758, 'Info Tipo de Cambio y REM'!$A$24:$B$35, 2, FALSE))</f>
        <v/>
      </c>
      <c r="N758" s="107" t="str">
        <f t="shared" si="3"/>
        <v/>
      </c>
      <c r="O758" s="102" t="str">
        <f t="shared" si="2"/>
        <v/>
      </c>
    </row>
    <row r="759">
      <c r="A759" s="102"/>
      <c r="B759" s="43" t="str">
        <f>IF(A759="", "", IFERROR(VLOOKUP(A759, Clasificaciones!A:B, 2, FALSE), "DATO NO CARGADO"))</f>
        <v/>
      </c>
      <c r="C759" s="51"/>
      <c r="D759" s="257"/>
      <c r="E759" s="102"/>
      <c r="F759" s="103"/>
      <c r="G759" s="103"/>
      <c r="H759" s="258"/>
      <c r="J759" s="103"/>
      <c r="L759" s="71"/>
      <c r="M759" s="106" t="str">
        <f>IF(ISBLANK(K759), "", VLOOKUP(C759&amp;" "&amp;D759, 'Info Tipo de Cambio y REM'!$A$24:$B$35, 2, FALSE))</f>
        <v/>
      </c>
      <c r="N759" s="107" t="str">
        <f t="shared" si="3"/>
        <v/>
      </c>
      <c r="O759" s="102" t="str">
        <f t="shared" si="2"/>
        <v/>
      </c>
    </row>
    <row r="760">
      <c r="A760" s="102"/>
      <c r="B760" s="43" t="str">
        <f>IF(A760="", "", IFERROR(VLOOKUP(A760, Clasificaciones!A:B, 2, FALSE), "DATO NO CARGADO"))</f>
        <v/>
      </c>
      <c r="C760" s="51"/>
      <c r="D760" s="257"/>
      <c r="E760" s="102"/>
      <c r="F760" s="103"/>
      <c r="G760" s="103"/>
      <c r="H760" s="258"/>
      <c r="J760" s="103"/>
      <c r="L760" s="71"/>
      <c r="M760" s="106" t="str">
        <f>IF(ISBLANK(K760), "", VLOOKUP(C760&amp;" "&amp;D760, 'Info Tipo de Cambio y REM'!$A$24:$B$35, 2, FALSE))</f>
        <v/>
      </c>
      <c r="N760" s="107" t="str">
        <f t="shared" si="3"/>
        <v/>
      </c>
      <c r="O760" s="102" t="str">
        <f t="shared" si="2"/>
        <v/>
      </c>
    </row>
    <row r="761">
      <c r="A761" s="102"/>
      <c r="B761" s="43" t="str">
        <f>IF(A761="", "", IFERROR(VLOOKUP(A761, Clasificaciones!A:B, 2, FALSE), "DATO NO CARGADO"))</f>
        <v/>
      </c>
      <c r="C761" s="51"/>
      <c r="D761" s="257"/>
      <c r="E761" s="102"/>
      <c r="F761" s="103"/>
      <c r="G761" s="103"/>
      <c r="H761" s="258"/>
      <c r="J761" s="103"/>
      <c r="L761" s="71"/>
      <c r="M761" s="106" t="str">
        <f>IF(ISBLANK(K761), "", VLOOKUP(C761&amp;" "&amp;D761, 'Info Tipo de Cambio y REM'!$A$24:$B$35, 2, FALSE))</f>
        <v/>
      </c>
      <c r="N761" s="107" t="str">
        <f t="shared" si="3"/>
        <v/>
      </c>
      <c r="O761" s="102" t="str">
        <f t="shared" si="2"/>
        <v/>
      </c>
    </row>
    <row r="762">
      <c r="A762" s="102"/>
      <c r="B762" s="43" t="str">
        <f>IF(A762="", "", IFERROR(VLOOKUP(A762, Clasificaciones!A:B, 2, FALSE), "DATO NO CARGADO"))</f>
        <v/>
      </c>
      <c r="C762" s="51"/>
      <c r="D762" s="257"/>
      <c r="E762" s="102"/>
      <c r="F762" s="103"/>
      <c r="G762" s="103"/>
      <c r="H762" s="258"/>
      <c r="J762" s="103"/>
      <c r="L762" s="71"/>
      <c r="M762" s="106" t="str">
        <f>IF(ISBLANK(K762), "", VLOOKUP(C762&amp;" "&amp;D762, 'Info Tipo de Cambio y REM'!$A$24:$B$35, 2, FALSE))</f>
        <v/>
      </c>
      <c r="N762" s="107" t="str">
        <f t="shared" si="3"/>
        <v/>
      </c>
      <c r="O762" s="102" t="str">
        <f t="shared" si="2"/>
        <v/>
      </c>
    </row>
    <row r="763">
      <c r="A763" s="102"/>
      <c r="B763" s="43" t="str">
        <f>IF(A763="", "", IFERROR(VLOOKUP(A763, Clasificaciones!A:B, 2, FALSE), "DATO NO CARGADO"))</f>
        <v/>
      </c>
      <c r="C763" s="51"/>
      <c r="D763" s="257"/>
      <c r="E763" s="102"/>
      <c r="F763" s="103"/>
      <c r="G763" s="103"/>
      <c r="H763" s="258"/>
      <c r="J763" s="103"/>
      <c r="L763" s="71"/>
      <c r="M763" s="106" t="str">
        <f>IF(ISBLANK(K763), "", VLOOKUP(C763&amp;" "&amp;D763, 'Info Tipo de Cambio y REM'!$A$24:$B$35, 2, FALSE))</f>
        <v/>
      </c>
      <c r="N763" s="107" t="str">
        <f t="shared" si="3"/>
        <v/>
      </c>
      <c r="O763" s="102" t="str">
        <f t="shared" si="2"/>
        <v/>
      </c>
    </row>
    <row r="764">
      <c r="A764" s="102"/>
      <c r="B764" s="43" t="str">
        <f>IF(A764="", "", IFERROR(VLOOKUP(A764, Clasificaciones!A:B, 2, FALSE), "DATO NO CARGADO"))</f>
        <v/>
      </c>
      <c r="C764" s="51"/>
      <c r="D764" s="257"/>
      <c r="E764" s="102"/>
      <c r="F764" s="103"/>
      <c r="G764" s="103"/>
      <c r="H764" s="258"/>
      <c r="J764" s="103"/>
      <c r="L764" s="71"/>
      <c r="M764" s="106" t="str">
        <f>IF(ISBLANK(K764), "", VLOOKUP(C764&amp;" "&amp;D764, 'Info Tipo de Cambio y REM'!$A$24:$B$35, 2, FALSE))</f>
        <v/>
      </c>
      <c r="N764" s="107" t="str">
        <f t="shared" si="3"/>
        <v/>
      </c>
      <c r="O764" s="102" t="str">
        <f t="shared" si="2"/>
        <v/>
      </c>
    </row>
    <row r="765">
      <c r="A765" s="102"/>
      <c r="B765" s="43" t="str">
        <f>IF(A765="", "", IFERROR(VLOOKUP(A765, Clasificaciones!A:B, 2, FALSE), "DATO NO CARGADO"))</f>
        <v/>
      </c>
      <c r="C765" s="51"/>
      <c r="D765" s="257"/>
      <c r="E765" s="102"/>
      <c r="F765" s="103"/>
      <c r="G765" s="103"/>
      <c r="H765" s="258"/>
      <c r="J765" s="103"/>
      <c r="L765" s="71"/>
      <c r="M765" s="106" t="str">
        <f>IF(ISBLANK(K765), "", VLOOKUP(C765&amp;" "&amp;D765, 'Info Tipo de Cambio y REM'!$A$24:$B$35, 2, FALSE))</f>
        <v/>
      </c>
      <c r="N765" s="107" t="str">
        <f t="shared" si="3"/>
        <v/>
      </c>
      <c r="O765" s="102" t="str">
        <f t="shared" si="2"/>
        <v/>
      </c>
    </row>
    <row r="766">
      <c r="A766" s="102"/>
      <c r="B766" s="43" t="str">
        <f>IF(A766="", "", IFERROR(VLOOKUP(A766, Clasificaciones!A:B, 2, FALSE), "DATO NO CARGADO"))</f>
        <v/>
      </c>
      <c r="C766" s="51"/>
      <c r="D766" s="257"/>
      <c r="E766" s="102"/>
      <c r="F766" s="103"/>
      <c r="G766" s="103"/>
      <c r="H766" s="258"/>
      <c r="J766" s="103"/>
      <c r="L766" s="71"/>
      <c r="M766" s="106" t="str">
        <f>IF(ISBLANK(K766), "", VLOOKUP(C766&amp;" "&amp;D766, 'Info Tipo de Cambio y REM'!$A$24:$B$35, 2, FALSE))</f>
        <v/>
      </c>
      <c r="N766" s="107" t="str">
        <f t="shared" si="3"/>
        <v/>
      </c>
      <c r="O766" s="102" t="str">
        <f t="shared" si="2"/>
        <v/>
      </c>
    </row>
    <row r="767">
      <c r="A767" s="102"/>
      <c r="B767" s="43" t="str">
        <f>IF(A767="", "", IFERROR(VLOOKUP(A767, Clasificaciones!A:B, 2, FALSE), "DATO NO CARGADO"))</f>
        <v/>
      </c>
      <c r="C767" s="51"/>
      <c r="D767" s="257"/>
      <c r="E767" s="102"/>
      <c r="F767" s="103"/>
      <c r="G767" s="103"/>
      <c r="H767" s="258"/>
      <c r="J767" s="103"/>
      <c r="L767" s="71"/>
      <c r="M767" s="106" t="str">
        <f>IF(ISBLANK(K767), "", VLOOKUP(C767&amp;" "&amp;D767, 'Info Tipo de Cambio y REM'!$A$24:$B$35, 2, FALSE))</f>
        <v/>
      </c>
      <c r="N767" s="107" t="str">
        <f t="shared" si="3"/>
        <v/>
      </c>
      <c r="O767" s="102" t="str">
        <f t="shared" si="2"/>
        <v/>
      </c>
    </row>
    <row r="768">
      <c r="A768" s="102"/>
      <c r="B768" s="43" t="str">
        <f>IF(A768="", "", IFERROR(VLOOKUP(A768, Clasificaciones!A:B, 2, FALSE), "DATO NO CARGADO"))</f>
        <v/>
      </c>
      <c r="C768" s="51"/>
      <c r="D768" s="257"/>
      <c r="E768" s="102"/>
      <c r="F768" s="103"/>
      <c r="G768" s="103"/>
      <c r="H768" s="258"/>
      <c r="J768" s="103"/>
      <c r="L768" s="71"/>
      <c r="M768" s="106" t="str">
        <f>IF(ISBLANK(K768), "", VLOOKUP(C768&amp;" "&amp;D768, 'Info Tipo de Cambio y REM'!$A$24:$B$35, 2, FALSE))</f>
        <v/>
      </c>
      <c r="N768" s="107" t="str">
        <f t="shared" si="3"/>
        <v/>
      </c>
      <c r="O768" s="102" t="str">
        <f t="shared" si="2"/>
        <v/>
      </c>
    </row>
    <row r="769">
      <c r="A769" s="102"/>
      <c r="B769" s="43" t="str">
        <f>IF(A769="", "", IFERROR(VLOOKUP(A769, Clasificaciones!A:B, 2, FALSE), "DATO NO CARGADO"))</f>
        <v/>
      </c>
      <c r="C769" s="51"/>
      <c r="D769" s="257"/>
      <c r="E769" s="102"/>
      <c r="F769" s="103"/>
      <c r="G769" s="103"/>
      <c r="H769" s="258"/>
      <c r="J769" s="103"/>
      <c r="L769" s="71"/>
      <c r="M769" s="106" t="str">
        <f>IF(ISBLANK(K769), "", VLOOKUP(C769&amp;" "&amp;D769, 'Info Tipo de Cambio y REM'!$A$24:$B$35, 2, FALSE))</f>
        <v/>
      </c>
      <c r="N769" s="107" t="str">
        <f t="shared" si="3"/>
        <v/>
      </c>
      <c r="O769" s="102" t="str">
        <f t="shared" si="2"/>
        <v/>
      </c>
    </row>
    <row r="770">
      <c r="A770" s="102"/>
      <c r="B770" s="43" t="str">
        <f>IF(A770="", "", IFERROR(VLOOKUP(A770, Clasificaciones!A:B, 2, FALSE), "DATO NO CARGADO"))</f>
        <v/>
      </c>
      <c r="C770" s="51"/>
      <c r="D770" s="257"/>
      <c r="E770" s="102"/>
      <c r="F770" s="103"/>
      <c r="G770" s="103"/>
      <c r="H770" s="258"/>
      <c r="J770" s="103"/>
      <c r="L770" s="71"/>
      <c r="M770" s="106" t="str">
        <f>IF(ISBLANK(K770), "", VLOOKUP(C770&amp;" "&amp;D770, 'Info Tipo de Cambio y REM'!$A$24:$B$35, 2, FALSE))</f>
        <v/>
      </c>
      <c r="N770" s="107" t="str">
        <f t="shared" si="3"/>
        <v/>
      </c>
      <c r="O770" s="102" t="str">
        <f t="shared" si="2"/>
        <v/>
      </c>
    </row>
    <row r="771">
      <c r="A771" s="102"/>
      <c r="B771" s="43" t="str">
        <f>IF(A771="", "", IFERROR(VLOOKUP(A771, Clasificaciones!A:B, 2, FALSE), "DATO NO CARGADO"))</f>
        <v/>
      </c>
      <c r="C771" s="51"/>
      <c r="D771" s="257"/>
      <c r="E771" s="102"/>
      <c r="F771" s="103"/>
      <c r="G771" s="103"/>
      <c r="H771" s="258"/>
      <c r="J771" s="103"/>
      <c r="L771" s="71"/>
      <c r="M771" s="106" t="str">
        <f>IF(ISBLANK(K771), "", VLOOKUP(C771&amp;" "&amp;D771, 'Info Tipo de Cambio y REM'!$A$24:$B$35, 2, FALSE))</f>
        <v/>
      </c>
      <c r="N771" s="107" t="str">
        <f t="shared" si="3"/>
        <v/>
      </c>
      <c r="O771" s="102" t="str">
        <f t="shared" si="2"/>
        <v/>
      </c>
    </row>
    <row r="772">
      <c r="A772" s="102"/>
      <c r="B772" s="43" t="str">
        <f>IF(A772="", "", IFERROR(VLOOKUP(A772, Clasificaciones!A:B, 2, FALSE), "DATO NO CARGADO"))</f>
        <v/>
      </c>
      <c r="C772" s="51"/>
      <c r="D772" s="257"/>
      <c r="E772" s="102"/>
      <c r="F772" s="103"/>
      <c r="G772" s="103"/>
      <c r="H772" s="258"/>
      <c r="J772" s="103"/>
      <c r="L772" s="71"/>
      <c r="M772" s="106" t="str">
        <f>IF(ISBLANK(K772), "", VLOOKUP(C772&amp;" "&amp;D772, 'Info Tipo de Cambio y REM'!$A$24:$B$35, 2, FALSE))</f>
        <v/>
      </c>
      <c r="N772" s="107" t="str">
        <f t="shared" si="3"/>
        <v/>
      </c>
      <c r="O772" s="102" t="str">
        <f t="shared" si="2"/>
        <v/>
      </c>
    </row>
    <row r="773">
      <c r="A773" s="102"/>
      <c r="B773" s="43" t="str">
        <f>IF(A773="", "", IFERROR(VLOOKUP(A773, Clasificaciones!A:B, 2, FALSE), "DATO NO CARGADO"))</f>
        <v/>
      </c>
      <c r="C773" s="51"/>
      <c r="D773" s="257"/>
      <c r="E773" s="102"/>
      <c r="F773" s="103"/>
      <c r="G773" s="103"/>
      <c r="H773" s="258"/>
      <c r="J773" s="103"/>
      <c r="L773" s="71"/>
      <c r="M773" s="106" t="str">
        <f>IF(ISBLANK(K773), "", VLOOKUP(C773&amp;" "&amp;D773, 'Info Tipo de Cambio y REM'!$A$24:$B$35, 2, FALSE))</f>
        <v/>
      </c>
      <c r="N773" s="107" t="str">
        <f t="shared" si="3"/>
        <v/>
      </c>
      <c r="O773" s="102" t="str">
        <f t="shared" si="2"/>
        <v/>
      </c>
    </row>
    <row r="774">
      <c r="A774" s="102"/>
      <c r="B774" s="43" t="str">
        <f>IF(A774="", "", IFERROR(VLOOKUP(A774, Clasificaciones!A:B, 2, FALSE), "DATO NO CARGADO"))</f>
        <v/>
      </c>
      <c r="C774" s="51"/>
      <c r="D774" s="257"/>
      <c r="E774" s="102"/>
      <c r="F774" s="103"/>
      <c r="G774" s="103"/>
      <c r="H774" s="258"/>
      <c r="J774" s="103"/>
      <c r="L774" s="71"/>
      <c r="M774" s="106" t="str">
        <f>IF(ISBLANK(K774), "", VLOOKUP(C774&amp;" "&amp;D774, 'Info Tipo de Cambio y REM'!$A$24:$B$35, 2, FALSE))</f>
        <v/>
      </c>
      <c r="N774" s="107" t="str">
        <f t="shared" si="3"/>
        <v/>
      </c>
      <c r="O774" s="102" t="str">
        <f t="shared" si="2"/>
        <v/>
      </c>
    </row>
    <row r="775">
      <c r="A775" s="102"/>
      <c r="B775" s="43" t="str">
        <f>IF(A775="", "", IFERROR(VLOOKUP(A775, Clasificaciones!A:B, 2, FALSE), "DATO NO CARGADO"))</f>
        <v/>
      </c>
      <c r="C775" s="51"/>
      <c r="D775" s="257"/>
      <c r="E775" s="102"/>
      <c r="F775" s="103"/>
      <c r="G775" s="103"/>
      <c r="H775" s="258"/>
      <c r="J775" s="103"/>
      <c r="L775" s="71"/>
      <c r="M775" s="106" t="str">
        <f>IF(ISBLANK(K775), "", VLOOKUP(C775&amp;" "&amp;D775, 'Info Tipo de Cambio y REM'!$A$24:$B$35, 2, FALSE))</f>
        <v/>
      </c>
      <c r="N775" s="107" t="str">
        <f t="shared" si="3"/>
        <v/>
      </c>
      <c r="O775" s="102" t="str">
        <f t="shared" si="2"/>
        <v/>
      </c>
    </row>
    <row r="776">
      <c r="A776" s="102"/>
      <c r="B776" s="43" t="str">
        <f>IF(A776="", "", IFERROR(VLOOKUP(A776, Clasificaciones!A:B, 2, FALSE), "DATO NO CARGADO"))</f>
        <v/>
      </c>
      <c r="C776" s="51"/>
      <c r="D776" s="257"/>
      <c r="E776" s="102"/>
      <c r="F776" s="103"/>
      <c r="G776" s="103"/>
      <c r="H776" s="258"/>
      <c r="J776" s="103"/>
      <c r="L776" s="71"/>
      <c r="M776" s="106" t="str">
        <f>IF(ISBLANK(K776), "", VLOOKUP(C776&amp;" "&amp;D776, 'Info Tipo de Cambio y REM'!$A$24:$B$35, 2, FALSE))</f>
        <v/>
      </c>
      <c r="N776" s="107" t="str">
        <f t="shared" si="3"/>
        <v/>
      </c>
      <c r="O776" s="102" t="str">
        <f t="shared" si="2"/>
        <v/>
      </c>
    </row>
    <row r="777">
      <c r="A777" s="102"/>
      <c r="B777" s="43" t="str">
        <f>IF(A777="", "", IFERROR(VLOOKUP(A777, Clasificaciones!A:B, 2, FALSE), "DATO NO CARGADO"))</f>
        <v/>
      </c>
      <c r="C777" s="51"/>
      <c r="D777" s="257"/>
      <c r="E777" s="102"/>
      <c r="F777" s="103"/>
      <c r="G777" s="103"/>
      <c r="H777" s="258"/>
      <c r="J777" s="103"/>
      <c r="L777" s="71"/>
      <c r="M777" s="106" t="str">
        <f>IF(ISBLANK(K777), "", VLOOKUP(C777&amp;" "&amp;D777, 'Info Tipo de Cambio y REM'!$A$24:$B$35, 2, FALSE))</f>
        <v/>
      </c>
      <c r="N777" s="107" t="str">
        <f t="shared" si="3"/>
        <v/>
      </c>
      <c r="O777" s="102" t="str">
        <f t="shared" si="2"/>
        <v/>
      </c>
    </row>
    <row r="778">
      <c r="A778" s="102"/>
      <c r="B778" s="43" t="str">
        <f>IF(A778="", "", IFERROR(VLOOKUP(A778, Clasificaciones!A:B, 2, FALSE), "DATO NO CARGADO"))</f>
        <v/>
      </c>
      <c r="C778" s="51"/>
      <c r="D778" s="257"/>
      <c r="E778" s="102"/>
      <c r="F778" s="103"/>
      <c r="G778" s="103"/>
      <c r="H778" s="258"/>
      <c r="J778" s="103"/>
      <c r="L778" s="71"/>
      <c r="M778" s="106" t="str">
        <f>IF(ISBLANK(K778), "", VLOOKUP(C778&amp;" "&amp;D778, 'Info Tipo de Cambio y REM'!$A$24:$B$35, 2, FALSE))</f>
        <v/>
      </c>
      <c r="N778" s="107" t="str">
        <f t="shared" si="3"/>
        <v/>
      </c>
      <c r="O778" s="102" t="str">
        <f t="shared" si="2"/>
        <v/>
      </c>
    </row>
    <row r="779">
      <c r="A779" s="102"/>
      <c r="B779" s="43" t="str">
        <f>IF(A779="", "", IFERROR(VLOOKUP(A779, Clasificaciones!A:B, 2, FALSE), "DATO NO CARGADO"))</f>
        <v/>
      </c>
      <c r="C779" s="51"/>
      <c r="D779" s="257"/>
      <c r="E779" s="102"/>
      <c r="F779" s="103"/>
      <c r="G779" s="103"/>
      <c r="H779" s="258"/>
      <c r="J779" s="103"/>
      <c r="L779" s="71"/>
      <c r="M779" s="106" t="str">
        <f>IF(ISBLANK(K779), "", VLOOKUP(C779&amp;" "&amp;D779, 'Info Tipo de Cambio y REM'!$A$24:$B$35, 2, FALSE))</f>
        <v/>
      </c>
      <c r="N779" s="107" t="str">
        <f t="shared" si="3"/>
        <v/>
      </c>
      <c r="O779" s="102" t="str">
        <f t="shared" si="2"/>
        <v/>
      </c>
    </row>
    <row r="780">
      <c r="A780" s="102"/>
      <c r="B780" s="43" t="str">
        <f>IF(A780="", "", IFERROR(VLOOKUP(A780, Clasificaciones!A:B, 2, FALSE), "DATO NO CARGADO"))</f>
        <v/>
      </c>
      <c r="C780" s="51"/>
      <c r="D780" s="257"/>
      <c r="E780" s="102"/>
      <c r="F780" s="103"/>
      <c r="G780" s="103"/>
      <c r="H780" s="258"/>
      <c r="J780" s="103"/>
      <c r="L780" s="71"/>
      <c r="M780" s="106" t="str">
        <f>IF(ISBLANK(K780), "", VLOOKUP(C780&amp;" "&amp;D780, 'Info Tipo de Cambio y REM'!$A$24:$B$35, 2, FALSE))</f>
        <v/>
      </c>
      <c r="N780" s="107" t="str">
        <f t="shared" si="3"/>
        <v/>
      </c>
      <c r="O780" s="102" t="str">
        <f t="shared" si="2"/>
        <v/>
      </c>
    </row>
    <row r="781">
      <c r="A781" s="102"/>
      <c r="B781" s="43" t="str">
        <f>IF(A781="", "", IFERROR(VLOOKUP(A781, Clasificaciones!A:B, 2, FALSE), "DATO NO CARGADO"))</f>
        <v/>
      </c>
      <c r="C781" s="51"/>
      <c r="D781" s="257"/>
      <c r="E781" s="102"/>
      <c r="F781" s="103"/>
      <c r="G781" s="103"/>
      <c r="H781" s="258"/>
      <c r="J781" s="103"/>
      <c r="L781" s="71"/>
      <c r="M781" s="106" t="str">
        <f>IF(ISBLANK(K781), "", VLOOKUP(C781&amp;" "&amp;D781, 'Info Tipo de Cambio y REM'!$A$24:$B$35, 2, FALSE))</f>
        <v/>
      </c>
      <c r="N781" s="107" t="str">
        <f t="shared" si="3"/>
        <v/>
      </c>
      <c r="O781" s="102" t="str">
        <f t="shared" si="2"/>
        <v/>
      </c>
    </row>
    <row r="782">
      <c r="A782" s="102"/>
      <c r="B782" s="43" t="str">
        <f>IF(A782="", "", IFERROR(VLOOKUP(A782, Clasificaciones!A:B, 2, FALSE), "DATO NO CARGADO"))</f>
        <v/>
      </c>
      <c r="C782" s="51"/>
      <c r="D782" s="257"/>
      <c r="E782" s="102"/>
      <c r="F782" s="103"/>
      <c r="G782" s="103"/>
      <c r="H782" s="258"/>
      <c r="J782" s="103"/>
      <c r="L782" s="71"/>
      <c r="M782" s="106" t="str">
        <f>IF(ISBLANK(K782), "", VLOOKUP(C782&amp;" "&amp;D782, 'Info Tipo de Cambio y REM'!$A$24:$B$35, 2, FALSE))</f>
        <v/>
      </c>
      <c r="N782" s="107" t="str">
        <f t="shared" si="3"/>
        <v/>
      </c>
      <c r="O782" s="102" t="str">
        <f t="shared" si="2"/>
        <v/>
      </c>
    </row>
    <row r="783">
      <c r="A783" s="102"/>
      <c r="B783" s="43" t="str">
        <f>IF(A783="", "", IFERROR(VLOOKUP(A783, Clasificaciones!A:B, 2, FALSE), "DATO NO CARGADO"))</f>
        <v/>
      </c>
      <c r="C783" s="51"/>
      <c r="D783" s="257"/>
      <c r="E783" s="102"/>
      <c r="F783" s="103"/>
      <c r="G783" s="103"/>
      <c r="H783" s="258"/>
      <c r="J783" s="103"/>
      <c r="L783" s="71"/>
      <c r="M783" s="106" t="str">
        <f>IF(ISBLANK(K783), "", VLOOKUP(C783&amp;" "&amp;D783, 'Info Tipo de Cambio y REM'!$A$24:$B$35, 2, FALSE))</f>
        <v/>
      </c>
      <c r="N783" s="107" t="str">
        <f t="shared" si="3"/>
        <v/>
      </c>
      <c r="O783" s="102" t="str">
        <f t="shared" si="2"/>
        <v/>
      </c>
    </row>
    <row r="784">
      <c r="A784" s="102"/>
      <c r="B784" s="43" t="str">
        <f>IF(A784="", "", IFERROR(VLOOKUP(A784, Clasificaciones!A:B, 2, FALSE), "DATO NO CARGADO"))</f>
        <v/>
      </c>
      <c r="C784" s="51"/>
      <c r="D784" s="257"/>
      <c r="E784" s="102"/>
      <c r="F784" s="103"/>
      <c r="G784" s="103"/>
      <c r="H784" s="258"/>
      <c r="J784" s="103"/>
      <c r="L784" s="71"/>
      <c r="M784" s="106" t="str">
        <f>IF(ISBLANK(K784), "", VLOOKUP(C784&amp;" "&amp;D784, 'Info Tipo de Cambio y REM'!$A$24:$B$35, 2, FALSE))</f>
        <v/>
      </c>
      <c r="N784" s="107" t="str">
        <f t="shared" si="3"/>
        <v/>
      </c>
      <c r="O784" s="102" t="str">
        <f t="shared" si="2"/>
        <v/>
      </c>
    </row>
    <row r="785">
      <c r="A785" s="102"/>
      <c r="B785" s="43" t="str">
        <f>IF(A785="", "", IFERROR(VLOOKUP(A785, Clasificaciones!A:B, 2, FALSE), "DATO NO CARGADO"))</f>
        <v/>
      </c>
      <c r="C785" s="51"/>
      <c r="D785" s="257"/>
      <c r="E785" s="102"/>
      <c r="F785" s="103"/>
      <c r="G785" s="103"/>
      <c r="H785" s="258"/>
      <c r="J785" s="103"/>
      <c r="L785" s="71"/>
      <c r="M785" s="106" t="str">
        <f>IF(ISBLANK(K785), "", VLOOKUP(C785&amp;" "&amp;D785, 'Info Tipo de Cambio y REM'!$A$24:$B$35, 2, FALSE))</f>
        <v/>
      </c>
      <c r="N785" s="107" t="str">
        <f t="shared" si="3"/>
        <v/>
      </c>
      <c r="O785" s="102" t="str">
        <f t="shared" si="2"/>
        <v/>
      </c>
    </row>
    <row r="786">
      <c r="A786" s="102"/>
      <c r="B786" s="43" t="str">
        <f>IF(A786="", "", IFERROR(VLOOKUP(A786, Clasificaciones!A:B, 2, FALSE), "DATO NO CARGADO"))</f>
        <v/>
      </c>
      <c r="C786" s="51"/>
      <c r="D786" s="257"/>
      <c r="E786" s="102"/>
      <c r="F786" s="103"/>
      <c r="G786" s="103"/>
      <c r="H786" s="258"/>
      <c r="J786" s="103"/>
      <c r="L786" s="71"/>
      <c r="M786" s="106" t="str">
        <f>IF(ISBLANK(K786), "", VLOOKUP(C786&amp;" "&amp;D786, 'Info Tipo de Cambio y REM'!$A$24:$B$35, 2, FALSE))</f>
        <v/>
      </c>
      <c r="N786" s="107" t="str">
        <f t="shared" si="3"/>
        <v/>
      </c>
      <c r="O786" s="102" t="str">
        <f t="shared" si="2"/>
        <v/>
      </c>
    </row>
    <row r="787">
      <c r="A787" s="102"/>
      <c r="B787" s="43" t="str">
        <f>IF(A787="", "", IFERROR(VLOOKUP(A787, Clasificaciones!A:B, 2, FALSE), "DATO NO CARGADO"))</f>
        <v/>
      </c>
      <c r="C787" s="51"/>
      <c r="D787" s="257"/>
      <c r="E787" s="102"/>
      <c r="F787" s="103"/>
      <c r="G787" s="103"/>
      <c r="H787" s="258"/>
      <c r="J787" s="103"/>
      <c r="L787" s="71"/>
      <c r="M787" s="106" t="str">
        <f>IF(ISBLANK(K787), "", VLOOKUP(C787&amp;" "&amp;D787, 'Info Tipo de Cambio y REM'!$A$24:$B$35, 2, FALSE))</f>
        <v/>
      </c>
      <c r="N787" s="107" t="str">
        <f t="shared" si="3"/>
        <v/>
      </c>
      <c r="O787" s="102" t="str">
        <f t="shared" si="2"/>
        <v/>
      </c>
    </row>
    <row r="788">
      <c r="A788" s="102"/>
      <c r="B788" s="43" t="str">
        <f>IF(A788="", "", IFERROR(VLOOKUP(A788, Clasificaciones!A:B, 2, FALSE), "DATO NO CARGADO"))</f>
        <v/>
      </c>
      <c r="C788" s="51"/>
      <c r="D788" s="257"/>
      <c r="E788" s="102"/>
      <c r="F788" s="103"/>
      <c r="G788" s="103"/>
      <c r="H788" s="258"/>
      <c r="J788" s="103"/>
      <c r="L788" s="71"/>
      <c r="M788" s="106" t="str">
        <f>IF(ISBLANK(K788), "", VLOOKUP(C788&amp;" "&amp;D788, 'Info Tipo de Cambio y REM'!$A$24:$B$35, 2, FALSE))</f>
        <v/>
      </c>
      <c r="N788" s="107" t="str">
        <f t="shared" si="3"/>
        <v/>
      </c>
      <c r="O788" s="102" t="str">
        <f t="shared" si="2"/>
        <v/>
      </c>
    </row>
    <row r="789">
      <c r="A789" s="102"/>
      <c r="B789" s="43" t="str">
        <f>IF(A789="", "", IFERROR(VLOOKUP(A789, Clasificaciones!A:B, 2, FALSE), "DATO NO CARGADO"))</f>
        <v/>
      </c>
      <c r="C789" s="51"/>
      <c r="D789" s="257"/>
      <c r="E789" s="102"/>
      <c r="F789" s="103"/>
      <c r="G789" s="103"/>
      <c r="H789" s="258"/>
      <c r="J789" s="103"/>
      <c r="L789" s="71"/>
      <c r="M789" s="106" t="str">
        <f>IF(ISBLANK(K789), "", VLOOKUP(C789&amp;" "&amp;D789, 'Info Tipo de Cambio y REM'!$A$24:$B$35, 2, FALSE))</f>
        <v/>
      </c>
      <c r="N789" s="107" t="str">
        <f t="shared" si="3"/>
        <v/>
      </c>
      <c r="O789" s="102" t="str">
        <f t="shared" si="2"/>
        <v/>
      </c>
    </row>
    <row r="790">
      <c r="A790" s="102"/>
      <c r="B790" s="43" t="str">
        <f>IF(A790="", "", IFERROR(VLOOKUP(A790, Clasificaciones!A:B, 2, FALSE), "DATO NO CARGADO"))</f>
        <v/>
      </c>
      <c r="C790" s="51"/>
      <c r="D790" s="257"/>
      <c r="E790" s="102"/>
      <c r="F790" s="103"/>
      <c r="G790" s="103"/>
      <c r="H790" s="258"/>
      <c r="J790" s="103"/>
      <c r="L790" s="71"/>
      <c r="M790" s="106" t="str">
        <f>IF(ISBLANK(K790), "", VLOOKUP(C790&amp;" "&amp;D790, 'Info Tipo de Cambio y REM'!$A$24:$B$35, 2, FALSE))</f>
        <v/>
      </c>
      <c r="N790" s="107" t="str">
        <f t="shared" si="3"/>
        <v/>
      </c>
      <c r="O790" s="102" t="str">
        <f t="shared" si="2"/>
        <v/>
      </c>
    </row>
    <row r="791">
      <c r="A791" s="102"/>
      <c r="B791" s="43" t="str">
        <f>IF(A791="", "", IFERROR(VLOOKUP(A791, Clasificaciones!A:B, 2, FALSE), "DATO NO CARGADO"))</f>
        <v/>
      </c>
      <c r="C791" s="51"/>
      <c r="D791" s="257"/>
      <c r="E791" s="102"/>
      <c r="F791" s="103"/>
      <c r="G791" s="103"/>
      <c r="H791" s="258"/>
      <c r="J791" s="103"/>
      <c r="L791" s="71"/>
      <c r="M791" s="106" t="str">
        <f>IF(ISBLANK(K791), "", VLOOKUP(C791&amp;" "&amp;D791, 'Info Tipo de Cambio y REM'!$A$24:$B$35, 2, FALSE))</f>
        <v/>
      </c>
      <c r="N791" s="107" t="str">
        <f t="shared" si="3"/>
        <v/>
      </c>
      <c r="O791" s="102" t="str">
        <f t="shared" si="2"/>
        <v/>
      </c>
    </row>
    <row r="792">
      <c r="A792" s="102"/>
      <c r="B792" s="43" t="str">
        <f>IF(A792="", "", IFERROR(VLOOKUP(A792, Clasificaciones!A:B, 2, FALSE), "DATO NO CARGADO"))</f>
        <v/>
      </c>
      <c r="C792" s="51"/>
      <c r="D792" s="257"/>
      <c r="E792" s="102"/>
      <c r="F792" s="103"/>
      <c r="G792" s="103"/>
      <c r="H792" s="258"/>
      <c r="J792" s="103"/>
      <c r="L792" s="71"/>
      <c r="M792" s="106" t="str">
        <f>IF(ISBLANK(K792), "", VLOOKUP(C792&amp;" "&amp;D792, 'Info Tipo de Cambio y REM'!$A$24:$B$35, 2, FALSE))</f>
        <v/>
      </c>
      <c r="N792" s="107" t="str">
        <f t="shared" si="3"/>
        <v/>
      </c>
      <c r="O792" s="102" t="str">
        <f t="shared" si="2"/>
        <v/>
      </c>
    </row>
    <row r="793">
      <c r="A793" s="102"/>
      <c r="B793" s="43" t="str">
        <f>IF(A793="", "", IFERROR(VLOOKUP(A793, Clasificaciones!A:B, 2, FALSE), "DATO NO CARGADO"))</f>
        <v/>
      </c>
      <c r="C793" s="51"/>
      <c r="D793" s="257"/>
      <c r="E793" s="102"/>
      <c r="F793" s="103"/>
      <c r="G793" s="103"/>
      <c r="H793" s="258"/>
      <c r="J793" s="103"/>
      <c r="L793" s="71"/>
      <c r="M793" s="106" t="str">
        <f>IF(ISBLANK(K793), "", VLOOKUP(C793&amp;" "&amp;D793, 'Info Tipo de Cambio y REM'!$A$24:$B$35, 2, FALSE))</f>
        <v/>
      </c>
      <c r="N793" s="107" t="str">
        <f t="shared" si="3"/>
        <v/>
      </c>
      <c r="O793" s="102" t="str">
        <f t="shared" si="2"/>
        <v/>
      </c>
    </row>
    <row r="794">
      <c r="A794" s="102"/>
      <c r="B794" s="43" t="str">
        <f>IF(A794="", "", IFERROR(VLOOKUP(A794, Clasificaciones!A:B, 2, FALSE), "DATO NO CARGADO"))</f>
        <v/>
      </c>
      <c r="C794" s="51"/>
      <c r="D794" s="257"/>
      <c r="E794" s="102"/>
      <c r="F794" s="103"/>
      <c r="G794" s="103"/>
      <c r="H794" s="258"/>
      <c r="J794" s="103"/>
      <c r="L794" s="71"/>
      <c r="M794" s="106" t="str">
        <f>IF(ISBLANK(K794), "", VLOOKUP(C794&amp;" "&amp;D794, 'Info Tipo de Cambio y REM'!$A$24:$B$35, 2, FALSE))</f>
        <v/>
      </c>
      <c r="N794" s="107" t="str">
        <f t="shared" si="3"/>
        <v/>
      </c>
      <c r="O794" s="102" t="str">
        <f t="shared" si="2"/>
        <v/>
      </c>
    </row>
    <row r="795">
      <c r="A795" s="102"/>
      <c r="B795" s="43" t="str">
        <f>IF(A795="", "", IFERROR(VLOOKUP(A795, Clasificaciones!A:B, 2, FALSE), "DATO NO CARGADO"))</f>
        <v/>
      </c>
      <c r="C795" s="51"/>
      <c r="D795" s="257"/>
      <c r="E795" s="102"/>
      <c r="F795" s="103"/>
      <c r="G795" s="103"/>
      <c r="H795" s="258"/>
      <c r="J795" s="103"/>
      <c r="L795" s="71"/>
      <c r="M795" s="106" t="str">
        <f>IF(ISBLANK(K795), "", VLOOKUP(C795&amp;" "&amp;D795, 'Info Tipo de Cambio y REM'!$A$24:$B$35, 2, FALSE))</f>
        <v/>
      </c>
      <c r="N795" s="107" t="str">
        <f t="shared" si="3"/>
        <v/>
      </c>
      <c r="O795" s="102" t="str">
        <f t="shared" si="2"/>
        <v/>
      </c>
    </row>
    <row r="796">
      <c r="A796" s="102"/>
      <c r="B796" s="43" t="str">
        <f>IF(A796="", "", IFERROR(VLOOKUP(A796, Clasificaciones!A:B, 2, FALSE), "DATO NO CARGADO"))</f>
        <v/>
      </c>
      <c r="C796" s="51"/>
      <c r="D796" s="257"/>
      <c r="E796" s="102"/>
      <c r="F796" s="103"/>
      <c r="G796" s="103"/>
      <c r="H796" s="258"/>
      <c r="J796" s="103"/>
      <c r="L796" s="71"/>
      <c r="M796" s="106" t="str">
        <f>IF(ISBLANK(K796), "", VLOOKUP(C796&amp;" "&amp;D796, 'Info Tipo de Cambio y REM'!$A$24:$B$35, 2, FALSE))</f>
        <v/>
      </c>
      <c r="N796" s="107" t="str">
        <f t="shared" si="3"/>
        <v/>
      </c>
      <c r="O796" s="102" t="str">
        <f t="shared" si="2"/>
        <v/>
      </c>
    </row>
    <row r="797">
      <c r="A797" s="102"/>
      <c r="B797" s="43" t="str">
        <f>IF(A797="", "", IFERROR(VLOOKUP(A797, Clasificaciones!A:B, 2, FALSE), "DATO NO CARGADO"))</f>
        <v/>
      </c>
      <c r="C797" s="51"/>
      <c r="D797" s="257"/>
      <c r="E797" s="102"/>
      <c r="F797" s="103"/>
      <c r="G797" s="103"/>
      <c r="H797" s="258"/>
      <c r="J797" s="103"/>
      <c r="L797" s="71"/>
      <c r="M797" s="106" t="str">
        <f>IF(ISBLANK(K797), "", VLOOKUP(C797&amp;" "&amp;D797, 'Info Tipo de Cambio y REM'!$A$24:$B$35, 2, FALSE))</f>
        <v/>
      </c>
      <c r="N797" s="107" t="str">
        <f t="shared" si="3"/>
        <v/>
      </c>
      <c r="O797" s="102" t="str">
        <f t="shared" si="2"/>
        <v/>
      </c>
    </row>
    <row r="798">
      <c r="A798" s="102"/>
      <c r="B798" s="43" t="str">
        <f>IF(A798="", "", IFERROR(VLOOKUP(A798, Clasificaciones!A:B, 2, FALSE), "DATO NO CARGADO"))</f>
        <v/>
      </c>
      <c r="C798" s="51"/>
      <c r="D798" s="257"/>
      <c r="E798" s="102"/>
      <c r="F798" s="103"/>
      <c r="G798" s="103"/>
      <c r="H798" s="258"/>
      <c r="J798" s="103"/>
      <c r="L798" s="71"/>
      <c r="M798" s="106" t="str">
        <f>IF(ISBLANK(K798), "", VLOOKUP(C798&amp;" "&amp;D798, 'Info Tipo de Cambio y REM'!$A$24:$B$35, 2, FALSE))</f>
        <v/>
      </c>
      <c r="N798" s="107" t="str">
        <f t="shared" si="3"/>
        <v/>
      </c>
      <c r="O798" s="102" t="str">
        <f t="shared" si="2"/>
        <v/>
      </c>
    </row>
    <row r="799">
      <c r="A799" s="102"/>
      <c r="B799" s="43" t="str">
        <f>IF(A799="", "", IFERROR(VLOOKUP(A799, Clasificaciones!A:B, 2, FALSE), "DATO NO CARGADO"))</f>
        <v/>
      </c>
      <c r="C799" s="51"/>
      <c r="D799" s="257"/>
      <c r="E799" s="102"/>
      <c r="F799" s="103"/>
      <c r="G799" s="103"/>
      <c r="H799" s="258"/>
      <c r="J799" s="103"/>
      <c r="L799" s="71"/>
      <c r="M799" s="106" t="str">
        <f>IF(ISBLANK(K799), "", VLOOKUP(C799&amp;" "&amp;D799, 'Info Tipo de Cambio y REM'!$A$24:$B$35, 2, FALSE))</f>
        <v/>
      </c>
      <c r="N799" s="107" t="str">
        <f t="shared" si="3"/>
        <v/>
      </c>
      <c r="O799" s="102" t="str">
        <f t="shared" si="2"/>
        <v/>
      </c>
    </row>
    <row r="800">
      <c r="A800" s="102"/>
      <c r="B800" s="43" t="str">
        <f>IF(A800="", "", IFERROR(VLOOKUP(A800, Clasificaciones!A:B, 2, FALSE), "DATO NO CARGADO"))</f>
        <v/>
      </c>
      <c r="C800" s="51"/>
      <c r="D800" s="257"/>
      <c r="E800" s="102"/>
      <c r="F800" s="103"/>
      <c r="G800" s="103"/>
      <c r="H800" s="258"/>
      <c r="J800" s="103"/>
      <c r="L800" s="71"/>
      <c r="M800" s="106" t="str">
        <f>IF(ISBLANK(K800), "", VLOOKUP(C800&amp;" "&amp;D800, 'Info Tipo de Cambio y REM'!$A$24:$B$35, 2, FALSE))</f>
        <v/>
      </c>
      <c r="N800" s="107" t="str">
        <f t="shared" si="3"/>
        <v/>
      </c>
      <c r="O800" s="102" t="str">
        <f t="shared" si="2"/>
        <v/>
      </c>
    </row>
    <row r="801">
      <c r="A801" s="102"/>
      <c r="B801" s="43" t="str">
        <f>IF(A801="", "", IFERROR(VLOOKUP(A801, Clasificaciones!A:B, 2, FALSE), "DATO NO CARGADO"))</f>
        <v/>
      </c>
      <c r="C801" s="51"/>
      <c r="D801" s="257"/>
      <c r="E801" s="102"/>
      <c r="F801" s="103"/>
      <c r="G801" s="103"/>
      <c r="H801" s="258"/>
      <c r="J801" s="103"/>
      <c r="L801" s="71"/>
      <c r="M801" s="106" t="str">
        <f>IF(ISBLANK(K801), "", VLOOKUP(C801&amp;" "&amp;D801, 'Info Tipo de Cambio y REM'!$A$24:$B$35, 2, FALSE))</f>
        <v/>
      </c>
      <c r="N801" s="107" t="str">
        <f t="shared" si="3"/>
        <v/>
      </c>
      <c r="O801" s="102" t="str">
        <f t="shared" si="2"/>
        <v/>
      </c>
    </row>
    <row r="802">
      <c r="A802" s="102"/>
      <c r="B802" s="43" t="str">
        <f>IF(A802="", "", IFERROR(VLOOKUP(A802, Clasificaciones!A:B, 2, FALSE), "DATO NO CARGADO"))</f>
        <v/>
      </c>
      <c r="C802" s="51"/>
      <c r="D802" s="257"/>
      <c r="E802" s="102"/>
      <c r="F802" s="103"/>
      <c r="G802" s="103"/>
      <c r="H802" s="258"/>
      <c r="J802" s="103"/>
      <c r="L802" s="71"/>
      <c r="M802" s="106" t="str">
        <f>IF(ISBLANK(K802), "", VLOOKUP(C802&amp;" "&amp;D802, 'Info Tipo de Cambio y REM'!$A$24:$B$35, 2, FALSE))</f>
        <v/>
      </c>
      <c r="N802" s="107" t="str">
        <f t="shared" si="3"/>
        <v/>
      </c>
      <c r="O802" s="102" t="str">
        <f t="shared" si="2"/>
        <v/>
      </c>
    </row>
    <row r="803">
      <c r="A803" s="102"/>
      <c r="B803" s="43" t="str">
        <f>IF(A803="", "", IFERROR(VLOOKUP(A803, Clasificaciones!A:B, 2, FALSE), "DATO NO CARGADO"))</f>
        <v/>
      </c>
      <c r="C803" s="51"/>
      <c r="D803" s="257"/>
      <c r="E803" s="102"/>
      <c r="F803" s="103"/>
      <c r="G803" s="103"/>
      <c r="H803" s="258"/>
      <c r="J803" s="103"/>
      <c r="L803" s="71"/>
      <c r="M803" s="106" t="str">
        <f>IF(ISBLANK(K803), "", VLOOKUP(C803&amp;" "&amp;D803, 'Info Tipo de Cambio y REM'!$A$24:$B$35, 2, FALSE))</f>
        <v/>
      </c>
      <c r="N803" s="107" t="str">
        <f t="shared" si="3"/>
        <v/>
      </c>
      <c r="O803" s="102" t="str">
        <f t="shared" si="2"/>
        <v/>
      </c>
    </row>
    <row r="804">
      <c r="A804" s="102"/>
      <c r="B804" s="43" t="str">
        <f>IF(A804="", "", IFERROR(VLOOKUP(A804, Clasificaciones!A:B, 2, FALSE), "DATO NO CARGADO"))</f>
        <v/>
      </c>
      <c r="C804" s="51"/>
      <c r="D804" s="257"/>
      <c r="E804" s="102"/>
      <c r="F804" s="103"/>
      <c r="G804" s="103"/>
      <c r="H804" s="258"/>
      <c r="J804" s="103"/>
      <c r="L804" s="71"/>
      <c r="M804" s="106" t="str">
        <f>IF(ISBLANK(K804), "", VLOOKUP(C804&amp;" "&amp;D804, 'Info Tipo de Cambio y REM'!$A$24:$B$35, 2, FALSE))</f>
        <v/>
      </c>
      <c r="N804" s="107" t="str">
        <f t="shared" si="3"/>
        <v/>
      </c>
      <c r="O804" s="102" t="str">
        <f t="shared" si="2"/>
        <v/>
      </c>
    </row>
    <row r="805">
      <c r="A805" s="102"/>
      <c r="B805" s="43" t="str">
        <f>IF(A805="", "", IFERROR(VLOOKUP(A805, Clasificaciones!A:B, 2, FALSE), "DATO NO CARGADO"))</f>
        <v/>
      </c>
      <c r="C805" s="51"/>
      <c r="D805" s="257"/>
      <c r="E805" s="102"/>
      <c r="F805" s="103"/>
      <c r="G805" s="103"/>
      <c r="H805" s="258"/>
      <c r="J805" s="103"/>
      <c r="L805" s="71"/>
      <c r="M805" s="106" t="str">
        <f>IF(ISBLANK(K805), "", VLOOKUP(C805&amp;" "&amp;D805, 'Info Tipo de Cambio y REM'!$A$24:$B$35, 2, FALSE))</f>
        <v/>
      </c>
      <c r="N805" s="107" t="str">
        <f t="shared" si="3"/>
        <v/>
      </c>
      <c r="O805" s="102" t="str">
        <f t="shared" si="2"/>
        <v/>
      </c>
    </row>
    <row r="806">
      <c r="A806" s="102"/>
      <c r="B806" s="43" t="str">
        <f>IF(A806="", "", IFERROR(VLOOKUP(A806, Clasificaciones!A:B, 2, FALSE), "DATO NO CARGADO"))</f>
        <v/>
      </c>
      <c r="C806" s="51"/>
      <c r="D806" s="257"/>
      <c r="E806" s="102"/>
      <c r="F806" s="103"/>
      <c r="G806" s="103"/>
      <c r="H806" s="258"/>
      <c r="J806" s="103"/>
      <c r="L806" s="71"/>
      <c r="M806" s="106" t="str">
        <f>IF(ISBLANK(K806), "", VLOOKUP(C806&amp;" "&amp;D806, 'Info Tipo de Cambio y REM'!$A$24:$B$35, 2, FALSE))</f>
        <v/>
      </c>
      <c r="N806" s="107" t="str">
        <f t="shared" si="3"/>
        <v/>
      </c>
      <c r="O806" s="102" t="str">
        <f t="shared" si="2"/>
        <v/>
      </c>
    </row>
    <row r="807">
      <c r="A807" s="102"/>
      <c r="B807" s="43" t="str">
        <f>IF(A807="", "", IFERROR(VLOOKUP(A807, Clasificaciones!A:B, 2, FALSE), "DATO NO CARGADO"))</f>
        <v/>
      </c>
      <c r="C807" s="51"/>
      <c r="D807" s="257"/>
      <c r="E807" s="102"/>
      <c r="F807" s="103"/>
      <c r="G807" s="103"/>
      <c r="H807" s="258"/>
      <c r="J807" s="103"/>
      <c r="L807" s="71"/>
      <c r="M807" s="106" t="str">
        <f>IF(ISBLANK(K807), "", VLOOKUP(C807&amp;" "&amp;D807, 'Info Tipo de Cambio y REM'!$A$24:$B$35, 2, FALSE))</f>
        <v/>
      </c>
      <c r="N807" s="107" t="str">
        <f t="shared" si="3"/>
        <v/>
      </c>
      <c r="O807" s="102" t="str">
        <f t="shared" si="2"/>
        <v/>
      </c>
    </row>
    <row r="808">
      <c r="A808" s="102"/>
      <c r="B808" s="43" t="str">
        <f>IF(A808="", "", IFERROR(VLOOKUP(A808, Clasificaciones!A:B, 2, FALSE), "DATO NO CARGADO"))</f>
        <v/>
      </c>
      <c r="C808" s="51"/>
      <c r="D808" s="257"/>
      <c r="E808" s="102"/>
      <c r="F808" s="103"/>
      <c r="G808" s="103"/>
      <c r="H808" s="258"/>
      <c r="J808" s="103"/>
      <c r="L808" s="71"/>
      <c r="M808" s="106" t="str">
        <f>IF(ISBLANK(K808), "", VLOOKUP(C808&amp;" "&amp;D808, 'Info Tipo de Cambio y REM'!$A$24:$B$35, 2, FALSE))</f>
        <v/>
      </c>
      <c r="N808" s="107" t="str">
        <f t="shared" si="3"/>
        <v/>
      </c>
      <c r="O808" s="102" t="str">
        <f t="shared" si="2"/>
        <v/>
      </c>
    </row>
    <row r="809">
      <c r="A809" s="102"/>
      <c r="B809" s="43" t="str">
        <f>IF(A809="", "", IFERROR(VLOOKUP(A809, Clasificaciones!A:B, 2, FALSE), "DATO NO CARGADO"))</f>
        <v/>
      </c>
      <c r="C809" s="51"/>
      <c r="D809" s="257"/>
      <c r="E809" s="102"/>
      <c r="F809" s="103"/>
      <c r="G809" s="103"/>
      <c r="H809" s="258"/>
      <c r="J809" s="103"/>
      <c r="L809" s="71"/>
      <c r="M809" s="106" t="str">
        <f>IF(ISBLANK(K809), "", VLOOKUP(C809&amp;" "&amp;D809, 'Info Tipo de Cambio y REM'!$A$24:$B$35, 2, FALSE))</f>
        <v/>
      </c>
      <c r="N809" s="107" t="str">
        <f t="shared" si="3"/>
        <v/>
      </c>
      <c r="O809" s="102" t="str">
        <f t="shared" si="2"/>
        <v/>
      </c>
    </row>
    <row r="810">
      <c r="A810" s="102"/>
      <c r="B810" s="43" t="str">
        <f>IF(A810="", "", IFERROR(VLOOKUP(A810, Clasificaciones!A:B, 2, FALSE), "DATO NO CARGADO"))</f>
        <v/>
      </c>
      <c r="C810" s="51"/>
      <c r="D810" s="257"/>
      <c r="E810" s="102"/>
      <c r="F810" s="103"/>
      <c r="G810" s="103"/>
      <c r="H810" s="258"/>
      <c r="J810" s="103"/>
      <c r="L810" s="71"/>
      <c r="M810" s="106" t="str">
        <f>IF(ISBLANK(K810), "", VLOOKUP(C810&amp;" "&amp;D810, 'Info Tipo de Cambio y REM'!$A$24:$B$35, 2, FALSE))</f>
        <v/>
      </c>
      <c r="N810" s="107" t="str">
        <f t="shared" si="3"/>
        <v/>
      </c>
      <c r="O810" s="102" t="str">
        <f t="shared" si="2"/>
        <v/>
      </c>
    </row>
    <row r="811">
      <c r="A811" s="102"/>
      <c r="B811" s="43" t="str">
        <f>IF(A811="", "", IFERROR(VLOOKUP(A811, Clasificaciones!A:B, 2, FALSE), "DATO NO CARGADO"))</f>
        <v/>
      </c>
      <c r="C811" s="51"/>
      <c r="D811" s="257"/>
      <c r="E811" s="102"/>
      <c r="F811" s="103"/>
      <c r="G811" s="103"/>
      <c r="H811" s="258"/>
      <c r="J811" s="103"/>
      <c r="L811" s="71"/>
      <c r="M811" s="106" t="str">
        <f>IF(ISBLANK(K811), "", VLOOKUP(C811&amp;" "&amp;D811, 'Info Tipo de Cambio y REM'!$A$24:$B$35, 2, FALSE))</f>
        <v/>
      </c>
      <c r="N811" s="107" t="str">
        <f t="shared" si="3"/>
        <v/>
      </c>
      <c r="O811" s="102" t="str">
        <f t="shared" si="2"/>
        <v/>
      </c>
    </row>
    <row r="812">
      <c r="A812" s="102"/>
      <c r="B812" s="43" t="str">
        <f>IF(A812="", "", IFERROR(VLOOKUP(A812, Clasificaciones!A:B, 2, FALSE), "DATO NO CARGADO"))</f>
        <v/>
      </c>
      <c r="C812" s="51"/>
      <c r="D812" s="257"/>
      <c r="E812" s="102"/>
      <c r="F812" s="103"/>
      <c r="G812" s="103"/>
      <c r="H812" s="258"/>
      <c r="J812" s="103"/>
      <c r="L812" s="71"/>
      <c r="M812" s="106" t="str">
        <f>IF(ISBLANK(K812), "", VLOOKUP(C812&amp;" "&amp;D812, 'Info Tipo de Cambio y REM'!$A$24:$B$35, 2, FALSE))</f>
        <v/>
      </c>
      <c r="N812" s="107" t="str">
        <f t="shared" si="3"/>
        <v/>
      </c>
      <c r="O812" s="102" t="str">
        <f t="shared" si="2"/>
        <v/>
      </c>
    </row>
    <row r="813">
      <c r="A813" s="102"/>
      <c r="B813" s="43" t="str">
        <f>IF(A813="", "", IFERROR(VLOOKUP(A813, Clasificaciones!A:B, 2, FALSE), "DATO NO CARGADO"))</f>
        <v/>
      </c>
      <c r="C813" s="51"/>
      <c r="D813" s="257"/>
      <c r="E813" s="102"/>
      <c r="F813" s="103"/>
      <c r="G813" s="103"/>
      <c r="H813" s="258"/>
      <c r="J813" s="103"/>
      <c r="L813" s="71"/>
      <c r="M813" s="106" t="str">
        <f>IF(ISBLANK(K813), "", VLOOKUP(C813&amp;" "&amp;D813, 'Info Tipo de Cambio y REM'!$A$24:$B$35, 2, FALSE))</f>
        <v/>
      </c>
      <c r="N813" s="107" t="str">
        <f t="shared" si="3"/>
        <v/>
      </c>
      <c r="O813" s="102" t="str">
        <f t="shared" si="2"/>
        <v/>
      </c>
    </row>
    <row r="814">
      <c r="A814" s="102"/>
      <c r="B814" s="43" t="str">
        <f>IF(A814="", "", IFERROR(VLOOKUP(A814, Clasificaciones!A:B, 2, FALSE), "DATO NO CARGADO"))</f>
        <v/>
      </c>
      <c r="C814" s="51"/>
      <c r="D814" s="257"/>
      <c r="E814" s="102"/>
      <c r="F814" s="103"/>
      <c r="G814" s="103"/>
      <c r="H814" s="258"/>
      <c r="J814" s="103"/>
      <c r="L814" s="71"/>
      <c r="M814" s="106" t="str">
        <f>IF(ISBLANK(K814), "", VLOOKUP(C814&amp;" "&amp;D814, 'Info Tipo de Cambio y REM'!$A$24:$B$35, 2, FALSE))</f>
        <v/>
      </c>
      <c r="N814" s="107" t="str">
        <f t="shared" si="3"/>
        <v/>
      </c>
      <c r="O814" s="102" t="str">
        <f t="shared" si="2"/>
        <v/>
      </c>
    </row>
    <row r="815">
      <c r="A815" s="102"/>
      <c r="B815" s="43" t="str">
        <f>IF(A815="", "", IFERROR(VLOOKUP(A815, Clasificaciones!A:B, 2, FALSE), "DATO NO CARGADO"))</f>
        <v/>
      </c>
      <c r="C815" s="51"/>
      <c r="D815" s="257"/>
      <c r="E815" s="102"/>
      <c r="F815" s="103"/>
      <c r="G815" s="103"/>
      <c r="H815" s="258"/>
      <c r="J815" s="103"/>
      <c r="L815" s="71"/>
      <c r="M815" s="106" t="str">
        <f>IF(ISBLANK(K815), "", VLOOKUP(C815&amp;" "&amp;D815, 'Info Tipo de Cambio y REM'!$A$24:$B$35, 2, FALSE))</f>
        <v/>
      </c>
      <c r="N815" s="107" t="str">
        <f t="shared" si="3"/>
        <v/>
      </c>
      <c r="O815" s="102" t="str">
        <f t="shared" si="2"/>
        <v/>
      </c>
    </row>
    <row r="816">
      <c r="A816" s="102"/>
      <c r="B816" s="43" t="str">
        <f>IF(A816="", "", IFERROR(VLOOKUP(A816, Clasificaciones!A:B, 2, FALSE), "DATO NO CARGADO"))</f>
        <v/>
      </c>
      <c r="C816" s="51"/>
      <c r="D816" s="257"/>
      <c r="E816" s="102"/>
      <c r="F816" s="103"/>
      <c r="G816" s="103"/>
      <c r="H816" s="258"/>
      <c r="J816" s="103"/>
      <c r="L816" s="71"/>
      <c r="M816" s="106" t="str">
        <f>IF(ISBLANK(K816), "", VLOOKUP(C816&amp;" "&amp;D816, 'Info Tipo de Cambio y REM'!$A$24:$B$35, 2, FALSE))</f>
        <v/>
      </c>
      <c r="N816" s="107" t="str">
        <f t="shared" si="3"/>
        <v/>
      </c>
      <c r="O816" s="102" t="str">
        <f t="shared" si="2"/>
        <v/>
      </c>
    </row>
    <row r="817">
      <c r="A817" s="102"/>
      <c r="B817" s="43" t="str">
        <f>IF(A817="", "", IFERROR(VLOOKUP(A817, Clasificaciones!A:B, 2, FALSE), "DATO NO CARGADO"))</f>
        <v/>
      </c>
      <c r="C817" s="51"/>
      <c r="D817" s="257"/>
      <c r="E817" s="102"/>
      <c r="F817" s="103"/>
      <c r="G817" s="103"/>
      <c r="H817" s="258"/>
      <c r="J817" s="103"/>
      <c r="L817" s="71"/>
      <c r="M817" s="106" t="str">
        <f>IF(ISBLANK(K817), "", VLOOKUP(C817&amp;" "&amp;D817, 'Info Tipo de Cambio y REM'!$A$24:$B$35, 2, FALSE))</f>
        <v/>
      </c>
      <c r="N817" s="107" t="str">
        <f t="shared" si="3"/>
        <v/>
      </c>
      <c r="O817" s="102" t="str">
        <f t="shared" si="2"/>
        <v/>
      </c>
    </row>
    <row r="818">
      <c r="A818" s="102"/>
      <c r="B818" s="43" t="str">
        <f>IF(A818="", "", IFERROR(VLOOKUP(A818, Clasificaciones!A:B, 2, FALSE), "DATO NO CARGADO"))</f>
        <v/>
      </c>
      <c r="C818" s="51"/>
      <c r="D818" s="257"/>
      <c r="E818" s="102"/>
      <c r="F818" s="103"/>
      <c r="G818" s="103"/>
      <c r="H818" s="258"/>
      <c r="J818" s="103"/>
      <c r="L818" s="71"/>
      <c r="M818" s="106" t="str">
        <f>IF(ISBLANK(K818), "", VLOOKUP(C818&amp;" "&amp;D818, 'Info Tipo de Cambio y REM'!$A$24:$B$35, 2, FALSE))</f>
        <v/>
      </c>
      <c r="N818" s="107" t="str">
        <f t="shared" si="3"/>
        <v/>
      </c>
      <c r="O818" s="102" t="str">
        <f t="shared" si="2"/>
        <v/>
      </c>
    </row>
    <row r="819">
      <c r="A819" s="102"/>
      <c r="B819" s="43" t="str">
        <f>IF(A819="", "", IFERROR(VLOOKUP(A819, Clasificaciones!A:B, 2, FALSE), "DATO NO CARGADO"))</f>
        <v/>
      </c>
      <c r="C819" s="51"/>
      <c r="D819" s="257"/>
      <c r="E819" s="102"/>
      <c r="F819" s="103"/>
      <c r="G819" s="103"/>
      <c r="H819" s="258"/>
      <c r="J819" s="103"/>
      <c r="L819" s="71"/>
      <c r="M819" s="106" t="str">
        <f>IF(ISBLANK(K819), "", VLOOKUP(C819&amp;" "&amp;D819, 'Info Tipo de Cambio y REM'!$A$24:$B$35, 2, FALSE))</f>
        <v/>
      </c>
      <c r="N819" s="107" t="str">
        <f t="shared" si="3"/>
        <v/>
      </c>
      <c r="O819" s="102" t="str">
        <f t="shared" si="2"/>
        <v/>
      </c>
    </row>
    <row r="820">
      <c r="A820" s="102"/>
      <c r="B820" s="43" t="str">
        <f>IF(A820="", "", IFERROR(VLOOKUP(A820, Clasificaciones!A:B, 2, FALSE), "DATO NO CARGADO"))</f>
        <v/>
      </c>
      <c r="C820" s="51"/>
      <c r="D820" s="257"/>
      <c r="E820" s="102"/>
      <c r="F820" s="103"/>
      <c r="G820" s="103"/>
      <c r="H820" s="258"/>
      <c r="J820" s="103"/>
      <c r="L820" s="71"/>
      <c r="M820" s="106" t="str">
        <f>IF(ISBLANK(K820), "", VLOOKUP(C820&amp;" "&amp;D820, 'Info Tipo de Cambio y REM'!$A$24:$B$35, 2, FALSE))</f>
        <v/>
      </c>
      <c r="N820" s="107" t="str">
        <f t="shared" si="3"/>
        <v/>
      </c>
      <c r="O820" s="102" t="str">
        <f t="shared" si="2"/>
        <v/>
      </c>
    </row>
    <row r="821">
      <c r="A821" s="102"/>
      <c r="B821" s="43" t="str">
        <f>IF(A821="", "", IFERROR(VLOOKUP(A821, Clasificaciones!A:B, 2, FALSE), "DATO NO CARGADO"))</f>
        <v/>
      </c>
      <c r="C821" s="51"/>
      <c r="D821" s="257"/>
      <c r="E821" s="102"/>
      <c r="F821" s="103"/>
      <c r="G821" s="103"/>
      <c r="H821" s="258"/>
      <c r="J821" s="103"/>
      <c r="L821" s="71"/>
      <c r="M821" s="106" t="str">
        <f>IF(ISBLANK(K821), "", VLOOKUP(C821&amp;" "&amp;D821, 'Info Tipo de Cambio y REM'!$A$24:$B$35, 2, FALSE))</f>
        <v/>
      </c>
      <c r="N821" s="107" t="str">
        <f t="shared" si="3"/>
        <v/>
      </c>
      <c r="O821" s="102" t="str">
        <f t="shared" si="2"/>
        <v/>
      </c>
    </row>
    <row r="822">
      <c r="A822" s="102"/>
      <c r="B822" s="43" t="str">
        <f>IF(A822="", "", IFERROR(VLOOKUP(A822, Clasificaciones!A:B, 2, FALSE), "DATO NO CARGADO"))</f>
        <v/>
      </c>
      <c r="C822" s="51"/>
      <c r="D822" s="257"/>
      <c r="E822" s="102"/>
      <c r="F822" s="103"/>
      <c r="G822" s="103"/>
      <c r="H822" s="258"/>
      <c r="J822" s="103"/>
      <c r="L822" s="71"/>
      <c r="M822" s="106" t="str">
        <f>IF(ISBLANK(K822), "", VLOOKUP(C822&amp;" "&amp;D822, 'Info Tipo de Cambio y REM'!$A$24:$B$35, 2, FALSE))</f>
        <v/>
      </c>
      <c r="N822" s="107" t="str">
        <f t="shared" si="3"/>
        <v/>
      </c>
      <c r="O822" s="102" t="str">
        <f t="shared" si="2"/>
        <v/>
      </c>
    </row>
    <row r="823">
      <c r="A823" s="102"/>
      <c r="B823" s="43" t="str">
        <f>IF(A823="", "", IFERROR(VLOOKUP(A823, Clasificaciones!A:B, 2, FALSE), "DATO NO CARGADO"))</f>
        <v/>
      </c>
      <c r="C823" s="51"/>
      <c r="D823" s="257"/>
      <c r="E823" s="102"/>
      <c r="F823" s="103"/>
      <c r="G823" s="103"/>
      <c r="H823" s="258"/>
      <c r="J823" s="103"/>
      <c r="L823" s="71"/>
      <c r="M823" s="106" t="str">
        <f>IF(ISBLANK(K823), "", VLOOKUP(C823&amp;" "&amp;D823, 'Info Tipo de Cambio y REM'!$A$24:$B$35, 2, FALSE))</f>
        <v/>
      </c>
      <c r="N823" s="107" t="str">
        <f t="shared" si="3"/>
        <v/>
      </c>
      <c r="O823" s="102" t="str">
        <f t="shared" si="2"/>
        <v/>
      </c>
    </row>
    <row r="824">
      <c r="A824" s="102"/>
      <c r="B824" s="43" t="str">
        <f>IF(A824="", "", IFERROR(VLOOKUP(A824, Clasificaciones!A:B, 2, FALSE), "DATO NO CARGADO"))</f>
        <v/>
      </c>
      <c r="C824" s="51"/>
      <c r="D824" s="257"/>
      <c r="E824" s="102"/>
      <c r="F824" s="103"/>
      <c r="G824" s="103"/>
      <c r="H824" s="258"/>
      <c r="J824" s="103"/>
      <c r="L824" s="71"/>
      <c r="M824" s="106" t="str">
        <f>IF(ISBLANK(K824), "", VLOOKUP(C824&amp;" "&amp;D824, 'Info Tipo de Cambio y REM'!$A$24:$B$35, 2, FALSE))</f>
        <v/>
      </c>
      <c r="N824" s="107" t="str">
        <f t="shared" si="3"/>
        <v/>
      </c>
      <c r="O824" s="102" t="str">
        <f t="shared" si="2"/>
        <v/>
      </c>
    </row>
    <row r="825">
      <c r="A825" s="102"/>
      <c r="B825" s="43" t="str">
        <f>IF(A825="", "", IFERROR(VLOOKUP(A825, Clasificaciones!A:B, 2, FALSE), "DATO NO CARGADO"))</f>
        <v/>
      </c>
      <c r="C825" s="51"/>
      <c r="D825" s="257"/>
      <c r="E825" s="102"/>
      <c r="F825" s="103"/>
      <c r="G825" s="103"/>
      <c r="H825" s="258"/>
      <c r="J825" s="103"/>
      <c r="L825" s="71"/>
      <c r="M825" s="106" t="str">
        <f>IF(ISBLANK(K825), "", VLOOKUP(C825&amp;" "&amp;D825, 'Info Tipo de Cambio y REM'!$A$24:$B$35, 2, FALSE))</f>
        <v/>
      </c>
      <c r="N825" s="107" t="str">
        <f t="shared" si="3"/>
        <v/>
      </c>
      <c r="O825" s="102" t="str">
        <f t="shared" si="2"/>
        <v/>
      </c>
    </row>
    <row r="826">
      <c r="A826" s="102"/>
      <c r="B826" s="43" t="str">
        <f>IF(A826="", "", IFERROR(VLOOKUP(A826, Clasificaciones!A:B, 2, FALSE), "DATO NO CARGADO"))</f>
        <v/>
      </c>
      <c r="C826" s="51"/>
      <c r="D826" s="257"/>
      <c r="E826" s="102"/>
      <c r="F826" s="103"/>
      <c r="G826" s="103"/>
      <c r="H826" s="258"/>
      <c r="J826" s="103"/>
      <c r="L826" s="71"/>
      <c r="M826" s="106" t="str">
        <f>IF(ISBLANK(K826), "", VLOOKUP(C826&amp;" "&amp;D826, 'Info Tipo de Cambio y REM'!$A$24:$B$35, 2, FALSE))</f>
        <v/>
      </c>
      <c r="N826" s="107" t="str">
        <f t="shared" si="3"/>
        <v/>
      </c>
      <c r="O826" s="102" t="str">
        <f t="shared" si="2"/>
        <v/>
      </c>
    </row>
    <row r="827">
      <c r="A827" s="102"/>
      <c r="B827" s="43" t="str">
        <f>IF(A827="", "", IFERROR(VLOOKUP(A827, Clasificaciones!A:B, 2, FALSE), "DATO NO CARGADO"))</f>
        <v/>
      </c>
      <c r="C827" s="51"/>
      <c r="D827" s="257"/>
      <c r="E827" s="102"/>
      <c r="F827" s="103"/>
      <c r="G827" s="103"/>
      <c r="H827" s="258"/>
      <c r="J827" s="103"/>
      <c r="L827" s="71"/>
      <c r="M827" s="106" t="str">
        <f>IF(ISBLANK(K827), "", VLOOKUP(C827&amp;" "&amp;D827, 'Info Tipo de Cambio y REM'!$A$24:$B$35, 2, FALSE))</f>
        <v/>
      </c>
      <c r="N827" s="107" t="str">
        <f t="shared" si="3"/>
        <v/>
      </c>
      <c r="O827" s="102" t="str">
        <f t="shared" si="2"/>
        <v/>
      </c>
    </row>
    <row r="828">
      <c r="A828" s="102"/>
      <c r="B828" s="43" t="str">
        <f>IF(A828="", "", IFERROR(VLOOKUP(A828, Clasificaciones!A:B, 2, FALSE), "DATO NO CARGADO"))</f>
        <v/>
      </c>
      <c r="C828" s="51"/>
      <c r="D828" s="257"/>
      <c r="E828" s="102"/>
      <c r="F828" s="103"/>
      <c r="G828" s="103"/>
      <c r="H828" s="258"/>
      <c r="J828" s="103"/>
      <c r="L828" s="71"/>
      <c r="M828" s="106" t="str">
        <f>IF(ISBLANK(K828), "", VLOOKUP(C828&amp;" "&amp;D828, 'Info Tipo de Cambio y REM'!$A$24:$B$35, 2, FALSE))</f>
        <v/>
      </c>
      <c r="N828" s="107" t="str">
        <f t="shared" si="3"/>
        <v/>
      </c>
      <c r="O828" s="102" t="str">
        <f t="shared" si="2"/>
        <v/>
      </c>
    </row>
    <row r="829">
      <c r="A829" s="102"/>
      <c r="B829" s="43" t="str">
        <f>IF(A829="", "", IFERROR(VLOOKUP(A829, Clasificaciones!A:B, 2, FALSE), "DATO NO CARGADO"))</f>
        <v/>
      </c>
      <c r="C829" s="51"/>
      <c r="D829" s="257"/>
      <c r="E829" s="102"/>
      <c r="F829" s="103"/>
      <c r="G829" s="103"/>
      <c r="H829" s="258"/>
      <c r="J829" s="103"/>
      <c r="L829" s="71"/>
      <c r="M829" s="106" t="str">
        <f>IF(ISBLANK(K829), "", VLOOKUP(C829&amp;" "&amp;D829, 'Info Tipo de Cambio y REM'!$A$24:$B$35, 2, FALSE))</f>
        <v/>
      </c>
      <c r="N829" s="107" t="str">
        <f t="shared" si="3"/>
        <v/>
      </c>
      <c r="O829" s="102" t="str">
        <f t="shared" si="2"/>
        <v/>
      </c>
    </row>
    <row r="830">
      <c r="A830" s="102"/>
      <c r="B830" s="43" t="str">
        <f>IF(A830="", "", IFERROR(VLOOKUP(A830, Clasificaciones!A:B, 2, FALSE), "DATO NO CARGADO"))</f>
        <v/>
      </c>
      <c r="C830" s="51"/>
      <c r="D830" s="257"/>
      <c r="E830" s="102"/>
      <c r="F830" s="103"/>
      <c r="G830" s="103"/>
      <c r="H830" s="258"/>
      <c r="J830" s="103"/>
      <c r="L830" s="71"/>
      <c r="M830" s="106" t="str">
        <f>IF(ISBLANK(K830), "", VLOOKUP(C830&amp;" "&amp;D830, 'Info Tipo de Cambio y REM'!$A$24:$B$35, 2, FALSE))</f>
        <v/>
      </c>
      <c r="N830" s="107" t="str">
        <f t="shared" si="3"/>
        <v/>
      </c>
      <c r="O830" s="102" t="str">
        <f t="shared" si="2"/>
        <v/>
      </c>
    </row>
    <row r="831">
      <c r="A831" s="102"/>
      <c r="B831" s="43" t="str">
        <f>IF(A831="", "", IFERROR(VLOOKUP(A831, Clasificaciones!A:B, 2, FALSE), "DATO NO CARGADO"))</f>
        <v/>
      </c>
      <c r="C831" s="51"/>
      <c r="D831" s="257"/>
      <c r="E831" s="102"/>
      <c r="F831" s="103"/>
      <c r="G831" s="103"/>
      <c r="H831" s="258"/>
      <c r="J831" s="103"/>
      <c r="L831" s="71"/>
      <c r="M831" s="106" t="str">
        <f>IF(ISBLANK(K831), "", VLOOKUP(C831&amp;" "&amp;D831, 'Info Tipo de Cambio y REM'!$A$24:$B$35, 2, FALSE))</f>
        <v/>
      </c>
      <c r="N831" s="107" t="str">
        <f t="shared" si="3"/>
        <v/>
      </c>
      <c r="O831" s="102" t="str">
        <f t="shared" si="2"/>
        <v/>
      </c>
    </row>
    <row r="832">
      <c r="A832" s="102"/>
      <c r="B832" s="43" t="str">
        <f>IF(A832="", "", IFERROR(VLOOKUP(A832, Clasificaciones!A:B, 2, FALSE), "DATO NO CARGADO"))</f>
        <v/>
      </c>
      <c r="C832" s="51"/>
      <c r="D832" s="257"/>
      <c r="E832" s="102"/>
      <c r="F832" s="103"/>
      <c r="G832" s="103"/>
      <c r="H832" s="258"/>
      <c r="J832" s="103"/>
      <c r="L832" s="71"/>
      <c r="M832" s="106" t="str">
        <f>IF(ISBLANK(K832), "", VLOOKUP(C832&amp;" "&amp;D832, 'Info Tipo de Cambio y REM'!$A$24:$B$35, 2, FALSE))</f>
        <v/>
      </c>
      <c r="N832" s="107" t="str">
        <f t="shared" si="3"/>
        <v/>
      </c>
      <c r="O832" s="102" t="str">
        <f t="shared" si="2"/>
        <v/>
      </c>
    </row>
    <row r="833">
      <c r="A833" s="102"/>
      <c r="B833" s="43" t="str">
        <f>IF(A833="", "", IFERROR(VLOOKUP(A833, Clasificaciones!A:B, 2, FALSE), "DATO NO CARGADO"))</f>
        <v/>
      </c>
      <c r="C833" s="51"/>
      <c r="D833" s="257"/>
      <c r="E833" s="102"/>
      <c r="F833" s="103"/>
      <c r="G833" s="103"/>
      <c r="H833" s="258"/>
      <c r="J833" s="103"/>
      <c r="L833" s="71"/>
      <c r="M833" s="106" t="str">
        <f>IF(ISBLANK(K833), "", VLOOKUP(C833&amp;" "&amp;D833, 'Info Tipo de Cambio y REM'!$A$24:$B$35, 2, FALSE))</f>
        <v/>
      </c>
      <c r="N833" s="107" t="str">
        <f t="shared" si="3"/>
        <v/>
      </c>
      <c r="O833" s="102" t="str">
        <f t="shared" si="2"/>
        <v/>
      </c>
    </row>
    <row r="834">
      <c r="A834" s="102"/>
      <c r="B834" s="43" t="str">
        <f>IF(A834="", "", IFERROR(VLOOKUP(A834, Clasificaciones!A:B, 2, FALSE), "DATO NO CARGADO"))</f>
        <v/>
      </c>
      <c r="C834" s="51"/>
      <c r="D834" s="257"/>
      <c r="E834" s="102"/>
      <c r="F834" s="103"/>
      <c r="G834" s="103"/>
      <c r="H834" s="258"/>
      <c r="J834" s="103"/>
      <c r="L834" s="71"/>
      <c r="M834" s="106" t="str">
        <f>IF(ISBLANK(K834), "", VLOOKUP(C834&amp;" "&amp;D834, 'Info Tipo de Cambio y REM'!$A$24:$B$35, 2, FALSE))</f>
        <v/>
      </c>
      <c r="N834" s="107" t="str">
        <f t="shared" si="3"/>
        <v/>
      </c>
      <c r="O834" s="102" t="str">
        <f t="shared" si="2"/>
        <v/>
      </c>
    </row>
    <row r="835">
      <c r="A835" s="102"/>
      <c r="B835" s="43" t="str">
        <f>IF(A835="", "", IFERROR(VLOOKUP(A835, Clasificaciones!A:B, 2, FALSE), "DATO NO CARGADO"))</f>
        <v/>
      </c>
      <c r="C835" s="51"/>
      <c r="D835" s="257"/>
      <c r="E835" s="102"/>
      <c r="F835" s="103"/>
      <c r="G835" s="103"/>
      <c r="H835" s="258"/>
      <c r="J835" s="103"/>
      <c r="L835" s="71"/>
      <c r="M835" s="106" t="str">
        <f>IF(ISBLANK(K835), "", VLOOKUP(C835&amp;" "&amp;D835, 'Info Tipo de Cambio y REM'!$A$24:$B$35, 2, FALSE))</f>
        <v/>
      </c>
      <c r="N835" s="107" t="str">
        <f t="shared" si="3"/>
        <v/>
      </c>
      <c r="O835" s="102" t="str">
        <f t="shared" si="2"/>
        <v/>
      </c>
    </row>
    <row r="836">
      <c r="A836" s="102"/>
      <c r="B836" s="43" t="str">
        <f>IF(A836="", "", IFERROR(VLOOKUP(A836, Clasificaciones!A:B, 2, FALSE), "DATO NO CARGADO"))</f>
        <v/>
      </c>
      <c r="C836" s="51"/>
      <c r="D836" s="257"/>
      <c r="E836" s="102"/>
      <c r="F836" s="103"/>
      <c r="G836" s="103"/>
      <c r="H836" s="258"/>
      <c r="J836" s="103"/>
      <c r="L836" s="71"/>
      <c r="M836" s="106" t="str">
        <f>IF(ISBLANK(K836), "", VLOOKUP(C836&amp;" "&amp;D836, 'Info Tipo de Cambio y REM'!$A$24:$B$35, 2, FALSE))</f>
        <v/>
      </c>
      <c r="N836" s="107" t="str">
        <f t="shared" si="3"/>
        <v/>
      </c>
      <c r="O836" s="102" t="str">
        <f t="shared" si="2"/>
        <v/>
      </c>
    </row>
    <row r="837">
      <c r="A837" s="102"/>
      <c r="B837" s="43" t="str">
        <f>IF(A837="", "", IFERROR(VLOOKUP(A837, Clasificaciones!A:B, 2, FALSE), "DATO NO CARGADO"))</f>
        <v/>
      </c>
      <c r="C837" s="51"/>
      <c r="D837" s="257"/>
      <c r="E837" s="102"/>
      <c r="F837" s="103"/>
      <c r="G837" s="103"/>
      <c r="H837" s="258"/>
      <c r="J837" s="103"/>
      <c r="L837" s="71"/>
      <c r="M837" s="106" t="str">
        <f>IF(ISBLANK(K837), "", VLOOKUP(C837&amp;" "&amp;D837, 'Info Tipo de Cambio y REM'!$A$24:$B$35, 2, FALSE))</f>
        <v/>
      </c>
      <c r="N837" s="107" t="str">
        <f t="shared" si="3"/>
        <v/>
      </c>
      <c r="O837" s="102" t="str">
        <f t="shared" si="2"/>
        <v/>
      </c>
    </row>
    <row r="838">
      <c r="A838" s="102"/>
      <c r="B838" s="43" t="str">
        <f>IF(A838="", "", IFERROR(VLOOKUP(A838, Clasificaciones!A:B, 2, FALSE), "DATO NO CARGADO"))</f>
        <v/>
      </c>
      <c r="C838" s="51"/>
      <c r="D838" s="257"/>
      <c r="E838" s="102"/>
      <c r="F838" s="103"/>
      <c r="G838" s="103"/>
      <c r="H838" s="258"/>
      <c r="J838" s="103"/>
      <c r="L838" s="71"/>
      <c r="M838" s="106" t="str">
        <f>IF(ISBLANK(K838), "", VLOOKUP(C838&amp;" "&amp;D838, 'Info Tipo de Cambio y REM'!$A$24:$B$35, 2, FALSE))</f>
        <v/>
      </c>
      <c r="N838" s="107" t="str">
        <f t="shared" si="3"/>
        <v/>
      </c>
      <c r="O838" s="102" t="str">
        <f t="shared" si="2"/>
        <v/>
      </c>
    </row>
    <row r="839">
      <c r="A839" s="102"/>
      <c r="B839" s="43" t="str">
        <f>IF(A839="", "", IFERROR(VLOOKUP(A839, Clasificaciones!A:B, 2, FALSE), "DATO NO CARGADO"))</f>
        <v/>
      </c>
      <c r="C839" s="51"/>
      <c r="D839" s="257"/>
      <c r="E839" s="102"/>
      <c r="F839" s="103"/>
      <c r="G839" s="103"/>
      <c r="H839" s="258"/>
      <c r="J839" s="103"/>
      <c r="L839" s="71"/>
      <c r="M839" s="106" t="str">
        <f>IF(ISBLANK(K839), "", VLOOKUP(C839&amp;" "&amp;D839, 'Info Tipo de Cambio y REM'!$A$24:$B$35, 2, FALSE))</f>
        <v/>
      </c>
      <c r="N839" s="107" t="str">
        <f t="shared" si="3"/>
        <v/>
      </c>
      <c r="O839" s="102" t="str">
        <f t="shared" si="2"/>
        <v/>
      </c>
    </row>
    <row r="840">
      <c r="A840" s="102"/>
      <c r="B840" s="43" t="str">
        <f>IF(A840="", "", IFERROR(VLOOKUP(A840, Clasificaciones!A:B, 2, FALSE), "DATO NO CARGADO"))</f>
        <v/>
      </c>
      <c r="C840" s="51"/>
      <c r="D840" s="257"/>
      <c r="E840" s="102"/>
      <c r="F840" s="103"/>
      <c r="G840" s="103"/>
      <c r="H840" s="258"/>
      <c r="J840" s="103"/>
      <c r="L840" s="71"/>
      <c r="M840" s="106" t="str">
        <f>IF(ISBLANK(K840), "", VLOOKUP(C840&amp;" "&amp;D840, 'Info Tipo de Cambio y REM'!$A$24:$B$35, 2, FALSE))</f>
        <v/>
      </c>
      <c r="N840" s="107" t="str">
        <f t="shared" si="3"/>
        <v/>
      </c>
      <c r="O840" s="102" t="str">
        <f t="shared" si="2"/>
        <v/>
      </c>
    </row>
    <row r="841">
      <c r="A841" s="102"/>
      <c r="B841" s="43" t="str">
        <f>IF(A841="", "", IFERROR(VLOOKUP(A841, Clasificaciones!A:B, 2, FALSE), "DATO NO CARGADO"))</f>
        <v/>
      </c>
      <c r="C841" s="51"/>
      <c r="D841" s="257"/>
      <c r="E841" s="102"/>
      <c r="F841" s="103"/>
      <c r="G841" s="103"/>
      <c r="H841" s="258"/>
      <c r="J841" s="103"/>
      <c r="L841" s="71"/>
      <c r="M841" s="106" t="str">
        <f>IF(ISBLANK(K841), "", VLOOKUP(C841&amp;" "&amp;D841, 'Info Tipo de Cambio y REM'!$A$24:$B$35, 2, FALSE))</f>
        <v/>
      </c>
      <c r="N841" s="107" t="str">
        <f t="shared" si="3"/>
        <v/>
      </c>
      <c r="O841" s="102" t="str">
        <f t="shared" si="2"/>
        <v/>
      </c>
    </row>
    <row r="842">
      <c r="A842" s="102"/>
      <c r="B842" s="43" t="str">
        <f>IF(A842="", "", IFERROR(VLOOKUP(A842, Clasificaciones!A:B, 2, FALSE), "DATO NO CARGADO"))</f>
        <v/>
      </c>
      <c r="C842" s="51"/>
      <c r="D842" s="257"/>
      <c r="E842" s="102"/>
      <c r="F842" s="103"/>
      <c r="G842" s="103"/>
      <c r="H842" s="258"/>
      <c r="J842" s="103"/>
      <c r="L842" s="71"/>
      <c r="M842" s="106" t="str">
        <f>IF(ISBLANK(K842), "", VLOOKUP(C842&amp;" "&amp;D842, 'Info Tipo de Cambio y REM'!$A$24:$B$35, 2, FALSE))</f>
        <v/>
      </c>
      <c r="N842" s="107" t="str">
        <f t="shared" si="3"/>
        <v/>
      </c>
      <c r="O842" s="102" t="str">
        <f t="shared" si="2"/>
        <v/>
      </c>
    </row>
    <row r="843">
      <c r="A843" s="102"/>
      <c r="B843" s="43" t="str">
        <f>IF(A843="", "", IFERROR(VLOOKUP(A843, Clasificaciones!A:B, 2, FALSE), "DATO NO CARGADO"))</f>
        <v/>
      </c>
      <c r="C843" s="51"/>
      <c r="D843" s="257"/>
      <c r="E843" s="102"/>
      <c r="F843" s="103"/>
      <c r="G843" s="103"/>
      <c r="H843" s="258"/>
      <c r="J843" s="103"/>
      <c r="L843" s="71"/>
      <c r="M843" s="106" t="str">
        <f>IF(ISBLANK(K843), "", VLOOKUP(C843&amp;" "&amp;D843, 'Info Tipo de Cambio y REM'!$A$24:$B$35, 2, FALSE))</f>
        <v/>
      </c>
      <c r="N843" s="107" t="str">
        <f t="shared" si="3"/>
        <v/>
      </c>
      <c r="O843" s="102" t="str">
        <f t="shared" si="2"/>
        <v/>
      </c>
    </row>
    <row r="844">
      <c r="A844" s="102"/>
      <c r="B844" s="43" t="str">
        <f>IF(A844="", "", IFERROR(VLOOKUP(A844, Clasificaciones!A:B, 2, FALSE), "DATO NO CARGADO"))</f>
        <v/>
      </c>
      <c r="C844" s="51"/>
      <c r="D844" s="257"/>
      <c r="E844" s="102"/>
      <c r="F844" s="103"/>
      <c r="G844" s="103"/>
      <c r="H844" s="258"/>
      <c r="J844" s="103"/>
      <c r="L844" s="71"/>
      <c r="M844" s="106" t="str">
        <f>IF(ISBLANK(K844), "", VLOOKUP(C844&amp;" "&amp;D844, 'Info Tipo de Cambio y REM'!$A$24:$B$35, 2, FALSE))</f>
        <v/>
      </c>
      <c r="N844" s="107" t="str">
        <f t="shared" si="3"/>
        <v/>
      </c>
      <c r="O844" s="102" t="str">
        <f t="shared" si="2"/>
        <v/>
      </c>
    </row>
    <row r="845">
      <c r="A845" s="102"/>
      <c r="B845" s="43" t="str">
        <f>IF(A845="", "", IFERROR(VLOOKUP(A845, Clasificaciones!A:B, 2, FALSE), "DATO NO CARGADO"))</f>
        <v/>
      </c>
      <c r="C845" s="51"/>
      <c r="D845" s="257"/>
      <c r="E845" s="102"/>
      <c r="F845" s="103"/>
      <c r="G845" s="103"/>
      <c r="H845" s="258"/>
      <c r="J845" s="103"/>
      <c r="L845" s="71"/>
      <c r="M845" s="106" t="str">
        <f>IF(ISBLANK(K845), "", VLOOKUP(C845&amp;" "&amp;D845, 'Info Tipo de Cambio y REM'!$A$24:$B$35, 2, FALSE))</f>
        <v/>
      </c>
      <c r="N845" s="107" t="str">
        <f t="shared" si="3"/>
        <v/>
      </c>
      <c r="O845" s="102" t="str">
        <f t="shared" si="2"/>
        <v/>
      </c>
    </row>
    <row r="846">
      <c r="A846" s="102"/>
      <c r="B846" s="43" t="str">
        <f>IF(A846="", "", IFERROR(VLOOKUP(A846, Clasificaciones!A:B, 2, FALSE), "DATO NO CARGADO"))</f>
        <v/>
      </c>
      <c r="C846" s="51"/>
      <c r="D846" s="257"/>
      <c r="E846" s="102"/>
      <c r="F846" s="103"/>
      <c r="G846" s="103"/>
      <c r="H846" s="258"/>
      <c r="J846" s="103"/>
      <c r="L846" s="71"/>
      <c r="M846" s="106" t="str">
        <f>IF(ISBLANK(K846), "", VLOOKUP(C846&amp;" "&amp;D846, 'Info Tipo de Cambio y REM'!$A$24:$B$35, 2, FALSE))</f>
        <v/>
      </c>
      <c r="N846" s="107" t="str">
        <f t="shared" si="3"/>
        <v/>
      </c>
      <c r="O846" s="102" t="str">
        <f t="shared" si="2"/>
        <v/>
      </c>
    </row>
    <row r="847">
      <c r="A847" s="102"/>
      <c r="B847" s="43" t="str">
        <f>IF(A847="", "", IFERROR(VLOOKUP(A847, Clasificaciones!A:B, 2, FALSE), "DATO NO CARGADO"))</f>
        <v/>
      </c>
      <c r="C847" s="51"/>
      <c r="D847" s="257"/>
      <c r="E847" s="102"/>
      <c r="F847" s="103"/>
      <c r="G847" s="103"/>
      <c r="H847" s="258"/>
      <c r="J847" s="103"/>
      <c r="L847" s="71"/>
      <c r="M847" s="106" t="str">
        <f>IF(ISBLANK(K847), "", VLOOKUP(C847&amp;" "&amp;D847, 'Info Tipo de Cambio y REM'!$A$24:$B$35, 2, FALSE))</f>
        <v/>
      </c>
      <c r="N847" s="107" t="str">
        <f t="shared" si="3"/>
        <v/>
      </c>
      <c r="O847" s="102" t="str">
        <f t="shared" si="2"/>
        <v/>
      </c>
    </row>
    <row r="848">
      <c r="A848" s="102"/>
      <c r="B848" s="43" t="str">
        <f>IF(A848="", "", IFERROR(VLOOKUP(A848, Clasificaciones!A:B, 2, FALSE), "DATO NO CARGADO"))</f>
        <v/>
      </c>
      <c r="C848" s="51"/>
      <c r="D848" s="257"/>
      <c r="E848" s="102"/>
      <c r="F848" s="103"/>
      <c r="G848" s="103"/>
      <c r="H848" s="258"/>
      <c r="J848" s="103"/>
      <c r="L848" s="71"/>
      <c r="M848" s="106" t="str">
        <f>IF(ISBLANK(K848), "", VLOOKUP(C848&amp;" "&amp;D848, 'Info Tipo de Cambio y REM'!$A$24:$B$35, 2, FALSE))</f>
        <v/>
      </c>
      <c r="N848" s="107" t="str">
        <f t="shared" si="3"/>
        <v/>
      </c>
      <c r="O848" s="102" t="str">
        <f t="shared" si="2"/>
        <v/>
      </c>
    </row>
    <row r="849">
      <c r="A849" s="102"/>
      <c r="B849" s="43" t="str">
        <f>IF(A849="", "", IFERROR(VLOOKUP(A849, Clasificaciones!A:B, 2, FALSE), "DATO NO CARGADO"))</f>
        <v/>
      </c>
      <c r="C849" s="51"/>
      <c r="D849" s="257"/>
      <c r="E849" s="102"/>
      <c r="F849" s="103"/>
      <c r="G849" s="103"/>
      <c r="H849" s="258"/>
      <c r="J849" s="103"/>
      <c r="L849" s="71"/>
      <c r="M849" s="106" t="str">
        <f>IF(ISBLANK(K849), "", VLOOKUP(C849&amp;" "&amp;D849, 'Info Tipo de Cambio y REM'!$A$24:$B$35, 2, FALSE))</f>
        <v/>
      </c>
      <c r="N849" s="107" t="str">
        <f t="shared" si="3"/>
        <v/>
      </c>
      <c r="O849" s="102" t="str">
        <f t="shared" si="2"/>
        <v/>
      </c>
    </row>
    <row r="850">
      <c r="A850" s="102"/>
      <c r="B850" s="43" t="str">
        <f>IF(A850="", "", IFERROR(VLOOKUP(A850, Clasificaciones!A:B, 2, FALSE), "DATO NO CARGADO"))</f>
        <v/>
      </c>
      <c r="C850" s="51"/>
      <c r="D850" s="257"/>
      <c r="E850" s="102"/>
      <c r="F850" s="103"/>
      <c r="G850" s="103"/>
      <c r="H850" s="258"/>
      <c r="J850" s="103"/>
      <c r="L850" s="71"/>
      <c r="M850" s="106" t="str">
        <f>IF(ISBLANK(K850), "", VLOOKUP(C850&amp;" "&amp;D850, 'Info Tipo de Cambio y REM'!$A$24:$B$35, 2, FALSE))</f>
        <v/>
      </c>
      <c r="N850" s="107" t="str">
        <f t="shared" si="3"/>
        <v/>
      </c>
      <c r="O850" s="102" t="str">
        <f t="shared" si="2"/>
        <v/>
      </c>
    </row>
    <row r="851">
      <c r="A851" s="102"/>
      <c r="B851" s="43" t="str">
        <f>IF(A851="", "", IFERROR(VLOOKUP(A851, Clasificaciones!A:B, 2, FALSE), "DATO NO CARGADO"))</f>
        <v/>
      </c>
      <c r="C851" s="51"/>
      <c r="D851" s="257"/>
      <c r="E851" s="102"/>
      <c r="F851" s="103"/>
      <c r="G851" s="103"/>
      <c r="H851" s="258"/>
      <c r="J851" s="103"/>
      <c r="L851" s="71"/>
      <c r="M851" s="106" t="str">
        <f>IF(ISBLANK(K851), "", VLOOKUP(C851&amp;" "&amp;D851, 'Info Tipo de Cambio y REM'!$A$24:$B$35, 2, FALSE))</f>
        <v/>
      </c>
      <c r="N851" s="107" t="str">
        <f t="shared" si="3"/>
        <v/>
      </c>
      <c r="O851" s="102" t="str">
        <f t="shared" si="2"/>
        <v/>
      </c>
    </row>
    <row r="852">
      <c r="A852" s="102"/>
      <c r="B852" s="43" t="str">
        <f>IF(A852="", "", IFERROR(VLOOKUP(A852, Clasificaciones!A:B, 2, FALSE), "DATO NO CARGADO"))</f>
        <v/>
      </c>
      <c r="C852" s="51"/>
      <c r="D852" s="257"/>
      <c r="E852" s="102"/>
      <c r="F852" s="103"/>
      <c r="G852" s="103"/>
      <c r="H852" s="258"/>
      <c r="J852" s="103"/>
      <c r="L852" s="71"/>
      <c r="M852" s="106" t="str">
        <f>IF(ISBLANK(K852), "", VLOOKUP(C852&amp;" "&amp;D852, 'Info Tipo de Cambio y REM'!$A$24:$B$35, 2, FALSE))</f>
        <v/>
      </c>
      <c r="N852" s="107" t="str">
        <f t="shared" si="3"/>
        <v/>
      </c>
      <c r="O852" s="102" t="str">
        <f t="shared" si="2"/>
        <v/>
      </c>
    </row>
    <row r="853">
      <c r="A853" s="102"/>
      <c r="B853" s="43" t="str">
        <f>IF(A853="", "", IFERROR(VLOOKUP(A853, Clasificaciones!A:B, 2, FALSE), "DATO NO CARGADO"))</f>
        <v/>
      </c>
      <c r="C853" s="51"/>
      <c r="D853" s="257"/>
      <c r="E853" s="102"/>
      <c r="F853" s="103"/>
      <c r="G853" s="103"/>
      <c r="H853" s="258"/>
      <c r="J853" s="103"/>
      <c r="L853" s="71"/>
      <c r="M853" s="106" t="str">
        <f>IF(ISBLANK(K853), "", VLOOKUP(C853&amp;" "&amp;D853, 'Info Tipo de Cambio y REM'!$A$24:$B$35, 2, FALSE))</f>
        <v/>
      </c>
      <c r="N853" s="107" t="str">
        <f t="shared" si="3"/>
        <v/>
      </c>
      <c r="O853" s="102" t="str">
        <f t="shared" si="2"/>
        <v/>
      </c>
    </row>
    <row r="854">
      <c r="A854" s="102"/>
      <c r="B854" s="43" t="str">
        <f>IF(A854="", "", IFERROR(VLOOKUP(A854, Clasificaciones!A:B, 2, FALSE), "DATO NO CARGADO"))</f>
        <v/>
      </c>
      <c r="C854" s="51"/>
      <c r="D854" s="257"/>
      <c r="E854" s="102"/>
      <c r="F854" s="103"/>
      <c r="G854" s="103"/>
      <c r="H854" s="258"/>
      <c r="J854" s="103"/>
      <c r="L854" s="71"/>
      <c r="M854" s="106" t="str">
        <f>IF(ISBLANK(K854), "", VLOOKUP(C854&amp;" "&amp;D854, 'Info Tipo de Cambio y REM'!$A$24:$B$35, 2, FALSE))</f>
        <v/>
      </c>
      <c r="N854" s="107" t="str">
        <f t="shared" si="3"/>
        <v/>
      </c>
      <c r="O854" s="102" t="str">
        <f t="shared" si="2"/>
        <v/>
      </c>
    </row>
    <row r="855">
      <c r="A855" s="102"/>
      <c r="B855" s="43" t="str">
        <f>IF(A855="", "", IFERROR(VLOOKUP(A855, Clasificaciones!A:B, 2, FALSE), "DATO NO CARGADO"))</f>
        <v/>
      </c>
      <c r="C855" s="51"/>
      <c r="D855" s="257"/>
      <c r="E855" s="102"/>
      <c r="F855" s="103"/>
      <c r="G855" s="103"/>
      <c r="H855" s="258"/>
      <c r="J855" s="103"/>
      <c r="L855" s="71"/>
      <c r="M855" s="106" t="str">
        <f>IF(ISBLANK(K855), "", VLOOKUP(C855&amp;" "&amp;D855, 'Info Tipo de Cambio y REM'!$A$24:$B$35, 2, FALSE))</f>
        <v/>
      </c>
      <c r="N855" s="107" t="str">
        <f t="shared" si="3"/>
        <v/>
      </c>
      <c r="O855" s="102" t="str">
        <f t="shared" si="2"/>
        <v/>
      </c>
    </row>
    <row r="856">
      <c r="A856" s="102"/>
      <c r="B856" s="43" t="str">
        <f>IF(A856="", "", IFERROR(VLOOKUP(A856, Clasificaciones!A:B, 2, FALSE), "DATO NO CARGADO"))</f>
        <v/>
      </c>
      <c r="C856" s="51"/>
      <c r="D856" s="257"/>
      <c r="E856" s="102"/>
      <c r="F856" s="103"/>
      <c r="G856" s="103"/>
      <c r="H856" s="258"/>
      <c r="J856" s="103"/>
      <c r="L856" s="71"/>
      <c r="M856" s="106" t="str">
        <f>IF(ISBLANK(K856), "", VLOOKUP(C856&amp;" "&amp;D856, 'Info Tipo de Cambio y REM'!$A$24:$B$35, 2, FALSE))</f>
        <v/>
      </c>
      <c r="N856" s="107" t="str">
        <f t="shared" si="3"/>
        <v/>
      </c>
      <c r="O856" s="102" t="str">
        <f t="shared" si="2"/>
        <v/>
      </c>
    </row>
    <row r="857">
      <c r="A857" s="102"/>
      <c r="B857" s="43" t="str">
        <f>IF(A857="", "", IFERROR(VLOOKUP(A857, Clasificaciones!A:B, 2, FALSE), "DATO NO CARGADO"))</f>
        <v/>
      </c>
      <c r="C857" s="51"/>
      <c r="D857" s="257"/>
      <c r="E857" s="102"/>
      <c r="F857" s="103"/>
      <c r="G857" s="103"/>
      <c r="H857" s="258"/>
      <c r="J857" s="103"/>
      <c r="L857" s="71"/>
      <c r="M857" s="106" t="str">
        <f>IF(ISBLANK(K857), "", VLOOKUP(C857&amp;" "&amp;D857, 'Info Tipo de Cambio y REM'!$A$24:$B$35, 2, FALSE))</f>
        <v/>
      </c>
      <c r="N857" s="107" t="str">
        <f t="shared" si="3"/>
        <v/>
      </c>
      <c r="O857" s="102" t="str">
        <f t="shared" si="2"/>
        <v/>
      </c>
    </row>
    <row r="858">
      <c r="A858" s="102"/>
      <c r="B858" s="43" t="str">
        <f>IF(A858="", "", IFERROR(VLOOKUP(A858, Clasificaciones!A:B, 2, FALSE), "DATO NO CARGADO"))</f>
        <v/>
      </c>
      <c r="C858" s="51"/>
      <c r="D858" s="257"/>
      <c r="E858" s="102"/>
      <c r="F858" s="103"/>
      <c r="G858" s="103"/>
      <c r="H858" s="258"/>
      <c r="J858" s="103"/>
      <c r="L858" s="71"/>
      <c r="M858" s="106" t="str">
        <f>IF(ISBLANK(K858), "", VLOOKUP(C858&amp;" "&amp;D858, 'Info Tipo de Cambio y REM'!$A$24:$B$35, 2, FALSE))</f>
        <v/>
      </c>
      <c r="N858" s="107" t="str">
        <f t="shared" si="3"/>
        <v/>
      </c>
      <c r="O858" s="102" t="str">
        <f t="shared" si="2"/>
        <v/>
      </c>
    </row>
    <row r="859">
      <c r="A859" s="102"/>
      <c r="B859" s="43" t="str">
        <f>IF(A859="", "", IFERROR(VLOOKUP(A859, Clasificaciones!A:B, 2, FALSE), "DATO NO CARGADO"))</f>
        <v/>
      </c>
      <c r="C859" s="51"/>
      <c r="D859" s="257"/>
      <c r="E859" s="102"/>
      <c r="F859" s="103"/>
      <c r="G859" s="103"/>
      <c r="H859" s="258"/>
      <c r="J859" s="103"/>
      <c r="L859" s="71"/>
      <c r="M859" s="106" t="str">
        <f>IF(ISBLANK(K859), "", VLOOKUP(C859&amp;" "&amp;D859, 'Info Tipo de Cambio y REM'!$A$24:$B$35, 2, FALSE))</f>
        <v/>
      </c>
      <c r="N859" s="107" t="str">
        <f t="shared" si="3"/>
        <v/>
      </c>
      <c r="O859" s="102" t="str">
        <f t="shared" si="2"/>
        <v/>
      </c>
    </row>
    <row r="860">
      <c r="A860" s="102"/>
      <c r="B860" s="43" t="str">
        <f>IF(A860="", "", IFERROR(VLOOKUP(A860, Clasificaciones!A:B, 2, FALSE), "DATO NO CARGADO"))</f>
        <v/>
      </c>
      <c r="C860" s="51"/>
      <c r="D860" s="257"/>
      <c r="E860" s="102"/>
      <c r="F860" s="103"/>
      <c r="G860" s="103"/>
      <c r="H860" s="258"/>
      <c r="J860" s="103"/>
      <c r="L860" s="71"/>
      <c r="M860" s="106" t="str">
        <f>IF(ISBLANK(K860), "", VLOOKUP(C860&amp;" "&amp;D860, 'Info Tipo de Cambio y REM'!$A$24:$B$35, 2, FALSE))</f>
        <v/>
      </c>
      <c r="N860" s="107" t="str">
        <f t="shared" si="3"/>
        <v/>
      </c>
      <c r="O860" s="102" t="str">
        <f t="shared" si="2"/>
        <v/>
      </c>
    </row>
    <row r="861">
      <c r="A861" s="102"/>
      <c r="B861" s="43" t="str">
        <f>IF(A861="", "", IFERROR(VLOOKUP(A861, Clasificaciones!A:B, 2, FALSE), "DATO NO CARGADO"))</f>
        <v/>
      </c>
      <c r="C861" s="51"/>
      <c r="D861" s="257"/>
      <c r="E861" s="102"/>
      <c r="F861" s="103"/>
      <c r="G861" s="103"/>
      <c r="H861" s="258"/>
      <c r="J861" s="103"/>
      <c r="L861" s="71"/>
      <c r="M861" s="106" t="str">
        <f>IF(ISBLANK(K861), "", VLOOKUP(C861&amp;" "&amp;D861, 'Info Tipo de Cambio y REM'!$A$24:$B$35, 2, FALSE))</f>
        <v/>
      </c>
      <c r="N861" s="107" t="str">
        <f t="shared" si="3"/>
        <v/>
      </c>
      <c r="O861" s="102" t="str">
        <f t="shared" si="2"/>
        <v/>
      </c>
    </row>
    <row r="862">
      <c r="A862" s="102"/>
      <c r="B862" s="43" t="str">
        <f>IF(A862="", "", IFERROR(VLOOKUP(A862, Clasificaciones!A:B, 2, FALSE), "DATO NO CARGADO"))</f>
        <v/>
      </c>
      <c r="C862" s="51"/>
      <c r="D862" s="257"/>
      <c r="E862" s="102"/>
      <c r="F862" s="103"/>
      <c r="G862" s="103"/>
      <c r="H862" s="258"/>
      <c r="J862" s="103"/>
      <c r="L862" s="71"/>
      <c r="M862" s="106" t="str">
        <f>IF(ISBLANK(K862), "", VLOOKUP(C862&amp;" "&amp;D862, 'Info Tipo de Cambio y REM'!$A$24:$B$35, 2, FALSE))</f>
        <v/>
      </c>
      <c r="N862" s="107" t="str">
        <f t="shared" si="3"/>
        <v/>
      </c>
      <c r="O862" s="102" t="str">
        <f t="shared" si="2"/>
        <v/>
      </c>
    </row>
    <row r="863">
      <c r="A863" s="102"/>
      <c r="B863" s="43" t="str">
        <f>IF(A863="", "", IFERROR(VLOOKUP(A863, Clasificaciones!A:B, 2, FALSE), "DATO NO CARGADO"))</f>
        <v/>
      </c>
      <c r="C863" s="51"/>
      <c r="D863" s="257"/>
      <c r="E863" s="102"/>
      <c r="F863" s="103"/>
      <c r="G863" s="103"/>
      <c r="H863" s="258"/>
      <c r="J863" s="103"/>
      <c r="L863" s="71"/>
      <c r="M863" s="106" t="str">
        <f>IF(ISBLANK(K863), "", VLOOKUP(C863&amp;" "&amp;D863, 'Info Tipo de Cambio y REM'!$A$24:$B$35, 2, FALSE))</f>
        <v/>
      </c>
      <c r="N863" s="107" t="str">
        <f t="shared" si="3"/>
        <v/>
      </c>
      <c r="O863" s="102" t="str">
        <f t="shared" si="2"/>
        <v/>
      </c>
    </row>
    <row r="864">
      <c r="A864" s="102"/>
      <c r="B864" s="43" t="str">
        <f>IF(A864="", "", IFERROR(VLOOKUP(A864, Clasificaciones!A:B, 2, FALSE), "DATO NO CARGADO"))</f>
        <v/>
      </c>
      <c r="C864" s="51"/>
      <c r="D864" s="257"/>
      <c r="E864" s="102"/>
      <c r="F864" s="103"/>
      <c r="G864" s="103"/>
      <c r="H864" s="258"/>
      <c r="J864" s="103"/>
      <c r="L864" s="71"/>
      <c r="M864" s="106" t="str">
        <f>IF(ISBLANK(K864), "", VLOOKUP(C864&amp;" "&amp;D864, 'Info Tipo de Cambio y REM'!$A$24:$B$35, 2, FALSE))</f>
        <v/>
      </c>
      <c r="N864" s="107" t="str">
        <f t="shared" si="3"/>
        <v/>
      </c>
      <c r="O864" s="102" t="str">
        <f t="shared" si="2"/>
        <v/>
      </c>
    </row>
    <row r="865">
      <c r="A865" s="102"/>
      <c r="B865" s="43" t="str">
        <f>IF(A865="", "", IFERROR(VLOOKUP(A865, Clasificaciones!A:B, 2, FALSE), "DATO NO CARGADO"))</f>
        <v/>
      </c>
      <c r="C865" s="51"/>
      <c r="D865" s="257"/>
      <c r="E865" s="102"/>
      <c r="F865" s="103"/>
      <c r="G865" s="103"/>
      <c r="H865" s="258"/>
      <c r="J865" s="103"/>
      <c r="L865" s="71"/>
      <c r="M865" s="106" t="str">
        <f>IF(ISBLANK(K865), "", VLOOKUP(C865&amp;" "&amp;D865, 'Info Tipo de Cambio y REM'!$A$24:$B$35, 2, FALSE))</f>
        <v/>
      </c>
      <c r="N865" s="107" t="str">
        <f t="shared" si="3"/>
        <v/>
      </c>
      <c r="O865" s="102" t="str">
        <f t="shared" si="2"/>
        <v/>
      </c>
    </row>
    <row r="866">
      <c r="A866" s="102"/>
      <c r="B866" s="43" t="str">
        <f>IF(A866="", "", IFERROR(VLOOKUP(A866, Clasificaciones!A:B, 2, FALSE), "DATO NO CARGADO"))</f>
        <v/>
      </c>
      <c r="C866" s="51"/>
      <c r="D866" s="257"/>
      <c r="E866" s="102"/>
      <c r="F866" s="103"/>
      <c r="G866" s="103"/>
      <c r="H866" s="258"/>
      <c r="J866" s="103"/>
      <c r="L866" s="71"/>
      <c r="M866" s="106" t="str">
        <f>IF(ISBLANK(K866), "", VLOOKUP(C866&amp;" "&amp;D866, 'Info Tipo de Cambio y REM'!$A$24:$B$35, 2, FALSE))</f>
        <v/>
      </c>
      <c r="N866" s="107" t="str">
        <f t="shared" si="3"/>
        <v/>
      </c>
      <c r="O866" s="102" t="str">
        <f t="shared" si="2"/>
        <v/>
      </c>
    </row>
    <row r="867">
      <c r="A867" s="102"/>
      <c r="B867" s="43" t="str">
        <f>IF(A867="", "", IFERROR(VLOOKUP(A867, Clasificaciones!A:B, 2, FALSE), "DATO NO CARGADO"))</f>
        <v/>
      </c>
      <c r="C867" s="51"/>
      <c r="D867" s="257"/>
      <c r="E867" s="102"/>
      <c r="F867" s="103"/>
      <c r="G867" s="103"/>
      <c r="H867" s="258"/>
      <c r="J867" s="103"/>
      <c r="L867" s="71"/>
      <c r="M867" s="106" t="str">
        <f>IF(ISBLANK(K867), "", VLOOKUP(C867&amp;" "&amp;D867, 'Info Tipo de Cambio y REM'!$A$24:$B$35, 2, FALSE))</f>
        <v/>
      </c>
      <c r="N867" s="107" t="str">
        <f t="shared" si="3"/>
        <v/>
      </c>
      <c r="O867" s="102" t="str">
        <f t="shared" si="2"/>
        <v/>
      </c>
    </row>
    <row r="868">
      <c r="A868" s="102"/>
      <c r="B868" s="43" t="str">
        <f>IF(A868="", "", IFERROR(VLOOKUP(A868, Clasificaciones!A:B, 2, FALSE), "DATO NO CARGADO"))</f>
        <v/>
      </c>
      <c r="C868" s="51"/>
      <c r="D868" s="257"/>
      <c r="E868" s="102"/>
      <c r="F868" s="103"/>
      <c r="G868" s="103"/>
      <c r="H868" s="258"/>
      <c r="J868" s="103"/>
      <c r="L868" s="71"/>
      <c r="M868" s="106" t="str">
        <f>IF(ISBLANK(K868), "", VLOOKUP(C868&amp;" "&amp;D868, 'Info Tipo de Cambio y REM'!$A$24:$B$35, 2, FALSE))</f>
        <v/>
      </c>
      <c r="N868" s="107" t="str">
        <f t="shared" si="3"/>
        <v/>
      </c>
      <c r="O868" s="102" t="str">
        <f t="shared" si="2"/>
        <v/>
      </c>
    </row>
    <row r="869">
      <c r="A869" s="102"/>
      <c r="B869" s="43" t="str">
        <f>IF(A869="", "", IFERROR(VLOOKUP(A869, Clasificaciones!A:B, 2, FALSE), "DATO NO CARGADO"))</f>
        <v/>
      </c>
      <c r="C869" s="51"/>
      <c r="D869" s="257"/>
      <c r="E869" s="102"/>
      <c r="F869" s="103"/>
      <c r="G869" s="103"/>
      <c r="H869" s="258"/>
      <c r="J869" s="103"/>
      <c r="L869" s="71"/>
      <c r="M869" s="106" t="str">
        <f>IF(ISBLANK(K869), "", VLOOKUP(C869&amp;" "&amp;D869, 'Info Tipo de Cambio y REM'!$A$24:$B$35, 2, FALSE))</f>
        <v/>
      </c>
      <c r="N869" s="107" t="str">
        <f t="shared" si="3"/>
        <v/>
      </c>
      <c r="O869" s="102" t="str">
        <f t="shared" si="2"/>
        <v/>
      </c>
    </row>
    <row r="870">
      <c r="A870" s="102"/>
      <c r="B870" s="43" t="str">
        <f>IF(A870="", "", IFERROR(VLOOKUP(A870, Clasificaciones!A:B, 2, FALSE), "DATO NO CARGADO"))</f>
        <v/>
      </c>
      <c r="C870" s="51"/>
      <c r="D870" s="257"/>
      <c r="E870" s="102"/>
      <c r="F870" s="103"/>
      <c r="G870" s="103"/>
      <c r="H870" s="258"/>
      <c r="J870" s="103"/>
      <c r="L870" s="71"/>
      <c r="M870" s="106" t="str">
        <f>IF(ISBLANK(K870), "", VLOOKUP(C870&amp;" "&amp;D870, 'Info Tipo de Cambio y REM'!$A$24:$B$35, 2, FALSE))</f>
        <v/>
      </c>
      <c r="N870" s="107" t="str">
        <f t="shared" si="3"/>
        <v/>
      </c>
      <c r="O870" s="102" t="str">
        <f t="shared" si="2"/>
        <v/>
      </c>
    </row>
    <row r="871">
      <c r="A871" s="102"/>
      <c r="B871" s="43" t="str">
        <f>IF(A871="", "", IFERROR(VLOOKUP(A871, Clasificaciones!A:B, 2, FALSE), "DATO NO CARGADO"))</f>
        <v/>
      </c>
      <c r="C871" s="51"/>
      <c r="D871" s="257"/>
      <c r="E871" s="102"/>
      <c r="F871" s="103"/>
      <c r="G871" s="103"/>
      <c r="H871" s="258"/>
      <c r="J871" s="103"/>
      <c r="L871" s="71"/>
      <c r="M871" s="106" t="str">
        <f>IF(ISBLANK(K871), "", VLOOKUP(C871&amp;" "&amp;D871, 'Info Tipo de Cambio y REM'!$A$24:$B$35, 2, FALSE))</f>
        <v/>
      </c>
      <c r="N871" s="107" t="str">
        <f t="shared" si="3"/>
        <v/>
      </c>
      <c r="O871" s="102" t="str">
        <f t="shared" si="2"/>
        <v/>
      </c>
    </row>
    <row r="872">
      <c r="A872" s="102"/>
      <c r="B872" s="43" t="str">
        <f>IF(A872="", "", IFERROR(VLOOKUP(A872, Clasificaciones!A:B, 2, FALSE), "DATO NO CARGADO"))</f>
        <v/>
      </c>
      <c r="C872" s="51"/>
      <c r="D872" s="257"/>
      <c r="E872" s="102"/>
      <c r="F872" s="103"/>
      <c r="G872" s="103"/>
      <c r="H872" s="258"/>
      <c r="J872" s="103"/>
      <c r="L872" s="71"/>
      <c r="M872" s="106" t="str">
        <f>IF(ISBLANK(K872), "", VLOOKUP(C872&amp;" "&amp;D872, 'Info Tipo de Cambio y REM'!$A$24:$B$35, 2, FALSE))</f>
        <v/>
      </c>
      <c r="N872" s="107" t="str">
        <f t="shared" si="3"/>
        <v/>
      </c>
      <c r="O872" s="102" t="str">
        <f t="shared" si="2"/>
        <v/>
      </c>
    </row>
    <row r="873">
      <c r="A873" s="102"/>
      <c r="B873" s="43" t="str">
        <f>IF(A873="", "", IFERROR(VLOOKUP(A873, Clasificaciones!A:B, 2, FALSE), "DATO NO CARGADO"))</f>
        <v/>
      </c>
      <c r="C873" s="51"/>
      <c r="D873" s="257"/>
      <c r="E873" s="102"/>
      <c r="F873" s="103"/>
      <c r="G873" s="103"/>
      <c r="H873" s="258"/>
      <c r="J873" s="103"/>
      <c r="L873" s="71"/>
      <c r="M873" s="106" t="str">
        <f>IF(ISBLANK(K873), "", VLOOKUP(C873&amp;" "&amp;D873, 'Info Tipo de Cambio y REM'!$A$24:$B$35, 2, FALSE))</f>
        <v/>
      </c>
      <c r="N873" s="107" t="str">
        <f t="shared" si="3"/>
        <v/>
      </c>
      <c r="O873" s="102" t="str">
        <f t="shared" si="2"/>
        <v/>
      </c>
    </row>
    <row r="874">
      <c r="A874" s="102"/>
      <c r="B874" s="43" t="str">
        <f>IF(A874="", "", IFERROR(VLOOKUP(A874, Clasificaciones!A:B, 2, FALSE), "DATO NO CARGADO"))</f>
        <v/>
      </c>
      <c r="C874" s="51"/>
      <c r="D874" s="257"/>
      <c r="E874" s="102"/>
      <c r="F874" s="103"/>
      <c r="G874" s="103"/>
      <c r="H874" s="258"/>
      <c r="J874" s="103"/>
      <c r="L874" s="71"/>
      <c r="M874" s="106" t="str">
        <f>IF(ISBLANK(K874), "", VLOOKUP(C874&amp;" "&amp;D874, 'Info Tipo de Cambio y REM'!$A$24:$B$35, 2, FALSE))</f>
        <v/>
      </c>
      <c r="N874" s="107" t="str">
        <f t="shared" si="3"/>
        <v/>
      </c>
      <c r="O874" s="102" t="str">
        <f t="shared" si="2"/>
        <v/>
      </c>
    </row>
    <row r="875">
      <c r="A875" s="102"/>
      <c r="B875" s="43" t="str">
        <f>IF(A875="", "", IFERROR(VLOOKUP(A875, Clasificaciones!A:B, 2, FALSE), "DATO NO CARGADO"))</f>
        <v/>
      </c>
      <c r="C875" s="51"/>
      <c r="D875" s="257"/>
      <c r="E875" s="102"/>
      <c r="F875" s="103"/>
      <c r="G875" s="103"/>
      <c r="H875" s="258"/>
      <c r="J875" s="103"/>
      <c r="L875" s="71"/>
      <c r="M875" s="106" t="str">
        <f>IF(ISBLANK(K875), "", VLOOKUP(C875&amp;" "&amp;D875, 'Info Tipo de Cambio y REM'!$A$24:$B$35, 2, FALSE))</f>
        <v/>
      </c>
      <c r="N875" s="107" t="str">
        <f t="shared" si="3"/>
        <v/>
      </c>
      <c r="O875" s="102" t="str">
        <f t="shared" si="2"/>
        <v/>
      </c>
    </row>
    <row r="876">
      <c r="A876" s="102"/>
      <c r="B876" s="43" t="str">
        <f>IF(A876="", "", IFERROR(VLOOKUP(A876, Clasificaciones!A:B, 2, FALSE), "DATO NO CARGADO"))</f>
        <v/>
      </c>
      <c r="C876" s="51"/>
      <c r="D876" s="257"/>
      <c r="E876" s="102"/>
      <c r="F876" s="103"/>
      <c r="G876" s="103"/>
      <c r="H876" s="258"/>
      <c r="J876" s="103"/>
      <c r="L876" s="71"/>
      <c r="M876" s="106" t="str">
        <f>IF(ISBLANK(K876), "", VLOOKUP(C876&amp;" "&amp;D876, 'Info Tipo de Cambio y REM'!$A$24:$B$35, 2, FALSE))</f>
        <v/>
      </c>
      <c r="N876" s="107" t="str">
        <f t="shared" si="3"/>
        <v/>
      </c>
      <c r="O876" s="102" t="str">
        <f t="shared" si="2"/>
        <v/>
      </c>
    </row>
    <row r="877">
      <c r="A877" s="102"/>
      <c r="B877" s="43" t="str">
        <f>IF(A877="", "", IFERROR(VLOOKUP(A877, Clasificaciones!A:B, 2, FALSE), "DATO NO CARGADO"))</f>
        <v/>
      </c>
      <c r="C877" s="51"/>
      <c r="D877" s="257"/>
      <c r="E877" s="102"/>
      <c r="F877" s="103"/>
      <c r="G877" s="103"/>
      <c r="H877" s="258"/>
      <c r="J877" s="103"/>
      <c r="L877" s="71"/>
      <c r="M877" s="106" t="str">
        <f>IF(ISBLANK(K877), "", VLOOKUP(C877&amp;" "&amp;D877, 'Info Tipo de Cambio y REM'!$A$24:$B$35, 2, FALSE))</f>
        <v/>
      </c>
      <c r="N877" s="107" t="str">
        <f t="shared" si="3"/>
        <v/>
      </c>
      <c r="O877" s="102" t="str">
        <f t="shared" si="2"/>
        <v/>
      </c>
    </row>
    <row r="878">
      <c r="A878" s="102"/>
      <c r="B878" s="43" t="str">
        <f>IF(A878="", "", IFERROR(VLOOKUP(A878, Clasificaciones!A:B, 2, FALSE), "DATO NO CARGADO"))</f>
        <v/>
      </c>
      <c r="C878" s="51"/>
      <c r="D878" s="257"/>
      <c r="E878" s="102"/>
      <c r="F878" s="103"/>
      <c r="G878" s="103"/>
      <c r="H878" s="258"/>
      <c r="J878" s="103"/>
      <c r="L878" s="71"/>
      <c r="M878" s="106" t="str">
        <f>IF(ISBLANK(K878), "", VLOOKUP(C878&amp;" "&amp;D878, 'Info Tipo de Cambio y REM'!$A$24:$B$35, 2, FALSE))</f>
        <v/>
      </c>
      <c r="N878" s="107" t="str">
        <f t="shared" si="3"/>
        <v/>
      </c>
      <c r="O878" s="102" t="str">
        <f t="shared" si="2"/>
        <v/>
      </c>
    </row>
    <row r="879">
      <c r="A879" s="102"/>
      <c r="B879" s="43" t="str">
        <f>IF(A879="", "", IFERROR(VLOOKUP(A879, Clasificaciones!A:B, 2, FALSE), "DATO NO CARGADO"))</f>
        <v/>
      </c>
      <c r="C879" s="51"/>
      <c r="D879" s="257"/>
      <c r="E879" s="102"/>
      <c r="F879" s="103"/>
      <c r="G879" s="103"/>
      <c r="H879" s="258"/>
      <c r="J879" s="103"/>
      <c r="L879" s="71"/>
      <c r="M879" s="106" t="str">
        <f>IF(ISBLANK(K879), "", VLOOKUP(C879&amp;" "&amp;D879, 'Info Tipo de Cambio y REM'!$A$24:$B$35, 2, FALSE))</f>
        <v/>
      </c>
      <c r="N879" s="107" t="str">
        <f t="shared" si="3"/>
        <v/>
      </c>
      <c r="O879" s="102" t="str">
        <f t="shared" si="2"/>
        <v/>
      </c>
    </row>
    <row r="880">
      <c r="A880" s="102"/>
      <c r="B880" s="43" t="str">
        <f>IF(A880="", "", IFERROR(VLOOKUP(A880, Clasificaciones!A:B, 2, FALSE), "DATO NO CARGADO"))</f>
        <v/>
      </c>
      <c r="C880" s="51"/>
      <c r="D880" s="257"/>
      <c r="E880" s="102"/>
      <c r="F880" s="103"/>
      <c r="G880" s="103"/>
      <c r="H880" s="258"/>
      <c r="J880" s="103"/>
      <c r="L880" s="71"/>
      <c r="M880" s="106" t="str">
        <f>IF(ISBLANK(K880), "", VLOOKUP(C880&amp;" "&amp;D880, 'Info Tipo de Cambio y REM'!$A$24:$B$35, 2, FALSE))</f>
        <v/>
      </c>
      <c r="N880" s="107" t="str">
        <f t="shared" si="3"/>
        <v/>
      </c>
      <c r="O880" s="102" t="str">
        <f t="shared" si="2"/>
        <v/>
      </c>
    </row>
    <row r="881">
      <c r="A881" s="102"/>
      <c r="B881" s="43" t="str">
        <f>IF(A881="", "", IFERROR(VLOOKUP(A881, Clasificaciones!A:B, 2, FALSE), "DATO NO CARGADO"))</f>
        <v/>
      </c>
      <c r="C881" s="51"/>
      <c r="D881" s="257"/>
      <c r="E881" s="102"/>
      <c r="F881" s="103"/>
      <c r="G881" s="103"/>
      <c r="H881" s="258"/>
      <c r="J881" s="103"/>
      <c r="L881" s="71"/>
      <c r="M881" s="106" t="str">
        <f>IF(ISBLANK(K881), "", VLOOKUP(C881&amp;" "&amp;D881, 'Info Tipo de Cambio y REM'!$A$24:$B$35, 2, FALSE))</f>
        <v/>
      </c>
      <c r="N881" s="107" t="str">
        <f t="shared" si="3"/>
        <v/>
      </c>
      <c r="O881" s="102" t="str">
        <f t="shared" si="2"/>
        <v/>
      </c>
    </row>
    <row r="882">
      <c r="A882" s="102"/>
      <c r="B882" s="43" t="str">
        <f>IF(A882="", "", IFERROR(VLOOKUP(A882, Clasificaciones!A:B, 2, FALSE), "DATO NO CARGADO"))</f>
        <v/>
      </c>
      <c r="C882" s="51"/>
      <c r="D882" s="257"/>
      <c r="E882" s="102"/>
      <c r="F882" s="103"/>
      <c r="G882" s="103"/>
      <c r="H882" s="258"/>
      <c r="J882" s="103"/>
      <c r="L882" s="71"/>
      <c r="M882" s="106" t="str">
        <f>IF(ISBLANK(K882), "", VLOOKUP(C882&amp;" "&amp;D882, 'Info Tipo de Cambio y REM'!$A$24:$B$35, 2, FALSE))</f>
        <v/>
      </c>
      <c r="N882" s="107" t="str">
        <f t="shared" si="3"/>
        <v/>
      </c>
      <c r="O882" s="102" t="str">
        <f t="shared" si="2"/>
        <v/>
      </c>
    </row>
    <row r="883">
      <c r="A883" s="102"/>
      <c r="B883" s="43" t="str">
        <f>IF(A883="", "", IFERROR(VLOOKUP(A883, Clasificaciones!A:B, 2, FALSE), "DATO NO CARGADO"))</f>
        <v/>
      </c>
      <c r="C883" s="51"/>
      <c r="D883" s="257"/>
      <c r="E883" s="102"/>
      <c r="F883" s="103"/>
      <c r="G883" s="103"/>
      <c r="H883" s="258"/>
      <c r="J883" s="103"/>
      <c r="L883" s="71"/>
      <c r="M883" s="106" t="str">
        <f>IF(ISBLANK(K883), "", VLOOKUP(C883&amp;" "&amp;D883, 'Info Tipo de Cambio y REM'!$A$24:$B$35, 2, FALSE))</f>
        <v/>
      </c>
      <c r="N883" s="107" t="str">
        <f t="shared" si="3"/>
        <v/>
      </c>
      <c r="O883" s="102" t="str">
        <f t="shared" si="2"/>
        <v/>
      </c>
    </row>
    <row r="884">
      <c r="A884" s="102"/>
      <c r="B884" s="43" t="str">
        <f>IF(A884="", "", IFERROR(VLOOKUP(A884, Clasificaciones!A:B, 2, FALSE), "DATO NO CARGADO"))</f>
        <v/>
      </c>
      <c r="C884" s="51"/>
      <c r="D884" s="257"/>
      <c r="E884" s="102"/>
      <c r="F884" s="103"/>
      <c r="G884" s="103"/>
      <c r="H884" s="258"/>
      <c r="J884" s="103"/>
      <c r="L884" s="71"/>
      <c r="M884" s="106" t="str">
        <f>IF(ISBLANK(K884), "", VLOOKUP(C884&amp;" "&amp;D884, 'Info Tipo de Cambio y REM'!$A$24:$B$35, 2, FALSE))</f>
        <v/>
      </c>
      <c r="N884" s="107" t="str">
        <f t="shared" si="3"/>
        <v/>
      </c>
      <c r="O884" s="102" t="str">
        <f t="shared" si="2"/>
        <v/>
      </c>
    </row>
    <row r="885">
      <c r="A885" s="102"/>
      <c r="B885" s="43" t="str">
        <f>IF(A885="", "", IFERROR(VLOOKUP(A885, Clasificaciones!A:B, 2, FALSE), "DATO NO CARGADO"))</f>
        <v/>
      </c>
      <c r="C885" s="51"/>
      <c r="D885" s="257"/>
      <c r="E885" s="102"/>
      <c r="F885" s="103"/>
      <c r="G885" s="103"/>
      <c r="H885" s="258"/>
      <c r="J885" s="103"/>
      <c r="L885" s="71"/>
      <c r="M885" s="106" t="str">
        <f>IF(ISBLANK(K885), "", VLOOKUP(C885&amp;" "&amp;D885, 'Info Tipo de Cambio y REM'!$A$24:$B$35, 2, FALSE))</f>
        <v/>
      </c>
      <c r="N885" s="107" t="str">
        <f t="shared" si="3"/>
        <v/>
      </c>
      <c r="O885" s="102" t="str">
        <f t="shared" si="2"/>
        <v/>
      </c>
    </row>
    <row r="886">
      <c r="A886" s="102"/>
      <c r="B886" s="43" t="str">
        <f>IF(A886="", "", IFERROR(VLOOKUP(A886, Clasificaciones!A:B, 2, FALSE), "DATO NO CARGADO"))</f>
        <v/>
      </c>
      <c r="C886" s="51"/>
      <c r="D886" s="257"/>
      <c r="E886" s="102"/>
      <c r="F886" s="103"/>
      <c r="G886" s="103"/>
      <c r="H886" s="258"/>
      <c r="J886" s="103"/>
      <c r="L886" s="71"/>
      <c r="M886" s="106" t="str">
        <f>IF(ISBLANK(K886), "", VLOOKUP(C886&amp;" "&amp;D886, 'Info Tipo de Cambio y REM'!$A$24:$B$35, 2, FALSE))</f>
        <v/>
      </c>
      <c r="N886" s="107" t="str">
        <f t="shared" si="3"/>
        <v/>
      </c>
      <c r="O886" s="102" t="str">
        <f t="shared" si="2"/>
        <v/>
      </c>
    </row>
    <row r="887">
      <c r="A887" s="102"/>
      <c r="B887" s="43" t="str">
        <f>IF(A887="", "", IFERROR(VLOOKUP(A887, Clasificaciones!A:B, 2, FALSE), "DATO NO CARGADO"))</f>
        <v/>
      </c>
      <c r="C887" s="51"/>
      <c r="D887" s="257"/>
      <c r="E887" s="102"/>
      <c r="F887" s="103"/>
      <c r="G887" s="103"/>
      <c r="H887" s="258"/>
      <c r="J887" s="103"/>
      <c r="L887" s="71"/>
      <c r="M887" s="106" t="str">
        <f>IF(ISBLANK(K887), "", VLOOKUP(C887&amp;" "&amp;D887, 'Info Tipo de Cambio y REM'!$A$24:$B$35, 2, FALSE))</f>
        <v/>
      </c>
      <c r="N887" s="107" t="str">
        <f t="shared" si="3"/>
        <v/>
      </c>
      <c r="O887" s="102" t="str">
        <f t="shared" si="2"/>
        <v/>
      </c>
    </row>
    <row r="888">
      <c r="A888" s="102"/>
      <c r="B888" s="43" t="str">
        <f>IF(A888="", "", IFERROR(VLOOKUP(A888, Clasificaciones!A:B, 2, FALSE), "DATO NO CARGADO"))</f>
        <v/>
      </c>
      <c r="C888" s="51"/>
      <c r="D888" s="257"/>
      <c r="E888" s="102"/>
      <c r="F888" s="103"/>
      <c r="G888" s="103"/>
      <c r="H888" s="258"/>
      <c r="J888" s="103"/>
      <c r="L888" s="71"/>
      <c r="M888" s="106" t="str">
        <f>IF(ISBLANK(K888), "", VLOOKUP(C888&amp;" "&amp;D888, 'Info Tipo de Cambio y REM'!$A$24:$B$35, 2, FALSE))</f>
        <v/>
      </c>
      <c r="N888" s="107" t="str">
        <f t="shared" si="3"/>
        <v/>
      </c>
      <c r="O888" s="102" t="str">
        <f t="shared" si="2"/>
        <v/>
      </c>
    </row>
    <row r="889">
      <c r="A889" s="102"/>
      <c r="B889" s="43" t="str">
        <f>IF(A889="", "", IFERROR(VLOOKUP(A889, Clasificaciones!A:B, 2, FALSE), "DATO NO CARGADO"))</f>
        <v/>
      </c>
      <c r="C889" s="51"/>
      <c r="D889" s="257"/>
      <c r="E889" s="102"/>
      <c r="F889" s="103"/>
      <c r="G889" s="103"/>
      <c r="H889" s="258"/>
      <c r="J889" s="103"/>
      <c r="L889" s="71"/>
      <c r="M889" s="106" t="str">
        <f>IF(ISBLANK(K889), "", VLOOKUP(C889&amp;" "&amp;D889, 'Info Tipo de Cambio y REM'!$A$24:$B$35, 2, FALSE))</f>
        <v/>
      </c>
      <c r="N889" s="107" t="str">
        <f t="shared" si="3"/>
        <v/>
      </c>
      <c r="O889" s="102" t="str">
        <f t="shared" si="2"/>
        <v/>
      </c>
    </row>
    <row r="890">
      <c r="A890" s="102"/>
      <c r="B890" s="43" t="str">
        <f>IF(A890="", "", IFERROR(VLOOKUP(A890, Clasificaciones!A:B, 2, FALSE), "DATO NO CARGADO"))</f>
        <v/>
      </c>
      <c r="C890" s="51"/>
      <c r="D890" s="257"/>
      <c r="E890" s="102"/>
      <c r="F890" s="103"/>
      <c r="G890" s="103"/>
      <c r="H890" s="258"/>
      <c r="J890" s="103"/>
      <c r="L890" s="71"/>
      <c r="M890" s="106" t="str">
        <f>IF(ISBLANK(K890), "", VLOOKUP(C890&amp;" "&amp;D890, 'Info Tipo de Cambio y REM'!$A$24:$B$35, 2, FALSE))</f>
        <v/>
      </c>
      <c r="N890" s="107" t="str">
        <f t="shared" si="3"/>
        <v/>
      </c>
      <c r="O890" s="102" t="str">
        <f t="shared" si="2"/>
        <v/>
      </c>
    </row>
    <row r="891">
      <c r="A891" s="102"/>
      <c r="B891" s="43" t="str">
        <f>IF(A891="", "", IFERROR(VLOOKUP(A891, Clasificaciones!A:B, 2, FALSE), "DATO NO CARGADO"))</f>
        <v/>
      </c>
      <c r="C891" s="51"/>
      <c r="D891" s="257"/>
      <c r="E891" s="102"/>
      <c r="F891" s="103"/>
      <c r="G891" s="103"/>
      <c r="H891" s="258"/>
      <c r="J891" s="103"/>
      <c r="L891" s="71"/>
      <c r="M891" s="106" t="str">
        <f>IF(ISBLANK(K891), "", VLOOKUP(C891&amp;" "&amp;D891, 'Info Tipo de Cambio y REM'!$A$24:$B$35, 2, FALSE))</f>
        <v/>
      </c>
      <c r="N891" s="107" t="str">
        <f t="shared" si="3"/>
        <v/>
      </c>
      <c r="O891" s="102" t="str">
        <f t="shared" si="2"/>
        <v/>
      </c>
    </row>
    <row r="892">
      <c r="A892" s="102"/>
      <c r="B892" s="43" t="str">
        <f>IF(A892="", "", IFERROR(VLOOKUP(A892, Clasificaciones!A:B, 2, FALSE), "DATO NO CARGADO"))</f>
        <v/>
      </c>
      <c r="C892" s="51"/>
      <c r="D892" s="257"/>
      <c r="E892" s="102"/>
      <c r="F892" s="103"/>
      <c r="G892" s="103"/>
      <c r="H892" s="258"/>
      <c r="J892" s="103"/>
      <c r="L892" s="71"/>
      <c r="M892" s="106" t="str">
        <f>IF(ISBLANK(K892), "", VLOOKUP(C892&amp;" "&amp;D892, 'Info Tipo de Cambio y REM'!$A$24:$B$35, 2, FALSE))</f>
        <v/>
      </c>
      <c r="N892" s="107" t="str">
        <f t="shared" si="3"/>
        <v/>
      </c>
      <c r="O892" s="102" t="str">
        <f t="shared" si="2"/>
        <v/>
      </c>
    </row>
    <row r="893">
      <c r="A893" s="102"/>
      <c r="B893" s="43" t="str">
        <f>IF(A893="", "", IFERROR(VLOOKUP(A893, Clasificaciones!A:B, 2, FALSE), "DATO NO CARGADO"))</f>
        <v/>
      </c>
      <c r="C893" s="51"/>
      <c r="D893" s="257"/>
      <c r="E893" s="102"/>
      <c r="F893" s="103"/>
      <c r="G893" s="103"/>
      <c r="H893" s="258"/>
      <c r="J893" s="103"/>
      <c r="L893" s="71"/>
      <c r="M893" s="106" t="str">
        <f>IF(ISBLANK(K893), "", VLOOKUP(C893&amp;" "&amp;D893, 'Info Tipo de Cambio y REM'!$A$24:$B$35, 2, FALSE))</f>
        <v/>
      </c>
      <c r="N893" s="107" t="str">
        <f t="shared" si="3"/>
        <v/>
      </c>
      <c r="O893" s="102" t="str">
        <f t="shared" si="2"/>
        <v/>
      </c>
    </row>
    <row r="894">
      <c r="A894" s="102"/>
      <c r="B894" s="43" t="str">
        <f>IF(A894="", "", IFERROR(VLOOKUP(A894, Clasificaciones!A:B, 2, FALSE), "DATO NO CARGADO"))</f>
        <v/>
      </c>
      <c r="C894" s="51"/>
      <c r="D894" s="257"/>
      <c r="E894" s="102"/>
      <c r="F894" s="103"/>
      <c r="G894" s="103"/>
      <c r="H894" s="258"/>
      <c r="J894" s="103"/>
      <c r="L894" s="71"/>
      <c r="M894" s="106" t="str">
        <f>IF(ISBLANK(K894), "", VLOOKUP(C894&amp;" "&amp;D894, 'Info Tipo de Cambio y REM'!$A$24:$B$35, 2, FALSE))</f>
        <v/>
      </c>
      <c r="N894" s="107" t="str">
        <f t="shared" si="3"/>
        <v/>
      </c>
      <c r="O894" s="102" t="str">
        <f t="shared" si="2"/>
        <v/>
      </c>
    </row>
    <row r="895">
      <c r="A895" s="102"/>
      <c r="B895" s="43" t="str">
        <f>IF(A895="", "", IFERROR(VLOOKUP(A895, Clasificaciones!A:B, 2, FALSE), "DATO NO CARGADO"))</f>
        <v/>
      </c>
      <c r="C895" s="51"/>
      <c r="D895" s="257"/>
      <c r="E895" s="102"/>
      <c r="F895" s="103"/>
      <c r="G895" s="103"/>
      <c r="H895" s="258"/>
      <c r="J895" s="103"/>
      <c r="L895" s="71"/>
      <c r="M895" s="106" t="str">
        <f>IF(ISBLANK(K895), "", VLOOKUP(C895&amp;" "&amp;D895, 'Info Tipo de Cambio y REM'!$A$24:$B$35, 2, FALSE))</f>
        <v/>
      </c>
      <c r="N895" s="107" t="str">
        <f t="shared" si="3"/>
        <v/>
      </c>
      <c r="O895" s="102" t="str">
        <f t="shared" si="2"/>
        <v/>
      </c>
    </row>
    <row r="896">
      <c r="A896" s="102"/>
      <c r="B896" s="43" t="str">
        <f>IF(A896="", "", IFERROR(VLOOKUP(A896, Clasificaciones!A:B, 2, FALSE), "DATO NO CARGADO"))</f>
        <v/>
      </c>
      <c r="C896" s="51"/>
      <c r="D896" s="257"/>
      <c r="E896" s="102"/>
      <c r="F896" s="103"/>
      <c r="G896" s="103"/>
      <c r="H896" s="258"/>
      <c r="J896" s="103"/>
      <c r="L896" s="71"/>
      <c r="M896" s="106" t="str">
        <f>IF(ISBLANK(K896), "", VLOOKUP(C896&amp;" "&amp;D896, 'Info Tipo de Cambio y REM'!$A$24:$B$35, 2, FALSE))</f>
        <v/>
      </c>
      <c r="N896" s="107" t="str">
        <f t="shared" si="3"/>
        <v/>
      </c>
      <c r="O896" s="102" t="str">
        <f t="shared" si="2"/>
        <v/>
      </c>
    </row>
    <row r="897">
      <c r="A897" s="102"/>
      <c r="B897" s="43" t="str">
        <f>IF(A897="", "", IFERROR(VLOOKUP(A897, Clasificaciones!A:B, 2, FALSE), "DATO NO CARGADO"))</f>
        <v/>
      </c>
      <c r="C897" s="51"/>
      <c r="D897" s="257"/>
      <c r="E897" s="102"/>
      <c r="F897" s="103"/>
      <c r="G897" s="103"/>
      <c r="H897" s="258"/>
      <c r="J897" s="103"/>
      <c r="L897" s="71"/>
      <c r="M897" s="106" t="str">
        <f>IF(ISBLANK(K897), "", VLOOKUP(C897&amp;" "&amp;D897, 'Info Tipo de Cambio y REM'!$A$24:$B$35, 2, FALSE))</f>
        <v/>
      </c>
      <c r="N897" s="107" t="str">
        <f t="shared" si="3"/>
        <v/>
      </c>
      <c r="O897" s="102" t="str">
        <f t="shared" si="2"/>
        <v/>
      </c>
    </row>
    <row r="898">
      <c r="A898" s="102"/>
      <c r="B898" s="43" t="str">
        <f>IF(A898="", "", IFERROR(VLOOKUP(A898, Clasificaciones!A:B, 2, FALSE), "DATO NO CARGADO"))</f>
        <v/>
      </c>
      <c r="C898" s="51"/>
      <c r="D898" s="257"/>
      <c r="E898" s="102"/>
      <c r="F898" s="103"/>
      <c r="G898" s="103"/>
      <c r="H898" s="258"/>
      <c r="J898" s="103"/>
      <c r="L898" s="71"/>
      <c r="M898" s="106" t="str">
        <f>IF(ISBLANK(K898), "", VLOOKUP(C898&amp;" "&amp;D898, 'Info Tipo de Cambio y REM'!$A$24:$B$35, 2, FALSE))</f>
        <v/>
      </c>
      <c r="N898" s="107" t="str">
        <f t="shared" si="3"/>
        <v/>
      </c>
      <c r="O898" s="102" t="str">
        <f t="shared" si="2"/>
        <v/>
      </c>
    </row>
    <row r="899">
      <c r="A899" s="102"/>
      <c r="B899" s="43" t="str">
        <f>IF(A899="", "", IFERROR(VLOOKUP(A899, Clasificaciones!A:B, 2, FALSE), "DATO NO CARGADO"))</f>
        <v/>
      </c>
      <c r="C899" s="51"/>
      <c r="D899" s="257"/>
      <c r="E899" s="102"/>
      <c r="F899" s="103"/>
      <c r="G899" s="103"/>
      <c r="H899" s="258"/>
      <c r="J899" s="103"/>
      <c r="L899" s="71"/>
      <c r="M899" s="106" t="str">
        <f>IF(ISBLANK(K899), "", VLOOKUP(C899&amp;" "&amp;D899, 'Info Tipo de Cambio y REM'!$A$24:$B$35, 2, FALSE))</f>
        <v/>
      </c>
      <c r="N899" s="107" t="str">
        <f t="shared" si="3"/>
        <v/>
      </c>
      <c r="O899" s="102" t="str">
        <f t="shared" si="2"/>
        <v/>
      </c>
    </row>
    <row r="900">
      <c r="A900" s="102"/>
      <c r="B900" s="43" t="str">
        <f>IF(A900="", "", IFERROR(VLOOKUP(A900, Clasificaciones!A:B, 2, FALSE), "DATO NO CARGADO"))</f>
        <v/>
      </c>
      <c r="C900" s="51"/>
      <c r="D900" s="257"/>
      <c r="E900" s="102"/>
      <c r="F900" s="103"/>
      <c r="G900" s="103"/>
      <c r="H900" s="258"/>
      <c r="J900" s="103"/>
      <c r="L900" s="71"/>
      <c r="M900" s="106" t="str">
        <f>IF(ISBLANK(K900), "", VLOOKUP(C900&amp;" "&amp;D900, 'Info Tipo de Cambio y REM'!$A$24:$B$35, 2, FALSE))</f>
        <v/>
      </c>
      <c r="N900" s="107" t="str">
        <f t="shared" si="3"/>
        <v/>
      </c>
      <c r="O900" s="102" t="str">
        <f t="shared" si="2"/>
        <v/>
      </c>
    </row>
    <row r="901">
      <c r="A901" s="102"/>
      <c r="B901" s="43" t="str">
        <f>IF(A901="", "", IFERROR(VLOOKUP(A901, Clasificaciones!A:B, 2, FALSE), "DATO NO CARGADO"))</f>
        <v/>
      </c>
      <c r="C901" s="51"/>
      <c r="D901" s="257"/>
      <c r="E901" s="102"/>
      <c r="F901" s="103"/>
      <c r="G901" s="103"/>
      <c r="H901" s="258"/>
      <c r="J901" s="103"/>
      <c r="L901" s="71"/>
      <c r="M901" s="106" t="str">
        <f>IF(ISBLANK(K901), "", VLOOKUP(C901&amp;" "&amp;D901, 'Info Tipo de Cambio y REM'!$A$24:$B$35, 2, FALSE))</f>
        <v/>
      </c>
      <c r="N901" s="107" t="str">
        <f t="shared" si="3"/>
        <v/>
      </c>
      <c r="O901" s="102" t="str">
        <f t="shared" si="2"/>
        <v/>
      </c>
    </row>
    <row r="902">
      <c r="A902" s="102"/>
      <c r="B902" s="43" t="str">
        <f>IF(A902="", "", IFERROR(VLOOKUP(A902, Clasificaciones!A:B, 2, FALSE), "DATO NO CARGADO"))</f>
        <v/>
      </c>
      <c r="C902" s="51"/>
      <c r="D902" s="257"/>
      <c r="E902" s="102"/>
      <c r="F902" s="103"/>
      <c r="G902" s="103"/>
      <c r="H902" s="258"/>
      <c r="J902" s="103"/>
      <c r="L902" s="71"/>
      <c r="M902" s="106" t="str">
        <f>IF(ISBLANK(K902), "", VLOOKUP(C902&amp;" "&amp;D902, 'Info Tipo de Cambio y REM'!$A$24:$B$35, 2, FALSE))</f>
        <v/>
      </c>
      <c r="N902" s="107" t="str">
        <f t="shared" si="3"/>
        <v/>
      </c>
      <c r="O902" s="102" t="str">
        <f t="shared" si="2"/>
        <v/>
      </c>
    </row>
    <row r="903">
      <c r="A903" s="102"/>
      <c r="B903" s="43" t="str">
        <f>IF(A903="", "", IFERROR(VLOOKUP(A903, Clasificaciones!A:B, 2, FALSE), "DATO NO CARGADO"))</f>
        <v/>
      </c>
      <c r="C903" s="51"/>
      <c r="D903" s="257"/>
      <c r="E903" s="102"/>
      <c r="F903" s="103"/>
      <c r="G903" s="103"/>
      <c r="H903" s="258"/>
      <c r="J903" s="103"/>
      <c r="L903" s="71"/>
      <c r="M903" s="106" t="str">
        <f>IF(ISBLANK(K903), "", VLOOKUP(C903&amp;" "&amp;D903, 'Info Tipo de Cambio y REM'!$A$24:$B$35, 2, FALSE))</f>
        <v/>
      </c>
      <c r="N903" s="107" t="str">
        <f t="shared" si="3"/>
        <v/>
      </c>
      <c r="O903" s="102" t="str">
        <f t="shared" si="2"/>
        <v/>
      </c>
    </row>
    <row r="904">
      <c r="A904" s="102"/>
      <c r="B904" s="43" t="str">
        <f>IF(A904="", "", IFERROR(VLOOKUP(A904, Clasificaciones!A:B, 2, FALSE), "DATO NO CARGADO"))</f>
        <v/>
      </c>
      <c r="C904" s="51"/>
      <c r="D904" s="257"/>
      <c r="E904" s="102"/>
      <c r="F904" s="103"/>
      <c r="G904" s="103"/>
      <c r="H904" s="258"/>
      <c r="J904" s="103"/>
      <c r="L904" s="71"/>
      <c r="M904" s="106" t="str">
        <f>IF(ISBLANK(K904), "", VLOOKUP(C904&amp;" "&amp;D904, 'Info Tipo de Cambio y REM'!$A$24:$B$35, 2, FALSE))</f>
        <v/>
      </c>
      <c r="N904" s="107" t="str">
        <f t="shared" si="3"/>
        <v/>
      </c>
      <c r="O904" s="102" t="str">
        <f t="shared" si="2"/>
        <v/>
      </c>
    </row>
    <row r="905">
      <c r="A905" s="102"/>
      <c r="B905" s="43" t="str">
        <f>IF(A905="", "", IFERROR(VLOOKUP(A905, Clasificaciones!A:B, 2, FALSE), "DATO NO CARGADO"))</f>
        <v/>
      </c>
      <c r="C905" s="51"/>
      <c r="D905" s="257"/>
      <c r="E905" s="102"/>
      <c r="F905" s="103"/>
      <c r="G905" s="103"/>
      <c r="H905" s="258"/>
      <c r="J905" s="103"/>
      <c r="L905" s="71"/>
      <c r="M905" s="106" t="str">
        <f>IF(ISBLANK(K905), "", VLOOKUP(C905&amp;" "&amp;D905, 'Info Tipo de Cambio y REM'!$A$24:$B$35, 2, FALSE))</f>
        <v/>
      </c>
      <c r="N905" s="107" t="str">
        <f t="shared" si="3"/>
        <v/>
      </c>
      <c r="O905" s="102" t="str">
        <f t="shared" si="2"/>
        <v/>
      </c>
    </row>
    <row r="906">
      <c r="A906" s="102"/>
      <c r="B906" s="43" t="str">
        <f>IF(A906="", "", IFERROR(VLOOKUP(A906, Clasificaciones!A:B, 2, FALSE), "DATO NO CARGADO"))</f>
        <v/>
      </c>
      <c r="C906" s="51"/>
      <c r="D906" s="257"/>
      <c r="E906" s="102"/>
      <c r="F906" s="103"/>
      <c r="G906" s="103"/>
      <c r="H906" s="258"/>
      <c r="J906" s="103"/>
      <c r="L906" s="71"/>
      <c r="M906" s="106" t="str">
        <f>IF(ISBLANK(K906), "", VLOOKUP(C906&amp;" "&amp;D906, 'Info Tipo de Cambio y REM'!$A$24:$B$35, 2, FALSE))</f>
        <v/>
      </c>
      <c r="N906" s="107" t="str">
        <f t="shared" si="3"/>
        <v/>
      </c>
      <c r="O906" s="102" t="str">
        <f t="shared" si="2"/>
        <v/>
      </c>
    </row>
    <row r="907">
      <c r="A907" s="102"/>
      <c r="B907" s="43" t="str">
        <f>IF(A907="", "", IFERROR(VLOOKUP(A907, Clasificaciones!A:B, 2, FALSE), "DATO NO CARGADO"))</f>
        <v/>
      </c>
      <c r="C907" s="51"/>
      <c r="D907" s="257"/>
      <c r="E907" s="102"/>
      <c r="F907" s="103"/>
      <c r="G907" s="103"/>
      <c r="H907" s="258"/>
      <c r="J907" s="103"/>
      <c r="L907" s="71"/>
      <c r="M907" s="106" t="str">
        <f>IF(ISBLANK(K907), "", VLOOKUP(C907&amp;" "&amp;D907, 'Info Tipo de Cambio y REM'!$A$24:$B$35, 2, FALSE))</f>
        <v/>
      </c>
      <c r="N907" s="107" t="str">
        <f t="shared" si="3"/>
        <v/>
      </c>
      <c r="O907" s="102" t="str">
        <f t="shared" si="2"/>
        <v/>
      </c>
    </row>
    <row r="908">
      <c r="A908" s="102"/>
      <c r="B908" s="43" t="str">
        <f>IF(A908="", "", IFERROR(VLOOKUP(A908, Clasificaciones!A:B, 2, FALSE), "DATO NO CARGADO"))</f>
        <v/>
      </c>
      <c r="C908" s="51"/>
      <c r="D908" s="257"/>
      <c r="E908" s="102"/>
      <c r="F908" s="103"/>
      <c r="G908" s="103"/>
      <c r="H908" s="258"/>
      <c r="J908" s="103"/>
      <c r="L908" s="71"/>
      <c r="M908" s="106" t="str">
        <f>IF(ISBLANK(K908), "", VLOOKUP(C908&amp;" "&amp;D908, 'Info Tipo de Cambio y REM'!$A$24:$B$35, 2, FALSE))</f>
        <v/>
      </c>
      <c r="N908" s="107" t="str">
        <f t="shared" si="3"/>
        <v/>
      </c>
      <c r="O908" s="102" t="str">
        <f t="shared" si="2"/>
        <v/>
      </c>
    </row>
    <row r="909">
      <c r="A909" s="102"/>
      <c r="B909" s="43" t="str">
        <f>IF(A909="", "", IFERROR(VLOOKUP(A909, Clasificaciones!A:B, 2, FALSE), "DATO NO CARGADO"))</f>
        <v/>
      </c>
      <c r="C909" s="51"/>
      <c r="D909" s="257"/>
      <c r="E909" s="102"/>
      <c r="F909" s="103"/>
      <c r="G909" s="103"/>
      <c r="H909" s="258"/>
      <c r="J909" s="103"/>
      <c r="L909" s="71"/>
      <c r="M909" s="106" t="str">
        <f>IF(ISBLANK(K909), "", VLOOKUP(C909&amp;" "&amp;D909, 'Info Tipo de Cambio y REM'!$A$24:$B$35, 2, FALSE))</f>
        <v/>
      </c>
      <c r="N909" s="107" t="str">
        <f t="shared" si="3"/>
        <v/>
      </c>
      <c r="O909" s="102" t="str">
        <f t="shared" si="2"/>
        <v/>
      </c>
    </row>
    <row r="910">
      <c r="A910" s="102"/>
      <c r="B910" s="43" t="str">
        <f>IF(A910="", "", IFERROR(VLOOKUP(A910, Clasificaciones!A:B, 2, FALSE), "DATO NO CARGADO"))</f>
        <v/>
      </c>
      <c r="C910" s="51"/>
      <c r="D910" s="257"/>
      <c r="E910" s="102"/>
      <c r="F910" s="103"/>
      <c r="G910" s="103"/>
      <c r="H910" s="258"/>
      <c r="J910" s="103"/>
      <c r="L910" s="71"/>
      <c r="M910" s="106" t="str">
        <f>IF(ISBLANK(K910), "", VLOOKUP(C910&amp;" "&amp;D910, 'Info Tipo de Cambio y REM'!$A$24:$B$35, 2, FALSE))</f>
        <v/>
      </c>
      <c r="N910" s="107" t="str">
        <f t="shared" si="3"/>
        <v/>
      </c>
      <c r="O910" s="102" t="str">
        <f t="shared" si="2"/>
        <v/>
      </c>
    </row>
    <row r="911">
      <c r="A911" s="102"/>
      <c r="B911" s="43" t="str">
        <f>IF(A911="", "", IFERROR(VLOOKUP(A911, Clasificaciones!A:B, 2, FALSE), "DATO NO CARGADO"))</f>
        <v/>
      </c>
      <c r="C911" s="51"/>
      <c r="D911" s="257"/>
      <c r="E911" s="102"/>
      <c r="F911" s="103"/>
      <c r="G911" s="103"/>
      <c r="H911" s="258"/>
      <c r="J911" s="103"/>
      <c r="L911" s="71"/>
      <c r="M911" s="106" t="str">
        <f>IF(ISBLANK(K911), "", VLOOKUP(C911&amp;" "&amp;D911, 'Info Tipo de Cambio y REM'!$A$24:$B$35, 2, FALSE))</f>
        <v/>
      </c>
      <c r="N911" s="107" t="str">
        <f t="shared" si="3"/>
        <v/>
      </c>
      <c r="O911" s="102" t="str">
        <f t="shared" si="2"/>
        <v/>
      </c>
    </row>
    <row r="912">
      <c r="A912" s="102"/>
      <c r="B912" s="43" t="str">
        <f>IF(A912="", "", IFERROR(VLOOKUP(A912, Clasificaciones!A:B, 2, FALSE), "DATO NO CARGADO"))</f>
        <v/>
      </c>
      <c r="C912" s="51"/>
      <c r="D912" s="257"/>
      <c r="E912" s="102"/>
      <c r="F912" s="103"/>
      <c r="G912" s="103"/>
      <c r="H912" s="258"/>
      <c r="J912" s="103"/>
      <c r="L912" s="71"/>
      <c r="M912" s="106" t="str">
        <f>IF(ISBLANK(K912), "", VLOOKUP(C912&amp;" "&amp;D912, 'Info Tipo de Cambio y REM'!$A$24:$B$35, 2, FALSE))</f>
        <v/>
      </c>
      <c r="N912" s="107" t="str">
        <f t="shared" si="3"/>
        <v/>
      </c>
      <c r="O912" s="102" t="str">
        <f t="shared" si="2"/>
        <v/>
      </c>
    </row>
    <row r="913">
      <c r="A913" s="102"/>
      <c r="B913" s="43" t="str">
        <f>IF(A913="", "", IFERROR(VLOOKUP(A913, Clasificaciones!A:B, 2, FALSE), "DATO NO CARGADO"))</f>
        <v/>
      </c>
      <c r="C913" s="51"/>
      <c r="D913" s="257"/>
      <c r="E913" s="102"/>
      <c r="F913" s="103"/>
      <c r="G913" s="103"/>
      <c r="H913" s="258"/>
      <c r="J913" s="103"/>
      <c r="L913" s="71"/>
      <c r="M913" s="106" t="str">
        <f>IF(ISBLANK(K913), "", VLOOKUP(C913&amp;" "&amp;D913, 'Info Tipo de Cambio y REM'!$A$24:$B$35, 2, FALSE))</f>
        <v/>
      </c>
      <c r="N913" s="107" t="str">
        <f t="shared" si="3"/>
        <v/>
      </c>
      <c r="O913" s="102" t="str">
        <f t="shared" si="2"/>
        <v/>
      </c>
    </row>
    <row r="914">
      <c r="A914" s="102"/>
      <c r="B914" s="43" t="str">
        <f>IF(A914="", "", IFERROR(VLOOKUP(A914, Clasificaciones!A:B, 2, FALSE), "DATO NO CARGADO"))</f>
        <v/>
      </c>
      <c r="C914" s="51"/>
      <c r="D914" s="257"/>
      <c r="E914" s="102"/>
      <c r="F914" s="103"/>
      <c r="G914" s="103"/>
      <c r="H914" s="258"/>
      <c r="J914" s="103"/>
      <c r="L914" s="71"/>
      <c r="M914" s="106" t="str">
        <f>IF(ISBLANK(K914), "", VLOOKUP(C914&amp;" "&amp;D914, 'Info Tipo de Cambio y REM'!$A$24:$B$35, 2, FALSE))</f>
        <v/>
      </c>
      <c r="N914" s="107" t="str">
        <f t="shared" si="3"/>
        <v/>
      </c>
      <c r="O914" s="102" t="str">
        <f t="shared" si="2"/>
        <v/>
      </c>
    </row>
    <row r="915">
      <c r="A915" s="102"/>
      <c r="B915" s="43" t="str">
        <f>IF(A915="", "", IFERROR(VLOOKUP(A915, Clasificaciones!A:B, 2, FALSE), "DATO NO CARGADO"))</f>
        <v/>
      </c>
      <c r="C915" s="51"/>
      <c r="D915" s="257"/>
      <c r="E915" s="102"/>
      <c r="F915" s="103"/>
      <c r="G915" s="103"/>
      <c r="H915" s="258"/>
      <c r="J915" s="103"/>
      <c r="L915" s="71"/>
      <c r="M915" s="106" t="str">
        <f>IF(ISBLANK(K915), "", VLOOKUP(C915&amp;" "&amp;D915, 'Info Tipo de Cambio y REM'!$A$24:$B$35, 2, FALSE))</f>
        <v/>
      </c>
      <c r="N915" s="107" t="str">
        <f t="shared" si="3"/>
        <v/>
      </c>
      <c r="O915" s="102" t="str">
        <f t="shared" si="2"/>
        <v/>
      </c>
    </row>
    <row r="916">
      <c r="A916" s="102"/>
      <c r="B916" s="43" t="str">
        <f>IF(A916="", "", IFERROR(VLOOKUP(A916, Clasificaciones!A:B, 2, FALSE), "DATO NO CARGADO"))</f>
        <v/>
      </c>
      <c r="C916" s="51"/>
      <c r="D916" s="257"/>
      <c r="E916" s="102"/>
      <c r="F916" s="103"/>
      <c r="G916" s="103"/>
      <c r="H916" s="258"/>
      <c r="J916" s="103"/>
      <c r="L916" s="71"/>
      <c r="M916" s="106" t="str">
        <f>IF(ISBLANK(K916), "", VLOOKUP(C916&amp;" "&amp;D916, 'Info Tipo de Cambio y REM'!$A$24:$B$35, 2, FALSE))</f>
        <v/>
      </c>
      <c r="N916" s="107" t="str">
        <f t="shared" si="3"/>
        <v/>
      </c>
      <c r="O916" s="102" t="str">
        <f t="shared" si="2"/>
        <v/>
      </c>
    </row>
    <row r="917">
      <c r="A917" s="102"/>
      <c r="B917" s="43" t="str">
        <f>IF(A917="", "", IFERROR(VLOOKUP(A917, Clasificaciones!A:B, 2, FALSE), "DATO NO CARGADO"))</f>
        <v/>
      </c>
      <c r="C917" s="51"/>
      <c r="D917" s="257"/>
      <c r="E917" s="102"/>
      <c r="F917" s="103"/>
      <c r="G917" s="103"/>
      <c r="H917" s="258"/>
      <c r="J917" s="103"/>
      <c r="L917" s="71"/>
      <c r="M917" s="106" t="str">
        <f>IF(ISBLANK(K917), "", VLOOKUP(C917&amp;" "&amp;D917, 'Info Tipo de Cambio y REM'!$A$24:$B$35, 2, FALSE))</f>
        <v/>
      </c>
      <c r="N917" s="107" t="str">
        <f t="shared" si="3"/>
        <v/>
      </c>
      <c r="O917" s="102" t="str">
        <f t="shared" si="2"/>
        <v/>
      </c>
    </row>
    <row r="918">
      <c r="A918" s="102"/>
      <c r="B918" s="43" t="str">
        <f>IF(A918="", "", IFERROR(VLOOKUP(A918, Clasificaciones!A:B, 2, FALSE), "DATO NO CARGADO"))</f>
        <v/>
      </c>
      <c r="C918" s="51"/>
      <c r="D918" s="257"/>
      <c r="E918" s="102"/>
      <c r="F918" s="103"/>
      <c r="G918" s="103"/>
      <c r="H918" s="258"/>
      <c r="J918" s="103"/>
      <c r="L918" s="71"/>
      <c r="M918" s="106" t="str">
        <f>IF(ISBLANK(K918), "", VLOOKUP(C918&amp;" "&amp;D918, 'Info Tipo de Cambio y REM'!$A$24:$B$35, 2, FALSE))</f>
        <v/>
      </c>
      <c r="N918" s="107" t="str">
        <f t="shared" si="3"/>
        <v/>
      </c>
      <c r="O918" s="102" t="str">
        <f t="shared" si="2"/>
        <v/>
      </c>
    </row>
    <row r="919">
      <c r="A919" s="102"/>
      <c r="B919" s="43" t="str">
        <f>IF(A919="", "", IFERROR(VLOOKUP(A919, Clasificaciones!A:B, 2, FALSE), "DATO NO CARGADO"))</f>
        <v/>
      </c>
      <c r="C919" s="51"/>
      <c r="D919" s="257"/>
      <c r="E919" s="102"/>
      <c r="F919" s="103"/>
      <c r="G919" s="103"/>
      <c r="H919" s="258"/>
      <c r="J919" s="103"/>
      <c r="L919" s="71"/>
      <c r="M919" s="106" t="str">
        <f>IF(ISBLANK(K919), "", VLOOKUP(C919&amp;" "&amp;D919, 'Info Tipo de Cambio y REM'!$A$24:$B$35, 2, FALSE))</f>
        <v/>
      </c>
      <c r="N919" s="107" t="str">
        <f t="shared" si="3"/>
        <v/>
      </c>
      <c r="O919" s="102" t="str">
        <f t="shared" si="2"/>
        <v/>
      </c>
    </row>
    <row r="920">
      <c r="A920" s="102"/>
      <c r="B920" s="43" t="str">
        <f>IF(A920="", "", IFERROR(VLOOKUP(A920, Clasificaciones!A:B, 2, FALSE), "DATO NO CARGADO"))</f>
        <v/>
      </c>
      <c r="C920" s="51"/>
      <c r="D920" s="257"/>
      <c r="E920" s="102"/>
      <c r="F920" s="103"/>
      <c r="G920" s="103"/>
      <c r="H920" s="258"/>
      <c r="J920" s="103"/>
      <c r="L920" s="71"/>
      <c r="M920" s="106" t="str">
        <f>IF(ISBLANK(K920), "", VLOOKUP(C920&amp;" "&amp;D920, 'Info Tipo de Cambio y REM'!$A$24:$B$35, 2, FALSE))</f>
        <v/>
      </c>
      <c r="N920" s="107" t="str">
        <f t="shared" si="3"/>
        <v/>
      </c>
      <c r="O920" s="102" t="str">
        <f t="shared" si="2"/>
        <v/>
      </c>
    </row>
    <row r="921">
      <c r="A921" s="102"/>
      <c r="B921" s="43" t="str">
        <f>IF(A921="", "", IFERROR(VLOOKUP(A921, Clasificaciones!A:B, 2, FALSE), "DATO NO CARGADO"))</f>
        <v/>
      </c>
      <c r="C921" s="51"/>
      <c r="D921" s="257"/>
      <c r="E921" s="102"/>
      <c r="F921" s="103"/>
      <c r="G921" s="103"/>
      <c r="H921" s="258"/>
      <c r="J921" s="103"/>
      <c r="L921" s="71"/>
      <c r="M921" s="106" t="str">
        <f>IF(ISBLANK(K921), "", VLOOKUP(C921&amp;" "&amp;D921, 'Info Tipo de Cambio y REM'!$A$24:$B$35, 2, FALSE))</f>
        <v/>
      </c>
      <c r="N921" s="107" t="str">
        <f t="shared" si="3"/>
        <v/>
      </c>
      <c r="O921" s="102" t="str">
        <f t="shared" si="2"/>
        <v/>
      </c>
    </row>
    <row r="922">
      <c r="A922" s="102"/>
      <c r="B922" s="43" t="str">
        <f>IF(A922="", "", IFERROR(VLOOKUP(A922, Clasificaciones!A:B, 2, FALSE), "DATO NO CARGADO"))</f>
        <v/>
      </c>
      <c r="C922" s="51"/>
      <c r="D922" s="257"/>
      <c r="E922" s="102"/>
      <c r="F922" s="103"/>
      <c r="G922" s="103"/>
      <c r="H922" s="258"/>
      <c r="J922" s="103"/>
      <c r="L922" s="71"/>
      <c r="M922" s="106" t="str">
        <f>IF(ISBLANK(K922), "", VLOOKUP(C922&amp;" "&amp;D922, 'Info Tipo de Cambio y REM'!$A$24:$B$35, 2, FALSE))</f>
        <v/>
      </c>
      <c r="N922" s="107" t="str">
        <f t="shared" si="3"/>
        <v/>
      </c>
      <c r="O922" s="102" t="str">
        <f t="shared" si="2"/>
        <v/>
      </c>
    </row>
    <row r="923">
      <c r="A923" s="102"/>
      <c r="B923" s="43" t="str">
        <f>IF(A923="", "", IFERROR(VLOOKUP(A923, Clasificaciones!A:B, 2, FALSE), "DATO NO CARGADO"))</f>
        <v/>
      </c>
      <c r="C923" s="51"/>
      <c r="D923" s="257"/>
      <c r="E923" s="102"/>
      <c r="F923" s="103"/>
      <c r="G923" s="103"/>
      <c r="H923" s="258"/>
      <c r="J923" s="103"/>
      <c r="L923" s="71"/>
      <c r="M923" s="106" t="str">
        <f>IF(ISBLANK(K923), "", VLOOKUP(C923&amp;" "&amp;D923, 'Info Tipo de Cambio y REM'!$A$24:$B$35, 2, FALSE))</f>
        <v/>
      </c>
      <c r="N923" s="107" t="str">
        <f t="shared" si="3"/>
        <v/>
      </c>
      <c r="O923" s="102" t="str">
        <f t="shared" si="2"/>
        <v/>
      </c>
    </row>
    <row r="924">
      <c r="A924" s="102"/>
      <c r="B924" s="43" t="str">
        <f>IF(A924="", "", IFERROR(VLOOKUP(A924, Clasificaciones!A:B, 2, FALSE), "DATO NO CARGADO"))</f>
        <v/>
      </c>
      <c r="C924" s="51"/>
      <c r="D924" s="257"/>
      <c r="E924" s="102"/>
      <c r="F924" s="103"/>
      <c r="G924" s="103"/>
      <c r="H924" s="258"/>
      <c r="J924" s="103"/>
      <c r="L924" s="71"/>
      <c r="M924" s="106" t="str">
        <f>IF(ISBLANK(K924), "", VLOOKUP(C924&amp;" "&amp;D924, 'Info Tipo de Cambio y REM'!$A$24:$B$35, 2, FALSE))</f>
        <v/>
      </c>
      <c r="N924" s="107" t="str">
        <f t="shared" si="3"/>
        <v/>
      </c>
      <c r="O924" s="102" t="str">
        <f t="shared" si="2"/>
        <v/>
      </c>
    </row>
    <row r="925">
      <c r="A925" s="102"/>
      <c r="B925" s="43" t="str">
        <f>IF(A925="", "", IFERROR(VLOOKUP(A925, Clasificaciones!A:B, 2, FALSE), "DATO NO CARGADO"))</f>
        <v/>
      </c>
      <c r="C925" s="51"/>
      <c r="D925" s="257"/>
      <c r="E925" s="102"/>
      <c r="F925" s="103"/>
      <c r="G925" s="103"/>
      <c r="H925" s="258"/>
      <c r="J925" s="103"/>
      <c r="L925" s="71"/>
      <c r="M925" s="106" t="str">
        <f>IF(ISBLANK(K925), "", VLOOKUP(C925&amp;" "&amp;D925, 'Info Tipo de Cambio y REM'!$A$24:$B$35, 2, FALSE))</f>
        <v/>
      </c>
      <c r="N925" s="107" t="str">
        <f t="shared" si="3"/>
        <v/>
      </c>
      <c r="O925" s="102" t="str">
        <f t="shared" si="2"/>
        <v/>
      </c>
    </row>
    <row r="926">
      <c r="A926" s="102"/>
      <c r="B926" s="43" t="str">
        <f>IF(A926="", "", IFERROR(VLOOKUP(A926, Clasificaciones!A:B, 2, FALSE), "DATO NO CARGADO"))</f>
        <v/>
      </c>
      <c r="C926" s="51"/>
      <c r="D926" s="257"/>
      <c r="E926" s="102"/>
      <c r="F926" s="103"/>
      <c r="G926" s="103"/>
      <c r="H926" s="258"/>
      <c r="J926" s="103"/>
      <c r="L926" s="71"/>
      <c r="M926" s="106" t="str">
        <f>IF(ISBLANK(K926), "", VLOOKUP(C926&amp;" "&amp;D926, 'Info Tipo de Cambio y REM'!$A$24:$B$35, 2, FALSE))</f>
        <v/>
      </c>
      <c r="N926" s="107" t="str">
        <f t="shared" si="3"/>
        <v/>
      </c>
      <c r="O926" s="102" t="str">
        <f t="shared" si="2"/>
        <v/>
      </c>
    </row>
    <row r="927">
      <c r="A927" s="102"/>
      <c r="B927" s="43" t="str">
        <f>IF(A927="", "", IFERROR(VLOOKUP(A927, Clasificaciones!A:B, 2, FALSE), "DATO NO CARGADO"))</f>
        <v/>
      </c>
      <c r="C927" s="51"/>
      <c r="D927" s="257"/>
      <c r="E927" s="102"/>
      <c r="F927" s="103"/>
      <c r="G927" s="103"/>
      <c r="H927" s="258"/>
      <c r="J927" s="103"/>
      <c r="L927" s="71"/>
      <c r="M927" s="106" t="str">
        <f>IF(ISBLANK(K927), "", VLOOKUP(C927&amp;" "&amp;D927, 'Info Tipo de Cambio y REM'!$A$24:$B$35, 2, FALSE))</f>
        <v/>
      </c>
      <c r="N927" s="107" t="str">
        <f t="shared" si="3"/>
        <v/>
      </c>
      <c r="O927" s="102" t="str">
        <f t="shared" si="2"/>
        <v/>
      </c>
    </row>
    <row r="928">
      <c r="A928" s="102"/>
      <c r="B928" s="43" t="str">
        <f>IF(A928="", "", IFERROR(VLOOKUP(A928, Clasificaciones!A:B, 2, FALSE), "DATO NO CARGADO"))</f>
        <v/>
      </c>
      <c r="C928" s="51"/>
      <c r="D928" s="257"/>
      <c r="E928" s="102"/>
      <c r="F928" s="103"/>
      <c r="G928" s="103"/>
      <c r="H928" s="258"/>
      <c r="J928" s="103"/>
      <c r="L928" s="71"/>
      <c r="M928" s="106" t="str">
        <f>IF(ISBLANK(K928), "", VLOOKUP(C928&amp;" "&amp;D928, 'Info Tipo de Cambio y REM'!$A$24:$B$35, 2, FALSE))</f>
        <v/>
      </c>
      <c r="N928" s="107" t="str">
        <f t="shared" si="3"/>
        <v/>
      </c>
      <c r="O928" s="102" t="str">
        <f t="shared" si="2"/>
        <v/>
      </c>
    </row>
    <row r="929">
      <c r="A929" s="102"/>
      <c r="B929" s="43" t="str">
        <f>IF(A929="", "", IFERROR(VLOOKUP(A929, Clasificaciones!A:B, 2, FALSE), "DATO NO CARGADO"))</f>
        <v/>
      </c>
      <c r="C929" s="51"/>
      <c r="D929" s="257"/>
      <c r="E929" s="102"/>
      <c r="F929" s="103"/>
      <c r="G929" s="103"/>
      <c r="H929" s="258"/>
      <c r="J929" s="103"/>
      <c r="L929" s="71"/>
      <c r="M929" s="106" t="str">
        <f>IF(ISBLANK(K929), "", VLOOKUP(C929&amp;" "&amp;D929, 'Info Tipo de Cambio y REM'!$A$24:$B$35, 2, FALSE))</f>
        <v/>
      </c>
      <c r="N929" s="107" t="str">
        <f t="shared" si="3"/>
        <v/>
      </c>
      <c r="O929" s="102" t="str">
        <f t="shared" si="2"/>
        <v/>
      </c>
    </row>
    <row r="930">
      <c r="A930" s="102"/>
      <c r="B930" s="43" t="str">
        <f>IF(A930="", "", IFERROR(VLOOKUP(A930, Clasificaciones!A:B, 2, FALSE), "DATO NO CARGADO"))</f>
        <v/>
      </c>
      <c r="C930" s="51"/>
      <c r="D930" s="257"/>
      <c r="E930" s="102"/>
      <c r="F930" s="103"/>
      <c r="G930" s="103"/>
      <c r="H930" s="258"/>
      <c r="J930" s="103"/>
      <c r="L930" s="71"/>
      <c r="M930" s="106" t="str">
        <f>IF(ISBLANK(K930), "", VLOOKUP(C930&amp;" "&amp;D930, 'Info Tipo de Cambio y REM'!$A$24:$B$35, 2, FALSE))</f>
        <v/>
      </c>
      <c r="N930" s="107" t="str">
        <f t="shared" si="3"/>
        <v/>
      </c>
      <c r="O930" s="102" t="str">
        <f t="shared" si="2"/>
        <v/>
      </c>
    </row>
    <row r="931">
      <c r="A931" s="102"/>
      <c r="B931" s="43" t="str">
        <f>IF(A931="", "", IFERROR(VLOOKUP(A931, Clasificaciones!A:B, 2, FALSE), "DATO NO CARGADO"))</f>
        <v/>
      </c>
      <c r="C931" s="51"/>
      <c r="D931" s="257"/>
      <c r="E931" s="102"/>
      <c r="F931" s="103"/>
      <c r="G931" s="103"/>
      <c r="H931" s="258"/>
      <c r="J931" s="103"/>
      <c r="L931" s="71"/>
      <c r="M931" s="106" t="str">
        <f>IF(ISBLANK(K931), "", VLOOKUP(C931&amp;" "&amp;D931, 'Info Tipo de Cambio y REM'!$A$24:$B$35, 2, FALSE))</f>
        <v/>
      </c>
      <c r="N931" s="107" t="str">
        <f t="shared" si="3"/>
        <v/>
      </c>
      <c r="O931" s="102" t="str">
        <f t="shared" si="2"/>
        <v/>
      </c>
    </row>
    <row r="932">
      <c r="A932" s="102"/>
      <c r="B932" s="43" t="str">
        <f>IF(A932="", "", IFERROR(VLOOKUP(A932, Clasificaciones!A:B, 2, FALSE), "DATO NO CARGADO"))</f>
        <v/>
      </c>
      <c r="C932" s="51"/>
      <c r="D932" s="257"/>
      <c r="E932" s="102"/>
      <c r="F932" s="103"/>
      <c r="G932" s="103"/>
      <c r="H932" s="258"/>
      <c r="J932" s="103"/>
      <c r="L932" s="71"/>
      <c r="M932" s="106" t="str">
        <f>IF(ISBLANK(K932), "", VLOOKUP(C932&amp;" "&amp;D932, 'Info Tipo de Cambio y REM'!$A$24:$B$35, 2, FALSE))</f>
        <v/>
      </c>
      <c r="N932" s="107" t="str">
        <f t="shared" si="3"/>
        <v/>
      </c>
      <c r="O932" s="102" t="str">
        <f t="shared" si="2"/>
        <v/>
      </c>
    </row>
    <row r="933">
      <c r="A933" s="102"/>
      <c r="B933" s="43" t="str">
        <f>IF(A933="", "", IFERROR(VLOOKUP(A933, Clasificaciones!A:B, 2, FALSE), "DATO NO CARGADO"))</f>
        <v/>
      </c>
      <c r="C933" s="51"/>
      <c r="D933" s="257"/>
      <c r="E933" s="102"/>
      <c r="F933" s="103"/>
      <c r="G933" s="103"/>
      <c r="H933" s="258"/>
      <c r="J933" s="103"/>
      <c r="L933" s="71"/>
      <c r="M933" s="106" t="str">
        <f>IF(ISBLANK(K933), "", VLOOKUP(C933&amp;" "&amp;D933, 'Info Tipo de Cambio y REM'!$A$24:$B$35, 2, FALSE))</f>
        <v/>
      </c>
      <c r="N933" s="107" t="str">
        <f t="shared" si="3"/>
        <v/>
      </c>
      <c r="O933" s="102" t="str">
        <f t="shared" si="2"/>
        <v/>
      </c>
    </row>
    <row r="934">
      <c r="A934" s="102"/>
      <c r="B934" s="43" t="str">
        <f>IF(A934="", "", IFERROR(VLOOKUP(A934, Clasificaciones!A:B, 2, FALSE), "DATO NO CARGADO"))</f>
        <v/>
      </c>
      <c r="C934" s="51"/>
      <c r="D934" s="257"/>
      <c r="E934" s="102"/>
      <c r="F934" s="103"/>
      <c r="G934" s="103"/>
      <c r="H934" s="258"/>
      <c r="J934" s="103"/>
      <c r="L934" s="71"/>
      <c r="M934" s="106" t="str">
        <f>IF(ISBLANK(K934), "", VLOOKUP(C934&amp;" "&amp;D934, 'Info Tipo de Cambio y REM'!$A$24:$B$35, 2, FALSE))</f>
        <v/>
      </c>
      <c r="N934" s="107" t="str">
        <f t="shared" si="3"/>
        <v/>
      </c>
      <c r="O934" s="102" t="str">
        <f t="shared" si="2"/>
        <v/>
      </c>
    </row>
    <row r="935">
      <c r="A935" s="102"/>
      <c r="B935" s="43" t="str">
        <f>IF(A935="", "", IFERROR(VLOOKUP(A935, Clasificaciones!A:B, 2, FALSE), "DATO NO CARGADO"))</f>
        <v/>
      </c>
      <c r="C935" s="51"/>
      <c r="D935" s="257"/>
      <c r="E935" s="102"/>
      <c r="F935" s="103"/>
      <c r="G935" s="103"/>
      <c r="H935" s="258"/>
      <c r="J935" s="103"/>
      <c r="L935" s="71"/>
      <c r="M935" s="106" t="str">
        <f>IF(ISBLANK(K935), "", VLOOKUP(C935&amp;" "&amp;D935, 'Info Tipo de Cambio y REM'!$A$24:$B$35, 2, FALSE))</f>
        <v/>
      </c>
      <c r="N935" s="107" t="str">
        <f t="shared" si="3"/>
        <v/>
      </c>
      <c r="O935" s="102" t="str">
        <f t="shared" si="2"/>
        <v/>
      </c>
    </row>
    <row r="936">
      <c r="A936" s="102"/>
      <c r="B936" s="43" t="str">
        <f>IF(A936="", "", IFERROR(VLOOKUP(A936, Clasificaciones!A:B, 2, FALSE), "DATO NO CARGADO"))</f>
        <v/>
      </c>
      <c r="C936" s="51"/>
      <c r="D936" s="257"/>
      <c r="E936" s="102"/>
      <c r="F936" s="103"/>
      <c r="G936" s="103"/>
      <c r="H936" s="258"/>
      <c r="J936" s="103"/>
      <c r="L936" s="71"/>
      <c r="M936" s="106" t="str">
        <f>IF(ISBLANK(K936), "", VLOOKUP(C936&amp;" "&amp;D936, 'Info Tipo de Cambio y REM'!$A$24:$B$35, 2, FALSE))</f>
        <v/>
      </c>
      <c r="N936" s="107" t="str">
        <f t="shared" si="3"/>
        <v/>
      </c>
      <c r="O936" s="102" t="str">
        <f t="shared" si="2"/>
        <v/>
      </c>
    </row>
    <row r="937">
      <c r="A937" s="102"/>
      <c r="B937" s="43" t="str">
        <f>IF(A937="", "", IFERROR(VLOOKUP(A937, Clasificaciones!A:B, 2, FALSE), "DATO NO CARGADO"))</f>
        <v/>
      </c>
      <c r="C937" s="51"/>
      <c r="D937" s="257"/>
      <c r="E937" s="102"/>
      <c r="F937" s="103"/>
      <c r="G937" s="103"/>
      <c r="H937" s="258"/>
      <c r="J937" s="103"/>
      <c r="L937" s="71"/>
      <c r="M937" s="106" t="str">
        <f>IF(ISBLANK(K937), "", VLOOKUP(C937&amp;" "&amp;D937, 'Info Tipo de Cambio y REM'!$A$24:$B$35, 2, FALSE))</f>
        <v/>
      </c>
      <c r="N937" s="107" t="str">
        <f t="shared" si="3"/>
        <v/>
      </c>
      <c r="O937" s="102" t="str">
        <f t="shared" si="2"/>
        <v/>
      </c>
    </row>
    <row r="938">
      <c r="A938" s="102"/>
      <c r="B938" s="43" t="str">
        <f>IF(A938="", "", IFERROR(VLOOKUP(A938, Clasificaciones!A:B, 2, FALSE), "DATO NO CARGADO"))</f>
        <v/>
      </c>
      <c r="C938" s="51"/>
      <c r="D938" s="257"/>
      <c r="E938" s="102"/>
      <c r="F938" s="103"/>
      <c r="G938" s="103"/>
      <c r="H938" s="258"/>
      <c r="J938" s="103"/>
      <c r="L938" s="71"/>
      <c r="M938" s="106" t="str">
        <f>IF(ISBLANK(K938), "", VLOOKUP(C938&amp;" "&amp;D938, 'Info Tipo de Cambio y REM'!$A$24:$B$35, 2, FALSE))</f>
        <v/>
      </c>
      <c r="N938" s="107" t="str">
        <f t="shared" si="3"/>
        <v/>
      </c>
      <c r="O938" s="102" t="str">
        <f t="shared" si="2"/>
        <v/>
      </c>
    </row>
    <row r="939">
      <c r="A939" s="102"/>
      <c r="B939" s="43" t="str">
        <f>IF(A939="", "", IFERROR(VLOOKUP(A939, Clasificaciones!A:B, 2, FALSE), "DATO NO CARGADO"))</f>
        <v/>
      </c>
      <c r="C939" s="51"/>
      <c r="D939" s="257"/>
      <c r="E939" s="102"/>
      <c r="F939" s="103"/>
      <c r="G939" s="103"/>
      <c r="H939" s="258"/>
      <c r="J939" s="103"/>
      <c r="L939" s="71"/>
      <c r="M939" s="106" t="str">
        <f>IF(ISBLANK(K939), "", VLOOKUP(C939&amp;" "&amp;D939, 'Info Tipo de Cambio y REM'!$A$24:$B$35, 2, FALSE))</f>
        <v/>
      </c>
      <c r="N939" s="107" t="str">
        <f t="shared" si="3"/>
        <v/>
      </c>
      <c r="O939" s="102" t="str">
        <f t="shared" si="2"/>
        <v/>
      </c>
    </row>
    <row r="940">
      <c r="A940" s="102"/>
      <c r="B940" s="43" t="str">
        <f>IF(A940="", "", IFERROR(VLOOKUP(A940, Clasificaciones!A:B, 2, FALSE), "DATO NO CARGADO"))</f>
        <v/>
      </c>
      <c r="C940" s="51"/>
      <c r="D940" s="257"/>
      <c r="E940" s="102"/>
      <c r="F940" s="103"/>
      <c r="G940" s="103"/>
      <c r="H940" s="258"/>
      <c r="J940" s="103"/>
      <c r="L940" s="71"/>
      <c r="M940" s="106" t="str">
        <f>IF(ISBLANK(K940), "", VLOOKUP(C940&amp;" "&amp;D940, 'Info Tipo de Cambio y REM'!$A$24:$B$35, 2, FALSE))</f>
        <v/>
      </c>
      <c r="N940" s="107" t="str">
        <f t="shared" si="3"/>
        <v/>
      </c>
      <c r="O940" s="102" t="str">
        <f t="shared" si="2"/>
        <v/>
      </c>
    </row>
    <row r="941">
      <c r="A941" s="102"/>
      <c r="B941" s="43" t="str">
        <f>IF(A941="", "", IFERROR(VLOOKUP(A941, Clasificaciones!A:B, 2, FALSE), "DATO NO CARGADO"))</f>
        <v/>
      </c>
      <c r="C941" s="51"/>
      <c r="D941" s="257"/>
      <c r="E941" s="102"/>
      <c r="F941" s="103"/>
      <c r="G941" s="103"/>
      <c r="H941" s="258"/>
      <c r="J941" s="103"/>
      <c r="L941" s="71"/>
      <c r="M941" s="106" t="str">
        <f>IF(ISBLANK(K941), "", VLOOKUP(C941&amp;" "&amp;D941, 'Info Tipo de Cambio y REM'!$A$24:$B$35, 2, FALSE))</f>
        <v/>
      </c>
      <c r="N941" s="107" t="str">
        <f t="shared" si="3"/>
        <v/>
      </c>
      <c r="O941" s="102" t="str">
        <f t="shared" si="2"/>
        <v/>
      </c>
    </row>
    <row r="942">
      <c r="A942" s="102"/>
      <c r="B942" s="43" t="str">
        <f>IF(A942="", "", IFERROR(VLOOKUP(A942, Clasificaciones!A:B, 2, FALSE), "DATO NO CARGADO"))</f>
        <v/>
      </c>
      <c r="C942" s="51"/>
      <c r="D942" s="257"/>
      <c r="E942" s="102"/>
      <c r="F942" s="103"/>
      <c r="G942" s="103"/>
      <c r="H942" s="258"/>
      <c r="J942" s="103"/>
      <c r="L942" s="71"/>
      <c r="M942" s="106" t="str">
        <f>IF(ISBLANK(K942), "", VLOOKUP(C942&amp;" "&amp;D942, 'Info Tipo de Cambio y REM'!$A$24:$B$35, 2, FALSE))</f>
        <v/>
      </c>
      <c r="N942" s="107" t="str">
        <f t="shared" si="3"/>
        <v/>
      </c>
      <c r="O942" s="102" t="str">
        <f t="shared" si="2"/>
        <v/>
      </c>
    </row>
    <row r="943">
      <c r="A943" s="102"/>
      <c r="B943" s="43" t="str">
        <f>IF(A943="", "", IFERROR(VLOOKUP(A943, Clasificaciones!A:B, 2, FALSE), "DATO NO CARGADO"))</f>
        <v/>
      </c>
      <c r="C943" s="51"/>
      <c r="D943" s="257"/>
      <c r="E943" s="102"/>
      <c r="F943" s="103"/>
      <c r="G943" s="103"/>
      <c r="H943" s="258"/>
      <c r="J943" s="103"/>
      <c r="L943" s="71"/>
      <c r="M943" s="106" t="str">
        <f>IF(ISBLANK(K943), "", VLOOKUP(C943&amp;" "&amp;D943, 'Info Tipo de Cambio y REM'!$A$24:$B$35, 2, FALSE))</f>
        <v/>
      </c>
      <c r="N943" s="107" t="str">
        <f t="shared" si="3"/>
        <v/>
      </c>
      <c r="O943" s="102" t="str">
        <f t="shared" si="2"/>
        <v/>
      </c>
    </row>
    <row r="944">
      <c r="A944" s="102"/>
      <c r="B944" s="43" t="str">
        <f>IF(A944="", "", IFERROR(VLOOKUP(A944, Clasificaciones!A:B, 2, FALSE), "DATO NO CARGADO"))</f>
        <v/>
      </c>
      <c r="C944" s="51"/>
      <c r="D944" s="257"/>
      <c r="E944" s="102"/>
      <c r="F944" s="103"/>
      <c r="G944" s="103"/>
      <c r="H944" s="258"/>
      <c r="J944" s="103"/>
      <c r="L944" s="71"/>
      <c r="M944" s="106" t="str">
        <f>IF(ISBLANK(K944), "", VLOOKUP(C944&amp;" "&amp;D944, 'Info Tipo de Cambio y REM'!$A$24:$B$35, 2, FALSE))</f>
        <v/>
      </c>
      <c r="N944" s="107" t="str">
        <f t="shared" si="3"/>
        <v/>
      </c>
      <c r="O944" s="102" t="str">
        <f t="shared" si="2"/>
        <v/>
      </c>
    </row>
    <row r="945">
      <c r="A945" s="102"/>
      <c r="B945" s="43" t="str">
        <f>IF(A945="", "", IFERROR(VLOOKUP(A945, Clasificaciones!A:B, 2, FALSE), "DATO NO CARGADO"))</f>
        <v/>
      </c>
      <c r="C945" s="51"/>
      <c r="D945" s="257"/>
      <c r="E945" s="102"/>
      <c r="F945" s="103"/>
      <c r="G945" s="103"/>
      <c r="H945" s="258"/>
      <c r="J945" s="103"/>
      <c r="L945" s="71"/>
      <c r="M945" s="106" t="str">
        <f>IF(ISBLANK(K945), "", VLOOKUP(C945&amp;" "&amp;D945, 'Info Tipo de Cambio y REM'!$A$24:$B$35, 2, FALSE))</f>
        <v/>
      </c>
      <c r="N945" s="107" t="str">
        <f t="shared" si="3"/>
        <v/>
      </c>
      <c r="O945" s="102" t="str">
        <f t="shared" si="2"/>
        <v/>
      </c>
    </row>
    <row r="946">
      <c r="A946" s="102"/>
      <c r="B946" s="43" t="str">
        <f>IF(A946="", "", IFERROR(VLOOKUP(A946, Clasificaciones!A:B, 2, FALSE), "DATO NO CARGADO"))</f>
        <v/>
      </c>
      <c r="C946" s="51"/>
      <c r="D946" s="257"/>
      <c r="E946" s="102"/>
      <c r="F946" s="103"/>
      <c r="G946" s="103"/>
      <c r="H946" s="258"/>
      <c r="J946" s="103"/>
      <c r="L946" s="71"/>
      <c r="M946" s="106" t="str">
        <f>IF(ISBLANK(K946), "", VLOOKUP(C946&amp;" "&amp;D946, 'Info Tipo de Cambio y REM'!$A$24:$B$35, 2, FALSE))</f>
        <v/>
      </c>
      <c r="N946" s="107" t="str">
        <f t="shared" si="3"/>
        <v/>
      </c>
      <c r="O946" s="102" t="str">
        <f t="shared" si="2"/>
        <v/>
      </c>
    </row>
    <row r="947">
      <c r="A947" s="102"/>
      <c r="B947" s="43" t="str">
        <f>IF(A947="", "", IFERROR(VLOOKUP(A947, Clasificaciones!A:B, 2, FALSE), "DATO NO CARGADO"))</f>
        <v/>
      </c>
      <c r="C947" s="51"/>
      <c r="D947" s="257"/>
      <c r="E947" s="102"/>
      <c r="F947" s="103"/>
      <c r="G947" s="103"/>
      <c r="H947" s="258"/>
      <c r="J947" s="103"/>
      <c r="L947" s="71"/>
      <c r="M947" s="106" t="str">
        <f>IF(ISBLANK(K947), "", VLOOKUP(C947&amp;" "&amp;D947, 'Info Tipo de Cambio y REM'!$A$24:$B$35, 2, FALSE))</f>
        <v/>
      </c>
      <c r="N947" s="107" t="str">
        <f t="shared" si="3"/>
        <v/>
      </c>
      <c r="O947" s="102" t="str">
        <f t="shared" si="2"/>
        <v/>
      </c>
    </row>
    <row r="948">
      <c r="A948" s="102"/>
      <c r="B948" s="43" t="str">
        <f>IF(A948="", "", IFERROR(VLOOKUP(A948, Clasificaciones!A:B, 2, FALSE), "DATO NO CARGADO"))</f>
        <v/>
      </c>
      <c r="C948" s="51"/>
      <c r="D948" s="257"/>
      <c r="E948" s="102"/>
      <c r="F948" s="103"/>
      <c r="G948" s="103"/>
      <c r="H948" s="258"/>
      <c r="J948" s="103"/>
      <c r="L948" s="71"/>
      <c r="M948" s="106" t="str">
        <f>IF(ISBLANK(K948), "", VLOOKUP(C948&amp;" "&amp;D948, 'Info Tipo de Cambio y REM'!$A$24:$B$35, 2, FALSE))</f>
        <v/>
      </c>
      <c r="N948" s="107" t="str">
        <f t="shared" si="3"/>
        <v/>
      </c>
      <c r="O948" s="102" t="str">
        <f t="shared" si="2"/>
        <v/>
      </c>
    </row>
    <row r="949">
      <c r="A949" s="102"/>
      <c r="B949" s="43" t="str">
        <f>IF(A949="", "", IFERROR(VLOOKUP(A949, Clasificaciones!A:B, 2, FALSE), "DATO NO CARGADO"))</f>
        <v/>
      </c>
      <c r="C949" s="51"/>
      <c r="D949" s="257"/>
      <c r="E949" s="102"/>
      <c r="F949" s="103"/>
      <c r="G949" s="103"/>
      <c r="H949" s="258"/>
      <c r="J949" s="103"/>
      <c r="L949" s="71"/>
      <c r="M949" s="106" t="str">
        <f>IF(ISBLANK(K949), "", VLOOKUP(C949&amp;" "&amp;D949, 'Info Tipo de Cambio y REM'!$A$24:$B$35, 2, FALSE))</f>
        <v/>
      </c>
      <c r="N949" s="107" t="str">
        <f t="shared" si="3"/>
        <v/>
      </c>
      <c r="O949" s="102" t="str">
        <f t="shared" si="2"/>
        <v/>
      </c>
    </row>
    <row r="950">
      <c r="A950" s="102"/>
      <c r="B950" s="43" t="str">
        <f>IF(A950="", "", IFERROR(VLOOKUP(A950, Clasificaciones!A:B, 2, FALSE), "DATO NO CARGADO"))</f>
        <v/>
      </c>
      <c r="C950" s="51"/>
      <c r="D950" s="257"/>
      <c r="E950" s="102"/>
      <c r="F950" s="103"/>
      <c r="G950" s="103"/>
      <c r="H950" s="258"/>
      <c r="J950" s="103"/>
      <c r="L950" s="71"/>
      <c r="M950" s="106" t="str">
        <f>IF(ISBLANK(K950), "", VLOOKUP(C950&amp;" "&amp;D950, 'Info Tipo de Cambio y REM'!$A$24:$B$35, 2, FALSE))</f>
        <v/>
      </c>
      <c r="N950" s="107" t="str">
        <f t="shared" si="3"/>
        <v/>
      </c>
      <c r="O950" s="102" t="str">
        <f t="shared" si="2"/>
        <v/>
      </c>
    </row>
    <row r="951">
      <c r="A951" s="102"/>
      <c r="B951" s="43" t="str">
        <f>IF(A951="", "", IFERROR(VLOOKUP(A951, Clasificaciones!A:B, 2, FALSE), "DATO NO CARGADO"))</f>
        <v/>
      </c>
      <c r="C951" s="51"/>
      <c r="D951" s="257"/>
      <c r="E951" s="102"/>
      <c r="F951" s="103"/>
      <c r="G951" s="103"/>
      <c r="H951" s="258"/>
      <c r="J951" s="103"/>
      <c r="L951" s="71"/>
      <c r="M951" s="106" t="str">
        <f>IF(ISBLANK(K951), "", VLOOKUP(C951&amp;" "&amp;D951, 'Info Tipo de Cambio y REM'!$A$24:$B$35, 2, FALSE))</f>
        <v/>
      </c>
      <c r="N951" s="107" t="str">
        <f t="shared" si="3"/>
        <v/>
      </c>
      <c r="O951" s="102" t="str">
        <f t="shared" si="2"/>
        <v/>
      </c>
    </row>
    <row r="952">
      <c r="A952" s="102"/>
      <c r="B952" s="43" t="str">
        <f>IF(A952="", "", IFERROR(VLOOKUP(A952, Clasificaciones!A:B, 2, FALSE), "DATO NO CARGADO"))</f>
        <v/>
      </c>
      <c r="C952" s="51"/>
      <c r="D952" s="257"/>
      <c r="E952" s="102"/>
      <c r="F952" s="103"/>
      <c r="G952" s="103"/>
      <c r="H952" s="258"/>
      <c r="J952" s="103"/>
      <c r="L952" s="71"/>
      <c r="M952" s="106" t="str">
        <f>IF(ISBLANK(K952), "", VLOOKUP(C952&amp;" "&amp;D952, 'Info Tipo de Cambio y REM'!$A$24:$B$35, 2, FALSE))</f>
        <v/>
      </c>
      <c r="N952" s="107" t="str">
        <f t="shared" si="3"/>
        <v/>
      </c>
      <c r="O952" s="102" t="str">
        <f t="shared" si="2"/>
        <v/>
      </c>
    </row>
    <row r="953">
      <c r="A953" s="102"/>
      <c r="B953" s="43" t="str">
        <f>IF(A953="", "", IFERROR(VLOOKUP(A953, Clasificaciones!A:B, 2, FALSE), "DATO NO CARGADO"))</f>
        <v/>
      </c>
      <c r="C953" s="51"/>
      <c r="D953" s="257"/>
      <c r="E953" s="102"/>
      <c r="F953" s="103"/>
      <c r="G953" s="103"/>
      <c r="H953" s="258"/>
      <c r="J953" s="103"/>
      <c r="L953" s="71"/>
      <c r="M953" s="106" t="str">
        <f>IF(ISBLANK(K953), "", VLOOKUP(C953&amp;" "&amp;D953, 'Info Tipo de Cambio y REM'!$A$24:$B$35, 2, FALSE))</f>
        <v/>
      </c>
      <c r="N953" s="107" t="str">
        <f t="shared" si="3"/>
        <v/>
      </c>
      <c r="O953" s="102" t="str">
        <f t="shared" si="2"/>
        <v/>
      </c>
    </row>
    <row r="954">
      <c r="A954" s="102"/>
      <c r="B954" s="43" t="str">
        <f>IF(A954="", "", IFERROR(VLOOKUP(A954, Clasificaciones!A:B, 2, FALSE), "DATO NO CARGADO"))</f>
        <v/>
      </c>
      <c r="C954" s="51"/>
      <c r="D954" s="257"/>
      <c r="E954" s="102"/>
      <c r="F954" s="103"/>
      <c r="G954" s="103"/>
      <c r="H954" s="258"/>
      <c r="J954" s="103"/>
      <c r="L954" s="71"/>
      <c r="M954" s="106" t="str">
        <f>IF(ISBLANK(K954), "", VLOOKUP(C954&amp;" "&amp;D954, 'Info Tipo de Cambio y REM'!$A$24:$B$35, 2, FALSE))</f>
        <v/>
      </c>
      <c r="N954" s="107" t="str">
        <f t="shared" si="3"/>
        <v/>
      </c>
      <c r="O954" s="102" t="str">
        <f t="shared" si="2"/>
        <v/>
      </c>
    </row>
    <row r="955">
      <c r="A955" s="102"/>
      <c r="B955" s="43" t="str">
        <f>IF(A955="", "", IFERROR(VLOOKUP(A955, Clasificaciones!A:B, 2, FALSE), "DATO NO CARGADO"))</f>
        <v/>
      </c>
      <c r="C955" s="51"/>
      <c r="D955" s="257"/>
      <c r="E955" s="102"/>
      <c r="F955" s="103"/>
      <c r="G955" s="103"/>
      <c r="H955" s="258"/>
      <c r="J955" s="103"/>
      <c r="L955" s="71"/>
      <c r="M955" s="106" t="str">
        <f>IF(ISBLANK(K955), "", VLOOKUP(C955&amp;" "&amp;D955, 'Info Tipo de Cambio y REM'!$A$24:$B$35, 2, FALSE))</f>
        <v/>
      </c>
      <c r="N955" s="107" t="str">
        <f t="shared" si="3"/>
        <v/>
      </c>
      <c r="O955" s="102" t="str">
        <f t="shared" si="2"/>
        <v/>
      </c>
    </row>
    <row r="956">
      <c r="A956" s="102"/>
      <c r="B956" s="43" t="str">
        <f>IF(A956="", "", IFERROR(VLOOKUP(A956, Clasificaciones!A:B, 2, FALSE), "DATO NO CARGADO"))</f>
        <v/>
      </c>
      <c r="C956" s="51"/>
      <c r="D956" s="257"/>
      <c r="E956" s="102"/>
      <c r="F956" s="103"/>
      <c r="G956" s="103"/>
      <c r="H956" s="258"/>
      <c r="J956" s="103"/>
      <c r="L956" s="71"/>
      <c r="M956" s="106" t="str">
        <f>IF(ISBLANK(K956), "", VLOOKUP(C956&amp;" "&amp;D956, 'Info Tipo de Cambio y REM'!$A$24:$B$35, 2, FALSE))</f>
        <v/>
      </c>
      <c r="N956" s="107" t="str">
        <f t="shared" si="3"/>
        <v/>
      </c>
      <c r="O956" s="102" t="str">
        <f t="shared" si="2"/>
        <v/>
      </c>
    </row>
    <row r="957">
      <c r="A957" s="102"/>
      <c r="B957" s="43" t="str">
        <f>IF(A957="", "", IFERROR(VLOOKUP(A957, Clasificaciones!A:B, 2, FALSE), "DATO NO CARGADO"))</f>
        <v/>
      </c>
      <c r="C957" s="51"/>
      <c r="D957" s="257"/>
      <c r="E957" s="102"/>
      <c r="F957" s="103"/>
      <c r="G957" s="103"/>
      <c r="H957" s="258"/>
      <c r="J957" s="103"/>
      <c r="L957" s="71"/>
      <c r="M957" s="106" t="str">
        <f>IF(ISBLANK(K957), "", VLOOKUP(C957&amp;" "&amp;D957, 'Info Tipo de Cambio y REM'!$A$24:$B$35, 2, FALSE))</f>
        <v/>
      </c>
      <c r="N957" s="107" t="str">
        <f t="shared" si="3"/>
        <v/>
      </c>
      <c r="O957" s="102" t="str">
        <f t="shared" si="2"/>
        <v/>
      </c>
    </row>
    <row r="958">
      <c r="A958" s="102"/>
      <c r="B958" s="43" t="str">
        <f>IF(A958="", "", IFERROR(VLOOKUP(A958, Clasificaciones!A:B, 2, FALSE), "DATO NO CARGADO"))</f>
        <v/>
      </c>
      <c r="C958" s="51"/>
      <c r="D958" s="257"/>
      <c r="E958" s="102"/>
      <c r="F958" s="103"/>
      <c r="G958" s="103"/>
      <c r="H958" s="258"/>
      <c r="J958" s="103"/>
      <c r="L958" s="71"/>
      <c r="M958" s="106" t="str">
        <f>IF(ISBLANK(K958), "", VLOOKUP(C958&amp;" "&amp;D958, 'Info Tipo de Cambio y REM'!$A$24:$B$35, 2, FALSE))</f>
        <v/>
      </c>
      <c r="N958" s="107" t="str">
        <f t="shared" si="3"/>
        <v/>
      </c>
      <c r="O958" s="102" t="str">
        <f t="shared" si="2"/>
        <v/>
      </c>
    </row>
    <row r="959">
      <c r="A959" s="102"/>
      <c r="B959" s="43" t="str">
        <f>IF(A959="", "", IFERROR(VLOOKUP(A959, Clasificaciones!A:B, 2, FALSE), "DATO NO CARGADO"))</f>
        <v/>
      </c>
      <c r="C959" s="51"/>
      <c r="D959" s="257"/>
      <c r="E959" s="102"/>
      <c r="F959" s="103"/>
      <c r="G959" s="103"/>
      <c r="H959" s="258"/>
      <c r="J959" s="103"/>
      <c r="L959" s="71"/>
      <c r="M959" s="106" t="str">
        <f>IF(ISBLANK(K959), "", VLOOKUP(C959&amp;" "&amp;D959, 'Info Tipo de Cambio y REM'!$A$24:$B$35, 2, FALSE))</f>
        <v/>
      </c>
      <c r="N959" s="107" t="str">
        <f t="shared" si="3"/>
        <v/>
      </c>
      <c r="O959" s="102" t="str">
        <f t="shared" si="2"/>
        <v/>
      </c>
    </row>
    <row r="960">
      <c r="A960" s="102"/>
      <c r="B960" s="43" t="str">
        <f>IF(A960="", "", IFERROR(VLOOKUP(A960, Clasificaciones!A:B, 2, FALSE), "DATO NO CARGADO"))</f>
        <v/>
      </c>
      <c r="C960" s="51"/>
      <c r="D960" s="257"/>
      <c r="E960" s="102"/>
      <c r="F960" s="103"/>
      <c r="G960" s="103"/>
      <c r="H960" s="258"/>
      <c r="J960" s="103"/>
      <c r="L960" s="71"/>
      <c r="M960" s="106" t="str">
        <f>IF(ISBLANK(K960), "", VLOOKUP(C960&amp;" "&amp;D960, 'Info Tipo de Cambio y REM'!$A$24:$B$35, 2, FALSE))</f>
        <v/>
      </c>
      <c r="N960" s="107" t="str">
        <f t="shared" si="3"/>
        <v/>
      </c>
      <c r="O960" s="102" t="str">
        <f t="shared" si="2"/>
        <v/>
      </c>
    </row>
    <row r="961">
      <c r="A961" s="102"/>
      <c r="B961" s="43" t="str">
        <f>IF(A961="", "", IFERROR(VLOOKUP(A961, Clasificaciones!A:B, 2, FALSE), "DATO NO CARGADO"))</f>
        <v/>
      </c>
      <c r="C961" s="51"/>
      <c r="D961" s="257"/>
      <c r="E961" s="102"/>
      <c r="F961" s="103"/>
      <c r="G961" s="103"/>
      <c r="H961" s="258"/>
      <c r="J961" s="103"/>
      <c r="L961" s="71"/>
      <c r="M961" s="106" t="str">
        <f>IF(ISBLANK(K961), "", VLOOKUP(C961&amp;" "&amp;D961, 'Info Tipo de Cambio y REM'!$A$24:$B$35, 2, FALSE))</f>
        <v/>
      </c>
      <c r="N961" s="107" t="str">
        <f t="shared" si="3"/>
        <v/>
      </c>
      <c r="O961" s="102" t="str">
        <f t="shared" si="2"/>
        <v/>
      </c>
    </row>
    <row r="962">
      <c r="A962" s="102"/>
      <c r="B962" s="43" t="str">
        <f>IF(A962="", "", IFERROR(VLOOKUP(A962, Clasificaciones!A:B, 2, FALSE), "DATO NO CARGADO"))</f>
        <v/>
      </c>
      <c r="C962" s="51"/>
      <c r="D962" s="257"/>
      <c r="E962" s="102"/>
      <c r="F962" s="103"/>
      <c r="G962" s="103"/>
      <c r="H962" s="258"/>
      <c r="J962" s="103"/>
      <c r="L962" s="71"/>
      <c r="M962" s="106" t="str">
        <f>IF(ISBLANK(K962), "", VLOOKUP(C962&amp;" "&amp;D962, 'Info Tipo de Cambio y REM'!$A$24:$B$35, 2, FALSE))</f>
        <v/>
      </c>
      <c r="N962" s="107" t="str">
        <f t="shared" si="3"/>
        <v/>
      </c>
      <c r="O962" s="102" t="str">
        <f t="shared" si="2"/>
        <v/>
      </c>
    </row>
    <row r="963">
      <c r="A963" s="102"/>
      <c r="B963" s="43" t="str">
        <f>IF(A963="", "", IFERROR(VLOOKUP(A963, Clasificaciones!A:B, 2, FALSE), "DATO NO CARGADO"))</f>
        <v/>
      </c>
      <c r="C963" s="51"/>
      <c r="D963" s="257"/>
      <c r="E963" s="102"/>
      <c r="F963" s="103"/>
      <c r="G963" s="103"/>
      <c r="H963" s="258"/>
      <c r="J963" s="103"/>
      <c r="L963" s="71"/>
      <c r="M963" s="106" t="str">
        <f>IF(ISBLANK(K963), "", VLOOKUP(C963&amp;" "&amp;D963, 'Info Tipo de Cambio y REM'!$A$24:$B$35, 2, FALSE))</f>
        <v/>
      </c>
      <c r="N963" s="107" t="str">
        <f t="shared" si="3"/>
        <v/>
      </c>
      <c r="O963" s="102" t="str">
        <f t="shared" si="2"/>
        <v/>
      </c>
    </row>
    <row r="964">
      <c r="A964" s="102"/>
      <c r="B964" s="43" t="str">
        <f>IF(A964="", "", IFERROR(VLOOKUP(A964, Clasificaciones!A:B, 2, FALSE), "DATO NO CARGADO"))</f>
        <v/>
      </c>
      <c r="C964" s="51"/>
      <c r="D964" s="257"/>
      <c r="E964" s="102"/>
      <c r="F964" s="103"/>
      <c r="G964" s="103"/>
      <c r="H964" s="258"/>
      <c r="J964" s="103"/>
      <c r="L964" s="71"/>
      <c r="M964" s="106" t="str">
        <f>IF(ISBLANK(K964), "", VLOOKUP(C964&amp;" "&amp;D964, 'Info Tipo de Cambio y REM'!$A$24:$B$35, 2, FALSE))</f>
        <v/>
      </c>
      <c r="N964" s="107" t="str">
        <f t="shared" si="3"/>
        <v/>
      </c>
      <c r="O964" s="102" t="str">
        <f t="shared" si="2"/>
        <v/>
      </c>
    </row>
    <row r="965">
      <c r="A965" s="102"/>
      <c r="B965" s="43" t="str">
        <f>IF(A965="", "", IFERROR(VLOOKUP(A965, Clasificaciones!A:B, 2, FALSE), "DATO NO CARGADO"))</f>
        <v/>
      </c>
      <c r="C965" s="51"/>
      <c r="D965" s="257"/>
      <c r="E965" s="102"/>
      <c r="F965" s="103"/>
      <c r="G965" s="103"/>
      <c r="H965" s="258"/>
      <c r="J965" s="103"/>
      <c r="L965" s="71"/>
      <c r="M965" s="106" t="str">
        <f>IF(ISBLANK(K965), "", VLOOKUP(C965&amp;" "&amp;D965, 'Info Tipo de Cambio y REM'!$A$24:$B$35, 2, FALSE))</f>
        <v/>
      </c>
      <c r="N965" s="107" t="str">
        <f t="shared" si="3"/>
        <v/>
      </c>
      <c r="O965" s="102" t="str">
        <f t="shared" si="2"/>
        <v/>
      </c>
    </row>
    <row r="966">
      <c r="A966" s="102"/>
      <c r="B966" s="43" t="str">
        <f>IF(A966="", "", IFERROR(VLOOKUP(A966, Clasificaciones!A:B, 2, FALSE), "DATO NO CARGADO"))</f>
        <v/>
      </c>
      <c r="C966" s="51"/>
      <c r="D966" s="257"/>
      <c r="E966" s="102"/>
      <c r="F966" s="103"/>
      <c r="G966" s="103"/>
      <c r="H966" s="258"/>
      <c r="J966" s="103"/>
      <c r="L966" s="71"/>
      <c r="M966" s="106" t="str">
        <f>IF(ISBLANK(K966), "", VLOOKUP(C966&amp;" "&amp;D966, 'Info Tipo de Cambio y REM'!$A$24:$B$35, 2, FALSE))</f>
        <v/>
      </c>
      <c r="N966" s="107" t="str">
        <f t="shared" si="3"/>
        <v/>
      </c>
      <c r="O966" s="102" t="str">
        <f t="shared" si="2"/>
        <v/>
      </c>
    </row>
    <row r="967">
      <c r="A967" s="102"/>
      <c r="B967" s="43" t="str">
        <f>IF(A967="", "", IFERROR(VLOOKUP(A967, Clasificaciones!A:B, 2, FALSE), "DATO NO CARGADO"))</f>
        <v/>
      </c>
      <c r="C967" s="51"/>
      <c r="D967" s="257"/>
      <c r="E967" s="102"/>
      <c r="F967" s="103"/>
      <c r="G967" s="103"/>
      <c r="H967" s="258"/>
      <c r="J967" s="103"/>
      <c r="L967" s="71"/>
      <c r="M967" s="106" t="str">
        <f>IF(ISBLANK(K967), "", VLOOKUP(C967&amp;" "&amp;D967, 'Info Tipo de Cambio y REM'!$A$24:$B$35, 2, FALSE))</f>
        <v/>
      </c>
      <c r="N967" s="107" t="str">
        <f t="shared" si="3"/>
        <v/>
      </c>
      <c r="O967" s="102" t="str">
        <f t="shared" si="2"/>
        <v/>
      </c>
    </row>
    <row r="968">
      <c r="A968" s="102"/>
      <c r="B968" s="43" t="str">
        <f>IF(A968="", "", IFERROR(VLOOKUP(A968, Clasificaciones!A:B, 2, FALSE), "DATO NO CARGADO"))</f>
        <v/>
      </c>
      <c r="C968" s="51"/>
      <c r="D968" s="257"/>
      <c r="E968" s="102"/>
      <c r="F968" s="103"/>
      <c r="G968" s="103"/>
      <c r="H968" s="258"/>
      <c r="J968" s="103"/>
      <c r="L968" s="71"/>
      <c r="M968" s="106" t="str">
        <f>IF(ISBLANK(K968), "", VLOOKUP(C968&amp;" "&amp;D968, 'Info Tipo de Cambio y REM'!$A$24:$B$35, 2, FALSE))</f>
        <v/>
      </c>
      <c r="N968" s="107" t="str">
        <f t="shared" si="3"/>
        <v/>
      </c>
      <c r="O968" s="102" t="str">
        <f t="shared" si="2"/>
        <v/>
      </c>
    </row>
    <row r="969">
      <c r="A969" s="102"/>
      <c r="B969" s="43" t="str">
        <f>IF(A969="", "", IFERROR(VLOOKUP(A969, Clasificaciones!A:B, 2, FALSE), "DATO NO CARGADO"))</f>
        <v/>
      </c>
      <c r="C969" s="51"/>
      <c r="D969" s="257"/>
      <c r="E969" s="102"/>
      <c r="F969" s="103"/>
      <c r="G969" s="103"/>
      <c r="H969" s="258"/>
      <c r="J969" s="103"/>
      <c r="L969" s="71"/>
      <c r="M969" s="106" t="str">
        <f>IF(ISBLANK(K969), "", VLOOKUP(C969&amp;" "&amp;D969, 'Info Tipo de Cambio y REM'!$A$24:$B$35, 2, FALSE))</f>
        <v/>
      </c>
      <c r="N969" s="107" t="str">
        <f t="shared" si="3"/>
        <v/>
      </c>
      <c r="O969" s="102" t="str">
        <f t="shared" si="2"/>
        <v/>
      </c>
    </row>
    <row r="970">
      <c r="A970" s="102"/>
      <c r="B970" s="43" t="str">
        <f>IF(A970="", "", IFERROR(VLOOKUP(A970, Clasificaciones!A:B, 2, FALSE), "DATO NO CARGADO"))</f>
        <v/>
      </c>
      <c r="C970" s="51"/>
      <c r="D970" s="257"/>
      <c r="E970" s="102"/>
      <c r="F970" s="103"/>
      <c r="G970" s="103"/>
      <c r="H970" s="258"/>
      <c r="J970" s="103"/>
      <c r="L970" s="71"/>
      <c r="M970" s="106" t="str">
        <f>IF(ISBLANK(K970), "", VLOOKUP(C970&amp;" "&amp;D970, 'Info Tipo de Cambio y REM'!$A$24:$B$35, 2, FALSE))</f>
        <v/>
      </c>
      <c r="N970" s="107" t="str">
        <f t="shared" si="3"/>
        <v/>
      </c>
      <c r="O970" s="102" t="str">
        <f t="shared" si="2"/>
        <v/>
      </c>
    </row>
    <row r="971">
      <c r="A971" s="102"/>
      <c r="B971" s="43" t="str">
        <f>IF(A971="", "", IFERROR(VLOOKUP(A971, Clasificaciones!A:B, 2, FALSE), "DATO NO CARGADO"))</f>
        <v/>
      </c>
      <c r="C971" s="51"/>
      <c r="D971" s="257"/>
      <c r="E971" s="102"/>
      <c r="F971" s="103"/>
      <c r="G971" s="103"/>
      <c r="H971" s="258"/>
      <c r="J971" s="103"/>
      <c r="L971" s="71"/>
      <c r="M971" s="106" t="str">
        <f>IF(ISBLANK(K971), "", VLOOKUP(C971&amp;" "&amp;D971, 'Info Tipo de Cambio y REM'!$A$24:$B$35, 2, FALSE))</f>
        <v/>
      </c>
      <c r="N971" s="107" t="str">
        <f t="shared" si="3"/>
        <v/>
      </c>
      <c r="O971" s="102" t="str">
        <f t="shared" si="2"/>
        <v/>
      </c>
    </row>
    <row r="972">
      <c r="A972" s="102"/>
      <c r="B972" s="43" t="str">
        <f>IF(A972="", "", IFERROR(VLOOKUP(A972, Clasificaciones!A:B, 2, FALSE), "DATO NO CARGADO"))</f>
        <v/>
      </c>
      <c r="C972" s="51"/>
      <c r="D972" s="257"/>
      <c r="E972" s="102"/>
      <c r="F972" s="103"/>
      <c r="G972" s="103"/>
      <c r="H972" s="258"/>
      <c r="J972" s="103"/>
      <c r="L972" s="71"/>
      <c r="M972" s="106" t="str">
        <f>IF(ISBLANK(K972), "", VLOOKUP(C972&amp;" "&amp;D972, 'Info Tipo de Cambio y REM'!$A$24:$B$35, 2, FALSE))</f>
        <v/>
      </c>
      <c r="N972" s="107" t="str">
        <f t="shared" si="3"/>
        <v/>
      </c>
      <c r="O972" s="102" t="str">
        <f t="shared" si="2"/>
        <v/>
      </c>
    </row>
    <row r="973">
      <c r="A973" s="102"/>
      <c r="B973" s="43" t="str">
        <f>IF(A973="", "", IFERROR(VLOOKUP(A973, Clasificaciones!A:B, 2, FALSE), "DATO NO CARGADO"))</f>
        <v/>
      </c>
      <c r="C973" s="51"/>
      <c r="D973" s="257"/>
      <c r="E973" s="102"/>
      <c r="F973" s="103"/>
      <c r="G973" s="103"/>
      <c r="H973" s="258"/>
      <c r="J973" s="103"/>
      <c r="L973" s="71"/>
      <c r="M973" s="106" t="str">
        <f>IF(ISBLANK(K973), "", VLOOKUP(C973&amp;" "&amp;D973, 'Info Tipo de Cambio y REM'!$A$24:$B$35, 2, FALSE))</f>
        <v/>
      </c>
      <c r="N973" s="107" t="str">
        <f t="shared" si="3"/>
        <v/>
      </c>
      <c r="O973" s="102" t="str">
        <f t="shared" si="2"/>
        <v/>
      </c>
    </row>
    <row r="974">
      <c r="A974" s="102"/>
      <c r="B974" s="43" t="str">
        <f>IF(A974="", "", IFERROR(VLOOKUP(A974, Clasificaciones!A:B, 2, FALSE), "DATO NO CARGADO"))</f>
        <v/>
      </c>
      <c r="C974" s="51"/>
      <c r="D974" s="257"/>
      <c r="E974" s="102"/>
      <c r="F974" s="103"/>
      <c r="G974" s="103"/>
      <c r="H974" s="258"/>
      <c r="J974" s="103"/>
      <c r="L974" s="71"/>
      <c r="M974" s="106" t="str">
        <f>IF(ISBLANK(K974), "", VLOOKUP(C974&amp;" "&amp;D974, 'Info Tipo de Cambio y REM'!$A$24:$B$35, 2, FALSE))</f>
        <v/>
      </c>
      <c r="N974" s="107" t="str">
        <f t="shared" si="3"/>
        <v/>
      </c>
      <c r="O974" s="102" t="str">
        <f t="shared" si="2"/>
        <v/>
      </c>
    </row>
    <row r="975">
      <c r="A975" s="102"/>
      <c r="B975" s="43" t="str">
        <f>IF(A975="", "", IFERROR(VLOOKUP(A975, Clasificaciones!A:B, 2, FALSE), "DATO NO CARGADO"))</f>
        <v/>
      </c>
      <c r="C975" s="51"/>
      <c r="D975" s="257"/>
      <c r="E975" s="102"/>
      <c r="F975" s="103"/>
      <c r="G975" s="103"/>
      <c r="H975" s="258"/>
      <c r="J975" s="103"/>
      <c r="L975" s="71"/>
      <c r="M975" s="106" t="str">
        <f>IF(ISBLANK(K975), "", VLOOKUP(C975&amp;" "&amp;D975, 'Info Tipo de Cambio y REM'!$A$24:$B$35, 2, FALSE))</f>
        <v/>
      </c>
      <c r="N975" s="107" t="str">
        <f t="shared" si="3"/>
        <v/>
      </c>
      <c r="O975" s="102" t="str">
        <f t="shared" si="2"/>
        <v/>
      </c>
    </row>
    <row r="976">
      <c r="A976" s="102"/>
      <c r="B976" s="43" t="str">
        <f>IF(A976="", "", IFERROR(VLOOKUP(A976, Clasificaciones!A:B, 2, FALSE), "DATO NO CARGADO"))</f>
        <v/>
      </c>
      <c r="C976" s="51"/>
      <c r="D976" s="257"/>
      <c r="E976" s="102"/>
      <c r="F976" s="103"/>
      <c r="G976" s="103"/>
      <c r="H976" s="258"/>
      <c r="J976" s="103"/>
      <c r="L976" s="71"/>
      <c r="M976" s="106" t="str">
        <f>IF(ISBLANK(K976), "", VLOOKUP(C976&amp;" "&amp;D976, 'Info Tipo de Cambio y REM'!$A$24:$B$35, 2, FALSE))</f>
        <v/>
      </c>
      <c r="N976" s="107" t="str">
        <f t="shared" si="3"/>
        <v/>
      </c>
      <c r="O976" s="102" t="str">
        <f t="shared" si="2"/>
        <v/>
      </c>
    </row>
    <row r="977">
      <c r="A977" s="102"/>
      <c r="B977" s="43" t="str">
        <f>IF(A977="", "", IFERROR(VLOOKUP(A977, Clasificaciones!A:B, 2, FALSE), "DATO NO CARGADO"))</f>
        <v/>
      </c>
      <c r="C977" s="51"/>
      <c r="D977" s="257"/>
      <c r="E977" s="102"/>
      <c r="F977" s="103"/>
      <c r="G977" s="103"/>
      <c r="H977" s="258"/>
      <c r="J977" s="103"/>
      <c r="L977" s="71"/>
      <c r="M977" s="106" t="str">
        <f>IF(ISBLANK(K977), "", VLOOKUP(C977&amp;" "&amp;D977, 'Info Tipo de Cambio y REM'!$A$24:$B$35, 2, FALSE))</f>
        <v/>
      </c>
      <c r="N977" s="107" t="str">
        <f t="shared" si="3"/>
        <v/>
      </c>
      <c r="O977" s="102" t="str">
        <f t="shared" si="2"/>
        <v/>
      </c>
    </row>
    <row r="978">
      <c r="A978" s="102"/>
      <c r="B978" s="43" t="str">
        <f>IF(A978="", "", IFERROR(VLOOKUP(A978, Clasificaciones!A:B, 2, FALSE), "DATO NO CARGADO"))</f>
        <v/>
      </c>
      <c r="C978" s="51"/>
      <c r="D978" s="257"/>
      <c r="E978" s="102"/>
      <c r="F978" s="103"/>
      <c r="G978" s="103"/>
      <c r="H978" s="258"/>
      <c r="J978" s="103"/>
      <c r="L978" s="71"/>
      <c r="M978" s="106" t="str">
        <f>IF(ISBLANK(K978), "", VLOOKUP(C978&amp;" "&amp;D978, 'Info Tipo de Cambio y REM'!$A$24:$B$35, 2, FALSE))</f>
        <v/>
      </c>
      <c r="N978" s="107" t="str">
        <f t="shared" si="3"/>
        <v/>
      </c>
      <c r="O978" s="102" t="str">
        <f t="shared" si="2"/>
        <v/>
      </c>
    </row>
    <row r="979">
      <c r="A979" s="102"/>
      <c r="B979" s="43" t="str">
        <f>IF(A979="", "", IFERROR(VLOOKUP(A979, Clasificaciones!A:B, 2, FALSE), "DATO NO CARGADO"))</f>
        <v/>
      </c>
      <c r="C979" s="51"/>
      <c r="D979" s="257"/>
      <c r="E979" s="102"/>
      <c r="F979" s="103"/>
      <c r="G979" s="103"/>
      <c r="H979" s="258"/>
      <c r="J979" s="103"/>
      <c r="L979" s="71"/>
      <c r="M979" s="106" t="str">
        <f>IF(ISBLANK(K979), "", VLOOKUP(C979&amp;" "&amp;D979, 'Info Tipo de Cambio y REM'!$A$24:$B$35, 2, FALSE))</f>
        <v/>
      </c>
      <c r="N979" s="107" t="str">
        <f t="shared" si="3"/>
        <v/>
      </c>
      <c r="O979" s="102" t="str">
        <f t="shared" si="2"/>
        <v/>
      </c>
    </row>
    <row r="980">
      <c r="A980" s="102"/>
      <c r="B980" s="43" t="str">
        <f>IF(A980="", "", IFERROR(VLOOKUP(A980, Clasificaciones!A:B, 2, FALSE), "DATO NO CARGADO"))</f>
        <v/>
      </c>
      <c r="C980" s="51"/>
      <c r="D980" s="257"/>
      <c r="E980" s="102"/>
      <c r="F980" s="103"/>
      <c r="G980" s="103"/>
      <c r="H980" s="258"/>
      <c r="J980" s="103"/>
      <c r="L980" s="71"/>
      <c r="M980" s="106" t="str">
        <f>IF(ISBLANK(K980), "", VLOOKUP(C980&amp;" "&amp;D980, 'Info Tipo de Cambio y REM'!$A$24:$B$35, 2, FALSE))</f>
        <v/>
      </c>
      <c r="N980" s="107" t="str">
        <f t="shared" si="3"/>
        <v/>
      </c>
      <c r="O980" s="102" t="str">
        <f t="shared" si="2"/>
        <v/>
      </c>
    </row>
    <row r="981">
      <c r="A981" s="102"/>
      <c r="B981" s="43" t="str">
        <f>IF(A981="", "", IFERROR(VLOOKUP(A981, Clasificaciones!A:B, 2, FALSE), "DATO NO CARGADO"))</f>
        <v/>
      </c>
      <c r="C981" s="51"/>
      <c r="D981" s="257"/>
      <c r="E981" s="102"/>
      <c r="F981" s="103"/>
      <c r="G981" s="103"/>
      <c r="H981" s="258"/>
      <c r="J981" s="103"/>
      <c r="L981" s="71"/>
      <c r="M981" s="106" t="str">
        <f>IF(ISBLANK(K981), "", VLOOKUP(C981&amp;" "&amp;D981, 'Info Tipo de Cambio y REM'!$A$24:$B$35, 2, FALSE))</f>
        <v/>
      </c>
      <c r="N981" s="107" t="str">
        <f t="shared" si="3"/>
        <v/>
      </c>
      <c r="O981" s="102" t="str">
        <f t="shared" si="2"/>
        <v/>
      </c>
    </row>
    <row r="982">
      <c r="A982" s="102"/>
      <c r="B982" s="43" t="str">
        <f>IF(A982="", "", IFERROR(VLOOKUP(A982, Clasificaciones!A:B, 2, FALSE), "DATO NO CARGADO"))</f>
        <v/>
      </c>
      <c r="C982" s="51"/>
      <c r="D982" s="257"/>
      <c r="E982" s="102"/>
      <c r="F982" s="103"/>
      <c r="G982" s="103"/>
      <c r="H982" s="258"/>
      <c r="J982" s="103"/>
      <c r="L982" s="71"/>
      <c r="M982" s="106" t="str">
        <f>IF(ISBLANK(K982), "", VLOOKUP(C982&amp;" "&amp;D982, 'Info Tipo de Cambio y REM'!$A$24:$B$35, 2, FALSE))</f>
        <v/>
      </c>
      <c r="N982" s="107" t="str">
        <f t="shared" si="3"/>
        <v/>
      </c>
      <c r="O982" s="102" t="str">
        <f t="shared" si="2"/>
        <v/>
      </c>
    </row>
    <row r="983">
      <c r="A983" s="102"/>
      <c r="B983" s="43" t="str">
        <f>IF(A983="", "", IFERROR(VLOOKUP(A983, Clasificaciones!A:B, 2, FALSE), "DATO NO CARGADO"))</f>
        <v/>
      </c>
      <c r="C983" s="51"/>
      <c r="D983" s="257"/>
      <c r="E983" s="102"/>
      <c r="F983" s="103"/>
      <c r="G983" s="103"/>
      <c r="H983" s="258"/>
      <c r="J983" s="103"/>
      <c r="L983" s="71"/>
      <c r="M983" s="106" t="str">
        <f>IF(ISBLANK(K983), "", VLOOKUP(C983&amp;" "&amp;D983, 'Info Tipo de Cambio y REM'!$A$24:$B$35, 2, FALSE))</f>
        <v/>
      </c>
      <c r="N983" s="107" t="str">
        <f t="shared" si="3"/>
        <v/>
      </c>
      <c r="O983" s="102" t="str">
        <f t="shared" si="2"/>
        <v/>
      </c>
    </row>
    <row r="984">
      <c r="A984" s="102"/>
      <c r="B984" s="43" t="str">
        <f>IF(A984="", "", IFERROR(VLOOKUP(A984, Clasificaciones!A:B, 2, FALSE), "DATO NO CARGADO"))</f>
        <v/>
      </c>
      <c r="C984" s="51"/>
      <c r="D984" s="257"/>
      <c r="E984" s="102"/>
      <c r="F984" s="103"/>
      <c r="G984" s="103"/>
      <c r="H984" s="258"/>
      <c r="J984" s="103"/>
      <c r="L984" s="71"/>
      <c r="M984" s="106" t="str">
        <f>IF(ISBLANK(K984), "", VLOOKUP(C984&amp;" "&amp;D984, 'Info Tipo de Cambio y REM'!$A$24:$B$35, 2, FALSE))</f>
        <v/>
      </c>
      <c r="N984" s="107" t="str">
        <f t="shared" si="3"/>
        <v/>
      </c>
      <c r="O984" s="102" t="str">
        <f t="shared" si="2"/>
        <v/>
      </c>
    </row>
    <row r="985">
      <c r="A985" s="102"/>
      <c r="B985" s="43" t="str">
        <f>IF(A985="", "", IFERROR(VLOOKUP(A985, Clasificaciones!A:B, 2, FALSE), "DATO NO CARGADO"))</f>
        <v/>
      </c>
      <c r="C985" s="51"/>
      <c r="D985" s="257"/>
      <c r="E985" s="102"/>
      <c r="F985" s="103"/>
      <c r="G985" s="103"/>
      <c r="H985" s="258"/>
      <c r="J985" s="103"/>
      <c r="L985" s="71"/>
      <c r="M985" s="106" t="str">
        <f>IF(ISBLANK(K985), "", VLOOKUP(C985&amp;" "&amp;D985, 'Info Tipo de Cambio y REM'!$A$24:$B$35, 2, FALSE))</f>
        <v/>
      </c>
      <c r="N985" s="107" t="str">
        <f t="shared" si="3"/>
        <v/>
      </c>
      <c r="O985" s="102" t="str">
        <f t="shared" si="2"/>
        <v/>
      </c>
    </row>
    <row r="986">
      <c r="A986" s="102"/>
      <c r="B986" s="43" t="str">
        <f>IF(A986="", "", IFERROR(VLOOKUP(A986, Clasificaciones!A:B, 2, FALSE), "DATO NO CARGADO"))</f>
        <v/>
      </c>
      <c r="C986" s="51"/>
      <c r="D986" s="257"/>
      <c r="E986" s="102"/>
      <c r="F986" s="103"/>
      <c r="G986" s="103"/>
      <c r="H986" s="258"/>
      <c r="J986" s="103"/>
      <c r="L986" s="71"/>
      <c r="M986" s="106" t="str">
        <f>IF(ISBLANK(K986), "", VLOOKUP(C986&amp;" "&amp;D986, 'Info Tipo de Cambio y REM'!$A$24:$B$35, 2, FALSE))</f>
        <v/>
      </c>
      <c r="N986" s="107" t="str">
        <f t="shared" si="3"/>
        <v/>
      </c>
      <c r="O986" s="102" t="str">
        <f t="shared" si="2"/>
        <v/>
      </c>
    </row>
    <row r="987">
      <c r="A987" s="102"/>
      <c r="B987" s="43" t="str">
        <f>IF(A987="", "", IFERROR(VLOOKUP(A987, Clasificaciones!A:B, 2, FALSE), "DATO NO CARGADO"))</f>
        <v/>
      </c>
      <c r="C987" s="51"/>
      <c r="D987" s="257"/>
      <c r="E987" s="102"/>
      <c r="F987" s="103"/>
      <c r="G987" s="103"/>
      <c r="H987" s="258"/>
      <c r="J987" s="103"/>
      <c r="L987" s="71"/>
      <c r="M987" s="106" t="str">
        <f>IF(ISBLANK(K987), "", VLOOKUP(C987&amp;" "&amp;D987, 'Info Tipo de Cambio y REM'!$A$24:$B$35, 2, FALSE))</f>
        <v/>
      </c>
      <c r="N987" s="107" t="str">
        <f t="shared" si="3"/>
        <v/>
      </c>
      <c r="O987" s="102" t="str">
        <f t="shared" si="2"/>
        <v/>
      </c>
    </row>
    <row r="988">
      <c r="A988" s="102"/>
      <c r="B988" s="43" t="str">
        <f>IF(A988="", "", IFERROR(VLOOKUP(A988, Clasificaciones!A:B, 2, FALSE), "DATO NO CARGADO"))</f>
        <v/>
      </c>
      <c r="C988" s="51"/>
      <c r="D988" s="257"/>
      <c r="E988" s="102"/>
      <c r="F988" s="103"/>
      <c r="G988" s="103"/>
      <c r="H988" s="258"/>
      <c r="J988" s="103"/>
      <c r="L988" s="71"/>
      <c r="M988" s="106" t="str">
        <f>IF(ISBLANK(K988), "", VLOOKUP(C988&amp;" "&amp;D988, 'Info Tipo de Cambio y REM'!$A$24:$B$35, 2, FALSE))</f>
        <v/>
      </c>
      <c r="N988" s="107" t="str">
        <f t="shared" si="3"/>
        <v/>
      </c>
      <c r="O988" s="102" t="str">
        <f t="shared" si="2"/>
        <v/>
      </c>
    </row>
    <row r="989">
      <c r="A989" s="102"/>
      <c r="B989" s="43" t="str">
        <f>IF(A989="", "", IFERROR(VLOOKUP(A989, Clasificaciones!A:B, 2, FALSE), "DATO NO CARGADO"))</f>
        <v/>
      </c>
      <c r="C989" s="51"/>
      <c r="D989" s="257"/>
      <c r="E989" s="102"/>
      <c r="F989" s="103"/>
      <c r="G989" s="103"/>
      <c r="H989" s="258"/>
      <c r="J989" s="103"/>
      <c r="L989" s="71"/>
      <c r="M989" s="106" t="str">
        <f>IF(ISBLANK(K989), "", VLOOKUP(C989&amp;" "&amp;D989, 'Info Tipo de Cambio y REM'!$A$24:$B$35, 2, FALSE))</f>
        <v/>
      </c>
      <c r="N989" s="107" t="str">
        <f t="shared" si="3"/>
        <v/>
      </c>
      <c r="O989" s="102" t="str">
        <f t="shared" si="2"/>
        <v/>
      </c>
    </row>
    <row r="990">
      <c r="A990" s="102"/>
      <c r="B990" s="43" t="str">
        <f>IF(A990="", "", IFERROR(VLOOKUP(A990, Clasificaciones!A:B, 2, FALSE), "DATO NO CARGADO"))</f>
        <v/>
      </c>
      <c r="C990" s="51"/>
      <c r="D990" s="257"/>
      <c r="E990" s="102"/>
      <c r="F990" s="103"/>
      <c r="G990" s="103"/>
      <c r="H990" s="258"/>
      <c r="J990" s="103"/>
      <c r="L990" s="71"/>
      <c r="M990" s="106" t="str">
        <f>IF(ISBLANK(K990), "", VLOOKUP(C990&amp;" "&amp;D990, 'Info Tipo de Cambio y REM'!$A$24:$B$35, 2, FALSE))</f>
        <v/>
      </c>
      <c r="N990" s="107" t="str">
        <f t="shared" si="3"/>
        <v/>
      </c>
      <c r="O990" s="102" t="str">
        <f t="shared" si="2"/>
        <v/>
      </c>
    </row>
    <row r="991">
      <c r="A991" s="102"/>
      <c r="B991" s="43" t="str">
        <f>IF(A991="", "", IFERROR(VLOOKUP(A991, Clasificaciones!A:B, 2, FALSE), "DATO NO CARGADO"))</f>
        <v/>
      </c>
      <c r="C991" s="51"/>
      <c r="D991" s="257"/>
      <c r="E991" s="102"/>
      <c r="F991" s="103"/>
      <c r="G991" s="103"/>
      <c r="H991" s="258"/>
      <c r="J991" s="103"/>
      <c r="L991" s="71"/>
      <c r="M991" s="106" t="str">
        <f>IF(ISBLANK(K991), "", VLOOKUP(C991&amp;" "&amp;D991, 'Info Tipo de Cambio y REM'!$A$24:$B$35, 2, FALSE))</f>
        <v/>
      </c>
      <c r="N991" s="107" t="str">
        <f t="shared" si="3"/>
        <v/>
      </c>
      <c r="O991" s="102" t="str">
        <f t="shared" si="2"/>
        <v/>
      </c>
    </row>
    <row r="992">
      <c r="A992" s="102"/>
      <c r="B992" s="43" t="str">
        <f>IF(A992="", "", IFERROR(VLOOKUP(A992, Clasificaciones!A:B, 2, FALSE), "DATO NO CARGADO"))</f>
        <v/>
      </c>
      <c r="C992" s="51"/>
      <c r="D992" s="257"/>
      <c r="E992" s="102"/>
      <c r="F992" s="103"/>
      <c r="G992" s="103"/>
      <c r="H992" s="258"/>
      <c r="J992" s="103"/>
      <c r="L992" s="71"/>
      <c r="M992" s="106" t="str">
        <f>IF(ISBLANK(K992), "", VLOOKUP(C992&amp;" "&amp;D992, 'Info Tipo de Cambio y REM'!$A$24:$B$35, 2, FALSE))</f>
        <v/>
      </c>
      <c r="N992" s="107" t="str">
        <f t="shared" si="3"/>
        <v/>
      </c>
      <c r="O992" s="102" t="str">
        <f t="shared" si="2"/>
        <v/>
      </c>
    </row>
    <row r="993">
      <c r="A993" s="102"/>
      <c r="B993" s="43" t="str">
        <f>IF(A993="", "", IFERROR(VLOOKUP(A993, Clasificaciones!A:B, 2, FALSE), "DATO NO CARGADO"))</f>
        <v/>
      </c>
      <c r="C993" s="51"/>
      <c r="D993" s="257"/>
      <c r="E993" s="102"/>
      <c r="F993" s="103"/>
      <c r="G993" s="103"/>
      <c r="H993" s="258"/>
      <c r="J993" s="103"/>
      <c r="L993" s="71"/>
      <c r="M993" s="106" t="str">
        <f>IF(ISBLANK(K993), "", VLOOKUP(C993&amp;" "&amp;D993, 'Info Tipo de Cambio y REM'!$A$24:$B$35, 2, FALSE))</f>
        <v/>
      </c>
      <c r="N993" s="107" t="str">
        <f t="shared" si="3"/>
        <v/>
      </c>
      <c r="O993" s="102" t="str">
        <f t="shared" si="2"/>
        <v/>
      </c>
    </row>
    <row r="994">
      <c r="A994" s="102"/>
      <c r="B994" s="43" t="str">
        <f>IF(A994="", "", IFERROR(VLOOKUP(A994, Clasificaciones!A:B, 2, FALSE), "DATO NO CARGADO"))</f>
        <v/>
      </c>
      <c r="C994" s="51"/>
      <c r="D994" s="257"/>
      <c r="E994" s="102"/>
      <c r="F994" s="103"/>
      <c r="G994" s="103"/>
      <c r="H994" s="258"/>
      <c r="J994" s="103"/>
      <c r="L994" s="71"/>
      <c r="M994" s="106" t="str">
        <f>IF(ISBLANK(K994), "", VLOOKUP(C994&amp;" "&amp;D994, 'Info Tipo de Cambio y REM'!$A$24:$B$35, 2, FALSE))</f>
        <v/>
      </c>
      <c r="N994" s="107" t="str">
        <f t="shared" si="3"/>
        <v/>
      </c>
      <c r="O994" s="102" t="str">
        <f t="shared" si="2"/>
        <v/>
      </c>
    </row>
    <row r="995">
      <c r="A995" s="102"/>
      <c r="B995" s="43" t="str">
        <f>IF(A995="", "", IFERROR(VLOOKUP(A995, Clasificaciones!A:B, 2, FALSE), "DATO NO CARGADO"))</f>
        <v/>
      </c>
      <c r="C995" s="51"/>
      <c r="D995" s="257"/>
      <c r="E995" s="102"/>
      <c r="F995" s="103"/>
      <c r="G995" s="103"/>
      <c r="H995" s="258"/>
      <c r="J995" s="103"/>
      <c r="L995" s="71"/>
      <c r="M995" s="106" t="str">
        <f>IF(ISBLANK(K995), "", VLOOKUP(C995&amp;" "&amp;D995, 'Info Tipo de Cambio y REM'!$A$24:$B$35, 2, FALSE))</f>
        <v/>
      </c>
      <c r="N995" s="107" t="str">
        <f t="shared" si="3"/>
        <v/>
      </c>
      <c r="O995" s="102" t="str">
        <f t="shared" si="2"/>
        <v/>
      </c>
    </row>
    <row r="996">
      <c r="A996" s="102"/>
      <c r="B996" s="43" t="str">
        <f>IF(A996="", "", IFERROR(VLOOKUP(A996, Clasificaciones!A:B, 2, FALSE), "DATO NO CARGADO"))</f>
        <v/>
      </c>
      <c r="C996" s="51"/>
      <c r="D996" s="257"/>
      <c r="E996" s="102"/>
      <c r="F996" s="103"/>
      <c r="G996" s="103"/>
      <c r="H996" s="258"/>
      <c r="J996" s="103"/>
      <c r="L996" s="71"/>
      <c r="M996" s="106" t="str">
        <f>IF(ISBLANK(K996), "", VLOOKUP(C996&amp;" "&amp;D996, 'Info Tipo de Cambio y REM'!$A$24:$B$35, 2, FALSE))</f>
        <v/>
      </c>
      <c r="N996" s="107" t="str">
        <f t="shared" si="3"/>
        <v/>
      </c>
      <c r="O996" s="102" t="str">
        <f t="shared" si="2"/>
        <v/>
      </c>
    </row>
    <row r="997">
      <c r="A997" s="102"/>
      <c r="B997" s="43" t="str">
        <f>IF(A997="", "", IFERROR(VLOOKUP(A997, Clasificaciones!A:B, 2, FALSE), "DATO NO CARGADO"))</f>
        <v/>
      </c>
      <c r="C997" s="51"/>
      <c r="D997" s="257"/>
      <c r="E997" s="102"/>
      <c r="F997" s="103"/>
      <c r="G997" s="103"/>
      <c r="H997" s="258"/>
      <c r="J997" s="103"/>
      <c r="L997" s="71"/>
      <c r="M997" s="106" t="str">
        <f>IF(ISBLANK(K997), "", VLOOKUP(C997&amp;" "&amp;D997, 'Info Tipo de Cambio y REM'!$A$24:$B$35, 2, FALSE))</f>
        <v/>
      </c>
      <c r="N997" s="107" t="str">
        <f t="shared" si="3"/>
        <v/>
      </c>
      <c r="O997" s="102" t="str">
        <f t="shared" si="2"/>
        <v/>
      </c>
    </row>
    <row r="998">
      <c r="A998" s="102"/>
      <c r="B998" s="43" t="str">
        <f>IF(A998="", "", IFERROR(VLOOKUP(A998, Clasificaciones!A:B, 2, FALSE), "DATO NO CARGADO"))</f>
        <v/>
      </c>
      <c r="C998" s="51"/>
      <c r="D998" s="257"/>
      <c r="E998" s="102"/>
      <c r="F998" s="103"/>
      <c r="G998" s="103"/>
      <c r="H998" s="258"/>
      <c r="J998" s="103"/>
      <c r="L998" s="71"/>
      <c r="M998" s="106" t="str">
        <f>IF(ISBLANK(K998), "", VLOOKUP(C998&amp;" "&amp;D998, 'Info Tipo de Cambio y REM'!$A$24:$B$35, 2, FALSE))</f>
        <v/>
      </c>
      <c r="N998" s="107" t="str">
        <f t="shared" si="3"/>
        <v/>
      </c>
      <c r="O998" s="102" t="str">
        <f t="shared" si="2"/>
        <v/>
      </c>
    </row>
    <row r="999">
      <c r="A999" s="102"/>
      <c r="B999" s="43" t="str">
        <f>IF(A999="", "", IFERROR(VLOOKUP(A999, Clasificaciones!A:B, 2, FALSE), "DATO NO CARGADO"))</f>
        <v/>
      </c>
      <c r="C999" s="51"/>
      <c r="D999" s="257"/>
      <c r="E999" s="102"/>
      <c r="F999" s="103"/>
      <c r="G999" s="103"/>
      <c r="H999" s="258"/>
      <c r="J999" s="103"/>
      <c r="L999" s="71"/>
      <c r="M999" s="106" t="str">
        <f>IF(ISBLANK(K999), "", VLOOKUP(C999&amp;" "&amp;D999, 'Info Tipo de Cambio y REM'!$A$24:$B$35, 2, FALSE))</f>
        <v/>
      </c>
      <c r="N999" s="107" t="str">
        <f t="shared" si="3"/>
        <v/>
      </c>
      <c r="O999" s="102" t="str">
        <f t="shared" si="2"/>
        <v/>
      </c>
    </row>
    <row r="1000">
      <c r="A1000" s="102"/>
      <c r="B1000" s="43" t="str">
        <f>IF(A1000="", "", IFERROR(VLOOKUP(A1000, Clasificaciones!A:B, 2, FALSE), "DATO NO CARGADO"))</f>
        <v/>
      </c>
      <c r="C1000" s="51"/>
      <c r="D1000" s="257"/>
      <c r="E1000" s="102"/>
      <c r="F1000" s="103"/>
      <c r="G1000" s="103"/>
      <c r="H1000" s="258"/>
      <c r="J1000" s="103"/>
      <c r="L1000" s="71"/>
      <c r="M1000" s="106" t="str">
        <f>IF(ISBLANK(K1000), "", VLOOKUP(C1000&amp;" "&amp;D1000, 'Info Tipo de Cambio y REM'!$A$24:$B$35, 2, FALSE))</f>
        <v/>
      </c>
      <c r="N1000" s="107" t="str">
        <f t="shared" si="3"/>
        <v/>
      </c>
      <c r="O1000" s="102" t="str">
        <f t="shared" si="2"/>
        <v/>
      </c>
    </row>
    <row r="1001">
      <c r="A1001" s="102"/>
      <c r="B1001" s="43" t="str">
        <f>IF(A1001="", "", IFERROR(VLOOKUP(A1001, Clasificaciones!A:B, 2, FALSE), "DATO NO CARGADO"))</f>
        <v/>
      </c>
      <c r="C1001" s="51"/>
      <c r="D1001" s="257"/>
      <c r="E1001" s="102"/>
      <c r="F1001" s="103"/>
      <c r="G1001" s="103"/>
      <c r="H1001" s="258"/>
      <c r="J1001" s="103"/>
      <c r="L1001" s="71"/>
      <c r="M1001" s="106" t="str">
        <f>IF(ISBLANK(K1001), "", VLOOKUP(C1001&amp;" "&amp;D1001, 'Info Tipo de Cambio y REM'!$A$24:$B$35, 2, FALSE))</f>
        <v/>
      </c>
      <c r="N1001" s="107" t="str">
        <f t="shared" si="3"/>
        <v/>
      </c>
      <c r="O1001" s="102" t="str">
        <f t="shared" si="2"/>
        <v/>
      </c>
    </row>
    <row r="1002">
      <c r="A1002" s="102"/>
      <c r="B1002" s="43" t="str">
        <f>IF(A1002="", "", IFERROR(VLOOKUP(A1002, Clasificaciones!A:B, 2, FALSE), "DATO NO CARGADO"))</f>
        <v/>
      </c>
      <c r="C1002" s="51"/>
      <c r="D1002" s="257"/>
      <c r="E1002" s="102"/>
      <c r="F1002" s="103"/>
      <c r="G1002" s="103"/>
      <c r="H1002" s="258"/>
      <c r="J1002" s="103"/>
      <c r="L1002" s="71"/>
      <c r="M1002" s="106" t="str">
        <f>IF(ISBLANK(K1002), "", VLOOKUP(C1002&amp;" "&amp;D1002, 'Info Tipo de Cambio y REM'!$A$24:$B$35, 2, FALSE))</f>
        <v/>
      </c>
      <c r="N1002" s="107" t="str">
        <f t="shared" si="3"/>
        <v/>
      </c>
      <c r="O1002" s="102" t="str">
        <f t="shared" si="2"/>
        <v/>
      </c>
    </row>
    <row r="1003">
      <c r="A1003" s="102"/>
      <c r="B1003" s="43" t="str">
        <f>IF(A1003="", "", IFERROR(VLOOKUP(A1003, Clasificaciones!A:B, 2, FALSE), "DATO NO CARGADO"))</f>
        <v/>
      </c>
      <c r="C1003" s="51"/>
      <c r="D1003" s="257"/>
      <c r="E1003" s="102"/>
      <c r="F1003" s="103"/>
      <c r="G1003" s="103"/>
      <c r="H1003" s="258"/>
      <c r="J1003" s="103"/>
      <c r="L1003" s="71"/>
      <c r="M1003" s="106" t="str">
        <f>IF(ISBLANK(K1003), "", VLOOKUP(C1003&amp;" "&amp;D1003, 'Info Tipo de Cambio y REM'!$A$24:$B$35, 2, FALSE))</f>
        <v/>
      </c>
      <c r="N1003" s="107" t="str">
        <f t="shared" si="3"/>
        <v/>
      </c>
      <c r="O1003" s="102" t="str">
        <f t="shared" si="2"/>
        <v/>
      </c>
    </row>
    <row r="1004">
      <c r="A1004" s="102"/>
      <c r="B1004" s="43" t="str">
        <f>IF(A1004="", "", IFERROR(VLOOKUP(A1004, Clasificaciones!A:B, 2, FALSE), "DATO NO CARGADO"))</f>
        <v/>
      </c>
      <c r="C1004" s="51"/>
      <c r="D1004" s="257"/>
      <c r="E1004" s="102"/>
      <c r="F1004" s="103"/>
      <c r="G1004" s="103"/>
      <c r="H1004" s="258"/>
      <c r="J1004" s="103"/>
      <c r="L1004" s="71"/>
      <c r="M1004" s="106" t="str">
        <f>IF(ISBLANK(K1004), "", VLOOKUP(C1004&amp;" "&amp;D1004, 'Info Tipo de Cambio y REM'!$A$24:$B$35, 2, FALSE))</f>
        <v/>
      </c>
      <c r="N1004" s="107" t="str">
        <f t="shared" si="3"/>
        <v/>
      </c>
      <c r="O1004" s="102" t="str">
        <f t="shared" si="2"/>
        <v/>
      </c>
    </row>
    <row r="1005">
      <c r="A1005" s="102"/>
      <c r="B1005" s="43" t="str">
        <f>IF(A1005="", "", IFERROR(VLOOKUP(A1005, Clasificaciones!A:B, 2, FALSE), "DATO NO CARGADO"))</f>
        <v/>
      </c>
      <c r="C1005" s="51"/>
      <c r="D1005" s="257"/>
      <c r="E1005" s="102"/>
      <c r="F1005" s="103"/>
      <c r="G1005" s="103"/>
      <c r="H1005" s="258"/>
      <c r="J1005" s="103"/>
      <c r="L1005" s="71"/>
      <c r="M1005" s="106" t="str">
        <f>IF(ISBLANK(K1005), "", VLOOKUP(C1005&amp;" "&amp;D1005, 'Info Tipo de Cambio y REM'!$A$24:$B$35, 2, FALSE))</f>
        <v/>
      </c>
      <c r="N1005" s="107" t="str">
        <f t="shared" si="3"/>
        <v/>
      </c>
      <c r="O1005" s="102" t="str">
        <f t="shared" si="2"/>
        <v/>
      </c>
    </row>
    <row r="1006">
      <c r="A1006" s="102"/>
      <c r="B1006" s="43" t="str">
        <f>IF(A1006="", "", IFERROR(VLOOKUP(A1006, Clasificaciones!A:B, 2, FALSE), "DATO NO CARGADO"))</f>
        <v/>
      </c>
      <c r="C1006" s="51"/>
      <c r="D1006" s="257"/>
      <c r="E1006" s="102"/>
      <c r="F1006" s="103"/>
      <c r="G1006" s="103"/>
      <c r="H1006" s="258"/>
      <c r="J1006" s="103"/>
      <c r="L1006" s="71"/>
      <c r="M1006" s="106" t="str">
        <f>IF(ISBLANK(K1006), "", VLOOKUP(C1006&amp;" "&amp;D1006, 'Info Tipo de Cambio y REM'!$A$24:$B$35, 2, FALSE))</f>
        <v/>
      </c>
      <c r="N1006" s="107" t="str">
        <f t="shared" si="3"/>
        <v/>
      </c>
      <c r="O1006" s="102" t="str">
        <f t="shared" si="2"/>
        <v/>
      </c>
    </row>
    <row r="1007">
      <c r="A1007" s="102"/>
      <c r="B1007" s="43" t="str">
        <f>IF(A1007="", "", IFERROR(VLOOKUP(A1007, Clasificaciones!A:B, 2, FALSE), "DATO NO CARGADO"))</f>
        <v/>
      </c>
      <c r="C1007" s="51"/>
      <c r="D1007" s="257"/>
      <c r="E1007" s="102"/>
      <c r="F1007" s="103"/>
      <c r="G1007" s="103"/>
      <c r="H1007" s="258"/>
      <c r="J1007" s="103"/>
      <c r="L1007" s="71"/>
      <c r="M1007" s="106" t="str">
        <f>IF(ISBLANK(K1007), "", VLOOKUP(C1007&amp;" "&amp;D1007, 'Info Tipo de Cambio y REM'!$A$24:$B$35, 2, FALSE))</f>
        <v/>
      </c>
      <c r="N1007" s="107" t="str">
        <f t="shared" si="3"/>
        <v/>
      </c>
      <c r="O1007" s="102" t="str">
        <f t="shared" si="2"/>
        <v/>
      </c>
    </row>
    <row r="1008">
      <c r="A1008" s="102"/>
      <c r="B1008" s="43" t="str">
        <f>IF(A1008="", "", IFERROR(VLOOKUP(A1008, Clasificaciones!A:B, 2, FALSE), "DATO NO CARGADO"))</f>
        <v/>
      </c>
      <c r="C1008" s="51"/>
      <c r="D1008" s="257"/>
      <c r="E1008" s="102"/>
      <c r="F1008" s="103"/>
      <c r="G1008" s="103"/>
      <c r="H1008" s="258"/>
      <c r="J1008" s="103"/>
      <c r="L1008" s="71"/>
      <c r="M1008" s="106" t="str">
        <f>IF(ISBLANK(K1008), "", VLOOKUP(C1008&amp;" "&amp;D1008, 'Info Tipo de Cambio y REM'!$A$24:$B$35, 2, FALSE))</f>
        <v/>
      </c>
      <c r="N1008" s="107" t="str">
        <f t="shared" si="3"/>
        <v/>
      </c>
      <c r="O1008" s="102" t="str">
        <f t="shared" si="2"/>
        <v/>
      </c>
    </row>
    <row r="1009">
      <c r="A1009" s="102"/>
      <c r="B1009" s="43" t="str">
        <f>IF(A1009="", "", IFERROR(VLOOKUP(A1009, Clasificaciones!A:B, 2, FALSE), "DATO NO CARGADO"))</f>
        <v/>
      </c>
      <c r="C1009" s="51"/>
      <c r="D1009" s="257"/>
      <c r="E1009" s="102"/>
      <c r="F1009" s="103"/>
      <c r="G1009" s="103"/>
      <c r="H1009" s="258"/>
      <c r="J1009" s="103"/>
      <c r="L1009" s="71"/>
      <c r="M1009" s="106" t="str">
        <f>IF(ISBLANK(K1009), "", VLOOKUP(C1009&amp;" "&amp;D1009, 'Info Tipo de Cambio y REM'!$A$24:$B$35, 2, FALSE))</f>
        <v/>
      </c>
      <c r="N1009" s="107" t="str">
        <f t="shared" si="3"/>
        <v/>
      </c>
      <c r="O1009" s="102" t="str">
        <f t="shared" si="2"/>
        <v/>
      </c>
    </row>
    <row r="1010">
      <c r="A1010" s="102"/>
      <c r="B1010" s="43" t="str">
        <f>IF(A1010="", "", IFERROR(VLOOKUP(A1010, Clasificaciones!A:B, 2, FALSE), "DATO NO CARGADO"))</f>
        <v/>
      </c>
      <c r="C1010" s="51"/>
      <c r="D1010" s="257"/>
      <c r="E1010" s="102"/>
      <c r="F1010" s="103"/>
      <c r="G1010" s="103"/>
      <c r="H1010" s="258"/>
      <c r="J1010" s="103"/>
      <c r="L1010" s="71"/>
      <c r="M1010" s="106" t="str">
        <f>IF(ISBLANK(K1010), "", VLOOKUP(C1010&amp;" "&amp;D1010, 'Info Tipo de Cambio y REM'!$A$24:$B$35, 2, FALSE))</f>
        <v/>
      </c>
      <c r="N1010" s="107" t="str">
        <f t="shared" si="3"/>
        <v/>
      </c>
      <c r="O1010" s="102" t="str">
        <f t="shared" si="2"/>
        <v/>
      </c>
    </row>
    <row r="1011">
      <c r="A1011" s="102"/>
      <c r="B1011" s="43" t="str">
        <f>IF(A1011="", "", IFERROR(VLOOKUP(A1011, Clasificaciones!A:B, 2, FALSE), "DATO NO CARGADO"))</f>
        <v/>
      </c>
      <c r="C1011" s="51"/>
      <c r="D1011" s="257"/>
      <c r="E1011" s="102"/>
      <c r="F1011" s="103"/>
      <c r="G1011" s="103"/>
      <c r="H1011" s="258"/>
      <c r="J1011" s="103"/>
      <c r="L1011" s="71"/>
      <c r="M1011" s="106" t="str">
        <f>IF(ISBLANK(K1011), "", VLOOKUP(C1011&amp;" "&amp;D1011, 'Info Tipo de Cambio y REM'!$A$24:$B$35, 2, FALSE))</f>
        <v/>
      </c>
      <c r="N1011" s="107" t="str">
        <f t="shared" si="3"/>
        <v/>
      </c>
      <c r="O1011" s="102" t="str">
        <f t="shared" si="2"/>
        <v/>
      </c>
    </row>
    <row r="1012">
      <c r="A1012" s="102"/>
      <c r="B1012" s="43" t="str">
        <f>IF(A1012="", "", IFERROR(VLOOKUP(A1012, Clasificaciones!A:B, 2, FALSE), "DATO NO CARGADO"))</f>
        <v/>
      </c>
      <c r="C1012" s="51"/>
      <c r="D1012" s="257"/>
      <c r="E1012" s="102"/>
      <c r="F1012" s="103"/>
      <c r="G1012" s="103"/>
      <c r="H1012" s="258"/>
      <c r="J1012" s="103"/>
      <c r="L1012" s="71"/>
      <c r="M1012" s="106" t="str">
        <f>IF(ISBLANK(K1012), "", VLOOKUP(C1012&amp;" "&amp;D1012, 'Info Tipo de Cambio y REM'!$A$24:$B$35, 2, FALSE))</f>
        <v/>
      </c>
      <c r="N1012" s="107" t="str">
        <f t="shared" si="3"/>
        <v/>
      </c>
      <c r="O1012" s="102" t="str">
        <f t="shared" si="2"/>
        <v/>
      </c>
    </row>
    <row r="1013">
      <c r="A1013" s="102"/>
      <c r="B1013" s="43" t="str">
        <f>IF(A1013="", "", IFERROR(VLOOKUP(A1013, Clasificaciones!A:B, 2, FALSE), "DATO NO CARGADO"))</f>
        <v/>
      </c>
      <c r="C1013" s="51"/>
      <c r="D1013" s="257"/>
      <c r="E1013" s="102"/>
      <c r="F1013" s="103"/>
      <c r="G1013" s="103"/>
      <c r="H1013" s="258"/>
      <c r="J1013" s="103"/>
      <c r="L1013" s="71"/>
      <c r="M1013" s="106" t="str">
        <f>IF(ISBLANK(K1013), "", VLOOKUP(C1013&amp;" "&amp;D1013, 'Info Tipo de Cambio y REM'!$A$24:$B$35, 2, FALSE))</f>
        <v/>
      </c>
      <c r="N1013" s="107" t="str">
        <f t="shared" si="3"/>
        <v/>
      </c>
      <c r="O1013" s="102" t="str">
        <f t="shared" si="2"/>
        <v/>
      </c>
    </row>
    <row r="1014">
      <c r="A1014" s="102"/>
      <c r="B1014" s="43" t="str">
        <f>IF(A1014="", "", IFERROR(VLOOKUP(A1014, Clasificaciones!A:B, 2, FALSE), "DATO NO CARGADO"))</f>
        <v/>
      </c>
      <c r="C1014" s="51"/>
      <c r="D1014" s="257"/>
      <c r="E1014" s="102"/>
      <c r="F1014" s="103"/>
      <c r="G1014" s="103"/>
      <c r="H1014" s="258"/>
      <c r="J1014" s="103"/>
      <c r="L1014" s="71"/>
      <c r="M1014" s="106" t="str">
        <f>IF(ISBLANK(K1014), "", VLOOKUP(C1014&amp;" "&amp;D1014, 'Info Tipo de Cambio y REM'!$A$24:$B$35, 2, FALSE))</f>
        <v/>
      </c>
      <c r="N1014" s="107" t="str">
        <f t="shared" si="3"/>
        <v/>
      </c>
      <c r="O1014" s="102" t="str">
        <f t="shared" si="2"/>
        <v/>
      </c>
    </row>
    <row r="1015">
      <c r="A1015" s="102"/>
      <c r="B1015" s="43" t="str">
        <f>IF(A1015="", "", IFERROR(VLOOKUP(A1015, Clasificaciones!A:B, 2, FALSE), "DATO NO CARGADO"))</f>
        <v/>
      </c>
      <c r="C1015" s="51"/>
      <c r="D1015" s="257"/>
      <c r="E1015" s="102"/>
      <c r="F1015" s="103"/>
      <c r="G1015" s="103"/>
      <c r="H1015" s="258"/>
      <c r="J1015" s="103"/>
      <c r="L1015" s="71"/>
      <c r="M1015" s="106" t="str">
        <f>IF(ISBLANK(K1015), "", VLOOKUP(C1015&amp;" "&amp;D1015, 'Info Tipo de Cambio y REM'!$A$24:$B$35, 2, FALSE))</f>
        <v/>
      </c>
      <c r="N1015" s="107" t="str">
        <f t="shared" si="3"/>
        <v/>
      </c>
      <c r="O1015" s="102" t="str">
        <f t="shared" si="2"/>
        <v/>
      </c>
    </row>
    <row r="1016">
      <c r="A1016" s="102"/>
      <c r="B1016" s="43" t="str">
        <f>IF(A1016="", "", IFERROR(VLOOKUP(A1016, Clasificaciones!A:B, 2, FALSE), "DATO NO CARGADO"))</f>
        <v/>
      </c>
      <c r="C1016" s="51"/>
      <c r="D1016" s="257"/>
      <c r="E1016" s="102"/>
      <c r="F1016" s="103"/>
      <c r="G1016" s="103"/>
      <c r="H1016" s="258"/>
      <c r="J1016" s="103"/>
      <c r="L1016" s="71"/>
      <c r="M1016" s="106" t="str">
        <f>IF(ISBLANK(K1016), "", VLOOKUP(C1016&amp;" "&amp;D1016, 'Info Tipo de Cambio y REM'!$A$24:$B$35, 2, FALSE))</f>
        <v/>
      </c>
      <c r="N1016" s="107" t="str">
        <f t="shared" si="3"/>
        <v/>
      </c>
      <c r="O1016" s="102" t="str">
        <f t="shared" si="2"/>
        <v/>
      </c>
    </row>
    <row r="1017">
      <c r="A1017" s="102"/>
      <c r="B1017" s="43" t="str">
        <f>IF(A1017="", "", IFERROR(VLOOKUP(A1017, Clasificaciones!A:B, 2, FALSE), "DATO NO CARGADO"))</f>
        <v/>
      </c>
      <c r="C1017" s="51"/>
      <c r="D1017" s="257"/>
      <c r="E1017" s="102"/>
      <c r="F1017" s="103"/>
      <c r="G1017" s="103"/>
      <c r="H1017" s="258"/>
      <c r="J1017" s="103"/>
      <c r="L1017" s="71"/>
      <c r="M1017" s="106" t="str">
        <f>IF(ISBLANK(K1017), "", VLOOKUP(C1017&amp;" "&amp;D1017, 'Info Tipo de Cambio y REM'!$A$24:$B$35, 2, FALSE))</f>
        <v/>
      </c>
      <c r="N1017" s="107" t="str">
        <f t="shared" si="3"/>
        <v/>
      </c>
      <c r="O1017" s="102" t="str">
        <f t="shared" si="2"/>
        <v/>
      </c>
    </row>
    <row r="1018">
      <c r="A1018" s="102"/>
      <c r="B1018" s="43" t="str">
        <f>IF(A1018="", "", IFERROR(VLOOKUP(A1018, Clasificaciones!A:B, 2, FALSE), "DATO NO CARGADO"))</f>
        <v/>
      </c>
      <c r="C1018" s="51"/>
      <c r="D1018" s="257"/>
      <c r="E1018" s="102"/>
      <c r="F1018" s="103"/>
      <c r="G1018" s="103"/>
      <c r="H1018" s="258"/>
      <c r="J1018" s="103"/>
      <c r="L1018" s="71"/>
      <c r="M1018" s="106" t="str">
        <f>IF(ISBLANK(K1018), "", VLOOKUP(C1018&amp;" "&amp;D1018, 'Info Tipo de Cambio y REM'!$A$24:$B$35, 2, FALSE))</f>
        <v/>
      </c>
      <c r="N1018" s="107" t="str">
        <f t="shared" si="3"/>
        <v/>
      </c>
      <c r="O1018" s="102" t="str">
        <f t="shared" si="2"/>
        <v/>
      </c>
    </row>
    <row r="1019">
      <c r="A1019" s="102"/>
      <c r="B1019" s="43" t="str">
        <f>IF(A1019="", "", IFERROR(VLOOKUP(A1019, Clasificaciones!A:B, 2, FALSE), "DATO NO CARGADO"))</f>
        <v/>
      </c>
      <c r="C1019" s="51"/>
      <c r="D1019" s="257"/>
      <c r="E1019" s="102"/>
      <c r="F1019" s="103"/>
      <c r="G1019" s="103"/>
      <c r="H1019" s="258"/>
      <c r="J1019" s="103"/>
      <c r="L1019" s="71"/>
      <c r="M1019" s="106" t="str">
        <f>IF(ISBLANK(K1019), "", VLOOKUP(C1019&amp;" "&amp;D1019, 'Info Tipo de Cambio y REM'!$A$24:$B$35, 2, FALSE))</f>
        <v/>
      </c>
      <c r="N1019" s="107" t="str">
        <f t="shared" si="3"/>
        <v/>
      </c>
      <c r="O1019" s="102" t="str">
        <f t="shared" si="2"/>
        <v/>
      </c>
    </row>
    <row r="1020">
      <c r="A1020" s="102"/>
      <c r="B1020" s="43" t="str">
        <f>IF(A1020="", "", IFERROR(VLOOKUP(A1020, Clasificaciones!A:B, 2, FALSE), "DATO NO CARGADO"))</f>
        <v/>
      </c>
      <c r="C1020" s="51"/>
      <c r="D1020" s="257"/>
      <c r="E1020" s="102"/>
      <c r="F1020" s="103"/>
      <c r="G1020" s="103"/>
      <c r="H1020" s="258"/>
      <c r="J1020" s="103"/>
      <c r="L1020" s="71"/>
      <c r="M1020" s="106" t="str">
        <f>IF(ISBLANK(K1020), "", VLOOKUP(C1020&amp;" "&amp;D1020, 'Info Tipo de Cambio y REM'!$A$24:$B$35, 2, FALSE))</f>
        <v/>
      </c>
      <c r="N1020" s="107" t="str">
        <f t="shared" si="3"/>
        <v/>
      </c>
      <c r="O1020" s="102" t="str">
        <f t="shared" si="2"/>
        <v/>
      </c>
    </row>
    <row r="1021">
      <c r="A1021" s="102"/>
      <c r="B1021" s="43" t="str">
        <f>IF(A1021="", "", IFERROR(VLOOKUP(A1021, Clasificaciones!A:B, 2, FALSE), "DATO NO CARGADO"))</f>
        <v/>
      </c>
      <c r="C1021" s="51"/>
      <c r="D1021" s="257"/>
      <c r="E1021" s="102"/>
      <c r="F1021" s="103"/>
      <c r="G1021" s="103"/>
      <c r="H1021" s="258"/>
      <c r="J1021" s="103"/>
      <c r="L1021" s="71"/>
      <c r="M1021" s="106" t="str">
        <f>IF(ISBLANK(K1021), "", VLOOKUP(C1021&amp;" "&amp;D1021, 'Info Tipo de Cambio y REM'!$A$24:$B$35, 2, FALSE))</f>
        <v/>
      </c>
      <c r="N1021" s="107" t="str">
        <f t="shared" si="3"/>
        <v/>
      </c>
      <c r="O1021" s="102" t="str">
        <f t="shared" si="2"/>
        <v/>
      </c>
    </row>
    <row r="1022">
      <c r="A1022" s="102"/>
      <c r="B1022" s="43" t="str">
        <f>IF(A1022="", "", IFERROR(VLOOKUP(A1022, Clasificaciones!A:B, 2, FALSE), "DATO NO CARGADO"))</f>
        <v/>
      </c>
      <c r="C1022" s="51"/>
      <c r="D1022" s="257"/>
      <c r="E1022" s="102"/>
      <c r="F1022" s="103"/>
      <c r="G1022" s="103"/>
      <c r="H1022" s="258"/>
      <c r="J1022" s="103"/>
      <c r="L1022" s="71"/>
      <c r="M1022" s="106" t="str">
        <f>IF(ISBLANK(K1022), "", VLOOKUP(C1022&amp;" "&amp;D1022, 'Info Tipo de Cambio y REM'!$A$24:$B$35, 2, FALSE))</f>
        <v/>
      </c>
      <c r="N1022" s="107" t="str">
        <f t="shared" si="3"/>
        <v/>
      </c>
      <c r="O1022" s="102" t="str">
        <f t="shared" si="2"/>
        <v/>
      </c>
    </row>
    <row r="1023">
      <c r="A1023" s="102"/>
      <c r="B1023" s="43" t="str">
        <f>IF(A1023="", "", IFERROR(VLOOKUP(A1023, Clasificaciones!A:B, 2, FALSE), "DATO NO CARGADO"))</f>
        <v/>
      </c>
      <c r="C1023" s="51"/>
      <c r="D1023" s="257"/>
      <c r="E1023" s="102"/>
      <c r="F1023" s="103"/>
      <c r="G1023" s="103"/>
      <c r="H1023" s="258"/>
      <c r="J1023" s="103"/>
      <c r="L1023" s="71"/>
      <c r="M1023" s="106" t="str">
        <f>IF(ISBLANK(K1023), "", VLOOKUP(C1023&amp;" "&amp;D1023, 'Info Tipo de Cambio y REM'!$A$24:$B$35, 2, FALSE))</f>
        <v/>
      </c>
      <c r="N1023" s="107" t="str">
        <f t="shared" si="3"/>
        <v/>
      </c>
      <c r="O1023" s="102" t="str">
        <f t="shared" si="2"/>
        <v/>
      </c>
    </row>
    <row r="1024">
      <c r="A1024" s="102"/>
      <c r="B1024" s="43" t="str">
        <f>IF(A1024="", "", IFERROR(VLOOKUP(A1024, Clasificaciones!A:B, 2, FALSE), "DATO NO CARGADO"))</f>
        <v/>
      </c>
      <c r="C1024" s="51"/>
      <c r="D1024" s="257"/>
      <c r="E1024" s="102"/>
      <c r="F1024" s="103"/>
      <c r="G1024" s="103"/>
      <c r="H1024" s="258"/>
      <c r="J1024" s="103"/>
      <c r="L1024" s="71"/>
      <c r="M1024" s="106" t="str">
        <f>IF(ISBLANK(K1024), "", VLOOKUP(C1024&amp;" "&amp;D1024, 'Info Tipo de Cambio y REM'!$A$24:$B$35, 2, FALSE))</f>
        <v/>
      </c>
      <c r="N1024" s="107" t="str">
        <f t="shared" si="3"/>
        <v/>
      </c>
      <c r="O1024" s="102" t="str">
        <f t="shared" si="2"/>
        <v/>
      </c>
    </row>
    <row r="1025">
      <c r="A1025" s="102"/>
      <c r="B1025" s="43" t="str">
        <f>IF(A1025="", "", IFERROR(VLOOKUP(A1025, Clasificaciones!A:B, 2, FALSE), "DATO NO CARGADO"))</f>
        <v/>
      </c>
      <c r="C1025" s="51"/>
      <c r="D1025" s="257"/>
      <c r="E1025" s="102"/>
      <c r="F1025" s="103"/>
      <c r="G1025" s="103"/>
      <c r="H1025" s="258"/>
      <c r="J1025" s="103"/>
      <c r="L1025" s="71"/>
      <c r="M1025" s="106" t="str">
        <f>IF(ISBLANK(K1025), "", VLOOKUP(C1025&amp;" "&amp;D1025, 'Info Tipo de Cambio y REM'!$A$24:$B$35, 2, FALSE))</f>
        <v/>
      </c>
      <c r="N1025" s="107" t="str">
        <f t="shared" si="3"/>
        <v/>
      </c>
      <c r="O1025" s="102" t="str">
        <f t="shared" si="2"/>
        <v/>
      </c>
    </row>
    <row r="1026">
      <c r="A1026" s="102"/>
      <c r="B1026" s="43" t="str">
        <f>IF(A1026="", "", IFERROR(VLOOKUP(A1026, Clasificaciones!A:B, 2, FALSE), "DATO NO CARGADO"))</f>
        <v/>
      </c>
      <c r="C1026" s="51"/>
      <c r="D1026" s="257"/>
      <c r="E1026" s="102"/>
      <c r="F1026" s="103"/>
      <c r="G1026" s="103"/>
      <c r="H1026" s="258"/>
      <c r="J1026" s="103"/>
      <c r="L1026" s="71"/>
      <c r="M1026" s="106" t="str">
        <f>IF(ISBLANK(K1026), "", VLOOKUP(C1026&amp;" "&amp;D1026, 'Info Tipo de Cambio y REM'!$A$24:$B$35, 2, FALSE))</f>
        <v/>
      </c>
      <c r="N1026" s="107" t="str">
        <f t="shared" si="3"/>
        <v/>
      </c>
      <c r="O1026" s="102" t="str">
        <f t="shared" si="2"/>
        <v/>
      </c>
    </row>
    <row r="1027">
      <c r="A1027" s="102"/>
      <c r="B1027" s="43" t="str">
        <f>IF(A1027="", "", IFERROR(VLOOKUP(A1027, Clasificaciones!A:B, 2, FALSE), "DATO NO CARGADO"))</f>
        <v/>
      </c>
      <c r="C1027" s="51"/>
      <c r="D1027" s="257"/>
      <c r="E1027" s="102"/>
      <c r="F1027" s="103"/>
      <c r="G1027" s="103"/>
      <c r="H1027" s="258"/>
      <c r="J1027" s="103"/>
      <c r="L1027" s="71"/>
      <c r="M1027" s="106" t="str">
        <f>IF(ISBLANK(K1027), "", VLOOKUP(C1027&amp;" "&amp;D1027, 'Info Tipo de Cambio y REM'!$A$24:$B$35, 2, FALSE))</f>
        <v/>
      </c>
      <c r="N1027" s="107" t="str">
        <f t="shared" si="3"/>
        <v/>
      </c>
      <c r="O1027" s="102" t="str">
        <f t="shared" si="2"/>
        <v/>
      </c>
    </row>
    <row r="1028">
      <c r="A1028" s="102"/>
      <c r="B1028" s="43" t="str">
        <f>IF(A1028="", "", IFERROR(VLOOKUP(A1028, Clasificaciones!A:B, 2, FALSE), "DATO NO CARGADO"))</f>
        <v/>
      </c>
      <c r="C1028" s="51"/>
      <c r="D1028" s="257"/>
      <c r="E1028" s="102"/>
      <c r="F1028" s="103"/>
      <c r="G1028" s="103"/>
      <c r="H1028" s="258"/>
      <c r="J1028" s="103"/>
      <c r="L1028" s="71"/>
      <c r="M1028" s="106" t="str">
        <f>IF(ISBLANK(K1028), "", VLOOKUP(C1028&amp;" "&amp;D1028, 'Info Tipo de Cambio y REM'!$A$24:$B$35, 2, FALSE))</f>
        <v/>
      </c>
      <c r="N1028" s="107" t="str">
        <f t="shared" si="3"/>
        <v/>
      </c>
      <c r="O1028" s="102" t="str">
        <f t="shared" si="2"/>
        <v/>
      </c>
    </row>
    <row r="1029">
      <c r="A1029" s="102"/>
      <c r="B1029" s="43" t="str">
        <f>IF(A1029="", "", IFERROR(VLOOKUP(A1029, Clasificaciones!A:B, 2, FALSE), "DATO NO CARGADO"))</f>
        <v/>
      </c>
      <c r="C1029" s="51"/>
      <c r="D1029" s="257"/>
      <c r="E1029" s="102"/>
      <c r="F1029" s="103"/>
      <c r="G1029" s="103"/>
      <c r="H1029" s="258"/>
      <c r="J1029" s="103"/>
      <c r="L1029" s="71"/>
      <c r="M1029" s="106" t="str">
        <f>IF(ISBLANK(K1029), "", VLOOKUP(C1029&amp;" "&amp;D1029, 'Info Tipo de Cambio y REM'!$A$24:$B$35, 2, FALSE))</f>
        <v/>
      </c>
      <c r="N1029" s="107" t="str">
        <f t="shared" si="3"/>
        <v/>
      </c>
      <c r="O1029" s="102" t="str">
        <f t="shared" si="2"/>
        <v/>
      </c>
    </row>
    <row r="1030">
      <c r="A1030" s="102"/>
      <c r="B1030" s="43" t="str">
        <f>IF(A1030="", "", IFERROR(VLOOKUP(A1030, Clasificaciones!A:B, 2, FALSE), "DATO NO CARGADO"))</f>
        <v/>
      </c>
      <c r="C1030" s="51"/>
      <c r="D1030" s="257"/>
      <c r="E1030" s="102"/>
      <c r="F1030" s="103"/>
      <c r="G1030" s="103"/>
      <c r="H1030" s="258"/>
      <c r="J1030" s="103"/>
      <c r="L1030" s="71"/>
      <c r="M1030" s="106" t="str">
        <f>IF(ISBLANK(K1030), "", VLOOKUP(C1030&amp;" "&amp;D1030, 'Info Tipo de Cambio y REM'!$A$24:$B$35, 2, FALSE))</f>
        <v/>
      </c>
      <c r="N1030" s="107" t="str">
        <f t="shared" si="3"/>
        <v/>
      </c>
      <c r="O1030" s="102" t="str">
        <f t="shared" si="2"/>
        <v/>
      </c>
    </row>
    <row r="1031">
      <c r="A1031" s="102"/>
      <c r="B1031" s="43" t="str">
        <f>IF(A1031="", "", IFERROR(VLOOKUP(A1031, Clasificaciones!A:B, 2, FALSE), "DATO NO CARGADO"))</f>
        <v/>
      </c>
      <c r="C1031" s="51"/>
      <c r="D1031" s="257"/>
      <c r="E1031" s="102"/>
      <c r="F1031" s="103"/>
      <c r="G1031" s="103"/>
      <c r="H1031" s="258"/>
      <c r="J1031" s="103"/>
      <c r="L1031" s="71"/>
      <c r="M1031" s="106" t="str">
        <f>IF(ISBLANK(K1031), "", VLOOKUP(C1031&amp;" "&amp;D1031, 'Info Tipo de Cambio y REM'!$A$24:$B$35, 2, FALSE))</f>
        <v/>
      </c>
      <c r="N1031" s="107" t="str">
        <f t="shared" si="3"/>
        <v/>
      </c>
      <c r="O1031" s="102" t="str">
        <f t="shared" si="2"/>
        <v/>
      </c>
    </row>
    <row r="1032">
      <c r="A1032" s="102"/>
      <c r="B1032" s="43" t="str">
        <f>IF(A1032="", "", IFERROR(VLOOKUP(A1032, Clasificaciones!A:B, 2, FALSE), "DATO NO CARGADO"))</f>
        <v/>
      </c>
      <c r="C1032" s="51"/>
      <c r="D1032" s="257"/>
      <c r="E1032" s="102"/>
      <c r="F1032" s="103"/>
      <c r="G1032" s="103"/>
      <c r="H1032" s="258"/>
      <c r="J1032" s="103"/>
      <c r="L1032" s="71"/>
      <c r="M1032" s="106" t="str">
        <f>IF(ISBLANK(K1032), "", VLOOKUP(C1032&amp;" "&amp;D1032, 'Info Tipo de Cambio y REM'!$A$24:$B$35, 2, FALSE))</f>
        <v/>
      </c>
      <c r="N1032" s="107" t="str">
        <f t="shared" si="3"/>
        <v/>
      </c>
      <c r="O1032" s="102" t="str">
        <f t="shared" si="2"/>
        <v/>
      </c>
    </row>
    <row r="1033">
      <c r="A1033" s="102"/>
      <c r="B1033" s="43" t="str">
        <f>IF(A1033="", "", IFERROR(VLOOKUP(A1033, Clasificaciones!A:B, 2, FALSE), "DATO NO CARGADO"))</f>
        <v/>
      </c>
      <c r="C1033" s="51"/>
      <c r="D1033" s="257"/>
      <c r="E1033" s="102"/>
      <c r="F1033" s="103"/>
      <c r="G1033" s="103"/>
      <c r="H1033" s="258"/>
      <c r="J1033" s="103"/>
      <c r="L1033" s="71"/>
      <c r="M1033" s="106" t="str">
        <f>IF(ISBLANK(K1033), "", VLOOKUP(C1033&amp;" "&amp;D1033, 'Info Tipo de Cambio y REM'!$A$24:$B$35, 2, FALSE))</f>
        <v/>
      </c>
      <c r="N1033" s="107" t="str">
        <f t="shared" si="3"/>
        <v/>
      </c>
      <c r="O1033" s="102" t="str">
        <f t="shared" si="2"/>
        <v/>
      </c>
    </row>
    <row r="1034">
      <c r="A1034" s="102"/>
      <c r="B1034" s="43" t="str">
        <f>IF(A1034="", "", IFERROR(VLOOKUP(A1034, Clasificaciones!A:B, 2, FALSE), "DATO NO CARGADO"))</f>
        <v/>
      </c>
      <c r="C1034" s="51"/>
      <c r="D1034" s="257"/>
      <c r="E1034" s="102"/>
      <c r="F1034" s="103"/>
      <c r="G1034" s="103"/>
      <c r="H1034" s="258"/>
      <c r="J1034" s="103"/>
      <c r="L1034" s="71"/>
      <c r="M1034" s="106" t="str">
        <f>IF(ISBLANK(K1034), "", VLOOKUP(C1034&amp;" "&amp;D1034, 'Info Tipo de Cambio y REM'!$A$24:$B$35, 2, FALSE))</f>
        <v/>
      </c>
      <c r="N1034" s="107" t="str">
        <f t="shared" si="3"/>
        <v/>
      </c>
      <c r="O1034" s="102" t="str">
        <f t="shared" si="2"/>
        <v/>
      </c>
    </row>
    <row r="1035">
      <c r="A1035" s="102"/>
      <c r="B1035" s="43" t="str">
        <f>IF(A1035="", "", IFERROR(VLOOKUP(A1035, Clasificaciones!A:B, 2, FALSE), "DATO NO CARGADO"))</f>
        <v/>
      </c>
      <c r="C1035" s="51"/>
      <c r="D1035" s="257"/>
      <c r="E1035" s="102"/>
      <c r="F1035" s="103"/>
      <c r="G1035" s="103"/>
      <c r="H1035" s="258"/>
      <c r="J1035" s="103"/>
      <c r="L1035" s="71"/>
      <c r="M1035" s="106" t="str">
        <f>IF(ISBLANK(K1035), "", VLOOKUP(C1035&amp;" "&amp;D1035, 'Info Tipo de Cambio y REM'!$A$24:$B$35, 2, FALSE))</f>
        <v/>
      </c>
      <c r="N1035" s="107" t="str">
        <f t="shared" si="3"/>
        <v/>
      </c>
      <c r="O1035" s="102" t="str">
        <f t="shared" si="2"/>
        <v/>
      </c>
    </row>
    <row r="1036">
      <c r="A1036" s="102"/>
      <c r="B1036" s="43" t="str">
        <f>IF(A1036="", "", IFERROR(VLOOKUP(A1036, Clasificaciones!A:B, 2, FALSE), "DATO NO CARGADO"))</f>
        <v/>
      </c>
      <c r="C1036" s="51"/>
      <c r="D1036" s="257"/>
      <c r="E1036" s="102"/>
      <c r="F1036" s="103"/>
      <c r="G1036" s="103"/>
      <c r="H1036" s="258"/>
      <c r="J1036" s="103"/>
      <c r="L1036" s="71"/>
      <c r="M1036" s="106" t="str">
        <f>IF(ISBLANK(K1036), "", VLOOKUP(C1036&amp;" "&amp;D1036, 'Info Tipo de Cambio y REM'!$A$24:$B$35, 2, FALSE))</f>
        <v/>
      </c>
      <c r="N1036" s="107" t="str">
        <f t="shared" si="3"/>
        <v/>
      </c>
      <c r="O1036" s="102" t="str">
        <f t="shared" si="2"/>
        <v/>
      </c>
    </row>
    <row r="1037">
      <c r="A1037" s="102"/>
      <c r="B1037" s="43" t="str">
        <f>IF(A1037="", "", IFERROR(VLOOKUP(A1037, Clasificaciones!A:B, 2, FALSE), "DATO NO CARGADO"))</f>
        <v/>
      </c>
      <c r="C1037" s="51"/>
      <c r="D1037" s="257"/>
      <c r="E1037" s="102"/>
      <c r="F1037" s="103"/>
      <c r="G1037" s="103"/>
      <c r="H1037" s="258"/>
      <c r="J1037" s="103"/>
      <c r="L1037" s="71"/>
      <c r="M1037" s="106" t="str">
        <f>IF(ISBLANK(K1037), "", VLOOKUP(C1037&amp;" "&amp;D1037, 'Info Tipo de Cambio y REM'!$A$24:$B$35, 2, FALSE))</f>
        <v/>
      </c>
      <c r="N1037" s="107" t="str">
        <f t="shared" si="3"/>
        <v/>
      </c>
      <c r="O1037" s="102" t="str">
        <f t="shared" si="2"/>
        <v/>
      </c>
    </row>
    <row r="1038">
      <c r="A1038" s="102"/>
      <c r="B1038" s="43" t="str">
        <f>IF(A1038="", "", IFERROR(VLOOKUP(A1038, Clasificaciones!A:B, 2, FALSE), "DATO NO CARGADO"))</f>
        <v/>
      </c>
      <c r="C1038" s="51"/>
      <c r="D1038" s="257"/>
      <c r="E1038" s="102"/>
      <c r="F1038" s="103"/>
      <c r="G1038" s="103"/>
      <c r="H1038" s="258"/>
      <c r="J1038" s="103"/>
      <c r="L1038" s="71"/>
      <c r="M1038" s="106" t="str">
        <f>IF(ISBLANK(K1038), "", VLOOKUP(C1038&amp;" "&amp;D1038, 'Info Tipo de Cambio y REM'!$A$24:$B$35, 2, FALSE))</f>
        <v/>
      </c>
      <c r="N1038" s="107" t="str">
        <f t="shared" si="3"/>
        <v/>
      </c>
      <c r="O1038" s="102" t="str">
        <f t="shared" si="2"/>
        <v/>
      </c>
    </row>
    <row r="1039">
      <c r="A1039" s="102"/>
      <c r="B1039" s="43" t="str">
        <f>IF(A1039="", "", IFERROR(VLOOKUP(A1039, Clasificaciones!A:B, 2, FALSE), "DATO NO CARGADO"))</f>
        <v/>
      </c>
      <c r="C1039" s="51"/>
      <c r="D1039" s="257"/>
      <c r="E1039" s="102"/>
      <c r="F1039" s="103"/>
      <c r="G1039" s="103"/>
      <c r="H1039" s="258"/>
      <c r="J1039" s="103"/>
      <c r="L1039" s="71"/>
      <c r="M1039" s="106" t="str">
        <f>IF(ISBLANK(K1039), "", VLOOKUP(C1039&amp;" "&amp;D1039, 'Info Tipo de Cambio y REM'!$A$24:$B$35, 2, FALSE))</f>
        <v/>
      </c>
      <c r="N1039" s="107" t="str">
        <f t="shared" si="3"/>
        <v/>
      </c>
      <c r="O1039" s="102" t="str">
        <f t="shared" si="2"/>
        <v/>
      </c>
    </row>
    <row r="1040">
      <c r="A1040" s="102"/>
      <c r="B1040" s="43" t="str">
        <f>IF(A1040="", "", IFERROR(VLOOKUP(A1040, Clasificaciones!A:B, 2, FALSE), "DATO NO CARGADO"))</f>
        <v/>
      </c>
      <c r="C1040" s="51"/>
      <c r="D1040" s="257"/>
      <c r="E1040" s="102"/>
      <c r="F1040" s="103"/>
      <c r="G1040" s="103"/>
      <c r="H1040" s="258"/>
      <c r="J1040" s="103"/>
      <c r="L1040" s="71"/>
      <c r="M1040" s="106" t="str">
        <f>IF(ISBLANK(K1040), "", VLOOKUP(C1040&amp;" "&amp;D1040, 'Info Tipo de Cambio y REM'!$A$24:$B$35, 2, FALSE))</f>
        <v/>
      </c>
      <c r="N1040" s="107" t="str">
        <f t="shared" si="3"/>
        <v/>
      </c>
      <c r="O1040" s="102" t="str">
        <f t="shared" si="2"/>
        <v/>
      </c>
    </row>
    <row r="1041">
      <c r="A1041" s="102"/>
      <c r="B1041" s="43" t="str">
        <f>IF(A1041="", "", IFERROR(VLOOKUP(A1041, Clasificaciones!A:B, 2, FALSE), "DATO NO CARGADO"))</f>
        <v/>
      </c>
      <c r="C1041" s="51"/>
      <c r="D1041" s="257"/>
      <c r="E1041" s="102"/>
      <c r="F1041" s="103"/>
      <c r="G1041" s="103"/>
      <c r="H1041" s="258"/>
      <c r="J1041" s="103"/>
      <c r="L1041" s="71"/>
      <c r="M1041" s="106" t="str">
        <f>IF(ISBLANK(K1041), "", VLOOKUP(C1041&amp;" "&amp;D1041, 'Info Tipo de Cambio y REM'!$A$24:$B$35, 2, FALSE))</f>
        <v/>
      </c>
      <c r="N1041" s="107" t="str">
        <f t="shared" si="3"/>
        <v/>
      </c>
      <c r="O1041" s="102" t="str">
        <f t="shared" si="2"/>
        <v/>
      </c>
    </row>
    <row r="1042">
      <c r="A1042" s="102"/>
      <c r="B1042" s="43" t="str">
        <f>IF(A1042="", "", IFERROR(VLOOKUP(A1042, Clasificaciones!A:B, 2, FALSE), "DATO NO CARGADO"))</f>
        <v/>
      </c>
      <c r="C1042" s="51"/>
      <c r="D1042" s="257"/>
      <c r="E1042" s="102"/>
      <c r="F1042" s="103"/>
      <c r="G1042" s="103"/>
      <c r="H1042" s="258"/>
      <c r="J1042" s="103"/>
      <c r="L1042" s="71"/>
      <c r="M1042" s="106" t="str">
        <f>IF(ISBLANK(K1042), "", VLOOKUP(C1042&amp;" "&amp;D1042, 'Info Tipo de Cambio y REM'!$A$24:$B$35, 2, FALSE))</f>
        <v/>
      </c>
      <c r="N1042" s="107" t="str">
        <f t="shared" si="3"/>
        <v/>
      </c>
      <c r="O1042" s="102" t="str">
        <f t="shared" si="2"/>
        <v/>
      </c>
    </row>
    <row r="1043">
      <c r="A1043" s="102"/>
      <c r="B1043" s="43" t="str">
        <f>IF(A1043="", "", IFERROR(VLOOKUP(A1043, Clasificaciones!A:B, 2, FALSE), "DATO NO CARGADO"))</f>
        <v/>
      </c>
      <c r="C1043" s="51"/>
      <c r="D1043" s="257"/>
      <c r="E1043" s="102"/>
      <c r="F1043" s="103"/>
      <c r="G1043" s="103"/>
      <c r="H1043" s="258"/>
      <c r="J1043" s="103"/>
      <c r="L1043" s="71"/>
      <c r="M1043" s="106" t="str">
        <f>IF(ISBLANK(K1043), "", VLOOKUP(C1043&amp;" "&amp;D1043, 'Info Tipo de Cambio y REM'!$A$24:$B$35, 2, FALSE))</f>
        <v/>
      </c>
      <c r="N1043" s="107" t="str">
        <f t="shared" si="3"/>
        <v/>
      </c>
      <c r="O1043" s="102" t="str">
        <f t="shared" si="2"/>
        <v/>
      </c>
    </row>
    <row r="1044">
      <c r="A1044" s="102"/>
      <c r="B1044" s="43" t="str">
        <f>IF(A1044="", "", IFERROR(VLOOKUP(A1044, Clasificaciones!A:B, 2, FALSE), "DATO NO CARGADO"))</f>
        <v/>
      </c>
      <c r="C1044" s="51"/>
      <c r="D1044" s="257"/>
      <c r="E1044" s="102"/>
      <c r="F1044" s="103"/>
      <c r="G1044" s="103"/>
      <c r="H1044" s="258"/>
      <c r="J1044" s="103"/>
      <c r="L1044" s="71"/>
      <c r="M1044" s="106" t="str">
        <f>IF(ISBLANK(K1044), "", VLOOKUP(C1044&amp;" "&amp;D1044, 'Info Tipo de Cambio y REM'!$A$24:$B$35, 2, FALSE))</f>
        <v/>
      </c>
      <c r="N1044" s="107" t="str">
        <f t="shared" si="3"/>
        <v/>
      </c>
      <c r="O1044" s="102" t="str">
        <f t="shared" si="2"/>
        <v/>
      </c>
    </row>
    <row r="1045">
      <c r="A1045" s="102"/>
      <c r="B1045" s="43" t="str">
        <f>IF(A1045="", "", IFERROR(VLOOKUP(A1045, Clasificaciones!A:B, 2, FALSE), "DATO NO CARGADO"))</f>
        <v/>
      </c>
      <c r="C1045" s="51"/>
      <c r="D1045" s="257"/>
      <c r="E1045" s="102"/>
      <c r="F1045" s="103"/>
      <c r="G1045" s="103"/>
      <c r="H1045" s="258"/>
      <c r="J1045" s="103"/>
      <c r="L1045" s="71"/>
      <c r="M1045" s="106" t="str">
        <f>IF(ISBLANK(K1045), "", VLOOKUP(C1045&amp;" "&amp;D1045, 'Info Tipo de Cambio y REM'!$A$24:$B$35, 2, FALSE))</f>
        <v/>
      </c>
      <c r="N1045" s="107" t="str">
        <f t="shared" si="3"/>
        <v/>
      </c>
      <c r="O1045" s="102" t="str">
        <f t="shared" si="2"/>
        <v/>
      </c>
    </row>
    <row r="1046">
      <c r="A1046" s="102"/>
      <c r="B1046" s="43" t="str">
        <f>IF(A1046="", "", IFERROR(VLOOKUP(A1046, Clasificaciones!A:B, 2, FALSE), "DATO NO CARGADO"))</f>
        <v/>
      </c>
      <c r="C1046" s="51"/>
      <c r="D1046" s="257"/>
      <c r="E1046" s="102"/>
      <c r="F1046" s="103"/>
      <c r="G1046" s="103"/>
      <c r="H1046" s="258"/>
      <c r="J1046" s="103"/>
      <c r="L1046" s="71"/>
      <c r="M1046" s="106" t="str">
        <f>IF(ISBLANK(K1046), "", VLOOKUP(C1046&amp;" "&amp;D1046, 'Info Tipo de Cambio y REM'!$A$24:$B$35, 2, FALSE))</f>
        <v/>
      </c>
      <c r="N1046" s="107" t="str">
        <f t="shared" si="3"/>
        <v/>
      </c>
      <c r="O1046" s="102" t="str">
        <f t="shared" si="2"/>
        <v/>
      </c>
    </row>
    <row r="1047">
      <c r="A1047" s="102"/>
      <c r="B1047" s="43" t="str">
        <f>IF(A1047="", "", IFERROR(VLOOKUP(A1047, Clasificaciones!A:B, 2, FALSE), "DATO NO CARGADO"))</f>
        <v/>
      </c>
      <c r="C1047" s="51"/>
      <c r="D1047" s="257"/>
      <c r="E1047" s="102"/>
      <c r="F1047" s="103"/>
      <c r="G1047" s="103"/>
      <c r="H1047" s="258"/>
      <c r="J1047" s="103"/>
      <c r="L1047" s="71"/>
      <c r="M1047" s="106" t="str">
        <f>IF(ISBLANK(K1047), "", VLOOKUP(C1047&amp;" "&amp;D1047, 'Info Tipo de Cambio y REM'!$A$24:$B$35, 2, FALSE))</f>
        <v/>
      </c>
      <c r="N1047" s="107" t="str">
        <f t="shared" si="3"/>
        <v/>
      </c>
      <c r="O1047" s="102" t="str">
        <f t="shared" si="2"/>
        <v/>
      </c>
    </row>
    <row r="1048">
      <c r="A1048" s="102"/>
      <c r="B1048" s="43" t="str">
        <f>IF(A1048="", "", IFERROR(VLOOKUP(A1048, Clasificaciones!A:B, 2, FALSE), "DATO NO CARGADO"))</f>
        <v/>
      </c>
      <c r="C1048" s="51"/>
      <c r="D1048" s="257"/>
      <c r="E1048" s="102"/>
      <c r="F1048" s="103"/>
      <c r="G1048" s="103"/>
      <c r="H1048" s="258"/>
      <c r="J1048" s="103"/>
      <c r="L1048" s="71"/>
      <c r="M1048" s="106" t="str">
        <f>IF(ISBLANK(K1048), "", VLOOKUP(C1048&amp;" "&amp;D1048, 'Info Tipo de Cambio y REM'!$A$24:$B$35, 2, FALSE))</f>
        <v/>
      </c>
      <c r="N1048" s="107" t="str">
        <f t="shared" si="3"/>
        <v/>
      </c>
      <c r="O1048" s="102" t="str">
        <f t="shared" si="2"/>
        <v/>
      </c>
    </row>
    <row r="1049">
      <c r="A1049" s="102"/>
      <c r="B1049" s="43" t="str">
        <f>IF(A1049="", "", IFERROR(VLOOKUP(A1049, Clasificaciones!A:B, 2, FALSE), "DATO NO CARGADO"))</f>
        <v/>
      </c>
      <c r="C1049" s="51"/>
      <c r="D1049" s="257"/>
      <c r="E1049" s="102"/>
      <c r="F1049" s="103"/>
      <c r="G1049" s="103"/>
      <c r="H1049" s="258"/>
      <c r="J1049" s="103"/>
      <c r="L1049" s="71"/>
      <c r="M1049" s="106" t="str">
        <f>IF(ISBLANK(K1049), "", VLOOKUP(C1049&amp;" "&amp;D1049, 'Info Tipo de Cambio y REM'!$A$24:$B$35, 2, FALSE))</f>
        <v/>
      </c>
      <c r="N1049" s="107" t="str">
        <f t="shared" si="3"/>
        <v/>
      </c>
      <c r="O1049" s="102" t="str">
        <f t="shared" si="2"/>
        <v/>
      </c>
    </row>
    <row r="1050">
      <c r="A1050" s="102"/>
      <c r="B1050" s="43" t="str">
        <f>IF(A1050="", "", IFERROR(VLOOKUP(A1050, Clasificaciones!A:B, 2, FALSE), "DATO NO CARGADO"))</f>
        <v/>
      </c>
      <c r="C1050" s="51"/>
      <c r="D1050" s="257"/>
      <c r="E1050" s="102"/>
      <c r="F1050" s="103"/>
      <c r="G1050" s="103"/>
      <c r="H1050" s="258"/>
      <c r="J1050" s="103"/>
      <c r="L1050" s="71"/>
      <c r="M1050" s="106" t="str">
        <f>IF(ISBLANK(K1050), "", VLOOKUP(C1050&amp;" "&amp;D1050, 'Info Tipo de Cambio y REM'!$A$24:$B$35, 2, FALSE))</f>
        <v/>
      </c>
      <c r="N1050" s="107" t="str">
        <f t="shared" si="3"/>
        <v/>
      </c>
      <c r="O1050" s="102" t="str">
        <f t="shared" si="2"/>
        <v/>
      </c>
    </row>
    <row r="1051">
      <c r="A1051" s="102"/>
      <c r="B1051" s="43" t="str">
        <f>IF(A1051="", "", IFERROR(VLOOKUP(A1051, Clasificaciones!A:B, 2, FALSE), "DATO NO CARGADO"))</f>
        <v/>
      </c>
      <c r="C1051" s="51"/>
      <c r="D1051" s="257"/>
      <c r="E1051" s="102"/>
      <c r="F1051" s="103"/>
      <c r="G1051" s="103"/>
      <c r="H1051" s="258"/>
      <c r="J1051" s="103"/>
      <c r="L1051" s="71"/>
      <c r="M1051" s="106" t="str">
        <f>IF(ISBLANK(K1051), "", VLOOKUP(C1051&amp;" "&amp;D1051, 'Info Tipo de Cambio y REM'!$A$24:$B$35, 2, FALSE))</f>
        <v/>
      </c>
      <c r="N1051" s="107" t="str">
        <f t="shared" si="3"/>
        <v/>
      </c>
      <c r="O1051" s="102" t="str">
        <f t="shared" si="2"/>
        <v/>
      </c>
    </row>
    <row r="1052">
      <c r="A1052" s="102"/>
      <c r="B1052" s="43" t="str">
        <f>IF(A1052="", "", IFERROR(VLOOKUP(A1052, Clasificaciones!A:B, 2, FALSE), "DATO NO CARGADO"))</f>
        <v/>
      </c>
      <c r="C1052" s="51"/>
      <c r="D1052" s="257"/>
      <c r="E1052" s="102"/>
      <c r="F1052" s="103"/>
      <c r="G1052" s="103"/>
      <c r="H1052" s="258"/>
      <c r="J1052" s="103"/>
      <c r="L1052" s="71"/>
      <c r="M1052" s="106" t="str">
        <f>IF(ISBLANK(K1052), "", VLOOKUP(C1052&amp;" "&amp;D1052, 'Info Tipo de Cambio y REM'!$A$24:$B$35, 2, FALSE))</f>
        <v/>
      </c>
      <c r="N1052" s="107" t="str">
        <f t="shared" si="3"/>
        <v/>
      </c>
      <c r="O1052" s="102" t="str">
        <f t="shared" si="2"/>
        <v/>
      </c>
    </row>
    <row r="1053">
      <c r="A1053" s="102"/>
      <c r="B1053" s="43" t="str">
        <f>IF(A1053="", "", IFERROR(VLOOKUP(A1053, Clasificaciones!A:B, 2, FALSE), "DATO NO CARGADO"))</f>
        <v/>
      </c>
      <c r="C1053" s="51"/>
      <c r="D1053" s="257"/>
      <c r="E1053" s="102"/>
      <c r="F1053" s="103"/>
      <c r="G1053" s="103"/>
      <c r="H1053" s="258"/>
      <c r="J1053" s="103"/>
      <c r="L1053" s="71"/>
      <c r="M1053" s="106" t="str">
        <f>IF(ISBLANK(K1053), "", VLOOKUP(C1053&amp;" "&amp;D1053, 'Info Tipo de Cambio y REM'!$A$24:$B$35, 2, FALSE))</f>
        <v/>
      </c>
      <c r="N1053" s="107" t="str">
        <f t="shared" si="3"/>
        <v/>
      </c>
      <c r="O1053" s="102" t="str">
        <f t="shared" si="2"/>
        <v/>
      </c>
    </row>
    <row r="1054">
      <c r="A1054" s="102"/>
      <c r="B1054" s="43" t="str">
        <f>IF(A1054="", "", IFERROR(VLOOKUP(A1054, Clasificaciones!A:B, 2, FALSE), "DATO NO CARGADO"))</f>
        <v/>
      </c>
      <c r="C1054" s="51"/>
      <c r="D1054" s="257"/>
      <c r="E1054" s="102"/>
      <c r="F1054" s="103"/>
      <c r="G1054" s="103"/>
      <c r="H1054" s="258"/>
      <c r="J1054" s="103"/>
      <c r="L1054" s="71"/>
      <c r="M1054" s="106" t="str">
        <f>IF(ISBLANK(K1054), "", VLOOKUP(C1054&amp;" "&amp;D1054, 'Info Tipo de Cambio y REM'!$A$24:$B$35, 2, FALSE))</f>
        <v/>
      </c>
      <c r="N1054" s="107" t="str">
        <f t="shared" si="3"/>
        <v/>
      </c>
      <c r="O1054" s="102" t="str">
        <f t="shared" si="2"/>
        <v/>
      </c>
    </row>
    <row r="1055">
      <c r="A1055" s="102"/>
      <c r="B1055" s="43" t="str">
        <f>IF(A1055="", "", IFERROR(VLOOKUP(A1055, Clasificaciones!A:B, 2, FALSE), "DATO NO CARGADO"))</f>
        <v/>
      </c>
      <c r="C1055" s="51"/>
      <c r="D1055" s="257"/>
      <c r="E1055" s="102"/>
      <c r="F1055" s="103"/>
      <c r="G1055" s="103"/>
      <c r="H1055" s="258"/>
      <c r="J1055" s="103"/>
      <c r="L1055" s="71"/>
      <c r="M1055" s="106" t="str">
        <f>IF(ISBLANK(K1055), "", VLOOKUP(C1055&amp;" "&amp;D1055, 'Info Tipo de Cambio y REM'!$A$24:$B$35, 2, FALSE))</f>
        <v/>
      </c>
      <c r="N1055" s="107" t="str">
        <f t="shared" si="3"/>
        <v/>
      </c>
      <c r="O1055" s="102" t="str">
        <f t="shared" si="2"/>
        <v/>
      </c>
    </row>
    <row r="1056">
      <c r="A1056" s="102"/>
      <c r="B1056" s="43" t="str">
        <f>IF(A1056="", "", IFERROR(VLOOKUP(A1056, Clasificaciones!A:B, 2, FALSE), "DATO NO CARGADO"))</f>
        <v/>
      </c>
      <c r="C1056" s="51"/>
      <c r="D1056" s="257"/>
      <c r="E1056" s="102"/>
      <c r="F1056" s="103"/>
      <c r="G1056" s="103"/>
      <c r="H1056" s="258"/>
      <c r="J1056" s="103"/>
      <c r="L1056" s="71"/>
      <c r="M1056" s="106" t="str">
        <f>IF(ISBLANK(K1056), "", VLOOKUP(C1056&amp;" "&amp;D1056, 'Info Tipo de Cambio y REM'!$A$24:$B$35, 2, FALSE))</f>
        <v/>
      </c>
      <c r="N1056" s="107" t="str">
        <f t="shared" si="3"/>
        <v/>
      </c>
      <c r="O1056" s="102" t="str">
        <f t="shared" si="2"/>
        <v/>
      </c>
    </row>
    <row r="1057">
      <c r="A1057" s="102"/>
      <c r="B1057" s="43" t="str">
        <f>IF(A1057="", "", IFERROR(VLOOKUP(A1057, Clasificaciones!A:B, 2, FALSE), "DATO NO CARGADO"))</f>
        <v/>
      </c>
      <c r="C1057" s="51"/>
      <c r="D1057" s="257"/>
      <c r="E1057" s="102"/>
      <c r="F1057" s="103"/>
      <c r="G1057" s="103"/>
      <c r="H1057" s="258"/>
      <c r="J1057" s="103"/>
      <c r="L1057" s="71"/>
      <c r="M1057" s="106" t="str">
        <f>IF(ISBLANK(K1057), "", VLOOKUP(C1057&amp;" "&amp;D1057, 'Info Tipo de Cambio y REM'!$A$24:$B$35, 2, FALSE))</f>
        <v/>
      </c>
      <c r="N1057" s="107" t="str">
        <f t="shared" si="3"/>
        <v/>
      </c>
      <c r="O1057" s="102" t="str">
        <f t="shared" si="2"/>
        <v/>
      </c>
    </row>
    <row r="1058">
      <c r="A1058" s="102"/>
      <c r="B1058" s="43" t="str">
        <f>IF(A1058="", "", IFERROR(VLOOKUP(A1058, Clasificaciones!A:B, 2, FALSE), "DATO NO CARGADO"))</f>
        <v/>
      </c>
      <c r="C1058" s="51"/>
      <c r="D1058" s="257"/>
      <c r="E1058" s="102"/>
      <c r="F1058" s="103"/>
      <c r="G1058" s="103"/>
      <c r="H1058" s="258"/>
      <c r="J1058" s="103"/>
      <c r="L1058" s="71"/>
      <c r="M1058" s="106" t="str">
        <f>IF(ISBLANK(K1058), "", VLOOKUP(C1058&amp;" "&amp;D1058, 'Info Tipo de Cambio y REM'!$A$24:$B$35, 2, FALSE))</f>
        <v/>
      </c>
      <c r="N1058" s="107" t="str">
        <f t="shared" si="3"/>
        <v/>
      </c>
      <c r="O1058" s="102" t="str">
        <f t="shared" si="2"/>
        <v/>
      </c>
    </row>
    <row r="1059">
      <c r="A1059" s="102"/>
      <c r="B1059" s="43" t="str">
        <f>IF(A1059="", "", IFERROR(VLOOKUP(A1059, Clasificaciones!A:B, 2, FALSE), "DATO NO CARGADO"))</f>
        <v/>
      </c>
      <c r="C1059" s="51"/>
      <c r="D1059" s="257"/>
      <c r="E1059" s="102"/>
      <c r="F1059" s="103"/>
      <c r="G1059" s="103"/>
      <c r="H1059" s="258"/>
      <c r="J1059" s="103"/>
      <c r="L1059" s="71"/>
      <c r="M1059" s="106" t="str">
        <f>IF(ISBLANK(K1059), "", VLOOKUP(C1059&amp;" "&amp;D1059, 'Info Tipo de Cambio y REM'!$A$24:$B$35, 2, FALSE))</f>
        <v/>
      </c>
      <c r="N1059" s="107" t="str">
        <f t="shared" si="3"/>
        <v/>
      </c>
      <c r="O1059" s="102" t="str">
        <f t="shared" si="2"/>
        <v/>
      </c>
    </row>
    <row r="1060">
      <c r="A1060" s="102"/>
      <c r="B1060" s="43" t="str">
        <f>IF(A1060="", "", IFERROR(VLOOKUP(A1060, Clasificaciones!A:B, 2, FALSE), "DATO NO CARGADO"))</f>
        <v/>
      </c>
      <c r="C1060" s="51"/>
      <c r="D1060" s="257"/>
      <c r="E1060" s="102"/>
      <c r="F1060" s="103"/>
      <c r="G1060" s="103"/>
      <c r="H1060" s="258"/>
      <c r="J1060" s="103"/>
      <c r="L1060" s="71"/>
      <c r="M1060" s="106" t="str">
        <f>IF(ISBLANK(K1060), "", VLOOKUP(C1060&amp;" "&amp;D1060, 'Info Tipo de Cambio y REM'!$A$24:$B$35, 2, FALSE))</f>
        <v/>
      </c>
      <c r="N1060" s="107" t="str">
        <f t="shared" si="3"/>
        <v/>
      </c>
      <c r="O1060" s="102" t="str">
        <f t="shared" si="2"/>
        <v/>
      </c>
    </row>
    <row r="1061">
      <c r="A1061" s="102"/>
      <c r="B1061" s="43" t="str">
        <f>IF(A1061="", "", IFERROR(VLOOKUP(A1061, Clasificaciones!A:B, 2, FALSE), "DATO NO CARGADO"))</f>
        <v/>
      </c>
      <c r="C1061" s="51"/>
      <c r="D1061" s="257"/>
      <c r="E1061" s="102"/>
      <c r="F1061" s="103"/>
      <c r="G1061" s="103"/>
      <c r="H1061" s="258"/>
      <c r="J1061" s="103"/>
      <c r="L1061" s="71"/>
      <c r="M1061" s="106" t="str">
        <f>IF(ISBLANK(K1061), "", VLOOKUP(C1061&amp;" "&amp;D1061, 'Info Tipo de Cambio y REM'!$A$24:$B$35, 2, FALSE))</f>
        <v/>
      </c>
      <c r="N1061" s="107" t="str">
        <f t="shared" si="3"/>
        <v/>
      </c>
      <c r="O1061" s="102" t="str">
        <f t="shared" si="2"/>
        <v/>
      </c>
    </row>
    <row r="1062">
      <c r="A1062" s="102"/>
      <c r="B1062" s="43" t="str">
        <f>IF(A1062="", "", IFERROR(VLOOKUP(A1062, Clasificaciones!A:B, 2, FALSE), "DATO NO CARGADO"))</f>
        <v/>
      </c>
      <c r="C1062" s="51"/>
      <c r="D1062" s="257"/>
      <c r="E1062" s="102"/>
      <c r="F1062" s="103"/>
      <c r="G1062" s="103"/>
      <c r="H1062" s="258"/>
      <c r="J1062" s="103"/>
      <c r="L1062" s="71"/>
      <c r="M1062" s="106" t="str">
        <f>IF(ISBLANK(K1062), "", VLOOKUP(C1062&amp;" "&amp;D1062, 'Info Tipo de Cambio y REM'!$A$24:$B$35, 2, FALSE))</f>
        <v/>
      </c>
      <c r="N1062" s="107" t="str">
        <f t="shared" si="3"/>
        <v/>
      </c>
      <c r="O1062" s="102" t="str">
        <f t="shared" si="2"/>
        <v/>
      </c>
    </row>
    <row r="1063">
      <c r="A1063" s="102"/>
      <c r="B1063" s="43" t="str">
        <f>IF(A1063="", "", IFERROR(VLOOKUP(A1063, Clasificaciones!A:B, 2, FALSE), "DATO NO CARGADO"))</f>
        <v/>
      </c>
      <c r="C1063" s="51"/>
      <c r="D1063" s="257"/>
      <c r="E1063" s="102"/>
      <c r="F1063" s="103"/>
      <c r="G1063" s="103"/>
      <c r="H1063" s="258"/>
      <c r="J1063" s="103"/>
      <c r="L1063" s="71"/>
      <c r="M1063" s="106" t="str">
        <f>IF(ISBLANK(K1063), "", VLOOKUP(C1063&amp;" "&amp;D1063, 'Info Tipo de Cambio y REM'!$A$24:$B$35, 2, FALSE))</f>
        <v/>
      </c>
      <c r="N1063" s="107" t="str">
        <f t="shared" si="3"/>
        <v/>
      </c>
      <c r="O1063" s="102" t="str">
        <f t="shared" si="2"/>
        <v/>
      </c>
    </row>
    <row r="1064">
      <c r="A1064" s="102"/>
      <c r="B1064" s="43" t="str">
        <f>IF(A1064="", "", IFERROR(VLOOKUP(A1064, Clasificaciones!A:B, 2, FALSE), "DATO NO CARGADO"))</f>
        <v/>
      </c>
      <c r="C1064" s="51"/>
      <c r="D1064" s="257"/>
      <c r="E1064" s="102"/>
      <c r="F1064" s="103"/>
      <c r="G1064" s="103"/>
      <c r="H1064" s="258"/>
      <c r="J1064" s="103"/>
      <c r="L1064" s="71"/>
      <c r="M1064" s="106" t="str">
        <f>IF(ISBLANK(K1064), "", VLOOKUP(C1064&amp;" "&amp;D1064, 'Info Tipo de Cambio y REM'!$A$24:$B$35, 2, FALSE))</f>
        <v/>
      </c>
      <c r="N1064" s="107" t="str">
        <f t="shared" si="3"/>
        <v/>
      </c>
      <c r="O1064" s="102" t="str">
        <f t="shared" si="2"/>
        <v/>
      </c>
    </row>
    <row r="1065">
      <c r="A1065" s="102"/>
      <c r="B1065" s="43" t="str">
        <f>IF(A1065="", "", IFERROR(VLOOKUP(A1065, Clasificaciones!A:B, 2, FALSE), "DATO NO CARGADO"))</f>
        <v/>
      </c>
      <c r="C1065" s="51"/>
      <c r="D1065" s="257"/>
      <c r="E1065" s="102"/>
      <c r="F1065" s="103"/>
      <c r="G1065" s="103"/>
      <c r="H1065" s="258"/>
      <c r="J1065" s="103"/>
      <c r="L1065" s="71"/>
      <c r="M1065" s="106" t="str">
        <f>IF(ISBLANK(K1065), "", VLOOKUP(C1065&amp;" "&amp;D1065, 'Info Tipo de Cambio y REM'!$A$24:$B$35, 2, FALSE))</f>
        <v/>
      </c>
      <c r="N1065" s="107" t="str">
        <f t="shared" si="3"/>
        <v/>
      </c>
      <c r="O1065" s="102" t="str">
        <f t="shared" si="2"/>
        <v/>
      </c>
    </row>
    <row r="1066">
      <c r="A1066" s="102"/>
      <c r="B1066" s="43" t="str">
        <f>IF(A1066="", "", IFERROR(VLOOKUP(A1066, Clasificaciones!A:B, 2, FALSE), "DATO NO CARGADO"))</f>
        <v/>
      </c>
      <c r="C1066" s="51"/>
      <c r="D1066" s="257"/>
      <c r="E1066" s="102"/>
      <c r="F1066" s="103"/>
      <c r="G1066" s="103"/>
      <c r="H1066" s="258"/>
      <c r="J1066" s="103"/>
      <c r="L1066" s="71"/>
      <c r="M1066" s="106" t="str">
        <f>IF(ISBLANK(K1066), "", VLOOKUP(C1066&amp;" "&amp;D1066, 'Info Tipo de Cambio y REM'!$A$24:$B$35, 2, FALSE))</f>
        <v/>
      </c>
      <c r="N1066" s="107" t="str">
        <f t="shared" si="3"/>
        <v/>
      </c>
      <c r="O1066" s="102" t="str">
        <f t="shared" si="2"/>
        <v/>
      </c>
    </row>
    <row r="1067">
      <c r="A1067" s="102"/>
      <c r="B1067" s="43" t="str">
        <f>IF(A1067="", "", IFERROR(VLOOKUP(A1067, Clasificaciones!A:B, 2, FALSE), "DATO NO CARGADO"))</f>
        <v/>
      </c>
      <c r="C1067" s="51"/>
      <c r="D1067" s="257"/>
      <c r="E1067" s="102"/>
      <c r="F1067" s="103"/>
      <c r="G1067" s="103"/>
      <c r="H1067" s="258"/>
      <c r="J1067" s="103"/>
      <c r="L1067" s="71"/>
      <c r="M1067" s="106" t="str">
        <f>IF(ISBLANK(K1067), "", VLOOKUP(C1067&amp;" "&amp;D1067, 'Info Tipo de Cambio y REM'!$A$24:$B$35, 2, FALSE))</f>
        <v/>
      </c>
      <c r="N1067" s="107" t="str">
        <f t="shared" si="3"/>
        <v/>
      </c>
      <c r="O1067" s="102" t="str">
        <f t="shared" si="2"/>
        <v/>
      </c>
    </row>
    <row r="1068">
      <c r="A1068" s="102"/>
      <c r="B1068" s="43" t="str">
        <f>IF(A1068="", "", IFERROR(VLOOKUP(A1068, Clasificaciones!A:B, 2, FALSE), "DATO NO CARGADO"))</f>
        <v/>
      </c>
      <c r="C1068" s="51"/>
      <c r="D1068" s="257"/>
      <c r="E1068" s="102"/>
      <c r="F1068" s="103"/>
      <c r="G1068" s="103"/>
      <c r="H1068" s="258"/>
      <c r="J1068" s="103"/>
      <c r="L1068" s="71"/>
      <c r="M1068" s="106" t="str">
        <f>IF(ISBLANK(K1068), "", VLOOKUP(C1068&amp;" "&amp;D1068, 'Info Tipo de Cambio y REM'!$A$24:$B$35, 2, FALSE))</f>
        <v/>
      </c>
      <c r="N1068" s="107" t="str">
        <f t="shared" si="3"/>
        <v/>
      </c>
      <c r="O1068" s="102" t="str">
        <f t="shared" si="2"/>
        <v/>
      </c>
    </row>
    <row r="1069">
      <c r="A1069" s="102"/>
      <c r="B1069" s="43" t="str">
        <f>IF(A1069="", "", IFERROR(VLOOKUP(A1069, Clasificaciones!A:B, 2, FALSE), "DATO NO CARGADO"))</f>
        <v/>
      </c>
      <c r="C1069" s="51"/>
      <c r="D1069" s="257"/>
      <c r="E1069" s="102"/>
      <c r="F1069" s="103"/>
      <c r="G1069" s="103"/>
      <c r="H1069" s="258"/>
      <c r="J1069" s="103"/>
      <c r="L1069" s="71"/>
      <c r="M1069" s="106" t="str">
        <f>IF(ISBLANK(K1069), "", VLOOKUP(C1069&amp;" "&amp;D1069, 'Info Tipo de Cambio y REM'!$A$24:$B$35, 2, FALSE))</f>
        <v/>
      </c>
      <c r="N1069" s="107" t="str">
        <f t="shared" si="3"/>
        <v/>
      </c>
      <c r="O1069" s="102" t="str">
        <f t="shared" si="2"/>
        <v/>
      </c>
    </row>
    <row r="1070">
      <c r="A1070" s="102"/>
      <c r="B1070" s="43" t="str">
        <f>IF(A1070="", "", IFERROR(VLOOKUP(A1070, Clasificaciones!A:B, 2, FALSE), "DATO NO CARGADO"))</f>
        <v/>
      </c>
      <c r="C1070" s="51"/>
      <c r="D1070" s="257"/>
      <c r="E1070" s="102"/>
      <c r="F1070" s="103"/>
      <c r="G1070" s="103"/>
      <c r="H1070" s="258"/>
      <c r="J1070" s="103"/>
      <c r="L1070" s="71"/>
      <c r="M1070" s="106" t="str">
        <f>IF(ISBLANK(K1070), "", VLOOKUP(C1070&amp;" "&amp;D1070, 'Info Tipo de Cambio y REM'!$A$24:$B$35, 2, FALSE))</f>
        <v/>
      </c>
      <c r="N1070" s="107" t="str">
        <f t="shared" si="3"/>
        <v/>
      </c>
      <c r="O1070" s="102" t="str">
        <f t="shared" si="2"/>
        <v/>
      </c>
    </row>
    <row r="1071">
      <c r="A1071" s="102"/>
      <c r="B1071" s="43" t="str">
        <f>IF(A1071="", "", IFERROR(VLOOKUP(A1071, Clasificaciones!A:B, 2, FALSE), "DATO NO CARGADO"))</f>
        <v/>
      </c>
      <c r="C1071" s="51"/>
      <c r="D1071" s="257"/>
      <c r="E1071" s="102"/>
      <c r="F1071" s="103"/>
      <c r="G1071" s="103"/>
      <c r="H1071" s="258"/>
      <c r="J1071" s="103"/>
      <c r="L1071" s="71"/>
      <c r="M1071" s="106" t="str">
        <f>IF(ISBLANK(K1071), "", VLOOKUP(C1071&amp;" "&amp;D1071, 'Info Tipo de Cambio y REM'!$A$24:$B$35, 2, FALSE))</f>
        <v/>
      </c>
      <c r="N1071" s="107" t="str">
        <f t="shared" si="3"/>
        <v/>
      </c>
      <c r="O1071" s="102" t="str">
        <f t="shared" si="2"/>
        <v/>
      </c>
    </row>
    <row r="1072">
      <c r="A1072" s="102"/>
      <c r="B1072" s="43" t="str">
        <f>IF(A1072="", "", IFERROR(VLOOKUP(A1072, Clasificaciones!A:B, 2, FALSE), "DATO NO CARGADO"))</f>
        <v/>
      </c>
      <c r="C1072" s="51"/>
      <c r="D1072" s="257"/>
      <c r="E1072" s="102"/>
      <c r="F1072" s="103"/>
      <c r="G1072" s="103"/>
      <c r="H1072" s="258"/>
      <c r="J1072" s="103"/>
      <c r="L1072" s="71"/>
      <c r="M1072" s="106" t="str">
        <f>IF(ISBLANK(K1072), "", VLOOKUP(C1072&amp;" "&amp;D1072, 'Info Tipo de Cambio y REM'!$A$24:$B$35, 2, FALSE))</f>
        <v/>
      </c>
      <c r="N1072" s="107" t="str">
        <f t="shared" si="3"/>
        <v/>
      </c>
      <c r="O1072" s="102" t="str">
        <f t="shared" si="2"/>
        <v/>
      </c>
    </row>
    <row r="1073">
      <c r="A1073" s="102"/>
      <c r="B1073" s="43" t="str">
        <f>IF(A1073="", "", IFERROR(VLOOKUP(A1073, Clasificaciones!A:B, 2, FALSE), "DATO NO CARGADO"))</f>
        <v/>
      </c>
      <c r="C1073" s="51"/>
      <c r="D1073" s="257"/>
      <c r="E1073" s="102"/>
      <c r="F1073" s="103"/>
      <c r="G1073" s="103"/>
      <c r="H1073" s="258"/>
      <c r="J1073" s="103"/>
      <c r="L1073" s="71"/>
      <c r="M1073" s="106" t="str">
        <f>IF(ISBLANK(K1073), "", VLOOKUP(C1073&amp;" "&amp;D1073, 'Info Tipo de Cambio y REM'!$A$24:$B$35, 2, FALSE))</f>
        <v/>
      </c>
      <c r="N1073" s="107" t="str">
        <f t="shared" si="3"/>
        <v/>
      </c>
      <c r="O1073" s="102" t="str">
        <f t="shared" si="2"/>
        <v/>
      </c>
    </row>
    <row r="1074">
      <c r="A1074" s="102"/>
      <c r="B1074" s="43" t="str">
        <f>IF(A1074="", "", IFERROR(VLOOKUP(A1074, Clasificaciones!A:B, 2, FALSE), "DATO NO CARGADO"))</f>
        <v/>
      </c>
      <c r="C1074" s="51"/>
      <c r="D1074" s="257"/>
      <c r="E1074" s="102"/>
      <c r="F1074" s="103"/>
      <c r="G1074" s="103"/>
      <c r="H1074" s="258"/>
      <c r="J1074" s="103"/>
      <c r="L1074" s="71"/>
      <c r="M1074" s="106" t="str">
        <f>IF(ISBLANK(K1074), "", VLOOKUP(C1074&amp;" "&amp;D1074, 'Info Tipo de Cambio y REM'!$A$24:$B$35, 2, FALSE))</f>
        <v/>
      </c>
      <c r="N1074" s="107" t="str">
        <f t="shared" si="3"/>
        <v/>
      </c>
      <c r="O1074" s="102" t="str">
        <f t="shared" si="2"/>
        <v/>
      </c>
    </row>
    <row r="1075">
      <c r="A1075" s="102"/>
      <c r="B1075" s="43" t="str">
        <f>IF(A1075="", "", IFERROR(VLOOKUP(A1075, Clasificaciones!A:B, 2, FALSE), "DATO NO CARGADO"))</f>
        <v/>
      </c>
      <c r="C1075" s="51"/>
      <c r="D1075" s="257"/>
      <c r="E1075" s="102"/>
      <c r="F1075" s="103"/>
      <c r="G1075" s="103"/>
      <c r="H1075" s="258"/>
      <c r="J1075" s="103"/>
      <c r="L1075" s="71"/>
      <c r="M1075" s="106" t="str">
        <f>IF(ISBLANK(K1075), "", VLOOKUP(C1075&amp;" "&amp;D1075, 'Info Tipo de Cambio y REM'!$A$24:$B$35, 2, FALSE))</f>
        <v/>
      </c>
      <c r="N1075" s="107" t="str">
        <f t="shared" si="3"/>
        <v/>
      </c>
      <c r="O1075" s="102" t="str">
        <f t="shared" si="2"/>
        <v/>
      </c>
    </row>
    <row r="1076">
      <c r="A1076" s="102"/>
      <c r="B1076" s="43" t="str">
        <f>IF(A1076="", "", IFERROR(VLOOKUP(A1076, Clasificaciones!A:B, 2, FALSE), "DATO NO CARGADO"))</f>
        <v/>
      </c>
      <c r="C1076" s="51"/>
      <c r="D1076" s="257"/>
      <c r="E1076" s="102"/>
      <c r="F1076" s="103"/>
      <c r="G1076" s="103"/>
      <c r="H1076" s="258"/>
      <c r="J1076" s="103"/>
      <c r="L1076" s="71"/>
      <c r="M1076" s="106" t="str">
        <f>IF(ISBLANK(K1076), "", VLOOKUP(C1076&amp;" "&amp;D1076, 'Info Tipo de Cambio y REM'!$A$24:$B$35, 2, FALSE))</f>
        <v/>
      </c>
      <c r="N1076" s="107" t="str">
        <f t="shared" si="3"/>
        <v/>
      </c>
      <c r="O1076" s="102" t="str">
        <f t="shared" si="2"/>
        <v/>
      </c>
    </row>
    <row r="1077">
      <c r="A1077" s="102"/>
      <c r="B1077" s="43" t="str">
        <f>IF(A1077="", "", IFERROR(VLOOKUP(A1077, Clasificaciones!A:B, 2, FALSE), "DATO NO CARGADO"))</f>
        <v/>
      </c>
      <c r="C1077" s="51"/>
      <c r="D1077" s="257"/>
      <c r="E1077" s="102"/>
      <c r="F1077" s="103"/>
      <c r="G1077" s="103"/>
      <c r="H1077" s="258"/>
      <c r="J1077" s="103"/>
      <c r="L1077" s="71"/>
      <c r="M1077" s="106" t="str">
        <f>IF(ISBLANK(K1077), "", VLOOKUP(C1077&amp;" "&amp;D1077, 'Info Tipo de Cambio y REM'!$A$24:$B$35, 2, FALSE))</f>
        <v/>
      </c>
      <c r="N1077" s="107" t="str">
        <f t="shared" si="3"/>
        <v/>
      </c>
      <c r="O1077" s="102" t="str">
        <f t="shared" si="2"/>
        <v/>
      </c>
    </row>
    <row r="1078">
      <c r="A1078" s="102"/>
      <c r="B1078" s="43" t="str">
        <f>IF(A1078="", "", IFERROR(VLOOKUP(A1078, Clasificaciones!A:B, 2, FALSE), "DATO NO CARGADO"))</f>
        <v/>
      </c>
      <c r="C1078" s="51"/>
      <c r="D1078" s="257"/>
      <c r="E1078" s="102"/>
      <c r="F1078" s="103"/>
      <c r="G1078" s="103"/>
      <c r="H1078" s="258"/>
      <c r="J1078" s="103"/>
      <c r="L1078" s="71"/>
      <c r="M1078" s="106" t="str">
        <f>IF(ISBLANK(K1078), "", VLOOKUP(C1078&amp;" "&amp;D1078, 'Info Tipo de Cambio y REM'!$A$24:$B$35, 2, FALSE))</f>
        <v/>
      </c>
      <c r="N1078" s="107" t="str">
        <f t="shared" si="3"/>
        <v/>
      </c>
      <c r="O1078" s="102" t="str">
        <f t="shared" si="2"/>
        <v/>
      </c>
    </row>
    <row r="1079">
      <c r="A1079" s="102"/>
      <c r="B1079" s="43" t="str">
        <f>IF(A1079="", "", IFERROR(VLOOKUP(A1079, Clasificaciones!A:B, 2, FALSE), "DATO NO CARGADO"))</f>
        <v/>
      </c>
      <c r="C1079" s="51"/>
      <c r="D1079" s="257"/>
      <c r="E1079" s="102"/>
      <c r="F1079" s="103"/>
      <c r="G1079" s="103"/>
      <c r="H1079" s="258"/>
      <c r="J1079" s="103"/>
      <c r="L1079" s="71"/>
      <c r="M1079" s="106" t="str">
        <f>IF(ISBLANK(K1079), "", VLOOKUP(C1079&amp;" "&amp;D1079, 'Info Tipo de Cambio y REM'!$A$24:$B$35, 2, FALSE))</f>
        <v/>
      </c>
      <c r="N1079" s="107" t="str">
        <f t="shared" si="3"/>
        <v/>
      </c>
      <c r="O1079" s="102" t="str">
        <f t="shared" si="2"/>
        <v/>
      </c>
    </row>
    <row r="1080">
      <c r="A1080" s="102"/>
      <c r="B1080" s="43" t="str">
        <f>IF(A1080="", "", IFERROR(VLOOKUP(A1080, Clasificaciones!A:B, 2, FALSE), "DATO NO CARGADO"))</f>
        <v/>
      </c>
      <c r="C1080" s="51"/>
      <c r="D1080" s="257"/>
      <c r="E1080" s="102"/>
      <c r="F1080" s="103"/>
      <c r="G1080" s="103"/>
      <c r="H1080" s="258"/>
      <c r="J1080" s="103"/>
      <c r="L1080" s="71"/>
      <c r="M1080" s="106" t="str">
        <f>IF(ISBLANK(K1080), "", VLOOKUP(C1080&amp;" "&amp;D1080, 'Info Tipo de Cambio y REM'!$A$24:$B$35, 2, FALSE))</f>
        <v/>
      </c>
      <c r="N1080" s="107" t="str">
        <f t="shared" si="3"/>
        <v/>
      </c>
      <c r="O1080" s="102" t="str">
        <f t="shared" si="2"/>
        <v/>
      </c>
    </row>
    <row r="1081">
      <c r="A1081" s="102"/>
      <c r="B1081" s="43" t="str">
        <f>IF(A1081="", "", IFERROR(VLOOKUP(A1081, Clasificaciones!A:B, 2, FALSE), "DATO NO CARGADO"))</f>
        <v/>
      </c>
      <c r="C1081" s="51"/>
      <c r="D1081" s="257"/>
      <c r="E1081" s="102"/>
      <c r="F1081" s="103"/>
      <c r="G1081" s="103"/>
      <c r="H1081" s="258"/>
      <c r="J1081" s="103"/>
      <c r="L1081" s="71"/>
      <c r="M1081" s="106" t="str">
        <f>IF(ISBLANK(K1081), "", VLOOKUP(C1081&amp;" "&amp;D1081, 'Info Tipo de Cambio y REM'!$A$24:$B$35, 2, FALSE))</f>
        <v/>
      </c>
      <c r="N1081" s="107" t="str">
        <f t="shared" si="3"/>
        <v/>
      </c>
      <c r="O1081" s="102" t="str">
        <f t="shared" si="2"/>
        <v/>
      </c>
    </row>
    <row r="1082">
      <c r="A1082" s="102"/>
      <c r="B1082" s="43" t="str">
        <f>IF(A1082="", "", IFERROR(VLOOKUP(A1082, Clasificaciones!A:B, 2, FALSE), "DATO NO CARGADO"))</f>
        <v/>
      </c>
      <c r="C1082" s="51"/>
      <c r="D1082" s="257"/>
      <c r="E1082" s="102"/>
      <c r="F1082" s="103"/>
      <c r="G1082" s="103"/>
      <c r="H1082" s="258"/>
      <c r="J1082" s="103"/>
      <c r="L1082" s="71"/>
      <c r="M1082" s="106" t="str">
        <f>IF(ISBLANK(K1082), "", VLOOKUP(C1082&amp;" "&amp;D1082, 'Info Tipo de Cambio y REM'!$A$24:$B$35, 2, FALSE))</f>
        <v/>
      </c>
      <c r="N1082" s="107" t="str">
        <f t="shared" si="3"/>
        <v/>
      </c>
      <c r="O1082" s="102" t="str">
        <f t="shared" si="2"/>
        <v/>
      </c>
    </row>
    <row r="1083">
      <c r="A1083" s="102"/>
      <c r="B1083" s="43" t="str">
        <f>IF(A1083="", "", IFERROR(VLOOKUP(A1083, Clasificaciones!A:B, 2, FALSE), "DATO NO CARGADO"))</f>
        <v/>
      </c>
      <c r="C1083" s="51"/>
      <c r="D1083" s="257"/>
      <c r="E1083" s="102"/>
      <c r="F1083" s="103"/>
      <c r="G1083" s="103"/>
      <c r="H1083" s="258"/>
      <c r="J1083" s="103"/>
      <c r="L1083" s="71"/>
      <c r="M1083" s="106" t="str">
        <f>IF(ISBLANK(K1083), "", VLOOKUP(C1083&amp;" "&amp;D1083, 'Info Tipo de Cambio y REM'!$A$24:$B$35, 2, FALSE))</f>
        <v/>
      </c>
      <c r="N1083" s="107" t="str">
        <f t="shared" si="3"/>
        <v/>
      </c>
      <c r="O1083" s="102" t="str">
        <f t="shared" si="2"/>
        <v/>
      </c>
    </row>
    <row r="1084">
      <c r="A1084" s="102"/>
      <c r="B1084" s="43" t="str">
        <f>IF(A1084="", "", IFERROR(VLOOKUP(A1084, Clasificaciones!A:B, 2, FALSE), "DATO NO CARGADO"))</f>
        <v/>
      </c>
      <c r="C1084" s="51"/>
      <c r="D1084" s="257"/>
      <c r="E1084" s="102"/>
      <c r="F1084" s="103"/>
      <c r="G1084" s="103"/>
      <c r="H1084" s="258"/>
      <c r="J1084" s="103"/>
      <c r="L1084" s="71"/>
      <c r="M1084" s="106" t="str">
        <f>IF(ISBLANK(K1084), "", VLOOKUP(C1084&amp;" "&amp;D1084, 'Info Tipo de Cambio y REM'!$A$24:$B$35, 2, FALSE))</f>
        <v/>
      </c>
      <c r="N1084" s="107" t="str">
        <f t="shared" si="3"/>
        <v/>
      </c>
      <c r="O1084" s="102" t="str">
        <f t="shared" si="2"/>
        <v/>
      </c>
    </row>
    <row r="1085">
      <c r="A1085" s="102"/>
      <c r="B1085" s="43" t="str">
        <f>IF(A1085="", "", IFERROR(VLOOKUP(A1085, Clasificaciones!A:B, 2, FALSE), "DATO NO CARGADO"))</f>
        <v/>
      </c>
      <c r="C1085" s="51"/>
      <c r="D1085" s="257"/>
      <c r="E1085" s="102"/>
      <c r="F1085" s="103"/>
      <c r="G1085" s="103"/>
      <c r="H1085" s="258"/>
      <c r="J1085" s="103"/>
      <c r="L1085" s="71"/>
      <c r="M1085" s="106" t="str">
        <f>IF(ISBLANK(K1085), "", VLOOKUP(C1085&amp;" "&amp;D1085, 'Info Tipo de Cambio y REM'!$A$24:$B$35, 2, FALSE))</f>
        <v/>
      </c>
      <c r="N1085" s="107" t="str">
        <f t="shared" si="3"/>
        <v/>
      </c>
      <c r="O1085" s="102" t="str">
        <f t="shared" si="2"/>
        <v/>
      </c>
    </row>
    <row r="1086">
      <c r="A1086" s="102"/>
      <c r="B1086" s="43" t="str">
        <f>IF(A1086="", "", IFERROR(VLOOKUP(A1086, Clasificaciones!A:B, 2, FALSE), "DATO NO CARGADO"))</f>
        <v/>
      </c>
      <c r="C1086" s="51"/>
      <c r="D1086" s="257"/>
      <c r="E1086" s="102"/>
      <c r="F1086" s="103"/>
      <c r="G1086" s="103"/>
      <c r="H1086" s="258"/>
      <c r="J1086" s="103"/>
      <c r="L1086" s="71"/>
      <c r="M1086" s="106" t="str">
        <f>IF(ISBLANK(K1086), "", VLOOKUP(C1086&amp;" "&amp;D1086, 'Info Tipo de Cambio y REM'!$A$24:$B$35, 2, FALSE))</f>
        <v/>
      </c>
      <c r="N1086" s="107" t="str">
        <f t="shared" si="3"/>
        <v/>
      </c>
      <c r="O1086" s="102" t="str">
        <f t="shared" si="2"/>
        <v/>
      </c>
    </row>
    <row r="1087">
      <c r="A1087" s="102"/>
      <c r="B1087" s="43" t="str">
        <f>IF(A1087="", "", IFERROR(VLOOKUP(A1087, Clasificaciones!A:B, 2, FALSE), "DATO NO CARGADO"))</f>
        <v/>
      </c>
      <c r="C1087" s="51"/>
      <c r="D1087" s="257"/>
      <c r="E1087" s="102"/>
      <c r="F1087" s="103"/>
      <c r="G1087" s="103"/>
      <c r="H1087" s="258"/>
      <c r="J1087" s="103"/>
      <c r="L1087" s="71"/>
      <c r="M1087" s="106" t="str">
        <f>IF(ISBLANK(K1087), "", VLOOKUP(C1087&amp;" "&amp;D1087, 'Info Tipo de Cambio y REM'!$A$24:$B$35, 2, FALSE))</f>
        <v/>
      </c>
      <c r="N1087" s="107" t="str">
        <f t="shared" si="3"/>
        <v/>
      </c>
      <c r="O1087" s="102" t="str">
        <f t="shared" si="2"/>
        <v/>
      </c>
    </row>
    <row r="1088">
      <c r="A1088" s="102"/>
      <c r="B1088" s="43" t="str">
        <f>IF(A1088="", "", IFERROR(VLOOKUP(A1088, Clasificaciones!A:B, 2, FALSE), "DATO NO CARGADO"))</f>
        <v/>
      </c>
      <c r="C1088" s="51"/>
      <c r="D1088" s="257"/>
      <c r="E1088" s="102"/>
      <c r="F1088" s="103"/>
      <c r="G1088" s="103"/>
      <c r="H1088" s="258"/>
      <c r="J1088" s="103"/>
      <c r="L1088" s="71"/>
      <c r="M1088" s="106" t="str">
        <f>IF(ISBLANK(K1088), "", VLOOKUP(C1088&amp;" "&amp;D1088, 'Info Tipo de Cambio y REM'!$A$24:$B$35, 2, FALSE))</f>
        <v/>
      </c>
      <c r="N1088" s="107" t="str">
        <f t="shared" si="3"/>
        <v/>
      </c>
      <c r="O1088" s="102" t="str">
        <f t="shared" si="2"/>
        <v/>
      </c>
    </row>
    <row r="1089">
      <c r="A1089" s="102"/>
      <c r="B1089" s="43" t="str">
        <f>IF(A1089="", "", IFERROR(VLOOKUP(A1089, Clasificaciones!A:B, 2, FALSE), "DATO NO CARGADO"))</f>
        <v/>
      </c>
      <c r="C1089" s="51"/>
      <c r="D1089" s="257"/>
      <c r="E1089" s="102"/>
      <c r="F1089" s="103"/>
      <c r="G1089" s="103"/>
      <c r="H1089" s="258"/>
      <c r="J1089" s="103"/>
      <c r="L1089" s="71"/>
      <c r="M1089" s="106" t="str">
        <f>IF(ISBLANK(K1089), "", VLOOKUP(C1089&amp;" "&amp;D1089, 'Info Tipo de Cambio y REM'!$A$24:$B$35, 2, FALSE))</f>
        <v/>
      </c>
      <c r="N1089" s="107" t="str">
        <f t="shared" si="3"/>
        <v/>
      </c>
      <c r="O1089" s="102" t="str">
        <f t="shared" si="2"/>
        <v/>
      </c>
    </row>
    <row r="1090">
      <c r="A1090" s="102"/>
      <c r="B1090" s="43" t="str">
        <f>IF(A1090="", "", IFERROR(VLOOKUP(A1090, Clasificaciones!A:B, 2, FALSE), "DATO NO CARGADO"))</f>
        <v/>
      </c>
      <c r="C1090" s="51"/>
      <c r="D1090" s="257"/>
      <c r="E1090" s="102"/>
      <c r="F1090" s="103"/>
      <c r="G1090" s="103"/>
      <c r="H1090" s="258"/>
      <c r="J1090" s="103"/>
      <c r="L1090" s="71"/>
      <c r="M1090" s="106" t="str">
        <f>IF(ISBLANK(K1090), "", VLOOKUP(C1090&amp;" "&amp;D1090, 'Info Tipo de Cambio y REM'!$A$24:$B$35, 2, FALSE))</f>
        <v/>
      </c>
      <c r="N1090" s="107" t="str">
        <f t="shared" si="3"/>
        <v/>
      </c>
      <c r="O1090" s="102" t="str">
        <f t="shared" si="2"/>
        <v/>
      </c>
    </row>
    <row r="1091">
      <c r="A1091" s="102"/>
      <c r="B1091" s="43" t="str">
        <f>IF(A1091="", "", IFERROR(VLOOKUP(A1091, Clasificaciones!A:B, 2, FALSE), "DATO NO CARGADO"))</f>
        <v/>
      </c>
      <c r="C1091" s="51"/>
      <c r="D1091" s="257"/>
      <c r="E1091" s="102"/>
      <c r="F1091" s="103"/>
      <c r="G1091" s="103"/>
      <c r="H1091" s="258"/>
      <c r="J1091" s="103"/>
      <c r="L1091" s="71"/>
      <c r="M1091" s="106" t="str">
        <f>IF(ISBLANK(K1091), "", VLOOKUP(C1091&amp;" "&amp;D1091, 'Info Tipo de Cambio y REM'!$A$24:$B$35, 2, FALSE))</f>
        <v/>
      </c>
      <c r="N1091" s="107" t="str">
        <f t="shared" si="3"/>
        <v/>
      </c>
      <c r="O1091" s="102" t="str">
        <f t="shared" si="2"/>
        <v/>
      </c>
    </row>
    <row r="1092">
      <c r="A1092" s="102"/>
      <c r="B1092" s="43" t="str">
        <f>IF(A1092="", "", IFERROR(VLOOKUP(A1092, Clasificaciones!A:B, 2, FALSE), "DATO NO CARGADO"))</f>
        <v/>
      </c>
      <c r="C1092" s="51"/>
      <c r="D1092" s="257"/>
      <c r="E1092" s="102"/>
      <c r="F1092" s="103"/>
      <c r="G1092" s="103"/>
      <c r="H1092" s="258"/>
      <c r="J1092" s="103"/>
      <c r="L1092" s="71"/>
      <c r="M1092" s="106" t="str">
        <f>IF(ISBLANK(K1092), "", VLOOKUP(C1092&amp;" "&amp;D1092, 'Info Tipo de Cambio y REM'!$A$24:$B$35, 2, FALSE))</f>
        <v/>
      </c>
      <c r="N1092" s="107" t="str">
        <f t="shared" si="3"/>
        <v/>
      </c>
      <c r="O1092" s="102" t="str">
        <f t="shared" si="2"/>
        <v/>
      </c>
    </row>
    <row r="1093">
      <c r="A1093" s="102"/>
      <c r="B1093" s="43" t="str">
        <f>IF(A1093="", "", IFERROR(VLOOKUP(A1093, Clasificaciones!A:B, 2, FALSE), "DATO NO CARGADO"))</f>
        <v/>
      </c>
      <c r="C1093" s="51"/>
      <c r="D1093" s="257"/>
      <c r="E1093" s="102"/>
      <c r="F1093" s="103"/>
      <c r="G1093" s="103"/>
      <c r="H1093" s="258"/>
      <c r="J1093" s="103"/>
      <c r="L1093" s="71"/>
      <c r="M1093" s="106" t="str">
        <f>IF(ISBLANK(K1093), "", VLOOKUP(C1093&amp;" "&amp;D1093, 'Info Tipo de Cambio y REM'!$A$24:$B$35, 2, FALSE))</f>
        <v/>
      </c>
      <c r="N1093" s="107" t="str">
        <f t="shared" si="3"/>
        <v/>
      </c>
      <c r="O1093" s="102" t="str">
        <f t="shared" si="2"/>
        <v/>
      </c>
    </row>
    <row r="1094">
      <c r="A1094" s="102"/>
      <c r="B1094" s="43" t="str">
        <f>IF(A1094="", "", IFERROR(VLOOKUP(A1094, Clasificaciones!A:B, 2, FALSE), "DATO NO CARGADO"))</f>
        <v/>
      </c>
      <c r="C1094" s="51"/>
      <c r="D1094" s="257"/>
      <c r="E1094" s="102"/>
      <c r="F1094" s="103"/>
      <c r="G1094" s="103"/>
      <c r="H1094" s="258"/>
      <c r="J1094" s="103"/>
      <c r="L1094" s="71"/>
      <c r="M1094" s="106" t="str">
        <f>IF(ISBLANK(K1094), "", VLOOKUP(C1094&amp;" "&amp;D1094, 'Info Tipo de Cambio y REM'!$A$24:$B$35, 2, FALSE))</f>
        <v/>
      </c>
      <c r="N1094" s="107" t="str">
        <f t="shared" si="3"/>
        <v/>
      </c>
      <c r="O1094" s="102" t="str">
        <f t="shared" si="2"/>
        <v/>
      </c>
    </row>
    <row r="1095">
      <c r="A1095" s="102"/>
      <c r="B1095" s="43" t="str">
        <f>IF(A1095="", "", IFERROR(VLOOKUP(A1095, Clasificaciones!A:B, 2, FALSE), "DATO NO CARGADO"))</f>
        <v/>
      </c>
      <c r="C1095" s="51"/>
      <c r="D1095" s="257"/>
      <c r="E1095" s="102"/>
      <c r="F1095" s="103"/>
      <c r="G1095" s="103"/>
      <c r="H1095" s="258"/>
      <c r="J1095" s="103"/>
      <c r="L1095" s="71"/>
      <c r="M1095" s="106" t="str">
        <f>IF(ISBLANK(K1095), "", VLOOKUP(C1095&amp;" "&amp;D1095, 'Info Tipo de Cambio y REM'!$A$24:$B$35, 2, FALSE))</f>
        <v/>
      </c>
      <c r="N1095" s="107" t="str">
        <f t="shared" si="3"/>
        <v/>
      </c>
      <c r="O1095" s="102" t="str">
        <f t="shared" si="2"/>
        <v/>
      </c>
    </row>
    <row r="1096">
      <c r="A1096" s="102"/>
      <c r="B1096" s="43" t="str">
        <f>IF(A1096="", "", IFERROR(VLOOKUP(A1096, Clasificaciones!A:B, 2, FALSE), "DATO NO CARGADO"))</f>
        <v/>
      </c>
      <c r="C1096" s="51"/>
      <c r="D1096" s="257"/>
      <c r="E1096" s="102"/>
      <c r="F1096" s="103"/>
      <c r="G1096" s="103"/>
      <c r="H1096" s="258"/>
      <c r="J1096" s="103"/>
      <c r="L1096" s="71"/>
      <c r="M1096" s="106" t="str">
        <f>IF(ISBLANK(K1096), "", VLOOKUP(C1096&amp;" "&amp;D1096, 'Info Tipo de Cambio y REM'!$A$24:$B$35, 2, FALSE))</f>
        <v/>
      </c>
      <c r="N1096" s="107" t="str">
        <f t="shared" si="3"/>
        <v/>
      </c>
      <c r="O1096" s="102" t="str">
        <f t="shared" si="2"/>
        <v/>
      </c>
    </row>
    <row r="1097">
      <c r="A1097" s="102"/>
      <c r="B1097" s="43" t="str">
        <f>IF(A1097="", "", IFERROR(VLOOKUP(A1097, Clasificaciones!A:B, 2, FALSE), "DATO NO CARGADO"))</f>
        <v/>
      </c>
      <c r="C1097" s="51"/>
      <c r="D1097" s="257"/>
      <c r="E1097" s="102"/>
      <c r="F1097" s="103"/>
      <c r="G1097" s="103"/>
      <c r="H1097" s="258"/>
      <c r="J1097" s="103"/>
      <c r="L1097" s="71"/>
      <c r="M1097" s="106" t="str">
        <f>IF(ISBLANK(K1097), "", VLOOKUP(C1097&amp;" "&amp;D1097, 'Info Tipo de Cambio y REM'!$A$24:$B$35, 2, FALSE))</f>
        <v/>
      </c>
      <c r="N1097" s="107" t="str">
        <f t="shared" si="3"/>
        <v/>
      </c>
      <c r="O1097" s="102" t="str">
        <f t="shared" si="2"/>
        <v/>
      </c>
    </row>
    <row r="1098">
      <c r="A1098" s="102"/>
      <c r="B1098" s="43" t="str">
        <f>IF(A1098="", "", IFERROR(VLOOKUP(A1098, Clasificaciones!A:B, 2, FALSE), "DATO NO CARGADO"))</f>
        <v/>
      </c>
      <c r="C1098" s="51"/>
      <c r="D1098" s="257"/>
      <c r="E1098" s="102"/>
      <c r="F1098" s="103"/>
      <c r="G1098" s="103"/>
      <c r="H1098" s="258"/>
      <c r="J1098" s="103"/>
      <c r="L1098" s="71"/>
      <c r="M1098" s="106" t="str">
        <f>IF(ISBLANK(K1098), "", VLOOKUP(C1098&amp;" "&amp;D1098, 'Info Tipo de Cambio y REM'!$A$24:$B$35, 2, FALSE))</f>
        <v/>
      </c>
      <c r="N1098" s="107" t="str">
        <f t="shared" si="3"/>
        <v/>
      </c>
      <c r="O1098" s="102" t="str">
        <f t="shared" si="2"/>
        <v/>
      </c>
    </row>
    <row r="1099">
      <c r="A1099" s="102"/>
      <c r="B1099" s="43" t="str">
        <f>IF(A1099="", "", IFERROR(VLOOKUP(A1099, Clasificaciones!A:B, 2, FALSE), "DATO NO CARGADO"))</f>
        <v/>
      </c>
      <c r="C1099" s="51"/>
      <c r="D1099" s="257"/>
      <c r="E1099" s="102"/>
      <c r="F1099" s="103"/>
      <c r="G1099" s="103"/>
      <c r="H1099" s="258"/>
      <c r="J1099" s="103"/>
      <c r="L1099" s="71"/>
      <c r="M1099" s="106" t="str">
        <f>IF(ISBLANK(K1099), "", VLOOKUP(C1099&amp;" "&amp;D1099, 'Info Tipo de Cambio y REM'!$A$24:$B$35, 2, FALSE))</f>
        <v/>
      </c>
      <c r="N1099" s="107" t="str">
        <f t="shared" si="3"/>
        <v/>
      </c>
      <c r="O1099" s="102" t="str">
        <f t="shared" si="2"/>
        <v/>
      </c>
    </row>
    <row r="1100">
      <c r="A1100" s="102"/>
      <c r="B1100" s="43" t="str">
        <f>IF(A1100="", "", IFERROR(VLOOKUP(A1100, Clasificaciones!A:B, 2, FALSE), "DATO NO CARGADO"))</f>
        <v/>
      </c>
      <c r="C1100" s="51"/>
      <c r="D1100" s="257"/>
      <c r="E1100" s="102"/>
      <c r="F1100" s="103"/>
      <c r="G1100" s="103"/>
      <c r="H1100" s="258"/>
      <c r="J1100" s="103"/>
      <c r="L1100" s="71"/>
      <c r="M1100" s="106" t="str">
        <f>IF(ISBLANK(K1100), "", VLOOKUP(C1100&amp;" "&amp;D1100, 'Info Tipo de Cambio y REM'!$A$24:$B$35, 2, FALSE))</f>
        <v/>
      </c>
      <c r="N1100" s="107" t="str">
        <f t="shared" si="3"/>
        <v/>
      </c>
      <c r="O1100" s="102" t="str">
        <f t="shared" si="2"/>
        <v/>
      </c>
    </row>
    <row r="1101">
      <c r="A1101" s="102"/>
      <c r="B1101" s="43" t="str">
        <f>IF(A1101="", "", IFERROR(VLOOKUP(A1101, Clasificaciones!A:B, 2, FALSE), "DATO NO CARGADO"))</f>
        <v/>
      </c>
      <c r="C1101" s="51"/>
      <c r="D1101" s="257"/>
      <c r="E1101" s="102"/>
      <c r="F1101" s="103"/>
      <c r="G1101" s="103"/>
      <c r="H1101" s="258"/>
      <c r="J1101" s="103"/>
      <c r="L1101" s="71"/>
      <c r="M1101" s="106" t="str">
        <f>IF(ISBLANK(K1101), "", VLOOKUP(C1101&amp;" "&amp;D1101, 'Info Tipo de Cambio y REM'!$A$24:$B$35, 2, FALSE))</f>
        <v/>
      </c>
      <c r="N1101" s="107" t="str">
        <f t="shared" si="3"/>
        <v/>
      </c>
      <c r="O1101" s="102" t="str">
        <f t="shared" si="2"/>
        <v/>
      </c>
    </row>
    <row r="1102">
      <c r="A1102" s="102"/>
      <c r="B1102" s="43" t="str">
        <f>IF(A1102="", "", IFERROR(VLOOKUP(A1102, Clasificaciones!A:B, 2, FALSE), "DATO NO CARGADO"))</f>
        <v/>
      </c>
      <c r="C1102" s="51"/>
      <c r="D1102" s="257"/>
      <c r="E1102" s="102"/>
      <c r="F1102" s="103"/>
      <c r="G1102" s="103"/>
      <c r="H1102" s="258"/>
      <c r="J1102" s="103"/>
      <c r="L1102" s="71"/>
      <c r="M1102" s="106" t="str">
        <f>IF(ISBLANK(K1102), "", VLOOKUP(C1102&amp;" "&amp;D1102, 'Info Tipo de Cambio y REM'!$A$24:$B$35, 2, FALSE))</f>
        <v/>
      </c>
      <c r="N1102" s="107" t="str">
        <f t="shared" si="3"/>
        <v/>
      </c>
      <c r="O1102" s="102" t="str">
        <f t="shared" si="2"/>
        <v/>
      </c>
    </row>
    <row r="1103">
      <c r="A1103" s="102"/>
      <c r="B1103" s="43" t="str">
        <f>IF(A1103="", "", IFERROR(VLOOKUP(A1103, Clasificaciones!A:B, 2, FALSE), "DATO NO CARGADO"))</f>
        <v/>
      </c>
      <c r="C1103" s="51"/>
      <c r="D1103" s="257"/>
      <c r="E1103" s="102"/>
      <c r="F1103" s="103"/>
      <c r="G1103" s="103"/>
      <c r="H1103" s="258"/>
      <c r="J1103" s="103"/>
      <c r="L1103" s="71"/>
      <c r="M1103" s="106" t="str">
        <f>IF(ISBLANK(K1103), "", VLOOKUP(C1103&amp;" "&amp;D1103, 'Info Tipo de Cambio y REM'!$A$24:$B$35, 2, FALSE))</f>
        <v/>
      </c>
      <c r="N1103" s="107" t="str">
        <f t="shared" si="3"/>
        <v/>
      </c>
      <c r="O1103" s="102" t="str">
        <f t="shared" si="2"/>
        <v/>
      </c>
    </row>
    <row r="1104">
      <c r="A1104" s="102"/>
      <c r="B1104" s="43" t="str">
        <f>IF(A1104="", "", IFERROR(VLOOKUP(A1104, Clasificaciones!A:B, 2, FALSE), "DATO NO CARGADO"))</f>
        <v/>
      </c>
      <c r="C1104" s="51"/>
      <c r="D1104" s="257"/>
      <c r="E1104" s="102"/>
      <c r="F1104" s="103"/>
      <c r="G1104" s="103"/>
      <c r="H1104" s="258"/>
      <c r="J1104" s="103"/>
      <c r="L1104" s="71"/>
      <c r="M1104" s="106" t="str">
        <f>IF(ISBLANK(K1104), "", VLOOKUP(C1104&amp;" "&amp;D1104, 'Info Tipo de Cambio y REM'!$A$24:$B$35, 2, FALSE))</f>
        <v/>
      </c>
      <c r="N1104" s="107" t="str">
        <f t="shared" si="3"/>
        <v/>
      </c>
      <c r="O1104" s="102" t="str">
        <f t="shared" si="2"/>
        <v/>
      </c>
    </row>
    <row r="1105">
      <c r="A1105" s="102"/>
      <c r="B1105" s="43" t="str">
        <f>IF(A1105="", "", IFERROR(VLOOKUP(A1105, Clasificaciones!A:B, 2, FALSE), "DATO NO CARGADO"))</f>
        <v/>
      </c>
      <c r="C1105" s="51"/>
      <c r="D1105" s="257"/>
      <c r="E1105" s="102"/>
      <c r="F1105" s="103"/>
      <c r="G1105" s="103"/>
      <c r="H1105" s="258"/>
      <c r="J1105" s="103"/>
      <c r="L1105" s="71"/>
      <c r="M1105" s="106" t="str">
        <f>IF(ISBLANK(K1105), "", VLOOKUP(C1105&amp;" "&amp;D1105, 'Info Tipo de Cambio y REM'!$A$24:$B$35, 2, FALSE))</f>
        <v/>
      </c>
      <c r="N1105" s="107" t="str">
        <f t="shared" si="3"/>
        <v/>
      </c>
      <c r="O1105" s="102" t="str">
        <f t="shared" si="2"/>
        <v/>
      </c>
    </row>
    <row r="1106">
      <c r="A1106" s="102"/>
      <c r="B1106" s="43" t="str">
        <f>IF(A1106="", "", IFERROR(VLOOKUP(A1106, Clasificaciones!A:B, 2, FALSE), "DATO NO CARGADO"))</f>
        <v/>
      </c>
      <c r="C1106" s="51"/>
      <c r="D1106" s="257"/>
      <c r="E1106" s="102"/>
      <c r="F1106" s="103"/>
      <c r="G1106" s="103"/>
      <c r="H1106" s="258"/>
      <c r="J1106" s="103"/>
      <c r="L1106" s="71"/>
      <c r="M1106" s="106" t="str">
        <f>IF(ISBLANK(K1106), "", VLOOKUP(C1106&amp;" "&amp;D1106, 'Info Tipo de Cambio y REM'!$A$24:$B$35, 2, FALSE))</f>
        <v/>
      </c>
      <c r="N1106" s="107" t="str">
        <f t="shared" si="3"/>
        <v/>
      </c>
      <c r="O1106" s="102" t="str">
        <f t="shared" si="2"/>
        <v/>
      </c>
    </row>
  </sheetData>
  <autoFilter ref="$A$1:$O$520">
    <filterColumn colId="2">
      <filters>
        <filter val="09 sep"/>
      </filters>
    </filterColumn>
  </autoFilter>
  <dataValidations>
    <dataValidation type="list" allowBlank="1" showErrorMessage="1" sqref="C2:C1106">
      <formula1>Listas!$H$3:$H$14</formula1>
    </dataValidation>
    <dataValidation type="list" allowBlank="1" showErrorMessage="1" sqref="E2:E1106">
      <formula1>"Pagado,Pagado Parcial,No Pagado"</formula1>
    </dataValidation>
    <dataValidation type="list" allowBlank="1" showErrorMessage="1" sqref="B2:B1106">
      <formula1>Listas!$E$3:$E$386</formula1>
    </dataValidation>
    <dataValidation type="list" allowBlank="1" showErrorMessage="1" sqref="D2:D1106">
      <formula1>"2025,2026,2027,2028"</formula1>
    </dataValidation>
    <dataValidation type="list" allowBlank="1" showErrorMessage="1" sqref="A2:A1106">
      <formula1>Listas!$D$3:$D$86</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3" width="9.5"/>
    <col customWidth="1" min="4" max="4" width="30.5"/>
    <col customWidth="1" min="5" max="5" width="30.88"/>
    <col customWidth="1" min="6" max="6" width="44.0"/>
    <col customWidth="1" min="7" max="7" width="37.13"/>
    <col customWidth="1" min="8" max="8" width="21.25"/>
    <col customWidth="1" min="9" max="9" width="37.0"/>
    <col customWidth="1" min="10" max="10" width="63.63"/>
    <col customWidth="1" min="11" max="11" width="28.0"/>
    <col customWidth="1" min="12" max="12" width="30.75"/>
    <col customWidth="1" min="13" max="13" width="25.38"/>
    <col customWidth="1" min="14" max="14" width="28.63"/>
    <col customWidth="1" min="15" max="15" width="34.0"/>
    <col customWidth="1" min="16" max="16" width="33.63"/>
    <col customWidth="1" min="17" max="17" width="28.38"/>
    <col customWidth="1" min="19" max="19" width="21.13"/>
  </cols>
  <sheetData>
    <row r="1" ht="51.0" customHeight="1">
      <c r="A1" s="345" t="s">
        <v>116</v>
      </c>
      <c r="B1" s="345" t="s">
        <v>275</v>
      </c>
      <c r="C1" s="345" t="s">
        <v>1050</v>
      </c>
      <c r="D1" s="346" t="s">
        <v>1051</v>
      </c>
      <c r="E1" s="346" t="s">
        <v>1052</v>
      </c>
      <c r="F1" s="346" t="s">
        <v>1053</v>
      </c>
      <c r="G1" s="346" t="s">
        <v>1054</v>
      </c>
      <c r="H1" s="346" t="s">
        <v>1055</v>
      </c>
      <c r="I1" s="346" t="s">
        <v>1056</v>
      </c>
      <c r="J1" s="346" t="s">
        <v>1057</v>
      </c>
      <c r="K1" s="346" t="s">
        <v>1058</v>
      </c>
      <c r="L1" s="347" t="s">
        <v>1059</v>
      </c>
      <c r="M1" s="348" t="s">
        <v>1060</v>
      </c>
      <c r="N1" s="349" t="s">
        <v>1061</v>
      </c>
      <c r="O1" s="38" t="s">
        <v>1062</v>
      </c>
      <c r="P1" s="38" t="s">
        <v>1063</v>
      </c>
      <c r="Q1" s="38" t="s">
        <v>1064</v>
      </c>
      <c r="R1" s="349" t="s">
        <v>1065</v>
      </c>
      <c r="S1" s="345" t="s">
        <v>1066</v>
      </c>
    </row>
    <row r="2" ht="30.75" customHeight="1">
      <c r="A2" s="220" t="s">
        <v>123</v>
      </c>
      <c r="B2" s="219">
        <v>2025.0</v>
      </c>
      <c r="C2" s="350">
        <v>45688.0</v>
      </c>
      <c r="D2" s="351">
        <f>SUMIFS(Activo!Q:Q,Activo!D:D,A2,Activo!B:B,"Activo Liquido")</f>
        <v>4125.748361</v>
      </c>
      <c r="E2" s="351">
        <f>SUMIFS(Activo!Q:Q, Activo!B:B, Activo!$B$42, Activo!D:D, A2)
</f>
        <v>9200</v>
      </c>
      <c r="F2" s="352">
        <f>SUMIFS(
 Activo!$Q:$Q, Activo!$B:$B, "Clientes a cobrar", 
  Activo!$D:$D, $A2, Activo!$E:$E,2025
)</f>
        <v>57493.58525</v>
      </c>
      <c r="G2" s="351">
        <f t="shared" ref="G2:G13" si="1">+E2+D2+F2</f>
        <v>70819.33361</v>
      </c>
      <c r="H2" s="352">
        <v>17732.0</v>
      </c>
      <c r="I2" s="352">
        <v>38634.0</v>
      </c>
      <c r="J2" s="351">
        <f t="shared" ref="J2:J13" si="2">SUM(H2:I2)</f>
        <v>56366</v>
      </c>
      <c r="K2" s="351">
        <f t="shared" ref="K2:K13" si="3">G2-J2</f>
        <v>14453.33361</v>
      </c>
      <c r="L2" s="351"/>
      <c r="M2" s="352">
        <f>'Seguimiento Mark Up General'!B77</f>
        <v>28311.38888</v>
      </c>
      <c r="N2" s="352">
        <f>'Seguimiento Mark Up General'!B85</f>
        <v>-1029.977737</v>
      </c>
      <c r="O2" s="353">
        <f>'Seguimiento Mark Up General'!B87</f>
        <v>-0.03638033238</v>
      </c>
      <c r="P2" s="354">
        <f>'Seguimiento Mark Up General'!B88</f>
        <v>1.449948333</v>
      </c>
      <c r="Q2" s="250">
        <f>'Seguimiento Mark Up General'!B89</f>
        <v>-12513.66103</v>
      </c>
      <c r="R2" s="351">
        <f>SUMPRODUCT(
  (MONTH(CashFlow!D2:D10993)=1) * 
  CashFlow!K2:K10993 * 
  IF(
    (CashFlow!A2:A10993="Ingreso") + (CashFlow!A2:A10993="Saldo"), 
    1, 
    IF(CashFlow!A2:A10993="Egreso", -1, 0)
  )
)
</f>
        <v>0</v>
      </c>
      <c r="S2" s="355" t="s">
        <v>1067</v>
      </c>
      <c r="T2" s="113"/>
      <c r="U2" s="113"/>
      <c r="V2" s="113"/>
      <c r="W2" s="113"/>
      <c r="X2" s="113"/>
      <c r="Y2" s="113"/>
      <c r="Z2" s="113"/>
      <c r="AA2" s="113"/>
      <c r="AB2" s="113"/>
      <c r="AC2" s="113"/>
      <c r="AD2" s="113"/>
    </row>
    <row r="3" ht="33.75" customHeight="1">
      <c r="A3" s="220" t="s">
        <v>129</v>
      </c>
      <c r="B3" s="219">
        <v>2025.0</v>
      </c>
      <c r="C3" s="350">
        <v>45716.0</v>
      </c>
      <c r="D3" s="351">
        <f>SUMIFS(Activo!Q:Q,Activo!D:D,A3,Activo!B:B,"Activo Liquido")</f>
        <v>-7350.12439</v>
      </c>
      <c r="E3" s="351">
        <f>SUMIFS(Activo!Q:Q, Activo!B:B, Activo!$B$42, Activo!D:D, A3)
</f>
        <v>6983</v>
      </c>
      <c r="F3" s="352">
        <f>SUMIFS(
 Activo!$Q:$Q, Activo!$B:$B, "Clientes a cobrar", 
  Activo!$D:$D, $A3, Activo!$E:$E,2025
)</f>
        <v>49865.42602</v>
      </c>
      <c r="G3" s="351">
        <f t="shared" si="1"/>
        <v>49498.30163</v>
      </c>
      <c r="H3" s="352">
        <v>16758.0</v>
      </c>
      <c r="I3" s="352">
        <v>30236.0</v>
      </c>
      <c r="J3" s="351">
        <f t="shared" si="2"/>
        <v>46994</v>
      </c>
      <c r="K3" s="351">
        <f t="shared" si="3"/>
        <v>2504.301626</v>
      </c>
      <c r="L3" s="351"/>
      <c r="M3" s="352">
        <f>'Seguimiento Mark Up General'!C77</f>
        <v>22453.38049</v>
      </c>
      <c r="N3" s="352">
        <f>'Seguimiento Mark Up General'!C85</f>
        <v>-7313.356524</v>
      </c>
      <c r="O3" s="353">
        <f>'Seguimiento Mark Up General'!C87</f>
        <v>-0.3257129379</v>
      </c>
      <c r="P3" s="354">
        <f>'Seguimiento Mark Up General'!C88</f>
        <v>1.152579761</v>
      </c>
      <c r="Q3" s="250">
        <f>'Seguimiento Mark Up General'!C89</f>
        <v>-16387.50299</v>
      </c>
      <c r="R3" s="351">
        <f>SUMPRODUCT(
  (MONTH(CashFlow!D2:D10993)=2) * 
  CashFlow!K2:K10993 * 
  IF(
    (CashFlow!A2:A10993="Ingreso") + (CashFlow!A2:A10993="Saldo"), 
    1, 
    IF(CashFlow!A2:A10993="Egreso", -1, 0)
  )
)</f>
        <v>0</v>
      </c>
    </row>
    <row r="4" ht="15.75" customHeight="1">
      <c r="A4" s="220" t="s">
        <v>136</v>
      </c>
      <c r="B4" s="219">
        <v>2025.0</v>
      </c>
      <c r="C4" s="350">
        <v>45747.0</v>
      </c>
      <c r="D4" s="351">
        <f>SUMIFS(Activo!Q:Q,Activo!D:D,A4,Activo!B:B,"Activo Liquido")</f>
        <v>-26800.50868</v>
      </c>
      <c r="E4" s="351">
        <f>SUMIFS(Activo!Q:Q, Activo!B:B, Activo!$B$42, Activo!D:D, A4)
</f>
        <v>2499</v>
      </c>
      <c r="F4" s="352">
        <f>SUMIFS(
 Activo!$Q:$Q, Activo!$B:$B, "Clientes a cobrar", 
  Activo!$D:$D, $A4, Activo!$E:$E,2025
)</f>
        <v>66425.15245</v>
      </c>
      <c r="G4" s="351">
        <f t="shared" si="1"/>
        <v>42123.64377</v>
      </c>
      <c r="H4" s="352">
        <v>16536.0</v>
      </c>
      <c r="I4" s="352">
        <v>32517.0</v>
      </c>
      <c r="J4" s="351">
        <f t="shared" si="2"/>
        <v>49053</v>
      </c>
      <c r="K4" s="351">
        <f t="shared" si="3"/>
        <v>-6929.356226</v>
      </c>
      <c r="L4" s="351"/>
      <c r="M4" s="352">
        <f>'Seguimiento Mark Up General'!D77</f>
        <v>25655.50943</v>
      </c>
      <c r="N4" s="352">
        <f>'Seguimiento Mark Up General'!D85</f>
        <v>-4170.326765</v>
      </c>
      <c r="O4" s="353">
        <f>'Seguimiento Mark Up General'!D87</f>
        <v>-0.162550924</v>
      </c>
      <c r="P4" s="354">
        <f>'Seguimiento Mark Up General'!D88</f>
        <v>1.360207269</v>
      </c>
      <c r="Q4" s="250">
        <f>'Seguimiento Mark Up General'!D89</f>
        <v>-10228.80963</v>
      </c>
      <c r="R4" s="351">
        <f>SUMPRODUCT(
  (MONTH(CashFlow!D2:D10993)=3) * 
  CashFlow!K2:K10993 * 
  IF(
    (CashFlow!A2:A10993="Ingreso") + (CashFlow!A2:A10993="Saldo"), 
    1, 
    IF(CashFlow!A2:A10993="Egreso", -1, 0)
  )
)</f>
        <v>0</v>
      </c>
    </row>
    <row r="5" ht="15.0" customHeight="1">
      <c r="A5" s="220" t="s">
        <v>143</v>
      </c>
      <c r="B5" s="219">
        <v>2025.0</v>
      </c>
      <c r="C5" s="350">
        <v>45777.0</v>
      </c>
      <c r="D5" s="351">
        <f>SUMIFS(Activo!Q:Q,Activo!D:D,A5,Activo!B:B,"Activo Liquido")</f>
        <v>-22951.5384</v>
      </c>
      <c r="E5" s="351">
        <f>SUMIFS(Activo!Q:Q, Activo!B:B, Activo!$B$42, Activo!D:D, A5)
</f>
        <v>2517</v>
      </c>
      <c r="F5" s="352">
        <f>SUMIFS(
 Activo!$Q:$Q, Activo!$B:$B, "Clientes a cobrar", 
  Activo!$D:$D, $A5, Activo!$E:$E,2025
)</f>
        <v>51546.26751</v>
      </c>
      <c r="G5" s="351">
        <f t="shared" si="1"/>
        <v>31111.72911</v>
      </c>
      <c r="H5" s="352">
        <v>107.0</v>
      </c>
      <c r="I5" s="352">
        <v>39705.0</v>
      </c>
      <c r="J5" s="351">
        <f t="shared" si="2"/>
        <v>39812</v>
      </c>
      <c r="K5" s="351">
        <f t="shared" si="3"/>
        <v>-8700.270886</v>
      </c>
      <c r="L5" s="351"/>
      <c r="M5" s="352">
        <f>'Seguimiento Mark Up General'!E77</f>
        <v>28128.16878</v>
      </c>
      <c r="N5" s="250">
        <f>'Seguimiento Mark Up General'!E85</f>
        <v>-4903.819705</v>
      </c>
      <c r="O5" s="353">
        <f>'Seguimiento Mark Up General'!E87</f>
        <v>-0.1743383917</v>
      </c>
      <c r="P5" s="354">
        <f>'Seguimiento Mark Up General'!E88</f>
        <v>1.348721842</v>
      </c>
      <c r="Q5" s="250">
        <f>'Seguimiento Mark Up General'!E89</f>
        <v>3428.444954</v>
      </c>
      <c r="R5" s="351">
        <f>SUMPRODUCT(
  (MONTH(CashFlow!D2:D10993)=4) * 
  CashFlow!K2:K10993 * 
  IF(
    (CashFlow!A2:A10993="Ingreso") + (CashFlow!A2:A10993="Saldo"), 
    1, 
    IF(CashFlow!A2:A10993="Egreso", -1, 0)
  )
)</f>
        <v>0</v>
      </c>
    </row>
    <row r="6">
      <c r="A6" s="356" t="s">
        <v>149</v>
      </c>
      <c r="B6" s="3">
        <v>2025.0</v>
      </c>
      <c r="C6" s="357">
        <v>45808.0</v>
      </c>
      <c r="D6" s="358">
        <f>SUMIFS(Activo!Q:Q,Activo!D:D,A6,Activo!B:B,"Activo Liquido")</f>
        <v>-42433.1339</v>
      </c>
      <c r="E6" s="358">
        <f>SUMIFS(Activo!Q:Q, Activo!B:B, Activo!$B$42, Activo!D:D, A6)
</f>
        <v>2682</v>
      </c>
      <c r="F6" s="358">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cobrar",Activo!F:F,"No",Activo!D:D,$A$2,Activo!G:G,"&gt;"&amp;EOMONTH(DATE(2025,5,1),0))
+SUMIFS(Activo!Q:Q,Activo!B:B,"Clientes a cobrar",Activo!F:F,"No",Activo!D:D,$A$3,Activo!G:G,"&gt;"&amp;EOMONTH(DATE(2025,5,1),0))
+SUMIFS(Activo!Q:Q,Activo!B:B,"Clientes a cobrar",Activo!F:F,"No",Activo!D:D,$A$4,Activo!G:G,"&gt;"&amp;EOMONTH(DATE(2025,5,1),0))
+SUMIFS(Activo!Q:Q,Activo!B:B,"Clientes a cobrar",Activo!F:F,"No",Activo!D:D,$A$5,Activo!G:G,"&gt;"&amp;EOMONTH(DATE(2025,5,1),0))
+SUMIFS(Activo!Q:Q,Activo!B:B,"Clientes a cobrar",Activo!F:F,"No",Activo!D:D,$A$6,Activo!G:G,"&gt;"&amp;EOMONTH(DATE(2025,5,1),0))</f>
        <v>38336.03364</v>
      </c>
      <c r="G6" s="358">
        <f t="shared" si="1"/>
        <v>-1415.100254</v>
      </c>
      <c r="H6" s="359">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USA",Pasivo!C:C,$A$2,Pasivo!F:F,"&gt;"&amp;EOMONTH(DATE(2025,5,1),0),Pasivo!E:E,"No Pagado")
+SUMIFS(Pasivo!N:N,Pasivo!A:A,"Impuestos USA",Pasivo!C:C,$A$3,Pasivo!F:F,"&gt;"&amp;EOMONTH(DATE(2025,5,1),0),Pasivo!E:E,"No Pagado")
+SUMIFS(Pasivo!N:N,Pasivo!A:A,"Impuestos USA",Pasivo!C:C,$A$4,Pasivo!F:F,"&gt;"&amp;EOMONTH(DATE(2025,5,1),0),Pasivo!E:E,"No Pagado")
+SUMIFS(Pasivo!N:N,Pasivo!A:A,"Impuestos USA",Pasivo!C:C,$A$5,Pasivo!F:F,"&gt;"&amp;EOMONTH(DATE(2025,5,1),0),Pasivo!E:E,"No Pagado")
+SUMIFS(Pasivo!N:N,Pasivo!A:A,"Impuestos USA",Pasivo!C:C,$A$6,Pasivo!F:F,"&gt;"&amp;EOMONTH(DATE(2025,5,1),0),Pasivo!E:E,"No Pagado")
</f>
        <v>-4017</v>
      </c>
      <c r="I6" s="358">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USA",Pasivo!C:C,$A$2,Pasivo!F:F,"&gt;"&amp;EOMONTH(DATE(2025,5,1),0),Pasivo!E:E,"No Pagado")
+SUMIFS(Pasivo!N:N,Pasivo!A:A,"&lt;&gt;"&amp;"Impuestos USA",Pasivo!C:C,$A$3,Pasivo!F:F,"&gt;"&amp;EOMONTH(DATE(2025,5,1),0),Pasivo!E:E,"No Pagado")
+SUMIFS(Pasivo!N:N,Pasivo!A:A,"&lt;&gt;"&amp;"Impuestos USA",Pasivo!C:C,$A$4,Pasivo!F:F,"&gt;"&amp;EOMONTH(DATE(2025,5,1),0),Pasivo!E:E,"No Pagado")
+SUMIFS(Pasivo!N:N,Pasivo!A:A,"&lt;&gt;"&amp;"Impuestos USA",Pasivo!C:C,$A$5,Pasivo!F:F,"&gt;"&amp;EOMONTH(DATE(2025,5,1),0),Pasivo!E:E,"No Pagado")
+SUMIFS(Pasivo!N:N,Pasivo!A:A,"&lt;&gt;"&amp;"Impuestos USA",Pasivo!C:C,$A$6,Pasivo!F:F,"&gt;"&amp;EOMONTH(DATE(2025,5,1),0),Pasivo!E:E,"No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 / 
VLOOKUP(A6&amp;" "&amp;B6,'Info Tipo de Cambio y REM'!$A$24:$B$35,2,FALSE))
)))</f>
        <v>37109.4213</v>
      </c>
      <c r="J6" s="358">
        <f t="shared" si="2"/>
        <v>33092.4213</v>
      </c>
      <c r="K6" s="358">
        <f t="shared" si="3"/>
        <v>-34507.52155</v>
      </c>
      <c r="L6" s="358"/>
      <c r="M6" s="358">
        <f>'Seguimiento Mark Up General'!F77</f>
        <v>38475.80508</v>
      </c>
      <c r="N6" s="360">
        <f>'Seguimiento Mark Up General'!F85</f>
        <v>-1154.66316</v>
      </c>
      <c r="O6" s="361">
        <f>'Seguimiento Mark Up General'!F87</f>
        <v>-0.03001011046</v>
      </c>
      <c r="P6" s="362">
        <f>'Seguimiento Mark Up General'!F88</f>
        <v>1.549859451</v>
      </c>
      <c r="Q6" s="360">
        <f>'Seguimiento Mark Up General'!F89</f>
        <v>13923.6983</v>
      </c>
      <c r="R6" s="358">
        <f>SUMPRODUCT(
  (MONTH(CashFlow!D2:D10993)=5) * 
  CashFlow!K2:K10993 * 
  IF(
    (CashFlow!A2:A10993="Ingreso") + (CashFlow!A2:A10993="Saldo"), 
    1, 
    IF(CashFlow!A2:A10993="Egreso", -1, 0)
  )
)</f>
        <v>-42433.56431</v>
      </c>
      <c r="S6" s="363"/>
    </row>
    <row r="7">
      <c r="A7" s="356" t="s">
        <v>155</v>
      </c>
      <c r="B7" s="3">
        <v>2025.0</v>
      </c>
      <c r="C7" s="357">
        <v>45838.0</v>
      </c>
      <c r="D7" s="358">
        <f>SUMIFS(Activo!Q:Q,Activo!D:D,A7,Activo!B:B,"Activo Liquido")</f>
        <v>-88923.97119</v>
      </c>
      <c r="E7" s="358">
        <f>SUMIFS(Activo!Q:Q, Activo!B:B, Activo!$B$42, Activo!D:D, A7)
</f>
        <v>2682</v>
      </c>
      <c r="F7" s="358">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cobrar",Activo!F:F,"No",Activo!D:D,$A$2,Activo!G:G,"&gt;"&amp;EOMONTH(DATE(2025,6,1),0))
+SUMIFS(Activo!Q:Q,Activo!B:B,"Clientes a cobrar",Activo!F:F,"No",Activo!D:D,$A$3,Activo!G:G,"&gt;"&amp;EOMONTH(DATE(2025,6,1),0))
+SUMIFS(Activo!Q:Q,Activo!B:B,"Clientes a cobrar",Activo!F:F,"No",Activo!D:D,$A$4,Activo!G:G,"&gt;"&amp;EOMONTH(DATE(2025,6,1),0))
+SUMIFS(Activo!Q:Q,Activo!B:B,"Clientes a cobrar",Activo!F:F,"No",Activo!D:D,$A$5,Activo!G:G,"&gt;"&amp;EOMONTH(DATE(2025,6,1),0))
+SUMIFS(Activo!Q:Q,Activo!B:B,"Clientes a cobrar",Activo!F:F,"No",Activo!D:D,$A$6,Activo!G:G,"&gt;"&amp;EOMONTH(DATE(2025,6,1),0))
+SUMIFS(Activo!Q:Q,Activo!B:B,"Clientes a cobrar",Activo!F:F,"No",Activo!D:D,$A$7,Activo!G:G,"&gt;"&amp;EOMONTH(DATE(2025,6,1),0))
</f>
        <v>45945.78354</v>
      </c>
      <c r="G7" s="358">
        <f t="shared" si="1"/>
        <v>-40296.18765</v>
      </c>
      <c r="H7" s="358"/>
      <c r="I7" s="358">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USA",Pasivo!C:C,$A$2,Pasivo!F:F,"&gt;"&amp;EOMONTH(DATE(2025,6,1),0),Pasivo!E:E,"No Pagado")
+SUMIFS(Pasivo!N:N,Pasivo!A:A,"&lt;&gt;"&amp;"Impuestos USA",Pasivo!C:C,$A$3,Pasivo!F:F,"&gt;"&amp;EOMONTH(DATE(2025,6,1),0),Pasivo!E:E,"No Pagado")
+SUMIFS(Pasivo!N:N,Pasivo!A:A,"&lt;&gt;"&amp;"Impuestos USA",Pasivo!C:C,$A$4,Pasivo!F:F,"&gt;"&amp;EOMONTH(DATE(2025,6,1),0),Pasivo!E:E,"No Pagado")
+SUMIFS(Pasivo!N:N,Pasivo!A:A,"&lt;&gt;"&amp;"Impuestos USA",Pasivo!C:C,$A$5,Pasivo!F:F,"&gt;"&amp;EOMONTH(DATE(2025,6,1),0),Pasivo!E:E,"No Pagado")
+SUMIFS(Pasivo!N:N,Pasivo!A:A,"&lt;&gt;"&amp;"Impuestos USA",Pasivo!C:C,$A$6,Pasivo!F:F,"&gt;"&amp;EOMONTH(DATE(2025,6,1),0),Pasivo!E:E,"No Pagado")
+SUMIFS(Pasivo!N:N,Pasivo!A:A,"&lt;&gt;"&amp;"Impuestos USA",Pasivo!C:C,$A$7,Pasivo!F:F,"&gt;"&amp;EOMONTH(DATE(2025,6,1),0),Pasivo!E:E,"No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 / 
VLOOKUP(A7&amp;" "&amp;B7,'Info Tipo de Cambio y REM'!$A$24:$B$35,2,FALSE))
))</f>
        <v>18019.34781</v>
      </c>
      <c r="J7" s="358">
        <f t="shared" si="2"/>
        <v>18019.34781</v>
      </c>
      <c r="K7" s="358">
        <f t="shared" si="3"/>
        <v>-58315.53547</v>
      </c>
      <c r="L7" s="358"/>
      <c r="M7" s="358">
        <f>'Seguimiento Mark Up General'!G77</f>
        <v>46583.86091</v>
      </c>
      <c r="N7" s="360">
        <f>'Seguimiento Mark Up General'!G85</f>
        <v>9486.927819</v>
      </c>
      <c r="O7" s="361">
        <f>'Seguimiento Mark Up General'!G87</f>
        <v>0.2036526736</v>
      </c>
      <c r="P7" s="362">
        <f>'Seguimiento Mark Up General'!G88</f>
        <v>2.037165827</v>
      </c>
      <c r="Q7" s="360">
        <f>'Seguimiento Mark Up General'!G89</f>
        <v>29049.08266</v>
      </c>
      <c r="R7" s="358">
        <f>SUMPRODUCT(
  (MONTH(CashFlow!D2:D10993)=6) * 
  CashFlow!K2:K10993 * 
  IF(
    (CashFlow!A2:A10993="Ingreso") + (CashFlow!A2:A10993="Saldo"), 
    1, 
    IF(CashFlow!A2:A10993="Egreso", -1, 0)
  )
)</f>
        <v>-46529.76209</v>
      </c>
      <c r="S7" s="363"/>
    </row>
    <row r="8">
      <c r="A8" s="356" t="s">
        <v>161</v>
      </c>
      <c r="B8" s="3">
        <v>2025.0</v>
      </c>
      <c r="C8" s="357">
        <v>45869.0</v>
      </c>
      <c r="D8" s="358">
        <f>SUMIFS(Activo!Q:Q,Activo!D:D,A8,Activo!B:B,"Activo Liquido")</f>
        <v>-68511.38106</v>
      </c>
      <c r="E8" s="358">
        <f>SUMIFS(Activo!Q:Q, Activo!B:B, Activo!$B$42, Activo!D:D, A8)
</f>
        <v>2682</v>
      </c>
      <c r="F8" s="358">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cobrar",Activo!F:F,"No",Activo!D:D,$A$2,Activo!G:G,"&gt;"&amp;EOMONTH(DATE(2025,7,1),0))
+SUMIFS(Activo!Q:Q,Activo!B:B,"Clientes a cobrar",Activo!F:F,"No",Activo!D:D,$A$3,Activo!G:G,"&gt;"&amp;EOMONTH(DATE(2025,7,1),0))
+SUMIFS(Activo!Q:Q,Activo!B:B,"Clientes a cobrar",Activo!F:F,"No",Activo!D:D,$A$4,Activo!G:G,"&gt;"&amp;EOMONTH(DATE(2025,7,1),0))
+SUMIFS(Activo!Q:Q,Activo!B:B,"Clientes a cobrar",Activo!F:F,"No",Activo!D:D,$A$5,Activo!G:G,"&gt;"&amp;EOMONTH(DATE(2025,7,1),0))
+SUMIFS(Activo!Q:Q,Activo!B:B,"Clientes a cobrar",Activo!F:F,"No",Activo!D:D,$A$6,Activo!G:G,"&gt;"&amp;EOMONTH(DATE(2025,7,1),0))
+SUMIFS(Activo!Q:Q,Activo!B:B,"Clientes a cobrar",Activo!F:F,"No",Activo!D:D,$A$7,Activo!G:G,"&gt;"&amp;EOMONTH(DATE(2025,7,1),0))
+SUMIFS(Activo!Q:Q,Activo!B:B,"Clientes a cobrar",Activo!F:F,"No",Activo!D:D,$A$8,Activo!G:G,"&gt;"&amp;EOMONTH(DATE(2025,7,1),0))</f>
        <v>26905.65303</v>
      </c>
      <c r="G8" s="358">
        <f t="shared" si="1"/>
        <v>-38923.72803</v>
      </c>
      <c r="H8" s="358">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USA",Pasivo!C:C,$A$7,Pasivo!F:F,"",Pasivo!E:E,"No Pagado")
+SUMIFS(Pasivo!N:N,Pasivo!A:A,"Impuestos USA",Pasivo!C:C,$A$8,Pasivo!F:F,"",Pasivo!E:E,"No Pagado")
+SUMIFS(Pasivo!N:N,Pasivo!A:A,"Impuestos USA",Pasivo!C:C,$A$2,Pasivo!F:F,"&gt;"&amp;EOMONTH(DATE(2025,7,1),0),Pasivo!E:E,"No Pagado")
+SUMIFS(Pasivo!N:N,Pasivo!A:A,"Impuestos USA",Pasivo!C:C,$A$3,Pasivo!F:F,"&gt;"&amp;EOMONTH(DATE(2025,7,1),0),Pasivo!E:E,"No Pagado")
+SUMIFS(Pasivo!N:N,Pasivo!A:A,"Impuestos USA",Pasivo!C:C,$A$4,Pasivo!F:F,"&gt;"&amp;EOMONTH(DATE(2025,7,1),0),Pasivo!E:E,"No Pagado")
+SUMIFS(Pasivo!N:N,Pasivo!A:A,"Impuestos USA",Pasivo!C:C,$A$5,Pasivo!F:F,"&gt;"&amp;EOMONTH(DATE(2025,7,1),0),Pasivo!E:E,"No Pagado")
+SUMIFS(Pasivo!N:N,Pasivo!A:A,"Impuestos USA",Pasivo!C:C,$A$6,Pasivo!F:F,"&gt;"&amp;EOMONTH(DATE(2025,7,1),0),Pasivo!E:E,"No Pagado")
+SUMIFS(Pasivo!N:N,Pasivo!A:A,"Impuestos USA",Pasivo!C:C,$A$7,Pasivo!F:F,"&gt;"&amp;EOMONTH(DATE(2025,7,1),0),Pasivo!E:E,"No Pagado")
+SUMIFS(Pasivo!N:N,Pasivo!A:A,"Impuestos USA",Pasivo!C:C,$A$8,Pasivo!F:F,"&gt;"&amp;EOMONTH(DATE(2025,7,1),0),Pasivo!E:E,"No Pagado")
</f>
        <v>-7496.92</v>
      </c>
      <c r="I8" s="358">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USA",Pasivo!C:C,$A$8,Pasivo!F:F,"",Pasivo!E:E,"No Pagado")
+SUMIFS(Pasivo!L:L,Pasivo!A:A,"&lt;&gt;"&amp;"Impuestos USA",Pasivo!C:C,$A$2,Pasivo!F:F,"&gt;"&amp;EOMONTH(DATE(2025,7,1),0),Pasivo!E:E,"No Pagado")
+SUMIFS(Pasivo!N:N,Pasivo!A:A,"&lt;&gt;"&amp;"Impuestos USA",Pasivo!C:C,$A$3,Pasivo!F:F,"&gt;"&amp;EOMONTH(DATE(2025,7,1),0),Pasivo!E:E,"No Pagado")
+SUMIFS(Pasivo!N:N,Pasivo!A:A,"&lt;&gt;"&amp;"Impuestos USA",Pasivo!C:C,$A$4,Pasivo!F:F,"&gt;"&amp;EOMONTH(DATE(2025,7,1),0),Pasivo!E:E,"No Pagado")
+SUMIFS(Pasivo!N:N,Pasivo!A:A,"&lt;&gt;"&amp;"Impuestos USA",Pasivo!C:C,$A$5,Pasivo!F:F,"&gt;"&amp;EOMONTH(DATE(2025,7,1),0),Pasivo!E:E,"No Pagado")
+SUMIFS(Pasivo!N:N,Pasivo!A:A,"&lt;&gt;"&amp;"Impuestos USA",Pasivo!C:C,$A$6,Pasivo!F:F,"&gt;"&amp;EOMONTH(DATE(2025,7,1),0),Pasivo!E:E,"No Pagado")
+SUMIFS(Pasivo!N:N,Pasivo!A:A,"&lt;&gt;"&amp;"Impuestos USA",Pasivo!C:C,$A$7,Pasivo!F:F,"&gt;"&amp;EOMONTH(DATE(2025,7,1),0),Pasivo!E:E,"No Pagado")
+SUMIFS(Pasivo!N:N,Pasivo!A:A,"&lt;&gt;"&amp;"Impuestos USA",Pasivo!C:C,$A$8,Pasivo!F:F,"&gt;"&amp;EOMONTH(DATE(2025,7,1),0),Pasivo!E:E,"No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+(SUMIFS(Pasivo!K:K,Pasivo!A:A,"&lt;&gt;"&amp;"Impuestos USA",Pasivo!C:C,$A$8,Pasivo!F:F,"",Pasivo!E:E,"No Pagado")
 )))))) / 
VLOOKUP(A8&amp;" "&amp;B8,'Info Tipo de Cambio y REM'!$A$24:$B$35,2,FALSE))
)</f>
        <v>35208.9155</v>
      </c>
      <c r="J8" s="358">
        <f t="shared" si="2"/>
        <v>27711.9955</v>
      </c>
      <c r="K8" s="358">
        <f t="shared" si="3"/>
        <v>-66635.72353</v>
      </c>
      <c r="L8" s="358"/>
      <c r="M8" s="358">
        <f>'Seguimiento Mark Up General'!H77</f>
        <v>46034.88026</v>
      </c>
      <c r="N8" s="360">
        <f>'Seguimiento Mark Up General'!H85</f>
        <v>5591.433638</v>
      </c>
      <c r="O8" s="361">
        <f>'Seguimiento Mark Up General'!H87</f>
        <v>0.1214608055</v>
      </c>
      <c r="P8" s="362">
        <f>'Seguimiento Mark Up General'!H88</f>
        <v>1.859743624</v>
      </c>
      <c r="Q8" s="360">
        <f>'Seguimiento Mark Up General'!H89</f>
        <v>94186.74688</v>
      </c>
      <c r="R8" s="358">
        <f>SUMPRODUCT(
  (MONTH(CashFlow!D2:D10993)=7) * 
  CashFlow!K2:K10993 * 
  IF(
    (CashFlow!A2:A10993="Ingreso") + (CashFlow!A2:A10993="Saldo"), 
    1, 
    IF(CashFlow!A2:A10993="Egreso", -1, 0)
  )
)</f>
        <v>20637.31876</v>
      </c>
      <c r="S8" s="363"/>
    </row>
    <row r="9">
      <c r="A9" s="356" t="s">
        <v>166</v>
      </c>
      <c r="B9" s="3">
        <v>2025.0</v>
      </c>
      <c r="C9" s="357">
        <v>45900.0</v>
      </c>
      <c r="D9" s="358">
        <f>SUMIFS(Activo!Q:Q,Activo!D:D,A9,Activo!B:B,"Activo Liquido")</f>
        <v>-47761.48996</v>
      </c>
      <c r="E9" s="358">
        <f>SUMIFS(Activo!Q:Q, Activo!B:B, Activo!$B$42, Activo!D:D, A9)
</f>
        <v>2417</v>
      </c>
      <c r="F9" s="359">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cobrar",Activo!F:F,"No",Activo!D:D,$A$2,Activo!G:G,"&gt;"&amp;EOMONTH(DATE(2025,8,1),0))
+SUMIFS(Activo!Q:Q,Activo!B:B,"Clientes a cobrar",Activo!F:F,"No",Activo!D:D,$A$3,Activo!G:G,"&gt;"&amp;EOMONTH(DATE(2025,8,1),0))
+SUMIFS(Activo!Q:Q,Activo!B:B,"Clientes a cobrar",Activo!F:F,"No",Activo!D:D,$A$4,Activo!G:G,"&gt;"&amp;EOMONTH(DATE(2025,8,1),0))
+SUMIFS(Activo!Q:Q,Activo!B:B,"Clientes a cobrar",Activo!F:F,"No",Activo!D:D,$A$5,Activo!G:G,"&gt;"&amp;EOMONTH(DATE(2025,8,1),0))
+SUMIFS(Activo!Q:Q,Activo!B:B,"Clientes a cobrar",Activo!F:F,"No",Activo!D:D,$A$6,Activo!G:G,"&gt;"&amp;EOMONTH(DATE(2025,8,1),0))
+SUMIFS(Activo!Q:Q,Activo!B:B,"Clientes a cobrar",Activo!F:F,"No",Activo!D:D,$A$7,Activo!G:G,"&gt;"&amp;EOMONTH(DATE(2025,8,1),0))
+SUMIFS(Activo!Q:Q,Activo!B:B,"Clientes a cobrar",Activo!F:F,"No",Activo!D:D,$A$8,Activo!G:G,"&gt;"&amp;EOMONTH(DATE(2025,8,1),0))
+SUMIFS(Activo!Q:Q,Activo!B:B,"Clientes a cobrar",Activo!F:F,"No",Activo!D:D,$A$9,Activo!G:G,"&gt;"&amp;EOMONTH(DATE(2025,8,1),0))
</f>
        <v>97572.48401</v>
      </c>
      <c r="G9" s="358">
        <f t="shared" si="1"/>
        <v>52227.99405</v>
      </c>
      <c r="H9" s="358">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USA",Pasivo!C:C,$A$7,Pasivo!F:F,"",Pasivo!E:E,"No Pagado")
+SUMIFS(Pasivo!N:N,Pasivo!A:A,"Impuestos USA",Pasivo!C:C,$A$8,Pasivo!F:F,"",Pasivo!E:E,"No Pagado")
+SUMIFS(Pasivo!N:N,Pasivo!A:A,"Impuestos USA",Pasivo!C:C,$A$9,Pasivo!F:F,"",Pasivo!E:E,"No Pagado")
+SUMIFS(Pasivo!N:N,Pasivo!A:A,"Impuestos USA",Pasivo!C:C,$A$2,Pasivo!F:F,"&gt;"&amp;EOMONTH(DATE(2025,8,1),0),Pasivo!E:E,"No Pagado")
+SUMIFS(Pasivo!N:N,Pasivo!A:A,"Impuestos USA",Pasivo!C:C,$A$3,Pasivo!F:F,"&gt;"&amp;EOMONTH(DATE(2025,8,1),0),Pasivo!E:E,"No Pagado")
+SUMIFS(Pasivo!N:N,Pasivo!A:A,"Impuestos USA",Pasivo!C:C,$A$4,Pasivo!F:F,"&gt;"&amp;EOMONTH(DATE(2025,8,1),0),Pasivo!E:E,"No Pagado")
+SUMIFS(Pasivo!N:N,Pasivo!A:A,"Impuestos USA",Pasivo!C:C,$A$5,Pasivo!F:F,"&gt;"&amp;EOMONTH(DATE(2025,8,1),0),Pasivo!E:E,"No Pagado")
+SUMIFS(Pasivo!N:N,Pasivo!A:A,"Impuestos USA",Pasivo!C:C,$A$6,Pasivo!F:F,"&gt;"&amp;EOMONTH(DATE(2025,8,1),0),Pasivo!E:E,"No Pagado")
+SUMIFS(Pasivo!N:N,Pasivo!A:A,"Impuestos USA",Pasivo!C:C,$A$7,Pasivo!F:F,"&gt;"&amp;EOMONTH(DATE(2025,8,1),0),Pasivo!E:E,"No Pagado")
+SUMIFS(Pasivo!N:N,Pasivo!A:A,"Impuestos USA",Pasivo!C:C,$A$8,Pasivo!F:F,"&gt;"&amp;EOMONTH(DATE(2025,8,1),0),Pasivo!E:E,"No Pagado")
+SUMIFS(Pasivo!N:N,Pasivo!A:A,"Impuestos USA",Pasivo!C:C,$A$9,Pasivo!F:F,"&gt;"&amp;EOMONTH(DATE(2025,8,1),0),Pasivo!E:E,"No Pagado")
</f>
        <v>7731.08</v>
      </c>
      <c r="I9" s="358">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USA",Pasivo!C:C,$A$8,Pasivo!F:F,"",Pasivo!E:E,"No Pagado")
+SUMIFS(Pasivo!L:L,Pasivo!A:A,"&lt;&gt;"&amp;"Impuestos USA",Pasivo!C:C,$A$9,Pasivo!F:F,"",Pasivo!E:E,"No Pagado")
+SUMIFS(Pasivo!L:L,Pasivo!A:A,"&lt;&gt;"&amp;"Impuestos USA",Pasivo!C:C,$A$2,Pasivo!F:F,"&gt;"&amp;EOMONTH(DATE(2025,8,1),0),Pasivo!E:E,"No Pagado")
+SUMIFS(Pasivo!N:N,Pasivo!A:A,"&lt;&gt;"&amp;"Impuestos USA",Pasivo!C:C,$A$3,Pasivo!F:F,"&gt;"&amp;EOMONTH(DATE(2025,8,1),0),Pasivo!E:E,"No Pagado")
+SUMIFS(Pasivo!N:N,Pasivo!A:A,"&lt;&gt;"&amp;"Impuestos USA",Pasivo!C:C,$A$4,Pasivo!F:F,"&gt;"&amp;EOMONTH(DATE(2025,8,1),0),Pasivo!E:E,"No Pagado")
+SUMIFS(Pasivo!N:N,Pasivo!A:A,"&lt;&gt;"&amp;"Impuestos USA",Pasivo!C:C,$A$5,Pasivo!F:F,"&gt;"&amp;EOMONTH(DATE(2025,8,1),0),Pasivo!E:E,"No Pagado")
+SUMIFS(Pasivo!N:N,Pasivo!A:A,"&lt;&gt;"&amp;"Impuestos USA",Pasivo!C:C,$A$6,Pasivo!F:F,"&gt;"&amp;EOMONTH(DATE(2025,8,1),0),Pasivo!E:E,"No Pagado")
+SUMIFS(Pasivo!N:N,Pasivo!A:A,"&lt;&gt;"&amp;"Impuestos USA",Pasivo!C:C,$A$7,Pasivo!F:F,"&gt;"&amp;EOMONTH(DATE(2025,8,1),0),Pasivo!E:E,"No Pagado")
+SUMIFS(Pasivo!N:N,Pasivo!A:A,"&lt;&gt;"&amp;"Impuestos USA",Pasivo!C:C,$A$8,Pasivo!F:F,"&gt;"&amp;EOMONTH(DATE(2025,8,1),0),Pasivo!E:E,"No Pagado")
+SUMIFS(Pasivo!N:N,Pasivo!A:A,"&lt;&gt;"&amp;"Impuestos USA",Pasivo!C:C,$A$9,Pasivo!F:F,"&gt;"&amp;EOMONTH(DATE(2025,8,1),0),Pasivo!E:E,"No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+(SUMIFS(Pasivo!K:K,Pasivo!A:A,"&lt;&gt;"&amp;"Impuestos USA",Pasivo!C:C,$A$8,Pasivo!F:F,"",Pasivo!E:E,"No Pagado")
+(SUMIFS(Pasivo!K:K,Pasivo!A:A,"&lt;&gt;"&amp;"Impuestos USA",Pasivo!C:C,$A$9,Pasivo!F:F,"",Pasivo!E:E,"No Pagado")
 )))))))) / 
VLOOKUP(A9&amp;" "&amp;B9,'Info Tipo de Cambio y REM'!$A$24:$B$35,2,FALSE))
</f>
        <v>49064.98069</v>
      </c>
      <c r="J9" s="358">
        <f t="shared" si="2"/>
        <v>56796.06069</v>
      </c>
      <c r="K9" s="358">
        <f t="shared" si="3"/>
        <v>-4568.066636</v>
      </c>
      <c r="L9" s="358">
        <f>K9+('Seguimiento Mark Up General'!B187+'Seguimiento Mark Up General'!C187)-('Seguimiento Mark Up General'!J50-'Seguimiento Mark Up General'!J18)-('Seguimiento Mark Up General'!K50-'Seguimiento Mark Up General'!K18)</f>
        <v>107941.5616</v>
      </c>
      <c r="M9" s="358">
        <f>'Seguimiento Mark Up General'!I77</f>
        <v>53975.1613</v>
      </c>
      <c r="N9" s="360">
        <f>'Seguimiento Mark Up General'!I85</f>
        <v>13970.7212</v>
      </c>
      <c r="O9" s="361">
        <f>'Seguimiento Mark Up General'!I87</f>
        <v>0.2588361177</v>
      </c>
      <c r="P9" s="362">
        <f>'Seguimiento Mark Up General'!I88</f>
        <v>2.235626576</v>
      </c>
      <c r="Q9" s="360">
        <f>'Seguimiento Mark Up General'!I89</f>
        <v>133391.5922</v>
      </c>
      <c r="R9" s="358">
        <f>SUMPRODUCT(
  (MONTH(CashFlow!D3:D10994)=8) * 
  CashFlow!K3:K10994 * 
  IF(
    (CashFlow!A3:A10994="Ingreso") + (CashFlow!A3:A10994="Saldo"), 
    1, 
    IF(CashFlow!A3:A10994="Egreso", -1, 0)
  )
)</f>
        <v>20741.85367</v>
      </c>
      <c r="S9" s="356"/>
    </row>
    <row r="10">
      <c r="A10" s="356" t="s">
        <v>171</v>
      </c>
      <c r="B10" s="3">
        <v>2025.0</v>
      </c>
      <c r="C10" s="357">
        <v>45930.0</v>
      </c>
      <c r="D10" s="358">
        <f>SUMIFS(Activo!Q:Q,Activo!D:D,A10,Activo!B:B,"Activo Liquido")</f>
        <v>-73811.15709</v>
      </c>
      <c r="E10" s="358">
        <f>SUMIFS(Activo!Q:Q, Activo!B:B, Activo!$B$42, Activo!D:D, A10)
</f>
        <v>2344</v>
      </c>
      <c r="F10" s="359">
        <f>
  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cobrar",Activo!F:F,"No",Activo!D:D,$A$2,Activo!G:G,"&gt;"&amp;EOMONTH(DATE(2025,9,1),0))
 +SUMIFS(Activo!Q:Q,Activo!B:B,"Clientes a cobrar",Activo!F:F,"No",Activo!D:D,$A$3,Activo!G:G,"&gt;"&amp;EOMONTH(DATE(2025,9,1),0))
 +SUMIFS(Activo!Q:Q,Activo!B:B,"Clientes a cobrar",Activo!F:F,"No",Activo!D:D,$A$4,Activo!G:G,"&gt;"&amp;EOMONTH(DATE(2025,9,1),0))
 +SUMIFS(Activo!Q:Q,Activo!B:B,"Clientes a cobrar",Activo!F:F,"No",Activo!D:D,$A$5,Activo!G:G,"&gt;"&amp;EOMONTH(DATE(2025,9,1),0))
 +SUMIFS(Activo!Q:Q,Activo!B:B,"Clientes a cobrar",Activo!F:F,"No",Activo!D:D,$A$6,Activo!G:G,"&gt;"&amp;EOMONTH(DATE(2025,9,1),0))
 +SUMIFS(Activo!Q:Q,Activo!B:B,"Clientes a cobrar",Activo!F:F,"No",Activo!D:D,$A$7,Activo!G:G,"&gt;"&amp;EOMONTH(DATE(2025,9,1),0))
 +SUMIFS(Activo!Q:Q,Activo!B:B,"Clientes a cobrar",Activo!F:F,"No",Activo!D:D,$A$8,Activo!G:G,"&gt;"&amp;EOMONTH(DATE(2025,9,1),0))
 +SUMIFS(Activo!Q:Q,Activo!B:B,"Clientes a cobrar",Activo!F:F,"No",Activo!D:D,$A$9,Activo!G:G,"&gt;"&amp;EOMONTH(DATE(2025,9,1),0))
 +SUMIFS(Activo!Q:Q,Activo!B:B,"Clientes a cobrar",Activo!F:F,"No",Activo!D:D,$A$10,Activo!G:G,"&gt;"&amp;EOMONTH(DATE(2025,9,1),0))
</f>
        <v>196764.5102</v>
      </c>
      <c r="G10" s="358">
        <f t="shared" si="1"/>
        <v>125297.3531</v>
      </c>
      <c r="H10" s="358">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USA",Pasivo!C:C,$A$7,Pasivo!F:F,"",Pasivo!E:E,"No Pagado")
+SUMIFS(Pasivo!N:N,Pasivo!A:A,"Impuestos USA",Pasivo!C:C,$A$8,Pasivo!F:F,"",Pasivo!E:E,"No Pagado")
+SUMIFS(Pasivo!N:N,Pasivo!A:A,"Impuestos USA",Pasivo!C:C,$A$9,Pasivo!F:F,"",Pasivo!E:E,"No Pagado")
+SUMIFS(Pasivo!N:N,Pasivo!A:A,"Impuestos USA",Pasivo!C:C,$A$10,Pasivo!F:F,"",Pasivo!E:E,"No Pagado")
+SUMIFS(Pasivo!N:N,Pasivo!A:A,"Impuestos USA",Pasivo!C:C,$A$2,Pasivo!F:F,"&gt;"&amp;EOMONTH(DATE(2025,9,1),0),Pasivo!E:E,"No Pagado")
+SUMIFS(Pasivo!N:N,Pasivo!A:A,"Impuestos USA",Pasivo!C:C,$A$3,Pasivo!F:F,"&gt;"&amp;EOMONTH(DATE(2025,9,1),0),Pasivo!E:E,"No Pagado")
+SUMIFS(Pasivo!N:N,Pasivo!A:A,"Impuestos USA",Pasivo!C:C,$A$4,Pasivo!F:F,"&gt;"&amp;EOMONTH(DATE(2025,9,1),0),Pasivo!E:E,"No Pagado")
+SUMIFS(Pasivo!N:N,Pasivo!A:A,"Impuestos USA",Pasivo!C:C,$A$5,Pasivo!F:F,"&gt;"&amp;EOMONTH(DATE(2025,9,1),0),Pasivo!E:E,"No Pagado")
+SUMIFS(Pasivo!N:N,Pasivo!A:A,"Impuestos USA",Pasivo!C:C,$A$6,Pasivo!F:F,"&gt;"&amp;EOMONTH(DATE(2025,9,1),0),Pasivo!E:E,"No Pagado")
+SUMIFS(Pasivo!N:N,Pasivo!A:A,"Impuestos USA",Pasivo!C:C,$A$7,Pasivo!F:F,"&gt;"&amp;EOMONTH(DATE(2025,9,1),0),Pasivo!E:E,"No Pagado")
+SUMIFS(Pasivo!N:N,Pasivo!A:A,"Impuestos USA",Pasivo!C:C,$A$8,Pasivo!F:F,"&gt;"&amp;EOMONTH(DATE(2025,9,1),0),Pasivo!E:E,"No Pagado")
+SUMIFS(Pasivo!N:N,Pasivo!A:A,"Impuestos USA",Pasivo!C:C,$A$9,Pasivo!F:F,"&gt;"&amp;EOMONTH(DATE(2025,9,1),0),Pasivo!E:E,"No Pagado")
+SUMIFS(Pasivo!N:N,Pasivo!A:A,"Impuestos USA",Pasivo!C:C,$A$10,Pasivo!F:F,"&gt;"&amp;EOMONTH(DATE(2025,9,1),0),Pasivo!E:E,"No Pagado")
</f>
        <v>18532.08</v>
      </c>
      <c r="I10" s="358">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USA",Pasivo!C:C,$A$8,Pasivo!F:F,"",Pasivo!E:E,"No Pagado")
+SUMIFS(Pasivo!L:L,Pasivo!A:A,"&lt;&gt;"&amp;"Impuestos USA",Pasivo!C:C,$A$9,Pasivo!F:F,"",Pasivo!E:E,"No Pagado")
+SUMIFS(Pasivo!L:L,Pasivo!A:A,"&lt;&gt;"&amp;"Impuestos USA",Pasivo!C:C,$A$10,Pasivo!F:F,"",Pasivo!E:E,"No Pagado")
+SUMIFS(Pasivo!L:L,Pasivo!A:A,"&lt;&gt;"&amp;"Impuestos USA",Pasivo!C:C,$A$2,Pasivo!F:F,"&gt;"&amp;EOMONTH(DATE(2025,9,1),0),Pasivo!E:E,"No Pagado")
+SUMIFS(Pasivo!N:N,Pasivo!A:A,"&lt;&gt;"&amp;"Impuestos USA",Pasivo!C:C,$A$3,Pasivo!F:F,"&gt;"&amp;EOMONTH(DATE(2025,9,1),0),Pasivo!E:E,"No Pagado")
+SUMIFS(Pasivo!N:N,Pasivo!A:A,"&lt;&gt;"&amp;"Impuestos USA",Pasivo!C:C,$A$4,Pasivo!F:F,"&gt;"&amp;EOMONTH(DATE(2025,9,1),0),Pasivo!E:E,"No Pagado")
+SUMIFS(Pasivo!N:N,Pasivo!A:A,"&lt;&gt;"&amp;"Impuestos USA",Pasivo!C:C,$A$5,Pasivo!F:F,"&gt;"&amp;EOMONTH(DATE(2025,9,1),0),Pasivo!E:E,"No Pagado")
+SUMIFS(Pasivo!N:N,Pasivo!A:A,"&lt;&gt;"&amp;"Impuestos USA",Pasivo!C:C,$A$6,Pasivo!F:F,"&gt;"&amp;EOMONTH(DATE(2025,9,1),0),Pasivo!E:E,"No Pagado")
+SUMIFS(Pasivo!N:N,Pasivo!A:A,"&lt;&gt;"&amp;"Impuestos USA",Pasivo!C:C,$A$7,Pasivo!F:F,"&gt;"&amp;EOMONTH(DATE(2025,9,1),0),Pasivo!E:E,"No Pagado")
+SUMIFS(Pasivo!N:N,Pasivo!A:A,"&lt;&gt;"&amp;"Impuestos USA",Pasivo!C:C,$A$8,Pasivo!F:F,"&gt;"&amp;EOMONTH(DATE(2025,9,1),0),Pasivo!E:E,"No Pagado")
+SUMIFS(Pasivo!N:N,Pasivo!A:A,"&lt;&gt;"&amp;"Impuestos USA",Pasivo!C:C,$A$9,Pasivo!F:F,"&gt;"&amp;EOMONTH(DATE(2025,9,1),0),Pasivo!E:E,"No Pagado")
+SUMIFS(Pasivo!N:N,Pasivo!A:A,"&lt;&gt;"&amp;"Impuestos USA",Pasivo!C:C,$A$10,Pasivo!F:F,"&gt;"&amp;EOMONTH(DATE(2025,9,1),0),Pasivo!E:E,"No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+(SUMIFS(Pasivo!K:K,Pasivo!A:A,"&lt;&gt;"&amp;"Impuestos USA",Pasivo!C:C,$A$8,Pasivo!F:F,"",Pasivo!E:E,"No Pagado")
+(SUMIFS(Pasivo!K:K,Pasivo!A:A,"&lt;&gt;"&amp;"Impuestos USA",Pasivo!C:C,$A$9,Pasivo!F:F,"",Pasivo!E:E,"No Pagado")
+(SUMIFS(Pasivo!K:K,Pasivo!A:A,"&lt;&gt;"&amp;"Impuestos USA",Pasivo!C:C,$A$10,Pasivo!F:F,"",Pasivo!E:E,"No Pagado")
 )))))))) / 
VLOOKUP(A10&amp;" "&amp;B10,'Info Tipo de Cambio y REM'!$A$24:$B$35,2,FALSE)))</f>
        <v>49858.35792</v>
      </c>
      <c r="J10" s="358">
        <f t="shared" si="2"/>
        <v>68390.43792</v>
      </c>
      <c r="K10" s="358">
        <f t="shared" si="3"/>
        <v>56906.91522</v>
      </c>
      <c r="L10" s="358">
        <f>K10+('Seguimiento Mark Up General'!C187+'Seguimiento Mark Up General'!D187)-('Seguimiento Mark Up General'!K50-'Seguimiento Mark Up General'!K18)-('Seguimiento Mark Up General'!L50-'Seguimiento Mark Up General'!L18)</f>
        <v>97658.53372</v>
      </c>
      <c r="M10" s="358">
        <f>IF(TODAY()&lt;DATE(2025,9,30), 0, 'Seguimiento Mark Up General'!J77)</f>
        <v>108980.948</v>
      </c>
      <c r="N10" s="360">
        <f>IF(TODAY()&lt;DATE(2025,9,30), 0, 'Seguimiento Mark Up General'!J85)</f>
        <v>74624.59204</v>
      </c>
      <c r="O10" s="361">
        <f>IF(TODAY()&lt;DATE(2025,9,30), 0, 'Seguimiento Mark Up General'!J87)</f>
        <v>0.6847489716</v>
      </c>
      <c r="P10" s="362">
        <f>IF(TODAY()&lt;DATE(2025,9,30), 0, 'Seguimiento Mark Up General'!J88)</f>
        <v>4.799045775</v>
      </c>
      <c r="Q10" s="360">
        <f>IF(TODAY()&lt;DATE(2025,9,30), 0, 'Seguimiento Mark Up General'!J89)</f>
        <v>121424.6566</v>
      </c>
      <c r="R10" s="358">
        <f>SUMPRODUCT(
  (MONTH(CashFlow!D4:D10995)=9) * 
  CashFlow!K4:K10995 * 
  IF(
    (CashFlow!A4:A10995="Ingreso") + (CashFlow!A4:A10995="Saldo"), 
    1, 
    IF(CashFlow!A4:A10995="Egreso", -1, 0)
  )
)</f>
        <v>-26425.80295</v>
      </c>
      <c r="S10" s="356"/>
    </row>
    <row r="11">
      <c r="A11" s="141" t="s">
        <v>175</v>
      </c>
      <c r="B11" s="133">
        <v>2025.0</v>
      </c>
      <c r="C11" s="364">
        <v>45961.0</v>
      </c>
      <c r="D11" s="365">
        <f>SUMIFS(Activo!Q:Q,Activo!D:D,A11,Activo!B:B,"Activo Liquido")</f>
        <v>0</v>
      </c>
      <c r="E11" s="365">
        <f>SUMIFS(Activo!Q:Q, Activo!B:B, Activo!$B$42, Activo!D:D, A11)
</f>
        <v>0</v>
      </c>
      <c r="F11" s="366">
        <f>
  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cobrar",Activo!F:F,"No",Activo!D:D,$A$11,Activo!G:G,"")
 +SUMIFS(Activo!Q:Q,Activo!B:B,"Clientes a cobrar",Activo!F:F,"No",Activo!D:D,$A$2,Activo!G:G,"&gt;"&amp;EOMONTH(DATE(2025,10,1),0))
 +SUMIFS(Activo!Q:Q,Activo!B:B,"Clientes a cobrar",Activo!F:F,"No",Activo!D:D,$A$3,Activo!G:G,"&gt;"&amp;EOMONTH(DATE(2025,10,1),0))
 +SUMIFS(Activo!Q:Q,Activo!B:B,"Clientes a cobrar",Activo!F:F,"No",Activo!D:D,$A$4,Activo!G:G,"&gt;"&amp;EOMONTH(DATE(2025,10,1),0))
 +SUMIFS(Activo!Q:Q,Activo!B:B,"Clientes a cobrar",Activo!F:F,"No",Activo!D:D,$A$5,Activo!G:G,"&gt;"&amp;EOMONTH(DATE(2025,10,1),0))
 +SUMIFS(Activo!Q:Q,Activo!B:B,"Clientes a cobrar",Activo!F:F,"No",Activo!D:D,$A$6,Activo!G:G,"&gt;"&amp;EOMONTH(DATE(2025,10,1),0))
 +SUMIFS(Activo!Q:Q,Activo!B:B,"Clientes a cobrar",Activo!F:F,"No",Activo!D:D,$A$7,Activo!G:G,"&gt;"&amp;EOMONTH(DATE(2025,10,1),0))
 +SUMIFS(Activo!Q:Q,Activo!B:B,"Clientes a cobrar",Activo!F:F,"No",Activo!D:D,$A$8,Activo!G:G,"&gt;"&amp;EOMONTH(DATE(2025,10,1),0))
 +SUMIFS(Activo!Q:Q,Activo!B:B,"Clientes a cobrar",Activo!F:F,"No",Activo!D:D,$A$9,Activo!G:G,"&gt;"&amp;EOMONTH(DATE(2025,10,1),0))
 +SUMIFS(Activo!Q:Q,Activo!B:B,"Clientes a cobrar",Activo!F:F,"No",Activo!D:D,$A$10,Activo!G:G,"&gt;"&amp;EOMONTH(DATE(2025,10,1),0))
 +SUMIFS(Activo!Q:Q,Activo!B:B,"Clientes a cobrar",Activo!F:F,"No",Activo!D:D,$A$11,Activo!G:G,"&gt;"&amp;EOMONTH(DATE(2025,10,1),0))
</f>
        <v>207989.3695</v>
      </c>
      <c r="G11" s="365">
        <f t="shared" si="1"/>
        <v>207989.3695</v>
      </c>
      <c r="H11" s="365">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USA",Pasivo!C:C,$A$7,Pasivo!F:F,"",Pasivo!E:E,"No Pagado")
+SUMIFS(Pasivo!N:N,Pasivo!A:A,"Impuestos USA",Pasivo!C:C,$A$8,Pasivo!F:F,"",Pasivo!E:E,"No Pagado")
+SUMIFS(Pasivo!N:N,Pasivo!A:A,"Impuestos USA",Pasivo!C:C,$A$9,Pasivo!F:F,"",Pasivo!E:E,"No Pagado")
+SUMIFS(Pasivo!N:N,Pasivo!A:A,"Impuestos USA",Pasivo!C:C,$A$10,Pasivo!F:F,"",Pasivo!E:E,"No Pagado")
+SUMIFS(Pasivo!N:N,Pasivo!A:A,"Impuestos USA",Pasivo!C:C,$A$11,Pasivo!F:F,"",Pasivo!E:E,"No Pagado")
+SUMIFS(Pasivo!N:N,Pasivo!A:A,"Impuestos USA",Pasivo!C:C,$A$2,Pasivo!F:F,"&gt;"&amp;EOMONTH(DATE(2025,10,1),0),Pasivo!E:E,"No Pagado")
+SUMIFS(Pasivo!N:N,Pasivo!A:A,"Impuestos USA",Pasivo!C:C,$A$3,Pasivo!F:F,"&gt;"&amp;EOMONTH(DATE(2025,10,1),0),Pasivo!E:E,"No Pagado")
+SUMIFS(Pasivo!N:N,Pasivo!A:A,"Impuestos USA",Pasivo!C:C,$A$4,Pasivo!F:F,"&gt;"&amp;EOMONTH(DATE(2025,10,1),0),Pasivo!E:E,"No Pagado")
+SUMIFS(Pasivo!N:N,Pasivo!A:A,"Impuestos USA",Pasivo!C:C,$A$5,Pasivo!F:F,"&gt;"&amp;EOMONTH(DATE(2025,10,1),0),Pasivo!E:E,"No Pagado")
+SUMIFS(Pasivo!N:N,Pasivo!A:A,"Impuestos USA",Pasivo!C:C,$A$6,Pasivo!F:F,"&gt;"&amp;EOMONTH(DATE(2025,10,1),0),Pasivo!E:E,"No Pagado")
+SUMIFS(Pasivo!N:N,Pasivo!A:A,"Impuestos USA",Pasivo!C:C,$A$7,Pasivo!F:F,"&gt;"&amp;EOMONTH(DATE(2025,10,1),0),Pasivo!E:E,"No Pagado")
+SUMIFS(Pasivo!N:N,Pasivo!A:A,"Impuestos USA",Pasivo!C:C,$A$8,Pasivo!F:F,"&gt;"&amp;EOMONTH(DATE(2025,10,1),0),Pasivo!E:E,"No Pagado")
+SUMIFS(Pasivo!N:N,Pasivo!A:A,"Impuestos USA",Pasivo!C:C,$A$9,Pasivo!F:F,"&gt;"&amp;EOMONTH(DATE(2025,10,1),0),Pasivo!E:E,"No Pagado")
+SUMIFS(Pasivo!N:N,Pasivo!A:A,"Impuestos USA",Pasivo!C:C,$A$10,Pasivo!F:F,"&gt;"&amp;EOMONTH(DATE(2025,10,1),0),Pasivo!E:E,"No Pagado")
+SUMIFS(Pasivo!N:N,Pasivo!A:A,"Impuestos USA",Pasivo!C:C,$A$11,Pasivo!F:F,"&gt;"&amp;EOMONTH(DATE(2025,10,1),0),Pasivo!E:E,"No Pagado")</f>
        <v>18532.08</v>
      </c>
      <c r="I11" s="365">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USA",Pasivo!C:C,$A$8,Pasivo!F:F,"",Pasivo!E:E,"No Pagado")
+SUMIFS(Pasivo!L:L,Pasivo!A:A,"&lt;&gt;"&amp;"Impuestos USA",Pasivo!C:C,$A$9,Pasivo!F:F,"",Pasivo!E:E,"No Pagado")
+SUMIFS(Pasivo!L:L,Pasivo!A:A,"&lt;&gt;"&amp;"Impuestos USA",Pasivo!C:C,$A$10,Pasivo!F:F,"",Pasivo!E:E,"No Pagado")
+SUMIFS(Pasivo!L:L,Pasivo!A:A,"&lt;&gt;"&amp;"Impuestos USA",Pasivo!C:C,$A$11,Pasivo!F:F,"",Pasivo!E:E,"No Pagado")
+SUMIFS(Pasivo!L:L,Pasivo!A:A,"&lt;&gt;"&amp;"Impuestos USA",Pasivo!C:C,$A$2,Pasivo!F:F,"&gt;"&amp;EOMONTH(DATE(2025,10,1),0),Pasivo!E:E,"No Pagado")
+SUMIFS(Pasivo!N:N,Pasivo!A:A,"&lt;&gt;"&amp;"Impuestos USA",Pasivo!C:C,$A$3,Pasivo!F:F,"&gt;"&amp;EOMONTH(DATE(2025,10,1),0),Pasivo!E:E,"No Pagado")
+SUMIFS(Pasivo!N:N,Pasivo!A:A,"&lt;&gt;"&amp;"Impuestos USA",Pasivo!C:C,$A$4,Pasivo!F:F,"&gt;"&amp;EOMONTH(DATE(2025,10,1),0),Pasivo!E:E,"No Pagado")
+SUMIFS(Pasivo!N:N,Pasivo!A:A,"&lt;&gt;"&amp;"Impuestos USA",Pasivo!C:C,$A$5,Pasivo!F:F,"&gt;"&amp;EOMONTH(DATE(2025,10,1),0),Pasivo!E:E,"No Pagado")
+SUMIFS(Pasivo!N:N,Pasivo!A:A,"&lt;&gt;"&amp;"Impuestos USA",Pasivo!C:C,$A$6,Pasivo!F:F,"&gt;"&amp;EOMONTH(DATE(2025,10,1),0),Pasivo!E:E,"No Pagado")
+SUMIFS(Pasivo!N:N,Pasivo!A:A,"&lt;&gt;"&amp;"Impuestos USA",Pasivo!C:C,$A$7,Pasivo!F:F,"&gt;"&amp;EOMONTH(DATE(2025,10,1),0),Pasivo!E:E,"No Pagado")
+SUMIFS(Pasivo!N:N,Pasivo!A:A,"&lt;&gt;"&amp;"Impuestos USA",Pasivo!C:C,$A$8,Pasivo!F:F,"&gt;"&amp;EOMONTH(DATE(2025,10,1),0),Pasivo!E:E,"No Pagado")
+SUMIFS(Pasivo!N:N,Pasivo!A:A,"&lt;&gt;"&amp;"Impuestos USA",Pasivo!C:C,$A$9,Pasivo!F:F,"&gt;"&amp;EOMONTH(DATE(2025,10,1),0),Pasivo!E:E,"No Pagado")
+SUMIFS(Pasivo!N:N,Pasivo!A:A,"&lt;&gt;"&amp;"Impuestos USA",Pasivo!C:C,$A$10,Pasivo!F:F,"&gt;"&amp;EOMONTH(DATE(2025,10,1),0),Pasivo!E:E,"No Pagado")
+SUMIFS(Pasivo!N:N,Pasivo!A:A,"&lt;&gt;"&amp;"Impuestos USA",Pasivo!C:C,$A$11,Pasivo!F:F,"&gt;"&amp;EOMONTH(DATE(2025,10,1),0),Pasivo!E:E,"No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+(SUMIFS(Pasivo!K:K,Pasivo!A:A,"&lt;&gt;"&amp;"Impuestos USA",Pasivo!C:C,$A$8,Pasivo!F:F,"",Pasivo!E:E,"No Pagado")
+(SUMIFS(Pasivo!K:K,Pasivo!A:A,"&lt;&gt;"&amp;"Impuestos USA",Pasivo!C:C,$A$9,Pasivo!F:F,"",Pasivo!E:E,"No Pagado")
+(SUMIFS(Pasivo!K:K,Pasivo!A:A,"&lt;&gt;"&amp;"Impuestos USA",Pasivo!C:C,$A$10,Pasivo!F:F,"",Pasivo!E:E,"No Pagado")
+(SUMIFS(Pasivo!K:K,Pasivo!A:A,"&lt;&gt;"&amp;"Impuestos USA",Pasivo!C:C,$A$11,Pasivo!F:F,"",Pasivo!E:E,"No Pagado")
 )))))))) / 
VLOOKUP(A11&amp;" "&amp;B11,'Info Tipo de Cambio y REM'!$A$24:$B$35,2,FALSE))))</f>
        <v>23726.67611</v>
      </c>
      <c r="J11" s="365">
        <f t="shared" si="2"/>
        <v>42258.75611</v>
      </c>
      <c r="K11" s="365">
        <f t="shared" si="3"/>
        <v>165730.6134</v>
      </c>
      <c r="L11" s="365">
        <f>K11+('Seguimiento Mark Up General'!D187+'Seguimiento Mark Up General'!E187)-('Seguimiento Mark Up General'!L50-'Seguimiento Mark Up General'!L18)-('Seguimiento Mark Up General'!M50-'Seguimiento Mark Up General'!M18)</f>
        <v>147843.7977</v>
      </c>
      <c r="M11" s="365">
        <f>IF(TODAY()&lt;DATE(2025,10,31), 0, 'Seguimiento Mark Up General'!J78)</f>
        <v>0</v>
      </c>
      <c r="N11" s="149">
        <f>IF(TODAY()&lt;DATE(2025,10,31), 0, 'Seguimiento Mark Up General'!K85)</f>
        <v>0</v>
      </c>
      <c r="O11" s="149">
        <f>IF(TODAY()&lt;DATE(2025,10,31), 0, 'Seguimiento Mark Up General'!K87)</f>
        <v>0</v>
      </c>
      <c r="P11" s="149">
        <f>IF(TODAY()&lt;DATE(2025,10,31), 0, 'Seguimiento Mark Up General'!K88)</f>
        <v>0</v>
      </c>
      <c r="Q11" s="149">
        <f>IF(TODAY()&lt;DATE(2025,10,31), 0, 'Seguimiento Mark Up General'!K89)</f>
        <v>0</v>
      </c>
      <c r="R11" s="365">
        <f>SUMPRODUCT(
  (MONTH(CashFlow!D5:D10996)=10) * 
  CashFlow!K5:K10996 * 
  IF(
    (CashFlow!A5:A10996="Ingreso") + (CashFlow!A5:A10996="Saldo"), 
    1, 
    IF(CashFlow!A5:A10996="Egreso", -1, 0)
  )
)</f>
        <v>1863.347292</v>
      </c>
      <c r="S11" s="141"/>
    </row>
    <row r="12">
      <c r="A12" s="141" t="s">
        <v>179</v>
      </c>
      <c r="B12" s="133">
        <v>2025.0</v>
      </c>
      <c r="C12" s="364">
        <v>45991.0</v>
      </c>
      <c r="D12" s="365">
        <f>SUMIFS(Activo!Q:Q,Activo!D:D,A12,Activo!B:B,"Activo Liquido")</f>
        <v>0</v>
      </c>
      <c r="E12" s="365">
        <f>SUMIFS(Activo!Q:Q, Activo!B:B, Activo!$B$42, Activo!D:D, A12)
</f>
        <v>0</v>
      </c>
      <c r="F12" s="366">
        <f>
  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cobrar",Activo!F:F,"No",Activo!D:D,$A$11,Activo!G:G,"")
 +SUMIFS(Activo!Q:Q,Activo!B:B,"Clientes a cobrar",Activo!F:F,"No",Activo!D:D,$A$12,Activo!G:G,"")
 +SUMIFS(Activo!Q:Q,Activo!B:B,"Clientes a cobrar",Activo!F:F,"No",Activo!D:D,$A$2,Activo!G:G,"&gt;"&amp;EOMONTH(DATE(2025,11,1),0))
 +SUMIFS(Activo!Q:Q,Activo!B:B,"Clientes a cobrar",Activo!F:F,"No",Activo!D:D,$A$3,Activo!G:G,"&gt;"&amp;EOMONTH(DATE(2025,11,1),0))
 +SUMIFS(Activo!Q:Q,Activo!B:B,"Clientes a cobrar",Activo!F:F,"No",Activo!D:D,$A$4,Activo!G:G,"&gt;"&amp;EOMONTH(DATE(2025,11,1),0))
 +SUMIFS(Activo!Q:Q,Activo!B:B,"Clientes a cobrar",Activo!F:F,"No",Activo!D:D,$A$5,Activo!G:G,"&gt;"&amp;EOMONTH(DATE(2025,11,1),0))
 +SUMIFS(Activo!Q:Q,Activo!B:B,"Clientes a cobrar",Activo!F:F,"No",Activo!D:D,$A$6,Activo!G:G,"&gt;"&amp;EOMONTH(DATE(2025,11,1),0))
 +SUMIFS(Activo!Q:Q,Activo!B:B,"Clientes a cobrar",Activo!F:F,"No",Activo!D:D,$A$7,Activo!G:G,"&gt;"&amp;EOMONTH(DATE(2025,11,1),0))
 +SUMIFS(Activo!Q:Q,Activo!B:B,"Clientes a cobrar",Activo!F:F,"No",Activo!D:D,$A$8,Activo!G:G,"&gt;"&amp;EOMONTH(DATE(2025,11,1),0))
 +SUMIFS(Activo!Q:Q,Activo!B:B,"Clientes a cobrar",Activo!F:F,"No",Activo!D:D,$A$9,Activo!G:G,"&gt;"&amp;EOMONTH(DATE(2025,11,1),0))
 +SUMIFS(Activo!Q:Q,Activo!B:B,"Clientes a cobrar",Activo!F:F,"No",Activo!D:D,$A$10,Activo!G:G,"&gt;"&amp;EOMONTH(DATE(2025,11,1),0))
 +SUMIFS(Activo!Q:Q,Activo!B:B,"Clientes a cobrar",Activo!F:F,"No",Activo!D:D,$A$11,Activo!G:G,"&gt;"&amp;EOMONTH(DATE(2025,11,1),0))
 +SUMIFS(Activo!Q:Q,Activo!B:B,"Clientes a cobrar",Activo!F:F,"No",Activo!D:D,$A$11,Activo!G:G,"&gt;"&amp;EOMONTH(DATE(2025,11,1),0))
</f>
        <v>207989.3695</v>
      </c>
      <c r="G12" s="365">
        <f t="shared" si="1"/>
        <v>207989.3695</v>
      </c>
      <c r="H12" s="365">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USA",Pasivo!C:C,$A$7,Pasivo!F:F,"",Pasivo!E:E,"No Pagado")
+SUMIFS(Pasivo!N:N,Pasivo!A:A,"Impuestos USA",Pasivo!C:C,$A$8,Pasivo!F:F,"",Pasivo!E:E,"No Pagado")
+SUMIFS(Pasivo!N:N,Pasivo!A:A,"Impuestos USA",Pasivo!C:C,$A$9,Pasivo!F:F,"",Pasivo!E:E,"No Pagado")
+SUMIFS(Pasivo!N:N,Pasivo!A:A,"Impuestos USA",Pasivo!C:C,$A$10,Pasivo!F:F,"",Pasivo!E:E,"No Pagado")
+SUMIFS(Pasivo!N:N,Pasivo!A:A,"Impuestos USA",Pasivo!C:C,$A$11,Pasivo!F:F,"",Pasivo!E:E,"No Pagado")
+SUMIFS(Pasivo!N:N,Pasivo!A:A,"Impuestos USA",Pasivo!C:C,$A$12,Pasivo!F:F,"",Pasivo!E:E,"No Pagado")
+SUMIFS(Pasivo!N:N,Pasivo!A:A,"Impuestos USA",Pasivo!C:C,$A$2,Pasivo!F:F,"&gt;"&amp;EOMONTH(DATE(2025,11,1),0),Pasivo!E:E,"No Pagado")
+SUMIFS(Pasivo!N:N,Pasivo!A:A,"Impuestos USA",Pasivo!C:C,$A$3,Pasivo!F:F,"&gt;"&amp;EOMONTH(DATE(2025,11,1),0),Pasivo!E:E,"No Pagado")
+SUMIFS(Pasivo!N:N,Pasivo!A:A,"Impuestos USA",Pasivo!C:C,$A$4,Pasivo!F:F,"&gt;"&amp;EOMONTH(DATE(2025,11,1),0),Pasivo!E:E,"No Pagado")
+SUMIFS(Pasivo!N:N,Pasivo!A:A,"Impuestos USA",Pasivo!C:C,$A$5,Pasivo!F:F,"&gt;"&amp;EOMONTH(DATE(2025,11,1),0),Pasivo!E:E,"No Pagado")
+SUMIFS(Pasivo!N:N,Pasivo!A:A,"Impuestos USA",Pasivo!C:C,$A$6,Pasivo!F:F,"&gt;"&amp;EOMONTH(DATE(2025,11,1),0),Pasivo!E:E,"No Pagado")
+SUMIFS(Pasivo!N:N,Pasivo!A:A,"Impuestos USA",Pasivo!C:C,$A$7,Pasivo!F:F,"&gt;"&amp;EOMONTH(DATE(2025,11,1),0),Pasivo!E:E,"No Pagado")
+SUMIFS(Pasivo!N:N,Pasivo!A:A,"Impuestos USA",Pasivo!C:C,$A$8,Pasivo!F:F,"&gt;"&amp;EOMONTH(DATE(2025,11,1),0),Pasivo!E:E,"No Pagado")
+SUMIFS(Pasivo!N:N,Pasivo!A:A,"Impuestos USA",Pasivo!C:C,$A$9,Pasivo!F:F,"&gt;"&amp;EOMONTH(DATE(2025,11,1),0),Pasivo!E:E,"No Pagado")
+SUMIFS(Pasivo!N:N,Pasivo!A:A,"Impuestos USA",Pasivo!C:C,$A$10,Pasivo!F:F,"&gt;"&amp;EOMONTH(DATE(2025,11,1),0),Pasivo!E:E,"No Pagado")
+SUMIFS(Pasivo!N:N,Pasivo!A:A,"Impuestos USA",Pasivo!C:C,$A$11,Pasivo!F:F,"&gt;"&amp;EOMONTH(DATE(2025,11,1),0),Pasivo!E:E,"No Pagado")
+SUMIFS(Pasivo!N:N,Pasivo!A:A,"Impuestos USA",Pasivo!C:C,$A$12,Pasivo!F:F,"&gt;"&amp;EOMONTH(DATE(2025,11,1),0),Pasivo!E:E,"No Pagado")</f>
        <v>18532.08</v>
      </c>
      <c r="I12" s="365">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USA",Pasivo!C:C,$A$8,Pasivo!F:F,"",Pasivo!E:E,"No Pagado")
+SUMIFS(Pasivo!L:L,Pasivo!A:A,"&lt;&gt;"&amp;"Impuestos USA",Pasivo!C:C,$A$9,Pasivo!F:F,"",Pasivo!E:E,"No Pagado")
+SUMIFS(Pasivo!L:L,Pasivo!A:A,"&lt;&gt;"&amp;"Impuestos USA",Pasivo!C:C,$A$10,Pasivo!F:F,"",Pasivo!E:E,"No Pagado")
+SUMIFS(Pasivo!L:L,Pasivo!A:A,"&lt;&gt;"&amp;"Impuestos USA",Pasivo!C:C,$A$11,Pasivo!F:F,"",Pasivo!E:E,"No Pagado")
+SUMIFS(Pasivo!L:L,Pasivo!A:A,"&lt;&gt;"&amp;"Impuestos USA",Pasivo!C:C,$A$12,Pasivo!F:F,"",Pasivo!E:E,"No Pagado")
+SUMIFS(Pasivo!L:L,Pasivo!A:A,"&lt;&gt;"&amp;"Impuestos USA",Pasivo!C:C,$A$2,Pasivo!F:F,"&gt;"&amp;EOMONTH(DATE(2025,11,1),0),Pasivo!E:E,"No Pagado")
+SUMIFS(Pasivo!N:N,Pasivo!A:A,"&lt;&gt;"&amp;"Impuestos USA",Pasivo!C:C,$A$3,Pasivo!F:F,"&gt;"&amp;EOMONTH(DATE(2025,11,1),0),Pasivo!E:E,"No Pagado")
+SUMIFS(Pasivo!N:N,Pasivo!A:A,"&lt;&gt;"&amp;"Impuestos USA",Pasivo!C:C,$A$4,Pasivo!F:F,"&gt;"&amp;EOMONTH(DATE(2025,11,1),0),Pasivo!E:E,"No Pagado")
+SUMIFS(Pasivo!N:N,Pasivo!A:A,"&lt;&gt;"&amp;"Impuestos USA",Pasivo!C:C,$A$5,Pasivo!F:F,"&gt;"&amp;EOMONTH(DATE(2025,11,1),0),Pasivo!E:E,"No Pagado")
+SUMIFS(Pasivo!N:N,Pasivo!A:A,"&lt;&gt;"&amp;"Impuestos USA",Pasivo!C:C,$A$6,Pasivo!F:F,"&gt;"&amp;EOMONTH(DATE(2025,11,1),0),Pasivo!E:E,"No Pagado")
+SUMIFS(Pasivo!N:N,Pasivo!A:A,"&lt;&gt;"&amp;"Impuestos USA",Pasivo!C:C,$A$7,Pasivo!F:F,"&gt;"&amp;EOMONTH(DATE(2025,11,1),0),Pasivo!E:E,"No Pagado")
+SUMIFS(Pasivo!N:N,Pasivo!A:A,"&lt;&gt;"&amp;"Impuestos USA",Pasivo!C:C,$A$8,Pasivo!F:F,"&gt;"&amp;EOMONTH(DATE(2025,11,1),0),Pasivo!E:E,"No Pagado")
+SUMIFS(Pasivo!N:N,Pasivo!A:A,"&lt;&gt;"&amp;"Impuestos USA",Pasivo!C:C,$A$9,Pasivo!F:F,"&gt;"&amp;EOMONTH(DATE(2025,11,1),0),Pasivo!E:E,"No Pagado")
+SUMIFS(Pasivo!N:N,Pasivo!A:A,"&lt;&gt;"&amp;"Impuestos USA",Pasivo!C:C,$A$10,Pasivo!F:F,"&gt;"&amp;EOMONTH(DATE(2025,11,1),0),Pasivo!E:E,"No Pagado")
+SUMIFS(Pasivo!N:N,Pasivo!A:A,"&lt;&gt;"&amp;"Impuestos USA",Pasivo!C:C,$A$11,Pasivo!F:F,"&gt;"&amp;EOMONTH(DATE(2025,11,1),0),Pasivo!E:E,"No Pagado")
+SUMIFS(Pasivo!N:N,Pasivo!A:A,"&lt;&gt;"&amp;"Impuestos USA",Pasivo!C:C,$A$12,Pasivo!F:F,"&gt;"&amp;EOMONTH(DATE(2025,11,1),0),Pasivo!E:E,"No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+(SUMIFS(Pasivo!K:K,Pasivo!A:A,"&lt;&gt;"&amp;"Impuestos USA",Pasivo!C:C,$A$8,Pasivo!F:F,"",Pasivo!E:E,"No Pagado")
+(SUMIFS(Pasivo!K:K,Pasivo!A:A,"&lt;&gt;"&amp;"Impuestos USA",Pasivo!C:C,$A$9,Pasivo!F:F,"",Pasivo!E:E,"No Pagado")
+(SUMIFS(Pasivo!K:K,Pasivo!A:A,"&lt;&gt;"&amp;"Impuestos USA",Pasivo!C:C,$A$10,Pasivo!F:F,"",Pasivo!E:E,"No Pagado")
+(SUMIFS(Pasivo!K:K,Pasivo!A:A,"&lt;&gt;"&amp;"Impuestos USA",Pasivo!C:C,$A$11,Pasivo!F:F,"",Pasivo!E:E,"No Pagado")
+(SUMIFS(Pasivo!K:K,Pasivo!A:A,"&lt;&gt;"&amp;"Impuestos USA",Pasivo!C:C,$A$12,Pasivo!F:F,"",Pasivo!E:E,"No Pagado")
 )))))))) / 
VLOOKUP(A12&amp;" "&amp;B12,'Info Tipo de Cambio y REM'!$A$24:$B$35,2,FALSE)))))</f>
        <v>23479.84687</v>
      </c>
      <c r="J12" s="365">
        <f t="shared" si="2"/>
        <v>42011.92687</v>
      </c>
      <c r="K12" s="365">
        <f t="shared" si="3"/>
        <v>165977.4426</v>
      </c>
      <c r="L12" s="365"/>
      <c r="M12" s="365">
        <f>IF(TODAY()&lt;DATE(2025,11,30), 0, 'Seguimiento Mark Up General'!J79)</f>
        <v>0</v>
      </c>
      <c r="N12" s="149">
        <f>IF(TODAY()&lt;DATE(2025,11,30), 0, 'Seguimiento Mark Up General'!L85)</f>
        <v>0</v>
      </c>
      <c r="O12" s="149">
        <f>IF(TODAY()&lt;DATE(2025,11,30), 0, 'Seguimiento Mark Up General'!L87)</f>
        <v>0</v>
      </c>
      <c r="P12" s="149">
        <f>IF(TODAY()&lt;DATE(2025,11,30), 0, 'Seguimiento Mark Up General'!L88)</f>
        <v>0</v>
      </c>
      <c r="Q12" s="149">
        <f>IF(TODAY()&lt;DATE(2025,11,30), 0, 'Seguimiento Mark Up General'!L89)</f>
        <v>0</v>
      </c>
      <c r="R12" s="365">
        <f>SUMPRODUCT(
  (MONTH(CashFlow!D6:D10997)=11) * 
  CashFlow!K6:K10997 * 
  IF(
    (CashFlow!A6:A10997="Ingreso") + (CashFlow!A6:A10997="Saldo"), 
    1, 
    IF(CashFlow!A6:A10997="Egreso", -1, 0)
  )
)</f>
        <v>0</v>
      </c>
      <c r="S12" s="141"/>
    </row>
    <row r="13">
      <c r="A13" s="141" t="s">
        <v>182</v>
      </c>
      <c r="B13" s="133">
        <v>2025.0</v>
      </c>
      <c r="C13" s="364">
        <v>46022.0</v>
      </c>
      <c r="D13" s="365">
        <f>SUMIFS(Activo!Q:Q,Activo!D:D,A13,Activo!B:B,"Activo Liquido")</f>
        <v>0</v>
      </c>
      <c r="E13" s="365">
        <f>SUMIFS(Activo!Q:Q, Activo!B:B, Activo!$B$42, Activo!D:D, A13)
</f>
        <v>0</v>
      </c>
      <c r="F13" s="366">
        <f>
    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cobrar",Activo!F:F,"No",Activo!D:D,$A$11,Activo!G:G,"")
   +SUMIFS(Activo!Q:Q,Activo!B:B,"Clientes a cobrar",Activo!F:F,"No",Activo!D:D,$A$12,Activo!G:G,"")
   +SUMIFS(Activo!Q:Q,Activo!B:B,"Clientes a cobrar",Activo!F:F,"No",Activo!D:D,$A$13,Activo!G:G,"")
   +SUMIFS(Activo!Q:Q,Activo!B:B,"Clientes a cobrar",Activo!F:F,"No",Activo!D:D,$A$2,Activo!G:G,"&gt;"&amp;EOMONTH(DATE(2025,12,1),0))
   +SUMIFS(Activo!Q:Q,Activo!B:B,"Clientes a cobrar",Activo!F:F,"No",Activo!D:D,$A$3,Activo!G:G,"&gt;"&amp;EOMONTH(DATE(2025,12,1),0))
   +SUMIFS(Activo!Q:Q,Activo!B:B,"Clientes a cobrar",Activo!F:F,"No",Activo!D:D,$A$4,Activo!G:G,"&gt;"&amp;EOMONTH(DATE(2025,12,1),0))
   +SUMIFS(Activo!Q:Q,Activo!B:B,"Clientes a cobrar",Activo!F:F,"No",Activo!D:D,$A$5,Activo!G:G,"&gt;"&amp;EOMONTH(DATE(2025,12,1),0))
   +SUMIFS(Activo!Q:Q,Activo!B:B,"Clientes a cobrar",Activo!F:F,"No",Activo!D:D,$A$6,Activo!G:G,"&gt;"&amp;EOMONTH(DATE(2025,12,1),0))
   +SUMIFS(Activo!Q:Q,Activo!B:B,"Clientes a cobrar",Activo!F:F,"No",Activo!D:D,$A$7,Activo!G:G,"&gt;"&amp;EOMONTH(DATE(2025,12,1),0))
   +SUMIFS(Activo!Q:Q,Activo!B:B,"Clientes a cobrar",Activo!F:F,"No",Activo!D:D,$A$8,Activo!G:G,"&gt;"&amp;EOMONTH(DATE(2025,12,1),0))
   +SUMIFS(Activo!Q:Q,Activo!B:B,"Clientes a cobrar",Activo!F:F,"No",Activo!D:D,$A$9,Activo!G:G,"&gt;"&amp;EOMONTH(DATE(2025,12,1),0))
   +SUMIFS(Activo!Q:Q,Activo!B:B,"Clientes a cobrar",Activo!F:F,"No",Activo!D:D,$A$10,Activo!G:G,"&gt;"&amp;EOMONTH(DATE(2025,12,1),0))
   +SUMIFS(Activo!Q:Q,Activo!B:B,"Clientes a cobrar",Activo!F:F,"No",Activo!D:D,$A$11,Activo!G:G,"&gt;"&amp;EOMONTH(DATE(2025,12,1),0))
   +SUMIFS(Activo!Q:Q,Activo!B:B,"Clientes a cobrar",Activo!F:F,"No",Activo!D:D,$A$12,Activo!G:G,"&gt;"&amp;EOMONTH(DATE(2025,12,1),0))
   +SUMIFS(Activo!Q:Q,Activo!B:B,"Clientes a cobrar",Activo!F:F,"No",Activo!D:D,$A$13,Activo!G:G,"&gt;"&amp;EOMONTH(DATE(2025,12,1),0))
</f>
        <v>207989.3695</v>
      </c>
      <c r="G13" s="365">
        <f t="shared" si="1"/>
        <v>207989.3695</v>
      </c>
      <c r="H13" s="365">
        <f>+SUMIFS(Pasivo!N:N,Pasivo!A:A,"Impuestos USA",Pasivo!C:C,$A$2,Pasivo!F:F,"",Pasivo!E:E,"No Pagado")
+SUMIFS(Pasivo!N:N,Pasivo!A:A,"Impuestos USA",Pasivo!C:C,$A$3,Pasivo!F:F,"",Pasivo!E:E,"No Pagado")
+SUMIFS(Pasivo!N:N,Pasivo!A:A,"Impuestos USA",Pasivo!C:C,$A$4,Pasivo!F:F,"",Pasivo!E:E,"No Pagado")
+SUMIFS(Pasivo!N:N,Pasivo!A:A,"Impuestos USA",Pasivo!C:C,$A$5,Pasivo!F:F,"",Pasivo!E:E,"No Pagado")
+SUMIFS(Pasivo!N:N,Pasivo!A:A,"Impuestos USA",Pasivo!C:C,$A$6,Pasivo!F:F,"",Pasivo!E:E,"No Pagado")
+SUMIFS(Pasivo!N:N,Pasivo!A:A,"Impuestos USA",Pasivo!C:C,$A$7,Pasivo!F:F,"",Pasivo!E:E,"No Pagado")
+SUMIFS(Pasivo!N:N,Pasivo!A:A,"Impuestos USA",Pasivo!C:C,$A$8,Pasivo!F:F,"",Pasivo!E:E,"No Pagado")
+SUMIFS(Pasivo!N:N,Pasivo!A:A,"Impuestos USA",Pasivo!C:C,$A$9,Pasivo!F:F,"",Pasivo!E:E,"No Pagado")
+SUMIFS(Pasivo!N:N,Pasivo!A:A,"Impuestos USA",Pasivo!C:C,$A$10,Pasivo!F:F,"",Pasivo!E:E,"No Pagado")
+SUMIFS(Pasivo!N:N,Pasivo!A:A,"Impuestos USA",Pasivo!C:C,$A$11,Pasivo!F:F,"",Pasivo!E:E,"No Pagado")
+SUMIFS(Pasivo!N:N,Pasivo!A:A,"Impuestos USA",Pasivo!C:C,$A$12,Pasivo!F:F,"",Pasivo!E:E,"No Pagado")
+SUMIFS(Pasivo!N:N,Pasivo!A:A,"Impuestos USA",Pasivo!C:C,$A$13,Pasivo!F:F,"",Pasivo!E:E,"No Pagado")
+SUMIFS(Pasivo!N:N,Pasivo!A:A,"Impuestos USA",Pasivo!C:C,$A$2,Pasivo!F:F,"&gt;"&amp;EOMONTH(DATE(2025,12,1),0),Pasivo!E:E,"No Pagado")
+SUMIFS(Pasivo!N:N,Pasivo!A:A,"Impuestos USA",Pasivo!C:C,$A$3,Pasivo!F:F,"&gt;"&amp;EOMONTH(DATE(2025,12,1),0),Pasivo!E:E,"No Pagado")
+SUMIFS(Pasivo!N:N,Pasivo!A:A,"Impuestos USA",Pasivo!C:C,$A$4,Pasivo!F:F,"&gt;"&amp;EOMONTH(DATE(2025,12,1),0),Pasivo!E:E,"No Pagado")
+SUMIFS(Pasivo!N:N,Pasivo!A:A,"Impuestos USA",Pasivo!C:C,$A$5,Pasivo!F:F,"&gt;"&amp;EOMONTH(DATE(2025,12,1),0),Pasivo!E:E,"No Pagado")
+SUMIFS(Pasivo!N:N,Pasivo!A:A,"Impuestos USA",Pasivo!C:C,$A$6,Pasivo!F:F,"&gt;"&amp;EOMONTH(DATE(2025,12,1),0),Pasivo!E:E,"No Pagado")
+SUMIFS(Pasivo!N:N,Pasivo!A:A,"Impuestos USA",Pasivo!C:C,$A$7,Pasivo!F:F,"&gt;"&amp;EOMONTH(DATE(2025,12,1),0),Pasivo!E:E,"No Pagado")
+SUMIFS(Pasivo!N:N,Pasivo!A:A,"Impuestos USA",Pasivo!C:C,$A$8,Pasivo!F:F,"&gt;"&amp;EOMONTH(DATE(2025,12,1),0),Pasivo!E:E,"No Pagado")
+SUMIFS(Pasivo!N:N,Pasivo!A:A,"Impuestos USA",Pasivo!C:C,$A$9,Pasivo!F:F,"&gt;"&amp;EOMONTH(DATE(2025,12,1),0),Pasivo!E:E,"No Pagado")
+SUMIFS(Pasivo!N:N,Pasivo!A:A,"Impuestos USA",Pasivo!C:C,$A$10,Pasivo!F:F,"&gt;"&amp;EOMONTH(DATE(2025,12,1),0),Pasivo!E:E,"No Pagado")
+SUMIFS(Pasivo!N:N,Pasivo!A:A,"Impuestos USA",Pasivo!C:C,$A$11,Pasivo!F:F,"&gt;"&amp;EOMONTH(DATE(2025,12,1),0),Pasivo!E:E,"No Pagado")
+SUMIFS(Pasivo!N:N,Pasivo!A:A,"Impuestos USA",Pasivo!C:C,$A$12,Pasivo!F:F,"&gt;"&amp;EOMONTH(DATE(2025,12,1),0),Pasivo!E:E,"No Pagado")
+SUMIFS(Pasivo!N:N,Pasivo!A:A,"Impuestos USA",Pasivo!C:C,$A$13,Pasivo!F:F,"&gt;"&amp;EOMONTH(DATE(2025,12,1),0),Pasivo!E:E,"No Pagado")</f>
        <v>18532.08</v>
      </c>
      <c r="I13" s="365">
        <f>SUMIFS(Pasivo!L:L,Pasivo!A:A,"&lt;&gt;"&amp;"Impuestos USA",Pasivo!C:C,$A$2,Pasivo!F:F,"",Pasivo!E:E,"No Pagado")
+SUMIFS(Pasivo!L:L,Pasivo!A:A,"&lt;&gt;"&amp;"Impuestos USA",Pasivo!C:C,$A$3,Pasivo!F:F,"",Pasivo!E:E,"No Pagado")
+SUMIFS(Pasivo!L:L,Pasivo!A:A,"&lt;&gt;"&amp;"Impuestos USA",Pasivo!C:C,$A$4,Pasivo!F:F,"",Pasivo!E:E,"No Pagado")
+SUMIFS(Pasivo!L:L,Pasivo!A:A,"&lt;&gt;"&amp;"Impuestos USA",Pasivo!C:C,$A$5,Pasivo!F:F,"",Pasivo!E:E,"No Pagado")
+SUMIFS(Pasivo!L:L,Pasivo!A:A,"&lt;&gt;"&amp;"Impuestos USA",Pasivo!C:C,$A$6,Pasivo!F:F,"",Pasivo!E:E,"No Pagado")
+SUMIFS(Pasivo!L:L,Pasivo!A:A,"&lt;&gt;"&amp;"Impuestos USA",Pasivo!C:C,$A$7,Pasivo!F:F,"",Pasivo!E:E,"No Pagado")
+SUMIFS(Pasivo!L:L,Pasivo!A:A,"&lt;&gt;"&amp;"Impuestos USA",Pasivo!C:C,$A$8,Pasivo!F:F,"",Pasivo!E:E,"No Pagado")
+SUMIFS(Pasivo!L:L,Pasivo!A:A,"&lt;&gt;"&amp;"Impuestos USA",Pasivo!C:C,$A$9,Pasivo!F:F,"",Pasivo!E:E,"No Pagado")
+SUMIFS(Pasivo!L:L,Pasivo!A:A,"&lt;&gt;"&amp;"Impuestos USA",Pasivo!C:C,$A$10,Pasivo!F:F,"",Pasivo!E:E,"No Pagado")
+SUMIFS(Pasivo!L:L,Pasivo!A:A,"&lt;&gt;"&amp;"Impuestos USA",Pasivo!C:C,$A$11,Pasivo!F:F,"",Pasivo!E:E,"No Pagado")
+SUMIFS(Pasivo!L:L,Pasivo!A:A,"&lt;&gt;"&amp;"Impuestos USA",Pasivo!C:C,$A$12,Pasivo!F:F,"",Pasivo!E:E,"No Pagado")
+SUMIFS(Pasivo!L:L,Pasivo!A:A,"&lt;&gt;"&amp;"Impuestos USA",Pasivo!C:C,$A$13,Pasivo!F:F,"",Pasivo!E:E,"No Pagado")
+SUMIFS(Pasivo!L:L,Pasivo!A:A,"&lt;&gt;"&amp;"Impuestos USA",Pasivo!C:C,$A$2,Pasivo!F:F,"&gt;"&amp;EOMONTH(DATE(2025,12,1),0),Pasivo!E:E,"No Pagado")
+SUMIFS(Pasivo!N:N,Pasivo!A:A,"&lt;&gt;"&amp;"Impuestos USA",Pasivo!C:C,$A$3,Pasivo!F:F,"&gt;"&amp;EOMONTH(DATE(2025,12,1),0),Pasivo!E:E,"No Pagado")
+SUMIFS(Pasivo!N:N,Pasivo!A:A,"&lt;&gt;"&amp;"Impuestos USA",Pasivo!C:C,$A$4,Pasivo!F:F,"&gt;"&amp;EOMONTH(DATE(2025,12,1),0),Pasivo!E:E,"No Pagado")
+SUMIFS(Pasivo!N:N,Pasivo!A:A,"&lt;&gt;"&amp;"Impuestos USA",Pasivo!C:C,$A$5,Pasivo!F:F,"&gt;"&amp;EOMONTH(DATE(2025,12,1),0),Pasivo!E:E,"No Pagado")
+SUMIFS(Pasivo!N:N,Pasivo!A:A,"&lt;&gt;"&amp;"Impuestos USA",Pasivo!C:C,$A$6,Pasivo!F:F,"&gt;"&amp;EOMONTH(DATE(2025,12,1),0),Pasivo!E:E,"No Pagado")
+SUMIFS(Pasivo!N:N,Pasivo!A:A,"&lt;&gt;"&amp;"Impuestos USA",Pasivo!C:C,$A$7,Pasivo!F:F,"&gt;"&amp;EOMONTH(DATE(2025,12,1),0),Pasivo!E:E,"No Pagado")
+SUMIFS(Pasivo!N:N,Pasivo!A:A,"&lt;&gt;"&amp;"Impuestos USA",Pasivo!C:C,$A$8,Pasivo!F:F,"&gt;"&amp;EOMONTH(DATE(2025,12,1),0),Pasivo!E:E,"No Pagado")
+SUMIFS(Pasivo!N:N,Pasivo!A:A,"&lt;&gt;"&amp;"Impuestos USA",Pasivo!C:C,$A$9,Pasivo!F:F,"&gt;"&amp;EOMONTH(DATE(2025,12,1),0),Pasivo!E:E,"No Pagado")
+SUMIFS(Pasivo!N:N,Pasivo!A:A,"&lt;&gt;"&amp;"Impuestos USA",Pasivo!C:C,$A$10,Pasivo!F:F,"&gt;"&amp;EOMONTH(DATE(2025,12,1),0),Pasivo!E:E,"No Pagado")
+SUMIFS(Pasivo!N:N,Pasivo!A:A,"&lt;&gt;"&amp;"Impuestos USA",Pasivo!C:C,$A$11,Pasivo!F:F,"&gt;"&amp;EOMONTH(DATE(2025,12,1),0),Pasivo!E:E,"No Pagado")
+SUMIFS(Pasivo!N:N,Pasivo!A:A,"&lt;&gt;"&amp;"Impuestos USA",Pasivo!C:C,$A$12,Pasivo!F:F,"&gt;"&amp;EOMONTH(DATE(2025,12,1),0),Pasivo!E:E,"No Pagado")
+SUMIFS(Pasivo!N:N,Pasivo!A:A,"&lt;&gt;"&amp;"Impuestos USA",Pasivo!C:C,$A$13,Pasivo!F:F,"&gt;"&amp;EOMONTH(DATE(2025,12,1),0),Pasivo!E:E,"No Pagado")
+((SUMIFS(Pasivo!K:K,Pasivo!A:A,"&lt;&gt;"&amp;"Impuestos USA",Pasivo!C:C,$A$2,Pasivo!F:F,"",Pasivo!E:E,"No Pagado")
+(SUMIFS(Pasivo!K:K,Pasivo!A:A,"&lt;&gt;"&amp;"Impuestos USA",Pasivo!C:C,$A$3,Pasivo!F:F,"",Pasivo!E:E,"No Pagado")
+(SUMIFS(Pasivo!K:K,Pasivo!A:A,"&lt;&gt;"&amp;"Impuestos USA",Pasivo!C:C,$A$4,Pasivo!F:F,"",Pasivo!E:E,"No Pagado")
+(SUMIFS(Pasivo!K:K,Pasivo!A:A,"&lt;&gt;"&amp;"Impuestos USA",Pasivo!C:C,$A$5,Pasivo!F:F,"",Pasivo!E:E,"No Pagado")
+(SUMIFS(Pasivo!K:K,Pasivo!A:A,"&lt;&gt;"&amp;"Impuestos USA",Pasivo!C:C,$A$6,Pasivo!F:F,"",Pasivo!E:E,"No Pagado")
+(SUMIFS(Pasivo!K:K,Pasivo!A:A,"&lt;&gt;"&amp;"Impuestos USA",Pasivo!C:C,$A$7,Pasivo!F:F,"",Pasivo!E:E,"No Pagado")
+(SUMIFS(Pasivo!K:K,Pasivo!A:A,"&lt;&gt;"&amp;"Impuestos USA",Pasivo!C:C,$A$8,Pasivo!F:F,"",Pasivo!E:E,"No Pagado")
+(SUMIFS(Pasivo!K:K,Pasivo!A:A,"&lt;&gt;"&amp;"Impuestos USA",Pasivo!C:C,$A$9,Pasivo!F:F,"",Pasivo!E:E,"No Pagado")
+(SUMIFS(Pasivo!K:K,Pasivo!A:A,"&lt;&gt;"&amp;"Impuestos USA",Pasivo!C:C,$A$10,Pasivo!F:F,"",Pasivo!E:E,"No Pagado")
+(SUMIFS(Pasivo!K:K,Pasivo!A:A,"&lt;&gt;"&amp;"Impuestos USA",Pasivo!C:C,$A$11,Pasivo!F:F,"",Pasivo!E:E,"No Pagado")
+(SUMIFS(Pasivo!K:K,Pasivo!A:A,"&lt;&gt;"&amp;"Impuestos USA",Pasivo!C:C,$A$12,Pasivo!F:F,"",Pasivo!E:E,"No Pagado")
+(SUMIFS(Pasivo!K:K,Pasivo!A:A,"&lt;&gt;"&amp;"Impuestos USA",Pasivo!C:C,$A$13,Pasivo!F:F,"",Pasivo!E:E,"No Pagado")
 )))))))) / 
VLOOKUP(A13&amp;" "&amp;B13,'Info Tipo de Cambio y REM'!$A$24:$B$35,2,FALSE))))))</f>
        <v>119272.2301</v>
      </c>
      <c r="J13" s="365">
        <f t="shared" si="2"/>
        <v>137804.3101</v>
      </c>
      <c r="K13" s="365">
        <f t="shared" si="3"/>
        <v>70185.05936</v>
      </c>
      <c r="L13" s="365"/>
      <c r="M13" s="365">
        <f>IF(TODAY()&lt;DATE(2025,12,31), 0, 'Seguimiento Mark Up General'!J80)</f>
        <v>0</v>
      </c>
      <c r="N13" s="149">
        <f>IF(TODAY()&lt;DATE(2025,12,31), 0, 'Seguimiento Mark Up General'!M85)</f>
        <v>0</v>
      </c>
      <c r="O13" s="149">
        <f>IF(TODAY()&lt;DATE(2025,12,31), 0, 'Seguimiento Mark Up General'!M87)</f>
        <v>0</v>
      </c>
      <c r="P13" s="149">
        <f>IF(TODAY()&lt;DATE(2025,12,31), 0, 'Seguimiento Mark Up General'!M88)</f>
        <v>0</v>
      </c>
      <c r="Q13" s="149">
        <f>IF(TODAY()&lt;DATE(2025,12,31), 0, 'Seguimiento Mark Up General'!M89)</f>
        <v>0</v>
      </c>
      <c r="R13" s="365">
        <f>SUMPRODUCT(
  (MONTH(CashFlow!D7:D10998)=12) * 
  CashFlow!K7:K10998 * 
  IF(
    (CashFlow!A7:A10998="Ingreso") + (CashFlow!A7:A10998="Saldo"), 
    1, 
    IF(CashFlow!A7:A10998="Egreso", -1, 0)
  )
)</f>
        <v>0</v>
      </c>
      <c r="S13" s="141"/>
    </row>
    <row r="14">
      <c r="N14" s="43" t="s">
        <v>1068</v>
      </c>
    </row>
    <row r="15">
      <c r="A15" s="367" t="s">
        <v>1066</v>
      </c>
      <c r="B15" s="368"/>
      <c r="C15" s="368"/>
      <c r="D15" s="369" t="s">
        <v>1069</v>
      </c>
      <c r="E15" s="369" t="s">
        <v>1070</v>
      </c>
      <c r="F15" s="369" t="s">
        <v>1071</v>
      </c>
      <c r="G15" s="368"/>
      <c r="H15" s="369" t="s">
        <v>1072</v>
      </c>
      <c r="I15" s="369" t="s">
        <v>1073</v>
      </c>
      <c r="J15" s="369" t="s">
        <v>1074</v>
      </c>
      <c r="K15" s="368"/>
      <c r="L15" s="367" t="s">
        <v>1075</v>
      </c>
      <c r="M15" s="367" t="s">
        <v>1076</v>
      </c>
      <c r="N15" s="367" t="s">
        <v>1077</v>
      </c>
      <c r="O15" s="367" t="s">
        <v>1078</v>
      </c>
      <c r="P15" s="367" t="s">
        <v>1079</v>
      </c>
      <c r="Q15" s="367" t="s">
        <v>1080</v>
      </c>
      <c r="R15" s="367" t="s">
        <v>1081</v>
      </c>
      <c r="S15" s="368"/>
    </row>
    <row r="17">
      <c r="K17" s="43">
        <v>56982.0</v>
      </c>
      <c r="L17" s="43" t="s">
        <v>1082</v>
      </c>
    </row>
    <row r="18">
      <c r="I18" s="112"/>
    </row>
    <row r="19">
      <c r="K19" s="370"/>
    </row>
    <row r="21">
      <c r="I21" s="89"/>
      <c r="J21" s="371"/>
    </row>
    <row r="22">
      <c r="J22" s="89"/>
    </row>
    <row r="25">
      <c r="B25" s="43"/>
      <c r="C25" s="43"/>
      <c r="F25" s="372"/>
      <c r="G25" s="372"/>
    </row>
    <row r="26">
      <c r="F26" s="372"/>
      <c r="G26" s="372"/>
    </row>
    <row r="27">
      <c r="F27" s="372"/>
      <c r="G27" s="372"/>
    </row>
    <row r="29">
      <c r="D29" s="372"/>
      <c r="F29" s="372"/>
    </row>
    <row r="30">
      <c r="E30" s="373"/>
    </row>
  </sheetData>
  <mergeCells count="1">
    <mergeCell ref="S2:S5"/>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3" max="3" width="23.13"/>
  </cols>
  <sheetData>
    <row r="1">
      <c r="A1" s="374" t="s">
        <v>116</v>
      </c>
      <c r="B1" s="374" t="s">
        <v>275</v>
      </c>
      <c r="C1" s="374" t="s">
        <v>111</v>
      </c>
      <c r="D1" s="374" t="s">
        <v>781</v>
      </c>
      <c r="E1" s="375" t="s">
        <v>285</v>
      </c>
      <c r="F1" s="375" t="s">
        <v>785</v>
      </c>
      <c r="G1" s="375" t="s">
        <v>786</v>
      </c>
      <c r="H1" s="376" t="s">
        <v>1083</v>
      </c>
    </row>
    <row r="2">
      <c r="A2" s="377">
        <v>45658.0</v>
      </c>
      <c r="B2" s="43">
        <v>2025.0</v>
      </c>
      <c r="C2" s="43" t="s">
        <v>183</v>
      </c>
      <c r="D2" s="43" t="s">
        <v>791</v>
      </c>
      <c r="E2" s="113"/>
      <c r="F2" s="113"/>
      <c r="G2" s="112">
        <v>13450.0</v>
      </c>
      <c r="H2" s="113">
        <f t="shared" ref="H2:H51" si="1">IF(D2="ARS",(F2/E2),G2)</f>
        <v>13450</v>
      </c>
    </row>
    <row r="3">
      <c r="A3" s="377">
        <v>45658.0</v>
      </c>
      <c r="B3" s="43">
        <v>2025.0</v>
      </c>
      <c r="C3" s="43" t="s">
        <v>119</v>
      </c>
      <c r="D3" s="43" t="s">
        <v>794</v>
      </c>
      <c r="E3" s="112">
        <v>1220.0</v>
      </c>
      <c r="F3" s="112">
        <v>3718825.0</v>
      </c>
      <c r="G3" s="113"/>
      <c r="H3" s="113">
        <f t="shared" si="1"/>
        <v>3048.217213</v>
      </c>
    </row>
    <row r="4">
      <c r="A4" s="377">
        <v>45658.0</v>
      </c>
      <c r="B4" s="43">
        <v>2025.0</v>
      </c>
      <c r="C4" s="43" t="s">
        <v>180</v>
      </c>
      <c r="D4" s="43" t="s">
        <v>794</v>
      </c>
      <c r="E4" s="112">
        <v>1220.0</v>
      </c>
      <c r="F4" s="378">
        <v>3920833.0</v>
      </c>
      <c r="G4" s="113"/>
      <c r="H4" s="113">
        <f t="shared" si="1"/>
        <v>3213.797541</v>
      </c>
    </row>
    <row r="5">
      <c r="A5" s="377">
        <v>45658.0</v>
      </c>
      <c r="B5" s="43">
        <v>2025.0</v>
      </c>
      <c r="C5" s="43" t="s">
        <v>126</v>
      </c>
      <c r="D5" s="43" t="s">
        <v>794</v>
      </c>
      <c r="E5" s="112">
        <v>1220.0</v>
      </c>
      <c r="F5" s="112">
        <v>420000.0</v>
      </c>
      <c r="G5" s="113"/>
      <c r="H5" s="113">
        <f t="shared" si="1"/>
        <v>344.2622951</v>
      </c>
    </row>
    <row r="6">
      <c r="A6" s="377">
        <v>45658.0</v>
      </c>
      <c r="B6" s="43">
        <v>2025.0</v>
      </c>
      <c r="C6" s="43" t="s">
        <v>193</v>
      </c>
      <c r="D6" s="43" t="s">
        <v>794</v>
      </c>
      <c r="E6" s="112">
        <v>1220.0</v>
      </c>
      <c r="F6" s="112">
        <v>718100.0</v>
      </c>
      <c r="G6" s="113"/>
      <c r="H6" s="113">
        <f t="shared" si="1"/>
        <v>588.6065574</v>
      </c>
    </row>
    <row r="7">
      <c r="A7" s="377">
        <v>45658.0</v>
      </c>
      <c r="B7" s="43">
        <v>2025.0</v>
      </c>
      <c r="C7" s="43" t="s">
        <v>176</v>
      </c>
      <c r="D7" s="43" t="s">
        <v>794</v>
      </c>
      <c r="E7" s="112">
        <v>1220.0</v>
      </c>
      <c r="F7" s="112">
        <v>7218136.0</v>
      </c>
      <c r="G7" s="113"/>
      <c r="H7" s="113">
        <f t="shared" si="1"/>
        <v>5916.504918</v>
      </c>
    </row>
    <row r="8">
      <c r="A8" s="377">
        <v>45658.0</v>
      </c>
      <c r="B8" s="43">
        <v>2025.0</v>
      </c>
      <c r="C8" s="43" t="s">
        <v>190</v>
      </c>
      <c r="D8" s="43" t="s">
        <v>791</v>
      </c>
      <c r="E8" s="113"/>
      <c r="F8" s="113"/>
      <c r="G8" s="112">
        <v>1750.0</v>
      </c>
      <c r="H8" s="113">
        <f t="shared" si="1"/>
        <v>1750</v>
      </c>
    </row>
    <row r="9">
      <c r="A9" s="377">
        <v>45690.0</v>
      </c>
      <c r="B9" s="43">
        <v>2025.0</v>
      </c>
      <c r="C9" s="43" t="s">
        <v>126</v>
      </c>
      <c r="D9" s="43" t="s">
        <v>794</v>
      </c>
      <c r="E9" s="112">
        <v>1230.0</v>
      </c>
      <c r="F9" s="112">
        <v>420000.0</v>
      </c>
      <c r="G9" s="113"/>
      <c r="H9" s="113">
        <f t="shared" si="1"/>
        <v>341.4634146</v>
      </c>
    </row>
    <row r="10">
      <c r="A10" s="377">
        <v>45690.0</v>
      </c>
      <c r="B10" s="43">
        <v>2025.0</v>
      </c>
      <c r="C10" s="43" t="s">
        <v>119</v>
      </c>
      <c r="D10" s="43" t="s">
        <v>794</v>
      </c>
      <c r="E10" s="112">
        <v>1230.0</v>
      </c>
      <c r="F10" s="112">
        <v>3718825.0</v>
      </c>
      <c r="G10" s="113"/>
      <c r="H10" s="113">
        <f t="shared" si="1"/>
        <v>3023.434959</v>
      </c>
    </row>
    <row r="11">
      <c r="A11" s="377">
        <v>45690.0</v>
      </c>
      <c r="B11" s="43">
        <v>2025.0</v>
      </c>
      <c r="C11" s="43" t="s">
        <v>193</v>
      </c>
      <c r="D11" s="43" t="s">
        <v>794</v>
      </c>
      <c r="E11" s="112">
        <v>1230.0</v>
      </c>
      <c r="F11" s="112">
        <v>862000.0</v>
      </c>
      <c r="G11" s="113"/>
      <c r="H11" s="113">
        <f t="shared" si="1"/>
        <v>700.8130081</v>
      </c>
    </row>
    <row r="12">
      <c r="A12" s="377">
        <v>45690.0</v>
      </c>
      <c r="B12" s="43">
        <v>2025.0</v>
      </c>
      <c r="C12" s="43" t="s">
        <v>180</v>
      </c>
      <c r="D12" s="43" t="s">
        <v>794</v>
      </c>
      <c r="E12" s="112">
        <v>1230.0</v>
      </c>
      <c r="F12" s="112">
        <v>3920833.0</v>
      </c>
      <c r="G12" s="113"/>
      <c r="H12" s="113">
        <f t="shared" si="1"/>
        <v>3187.669106</v>
      </c>
    </row>
    <row r="13">
      <c r="A13" s="377">
        <v>45690.0</v>
      </c>
      <c r="B13" s="43">
        <v>2025.0</v>
      </c>
      <c r="C13" s="43" t="s">
        <v>190</v>
      </c>
      <c r="D13" s="43" t="s">
        <v>791</v>
      </c>
      <c r="E13" s="113"/>
      <c r="F13" s="113"/>
      <c r="G13" s="112">
        <v>1750.0</v>
      </c>
      <c r="H13" s="113">
        <f t="shared" si="1"/>
        <v>1750</v>
      </c>
    </row>
    <row r="14">
      <c r="A14" s="377">
        <v>45690.0</v>
      </c>
      <c r="B14" s="43">
        <v>2025.0</v>
      </c>
      <c r="C14" s="43" t="s">
        <v>183</v>
      </c>
      <c r="D14" s="43" t="s">
        <v>791</v>
      </c>
      <c r="E14" s="113"/>
      <c r="F14" s="113"/>
      <c r="G14" s="112">
        <v>13450.0</v>
      </c>
      <c r="H14" s="113">
        <f t="shared" si="1"/>
        <v>13450</v>
      </c>
    </row>
    <row r="15">
      <c r="A15" s="377">
        <v>45719.0</v>
      </c>
      <c r="B15" s="43">
        <v>2025.0</v>
      </c>
      <c r="C15" s="43" t="s">
        <v>126</v>
      </c>
      <c r="D15" s="43" t="s">
        <v>794</v>
      </c>
      <c r="E15" s="112">
        <v>1325.0</v>
      </c>
      <c r="F15" s="112">
        <v>3430000.0</v>
      </c>
      <c r="G15" s="113"/>
      <c r="H15" s="113">
        <f t="shared" si="1"/>
        <v>2588.679245</v>
      </c>
    </row>
    <row r="16">
      <c r="A16" s="377">
        <v>45719.0</v>
      </c>
      <c r="B16" s="43">
        <v>2025.0</v>
      </c>
      <c r="C16" s="43" t="s">
        <v>119</v>
      </c>
      <c r="D16" s="43" t="s">
        <v>794</v>
      </c>
      <c r="E16" s="112">
        <v>1325.0</v>
      </c>
      <c r="F16" s="112">
        <v>3718825.0</v>
      </c>
      <c r="G16" s="113"/>
      <c r="H16" s="113">
        <f t="shared" si="1"/>
        <v>2806.660377</v>
      </c>
    </row>
    <row r="17">
      <c r="A17" s="377">
        <v>45719.0</v>
      </c>
      <c r="B17" s="43">
        <v>2025.0</v>
      </c>
      <c r="C17" s="43" t="s">
        <v>193</v>
      </c>
      <c r="D17" s="43" t="s">
        <v>794</v>
      </c>
      <c r="E17" s="112">
        <v>1325.0</v>
      </c>
      <c r="F17" s="112">
        <v>771245.0</v>
      </c>
      <c r="G17" s="113"/>
      <c r="H17" s="113">
        <f t="shared" si="1"/>
        <v>582.0716981</v>
      </c>
    </row>
    <row r="18">
      <c r="A18" s="377">
        <v>45719.0</v>
      </c>
      <c r="B18" s="43">
        <v>2025.0</v>
      </c>
      <c r="C18" s="43" t="s">
        <v>180</v>
      </c>
      <c r="D18" s="43" t="s">
        <v>794</v>
      </c>
      <c r="E18" s="112">
        <v>1325.0</v>
      </c>
      <c r="F18" s="112">
        <v>4210975.0</v>
      </c>
      <c r="G18" s="113"/>
      <c r="H18" s="113">
        <f t="shared" si="1"/>
        <v>3178.09434</v>
      </c>
    </row>
    <row r="19">
      <c r="A19" s="377">
        <v>45719.0</v>
      </c>
      <c r="B19" s="43">
        <v>2025.0</v>
      </c>
      <c r="C19" s="43" t="s">
        <v>190</v>
      </c>
      <c r="D19" s="43" t="s">
        <v>791</v>
      </c>
      <c r="E19" s="113"/>
      <c r="F19" s="113"/>
      <c r="G19" s="112">
        <v>1750.0</v>
      </c>
      <c r="H19" s="113">
        <f t="shared" si="1"/>
        <v>1750</v>
      </c>
    </row>
    <row r="20">
      <c r="A20" s="377">
        <v>45719.0</v>
      </c>
      <c r="B20" s="43">
        <v>2025.0</v>
      </c>
      <c r="C20" s="43" t="s">
        <v>183</v>
      </c>
      <c r="D20" s="43" t="s">
        <v>791</v>
      </c>
      <c r="E20" s="113"/>
      <c r="F20" s="113"/>
      <c r="G20" s="112">
        <v>14750.0</v>
      </c>
      <c r="H20" s="113">
        <f t="shared" si="1"/>
        <v>14750</v>
      </c>
    </row>
    <row r="21">
      <c r="A21" s="377">
        <v>45751.0</v>
      </c>
      <c r="B21" s="43">
        <v>2025.0</v>
      </c>
      <c r="C21" s="43" t="s">
        <v>202</v>
      </c>
      <c r="D21" s="43" t="s">
        <v>791</v>
      </c>
      <c r="E21" s="113"/>
      <c r="F21" s="113"/>
      <c r="G21" s="112">
        <v>5568.0</v>
      </c>
      <c r="H21" s="113">
        <f t="shared" si="1"/>
        <v>5568</v>
      </c>
    </row>
    <row r="22">
      <c r="A22" s="377">
        <v>45751.0</v>
      </c>
      <c r="B22" s="43">
        <v>2025.0</v>
      </c>
      <c r="C22" s="43" t="s">
        <v>119</v>
      </c>
      <c r="D22" s="43" t="s">
        <v>794</v>
      </c>
      <c r="E22" s="112">
        <v>1185.0</v>
      </c>
      <c r="F22" s="112">
        <v>3718825.0</v>
      </c>
      <c r="G22" s="113"/>
      <c r="H22" s="113">
        <f t="shared" si="1"/>
        <v>3138.248945</v>
      </c>
    </row>
    <row r="23">
      <c r="A23" s="377">
        <v>45751.0</v>
      </c>
      <c r="B23" s="43">
        <v>2025.0</v>
      </c>
      <c r="C23" s="43" t="s">
        <v>193</v>
      </c>
      <c r="D23" s="43" t="s">
        <v>794</v>
      </c>
      <c r="E23" s="112">
        <v>1185.0</v>
      </c>
      <c r="F23" s="112">
        <v>792000.0</v>
      </c>
      <c r="G23" s="113"/>
      <c r="H23" s="113">
        <f t="shared" si="1"/>
        <v>668.3544304</v>
      </c>
    </row>
    <row r="24">
      <c r="A24" s="377">
        <v>45751.0</v>
      </c>
      <c r="B24" s="43">
        <v>2025.0</v>
      </c>
      <c r="C24" s="43" t="s">
        <v>180</v>
      </c>
      <c r="D24" s="43" t="s">
        <v>794</v>
      </c>
      <c r="E24" s="112">
        <v>1185.0</v>
      </c>
      <c r="F24" s="112">
        <v>4210975.0</v>
      </c>
      <c r="G24" s="113"/>
      <c r="H24" s="113">
        <f t="shared" si="1"/>
        <v>3553.565401</v>
      </c>
    </row>
    <row r="25">
      <c r="A25" s="377">
        <v>45751.0</v>
      </c>
      <c r="B25" s="43">
        <v>2025.0</v>
      </c>
      <c r="C25" s="43" t="s">
        <v>190</v>
      </c>
      <c r="D25" s="43" t="s">
        <v>791</v>
      </c>
      <c r="E25" s="113"/>
      <c r="F25" s="113"/>
      <c r="G25" s="112">
        <v>1750.0</v>
      </c>
      <c r="H25" s="113">
        <f t="shared" si="1"/>
        <v>1750</v>
      </c>
    </row>
    <row r="26">
      <c r="A26" s="377">
        <v>45751.0</v>
      </c>
      <c r="B26" s="43">
        <v>2025.0</v>
      </c>
      <c r="C26" s="43" t="s">
        <v>183</v>
      </c>
      <c r="D26" s="43" t="s">
        <v>791</v>
      </c>
      <c r="E26" s="113"/>
      <c r="F26" s="113"/>
      <c r="G26" s="112">
        <v>13450.0</v>
      </c>
      <c r="H26" s="113">
        <f t="shared" si="1"/>
        <v>13450</v>
      </c>
    </row>
    <row r="27">
      <c r="A27" s="377">
        <v>45782.0</v>
      </c>
      <c r="B27" s="43">
        <v>2025.0</v>
      </c>
      <c r="C27" s="43" t="s">
        <v>119</v>
      </c>
      <c r="D27" s="43" t="s">
        <v>794</v>
      </c>
      <c r="E27" s="112">
        <v>1180.0</v>
      </c>
      <c r="F27" s="112">
        <v>3718825.0</v>
      </c>
      <c r="G27" s="113"/>
      <c r="H27" s="113">
        <f t="shared" si="1"/>
        <v>3151.54661</v>
      </c>
    </row>
    <row r="28">
      <c r="A28" s="377">
        <v>45782.0</v>
      </c>
      <c r="B28" s="43">
        <v>2025.0</v>
      </c>
      <c r="C28" s="43" t="s">
        <v>193</v>
      </c>
      <c r="D28" s="43" t="s">
        <v>794</v>
      </c>
      <c r="E28" s="112">
        <v>1180.0</v>
      </c>
      <c r="F28" s="112">
        <v>915250.0</v>
      </c>
      <c r="G28" s="113"/>
      <c r="H28" s="113">
        <f t="shared" si="1"/>
        <v>775.6355932</v>
      </c>
    </row>
    <row r="29">
      <c r="A29" s="377">
        <v>45782.0</v>
      </c>
      <c r="B29" s="43">
        <v>2025.0</v>
      </c>
      <c r="C29" s="43" t="s">
        <v>180</v>
      </c>
      <c r="D29" s="43" t="s">
        <v>794</v>
      </c>
      <c r="E29" s="112">
        <v>1180.0</v>
      </c>
      <c r="F29" s="112">
        <v>4210975.0</v>
      </c>
      <c r="G29" s="113"/>
      <c r="H29" s="113">
        <f t="shared" si="1"/>
        <v>3568.622881</v>
      </c>
    </row>
    <row r="30">
      <c r="A30" s="377">
        <v>45782.0</v>
      </c>
      <c r="B30" s="43">
        <v>2025.0</v>
      </c>
      <c r="C30" s="43" t="s">
        <v>190</v>
      </c>
      <c r="D30" s="43" t="s">
        <v>791</v>
      </c>
      <c r="E30" s="113"/>
      <c r="F30" s="113"/>
      <c r="G30" s="112">
        <v>1750.0</v>
      </c>
      <c r="H30" s="113">
        <f t="shared" si="1"/>
        <v>1750</v>
      </c>
    </row>
    <row r="31">
      <c r="A31" s="377">
        <v>45782.0</v>
      </c>
      <c r="B31" s="43">
        <v>2025.0</v>
      </c>
      <c r="C31" s="43" t="s">
        <v>183</v>
      </c>
      <c r="D31" s="43" t="s">
        <v>791</v>
      </c>
      <c r="E31" s="113"/>
      <c r="F31" s="113"/>
      <c r="G31" s="112">
        <v>29230.0</v>
      </c>
      <c r="H31" s="113">
        <f t="shared" si="1"/>
        <v>29230</v>
      </c>
    </row>
    <row r="32">
      <c r="A32" s="377">
        <v>45814.0</v>
      </c>
      <c r="B32" s="43">
        <v>2025.0</v>
      </c>
      <c r="C32" s="43" t="s">
        <v>119</v>
      </c>
      <c r="D32" s="43" t="s">
        <v>794</v>
      </c>
      <c r="E32" s="112">
        <v>1215.0</v>
      </c>
      <c r="F32" s="379">
        <v>4359856.0</v>
      </c>
      <c r="G32" s="113"/>
      <c r="H32" s="113">
        <f t="shared" si="1"/>
        <v>3588.358848</v>
      </c>
    </row>
    <row r="33">
      <c r="A33" s="377">
        <v>45814.0</v>
      </c>
      <c r="B33" s="43">
        <v>2025.0</v>
      </c>
      <c r="C33" s="43" t="s">
        <v>193</v>
      </c>
      <c r="D33" s="43" t="s">
        <v>794</v>
      </c>
      <c r="E33" s="112">
        <v>1215.0</v>
      </c>
      <c r="F33" s="112">
        <v>1072613.0</v>
      </c>
      <c r="G33" s="113"/>
      <c r="H33" s="113">
        <f t="shared" si="1"/>
        <v>882.8090535</v>
      </c>
    </row>
    <row r="34">
      <c r="A34" s="377">
        <v>45814.0</v>
      </c>
      <c r="B34" s="43">
        <v>2025.0</v>
      </c>
      <c r="C34" s="43" t="s">
        <v>180</v>
      </c>
      <c r="D34" s="43" t="s">
        <v>794</v>
      </c>
      <c r="E34" s="112">
        <v>1215.0</v>
      </c>
      <c r="F34" s="380">
        <v>4596700.0</v>
      </c>
      <c r="G34" s="113"/>
      <c r="H34" s="113">
        <f t="shared" si="1"/>
        <v>3783.292181</v>
      </c>
    </row>
    <row r="35">
      <c r="A35" s="377">
        <v>45814.0</v>
      </c>
      <c r="B35" s="43">
        <v>2025.0</v>
      </c>
      <c r="C35" s="43" t="s">
        <v>199</v>
      </c>
      <c r="D35" s="43" t="s">
        <v>791</v>
      </c>
      <c r="E35" s="113"/>
      <c r="F35" s="113"/>
      <c r="G35" s="112">
        <v>7350.0</v>
      </c>
      <c r="H35" s="113">
        <f t="shared" si="1"/>
        <v>7350</v>
      </c>
    </row>
    <row r="36">
      <c r="A36" s="377">
        <v>45814.0</v>
      </c>
      <c r="B36" s="43">
        <v>2025.0</v>
      </c>
      <c r="C36" s="43" t="s">
        <v>190</v>
      </c>
      <c r="D36" s="43" t="s">
        <v>791</v>
      </c>
      <c r="E36" s="113"/>
      <c r="F36" s="113"/>
      <c r="G36" s="112">
        <v>1750.0</v>
      </c>
      <c r="H36" s="113">
        <f t="shared" si="1"/>
        <v>1750</v>
      </c>
    </row>
    <row r="37">
      <c r="A37" s="377">
        <v>45814.0</v>
      </c>
      <c r="B37" s="43">
        <v>2025.0</v>
      </c>
      <c r="C37" s="43" t="s">
        <v>183</v>
      </c>
      <c r="D37" s="43" t="s">
        <v>791</v>
      </c>
      <c r="E37" s="113"/>
      <c r="F37" s="113"/>
      <c r="G37" s="112">
        <v>29230.0</v>
      </c>
      <c r="H37" s="113">
        <f t="shared" si="1"/>
        <v>29230</v>
      </c>
    </row>
    <row r="38">
      <c r="A38" s="377">
        <v>45814.0</v>
      </c>
      <c r="B38" s="43">
        <v>2025.0</v>
      </c>
      <c r="C38" s="43" t="s">
        <v>204</v>
      </c>
      <c r="D38" s="43" t="s">
        <v>791</v>
      </c>
      <c r="E38" s="112"/>
      <c r="F38" s="112"/>
      <c r="G38" s="112">
        <v>8450.0</v>
      </c>
      <c r="H38" s="113">
        <f t="shared" si="1"/>
        <v>8450</v>
      </c>
    </row>
    <row r="39">
      <c r="A39" s="377">
        <v>45845.0</v>
      </c>
      <c r="B39" s="43">
        <v>2025.0</v>
      </c>
      <c r="C39" s="43" t="s">
        <v>132</v>
      </c>
      <c r="D39" s="43" t="s">
        <v>794</v>
      </c>
      <c r="E39" s="112">
        <v>1320.0</v>
      </c>
      <c r="F39" s="112">
        <v>870000.0</v>
      </c>
      <c r="G39" s="113"/>
      <c r="H39" s="113">
        <f t="shared" si="1"/>
        <v>659.0909091</v>
      </c>
    </row>
    <row r="40">
      <c r="A40" s="377">
        <v>45845.0</v>
      </c>
      <c r="B40" s="43">
        <v>2025.0</v>
      </c>
      <c r="C40" s="43" t="s">
        <v>119</v>
      </c>
      <c r="D40" s="43" t="s">
        <v>794</v>
      </c>
      <c r="E40" s="112">
        <v>1320.0</v>
      </c>
      <c r="F40" s="379">
        <v>4359856.0</v>
      </c>
      <c r="G40" s="113"/>
      <c r="H40" s="113">
        <f t="shared" si="1"/>
        <v>3302.921212</v>
      </c>
    </row>
    <row r="41">
      <c r="A41" s="377">
        <v>45845.0</v>
      </c>
      <c r="B41" s="43">
        <v>2025.0</v>
      </c>
      <c r="C41" s="43" t="s">
        <v>193</v>
      </c>
      <c r="D41" s="43" t="s">
        <v>794</v>
      </c>
      <c r="E41" s="112">
        <v>1320.0</v>
      </c>
      <c r="F41" s="112">
        <v>1201885.0</v>
      </c>
      <c r="G41" s="113"/>
      <c r="H41" s="113">
        <f t="shared" si="1"/>
        <v>910.5189394</v>
      </c>
    </row>
    <row r="42">
      <c r="A42" s="377">
        <v>45845.0</v>
      </c>
      <c r="B42" s="43">
        <v>2025.0</v>
      </c>
      <c r="C42" s="43" t="s">
        <v>204</v>
      </c>
      <c r="D42" s="43" t="s">
        <v>791</v>
      </c>
      <c r="E42" s="113"/>
      <c r="F42" s="113"/>
      <c r="G42" s="112">
        <v>8450.0</v>
      </c>
      <c r="H42" s="113">
        <f t="shared" si="1"/>
        <v>8450</v>
      </c>
    </row>
    <row r="43">
      <c r="A43" s="377">
        <v>45845.0</v>
      </c>
      <c r="B43" s="43">
        <v>2025.0</v>
      </c>
      <c r="C43" s="43" t="s">
        <v>180</v>
      </c>
      <c r="D43" s="43" t="s">
        <v>794</v>
      </c>
      <c r="E43" s="112">
        <v>1320.0</v>
      </c>
      <c r="F43" s="380">
        <v>4596700.0</v>
      </c>
      <c r="G43" s="113"/>
      <c r="H43" s="113">
        <f t="shared" si="1"/>
        <v>3482.348485</v>
      </c>
    </row>
    <row r="44">
      <c r="A44" s="377">
        <v>45845.0</v>
      </c>
      <c r="B44" s="43">
        <v>2025.0</v>
      </c>
      <c r="C44" s="43" t="s">
        <v>183</v>
      </c>
      <c r="D44" s="43" t="s">
        <v>791</v>
      </c>
      <c r="E44" s="113"/>
      <c r="F44" s="113"/>
      <c r="G44" s="112">
        <v>29230.0</v>
      </c>
      <c r="H44" s="113">
        <f t="shared" si="1"/>
        <v>29230</v>
      </c>
    </row>
    <row r="45">
      <c r="A45" s="377">
        <v>45877.0</v>
      </c>
      <c r="B45" s="43">
        <v>2025.0</v>
      </c>
      <c r="C45" s="43" t="s">
        <v>119</v>
      </c>
      <c r="D45" s="43" t="s">
        <v>794</v>
      </c>
      <c r="E45" s="112">
        <v>1345.0</v>
      </c>
      <c r="F45" s="379">
        <v>4359856.0</v>
      </c>
      <c r="G45" s="113"/>
      <c r="H45" s="113">
        <f t="shared" si="1"/>
        <v>3241.528625</v>
      </c>
    </row>
    <row r="46">
      <c r="A46" s="377">
        <v>45877.0</v>
      </c>
      <c r="B46" s="43">
        <v>2025.0</v>
      </c>
      <c r="C46" s="43" t="s">
        <v>193</v>
      </c>
      <c r="D46" s="43" t="s">
        <v>794</v>
      </c>
      <c r="E46" s="112">
        <v>1345.0</v>
      </c>
      <c r="F46" s="112">
        <v>1441885.0</v>
      </c>
      <c r="G46" s="113"/>
      <c r="H46" s="113">
        <f t="shared" si="1"/>
        <v>1072.033457</v>
      </c>
    </row>
    <row r="47">
      <c r="A47" s="377">
        <v>45877.0</v>
      </c>
      <c r="B47" s="43">
        <v>2025.0</v>
      </c>
      <c r="C47" s="43" t="s">
        <v>204</v>
      </c>
      <c r="D47" s="43" t="s">
        <v>791</v>
      </c>
      <c r="E47" s="113"/>
      <c r="F47" s="113"/>
      <c r="G47" s="112">
        <v>8450.0</v>
      </c>
      <c r="H47" s="113">
        <f t="shared" si="1"/>
        <v>8450</v>
      </c>
    </row>
    <row r="48">
      <c r="A48" s="377">
        <v>45877.0</v>
      </c>
      <c r="B48" s="43">
        <v>2025.0</v>
      </c>
      <c r="C48" s="43" t="s">
        <v>180</v>
      </c>
      <c r="D48" s="43" t="s">
        <v>794</v>
      </c>
      <c r="E48" s="112">
        <v>1345.0</v>
      </c>
      <c r="F48" s="380">
        <v>3075000.0</v>
      </c>
      <c r="G48" s="113"/>
      <c r="H48" s="113">
        <f t="shared" si="1"/>
        <v>2286.245353</v>
      </c>
    </row>
    <row r="49">
      <c r="A49" s="377">
        <v>45877.0</v>
      </c>
      <c r="B49" s="43">
        <v>2025.0</v>
      </c>
      <c r="C49" s="43" t="s">
        <v>206</v>
      </c>
      <c r="D49" s="43" t="s">
        <v>794</v>
      </c>
      <c r="E49" s="112">
        <v>1345.0</v>
      </c>
      <c r="F49" s="381">
        <v>1675000.0</v>
      </c>
      <c r="G49" s="113"/>
      <c r="H49" s="113">
        <f t="shared" si="1"/>
        <v>1245.35316</v>
      </c>
    </row>
    <row r="50">
      <c r="A50" s="377">
        <v>45877.0</v>
      </c>
      <c r="B50" s="43">
        <v>2025.0</v>
      </c>
      <c r="C50" s="43" t="s">
        <v>183</v>
      </c>
      <c r="D50" s="43" t="s">
        <v>791</v>
      </c>
      <c r="E50" s="113"/>
      <c r="F50" s="113"/>
      <c r="G50" s="112">
        <v>29230.0</v>
      </c>
      <c r="H50" s="113">
        <f t="shared" si="1"/>
        <v>29230</v>
      </c>
    </row>
    <row r="51">
      <c r="A51" s="377">
        <v>45877.0</v>
      </c>
      <c r="B51" s="43">
        <v>2025.0</v>
      </c>
      <c r="C51" s="43" t="s">
        <v>132</v>
      </c>
      <c r="D51" s="43" t="s">
        <v>794</v>
      </c>
      <c r="E51" s="112">
        <v>1345.0</v>
      </c>
      <c r="F51" s="89">
        <v>1688220.0</v>
      </c>
      <c r="G51" s="113"/>
      <c r="H51" s="113">
        <f t="shared" si="1"/>
        <v>1255.182156</v>
      </c>
    </row>
    <row r="52">
      <c r="C52" s="102"/>
      <c r="E52" s="113"/>
      <c r="F52" s="113"/>
      <c r="G52" s="113"/>
      <c r="H52" s="113"/>
    </row>
    <row r="53">
      <c r="C53" s="102"/>
      <c r="E53" s="113"/>
      <c r="F53" s="113"/>
      <c r="G53" s="113"/>
      <c r="H53" s="113"/>
    </row>
    <row r="54">
      <c r="C54" s="102"/>
      <c r="E54" s="113"/>
      <c r="F54" s="113"/>
      <c r="G54" s="113"/>
      <c r="H54" s="113"/>
    </row>
    <row r="55">
      <c r="C55" s="102"/>
      <c r="E55" s="113"/>
      <c r="F55" s="113"/>
      <c r="G55" s="113"/>
      <c r="H55" s="113"/>
    </row>
    <row r="56">
      <c r="C56" s="102"/>
      <c r="E56" s="113"/>
      <c r="F56" s="113"/>
      <c r="G56" s="113"/>
      <c r="H56" s="113"/>
    </row>
    <row r="57">
      <c r="C57" s="102"/>
      <c r="E57" s="113"/>
      <c r="F57" s="113"/>
      <c r="G57" s="113"/>
      <c r="H57" s="113"/>
    </row>
    <row r="58">
      <c r="C58" s="102"/>
      <c r="E58" s="113"/>
      <c r="F58" s="113"/>
      <c r="G58" s="113"/>
      <c r="H58" s="113"/>
    </row>
    <row r="59">
      <c r="C59" s="102"/>
      <c r="E59" s="113"/>
      <c r="F59" s="113"/>
      <c r="G59" s="113"/>
      <c r="H59" s="113"/>
    </row>
    <row r="60">
      <c r="C60" s="102"/>
      <c r="E60" s="113"/>
      <c r="F60" s="113"/>
      <c r="G60" s="113"/>
      <c r="H60" s="113"/>
    </row>
    <row r="61">
      <c r="C61" s="102"/>
      <c r="E61" s="113"/>
      <c r="F61" s="113"/>
      <c r="G61" s="113"/>
      <c r="H61" s="113"/>
    </row>
    <row r="62">
      <c r="C62" s="102"/>
      <c r="E62" s="113"/>
      <c r="F62" s="113"/>
      <c r="G62" s="113"/>
      <c r="H62" s="113"/>
    </row>
    <row r="63">
      <c r="C63" s="102"/>
      <c r="E63" s="113"/>
      <c r="F63" s="113"/>
      <c r="G63" s="113"/>
      <c r="H63" s="113"/>
    </row>
    <row r="64">
      <c r="C64" s="102"/>
      <c r="E64" s="113"/>
      <c r="F64" s="113"/>
      <c r="G64" s="113"/>
      <c r="H64" s="113"/>
    </row>
    <row r="65">
      <c r="C65" s="102"/>
      <c r="E65" s="113"/>
      <c r="F65" s="113"/>
      <c r="G65" s="113"/>
      <c r="H65" s="113"/>
    </row>
    <row r="66">
      <c r="C66" s="102"/>
      <c r="E66" s="113"/>
      <c r="F66" s="113"/>
      <c r="G66" s="113"/>
      <c r="H66" s="113"/>
    </row>
    <row r="67">
      <c r="C67" s="102"/>
      <c r="E67" s="113"/>
      <c r="F67" s="113"/>
      <c r="G67" s="113"/>
      <c r="H67" s="113"/>
    </row>
    <row r="68">
      <c r="C68" s="102"/>
      <c r="E68" s="113"/>
      <c r="F68" s="113"/>
      <c r="G68" s="113"/>
      <c r="H68" s="113"/>
    </row>
    <row r="69">
      <c r="C69" s="102"/>
      <c r="E69" s="113"/>
      <c r="F69" s="113"/>
      <c r="G69" s="113"/>
      <c r="H69" s="113"/>
    </row>
    <row r="70">
      <c r="C70" s="102"/>
      <c r="E70" s="113"/>
      <c r="F70" s="113"/>
      <c r="G70" s="113"/>
      <c r="H70" s="113"/>
    </row>
    <row r="71">
      <c r="C71" s="102"/>
      <c r="E71" s="113"/>
      <c r="F71" s="113"/>
      <c r="G71" s="113"/>
      <c r="H71" s="113"/>
    </row>
    <row r="72">
      <c r="C72" s="102"/>
      <c r="E72" s="113"/>
      <c r="F72" s="113"/>
      <c r="G72" s="113"/>
      <c r="H72" s="113"/>
    </row>
    <row r="73">
      <c r="C73" s="102"/>
      <c r="E73" s="113"/>
      <c r="F73" s="113"/>
      <c r="G73" s="113"/>
      <c r="H73" s="113"/>
    </row>
    <row r="74">
      <c r="C74" s="102"/>
      <c r="E74" s="113"/>
      <c r="F74" s="113"/>
      <c r="G74" s="113"/>
      <c r="H74" s="113"/>
    </row>
    <row r="75">
      <c r="C75" s="102"/>
      <c r="E75" s="113"/>
      <c r="F75" s="113"/>
      <c r="G75" s="113"/>
      <c r="H75" s="113"/>
    </row>
    <row r="76">
      <c r="C76" s="102"/>
      <c r="E76" s="113"/>
      <c r="F76" s="113"/>
      <c r="G76" s="113"/>
      <c r="H76" s="113"/>
    </row>
    <row r="77">
      <c r="C77" s="102"/>
      <c r="E77" s="113"/>
      <c r="F77" s="113"/>
      <c r="G77" s="113"/>
      <c r="H77" s="113"/>
    </row>
    <row r="78">
      <c r="C78" s="102"/>
      <c r="E78" s="113"/>
      <c r="F78" s="113"/>
      <c r="G78" s="113"/>
      <c r="H78" s="113"/>
    </row>
    <row r="79">
      <c r="C79" s="102"/>
      <c r="E79" s="113"/>
      <c r="F79" s="113"/>
      <c r="G79" s="113"/>
      <c r="H79" s="113"/>
    </row>
    <row r="80">
      <c r="C80" s="102"/>
      <c r="E80" s="113"/>
      <c r="F80" s="113"/>
      <c r="G80" s="113"/>
      <c r="H80" s="113"/>
    </row>
    <row r="81">
      <c r="C81" s="102"/>
      <c r="E81" s="113"/>
      <c r="F81" s="113"/>
      <c r="G81" s="113"/>
      <c r="H81" s="113"/>
    </row>
    <row r="82">
      <c r="C82" s="102"/>
      <c r="E82" s="113"/>
      <c r="F82" s="113"/>
      <c r="G82" s="113"/>
      <c r="H82" s="113"/>
    </row>
    <row r="83">
      <c r="C83" s="102"/>
      <c r="E83" s="113"/>
      <c r="F83" s="113"/>
      <c r="G83" s="113"/>
      <c r="H83" s="113"/>
    </row>
    <row r="84">
      <c r="C84" s="102"/>
      <c r="E84" s="113"/>
      <c r="F84" s="113"/>
      <c r="G84" s="113"/>
      <c r="H84" s="113"/>
    </row>
    <row r="85">
      <c r="C85" s="102"/>
      <c r="E85" s="113"/>
      <c r="F85" s="113"/>
      <c r="G85" s="113"/>
      <c r="H85" s="113"/>
    </row>
    <row r="86">
      <c r="C86" s="102"/>
      <c r="E86" s="113"/>
      <c r="F86" s="113"/>
      <c r="G86" s="113"/>
      <c r="H86" s="113"/>
    </row>
    <row r="87">
      <c r="C87" s="102"/>
      <c r="E87" s="113"/>
      <c r="F87" s="113"/>
      <c r="G87" s="113"/>
      <c r="H87" s="113"/>
    </row>
    <row r="88">
      <c r="C88" s="102"/>
      <c r="E88" s="113"/>
      <c r="F88" s="113"/>
      <c r="G88" s="113"/>
      <c r="H88" s="113"/>
    </row>
    <row r="89">
      <c r="C89" s="102"/>
      <c r="E89" s="113"/>
      <c r="F89" s="113"/>
      <c r="G89" s="113"/>
      <c r="H89" s="113"/>
    </row>
    <row r="90">
      <c r="C90" s="102"/>
      <c r="E90" s="113"/>
      <c r="F90" s="113"/>
      <c r="G90" s="113"/>
      <c r="H90" s="113"/>
    </row>
    <row r="91">
      <c r="C91" s="102"/>
      <c r="E91" s="113"/>
      <c r="F91" s="113"/>
      <c r="G91" s="113"/>
      <c r="H91" s="113"/>
    </row>
    <row r="92">
      <c r="C92" s="102"/>
      <c r="E92" s="113"/>
      <c r="F92" s="113"/>
      <c r="G92" s="113"/>
      <c r="H92" s="113"/>
    </row>
    <row r="93">
      <c r="C93" s="102"/>
      <c r="E93" s="113"/>
      <c r="F93" s="113"/>
      <c r="G93" s="113"/>
      <c r="H93" s="113"/>
    </row>
    <row r="94">
      <c r="C94" s="102"/>
      <c r="E94" s="113"/>
      <c r="F94" s="113"/>
      <c r="G94" s="113"/>
      <c r="H94" s="113"/>
    </row>
    <row r="95">
      <c r="C95" s="102"/>
      <c r="E95" s="113"/>
      <c r="F95" s="113"/>
      <c r="G95" s="113"/>
      <c r="H95" s="113"/>
    </row>
    <row r="96">
      <c r="C96" s="102"/>
      <c r="E96" s="113"/>
      <c r="F96" s="113"/>
      <c r="G96" s="113"/>
      <c r="H96" s="113"/>
    </row>
    <row r="97">
      <c r="C97" s="102"/>
      <c r="E97" s="113"/>
      <c r="F97" s="113"/>
      <c r="G97" s="113"/>
      <c r="H97" s="113"/>
    </row>
    <row r="98">
      <c r="C98" s="102"/>
      <c r="E98" s="113"/>
      <c r="F98" s="113"/>
      <c r="G98" s="113"/>
      <c r="H98" s="113"/>
    </row>
    <row r="99">
      <c r="C99" s="102"/>
      <c r="E99" s="113"/>
      <c r="F99" s="113"/>
      <c r="G99" s="113"/>
      <c r="H99" s="113"/>
    </row>
    <row r="100">
      <c r="C100" s="102"/>
      <c r="E100" s="113"/>
      <c r="F100" s="113"/>
      <c r="G100" s="113"/>
      <c r="H100" s="113"/>
    </row>
    <row r="101">
      <c r="C101" s="102"/>
      <c r="E101" s="113"/>
      <c r="F101" s="113"/>
      <c r="G101" s="113"/>
      <c r="H101" s="113"/>
    </row>
    <row r="102">
      <c r="C102" s="102"/>
      <c r="E102" s="113"/>
      <c r="F102" s="113"/>
      <c r="G102" s="113"/>
      <c r="H102" s="113"/>
    </row>
    <row r="103">
      <c r="C103" s="102"/>
      <c r="E103" s="113"/>
      <c r="F103" s="113"/>
      <c r="G103" s="113"/>
      <c r="H103" s="113"/>
    </row>
    <row r="104">
      <c r="C104" s="102"/>
      <c r="E104" s="113"/>
      <c r="F104" s="113"/>
      <c r="G104" s="113"/>
      <c r="H104" s="113"/>
    </row>
    <row r="105">
      <c r="C105" s="102"/>
      <c r="E105" s="113"/>
      <c r="F105" s="113"/>
      <c r="G105" s="113"/>
      <c r="H105" s="113"/>
    </row>
    <row r="106">
      <c r="C106" s="102"/>
      <c r="E106" s="113"/>
      <c r="F106" s="113"/>
      <c r="G106" s="113"/>
      <c r="H106" s="113"/>
    </row>
    <row r="107">
      <c r="C107" s="102"/>
      <c r="E107" s="113"/>
      <c r="F107" s="113"/>
      <c r="G107" s="113"/>
      <c r="H107" s="113"/>
    </row>
    <row r="108">
      <c r="C108" s="102"/>
      <c r="E108" s="113"/>
      <c r="F108" s="113"/>
      <c r="G108" s="113"/>
      <c r="H108" s="113"/>
    </row>
    <row r="109">
      <c r="C109" s="102"/>
      <c r="E109" s="113"/>
      <c r="F109" s="113"/>
      <c r="G109" s="113"/>
      <c r="H109" s="113"/>
    </row>
    <row r="110">
      <c r="C110" s="102"/>
      <c r="E110" s="113"/>
      <c r="F110" s="113"/>
      <c r="G110" s="113"/>
      <c r="H110" s="113"/>
    </row>
    <row r="111">
      <c r="C111" s="102"/>
      <c r="E111" s="113"/>
      <c r="F111" s="113"/>
      <c r="G111" s="113"/>
      <c r="H111" s="113"/>
    </row>
    <row r="112">
      <c r="C112" s="102"/>
      <c r="E112" s="113"/>
      <c r="F112" s="113"/>
      <c r="G112" s="113"/>
      <c r="H112" s="113"/>
    </row>
    <row r="113">
      <c r="C113" s="102"/>
      <c r="E113" s="113"/>
      <c r="F113" s="113"/>
      <c r="G113" s="113"/>
      <c r="H113" s="113"/>
    </row>
    <row r="114">
      <c r="C114" s="102"/>
      <c r="E114" s="113"/>
      <c r="F114" s="113"/>
      <c r="G114" s="113"/>
      <c r="H114" s="113"/>
    </row>
    <row r="115">
      <c r="C115" s="102"/>
      <c r="E115" s="113"/>
      <c r="F115" s="113"/>
      <c r="G115" s="113"/>
      <c r="H115" s="113"/>
    </row>
    <row r="116">
      <c r="C116" s="102"/>
      <c r="E116" s="113"/>
      <c r="F116" s="113"/>
      <c r="G116" s="113"/>
      <c r="H116" s="113"/>
    </row>
    <row r="117">
      <c r="C117" s="102"/>
      <c r="E117" s="113"/>
      <c r="F117" s="113"/>
      <c r="G117" s="113"/>
      <c r="H117" s="113"/>
    </row>
    <row r="118">
      <c r="C118" s="102"/>
      <c r="E118" s="113"/>
      <c r="F118" s="113"/>
      <c r="G118" s="113"/>
      <c r="H118" s="113"/>
    </row>
    <row r="119">
      <c r="C119" s="102"/>
      <c r="E119" s="113"/>
      <c r="F119" s="113"/>
      <c r="G119" s="113"/>
      <c r="H119" s="113"/>
    </row>
    <row r="120">
      <c r="C120" s="102"/>
      <c r="E120" s="113"/>
      <c r="F120" s="113"/>
      <c r="G120" s="113"/>
      <c r="H120" s="113"/>
    </row>
    <row r="121">
      <c r="C121" s="102"/>
      <c r="E121" s="113"/>
      <c r="F121" s="113"/>
      <c r="G121" s="113"/>
      <c r="H121" s="113"/>
    </row>
    <row r="122">
      <c r="C122" s="102"/>
      <c r="E122" s="113"/>
      <c r="F122" s="113"/>
      <c r="G122" s="113"/>
      <c r="H122" s="113"/>
    </row>
    <row r="123">
      <c r="C123" s="102"/>
      <c r="E123" s="113"/>
      <c r="F123" s="113"/>
      <c r="G123" s="113"/>
      <c r="H123" s="113"/>
    </row>
    <row r="124">
      <c r="C124" s="102"/>
      <c r="E124" s="113"/>
      <c r="F124" s="113"/>
      <c r="G124" s="113"/>
      <c r="H124" s="113"/>
    </row>
    <row r="125">
      <c r="C125" s="102"/>
      <c r="E125" s="113"/>
      <c r="F125" s="113"/>
      <c r="G125" s="113"/>
      <c r="H125" s="113"/>
    </row>
    <row r="126">
      <c r="C126" s="102"/>
      <c r="E126" s="113"/>
      <c r="F126" s="113"/>
      <c r="G126" s="113"/>
      <c r="H126" s="113"/>
    </row>
    <row r="127">
      <c r="C127" s="102"/>
      <c r="E127" s="113"/>
      <c r="F127" s="113"/>
      <c r="G127" s="113"/>
      <c r="H127" s="113"/>
    </row>
    <row r="128">
      <c r="C128" s="102"/>
      <c r="E128" s="113"/>
      <c r="F128" s="113"/>
      <c r="G128" s="113"/>
      <c r="H128" s="113"/>
    </row>
    <row r="129">
      <c r="C129" s="102"/>
      <c r="E129" s="113"/>
      <c r="F129" s="113"/>
      <c r="G129" s="113"/>
      <c r="H129" s="113"/>
    </row>
    <row r="130">
      <c r="C130" s="102"/>
      <c r="E130" s="113"/>
      <c r="F130" s="113"/>
      <c r="G130" s="113"/>
      <c r="H130" s="113"/>
    </row>
    <row r="131">
      <c r="C131" s="102"/>
      <c r="E131" s="113"/>
      <c r="F131" s="113"/>
      <c r="G131" s="113"/>
      <c r="H131" s="113"/>
    </row>
    <row r="132">
      <c r="C132" s="102"/>
      <c r="E132" s="113"/>
      <c r="F132" s="113"/>
      <c r="G132" s="113"/>
      <c r="H132" s="113"/>
    </row>
    <row r="133">
      <c r="C133" s="102"/>
      <c r="E133" s="113"/>
      <c r="F133" s="113"/>
      <c r="G133" s="113"/>
      <c r="H133" s="113"/>
    </row>
    <row r="134">
      <c r="C134" s="102"/>
      <c r="E134" s="113"/>
      <c r="F134" s="113"/>
      <c r="G134" s="113"/>
      <c r="H134" s="113"/>
    </row>
    <row r="135">
      <c r="C135" s="102"/>
      <c r="E135" s="113"/>
      <c r="F135" s="113"/>
      <c r="G135" s="113"/>
      <c r="H135" s="113"/>
    </row>
    <row r="136">
      <c r="C136" s="102"/>
      <c r="E136" s="113"/>
      <c r="F136" s="113"/>
      <c r="G136" s="113"/>
      <c r="H136" s="113"/>
    </row>
    <row r="137">
      <c r="C137" s="102"/>
      <c r="E137" s="113"/>
      <c r="F137" s="113"/>
      <c r="G137" s="113"/>
      <c r="H137" s="113"/>
    </row>
    <row r="138">
      <c r="C138" s="102"/>
      <c r="E138" s="113"/>
      <c r="F138" s="113"/>
      <c r="G138" s="113"/>
      <c r="H138" s="113"/>
    </row>
    <row r="139">
      <c r="C139" s="102"/>
      <c r="E139" s="113"/>
      <c r="F139" s="113"/>
      <c r="G139" s="113"/>
      <c r="H139" s="113"/>
    </row>
    <row r="140">
      <c r="C140" s="102"/>
      <c r="E140" s="113"/>
      <c r="F140" s="113"/>
      <c r="G140" s="113"/>
      <c r="H140" s="113"/>
    </row>
    <row r="141">
      <c r="C141" s="102"/>
      <c r="E141" s="113"/>
      <c r="F141" s="113"/>
      <c r="G141" s="113"/>
      <c r="H141" s="113"/>
    </row>
    <row r="142">
      <c r="C142" s="102"/>
      <c r="E142" s="113"/>
      <c r="F142" s="113"/>
      <c r="G142" s="113"/>
      <c r="H142" s="113"/>
    </row>
    <row r="143">
      <c r="C143" s="102"/>
      <c r="E143" s="113"/>
      <c r="F143" s="113"/>
      <c r="G143" s="113"/>
      <c r="H143" s="113"/>
    </row>
    <row r="144">
      <c r="C144" s="102"/>
      <c r="E144" s="113"/>
      <c r="F144" s="113"/>
      <c r="G144" s="113"/>
      <c r="H144" s="113"/>
    </row>
    <row r="145">
      <c r="C145" s="102"/>
      <c r="E145" s="113"/>
      <c r="F145" s="113"/>
      <c r="G145" s="113"/>
      <c r="H145" s="113"/>
    </row>
    <row r="146">
      <c r="C146" s="102"/>
      <c r="E146" s="113"/>
      <c r="F146" s="113"/>
      <c r="G146" s="113"/>
      <c r="H146" s="113"/>
    </row>
    <row r="147">
      <c r="C147" s="102"/>
      <c r="E147" s="113"/>
      <c r="F147" s="113"/>
      <c r="G147" s="113"/>
      <c r="H147" s="113"/>
    </row>
    <row r="148">
      <c r="C148" s="102"/>
      <c r="E148" s="113"/>
      <c r="F148" s="113"/>
      <c r="G148" s="113"/>
      <c r="H148" s="113"/>
    </row>
    <row r="149">
      <c r="C149" s="102"/>
      <c r="E149" s="113"/>
      <c r="F149" s="113"/>
      <c r="G149" s="113"/>
      <c r="H149" s="113"/>
    </row>
    <row r="150">
      <c r="C150" s="102"/>
      <c r="E150" s="113"/>
      <c r="F150" s="113"/>
      <c r="G150" s="113"/>
      <c r="H150" s="113"/>
    </row>
    <row r="151">
      <c r="C151" s="102"/>
      <c r="E151" s="113"/>
      <c r="F151" s="113"/>
      <c r="G151" s="113"/>
      <c r="H151" s="113"/>
    </row>
    <row r="152">
      <c r="C152" s="102"/>
      <c r="E152" s="113"/>
      <c r="F152" s="113"/>
      <c r="G152" s="113"/>
      <c r="H152" s="113"/>
    </row>
    <row r="153">
      <c r="C153" s="102"/>
      <c r="E153" s="113"/>
      <c r="F153" s="113"/>
      <c r="G153" s="113"/>
      <c r="H153" s="113"/>
    </row>
    <row r="154">
      <c r="C154" s="102"/>
      <c r="E154" s="113"/>
      <c r="F154" s="113"/>
      <c r="G154" s="113"/>
      <c r="H154" s="113"/>
    </row>
    <row r="155">
      <c r="C155" s="102"/>
      <c r="E155" s="113"/>
      <c r="F155" s="113"/>
      <c r="G155" s="113"/>
      <c r="H155" s="113"/>
    </row>
    <row r="156">
      <c r="C156" s="102"/>
      <c r="E156" s="113"/>
      <c r="F156" s="113"/>
      <c r="G156" s="113"/>
      <c r="H156" s="113"/>
    </row>
    <row r="157">
      <c r="C157" s="102"/>
      <c r="E157" s="113"/>
      <c r="F157" s="113"/>
      <c r="G157" s="113"/>
      <c r="H157" s="113"/>
    </row>
    <row r="158">
      <c r="C158" s="102"/>
      <c r="E158" s="113"/>
      <c r="F158" s="113"/>
      <c r="G158" s="113"/>
      <c r="H158" s="113"/>
    </row>
    <row r="159">
      <c r="C159" s="102"/>
      <c r="E159" s="113"/>
      <c r="F159" s="113"/>
      <c r="G159" s="113"/>
      <c r="H159" s="113"/>
    </row>
    <row r="160">
      <c r="C160" s="102"/>
      <c r="E160" s="113"/>
      <c r="F160" s="113"/>
      <c r="G160" s="113"/>
      <c r="H160" s="113"/>
    </row>
    <row r="161">
      <c r="C161" s="102"/>
      <c r="E161" s="113"/>
      <c r="F161" s="113"/>
      <c r="G161" s="113"/>
      <c r="H161" s="113"/>
    </row>
    <row r="162">
      <c r="C162" s="102"/>
      <c r="E162" s="113"/>
      <c r="F162" s="113"/>
      <c r="G162" s="113"/>
      <c r="H162" s="113"/>
    </row>
    <row r="163">
      <c r="C163" s="102"/>
      <c r="E163" s="113"/>
      <c r="F163" s="113"/>
      <c r="G163" s="113"/>
      <c r="H163" s="113"/>
    </row>
    <row r="164">
      <c r="C164" s="102"/>
      <c r="E164" s="113"/>
      <c r="F164" s="113"/>
      <c r="G164" s="113"/>
      <c r="H164" s="113"/>
    </row>
    <row r="165">
      <c r="C165" s="102"/>
      <c r="E165" s="113"/>
      <c r="F165" s="113"/>
      <c r="G165" s="113"/>
      <c r="H165" s="113"/>
    </row>
    <row r="166">
      <c r="C166" s="102"/>
      <c r="E166" s="113"/>
      <c r="F166" s="113"/>
      <c r="G166" s="113"/>
      <c r="H166" s="113"/>
    </row>
    <row r="167">
      <c r="C167" s="102"/>
      <c r="E167" s="113"/>
      <c r="F167" s="113"/>
      <c r="G167" s="113"/>
      <c r="H167" s="113"/>
    </row>
    <row r="168">
      <c r="C168" s="102"/>
      <c r="E168" s="113"/>
      <c r="F168" s="113"/>
      <c r="G168" s="113"/>
      <c r="H168" s="113"/>
    </row>
    <row r="169">
      <c r="C169" s="102"/>
      <c r="E169" s="113"/>
      <c r="F169" s="113"/>
      <c r="G169" s="113"/>
      <c r="H169" s="113"/>
    </row>
    <row r="170">
      <c r="C170" s="102"/>
      <c r="E170" s="113"/>
      <c r="F170" s="113"/>
      <c r="G170" s="113"/>
      <c r="H170" s="113"/>
    </row>
    <row r="171">
      <c r="C171" s="102"/>
      <c r="E171" s="113"/>
      <c r="F171" s="113"/>
      <c r="G171" s="113"/>
      <c r="H171" s="113"/>
    </row>
    <row r="172">
      <c r="C172" s="102"/>
      <c r="E172" s="113"/>
      <c r="F172" s="113"/>
      <c r="G172" s="113"/>
      <c r="H172" s="113"/>
    </row>
    <row r="173">
      <c r="C173" s="102"/>
      <c r="E173" s="113"/>
      <c r="F173" s="113"/>
      <c r="G173" s="113"/>
      <c r="H173" s="113"/>
    </row>
    <row r="174">
      <c r="C174" s="102"/>
      <c r="E174" s="113"/>
      <c r="F174" s="113"/>
      <c r="G174" s="113"/>
      <c r="H174" s="113"/>
    </row>
    <row r="175">
      <c r="C175" s="102"/>
      <c r="E175" s="113"/>
      <c r="F175" s="113"/>
      <c r="G175" s="113"/>
      <c r="H175" s="113"/>
    </row>
    <row r="176">
      <c r="C176" s="102"/>
      <c r="E176" s="113"/>
      <c r="F176" s="113"/>
      <c r="G176" s="113"/>
      <c r="H176" s="113"/>
    </row>
    <row r="177">
      <c r="C177" s="102"/>
      <c r="E177" s="113"/>
      <c r="F177" s="113"/>
      <c r="G177" s="113"/>
      <c r="H177" s="113"/>
    </row>
    <row r="178">
      <c r="C178" s="102"/>
      <c r="E178" s="113"/>
      <c r="F178" s="113"/>
      <c r="G178" s="113"/>
      <c r="H178" s="113"/>
    </row>
    <row r="179">
      <c r="C179" s="102"/>
      <c r="E179" s="113"/>
      <c r="F179" s="113"/>
      <c r="G179" s="113"/>
      <c r="H179" s="113"/>
    </row>
    <row r="180">
      <c r="C180" s="102"/>
      <c r="E180" s="113"/>
      <c r="F180" s="113"/>
      <c r="G180" s="113"/>
      <c r="H180" s="113"/>
    </row>
    <row r="181">
      <c r="C181" s="102"/>
      <c r="E181" s="113"/>
      <c r="F181" s="113"/>
      <c r="G181" s="113"/>
      <c r="H181" s="113"/>
    </row>
    <row r="182">
      <c r="C182" s="102"/>
      <c r="E182" s="113"/>
      <c r="F182" s="113"/>
      <c r="G182" s="113"/>
      <c r="H182" s="113"/>
    </row>
    <row r="183">
      <c r="C183" s="102"/>
      <c r="E183" s="113"/>
      <c r="F183" s="113"/>
      <c r="G183" s="113"/>
      <c r="H183" s="113"/>
    </row>
    <row r="184">
      <c r="C184" s="102"/>
      <c r="E184" s="113"/>
      <c r="F184" s="113"/>
      <c r="G184" s="113"/>
      <c r="H184" s="113"/>
    </row>
    <row r="185">
      <c r="C185" s="102"/>
      <c r="E185" s="113"/>
      <c r="F185" s="113"/>
      <c r="G185" s="113"/>
      <c r="H185" s="113"/>
    </row>
    <row r="186">
      <c r="C186" s="102"/>
      <c r="E186" s="113"/>
      <c r="F186" s="113"/>
      <c r="G186" s="113"/>
      <c r="H186" s="113"/>
    </row>
    <row r="187">
      <c r="C187" s="102"/>
      <c r="E187" s="113"/>
      <c r="F187" s="113"/>
      <c r="G187" s="113"/>
      <c r="H187" s="113"/>
    </row>
    <row r="188">
      <c r="C188" s="102"/>
      <c r="E188" s="113"/>
      <c r="F188" s="113"/>
      <c r="G188" s="113"/>
      <c r="H188" s="113"/>
    </row>
    <row r="189">
      <c r="C189" s="102"/>
      <c r="E189" s="113"/>
      <c r="F189" s="113"/>
      <c r="G189" s="113"/>
      <c r="H189" s="113"/>
    </row>
    <row r="190">
      <c r="C190" s="102"/>
      <c r="E190" s="113"/>
      <c r="F190" s="113"/>
      <c r="G190" s="113"/>
      <c r="H190" s="113"/>
    </row>
    <row r="191">
      <c r="C191" s="102"/>
      <c r="E191" s="113"/>
      <c r="F191" s="113"/>
      <c r="G191" s="113"/>
      <c r="H191" s="113"/>
    </row>
    <row r="192">
      <c r="C192" s="102"/>
      <c r="E192" s="113"/>
      <c r="F192" s="113"/>
      <c r="G192" s="113"/>
      <c r="H192" s="113"/>
    </row>
    <row r="193">
      <c r="C193" s="102"/>
      <c r="E193" s="113"/>
      <c r="F193" s="113"/>
      <c r="G193" s="113"/>
      <c r="H193" s="113"/>
    </row>
    <row r="194">
      <c r="C194" s="102"/>
      <c r="E194" s="113"/>
      <c r="F194" s="113"/>
      <c r="G194" s="113"/>
      <c r="H194" s="113"/>
    </row>
    <row r="195">
      <c r="C195" s="102"/>
      <c r="E195" s="113"/>
      <c r="F195" s="113"/>
      <c r="G195" s="113"/>
      <c r="H195" s="113"/>
    </row>
    <row r="196">
      <c r="C196" s="102"/>
      <c r="E196" s="113"/>
      <c r="F196" s="113"/>
      <c r="G196" s="113"/>
      <c r="H196" s="113"/>
    </row>
    <row r="197">
      <c r="C197" s="102"/>
      <c r="E197" s="113"/>
      <c r="F197" s="113"/>
      <c r="G197" s="113"/>
      <c r="H197" s="113"/>
    </row>
    <row r="198">
      <c r="C198" s="102"/>
      <c r="E198" s="113"/>
      <c r="F198" s="113"/>
      <c r="G198" s="113"/>
      <c r="H198" s="113"/>
    </row>
    <row r="199">
      <c r="C199" s="102"/>
      <c r="E199" s="113"/>
      <c r="F199" s="113"/>
      <c r="G199" s="113"/>
      <c r="H199" s="113"/>
    </row>
    <row r="200">
      <c r="C200" s="102"/>
      <c r="E200" s="113"/>
      <c r="F200" s="113"/>
      <c r="G200" s="113"/>
      <c r="H200" s="113"/>
    </row>
    <row r="201">
      <c r="C201" s="102"/>
      <c r="E201" s="113"/>
      <c r="F201" s="113"/>
      <c r="G201" s="113"/>
      <c r="H201" s="113"/>
    </row>
    <row r="202">
      <c r="C202" s="102"/>
      <c r="E202" s="113"/>
      <c r="F202" s="113"/>
      <c r="G202" s="113"/>
      <c r="H202" s="113"/>
    </row>
    <row r="203">
      <c r="C203" s="102"/>
      <c r="E203" s="113"/>
      <c r="F203" s="113"/>
      <c r="G203" s="113"/>
      <c r="H203" s="113"/>
    </row>
    <row r="204">
      <c r="C204" s="102"/>
      <c r="E204" s="113"/>
      <c r="F204" s="113"/>
      <c r="G204" s="113"/>
      <c r="H204" s="113"/>
    </row>
    <row r="205">
      <c r="C205" s="102"/>
      <c r="E205" s="113"/>
      <c r="F205" s="113"/>
      <c r="G205" s="113"/>
      <c r="H205" s="113"/>
    </row>
    <row r="206">
      <c r="C206" s="102"/>
      <c r="E206" s="113"/>
      <c r="F206" s="113"/>
      <c r="G206" s="113"/>
      <c r="H206" s="113"/>
    </row>
    <row r="207">
      <c r="C207" s="102"/>
      <c r="E207" s="113"/>
      <c r="F207" s="113"/>
      <c r="G207" s="113"/>
      <c r="H207" s="113"/>
    </row>
    <row r="208">
      <c r="C208" s="102"/>
      <c r="E208" s="113"/>
      <c r="F208" s="113"/>
      <c r="G208" s="113"/>
      <c r="H208" s="113"/>
    </row>
    <row r="209">
      <c r="C209" s="102"/>
      <c r="E209" s="113"/>
      <c r="F209" s="113"/>
      <c r="G209" s="113"/>
      <c r="H209" s="113"/>
    </row>
    <row r="210">
      <c r="C210" s="102"/>
      <c r="E210" s="113"/>
      <c r="F210" s="113"/>
      <c r="G210" s="113"/>
      <c r="H210" s="113"/>
    </row>
    <row r="211">
      <c r="C211" s="102"/>
      <c r="E211" s="113"/>
      <c r="F211" s="113"/>
      <c r="G211" s="113"/>
      <c r="H211" s="113"/>
    </row>
    <row r="212">
      <c r="C212" s="102"/>
      <c r="E212" s="113"/>
      <c r="F212" s="113"/>
      <c r="G212" s="113"/>
      <c r="H212" s="113"/>
    </row>
    <row r="213">
      <c r="C213" s="102"/>
      <c r="E213" s="113"/>
      <c r="F213" s="113"/>
      <c r="G213" s="113"/>
      <c r="H213" s="113"/>
    </row>
    <row r="214">
      <c r="C214" s="102"/>
      <c r="E214" s="113"/>
      <c r="F214" s="113"/>
      <c r="G214" s="113"/>
      <c r="H214" s="113"/>
    </row>
    <row r="215">
      <c r="C215" s="102"/>
      <c r="E215" s="113"/>
      <c r="F215" s="113"/>
      <c r="G215" s="113"/>
      <c r="H215" s="113"/>
    </row>
    <row r="216">
      <c r="C216" s="102"/>
      <c r="E216" s="113"/>
      <c r="F216" s="113"/>
      <c r="G216" s="113"/>
      <c r="H216" s="113"/>
    </row>
    <row r="217">
      <c r="C217" s="102"/>
      <c r="E217" s="113"/>
      <c r="F217" s="113"/>
      <c r="G217" s="113"/>
      <c r="H217" s="113"/>
    </row>
    <row r="218">
      <c r="C218" s="102"/>
      <c r="E218" s="113"/>
      <c r="F218" s="113"/>
      <c r="G218" s="113"/>
      <c r="H218" s="113"/>
    </row>
    <row r="219">
      <c r="C219" s="102"/>
      <c r="E219" s="113"/>
      <c r="F219" s="113"/>
      <c r="G219" s="113"/>
      <c r="H219" s="113"/>
    </row>
    <row r="220">
      <c r="C220" s="102"/>
      <c r="E220" s="113"/>
      <c r="F220" s="113"/>
      <c r="G220" s="113"/>
      <c r="H220" s="113"/>
    </row>
    <row r="221">
      <c r="C221" s="102"/>
      <c r="E221" s="113"/>
      <c r="F221" s="113"/>
      <c r="G221" s="113"/>
      <c r="H221" s="113"/>
    </row>
    <row r="222">
      <c r="C222" s="102"/>
      <c r="E222" s="113"/>
      <c r="F222" s="113"/>
      <c r="G222" s="113"/>
      <c r="H222" s="113"/>
    </row>
    <row r="223">
      <c r="C223" s="102"/>
      <c r="E223" s="113"/>
      <c r="F223" s="113"/>
      <c r="G223" s="113"/>
      <c r="H223" s="113"/>
    </row>
    <row r="224">
      <c r="C224" s="102"/>
      <c r="E224" s="113"/>
      <c r="F224" s="113"/>
      <c r="G224" s="113"/>
      <c r="H224" s="113"/>
    </row>
    <row r="225">
      <c r="C225" s="102"/>
      <c r="E225" s="113"/>
      <c r="F225" s="113"/>
      <c r="G225" s="113"/>
      <c r="H225" s="113"/>
    </row>
    <row r="226">
      <c r="C226" s="102"/>
      <c r="E226" s="113"/>
      <c r="F226" s="113"/>
      <c r="G226" s="113"/>
      <c r="H226" s="113"/>
    </row>
    <row r="227">
      <c r="C227" s="102"/>
      <c r="E227" s="113"/>
      <c r="F227" s="113"/>
      <c r="G227" s="113"/>
      <c r="H227" s="113"/>
    </row>
    <row r="228">
      <c r="C228" s="102"/>
      <c r="E228" s="113"/>
      <c r="F228" s="113"/>
      <c r="G228" s="113"/>
      <c r="H228" s="113"/>
    </row>
    <row r="229">
      <c r="C229" s="102"/>
      <c r="E229" s="113"/>
      <c r="F229" s="113"/>
      <c r="G229" s="113"/>
      <c r="H229" s="113"/>
    </row>
    <row r="230">
      <c r="C230" s="102"/>
      <c r="E230" s="113"/>
      <c r="F230" s="113"/>
      <c r="G230" s="113"/>
      <c r="H230" s="113"/>
    </row>
    <row r="231">
      <c r="C231" s="102"/>
      <c r="E231" s="113"/>
      <c r="F231" s="113"/>
      <c r="G231" s="113"/>
      <c r="H231" s="113"/>
    </row>
    <row r="232">
      <c r="C232" s="102"/>
      <c r="E232" s="113"/>
      <c r="F232" s="113"/>
      <c r="G232" s="113"/>
      <c r="H232" s="113"/>
    </row>
    <row r="233">
      <c r="C233" s="102"/>
      <c r="E233" s="113"/>
      <c r="F233" s="113"/>
      <c r="G233" s="113"/>
      <c r="H233" s="113"/>
    </row>
    <row r="234">
      <c r="C234" s="102"/>
      <c r="E234" s="113"/>
      <c r="F234" s="113"/>
      <c r="G234" s="113"/>
      <c r="H234" s="113"/>
    </row>
    <row r="235">
      <c r="C235" s="102"/>
      <c r="E235" s="113"/>
      <c r="F235" s="113"/>
      <c r="G235" s="113"/>
      <c r="H235" s="113"/>
    </row>
    <row r="236">
      <c r="C236" s="102"/>
      <c r="E236" s="113"/>
      <c r="F236" s="113"/>
      <c r="G236" s="113"/>
      <c r="H236" s="113"/>
    </row>
    <row r="237">
      <c r="C237" s="102"/>
      <c r="E237" s="113"/>
      <c r="F237" s="113"/>
      <c r="G237" s="113"/>
      <c r="H237" s="113"/>
    </row>
    <row r="238">
      <c r="C238" s="102"/>
      <c r="E238" s="113"/>
      <c r="F238" s="113"/>
      <c r="G238" s="113"/>
      <c r="H238" s="113"/>
    </row>
    <row r="239">
      <c r="C239" s="102"/>
      <c r="E239" s="113"/>
      <c r="F239" s="113"/>
      <c r="G239" s="113"/>
      <c r="H239" s="113"/>
    </row>
    <row r="240">
      <c r="C240" s="102"/>
      <c r="E240" s="113"/>
      <c r="F240" s="113"/>
      <c r="G240" s="113"/>
      <c r="H240" s="113"/>
    </row>
    <row r="241">
      <c r="C241" s="102"/>
      <c r="E241" s="113"/>
      <c r="F241" s="113"/>
      <c r="G241" s="113"/>
      <c r="H241" s="113"/>
    </row>
    <row r="242">
      <c r="C242" s="102"/>
      <c r="E242" s="113"/>
      <c r="F242" s="113"/>
      <c r="G242" s="113"/>
      <c r="H242" s="113"/>
    </row>
    <row r="243">
      <c r="C243" s="102"/>
      <c r="E243" s="113"/>
      <c r="F243" s="113"/>
      <c r="G243" s="113"/>
      <c r="H243" s="113"/>
    </row>
    <row r="244">
      <c r="C244" s="102"/>
      <c r="E244" s="113"/>
      <c r="F244" s="113"/>
      <c r="G244" s="113"/>
      <c r="H244" s="113"/>
    </row>
    <row r="245">
      <c r="C245" s="102"/>
      <c r="E245" s="113"/>
      <c r="F245" s="113"/>
      <c r="G245" s="113"/>
      <c r="H245" s="113"/>
    </row>
    <row r="246">
      <c r="C246" s="102"/>
      <c r="E246" s="113"/>
      <c r="F246" s="113"/>
      <c r="G246" s="113"/>
      <c r="H246" s="113"/>
    </row>
    <row r="247">
      <c r="C247" s="102"/>
      <c r="E247" s="113"/>
      <c r="F247" s="113"/>
      <c r="G247" s="113"/>
      <c r="H247" s="113"/>
    </row>
    <row r="248">
      <c r="C248" s="102"/>
      <c r="E248" s="113"/>
      <c r="F248" s="113"/>
      <c r="G248" s="113"/>
      <c r="H248" s="113"/>
    </row>
    <row r="249">
      <c r="C249" s="102"/>
      <c r="E249" s="113"/>
      <c r="F249" s="113"/>
      <c r="G249" s="113"/>
      <c r="H249" s="113"/>
    </row>
    <row r="250">
      <c r="C250" s="102"/>
      <c r="E250" s="113"/>
      <c r="F250" s="113"/>
      <c r="G250" s="113"/>
      <c r="H250" s="113"/>
    </row>
    <row r="251">
      <c r="C251" s="102"/>
      <c r="E251" s="113"/>
      <c r="F251" s="113"/>
      <c r="G251" s="113"/>
      <c r="H251" s="113"/>
    </row>
    <row r="252">
      <c r="C252" s="102"/>
      <c r="E252" s="113"/>
      <c r="F252" s="113"/>
      <c r="G252" s="113"/>
      <c r="H252" s="113"/>
    </row>
    <row r="253">
      <c r="C253" s="102"/>
      <c r="E253" s="113"/>
      <c r="F253" s="113"/>
      <c r="G253" s="113"/>
      <c r="H253" s="113"/>
    </row>
    <row r="254">
      <c r="C254" s="102"/>
      <c r="E254" s="113"/>
      <c r="F254" s="113"/>
      <c r="G254" s="113"/>
      <c r="H254" s="113"/>
    </row>
    <row r="255">
      <c r="C255" s="102"/>
      <c r="E255" s="113"/>
      <c r="F255" s="113"/>
      <c r="G255" s="113"/>
      <c r="H255" s="113"/>
    </row>
    <row r="256">
      <c r="C256" s="102"/>
      <c r="E256" s="113"/>
      <c r="F256" s="113"/>
      <c r="G256" s="113"/>
      <c r="H256" s="113"/>
    </row>
    <row r="257">
      <c r="C257" s="102"/>
      <c r="E257" s="113"/>
      <c r="F257" s="113"/>
      <c r="G257" s="113"/>
      <c r="H257" s="113"/>
    </row>
    <row r="258">
      <c r="C258" s="102"/>
      <c r="E258" s="113"/>
      <c r="F258" s="113"/>
      <c r="G258" s="113"/>
      <c r="H258" s="113"/>
    </row>
    <row r="259">
      <c r="C259" s="102"/>
      <c r="E259" s="113"/>
      <c r="F259" s="113"/>
      <c r="G259" s="113"/>
      <c r="H259" s="113"/>
    </row>
    <row r="260">
      <c r="C260" s="102"/>
      <c r="E260" s="113"/>
      <c r="F260" s="113"/>
      <c r="G260" s="113"/>
      <c r="H260" s="113"/>
    </row>
    <row r="261">
      <c r="C261" s="102"/>
      <c r="E261" s="113"/>
      <c r="F261" s="113"/>
      <c r="G261" s="113"/>
      <c r="H261" s="113"/>
    </row>
    <row r="262">
      <c r="C262" s="102"/>
      <c r="E262" s="113"/>
      <c r="F262" s="113"/>
      <c r="G262" s="113"/>
      <c r="H262" s="113"/>
    </row>
    <row r="263">
      <c r="C263" s="102"/>
      <c r="E263" s="113"/>
      <c r="F263" s="113"/>
      <c r="G263" s="113"/>
      <c r="H263" s="113"/>
    </row>
    <row r="264">
      <c r="C264" s="102"/>
      <c r="E264" s="113"/>
      <c r="F264" s="113"/>
      <c r="G264" s="113"/>
      <c r="H264" s="113"/>
    </row>
    <row r="265">
      <c r="C265" s="102"/>
      <c r="E265" s="113"/>
      <c r="F265" s="113"/>
      <c r="G265" s="113"/>
      <c r="H265" s="113"/>
    </row>
    <row r="266">
      <c r="C266" s="102"/>
      <c r="E266" s="113"/>
      <c r="F266" s="113"/>
      <c r="G266" s="113"/>
      <c r="H266" s="113"/>
    </row>
    <row r="267">
      <c r="C267" s="102"/>
      <c r="E267" s="113"/>
      <c r="F267" s="113"/>
      <c r="G267" s="113"/>
      <c r="H267" s="113"/>
    </row>
    <row r="268">
      <c r="C268" s="102"/>
      <c r="E268" s="113"/>
      <c r="F268" s="113"/>
      <c r="G268" s="113"/>
      <c r="H268" s="113"/>
    </row>
    <row r="269">
      <c r="C269" s="102"/>
      <c r="E269" s="113"/>
      <c r="F269" s="113"/>
      <c r="G269" s="113"/>
      <c r="H269" s="113"/>
    </row>
    <row r="270">
      <c r="C270" s="102"/>
      <c r="E270" s="113"/>
      <c r="F270" s="113"/>
      <c r="G270" s="113"/>
      <c r="H270" s="113"/>
    </row>
    <row r="271">
      <c r="C271" s="102"/>
      <c r="E271" s="113"/>
      <c r="F271" s="113"/>
      <c r="G271" s="113"/>
      <c r="H271" s="113"/>
    </row>
    <row r="272">
      <c r="C272" s="102"/>
      <c r="E272" s="113"/>
      <c r="F272" s="113"/>
      <c r="G272" s="113"/>
      <c r="H272" s="113"/>
    </row>
    <row r="273">
      <c r="C273" s="102"/>
      <c r="E273" s="113"/>
      <c r="F273" s="113"/>
      <c r="G273" s="113"/>
      <c r="H273" s="113"/>
    </row>
    <row r="274">
      <c r="C274" s="102"/>
      <c r="E274" s="113"/>
      <c r="F274" s="113"/>
      <c r="G274" s="113"/>
      <c r="H274" s="113"/>
    </row>
    <row r="275">
      <c r="C275" s="102"/>
      <c r="E275" s="113"/>
      <c r="F275" s="113"/>
      <c r="G275" s="113"/>
      <c r="H275" s="113"/>
    </row>
    <row r="276">
      <c r="C276" s="102"/>
      <c r="E276" s="113"/>
      <c r="F276" s="113"/>
      <c r="G276" s="113"/>
      <c r="H276" s="113"/>
    </row>
    <row r="277">
      <c r="C277" s="102"/>
      <c r="E277" s="113"/>
      <c r="F277" s="113"/>
      <c r="G277" s="113"/>
      <c r="H277" s="113"/>
    </row>
    <row r="278">
      <c r="C278" s="102"/>
      <c r="E278" s="113"/>
      <c r="F278" s="113"/>
      <c r="G278" s="113"/>
      <c r="H278" s="113"/>
    </row>
    <row r="279">
      <c r="C279" s="102"/>
      <c r="E279" s="113"/>
      <c r="F279" s="113"/>
      <c r="G279" s="113"/>
      <c r="H279" s="113"/>
    </row>
    <row r="280">
      <c r="C280" s="102"/>
      <c r="E280" s="113"/>
      <c r="F280" s="113"/>
      <c r="G280" s="113"/>
      <c r="H280" s="113"/>
    </row>
    <row r="281">
      <c r="C281" s="102"/>
      <c r="E281" s="113"/>
      <c r="F281" s="113"/>
      <c r="G281" s="113"/>
      <c r="H281" s="113"/>
    </row>
    <row r="282">
      <c r="C282" s="102"/>
      <c r="E282" s="113"/>
      <c r="F282" s="113"/>
      <c r="G282" s="113"/>
      <c r="H282" s="113"/>
    </row>
    <row r="283">
      <c r="C283" s="102"/>
      <c r="E283" s="113"/>
      <c r="F283" s="113"/>
      <c r="G283" s="113"/>
      <c r="H283" s="113"/>
    </row>
    <row r="284">
      <c r="C284" s="102"/>
      <c r="E284" s="113"/>
      <c r="F284" s="113"/>
      <c r="G284" s="113"/>
      <c r="H284" s="113"/>
    </row>
    <row r="285">
      <c r="C285" s="102"/>
      <c r="E285" s="113"/>
      <c r="F285" s="113"/>
      <c r="G285" s="113"/>
      <c r="H285" s="113"/>
    </row>
    <row r="286">
      <c r="C286" s="102"/>
      <c r="E286" s="113"/>
      <c r="F286" s="113"/>
      <c r="G286" s="113"/>
      <c r="H286" s="113"/>
    </row>
    <row r="287">
      <c r="C287" s="102"/>
      <c r="E287" s="113"/>
      <c r="F287" s="113"/>
      <c r="G287" s="113"/>
      <c r="H287" s="113"/>
    </row>
    <row r="288">
      <c r="C288" s="102"/>
      <c r="E288" s="113"/>
      <c r="F288" s="113"/>
      <c r="G288" s="113"/>
      <c r="H288" s="113"/>
    </row>
    <row r="289">
      <c r="C289" s="102"/>
      <c r="E289" s="113"/>
      <c r="F289" s="113"/>
      <c r="G289" s="113"/>
      <c r="H289" s="113"/>
    </row>
    <row r="290">
      <c r="C290" s="102"/>
      <c r="E290" s="113"/>
      <c r="F290" s="113"/>
      <c r="G290" s="113"/>
      <c r="H290" s="113"/>
    </row>
    <row r="291">
      <c r="C291" s="102"/>
      <c r="E291" s="113"/>
      <c r="F291" s="113"/>
      <c r="G291" s="113"/>
      <c r="H291" s="113"/>
    </row>
    <row r="292">
      <c r="C292" s="102"/>
      <c r="E292" s="113"/>
      <c r="F292" s="113"/>
      <c r="G292" s="113"/>
      <c r="H292" s="113"/>
    </row>
    <row r="293">
      <c r="C293" s="102"/>
      <c r="E293" s="113"/>
      <c r="F293" s="113"/>
      <c r="G293" s="113"/>
      <c r="H293" s="113"/>
    </row>
    <row r="294">
      <c r="C294" s="102"/>
      <c r="E294" s="113"/>
      <c r="F294" s="113"/>
      <c r="G294" s="113"/>
      <c r="H294" s="113"/>
    </row>
    <row r="295">
      <c r="C295" s="102"/>
      <c r="E295" s="113"/>
      <c r="F295" s="113"/>
      <c r="G295" s="113"/>
      <c r="H295" s="113"/>
    </row>
    <row r="296">
      <c r="C296" s="102"/>
      <c r="E296" s="113"/>
      <c r="F296" s="113"/>
      <c r="G296" s="113"/>
      <c r="H296" s="113"/>
    </row>
    <row r="297">
      <c r="C297" s="102"/>
      <c r="E297" s="113"/>
      <c r="F297" s="113"/>
      <c r="G297" s="113"/>
      <c r="H297" s="113"/>
    </row>
    <row r="298">
      <c r="C298" s="102"/>
      <c r="E298" s="113"/>
      <c r="F298" s="113"/>
      <c r="G298" s="113"/>
      <c r="H298" s="113"/>
    </row>
    <row r="299">
      <c r="C299" s="102"/>
      <c r="E299" s="113"/>
      <c r="F299" s="113"/>
      <c r="G299" s="113"/>
      <c r="H299" s="113"/>
    </row>
    <row r="300">
      <c r="C300" s="102"/>
      <c r="E300" s="113"/>
      <c r="F300" s="113"/>
      <c r="G300" s="113"/>
      <c r="H300" s="113"/>
    </row>
    <row r="301">
      <c r="C301" s="102"/>
      <c r="E301" s="113"/>
      <c r="F301" s="113"/>
      <c r="G301" s="113"/>
      <c r="H301" s="113"/>
    </row>
    <row r="302">
      <c r="C302" s="102"/>
      <c r="E302" s="113"/>
      <c r="F302" s="113"/>
      <c r="G302" s="113"/>
      <c r="H302" s="113"/>
    </row>
    <row r="303">
      <c r="C303" s="102"/>
      <c r="E303" s="113"/>
      <c r="F303" s="113"/>
      <c r="G303" s="113"/>
      <c r="H303" s="113"/>
    </row>
    <row r="304">
      <c r="C304" s="102"/>
      <c r="E304" s="113"/>
      <c r="F304" s="113"/>
      <c r="G304" s="113"/>
      <c r="H304" s="113"/>
    </row>
    <row r="305">
      <c r="C305" s="102"/>
      <c r="E305" s="113"/>
      <c r="F305" s="113"/>
      <c r="G305" s="113"/>
      <c r="H305" s="113"/>
    </row>
    <row r="306">
      <c r="C306" s="102"/>
      <c r="E306" s="113"/>
      <c r="F306" s="113"/>
      <c r="G306" s="113"/>
      <c r="H306" s="113"/>
    </row>
    <row r="307">
      <c r="C307" s="102"/>
      <c r="E307" s="113"/>
      <c r="F307" s="113"/>
      <c r="G307" s="113"/>
      <c r="H307" s="113"/>
    </row>
    <row r="308">
      <c r="C308" s="102"/>
      <c r="E308" s="113"/>
      <c r="F308" s="113"/>
      <c r="G308" s="113"/>
      <c r="H308" s="113"/>
    </row>
    <row r="309">
      <c r="C309" s="102"/>
      <c r="E309" s="113"/>
      <c r="F309" s="113"/>
      <c r="G309" s="113"/>
      <c r="H309" s="113"/>
    </row>
    <row r="310">
      <c r="C310" s="102"/>
      <c r="E310" s="113"/>
      <c r="F310" s="113"/>
      <c r="G310" s="113"/>
      <c r="H310" s="113"/>
    </row>
    <row r="311">
      <c r="C311" s="102"/>
      <c r="E311" s="113"/>
      <c r="F311" s="113"/>
      <c r="G311" s="113"/>
      <c r="H311" s="113"/>
    </row>
    <row r="312">
      <c r="C312" s="102"/>
      <c r="E312" s="113"/>
      <c r="F312" s="113"/>
      <c r="G312" s="113"/>
      <c r="H312" s="113"/>
    </row>
    <row r="313">
      <c r="C313" s="102"/>
      <c r="E313" s="113"/>
      <c r="F313" s="113"/>
      <c r="G313" s="113"/>
      <c r="H313" s="113"/>
    </row>
    <row r="314">
      <c r="C314" s="102"/>
      <c r="E314" s="113"/>
      <c r="F314" s="113"/>
      <c r="G314" s="113"/>
      <c r="H314" s="113"/>
    </row>
    <row r="315">
      <c r="C315" s="102"/>
      <c r="E315" s="113"/>
      <c r="F315" s="113"/>
      <c r="G315" s="113"/>
      <c r="H315" s="113"/>
    </row>
    <row r="316">
      <c r="C316" s="102"/>
      <c r="E316" s="113"/>
      <c r="F316" s="113"/>
      <c r="G316" s="113"/>
      <c r="H316" s="113"/>
    </row>
    <row r="317">
      <c r="C317" s="102"/>
      <c r="E317" s="113"/>
      <c r="F317" s="113"/>
      <c r="G317" s="113"/>
      <c r="H317" s="113"/>
    </row>
    <row r="318">
      <c r="C318" s="102"/>
      <c r="E318" s="113"/>
      <c r="F318" s="113"/>
      <c r="G318" s="113"/>
      <c r="H318" s="113"/>
    </row>
    <row r="319">
      <c r="C319" s="102"/>
      <c r="E319" s="113"/>
      <c r="F319" s="113"/>
      <c r="G319" s="113"/>
      <c r="H319" s="113"/>
    </row>
    <row r="320">
      <c r="C320" s="102"/>
      <c r="E320" s="113"/>
      <c r="F320" s="113"/>
      <c r="G320" s="113"/>
      <c r="H320" s="113"/>
    </row>
    <row r="321">
      <c r="C321" s="102"/>
      <c r="E321" s="113"/>
      <c r="F321" s="113"/>
      <c r="G321" s="113"/>
      <c r="H321" s="113"/>
    </row>
    <row r="322">
      <c r="C322" s="102"/>
      <c r="E322" s="113"/>
      <c r="F322" s="113"/>
      <c r="G322" s="113"/>
      <c r="H322" s="113"/>
    </row>
    <row r="323">
      <c r="C323" s="102"/>
      <c r="E323" s="113"/>
      <c r="F323" s="113"/>
      <c r="G323" s="113"/>
      <c r="H323" s="113"/>
    </row>
    <row r="324">
      <c r="C324" s="102"/>
      <c r="E324" s="113"/>
      <c r="F324" s="113"/>
      <c r="G324" s="113"/>
      <c r="H324" s="113"/>
    </row>
    <row r="325">
      <c r="C325" s="102"/>
      <c r="E325" s="113"/>
      <c r="F325" s="113"/>
      <c r="G325" s="113"/>
      <c r="H325" s="113"/>
    </row>
    <row r="326">
      <c r="C326" s="102"/>
      <c r="E326" s="113"/>
      <c r="F326" s="113"/>
      <c r="G326" s="113"/>
      <c r="H326" s="113"/>
    </row>
    <row r="327">
      <c r="C327" s="102"/>
      <c r="E327" s="113"/>
      <c r="F327" s="113"/>
      <c r="G327" s="113"/>
      <c r="H327" s="113"/>
    </row>
    <row r="328">
      <c r="C328" s="102"/>
      <c r="E328" s="113"/>
      <c r="F328" s="113"/>
      <c r="G328" s="113"/>
      <c r="H328" s="113"/>
    </row>
    <row r="329">
      <c r="C329" s="102"/>
      <c r="E329" s="113"/>
      <c r="F329" s="113"/>
      <c r="G329" s="113"/>
      <c r="H329" s="113"/>
    </row>
    <row r="330">
      <c r="C330" s="102"/>
      <c r="E330" s="113"/>
      <c r="F330" s="113"/>
      <c r="G330" s="113"/>
      <c r="H330" s="113"/>
    </row>
    <row r="331">
      <c r="C331" s="102"/>
      <c r="E331" s="113"/>
      <c r="F331" s="113"/>
      <c r="G331" s="113"/>
      <c r="H331" s="113"/>
    </row>
    <row r="332">
      <c r="C332" s="102"/>
      <c r="E332" s="113"/>
      <c r="F332" s="113"/>
      <c r="G332" s="113"/>
      <c r="H332" s="113"/>
    </row>
    <row r="333">
      <c r="C333" s="102"/>
      <c r="E333" s="113"/>
      <c r="F333" s="113"/>
      <c r="G333" s="113"/>
      <c r="H333" s="113"/>
    </row>
    <row r="334">
      <c r="C334" s="102"/>
      <c r="E334" s="113"/>
      <c r="F334" s="113"/>
      <c r="G334" s="113"/>
      <c r="H334" s="113"/>
    </row>
    <row r="335">
      <c r="C335" s="102"/>
      <c r="E335" s="113"/>
      <c r="F335" s="113"/>
      <c r="G335" s="113"/>
      <c r="H335" s="113"/>
    </row>
    <row r="336">
      <c r="C336" s="102"/>
      <c r="E336" s="113"/>
      <c r="F336" s="113"/>
      <c r="G336" s="113"/>
      <c r="H336" s="113"/>
    </row>
    <row r="337">
      <c r="C337" s="102"/>
      <c r="E337" s="113"/>
      <c r="F337" s="113"/>
      <c r="G337" s="113"/>
      <c r="H337" s="113"/>
    </row>
    <row r="338">
      <c r="C338" s="102"/>
      <c r="E338" s="113"/>
      <c r="F338" s="113"/>
      <c r="G338" s="113"/>
      <c r="H338" s="113"/>
    </row>
    <row r="339">
      <c r="C339" s="102"/>
      <c r="E339" s="113"/>
      <c r="F339" s="113"/>
      <c r="G339" s="113"/>
      <c r="H339" s="113"/>
    </row>
    <row r="340">
      <c r="C340" s="102"/>
      <c r="E340" s="113"/>
      <c r="F340" s="113"/>
      <c r="G340" s="113"/>
      <c r="H340" s="113"/>
    </row>
    <row r="341">
      <c r="C341" s="102"/>
      <c r="E341" s="113"/>
      <c r="F341" s="113"/>
      <c r="G341" s="113"/>
      <c r="H341" s="113"/>
    </row>
    <row r="342">
      <c r="C342" s="102"/>
      <c r="E342" s="113"/>
      <c r="F342" s="113"/>
      <c r="G342" s="113"/>
      <c r="H342" s="113"/>
    </row>
    <row r="343">
      <c r="C343" s="102"/>
      <c r="E343" s="113"/>
      <c r="F343" s="113"/>
      <c r="G343" s="113"/>
      <c r="H343" s="113"/>
    </row>
    <row r="344">
      <c r="C344" s="102"/>
      <c r="E344" s="113"/>
      <c r="F344" s="113"/>
      <c r="G344" s="113"/>
      <c r="H344" s="113"/>
    </row>
    <row r="345">
      <c r="C345" s="102"/>
      <c r="E345" s="113"/>
      <c r="F345" s="113"/>
      <c r="G345" s="113"/>
      <c r="H345" s="113"/>
    </row>
    <row r="346">
      <c r="C346" s="102"/>
      <c r="E346" s="113"/>
      <c r="F346" s="113"/>
      <c r="G346" s="113"/>
      <c r="H346" s="113"/>
    </row>
    <row r="347">
      <c r="C347" s="102"/>
      <c r="E347" s="113"/>
      <c r="F347" s="113"/>
      <c r="G347" s="113"/>
      <c r="H347" s="113"/>
    </row>
    <row r="348">
      <c r="C348" s="102"/>
      <c r="E348" s="113"/>
      <c r="F348" s="113"/>
      <c r="G348" s="113"/>
      <c r="H348" s="113"/>
    </row>
    <row r="349">
      <c r="C349" s="102"/>
      <c r="E349" s="113"/>
      <c r="F349" s="113"/>
      <c r="G349" s="113"/>
      <c r="H349" s="113"/>
    </row>
    <row r="350">
      <c r="C350" s="102"/>
      <c r="E350" s="113"/>
      <c r="F350" s="113"/>
      <c r="G350" s="113"/>
      <c r="H350" s="113"/>
    </row>
    <row r="351">
      <c r="C351" s="102"/>
      <c r="E351" s="113"/>
      <c r="F351" s="113"/>
      <c r="G351" s="113"/>
      <c r="H351" s="113"/>
    </row>
    <row r="352">
      <c r="C352" s="102"/>
      <c r="E352" s="113"/>
      <c r="F352" s="113"/>
      <c r="G352" s="113"/>
      <c r="H352" s="113"/>
    </row>
    <row r="353">
      <c r="C353" s="102"/>
      <c r="E353" s="113"/>
      <c r="F353" s="113"/>
      <c r="G353" s="113"/>
      <c r="H353" s="113"/>
    </row>
    <row r="354">
      <c r="C354" s="102"/>
      <c r="E354" s="113"/>
      <c r="F354" s="113"/>
      <c r="G354" s="113"/>
      <c r="H354" s="113"/>
    </row>
    <row r="355">
      <c r="C355" s="102"/>
      <c r="E355" s="113"/>
      <c r="F355" s="113"/>
      <c r="G355" s="113"/>
      <c r="H355" s="113"/>
    </row>
    <row r="356">
      <c r="C356" s="102"/>
      <c r="E356" s="113"/>
      <c r="F356" s="113"/>
      <c r="G356" s="113"/>
      <c r="H356" s="113"/>
    </row>
    <row r="357">
      <c r="C357" s="102"/>
      <c r="E357" s="113"/>
      <c r="F357" s="113"/>
      <c r="G357" s="113"/>
      <c r="H357" s="113"/>
    </row>
    <row r="358">
      <c r="C358" s="102"/>
      <c r="E358" s="113"/>
      <c r="F358" s="113"/>
      <c r="G358" s="113"/>
      <c r="H358" s="113"/>
    </row>
    <row r="359">
      <c r="C359" s="102"/>
      <c r="E359" s="113"/>
      <c r="F359" s="113"/>
      <c r="G359" s="113"/>
      <c r="H359" s="113"/>
    </row>
    <row r="360">
      <c r="C360" s="102"/>
      <c r="E360" s="113"/>
      <c r="F360" s="113"/>
      <c r="G360" s="113"/>
      <c r="H360" s="113"/>
    </row>
    <row r="361">
      <c r="C361" s="102"/>
      <c r="E361" s="113"/>
      <c r="F361" s="113"/>
      <c r="G361" s="113"/>
      <c r="H361" s="113"/>
    </row>
    <row r="362">
      <c r="C362" s="102"/>
      <c r="E362" s="113"/>
      <c r="F362" s="113"/>
      <c r="G362" s="113"/>
      <c r="H362" s="113"/>
    </row>
    <row r="363">
      <c r="C363" s="102"/>
      <c r="E363" s="113"/>
      <c r="F363" s="113"/>
      <c r="G363" s="113"/>
      <c r="H363" s="113"/>
    </row>
    <row r="364">
      <c r="C364" s="102"/>
      <c r="E364" s="113"/>
      <c r="F364" s="113"/>
      <c r="G364" s="113"/>
      <c r="H364" s="113"/>
    </row>
    <row r="365">
      <c r="C365" s="102"/>
      <c r="E365" s="113"/>
      <c r="F365" s="113"/>
      <c r="G365" s="113"/>
      <c r="H365" s="113"/>
    </row>
    <row r="366">
      <c r="C366" s="102"/>
      <c r="E366" s="113"/>
      <c r="F366" s="113"/>
      <c r="G366" s="113"/>
      <c r="H366" s="113"/>
    </row>
    <row r="367">
      <c r="C367" s="102"/>
      <c r="E367" s="113"/>
      <c r="F367" s="113"/>
      <c r="G367" s="113"/>
      <c r="H367" s="113"/>
    </row>
    <row r="368">
      <c r="C368" s="102"/>
      <c r="E368" s="113"/>
      <c r="F368" s="113"/>
      <c r="G368" s="113"/>
      <c r="H368" s="113"/>
    </row>
    <row r="369">
      <c r="C369" s="102"/>
      <c r="E369" s="113"/>
      <c r="F369" s="113"/>
      <c r="G369" s="113"/>
      <c r="H369" s="113"/>
    </row>
    <row r="370">
      <c r="C370" s="102"/>
      <c r="E370" s="113"/>
      <c r="F370" s="113"/>
      <c r="G370" s="113"/>
      <c r="H370" s="113"/>
    </row>
    <row r="371">
      <c r="C371" s="102"/>
      <c r="E371" s="113"/>
      <c r="F371" s="113"/>
      <c r="G371" s="113"/>
      <c r="H371" s="113"/>
    </row>
    <row r="372">
      <c r="C372" s="102"/>
      <c r="E372" s="113"/>
      <c r="F372" s="113"/>
      <c r="G372" s="113"/>
      <c r="H372" s="113"/>
    </row>
    <row r="373">
      <c r="C373" s="102"/>
      <c r="E373" s="113"/>
      <c r="F373" s="113"/>
      <c r="G373" s="113"/>
      <c r="H373" s="113"/>
    </row>
    <row r="374">
      <c r="C374" s="102"/>
      <c r="E374" s="113"/>
      <c r="F374" s="113"/>
      <c r="G374" s="113"/>
      <c r="H374" s="113"/>
    </row>
    <row r="375">
      <c r="C375" s="102"/>
      <c r="E375" s="113"/>
      <c r="F375" s="113"/>
      <c r="G375" s="113"/>
      <c r="H375" s="113"/>
    </row>
    <row r="376">
      <c r="C376" s="102"/>
      <c r="E376" s="113"/>
      <c r="F376" s="113"/>
      <c r="G376" s="113"/>
      <c r="H376" s="113"/>
    </row>
    <row r="377">
      <c r="C377" s="102"/>
      <c r="E377" s="113"/>
      <c r="F377" s="113"/>
      <c r="G377" s="113"/>
      <c r="H377" s="113"/>
    </row>
    <row r="378">
      <c r="C378" s="102"/>
      <c r="E378" s="113"/>
      <c r="F378" s="113"/>
      <c r="G378" s="113"/>
      <c r="H378" s="113"/>
    </row>
    <row r="379">
      <c r="C379" s="102"/>
      <c r="E379" s="113"/>
      <c r="F379" s="113"/>
      <c r="G379" s="113"/>
      <c r="H379" s="113"/>
    </row>
    <row r="380">
      <c r="C380" s="102"/>
      <c r="E380" s="113"/>
      <c r="F380" s="113"/>
      <c r="G380" s="113"/>
      <c r="H380" s="113"/>
    </row>
    <row r="381">
      <c r="C381" s="102"/>
      <c r="E381" s="113"/>
      <c r="F381" s="113"/>
      <c r="G381" s="113"/>
      <c r="H381" s="113"/>
    </row>
    <row r="382">
      <c r="C382" s="102"/>
      <c r="E382" s="113"/>
      <c r="F382" s="113"/>
      <c r="G382" s="113"/>
      <c r="H382" s="113"/>
    </row>
    <row r="383">
      <c r="C383" s="102"/>
      <c r="E383" s="113"/>
      <c r="F383" s="113"/>
      <c r="G383" s="113"/>
      <c r="H383" s="113"/>
    </row>
    <row r="384">
      <c r="C384" s="102"/>
      <c r="E384" s="113"/>
      <c r="F384" s="113"/>
      <c r="G384" s="113"/>
      <c r="H384" s="113"/>
    </row>
    <row r="385">
      <c r="C385" s="102"/>
      <c r="E385" s="113"/>
      <c r="F385" s="113"/>
      <c r="G385" s="113"/>
      <c r="H385" s="113"/>
    </row>
    <row r="386">
      <c r="C386" s="102"/>
      <c r="E386" s="113"/>
      <c r="F386" s="113"/>
      <c r="G386" s="113"/>
      <c r="H386" s="113"/>
    </row>
    <row r="387">
      <c r="C387" s="102"/>
      <c r="E387" s="113"/>
      <c r="F387" s="113"/>
      <c r="G387" s="113"/>
      <c r="H387" s="113"/>
    </row>
    <row r="388">
      <c r="C388" s="102"/>
      <c r="E388" s="113"/>
      <c r="F388" s="113"/>
      <c r="G388" s="113"/>
      <c r="H388" s="113"/>
    </row>
    <row r="389">
      <c r="C389" s="102"/>
      <c r="E389" s="113"/>
      <c r="F389" s="113"/>
      <c r="G389" s="113"/>
      <c r="H389" s="113"/>
    </row>
    <row r="390">
      <c r="C390" s="102"/>
      <c r="E390" s="113"/>
      <c r="F390" s="113"/>
      <c r="G390" s="113"/>
      <c r="H390" s="113"/>
    </row>
    <row r="391">
      <c r="C391" s="102"/>
      <c r="E391" s="113"/>
      <c r="F391" s="113"/>
      <c r="G391" s="113"/>
      <c r="H391" s="113"/>
    </row>
    <row r="392">
      <c r="C392" s="102"/>
      <c r="E392" s="113"/>
      <c r="F392" s="113"/>
      <c r="G392" s="113"/>
      <c r="H392" s="113"/>
    </row>
    <row r="393">
      <c r="C393" s="102"/>
      <c r="E393" s="113"/>
      <c r="F393" s="113"/>
      <c r="G393" s="113"/>
      <c r="H393" s="113"/>
    </row>
    <row r="394">
      <c r="C394" s="102"/>
      <c r="E394" s="113"/>
      <c r="F394" s="113"/>
      <c r="G394" s="113"/>
      <c r="H394" s="113"/>
    </row>
    <row r="395">
      <c r="C395" s="102"/>
      <c r="E395" s="113"/>
      <c r="F395" s="113"/>
      <c r="G395" s="113"/>
      <c r="H395" s="113"/>
    </row>
    <row r="396">
      <c r="C396" s="102"/>
      <c r="E396" s="113"/>
      <c r="F396" s="113"/>
      <c r="G396" s="113"/>
      <c r="H396" s="113"/>
    </row>
    <row r="397">
      <c r="C397" s="102"/>
      <c r="E397" s="113"/>
      <c r="F397" s="113"/>
      <c r="G397" s="113"/>
      <c r="H397" s="113"/>
    </row>
    <row r="398">
      <c r="C398" s="102"/>
      <c r="E398" s="113"/>
      <c r="F398" s="113"/>
      <c r="G398" s="113"/>
      <c r="H398" s="113"/>
    </row>
    <row r="399">
      <c r="C399" s="102"/>
      <c r="E399" s="113"/>
      <c r="F399" s="113"/>
      <c r="G399" s="113"/>
      <c r="H399" s="113"/>
    </row>
    <row r="400">
      <c r="C400" s="102"/>
      <c r="E400" s="113"/>
      <c r="F400" s="113"/>
      <c r="G400" s="113"/>
      <c r="H400" s="113"/>
    </row>
    <row r="401">
      <c r="C401" s="102"/>
      <c r="E401" s="113"/>
      <c r="F401" s="113"/>
      <c r="G401" s="113"/>
      <c r="H401" s="113"/>
    </row>
    <row r="402">
      <c r="C402" s="102"/>
      <c r="E402" s="113"/>
      <c r="F402" s="113"/>
      <c r="G402" s="113"/>
      <c r="H402" s="113"/>
    </row>
    <row r="403">
      <c r="C403" s="102"/>
      <c r="E403" s="113"/>
      <c r="F403" s="113"/>
      <c r="G403" s="113"/>
      <c r="H403" s="113"/>
    </row>
    <row r="404">
      <c r="C404" s="102"/>
      <c r="E404" s="113"/>
      <c r="F404" s="113"/>
      <c r="G404" s="113"/>
      <c r="H404" s="113"/>
    </row>
    <row r="405">
      <c r="C405" s="102"/>
      <c r="E405" s="113"/>
      <c r="F405" s="113"/>
      <c r="G405" s="113"/>
      <c r="H405" s="113"/>
    </row>
    <row r="406">
      <c r="C406" s="102"/>
      <c r="E406" s="113"/>
      <c r="F406" s="113"/>
      <c r="G406" s="113"/>
      <c r="H406" s="113"/>
    </row>
    <row r="407">
      <c r="C407" s="102"/>
      <c r="E407" s="113"/>
      <c r="F407" s="113"/>
      <c r="G407" s="113"/>
      <c r="H407" s="113"/>
    </row>
    <row r="408">
      <c r="C408" s="102"/>
      <c r="E408" s="113"/>
      <c r="F408" s="113"/>
      <c r="G408" s="113"/>
      <c r="H408" s="113"/>
    </row>
    <row r="409">
      <c r="C409" s="102"/>
      <c r="E409" s="113"/>
      <c r="F409" s="113"/>
      <c r="G409" s="113"/>
      <c r="H409" s="113"/>
    </row>
    <row r="410">
      <c r="C410" s="102"/>
      <c r="E410" s="113"/>
      <c r="F410" s="113"/>
      <c r="G410" s="113"/>
      <c r="H410" s="113"/>
    </row>
    <row r="411">
      <c r="C411" s="102"/>
      <c r="E411" s="113"/>
      <c r="F411" s="113"/>
      <c r="G411" s="113"/>
      <c r="H411" s="113"/>
    </row>
    <row r="412">
      <c r="C412" s="102"/>
      <c r="E412" s="113"/>
      <c r="F412" s="113"/>
      <c r="G412" s="113"/>
      <c r="H412" s="113"/>
    </row>
    <row r="413">
      <c r="C413" s="102"/>
      <c r="E413" s="113"/>
      <c r="F413" s="113"/>
      <c r="G413" s="113"/>
      <c r="H413" s="113"/>
    </row>
    <row r="414">
      <c r="C414" s="102"/>
      <c r="E414" s="113"/>
      <c r="F414" s="113"/>
      <c r="G414" s="113"/>
      <c r="H414" s="113"/>
    </row>
    <row r="415">
      <c r="C415" s="102"/>
      <c r="E415" s="113"/>
      <c r="F415" s="113"/>
      <c r="G415" s="113"/>
      <c r="H415" s="113"/>
    </row>
    <row r="416">
      <c r="C416" s="102"/>
      <c r="E416" s="113"/>
      <c r="F416" s="113"/>
      <c r="G416" s="113"/>
      <c r="H416" s="113"/>
    </row>
    <row r="417">
      <c r="C417" s="102"/>
      <c r="E417" s="113"/>
      <c r="F417" s="113"/>
      <c r="G417" s="113"/>
      <c r="H417" s="113"/>
    </row>
    <row r="418">
      <c r="C418" s="102"/>
      <c r="E418" s="113"/>
      <c r="F418" s="113"/>
      <c r="G418" s="113"/>
      <c r="H418" s="113"/>
    </row>
    <row r="419">
      <c r="C419" s="102"/>
      <c r="E419" s="113"/>
      <c r="F419" s="113"/>
      <c r="G419" s="113"/>
      <c r="H419" s="113"/>
    </row>
    <row r="420">
      <c r="C420" s="102"/>
      <c r="E420" s="113"/>
      <c r="F420" s="113"/>
      <c r="G420" s="113"/>
      <c r="H420" s="113"/>
    </row>
    <row r="421">
      <c r="C421" s="102"/>
      <c r="E421" s="113"/>
      <c r="F421" s="113"/>
      <c r="G421" s="113"/>
      <c r="H421" s="113"/>
    </row>
    <row r="422">
      <c r="C422" s="102"/>
      <c r="E422" s="113"/>
      <c r="F422" s="113"/>
      <c r="G422" s="113"/>
      <c r="H422" s="113"/>
    </row>
    <row r="423">
      <c r="C423" s="102"/>
      <c r="E423" s="113"/>
      <c r="F423" s="113"/>
      <c r="G423" s="113"/>
      <c r="H423" s="113"/>
    </row>
    <row r="424">
      <c r="C424" s="102"/>
      <c r="E424" s="113"/>
      <c r="F424" s="113"/>
      <c r="G424" s="113"/>
      <c r="H424" s="113"/>
    </row>
    <row r="425">
      <c r="C425" s="102"/>
      <c r="E425" s="113"/>
      <c r="F425" s="113"/>
      <c r="G425" s="113"/>
      <c r="H425" s="113"/>
    </row>
    <row r="426">
      <c r="C426" s="102"/>
      <c r="E426" s="113"/>
      <c r="F426" s="113"/>
      <c r="G426" s="113"/>
      <c r="H426" s="113"/>
    </row>
    <row r="427">
      <c r="C427" s="102"/>
      <c r="E427" s="113"/>
      <c r="F427" s="113"/>
      <c r="G427" s="113"/>
      <c r="H427" s="113"/>
    </row>
    <row r="428">
      <c r="C428" s="102"/>
      <c r="E428" s="113"/>
      <c r="F428" s="113"/>
      <c r="G428" s="113"/>
      <c r="H428" s="113"/>
    </row>
    <row r="429">
      <c r="C429" s="102"/>
      <c r="E429" s="113"/>
      <c r="F429" s="113"/>
      <c r="G429" s="113"/>
      <c r="H429" s="113"/>
    </row>
    <row r="430">
      <c r="C430" s="102"/>
      <c r="E430" s="113"/>
      <c r="F430" s="113"/>
      <c r="G430" s="113"/>
      <c r="H430" s="113"/>
    </row>
    <row r="431">
      <c r="C431" s="102"/>
      <c r="E431" s="113"/>
      <c r="F431" s="113"/>
      <c r="G431" s="113"/>
      <c r="H431" s="113"/>
    </row>
    <row r="432">
      <c r="C432" s="102"/>
      <c r="E432" s="113"/>
      <c r="F432" s="113"/>
      <c r="G432" s="113"/>
      <c r="H432" s="113"/>
    </row>
    <row r="433">
      <c r="C433" s="102"/>
      <c r="E433" s="113"/>
      <c r="F433" s="113"/>
      <c r="G433" s="113"/>
      <c r="H433" s="113"/>
    </row>
    <row r="434">
      <c r="C434" s="102"/>
      <c r="E434" s="113"/>
      <c r="F434" s="113"/>
      <c r="G434" s="113"/>
      <c r="H434" s="113"/>
    </row>
    <row r="435">
      <c r="C435" s="102"/>
      <c r="E435" s="113"/>
      <c r="F435" s="113"/>
      <c r="G435" s="113"/>
      <c r="H435" s="113"/>
    </row>
    <row r="436">
      <c r="C436" s="102"/>
      <c r="E436" s="113"/>
      <c r="F436" s="113"/>
      <c r="G436" s="113"/>
      <c r="H436" s="113"/>
    </row>
    <row r="437">
      <c r="C437" s="102"/>
      <c r="E437" s="113"/>
      <c r="F437" s="113"/>
      <c r="G437" s="113"/>
      <c r="H437" s="113"/>
    </row>
    <row r="438">
      <c r="C438" s="102"/>
      <c r="E438" s="113"/>
      <c r="F438" s="113"/>
      <c r="G438" s="113"/>
      <c r="H438" s="113"/>
    </row>
    <row r="439">
      <c r="C439" s="102"/>
      <c r="E439" s="113"/>
      <c r="F439" s="113"/>
      <c r="G439" s="113"/>
      <c r="H439" s="113"/>
    </row>
    <row r="440">
      <c r="C440" s="102"/>
      <c r="E440" s="113"/>
      <c r="F440" s="113"/>
      <c r="G440" s="113"/>
      <c r="H440" s="113"/>
    </row>
    <row r="441">
      <c r="C441" s="102"/>
      <c r="E441" s="113"/>
      <c r="F441" s="113"/>
      <c r="G441" s="113"/>
      <c r="H441" s="113"/>
    </row>
    <row r="442">
      <c r="C442" s="102"/>
      <c r="E442" s="113"/>
      <c r="F442" s="113"/>
      <c r="G442" s="113"/>
      <c r="H442" s="113"/>
    </row>
    <row r="443">
      <c r="C443" s="102"/>
      <c r="E443" s="113"/>
      <c r="F443" s="113"/>
      <c r="G443" s="113"/>
      <c r="H443" s="113"/>
    </row>
    <row r="444">
      <c r="C444" s="102"/>
      <c r="E444" s="113"/>
      <c r="F444" s="113"/>
      <c r="G444" s="113"/>
      <c r="H444" s="113"/>
    </row>
    <row r="445">
      <c r="C445" s="102"/>
      <c r="E445" s="113"/>
      <c r="F445" s="113"/>
      <c r="G445" s="113"/>
      <c r="H445" s="113"/>
    </row>
    <row r="446">
      <c r="C446" s="102"/>
      <c r="E446" s="113"/>
      <c r="F446" s="113"/>
      <c r="G446" s="113"/>
      <c r="H446" s="113"/>
    </row>
    <row r="447">
      <c r="C447" s="102"/>
      <c r="E447" s="113"/>
      <c r="F447" s="113"/>
      <c r="G447" s="113"/>
      <c r="H447" s="113"/>
    </row>
    <row r="448">
      <c r="C448" s="102"/>
      <c r="E448" s="113"/>
      <c r="F448" s="113"/>
      <c r="G448" s="113"/>
      <c r="H448" s="113"/>
    </row>
    <row r="449">
      <c r="C449" s="102"/>
      <c r="E449" s="113"/>
      <c r="F449" s="113"/>
      <c r="G449" s="113"/>
      <c r="H449" s="113"/>
    </row>
    <row r="450">
      <c r="C450" s="102"/>
      <c r="E450" s="113"/>
      <c r="F450" s="113"/>
      <c r="G450" s="113"/>
      <c r="H450" s="113"/>
    </row>
    <row r="451">
      <c r="C451" s="102"/>
      <c r="E451" s="113"/>
      <c r="F451" s="113"/>
      <c r="G451" s="113"/>
      <c r="H451" s="113"/>
    </row>
    <row r="452">
      <c r="C452" s="102"/>
      <c r="E452" s="113"/>
      <c r="F452" s="113"/>
      <c r="G452" s="113"/>
      <c r="H452" s="113"/>
    </row>
    <row r="453">
      <c r="C453" s="102"/>
      <c r="E453" s="113"/>
      <c r="F453" s="113"/>
      <c r="G453" s="113"/>
      <c r="H453" s="113"/>
    </row>
    <row r="454">
      <c r="C454" s="102"/>
      <c r="E454" s="113"/>
      <c r="F454" s="113"/>
      <c r="G454" s="113"/>
      <c r="H454" s="113"/>
    </row>
    <row r="455">
      <c r="C455" s="102"/>
      <c r="E455" s="113"/>
      <c r="F455" s="113"/>
      <c r="G455" s="113"/>
      <c r="H455" s="113"/>
    </row>
    <row r="456">
      <c r="C456" s="102"/>
      <c r="E456" s="113"/>
      <c r="F456" s="113"/>
      <c r="G456" s="113"/>
      <c r="H456" s="113"/>
    </row>
    <row r="457">
      <c r="C457" s="102"/>
      <c r="E457" s="113"/>
      <c r="F457" s="113"/>
      <c r="G457" s="113"/>
      <c r="H457" s="113"/>
    </row>
    <row r="458">
      <c r="C458" s="102"/>
      <c r="E458" s="113"/>
      <c r="F458" s="113"/>
      <c r="G458" s="113"/>
      <c r="H458" s="113"/>
    </row>
    <row r="459">
      <c r="C459" s="102"/>
      <c r="E459" s="113"/>
      <c r="F459" s="113"/>
      <c r="G459" s="113"/>
      <c r="H459" s="113"/>
    </row>
    <row r="460">
      <c r="C460" s="102"/>
      <c r="E460" s="113"/>
      <c r="F460" s="113"/>
      <c r="G460" s="113"/>
      <c r="H460" s="113"/>
    </row>
    <row r="461">
      <c r="C461" s="102"/>
      <c r="E461" s="113"/>
      <c r="F461" s="113"/>
      <c r="G461" s="113"/>
      <c r="H461" s="113"/>
    </row>
    <row r="462">
      <c r="C462" s="102"/>
      <c r="E462" s="113"/>
      <c r="F462" s="113"/>
      <c r="G462" s="113"/>
      <c r="H462" s="113"/>
    </row>
    <row r="463">
      <c r="C463" s="102"/>
      <c r="E463" s="113"/>
      <c r="F463" s="113"/>
      <c r="G463" s="113"/>
      <c r="H463" s="113"/>
    </row>
    <row r="464">
      <c r="C464" s="102"/>
      <c r="E464" s="113"/>
      <c r="F464" s="113"/>
      <c r="G464" s="113"/>
      <c r="H464" s="113"/>
    </row>
    <row r="465">
      <c r="C465" s="102"/>
      <c r="E465" s="113"/>
      <c r="F465" s="113"/>
      <c r="G465" s="113"/>
      <c r="H465" s="113"/>
    </row>
    <row r="466">
      <c r="C466" s="102"/>
      <c r="E466" s="113"/>
      <c r="F466" s="113"/>
      <c r="G466" s="113"/>
      <c r="H466" s="113"/>
    </row>
    <row r="467">
      <c r="C467" s="102"/>
      <c r="E467" s="113"/>
      <c r="F467" s="113"/>
      <c r="G467" s="113"/>
      <c r="H467" s="113"/>
    </row>
    <row r="468">
      <c r="C468" s="102"/>
      <c r="E468" s="113"/>
      <c r="F468" s="113"/>
      <c r="G468" s="113"/>
      <c r="H468" s="113"/>
    </row>
    <row r="469">
      <c r="C469" s="102"/>
      <c r="E469" s="113"/>
      <c r="F469" s="113"/>
      <c r="G469" s="113"/>
      <c r="H469" s="113"/>
    </row>
    <row r="470">
      <c r="C470" s="102"/>
      <c r="E470" s="113"/>
      <c r="F470" s="113"/>
      <c r="G470" s="113"/>
      <c r="H470" s="113"/>
    </row>
    <row r="471">
      <c r="C471" s="102"/>
      <c r="E471" s="113"/>
      <c r="F471" s="113"/>
      <c r="G471" s="113"/>
      <c r="H471" s="113"/>
    </row>
    <row r="472">
      <c r="C472" s="102"/>
      <c r="E472" s="113"/>
      <c r="F472" s="113"/>
      <c r="G472" s="113"/>
      <c r="H472" s="113"/>
    </row>
    <row r="473">
      <c r="C473" s="102"/>
      <c r="E473" s="113"/>
      <c r="F473" s="113"/>
      <c r="G473" s="113"/>
      <c r="H473" s="113"/>
    </row>
    <row r="474">
      <c r="C474" s="102"/>
      <c r="E474" s="113"/>
      <c r="F474" s="113"/>
      <c r="G474" s="113"/>
      <c r="H474" s="113"/>
    </row>
    <row r="475">
      <c r="C475" s="102"/>
      <c r="E475" s="113"/>
      <c r="F475" s="113"/>
      <c r="G475" s="113"/>
      <c r="H475" s="113"/>
    </row>
    <row r="476">
      <c r="C476" s="102"/>
      <c r="E476" s="113"/>
      <c r="F476" s="113"/>
      <c r="G476" s="113"/>
      <c r="H476" s="113"/>
    </row>
    <row r="477">
      <c r="C477" s="102"/>
      <c r="E477" s="113"/>
      <c r="F477" s="113"/>
      <c r="G477" s="113"/>
      <c r="H477" s="113"/>
    </row>
    <row r="478">
      <c r="C478" s="102"/>
      <c r="E478" s="113"/>
      <c r="F478" s="113"/>
      <c r="G478" s="113"/>
      <c r="H478" s="113"/>
    </row>
    <row r="479">
      <c r="C479" s="102"/>
      <c r="E479" s="113"/>
      <c r="F479" s="113"/>
      <c r="G479" s="113"/>
      <c r="H479" s="113"/>
    </row>
    <row r="480">
      <c r="C480" s="102"/>
      <c r="E480" s="113"/>
      <c r="F480" s="113"/>
      <c r="G480" s="113"/>
      <c r="H480" s="113"/>
    </row>
    <row r="481">
      <c r="C481" s="102"/>
      <c r="E481" s="113"/>
      <c r="F481" s="113"/>
      <c r="G481" s="113"/>
      <c r="H481" s="113"/>
    </row>
    <row r="482">
      <c r="C482" s="102"/>
      <c r="E482" s="113"/>
      <c r="F482" s="113"/>
      <c r="G482" s="113"/>
      <c r="H482" s="113"/>
    </row>
    <row r="483">
      <c r="C483" s="102"/>
      <c r="E483" s="113"/>
      <c r="F483" s="113"/>
      <c r="G483" s="113"/>
      <c r="H483" s="113"/>
    </row>
    <row r="484">
      <c r="C484" s="102"/>
      <c r="E484" s="113"/>
      <c r="F484" s="113"/>
      <c r="G484" s="113"/>
      <c r="H484" s="113"/>
    </row>
    <row r="485">
      <c r="C485" s="102"/>
      <c r="E485" s="113"/>
      <c r="F485" s="113"/>
      <c r="G485" s="113"/>
      <c r="H485" s="113"/>
    </row>
    <row r="486">
      <c r="C486" s="102"/>
      <c r="E486" s="113"/>
      <c r="F486" s="113"/>
      <c r="G486" s="113"/>
      <c r="H486" s="113"/>
    </row>
    <row r="487">
      <c r="C487" s="102"/>
      <c r="E487" s="113"/>
      <c r="F487" s="113"/>
      <c r="G487" s="113"/>
      <c r="H487" s="113"/>
    </row>
    <row r="488">
      <c r="C488" s="102"/>
      <c r="E488" s="113"/>
      <c r="F488" s="113"/>
      <c r="G488" s="113"/>
      <c r="H488" s="113"/>
    </row>
    <row r="489">
      <c r="C489" s="102"/>
      <c r="E489" s="113"/>
      <c r="F489" s="113"/>
      <c r="G489" s="113"/>
      <c r="H489" s="113"/>
    </row>
    <row r="490">
      <c r="C490" s="102"/>
      <c r="E490" s="113"/>
      <c r="F490" s="113"/>
      <c r="G490" s="113"/>
      <c r="H490" s="113"/>
    </row>
    <row r="491">
      <c r="C491" s="102"/>
      <c r="E491" s="113"/>
      <c r="F491" s="113"/>
      <c r="G491" s="113"/>
      <c r="H491" s="113"/>
    </row>
    <row r="492">
      <c r="C492" s="102"/>
      <c r="E492" s="113"/>
      <c r="F492" s="113"/>
      <c r="G492" s="113"/>
      <c r="H492" s="113"/>
    </row>
    <row r="493">
      <c r="C493" s="102"/>
      <c r="E493" s="113"/>
      <c r="F493" s="113"/>
      <c r="G493" s="113"/>
      <c r="H493" s="113"/>
    </row>
    <row r="494">
      <c r="C494" s="102"/>
      <c r="E494" s="113"/>
      <c r="F494" s="113"/>
      <c r="G494" s="113"/>
      <c r="H494" s="113"/>
    </row>
    <row r="495">
      <c r="C495" s="102"/>
      <c r="E495" s="113"/>
      <c r="F495" s="113"/>
      <c r="G495" s="113"/>
      <c r="H495" s="113"/>
    </row>
    <row r="496">
      <c r="C496" s="102"/>
      <c r="E496" s="113"/>
      <c r="F496" s="113"/>
      <c r="G496" s="113"/>
      <c r="H496" s="113"/>
    </row>
    <row r="497">
      <c r="C497" s="102"/>
      <c r="E497" s="113"/>
      <c r="F497" s="113"/>
      <c r="G497" s="113"/>
      <c r="H497" s="113"/>
    </row>
    <row r="498">
      <c r="C498" s="102"/>
      <c r="E498" s="113"/>
      <c r="F498" s="113"/>
      <c r="G498" s="113"/>
      <c r="H498" s="113"/>
    </row>
    <row r="499">
      <c r="C499" s="102"/>
      <c r="E499" s="113"/>
      <c r="F499" s="113"/>
      <c r="G499" s="113"/>
      <c r="H499" s="113"/>
    </row>
    <row r="500">
      <c r="C500" s="102"/>
      <c r="E500" s="113"/>
      <c r="F500" s="113"/>
      <c r="G500" s="113"/>
      <c r="H500" s="113"/>
    </row>
    <row r="501">
      <c r="C501" s="102"/>
      <c r="E501" s="113"/>
      <c r="F501" s="113"/>
      <c r="G501" s="113"/>
      <c r="H501" s="113"/>
    </row>
    <row r="502">
      <c r="C502" s="102"/>
      <c r="E502" s="113"/>
      <c r="F502" s="113"/>
      <c r="G502" s="113"/>
      <c r="H502" s="113"/>
    </row>
    <row r="503">
      <c r="C503" s="102"/>
      <c r="E503" s="113"/>
      <c r="F503" s="113"/>
      <c r="G503" s="113"/>
      <c r="H503" s="113"/>
    </row>
    <row r="504">
      <c r="C504" s="102"/>
      <c r="E504" s="113"/>
      <c r="F504" s="113"/>
      <c r="G504" s="113"/>
      <c r="H504" s="113"/>
    </row>
    <row r="505">
      <c r="C505" s="102"/>
      <c r="E505" s="113"/>
      <c r="F505" s="113"/>
      <c r="G505" s="113"/>
      <c r="H505" s="113"/>
    </row>
    <row r="506">
      <c r="C506" s="102"/>
      <c r="E506" s="113"/>
      <c r="F506" s="113"/>
      <c r="G506" s="113"/>
      <c r="H506" s="113"/>
    </row>
    <row r="507">
      <c r="C507" s="102"/>
      <c r="E507" s="113"/>
      <c r="F507" s="113"/>
      <c r="G507" s="113"/>
      <c r="H507" s="113"/>
    </row>
    <row r="508">
      <c r="C508" s="102"/>
      <c r="E508" s="113"/>
      <c r="F508" s="113"/>
      <c r="G508" s="113"/>
      <c r="H508" s="113"/>
    </row>
    <row r="509">
      <c r="C509" s="102"/>
      <c r="E509" s="113"/>
      <c r="F509" s="113"/>
      <c r="G509" s="113"/>
      <c r="H509" s="113"/>
    </row>
    <row r="510">
      <c r="C510" s="102"/>
      <c r="E510" s="113"/>
      <c r="F510" s="113"/>
      <c r="G510" s="113"/>
      <c r="H510" s="113"/>
    </row>
    <row r="511">
      <c r="C511" s="102"/>
      <c r="E511" s="113"/>
      <c r="F511" s="113"/>
      <c r="G511" s="113"/>
      <c r="H511" s="113"/>
    </row>
    <row r="512">
      <c r="C512" s="102"/>
      <c r="E512" s="113"/>
      <c r="F512" s="113"/>
      <c r="G512" s="113"/>
      <c r="H512" s="113"/>
    </row>
    <row r="513">
      <c r="C513" s="102"/>
      <c r="E513" s="113"/>
      <c r="F513" s="113"/>
      <c r="G513" s="113"/>
      <c r="H513" s="113"/>
    </row>
    <row r="514">
      <c r="C514" s="102"/>
      <c r="E514" s="113"/>
      <c r="F514" s="113"/>
      <c r="G514" s="113"/>
      <c r="H514" s="113"/>
    </row>
    <row r="515">
      <c r="C515" s="102"/>
      <c r="E515" s="113"/>
      <c r="F515" s="113"/>
      <c r="G515" s="113"/>
      <c r="H515" s="113"/>
    </row>
    <row r="516">
      <c r="C516" s="102"/>
      <c r="E516" s="113"/>
      <c r="F516" s="113"/>
      <c r="G516" s="113"/>
      <c r="H516" s="113"/>
    </row>
    <row r="517">
      <c r="C517" s="102"/>
      <c r="E517" s="113"/>
      <c r="F517" s="113"/>
      <c r="G517" s="113"/>
      <c r="H517" s="113"/>
    </row>
    <row r="518">
      <c r="C518" s="102"/>
      <c r="E518" s="113"/>
      <c r="F518" s="113"/>
      <c r="G518" s="113"/>
      <c r="H518" s="113"/>
    </row>
    <row r="519">
      <c r="C519" s="102"/>
      <c r="E519" s="113"/>
      <c r="F519" s="113"/>
      <c r="G519" s="113"/>
      <c r="H519" s="113"/>
    </row>
    <row r="520">
      <c r="C520" s="102"/>
      <c r="E520" s="113"/>
      <c r="F520" s="113"/>
      <c r="G520" s="113"/>
      <c r="H520" s="113"/>
    </row>
    <row r="521">
      <c r="C521" s="102"/>
      <c r="E521" s="113"/>
      <c r="F521" s="113"/>
      <c r="G521" s="113"/>
      <c r="H521" s="113"/>
    </row>
    <row r="522">
      <c r="C522" s="102"/>
      <c r="E522" s="113"/>
      <c r="F522" s="113"/>
      <c r="G522" s="113"/>
      <c r="H522" s="113"/>
    </row>
    <row r="523">
      <c r="C523" s="102"/>
      <c r="E523" s="113"/>
      <c r="F523" s="113"/>
      <c r="G523" s="113"/>
      <c r="H523" s="113"/>
    </row>
    <row r="524">
      <c r="C524" s="102"/>
      <c r="E524" s="113"/>
      <c r="F524" s="113"/>
      <c r="G524" s="113"/>
      <c r="H524" s="113"/>
    </row>
    <row r="525">
      <c r="C525" s="102"/>
      <c r="E525" s="113"/>
      <c r="F525" s="113"/>
      <c r="G525" s="113"/>
      <c r="H525" s="113"/>
    </row>
    <row r="526">
      <c r="C526" s="102"/>
      <c r="E526" s="113"/>
      <c r="F526" s="113"/>
      <c r="G526" s="113"/>
      <c r="H526" s="113"/>
    </row>
    <row r="527">
      <c r="C527" s="102"/>
      <c r="E527" s="113"/>
      <c r="F527" s="113"/>
      <c r="G527" s="113"/>
      <c r="H527" s="113"/>
    </row>
    <row r="528">
      <c r="C528" s="102"/>
      <c r="E528" s="113"/>
      <c r="F528" s="113"/>
      <c r="G528" s="113"/>
      <c r="H528" s="113"/>
    </row>
    <row r="529">
      <c r="C529" s="102"/>
      <c r="E529" s="113"/>
      <c r="F529" s="113"/>
      <c r="G529" s="113"/>
      <c r="H529" s="113"/>
    </row>
    <row r="530">
      <c r="C530" s="102"/>
      <c r="E530" s="113"/>
      <c r="F530" s="113"/>
      <c r="G530" s="113"/>
      <c r="H530" s="113"/>
    </row>
    <row r="531">
      <c r="C531" s="102"/>
      <c r="E531" s="113"/>
      <c r="F531" s="113"/>
      <c r="G531" s="113"/>
      <c r="H531" s="113"/>
    </row>
    <row r="532">
      <c r="C532" s="102"/>
      <c r="E532" s="113"/>
      <c r="F532" s="113"/>
      <c r="G532" s="113"/>
      <c r="H532" s="113"/>
    </row>
    <row r="533">
      <c r="C533" s="102"/>
      <c r="E533" s="113"/>
      <c r="F533" s="113"/>
      <c r="G533" s="113"/>
      <c r="H533" s="113"/>
    </row>
    <row r="534">
      <c r="C534" s="102"/>
      <c r="E534" s="113"/>
      <c r="F534" s="113"/>
      <c r="G534" s="113"/>
      <c r="H534" s="113"/>
    </row>
    <row r="535">
      <c r="C535" s="102"/>
      <c r="E535" s="113"/>
      <c r="F535" s="113"/>
      <c r="G535" s="113"/>
      <c r="H535" s="113"/>
    </row>
    <row r="536">
      <c r="C536" s="102"/>
      <c r="E536" s="113"/>
      <c r="F536" s="113"/>
      <c r="G536" s="113"/>
      <c r="H536" s="113"/>
    </row>
    <row r="537">
      <c r="C537" s="102"/>
      <c r="E537" s="113"/>
      <c r="F537" s="113"/>
      <c r="G537" s="113"/>
      <c r="H537" s="113"/>
    </row>
    <row r="538">
      <c r="C538" s="102"/>
      <c r="E538" s="113"/>
      <c r="F538" s="113"/>
      <c r="G538" s="113"/>
      <c r="H538" s="113"/>
    </row>
    <row r="539">
      <c r="C539" s="102"/>
      <c r="E539" s="113"/>
      <c r="F539" s="113"/>
      <c r="G539" s="113"/>
      <c r="H539" s="113"/>
    </row>
    <row r="540">
      <c r="C540" s="102"/>
      <c r="E540" s="113"/>
      <c r="F540" s="113"/>
      <c r="G540" s="113"/>
      <c r="H540" s="113"/>
    </row>
    <row r="541">
      <c r="C541" s="102"/>
      <c r="E541" s="113"/>
      <c r="F541" s="113"/>
      <c r="G541" s="113"/>
      <c r="H541" s="113"/>
    </row>
    <row r="542">
      <c r="C542" s="102"/>
      <c r="E542" s="113"/>
      <c r="F542" s="113"/>
      <c r="G542" s="113"/>
      <c r="H542" s="113"/>
    </row>
    <row r="543">
      <c r="C543" s="102"/>
      <c r="E543" s="113"/>
      <c r="F543" s="113"/>
      <c r="G543" s="113"/>
      <c r="H543" s="113"/>
    </row>
    <row r="544">
      <c r="C544" s="102"/>
      <c r="E544" s="113"/>
      <c r="F544" s="113"/>
      <c r="G544" s="113"/>
      <c r="H544" s="113"/>
    </row>
    <row r="545">
      <c r="C545" s="102"/>
      <c r="E545" s="113"/>
      <c r="F545" s="113"/>
      <c r="G545" s="113"/>
      <c r="H545" s="113"/>
    </row>
    <row r="546">
      <c r="C546" s="102"/>
      <c r="E546" s="113"/>
      <c r="F546" s="113"/>
      <c r="G546" s="113"/>
      <c r="H546" s="113"/>
    </row>
    <row r="547">
      <c r="C547" s="102"/>
      <c r="E547" s="113"/>
      <c r="F547" s="113"/>
      <c r="G547" s="113"/>
      <c r="H547" s="113"/>
    </row>
    <row r="548">
      <c r="C548" s="102"/>
      <c r="E548" s="113"/>
      <c r="F548" s="113"/>
      <c r="G548" s="113"/>
      <c r="H548" s="113"/>
    </row>
    <row r="549">
      <c r="C549" s="102"/>
      <c r="E549" s="113"/>
      <c r="F549" s="113"/>
      <c r="G549" s="113"/>
      <c r="H549" s="113"/>
    </row>
    <row r="550">
      <c r="C550" s="102"/>
      <c r="E550" s="113"/>
      <c r="F550" s="113"/>
      <c r="G550" s="113"/>
      <c r="H550" s="113"/>
    </row>
    <row r="551">
      <c r="C551" s="102"/>
      <c r="E551" s="113"/>
      <c r="F551" s="113"/>
      <c r="G551" s="113"/>
      <c r="H551" s="113"/>
    </row>
    <row r="552">
      <c r="C552" s="102"/>
      <c r="E552" s="113"/>
      <c r="F552" s="113"/>
      <c r="G552" s="113"/>
      <c r="H552" s="113"/>
    </row>
    <row r="553">
      <c r="C553" s="102"/>
      <c r="E553" s="113"/>
      <c r="F553" s="113"/>
      <c r="G553" s="113"/>
      <c r="H553" s="113"/>
    </row>
    <row r="554">
      <c r="C554" s="102"/>
      <c r="E554" s="113"/>
      <c r="F554" s="113"/>
      <c r="G554" s="113"/>
      <c r="H554" s="113"/>
    </row>
    <row r="555">
      <c r="C555" s="102"/>
      <c r="E555" s="113"/>
      <c r="F555" s="113"/>
      <c r="G555" s="113"/>
      <c r="H555" s="113"/>
    </row>
    <row r="556">
      <c r="C556" s="102"/>
      <c r="E556" s="113"/>
      <c r="F556" s="113"/>
      <c r="G556" s="113"/>
      <c r="H556" s="113"/>
    </row>
    <row r="557">
      <c r="C557" s="102"/>
      <c r="E557" s="113"/>
      <c r="F557" s="113"/>
      <c r="G557" s="113"/>
      <c r="H557" s="113"/>
    </row>
    <row r="558">
      <c r="C558" s="102"/>
      <c r="E558" s="113"/>
      <c r="F558" s="113"/>
      <c r="G558" s="113"/>
      <c r="H558" s="113"/>
    </row>
    <row r="559">
      <c r="C559" s="102"/>
      <c r="E559" s="113"/>
      <c r="F559" s="113"/>
      <c r="G559" s="113"/>
      <c r="H559" s="113"/>
    </row>
    <row r="560">
      <c r="C560" s="102"/>
      <c r="E560" s="113"/>
      <c r="F560" s="113"/>
      <c r="G560" s="113"/>
      <c r="H560" s="113"/>
    </row>
    <row r="561">
      <c r="C561" s="102"/>
      <c r="E561" s="113"/>
      <c r="F561" s="113"/>
      <c r="G561" s="113"/>
      <c r="H561" s="113"/>
    </row>
    <row r="562">
      <c r="C562" s="102"/>
      <c r="E562" s="113"/>
      <c r="F562" s="113"/>
      <c r="G562" s="113"/>
      <c r="H562" s="113"/>
    </row>
    <row r="563">
      <c r="C563" s="102"/>
      <c r="E563" s="113"/>
      <c r="F563" s="113"/>
      <c r="G563" s="113"/>
      <c r="H563" s="113"/>
    </row>
    <row r="564">
      <c r="C564" s="102"/>
      <c r="E564" s="113"/>
      <c r="F564" s="113"/>
      <c r="G564" s="113"/>
      <c r="H564" s="113"/>
    </row>
    <row r="565">
      <c r="C565" s="102"/>
      <c r="E565" s="113"/>
      <c r="F565" s="113"/>
      <c r="G565" s="113"/>
      <c r="H565" s="113"/>
    </row>
    <row r="566">
      <c r="C566" s="102"/>
      <c r="E566" s="113"/>
      <c r="F566" s="113"/>
      <c r="G566" s="113"/>
      <c r="H566" s="113"/>
    </row>
    <row r="567">
      <c r="C567" s="102"/>
      <c r="E567" s="113"/>
      <c r="F567" s="113"/>
      <c r="G567" s="113"/>
      <c r="H567" s="113"/>
    </row>
    <row r="568">
      <c r="C568" s="102"/>
      <c r="E568" s="113"/>
      <c r="F568" s="113"/>
      <c r="G568" s="113"/>
      <c r="H568" s="113"/>
    </row>
    <row r="569">
      <c r="C569" s="102"/>
      <c r="E569" s="113"/>
      <c r="F569" s="113"/>
      <c r="G569" s="113"/>
      <c r="H569" s="113"/>
    </row>
    <row r="570">
      <c r="C570" s="102"/>
      <c r="E570" s="113"/>
      <c r="F570" s="113"/>
      <c r="G570" s="113"/>
      <c r="H570" s="113"/>
    </row>
    <row r="571">
      <c r="C571" s="102"/>
      <c r="E571" s="113"/>
      <c r="F571" s="113"/>
      <c r="G571" s="113"/>
      <c r="H571" s="113"/>
    </row>
    <row r="572">
      <c r="C572" s="102"/>
      <c r="E572" s="113"/>
      <c r="F572" s="113"/>
      <c r="G572" s="113"/>
      <c r="H572" s="113"/>
    </row>
    <row r="573">
      <c r="C573" s="102"/>
      <c r="E573" s="113"/>
      <c r="F573" s="113"/>
      <c r="G573" s="113"/>
      <c r="H573" s="113"/>
    </row>
    <row r="574">
      <c r="C574" s="102"/>
      <c r="E574" s="113"/>
      <c r="F574" s="113"/>
      <c r="G574" s="113"/>
      <c r="H574" s="113"/>
    </row>
    <row r="575">
      <c r="C575" s="102"/>
      <c r="E575" s="113"/>
      <c r="F575" s="113"/>
      <c r="G575" s="113"/>
      <c r="H575" s="113"/>
    </row>
    <row r="576">
      <c r="C576" s="102"/>
      <c r="E576" s="113"/>
      <c r="F576" s="113"/>
      <c r="G576" s="113"/>
      <c r="H576" s="113"/>
    </row>
    <row r="577">
      <c r="C577" s="102"/>
      <c r="E577" s="113"/>
      <c r="F577" s="113"/>
      <c r="G577" s="113"/>
      <c r="H577" s="113"/>
    </row>
    <row r="578">
      <c r="C578" s="102"/>
      <c r="E578" s="113"/>
      <c r="F578" s="113"/>
      <c r="G578" s="113"/>
      <c r="H578" s="113"/>
    </row>
    <row r="579">
      <c r="C579" s="102"/>
      <c r="E579" s="113"/>
      <c r="F579" s="113"/>
      <c r="G579" s="113"/>
      <c r="H579" s="113"/>
    </row>
    <row r="580">
      <c r="C580" s="102"/>
      <c r="E580" s="113"/>
      <c r="F580" s="113"/>
      <c r="G580" s="113"/>
      <c r="H580" s="113"/>
    </row>
    <row r="581">
      <c r="C581" s="102"/>
      <c r="E581" s="113"/>
      <c r="F581" s="113"/>
      <c r="G581" s="113"/>
      <c r="H581" s="113"/>
    </row>
    <row r="582">
      <c r="C582" s="102"/>
      <c r="E582" s="113"/>
      <c r="F582" s="113"/>
      <c r="G582" s="113"/>
      <c r="H582" s="113"/>
    </row>
    <row r="583">
      <c r="C583" s="102"/>
      <c r="E583" s="113"/>
      <c r="F583" s="113"/>
      <c r="G583" s="113"/>
      <c r="H583" s="113"/>
    </row>
    <row r="584">
      <c r="C584" s="102"/>
      <c r="E584" s="113"/>
      <c r="F584" s="113"/>
      <c r="G584" s="113"/>
      <c r="H584" s="113"/>
    </row>
    <row r="585">
      <c r="C585" s="102"/>
      <c r="E585" s="113"/>
      <c r="F585" s="113"/>
      <c r="G585" s="113"/>
      <c r="H585" s="113"/>
    </row>
    <row r="586">
      <c r="C586" s="102"/>
      <c r="E586" s="113"/>
      <c r="F586" s="113"/>
      <c r="G586" s="113"/>
      <c r="H586" s="113"/>
    </row>
    <row r="587">
      <c r="C587" s="102"/>
      <c r="E587" s="113"/>
      <c r="F587" s="113"/>
      <c r="G587" s="113"/>
      <c r="H587" s="113"/>
    </row>
    <row r="588">
      <c r="C588" s="102"/>
      <c r="E588" s="113"/>
      <c r="F588" s="113"/>
      <c r="G588" s="113"/>
      <c r="H588" s="113"/>
    </row>
    <row r="589">
      <c r="C589" s="102"/>
      <c r="E589" s="113"/>
      <c r="F589" s="113"/>
      <c r="G589" s="113"/>
      <c r="H589" s="113"/>
    </row>
    <row r="590">
      <c r="C590" s="102"/>
      <c r="E590" s="113"/>
      <c r="F590" s="113"/>
      <c r="G590" s="113"/>
      <c r="H590" s="113"/>
    </row>
    <row r="591">
      <c r="C591" s="102"/>
      <c r="E591" s="113"/>
      <c r="F591" s="113"/>
      <c r="G591" s="113"/>
      <c r="H591" s="113"/>
    </row>
    <row r="592">
      <c r="C592" s="102"/>
      <c r="E592" s="113"/>
      <c r="F592" s="113"/>
      <c r="G592" s="113"/>
      <c r="H592" s="113"/>
    </row>
    <row r="593">
      <c r="C593" s="102"/>
      <c r="E593" s="113"/>
      <c r="F593" s="113"/>
      <c r="G593" s="113"/>
      <c r="H593" s="113"/>
    </row>
    <row r="594">
      <c r="C594" s="102"/>
      <c r="E594" s="113"/>
      <c r="F594" s="113"/>
      <c r="G594" s="113"/>
      <c r="H594" s="113"/>
    </row>
    <row r="595">
      <c r="C595" s="102"/>
      <c r="E595" s="113"/>
      <c r="F595" s="113"/>
      <c r="G595" s="113"/>
      <c r="H595" s="113"/>
    </row>
    <row r="596">
      <c r="C596" s="102"/>
      <c r="E596" s="113"/>
      <c r="F596" s="113"/>
      <c r="G596" s="113"/>
      <c r="H596" s="113"/>
    </row>
    <row r="597">
      <c r="C597" s="102"/>
      <c r="E597" s="113"/>
      <c r="F597" s="113"/>
      <c r="G597" s="113"/>
      <c r="H597" s="113"/>
    </row>
    <row r="598">
      <c r="C598" s="102"/>
      <c r="E598" s="113"/>
      <c r="F598" s="113"/>
      <c r="G598" s="113"/>
      <c r="H598" s="113"/>
    </row>
    <row r="599">
      <c r="C599" s="102"/>
      <c r="E599" s="113"/>
      <c r="F599" s="113"/>
      <c r="G599" s="113"/>
      <c r="H599" s="113"/>
    </row>
    <row r="600">
      <c r="C600" s="102"/>
      <c r="E600" s="113"/>
      <c r="F600" s="113"/>
      <c r="G600" s="113"/>
      <c r="H600" s="113"/>
    </row>
    <row r="601">
      <c r="C601" s="102"/>
      <c r="E601" s="113"/>
      <c r="F601" s="113"/>
      <c r="G601" s="113"/>
      <c r="H601" s="113"/>
    </row>
    <row r="602">
      <c r="C602" s="102"/>
      <c r="E602" s="113"/>
      <c r="F602" s="113"/>
      <c r="G602" s="113"/>
      <c r="H602" s="113"/>
    </row>
    <row r="603">
      <c r="C603" s="102"/>
      <c r="E603" s="113"/>
      <c r="F603" s="113"/>
      <c r="G603" s="113"/>
      <c r="H603" s="113"/>
    </row>
    <row r="604">
      <c r="C604" s="102"/>
      <c r="E604" s="113"/>
      <c r="F604" s="113"/>
      <c r="G604" s="113"/>
      <c r="H604" s="113"/>
    </row>
    <row r="605">
      <c r="C605" s="102"/>
      <c r="E605" s="113"/>
      <c r="F605" s="113"/>
      <c r="G605" s="113"/>
      <c r="H605" s="113"/>
    </row>
    <row r="606">
      <c r="C606" s="102"/>
      <c r="E606" s="113"/>
      <c r="F606" s="113"/>
      <c r="G606" s="113"/>
      <c r="H606" s="113"/>
    </row>
    <row r="607">
      <c r="C607" s="102"/>
      <c r="E607" s="113"/>
      <c r="F607" s="113"/>
      <c r="G607" s="113"/>
      <c r="H607" s="113"/>
    </row>
    <row r="608">
      <c r="C608" s="102"/>
      <c r="E608" s="113"/>
      <c r="F608" s="113"/>
      <c r="G608" s="113"/>
      <c r="H608" s="113"/>
    </row>
    <row r="609">
      <c r="C609" s="102"/>
      <c r="E609" s="113"/>
      <c r="F609" s="113"/>
      <c r="G609" s="113"/>
      <c r="H609" s="113"/>
    </row>
    <row r="610">
      <c r="C610" s="102"/>
      <c r="E610" s="113"/>
      <c r="F610" s="113"/>
      <c r="G610" s="113"/>
      <c r="H610" s="113"/>
    </row>
    <row r="611">
      <c r="C611" s="102"/>
      <c r="E611" s="113"/>
      <c r="F611" s="113"/>
      <c r="G611" s="113"/>
      <c r="H611" s="113"/>
    </row>
    <row r="612">
      <c r="C612" s="102"/>
      <c r="E612" s="113"/>
      <c r="F612" s="113"/>
      <c r="G612" s="113"/>
      <c r="H612" s="113"/>
    </row>
    <row r="613">
      <c r="C613" s="102"/>
      <c r="E613" s="113"/>
      <c r="F613" s="113"/>
      <c r="G613" s="113"/>
      <c r="H613" s="113"/>
    </row>
    <row r="614">
      <c r="C614" s="102"/>
      <c r="E614" s="113"/>
      <c r="F614" s="113"/>
      <c r="G614" s="113"/>
      <c r="H614" s="113"/>
    </row>
    <row r="615">
      <c r="C615" s="102"/>
      <c r="E615" s="113"/>
      <c r="F615" s="113"/>
      <c r="G615" s="113"/>
      <c r="H615" s="113"/>
    </row>
    <row r="616">
      <c r="C616" s="102"/>
      <c r="E616" s="113"/>
      <c r="F616" s="113"/>
      <c r="G616" s="113"/>
      <c r="H616" s="113"/>
    </row>
    <row r="617">
      <c r="C617" s="102"/>
      <c r="E617" s="113"/>
      <c r="F617" s="113"/>
      <c r="G617" s="113"/>
      <c r="H617" s="113"/>
    </row>
    <row r="618">
      <c r="C618" s="102"/>
      <c r="E618" s="113"/>
      <c r="F618" s="113"/>
      <c r="G618" s="113"/>
      <c r="H618" s="113"/>
    </row>
    <row r="619">
      <c r="C619" s="102"/>
      <c r="E619" s="113"/>
      <c r="F619" s="113"/>
      <c r="G619" s="113"/>
      <c r="H619" s="113"/>
    </row>
    <row r="620">
      <c r="C620" s="102"/>
      <c r="E620" s="113"/>
      <c r="F620" s="113"/>
      <c r="G620" s="113"/>
      <c r="H620" s="113"/>
    </row>
    <row r="621">
      <c r="C621" s="102"/>
      <c r="E621" s="113"/>
      <c r="F621" s="113"/>
      <c r="G621" s="113"/>
      <c r="H621" s="113"/>
    </row>
    <row r="622">
      <c r="C622" s="102"/>
      <c r="E622" s="113"/>
      <c r="F622" s="113"/>
      <c r="G622" s="113"/>
      <c r="H622" s="113"/>
    </row>
    <row r="623">
      <c r="C623" s="102"/>
      <c r="E623" s="113"/>
      <c r="F623" s="113"/>
      <c r="G623" s="113"/>
      <c r="H623" s="113"/>
    </row>
    <row r="624">
      <c r="C624" s="102"/>
      <c r="E624" s="113"/>
      <c r="F624" s="113"/>
      <c r="G624" s="113"/>
      <c r="H624" s="113"/>
    </row>
    <row r="625">
      <c r="C625" s="102"/>
      <c r="E625" s="113"/>
      <c r="F625" s="113"/>
      <c r="G625" s="113"/>
      <c r="H625" s="113"/>
    </row>
    <row r="626">
      <c r="C626" s="102"/>
      <c r="E626" s="113"/>
      <c r="F626" s="113"/>
      <c r="G626" s="113"/>
      <c r="H626" s="113"/>
    </row>
    <row r="627">
      <c r="C627" s="102"/>
      <c r="E627" s="113"/>
      <c r="F627" s="113"/>
      <c r="G627" s="113"/>
      <c r="H627" s="113"/>
    </row>
    <row r="628">
      <c r="C628" s="102"/>
      <c r="E628" s="113"/>
      <c r="F628" s="113"/>
      <c r="G628" s="113"/>
      <c r="H628" s="113"/>
    </row>
    <row r="629">
      <c r="C629" s="102"/>
      <c r="E629" s="113"/>
      <c r="F629" s="113"/>
      <c r="G629" s="113"/>
      <c r="H629" s="113"/>
    </row>
    <row r="630">
      <c r="C630" s="102"/>
      <c r="E630" s="113"/>
      <c r="F630" s="113"/>
      <c r="G630" s="113"/>
      <c r="H630" s="113"/>
    </row>
    <row r="631">
      <c r="C631" s="102"/>
      <c r="E631" s="113"/>
      <c r="F631" s="113"/>
      <c r="G631" s="113"/>
      <c r="H631" s="113"/>
    </row>
    <row r="632">
      <c r="C632" s="102"/>
      <c r="E632" s="113"/>
      <c r="F632" s="113"/>
      <c r="G632" s="113"/>
      <c r="H632" s="113"/>
    </row>
    <row r="633">
      <c r="C633" s="102"/>
      <c r="E633" s="113"/>
      <c r="F633" s="113"/>
      <c r="G633" s="113"/>
      <c r="H633" s="113"/>
    </row>
    <row r="634">
      <c r="C634" s="102"/>
      <c r="E634" s="113"/>
      <c r="F634" s="113"/>
      <c r="G634" s="113"/>
      <c r="H634" s="113"/>
    </row>
    <row r="635">
      <c r="C635" s="102"/>
      <c r="E635" s="113"/>
      <c r="F635" s="113"/>
      <c r="G635" s="113"/>
      <c r="H635" s="113"/>
    </row>
    <row r="636">
      <c r="C636" s="102"/>
      <c r="E636" s="113"/>
      <c r="F636" s="113"/>
      <c r="G636" s="113"/>
      <c r="H636" s="113"/>
    </row>
    <row r="637">
      <c r="C637" s="102"/>
      <c r="E637" s="113"/>
      <c r="F637" s="113"/>
      <c r="G637" s="113"/>
      <c r="H637" s="113"/>
    </row>
    <row r="638">
      <c r="C638" s="102"/>
      <c r="E638" s="113"/>
      <c r="F638" s="113"/>
      <c r="G638" s="113"/>
      <c r="H638" s="113"/>
    </row>
    <row r="639">
      <c r="C639" s="102"/>
      <c r="E639" s="113"/>
      <c r="F639" s="113"/>
      <c r="G639" s="113"/>
      <c r="H639" s="113"/>
    </row>
    <row r="640">
      <c r="C640" s="102"/>
      <c r="E640" s="113"/>
      <c r="F640" s="113"/>
      <c r="G640" s="113"/>
      <c r="H640" s="113"/>
    </row>
    <row r="641">
      <c r="C641" s="102"/>
      <c r="E641" s="113"/>
      <c r="F641" s="113"/>
      <c r="G641" s="113"/>
      <c r="H641" s="113"/>
    </row>
    <row r="642">
      <c r="C642" s="102"/>
      <c r="E642" s="113"/>
      <c r="F642" s="113"/>
      <c r="G642" s="113"/>
      <c r="H642" s="113"/>
    </row>
    <row r="643">
      <c r="C643" s="102"/>
      <c r="E643" s="113"/>
      <c r="F643" s="113"/>
      <c r="G643" s="113"/>
      <c r="H643" s="113"/>
    </row>
    <row r="644">
      <c r="C644" s="102"/>
      <c r="E644" s="113"/>
      <c r="F644" s="113"/>
      <c r="G644" s="113"/>
      <c r="H644" s="113"/>
    </row>
    <row r="645">
      <c r="C645" s="102"/>
      <c r="E645" s="113"/>
      <c r="F645" s="113"/>
      <c r="G645" s="113"/>
      <c r="H645" s="113"/>
    </row>
    <row r="646">
      <c r="C646" s="102"/>
      <c r="E646" s="113"/>
      <c r="F646" s="113"/>
      <c r="G646" s="113"/>
      <c r="H646" s="113"/>
    </row>
    <row r="647">
      <c r="C647" s="102"/>
      <c r="E647" s="113"/>
      <c r="F647" s="113"/>
      <c r="G647" s="113"/>
      <c r="H647" s="113"/>
    </row>
    <row r="648">
      <c r="C648" s="102"/>
      <c r="E648" s="113"/>
      <c r="F648" s="113"/>
      <c r="G648" s="113"/>
      <c r="H648" s="113"/>
    </row>
    <row r="649">
      <c r="C649" s="102"/>
      <c r="E649" s="113"/>
      <c r="F649" s="113"/>
      <c r="G649" s="113"/>
      <c r="H649" s="113"/>
    </row>
    <row r="650">
      <c r="C650" s="102"/>
      <c r="E650" s="113"/>
      <c r="F650" s="113"/>
      <c r="G650" s="113"/>
      <c r="H650" s="113"/>
    </row>
    <row r="651">
      <c r="C651" s="102"/>
      <c r="E651" s="113"/>
      <c r="F651" s="113"/>
      <c r="G651" s="113"/>
      <c r="H651" s="113"/>
    </row>
    <row r="652">
      <c r="C652" s="102"/>
      <c r="E652" s="113"/>
      <c r="F652" s="113"/>
      <c r="G652" s="113"/>
      <c r="H652" s="113"/>
    </row>
    <row r="653">
      <c r="C653" s="102"/>
      <c r="E653" s="113"/>
      <c r="F653" s="113"/>
      <c r="G653" s="113"/>
      <c r="H653" s="113"/>
    </row>
    <row r="654">
      <c r="C654" s="102"/>
      <c r="E654" s="113"/>
      <c r="F654" s="113"/>
      <c r="G654" s="113"/>
      <c r="H654" s="113"/>
    </row>
    <row r="655">
      <c r="C655" s="102"/>
      <c r="E655" s="113"/>
      <c r="F655" s="113"/>
      <c r="G655" s="113"/>
      <c r="H655" s="113"/>
    </row>
    <row r="656">
      <c r="C656" s="102"/>
      <c r="E656" s="113"/>
      <c r="F656" s="113"/>
      <c r="G656" s="113"/>
      <c r="H656" s="113"/>
    </row>
    <row r="657">
      <c r="C657" s="102"/>
      <c r="E657" s="113"/>
      <c r="F657" s="113"/>
      <c r="G657" s="113"/>
      <c r="H657" s="113"/>
    </row>
    <row r="658">
      <c r="C658" s="102"/>
      <c r="E658" s="113"/>
      <c r="F658" s="113"/>
      <c r="G658" s="113"/>
      <c r="H658" s="113"/>
    </row>
    <row r="659">
      <c r="C659" s="102"/>
      <c r="E659" s="113"/>
      <c r="F659" s="113"/>
      <c r="G659" s="113"/>
      <c r="H659" s="113"/>
    </row>
    <row r="660">
      <c r="C660" s="102"/>
      <c r="E660" s="113"/>
      <c r="F660" s="113"/>
      <c r="G660" s="113"/>
      <c r="H660" s="113"/>
    </row>
    <row r="661">
      <c r="C661" s="102"/>
      <c r="E661" s="113"/>
      <c r="F661" s="113"/>
      <c r="G661" s="113"/>
      <c r="H661" s="113"/>
    </row>
    <row r="662">
      <c r="C662" s="102"/>
      <c r="E662" s="113"/>
      <c r="F662" s="113"/>
      <c r="G662" s="113"/>
      <c r="H662" s="113"/>
    </row>
    <row r="663">
      <c r="C663" s="102"/>
      <c r="E663" s="113"/>
      <c r="F663" s="113"/>
      <c r="G663" s="113"/>
      <c r="H663" s="113"/>
    </row>
    <row r="664">
      <c r="C664" s="102"/>
      <c r="E664" s="113"/>
      <c r="F664" s="113"/>
      <c r="G664" s="113"/>
      <c r="H664" s="113"/>
    </row>
    <row r="665">
      <c r="C665" s="102"/>
      <c r="E665" s="113"/>
      <c r="F665" s="113"/>
      <c r="G665" s="113"/>
      <c r="H665" s="113"/>
    </row>
    <row r="666">
      <c r="C666" s="102"/>
      <c r="E666" s="113"/>
      <c r="F666" s="113"/>
      <c r="G666" s="113"/>
      <c r="H666" s="113"/>
    </row>
    <row r="667">
      <c r="C667" s="102"/>
      <c r="E667" s="113"/>
      <c r="F667" s="113"/>
      <c r="G667" s="113"/>
      <c r="H667" s="113"/>
    </row>
    <row r="668">
      <c r="C668" s="102"/>
      <c r="E668" s="113"/>
      <c r="F668" s="113"/>
      <c r="G668" s="113"/>
      <c r="H668" s="113"/>
    </row>
    <row r="669">
      <c r="C669" s="102"/>
      <c r="E669" s="113"/>
      <c r="F669" s="113"/>
      <c r="G669" s="113"/>
      <c r="H669" s="113"/>
    </row>
    <row r="670">
      <c r="C670" s="102"/>
      <c r="E670" s="113"/>
      <c r="F670" s="113"/>
      <c r="G670" s="113"/>
      <c r="H670" s="113"/>
    </row>
    <row r="671">
      <c r="C671" s="102"/>
      <c r="E671" s="113"/>
      <c r="F671" s="113"/>
      <c r="G671" s="113"/>
      <c r="H671" s="113"/>
    </row>
    <row r="672">
      <c r="C672" s="102"/>
      <c r="E672" s="113"/>
      <c r="F672" s="113"/>
      <c r="G672" s="113"/>
      <c r="H672" s="113"/>
    </row>
    <row r="673">
      <c r="C673" s="102"/>
      <c r="E673" s="113"/>
      <c r="F673" s="113"/>
      <c r="G673" s="113"/>
      <c r="H673" s="113"/>
    </row>
    <row r="674">
      <c r="C674" s="102"/>
      <c r="E674" s="113"/>
      <c r="F674" s="113"/>
      <c r="G674" s="113"/>
      <c r="H674" s="113"/>
    </row>
    <row r="675">
      <c r="C675" s="102"/>
      <c r="E675" s="113"/>
      <c r="F675" s="113"/>
      <c r="G675" s="113"/>
      <c r="H675" s="113"/>
    </row>
    <row r="676">
      <c r="C676" s="102"/>
      <c r="E676" s="113"/>
      <c r="F676" s="113"/>
      <c r="G676" s="113"/>
      <c r="H676" s="113"/>
    </row>
    <row r="677">
      <c r="C677" s="102"/>
      <c r="E677" s="113"/>
      <c r="F677" s="113"/>
      <c r="G677" s="113"/>
      <c r="H677" s="113"/>
    </row>
    <row r="678">
      <c r="C678" s="102"/>
      <c r="E678" s="113"/>
      <c r="F678" s="113"/>
      <c r="G678" s="113"/>
      <c r="H678" s="113"/>
    </row>
    <row r="679">
      <c r="C679" s="102"/>
      <c r="E679" s="113"/>
      <c r="F679" s="113"/>
      <c r="G679" s="113"/>
      <c r="H679" s="113"/>
    </row>
    <row r="680">
      <c r="C680" s="102"/>
      <c r="E680" s="113"/>
      <c r="F680" s="113"/>
      <c r="G680" s="113"/>
      <c r="H680" s="113"/>
    </row>
    <row r="681">
      <c r="C681" s="102"/>
      <c r="E681" s="113"/>
      <c r="F681" s="113"/>
      <c r="G681" s="113"/>
      <c r="H681" s="113"/>
    </row>
    <row r="682">
      <c r="C682" s="102"/>
      <c r="E682" s="113"/>
      <c r="F682" s="113"/>
      <c r="G682" s="113"/>
      <c r="H682" s="113"/>
    </row>
    <row r="683">
      <c r="C683" s="102"/>
      <c r="E683" s="113"/>
      <c r="F683" s="113"/>
      <c r="G683" s="113"/>
      <c r="H683" s="113"/>
    </row>
    <row r="684">
      <c r="C684" s="102"/>
      <c r="E684" s="113"/>
      <c r="F684" s="113"/>
      <c r="G684" s="113"/>
      <c r="H684" s="113"/>
    </row>
    <row r="685">
      <c r="C685" s="102"/>
      <c r="E685" s="113"/>
      <c r="F685" s="113"/>
      <c r="G685" s="113"/>
      <c r="H685" s="113"/>
    </row>
    <row r="686">
      <c r="C686" s="102"/>
      <c r="E686" s="113"/>
      <c r="F686" s="113"/>
      <c r="G686" s="113"/>
      <c r="H686" s="113"/>
    </row>
    <row r="687">
      <c r="C687" s="102"/>
      <c r="E687" s="113"/>
      <c r="F687" s="113"/>
      <c r="G687" s="113"/>
      <c r="H687" s="113"/>
    </row>
    <row r="688">
      <c r="C688" s="102"/>
      <c r="E688" s="113"/>
      <c r="F688" s="113"/>
      <c r="G688" s="113"/>
      <c r="H688" s="113"/>
    </row>
    <row r="689">
      <c r="C689" s="102"/>
      <c r="E689" s="113"/>
      <c r="F689" s="113"/>
      <c r="G689" s="113"/>
      <c r="H689" s="113"/>
    </row>
    <row r="690">
      <c r="C690" s="102"/>
      <c r="E690" s="113"/>
      <c r="F690" s="113"/>
      <c r="G690" s="113"/>
      <c r="H690" s="113"/>
    </row>
    <row r="691">
      <c r="C691" s="102"/>
      <c r="E691" s="113"/>
      <c r="F691" s="113"/>
      <c r="G691" s="113"/>
      <c r="H691" s="113"/>
    </row>
    <row r="692">
      <c r="C692" s="102"/>
      <c r="E692" s="113"/>
      <c r="F692" s="113"/>
      <c r="G692" s="113"/>
      <c r="H692" s="113"/>
    </row>
    <row r="693">
      <c r="C693" s="102"/>
      <c r="E693" s="113"/>
      <c r="F693" s="113"/>
      <c r="G693" s="113"/>
      <c r="H693" s="113"/>
    </row>
    <row r="694">
      <c r="C694" s="102"/>
      <c r="E694" s="113"/>
      <c r="F694" s="113"/>
      <c r="G694" s="113"/>
      <c r="H694" s="113"/>
    </row>
    <row r="695">
      <c r="C695" s="102"/>
      <c r="E695" s="113"/>
      <c r="F695" s="113"/>
      <c r="G695" s="113"/>
      <c r="H695" s="113"/>
    </row>
    <row r="696">
      <c r="C696" s="102"/>
      <c r="E696" s="113"/>
      <c r="F696" s="113"/>
      <c r="G696" s="113"/>
      <c r="H696" s="113"/>
    </row>
    <row r="697">
      <c r="C697" s="102"/>
      <c r="E697" s="113"/>
      <c r="F697" s="113"/>
      <c r="G697" s="113"/>
      <c r="H697" s="113"/>
    </row>
    <row r="698">
      <c r="C698" s="102"/>
      <c r="E698" s="113"/>
      <c r="F698" s="113"/>
      <c r="G698" s="113"/>
      <c r="H698" s="113"/>
    </row>
    <row r="699">
      <c r="C699" s="102"/>
      <c r="E699" s="113"/>
      <c r="F699" s="113"/>
      <c r="G699" s="113"/>
      <c r="H699" s="113"/>
    </row>
    <row r="700">
      <c r="C700" s="102"/>
      <c r="E700" s="113"/>
      <c r="F700" s="113"/>
      <c r="G700" s="113"/>
      <c r="H700" s="113"/>
    </row>
    <row r="701">
      <c r="C701" s="102"/>
      <c r="E701" s="113"/>
      <c r="F701" s="113"/>
      <c r="G701" s="113"/>
      <c r="H701" s="113"/>
    </row>
    <row r="702">
      <c r="C702" s="102"/>
      <c r="E702" s="113"/>
      <c r="F702" s="113"/>
      <c r="G702" s="113"/>
      <c r="H702" s="113"/>
    </row>
    <row r="703">
      <c r="C703" s="102"/>
      <c r="E703" s="113"/>
      <c r="F703" s="113"/>
      <c r="G703" s="113"/>
      <c r="H703" s="113"/>
    </row>
    <row r="704">
      <c r="C704" s="102"/>
      <c r="E704" s="113"/>
      <c r="F704" s="113"/>
      <c r="G704" s="113"/>
      <c r="H704" s="113"/>
    </row>
    <row r="705">
      <c r="C705" s="102"/>
      <c r="E705" s="113"/>
      <c r="F705" s="113"/>
      <c r="G705" s="113"/>
      <c r="H705" s="113"/>
    </row>
    <row r="706">
      <c r="C706" s="102"/>
      <c r="E706" s="113"/>
      <c r="F706" s="113"/>
      <c r="G706" s="113"/>
      <c r="H706" s="113"/>
    </row>
    <row r="707">
      <c r="C707" s="102"/>
      <c r="E707" s="113"/>
      <c r="F707" s="113"/>
      <c r="G707" s="113"/>
      <c r="H707" s="113"/>
    </row>
    <row r="708">
      <c r="C708" s="102"/>
      <c r="E708" s="113"/>
      <c r="F708" s="113"/>
      <c r="G708" s="113"/>
      <c r="H708" s="113"/>
    </row>
    <row r="709">
      <c r="C709" s="102"/>
      <c r="E709" s="113"/>
      <c r="F709" s="113"/>
      <c r="G709" s="113"/>
      <c r="H709" s="113"/>
    </row>
    <row r="710">
      <c r="C710" s="102"/>
      <c r="E710" s="113"/>
      <c r="F710" s="113"/>
      <c r="G710" s="113"/>
      <c r="H710" s="113"/>
    </row>
    <row r="711">
      <c r="C711" s="102"/>
      <c r="E711" s="113"/>
      <c r="F711" s="113"/>
      <c r="G711" s="113"/>
      <c r="H711" s="113"/>
    </row>
    <row r="712">
      <c r="C712" s="102"/>
      <c r="E712" s="113"/>
      <c r="F712" s="113"/>
      <c r="G712" s="113"/>
      <c r="H712" s="113"/>
    </row>
    <row r="713">
      <c r="C713" s="102"/>
      <c r="E713" s="113"/>
      <c r="F713" s="113"/>
      <c r="G713" s="113"/>
      <c r="H713" s="113"/>
    </row>
    <row r="714">
      <c r="C714" s="102"/>
      <c r="E714" s="113"/>
      <c r="F714" s="113"/>
      <c r="G714" s="113"/>
      <c r="H714" s="113"/>
    </row>
    <row r="715">
      <c r="C715" s="102"/>
      <c r="E715" s="113"/>
      <c r="F715" s="113"/>
      <c r="G715" s="113"/>
      <c r="H715" s="113"/>
    </row>
    <row r="716">
      <c r="C716" s="102"/>
      <c r="E716" s="113"/>
      <c r="F716" s="113"/>
      <c r="G716" s="113"/>
      <c r="H716" s="113"/>
    </row>
    <row r="717">
      <c r="C717" s="102"/>
      <c r="E717" s="113"/>
      <c r="F717" s="113"/>
      <c r="G717" s="113"/>
      <c r="H717" s="113"/>
    </row>
    <row r="718">
      <c r="C718" s="102"/>
      <c r="E718" s="113"/>
      <c r="F718" s="113"/>
      <c r="G718" s="113"/>
      <c r="H718" s="113"/>
    </row>
    <row r="719">
      <c r="C719" s="102"/>
      <c r="E719" s="113"/>
      <c r="F719" s="113"/>
      <c r="G719" s="113"/>
      <c r="H719" s="113"/>
    </row>
    <row r="720">
      <c r="C720" s="102"/>
      <c r="E720" s="113"/>
      <c r="F720" s="113"/>
      <c r="G720" s="113"/>
      <c r="H720" s="113"/>
    </row>
    <row r="721">
      <c r="C721" s="102"/>
      <c r="E721" s="113"/>
      <c r="F721" s="113"/>
      <c r="G721" s="113"/>
      <c r="H721" s="113"/>
    </row>
    <row r="722">
      <c r="C722" s="102"/>
      <c r="E722" s="113"/>
      <c r="F722" s="113"/>
      <c r="G722" s="113"/>
      <c r="H722" s="113"/>
    </row>
    <row r="723">
      <c r="C723" s="102"/>
      <c r="E723" s="113"/>
      <c r="F723" s="113"/>
      <c r="G723" s="113"/>
      <c r="H723" s="113"/>
    </row>
    <row r="724">
      <c r="C724" s="102"/>
      <c r="E724" s="113"/>
      <c r="F724" s="113"/>
      <c r="G724" s="113"/>
      <c r="H724" s="113"/>
    </row>
    <row r="725">
      <c r="C725" s="102"/>
      <c r="E725" s="113"/>
      <c r="F725" s="113"/>
      <c r="G725" s="113"/>
      <c r="H725" s="113"/>
    </row>
    <row r="726">
      <c r="C726" s="102"/>
      <c r="E726" s="113"/>
      <c r="F726" s="113"/>
      <c r="G726" s="113"/>
      <c r="H726" s="113"/>
    </row>
    <row r="727">
      <c r="C727" s="102"/>
      <c r="E727" s="113"/>
      <c r="F727" s="113"/>
      <c r="G727" s="113"/>
      <c r="H727" s="113"/>
    </row>
    <row r="728">
      <c r="C728" s="102"/>
      <c r="E728" s="113"/>
      <c r="F728" s="113"/>
      <c r="G728" s="113"/>
      <c r="H728" s="113"/>
    </row>
    <row r="729">
      <c r="C729" s="102"/>
      <c r="E729" s="113"/>
      <c r="F729" s="113"/>
      <c r="G729" s="113"/>
      <c r="H729" s="113"/>
    </row>
    <row r="730">
      <c r="C730" s="102"/>
      <c r="E730" s="113"/>
      <c r="F730" s="113"/>
      <c r="G730" s="113"/>
      <c r="H730" s="113"/>
    </row>
    <row r="731">
      <c r="C731" s="102"/>
      <c r="E731" s="113"/>
      <c r="F731" s="113"/>
      <c r="G731" s="113"/>
      <c r="H731" s="113"/>
    </row>
    <row r="732">
      <c r="C732" s="102"/>
      <c r="E732" s="113"/>
      <c r="F732" s="113"/>
      <c r="G732" s="113"/>
      <c r="H732" s="113"/>
    </row>
    <row r="733">
      <c r="C733" s="102"/>
      <c r="E733" s="113"/>
      <c r="F733" s="113"/>
      <c r="G733" s="113"/>
      <c r="H733" s="113"/>
    </row>
    <row r="734">
      <c r="C734" s="102"/>
      <c r="E734" s="113"/>
      <c r="F734" s="113"/>
      <c r="G734" s="113"/>
      <c r="H734" s="113"/>
    </row>
    <row r="735">
      <c r="C735" s="102"/>
      <c r="E735" s="113"/>
      <c r="F735" s="113"/>
      <c r="G735" s="113"/>
      <c r="H735" s="113"/>
    </row>
    <row r="736">
      <c r="C736" s="102"/>
      <c r="E736" s="113"/>
      <c r="F736" s="113"/>
      <c r="G736" s="113"/>
      <c r="H736" s="113"/>
    </row>
    <row r="737">
      <c r="C737" s="102"/>
      <c r="E737" s="113"/>
      <c r="F737" s="113"/>
      <c r="G737" s="113"/>
      <c r="H737" s="113"/>
    </row>
    <row r="738">
      <c r="C738" s="102"/>
      <c r="E738" s="113"/>
      <c r="F738" s="113"/>
      <c r="G738" s="113"/>
      <c r="H738" s="113"/>
    </row>
    <row r="739">
      <c r="C739" s="102"/>
      <c r="E739" s="113"/>
      <c r="F739" s="113"/>
      <c r="G739" s="113"/>
      <c r="H739" s="113"/>
    </row>
    <row r="740">
      <c r="C740" s="102"/>
      <c r="E740" s="113"/>
      <c r="F740" s="113"/>
      <c r="G740" s="113"/>
      <c r="H740" s="113"/>
    </row>
    <row r="741">
      <c r="C741" s="102"/>
      <c r="E741" s="113"/>
      <c r="F741" s="113"/>
      <c r="G741" s="113"/>
      <c r="H741" s="113"/>
    </row>
    <row r="742">
      <c r="C742" s="102"/>
      <c r="E742" s="113"/>
      <c r="F742" s="113"/>
      <c r="G742" s="113"/>
      <c r="H742" s="113"/>
    </row>
    <row r="743">
      <c r="C743" s="102"/>
      <c r="E743" s="113"/>
      <c r="F743" s="113"/>
      <c r="G743" s="113"/>
      <c r="H743" s="113"/>
    </row>
    <row r="744">
      <c r="C744" s="102"/>
      <c r="E744" s="113"/>
      <c r="F744" s="113"/>
      <c r="G744" s="113"/>
      <c r="H744" s="113"/>
    </row>
    <row r="745">
      <c r="C745" s="102"/>
      <c r="E745" s="113"/>
      <c r="F745" s="113"/>
      <c r="G745" s="113"/>
      <c r="H745" s="113"/>
    </row>
    <row r="746">
      <c r="C746" s="102"/>
      <c r="E746" s="113"/>
      <c r="F746" s="113"/>
      <c r="G746" s="113"/>
      <c r="H746" s="113"/>
    </row>
    <row r="747">
      <c r="C747" s="102"/>
      <c r="E747" s="113"/>
      <c r="F747" s="113"/>
      <c r="G747" s="113"/>
      <c r="H747" s="113"/>
    </row>
    <row r="748">
      <c r="C748" s="102"/>
      <c r="E748" s="113"/>
      <c r="F748" s="113"/>
      <c r="G748" s="113"/>
      <c r="H748" s="113"/>
    </row>
    <row r="749">
      <c r="C749" s="102"/>
      <c r="E749" s="113"/>
      <c r="F749" s="113"/>
      <c r="G749" s="113"/>
      <c r="H749" s="113"/>
    </row>
    <row r="750">
      <c r="C750" s="102"/>
      <c r="E750" s="113"/>
      <c r="F750" s="113"/>
      <c r="G750" s="113"/>
      <c r="H750" s="113"/>
    </row>
    <row r="751">
      <c r="C751" s="102"/>
      <c r="E751" s="113"/>
      <c r="F751" s="113"/>
      <c r="G751" s="113"/>
      <c r="H751" s="113"/>
    </row>
    <row r="752">
      <c r="C752" s="102"/>
      <c r="E752" s="113"/>
      <c r="F752" s="113"/>
      <c r="G752" s="113"/>
      <c r="H752" s="113"/>
    </row>
    <row r="753">
      <c r="C753" s="102"/>
      <c r="E753" s="113"/>
      <c r="F753" s="113"/>
      <c r="G753" s="113"/>
      <c r="H753" s="113"/>
    </row>
    <row r="754">
      <c r="C754" s="102"/>
      <c r="E754" s="113"/>
      <c r="F754" s="113"/>
      <c r="G754" s="113"/>
      <c r="H754" s="113"/>
    </row>
    <row r="755">
      <c r="C755" s="102"/>
      <c r="E755" s="113"/>
      <c r="F755" s="113"/>
      <c r="G755" s="113"/>
      <c r="H755" s="113"/>
    </row>
    <row r="756">
      <c r="C756" s="102"/>
      <c r="E756" s="113"/>
      <c r="F756" s="113"/>
      <c r="G756" s="113"/>
      <c r="H756" s="113"/>
    </row>
    <row r="757">
      <c r="C757" s="102"/>
      <c r="E757" s="113"/>
      <c r="F757" s="113"/>
      <c r="G757" s="113"/>
      <c r="H757" s="113"/>
    </row>
    <row r="758">
      <c r="C758" s="102"/>
      <c r="E758" s="113"/>
      <c r="F758" s="113"/>
      <c r="G758" s="113"/>
      <c r="H758" s="113"/>
    </row>
    <row r="759">
      <c r="C759" s="102"/>
      <c r="E759" s="113"/>
      <c r="F759" s="113"/>
      <c r="G759" s="113"/>
      <c r="H759" s="113"/>
    </row>
    <row r="760">
      <c r="C760" s="102"/>
      <c r="E760" s="113"/>
      <c r="F760" s="113"/>
      <c r="G760" s="113"/>
      <c r="H760" s="113"/>
    </row>
    <row r="761">
      <c r="C761" s="102"/>
      <c r="E761" s="113"/>
      <c r="F761" s="113"/>
      <c r="G761" s="113"/>
      <c r="H761" s="113"/>
    </row>
    <row r="762">
      <c r="C762" s="102"/>
      <c r="E762" s="113"/>
      <c r="F762" s="113"/>
      <c r="G762" s="113"/>
      <c r="H762" s="113"/>
    </row>
    <row r="763">
      <c r="C763" s="102"/>
      <c r="E763" s="113"/>
      <c r="F763" s="113"/>
      <c r="G763" s="113"/>
      <c r="H763" s="113"/>
    </row>
    <row r="764">
      <c r="C764" s="102"/>
      <c r="E764" s="113"/>
      <c r="F764" s="113"/>
      <c r="G764" s="113"/>
      <c r="H764" s="113"/>
    </row>
    <row r="765">
      <c r="C765" s="102"/>
      <c r="E765" s="113"/>
      <c r="F765" s="113"/>
      <c r="G765" s="113"/>
      <c r="H765" s="113"/>
    </row>
    <row r="766">
      <c r="C766" s="102"/>
      <c r="E766" s="113"/>
      <c r="F766" s="113"/>
      <c r="G766" s="113"/>
      <c r="H766" s="113"/>
    </row>
    <row r="767">
      <c r="C767" s="102"/>
      <c r="E767" s="113"/>
      <c r="F767" s="113"/>
      <c r="G767" s="113"/>
      <c r="H767" s="113"/>
    </row>
    <row r="768">
      <c r="C768" s="102"/>
      <c r="E768" s="113"/>
      <c r="F768" s="113"/>
      <c r="G768" s="113"/>
      <c r="H768" s="113"/>
    </row>
    <row r="769">
      <c r="C769" s="102"/>
      <c r="E769" s="113"/>
      <c r="F769" s="113"/>
      <c r="G769" s="113"/>
      <c r="H769" s="113"/>
    </row>
    <row r="770">
      <c r="C770" s="102"/>
      <c r="E770" s="113"/>
      <c r="F770" s="113"/>
      <c r="G770" s="113"/>
      <c r="H770" s="113"/>
    </row>
    <row r="771">
      <c r="C771" s="102"/>
      <c r="E771" s="113"/>
      <c r="F771" s="113"/>
      <c r="G771" s="113"/>
      <c r="H771" s="113"/>
    </row>
    <row r="772">
      <c r="C772" s="102"/>
      <c r="E772" s="113"/>
      <c r="F772" s="113"/>
      <c r="G772" s="113"/>
      <c r="H772" s="113"/>
    </row>
    <row r="773">
      <c r="C773" s="102"/>
      <c r="E773" s="113"/>
      <c r="F773" s="113"/>
      <c r="G773" s="113"/>
      <c r="H773" s="113"/>
    </row>
    <row r="774">
      <c r="C774" s="102"/>
      <c r="E774" s="113"/>
      <c r="F774" s="113"/>
      <c r="G774" s="113"/>
      <c r="H774" s="113"/>
    </row>
    <row r="775">
      <c r="C775" s="102"/>
      <c r="E775" s="113"/>
      <c r="F775" s="113"/>
      <c r="G775" s="113"/>
      <c r="H775" s="113"/>
    </row>
    <row r="776">
      <c r="C776" s="102"/>
      <c r="E776" s="113"/>
      <c r="F776" s="113"/>
      <c r="G776" s="113"/>
      <c r="H776" s="113"/>
    </row>
    <row r="777">
      <c r="C777" s="102"/>
      <c r="E777" s="113"/>
      <c r="F777" s="113"/>
      <c r="G777" s="113"/>
      <c r="H777" s="113"/>
    </row>
    <row r="778">
      <c r="C778" s="102"/>
      <c r="E778" s="113"/>
      <c r="F778" s="113"/>
      <c r="G778" s="113"/>
      <c r="H778" s="113"/>
    </row>
    <row r="779">
      <c r="C779" s="102"/>
      <c r="E779" s="113"/>
      <c r="F779" s="113"/>
      <c r="G779" s="113"/>
      <c r="H779" s="113"/>
    </row>
    <row r="780">
      <c r="C780" s="102"/>
      <c r="E780" s="113"/>
      <c r="F780" s="113"/>
      <c r="G780" s="113"/>
      <c r="H780" s="113"/>
    </row>
    <row r="781">
      <c r="C781" s="102"/>
      <c r="E781" s="113"/>
      <c r="F781" s="113"/>
      <c r="G781" s="113"/>
      <c r="H781" s="113"/>
    </row>
    <row r="782">
      <c r="C782" s="102"/>
      <c r="E782" s="113"/>
      <c r="F782" s="113"/>
      <c r="G782" s="113"/>
      <c r="H782" s="113"/>
    </row>
    <row r="783">
      <c r="C783" s="102"/>
      <c r="E783" s="113"/>
      <c r="F783" s="113"/>
      <c r="G783" s="113"/>
      <c r="H783" s="113"/>
    </row>
    <row r="784">
      <c r="C784" s="102"/>
      <c r="E784" s="113"/>
      <c r="F784" s="113"/>
      <c r="G784" s="113"/>
      <c r="H784" s="113"/>
    </row>
    <row r="785">
      <c r="C785" s="102"/>
      <c r="E785" s="113"/>
      <c r="F785" s="113"/>
      <c r="G785" s="113"/>
      <c r="H785" s="113"/>
    </row>
    <row r="786">
      <c r="C786" s="102"/>
      <c r="E786" s="113"/>
      <c r="F786" s="113"/>
      <c r="G786" s="113"/>
      <c r="H786" s="113"/>
    </row>
    <row r="787">
      <c r="C787" s="102"/>
      <c r="E787" s="113"/>
      <c r="F787" s="113"/>
      <c r="G787" s="113"/>
      <c r="H787" s="113"/>
    </row>
    <row r="788">
      <c r="C788" s="102"/>
      <c r="E788" s="113"/>
      <c r="F788" s="113"/>
      <c r="G788" s="113"/>
      <c r="H788" s="113"/>
    </row>
    <row r="789">
      <c r="C789" s="102"/>
      <c r="E789" s="113"/>
      <c r="F789" s="113"/>
      <c r="G789" s="113"/>
      <c r="H789" s="113"/>
    </row>
    <row r="790">
      <c r="C790" s="102"/>
      <c r="E790" s="113"/>
      <c r="F790" s="113"/>
      <c r="G790" s="113"/>
      <c r="H790" s="113"/>
    </row>
    <row r="791">
      <c r="C791" s="102"/>
      <c r="E791" s="113"/>
      <c r="F791" s="113"/>
      <c r="G791" s="113"/>
      <c r="H791" s="113"/>
    </row>
    <row r="792">
      <c r="C792" s="102"/>
      <c r="E792" s="113"/>
      <c r="F792" s="113"/>
      <c r="G792" s="113"/>
      <c r="H792" s="113"/>
    </row>
    <row r="793">
      <c r="C793" s="102"/>
      <c r="E793" s="113"/>
      <c r="F793" s="113"/>
      <c r="G793" s="113"/>
      <c r="H793" s="113"/>
    </row>
    <row r="794">
      <c r="C794" s="102"/>
      <c r="E794" s="113"/>
      <c r="F794" s="113"/>
      <c r="G794" s="113"/>
      <c r="H794" s="113"/>
    </row>
    <row r="795">
      <c r="C795" s="102"/>
      <c r="E795" s="113"/>
      <c r="F795" s="113"/>
      <c r="G795" s="113"/>
      <c r="H795" s="113"/>
    </row>
    <row r="796">
      <c r="C796" s="102"/>
      <c r="E796" s="113"/>
      <c r="F796" s="113"/>
      <c r="G796" s="113"/>
      <c r="H796" s="113"/>
    </row>
    <row r="797">
      <c r="C797" s="102"/>
      <c r="E797" s="113"/>
      <c r="F797" s="113"/>
      <c r="G797" s="113"/>
      <c r="H797" s="113"/>
    </row>
    <row r="798">
      <c r="C798" s="102"/>
      <c r="E798" s="113"/>
      <c r="F798" s="113"/>
      <c r="G798" s="113"/>
      <c r="H798" s="113"/>
    </row>
    <row r="799">
      <c r="C799" s="102"/>
      <c r="E799" s="113"/>
      <c r="F799" s="113"/>
      <c r="G799" s="113"/>
      <c r="H799" s="113"/>
    </row>
    <row r="800">
      <c r="C800" s="102"/>
      <c r="E800" s="113"/>
      <c r="F800" s="113"/>
      <c r="G800" s="113"/>
      <c r="H800" s="113"/>
    </row>
    <row r="801">
      <c r="C801" s="102"/>
      <c r="E801" s="113"/>
      <c r="F801" s="113"/>
      <c r="G801" s="113"/>
      <c r="H801" s="113"/>
    </row>
    <row r="802">
      <c r="C802" s="102"/>
      <c r="E802" s="113"/>
      <c r="F802" s="113"/>
      <c r="G802" s="113"/>
      <c r="H802" s="113"/>
    </row>
    <row r="803">
      <c r="C803" s="102"/>
      <c r="E803" s="113"/>
      <c r="F803" s="113"/>
      <c r="G803" s="113"/>
      <c r="H803" s="113"/>
    </row>
    <row r="804">
      <c r="C804" s="102"/>
      <c r="E804" s="113"/>
      <c r="F804" s="113"/>
      <c r="G804" s="113"/>
      <c r="H804" s="113"/>
    </row>
    <row r="805">
      <c r="C805" s="102"/>
      <c r="E805" s="113"/>
      <c r="F805" s="113"/>
      <c r="G805" s="113"/>
      <c r="H805" s="113"/>
    </row>
    <row r="806">
      <c r="C806" s="102"/>
      <c r="E806" s="113"/>
      <c r="F806" s="113"/>
      <c r="G806" s="113"/>
      <c r="H806" s="113"/>
    </row>
    <row r="807">
      <c r="C807" s="102"/>
      <c r="E807" s="113"/>
      <c r="F807" s="113"/>
      <c r="G807" s="113"/>
      <c r="H807" s="113"/>
    </row>
    <row r="808">
      <c r="C808" s="102"/>
      <c r="E808" s="113"/>
      <c r="F808" s="113"/>
      <c r="G808" s="113"/>
      <c r="H808" s="113"/>
    </row>
    <row r="809">
      <c r="C809" s="102"/>
      <c r="E809" s="113"/>
      <c r="F809" s="113"/>
      <c r="G809" s="113"/>
      <c r="H809" s="113"/>
    </row>
    <row r="810">
      <c r="C810" s="102"/>
      <c r="E810" s="113"/>
      <c r="F810" s="113"/>
      <c r="G810" s="113"/>
      <c r="H810" s="113"/>
    </row>
    <row r="811">
      <c r="C811" s="102"/>
      <c r="E811" s="113"/>
      <c r="F811" s="113"/>
      <c r="G811" s="113"/>
      <c r="H811" s="113"/>
    </row>
    <row r="812">
      <c r="C812" s="102"/>
      <c r="E812" s="113"/>
      <c r="F812" s="113"/>
      <c r="G812" s="113"/>
      <c r="H812" s="113"/>
    </row>
    <row r="813">
      <c r="C813" s="102"/>
      <c r="E813" s="113"/>
      <c r="F813" s="113"/>
      <c r="G813" s="113"/>
      <c r="H813" s="113"/>
    </row>
    <row r="814">
      <c r="C814" s="102"/>
      <c r="E814" s="113"/>
      <c r="F814" s="113"/>
      <c r="G814" s="113"/>
      <c r="H814" s="113"/>
    </row>
    <row r="815">
      <c r="C815" s="102"/>
      <c r="E815" s="113"/>
      <c r="F815" s="113"/>
      <c r="G815" s="113"/>
      <c r="H815" s="113"/>
    </row>
    <row r="816">
      <c r="C816" s="102"/>
      <c r="E816" s="113"/>
      <c r="F816" s="113"/>
      <c r="G816" s="113"/>
      <c r="H816" s="113"/>
    </row>
    <row r="817">
      <c r="C817" s="102"/>
      <c r="E817" s="113"/>
      <c r="F817" s="113"/>
      <c r="G817" s="113"/>
      <c r="H817" s="113"/>
    </row>
    <row r="818">
      <c r="C818" s="102"/>
      <c r="E818" s="113"/>
      <c r="F818" s="113"/>
      <c r="G818" s="113"/>
      <c r="H818" s="113"/>
    </row>
    <row r="819">
      <c r="C819" s="102"/>
      <c r="E819" s="113"/>
      <c r="F819" s="113"/>
      <c r="G819" s="113"/>
      <c r="H819" s="113"/>
    </row>
    <row r="820">
      <c r="C820" s="102"/>
      <c r="E820" s="113"/>
      <c r="F820" s="113"/>
      <c r="G820" s="113"/>
      <c r="H820" s="113"/>
    </row>
    <row r="821">
      <c r="C821" s="102"/>
      <c r="E821" s="113"/>
      <c r="F821" s="113"/>
      <c r="G821" s="113"/>
      <c r="H821" s="113"/>
    </row>
    <row r="822">
      <c r="C822" s="102"/>
      <c r="E822" s="113"/>
      <c r="F822" s="113"/>
      <c r="G822" s="113"/>
      <c r="H822" s="113"/>
    </row>
    <row r="823">
      <c r="C823" s="102"/>
      <c r="E823" s="113"/>
      <c r="F823" s="113"/>
      <c r="G823" s="113"/>
      <c r="H823" s="113"/>
    </row>
    <row r="824">
      <c r="C824" s="102"/>
      <c r="E824" s="113"/>
      <c r="F824" s="113"/>
      <c r="G824" s="113"/>
      <c r="H824" s="113"/>
    </row>
    <row r="825">
      <c r="C825" s="102"/>
      <c r="E825" s="113"/>
      <c r="F825" s="113"/>
      <c r="G825" s="113"/>
      <c r="H825" s="113"/>
    </row>
    <row r="826">
      <c r="C826" s="102"/>
      <c r="E826" s="113"/>
      <c r="F826" s="113"/>
      <c r="G826" s="113"/>
      <c r="H826" s="113"/>
    </row>
    <row r="827">
      <c r="C827" s="102"/>
      <c r="E827" s="113"/>
      <c r="F827" s="113"/>
      <c r="G827" s="113"/>
      <c r="H827" s="113"/>
    </row>
    <row r="828">
      <c r="C828" s="102"/>
      <c r="E828" s="113"/>
      <c r="F828" s="113"/>
      <c r="G828" s="113"/>
      <c r="H828" s="113"/>
    </row>
    <row r="829">
      <c r="C829" s="102"/>
      <c r="E829" s="113"/>
      <c r="F829" s="113"/>
      <c r="G829" s="113"/>
      <c r="H829" s="113"/>
    </row>
    <row r="830">
      <c r="C830" s="102"/>
      <c r="E830" s="113"/>
      <c r="F830" s="113"/>
      <c r="G830" s="113"/>
      <c r="H830" s="113"/>
    </row>
    <row r="831">
      <c r="C831" s="102"/>
      <c r="E831" s="113"/>
      <c r="F831" s="113"/>
      <c r="G831" s="113"/>
      <c r="H831" s="113"/>
    </row>
    <row r="832">
      <c r="C832" s="102"/>
      <c r="E832" s="113"/>
      <c r="F832" s="113"/>
      <c r="G832" s="113"/>
      <c r="H832" s="113"/>
    </row>
    <row r="833">
      <c r="C833" s="102"/>
      <c r="E833" s="113"/>
      <c r="F833" s="113"/>
      <c r="G833" s="113"/>
      <c r="H833" s="113"/>
    </row>
    <row r="834">
      <c r="C834" s="102"/>
      <c r="E834" s="113"/>
      <c r="F834" s="113"/>
      <c r="G834" s="113"/>
      <c r="H834" s="113"/>
    </row>
    <row r="835">
      <c r="C835" s="102"/>
      <c r="E835" s="113"/>
      <c r="F835" s="113"/>
      <c r="G835" s="113"/>
      <c r="H835" s="113"/>
    </row>
    <row r="836">
      <c r="C836" s="102"/>
      <c r="E836" s="113"/>
      <c r="F836" s="113"/>
      <c r="G836" s="113"/>
      <c r="H836" s="113"/>
    </row>
    <row r="837">
      <c r="C837" s="102"/>
      <c r="E837" s="113"/>
      <c r="F837" s="113"/>
      <c r="G837" s="113"/>
      <c r="H837" s="113"/>
    </row>
    <row r="838">
      <c r="C838" s="102"/>
      <c r="E838" s="113"/>
      <c r="F838" s="113"/>
      <c r="G838" s="113"/>
      <c r="H838" s="113"/>
    </row>
    <row r="839">
      <c r="C839" s="102"/>
      <c r="E839" s="113"/>
      <c r="F839" s="113"/>
      <c r="G839" s="113"/>
      <c r="H839" s="113"/>
    </row>
    <row r="840">
      <c r="C840" s="102"/>
      <c r="E840" s="113"/>
      <c r="F840" s="113"/>
      <c r="G840" s="113"/>
      <c r="H840" s="113"/>
    </row>
    <row r="841">
      <c r="C841" s="102"/>
      <c r="E841" s="113"/>
      <c r="F841" s="113"/>
      <c r="G841" s="113"/>
      <c r="H841" s="113"/>
    </row>
    <row r="842">
      <c r="C842" s="102"/>
      <c r="E842" s="113"/>
      <c r="F842" s="113"/>
      <c r="G842" s="113"/>
      <c r="H842" s="113"/>
    </row>
    <row r="843">
      <c r="C843" s="102"/>
      <c r="E843" s="113"/>
      <c r="F843" s="113"/>
      <c r="G843" s="113"/>
      <c r="H843" s="113"/>
    </row>
    <row r="844">
      <c r="C844" s="102"/>
      <c r="E844" s="113"/>
      <c r="F844" s="113"/>
      <c r="G844" s="113"/>
      <c r="H844" s="113"/>
    </row>
    <row r="845">
      <c r="C845" s="102"/>
      <c r="E845" s="113"/>
      <c r="F845" s="113"/>
      <c r="G845" s="113"/>
      <c r="H845" s="113"/>
    </row>
    <row r="846">
      <c r="C846" s="102"/>
      <c r="E846" s="113"/>
      <c r="F846" s="113"/>
      <c r="G846" s="113"/>
      <c r="H846" s="113"/>
    </row>
    <row r="847">
      <c r="C847" s="102"/>
      <c r="E847" s="113"/>
      <c r="F847" s="113"/>
      <c r="G847" s="113"/>
      <c r="H847" s="113"/>
    </row>
    <row r="848">
      <c r="C848" s="102"/>
      <c r="E848" s="113"/>
      <c r="F848" s="113"/>
      <c r="G848" s="113"/>
      <c r="H848" s="113"/>
    </row>
    <row r="849">
      <c r="C849" s="102"/>
      <c r="E849" s="113"/>
      <c r="F849" s="113"/>
      <c r="G849" s="113"/>
      <c r="H849" s="113"/>
    </row>
    <row r="850">
      <c r="C850" s="102"/>
      <c r="E850" s="113"/>
      <c r="F850" s="113"/>
      <c r="G850" s="113"/>
      <c r="H850" s="113"/>
    </row>
    <row r="851">
      <c r="C851" s="102"/>
      <c r="E851" s="113"/>
      <c r="F851" s="113"/>
      <c r="G851" s="113"/>
      <c r="H851" s="113"/>
    </row>
    <row r="852">
      <c r="C852" s="102"/>
      <c r="E852" s="113"/>
      <c r="F852" s="113"/>
      <c r="G852" s="113"/>
      <c r="H852" s="113"/>
    </row>
    <row r="853">
      <c r="C853" s="102"/>
      <c r="E853" s="113"/>
      <c r="F853" s="113"/>
      <c r="G853" s="113"/>
      <c r="H853" s="113"/>
    </row>
    <row r="854">
      <c r="C854" s="102"/>
      <c r="E854" s="113"/>
      <c r="F854" s="113"/>
      <c r="G854" s="113"/>
      <c r="H854" s="113"/>
    </row>
    <row r="855">
      <c r="C855" s="102"/>
      <c r="E855" s="113"/>
      <c r="F855" s="113"/>
      <c r="G855" s="113"/>
      <c r="H855" s="113"/>
    </row>
    <row r="856">
      <c r="C856" s="102"/>
      <c r="E856" s="113"/>
      <c r="F856" s="113"/>
      <c r="G856" s="113"/>
      <c r="H856" s="113"/>
    </row>
    <row r="857">
      <c r="C857" s="102"/>
      <c r="E857" s="113"/>
      <c r="F857" s="113"/>
      <c r="G857" s="113"/>
      <c r="H857" s="113"/>
    </row>
    <row r="858">
      <c r="C858" s="102"/>
      <c r="E858" s="113"/>
      <c r="F858" s="113"/>
      <c r="G858" s="113"/>
      <c r="H858" s="113"/>
    </row>
    <row r="859">
      <c r="C859" s="102"/>
      <c r="E859" s="113"/>
      <c r="F859" s="113"/>
      <c r="G859" s="113"/>
      <c r="H859" s="113"/>
    </row>
    <row r="860">
      <c r="C860" s="102"/>
      <c r="E860" s="113"/>
      <c r="F860" s="113"/>
      <c r="G860" s="113"/>
      <c r="H860" s="113"/>
    </row>
    <row r="861">
      <c r="C861" s="102"/>
      <c r="E861" s="113"/>
      <c r="F861" s="113"/>
      <c r="G861" s="113"/>
      <c r="H861" s="113"/>
    </row>
    <row r="862">
      <c r="C862" s="102"/>
      <c r="E862" s="113"/>
      <c r="F862" s="113"/>
      <c r="G862" s="113"/>
      <c r="H862" s="113"/>
    </row>
    <row r="863">
      <c r="C863" s="102"/>
      <c r="E863" s="113"/>
      <c r="F863" s="113"/>
      <c r="G863" s="113"/>
      <c r="H863" s="113"/>
    </row>
    <row r="864">
      <c r="C864" s="102"/>
      <c r="E864" s="113"/>
      <c r="F864" s="113"/>
      <c r="G864" s="113"/>
      <c r="H864" s="113"/>
    </row>
    <row r="865">
      <c r="C865" s="102"/>
      <c r="E865" s="113"/>
      <c r="F865" s="113"/>
      <c r="G865" s="113"/>
      <c r="H865" s="113"/>
    </row>
    <row r="866">
      <c r="C866" s="102"/>
      <c r="E866" s="113"/>
      <c r="F866" s="113"/>
      <c r="G866" s="113"/>
      <c r="H866" s="113"/>
    </row>
    <row r="867">
      <c r="C867" s="102"/>
      <c r="E867" s="113"/>
      <c r="F867" s="113"/>
      <c r="G867" s="113"/>
      <c r="H867" s="113"/>
    </row>
    <row r="868">
      <c r="C868" s="102"/>
      <c r="E868" s="113"/>
      <c r="F868" s="113"/>
      <c r="G868" s="113"/>
      <c r="H868" s="113"/>
    </row>
    <row r="869">
      <c r="C869" s="102"/>
      <c r="E869" s="113"/>
      <c r="F869" s="113"/>
      <c r="G869" s="113"/>
      <c r="H869" s="113"/>
    </row>
    <row r="870">
      <c r="C870" s="102"/>
      <c r="E870" s="113"/>
      <c r="F870" s="113"/>
      <c r="G870" s="113"/>
      <c r="H870" s="113"/>
    </row>
    <row r="871">
      <c r="C871" s="102"/>
      <c r="E871" s="113"/>
      <c r="F871" s="113"/>
      <c r="G871" s="113"/>
      <c r="H871" s="113"/>
    </row>
    <row r="872">
      <c r="C872" s="102"/>
      <c r="E872" s="113"/>
      <c r="F872" s="113"/>
      <c r="G872" s="113"/>
      <c r="H872" s="113"/>
    </row>
    <row r="873">
      <c r="C873" s="102"/>
      <c r="E873" s="113"/>
      <c r="F873" s="113"/>
      <c r="G873" s="113"/>
      <c r="H873" s="113"/>
    </row>
    <row r="874">
      <c r="C874" s="102"/>
      <c r="E874" s="113"/>
      <c r="F874" s="113"/>
      <c r="G874" s="113"/>
      <c r="H874" s="113"/>
    </row>
    <row r="875">
      <c r="C875" s="102"/>
      <c r="E875" s="113"/>
      <c r="F875" s="113"/>
      <c r="G875" s="113"/>
      <c r="H875" s="113"/>
    </row>
    <row r="876">
      <c r="C876" s="102"/>
      <c r="E876" s="113"/>
      <c r="F876" s="113"/>
      <c r="G876" s="113"/>
      <c r="H876" s="113"/>
    </row>
    <row r="877">
      <c r="C877" s="102"/>
      <c r="E877" s="113"/>
      <c r="F877" s="113"/>
      <c r="G877" s="113"/>
      <c r="H877" s="113"/>
    </row>
    <row r="878">
      <c r="C878" s="102"/>
      <c r="E878" s="113"/>
      <c r="F878" s="113"/>
      <c r="G878" s="113"/>
      <c r="H878" s="113"/>
    </row>
    <row r="879">
      <c r="C879" s="102"/>
      <c r="E879" s="113"/>
      <c r="F879" s="113"/>
      <c r="G879" s="113"/>
      <c r="H879" s="113"/>
    </row>
    <row r="880">
      <c r="C880" s="102"/>
      <c r="E880" s="113"/>
      <c r="F880" s="113"/>
      <c r="G880" s="113"/>
      <c r="H880" s="113"/>
    </row>
    <row r="881">
      <c r="C881" s="102"/>
      <c r="E881" s="113"/>
      <c r="F881" s="113"/>
      <c r="G881" s="113"/>
      <c r="H881" s="113"/>
    </row>
    <row r="882">
      <c r="C882" s="102"/>
      <c r="E882" s="113"/>
      <c r="F882" s="113"/>
      <c r="G882" s="113"/>
      <c r="H882" s="113"/>
    </row>
    <row r="883">
      <c r="C883" s="102"/>
      <c r="E883" s="113"/>
      <c r="F883" s="113"/>
      <c r="G883" s="113"/>
      <c r="H883" s="113"/>
    </row>
    <row r="884">
      <c r="C884" s="102"/>
      <c r="E884" s="113"/>
      <c r="F884" s="113"/>
      <c r="G884" s="113"/>
      <c r="H884" s="113"/>
    </row>
    <row r="885">
      <c r="C885" s="102"/>
      <c r="E885" s="113"/>
      <c r="F885" s="113"/>
      <c r="G885" s="113"/>
      <c r="H885" s="113"/>
    </row>
    <row r="886">
      <c r="C886" s="102"/>
      <c r="E886" s="113"/>
      <c r="F886" s="113"/>
      <c r="G886" s="113"/>
      <c r="H886" s="113"/>
    </row>
    <row r="887">
      <c r="C887" s="102"/>
      <c r="E887" s="113"/>
      <c r="F887" s="113"/>
      <c r="G887" s="113"/>
      <c r="H887" s="113"/>
    </row>
    <row r="888">
      <c r="C888" s="102"/>
      <c r="E888" s="113"/>
      <c r="F888" s="113"/>
      <c r="G888" s="113"/>
      <c r="H888" s="113"/>
    </row>
    <row r="889">
      <c r="C889" s="102"/>
      <c r="E889" s="113"/>
      <c r="F889" s="113"/>
      <c r="G889" s="113"/>
      <c r="H889" s="113"/>
    </row>
    <row r="890">
      <c r="C890" s="102"/>
      <c r="E890" s="113"/>
      <c r="F890" s="113"/>
      <c r="G890" s="113"/>
      <c r="H890" s="113"/>
    </row>
    <row r="891">
      <c r="C891" s="102"/>
      <c r="E891" s="113"/>
      <c r="F891" s="113"/>
      <c r="G891" s="113"/>
      <c r="H891" s="113"/>
    </row>
    <row r="892">
      <c r="C892" s="102"/>
      <c r="E892" s="113"/>
      <c r="F892" s="113"/>
      <c r="G892" s="113"/>
      <c r="H892" s="113"/>
    </row>
    <row r="893">
      <c r="C893" s="102"/>
      <c r="E893" s="113"/>
      <c r="F893" s="113"/>
      <c r="G893" s="113"/>
      <c r="H893" s="113"/>
    </row>
    <row r="894">
      <c r="C894" s="102"/>
      <c r="E894" s="113"/>
      <c r="F894" s="113"/>
      <c r="G894" s="113"/>
      <c r="H894" s="113"/>
    </row>
    <row r="895">
      <c r="C895" s="102"/>
      <c r="E895" s="113"/>
      <c r="F895" s="113"/>
      <c r="G895" s="113"/>
      <c r="H895" s="113"/>
    </row>
    <row r="896">
      <c r="C896" s="102"/>
      <c r="E896" s="113"/>
      <c r="F896" s="113"/>
      <c r="G896" s="113"/>
      <c r="H896" s="113"/>
    </row>
    <row r="897">
      <c r="C897" s="102"/>
      <c r="E897" s="113"/>
      <c r="F897" s="113"/>
      <c r="G897" s="113"/>
      <c r="H897" s="113"/>
    </row>
    <row r="898">
      <c r="C898" s="102"/>
      <c r="E898" s="113"/>
      <c r="F898" s="113"/>
      <c r="G898" s="113"/>
      <c r="H898" s="113"/>
    </row>
    <row r="899">
      <c r="C899" s="102"/>
      <c r="E899" s="113"/>
      <c r="F899" s="113"/>
      <c r="G899" s="113"/>
      <c r="H899" s="113"/>
    </row>
    <row r="900">
      <c r="C900" s="102"/>
      <c r="E900" s="113"/>
      <c r="F900" s="113"/>
      <c r="G900" s="113"/>
      <c r="H900" s="113"/>
    </row>
    <row r="901">
      <c r="C901" s="102"/>
      <c r="E901" s="113"/>
      <c r="F901" s="113"/>
      <c r="G901" s="113"/>
      <c r="H901" s="113"/>
    </row>
    <row r="902">
      <c r="C902" s="102"/>
      <c r="E902" s="113"/>
      <c r="F902" s="113"/>
      <c r="G902" s="113"/>
      <c r="H902" s="113"/>
    </row>
    <row r="903">
      <c r="C903" s="102"/>
      <c r="E903" s="113"/>
      <c r="F903" s="113"/>
      <c r="G903" s="113"/>
      <c r="H903" s="113"/>
    </row>
    <row r="904">
      <c r="C904" s="102"/>
      <c r="E904" s="113"/>
      <c r="F904" s="113"/>
      <c r="G904" s="113"/>
      <c r="H904" s="113"/>
    </row>
    <row r="905">
      <c r="C905" s="102"/>
      <c r="E905" s="113"/>
      <c r="F905" s="113"/>
      <c r="G905" s="113"/>
      <c r="H905" s="113"/>
    </row>
    <row r="906">
      <c r="C906" s="102"/>
      <c r="E906" s="113"/>
      <c r="F906" s="113"/>
      <c r="G906" s="113"/>
      <c r="H906" s="113"/>
    </row>
    <row r="907">
      <c r="C907" s="102"/>
      <c r="E907" s="113"/>
      <c r="F907" s="113"/>
      <c r="G907" s="113"/>
      <c r="H907" s="113"/>
    </row>
    <row r="908">
      <c r="C908" s="102"/>
      <c r="E908" s="113"/>
      <c r="F908" s="113"/>
      <c r="G908" s="113"/>
      <c r="H908" s="113"/>
    </row>
    <row r="909">
      <c r="C909" s="102"/>
      <c r="E909" s="113"/>
      <c r="F909" s="113"/>
      <c r="G909" s="113"/>
      <c r="H909" s="113"/>
    </row>
    <row r="910">
      <c r="C910" s="102"/>
      <c r="E910" s="113"/>
      <c r="F910" s="113"/>
      <c r="G910" s="113"/>
      <c r="H910" s="113"/>
    </row>
    <row r="911">
      <c r="C911" s="102"/>
      <c r="E911" s="113"/>
      <c r="F911" s="113"/>
      <c r="G911" s="113"/>
      <c r="H911" s="113"/>
    </row>
    <row r="912">
      <c r="C912" s="102"/>
      <c r="E912" s="113"/>
      <c r="F912" s="113"/>
      <c r="G912" s="113"/>
      <c r="H912" s="113"/>
    </row>
    <row r="913">
      <c r="C913" s="102"/>
      <c r="E913" s="113"/>
      <c r="F913" s="113"/>
      <c r="G913" s="113"/>
      <c r="H913" s="113"/>
    </row>
    <row r="914">
      <c r="C914" s="102"/>
      <c r="E914" s="113"/>
      <c r="F914" s="113"/>
      <c r="G914" s="113"/>
      <c r="H914" s="113"/>
    </row>
    <row r="915">
      <c r="C915" s="102"/>
      <c r="E915" s="113"/>
      <c r="F915" s="113"/>
      <c r="G915" s="113"/>
      <c r="H915" s="113"/>
    </row>
    <row r="916">
      <c r="C916" s="102"/>
      <c r="E916" s="113"/>
      <c r="F916" s="113"/>
      <c r="G916" s="113"/>
      <c r="H916" s="113"/>
    </row>
    <row r="917">
      <c r="C917" s="102"/>
      <c r="E917" s="113"/>
      <c r="F917" s="113"/>
      <c r="G917" s="113"/>
      <c r="H917" s="113"/>
    </row>
    <row r="918">
      <c r="C918" s="102"/>
      <c r="E918" s="113"/>
      <c r="F918" s="113"/>
      <c r="G918" s="113"/>
      <c r="H918" s="113"/>
    </row>
    <row r="919">
      <c r="C919" s="102"/>
      <c r="E919" s="113"/>
      <c r="F919" s="113"/>
      <c r="G919" s="113"/>
      <c r="H919" s="113"/>
    </row>
    <row r="920">
      <c r="C920" s="102"/>
      <c r="E920" s="113"/>
      <c r="F920" s="113"/>
      <c r="G920" s="113"/>
      <c r="H920" s="113"/>
    </row>
    <row r="921">
      <c r="C921" s="102"/>
      <c r="E921" s="113"/>
      <c r="F921" s="113"/>
      <c r="G921" s="113"/>
      <c r="H921" s="113"/>
    </row>
    <row r="922">
      <c r="C922" s="102"/>
      <c r="E922" s="113"/>
      <c r="F922" s="113"/>
      <c r="G922" s="113"/>
      <c r="H922" s="113"/>
    </row>
    <row r="923">
      <c r="C923" s="102"/>
      <c r="E923" s="113"/>
      <c r="F923" s="113"/>
      <c r="G923" s="113"/>
      <c r="H923" s="113"/>
    </row>
    <row r="924">
      <c r="C924" s="102"/>
      <c r="E924" s="113"/>
      <c r="F924" s="113"/>
      <c r="G924" s="113"/>
      <c r="H924" s="113"/>
    </row>
    <row r="925">
      <c r="C925" s="102"/>
      <c r="E925" s="113"/>
      <c r="F925" s="113"/>
      <c r="G925" s="113"/>
      <c r="H925" s="113"/>
    </row>
    <row r="926">
      <c r="C926" s="102"/>
      <c r="E926" s="113"/>
      <c r="F926" s="113"/>
      <c r="G926" s="113"/>
      <c r="H926" s="113"/>
    </row>
    <row r="927">
      <c r="C927" s="102"/>
      <c r="E927" s="113"/>
      <c r="F927" s="113"/>
      <c r="G927" s="113"/>
      <c r="H927" s="113"/>
    </row>
    <row r="928">
      <c r="C928" s="102"/>
      <c r="E928" s="113"/>
      <c r="F928" s="113"/>
      <c r="G928" s="113"/>
      <c r="H928" s="113"/>
    </row>
    <row r="929">
      <c r="C929" s="102"/>
      <c r="E929" s="113"/>
      <c r="F929" s="113"/>
      <c r="G929" s="113"/>
      <c r="H929" s="113"/>
    </row>
    <row r="930">
      <c r="C930" s="102"/>
      <c r="E930" s="113"/>
      <c r="F930" s="113"/>
      <c r="G930" s="113"/>
      <c r="H930" s="113"/>
    </row>
    <row r="931">
      <c r="C931" s="102"/>
      <c r="E931" s="113"/>
      <c r="F931" s="113"/>
      <c r="G931" s="113"/>
      <c r="H931" s="113"/>
    </row>
    <row r="932">
      <c r="C932" s="102"/>
      <c r="E932" s="113"/>
      <c r="F932" s="113"/>
      <c r="G932" s="113"/>
      <c r="H932" s="113"/>
    </row>
    <row r="933">
      <c r="C933" s="102"/>
      <c r="E933" s="113"/>
      <c r="F933" s="113"/>
      <c r="G933" s="113"/>
      <c r="H933" s="113"/>
    </row>
    <row r="934">
      <c r="C934" s="102"/>
      <c r="E934" s="113"/>
      <c r="F934" s="113"/>
      <c r="G934" s="113"/>
      <c r="H934" s="113"/>
    </row>
    <row r="935">
      <c r="C935" s="102"/>
      <c r="E935" s="113"/>
      <c r="F935" s="113"/>
      <c r="G935" s="113"/>
      <c r="H935" s="113"/>
    </row>
    <row r="936">
      <c r="C936" s="102"/>
      <c r="E936" s="113"/>
      <c r="F936" s="113"/>
      <c r="G936" s="113"/>
      <c r="H936" s="113"/>
    </row>
    <row r="937">
      <c r="C937" s="102"/>
      <c r="E937" s="113"/>
      <c r="F937" s="113"/>
      <c r="G937" s="113"/>
      <c r="H937" s="113"/>
    </row>
    <row r="938">
      <c r="C938" s="102"/>
      <c r="E938" s="113"/>
      <c r="F938" s="113"/>
      <c r="G938" s="113"/>
      <c r="H938" s="113"/>
    </row>
    <row r="939">
      <c r="C939" s="102"/>
      <c r="E939" s="113"/>
      <c r="F939" s="113"/>
      <c r="G939" s="113"/>
      <c r="H939" s="113"/>
    </row>
    <row r="940">
      <c r="C940" s="102"/>
      <c r="E940" s="113"/>
      <c r="F940" s="113"/>
      <c r="G940" s="113"/>
      <c r="H940" s="113"/>
    </row>
    <row r="941">
      <c r="C941" s="102"/>
      <c r="E941" s="113"/>
      <c r="F941" s="113"/>
      <c r="G941" s="113"/>
      <c r="H941" s="113"/>
    </row>
    <row r="942">
      <c r="C942" s="102"/>
      <c r="E942" s="113"/>
      <c r="F942" s="113"/>
      <c r="G942" s="113"/>
      <c r="H942" s="113"/>
    </row>
    <row r="943">
      <c r="C943" s="102"/>
      <c r="E943" s="113"/>
      <c r="F943" s="113"/>
      <c r="G943" s="113"/>
      <c r="H943" s="113"/>
    </row>
    <row r="944">
      <c r="C944" s="102"/>
      <c r="E944" s="113"/>
      <c r="F944" s="113"/>
      <c r="G944" s="113"/>
      <c r="H944" s="113"/>
    </row>
    <row r="945">
      <c r="C945" s="102"/>
      <c r="E945" s="113"/>
      <c r="F945" s="113"/>
      <c r="G945" s="113"/>
      <c r="H945" s="113"/>
    </row>
    <row r="946">
      <c r="C946" s="102"/>
      <c r="E946" s="113"/>
      <c r="F946" s="113"/>
      <c r="G946" s="113"/>
      <c r="H946" s="113"/>
    </row>
    <row r="947">
      <c r="C947" s="102"/>
      <c r="E947" s="113"/>
      <c r="F947" s="113"/>
      <c r="G947" s="113"/>
      <c r="H947" s="113"/>
    </row>
    <row r="948">
      <c r="C948" s="102"/>
      <c r="E948" s="113"/>
      <c r="F948" s="113"/>
      <c r="G948" s="113"/>
      <c r="H948" s="113"/>
    </row>
    <row r="949">
      <c r="C949" s="102"/>
      <c r="E949" s="113"/>
      <c r="F949" s="113"/>
      <c r="G949" s="113"/>
      <c r="H949" s="113"/>
    </row>
    <row r="950">
      <c r="C950" s="102"/>
      <c r="E950" s="113"/>
      <c r="F950" s="113"/>
      <c r="G950" s="113"/>
      <c r="H950" s="113"/>
    </row>
    <row r="951">
      <c r="C951" s="102"/>
      <c r="E951" s="113"/>
      <c r="F951" s="113"/>
      <c r="G951" s="113"/>
      <c r="H951" s="113"/>
    </row>
    <row r="952">
      <c r="C952" s="102"/>
      <c r="E952" s="113"/>
      <c r="F952" s="113"/>
      <c r="G952" s="113"/>
      <c r="H952" s="113"/>
    </row>
    <row r="953">
      <c r="C953" s="102"/>
      <c r="E953" s="113"/>
      <c r="F953" s="113"/>
      <c r="G953" s="113"/>
      <c r="H953" s="113"/>
    </row>
    <row r="954">
      <c r="C954" s="102"/>
      <c r="E954" s="113"/>
      <c r="F954" s="113"/>
      <c r="G954" s="113"/>
      <c r="H954" s="113"/>
    </row>
    <row r="955">
      <c r="C955" s="102"/>
      <c r="E955" s="113"/>
      <c r="F955" s="113"/>
      <c r="G955" s="113"/>
      <c r="H955" s="113"/>
    </row>
    <row r="956">
      <c r="C956" s="102"/>
      <c r="E956" s="113"/>
      <c r="F956" s="113"/>
      <c r="G956" s="113"/>
      <c r="H956" s="113"/>
    </row>
    <row r="957">
      <c r="C957" s="102"/>
      <c r="E957" s="113"/>
      <c r="F957" s="113"/>
      <c r="G957" s="113"/>
      <c r="H957" s="113"/>
    </row>
    <row r="958">
      <c r="C958" s="102"/>
      <c r="E958" s="113"/>
      <c r="F958" s="113"/>
      <c r="G958" s="113"/>
      <c r="H958" s="113"/>
    </row>
    <row r="959">
      <c r="C959" s="102"/>
      <c r="E959" s="113"/>
      <c r="F959" s="113"/>
      <c r="G959" s="113"/>
      <c r="H959" s="113"/>
    </row>
    <row r="960">
      <c r="C960" s="102"/>
      <c r="E960" s="113"/>
      <c r="F960" s="113"/>
      <c r="G960" s="113"/>
      <c r="H960" s="113"/>
    </row>
    <row r="961">
      <c r="C961" s="102"/>
      <c r="E961" s="113"/>
      <c r="F961" s="113"/>
      <c r="G961" s="113"/>
      <c r="H961" s="113"/>
    </row>
    <row r="962">
      <c r="C962" s="102"/>
      <c r="E962" s="113"/>
      <c r="F962" s="113"/>
      <c r="G962" s="113"/>
      <c r="H962" s="113"/>
    </row>
    <row r="963">
      <c r="C963" s="102"/>
      <c r="E963" s="113"/>
      <c r="F963" s="113"/>
      <c r="G963" s="113"/>
      <c r="H963" s="113"/>
    </row>
    <row r="964">
      <c r="C964" s="102"/>
      <c r="E964" s="113"/>
      <c r="F964" s="113"/>
      <c r="G964" s="113"/>
      <c r="H964" s="113"/>
    </row>
    <row r="965">
      <c r="C965" s="102"/>
      <c r="E965" s="113"/>
      <c r="F965" s="113"/>
      <c r="G965" s="113"/>
      <c r="H965" s="113"/>
    </row>
    <row r="966">
      <c r="C966" s="102"/>
      <c r="E966" s="113"/>
      <c r="F966" s="113"/>
      <c r="G966" s="113"/>
      <c r="H966" s="113"/>
    </row>
    <row r="967">
      <c r="C967" s="102"/>
      <c r="E967" s="113"/>
      <c r="F967" s="113"/>
      <c r="G967" s="113"/>
      <c r="H967" s="113"/>
    </row>
    <row r="968">
      <c r="C968" s="102"/>
      <c r="E968" s="113"/>
      <c r="F968" s="113"/>
      <c r="G968" s="113"/>
      <c r="H968" s="113"/>
    </row>
    <row r="969">
      <c r="C969" s="102"/>
      <c r="E969" s="113"/>
      <c r="F969" s="113"/>
      <c r="G969" s="113"/>
      <c r="H969" s="113"/>
    </row>
    <row r="970">
      <c r="C970" s="102"/>
      <c r="E970" s="113"/>
      <c r="F970" s="113"/>
      <c r="G970" s="113"/>
      <c r="H970" s="113"/>
    </row>
    <row r="971">
      <c r="C971" s="102"/>
      <c r="E971" s="113"/>
      <c r="F971" s="113"/>
      <c r="G971" s="113"/>
      <c r="H971" s="113"/>
    </row>
    <row r="972">
      <c r="C972" s="102"/>
      <c r="E972" s="113"/>
      <c r="F972" s="113"/>
      <c r="G972" s="113"/>
      <c r="H972" s="113"/>
    </row>
    <row r="973">
      <c r="C973" s="102"/>
      <c r="E973" s="113"/>
      <c r="F973" s="113"/>
      <c r="G973" s="113"/>
      <c r="H973" s="113"/>
    </row>
    <row r="974">
      <c r="C974" s="102"/>
      <c r="E974" s="113"/>
      <c r="F974" s="113"/>
      <c r="G974" s="113"/>
      <c r="H974" s="113"/>
    </row>
    <row r="975">
      <c r="C975" s="102"/>
      <c r="E975" s="113"/>
      <c r="F975" s="113"/>
      <c r="G975" s="113"/>
      <c r="H975" s="113"/>
    </row>
    <row r="976">
      <c r="C976" s="102"/>
      <c r="E976" s="113"/>
      <c r="F976" s="113"/>
      <c r="G976" s="113"/>
      <c r="H976" s="113"/>
    </row>
    <row r="977">
      <c r="C977" s="102"/>
      <c r="E977" s="113"/>
      <c r="F977" s="113"/>
      <c r="G977" s="113"/>
      <c r="H977" s="113"/>
    </row>
    <row r="978">
      <c r="C978" s="102"/>
      <c r="E978" s="113"/>
      <c r="F978" s="113"/>
      <c r="G978" s="113"/>
      <c r="H978" s="113"/>
    </row>
    <row r="979">
      <c r="C979" s="102"/>
      <c r="E979" s="113"/>
      <c r="F979" s="113"/>
      <c r="G979" s="113"/>
      <c r="H979" s="113"/>
    </row>
    <row r="980">
      <c r="C980" s="102"/>
      <c r="E980" s="113"/>
      <c r="F980" s="113"/>
      <c r="G980" s="113"/>
      <c r="H980" s="113"/>
    </row>
    <row r="981">
      <c r="C981" s="102"/>
      <c r="E981" s="113"/>
      <c r="F981" s="113"/>
      <c r="G981" s="113"/>
      <c r="H981" s="113"/>
    </row>
    <row r="982">
      <c r="C982" s="102"/>
      <c r="E982" s="113"/>
      <c r="F982" s="113"/>
      <c r="G982" s="113"/>
      <c r="H982" s="113"/>
    </row>
    <row r="983">
      <c r="C983" s="102"/>
      <c r="E983" s="113"/>
      <c r="F983" s="113"/>
      <c r="G983" s="113"/>
      <c r="H983" s="113"/>
    </row>
    <row r="984">
      <c r="C984" s="102"/>
      <c r="E984" s="113"/>
      <c r="F984" s="113"/>
      <c r="G984" s="113"/>
      <c r="H984" s="113"/>
    </row>
    <row r="985">
      <c r="C985" s="102"/>
      <c r="E985" s="113"/>
      <c r="F985" s="113"/>
      <c r="G985" s="113"/>
      <c r="H985" s="113"/>
    </row>
    <row r="986">
      <c r="C986" s="102"/>
      <c r="E986" s="113"/>
      <c r="F986" s="113"/>
      <c r="G986" s="113"/>
      <c r="H986" s="113"/>
    </row>
    <row r="987">
      <c r="C987" s="102"/>
      <c r="E987" s="113"/>
      <c r="F987" s="113"/>
      <c r="G987" s="113"/>
      <c r="H987" s="113"/>
    </row>
    <row r="988">
      <c r="C988" s="102"/>
      <c r="E988" s="113"/>
      <c r="F988" s="113"/>
      <c r="G988" s="113"/>
      <c r="H988" s="113"/>
    </row>
    <row r="989">
      <c r="C989" s="102"/>
      <c r="E989" s="113"/>
      <c r="F989" s="113"/>
      <c r="G989" s="113"/>
      <c r="H989" s="113"/>
    </row>
    <row r="990">
      <c r="C990" s="102"/>
      <c r="E990" s="113"/>
      <c r="F990" s="113"/>
      <c r="G990" s="113"/>
      <c r="H990" s="113"/>
    </row>
    <row r="991">
      <c r="C991" s="102"/>
      <c r="E991" s="113"/>
      <c r="F991" s="113"/>
      <c r="G991" s="113"/>
      <c r="H991" s="113"/>
    </row>
    <row r="992">
      <c r="C992" s="102"/>
      <c r="E992" s="113"/>
      <c r="F992" s="113"/>
      <c r="G992" s="113"/>
      <c r="H992" s="113"/>
    </row>
    <row r="993">
      <c r="C993" s="102"/>
      <c r="E993" s="113"/>
      <c r="F993" s="113"/>
      <c r="G993" s="113"/>
      <c r="H993" s="113"/>
    </row>
    <row r="994">
      <c r="C994" s="102"/>
      <c r="E994" s="113"/>
      <c r="F994" s="113"/>
      <c r="G994" s="113"/>
      <c r="H994" s="113"/>
    </row>
    <row r="995">
      <c r="C995" s="102"/>
      <c r="E995" s="113"/>
      <c r="F995" s="113"/>
      <c r="G995" s="113"/>
      <c r="H995" s="113"/>
    </row>
    <row r="996">
      <c r="C996" s="102"/>
      <c r="E996" s="113"/>
      <c r="F996" s="113"/>
      <c r="G996" s="113"/>
      <c r="H996" s="113"/>
    </row>
    <row r="997">
      <c r="C997" s="102"/>
      <c r="E997" s="113"/>
      <c r="F997" s="113"/>
      <c r="G997" s="113"/>
      <c r="H997" s="113"/>
    </row>
    <row r="998">
      <c r="C998" s="102"/>
      <c r="E998" s="113"/>
      <c r="F998" s="113"/>
      <c r="G998" s="113"/>
      <c r="H998" s="113"/>
    </row>
    <row r="999">
      <c r="C999" s="102"/>
      <c r="E999" s="113"/>
      <c r="F999" s="113"/>
      <c r="G999" s="113"/>
      <c r="H999" s="113"/>
    </row>
    <row r="1000">
      <c r="C1000" s="102"/>
      <c r="E1000" s="113"/>
      <c r="F1000" s="113"/>
      <c r="G1000" s="113"/>
      <c r="H1000" s="113"/>
    </row>
    <row r="1001">
      <c r="C1001" s="102"/>
      <c r="E1001" s="113"/>
      <c r="F1001" s="113"/>
      <c r="G1001" s="113"/>
      <c r="H1001" s="113"/>
    </row>
  </sheetData>
  <dataValidations>
    <dataValidation type="list" allowBlank="1" showErrorMessage="1" sqref="C2:C1001">
      <formula1>Listas!$C$3:$C$61</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2" max="2" width="17.0"/>
  </cols>
  <sheetData>
    <row r="1">
      <c r="A1" s="43" t="s">
        <v>116</v>
      </c>
      <c r="B1" s="43" t="s">
        <v>1084</v>
      </c>
      <c r="C1" s="43" t="s">
        <v>1085</v>
      </c>
    </row>
    <row r="2">
      <c r="A2" s="220" t="s">
        <v>123</v>
      </c>
      <c r="B2" s="43">
        <f>SUMIFS(Activo!Q:Q,Activo!B:B,"Clientes a cobrar",Activo!F:F,"No",Activo!D:D,$A$2,Activo!G:G,"")
+SUMIFS(Activo!Q:Q,Activo!B:B,"Clientes a cobrar",Activo!F:F,"No",Activo!D:D,$A$2,Activo!G:G, "&gt;"&amp;EOMONTH(DATE(2025,1,1),0))
</f>
        <v>0</v>
      </c>
      <c r="C2" s="102">
        <f>SUMIFS(Pasivo!N:N,Pasivo!A:A,"&lt;&gt;Impuestos USA" ,Pasivo!E:E,"No",Pasivo!C:C,$A$2,Pasivo!F:F,"")
+SUMIFS(Pasivo!N:N,Pasivo!A:A,"&lt;&gt;Impuestos USA" ,Pasivo!E:E,"No",Pasivo!C:C,$A$2,Pasivo!F:F, "&gt;"&amp;EOMONTH(DATE(2025,1,1),0))
</f>
        <v>0</v>
      </c>
    </row>
    <row r="3">
      <c r="A3" s="220" t="s">
        <v>129</v>
      </c>
      <c r="B3" s="102">
        <f>SUMIFS(Activo!Q:Q,Activo!B:B,"Clientes a cobrar",Activo!F:F,"No",Activo!D:D,$A$2,Activo!G:G,"")
+SUMIFS(Activo!Q:Q,Activo!B:B,"Clientes a cobrar",Activo!F:F,"No",Activo!D:D,$A$3,Activo!G:G,"")
+SUMIFS(Activo!Q:Q,Activo!B:B,"Clientes a cobrar",Activo!F:F,"No",Activo!D:D,$A$2,Activo!G:G,"&gt;"&amp;EOMONTH(DATE(2025,2,1),0))
+SUMIFS(Activo!Q:Q,Activo!B:B,"Clientes a cobrar",Activo!F:F,"No",Activo!D:D,$A$3,Activo!G:G,"&gt;"&amp;EOMONTH(DATE(2025,2,1),0))
</f>
        <v>0</v>
      </c>
      <c r="C3" s="102">
        <f>SUMIFS(Pasivo!N:N,Pasivo!A:A,"&lt;&gt;"&amp;"Impuestos USA",Pasivo!C:C,$A$2,Pasivo!F:F,"",Pasivo!E:E,"No Pagado")
+SUMIFS(Pasivo!N:N,Pasivo!A:A,"&lt;&gt;"&amp;"Impuestos USA",Pasivo!C:C,$A$3,Pasivo!F:F,"",Pasivo!E:E,"No Pagado")
+SUMIFS(Pasivo!N:N,Pasivo!A:A,"&lt;&gt;"&amp;"Impuestos USA",Pasivo!C:C,$A$2,Pasivo!F:F,"&gt;"&amp;EOMONTH(DATE(2025,2,1),0),Pasivo!E:E,"No Pagado")
+SUMIFS(Pasivo!N:N,Pasivo!A:A,"&lt;&gt;"&amp;"Impuestos USA",Pasivo!C:C,$A$3,Pasivo!F:F,"&gt;"&amp;EOMONTH(DATE(2025,2,1),0),Pasivo!E:E,"No Pagado")
</f>
        <v>0</v>
      </c>
    </row>
    <row r="4">
      <c r="A4" s="220" t="s">
        <v>136</v>
      </c>
      <c r="B4" s="102">
        <f>SUMIFS(Activo!Q:Q,Activo!B:B,"Clientes a cobrar",Activo!F:F,"No",Activo!D:D,$A$2,Activo!G:G,"")
+SUMIFS(Activo!Q:Q,Activo!B:B,"Clientes a cobrar",Activo!F:F,"No",Activo!D:D,$A$3,Activo!G:G,"")
+SUMIFS(Activo!Q:Q,Activo!B:B,"Clientes a cobrar",Activo!F:F,"No",Activo!D:D,$A$4,Activo!G:G,"")
+SUMIFS(Activo!Q:Q,Activo!B:B,"Clientes a cobrar",Activo!F:F,"No",Activo!D:D,$A$2,Activo!G:G,"&gt;"&amp;EOMONTH(DATE(2025,3,1),0))
+SUMIFS(Activo!Q:Q,Activo!B:B,"Clientes a cobrar",Activo!F:F,"No",Activo!D:D,$A$3,Activo!G:G,"&gt;"&amp;EOMONTH(DATE(2025,3,1),0))
+SUMIFS(Activo!Q:Q,Activo!B:B,"Clientes a cobrar",Activo!F:F,"No",Activo!D:D,$A$4,Activo!G:G,"&gt;"&amp;EOMONTH(DATE(2025,3,1),0))
</f>
        <v>0</v>
      </c>
      <c r="C4" s="102">
        <f>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USA",Pasivo!C:C,$A$2,Pasivo!F:F,"&gt;"&amp;EOMONTH(DATE(2025,3,1),0),Pasivo!E:E,"No Pagado")
+SUMIFS(Pasivo!N:N,Pasivo!A:A,"&lt;&gt;"&amp;"Impuestos USA",Pasivo!C:C,$A$3,Pasivo!F:F,"&gt;"&amp;EOMONTH(DATE(2025,3,1),0),Pasivo!E:E,"No Pagado")
+SUMIFS(Pasivo!N:N,Pasivo!A:A,"&lt;&gt;"&amp;"Impuestos USA",Pasivo!C:C,$A$4,Pasivo!F:F,"&gt;"&amp;EOMONTH(DATE(2025,3,1),0),Pasivo!E:E,"No Pagado")
</f>
        <v>0</v>
      </c>
    </row>
    <row r="5">
      <c r="A5" s="220" t="s">
        <v>143</v>
      </c>
      <c r="B5"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cobrar",Activo!F:F,"No",Activo!D:D,$A$2,Activo!G:G,"&gt;"&amp;EOMONTH(DATE(2025,4,1),0))
+SUMIFS(Activo!Q:Q,Activo!B:B,"Clientes a cobrar",Activo!F:F,"No",Activo!D:D,$A$3,Activo!G:G,"&gt;"&amp;EOMONTH(DATE(2025,4,1),0))
+SUMIFS(Activo!Q:Q,Activo!B:B,"Clientes a cobrar",Activo!F:F,"No",Activo!D:D,$A$4,Activo!G:G,"&gt;"&amp;EOMONTH(DATE(2025,4,1),0))
+SUMIFS(Activo!Q:Q,Activo!B:B,"Clientes a cobrar",Activo!F:F,"No",Activo!D:D,$A$5,Activo!G:G,"&gt;"&amp;EOMONTH(DATE(2025,4,1),0))
</f>
        <v>47468</v>
      </c>
      <c r="C5" s="102">
        <f>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USA",Pasivo!C:C,$A$2,Pasivo!F:F,"&gt;"&amp;EOMONTH(DATE(2025,4,1),0),Pasivo!E:E,"No Pagado")
+SUMIFS(Pasivo!N:N,Pasivo!A:A,"&lt;&gt;"&amp;"Impuestos USA",Pasivo!C:C,$A$3,Pasivo!F:F,"&gt;"&amp;EOMONTH(DATE(2025,4,1),0),Pasivo!E:E,"No Pagado")
+SUMIFS(Pasivo!N:N,Pasivo!A:A,"&lt;&gt;"&amp;"Impuestos USA",Pasivo!C:C,$A$4,Pasivo!F:F,"&gt;"&amp;EOMONTH(DATE(2025,4,1),0),Pasivo!E:E,"No Pagado")
+SUMIFS(Pasivo!N:N,Pasivo!A:A,"&lt;&gt;"&amp;"Impuestos USA",Pasivo!C:C,$A$5,Pasivo!F:F,"&gt;"&amp;EOMONTH(DATE(2025,4,1),0),Pasivo!E:E,"No Pagado")
</f>
        <v>4131.012658</v>
      </c>
    </row>
    <row r="6">
      <c r="A6" s="382" t="s">
        <v>149</v>
      </c>
      <c r="B6"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cobrar",Activo!F:F,"No",Activo!D:D,$A$2,Activo!G:G,"&gt;"&amp;EOMONTH(DATE(2025,5,1),0))
+SUMIFS(Activo!Q:Q,Activo!B:B,"Clientes a cobrar",Activo!F:F,"No",Activo!D:D,$A$3,Activo!G:G,"&gt;"&amp;EOMONTH(DATE(2025,5,1),0))
+SUMIFS(Activo!Q:Q,Activo!B:B,"Clientes a cobrar",Activo!F:F,"No",Activo!D:D,$A$4,Activo!G:G,"&gt;"&amp;EOMONTH(DATE(2025,5,1),0))
+SUMIFS(Activo!Q:Q,Activo!B:B,"Clientes a cobrar",Activo!F:F,"No",Activo!D:D,$A$5,Activo!G:G,"&gt;"&amp;EOMONTH(DATE(2025,5,1),0))
+SUMIFS(Activo!Q:Q,Activo!B:B,"Clientes a cobrar",Activo!F:F,"No",Activo!D:D,$A$6,Activo!G:G,"&gt;"&amp;EOMONTH(DATE(2025,5,1),0))
</f>
        <v>38336.03364</v>
      </c>
      <c r="C6" s="102">
        <f>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USA",Pasivo!C:C,$A$2,Pasivo!F:F,"&gt;"&amp;EOMONTH(DATE(2025,5,1),0),Pasivo!E:E,"No Pagado")
+SUMIFS(Pasivo!N:N,Pasivo!A:A,"&lt;&gt;"&amp;"Impuestos USA",Pasivo!C:C,$A$3,Pasivo!F:F,"&gt;"&amp;EOMONTH(DATE(2025,5,1),0),Pasivo!E:E,"No Pagado")
+SUMIFS(Pasivo!N:N,Pasivo!A:A,"&lt;&gt;"&amp;"Impuestos USA",Pasivo!C:C,$A$4,Pasivo!F:F,"&gt;"&amp;EOMONTH(DATE(2025,5,1),0),Pasivo!E:E,"No Pagado")
+SUMIFS(Pasivo!N:N,Pasivo!A:A,"&lt;&gt;"&amp;"Impuestos USA",Pasivo!C:C,$A$5,Pasivo!F:F,"&gt;"&amp;EOMONTH(DATE(2025,5,1),0),Pasivo!E:E,"No Pagado")
+SUMIFS(Pasivo!N:N,Pasivo!A:A,"&lt;&gt;"&amp;"Impuestos USA",Pasivo!C:C,$A$6,Pasivo!F:F,"&gt;"&amp;EOMONTH(DATE(2025,5,1),0),Pasivo!E:E,"No Pagado")
</f>
        <v>37109.07802</v>
      </c>
    </row>
    <row r="7">
      <c r="A7" s="382" t="s">
        <v>155</v>
      </c>
      <c r="B7"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cobrar",Activo!F:F,"No",Activo!D:D,$A$2,Activo!G:G,"&gt;"&amp;EOMONTH(DATE(2025,6,1),0))
+SUMIFS(Activo!Q:Q,Activo!B:B,"Clientes a cobrar",Activo!F:F,"No",Activo!D:D,$A$3,Activo!G:G,"&gt;"&amp;EOMONTH(DATE(2025,6,1),0))
+SUMIFS(Activo!Q:Q,Activo!B:B,"Clientes a cobrar",Activo!F:F,"No",Activo!D:D,$A$4,Activo!G:G,"&gt;"&amp;EOMONTH(DATE(2025,6,1),0))
+SUMIFS(Activo!Q:Q,Activo!B:B,"Clientes a cobrar",Activo!F:F,"No",Activo!D:D,$A$5,Activo!G:G,"&gt;"&amp;EOMONTH(DATE(2025,6,1),0))
+SUMIFS(Activo!Q:Q,Activo!B:B,"Clientes a cobrar",Activo!F:F,"No",Activo!D:D,$A$6,Activo!G:G,"&gt;"&amp;EOMONTH(DATE(2025,6,1),0))
+SUMIFS(Activo!Q:Q,Activo!B:B,"Clientes a cobrar",Activo!F:F,"No",Activo!D:D,$A$7,Activo!G:G,"&gt;"&amp;EOMONTH(DATE(2025,6,1),0))
</f>
        <v>45945.78354</v>
      </c>
      <c r="C7" s="102">
        <f>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USA",Pasivo!C:C,$A$2,Pasivo!F:F,"&gt;"&amp;EOMONTH(DATE(2025,6,1),0),Pasivo!E:E,"No Pagado")
+SUMIFS(Pasivo!N:N,Pasivo!A:A,"&lt;&gt;"&amp;"Impuestos USA",Pasivo!C:C,$A$3,Pasivo!F:F,"&gt;"&amp;EOMONTH(DATE(2025,6,1),0),Pasivo!E:E,"No Pagado")
+SUMIFS(Pasivo!N:N,Pasivo!A:A,"&lt;&gt;"&amp;"Impuestos USA",Pasivo!C:C,$A$4,Pasivo!F:F,"&gt;"&amp;EOMONTH(DATE(2025,6,1),0),Pasivo!E:E,"No Pagado")
+SUMIFS(Pasivo!N:N,Pasivo!A:A,"&lt;&gt;"&amp;"Impuestos USA",Pasivo!C:C,$A$5,Pasivo!F:F,"&gt;"&amp;EOMONTH(DATE(2025,6,1),0),Pasivo!E:E,"No Pagado")
+SUMIFS(Pasivo!N:N,Pasivo!A:A,"&lt;&gt;"&amp;"Impuestos USA",Pasivo!C:C,$A$6,Pasivo!F:F,"&gt;"&amp;EOMONTH(DATE(2025,6,1),0),Pasivo!E:E,"No Pagado")
+SUMIFS(Pasivo!N:N,Pasivo!A:A,"&lt;&gt;"&amp;"Impuestos USA",Pasivo!C:C,$A$7,Pasivo!F:F,"&gt;"&amp;EOMONTH(DATE(2025,6,1),0),Pasivo!E:E,"No Pagado")
</f>
        <v>18021.34813</v>
      </c>
    </row>
    <row r="8">
      <c r="A8" s="382" t="s">
        <v>161</v>
      </c>
      <c r="B8"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cobrar",Activo!F:F,"No",Activo!D:D,$A$2,Activo!G:G,"&gt;"&amp;EOMONTH(DATE(2025,7,1),0))
+SUMIFS(Activo!Q:Q,Activo!B:B,"Clientes a cobrar",Activo!F:F,"No",Activo!D:D,$A$3,Activo!G:G,"&gt;"&amp;EOMONTH(DATE(2025,7,1),0))
+SUMIFS(Activo!Q:Q,Activo!B:B,"Clientes a cobrar",Activo!F:F,"No",Activo!D:D,$A$4,Activo!G:G,"&gt;"&amp;EOMONTH(DATE(2025,7,1),0))
+SUMIFS(Activo!Q:Q,Activo!B:B,"Clientes a cobrar",Activo!F:F,"No",Activo!D:D,$A$5,Activo!G:G,"&gt;"&amp;EOMONTH(DATE(2025,7,1),0))
+SUMIFS(Activo!Q:Q,Activo!B:B,"Clientes a cobrar",Activo!F:F,"No",Activo!D:D,$A$6,Activo!G:G,"&gt;"&amp;EOMONTH(DATE(2025,7,1),0))
+SUMIFS(Activo!Q:Q,Activo!B:B,"Clientes a cobrar",Activo!F:F,"No",Activo!D:D,$A$7,Activo!G:G,"&gt;"&amp;EOMONTH(DATE(2025,7,1),0))
+SUMIFS(Activo!Q:Q,Activo!B:B,"Clientes a cobrar",Activo!F:F,"No",Activo!D:D,$A$8,Activo!G:G,"&gt;"&amp;EOMONTH(DATE(2025,7,1),0))
</f>
        <v>26905.65303</v>
      </c>
      <c r="C8" s="102">
        <f>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USA",Pasivo!C:C,$A$8,Pasivo!F:F,"",Pasivo!E:E,"No Pagado")
+SUMIFS(Pasivo!N:N,Pasivo!A:A,"&lt;&gt;"&amp;"Impuestos USA",Pasivo!C:C,$A$2,Pasivo!F:F,"&gt;"&amp;EOMONTH(DATE(2025,7,1),0),Pasivo!E:E,"No Pagado")
+SUMIFS(Pasivo!N:N,Pasivo!A:A,"&lt;&gt;"&amp;"Impuestos USA",Pasivo!C:C,$A$3,Pasivo!F:F,"&gt;"&amp;EOMONTH(DATE(2025,7,1),0),Pasivo!E:E,"No Pagado")
+SUMIFS(Pasivo!N:N,Pasivo!A:A,"&lt;&gt;"&amp;"Impuestos USA",Pasivo!C:C,$A$4,Pasivo!F:F,"&gt;"&amp;EOMONTH(DATE(2025,7,1),0),Pasivo!E:E,"No Pagado")
+SUMIFS(Pasivo!N:N,Pasivo!A:A,"&lt;&gt;"&amp;"Impuestos USA",Pasivo!C:C,$A$5,Pasivo!F:F,"&gt;"&amp;EOMONTH(DATE(2025,7,1),0),Pasivo!E:E,"No Pagado")
+SUMIFS(Pasivo!N:N,Pasivo!A:A,"&lt;&gt;"&amp;"Impuestos USA",Pasivo!C:C,$A$6,Pasivo!F:F,"&gt;"&amp;EOMONTH(DATE(2025,7,1),0),Pasivo!E:E,"No Pagado")
+SUMIFS(Pasivo!N:N,Pasivo!A:A,"&lt;&gt;"&amp;"Impuestos USA",Pasivo!C:C,$A$7,Pasivo!F:F,"&gt;"&amp;EOMONTH(DATE(2025,7,1),0),Pasivo!E:E,"No Pagado")
+SUMIFS(Pasivo!N:N,Pasivo!A:A,"&lt;&gt;"&amp;"Impuestos USA",Pasivo!C:C,$A$8,Pasivo!F:F,"&gt;"&amp;EOMONTH(DATE(2025,7,1),0),Pasivo!E:E,"No Pagado")
</f>
        <v>35217.20088</v>
      </c>
      <c r="E8" s="43"/>
    </row>
    <row r="9">
      <c r="A9" s="356" t="s">
        <v>166</v>
      </c>
      <c r="B9"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cobrar",Activo!F:F,"No",Activo!D:D,$A$2,Activo!G:G,"&gt;"&amp;EOMONTH(DATE(2025,8,1),0))
+SUMIFS(Activo!Q:Q,Activo!B:B,"Clientes a cobrar",Activo!F:F,"No",Activo!D:D,$A$3,Activo!G:G,"&gt;"&amp;EOMONTH(DATE(2025,8,1),0))
+SUMIFS(Activo!Q:Q,Activo!B:B,"Clientes a cobrar",Activo!F:F,"No",Activo!D:D,$A$4,Activo!G:G,"&gt;"&amp;EOMONTH(DATE(2025,8,1),0))
+SUMIFS(Activo!Q:Q,Activo!B:B,"Clientes a cobrar",Activo!F:F,"No",Activo!D:D,$A$5,Activo!G:G,"&gt;"&amp;EOMONTH(DATE(2025,8,1),0))
+SUMIFS(Activo!Q:Q,Activo!B:B,"Clientes a cobrar",Activo!F:F,"No",Activo!D:D,$A$6,Activo!G:G,"&gt;"&amp;EOMONTH(DATE(2025,8,1),0))
+SUMIFS(Activo!Q:Q,Activo!B:B,"Clientes a cobrar",Activo!F:F,"No",Activo!D:D,$A$7,Activo!G:G,"&gt;"&amp;EOMONTH(DATE(2025,8,1),0))
+SUMIFS(Activo!Q:Q,Activo!B:B,"Clientes a cobrar",Activo!F:F,"No",Activo!D:D,$A$8,Activo!G:G,"&gt;"&amp;EOMONTH(DATE(2025,8,1),0))
+SUMIFS(Activo!Q:Q,Activo!B:B,"Clientes a cobrar",Activo!F:F,"No",Activo!D:D,$A$9,Activo!G:G,"&gt;"&amp;EOMONTH(DATE(2025,8,1),0))
</f>
        <v>97572.48401</v>
      </c>
      <c r="C9" s="102">
        <f>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USA",Pasivo!C:C,$A$8,Pasivo!F:F,"",Pasivo!E:E,"No Pagado")
+SUMIFS(Pasivo!N:N,Pasivo!A:A,"&lt;&gt;"&amp;"Impuestos USA",Pasivo!C:C,$A$9,Pasivo!F:F,"",Pasivo!E:E,"No Pagado")
+SUMIFS(Pasivo!N:N,Pasivo!A:A,"&lt;&gt;"&amp;"Impuestos USA",Pasivo!C:C,$A$2,Pasivo!F:F,"&gt;"&amp;EOMONTH(DATE(2025,8,1),0),Pasivo!E:E,"No Pagado")
+SUMIFS(Pasivo!N:N,Pasivo!A:A,"&lt;&gt;"&amp;"Impuestos USA",Pasivo!C:C,$A$3,Pasivo!F:F,"&gt;"&amp;EOMONTH(DATE(2025,8,1),0),Pasivo!E:E,"No Pagado")
+SUMIFS(Pasivo!N:N,Pasivo!A:A,"&lt;&gt;"&amp;"Impuestos USA",Pasivo!C:C,$A$4,Pasivo!F:F,"&gt;"&amp;EOMONTH(DATE(2025,8,1),0),Pasivo!E:E,"No Pagado")
+SUMIFS(Pasivo!N:N,Pasivo!A:A,"&lt;&gt;"&amp;"Impuestos USA",Pasivo!C:C,$A$5,Pasivo!F:F,"&gt;"&amp;EOMONTH(DATE(2025,8,1),0),Pasivo!E:E,"No Pagado")
+SUMIFS(Pasivo!N:N,Pasivo!A:A,"&lt;&gt;"&amp;"Impuestos USA",Pasivo!C:C,$A$6,Pasivo!F:F,"&gt;"&amp;EOMONTH(DATE(2025,8,1),0),Pasivo!E:E,"No Pagado")
+SUMIFS(Pasivo!N:N,Pasivo!A:A,"&lt;&gt;"&amp;"Impuestos USA",Pasivo!C:C,$A$7,Pasivo!F:F,"&gt;"&amp;EOMONTH(DATE(2025,8,1),0),Pasivo!E:E,"No Pagado")
+SUMIFS(Pasivo!N:N,Pasivo!A:A,"&lt;&gt;"&amp;"Impuestos USA",Pasivo!C:C,$A$8,Pasivo!F:F,"&gt;"&amp;EOMONTH(DATE(2025,8,1),0),Pasivo!E:E,"No Pagado")
+SUMIFS(Pasivo!N:N,Pasivo!A:A,"&lt;&gt;"&amp;"Impuestos USA",Pasivo!C:C,$A$9,Pasivo!F:F,"&gt;"&amp;EOMONTH(DATE(2025,8,1),0),Pasivo!E:E,"No Pagado")
</f>
        <v>49074.61788</v>
      </c>
    </row>
    <row r="10">
      <c r="A10" s="51" t="s">
        <v>171</v>
      </c>
      <c r="B10"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cobrar",Activo!F:F,"No",Activo!D:D,$A$2,Activo!G:G,"&gt;"&amp;EOMONTH(DATE(2025,9,1),0))
+SUMIFS(Activo!Q:Q,Activo!B:B,"Clientes a cobrar",Activo!F:F,"No",Activo!D:D,$A$3,Activo!G:G,"&gt;"&amp;EOMONTH(DATE(2025,9,1),0))
+SUMIFS(Activo!Q:Q,Activo!B:B,"Clientes a cobrar",Activo!F:F,"No",Activo!D:D,$A$4,Activo!G:G,"&gt;"&amp;EOMONTH(DATE(2025,9,1),0))
+SUMIFS(Activo!Q:Q,Activo!B:B,"Clientes a cobrar",Activo!F:F,"No",Activo!D:D,$A$5,Activo!G:G,"&gt;"&amp;EOMONTH(DATE(2025,9,1),0))
+SUMIFS(Activo!Q:Q,Activo!B:B,"Clientes a cobrar",Activo!F:F,"No",Activo!D:D,$A$6,Activo!G:G,"&gt;"&amp;EOMONTH(DATE(2025,9,1),0))
+SUMIFS(Activo!Q:Q,Activo!B:B,"Clientes a cobrar",Activo!F:F,"No",Activo!D:D,$A$7,Activo!G:G,"&gt;"&amp;EOMONTH(DATE(2025,9,1),0))
+SUMIFS(Activo!Q:Q,Activo!B:B,"Clientes a cobrar",Activo!F:F,"No",Activo!D:D,$A$8,Activo!G:G,"&gt;"&amp;EOMONTH(DATE(2025,9,1),0))
+SUMIFS(Activo!Q:Q,Activo!B:B,"Clientes a cobrar",Activo!F:F,"No",Activo!D:D,$A$9,Activo!G:G,"&gt;"&amp;EOMONTH(DATE(2025,9,1),0))
+SUMIFS(Activo!Q:Q,Activo!B:B,"Clientes a cobrar",Activo!F:F,"No",Activo!D:D,$A$10,Activo!G:G,"&gt;"&amp;EOMONTH(DATE(2025,9,1),0))
</f>
        <v>196764.5102</v>
      </c>
      <c r="C10" s="102">
        <f>IF(TODAY()&gt;DATE(2025,9,30),
 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USA",Pasivo!C:C,$A$8,Pasivo!F:F,"",Pasivo!E:E,"No Pagado")
+SUMIFS(Pasivo!N:N,Pasivo!A:A,"&lt;&gt;"&amp;"Impuestos USA",Pasivo!C:C,$A$9,Pasivo!F:F,"",Pasivo!E:E,"No Pagado")
+SUMIFS(Pasivo!N:N,Pasivo!A:A,"&lt;&gt;"&amp;"Impuestos USA",Pasivo!C:C,$A$10,Pasivo!F:F,"",Pasivo!E:E,"No Pagado")
+SUMIFS(Pasivo!N:N,Pasivo!A:A,"&lt;&gt;"&amp;"Impuestos USA",Pasivo!C:C,$A$2,Pasivo!F:F,"&gt;"&amp;EOMONTH(DATE(2025,9,1),0),Pasivo!E:E,"No Pagado")
+SUMIFS(Pasivo!N:N,Pasivo!A:A,"&lt;&gt;"&amp;"Impuestos USA",Pasivo!C:C,$A$3,Pasivo!F:F,"&gt;"&amp;EOMONTH(DATE(2025,9,1),0),Pasivo!E:E,"No Pagado")
+SUMIFS(Pasivo!N:N,Pasivo!A:A,"&lt;&gt;"&amp;"Impuestos USA",Pasivo!C:C,$A$4,Pasivo!F:F,"&gt;"&amp;EOMONTH(DATE(2025,9,1),0),Pasivo!E:E,"No Pagado")
+SUMIFS(Pasivo!N:N,Pasivo!A:A,"&lt;&gt;"&amp;"Impuestos USA",Pasivo!C:C,$A$5,Pasivo!F:F,"&gt;"&amp;EOMONTH(DATE(2025,9,1),0),Pasivo!E:E,"No Pagado")
+SUMIFS(Pasivo!N:N,Pasivo!A:A,"&lt;&gt;"&amp;"Impuestos USA",Pasivo!C:C,$A$6,Pasivo!F:F,"&gt;"&amp;EOMONTH(DATE(2025,9,1),0),Pasivo!E:E,"No Pagado")
+SUMIFS(Pasivo!N:N,Pasivo!A:A,"&lt;&gt;"&amp;"Impuestos USA",Pasivo!C:C,$A$7,Pasivo!F:F,"&gt;"&amp;EOMONTH(DATE(2025,9,1),0),Pasivo!E:E,"No Pagado")
+SUMIFS(Pasivo!N:N,Pasivo!A:A,"&lt;&gt;"&amp;"Impuestos USA",Pasivo!C:C,$A$8,Pasivo!F:F,"&gt;"&amp;EOMONTH(DATE(2025,9,1),0),Pasivo!E:E,"No Pagado")
+SUMIFS(Pasivo!N:N,Pasivo!A:A,"&lt;&gt;"&amp;"Impuestos USA",Pasivo!C:C,$A$9,Pasivo!F:F,"&gt;"&amp;EOMONTH(DATE(2025,9,1),0),Pasivo!E:E,"No Pagado")
+SUMIFS(Pasivo!N:N,Pasivo!A:A,"&lt;&gt;"&amp;"Impuestos USA",Pasivo!C:C,$A$10,Pasivo!F:F,"&gt;"&amp;EOMONTH(DATE(2025,9,1),0),Pasivo!E:E,"No Pagado")
,0)
</f>
        <v>49876.33759</v>
      </c>
    </row>
    <row r="11">
      <c r="A11" s="51" t="s">
        <v>175</v>
      </c>
      <c r="B11"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cobrar",Activo!F:F,"No",Activo!D:D,$A$11,Activo!G:G,"")
+SUMIFS(Activo!Q:Q,Activo!B:B,"Clientes a cobrar",Activo!F:F,"No",Activo!D:D,$A$2,Activo!G:G,"&gt;"&amp;EOMONTH(DATE(2025,10,1),0))
+SUMIFS(Activo!Q:Q,Activo!B:B,"Clientes a cobrar",Activo!F:F,"No",Activo!D:D,$A$3,Activo!G:G,"&gt;"&amp;EOMONTH(DATE(2025,10,1),0))
+SUMIFS(Activo!Q:Q,Activo!B:B,"Clientes a cobrar",Activo!F:F,"No",Activo!D:D,$A$4,Activo!G:G,"&gt;"&amp;EOMONTH(DATE(2025,10,1),0))
+SUMIFS(Activo!Q:Q,Activo!B:B,"Clientes a cobrar",Activo!F:F,"No",Activo!D:D,$A$5,Activo!G:G,"&gt;"&amp;EOMONTH(DATE(2025,10,1),0))
+SUMIFS(Activo!Q:Q,Activo!B:B,"Clientes a cobrar",Activo!F:F,"No",Activo!D:D,$A$6,Activo!G:G,"&gt;"&amp;EOMONTH(DATE(2025,10,1),0))
+SUMIFS(Activo!Q:Q,Activo!B:B,"Clientes a cobrar",Activo!F:F,"No",Activo!D:D,$A$7,Activo!G:G,"&gt;"&amp;EOMONTH(DATE(2025,10,1),0))
+SUMIFS(Activo!Q:Q,Activo!B:B,"Clientes a cobrar",Activo!F:F,"No",Activo!D:D,$A$8,Activo!G:G,"&gt;"&amp;EOMONTH(DATE(2025,10,1),0))
+SUMIFS(Activo!Q:Q,Activo!B:B,"Clientes a cobrar",Activo!F:F,"No",Activo!D:D,$A$9,Activo!G:G,"&gt;"&amp;EOMONTH(DATE(2025,10,1),0))
+SUMIFS(Activo!Q:Q,Activo!B:B,"Clientes a cobrar",Activo!F:F,"No",Activo!D:D,$A$10,Activo!G:G,"&gt;"&amp;EOMONTH(DATE(2025,10,1),0))
+SUMIFS(Activo!Q:Q,Activo!B:B,"Clientes a cobrar",Activo!F:F,"No",Activo!D:D,$A$11,Activo!G:G,"&gt;"&amp;EOMONTH(DATE(2025,10,1),0))
</f>
        <v>207989.3695</v>
      </c>
      <c r="C11" s="102">
        <f>IF(TODAY()&gt;DATE(2025,10,31),
 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USA",Pasivo!C:C,$A$8,Pasivo!F:F,"",Pasivo!E:E,"No Pagado")
+SUMIFS(Pasivo!N:N,Pasivo!A:A,"&lt;&gt;"&amp;"Impuestos USA",Pasivo!C:C,$A$9,Pasivo!F:F,"",Pasivo!E:E,"No Pagado")
+SUMIFS(Pasivo!N:N,Pasivo!A:A,"&lt;&gt;"&amp;"Impuestos USA",Pasivo!C:C,$A$10,Pasivo!F:F,"",Pasivo!E:E,"No Pagado")
+SUMIFS(Pasivo!N:N,Pasivo!A:A,"&lt;&gt;"&amp;"Impuestos USA",Pasivo!C:C,$A$11,Pasivo!F:F,"",Pasivo!E:E,"No Pagado")
+SUMIFS(Pasivo!N:N,Pasivo!A:A,"&lt;&gt;"&amp;"Impuestos USA",Pasivo!C:C,$A$2,Pasivo!F:F,"&gt;"&amp;EOMONTH(DATE(2025,10,1),0),Pasivo!E:E,"No Pagado")
+SUMIFS(Pasivo!N:N,Pasivo!A:A,"&lt;&gt;"&amp;"Impuestos USA",Pasivo!C:C,$A$3,Pasivo!F:F,"&gt;"&amp;EOMONTH(DATE(2025,10,1),0),Pasivo!E:E,"No Pagado")
+SUMIFS(Pasivo!N:N,Pasivo!A:A,"&lt;&gt;"&amp;"Impuestos USA",Pasivo!C:C,$A$4,Pasivo!F:F,"&gt;"&amp;EOMONTH(DATE(2025,10,1),0),Pasivo!E:E,"No Pagado")
+SUMIFS(Pasivo!N:N,Pasivo!A:A,"&lt;&gt;"&amp;"Impuestos USA",Pasivo!C:C,$A$5,Pasivo!F:F,"&gt;"&amp;EOMONTH(DATE(2025,10,1),0),Pasivo!E:E,"No Pagado")
+SUMIFS(Pasivo!N:N,Pasivo!A:A,"&lt;&gt;"&amp;"Impuestos USA",Pasivo!C:C,$A$6,Pasivo!F:F,"&gt;"&amp;EOMONTH(DATE(2025,10,1),0),Pasivo!E:E,"No Pagado")
+SUMIFS(Pasivo!N:N,Pasivo!A:A,"&lt;&gt;"&amp;"Impuestos USA",Pasivo!C:C,$A$7,Pasivo!F:F,"&gt;"&amp;EOMONTH(DATE(2025,10,1),0),Pasivo!E:E,"No Pagado")
+SUMIFS(Pasivo!N:N,Pasivo!A:A,"&lt;&gt;"&amp;"Impuestos USA",Pasivo!C:C,$A$8,Pasivo!F:F,"&gt;"&amp;EOMONTH(DATE(2025,10,1),0),Pasivo!E:E,"No Pagado")
+SUMIFS(Pasivo!N:N,Pasivo!A:A,"&lt;&gt;"&amp;"Impuestos USA",Pasivo!C:C,$A$9,Pasivo!F:F,"&gt;"&amp;EOMONTH(DATE(2025,10,1),0),Pasivo!E:E,"No Pagado")
+SUMIFS(Pasivo!N:N,Pasivo!A:A,"&lt;&gt;"&amp;"Impuestos USA",Pasivo!C:C,$A$10,Pasivo!F:F,"&gt;"&amp;EOMONTH(DATE(2025,10,1),0),Pasivo!E:E,"No Pagado")
+SUMIFS(Pasivo!N:N,Pasivo!A:A,"&lt;&gt;"&amp;"Impuestos USA",Pasivo!C:C,$A$11,Pasivo!F:F,"&gt;"&amp;EOMONTH(DATE(2025,10,1),0),Pasivo!E:E,"No Pagado")
,0)
</f>
        <v>0</v>
      </c>
    </row>
    <row r="12">
      <c r="A12" s="51" t="s">
        <v>179</v>
      </c>
      <c r="B12"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cobrar",Activo!F:F,"No",Activo!D:D,$A$11,Activo!G:G,"")
+SUMIFS(Activo!Q:Q,Activo!B:B,"Clientes a cobrar",Activo!F:F,"No",Activo!D:D,$A$12,Activo!G:G,"")
+SUMIFS(Activo!Q:Q,Activo!B:B,"Clientes a cobrar",Activo!F:F,"No",Activo!D:D,$A$2,Activo!G:G,"&gt;"&amp;EOMONTH(DATE(2025,11,1),0))
+SUMIFS(Activo!Q:Q,Activo!B:B,"Clientes a cobrar",Activo!F:F,"No",Activo!D:D,$A$3,Activo!G:G,"&gt;"&amp;EOMONTH(DATE(2025,11,1),0))
+SUMIFS(Activo!Q:Q,Activo!B:B,"Clientes a cobrar",Activo!F:F,"No",Activo!D:D,$A$4,Activo!G:G,"&gt;"&amp;EOMONTH(DATE(2025,11,1),0))
+SUMIFS(Activo!Q:Q,Activo!B:B,"Clientes a cobrar",Activo!F:F,"No",Activo!D:D,$A$5,Activo!G:G,"&gt;"&amp;EOMONTH(DATE(2025,11,1),0))
+SUMIFS(Activo!Q:Q,Activo!B:B,"Clientes a cobrar",Activo!F:F,"No",Activo!D:D,$A$6,Activo!G:G,"&gt;"&amp;EOMONTH(DATE(2025,11,1),0))
+SUMIFS(Activo!Q:Q,Activo!B:B,"Clientes a cobrar",Activo!F:F,"No",Activo!D:D,$A$7,Activo!G:G,"&gt;"&amp;EOMONTH(DATE(2025,11,1),0))
+SUMIFS(Activo!Q:Q,Activo!B:B,"Clientes a cobrar",Activo!F:F,"No",Activo!D:D,$A$8,Activo!G:G,"&gt;"&amp;EOMONTH(DATE(2025,11,1),0))
+SUMIFS(Activo!Q:Q,Activo!B:B,"Clientes a cobrar",Activo!F:F,"No",Activo!D:D,$A$9,Activo!G:G,"&gt;"&amp;EOMONTH(DATE(2025,11,1),0))
+SUMIFS(Activo!Q:Q,Activo!B:B,"Clientes a cobrar",Activo!F:F,"No",Activo!D:D,$A$10,Activo!G:G,"&gt;"&amp;EOMONTH(DATE(2025,11,1),0))
+SUMIFS(Activo!Q:Q,Activo!B:B,"Clientes a cobrar",Activo!F:F,"No",Activo!D:D,$A$11,Activo!G:G,"&gt;"&amp;EOMONTH(DATE(2025,11,1),0))
+SUMIFS(Activo!Q:Q,Activo!B:B,"Clientes a cobrar",Activo!F:F,"No",Activo!D:D,$A$12,Activo!G:G,"&gt;"&amp;EOMONTH(DATE(2025,11,1),0))
</f>
        <v>207989.3695</v>
      </c>
      <c r="C12" s="102">
        <f>IF(TODAY()&gt;DATE(2025,11,30),
 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USA",Pasivo!C:C,$A$8,Pasivo!F:F,"",Pasivo!E:E,"No Pagado")
+SUMIFS(Pasivo!N:N,Pasivo!A:A,"&lt;&gt;"&amp;"Impuestos USA",Pasivo!C:C,$A$9,Pasivo!F:F,"",Pasivo!E:E,"No Pagado")
+SUMIFS(Pasivo!N:N,Pasivo!A:A,"&lt;&gt;"&amp;"Impuestos USA",Pasivo!C:C,$A$10,Pasivo!F:F,"",Pasivo!E:E,"No Pagado")
+SUMIFS(Pasivo!N:N,Pasivo!A:A,"&lt;&gt;"&amp;"Impuestos USA",Pasivo!C:C,$A$11,Pasivo!F:F,"",Pasivo!E:E,"No Pagado")
+SUMIFS(Pasivo!N:N,Pasivo!A:A,"&lt;&gt;"&amp;"Impuestos USA",Pasivo!C:C,$A$12,Pasivo!F:F,"",Pasivo!E:E,"No Pagado")
+SUMIFS(Pasivo!N:N,Pasivo!A:A,"&lt;&gt;"&amp;"Impuestos USA",Pasivo!C:C,$A$2,Pasivo!F:F,"&gt;"&amp;EOMONTH(DATE(2025,11,1),0),Pasivo!E:E,"No Pagado")
+SUMIFS(Pasivo!N:N,Pasivo!A:A,"&lt;&gt;"&amp;"Impuestos USA",Pasivo!C:C,$A$3,Pasivo!F:F,"&gt;"&amp;EOMONTH(DATE(2025,11,1),0),Pasivo!E:E,"No Pagado")
+SUMIFS(Pasivo!N:N,Pasivo!A:A,"&lt;&gt;"&amp;"Impuestos USA",Pasivo!C:C,$A$4,Pasivo!F:F,"&gt;"&amp;EOMONTH(DATE(2025,11,1),0),Pasivo!E:E,"No Pagado")
+SUMIFS(Pasivo!N:N,Pasivo!A:A,"&lt;&gt;"&amp;"Impuestos USA",Pasivo!C:C,$A$5,Pasivo!F:F,"&gt;"&amp;EOMONTH(DATE(2025,11,1),0),Pasivo!E:E,"No Pagado")
+SUMIFS(Pasivo!N:N,Pasivo!A:A,"&lt;&gt;"&amp;"Impuestos USA",Pasivo!C:C,$A$6,Pasivo!F:F,"&gt;"&amp;EOMONTH(DATE(2025,11,1),0),Pasivo!E:E,"No Pagado")
+SUMIFS(Pasivo!N:N,Pasivo!A:A,"&lt;&gt;"&amp;"Impuestos USA",Pasivo!C:C,$A$7,Pasivo!F:F,"&gt;"&amp;EOMONTH(DATE(2025,11,1),0),Pasivo!E:E,"No Pagado")
+SUMIFS(Pasivo!N:N,Pasivo!A:A,"&lt;&gt;"&amp;"Impuestos USA",Pasivo!C:C,$A$8,Pasivo!F:F,"&gt;"&amp;EOMONTH(DATE(2025,11,1),0),Pasivo!E:E,"No Pagado")
+SUMIFS(Pasivo!N:N,Pasivo!A:A,"&lt;&gt;"&amp;"Impuestos USA",Pasivo!C:C,$A$9,Pasivo!F:F,"&gt;"&amp;EOMONTH(DATE(2025,11,1),0),Pasivo!E:E,"No Pagado")
+SUMIFS(Pasivo!N:N,Pasivo!A:A,"&lt;&gt;"&amp;"Impuestos USA",Pasivo!C:C,$A$10,Pasivo!F:F,"&gt;"&amp;EOMONTH(DATE(2025,11,1),0),Pasivo!E:E,"No Pagado")
+SUMIFS(Pasivo!N:N,Pasivo!A:A,"&lt;&gt;"&amp;"Impuestos USA",Pasivo!C:C,$A$11,Pasivo!F:F,"&gt;"&amp;EOMONTH(DATE(2025,11,1),0),Pasivo!E:E,"No Pagado")
+SUMIFS(Pasivo!N:N,Pasivo!A:A,"&lt;&gt;"&amp;"Impuestos USA",Pasivo!C:C,$A$12,Pasivo!F:F,"&gt;"&amp;EOMONTH(DATE(2025,11,1),0),Pasivo!E:E,"No Pagado")
,0)
</f>
        <v>0</v>
      </c>
    </row>
    <row r="13">
      <c r="A13" s="51" t="s">
        <v>182</v>
      </c>
      <c r="B13" s="102">
        <f>SUMIFS(Activo!Q:Q,Activo!B:B,"Clientes a cobrar",Activo!F:F,"No",Activo!D:D,$A$2,Activo!G:G,"")
+SUMIFS(Activo!Q:Q,Activo!B:B,"Clientes a cobrar",Activo!F:F,"No",Activo!D:D,$A$3,Activo!G:G,"")
+SUMIFS(Activo!Q:Q,Activo!B:B,"Clientes a cobrar",Activo!F:F,"No",Activo!D:D,$A$4,Activo!G:G,"")
+SUMIFS(Activo!Q:Q,Activo!B:B,"Clientes a cobrar",Activo!F:F,"No",Activo!D:D,$A$5,Activo!G:G,"")
+SUMIFS(Activo!Q:Q,Activo!B:B,"Clientes a cobrar",Activo!F:F,"No",Activo!D:D,$A$6,Activo!G:G,"")
+SUMIFS(Activo!Q:Q,Activo!B:B,"Clientes a cobrar",Activo!F:F,"No",Activo!D:D,$A$7,Activo!G:G,"")
+SUMIFS(Activo!Q:Q,Activo!B:B,"Clientes a cobrar",Activo!F:F,"No",Activo!D:D,$A$8,Activo!G:G,"")
+SUMIFS(Activo!Q:Q,Activo!B:B,"Clientes a cobrar",Activo!F:F,"No",Activo!D:D,$A$9,Activo!G:G,"")
+SUMIFS(Activo!Q:Q,Activo!B:B,"Clientes a cobrar",Activo!F:F,"No",Activo!D:D,$A$10,Activo!G:G,"")
+SUMIFS(Activo!Q:Q,Activo!B:B,"Clientes a cobrar",Activo!F:F,"No",Activo!D:D,$A$11,Activo!G:G,"")
+SUMIFS(Activo!Q:Q,Activo!B:B,"Clientes a cobrar",Activo!F:F,"No",Activo!D:D,$A$12,Activo!G:G,"")
+SUMIFS(Activo!Q:Q,Activo!B:B,"Clientes a cobrar",Activo!F:F,"No",Activo!D:D,$A$13,Activo!G:G,"")
+SUMIFS(Activo!Q:Q,Activo!B:B,"Clientes a cobrar",Activo!F:F,"No",Activo!D:D,$A$2,Activo!G:G,"&gt;"&amp;EOMONTH(DATE(2025,12,1),0))
+SUMIFS(Activo!Q:Q,Activo!B:B,"Clientes a cobrar",Activo!F:F,"No",Activo!D:D,$A$3,Activo!G:G,"&gt;"&amp;EOMONTH(DATE(2025,12,1),0))
+SUMIFS(Activo!Q:Q,Activo!B:B,"Clientes a cobrar",Activo!F:F,"No",Activo!D:D,$A$4,Activo!G:G,"&gt;"&amp;EOMONTH(DATE(2025,12,1),0))
+SUMIFS(Activo!Q:Q,Activo!B:B,"Clientes a cobrar",Activo!F:F,"No",Activo!D:D,$A$5,Activo!G:G,"&gt;"&amp;EOMONTH(DATE(2025,12,1),0))
+SUMIFS(Activo!Q:Q,Activo!B:B,"Clientes a cobrar",Activo!F:F,"No",Activo!D:D,$A$6,Activo!G:G,"&gt;"&amp;EOMONTH(DATE(2025,12,1),0))
+SUMIFS(Activo!Q:Q,Activo!B:B,"Clientes a cobrar",Activo!F:F,"No",Activo!D:D,$A$7,Activo!G:G,"&gt;"&amp;EOMONTH(DATE(2025,12,1),0))
+SUMIFS(Activo!Q:Q,Activo!B:B,"Clientes a cobrar",Activo!F:F,"No",Activo!D:D,$A$8,Activo!G:G,"&gt;"&amp;EOMONTH(DATE(2025,12,1),0))
+SUMIFS(Activo!Q:Q,Activo!B:B,"Clientes a cobrar",Activo!F:F,"No",Activo!D:D,$A$9,Activo!G:G,"&gt;"&amp;EOMONTH(DATE(2025,12,1),0))
+SUMIFS(Activo!Q:Q,Activo!B:B,"Clientes a cobrar",Activo!F:F,"No",Activo!D:D,$A$10,Activo!G:G,"&gt;"&amp;EOMONTH(DATE(2025,12,1),0))
+SUMIFS(Activo!Q:Q,Activo!B:B,"Clientes a cobrar",Activo!F:F,"No",Activo!D:D,$A$11,Activo!G:G,"&gt;"&amp;EOMONTH(DATE(2025,12,1),0))
+SUMIFS(Activo!Q:Q,Activo!B:B,"Clientes a cobrar",Activo!F:F,"No",Activo!D:D,$A$12,Activo!G:G,"&gt;"&amp;EOMONTH(DATE(2025,12,1),0))
+SUMIFS(Activo!Q:Q,Activo!B:B,"Clientes a cobrar",Activo!F:F,"No",Activo!D:D,$A$13,Activo!G:G,"&gt;"&amp;EOMONTH(DATE(2025,12,1),0))
</f>
        <v>207989.3695</v>
      </c>
      <c r="C13" s="102">
        <f>IF(TODAY()&gt;DATE(2025,12,31),
 SUMIFS(Pasivo!N:N,Pasivo!A:A,"&lt;&gt;"&amp;"Impuestos USA",Pasivo!C:C,$A$2,Pasivo!F:F,"",Pasivo!E:E,"No Pagado")
+SUMIFS(Pasivo!N:N,Pasivo!A:A,"&lt;&gt;"&amp;"Impuestos USA",Pasivo!C:C,$A$3,Pasivo!F:F,"",Pasivo!E:E,"No Pagado")
+SUMIFS(Pasivo!N:N,Pasivo!A:A,"&lt;&gt;"&amp;"Impuestos USA",Pasivo!C:C,$A$4,Pasivo!F:F,"",Pasivo!E:E,"No Pagado")
+SUMIFS(Pasivo!N:N,Pasivo!A:A,"&lt;&gt;"&amp;"Impuestos USA",Pasivo!C:C,$A$5,Pasivo!F:F,"",Pasivo!E:E,"No Pagado")
+SUMIFS(Pasivo!N:N,Pasivo!A:A,"&lt;&gt;"&amp;"Impuestos USA",Pasivo!C:C,$A$6,Pasivo!F:F,"",Pasivo!E:E,"No Pagado")
+SUMIFS(Pasivo!N:N,Pasivo!A:A,"&lt;&gt;"&amp;"Impuestos USA",Pasivo!C:C,$A$7,Pasivo!F:F,"",Pasivo!E:E,"No Pagado")
+SUMIFS(Pasivo!N:N,Pasivo!A:A,"&lt;&gt;"&amp;"Impuestos USA",Pasivo!C:C,$A$8,Pasivo!F:F,"",Pasivo!E:E,"No Pagado")
+SUMIFS(Pasivo!N:N,Pasivo!A:A,"&lt;&gt;"&amp;"Impuestos USA",Pasivo!C:C,$A$9,Pasivo!F:F,"",Pasivo!E:E,"No Pagado")
+SUMIFS(Pasivo!N:N,Pasivo!A:A,"&lt;&gt;"&amp;"Impuestos USA",Pasivo!C:C,$A$10,Pasivo!F:F,"",Pasivo!E:E,"No Pagado")
+SUMIFS(Pasivo!N:N,Pasivo!A:A,"&lt;&gt;"&amp;"Impuestos USA",Pasivo!C:C,$A$11,Pasivo!F:F,"",Pasivo!E:E,"No Pagado")
+SUMIFS(Pasivo!N:N,Pasivo!A:A,"&lt;&gt;"&amp;"Impuestos USA",Pasivo!C:C,$A$12,Pasivo!F:F,"",Pasivo!E:E,"No Pagado")
+SUMIFS(Pasivo!N:N,Pasivo!A:A,"&lt;&gt;"&amp;"Impuestos USA",Pasivo!C:C,$A$13,Pasivo!F:F,"",Pasivo!E:E,"No Pagado")
+SUMIFS(Pasivo!N:N,Pasivo!A:A,"&lt;&gt;"&amp;"Impuestos USA",Pasivo!C:C,$A$2,Pasivo!F:F,"&gt;"&amp;EOMONTH(DATE(2025,12,1),0),Pasivo!E:E,"No Pagado")
+SUMIFS(Pasivo!N:N,Pasivo!A:A,"&lt;&gt;"&amp;"Impuestos USA",Pasivo!C:C,$A$3,Pasivo!F:F,"&gt;"&amp;EOMONTH(DATE(2025,12,1),0),Pasivo!E:E,"No Pagado")
+SUMIFS(Pasivo!N:N,Pasivo!A:A,"&lt;&gt;"&amp;"Impuestos USA",Pasivo!C:C,$A$4,Pasivo!F:F,"&gt;"&amp;EOMONTH(DATE(2025,12,1),0),Pasivo!E:E,"No Pagado")
+SUMIFS(Pasivo!N:N,Pasivo!A:A,"&lt;&gt;"&amp;"Impuestos USA",Pasivo!C:C,$A$5,Pasivo!F:F,"&gt;"&amp;EOMONTH(DATE(2025,12,1),0),Pasivo!E:E,"No Pagado")
+SUMIFS(Pasivo!N:N,Pasivo!A:A,"&lt;&gt;"&amp;"Impuestos USA",Pasivo!C:C,$A$6,Pasivo!F:F,"&gt;"&amp;EOMONTH(DATE(2025,12,1),0),Pasivo!E:E,"No Pagado")
+SUMIFS(Pasivo!N:N,Pasivo!A:A,"&lt;&gt;"&amp;"Impuestos USA",Pasivo!C:C,$A$7,Pasivo!F:F,"&gt;"&amp;EOMONTH(DATE(2025,12,1),0),Pasivo!E:E,"No Pagado")
+SUMIFS(Pasivo!N:N,Pasivo!A:A,"&lt;&gt;"&amp;"Impuestos USA",Pasivo!C:C,$A$8,Pasivo!F:F,"&gt;"&amp;EOMONTH(DATE(2025,12,1),0),Pasivo!E:E,"No Pagado")
+SUMIFS(Pasivo!N:N,Pasivo!A:A,"&lt;&gt;"&amp;"Impuestos USA",Pasivo!C:C,$A$9,Pasivo!F:F,"&gt;"&amp;EOMONTH(DATE(2025,12,1),0),Pasivo!E:E,"No Pagado")
+SUMIFS(Pasivo!N:N,Pasivo!A:A,"&lt;&gt;"&amp;"Impuestos USA",Pasivo!C:C,$A$10,Pasivo!F:F,"&gt;"&amp;EOMONTH(DATE(2025,12,1),0),Pasivo!E:E,"No Pagado")
+SUMIFS(Pasivo!N:N,Pasivo!A:A,"&lt;&gt;"&amp;"Impuestos USA",Pasivo!C:C,$A$11,Pasivo!F:F,"&gt;"&amp;EOMONTH(DATE(2025,12,1),0),Pasivo!E:E,"No Pagado")
+SUMIFS(Pasivo!N:N,Pasivo!A:A,"&lt;&gt;"&amp;"Impuestos USA",Pasivo!C:C,$A$12,Pasivo!F:F,"&gt;"&amp;EOMONTH(DATE(2025,12,1),0),Pasivo!E:E,"No Pagado")
+SUMIFS(Pasivo!N:N,Pasivo!A:A,"&lt;&gt;"&amp;"Impuestos USA",Pasivo!C:C,$A$13,Pasivo!F:F,"&gt;"&amp;EOMONTH(DATE(2025,12,1),0),Pasivo!E:E,"No Pagado")
,0)
</f>
        <v>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38"/>
  </cols>
  <sheetData>
    <row r="1">
      <c r="A1" s="43" t="s">
        <v>1086</v>
      </c>
      <c r="B1" s="51" t="s">
        <v>116</v>
      </c>
      <c r="C1" s="43" t="s">
        <v>275</v>
      </c>
      <c r="D1" s="43" t="s">
        <v>1087</v>
      </c>
    </row>
    <row r="2">
      <c r="A2" s="383" t="s">
        <v>121</v>
      </c>
      <c r="B2" s="384" t="s">
        <v>123</v>
      </c>
      <c r="C2" s="43">
        <v>2025.0</v>
      </c>
      <c r="D2" s="102">
        <f>SUMIFS(Pasivo!N:N,Pasivo!B:B,A2 ,Pasivo!E:E,"No Pagado",Pasivo!C:C, "01 ene",Pasivo!F:F,"")
+SUMIFS(Pasivo!N:N,Pasivo!B:B,A2 ,Pasivo!E:E,"No Pagado",Pasivo!C:C, "01 ene",Pasivo!F:F, "&gt;"&amp;EOMONTH(DATE(2025,1,1),0))
</f>
        <v>0</v>
      </c>
    </row>
    <row r="3">
      <c r="A3" s="383" t="s">
        <v>128</v>
      </c>
      <c r="B3" s="384" t="s">
        <v>123</v>
      </c>
      <c r="C3" s="43">
        <v>2025.0</v>
      </c>
      <c r="D3" s="102">
        <f>SUMIFS(Pasivo!N:N,Pasivo!B:B,A3 ,Pasivo!E:E,"No Pagado",Pasivo!C:C, "01 ene",Pasivo!F:F,"")
+SUMIFS(Pasivo!N:N,Pasivo!B:B,A3 ,Pasivo!E:E,"No Pagado",Pasivo!C:C, "01 ene",Pasivo!F:F, "&gt;"&amp;EOMONTH(DATE(2025,1,1),0))
</f>
        <v>0</v>
      </c>
    </row>
    <row r="4">
      <c r="A4" s="383" t="s">
        <v>134</v>
      </c>
      <c r="B4" s="384" t="s">
        <v>123</v>
      </c>
      <c r="C4" s="43">
        <v>2025.0</v>
      </c>
      <c r="D4" s="102">
        <f>SUMIFS(Pasivo!N:N,Pasivo!B:B,A4 ,Pasivo!E:E,"No Pagado",Pasivo!C:C, "01 ene",Pasivo!F:F,"")
+SUMIFS(Pasivo!N:N,Pasivo!B:B,A4 ,Pasivo!E:E,"No Pagado",Pasivo!C:C, "01 ene",Pasivo!F:F, "&gt;"&amp;EOMONTH(DATE(2025,1,1),0))
</f>
        <v>0</v>
      </c>
    </row>
    <row r="5">
      <c r="A5" s="385" t="s">
        <v>140</v>
      </c>
      <c r="B5" s="384" t="s">
        <v>123</v>
      </c>
      <c r="C5" s="43">
        <v>2025.0</v>
      </c>
      <c r="D5" s="102">
        <f>SUMIFS(Pasivo!N:N,Pasivo!B:B,A5 ,Pasivo!E:E,"No Pagado",Pasivo!C:C, "01 ene",Pasivo!F:F,"")
+SUMIFS(Pasivo!N:N,Pasivo!B:B,A5 ,Pasivo!E:E,"No Pagado",Pasivo!C:C, "01 ene",Pasivo!F:F, "&gt;"&amp;EOMONTH(DATE(2025,1,1),0))
</f>
        <v>0</v>
      </c>
    </row>
    <row r="6">
      <c r="A6" s="383" t="s">
        <v>147</v>
      </c>
      <c r="B6" s="384" t="s">
        <v>123</v>
      </c>
      <c r="C6" s="43">
        <v>2025.0</v>
      </c>
      <c r="D6" s="102">
        <f>SUMIFS(Pasivo!N:N,Pasivo!B:B,A6 ,Pasivo!E:E,"No Pagado",Pasivo!C:C, "01 ene",Pasivo!F:F,"")
+SUMIFS(Pasivo!N:N,Pasivo!B:B,A6 ,Pasivo!E:E,"No Pagado",Pasivo!C:C, "01 ene",Pasivo!F:F, "&gt;"&amp;EOMONTH(DATE(2025,1,1),0))
</f>
        <v>0</v>
      </c>
    </row>
    <row r="7">
      <c r="A7" s="383" t="s">
        <v>153</v>
      </c>
      <c r="B7" s="384" t="s">
        <v>123</v>
      </c>
      <c r="C7" s="43">
        <v>2025.0</v>
      </c>
      <c r="D7" s="102">
        <f>SUMIFS(Pasivo!N:N,Pasivo!B:B,A7 ,Pasivo!E:E,"No Pagado",Pasivo!C:C, "01 ene",Pasivo!F:F,"")
+SUMIFS(Pasivo!N:N,Pasivo!B:B,A7 ,Pasivo!E:E,"No Pagado",Pasivo!C:C, "01 ene",Pasivo!F:F, "&gt;"&amp;EOMONTH(DATE(2025,1,1),0))
</f>
        <v>0</v>
      </c>
    </row>
    <row r="8">
      <c r="A8" s="383" t="s">
        <v>159</v>
      </c>
      <c r="B8" s="384" t="s">
        <v>123</v>
      </c>
      <c r="C8" s="43">
        <v>2025.0</v>
      </c>
      <c r="D8" s="102">
        <f>SUMIFS(Pasivo!N:N,Pasivo!B:B,A8 ,Pasivo!E:E,"No Pagado",Pasivo!C:C, "01 ene",Pasivo!F:F,"")
+SUMIFS(Pasivo!N:N,Pasivo!B:B,A8 ,Pasivo!E:E,"No Pagado",Pasivo!C:C, "01 ene",Pasivo!F:F, "&gt;"&amp;EOMONTH(DATE(2025,1,1),0))
</f>
        <v>0</v>
      </c>
    </row>
    <row r="9">
      <c r="A9" s="383" t="s">
        <v>164</v>
      </c>
      <c r="B9" s="384" t="s">
        <v>123</v>
      </c>
      <c r="C9" s="43">
        <v>2025.0</v>
      </c>
      <c r="D9" s="102">
        <f>SUMIFS(Pasivo!N:N,Pasivo!B:B,A9 ,Pasivo!E:E,"No Pagado",Pasivo!C:C, "01 ene",Pasivo!F:F,"")
+SUMIFS(Pasivo!N:N,Pasivo!B:B,A9 ,Pasivo!E:E,"No Pagado",Pasivo!C:C, "01 ene",Pasivo!F:F, "&gt;"&amp;EOMONTH(DATE(2025,1,1),0))
</f>
        <v>0</v>
      </c>
    </row>
    <row r="10">
      <c r="A10" s="383" t="s">
        <v>170</v>
      </c>
      <c r="B10" s="384" t="s">
        <v>123</v>
      </c>
      <c r="C10" s="43">
        <v>2025.0</v>
      </c>
      <c r="D10" s="102">
        <f>SUMIFS(Pasivo!N:N,Pasivo!B:B,A10 ,Pasivo!E:E,"No Pagado",Pasivo!C:C, "01 ene",Pasivo!F:F,"")
+SUMIFS(Pasivo!N:N,Pasivo!B:B,A10 ,Pasivo!E:E,"No Pagado",Pasivo!C:C, "01 ene",Pasivo!F:F, "&gt;"&amp;EOMONTH(DATE(2025,1,1),0))
</f>
        <v>0</v>
      </c>
    </row>
    <row r="11">
      <c r="A11" s="383" t="s">
        <v>174</v>
      </c>
      <c r="B11" s="384" t="s">
        <v>123</v>
      </c>
      <c r="C11" s="43">
        <v>2025.0</v>
      </c>
      <c r="D11" s="102">
        <f>SUMIFS(Pasivo!N:N,Pasivo!B:B,A11 ,Pasivo!E:E,"No Pagado",Pasivo!C:C, "01 ene",Pasivo!F:F,"")
+SUMIFS(Pasivo!N:N,Pasivo!B:B,A11 ,Pasivo!E:E,"No Pagado",Pasivo!C:C, "01 ene",Pasivo!F:F, "&gt;"&amp;EOMONTH(DATE(2025,1,1),0))
</f>
        <v>0</v>
      </c>
    </row>
    <row r="12">
      <c r="A12" s="383" t="s">
        <v>178</v>
      </c>
      <c r="B12" s="384" t="s">
        <v>123</v>
      </c>
      <c r="C12" s="43">
        <v>2025.0</v>
      </c>
      <c r="D12" s="102">
        <f>SUMIFS(Pasivo!N:N,Pasivo!B:B,A12 ,Pasivo!E:E,"No Pagado",Pasivo!C:C, "01 ene",Pasivo!F:F,"")
+SUMIFS(Pasivo!N:N,Pasivo!B:B,A12 ,Pasivo!E:E,"No Pagado",Pasivo!C:C, "01 ene",Pasivo!F:F, "&gt;"&amp;EOMONTH(DATE(2025,1,1),0))
</f>
        <v>0</v>
      </c>
    </row>
    <row r="13">
      <c r="A13" s="383" t="s">
        <v>139</v>
      </c>
      <c r="B13" s="384" t="s">
        <v>123</v>
      </c>
      <c r="C13" s="43">
        <v>2025.0</v>
      </c>
      <c r="D13" s="102">
        <f>SUMIFS(Pasivo!N:N,Pasivo!B:B,A13 ,Pasivo!E:E,"No Pagado",Pasivo!C:C, "01 ene",Pasivo!F:F,"")
+SUMIFS(Pasivo!N:N,Pasivo!B:B,A13 ,Pasivo!E:E,"No Pagado",Pasivo!C:C, "01 ene",Pasivo!F:F, "&gt;"&amp;EOMONTH(DATE(2025,1,1),0))
</f>
        <v>0</v>
      </c>
    </row>
    <row r="14">
      <c r="A14" s="385" t="s">
        <v>185</v>
      </c>
      <c r="B14" s="384" t="s">
        <v>123</v>
      </c>
      <c r="C14" s="43">
        <v>2025.0</v>
      </c>
      <c r="D14" s="102">
        <f>SUMIFS(Pasivo!N:N,Pasivo!B:B,A14 ,Pasivo!E:E,"No Pagado",Pasivo!C:C, "01 ene",Pasivo!F:F,"")
+SUMIFS(Pasivo!N:N,Pasivo!B:B,A14 ,Pasivo!E:E,"No Pagado",Pasivo!C:C, "01 ene",Pasivo!F:F, "&gt;"&amp;EOMONTH(DATE(2025,1,1),0))
</f>
        <v>0</v>
      </c>
    </row>
    <row r="15">
      <c r="A15" s="385" t="s">
        <v>188</v>
      </c>
      <c r="B15" s="384" t="s">
        <v>123</v>
      </c>
      <c r="C15" s="43">
        <v>2025.0</v>
      </c>
      <c r="D15" s="102">
        <f>SUMIFS(Pasivo!N:N,Pasivo!B:B,A15 ,Pasivo!E:E,"No Pagado",Pasivo!C:C, "01 ene",Pasivo!F:F,"")
+SUMIFS(Pasivo!N:N,Pasivo!B:B,A15 ,Pasivo!E:E,"No Pagado",Pasivo!C:C, "01 ene",Pasivo!F:F, "&gt;"&amp;EOMONTH(DATE(2025,1,1),0))
</f>
        <v>0</v>
      </c>
    </row>
    <row r="16">
      <c r="A16" s="385" t="s">
        <v>192</v>
      </c>
      <c r="B16" s="384" t="s">
        <v>123</v>
      </c>
      <c r="C16" s="43">
        <v>2025.0</v>
      </c>
      <c r="D16" s="102">
        <f>SUMIFS(Pasivo!N:N,Pasivo!B:B,A16 ,Pasivo!E:E,"No Pagado",Pasivo!C:C, "01 ene",Pasivo!F:F,"")
+SUMIFS(Pasivo!N:N,Pasivo!B:B,A16 ,Pasivo!E:E,"No Pagado",Pasivo!C:C, "01 ene",Pasivo!F:F, "&gt;"&amp;EOMONTH(DATE(2025,1,1),0))
</f>
        <v>0</v>
      </c>
    </row>
    <row r="17">
      <c r="A17" s="385" t="s">
        <v>195</v>
      </c>
      <c r="B17" s="384" t="s">
        <v>123</v>
      </c>
      <c r="C17" s="43">
        <v>2025.0</v>
      </c>
      <c r="D17" s="102">
        <f>SUMIFS(Pasivo!N:N,Pasivo!B:B,A17 ,Pasivo!E:E,"No Pagado",Pasivo!C:C, "01 ene",Pasivo!F:F,"")
+SUMIFS(Pasivo!N:N,Pasivo!B:B,A17 ,Pasivo!E:E,"No Pagado",Pasivo!C:C, "01 ene",Pasivo!F:F, "&gt;"&amp;EOMONTH(DATE(2025,1,1),0))
</f>
        <v>0</v>
      </c>
    </row>
    <row r="18">
      <c r="A18" s="385" t="s">
        <v>198</v>
      </c>
      <c r="B18" s="384" t="s">
        <v>123</v>
      </c>
      <c r="C18" s="43">
        <v>2025.0</v>
      </c>
      <c r="D18" s="102">
        <f>SUMIFS(Pasivo!N:N,Pasivo!B:B,A18 ,Pasivo!E:E,"No Pagado",Pasivo!C:C, "01 ene",Pasivo!F:F,"")
+SUMIFS(Pasivo!N:N,Pasivo!B:B,A18 ,Pasivo!E:E,"No Pagado",Pasivo!C:C, "01 ene",Pasivo!F:F, "&gt;"&amp;EOMONTH(DATE(2025,1,1),0))
</f>
        <v>0</v>
      </c>
    </row>
    <row r="19">
      <c r="A19" s="386" t="s">
        <v>201</v>
      </c>
      <c r="B19" s="384" t="s">
        <v>123</v>
      </c>
      <c r="C19" s="43">
        <v>2025.0</v>
      </c>
      <c r="D19" s="102">
        <f>SUMIFS(Pasivo!N:N,Pasivo!B:B,A19 ,Pasivo!E:E,"No Pagado",Pasivo!C:C, "01 ene",Pasivo!F:F,"")
+SUMIFS(Pasivo!N:N,Pasivo!B:B,A19 ,Pasivo!E:E,"No Pagado",Pasivo!C:C, "01 ene",Pasivo!F:F, "&gt;"&amp;EOMONTH(DATE(2025,1,1),0))
</f>
        <v>0</v>
      </c>
    </row>
    <row r="20">
      <c r="A20" s="387" t="s">
        <v>121</v>
      </c>
      <c r="B20" s="388" t="s">
        <v>129</v>
      </c>
      <c r="C20" s="43">
        <v>2025.0</v>
      </c>
      <c r="D20" s="102">
        <f>SUMIFS(Pasivo!N:N,Pasivo!B:B,A20 ,Pasivo!E:E,"No Pagado",Pasivo!C:C, "01 ene",Pasivo!F:F,"")
+SUMIFS(Pasivo!N:N,Pasivo!B:B,A20 ,Pasivo!E:E,"No Pagado",Pasivo!C:C, "01 ene",Pasivo!F:F, "&gt;"&amp;EOMONTH(DATE(2025,2,1),0))
+ SUMIFS(Pasivo!N:N,Pasivo!B:B,A20 ,Pasivo!E:E,"No Pagado",Pasivo!C:C, "02 feb",Pasivo!F:F,"")
+SUMIFS(Pasivo!N:N,Pasivo!B:B,A20 ,Pasivo!E:E,"No Pagado",Pasivo!C:C, "02 feb",Pasivo!F:F, "&gt;"&amp;EOMONTH(DATE(2025,2,1),0))
</f>
        <v>0</v>
      </c>
    </row>
    <row r="21">
      <c r="A21" s="387" t="s">
        <v>128</v>
      </c>
      <c r="B21" s="388" t="s">
        <v>129</v>
      </c>
      <c r="C21" s="43">
        <v>2025.0</v>
      </c>
      <c r="D21" s="102">
        <f>SUMIFS(Pasivo!N:N,Pasivo!B:B,A21 ,Pasivo!E:E,"No Pagado",Pasivo!C:C, "01 ene",Pasivo!F:F,"")
+SUMIFS(Pasivo!N:N,Pasivo!B:B,A21 ,Pasivo!E:E,"No Pagado",Pasivo!C:C, "01 ene",Pasivo!F:F, "&gt;"&amp;EOMONTH(DATE(2025,2,1),0))
+ SUMIFS(Pasivo!N:N,Pasivo!B:B,A21 ,Pasivo!E:E,"No Pagado",Pasivo!C:C, "02 feb",Pasivo!F:F,"")
+SUMIFS(Pasivo!N:N,Pasivo!B:B,A21 ,Pasivo!E:E,"No Pagado",Pasivo!C:C, "02 feb",Pasivo!F:F, "&gt;"&amp;EOMONTH(DATE(2025,2,1),0))
</f>
        <v>0</v>
      </c>
    </row>
    <row r="22">
      <c r="A22" s="387" t="s">
        <v>134</v>
      </c>
      <c r="B22" s="388" t="s">
        <v>129</v>
      </c>
      <c r="C22" s="43">
        <v>2025.0</v>
      </c>
      <c r="D22" s="102">
        <f>SUMIFS(Pasivo!N:N,Pasivo!B:B,A22 ,Pasivo!E:E,"No Pagado",Pasivo!C:C, "01 ene",Pasivo!F:F,"")
+SUMIFS(Pasivo!N:N,Pasivo!B:B,A22 ,Pasivo!E:E,"No Pagado",Pasivo!C:C, "01 ene",Pasivo!F:F, "&gt;"&amp;EOMONTH(DATE(2025,2,1),0))
+ SUMIFS(Pasivo!N:N,Pasivo!B:B,A22 ,Pasivo!E:E,"No Pagado",Pasivo!C:C, "02 feb",Pasivo!F:F,"")
+SUMIFS(Pasivo!N:N,Pasivo!B:B,A22 ,Pasivo!E:E,"No Pagado",Pasivo!C:C, "02 feb",Pasivo!F:F, "&gt;"&amp;EOMONTH(DATE(2025,2,1),0))
</f>
        <v>0</v>
      </c>
    </row>
    <row r="23">
      <c r="A23" s="389" t="s">
        <v>140</v>
      </c>
      <c r="B23" s="388" t="s">
        <v>129</v>
      </c>
      <c r="C23" s="43">
        <v>2025.0</v>
      </c>
      <c r="D23" s="102">
        <f>SUMIFS(Pasivo!N:N,Pasivo!B:B,A23 ,Pasivo!E:E,"No Pagado",Pasivo!C:C, "01 ene",Pasivo!F:F,"")
+SUMIFS(Pasivo!N:N,Pasivo!B:B,A23 ,Pasivo!E:E,"No Pagado",Pasivo!C:C, "01 ene",Pasivo!F:F, "&gt;"&amp;EOMONTH(DATE(2025,2,1),0))
+ SUMIFS(Pasivo!N:N,Pasivo!B:B,A23 ,Pasivo!E:E,"No Pagado",Pasivo!C:C, "02 feb",Pasivo!F:F,"")
+SUMIFS(Pasivo!N:N,Pasivo!B:B,A23 ,Pasivo!E:E,"No Pagado",Pasivo!C:C, "02 feb",Pasivo!F:F, "&gt;"&amp;EOMONTH(DATE(2025,2,1),0))
</f>
        <v>0</v>
      </c>
    </row>
    <row r="24">
      <c r="A24" s="387" t="s">
        <v>147</v>
      </c>
      <c r="B24" s="388" t="s">
        <v>129</v>
      </c>
      <c r="C24" s="43">
        <v>2025.0</v>
      </c>
      <c r="D24" s="102">
        <f>SUMIFS(Pasivo!N:N,Pasivo!B:B,A24 ,Pasivo!E:E,"No Pagado",Pasivo!C:C, "01 ene",Pasivo!F:F,"")
+SUMIFS(Pasivo!N:N,Pasivo!B:B,A24 ,Pasivo!E:E,"No Pagado",Pasivo!C:C, "01 ene",Pasivo!F:F, "&gt;"&amp;EOMONTH(DATE(2025,2,1),0))
+ SUMIFS(Pasivo!N:N,Pasivo!B:B,A24 ,Pasivo!E:E,"No Pagado",Pasivo!C:C, "02 feb",Pasivo!F:F,"")
+SUMIFS(Pasivo!N:N,Pasivo!B:B,A24 ,Pasivo!E:E,"No Pagado",Pasivo!C:C, "02 feb",Pasivo!F:F, "&gt;"&amp;EOMONTH(DATE(2025,2,1),0))
</f>
        <v>0</v>
      </c>
    </row>
    <row r="25">
      <c r="A25" s="387" t="s">
        <v>153</v>
      </c>
      <c r="B25" s="388" t="s">
        <v>129</v>
      </c>
      <c r="C25" s="43">
        <v>2025.0</v>
      </c>
      <c r="D25" s="102">
        <f>SUMIFS(Pasivo!N:N,Pasivo!B:B,A25 ,Pasivo!E:E,"No Pagado",Pasivo!C:C, "01 ene",Pasivo!F:F,"")
+SUMIFS(Pasivo!N:N,Pasivo!B:B,A25 ,Pasivo!E:E,"No Pagado",Pasivo!C:C, "01 ene",Pasivo!F:F, "&gt;"&amp;EOMONTH(DATE(2025,2,1),0))
+ SUMIFS(Pasivo!N:N,Pasivo!B:B,A25 ,Pasivo!E:E,"No Pagado",Pasivo!C:C, "02 feb",Pasivo!F:F,"")
+SUMIFS(Pasivo!N:N,Pasivo!B:B,A25 ,Pasivo!E:E,"No Pagado",Pasivo!C:C, "02 feb",Pasivo!F:F, "&gt;"&amp;EOMONTH(DATE(2025,2,1),0))
</f>
        <v>0</v>
      </c>
    </row>
    <row r="26">
      <c r="A26" s="387" t="s">
        <v>159</v>
      </c>
      <c r="B26" s="388" t="s">
        <v>129</v>
      </c>
      <c r="C26" s="43">
        <v>2025.0</v>
      </c>
      <c r="D26" s="102">
        <f>SUMIFS(Pasivo!N:N,Pasivo!B:B,A26 ,Pasivo!E:E,"No Pagado",Pasivo!C:C, "01 ene",Pasivo!F:F,"")
+SUMIFS(Pasivo!N:N,Pasivo!B:B,A26 ,Pasivo!E:E,"No Pagado",Pasivo!C:C, "01 ene",Pasivo!F:F, "&gt;"&amp;EOMONTH(DATE(2025,2,1),0))
+ SUMIFS(Pasivo!N:N,Pasivo!B:B,A26 ,Pasivo!E:E,"No Pagado",Pasivo!C:C, "02 feb",Pasivo!F:F,"")
+SUMIFS(Pasivo!N:N,Pasivo!B:B,A26 ,Pasivo!E:E,"No Pagado",Pasivo!C:C, "02 feb",Pasivo!F:F, "&gt;"&amp;EOMONTH(DATE(2025,2,1),0))
</f>
        <v>0</v>
      </c>
    </row>
    <row r="27">
      <c r="A27" s="387" t="s">
        <v>164</v>
      </c>
      <c r="B27" s="388" t="s">
        <v>129</v>
      </c>
      <c r="C27" s="43">
        <v>2025.0</v>
      </c>
      <c r="D27" s="102">
        <f>SUMIFS(Pasivo!N:N,Pasivo!B:B,A27 ,Pasivo!E:E,"No Pagado",Pasivo!C:C, "01 ene",Pasivo!F:F,"")
+SUMIFS(Pasivo!N:N,Pasivo!B:B,A27 ,Pasivo!E:E,"No Pagado",Pasivo!C:C, "01 ene",Pasivo!F:F, "&gt;"&amp;EOMONTH(DATE(2025,2,1),0))
+ SUMIFS(Pasivo!N:N,Pasivo!B:B,A27 ,Pasivo!E:E,"No Pagado",Pasivo!C:C, "02 feb",Pasivo!F:F,"")
+SUMIFS(Pasivo!N:N,Pasivo!B:B,A27 ,Pasivo!E:E,"No Pagado",Pasivo!C:C, "02 feb",Pasivo!F:F, "&gt;"&amp;EOMONTH(DATE(2025,2,1),0))
</f>
        <v>0</v>
      </c>
    </row>
    <row r="28">
      <c r="A28" s="387" t="s">
        <v>170</v>
      </c>
      <c r="B28" s="388" t="s">
        <v>129</v>
      </c>
      <c r="C28" s="43">
        <v>2025.0</v>
      </c>
      <c r="D28" s="102">
        <f>SUMIFS(Pasivo!N:N,Pasivo!B:B,A28 ,Pasivo!E:E,"No Pagado",Pasivo!C:C, "01 ene",Pasivo!F:F,"")
+SUMIFS(Pasivo!N:N,Pasivo!B:B,A28 ,Pasivo!E:E,"No Pagado",Pasivo!C:C, "01 ene",Pasivo!F:F, "&gt;"&amp;EOMONTH(DATE(2025,2,1),0))
+ SUMIFS(Pasivo!N:N,Pasivo!B:B,A28 ,Pasivo!E:E,"No Pagado",Pasivo!C:C, "02 feb",Pasivo!F:F,"")
+SUMIFS(Pasivo!N:N,Pasivo!B:B,A28 ,Pasivo!E:E,"No Pagado",Pasivo!C:C, "02 feb",Pasivo!F:F, "&gt;"&amp;EOMONTH(DATE(2025,2,1),0))
</f>
        <v>0</v>
      </c>
    </row>
    <row r="29">
      <c r="A29" s="387" t="s">
        <v>174</v>
      </c>
      <c r="B29" s="388" t="s">
        <v>129</v>
      </c>
      <c r="C29" s="43">
        <v>2025.0</v>
      </c>
      <c r="D29" s="102">
        <f>SUMIFS(Pasivo!N:N,Pasivo!B:B,A29 ,Pasivo!E:E,"No Pagado",Pasivo!C:C, "01 ene",Pasivo!F:F,"")
+SUMIFS(Pasivo!N:N,Pasivo!B:B,A29 ,Pasivo!E:E,"No Pagado",Pasivo!C:C, "01 ene",Pasivo!F:F, "&gt;"&amp;EOMONTH(DATE(2025,2,1),0))
+ SUMIFS(Pasivo!N:N,Pasivo!B:B,A29 ,Pasivo!E:E,"No Pagado",Pasivo!C:C, "02 feb",Pasivo!F:F,"")
+SUMIFS(Pasivo!N:N,Pasivo!B:B,A29 ,Pasivo!E:E,"No Pagado",Pasivo!C:C, "02 feb",Pasivo!F:F, "&gt;"&amp;EOMONTH(DATE(2025,2,1),0))
</f>
        <v>0</v>
      </c>
    </row>
    <row r="30">
      <c r="A30" s="387" t="s">
        <v>178</v>
      </c>
      <c r="B30" s="388" t="s">
        <v>129</v>
      </c>
      <c r="C30" s="43">
        <v>2025.0</v>
      </c>
      <c r="D30" s="102">
        <f>SUMIFS(Pasivo!N:N,Pasivo!B:B,A30 ,Pasivo!E:E,"No Pagado",Pasivo!C:C, "01 ene",Pasivo!F:F,"")
+SUMIFS(Pasivo!N:N,Pasivo!B:B,A30 ,Pasivo!E:E,"No Pagado",Pasivo!C:C, "01 ene",Pasivo!F:F, "&gt;"&amp;EOMONTH(DATE(2025,2,1),0))
+ SUMIFS(Pasivo!N:N,Pasivo!B:B,A30 ,Pasivo!E:E,"No Pagado",Pasivo!C:C, "02 feb",Pasivo!F:F,"")
+SUMIFS(Pasivo!N:N,Pasivo!B:B,A30 ,Pasivo!E:E,"No Pagado",Pasivo!C:C, "02 feb",Pasivo!F:F, "&gt;"&amp;EOMONTH(DATE(2025,2,1),0))
</f>
        <v>0</v>
      </c>
    </row>
    <row r="31">
      <c r="A31" s="387" t="s">
        <v>139</v>
      </c>
      <c r="B31" s="388" t="s">
        <v>129</v>
      </c>
      <c r="C31" s="43">
        <v>2025.0</v>
      </c>
      <c r="D31" s="102">
        <f>SUMIFS(Pasivo!N:N,Pasivo!B:B,A31 ,Pasivo!E:E,"No Pagado",Pasivo!C:C, "01 ene",Pasivo!F:F,"")
+SUMIFS(Pasivo!N:N,Pasivo!B:B,A31 ,Pasivo!E:E,"No Pagado",Pasivo!C:C, "01 ene",Pasivo!F:F, "&gt;"&amp;EOMONTH(DATE(2025,2,1),0))
+ SUMIFS(Pasivo!N:N,Pasivo!B:B,A31 ,Pasivo!E:E,"No Pagado",Pasivo!C:C, "02 feb",Pasivo!F:F,"")
+SUMIFS(Pasivo!N:N,Pasivo!B:B,A31 ,Pasivo!E:E,"No Pagado",Pasivo!C:C, "02 feb",Pasivo!F:F, "&gt;"&amp;EOMONTH(DATE(2025,2,1),0))
</f>
        <v>0</v>
      </c>
    </row>
    <row r="32">
      <c r="A32" s="389" t="s">
        <v>185</v>
      </c>
      <c r="B32" s="388" t="s">
        <v>129</v>
      </c>
      <c r="C32" s="43">
        <v>2025.0</v>
      </c>
      <c r="D32" s="102">
        <f>SUMIFS(Pasivo!N:N,Pasivo!B:B,A32 ,Pasivo!E:E,"No Pagado",Pasivo!C:C, "01 ene",Pasivo!F:F,"")
+SUMIFS(Pasivo!N:N,Pasivo!B:B,A32 ,Pasivo!E:E,"No Pagado",Pasivo!C:C, "01 ene",Pasivo!F:F, "&gt;"&amp;EOMONTH(DATE(2025,2,1),0))
+ SUMIFS(Pasivo!N:N,Pasivo!B:B,A32 ,Pasivo!E:E,"No Pagado",Pasivo!C:C, "02 feb",Pasivo!F:F,"")
+SUMIFS(Pasivo!N:N,Pasivo!B:B,A32 ,Pasivo!E:E,"No Pagado",Pasivo!C:C, "02 feb",Pasivo!F:F, "&gt;"&amp;EOMONTH(DATE(2025,2,1),0))
</f>
        <v>0</v>
      </c>
    </row>
    <row r="33">
      <c r="A33" s="389" t="s">
        <v>188</v>
      </c>
      <c r="B33" s="388" t="s">
        <v>129</v>
      </c>
      <c r="C33" s="43">
        <v>2025.0</v>
      </c>
      <c r="D33" s="102">
        <f>SUMIFS(Pasivo!N:N,Pasivo!B:B,A33 ,Pasivo!E:E,"No Pagado",Pasivo!C:C, "01 ene",Pasivo!F:F,"")
+SUMIFS(Pasivo!N:N,Pasivo!B:B,A33 ,Pasivo!E:E,"No Pagado",Pasivo!C:C, "01 ene",Pasivo!F:F, "&gt;"&amp;EOMONTH(DATE(2025,2,1),0))
+ SUMIFS(Pasivo!N:N,Pasivo!B:B,A33 ,Pasivo!E:E,"No Pagado",Pasivo!C:C, "02 feb",Pasivo!F:F,"")
+SUMIFS(Pasivo!N:N,Pasivo!B:B,A33 ,Pasivo!E:E,"No Pagado",Pasivo!C:C, "02 feb",Pasivo!F:F, "&gt;"&amp;EOMONTH(DATE(2025,2,1),0))
</f>
        <v>0</v>
      </c>
    </row>
    <row r="34">
      <c r="A34" s="389" t="s">
        <v>192</v>
      </c>
      <c r="B34" s="388" t="s">
        <v>129</v>
      </c>
      <c r="C34" s="43">
        <v>2025.0</v>
      </c>
      <c r="D34" s="102">
        <f>SUMIFS(Pasivo!N:N,Pasivo!B:B,A34 ,Pasivo!E:E,"No Pagado",Pasivo!C:C, "01 ene",Pasivo!F:F,"")
+SUMIFS(Pasivo!N:N,Pasivo!B:B,A34 ,Pasivo!E:E,"No Pagado",Pasivo!C:C, "01 ene",Pasivo!F:F, "&gt;"&amp;EOMONTH(DATE(2025,2,1),0))
+ SUMIFS(Pasivo!N:N,Pasivo!B:B,A34 ,Pasivo!E:E,"No Pagado",Pasivo!C:C, "02 feb",Pasivo!F:F,"")
+SUMIFS(Pasivo!N:N,Pasivo!B:B,A34 ,Pasivo!E:E,"No Pagado",Pasivo!C:C, "02 feb",Pasivo!F:F, "&gt;"&amp;EOMONTH(DATE(2025,2,1),0))
</f>
        <v>0</v>
      </c>
    </row>
    <row r="35">
      <c r="A35" s="389" t="s">
        <v>195</v>
      </c>
      <c r="B35" s="388" t="s">
        <v>129</v>
      </c>
      <c r="C35" s="43">
        <v>2025.0</v>
      </c>
      <c r="D35" s="102">
        <f>SUMIFS(Pasivo!N:N,Pasivo!B:B,A35 ,Pasivo!E:E,"No Pagado",Pasivo!C:C, "01 ene",Pasivo!F:F,"")
+SUMIFS(Pasivo!N:N,Pasivo!B:B,A35 ,Pasivo!E:E,"No Pagado",Pasivo!C:C, "01 ene",Pasivo!F:F, "&gt;"&amp;EOMONTH(DATE(2025,2,1),0))
+ SUMIFS(Pasivo!N:N,Pasivo!B:B,A35 ,Pasivo!E:E,"No Pagado",Pasivo!C:C, "02 feb",Pasivo!F:F,"")
+SUMIFS(Pasivo!N:N,Pasivo!B:B,A35 ,Pasivo!E:E,"No Pagado",Pasivo!C:C, "02 feb",Pasivo!F:F, "&gt;"&amp;EOMONTH(DATE(2025,2,1),0))
</f>
        <v>0</v>
      </c>
    </row>
    <row r="36">
      <c r="A36" s="389" t="s">
        <v>198</v>
      </c>
      <c r="B36" s="388" t="s">
        <v>129</v>
      </c>
      <c r="C36" s="43">
        <v>2025.0</v>
      </c>
      <c r="D36" s="102">
        <f>SUMIFS(Pasivo!N:N,Pasivo!B:B,A36 ,Pasivo!E:E,"No Pagado",Pasivo!C:C, "01 ene",Pasivo!F:F,"")
+SUMIFS(Pasivo!N:N,Pasivo!B:B,A36 ,Pasivo!E:E,"No Pagado",Pasivo!C:C, "01 ene",Pasivo!F:F, "&gt;"&amp;EOMONTH(DATE(2025,2,1),0))
+ SUMIFS(Pasivo!N:N,Pasivo!B:B,A36 ,Pasivo!E:E,"No Pagado",Pasivo!C:C, "02 feb",Pasivo!F:F,"")
+SUMIFS(Pasivo!N:N,Pasivo!B:B,A36 ,Pasivo!E:E,"No Pagado",Pasivo!C:C, "02 feb",Pasivo!F:F, "&gt;"&amp;EOMONTH(DATE(2025,2,1),0))
</f>
        <v>0</v>
      </c>
    </row>
    <row r="37">
      <c r="A37" s="390" t="s">
        <v>201</v>
      </c>
      <c r="B37" s="388" t="s">
        <v>129</v>
      </c>
      <c r="C37" s="43">
        <v>2025.0</v>
      </c>
      <c r="D37" s="102">
        <f>SUMIFS(Pasivo!N:N,Pasivo!B:B,A37 ,Pasivo!E:E,"No Pagado",Pasivo!C:C, "01 ene",Pasivo!F:F,"")
+SUMIFS(Pasivo!N:N,Pasivo!B:B,A37 ,Pasivo!E:E,"No Pagado",Pasivo!C:C, "01 ene",Pasivo!F:F, "&gt;"&amp;EOMONTH(DATE(2025,2,1),0))
+ SUMIFS(Pasivo!N:N,Pasivo!B:B,A37 ,Pasivo!E:E,"No Pagado",Pasivo!C:C, "02 feb",Pasivo!F:F,"")
+SUMIFS(Pasivo!N:N,Pasivo!B:B,A37 ,Pasivo!E:E,"No Pagado",Pasivo!C:C, "02 feb",Pasivo!F:F, "&gt;"&amp;EOMONTH(DATE(2025,2,1),0))
</f>
        <v>0</v>
      </c>
    </row>
    <row r="38">
      <c r="A38" s="391" t="s">
        <v>121</v>
      </c>
      <c r="B38" s="392" t="s">
        <v>136</v>
      </c>
      <c r="C38" s="43">
        <v>2025.0</v>
      </c>
      <c r="D38" s="102">
        <f>SUMIFS(Pasivo!N:N,Pasivo!B:B,A38 ,Pasivo!E:E,"No Pagado",Pasivo!C:C, "01 ene",Pasivo!F:F,"")
+SUMIFS(Pasivo!N:N,Pasivo!B:B,A38 ,Pasivo!E:E,"No Pagado",Pasivo!C:C, "01 ene",Pasivo!F:F, "&gt;"&amp;EOMONTH(DATE(2025,3,1),0))
+ SUMIFS(Pasivo!N:N,Pasivo!B:B,A38 ,Pasivo!E:E,"No Pagado",Pasivo!C:C, "02 feb",Pasivo!F:F,"")
+SUMIFS(Pasivo!N:N,Pasivo!B:B,A38 ,Pasivo!E:E,"No Pagado",Pasivo!C:C, "02 feb",Pasivo!F:F, "&gt;"&amp;EOMONTH(DATE(2025,3,1),0))
+ SUMIFS(Pasivo!N:N,Pasivo!B:B,A38 ,Pasivo!E:E,"No Pagado",Pasivo!C:C, "03 mar",Pasivo!F:F,"")
+SUMIFS(Pasivo!N:N,Pasivo!B:B,A38 ,Pasivo!E:E,"No Pagado",Pasivo!C:C, "03 mar",Pasivo!F:F, "&gt;"&amp;EOMONTH(DATE(2025,3,1),0))</f>
        <v>0</v>
      </c>
    </row>
    <row r="39">
      <c r="A39" s="391" t="s">
        <v>128</v>
      </c>
      <c r="B39" s="392" t="s">
        <v>136</v>
      </c>
      <c r="C39" s="43">
        <v>2025.0</v>
      </c>
      <c r="D39" s="102">
        <f>SUMIFS(Pasivo!N:N,Pasivo!B:B,A39 ,Pasivo!E:E,"No Pagado",Pasivo!C:C, "01 ene",Pasivo!F:F,"")
+SUMIFS(Pasivo!N:N,Pasivo!B:B,A39 ,Pasivo!E:E,"No Pagado",Pasivo!C:C, "01 ene",Pasivo!F:F, "&gt;"&amp;EOMONTH(DATE(2025,3,1),0))
+ SUMIFS(Pasivo!N:N,Pasivo!B:B,A39 ,Pasivo!E:E,"No Pagado",Pasivo!C:C, "02 feb",Pasivo!F:F,"")
+SUMIFS(Pasivo!N:N,Pasivo!B:B,A39 ,Pasivo!E:E,"No Pagado",Pasivo!C:C, "02 feb",Pasivo!F:F, "&gt;"&amp;EOMONTH(DATE(2025,3,1),0))
+ SUMIFS(Pasivo!N:N,Pasivo!B:B,A39 ,Pasivo!E:E,"No Pagado",Pasivo!C:C, "03 mar",Pasivo!F:F,"")
+SUMIFS(Pasivo!N:N,Pasivo!B:B,A39 ,Pasivo!E:E,"No Pagado",Pasivo!C:C, "03 mar",Pasivo!F:F, "&gt;"&amp;EOMONTH(DATE(2025,3,1),0))</f>
        <v>0</v>
      </c>
    </row>
    <row r="40">
      <c r="A40" s="391" t="s">
        <v>134</v>
      </c>
      <c r="B40" s="392" t="s">
        <v>136</v>
      </c>
      <c r="C40" s="43">
        <v>2025.0</v>
      </c>
      <c r="D40" s="102">
        <f>SUMIFS(Pasivo!N:N,Pasivo!B:B,A40 ,Pasivo!E:E,"No Pagado",Pasivo!C:C, "01 ene",Pasivo!F:F,"")
+SUMIFS(Pasivo!N:N,Pasivo!B:B,A40 ,Pasivo!E:E,"No Pagado",Pasivo!C:C, "01 ene",Pasivo!F:F, "&gt;"&amp;EOMONTH(DATE(2025,3,1),0))
+ SUMIFS(Pasivo!N:N,Pasivo!B:B,A40 ,Pasivo!E:E,"No Pagado",Pasivo!C:C, "02 feb",Pasivo!F:F,"")
+SUMIFS(Pasivo!N:N,Pasivo!B:B,A40 ,Pasivo!E:E,"No Pagado",Pasivo!C:C, "02 feb",Pasivo!F:F, "&gt;"&amp;EOMONTH(DATE(2025,3,1),0))
+ SUMIFS(Pasivo!N:N,Pasivo!B:B,A40 ,Pasivo!E:E,"No Pagado",Pasivo!C:C, "03 mar",Pasivo!F:F,"")
+SUMIFS(Pasivo!N:N,Pasivo!B:B,A40 ,Pasivo!E:E,"No Pagado",Pasivo!C:C, "03 mar",Pasivo!F:F, "&gt;"&amp;EOMONTH(DATE(2025,3,1),0))</f>
        <v>0</v>
      </c>
    </row>
    <row r="41">
      <c r="A41" s="393" t="s">
        <v>140</v>
      </c>
      <c r="B41" s="392" t="s">
        <v>136</v>
      </c>
      <c r="C41" s="43">
        <v>2025.0</v>
      </c>
      <c r="D41" s="102">
        <f>SUMIFS(Pasivo!N:N,Pasivo!B:B,A41 ,Pasivo!E:E,"No Pagado",Pasivo!C:C, "01 ene",Pasivo!F:F,"")
+SUMIFS(Pasivo!N:N,Pasivo!B:B,A41 ,Pasivo!E:E,"No Pagado",Pasivo!C:C, "01 ene",Pasivo!F:F, "&gt;"&amp;EOMONTH(DATE(2025,3,1),0))
+ SUMIFS(Pasivo!N:N,Pasivo!B:B,A41 ,Pasivo!E:E,"No Pagado",Pasivo!C:C, "02 feb",Pasivo!F:F,"")
+SUMIFS(Pasivo!N:N,Pasivo!B:B,A41 ,Pasivo!E:E,"No Pagado",Pasivo!C:C, "02 feb",Pasivo!F:F, "&gt;"&amp;EOMONTH(DATE(2025,3,1),0))
+ SUMIFS(Pasivo!N:N,Pasivo!B:B,A41 ,Pasivo!E:E,"No Pagado",Pasivo!C:C, "03 mar",Pasivo!F:F,"")
+SUMIFS(Pasivo!N:N,Pasivo!B:B,A41 ,Pasivo!E:E,"No Pagado",Pasivo!C:C, "03 mar",Pasivo!F:F, "&gt;"&amp;EOMONTH(DATE(2025,3,1),0))</f>
        <v>0</v>
      </c>
    </row>
    <row r="42">
      <c r="A42" s="391" t="s">
        <v>147</v>
      </c>
      <c r="B42" s="392" t="s">
        <v>136</v>
      </c>
      <c r="C42" s="43">
        <v>2025.0</v>
      </c>
      <c r="D42" s="102">
        <f>SUMIFS(Pasivo!N:N,Pasivo!B:B,A42 ,Pasivo!E:E,"No Pagado",Pasivo!C:C, "01 ene",Pasivo!F:F,"")
+SUMIFS(Pasivo!N:N,Pasivo!B:B,A42 ,Pasivo!E:E,"No Pagado",Pasivo!C:C, "01 ene",Pasivo!F:F, "&gt;"&amp;EOMONTH(DATE(2025,3,1),0))
+ SUMIFS(Pasivo!N:N,Pasivo!B:B,A42 ,Pasivo!E:E,"No Pagado",Pasivo!C:C, "02 feb",Pasivo!F:F,"")
+SUMIFS(Pasivo!N:N,Pasivo!B:B,A42 ,Pasivo!E:E,"No Pagado",Pasivo!C:C, "02 feb",Pasivo!F:F, "&gt;"&amp;EOMONTH(DATE(2025,3,1),0))
+ SUMIFS(Pasivo!N:N,Pasivo!B:B,A42 ,Pasivo!E:E,"No Pagado",Pasivo!C:C, "03 mar",Pasivo!F:F,"")
+SUMIFS(Pasivo!N:N,Pasivo!B:B,A42 ,Pasivo!E:E,"No Pagado",Pasivo!C:C, "03 mar",Pasivo!F:F, "&gt;"&amp;EOMONTH(DATE(2025,3,1),0))</f>
        <v>0</v>
      </c>
    </row>
    <row r="43">
      <c r="A43" s="391" t="s">
        <v>153</v>
      </c>
      <c r="B43" s="392" t="s">
        <v>136</v>
      </c>
      <c r="C43" s="43">
        <v>2025.0</v>
      </c>
      <c r="D43" s="102">
        <f>SUMIFS(Pasivo!N:N,Pasivo!B:B,A43 ,Pasivo!E:E,"No Pagado",Pasivo!C:C, "01 ene",Pasivo!F:F,"")
+SUMIFS(Pasivo!N:N,Pasivo!B:B,A43 ,Pasivo!E:E,"No Pagado",Pasivo!C:C, "01 ene",Pasivo!F:F, "&gt;"&amp;EOMONTH(DATE(2025,3,1),0))
+ SUMIFS(Pasivo!N:N,Pasivo!B:B,A43 ,Pasivo!E:E,"No Pagado",Pasivo!C:C, "02 feb",Pasivo!F:F,"")
+SUMIFS(Pasivo!N:N,Pasivo!B:B,A43 ,Pasivo!E:E,"No Pagado",Pasivo!C:C, "02 feb",Pasivo!F:F, "&gt;"&amp;EOMONTH(DATE(2025,3,1),0))
+ SUMIFS(Pasivo!N:N,Pasivo!B:B,A43 ,Pasivo!E:E,"No Pagado",Pasivo!C:C, "03 mar",Pasivo!F:F,"")
+SUMIFS(Pasivo!N:N,Pasivo!B:B,A43 ,Pasivo!E:E,"No Pagado",Pasivo!C:C, "03 mar",Pasivo!F:F, "&gt;"&amp;EOMONTH(DATE(2025,3,1),0))</f>
        <v>0</v>
      </c>
    </row>
    <row r="44">
      <c r="A44" s="391" t="s">
        <v>159</v>
      </c>
      <c r="B44" s="392" t="s">
        <v>136</v>
      </c>
      <c r="C44" s="43">
        <v>2025.0</v>
      </c>
      <c r="D44" s="102">
        <f>SUMIFS(Pasivo!N:N,Pasivo!B:B,A44 ,Pasivo!E:E,"No Pagado",Pasivo!C:C, "01 ene",Pasivo!F:F,"")
+SUMIFS(Pasivo!N:N,Pasivo!B:B,A44 ,Pasivo!E:E,"No Pagado",Pasivo!C:C, "01 ene",Pasivo!F:F, "&gt;"&amp;EOMONTH(DATE(2025,3,1),0))
+ SUMIFS(Pasivo!N:N,Pasivo!B:B,A44 ,Pasivo!E:E,"No Pagado",Pasivo!C:C, "02 feb",Pasivo!F:F,"")
+SUMIFS(Pasivo!N:N,Pasivo!B:B,A44 ,Pasivo!E:E,"No Pagado",Pasivo!C:C, "02 feb",Pasivo!F:F, "&gt;"&amp;EOMONTH(DATE(2025,3,1),0))
+ SUMIFS(Pasivo!N:N,Pasivo!B:B,A44 ,Pasivo!E:E,"No Pagado",Pasivo!C:C, "03 mar",Pasivo!F:F,"")
+SUMIFS(Pasivo!N:N,Pasivo!B:B,A44 ,Pasivo!E:E,"No Pagado",Pasivo!C:C, "03 mar",Pasivo!F:F, "&gt;"&amp;EOMONTH(DATE(2025,3,1),0))</f>
        <v>0</v>
      </c>
    </row>
    <row r="45">
      <c r="A45" s="391" t="s">
        <v>164</v>
      </c>
      <c r="B45" s="392" t="s">
        <v>136</v>
      </c>
      <c r="C45" s="43">
        <v>2025.0</v>
      </c>
      <c r="D45" s="102">
        <f>SUMIFS(Pasivo!N:N,Pasivo!B:B,A45 ,Pasivo!E:E,"No Pagado",Pasivo!C:C, "01 ene",Pasivo!F:F,"")
+SUMIFS(Pasivo!N:N,Pasivo!B:B,A45 ,Pasivo!E:E,"No Pagado",Pasivo!C:C, "01 ene",Pasivo!F:F, "&gt;"&amp;EOMONTH(DATE(2025,3,1),0))
+ SUMIFS(Pasivo!N:N,Pasivo!B:B,A45 ,Pasivo!E:E,"No Pagado",Pasivo!C:C, "02 feb",Pasivo!F:F,"")
+SUMIFS(Pasivo!N:N,Pasivo!B:B,A45 ,Pasivo!E:E,"No Pagado",Pasivo!C:C, "02 feb",Pasivo!F:F, "&gt;"&amp;EOMONTH(DATE(2025,3,1),0))
+ SUMIFS(Pasivo!N:N,Pasivo!B:B,A45 ,Pasivo!E:E,"No Pagado",Pasivo!C:C, "03 mar",Pasivo!F:F,"")
+SUMIFS(Pasivo!N:N,Pasivo!B:B,A45 ,Pasivo!E:E,"No Pagado",Pasivo!C:C, "03 mar",Pasivo!F:F, "&gt;"&amp;EOMONTH(DATE(2025,3,1),0))</f>
        <v>0</v>
      </c>
    </row>
    <row r="46">
      <c r="A46" s="391" t="s">
        <v>170</v>
      </c>
      <c r="B46" s="392" t="s">
        <v>136</v>
      </c>
      <c r="C46" s="43">
        <v>2025.0</v>
      </c>
      <c r="D46" s="102">
        <f>SUMIFS(Pasivo!N:N,Pasivo!B:B,A46 ,Pasivo!E:E,"No Pagado",Pasivo!C:C, "01 ene",Pasivo!F:F,"")
+SUMIFS(Pasivo!N:N,Pasivo!B:B,A46 ,Pasivo!E:E,"No Pagado",Pasivo!C:C, "01 ene",Pasivo!F:F, "&gt;"&amp;EOMONTH(DATE(2025,3,1),0))
+ SUMIFS(Pasivo!N:N,Pasivo!B:B,A46 ,Pasivo!E:E,"No Pagado",Pasivo!C:C, "02 feb",Pasivo!F:F,"")
+SUMIFS(Pasivo!N:N,Pasivo!B:B,A46 ,Pasivo!E:E,"No Pagado",Pasivo!C:C, "02 feb",Pasivo!F:F, "&gt;"&amp;EOMONTH(DATE(2025,3,1),0))
+ SUMIFS(Pasivo!N:N,Pasivo!B:B,A46 ,Pasivo!E:E,"No Pagado",Pasivo!C:C, "03 mar",Pasivo!F:F,"")
+SUMIFS(Pasivo!N:N,Pasivo!B:B,A46 ,Pasivo!E:E,"No Pagado",Pasivo!C:C, "03 mar",Pasivo!F:F, "&gt;"&amp;EOMONTH(DATE(2025,3,1),0))</f>
        <v>0</v>
      </c>
    </row>
    <row r="47">
      <c r="A47" s="391" t="s">
        <v>174</v>
      </c>
      <c r="B47" s="392" t="s">
        <v>136</v>
      </c>
      <c r="C47" s="43">
        <v>2025.0</v>
      </c>
      <c r="D47" s="102">
        <f>SUMIFS(Pasivo!N:N,Pasivo!B:B,A47 ,Pasivo!E:E,"No Pagado",Pasivo!C:C, "01 ene",Pasivo!F:F,"")
+SUMIFS(Pasivo!N:N,Pasivo!B:B,A47 ,Pasivo!E:E,"No Pagado",Pasivo!C:C, "01 ene",Pasivo!F:F, "&gt;"&amp;EOMONTH(DATE(2025,3,1),0))
+ SUMIFS(Pasivo!N:N,Pasivo!B:B,A47 ,Pasivo!E:E,"No Pagado",Pasivo!C:C, "02 feb",Pasivo!F:F,"")
+SUMIFS(Pasivo!N:N,Pasivo!B:B,A47 ,Pasivo!E:E,"No Pagado",Pasivo!C:C, "02 feb",Pasivo!F:F, "&gt;"&amp;EOMONTH(DATE(2025,3,1),0))
+ SUMIFS(Pasivo!N:N,Pasivo!B:B,A47 ,Pasivo!E:E,"No Pagado",Pasivo!C:C, "03 mar",Pasivo!F:F,"")
+SUMIFS(Pasivo!N:N,Pasivo!B:B,A47 ,Pasivo!E:E,"No Pagado",Pasivo!C:C, "03 mar",Pasivo!F:F, "&gt;"&amp;EOMONTH(DATE(2025,3,1),0))</f>
        <v>0</v>
      </c>
    </row>
    <row r="48">
      <c r="A48" s="391" t="s">
        <v>178</v>
      </c>
      <c r="B48" s="392" t="s">
        <v>136</v>
      </c>
      <c r="C48" s="43">
        <v>2025.0</v>
      </c>
      <c r="D48" s="102">
        <f>SUMIFS(Pasivo!N:N,Pasivo!B:B,A48 ,Pasivo!E:E,"No Pagado",Pasivo!C:C, "01 ene",Pasivo!F:F,"")
+SUMIFS(Pasivo!N:N,Pasivo!B:B,A48 ,Pasivo!E:E,"No Pagado",Pasivo!C:C, "01 ene",Pasivo!F:F, "&gt;"&amp;EOMONTH(DATE(2025,3,1),0))
+ SUMIFS(Pasivo!N:N,Pasivo!B:B,A48 ,Pasivo!E:E,"No Pagado",Pasivo!C:C, "02 feb",Pasivo!F:F,"")
+SUMIFS(Pasivo!N:N,Pasivo!B:B,A48 ,Pasivo!E:E,"No Pagado",Pasivo!C:C, "02 feb",Pasivo!F:F, "&gt;"&amp;EOMONTH(DATE(2025,3,1),0))
+ SUMIFS(Pasivo!N:N,Pasivo!B:B,A48 ,Pasivo!E:E,"No Pagado",Pasivo!C:C, "03 mar",Pasivo!F:F,"")
+SUMIFS(Pasivo!N:N,Pasivo!B:B,A48 ,Pasivo!E:E,"No Pagado",Pasivo!C:C, "03 mar",Pasivo!F:F, "&gt;"&amp;EOMONTH(DATE(2025,3,1),0))</f>
        <v>0</v>
      </c>
    </row>
    <row r="49">
      <c r="A49" s="391" t="s">
        <v>139</v>
      </c>
      <c r="B49" s="392" t="s">
        <v>136</v>
      </c>
      <c r="C49" s="43">
        <v>2025.0</v>
      </c>
      <c r="D49" s="102">
        <f>SUMIFS(Pasivo!N:N,Pasivo!B:B,A49 ,Pasivo!E:E,"No Pagado",Pasivo!C:C, "01 ene",Pasivo!F:F,"")
+SUMIFS(Pasivo!N:N,Pasivo!B:B,A49 ,Pasivo!E:E,"No Pagado",Pasivo!C:C, "01 ene",Pasivo!F:F, "&gt;"&amp;EOMONTH(DATE(2025,3,1),0))
+ SUMIFS(Pasivo!N:N,Pasivo!B:B,A49 ,Pasivo!E:E,"No Pagado",Pasivo!C:C, "02 feb",Pasivo!F:F,"")
+SUMIFS(Pasivo!N:N,Pasivo!B:B,A49 ,Pasivo!E:E,"No Pagado",Pasivo!C:C, "02 feb",Pasivo!F:F, "&gt;"&amp;EOMONTH(DATE(2025,3,1),0))
+ SUMIFS(Pasivo!N:N,Pasivo!B:B,A49 ,Pasivo!E:E,"No Pagado",Pasivo!C:C, "03 mar",Pasivo!F:F,"")
+SUMIFS(Pasivo!N:N,Pasivo!B:B,A49 ,Pasivo!E:E,"No Pagado",Pasivo!C:C, "03 mar",Pasivo!F:F, "&gt;"&amp;EOMONTH(DATE(2025,3,1),0))</f>
        <v>0</v>
      </c>
    </row>
    <row r="50">
      <c r="A50" s="393" t="s">
        <v>185</v>
      </c>
      <c r="B50" s="392" t="s">
        <v>136</v>
      </c>
      <c r="C50" s="43">
        <v>2025.0</v>
      </c>
      <c r="D50" s="102">
        <f>SUMIFS(Pasivo!N:N,Pasivo!B:B,A50 ,Pasivo!E:E,"No Pagado",Pasivo!C:C, "01 ene",Pasivo!F:F,"")
+SUMIFS(Pasivo!N:N,Pasivo!B:B,A50 ,Pasivo!E:E,"No Pagado",Pasivo!C:C, "01 ene",Pasivo!F:F, "&gt;"&amp;EOMONTH(DATE(2025,3,1),0))
+ SUMIFS(Pasivo!N:N,Pasivo!B:B,A50 ,Pasivo!E:E,"No Pagado",Pasivo!C:C, "02 feb",Pasivo!F:F,"")
+SUMIFS(Pasivo!N:N,Pasivo!B:B,A50 ,Pasivo!E:E,"No Pagado",Pasivo!C:C, "02 feb",Pasivo!F:F, "&gt;"&amp;EOMONTH(DATE(2025,3,1),0))
+ SUMIFS(Pasivo!N:N,Pasivo!B:B,A50 ,Pasivo!E:E,"No Pagado",Pasivo!C:C, "03 mar",Pasivo!F:F,"")
+SUMIFS(Pasivo!N:N,Pasivo!B:B,A50 ,Pasivo!E:E,"No Pagado",Pasivo!C:C, "03 mar",Pasivo!F:F, "&gt;"&amp;EOMONTH(DATE(2025,3,1),0))</f>
        <v>0</v>
      </c>
    </row>
    <row r="51">
      <c r="A51" s="393" t="s">
        <v>188</v>
      </c>
      <c r="B51" s="392" t="s">
        <v>136</v>
      </c>
      <c r="C51" s="43">
        <v>2025.0</v>
      </c>
      <c r="D51" s="102">
        <f>SUMIFS(Pasivo!N:N,Pasivo!B:B,A51 ,Pasivo!E:E,"No Pagado",Pasivo!C:C, "01 ene",Pasivo!F:F,"")
+SUMIFS(Pasivo!N:N,Pasivo!B:B,A51 ,Pasivo!E:E,"No Pagado",Pasivo!C:C, "01 ene",Pasivo!F:F, "&gt;"&amp;EOMONTH(DATE(2025,3,1),0))
+ SUMIFS(Pasivo!N:N,Pasivo!B:B,A51 ,Pasivo!E:E,"No Pagado",Pasivo!C:C, "02 feb",Pasivo!F:F,"")
+SUMIFS(Pasivo!N:N,Pasivo!B:B,A51 ,Pasivo!E:E,"No Pagado",Pasivo!C:C, "02 feb",Pasivo!F:F, "&gt;"&amp;EOMONTH(DATE(2025,3,1),0))
+ SUMIFS(Pasivo!N:N,Pasivo!B:B,A51 ,Pasivo!E:E,"No Pagado",Pasivo!C:C, "03 mar",Pasivo!F:F,"")
+SUMIFS(Pasivo!N:N,Pasivo!B:B,A51 ,Pasivo!E:E,"No Pagado",Pasivo!C:C, "03 mar",Pasivo!F:F, "&gt;"&amp;EOMONTH(DATE(2025,3,1),0))</f>
        <v>0</v>
      </c>
    </row>
    <row r="52">
      <c r="A52" s="393" t="s">
        <v>192</v>
      </c>
      <c r="B52" s="392" t="s">
        <v>136</v>
      </c>
      <c r="C52" s="43">
        <v>2025.0</v>
      </c>
      <c r="D52" s="102">
        <f>SUMIFS(Pasivo!N:N,Pasivo!B:B,A52 ,Pasivo!E:E,"No Pagado",Pasivo!C:C, "01 ene",Pasivo!F:F,"")
+SUMIFS(Pasivo!N:N,Pasivo!B:B,A52 ,Pasivo!E:E,"No Pagado",Pasivo!C:C, "01 ene",Pasivo!F:F, "&gt;"&amp;EOMONTH(DATE(2025,3,1),0))
+ SUMIFS(Pasivo!N:N,Pasivo!B:B,A52 ,Pasivo!E:E,"No Pagado",Pasivo!C:C, "02 feb",Pasivo!F:F,"")
+SUMIFS(Pasivo!N:N,Pasivo!B:B,A52 ,Pasivo!E:E,"No Pagado",Pasivo!C:C, "02 feb",Pasivo!F:F, "&gt;"&amp;EOMONTH(DATE(2025,3,1),0))
+ SUMIFS(Pasivo!N:N,Pasivo!B:B,A52 ,Pasivo!E:E,"No Pagado",Pasivo!C:C, "03 mar",Pasivo!F:F,"")
+SUMIFS(Pasivo!N:N,Pasivo!B:B,A52 ,Pasivo!E:E,"No Pagado",Pasivo!C:C, "03 mar",Pasivo!F:F, "&gt;"&amp;EOMONTH(DATE(2025,3,1),0))</f>
        <v>0</v>
      </c>
    </row>
    <row r="53">
      <c r="A53" s="393" t="s">
        <v>195</v>
      </c>
      <c r="B53" s="392" t="s">
        <v>136</v>
      </c>
      <c r="C53" s="43">
        <v>2025.0</v>
      </c>
      <c r="D53" s="102">
        <f>SUMIFS(Pasivo!N:N,Pasivo!B:B,A53 ,Pasivo!E:E,"No Pagado",Pasivo!C:C, "01 ene",Pasivo!F:F,"")
+SUMIFS(Pasivo!N:N,Pasivo!B:B,A53 ,Pasivo!E:E,"No Pagado",Pasivo!C:C, "01 ene",Pasivo!F:F, "&gt;"&amp;EOMONTH(DATE(2025,3,1),0))
+ SUMIFS(Pasivo!N:N,Pasivo!B:B,A53 ,Pasivo!E:E,"No Pagado",Pasivo!C:C, "02 feb",Pasivo!F:F,"")
+SUMIFS(Pasivo!N:N,Pasivo!B:B,A53 ,Pasivo!E:E,"No Pagado",Pasivo!C:C, "02 feb",Pasivo!F:F, "&gt;"&amp;EOMONTH(DATE(2025,3,1),0))
+ SUMIFS(Pasivo!N:N,Pasivo!B:B,A53 ,Pasivo!E:E,"No Pagado",Pasivo!C:C, "03 mar",Pasivo!F:F,"")
+SUMIFS(Pasivo!N:N,Pasivo!B:B,A53 ,Pasivo!E:E,"No Pagado",Pasivo!C:C, "03 mar",Pasivo!F:F, "&gt;"&amp;EOMONTH(DATE(2025,3,1),0))</f>
        <v>0</v>
      </c>
    </row>
    <row r="54">
      <c r="A54" s="393" t="s">
        <v>198</v>
      </c>
      <c r="B54" s="392" t="s">
        <v>136</v>
      </c>
      <c r="C54" s="43">
        <v>2025.0</v>
      </c>
      <c r="D54" s="102">
        <f>SUMIFS(Pasivo!N:N,Pasivo!B:B,A54 ,Pasivo!E:E,"No Pagado",Pasivo!C:C, "01 ene",Pasivo!F:F,"")
+SUMIFS(Pasivo!N:N,Pasivo!B:B,A54 ,Pasivo!E:E,"No Pagado",Pasivo!C:C, "01 ene",Pasivo!F:F, "&gt;"&amp;EOMONTH(DATE(2025,3,1),0))
+ SUMIFS(Pasivo!N:N,Pasivo!B:B,A54 ,Pasivo!E:E,"No Pagado",Pasivo!C:C, "02 feb",Pasivo!F:F,"")
+SUMIFS(Pasivo!N:N,Pasivo!B:B,A54 ,Pasivo!E:E,"No Pagado",Pasivo!C:C, "02 feb",Pasivo!F:F, "&gt;"&amp;EOMONTH(DATE(2025,3,1),0))
+ SUMIFS(Pasivo!N:N,Pasivo!B:B,A54 ,Pasivo!E:E,"No Pagado",Pasivo!C:C, "03 mar",Pasivo!F:F,"")
+SUMIFS(Pasivo!N:N,Pasivo!B:B,A54 ,Pasivo!E:E,"No Pagado",Pasivo!C:C, "03 mar",Pasivo!F:F, "&gt;"&amp;EOMONTH(DATE(2025,3,1),0))</f>
        <v>0</v>
      </c>
    </row>
    <row r="55">
      <c r="A55" s="394" t="s">
        <v>201</v>
      </c>
      <c r="B55" s="392" t="s">
        <v>136</v>
      </c>
      <c r="C55" s="43">
        <v>2025.0</v>
      </c>
      <c r="D55" s="102">
        <f>SUMIFS(Pasivo!N:N,Pasivo!B:B,A55 ,Pasivo!E:E,"No Pagado",Pasivo!C:C, "01 ene",Pasivo!F:F,"")
+SUMIFS(Pasivo!N:N,Pasivo!B:B,A55 ,Pasivo!E:E,"No Pagado",Pasivo!C:C, "01 ene",Pasivo!F:F, "&gt;"&amp;EOMONTH(DATE(2025,3,1),0))
+ SUMIFS(Pasivo!N:N,Pasivo!B:B,A55 ,Pasivo!E:E,"No Pagado",Pasivo!C:C, "02 feb",Pasivo!F:F,"")
+SUMIFS(Pasivo!N:N,Pasivo!B:B,A55 ,Pasivo!E:E,"No Pagado",Pasivo!C:C, "02 feb",Pasivo!F:F, "&gt;"&amp;EOMONTH(DATE(2025,3,1),0))
+ SUMIFS(Pasivo!N:N,Pasivo!B:B,A55 ,Pasivo!E:E,"No Pagado",Pasivo!C:C, "03 mar",Pasivo!F:F,"")
+SUMIFS(Pasivo!N:N,Pasivo!B:B,A55 ,Pasivo!E:E,"No Pagado",Pasivo!C:C, "03 mar",Pasivo!F:F, "&gt;"&amp;EOMONTH(DATE(2025,3,1),0))</f>
        <v>0</v>
      </c>
    </row>
    <row r="56">
      <c r="A56" s="395" t="s">
        <v>121</v>
      </c>
      <c r="B56" s="396" t="s">
        <v>143</v>
      </c>
      <c r="C56" s="43">
        <v>2025.0</v>
      </c>
      <c r="D56" s="102">
        <f>SUMIFS(Pasivo!N:N,Pasivo!B:B,A56 ,Pasivo!E:E,"No Pagado",Pasivo!C:C, "01 ene",Pasivo!F:F,"")
+SUMIFS(Pasivo!N:N,Pasivo!B:B,A56 ,Pasivo!E:E,"No Pagado",Pasivo!C:C, "01 ene",Pasivo!F:F, "&gt;"&amp;EOMONTH(DATE(2025,4,1),0))
+ SUMIFS(Pasivo!N:N,Pasivo!B:B,A56 ,Pasivo!E:E,"No Pagado",Pasivo!C:C, "02 feb",Pasivo!F:F,"")
+SUMIFS(Pasivo!N:N,Pasivo!B:B,A56 ,Pasivo!E:E,"No Pagado",Pasivo!C:C, "02 feb",Pasivo!F:F, "&gt;"&amp;EOMONTH(DATE(2025,4,1),0))
+ SUMIFS(Pasivo!N:N,Pasivo!B:B,A56 ,Pasivo!E:E,"No Pagado",Pasivo!C:C, "03 mar",Pasivo!F:F,"")
+SUMIFS(Pasivo!N:N,Pasivo!B:B,A56 ,Pasivo!E:E,"No Pagado",Pasivo!C:C, "03 mar",Pasivo!F:F, "&gt;"&amp;EOMONTH(DATE(2025,4,1),0)) 
+ SUMIFS(Pasivo!N:N,Pasivo!B:B,A56 ,Pasivo!E:E,"No Pagado",Pasivo!C:C, "04 abr",Pasivo!F:F,"")
+SUMIFS(Pasivo!N:N,Pasivo!B:B,A56 ,Pasivo!E:E,"No Pagado",Pasivo!C:C, "04 abr",Pasivo!F:F, "&gt;"&amp;EOMONTH(DATE(2025,4,1),0))
</f>
        <v>0</v>
      </c>
    </row>
    <row r="57">
      <c r="A57" s="395" t="s">
        <v>128</v>
      </c>
      <c r="B57" s="396" t="s">
        <v>143</v>
      </c>
      <c r="C57" s="43">
        <v>2025.0</v>
      </c>
      <c r="D57" s="102">
        <f>SUMIFS(Pasivo!N:N,Pasivo!B:B,A57 ,Pasivo!E:E,"No Pagado",Pasivo!C:C, "01 ene",Pasivo!F:F,"")
+SUMIFS(Pasivo!N:N,Pasivo!B:B,A57 ,Pasivo!E:E,"No Pagado",Pasivo!C:C, "01 ene",Pasivo!F:F, "&gt;"&amp;EOMONTH(DATE(2025,4,1),0))
+ SUMIFS(Pasivo!N:N,Pasivo!B:B,A57 ,Pasivo!E:E,"No Pagado",Pasivo!C:C, "02 feb",Pasivo!F:F,"")
+SUMIFS(Pasivo!N:N,Pasivo!B:B,A57 ,Pasivo!E:E,"No Pagado",Pasivo!C:C, "02 feb",Pasivo!F:F, "&gt;"&amp;EOMONTH(DATE(2025,4,1),0))
+ SUMIFS(Pasivo!N:N,Pasivo!B:B,A57 ,Pasivo!E:E,"No Pagado",Pasivo!C:C, "03 mar",Pasivo!F:F,"")
+SUMIFS(Pasivo!N:N,Pasivo!B:B,A57 ,Pasivo!E:E,"No Pagado",Pasivo!C:C, "03 mar",Pasivo!F:F, "&gt;"&amp;EOMONTH(DATE(2025,4,1),0)) 
+ SUMIFS(Pasivo!N:N,Pasivo!B:B,A57 ,Pasivo!E:E,"No Pagado",Pasivo!C:C, "04 abr",Pasivo!F:F,"")
+SUMIFS(Pasivo!N:N,Pasivo!B:B,A57 ,Pasivo!E:E,"No Pagado",Pasivo!C:C, "04 abr",Pasivo!F:F, "&gt;"&amp;EOMONTH(DATE(2025,4,1),0))
</f>
        <v>0</v>
      </c>
    </row>
    <row r="58">
      <c r="A58" s="395" t="s">
        <v>134</v>
      </c>
      <c r="B58" s="396" t="s">
        <v>143</v>
      </c>
      <c r="C58" s="43">
        <v>2025.0</v>
      </c>
      <c r="D58" s="102">
        <f>SUMIFS(Pasivo!N:N,Pasivo!B:B,A58 ,Pasivo!E:E,"No Pagado",Pasivo!C:C, "01 ene",Pasivo!F:F,"")
+SUMIFS(Pasivo!N:N,Pasivo!B:B,A58 ,Pasivo!E:E,"No Pagado",Pasivo!C:C, "01 ene",Pasivo!F:F, "&gt;"&amp;EOMONTH(DATE(2025,4,1),0))
+ SUMIFS(Pasivo!N:N,Pasivo!B:B,A58 ,Pasivo!E:E,"No Pagado",Pasivo!C:C, "02 feb",Pasivo!F:F,"")
+SUMIFS(Pasivo!N:N,Pasivo!B:B,A58 ,Pasivo!E:E,"No Pagado",Pasivo!C:C, "02 feb",Pasivo!F:F, "&gt;"&amp;EOMONTH(DATE(2025,4,1),0))
+ SUMIFS(Pasivo!N:N,Pasivo!B:B,A58 ,Pasivo!E:E,"No Pagado",Pasivo!C:C, "03 mar",Pasivo!F:F,"")
+SUMIFS(Pasivo!N:N,Pasivo!B:B,A58 ,Pasivo!E:E,"No Pagado",Pasivo!C:C, "03 mar",Pasivo!F:F, "&gt;"&amp;EOMONTH(DATE(2025,4,1),0)) 
+ SUMIFS(Pasivo!N:N,Pasivo!B:B,A58 ,Pasivo!E:E,"No Pagado",Pasivo!C:C, "04 abr",Pasivo!F:F,"")
+SUMIFS(Pasivo!N:N,Pasivo!B:B,A58 ,Pasivo!E:E,"No Pagado",Pasivo!C:C, "04 abr",Pasivo!F:F, "&gt;"&amp;EOMONTH(DATE(2025,4,1),0))
</f>
        <v>0</v>
      </c>
    </row>
    <row r="59">
      <c r="A59" s="397" t="s">
        <v>140</v>
      </c>
      <c r="B59" s="396" t="s">
        <v>143</v>
      </c>
      <c r="C59" s="43">
        <v>2025.0</v>
      </c>
      <c r="D59" s="102">
        <f>SUMIFS(Pasivo!N:N,Pasivo!B:B,A59 ,Pasivo!E:E,"No Pagado",Pasivo!C:C, "01 ene",Pasivo!F:F,"")
+SUMIFS(Pasivo!N:N,Pasivo!B:B,A59 ,Pasivo!E:E,"No Pagado",Pasivo!C:C, "01 ene",Pasivo!F:F, "&gt;"&amp;EOMONTH(DATE(2025,4,1),0))
+ SUMIFS(Pasivo!N:N,Pasivo!B:B,A59 ,Pasivo!E:E,"No Pagado",Pasivo!C:C, "02 feb",Pasivo!F:F,"")
+SUMIFS(Pasivo!N:N,Pasivo!B:B,A59 ,Pasivo!E:E,"No Pagado",Pasivo!C:C, "02 feb",Pasivo!F:F, "&gt;"&amp;EOMONTH(DATE(2025,4,1),0))
+ SUMIFS(Pasivo!N:N,Pasivo!B:B,A59 ,Pasivo!E:E,"No Pagado",Pasivo!C:C, "03 mar",Pasivo!F:F,"")
+SUMIFS(Pasivo!N:N,Pasivo!B:B,A59 ,Pasivo!E:E,"No Pagado",Pasivo!C:C, "03 mar",Pasivo!F:F, "&gt;"&amp;EOMONTH(DATE(2025,4,1),0)) 
+ SUMIFS(Pasivo!N:N,Pasivo!B:B,A59 ,Pasivo!E:E,"No Pagado",Pasivo!C:C, "04 abr",Pasivo!F:F,"")
+SUMIFS(Pasivo!N:N,Pasivo!B:B,A59 ,Pasivo!E:E,"No Pagado",Pasivo!C:C, "04 abr",Pasivo!F:F, "&gt;"&amp;EOMONTH(DATE(2025,4,1),0))
</f>
        <v>0</v>
      </c>
    </row>
    <row r="60">
      <c r="A60" s="395" t="s">
        <v>147</v>
      </c>
      <c r="B60" s="396" t="s">
        <v>143</v>
      </c>
      <c r="C60" s="43">
        <v>2025.0</v>
      </c>
      <c r="D60" s="102">
        <f>SUMIFS(Pasivo!N:N,Pasivo!B:B,A60 ,Pasivo!E:E,"No Pagado",Pasivo!C:C, "01 ene",Pasivo!F:F,"")
+SUMIFS(Pasivo!N:N,Pasivo!B:B,A60 ,Pasivo!E:E,"No Pagado",Pasivo!C:C, "01 ene",Pasivo!F:F, "&gt;"&amp;EOMONTH(DATE(2025,4,1),0))
+ SUMIFS(Pasivo!N:N,Pasivo!B:B,A60 ,Pasivo!E:E,"No Pagado",Pasivo!C:C, "02 feb",Pasivo!F:F,"")
+SUMIFS(Pasivo!N:N,Pasivo!B:B,A60 ,Pasivo!E:E,"No Pagado",Pasivo!C:C, "02 feb",Pasivo!F:F, "&gt;"&amp;EOMONTH(DATE(2025,4,1),0))
+ SUMIFS(Pasivo!N:N,Pasivo!B:B,A60 ,Pasivo!E:E,"No Pagado",Pasivo!C:C, "03 mar",Pasivo!F:F,"")
+SUMIFS(Pasivo!N:N,Pasivo!B:B,A60 ,Pasivo!E:E,"No Pagado",Pasivo!C:C, "03 mar",Pasivo!F:F, "&gt;"&amp;EOMONTH(DATE(2025,4,1),0)) 
+ SUMIFS(Pasivo!N:N,Pasivo!B:B,A60 ,Pasivo!E:E,"No Pagado",Pasivo!C:C, "04 abr",Pasivo!F:F,"")
+SUMIFS(Pasivo!N:N,Pasivo!B:B,A60 ,Pasivo!E:E,"No Pagado",Pasivo!C:C, "04 abr",Pasivo!F:F, "&gt;"&amp;EOMONTH(DATE(2025,4,1),0))
</f>
        <v>4050</v>
      </c>
    </row>
    <row r="61">
      <c r="A61" s="395" t="s">
        <v>153</v>
      </c>
      <c r="B61" s="396" t="s">
        <v>143</v>
      </c>
      <c r="C61" s="43">
        <v>2025.0</v>
      </c>
      <c r="D61" s="102">
        <f>SUMIFS(Pasivo!N:N,Pasivo!B:B,A61 ,Pasivo!E:E,"No Pagado",Pasivo!C:C, "01 ene",Pasivo!F:F,"")
+SUMIFS(Pasivo!N:N,Pasivo!B:B,A61 ,Pasivo!E:E,"No Pagado",Pasivo!C:C, "01 ene",Pasivo!F:F, "&gt;"&amp;EOMONTH(DATE(2025,4,1),0))
+ SUMIFS(Pasivo!N:N,Pasivo!B:B,A61 ,Pasivo!E:E,"No Pagado",Pasivo!C:C, "02 feb",Pasivo!F:F,"")
+SUMIFS(Pasivo!N:N,Pasivo!B:B,A61 ,Pasivo!E:E,"No Pagado",Pasivo!C:C, "02 feb",Pasivo!F:F, "&gt;"&amp;EOMONTH(DATE(2025,4,1),0))
+ SUMIFS(Pasivo!N:N,Pasivo!B:B,A61 ,Pasivo!E:E,"No Pagado",Pasivo!C:C, "03 mar",Pasivo!F:F,"")
+SUMIFS(Pasivo!N:N,Pasivo!B:B,A61 ,Pasivo!E:E,"No Pagado",Pasivo!C:C, "03 mar",Pasivo!F:F, "&gt;"&amp;EOMONTH(DATE(2025,4,1),0)) 
+ SUMIFS(Pasivo!N:N,Pasivo!B:B,A61 ,Pasivo!E:E,"No Pagado",Pasivo!C:C, "04 abr",Pasivo!F:F,"")
+SUMIFS(Pasivo!N:N,Pasivo!B:B,A61 ,Pasivo!E:E,"No Pagado",Pasivo!C:C, "04 abr",Pasivo!F:F, "&gt;"&amp;EOMONTH(DATE(2025,4,1),0))
</f>
        <v>107</v>
      </c>
    </row>
    <row r="62">
      <c r="A62" s="395" t="s">
        <v>159</v>
      </c>
      <c r="B62" s="396" t="s">
        <v>143</v>
      </c>
      <c r="C62" s="43">
        <v>2025.0</v>
      </c>
      <c r="D62" s="102">
        <f>SUMIFS(Pasivo!N:N,Pasivo!B:B,A62 ,Pasivo!E:E,"No Pagado",Pasivo!C:C, "01 ene",Pasivo!F:F,"")
+SUMIFS(Pasivo!N:N,Pasivo!B:B,A62 ,Pasivo!E:E,"No Pagado",Pasivo!C:C, "01 ene",Pasivo!F:F, "&gt;"&amp;EOMONTH(DATE(2025,4,1),0))
+ SUMIFS(Pasivo!N:N,Pasivo!B:B,A62 ,Pasivo!E:E,"No Pagado",Pasivo!C:C, "02 feb",Pasivo!F:F,"")
+SUMIFS(Pasivo!N:N,Pasivo!B:B,A62 ,Pasivo!E:E,"No Pagado",Pasivo!C:C, "02 feb",Pasivo!F:F, "&gt;"&amp;EOMONTH(DATE(2025,4,1),0))
+ SUMIFS(Pasivo!N:N,Pasivo!B:B,A62 ,Pasivo!E:E,"No Pagado",Pasivo!C:C, "03 mar",Pasivo!F:F,"")
+SUMIFS(Pasivo!N:N,Pasivo!B:B,A62 ,Pasivo!E:E,"No Pagado",Pasivo!C:C, "03 mar",Pasivo!F:F, "&gt;"&amp;EOMONTH(DATE(2025,4,1),0)) 
+ SUMIFS(Pasivo!N:N,Pasivo!B:B,A62 ,Pasivo!E:E,"No Pagado",Pasivo!C:C, "04 abr",Pasivo!F:F,"")
+SUMIFS(Pasivo!N:N,Pasivo!B:B,A62 ,Pasivo!E:E,"No Pagado",Pasivo!C:C, "04 abr",Pasivo!F:F, "&gt;"&amp;EOMONTH(DATE(2025,4,1),0))
</f>
        <v>0</v>
      </c>
    </row>
    <row r="63">
      <c r="A63" s="395" t="s">
        <v>164</v>
      </c>
      <c r="B63" s="396" t="s">
        <v>143</v>
      </c>
      <c r="C63" s="43">
        <v>2025.0</v>
      </c>
      <c r="D63" s="102">
        <f>SUMIFS(Pasivo!N:N,Pasivo!B:B,A63 ,Pasivo!E:E,"No Pagado",Pasivo!C:C, "01 ene",Pasivo!F:F,"")
+SUMIFS(Pasivo!N:N,Pasivo!B:B,A63 ,Pasivo!E:E,"No Pagado",Pasivo!C:C, "01 ene",Pasivo!F:F, "&gt;"&amp;EOMONTH(DATE(2025,4,1),0))
+ SUMIFS(Pasivo!N:N,Pasivo!B:B,A63 ,Pasivo!E:E,"No Pagado",Pasivo!C:C, "02 feb",Pasivo!F:F,"")
+SUMIFS(Pasivo!N:N,Pasivo!B:B,A63 ,Pasivo!E:E,"No Pagado",Pasivo!C:C, "02 feb",Pasivo!F:F, "&gt;"&amp;EOMONTH(DATE(2025,4,1),0))
+ SUMIFS(Pasivo!N:N,Pasivo!B:B,A63 ,Pasivo!E:E,"No Pagado",Pasivo!C:C, "03 mar",Pasivo!F:F,"")
+SUMIFS(Pasivo!N:N,Pasivo!B:B,A63 ,Pasivo!E:E,"No Pagado",Pasivo!C:C, "03 mar",Pasivo!F:F, "&gt;"&amp;EOMONTH(DATE(2025,4,1),0)) 
+ SUMIFS(Pasivo!N:N,Pasivo!B:B,A63 ,Pasivo!E:E,"No Pagado",Pasivo!C:C, "04 abr",Pasivo!F:F,"")
+SUMIFS(Pasivo!N:N,Pasivo!B:B,A63 ,Pasivo!E:E,"No Pagado",Pasivo!C:C, "04 abr",Pasivo!F:F, "&gt;"&amp;EOMONTH(DATE(2025,4,1),0))
</f>
        <v>0</v>
      </c>
    </row>
    <row r="64">
      <c r="A64" s="395" t="s">
        <v>170</v>
      </c>
      <c r="B64" s="396" t="s">
        <v>143</v>
      </c>
      <c r="C64" s="43">
        <v>2025.0</v>
      </c>
      <c r="D64" s="102">
        <f>SUMIFS(Pasivo!N:N,Pasivo!B:B,A64 ,Pasivo!E:E,"No Pagado",Pasivo!C:C, "01 ene",Pasivo!F:F,"")
+SUMIFS(Pasivo!N:N,Pasivo!B:B,A64 ,Pasivo!E:E,"No Pagado",Pasivo!C:C, "01 ene",Pasivo!F:F, "&gt;"&amp;EOMONTH(DATE(2025,4,1),0))
+ SUMIFS(Pasivo!N:N,Pasivo!B:B,A64 ,Pasivo!E:E,"No Pagado",Pasivo!C:C, "02 feb",Pasivo!F:F,"")
+SUMIFS(Pasivo!N:N,Pasivo!B:B,A64 ,Pasivo!E:E,"No Pagado",Pasivo!C:C, "02 feb",Pasivo!F:F, "&gt;"&amp;EOMONTH(DATE(2025,4,1),0))
+ SUMIFS(Pasivo!N:N,Pasivo!B:B,A64 ,Pasivo!E:E,"No Pagado",Pasivo!C:C, "03 mar",Pasivo!F:F,"")
+SUMIFS(Pasivo!N:N,Pasivo!B:B,A64 ,Pasivo!E:E,"No Pagado",Pasivo!C:C, "03 mar",Pasivo!F:F, "&gt;"&amp;EOMONTH(DATE(2025,4,1),0)) 
+ SUMIFS(Pasivo!N:N,Pasivo!B:B,A64 ,Pasivo!E:E,"No Pagado",Pasivo!C:C, "04 abr",Pasivo!F:F,"")
+SUMIFS(Pasivo!N:N,Pasivo!B:B,A64 ,Pasivo!E:E,"No Pagado",Pasivo!C:C, "04 abr",Pasivo!F:F, "&gt;"&amp;EOMONTH(DATE(2025,4,1),0))
</f>
        <v>81.01265823</v>
      </c>
    </row>
    <row r="65">
      <c r="A65" s="395" t="s">
        <v>174</v>
      </c>
      <c r="B65" s="396" t="s">
        <v>143</v>
      </c>
      <c r="C65" s="43">
        <v>2025.0</v>
      </c>
      <c r="D65" s="102">
        <f>SUMIFS(Pasivo!N:N,Pasivo!B:B,A65 ,Pasivo!E:E,"No Pagado",Pasivo!C:C, "01 ene",Pasivo!F:F,"")
+SUMIFS(Pasivo!N:N,Pasivo!B:B,A65 ,Pasivo!E:E,"No Pagado",Pasivo!C:C, "01 ene",Pasivo!F:F, "&gt;"&amp;EOMONTH(DATE(2025,4,1),0))
+ SUMIFS(Pasivo!N:N,Pasivo!B:B,A65 ,Pasivo!E:E,"No Pagado",Pasivo!C:C, "02 feb",Pasivo!F:F,"")
+SUMIFS(Pasivo!N:N,Pasivo!B:B,A65 ,Pasivo!E:E,"No Pagado",Pasivo!C:C, "02 feb",Pasivo!F:F, "&gt;"&amp;EOMONTH(DATE(2025,4,1),0))
+ SUMIFS(Pasivo!N:N,Pasivo!B:B,A65 ,Pasivo!E:E,"No Pagado",Pasivo!C:C, "03 mar",Pasivo!F:F,"")
+SUMIFS(Pasivo!N:N,Pasivo!B:B,A65 ,Pasivo!E:E,"No Pagado",Pasivo!C:C, "03 mar",Pasivo!F:F, "&gt;"&amp;EOMONTH(DATE(2025,4,1),0)) 
+ SUMIFS(Pasivo!N:N,Pasivo!B:B,A65 ,Pasivo!E:E,"No Pagado",Pasivo!C:C, "04 abr",Pasivo!F:F,"")
+SUMIFS(Pasivo!N:N,Pasivo!B:B,A65 ,Pasivo!E:E,"No Pagado",Pasivo!C:C, "04 abr",Pasivo!F:F, "&gt;"&amp;EOMONTH(DATE(2025,4,1),0))
</f>
        <v>0</v>
      </c>
    </row>
    <row r="66">
      <c r="A66" s="395" t="s">
        <v>178</v>
      </c>
      <c r="B66" s="396" t="s">
        <v>143</v>
      </c>
      <c r="C66" s="43">
        <v>2025.0</v>
      </c>
      <c r="D66" s="102">
        <f>SUMIFS(Pasivo!N:N,Pasivo!B:B,A66 ,Pasivo!E:E,"No Pagado",Pasivo!C:C, "01 ene",Pasivo!F:F,"")
+SUMIFS(Pasivo!N:N,Pasivo!B:B,A66 ,Pasivo!E:E,"No Pagado",Pasivo!C:C, "01 ene",Pasivo!F:F, "&gt;"&amp;EOMONTH(DATE(2025,4,1),0))
+ SUMIFS(Pasivo!N:N,Pasivo!B:B,A66 ,Pasivo!E:E,"No Pagado",Pasivo!C:C, "02 feb",Pasivo!F:F,"")
+SUMIFS(Pasivo!N:N,Pasivo!B:B,A66 ,Pasivo!E:E,"No Pagado",Pasivo!C:C, "02 feb",Pasivo!F:F, "&gt;"&amp;EOMONTH(DATE(2025,4,1),0))
+ SUMIFS(Pasivo!N:N,Pasivo!B:B,A66 ,Pasivo!E:E,"No Pagado",Pasivo!C:C, "03 mar",Pasivo!F:F,"")
+SUMIFS(Pasivo!N:N,Pasivo!B:B,A66 ,Pasivo!E:E,"No Pagado",Pasivo!C:C, "03 mar",Pasivo!F:F, "&gt;"&amp;EOMONTH(DATE(2025,4,1),0)) 
+ SUMIFS(Pasivo!N:N,Pasivo!B:B,A66 ,Pasivo!E:E,"No Pagado",Pasivo!C:C, "04 abr",Pasivo!F:F,"")
+SUMIFS(Pasivo!N:N,Pasivo!B:B,A66 ,Pasivo!E:E,"No Pagado",Pasivo!C:C, "04 abr",Pasivo!F:F, "&gt;"&amp;EOMONTH(DATE(2025,4,1),0))
</f>
        <v>0</v>
      </c>
    </row>
    <row r="67">
      <c r="A67" s="395" t="s">
        <v>139</v>
      </c>
      <c r="B67" s="396" t="s">
        <v>143</v>
      </c>
      <c r="C67" s="43">
        <v>2025.0</v>
      </c>
      <c r="D67" s="102">
        <f>SUMIFS(Pasivo!N:N,Pasivo!B:B,A67 ,Pasivo!E:E,"No Pagado",Pasivo!C:C, "01 ene",Pasivo!F:F,"")
+SUMIFS(Pasivo!N:N,Pasivo!B:B,A67 ,Pasivo!E:E,"No Pagado",Pasivo!C:C, "01 ene",Pasivo!F:F, "&gt;"&amp;EOMONTH(DATE(2025,4,1),0))
+ SUMIFS(Pasivo!N:N,Pasivo!B:B,A67 ,Pasivo!E:E,"No Pagado",Pasivo!C:C, "02 feb",Pasivo!F:F,"")
+SUMIFS(Pasivo!N:N,Pasivo!B:B,A67 ,Pasivo!E:E,"No Pagado",Pasivo!C:C, "02 feb",Pasivo!F:F, "&gt;"&amp;EOMONTH(DATE(2025,4,1),0))
+ SUMIFS(Pasivo!N:N,Pasivo!B:B,A67 ,Pasivo!E:E,"No Pagado",Pasivo!C:C, "03 mar",Pasivo!F:F,"")
+SUMIFS(Pasivo!N:N,Pasivo!B:B,A67 ,Pasivo!E:E,"No Pagado",Pasivo!C:C, "03 mar",Pasivo!F:F, "&gt;"&amp;EOMONTH(DATE(2025,4,1),0)) 
+ SUMIFS(Pasivo!N:N,Pasivo!B:B,A67 ,Pasivo!E:E,"No Pagado",Pasivo!C:C, "04 abr",Pasivo!F:F,"")
+SUMIFS(Pasivo!N:N,Pasivo!B:B,A67 ,Pasivo!E:E,"No Pagado",Pasivo!C:C, "04 abr",Pasivo!F:F, "&gt;"&amp;EOMONTH(DATE(2025,4,1),0))
</f>
        <v>0</v>
      </c>
    </row>
    <row r="68">
      <c r="A68" s="397" t="s">
        <v>185</v>
      </c>
      <c r="B68" s="396" t="s">
        <v>143</v>
      </c>
      <c r="C68" s="43">
        <v>2025.0</v>
      </c>
      <c r="D68" s="102">
        <f>SUMIFS(Pasivo!N:N,Pasivo!B:B,A68 ,Pasivo!E:E,"No Pagado",Pasivo!C:C, "01 ene",Pasivo!F:F,"")
+SUMIFS(Pasivo!N:N,Pasivo!B:B,A68 ,Pasivo!E:E,"No Pagado",Pasivo!C:C, "01 ene",Pasivo!F:F, "&gt;"&amp;EOMONTH(DATE(2025,4,1),0))
+ SUMIFS(Pasivo!N:N,Pasivo!B:B,A68 ,Pasivo!E:E,"No Pagado",Pasivo!C:C, "02 feb",Pasivo!F:F,"")
+SUMIFS(Pasivo!N:N,Pasivo!B:B,A68 ,Pasivo!E:E,"No Pagado",Pasivo!C:C, "02 feb",Pasivo!F:F, "&gt;"&amp;EOMONTH(DATE(2025,4,1),0))
+ SUMIFS(Pasivo!N:N,Pasivo!B:B,A68 ,Pasivo!E:E,"No Pagado",Pasivo!C:C, "03 mar",Pasivo!F:F,"")
+SUMIFS(Pasivo!N:N,Pasivo!B:B,A68 ,Pasivo!E:E,"No Pagado",Pasivo!C:C, "03 mar",Pasivo!F:F, "&gt;"&amp;EOMONTH(DATE(2025,4,1),0)) 
+ SUMIFS(Pasivo!N:N,Pasivo!B:B,A68 ,Pasivo!E:E,"No Pagado",Pasivo!C:C, "04 abr",Pasivo!F:F,"")
+SUMIFS(Pasivo!N:N,Pasivo!B:B,A68 ,Pasivo!E:E,"No Pagado",Pasivo!C:C, "04 abr",Pasivo!F:F, "&gt;"&amp;EOMONTH(DATE(2025,4,1),0))
</f>
        <v>0</v>
      </c>
    </row>
    <row r="69">
      <c r="A69" s="397" t="s">
        <v>188</v>
      </c>
      <c r="B69" s="396" t="s">
        <v>143</v>
      </c>
      <c r="C69" s="43">
        <v>2025.0</v>
      </c>
      <c r="D69" s="102">
        <f>SUMIFS(Pasivo!N:N,Pasivo!B:B,A69 ,Pasivo!E:E,"No Pagado",Pasivo!C:C, "01 ene",Pasivo!F:F,"")
+SUMIFS(Pasivo!N:N,Pasivo!B:B,A69 ,Pasivo!E:E,"No Pagado",Pasivo!C:C, "01 ene",Pasivo!F:F, "&gt;"&amp;EOMONTH(DATE(2025,4,1),0))
+ SUMIFS(Pasivo!N:N,Pasivo!B:B,A69 ,Pasivo!E:E,"No Pagado",Pasivo!C:C, "02 feb",Pasivo!F:F,"")
+SUMIFS(Pasivo!N:N,Pasivo!B:B,A69 ,Pasivo!E:E,"No Pagado",Pasivo!C:C, "02 feb",Pasivo!F:F, "&gt;"&amp;EOMONTH(DATE(2025,4,1),0))
+ SUMIFS(Pasivo!N:N,Pasivo!B:B,A69 ,Pasivo!E:E,"No Pagado",Pasivo!C:C, "03 mar",Pasivo!F:F,"")
+SUMIFS(Pasivo!N:N,Pasivo!B:B,A69 ,Pasivo!E:E,"No Pagado",Pasivo!C:C, "03 mar",Pasivo!F:F, "&gt;"&amp;EOMONTH(DATE(2025,4,1),0)) 
+ SUMIFS(Pasivo!N:N,Pasivo!B:B,A69 ,Pasivo!E:E,"No Pagado",Pasivo!C:C, "04 abr",Pasivo!F:F,"")
+SUMIFS(Pasivo!N:N,Pasivo!B:B,A69 ,Pasivo!E:E,"No Pagado",Pasivo!C:C, "04 abr",Pasivo!F:F, "&gt;"&amp;EOMONTH(DATE(2025,4,1),0))
</f>
        <v>0</v>
      </c>
    </row>
    <row r="70">
      <c r="A70" s="397" t="s">
        <v>192</v>
      </c>
      <c r="B70" s="396" t="s">
        <v>143</v>
      </c>
      <c r="C70" s="43">
        <v>2025.0</v>
      </c>
      <c r="D70" s="102">
        <f>SUMIFS(Pasivo!N:N,Pasivo!B:B,A70 ,Pasivo!E:E,"No Pagado",Pasivo!C:C, "01 ene",Pasivo!F:F,"")
+SUMIFS(Pasivo!N:N,Pasivo!B:B,A70 ,Pasivo!E:E,"No Pagado",Pasivo!C:C, "01 ene",Pasivo!F:F, "&gt;"&amp;EOMONTH(DATE(2025,4,1),0))
+ SUMIFS(Pasivo!N:N,Pasivo!B:B,A70 ,Pasivo!E:E,"No Pagado",Pasivo!C:C, "02 feb",Pasivo!F:F,"")
+SUMIFS(Pasivo!N:N,Pasivo!B:B,A70 ,Pasivo!E:E,"No Pagado",Pasivo!C:C, "02 feb",Pasivo!F:F, "&gt;"&amp;EOMONTH(DATE(2025,4,1),0))
+ SUMIFS(Pasivo!N:N,Pasivo!B:B,A70 ,Pasivo!E:E,"No Pagado",Pasivo!C:C, "03 mar",Pasivo!F:F,"")
+SUMIFS(Pasivo!N:N,Pasivo!B:B,A70 ,Pasivo!E:E,"No Pagado",Pasivo!C:C, "03 mar",Pasivo!F:F, "&gt;"&amp;EOMONTH(DATE(2025,4,1),0)) 
+ SUMIFS(Pasivo!N:N,Pasivo!B:B,A70 ,Pasivo!E:E,"No Pagado",Pasivo!C:C, "04 abr",Pasivo!F:F,"")
+SUMIFS(Pasivo!N:N,Pasivo!B:B,A70 ,Pasivo!E:E,"No Pagado",Pasivo!C:C, "04 abr",Pasivo!F:F, "&gt;"&amp;EOMONTH(DATE(2025,4,1),0))
</f>
        <v>0</v>
      </c>
    </row>
    <row r="71">
      <c r="A71" s="397" t="s">
        <v>195</v>
      </c>
      <c r="B71" s="396" t="s">
        <v>143</v>
      </c>
      <c r="C71" s="43">
        <v>2025.0</v>
      </c>
      <c r="D71" s="102">
        <f>SUMIFS(Pasivo!N:N,Pasivo!B:B,A71 ,Pasivo!E:E,"No Pagado",Pasivo!C:C, "01 ene",Pasivo!F:F,"")
+SUMIFS(Pasivo!N:N,Pasivo!B:B,A71 ,Pasivo!E:E,"No Pagado",Pasivo!C:C, "01 ene",Pasivo!F:F, "&gt;"&amp;EOMONTH(DATE(2025,4,1),0))
+ SUMIFS(Pasivo!N:N,Pasivo!B:B,A71 ,Pasivo!E:E,"No Pagado",Pasivo!C:C, "02 feb",Pasivo!F:F,"")
+SUMIFS(Pasivo!N:N,Pasivo!B:B,A71 ,Pasivo!E:E,"No Pagado",Pasivo!C:C, "02 feb",Pasivo!F:F, "&gt;"&amp;EOMONTH(DATE(2025,4,1),0))
+ SUMIFS(Pasivo!N:N,Pasivo!B:B,A71 ,Pasivo!E:E,"No Pagado",Pasivo!C:C, "03 mar",Pasivo!F:F,"")
+SUMIFS(Pasivo!N:N,Pasivo!B:B,A71 ,Pasivo!E:E,"No Pagado",Pasivo!C:C, "03 mar",Pasivo!F:F, "&gt;"&amp;EOMONTH(DATE(2025,4,1),0)) 
+ SUMIFS(Pasivo!N:N,Pasivo!B:B,A71 ,Pasivo!E:E,"No Pagado",Pasivo!C:C, "04 abr",Pasivo!F:F,"")
+SUMIFS(Pasivo!N:N,Pasivo!B:B,A71 ,Pasivo!E:E,"No Pagado",Pasivo!C:C, "04 abr",Pasivo!F:F, "&gt;"&amp;EOMONTH(DATE(2025,4,1),0))
</f>
        <v>0</v>
      </c>
    </row>
    <row r="72">
      <c r="A72" s="397" t="s">
        <v>198</v>
      </c>
      <c r="B72" s="396" t="s">
        <v>143</v>
      </c>
      <c r="C72" s="43">
        <v>2025.0</v>
      </c>
      <c r="D72" s="102">
        <f>SUMIFS(Pasivo!N:N,Pasivo!B:B,A72 ,Pasivo!E:E,"No Pagado",Pasivo!C:C, "01 ene",Pasivo!F:F,"")
+SUMIFS(Pasivo!N:N,Pasivo!B:B,A72 ,Pasivo!E:E,"No Pagado",Pasivo!C:C, "01 ene",Pasivo!F:F, "&gt;"&amp;EOMONTH(DATE(2025,4,1),0))
+ SUMIFS(Pasivo!N:N,Pasivo!B:B,A72 ,Pasivo!E:E,"No Pagado",Pasivo!C:C, "02 feb",Pasivo!F:F,"")
+SUMIFS(Pasivo!N:N,Pasivo!B:B,A72 ,Pasivo!E:E,"No Pagado",Pasivo!C:C, "02 feb",Pasivo!F:F, "&gt;"&amp;EOMONTH(DATE(2025,4,1),0))
+ SUMIFS(Pasivo!N:N,Pasivo!B:B,A72 ,Pasivo!E:E,"No Pagado",Pasivo!C:C, "03 mar",Pasivo!F:F,"")
+SUMIFS(Pasivo!N:N,Pasivo!B:B,A72 ,Pasivo!E:E,"No Pagado",Pasivo!C:C, "03 mar",Pasivo!F:F, "&gt;"&amp;EOMONTH(DATE(2025,4,1),0)) 
+ SUMIFS(Pasivo!N:N,Pasivo!B:B,A72 ,Pasivo!E:E,"No Pagado",Pasivo!C:C, "04 abr",Pasivo!F:F,"")
+SUMIFS(Pasivo!N:N,Pasivo!B:B,A72 ,Pasivo!E:E,"No Pagado",Pasivo!C:C, "04 abr",Pasivo!F:F, "&gt;"&amp;EOMONTH(DATE(2025,4,1),0))
</f>
        <v>0</v>
      </c>
    </row>
    <row r="73">
      <c r="A73" s="398" t="s">
        <v>201</v>
      </c>
      <c r="B73" s="396" t="s">
        <v>143</v>
      </c>
      <c r="C73" s="43">
        <v>2025.0</v>
      </c>
      <c r="D73" s="102">
        <f>SUMIFS(Pasivo!N:N,Pasivo!B:B,A73 ,Pasivo!E:E,"No Pagado",Pasivo!C:C, "01 ene",Pasivo!F:F,"")
+SUMIFS(Pasivo!N:N,Pasivo!B:B,A73 ,Pasivo!E:E,"No Pagado",Pasivo!C:C, "01 ene",Pasivo!F:F, "&gt;"&amp;EOMONTH(DATE(2025,4,1),0))
+ SUMIFS(Pasivo!N:N,Pasivo!B:B,A73 ,Pasivo!E:E,"No Pagado",Pasivo!C:C, "02 feb",Pasivo!F:F,"")
+SUMIFS(Pasivo!N:N,Pasivo!B:B,A73 ,Pasivo!E:E,"No Pagado",Pasivo!C:C, "02 feb",Pasivo!F:F, "&gt;"&amp;EOMONTH(DATE(2025,4,1),0))
+ SUMIFS(Pasivo!N:N,Pasivo!B:B,A73 ,Pasivo!E:E,"No Pagado",Pasivo!C:C, "03 mar",Pasivo!F:F,"")
+SUMIFS(Pasivo!N:N,Pasivo!B:B,A73 ,Pasivo!E:E,"No Pagado",Pasivo!C:C, "03 mar",Pasivo!F:F, "&gt;"&amp;EOMONTH(DATE(2025,4,1),0)) 
+ SUMIFS(Pasivo!N:N,Pasivo!B:B,A73 ,Pasivo!E:E,"No Pagado",Pasivo!C:C, "04 abr",Pasivo!F:F,"")
+SUMIFS(Pasivo!N:N,Pasivo!B:B,A73 ,Pasivo!E:E,"No Pagado",Pasivo!C:C, "04 abr",Pasivo!F:F, "&gt;"&amp;EOMONTH(DATE(2025,4,1),0))
</f>
        <v>0</v>
      </c>
    </row>
    <row r="74">
      <c r="A74" s="399" t="s">
        <v>121</v>
      </c>
      <c r="B74" s="400" t="s">
        <v>149</v>
      </c>
      <c r="C74" s="43">
        <v>2025.0</v>
      </c>
      <c r="D74" s="102">
        <f>SUMIFS(Pasivo!N:N,Pasivo!B:B,A74 ,Pasivo!E:E,"No Pagado",Pasivo!C:C, "01 ene",Pasivo!F:F,"")
+SUMIFS(Pasivo!N:N,Pasivo!B:B,A74 ,Pasivo!E:E,"No Pagado",Pasivo!C:C, "01 ene",Pasivo!F:F, "&gt;"&amp;EOMONTH(DATE(2025,5,1),0))
+ SUMIFS(Pasivo!N:N,Pasivo!B:B,A74 ,Pasivo!E:E,"No Pagado",Pasivo!C:C, "02 feb",Pasivo!F:F,"")
+SUMIFS(Pasivo!N:N,Pasivo!B:B,A74 ,Pasivo!E:E,"No Pagado",Pasivo!C:C, "02 feb",Pasivo!F:F, "&gt;"&amp;EOMONTH(DATE(2025,5,1),0))
+ SUMIFS(Pasivo!N:N,Pasivo!B:B,A74 ,Pasivo!E:E,"No Pagado",Pasivo!C:C, "03 mar",Pasivo!F:F,"")
+SUMIFS(Pasivo!N:N,Pasivo!B:B,A74 ,Pasivo!E:E,"No Pagado",Pasivo!C:C, "03 mar",Pasivo!F:F, "&gt;"&amp;EOMONTH(DATE(2025,5,1),0)) 
+ SUMIFS(Pasivo!N:N,Pasivo!B:B,A74 ,Pasivo!E:E,"No Pagado",Pasivo!C:C, "04 abr",Pasivo!F:F,"")
+SUMIFS(Pasivo!N:N,Pasivo!B:B,A74 ,Pasivo!E:E,"No Pagado",Pasivo!C:C, "04 abr",Pasivo!F:F, "&gt;"&amp;EOMONTH(DATE(2025,5,1),0))
+ SUMIFS(Pasivo!N:N,Pasivo!B:B,A74 ,Pasivo!E:E,"No Pagado",Pasivo!C:C, "05 may",Pasivo!F:F,"")
+SUMIFS(Pasivo!N:N,Pasivo!B:B,A74 ,Pasivo!E:E,"No Pagado",Pasivo!C:C, "05 may",Pasivo!F:F, "&gt;"&amp;EOMONTH(DATE(2025,5,1),0))
</f>
        <v>19218.64407</v>
      </c>
    </row>
    <row r="75">
      <c r="A75" s="399" t="s">
        <v>128</v>
      </c>
      <c r="B75" s="400" t="s">
        <v>149</v>
      </c>
      <c r="C75" s="43">
        <v>2025.0</v>
      </c>
      <c r="D75" s="102">
        <f>SUMIFS(Pasivo!N:N,Pasivo!B:B,A75 ,Pasivo!E:E,"No Pagado",Pasivo!C:C, "01 ene",Pasivo!F:F,"")
+SUMIFS(Pasivo!N:N,Pasivo!B:B,A75 ,Pasivo!E:E,"No Pagado",Pasivo!C:C, "01 ene",Pasivo!F:F, "&gt;"&amp;EOMONTH(DATE(2025,5,1),0))
+ SUMIFS(Pasivo!N:N,Pasivo!B:B,A75 ,Pasivo!E:E,"No Pagado",Pasivo!C:C, "02 feb",Pasivo!F:F,"")
+SUMIFS(Pasivo!N:N,Pasivo!B:B,A75 ,Pasivo!E:E,"No Pagado",Pasivo!C:C, "02 feb",Pasivo!F:F, "&gt;"&amp;EOMONTH(DATE(2025,5,1),0))
+ SUMIFS(Pasivo!N:N,Pasivo!B:B,A75 ,Pasivo!E:E,"No Pagado",Pasivo!C:C, "03 mar",Pasivo!F:F,"")
+SUMIFS(Pasivo!N:N,Pasivo!B:B,A75 ,Pasivo!E:E,"No Pagado",Pasivo!C:C, "03 mar",Pasivo!F:F, "&gt;"&amp;EOMONTH(DATE(2025,5,1),0)) 
+ SUMIFS(Pasivo!N:N,Pasivo!B:B,A75 ,Pasivo!E:E,"No Pagado",Pasivo!C:C, "04 abr",Pasivo!F:F,"")
+SUMIFS(Pasivo!N:N,Pasivo!B:B,A75 ,Pasivo!E:E,"No Pagado",Pasivo!C:C, "04 abr",Pasivo!F:F, "&gt;"&amp;EOMONTH(DATE(2025,5,1),0))
+ SUMIFS(Pasivo!N:N,Pasivo!B:B,A75 ,Pasivo!E:E,"No Pagado",Pasivo!C:C, "05 may",Pasivo!F:F,"")
+SUMIFS(Pasivo!N:N,Pasivo!B:B,A75 ,Pasivo!E:E,"No Pagado",Pasivo!C:C, "05 may",Pasivo!F:F, "&gt;"&amp;EOMONTH(DATE(2025,5,1),0))
</f>
        <v>5852.722034</v>
      </c>
    </row>
    <row r="76">
      <c r="A76" s="399" t="s">
        <v>134</v>
      </c>
      <c r="B76" s="400" t="s">
        <v>149</v>
      </c>
      <c r="C76" s="43">
        <v>2025.0</v>
      </c>
      <c r="D76" s="102">
        <f>SUMIFS(Pasivo!N:N,Pasivo!B:B,A76 ,Pasivo!E:E,"No Pagado",Pasivo!C:C, "01 ene",Pasivo!F:F,"")
+SUMIFS(Pasivo!N:N,Pasivo!B:B,A76 ,Pasivo!E:E,"No Pagado",Pasivo!C:C, "01 ene",Pasivo!F:F, "&gt;"&amp;EOMONTH(DATE(2025,5,1),0))
+ SUMIFS(Pasivo!N:N,Pasivo!B:B,A76 ,Pasivo!E:E,"No Pagado",Pasivo!C:C, "02 feb",Pasivo!F:F,"")
+SUMIFS(Pasivo!N:N,Pasivo!B:B,A76 ,Pasivo!E:E,"No Pagado",Pasivo!C:C, "02 feb",Pasivo!F:F, "&gt;"&amp;EOMONTH(DATE(2025,5,1),0))
+ SUMIFS(Pasivo!N:N,Pasivo!B:B,A76 ,Pasivo!E:E,"No Pagado",Pasivo!C:C, "03 mar",Pasivo!F:F,"")
+SUMIFS(Pasivo!N:N,Pasivo!B:B,A76 ,Pasivo!E:E,"No Pagado",Pasivo!C:C, "03 mar",Pasivo!F:F, "&gt;"&amp;EOMONTH(DATE(2025,5,1),0)) 
+ SUMIFS(Pasivo!N:N,Pasivo!B:B,A76 ,Pasivo!E:E,"No Pagado",Pasivo!C:C, "04 abr",Pasivo!F:F,"")
+SUMIFS(Pasivo!N:N,Pasivo!B:B,A76 ,Pasivo!E:E,"No Pagado",Pasivo!C:C, "04 abr",Pasivo!F:F, "&gt;"&amp;EOMONTH(DATE(2025,5,1),0))
+ SUMIFS(Pasivo!N:N,Pasivo!B:B,A76 ,Pasivo!E:E,"No Pagado",Pasivo!C:C, "05 may",Pasivo!F:F,"")
+SUMIFS(Pasivo!N:N,Pasivo!B:B,A76 ,Pasivo!E:E,"No Pagado",Pasivo!C:C, "05 may",Pasivo!F:F, "&gt;"&amp;EOMONTH(DATE(2025,5,1),0))
</f>
        <v>3813.559322</v>
      </c>
    </row>
    <row r="77">
      <c r="A77" s="401" t="s">
        <v>140</v>
      </c>
      <c r="B77" s="400" t="s">
        <v>149</v>
      </c>
      <c r="C77" s="43">
        <v>2025.0</v>
      </c>
      <c r="D77" s="102">
        <f>SUMIFS(Pasivo!N:N,Pasivo!B:B,A77 ,Pasivo!E:E,"No Pagado",Pasivo!C:C, "01 ene",Pasivo!F:F,"")
+SUMIFS(Pasivo!N:N,Pasivo!B:B,A77 ,Pasivo!E:E,"No Pagado",Pasivo!C:C, "01 ene",Pasivo!F:F, "&gt;"&amp;EOMONTH(DATE(2025,5,1),0))
+ SUMIFS(Pasivo!N:N,Pasivo!B:B,A77 ,Pasivo!E:E,"No Pagado",Pasivo!C:C, "02 feb",Pasivo!F:F,"")
+SUMIFS(Pasivo!N:N,Pasivo!B:B,A77 ,Pasivo!E:E,"No Pagado",Pasivo!C:C, "02 feb",Pasivo!F:F, "&gt;"&amp;EOMONTH(DATE(2025,5,1),0))
+ SUMIFS(Pasivo!N:N,Pasivo!B:B,A77 ,Pasivo!E:E,"No Pagado",Pasivo!C:C, "03 mar",Pasivo!F:F,"")
+SUMIFS(Pasivo!N:N,Pasivo!B:B,A77 ,Pasivo!E:E,"No Pagado",Pasivo!C:C, "03 mar",Pasivo!F:F, "&gt;"&amp;EOMONTH(DATE(2025,5,1),0)) 
+ SUMIFS(Pasivo!N:N,Pasivo!B:B,A77 ,Pasivo!E:E,"No Pagado",Pasivo!C:C, "04 abr",Pasivo!F:F,"")
+SUMIFS(Pasivo!N:N,Pasivo!B:B,A77 ,Pasivo!E:E,"No Pagado",Pasivo!C:C, "04 abr",Pasivo!F:F, "&gt;"&amp;EOMONTH(DATE(2025,5,1),0))
+ SUMIFS(Pasivo!N:N,Pasivo!B:B,A77 ,Pasivo!E:E,"No Pagado",Pasivo!C:C, "05 may",Pasivo!F:F,"")
+SUMIFS(Pasivo!N:N,Pasivo!B:B,A77 ,Pasivo!E:E,"No Pagado",Pasivo!C:C, "05 may",Pasivo!F:F, "&gt;"&amp;EOMONTH(DATE(2025,5,1),0))
</f>
        <v>1648.648305</v>
      </c>
    </row>
    <row r="78">
      <c r="A78" s="399" t="s">
        <v>147</v>
      </c>
      <c r="B78" s="400" t="s">
        <v>149</v>
      </c>
      <c r="C78" s="43">
        <v>2025.0</v>
      </c>
      <c r="D78" s="102">
        <f>SUMIFS(Pasivo!N:N,Pasivo!B:B,A78 ,Pasivo!E:E,"No Pagado",Pasivo!C:C, "01 ene",Pasivo!F:F,"")
+SUMIFS(Pasivo!N:N,Pasivo!B:B,A78 ,Pasivo!E:E,"No Pagado",Pasivo!C:C, "01 ene",Pasivo!F:F, "&gt;"&amp;EOMONTH(DATE(2025,5,1),0))
+ SUMIFS(Pasivo!N:N,Pasivo!B:B,A78 ,Pasivo!E:E,"No Pagado",Pasivo!C:C, "02 feb",Pasivo!F:F,"")
+SUMIFS(Pasivo!N:N,Pasivo!B:B,A78 ,Pasivo!E:E,"No Pagado",Pasivo!C:C, "02 feb",Pasivo!F:F, "&gt;"&amp;EOMONTH(DATE(2025,5,1),0))
+ SUMIFS(Pasivo!N:N,Pasivo!B:B,A78 ,Pasivo!E:E,"No Pagado",Pasivo!C:C, "03 mar",Pasivo!F:F,"")
+SUMIFS(Pasivo!N:N,Pasivo!B:B,A78 ,Pasivo!E:E,"No Pagado",Pasivo!C:C, "03 mar",Pasivo!F:F, "&gt;"&amp;EOMONTH(DATE(2025,5,1),0)) 
+ SUMIFS(Pasivo!N:N,Pasivo!B:B,A78 ,Pasivo!E:E,"No Pagado",Pasivo!C:C, "04 abr",Pasivo!F:F,"")
+SUMIFS(Pasivo!N:N,Pasivo!B:B,A78 ,Pasivo!E:E,"No Pagado",Pasivo!C:C, "04 abr",Pasivo!F:F, "&gt;"&amp;EOMONTH(DATE(2025,5,1),0))
+ SUMIFS(Pasivo!N:N,Pasivo!B:B,A78 ,Pasivo!E:E,"No Pagado",Pasivo!C:C, "05 may",Pasivo!F:F,"")
+SUMIFS(Pasivo!N:N,Pasivo!B:B,A78 ,Pasivo!E:E,"No Pagado",Pasivo!C:C, "05 may",Pasivo!F:F, "&gt;"&amp;EOMONTH(DATE(2025,5,1),0))
</f>
        <v>4050</v>
      </c>
    </row>
    <row r="79">
      <c r="A79" s="399" t="s">
        <v>153</v>
      </c>
      <c r="B79" s="400" t="s">
        <v>149</v>
      </c>
      <c r="C79" s="43">
        <v>2025.0</v>
      </c>
      <c r="D79" s="102">
        <f>SUMIFS(Pasivo!N:N,Pasivo!B:B,A79 ,Pasivo!E:E,"No Pagado",Pasivo!C:C, "01 ene",Pasivo!F:F,"")
+SUMIFS(Pasivo!N:N,Pasivo!B:B,A79 ,Pasivo!E:E,"No Pagado",Pasivo!C:C, "01 ene",Pasivo!F:F, "&gt;"&amp;EOMONTH(DATE(2025,5,1),0))
+ SUMIFS(Pasivo!N:N,Pasivo!B:B,A79 ,Pasivo!E:E,"No Pagado",Pasivo!C:C, "02 feb",Pasivo!F:F,"")
+SUMIFS(Pasivo!N:N,Pasivo!B:B,A79 ,Pasivo!E:E,"No Pagado",Pasivo!C:C, "02 feb",Pasivo!F:F, "&gt;"&amp;EOMONTH(DATE(2025,5,1),0))
+ SUMIFS(Pasivo!N:N,Pasivo!B:B,A79 ,Pasivo!E:E,"No Pagado",Pasivo!C:C, "03 mar",Pasivo!F:F,"")
+SUMIFS(Pasivo!N:N,Pasivo!B:B,A79 ,Pasivo!E:E,"No Pagado",Pasivo!C:C, "03 mar",Pasivo!F:F, "&gt;"&amp;EOMONTH(DATE(2025,5,1),0)) 
+ SUMIFS(Pasivo!N:N,Pasivo!B:B,A79 ,Pasivo!E:E,"No Pagado",Pasivo!C:C, "04 abr",Pasivo!F:F,"")
+SUMIFS(Pasivo!N:N,Pasivo!B:B,A79 ,Pasivo!E:E,"No Pagado",Pasivo!C:C, "04 abr",Pasivo!F:F, "&gt;"&amp;EOMONTH(DATE(2025,5,1),0))
+ SUMIFS(Pasivo!N:N,Pasivo!B:B,A79 ,Pasivo!E:E,"No Pagado",Pasivo!C:C, "05 may",Pasivo!F:F,"")
+SUMIFS(Pasivo!N:N,Pasivo!B:B,A79 ,Pasivo!E:E,"No Pagado",Pasivo!C:C, "05 may",Pasivo!F:F, "&gt;"&amp;EOMONTH(DATE(2025,5,1),0))
</f>
        <v>-4017</v>
      </c>
    </row>
    <row r="80">
      <c r="A80" s="399" t="s">
        <v>159</v>
      </c>
      <c r="B80" s="400" t="s">
        <v>149</v>
      </c>
      <c r="C80" s="43">
        <v>2025.0</v>
      </c>
      <c r="D80" s="102">
        <f>SUMIFS(Pasivo!N:N,Pasivo!B:B,A80 ,Pasivo!E:E,"No Pagado",Pasivo!C:C, "01 ene",Pasivo!F:F,"")
+SUMIFS(Pasivo!N:N,Pasivo!B:B,A80 ,Pasivo!E:E,"No Pagado",Pasivo!C:C, "01 ene",Pasivo!F:F, "&gt;"&amp;EOMONTH(DATE(2025,5,1),0))
+ SUMIFS(Pasivo!N:N,Pasivo!B:B,A80 ,Pasivo!E:E,"No Pagado",Pasivo!C:C, "02 feb",Pasivo!F:F,"")
+SUMIFS(Pasivo!N:N,Pasivo!B:B,A80 ,Pasivo!E:E,"No Pagado",Pasivo!C:C, "02 feb",Pasivo!F:F, "&gt;"&amp;EOMONTH(DATE(2025,5,1),0))
+ SUMIFS(Pasivo!N:N,Pasivo!B:B,A80 ,Pasivo!E:E,"No Pagado",Pasivo!C:C, "03 mar",Pasivo!F:F,"")
+SUMIFS(Pasivo!N:N,Pasivo!B:B,A80 ,Pasivo!E:E,"No Pagado",Pasivo!C:C, "03 mar",Pasivo!F:F, "&gt;"&amp;EOMONTH(DATE(2025,5,1),0)) 
+ SUMIFS(Pasivo!N:N,Pasivo!B:B,A80 ,Pasivo!E:E,"No Pagado",Pasivo!C:C, "04 abr",Pasivo!F:F,"")
+SUMIFS(Pasivo!N:N,Pasivo!B:B,A80 ,Pasivo!E:E,"No Pagado",Pasivo!C:C, "04 abr",Pasivo!F:F, "&gt;"&amp;EOMONTH(DATE(2025,5,1),0))
+ SUMIFS(Pasivo!N:N,Pasivo!B:B,A80 ,Pasivo!E:E,"No Pagado",Pasivo!C:C, "05 may",Pasivo!F:F,"")
+SUMIFS(Pasivo!N:N,Pasivo!B:B,A80 ,Pasivo!E:E,"No Pagado",Pasivo!C:C, "05 may",Pasivo!F:F, "&gt;"&amp;EOMONTH(DATE(2025,5,1),0))
</f>
        <v>1680.256385</v>
      </c>
    </row>
    <row r="81">
      <c r="A81" s="399" t="s">
        <v>164</v>
      </c>
      <c r="B81" s="400" t="s">
        <v>149</v>
      </c>
      <c r="C81" s="43">
        <v>2025.0</v>
      </c>
      <c r="D81" s="102">
        <f>SUMIFS(Pasivo!N:N,Pasivo!B:B,A81 ,Pasivo!E:E,"No Pagado",Pasivo!C:C, "01 ene",Pasivo!F:F,"")
+SUMIFS(Pasivo!N:N,Pasivo!B:B,A81 ,Pasivo!E:E,"No Pagado",Pasivo!C:C, "01 ene",Pasivo!F:F, "&gt;"&amp;EOMONTH(DATE(2025,5,1),0))
+ SUMIFS(Pasivo!N:N,Pasivo!B:B,A81 ,Pasivo!E:E,"No Pagado",Pasivo!C:C, "02 feb",Pasivo!F:F,"")
+SUMIFS(Pasivo!N:N,Pasivo!B:B,A81 ,Pasivo!E:E,"No Pagado",Pasivo!C:C, "02 feb",Pasivo!F:F, "&gt;"&amp;EOMONTH(DATE(2025,5,1),0))
+ SUMIFS(Pasivo!N:N,Pasivo!B:B,A81 ,Pasivo!E:E,"No Pagado",Pasivo!C:C, "03 mar",Pasivo!F:F,"")
+SUMIFS(Pasivo!N:N,Pasivo!B:B,A81 ,Pasivo!E:E,"No Pagado",Pasivo!C:C, "03 mar",Pasivo!F:F, "&gt;"&amp;EOMONTH(DATE(2025,5,1),0)) 
+ SUMIFS(Pasivo!N:N,Pasivo!B:B,A81 ,Pasivo!E:E,"No Pagado",Pasivo!C:C, "04 abr",Pasivo!F:F,"")
+SUMIFS(Pasivo!N:N,Pasivo!B:B,A81 ,Pasivo!E:E,"No Pagado",Pasivo!C:C, "04 abr",Pasivo!F:F, "&gt;"&amp;EOMONTH(DATE(2025,5,1),0))
+ SUMIFS(Pasivo!N:N,Pasivo!B:B,A81 ,Pasivo!E:E,"No Pagado",Pasivo!C:C, "05 may",Pasivo!F:F,"")
+SUMIFS(Pasivo!N:N,Pasivo!B:B,A81 ,Pasivo!E:E,"No Pagado",Pasivo!C:C, "05 may",Pasivo!F:F, "&gt;"&amp;EOMONTH(DATE(2025,5,1),0))
</f>
        <v>41.72024237</v>
      </c>
    </row>
    <row r="82">
      <c r="A82" s="399" t="s">
        <v>170</v>
      </c>
      <c r="B82" s="400" t="s">
        <v>149</v>
      </c>
      <c r="C82" s="43">
        <v>2025.0</v>
      </c>
      <c r="D82" s="102">
        <f>SUMIFS(Pasivo!N:N,Pasivo!B:B,A82 ,Pasivo!E:E,"No Pagado",Pasivo!C:C, "01 ene",Pasivo!F:F,"")
+SUMIFS(Pasivo!N:N,Pasivo!B:B,A82 ,Pasivo!E:E,"No Pagado",Pasivo!C:C, "01 ene",Pasivo!F:F, "&gt;"&amp;EOMONTH(DATE(2025,5,1),0))
+ SUMIFS(Pasivo!N:N,Pasivo!B:B,A82 ,Pasivo!E:E,"No Pagado",Pasivo!C:C, "02 feb",Pasivo!F:F,"")
+SUMIFS(Pasivo!N:N,Pasivo!B:B,A82 ,Pasivo!E:E,"No Pagado",Pasivo!C:C, "02 feb",Pasivo!F:F, "&gt;"&amp;EOMONTH(DATE(2025,5,1),0))
+ SUMIFS(Pasivo!N:N,Pasivo!B:B,A82 ,Pasivo!E:E,"No Pagado",Pasivo!C:C, "03 mar",Pasivo!F:F,"")
+SUMIFS(Pasivo!N:N,Pasivo!B:B,A82 ,Pasivo!E:E,"No Pagado",Pasivo!C:C, "03 mar",Pasivo!F:F, "&gt;"&amp;EOMONTH(DATE(2025,5,1),0)) 
+ SUMIFS(Pasivo!N:N,Pasivo!B:B,A82 ,Pasivo!E:E,"No Pagado",Pasivo!C:C, "04 abr",Pasivo!F:F,"")
+SUMIFS(Pasivo!N:N,Pasivo!B:B,A82 ,Pasivo!E:E,"No Pagado",Pasivo!C:C, "04 abr",Pasivo!F:F, "&gt;"&amp;EOMONTH(DATE(2025,5,1),0))
+ SUMIFS(Pasivo!N:N,Pasivo!B:B,A82 ,Pasivo!E:E,"No Pagado",Pasivo!C:C, "05 may",Pasivo!F:F,"")
+SUMIFS(Pasivo!N:N,Pasivo!B:B,A82 ,Pasivo!E:E,"No Pagado",Pasivo!C:C, "05 may",Pasivo!F:F, "&gt;"&amp;EOMONTH(DATE(2025,5,1),0))
</f>
        <v>81.01265823</v>
      </c>
    </row>
    <row r="83">
      <c r="A83" s="399" t="s">
        <v>174</v>
      </c>
      <c r="B83" s="400" t="s">
        <v>149</v>
      </c>
      <c r="C83" s="43">
        <v>2025.0</v>
      </c>
      <c r="D83" s="102">
        <f>SUMIFS(Pasivo!N:N,Pasivo!B:B,A83 ,Pasivo!E:E,"No Pagado",Pasivo!C:C, "01 ene",Pasivo!F:F,"")
+SUMIFS(Pasivo!N:N,Pasivo!B:B,A83 ,Pasivo!E:E,"No Pagado",Pasivo!C:C, "01 ene",Pasivo!F:F, "&gt;"&amp;EOMONTH(DATE(2025,5,1),0))
+ SUMIFS(Pasivo!N:N,Pasivo!B:B,A83 ,Pasivo!E:E,"No Pagado",Pasivo!C:C, "02 feb",Pasivo!F:F,"")
+SUMIFS(Pasivo!N:N,Pasivo!B:B,A83 ,Pasivo!E:E,"No Pagado",Pasivo!C:C, "02 feb",Pasivo!F:F, "&gt;"&amp;EOMONTH(DATE(2025,5,1),0))
+ SUMIFS(Pasivo!N:N,Pasivo!B:B,A83 ,Pasivo!E:E,"No Pagado",Pasivo!C:C, "03 mar",Pasivo!F:F,"")
+SUMIFS(Pasivo!N:N,Pasivo!B:B,A83 ,Pasivo!E:E,"No Pagado",Pasivo!C:C, "03 mar",Pasivo!F:F, "&gt;"&amp;EOMONTH(DATE(2025,5,1),0)) 
+ SUMIFS(Pasivo!N:N,Pasivo!B:B,A83 ,Pasivo!E:E,"No Pagado",Pasivo!C:C, "04 abr",Pasivo!F:F,"")
+SUMIFS(Pasivo!N:N,Pasivo!B:B,A83 ,Pasivo!E:E,"No Pagado",Pasivo!C:C, "04 abr",Pasivo!F:F, "&gt;"&amp;EOMONTH(DATE(2025,5,1),0))
+ SUMIFS(Pasivo!N:N,Pasivo!B:B,A83 ,Pasivo!E:E,"No Pagado",Pasivo!C:C, "05 may",Pasivo!F:F,"")
+SUMIFS(Pasivo!N:N,Pasivo!B:B,A83 ,Pasivo!E:E,"No Pagado",Pasivo!C:C, "05 may",Pasivo!F:F, "&gt;"&amp;EOMONTH(DATE(2025,5,1),0))
</f>
        <v>455.6779661</v>
      </c>
    </row>
    <row r="84">
      <c r="A84" s="399" t="s">
        <v>178</v>
      </c>
      <c r="B84" s="400" t="s">
        <v>149</v>
      </c>
      <c r="C84" s="43">
        <v>2025.0</v>
      </c>
      <c r="D84" s="102">
        <f>SUMIFS(Pasivo!N:N,Pasivo!B:B,A84 ,Pasivo!E:E,"No Pagado",Pasivo!C:C, "01 ene",Pasivo!F:F,"")
+SUMIFS(Pasivo!N:N,Pasivo!B:B,A84 ,Pasivo!E:E,"No Pagado",Pasivo!C:C, "01 ene",Pasivo!F:F, "&gt;"&amp;EOMONTH(DATE(2025,5,1),0))
+ SUMIFS(Pasivo!N:N,Pasivo!B:B,A84 ,Pasivo!E:E,"No Pagado",Pasivo!C:C, "02 feb",Pasivo!F:F,"")
+SUMIFS(Pasivo!N:N,Pasivo!B:B,A84 ,Pasivo!E:E,"No Pagado",Pasivo!C:C, "02 feb",Pasivo!F:F, "&gt;"&amp;EOMONTH(DATE(2025,5,1),0))
+ SUMIFS(Pasivo!N:N,Pasivo!B:B,A84 ,Pasivo!E:E,"No Pagado",Pasivo!C:C, "03 mar",Pasivo!F:F,"")
+SUMIFS(Pasivo!N:N,Pasivo!B:B,A84 ,Pasivo!E:E,"No Pagado",Pasivo!C:C, "03 mar",Pasivo!F:F, "&gt;"&amp;EOMONTH(DATE(2025,5,1),0)) 
+ SUMIFS(Pasivo!N:N,Pasivo!B:B,A84 ,Pasivo!E:E,"No Pagado",Pasivo!C:C, "04 abr",Pasivo!F:F,"")
+SUMIFS(Pasivo!N:N,Pasivo!B:B,A84 ,Pasivo!E:E,"No Pagado",Pasivo!C:C, "04 abr",Pasivo!F:F, "&gt;"&amp;EOMONTH(DATE(2025,5,1),0))
+ SUMIFS(Pasivo!N:N,Pasivo!B:B,A84 ,Pasivo!E:E,"No Pagado",Pasivo!C:C, "05 may",Pasivo!F:F,"")
+SUMIFS(Pasivo!N:N,Pasivo!B:B,A84 ,Pasivo!E:E,"No Pagado",Pasivo!C:C, "05 may",Pasivo!F:F, "&gt;"&amp;EOMONTH(DATE(2025,5,1),0))
</f>
        <v>189.4994153</v>
      </c>
    </row>
    <row r="85">
      <c r="A85" s="399" t="s">
        <v>139</v>
      </c>
      <c r="B85" s="400" t="s">
        <v>149</v>
      </c>
      <c r="C85" s="43">
        <v>2025.0</v>
      </c>
      <c r="D85" s="102">
        <f>SUMIFS(Pasivo!N:N,Pasivo!B:B,A85 ,Pasivo!E:E,"No Pagado",Pasivo!C:C, "01 ene",Pasivo!F:F,"")
+SUMIFS(Pasivo!N:N,Pasivo!B:B,A85 ,Pasivo!E:E,"No Pagado",Pasivo!C:C, "01 ene",Pasivo!F:F, "&gt;"&amp;EOMONTH(DATE(2025,5,1),0))
+ SUMIFS(Pasivo!N:N,Pasivo!B:B,A85 ,Pasivo!E:E,"No Pagado",Pasivo!C:C, "02 feb",Pasivo!F:F,"")
+SUMIFS(Pasivo!N:N,Pasivo!B:B,A85 ,Pasivo!E:E,"No Pagado",Pasivo!C:C, "02 feb",Pasivo!F:F, "&gt;"&amp;EOMONTH(DATE(2025,5,1),0))
+ SUMIFS(Pasivo!N:N,Pasivo!B:B,A85 ,Pasivo!E:E,"No Pagado",Pasivo!C:C, "03 mar",Pasivo!F:F,"")
+SUMIFS(Pasivo!N:N,Pasivo!B:B,A85 ,Pasivo!E:E,"No Pagado",Pasivo!C:C, "03 mar",Pasivo!F:F, "&gt;"&amp;EOMONTH(DATE(2025,5,1),0)) 
+ SUMIFS(Pasivo!N:N,Pasivo!B:B,A85 ,Pasivo!E:E,"No Pagado",Pasivo!C:C, "04 abr",Pasivo!F:F,"")
+SUMIFS(Pasivo!N:N,Pasivo!B:B,A85 ,Pasivo!E:E,"No Pagado",Pasivo!C:C, "04 abr",Pasivo!F:F, "&gt;"&amp;EOMONTH(DATE(2025,5,1),0))
+ SUMIFS(Pasivo!N:N,Pasivo!B:B,A85 ,Pasivo!E:E,"No Pagado",Pasivo!C:C, "05 may",Pasivo!F:F,"")
+SUMIFS(Pasivo!N:N,Pasivo!B:B,A85 ,Pasivo!E:E,"No Pagado",Pasivo!C:C, "05 may",Pasivo!F:F, "&gt;"&amp;EOMONTH(DATE(2025,5,1),0))
</f>
        <v>38.69355932</v>
      </c>
    </row>
    <row r="86">
      <c r="A86" s="401" t="s">
        <v>185</v>
      </c>
      <c r="B86" s="400" t="s">
        <v>149</v>
      </c>
      <c r="C86" s="43">
        <v>2025.0</v>
      </c>
      <c r="D86" s="102">
        <f>SUMIFS(Pasivo!N:N,Pasivo!B:B,A86 ,Pasivo!E:E,"No Pagado",Pasivo!C:C, "01 ene",Pasivo!F:F,"")
+SUMIFS(Pasivo!N:N,Pasivo!B:B,A86 ,Pasivo!E:E,"No Pagado",Pasivo!C:C, "01 ene",Pasivo!F:F, "&gt;"&amp;EOMONTH(DATE(2025,5,1),0))
+ SUMIFS(Pasivo!N:N,Pasivo!B:B,A86 ,Pasivo!E:E,"No Pagado",Pasivo!C:C, "02 feb",Pasivo!F:F,"")
+SUMIFS(Pasivo!N:N,Pasivo!B:B,A86 ,Pasivo!E:E,"No Pagado",Pasivo!C:C, "02 feb",Pasivo!F:F, "&gt;"&amp;EOMONTH(DATE(2025,5,1),0))
+ SUMIFS(Pasivo!N:N,Pasivo!B:B,A86 ,Pasivo!E:E,"No Pagado",Pasivo!C:C, "03 mar",Pasivo!F:F,"")
+SUMIFS(Pasivo!N:N,Pasivo!B:B,A86 ,Pasivo!E:E,"No Pagado",Pasivo!C:C, "03 mar",Pasivo!F:F, "&gt;"&amp;EOMONTH(DATE(2025,5,1),0)) 
+ SUMIFS(Pasivo!N:N,Pasivo!B:B,A86 ,Pasivo!E:E,"No Pagado",Pasivo!C:C, "04 abr",Pasivo!F:F,"")
+SUMIFS(Pasivo!N:N,Pasivo!B:B,A86 ,Pasivo!E:E,"No Pagado",Pasivo!C:C, "04 abr",Pasivo!F:F, "&gt;"&amp;EOMONTH(DATE(2025,5,1),0))
+ SUMIFS(Pasivo!N:N,Pasivo!B:B,A86 ,Pasivo!E:E,"No Pagado",Pasivo!C:C, "05 may",Pasivo!F:F,"")
+SUMIFS(Pasivo!N:N,Pasivo!B:B,A86 ,Pasivo!E:E,"No Pagado",Pasivo!C:C, "05 may",Pasivo!F:F, "&gt;"&amp;EOMONTH(DATE(2025,5,1),0))
</f>
        <v>38.6440678</v>
      </c>
    </row>
    <row r="87">
      <c r="A87" s="401" t="s">
        <v>188</v>
      </c>
      <c r="B87" s="400" t="s">
        <v>149</v>
      </c>
      <c r="C87" s="43">
        <v>2025.0</v>
      </c>
      <c r="D87" s="102">
        <f>SUMIFS(Pasivo!N:N,Pasivo!B:B,A87 ,Pasivo!E:E,"No Pagado",Pasivo!C:C, "01 ene",Pasivo!F:F,"")
+SUMIFS(Pasivo!N:N,Pasivo!B:B,A87 ,Pasivo!E:E,"No Pagado",Pasivo!C:C, "01 ene",Pasivo!F:F, "&gt;"&amp;EOMONTH(DATE(2025,5,1),0))
+ SUMIFS(Pasivo!N:N,Pasivo!B:B,A87 ,Pasivo!E:E,"No Pagado",Pasivo!C:C, "02 feb",Pasivo!F:F,"")
+SUMIFS(Pasivo!N:N,Pasivo!B:B,A87 ,Pasivo!E:E,"No Pagado",Pasivo!C:C, "02 feb",Pasivo!F:F, "&gt;"&amp;EOMONTH(DATE(2025,5,1),0))
+ SUMIFS(Pasivo!N:N,Pasivo!B:B,A87 ,Pasivo!E:E,"No Pagado",Pasivo!C:C, "03 mar",Pasivo!F:F,"")
+SUMIFS(Pasivo!N:N,Pasivo!B:B,A87 ,Pasivo!E:E,"No Pagado",Pasivo!C:C, "03 mar",Pasivo!F:F, "&gt;"&amp;EOMONTH(DATE(2025,5,1),0)) 
+ SUMIFS(Pasivo!N:N,Pasivo!B:B,A87 ,Pasivo!E:E,"No Pagado",Pasivo!C:C, "04 abr",Pasivo!F:F,"")
+SUMIFS(Pasivo!N:N,Pasivo!B:B,A87 ,Pasivo!E:E,"No Pagado",Pasivo!C:C, "04 abr",Pasivo!F:F, "&gt;"&amp;EOMONTH(DATE(2025,5,1),0))
+ SUMIFS(Pasivo!N:N,Pasivo!B:B,A87 ,Pasivo!E:E,"No Pagado",Pasivo!C:C, "05 may",Pasivo!F:F,"")
+SUMIFS(Pasivo!N:N,Pasivo!B:B,A87 ,Pasivo!E:E,"No Pagado",Pasivo!C:C, "05 may",Pasivo!F:F, "&gt;"&amp;EOMONTH(DATE(2025,5,1),0))
</f>
        <v>0</v>
      </c>
    </row>
    <row r="88">
      <c r="A88" s="401" t="s">
        <v>192</v>
      </c>
      <c r="B88" s="400" t="s">
        <v>149</v>
      </c>
      <c r="C88" s="43">
        <v>2025.0</v>
      </c>
      <c r="D88" s="102">
        <f>SUMIFS(Pasivo!N:N,Pasivo!B:B,A88 ,Pasivo!E:E,"No Pagado",Pasivo!C:C, "01 ene",Pasivo!F:F,"")
+SUMIFS(Pasivo!N:N,Pasivo!B:B,A88 ,Pasivo!E:E,"No Pagado",Pasivo!C:C, "01 ene",Pasivo!F:F, "&gt;"&amp;EOMONTH(DATE(2025,5,1),0))
+ SUMIFS(Pasivo!N:N,Pasivo!B:B,A88 ,Pasivo!E:E,"No Pagado",Pasivo!C:C, "02 feb",Pasivo!F:F,"")
+SUMIFS(Pasivo!N:N,Pasivo!B:B,A88 ,Pasivo!E:E,"No Pagado",Pasivo!C:C, "02 feb",Pasivo!F:F, "&gt;"&amp;EOMONTH(DATE(2025,5,1),0))
+ SUMIFS(Pasivo!N:N,Pasivo!B:B,A88 ,Pasivo!E:E,"No Pagado",Pasivo!C:C, "03 mar",Pasivo!F:F,"")
+SUMIFS(Pasivo!N:N,Pasivo!B:B,A88 ,Pasivo!E:E,"No Pagado",Pasivo!C:C, "03 mar",Pasivo!F:F, "&gt;"&amp;EOMONTH(DATE(2025,5,1),0)) 
+ SUMIFS(Pasivo!N:N,Pasivo!B:B,A88 ,Pasivo!E:E,"No Pagado",Pasivo!C:C, "04 abr",Pasivo!F:F,"")
+SUMIFS(Pasivo!N:N,Pasivo!B:B,A88 ,Pasivo!E:E,"No Pagado",Pasivo!C:C, "04 abr",Pasivo!F:F, "&gt;"&amp;EOMONTH(DATE(2025,5,1),0))
+ SUMIFS(Pasivo!N:N,Pasivo!B:B,A88 ,Pasivo!E:E,"No Pagado",Pasivo!C:C, "05 may",Pasivo!F:F,"")
+SUMIFS(Pasivo!N:N,Pasivo!B:B,A88 ,Pasivo!E:E,"No Pagado",Pasivo!C:C, "05 may",Pasivo!F:F, "&gt;"&amp;EOMONTH(DATE(2025,5,1),0))
</f>
        <v>0</v>
      </c>
    </row>
    <row r="89">
      <c r="A89" s="401" t="s">
        <v>195</v>
      </c>
      <c r="B89" s="400" t="s">
        <v>149</v>
      </c>
      <c r="C89" s="43">
        <v>2025.0</v>
      </c>
      <c r="D89" s="102">
        <f>SUMIFS(Pasivo!N:N,Pasivo!B:B,A89 ,Pasivo!E:E,"No Pagado",Pasivo!C:C, "01 ene",Pasivo!F:F,"")
+SUMIFS(Pasivo!N:N,Pasivo!B:B,A89 ,Pasivo!E:E,"No Pagado",Pasivo!C:C, "01 ene",Pasivo!F:F, "&gt;"&amp;EOMONTH(DATE(2025,5,1),0))
+ SUMIFS(Pasivo!N:N,Pasivo!B:B,A89 ,Pasivo!E:E,"No Pagado",Pasivo!C:C, "02 feb",Pasivo!F:F,"")
+SUMIFS(Pasivo!N:N,Pasivo!B:B,A89 ,Pasivo!E:E,"No Pagado",Pasivo!C:C, "02 feb",Pasivo!F:F, "&gt;"&amp;EOMONTH(DATE(2025,5,1),0))
+ SUMIFS(Pasivo!N:N,Pasivo!B:B,A89 ,Pasivo!E:E,"No Pagado",Pasivo!C:C, "03 mar",Pasivo!F:F,"")
+SUMIFS(Pasivo!N:N,Pasivo!B:B,A89 ,Pasivo!E:E,"No Pagado",Pasivo!C:C, "03 mar",Pasivo!F:F, "&gt;"&amp;EOMONTH(DATE(2025,5,1),0)) 
+ SUMIFS(Pasivo!N:N,Pasivo!B:B,A89 ,Pasivo!E:E,"No Pagado",Pasivo!C:C, "04 abr",Pasivo!F:F,"")
+SUMIFS(Pasivo!N:N,Pasivo!B:B,A89 ,Pasivo!E:E,"No Pagado",Pasivo!C:C, "04 abr",Pasivo!F:F, "&gt;"&amp;EOMONTH(DATE(2025,5,1),0))
+ SUMIFS(Pasivo!N:N,Pasivo!B:B,A89 ,Pasivo!E:E,"No Pagado",Pasivo!C:C, "05 may",Pasivo!F:F,"")
+SUMIFS(Pasivo!N:N,Pasivo!B:B,A89 ,Pasivo!E:E,"No Pagado",Pasivo!C:C, "05 may",Pasivo!F:F, "&gt;"&amp;EOMONTH(DATE(2025,5,1),0))
</f>
        <v>0</v>
      </c>
    </row>
    <row r="90">
      <c r="A90" s="401" t="s">
        <v>198</v>
      </c>
      <c r="B90" s="400" t="s">
        <v>149</v>
      </c>
      <c r="C90" s="43">
        <v>2025.0</v>
      </c>
      <c r="D90" s="102">
        <f>SUMIFS(Pasivo!N:N,Pasivo!B:B,A90 ,Pasivo!E:E,"No Pagado",Pasivo!C:C, "01 ene",Pasivo!F:F,"")
+SUMIFS(Pasivo!N:N,Pasivo!B:B,A90 ,Pasivo!E:E,"No Pagado",Pasivo!C:C, "01 ene",Pasivo!F:F, "&gt;"&amp;EOMONTH(DATE(2025,5,1),0))
+ SUMIFS(Pasivo!N:N,Pasivo!B:B,A90 ,Pasivo!E:E,"No Pagado",Pasivo!C:C, "02 feb",Pasivo!F:F,"")
+SUMIFS(Pasivo!N:N,Pasivo!B:B,A90 ,Pasivo!E:E,"No Pagado",Pasivo!C:C, "02 feb",Pasivo!F:F, "&gt;"&amp;EOMONTH(DATE(2025,5,1),0))
+ SUMIFS(Pasivo!N:N,Pasivo!B:B,A90 ,Pasivo!E:E,"No Pagado",Pasivo!C:C, "03 mar",Pasivo!F:F,"")
+SUMIFS(Pasivo!N:N,Pasivo!B:B,A90 ,Pasivo!E:E,"No Pagado",Pasivo!C:C, "03 mar",Pasivo!F:F, "&gt;"&amp;EOMONTH(DATE(2025,5,1),0)) 
+ SUMIFS(Pasivo!N:N,Pasivo!B:B,A90 ,Pasivo!E:E,"No Pagado",Pasivo!C:C, "04 abr",Pasivo!F:F,"")
+SUMIFS(Pasivo!N:N,Pasivo!B:B,A90 ,Pasivo!E:E,"No Pagado",Pasivo!C:C, "04 abr",Pasivo!F:F, "&gt;"&amp;EOMONTH(DATE(2025,5,1),0))
+ SUMIFS(Pasivo!N:N,Pasivo!B:B,A90 ,Pasivo!E:E,"No Pagado",Pasivo!C:C, "05 may",Pasivo!F:F,"")
+SUMIFS(Pasivo!N:N,Pasivo!B:B,A90 ,Pasivo!E:E,"No Pagado",Pasivo!C:C, "05 may",Pasivo!F:F, "&gt;"&amp;EOMONTH(DATE(2025,5,1),0))
</f>
        <v>0</v>
      </c>
    </row>
    <row r="91">
      <c r="A91" s="402" t="s">
        <v>201</v>
      </c>
      <c r="B91" s="400" t="s">
        <v>149</v>
      </c>
      <c r="C91" s="43">
        <v>2025.0</v>
      </c>
      <c r="D91" s="102">
        <f>SUMIFS(Pasivo!N:N,Pasivo!B:B,A91 ,Pasivo!E:E,"No Pagado",Pasivo!C:C, "01 ene",Pasivo!F:F,"")
+SUMIFS(Pasivo!N:N,Pasivo!B:B,A91 ,Pasivo!E:E,"No Pagado",Pasivo!C:C, "01 ene",Pasivo!F:F, "&gt;"&amp;EOMONTH(DATE(2025,5,1),0))
+ SUMIFS(Pasivo!N:N,Pasivo!B:B,A91 ,Pasivo!E:E,"No Pagado",Pasivo!C:C, "02 feb",Pasivo!F:F,"")
+SUMIFS(Pasivo!N:N,Pasivo!B:B,A91 ,Pasivo!E:E,"No Pagado",Pasivo!C:C, "02 feb",Pasivo!F:F, "&gt;"&amp;EOMONTH(DATE(2025,5,1),0))
+ SUMIFS(Pasivo!N:N,Pasivo!B:B,A91 ,Pasivo!E:E,"No Pagado",Pasivo!C:C, "03 mar",Pasivo!F:F,"")
+SUMIFS(Pasivo!N:N,Pasivo!B:B,A91 ,Pasivo!E:E,"No Pagado",Pasivo!C:C, "03 mar",Pasivo!F:F, "&gt;"&amp;EOMONTH(DATE(2025,5,1),0)) 
+ SUMIFS(Pasivo!N:N,Pasivo!B:B,A91 ,Pasivo!E:E,"No Pagado",Pasivo!C:C, "04 abr",Pasivo!F:F,"")
+SUMIFS(Pasivo!N:N,Pasivo!B:B,A91 ,Pasivo!E:E,"No Pagado",Pasivo!C:C, "04 abr",Pasivo!F:F, "&gt;"&amp;EOMONTH(DATE(2025,5,1),0))
+ SUMIFS(Pasivo!N:N,Pasivo!B:B,A91 ,Pasivo!E:E,"No Pagado",Pasivo!C:C, "05 may",Pasivo!F:F,"")
+SUMIFS(Pasivo!N:N,Pasivo!B:B,A91 ,Pasivo!E:E,"No Pagado",Pasivo!C:C, "05 may",Pasivo!F:F, "&gt;"&amp;EOMONTH(DATE(2025,5,1),0))
</f>
        <v>0</v>
      </c>
    </row>
    <row r="92">
      <c r="A92" s="403" t="s">
        <v>121</v>
      </c>
      <c r="B92" s="404" t="s">
        <v>155</v>
      </c>
      <c r="C92" s="43">
        <v>2025.0</v>
      </c>
      <c r="D92" s="102">
        <f>SUMIFS(Pasivo!N:N,Pasivo!B:B,A92 ,Pasivo!E:E,"No Pagado",Pasivo!C:C, "01 ene",Pasivo!F:F,"")
+SUMIFS(Pasivo!N:N,Pasivo!B:B,A92 ,Pasivo!E:E,"No Pagado",Pasivo!C:C, "01 ene",Pasivo!F:F, "&gt;"&amp;EOMONTH(DATE(2025,6,1),0))
+ SUMIFS(Pasivo!N:N,Pasivo!B:B,A92 ,Pasivo!E:E,"No Pagado",Pasivo!C:C, "02 feb",Pasivo!F:F,"")
+SUMIFS(Pasivo!N:N,Pasivo!B:B,A92 ,Pasivo!E:E,"No Pagado",Pasivo!C:C, "02 feb",Pasivo!F:F, "&gt;"&amp;EOMONTH(DATE(2025,6,1),0))
+ SUMIFS(Pasivo!N:N,Pasivo!B:B,A92 ,Pasivo!E:E,"No Pagado",Pasivo!C:C, "03 mar",Pasivo!F:F,"")
+SUMIFS(Pasivo!N:N,Pasivo!B:B,A92 ,Pasivo!E:E,"No Pagado",Pasivo!C:C, "03 mar",Pasivo!F:F, "&gt;"&amp;EOMONTH(DATE(2025,6,1),0)) 
+ SUMIFS(Pasivo!N:N,Pasivo!B:B,A92 ,Pasivo!E:E,"No Pagado",Pasivo!C:C, "04 abr",Pasivo!F:F,"")
+SUMIFS(Pasivo!N:N,Pasivo!B:B,A92 ,Pasivo!E:E,"No Pagado",Pasivo!C:C, "04 abr",Pasivo!F:F, "&gt;"&amp;EOMONTH(DATE(2025,6,1),0))
+ SUMIFS(Pasivo!N:N,Pasivo!B:B,A92 ,Pasivo!E:E,"No Pagado",Pasivo!C:C, "05 may",Pasivo!F:F,"")
+SUMIFS(Pasivo!N:N,Pasivo!B:B,A92 ,Pasivo!E:E,"No Pagado",Pasivo!C:C, "05 may",Pasivo!F:F, "&gt;"&amp;EOMONTH(DATE(2025,6,1),0))
+ SUMIFS(Pasivo!N:N,Pasivo!B:B,A92 ,Pasivo!E:E,"No Pagado",Pasivo!C:C, "06 jun",Pasivo!F:F,"")
+SUMIFS(Pasivo!N:N,Pasivo!B:B,A92 ,Pasivo!E:E,"No Pagado",Pasivo!C:C, "06 jun",Pasivo!F:F, "&gt;"&amp;EOMONTH(DATE(2025,6,1),0))
</f>
        <v>5091.541564</v>
      </c>
    </row>
    <row r="93">
      <c r="A93" s="403" t="s">
        <v>128</v>
      </c>
      <c r="B93" s="404" t="s">
        <v>155</v>
      </c>
      <c r="C93" s="43">
        <v>2025.0</v>
      </c>
      <c r="D93" s="102">
        <f>SUMIFS(Pasivo!N:N,Pasivo!B:B,A93 ,Pasivo!E:E,"No Pagado",Pasivo!C:C, "01 ene",Pasivo!F:F,"")
+SUMIFS(Pasivo!N:N,Pasivo!B:B,A93 ,Pasivo!E:E,"No Pagado",Pasivo!C:C, "01 ene",Pasivo!F:F, "&gt;"&amp;EOMONTH(DATE(2025,6,1),0))
+ SUMIFS(Pasivo!N:N,Pasivo!B:B,A93 ,Pasivo!E:E,"No Pagado",Pasivo!C:C, "02 feb",Pasivo!F:F,"")
+SUMIFS(Pasivo!N:N,Pasivo!B:B,A93 ,Pasivo!E:E,"No Pagado",Pasivo!C:C, "02 feb",Pasivo!F:F, "&gt;"&amp;EOMONTH(DATE(2025,6,1),0))
+ SUMIFS(Pasivo!N:N,Pasivo!B:B,A93 ,Pasivo!E:E,"No Pagado",Pasivo!C:C, "03 mar",Pasivo!F:F,"")
+SUMIFS(Pasivo!N:N,Pasivo!B:B,A93 ,Pasivo!E:E,"No Pagado",Pasivo!C:C, "03 mar",Pasivo!F:F, "&gt;"&amp;EOMONTH(DATE(2025,6,1),0)) 
+ SUMIFS(Pasivo!N:N,Pasivo!B:B,A93 ,Pasivo!E:E,"No Pagado",Pasivo!C:C, "04 abr",Pasivo!F:F,"")
+SUMIFS(Pasivo!N:N,Pasivo!B:B,A93 ,Pasivo!E:E,"No Pagado",Pasivo!C:C, "04 abr",Pasivo!F:F, "&gt;"&amp;EOMONTH(DATE(2025,6,1),0))
+ SUMIFS(Pasivo!N:N,Pasivo!B:B,A93 ,Pasivo!E:E,"No Pagado",Pasivo!C:C, "05 may",Pasivo!F:F,"")
+SUMIFS(Pasivo!N:N,Pasivo!B:B,A93 ,Pasivo!E:E,"No Pagado",Pasivo!C:C, "05 may",Pasivo!F:F, "&gt;"&amp;EOMONTH(DATE(2025,6,1),0))
+ SUMIFS(Pasivo!N:N,Pasivo!B:B,A93 ,Pasivo!E:E,"No Pagado",Pasivo!C:C, "06 jun",Pasivo!F:F,"")
+SUMIFS(Pasivo!N:N,Pasivo!B:B,A93 ,Pasivo!E:E,"No Pagado",Pasivo!C:C, "06 jun",Pasivo!F:F, "&gt;"&amp;EOMONTH(DATE(2025,6,1),0))
</f>
        <v>424.6592593</v>
      </c>
    </row>
    <row r="94">
      <c r="A94" s="403" t="s">
        <v>134</v>
      </c>
      <c r="B94" s="404" t="s">
        <v>155</v>
      </c>
      <c r="C94" s="43">
        <v>2025.0</v>
      </c>
      <c r="D94" s="102">
        <f>SUMIFS(Pasivo!N:N,Pasivo!B:B,A94 ,Pasivo!E:E,"No Pagado",Pasivo!C:C, "01 ene",Pasivo!F:F,"")
+SUMIFS(Pasivo!N:N,Pasivo!B:B,A94 ,Pasivo!E:E,"No Pagado",Pasivo!C:C, "01 ene",Pasivo!F:F, "&gt;"&amp;EOMONTH(DATE(2025,6,1),0))
+ SUMIFS(Pasivo!N:N,Pasivo!B:B,A94 ,Pasivo!E:E,"No Pagado",Pasivo!C:C, "02 feb",Pasivo!F:F,"")
+SUMIFS(Pasivo!N:N,Pasivo!B:B,A94 ,Pasivo!E:E,"No Pagado",Pasivo!C:C, "02 feb",Pasivo!F:F, "&gt;"&amp;EOMONTH(DATE(2025,6,1),0))
+ SUMIFS(Pasivo!N:N,Pasivo!B:B,A94 ,Pasivo!E:E,"No Pagado",Pasivo!C:C, "03 mar",Pasivo!F:F,"")
+SUMIFS(Pasivo!N:N,Pasivo!B:B,A94 ,Pasivo!E:E,"No Pagado",Pasivo!C:C, "03 mar",Pasivo!F:F, "&gt;"&amp;EOMONTH(DATE(2025,6,1),0)) 
+ SUMIFS(Pasivo!N:N,Pasivo!B:B,A94 ,Pasivo!E:E,"No Pagado",Pasivo!C:C, "04 abr",Pasivo!F:F,"")
+SUMIFS(Pasivo!N:N,Pasivo!B:B,A94 ,Pasivo!E:E,"No Pagado",Pasivo!C:C, "04 abr",Pasivo!F:F, "&gt;"&amp;EOMONTH(DATE(2025,6,1),0))
+ SUMIFS(Pasivo!N:N,Pasivo!B:B,A94 ,Pasivo!E:E,"No Pagado",Pasivo!C:C, "05 may",Pasivo!F:F,"")
+SUMIFS(Pasivo!N:N,Pasivo!B:B,A94 ,Pasivo!E:E,"No Pagado",Pasivo!C:C, "05 may",Pasivo!F:F, "&gt;"&amp;EOMONTH(DATE(2025,6,1),0))
+ SUMIFS(Pasivo!N:N,Pasivo!B:B,A94 ,Pasivo!E:E,"No Pagado",Pasivo!C:C, "06 jun",Pasivo!F:F,"")
+SUMIFS(Pasivo!N:N,Pasivo!B:B,A94 ,Pasivo!E:E,"No Pagado",Pasivo!C:C, "06 jun",Pasivo!F:F, "&gt;"&amp;EOMONTH(DATE(2025,6,1),0))
</f>
        <v>4041.152263</v>
      </c>
    </row>
    <row r="95">
      <c r="A95" s="405" t="s">
        <v>140</v>
      </c>
      <c r="B95" s="404" t="s">
        <v>155</v>
      </c>
      <c r="C95" s="43">
        <v>2025.0</v>
      </c>
      <c r="D95" s="102">
        <f>SUMIFS(Pasivo!N:N,Pasivo!B:B,A95 ,Pasivo!E:E,"No Pagado",Pasivo!C:C, "01 ene",Pasivo!F:F,"")
+SUMIFS(Pasivo!N:N,Pasivo!B:B,A95 ,Pasivo!E:E,"No Pagado",Pasivo!C:C, "01 ene",Pasivo!F:F, "&gt;"&amp;EOMONTH(DATE(2025,6,1),0))
+ SUMIFS(Pasivo!N:N,Pasivo!B:B,A95 ,Pasivo!E:E,"No Pagado",Pasivo!C:C, "02 feb",Pasivo!F:F,"")
+SUMIFS(Pasivo!N:N,Pasivo!B:B,A95 ,Pasivo!E:E,"No Pagado",Pasivo!C:C, "02 feb",Pasivo!F:F, "&gt;"&amp;EOMONTH(DATE(2025,6,1),0))
+ SUMIFS(Pasivo!N:N,Pasivo!B:B,A95 ,Pasivo!E:E,"No Pagado",Pasivo!C:C, "03 mar",Pasivo!F:F,"")
+SUMIFS(Pasivo!N:N,Pasivo!B:B,A95 ,Pasivo!E:E,"No Pagado",Pasivo!C:C, "03 mar",Pasivo!F:F, "&gt;"&amp;EOMONTH(DATE(2025,6,1),0)) 
+ SUMIFS(Pasivo!N:N,Pasivo!B:B,A95 ,Pasivo!E:E,"No Pagado",Pasivo!C:C, "04 abr",Pasivo!F:F,"")
+SUMIFS(Pasivo!N:N,Pasivo!B:B,A95 ,Pasivo!E:E,"No Pagado",Pasivo!C:C, "04 abr",Pasivo!F:F, "&gt;"&amp;EOMONTH(DATE(2025,6,1),0))
+ SUMIFS(Pasivo!N:N,Pasivo!B:B,A95 ,Pasivo!E:E,"No Pagado",Pasivo!C:C, "05 may",Pasivo!F:F,"")
+SUMIFS(Pasivo!N:N,Pasivo!B:B,A95 ,Pasivo!E:E,"No Pagado",Pasivo!C:C, "05 may",Pasivo!F:F, "&gt;"&amp;EOMONTH(DATE(2025,6,1),0))
+ SUMIFS(Pasivo!N:N,Pasivo!B:B,A95 ,Pasivo!E:E,"No Pagado",Pasivo!C:C, "06 jun",Pasivo!F:F,"")
+SUMIFS(Pasivo!N:N,Pasivo!B:B,A95 ,Pasivo!E:E,"No Pagado",Pasivo!C:C, "06 jun",Pasivo!F:F, "&gt;"&amp;EOMONTH(DATE(2025,6,1),0))
</f>
        <v>1860.115226</v>
      </c>
    </row>
    <row r="96">
      <c r="A96" s="403" t="s">
        <v>147</v>
      </c>
      <c r="B96" s="404" t="s">
        <v>155</v>
      </c>
      <c r="C96" s="43">
        <v>2025.0</v>
      </c>
      <c r="D96" s="102">
        <f>SUMIFS(Pasivo!N:N,Pasivo!B:B,A96 ,Pasivo!E:E,"No Pagado",Pasivo!C:C, "01 ene",Pasivo!F:F,"")
+SUMIFS(Pasivo!N:N,Pasivo!B:B,A96 ,Pasivo!E:E,"No Pagado",Pasivo!C:C, "01 ene",Pasivo!F:F, "&gt;"&amp;EOMONTH(DATE(2025,6,1),0))
+ SUMIFS(Pasivo!N:N,Pasivo!B:B,A96 ,Pasivo!E:E,"No Pagado",Pasivo!C:C, "02 feb",Pasivo!F:F,"")
+SUMIFS(Pasivo!N:N,Pasivo!B:B,A96 ,Pasivo!E:E,"No Pagado",Pasivo!C:C, "02 feb",Pasivo!F:F, "&gt;"&amp;EOMONTH(DATE(2025,6,1),0))
+ SUMIFS(Pasivo!N:N,Pasivo!B:B,A96 ,Pasivo!E:E,"No Pagado",Pasivo!C:C, "03 mar",Pasivo!F:F,"")
+SUMIFS(Pasivo!N:N,Pasivo!B:B,A96 ,Pasivo!E:E,"No Pagado",Pasivo!C:C, "03 mar",Pasivo!F:F, "&gt;"&amp;EOMONTH(DATE(2025,6,1),0)) 
+ SUMIFS(Pasivo!N:N,Pasivo!B:B,A96 ,Pasivo!E:E,"No Pagado",Pasivo!C:C, "04 abr",Pasivo!F:F,"")
+SUMIFS(Pasivo!N:N,Pasivo!B:B,A96 ,Pasivo!E:E,"No Pagado",Pasivo!C:C, "04 abr",Pasivo!F:F, "&gt;"&amp;EOMONTH(DATE(2025,6,1),0))
+ SUMIFS(Pasivo!N:N,Pasivo!B:B,A96 ,Pasivo!E:E,"No Pagado",Pasivo!C:C, "05 may",Pasivo!F:F,"")
+SUMIFS(Pasivo!N:N,Pasivo!B:B,A96 ,Pasivo!E:E,"No Pagado",Pasivo!C:C, "05 may",Pasivo!F:F, "&gt;"&amp;EOMONTH(DATE(2025,6,1),0))
+ SUMIFS(Pasivo!N:N,Pasivo!B:B,A96 ,Pasivo!E:E,"No Pagado",Pasivo!C:C, "06 jun",Pasivo!F:F,"")
+SUMIFS(Pasivo!N:N,Pasivo!B:B,A96 ,Pasivo!E:E,"No Pagado",Pasivo!C:C, "06 jun",Pasivo!F:F, "&gt;"&amp;EOMONTH(DATE(2025,6,1),0))
</f>
        <v>4050</v>
      </c>
    </row>
    <row r="97">
      <c r="A97" s="403" t="s">
        <v>153</v>
      </c>
      <c r="B97" s="404" t="s">
        <v>155</v>
      </c>
      <c r="C97" s="43">
        <v>2025.0</v>
      </c>
      <c r="D97" s="102">
        <f>SUMIFS(Pasivo!N:N,Pasivo!B:B,A97 ,Pasivo!E:E,"No Pagado",Pasivo!C:C, "01 ene",Pasivo!F:F,"")
+SUMIFS(Pasivo!N:N,Pasivo!B:B,A97 ,Pasivo!E:E,"No Pagado",Pasivo!C:C, "01 ene",Pasivo!F:F, "&gt;"&amp;EOMONTH(DATE(2025,6,1),0))
+ SUMIFS(Pasivo!N:N,Pasivo!B:B,A97 ,Pasivo!E:E,"No Pagado",Pasivo!C:C, "02 feb",Pasivo!F:F,"")
+SUMIFS(Pasivo!N:N,Pasivo!B:B,A97 ,Pasivo!E:E,"No Pagado",Pasivo!C:C, "02 feb",Pasivo!F:F, "&gt;"&amp;EOMONTH(DATE(2025,6,1),0))
+ SUMIFS(Pasivo!N:N,Pasivo!B:B,A97 ,Pasivo!E:E,"No Pagado",Pasivo!C:C, "03 mar",Pasivo!F:F,"")
+SUMIFS(Pasivo!N:N,Pasivo!B:B,A97 ,Pasivo!E:E,"No Pagado",Pasivo!C:C, "03 mar",Pasivo!F:F, "&gt;"&amp;EOMONTH(DATE(2025,6,1),0)) 
+ SUMIFS(Pasivo!N:N,Pasivo!B:B,A97 ,Pasivo!E:E,"No Pagado",Pasivo!C:C, "04 abr",Pasivo!F:F,"")
+SUMIFS(Pasivo!N:N,Pasivo!B:B,A97 ,Pasivo!E:E,"No Pagado",Pasivo!C:C, "04 abr",Pasivo!F:F, "&gt;"&amp;EOMONTH(DATE(2025,6,1),0))
+ SUMIFS(Pasivo!N:N,Pasivo!B:B,A97 ,Pasivo!E:E,"No Pagado",Pasivo!C:C, "05 may",Pasivo!F:F,"")
+SUMIFS(Pasivo!N:N,Pasivo!B:B,A97 ,Pasivo!E:E,"No Pagado",Pasivo!C:C, "05 may",Pasivo!F:F, "&gt;"&amp;EOMONTH(DATE(2025,6,1),0))
+ SUMIFS(Pasivo!N:N,Pasivo!B:B,A97 ,Pasivo!E:E,"No Pagado",Pasivo!C:C, "06 jun",Pasivo!F:F,"")
+SUMIFS(Pasivo!N:N,Pasivo!B:B,A97 ,Pasivo!E:E,"No Pagado",Pasivo!C:C, "06 jun",Pasivo!F:F, "&gt;"&amp;EOMONTH(DATE(2025,6,1),0))
</f>
        <v>-8221.92</v>
      </c>
    </row>
    <row r="98">
      <c r="A98" s="403" t="s">
        <v>159</v>
      </c>
      <c r="B98" s="404" t="s">
        <v>155</v>
      </c>
      <c r="C98" s="43">
        <v>2025.0</v>
      </c>
      <c r="D98" s="102">
        <f>SUMIFS(Pasivo!N:N,Pasivo!B:B,A98 ,Pasivo!E:E,"No Pagado",Pasivo!C:C, "01 ene",Pasivo!F:F,"")
+SUMIFS(Pasivo!N:N,Pasivo!B:B,A98 ,Pasivo!E:E,"No Pagado",Pasivo!C:C, "01 ene",Pasivo!F:F, "&gt;"&amp;EOMONTH(DATE(2025,6,1),0))
+ SUMIFS(Pasivo!N:N,Pasivo!B:B,A98 ,Pasivo!E:E,"No Pagado",Pasivo!C:C, "02 feb",Pasivo!F:F,"")
+SUMIFS(Pasivo!N:N,Pasivo!B:B,A98 ,Pasivo!E:E,"No Pagado",Pasivo!C:C, "02 feb",Pasivo!F:F, "&gt;"&amp;EOMONTH(DATE(2025,6,1),0))
+ SUMIFS(Pasivo!N:N,Pasivo!B:B,A98 ,Pasivo!E:E,"No Pagado",Pasivo!C:C, "03 mar",Pasivo!F:F,"")
+SUMIFS(Pasivo!N:N,Pasivo!B:B,A98 ,Pasivo!E:E,"No Pagado",Pasivo!C:C, "03 mar",Pasivo!F:F, "&gt;"&amp;EOMONTH(DATE(2025,6,1),0)) 
+ SUMIFS(Pasivo!N:N,Pasivo!B:B,A98 ,Pasivo!E:E,"No Pagado",Pasivo!C:C, "04 abr",Pasivo!F:F,"")
+SUMIFS(Pasivo!N:N,Pasivo!B:B,A98 ,Pasivo!E:E,"No Pagado",Pasivo!C:C, "04 abr",Pasivo!F:F, "&gt;"&amp;EOMONTH(DATE(2025,6,1),0))
+ SUMIFS(Pasivo!N:N,Pasivo!B:B,A98 ,Pasivo!E:E,"No Pagado",Pasivo!C:C, "05 may",Pasivo!F:F,"")
+SUMIFS(Pasivo!N:N,Pasivo!B:B,A98 ,Pasivo!E:E,"No Pagado",Pasivo!C:C, "05 may",Pasivo!F:F, "&gt;"&amp;EOMONTH(DATE(2025,6,1),0))
+ SUMIFS(Pasivo!N:N,Pasivo!B:B,A98 ,Pasivo!E:E,"No Pagado",Pasivo!C:C, "06 jun",Pasivo!F:F,"")
+SUMIFS(Pasivo!N:N,Pasivo!B:B,A98 ,Pasivo!E:E,"No Pagado",Pasivo!C:C, "06 jun",Pasivo!F:F, "&gt;"&amp;EOMONTH(DATE(2025,6,1),0))
</f>
        <v>1788.587654</v>
      </c>
    </row>
    <row r="99">
      <c r="A99" s="403" t="s">
        <v>164</v>
      </c>
      <c r="B99" s="404" t="s">
        <v>155</v>
      </c>
      <c r="C99" s="43">
        <v>2025.0</v>
      </c>
      <c r="D99" s="102">
        <f>SUMIFS(Pasivo!N:N,Pasivo!B:B,A99 ,Pasivo!E:E,"No Pagado",Pasivo!C:C, "01 ene",Pasivo!F:F,"")
+SUMIFS(Pasivo!N:N,Pasivo!B:B,A99 ,Pasivo!E:E,"No Pagado",Pasivo!C:C, "01 ene",Pasivo!F:F, "&gt;"&amp;EOMONTH(DATE(2025,6,1),0))
+ SUMIFS(Pasivo!N:N,Pasivo!B:B,A99 ,Pasivo!E:E,"No Pagado",Pasivo!C:C, "02 feb",Pasivo!F:F,"")
+SUMIFS(Pasivo!N:N,Pasivo!B:B,A99 ,Pasivo!E:E,"No Pagado",Pasivo!C:C, "02 feb",Pasivo!F:F, "&gt;"&amp;EOMONTH(DATE(2025,6,1),0))
+ SUMIFS(Pasivo!N:N,Pasivo!B:B,A99 ,Pasivo!E:E,"No Pagado",Pasivo!C:C, "03 mar",Pasivo!F:F,"")
+SUMIFS(Pasivo!N:N,Pasivo!B:B,A99 ,Pasivo!E:E,"No Pagado",Pasivo!C:C, "03 mar",Pasivo!F:F, "&gt;"&amp;EOMONTH(DATE(2025,6,1),0)) 
+ SUMIFS(Pasivo!N:N,Pasivo!B:B,A99 ,Pasivo!E:E,"No Pagado",Pasivo!C:C, "04 abr",Pasivo!F:F,"")
+SUMIFS(Pasivo!N:N,Pasivo!B:B,A99 ,Pasivo!E:E,"No Pagado",Pasivo!C:C, "04 abr",Pasivo!F:F, "&gt;"&amp;EOMONTH(DATE(2025,6,1),0))
+ SUMIFS(Pasivo!N:N,Pasivo!B:B,A99 ,Pasivo!E:E,"No Pagado",Pasivo!C:C, "05 may",Pasivo!F:F,"")
+SUMIFS(Pasivo!N:N,Pasivo!B:B,A99 ,Pasivo!E:E,"No Pagado",Pasivo!C:C, "05 may",Pasivo!F:F, "&gt;"&amp;EOMONTH(DATE(2025,6,1),0))
+ SUMIFS(Pasivo!N:N,Pasivo!B:B,A99 ,Pasivo!E:E,"No Pagado",Pasivo!C:C, "06 jun",Pasivo!F:F,"")
+SUMIFS(Pasivo!N:N,Pasivo!B:B,A99 ,Pasivo!E:E,"No Pagado",Pasivo!C:C, "06 jun",Pasivo!F:F, "&gt;"&amp;EOMONTH(DATE(2025,6,1),0))
</f>
        <v>131.2661683</v>
      </c>
    </row>
    <row r="100">
      <c r="A100" s="403" t="s">
        <v>170</v>
      </c>
      <c r="B100" s="404" t="s">
        <v>155</v>
      </c>
      <c r="C100" s="43">
        <v>2025.0</v>
      </c>
      <c r="D100" s="102">
        <f>SUMIFS(Pasivo!N:N,Pasivo!B:B,A100 ,Pasivo!E:E,"No Pagado",Pasivo!C:C, "01 ene",Pasivo!F:F,"")
+SUMIFS(Pasivo!N:N,Pasivo!B:B,A100 ,Pasivo!E:E,"No Pagado",Pasivo!C:C, "01 ene",Pasivo!F:F, "&gt;"&amp;EOMONTH(DATE(2025,6,1),0))
+ SUMIFS(Pasivo!N:N,Pasivo!B:B,A100 ,Pasivo!E:E,"No Pagado",Pasivo!C:C, "02 feb",Pasivo!F:F,"")
+SUMIFS(Pasivo!N:N,Pasivo!B:B,A100 ,Pasivo!E:E,"No Pagado",Pasivo!C:C, "02 feb",Pasivo!F:F, "&gt;"&amp;EOMONTH(DATE(2025,6,1),0))
+ SUMIFS(Pasivo!N:N,Pasivo!B:B,A100 ,Pasivo!E:E,"No Pagado",Pasivo!C:C, "03 mar",Pasivo!F:F,"")
+SUMIFS(Pasivo!N:N,Pasivo!B:B,A100 ,Pasivo!E:E,"No Pagado",Pasivo!C:C, "03 mar",Pasivo!F:F, "&gt;"&amp;EOMONTH(DATE(2025,6,1),0)) 
+ SUMIFS(Pasivo!N:N,Pasivo!B:B,A100 ,Pasivo!E:E,"No Pagado",Pasivo!C:C, "04 abr",Pasivo!F:F,"")
+SUMIFS(Pasivo!N:N,Pasivo!B:B,A100 ,Pasivo!E:E,"No Pagado",Pasivo!C:C, "04 abr",Pasivo!F:F, "&gt;"&amp;EOMONTH(DATE(2025,6,1),0))
+ SUMIFS(Pasivo!N:N,Pasivo!B:B,A100 ,Pasivo!E:E,"No Pagado",Pasivo!C:C, "05 may",Pasivo!F:F,"")
+SUMIFS(Pasivo!N:N,Pasivo!B:B,A100 ,Pasivo!E:E,"No Pagado",Pasivo!C:C, "05 may",Pasivo!F:F, "&gt;"&amp;EOMONTH(DATE(2025,6,1),0))
+ SUMIFS(Pasivo!N:N,Pasivo!B:B,A100 ,Pasivo!E:E,"No Pagado",Pasivo!C:C, "06 jun",Pasivo!F:F,"")
+SUMIFS(Pasivo!N:N,Pasivo!B:B,A100 ,Pasivo!E:E,"No Pagado",Pasivo!C:C, "06 jun",Pasivo!F:F, "&gt;"&amp;EOMONTH(DATE(2025,6,1),0))
</f>
        <v>81.01265823</v>
      </c>
    </row>
    <row r="101">
      <c r="A101" s="403" t="s">
        <v>174</v>
      </c>
      <c r="B101" s="404" t="s">
        <v>155</v>
      </c>
      <c r="C101" s="43">
        <v>2025.0</v>
      </c>
      <c r="D101" s="102">
        <f>SUMIFS(Pasivo!N:N,Pasivo!B:B,A101 ,Pasivo!E:E,"No Pagado",Pasivo!C:C, "01 ene",Pasivo!F:F,"")
+SUMIFS(Pasivo!N:N,Pasivo!B:B,A101 ,Pasivo!E:E,"No Pagado",Pasivo!C:C, "01 ene",Pasivo!F:F, "&gt;"&amp;EOMONTH(DATE(2025,6,1),0))
+ SUMIFS(Pasivo!N:N,Pasivo!B:B,A101 ,Pasivo!E:E,"No Pagado",Pasivo!C:C, "02 feb",Pasivo!F:F,"")
+SUMIFS(Pasivo!N:N,Pasivo!B:B,A101 ,Pasivo!E:E,"No Pagado",Pasivo!C:C, "02 feb",Pasivo!F:F, "&gt;"&amp;EOMONTH(DATE(2025,6,1),0))
+ SUMIFS(Pasivo!N:N,Pasivo!B:B,A101 ,Pasivo!E:E,"No Pagado",Pasivo!C:C, "03 mar",Pasivo!F:F,"")
+SUMIFS(Pasivo!N:N,Pasivo!B:B,A101 ,Pasivo!E:E,"No Pagado",Pasivo!C:C, "03 mar",Pasivo!F:F, "&gt;"&amp;EOMONTH(DATE(2025,6,1),0)) 
+ SUMIFS(Pasivo!N:N,Pasivo!B:B,A101 ,Pasivo!E:E,"No Pagado",Pasivo!C:C, "04 abr",Pasivo!F:F,"")
+SUMIFS(Pasivo!N:N,Pasivo!B:B,A101 ,Pasivo!E:E,"No Pagado",Pasivo!C:C, "04 abr",Pasivo!F:F, "&gt;"&amp;EOMONTH(DATE(2025,6,1),0))
+ SUMIFS(Pasivo!N:N,Pasivo!B:B,A101 ,Pasivo!E:E,"No Pagado",Pasivo!C:C, "05 may",Pasivo!F:F,"")
+SUMIFS(Pasivo!N:N,Pasivo!B:B,A101 ,Pasivo!E:E,"No Pagado",Pasivo!C:C, "05 may",Pasivo!F:F, "&gt;"&amp;EOMONTH(DATE(2025,6,1),0))
+ SUMIFS(Pasivo!N:N,Pasivo!B:B,A101 ,Pasivo!E:E,"No Pagado",Pasivo!C:C, "06 jun",Pasivo!F:F,"")
+SUMIFS(Pasivo!N:N,Pasivo!B:B,A101 ,Pasivo!E:E,"No Pagado",Pasivo!C:C, "06 jun",Pasivo!F:F, "&gt;"&amp;EOMONTH(DATE(2025,6,1),0))
</f>
        <v>442.5514403</v>
      </c>
    </row>
    <row r="102">
      <c r="A102" s="403" t="s">
        <v>178</v>
      </c>
      <c r="B102" s="404" t="s">
        <v>155</v>
      </c>
      <c r="C102" s="43">
        <v>2025.0</v>
      </c>
      <c r="D102" s="102">
        <f>SUMIFS(Pasivo!N:N,Pasivo!B:B,A102 ,Pasivo!E:E,"No Pagado",Pasivo!C:C, "01 ene",Pasivo!F:F,"")
+SUMIFS(Pasivo!N:N,Pasivo!B:B,A102 ,Pasivo!E:E,"No Pagado",Pasivo!C:C, "01 ene",Pasivo!F:F, "&gt;"&amp;EOMONTH(DATE(2025,6,1),0))
+ SUMIFS(Pasivo!N:N,Pasivo!B:B,A102 ,Pasivo!E:E,"No Pagado",Pasivo!C:C, "02 feb",Pasivo!F:F,"")
+SUMIFS(Pasivo!N:N,Pasivo!B:B,A102 ,Pasivo!E:E,"No Pagado",Pasivo!C:C, "02 feb",Pasivo!F:F, "&gt;"&amp;EOMONTH(DATE(2025,6,1),0))
+ SUMIFS(Pasivo!N:N,Pasivo!B:B,A102 ,Pasivo!E:E,"No Pagado",Pasivo!C:C, "03 mar",Pasivo!F:F,"")
+SUMIFS(Pasivo!N:N,Pasivo!B:B,A102 ,Pasivo!E:E,"No Pagado",Pasivo!C:C, "03 mar",Pasivo!F:F, "&gt;"&amp;EOMONTH(DATE(2025,6,1),0)) 
+ SUMIFS(Pasivo!N:N,Pasivo!B:B,A102 ,Pasivo!E:E,"No Pagado",Pasivo!C:C, "04 abr",Pasivo!F:F,"")
+SUMIFS(Pasivo!N:N,Pasivo!B:B,A102 ,Pasivo!E:E,"No Pagado",Pasivo!C:C, "04 abr",Pasivo!F:F, "&gt;"&amp;EOMONTH(DATE(2025,6,1),0))
+ SUMIFS(Pasivo!N:N,Pasivo!B:B,A102 ,Pasivo!E:E,"No Pagado",Pasivo!C:C, "05 may",Pasivo!F:F,"")
+SUMIFS(Pasivo!N:N,Pasivo!B:B,A102 ,Pasivo!E:E,"No Pagado",Pasivo!C:C, "05 may",Pasivo!F:F, "&gt;"&amp;EOMONTH(DATE(2025,6,1),0))
+ SUMIFS(Pasivo!N:N,Pasivo!B:B,A102 ,Pasivo!E:E,"No Pagado",Pasivo!C:C, "06 jun",Pasivo!F:F,"")
+SUMIFS(Pasivo!N:N,Pasivo!B:B,A102 ,Pasivo!E:E,"No Pagado",Pasivo!C:C, "06 jun",Pasivo!F:F, "&gt;"&amp;EOMONTH(DATE(2025,6,1),0))
</f>
        <v>91.67242798</v>
      </c>
    </row>
    <row r="103">
      <c r="A103" s="403" t="s">
        <v>139</v>
      </c>
      <c r="B103" s="404" t="s">
        <v>155</v>
      </c>
      <c r="C103" s="43">
        <v>2025.0</v>
      </c>
      <c r="D103" s="102">
        <f>SUMIFS(Pasivo!N:N,Pasivo!B:B,A103 ,Pasivo!E:E,"No Pagado",Pasivo!C:C, "01 ene",Pasivo!F:F,"")
+SUMIFS(Pasivo!N:N,Pasivo!B:B,A103 ,Pasivo!E:E,"No Pagado",Pasivo!C:C, "01 ene",Pasivo!F:F, "&gt;"&amp;EOMONTH(DATE(2025,6,1),0))
+ SUMIFS(Pasivo!N:N,Pasivo!B:B,A103 ,Pasivo!E:E,"No Pagado",Pasivo!C:C, "02 feb",Pasivo!F:F,"")
+SUMIFS(Pasivo!N:N,Pasivo!B:B,A103 ,Pasivo!E:E,"No Pagado",Pasivo!C:C, "02 feb",Pasivo!F:F, "&gt;"&amp;EOMONTH(DATE(2025,6,1),0))
+ SUMIFS(Pasivo!N:N,Pasivo!B:B,A103 ,Pasivo!E:E,"No Pagado",Pasivo!C:C, "03 mar",Pasivo!F:F,"")
+SUMIFS(Pasivo!N:N,Pasivo!B:B,A103 ,Pasivo!E:E,"No Pagado",Pasivo!C:C, "03 mar",Pasivo!F:F, "&gt;"&amp;EOMONTH(DATE(2025,6,1),0)) 
+ SUMIFS(Pasivo!N:N,Pasivo!B:B,A103 ,Pasivo!E:E,"No Pagado",Pasivo!C:C, "04 abr",Pasivo!F:F,"")
+SUMIFS(Pasivo!N:N,Pasivo!B:B,A103 ,Pasivo!E:E,"No Pagado",Pasivo!C:C, "04 abr",Pasivo!F:F, "&gt;"&amp;EOMONTH(DATE(2025,6,1),0))
+ SUMIFS(Pasivo!N:N,Pasivo!B:B,A103 ,Pasivo!E:E,"No Pagado",Pasivo!C:C, "05 may",Pasivo!F:F,"")
+SUMIFS(Pasivo!N:N,Pasivo!B:B,A103 ,Pasivo!E:E,"No Pagado",Pasivo!C:C, "05 may",Pasivo!F:F, "&gt;"&amp;EOMONTH(DATE(2025,6,1),0))
+ SUMIFS(Pasivo!N:N,Pasivo!B:B,A103 ,Pasivo!E:E,"No Pagado",Pasivo!C:C, "06 jun",Pasivo!F:F,"")
+SUMIFS(Pasivo!N:N,Pasivo!B:B,A103 ,Pasivo!E:E,"No Pagado",Pasivo!C:C, "06 jun",Pasivo!F:F, "&gt;"&amp;EOMONTH(DATE(2025,6,1),0))
</f>
        <v>18.78946502</v>
      </c>
    </row>
    <row r="104">
      <c r="A104" s="405" t="s">
        <v>185</v>
      </c>
      <c r="B104" s="404" t="s">
        <v>155</v>
      </c>
      <c r="C104" s="43">
        <v>2025.0</v>
      </c>
      <c r="D104" s="102">
        <f>SUMIFS(Pasivo!N:N,Pasivo!B:B,A104 ,Pasivo!E:E,"No Pagado",Pasivo!C:C, "01 ene",Pasivo!F:F,"")
+SUMIFS(Pasivo!N:N,Pasivo!B:B,A104 ,Pasivo!E:E,"No Pagado",Pasivo!C:C, "01 ene",Pasivo!F:F, "&gt;"&amp;EOMONTH(DATE(2025,6,1),0))
+ SUMIFS(Pasivo!N:N,Pasivo!B:B,A104 ,Pasivo!E:E,"No Pagado",Pasivo!C:C, "02 feb",Pasivo!F:F,"")
+SUMIFS(Pasivo!N:N,Pasivo!B:B,A104 ,Pasivo!E:E,"No Pagado",Pasivo!C:C, "02 feb",Pasivo!F:F, "&gt;"&amp;EOMONTH(DATE(2025,6,1),0))
+ SUMIFS(Pasivo!N:N,Pasivo!B:B,A104 ,Pasivo!E:E,"No Pagado",Pasivo!C:C, "03 mar",Pasivo!F:F,"")
+SUMIFS(Pasivo!N:N,Pasivo!B:B,A104 ,Pasivo!E:E,"No Pagado",Pasivo!C:C, "03 mar",Pasivo!F:F, "&gt;"&amp;EOMONTH(DATE(2025,6,1),0)) 
+ SUMIFS(Pasivo!N:N,Pasivo!B:B,A104 ,Pasivo!E:E,"No Pagado",Pasivo!C:C, "04 abr",Pasivo!F:F,"")
+SUMIFS(Pasivo!N:N,Pasivo!B:B,A104 ,Pasivo!E:E,"No Pagado",Pasivo!C:C, "04 abr",Pasivo!F:F, "&gt;"&amp;EOMONTH(DATE(2025,6,1),0))
+ SUMIFS(Pasivo!N:N,Pasivo!B:B,A104 ,Pasivo!E:E,"No Pagado",Pasivo!C:C, "05 may",Pasivo!F:F,"")
+SUMIFS(Pasivo!N:N,Pasivo!B:B,A104 ,Pasivo!E:E,"No Pagado",Pasivo!C:C, "05 may",Pasivo!F:F, "&gt;"&amp;EOMONTH(DATE(2025,6,1),0))
+ SUMIFS(Pasivo!N:N,Pasivo!B:B,A104 ,Pasivo!E:E,"No Pagado",Pasivo!C:C, "06 jun",Pasivo!F:F,"")
+SUMIFS(Pasivo!N:N,Pasivo!B:B,A104 ,Pasivo!E:E,"No Pagado",Pasivo!C:C, "06 jun",Pasivo!F:F, "&gt;"&amp;EOMONTH(DATE(2025,6,1),0))
</f>
        <v>0</v>
      </c>
    </row>
    <row r="105">
      <c r="A105" s="405" t="s">
        <v>188</v>
      </c>
      <c r="B105" s="404" t="s">
        <v>155</v>
      </c>
      <c r="C105" s="43">
        <v>2025.0</v>
      </c>
      <c r="D105" s="102">
        <f>SUMIFS(Pasivo!N:N,Pasivo!B:B,A105 ,Pasivo!E:E,"No Pagado",Pasivo!C:C, "01 ene",Pasivo!F:F,"")
+SUMIFS(Pasivo!N:N,Pasivo!B:B,A105 ,Pasivo!E:E,"No Pagado",Pasivo!C:C, "01 ene",Pasivo!F:F, "&gt;"&amp;EOMONTH(DATE(2025,6,1),0))
+ SUMIFS(Pasivo!N:N,Pasivo!B:B,A105 ,Pasivo!E:E,"No Pagado",Pasivo!C:C, "02 feb",Pasivo!F:F,"")
+SUMIFS(Pasivo!N:N,Pasivo!B:B,A105 ,Pasivo!E:E,"No Pagado",Pasivo!C:C, "02 feb",Pasivo!F:F, "&gt;"&amp;EOMONTH(DATE(2025,6,1),0))
+ SUMIFS(Pasivo!N:N,Pasivo!B:B,A105 ,Pasivo!E:E,"No Pagado",Pasivo!C:C, "03 mar",Pasivo!F:F,"")
+SUMIFS(Pasivo!N:N,Pasivo!B:B,A105 ,Pasivo!E:E,"No Pagado",Pasivo!C:C, "03 mar",Pasivo!F:F, "&gt;"&amp;EOMONTH(DATE(2025,6,1),0)) 
+ SUMIFS(Pasivo!N:N,Pasivo!B:B,A105 ,Pasivo!E:E,"No Pagado",Pasivo!C:C, "04 abr",Pasivo!F:F,"")
+SUMIFS(Pasivo!N:N,Pasivo!B:B,A105 ,Pasivo!E:E,"No Pagado",Pasivo!C:C, "04 abr",Pasivo!F:F, "&gt;"&amp;EOMONTH(DATE(2025,6,1),0))
+ SUMIFS(Pasivo!N:N,Pasivo!B:B,A105 ,Pasivo!E:E,"No Pagado",Pasivo!C:C, "05 may",Pasivo!F:F,"")
+SUMIFS(Pasivo!N:N,Pasivo!B:B,A105 ,Pasivo!E:E,"No Pagado",Pasivo!C:C, "05 may",Pasivo!F:F, "&gt;"&amp;EOMONTH(DATE(2025,6,1),0))
+ SUMIFS(Pasivo!N:N,Pasivo!B:B,A105 ,Pasivo!E:E,"No Pagado",Pasivo!C:C, "06 jun",Pasivo!F:F,"")
+SUMIFS(Pasivo!N:N,Pasivo!B:B,A105 ,Pasivo!E:E,"No Pagado",Pasivo!C:C, "06 jun",Pasivo!F:F, "&gt;"&amp;EOMONTH(DATE(2025,6,1),0))
</f>
        <v>0</v>
      </c>
    </row>
    <row r="106">
      <c r="A106" s="405" t="s">
        <v>192</v>
      </c>
      <c r="B106" s="404" t="s">
        <v>155</v>
      </c>
      <c r="C106" s="43">
        <v>2025.0</v>
      </c>
      <c r="D106" s="102">
        <f>SUMIFS(Pasivo!N:N,Pasivo!B:B,A106 ,Pasivo!E:E,"No Pagado",Pasivo!C:C, "01 ene",Pasivo!F:F,"")
+SUMIFS(Pasivo!N:N,Pasivo!B:B,A106 ,Pasivo!E:E,"No Pagado",Pasivo!C:C, "01 ene",Pasivo!F:F, "&gt;"&amp;EOMONTH(DATE(2025,6,1),0))
+ SUMIFS(Pasivo!N:N,Pasivo!B:B,A106 ,Pasivo!E:E,"No Pagado",Pasivo!C:C, "02 feb",Pasivo!F:F,"")
+SUMIFS(Pasivo!N:N,Pasivo!B:B,A106 ,Pasivo!E:E,"No Pagado",Pasivo!C:C, "02 feb",Pasivo!F:F, "&gt;"&amp;EOMONTH(DATE(2025,6,1),0))
+ SUMIFS(Pasivo!N:N,Pasivo!B:B,A106 ,Pasivo!E:E,"No Pagado",Pasivo!C:C, "03 mar",Pasivo!F:F,"")
+SUMIFS(Pasivo!N:N,Pasivo!B:B,A106 ,Pasivo!E:E,"No Pagado",Pasivo!C:C, "03 mar",Pasivo!F:F, "&gt;"&amp;EOMONTH(DATE(2025,6,1),0)) 
+ SUMIFS(Pasivo!N:N,Pasivo!B:B,A106 ,Pasivo!E:E,"No Pagado",Pasivo!C:C, "04 abr",Pasivo!F:F,"")
+SUMIFS(Pasivo!N:N,Pasivo!B:B,A106 ,Pasivo!E:E,"No Pagado",Pasivo!C:C, "04 abr",Pasivo!F:F, "&gt;"&amp;EOMONTH(DATE(2025,6,1),0))
+ SUMIFS(Pasivo!N:N,Pasivo!B:B,A106 ,Pasivo!E:E,"No Pagado",Pasivo!C:C, "05 may",Pasivo!F:F,"")
+SUMIFS(Pasivo!N:N,Pasivo!B:B,A106 ,Pasivo!E:E,"No Pagado",Pasivo!C:C, "05 may",Pasivo!F:F, "&gt;"&amp;EOMONTH(DATE(2025,6,1),0))
+ SUMIFS(Pasivo!N:N,Pasivo!B:B,A106 ,Pasivo!E:E,"No Pagado",Pasivo!C:C, "06 jun",Pasivo!F:F,"")
+SUMIFS(Pasivo!N:N,Pasivo!B:B,A106 ,Pasivo!E:E,"No Pagado",Pasivo!C:C, "06 jun",Pasivo!F:F, "&gt;"&amp;EOMONTH(DATE(2025,6,1),0))
</f>
        <v>0</v>
      </c>
    </row>
    <row r="107">
      <c r="A107" s="405" t="s">
        <v>195</v>
      </c>
      <c r="B107" s="404" t="s">
        <v>155</v>
      </c>
      <c r="C107" s="43">
        <v>2025.0</v>
      </c>
      <c r="D107" s="102">
        <f>SUMIFS(Pasivo!N:N,Pasivo!B:B,A107 ,Pasivo!E:E,"No Pagado",Pasivo!C:C, "01 ene",Pasivo!F:F,"")
+SUMIFS(Pasivo!N:N,Pasivo!B:B,A107 ,Pasivo!E:E,"No Pagado",Pasivo!C:C, "01 ene",Pasivo!F:F, "&gt;"&amp;EOMONTH(DATE(2025,6,1),0))
+ SUMIFS(Pasivo!N:N,Pasivo!B:B,A107 ,Pasivo!E:E,"No Pagado",Pasivo!C:C, "02 feb",Pasivo!F:F,"")
+SUMIFS(Pasivo!N:N,Pasivo!B:B,A107 ,Pasivo!E:E,"No Pagado",Pasivo!C:C, "02 feb",Pasivo!F:F, "&gt;"&amp;EOMONTH(DATE(2025,6,1),0))
+ SUMIFS(Pasivo!N:N,Pasivo!B:B,A107 ,Pasivo!E:E,"No Pagado",Pasivo!C:C, "03 mar",Pasivo!F:F,"")
+SUMIFS(Pasivo!N:N,Pasivo!B:B,A107 ,Pasivo!E:E,"No Pagado",Pasivo!C:C, "03 mar",Pasivo!F:F, "&gt;"&amp;EOMONTH(DATE(2025,6,1),0)) 
+ SUMIFS(Pasivo!N:N,Pasivo!B:B,A107 ,Pasivo!E:E,"No Pagado",Pasivo!C:C, "04 abr",Pasivo!F:F,"")
+SUMIFS(Pasivo!N:N,Pasivo!B:B,A107 ,Pasivo!E:E,"No Pagado",Pasivo!C:C, "04 abr",Pasivo!F:F, "&gt;"&amp;EOMONTH(DATE(2025,6,1),0))
+ SUMIFS(Pasivo!N:N,Pasivo!B:B,A107 ,Pasivo!E:E,"No Pagado",Pasivo!C:C, "05 may",Pasivo!F:F,"")
+SUMIFS(Pasivo!N:N,Pasivo!B:B,A107 ,Pasivo!E:E,"No Pagado",Pasivo!C:C, "05 may",Pasivo!F:F, "&gt;"&amp;EOMONTH(DATE(2025,6,1),0))
+ SUMIFS(Pasivo!N:N,Pasivo!B:B,A107 ,Pasivo!E:E,"No Pagado",Pasivo!C:C, "06 jun",Pasivo!F:F,"")
+SUMIFS(Pasivo!N:N,Pasivo!B:B,A107 ,Pasivo!E:E,"No Pagado",Pasivo!C:C, "06 jun",Pasivo!F:F, "&gt;"&amp;EOMONTH(DATE(2025,6,1),0))
</f>
        <v>0</v>
      </c>
    </row>
    <row r="108">
      <c r="A108" s="405" t="s">
        <v>198</v>
      </c>
      <c r="B108" s="404" t="s">
        <v>155</v>
      </c>
      <c r="C108" s="43">
        <v>2025.0</v>
      </c>
      <c r="D108" s="102">
        <f>SUMIFS(Pasivo!N:N,Pasivo!B:B,A108 ,Pasivo!E:E,"No Pagado",Pasivo!C:C, "01 ene",Pasivo!F:F,"")
+SUMIFS(Pasivo!N:N,Pasivo!B:B,A108 ,Pasivo!E:E,"No Pagado",Pasivo!C:C, "01 ene",Pasivo!F:F, "&gt;"&amp;EOMONTH(DATE(2025,6,1),0))
+ SUMIFS(Pasivo!N:N,Pasivo!B:B,A108 ,Pasivo!E:E,"No Pagado",Pasivo!C:C, "02 feb",Pasivo!F:F,"")
+SUMIFS(Pasivo!N:N,Pasivo!B:B,A108 ,Pasivo!E:E,"No Pagado",Pasivo!C:C, "02 feb",Pasivo!F:F, "&gt;"&amp;EOMONTH(DATE(2025,6,1),0))
+ SUMIFS(Pasivo!N:N,Pasivo!B:B,A108 ,Pasivo!E:E,"No Pagado",Pasivo!C:C, "03 mar",Pasivo!F:F,"")
+SUMIFS(Pasivo!N:N,Pasivo!B:B,A108 ,Pasivo!E:E,"No Pagado",Pasivo!C:C, "03 mar",Pasivo!F:F, "&gt;"&amp;EOMONTH(DATE(2025,6,1),0)) 
+ SUMIFS(Pasivo!N:N,Pasivo!B:B,A108 ,Pasivo!E:E,"No Pagado",Pasivo!C:C, "04 abr",Pasivo!F:F,"")
+SUMIFS(Pasivo!N:N,Pasivo!B:B,A108 ,Pasivo!E:E,"No Pagado",Pasivo!C:C, "04 abr",Pasivo!F:F, "&gt;"&amp;EOMONTH(DATE(2025,6,1),0))
+ SUMIFS(Pasivo!N:N,Pasivo!B:B,A108 ,Pasivo!E:E,"No Pagado",Pasivo!C:C, "05 may",Pasivo!F:F,"")
+SUMIFS(Pasivo!N:N,Pasivo!B:B,A108 ,Pasivo!E:E,"No Pagado",Pasivo!C:C, "05 may",Pasivo!F:F, "&gt;"&amp;EOMONTH(DATE(2025,6,1),0))
+ SUMIFS(Pasivo!N:N,Pasivo!B:B,A108 ,Pasivo!E:E,"No Pagado",Pasivo!C:C, "06 jun",Pasivo!F:F,"")
+SUMIFS(Pasivo!N:N,Pasivo!B:B,A108 ,Pasivo!E:E,"No Pagado",Pasivo!C:C, "06 jun",Pasivo!F:F, "&gt;"&amp;EOMONTH(DATE(2025,6,1),0))
</f>
        <v>0</v>
      </c>
    </row>
    <row r="109">
      <c r="A109" s="406" t="s">
        <v>201</v>
      </c>
      <c r="B109" s="404" t="s">
        <v>155</v>
      </c>
      <c r="C109" s="43">
        <v>2025.0</v>
      </c>
      <c r="D109" s="102">
        <f>SUMIFS(Pasivo!N:N,Pasivo!B:B,A109 ,Pasivo!E:E,"No Pagado",Pasivo!C:C, "01 ene",Pasivo!F:F,"")
+SUMIFS(Pasivo!N:N,Pasivo!B:B,A109 ,Pasivo!E:E,"No Pagado",Pasivo!C:C, "01 ene",Pasivo!F:F, "&gt;"&amp;EOMONTH(DATE(2025,6,1),0))
+ SUMIFS(Pasivo!N:N,Pasivo!B:B,A109 ,Pasivo!E:E,"No Pagado",Pasivo!C:C, "02 feb",Pasivo!F:F,"")
+SUMIFS(Pasivo!N:N,Pasivo!B:B,A109 ,Pasivo!E:E,"No Pagado",Pasivo!C:C, "02 feb",Pasivo!F:F, "&gt;"&amp;EOMONTH(DATE(2025,6,1),0))
+ SUMIFS(Pasivo!N:N,Pasivo!B:B,A109 ,Pasivo!E:E,"No Pagado",Pasivo!C:C, "03 mar",Pasivo!F:F,"")
+SUMIFS(Pasivo!N:N,Pasivo!B:B,A109 ,Pasivo!E:E,"No Pagado",Pasivo!C:C, "03 mar",Pasivo!F:F, "&gt;"&amp;EOMONTH(DATE(2025,6,1),0)) 
+ SUMIFS(Pasivo!N:N,Pasivo!B:B,A109 ,Pasivo!E:E,"No Pagado",Pasivo!C:C, "04 abr",Pasivo!F:F,"")
+SUMIFS(Pasivo!N:N,Pasivo!B:B,A109 ,Pasivo!E:E,"No Pagado",Pasivo!C:C, "04 abr",Pasivo!F:F, "&gt;"&amp;EOMONTH(DATE(2025,6,1),0))
+ SUMIFS(Pasivo!N:N,Pasivo!B:B,A109 ,Pasivo!E:E,"No Pagado",Pasivo!C:C, "05 may",Pasivo!F:F,"")
+SUMIFS(Pasivo!N:N,Pasivo!B:B,A109 ,Pasivo!E:E,"No Pagado",Pasivo!C:C, "05 may",Pasivo!F:F, "&gt;"&amp;EOMONTH(DATE(2025,6,1),0))
+ SUMIFS(Pasivo!N:N,Pasivo!B:B,A109 ,Pasivo!E:E,"No Pagado",Pasivo!C:C, "06 jun",Pasivo!F:F,"")
+SUMIFS(Pasivo!N:N,Pasivo!B:B,A109 ,Pasivo!E:E,"No Pagado",Pasivo!C:C, "06 jun",Pasivo!F:F, "&gt;"&amp;EOMONTH(DATE(2025,6,1),0))
</f>
        <v>0</v>
      </c>
    </row>
    <row r="110">
      <c r="A110" s="407" t="s">
        <v>121</v>
      </c>
      <c r="B110" s="408" t="s">
        <v>161</v>
      </c>
      <c r="C110" s="43">
        <v>2025.0</v>
      </c>
      <c r="D110" s="102">
        <f>SUMIFS(Pasivo!N:N,Pasivo!B:B,A110 ,Pasivo!E:E,"No Pagado",Pasivo!C:C, "01 ene",Pasivo!F:F,"")
+SUMIFS(Pasivo!N:N,Pasivo!B:B,A110 ,Pasivo!E:E,"No Pagado",Pasivo!C:C, "01 ene",Pasivo!F:F, "&gt;"&amp;EOMONTH(DATE(2025,7,1),0))
+ SUMIFS(Pasivo!N:N,Pasivo!B:B,A110 ,Pasivo!E:E,"No Pagado",Pasivo!C:C, "02 feb",Pasivo!F:F,"")
+SUMIFS(Pasivo!N:N,Pasivo!B:B,A110 ,Pasivo!E:E,"No Pagado",Pasivo!C:C, "02 feb",Pasivo!F:F, "&gt;"&amp;EOMONTH(DATE(2025,7,1),0))
+ SUMIFS(Pasivo!N:N,Pasivo!B:B,A110 ,Pasivo!E:E,"No Pagado",Pasivo!C:C, "03 mar",Pasivo!F:F,"")
+SUMIFS(Pasivo!N:N,Pasivo!B:B,A110 ,Pasivo!E:E,"No Pagado",Pasivo!C:C, "03 mar",Pasivo!F:F, "&gt;"&amp;EOMONTH(DATE(2025,7,1),0)) 
+ SUMIFS(Pasivo!N:N,Pasivo!B:B,A110 ,Pasivo!E:E,"No Pagado",Pasivo!C:C, "04 abr",Pasivo!F:F,"")
+SUMIFS(Pasivo!N:N,Pasivo!B:B,A110 ,Pasivo!E:E,"No Pagado",Pasivo!C:C, "04 abr",Pasivo!F:F, "&gt;"&amp;EOMONTH(DATE(2025,7,1),0))
+ SUMIFS(Pasivo!N:N,Pasivo!B:B,A110 ,Pasivo!E:E,"No Pagado",Pasivo!C:C, "05 may",Pasivo!F:F,"")
+SUMIFS(Pasivo!N:N,Pasivo!B:B,A110 ,Pasivo!E:E,"No Pagado",Pasivo!C:C, "05 may",Pasivo!F:F, "&gt;"&amp;EOMONTH(DATE(2025,7,1),0))
+ SUMIFS(Pasivo!N:N,Pasivo!B:B,A110 ,Pasivo!E:E,"No Pagado",Pasivo!C:C, "06 jun",Pasivo!F:F,"")
+SUMIFS(Pasivo!N:N,Pasivo!B:B,A110 ,Pasivo!E:E,"No Pagado",Pasivo!C:C, "06 jun",Pasivo!F:F, "&gt;"&amp;EOMONTH(DATE(2025,7,1),0))
+ SUMIFS(Pasivo!N:N,Pasivo!B:B,A110 ,Pasivo!E:E,"No Pagado",Pasivo!C:C, "07 jul",Pasivo!F:F,"")
+SUMIFS(Pasivo!N:N,Pasivo!B:B,A110 ,Pasivo!E:E,"No Pagado",Pasivo!C:C, "07 jul",Pasivo!F:F, "&gt;"&amp;EOMONTH(DATE(2025,7,1),0))
</f>
        <v>15906</v>
      </c>
    </row>
    <row r="111">
      <c r="A111" s="407" t="s">
        <v>128</v>
      </c>
      <c r="B111" s="408" t="s">
        <v>161</v>
      </c>
      <c r="C111" s="43">
        <v>2025.0</v>
      </c>
      <c r="D111" s="102">
        <f>SUMIFS(Pasivo!N:N,Pasivo!B:B,A111 ,Pasivo!E:E,"No Pagado",Pasivo!C:C, "01 ene",Pasivo!F:F,"")
+SUMIFS(Pasivo!N:N,Pasivo!B:B,A111 ,Pasivo!E:E,"No Pagado",Pasivo!C:C, "01 ene",Pasivo!F:F, "&gt;"&amp;EOMONTH(DATE(2025,7,1),0))
+ SUMIFS(Pasivo!N:N,Pasivo!B:B,A111 ,Pasivo!E:E,"No Pagado",Pasivo!C:C, "02 feb",Pasivo!F:F,"")
+SUMIFS(Pasivo!N:N,Pasivo!B:B,A111 ,Pasivo!E:E,"No Pagado",Pasivo!C:C, "02 feb",Pasivo!F:F, "&gt;"&amp;EOMONTH(DATE(2025,7,1),0))
+ SUMIFS(Pasivo!N:N,Pasivo!B:B,A111 ,Pasivo!E:E,"No Pagado",Pasivo!C:C, "03 mar",Pasivo!F:F,"")
+SUMIFS(Pasivo!N:N,Pasivo!B:B,A111 ,Pasivo!E:E,"No Pagado",Pasivo!C:C, "03 mar",Pasivo!F:F, "&gt;"&amp;EOMONTH(DATE(2025,7,1),0)) 
+ SUMIFS(Pasivo!N:N,Pasivo!B:B,A111 ,Pasivo!E:E,"No Pagado",Pasivo!C:C, "04 abr",Pasivo!F:F,"")
+SUMIFS(Pasivo!N:N,Pasivo!B:B,A111 ,Pasivo!E:E,"No Pagado",Pasivo!C:C, "04 abr",Pasivo!F:F, "&gt;"&amp;EOMONTH(DATE(2025,7,1),0))
+ SUMIFS(Pasivo!N:N,Pasivo!B:B,A111 ,Pasivo!E:E,"No Pagado",Pasivo!C:C, "05 may",Pasivo!F:F,"")
+SUMIFS(Pasivo!N:N,Pasivo!B:B,A111 ,Pasivo!E:E,"No Pagado",Pasivo!C:C, "05 may",Pasivo!F:F, "&gt;"&amp;EOMONTH(DATE(2025,7,1),0))
+ SUMIFS(Pasivo!N:N,Pasivo!B:B,A111 ,Pasivo!E:E,"No Pagado",Pasivo!C:C, "06 jun",Pasivo!F:F,"")
+SUMIFS(Pasivo!N:N,Pasivo!B:B,A111 ,Pasivo!E:E,"No Pagado",Pasivo!C:C, "06 jun",Pasivo!F:F, "&gt;"&amp;EOMONTH(DATE(2025,7,1),0))
+ SUMIFS(Pasivo!N:N,Pasivo!B:B,A111 ,Pasivo!E:E,"No Pagado",Pasivo!C:C, "07 jul",Pasivo!F:F,"")
+SUMIFS(Pasivo!N:N,Pasivo!B:B,A111 ,Pasivo!E:E,"No Pagado",Pasivo!C:C, "07 jul",Pasivo!F:F, "&gt;"&amp;EOMONTH(DATE(2025,7,1),0))
</f>
        <v>7998.046212</v>
      </c>
    </row>
    <row r="112">
      <c r="A112" s="407" t="s">
        <v>134</v>
      </c>
      <c r="B112" s="408" t="s">
        <v>161</v>
      </c>
      <c r="C112" s="43">
        <v>2025.0</v>
      </c>
      <c r="D112" s="102">
        <f>SUMIFS(Pasivo!N:N,Pasivo!B:B,A112 ,Pasivo!E:E,"No Pagado",Pasivo!C:C, "01 ene",Pasivo!F:F,"")
+SUMIFS(Pasivo!N:N,Pasivo!B:B,A112 ,Pasivo!E:E,"No Pagado",Pasivo!C:C, "01 ene",Pasivo!F:F, "&gt;"&amp;EOMONTH(DATE(2025,7,1),0))
+ SUMIFS(Pasivo!N:N,Pasivo!B:B,A112 ,Pasivo!E:E,"No Pagado",Pasivo!C:C, "02 feb",Pasivo!F:F,"")
+SUMIFS(Pasivo!N:N,Pasivo!B:B,A112 ,Pasivo!E:E,"No Pagado",Pasivo!C:C, "02 feb",Pasivo!F:F, "&gt;"&amp;EOMONTH(DATE(2025,7,1),0))
+ SUMIFS(Pasivo!N:N,Pasivo!B:B,A112 ,Pasivo!E:E,"No Pagado",Pasivo!C:C, "03 mar",Pasivo!F:F,"")
+SUMIFS(Pasivo!N:N,Pasivo!B:B,A112 ,Pasivo!E:E,"No Pagado",Pasivo!C:C, "03 mar",Pasivo!F:F, "&gt;"&amp;EOMONTH(DATE(2025,7,1),0)) 
+ SUMIFS(Pasivo!N:N,Pasivo!B:B,A112 ,Pasivo!E:E,"No Pagado",Pasivo!C:C, "04 abr",Pasivo!F:F,"")
+SUMIFS(Pasivo!N:N,Pasivo!B:B,A112 ,Pasivo!E:E,"No Pagado",Pasivo!C:C, "04 abr",Pasivo!F:F, "&gt;"&amp;EOMONTH(DATE(2025,7,1),0))
+ SUMIFS(Pasivo!N:N,Pasivo!B:B,A112 ,Pasivo!E:E,"No Pagado",Pasivo!C:C, "05 may",Pasivo!F:F,"")
+SUMIFS(Pasivo!N:N,Pasivo!B:B,A112 ,Pasivo!E:E,"No Pagado",Pasivo!C:C, "05 may",Pasivo!F:F, "&gt;"&amp;EOMONTH(DATE(2025,7,1),0))
+ SUMIFS(Pasivo!N:N,Pasivo!B:B,A112 ,Pasivo!E:E,"No Pagado",Pasivo!C:C, "06 jun",Pasivo!F:F,"")
+SUMIFS(Pasivo!N:N,Pasivo!B:B,A112 ,Pasivo!E:E,"No Pagado",Pasivo!C:C, "06 jun",Pasivo!F:F, "&gt;"&amp;EOMONTH(DATE(2025,7,1),0))
+ SUMIFS(Pasivo!N:N,Pasivo!B:B,A112 ,Pasivo!E:E,"No Pagado",Pasivo!C:C, "07 jul",Pasivo!F:F,"")
+SUMIFS(Pasivo!N:N,Pasivo!B:B,A112 ,Pasivo!E:E,"No Pagado",Pasivo!C:C, "07 jul",Pasivo!F:F, "&gt;"&amp;EOMONTH(DATE(2025,7,1),0))
</f>
        <v>3719.69697</v>
      </c>
    </row>
    <row r="113">
      <c r="A113" s="409" t="s">
        <v>140</v>
      </c>
      <c r="B113" s="408" t="s">
        <v>161</v>
      </c>
      <c r="C113" s="43">
        <v>2025.0</v>
      </c>
      <c r="D113" s="102">
        <f>SUMIFS(Pasivo!N:N,Pasivo!B:B,A113 ,Pasivo!E:E,"No Pagado",Pasivo!C:C, "01 ene",Pasivo!F:F,"")
+SUMIFS(Pasivo!N:N,Pasivo!B:B,A113 ,Pasivo!E:E,"No Pagado",Pasivo!C:C, "01 ene",Pasivo!F:F, "&gt;"&amp;EOMONTH(DATE(2025,7,1),0))
+ SUMIFS(Pasivo!N:N,Pasivo!B:B,A113 ,Pasivo!E:E,"No Pagado",Pasivo!C:C, "02 feb",Pasivo!F:F,"")
+SUMIFS(Pasivo!N:N,Pasivo!B:B,A113 ,Pasivo!E:E,"No Pagado",Pasivo!C:C, "02 feb",Pasivo!F:F, "&gt;"&amp;EOMONTH(DATE(2025,7,1),0))
+ SUMIFS(Pasivo!N:N,Pasivo!B:B,A113 ,Pasivo!E:E,"No Pagado",Pasivo!C:C, "03 mar",Pasivo!F:F,"")
+SUMIFS(Pasivo!N:N,Pasivo!B:B,A113 ,Pasivo!E:E,"No Pagado",Pasivo!C:C, "03 mar",Pasivo!F:F, "&gt;"&amp;EOMONTH(DATE(2025,7,1),0)) 
+ SUMIFS(Pasivo!N:N,Pasivo!B:B,A113 ,Pasivo!E:E,"No Pagado",Pasivo!C:C, "04 abr",Pasivo!F:F,"")
+SUMIFS(Pasivo!N:N,Pasivo!B:B,A113 ,Pasivo!E:E,"No Pagado",Pasivo!C:C, "04 abr",Pasivo!F:F, "&gt;"&amp;EOMONTH(DATE(2025,7,1),0))
+ SUMIFS(Pasivo!N:N,Pasivo!B:B,A113 ,Pasivo!E:E,"No Pagado",Pasivo!C:C, "05 may",Pasivo!F:F,"")
+SUMIFS(Pasivo!N:N,Pasivo!B:B,A113 ,Pasivo!E:E,"No Pagado",Pasivo!C:C, "05 may",Pasivo!F:F, "&gt;"&amp;EOMONTH(DATE(2025,7,1),0))
+ SUMIFS(Pasivo!N:N,Pasivo!B:B,A113 ,Pasivo!E:E,"No Pagado",Pasivo!C:C, "06 jun",Pasivo!F:F,"")
+SUMIFS(Pasivo!N:N,Pasivo!B:B,A113 ,Pasivo!E:E,"No Pagado",Pasivo!C:C, "06 jun",Pasivo!F:F, "&gt;"&amp;EOMONTH(DATE(2025,7,1),0))
+ SUMIFS(Pasivo!N:N,Pasivo!B:B,A113 ,Pasivo!E:E,"No Pagado",Pasivo!C:C, "07 jul",Pasivo!F:F,"")
+SUMIFS(Pasivo!N:N,Pasivo!B:B,A113 ,Pasivo!E:E,"No Pagado",Pasivo!C:C, "07 jul",Pasivo!F:F, "&gt;"&amp;EOMONTH(DATE(2025,7,1),0))
</f>
        <v>0</v>
      </c>
    </row>
    <row r="114">
      <c r="A114" s="407" t="s">
        <v>147</v>
      </c>
      <c r="B114" s="408" t="s">
        <v>161</v>
      </c>
      <c r="C114" s="43">
        <v>2025.0</v>
      </c>
      <c r="D114" s="102">
        <f>SUMIFS(Pasivo!N:N,Pasivo!B:B,A114 ,Pasivo!E:E,"No Pagado",Pasivo!C:C, "01 ene",Pasivo!F:F,"")
+SUMIFS(Pasivo!N:N,Pasivo!B:B,A114 ,Pasivo!E:E,"No Pagado",Pasivo!C:C, "01 ene",Pasivo!F:F, "&gt;"&amp;EOMONTH(DATE(2025,7,1),0))
+ SUMIFS(Pasivo!N:N,Pasivo!B:B,A114 ,Pasivo!E:E,"No Pagado",Pasivo!C:C, "02 feb",Pasivo!F:F,"")
+SUMIFS(Pasivo!N:N,Pasivo!B:B,A114 ,Pasivo!E:E,"No Pagado",Pasivo!C:C, "02 feb",Pasivo!F:F, "&gt;"&amp;EOMONTH(DATE(2025,7,1),0))
+ SUMIFS(Pasivo!N:N,Pasivo!B:B,A114 ,Pasivo!E:E,"No Pagado",Pasivo!C:C, "03 mar",Pasivo!F:F,"")
+SUMIFS(Pasivo!N:N,Pasivo!B:B,A114 ,Pasivo!E:E,"No Pagado",Pasivo!C:C, "03 mar",Pasivo!F:F, "&gt;"&amp;EOMONTH(DATE(2025,7,1),0)) 
+ SUMIFS(Pasivo!N:N,Pasivo!B:B,A114 ,Pasivo!E:E,"No Pagado",Pasivo!C:C, "04 abr",Pasivo!F:F,"")
+SUMIFS(Pasivo!N:N,Pasivo!B:B,A114 ,Pasivo!E:E,"No Pagado",Pasivo!C:C, "04 abr",Pasivo!F:F, "&gt;"&amp;EOMONTH(DATE(2025,7,1),0))
+ SUMIFS(Pasivo!N:N,Pasivo!B:B,A114 ,Pasivo!E:E,"No Pagado",Pasivo!C:C, "05 may",Pasivo!F:F,"")
+SUMIFS(Pasivo!N:N,Pasivo!B:B,A114 ,Pasivo!E:E,"No Pagado",Pasivo!C:C, "05 may",Pasivo!F:F, "&gt;"&amp;EOMONTH(DATE(2025,7,1),0))
+ SUMIFS(Pasivo!N:N,Pasivo!B:B,A114 ,Pasivo!E:E,"No Pagado",Pasivo!C:C, "06 jun",Pasivo!F:F,"")
+SUMIFS(Pasivo!N:N,Pasivo!B:B,A114 ,Pasivo!E:E,"No Pagado",Pasivo!C:C, "06 jun",Pasivo!F:F, "&gt;"&amp;EOMONTH(DATE(2025,7,1),0))
+ SUMIFS(Pasivo!N:N,Pasivo!B:B,A114 ,Pasivo!E:E,"No Pagado",Pasivo!C:C, "07 jul",Pasivo!F:F,"")
+SUMIFS(Pasivo!N:N,Pasivo!B:B,A114 ,Pasivo!E:E,"No Pagado",Pasivo!C:C, "07 jul",Pasivo!F:F, "&gt;"&amp;EOMONTH(DATE(2025,7,1),0))
</f>
        <v>4050</v>
      </c>
    </row>
    <row r="115">
      <c r="A115" s="407" t="s">
        <v>153</v>
      </c>
      <c r="B115" s="408" t="s">
        <v>161</v>
      </c>
      <c r="C115" s="43">
        <v>2025.0</v>
      </c>
      <c r="D115" s="102">
        <f>SUMIFS(Pasivo!N:N,Pasivo!B:B,A115 ,Pasivo!E:E,"No Pagado",Pasivo!C:C, "01 ene",Pasivo!F:F,"")
+SUMIFS(Pasivo!N:N,Pasivo!B:B,A115 ,Pasivo!E:E,"No Pagado",Pasivo!C:C, "01 ene",Pasivo!F:F, "&gt;"&amp;EOMONTH(DATE(2025,7,1),0))
+ SUMIFS(Pasivo!N:N,Pasivo!B:B,A115 ,Pasivo!E:E,"No Pagado",Pasivo!C:C, "02 feb",Pasivo!F:F,"")
+SUMIFS(Pasivo!N:N,Pasivo!B:B,A115 ,Pasivo!E:E,"No Pagado",Pasivo!C:C, "02 feb",Pasivo!F:F, "&gt;"&amp;EOMONTH(DATE(2025,7,1),0))
+ SUMIFS(Pasivo!N:N,Pasivo!B:B,A115 ,Pasivo!E:E,"No Pagado",Pasivo!C:C, "03 mar",Pasivo!F:F,"")
+SUMIFS(Pasivo!N:N,Pasivo!B:B,A115 ,Pasivo!E:E,"No Pagado",Pasivo!C:C, "03 mar",Pasivo!F:F, "&gt;"&amp;EOMONTH(DATE(2025,7,1),0)) 
+ SUMIFS(Pasivo!N:N,Pasivo!B:B,A115 ,Pasivo!E:E,"No Pagado",Pasivo!C:C, "04 abr",Pasivo!F:F,"")
+SUMIFS(Pasivo!N:N,Pasivo!B:B,A115 ,Pasivo!E:E,"No Pagado",Pasivo!C:C, "04 abr",Pasivo!F:F, "&gt;"&amp;EOMONTH(DATE(2025,7,1),0))
+ SUMIFS(Pasivo!N:N,Pasivo!B:B,A115 ,Pasivo!E:E,"No Pagado",Pasivo!C:C, "05 may",Pasivo!F:F,"")
+SUMIFS(Pasivo!N:N,Pasivo!B:B,A115 ,Pasivo!E:E,"No Pagado",Pasivo!C:C, "05 may",Pasivo!F:F, "&gt;"&amp;EOMONTH(DATE(2025,7,1),0))
+ SUMIFS(Pasivo!N:N,Pasivo!B:B,A115 ,Pasivo!E:E,"No Pagado",Pasivo!C:C, "06 jun",Pasivo!F:F,"")
+SUMIFS(Pasivo!N:N,Pasivo!B:B,A115 ,Pasivo!E:E,"No Pagado",Pasivo!C:C, "06 jun",Pasivo!F:F, "&gt;"&amp;EOMONTH(DATE(2025,7,1),0))
+ SUMIFS(Pasivo!N:N,Pasivo!B:B,A115 ,Pasivo!E:E,"No Pagado",Pasivo!C:C, "07 jul",Pasivo!F:F,"")
+SUMIFS(Pasivo!N:N,Pasivo!B:B,A115 ,Pasivo!E:E,"No Pagado",Pasivo!C:C, "07 jul",Pasivo!F:F, "&gt;"&amp;EOMONTH(DATE(2025,7,1),0))
</f>
        <v>-7496.92</v>
      </c>
    </row>
    <row r="116">
      <c r="A116" s="407" t="s">
        <v>159</v>
      </c>
      <c r="B116" s="408" t="s">
        <v>161</v>
      </c>
      <c r="C116" s="43">
        <v>2025.0</v>
      </c>
      <c r="D116" s="102">
        <f>SUMIFS(Pasivo!N:N,Pasivo!B:B,A116 ,Pasivo!E:E,"No Pagado",Pasivo!C:C, "01 ene",Pasivo!F:F,"")
+SUMIFS(Pasivo!N:N,Pasivo!B:B,A116 ,Pasivo!E:E,"No Pagado",Pasivo!C:C, "01 ene",Pasivo!F:F, "&gt;"&amp;EOMONTH(DATE(2025,7,1),0))
+ SUMIFS(Pasivo!N:N,Pasivo!B:B,A116 ,Pasivo!E:E,"No Pagado",Pasivo!C:C, "02 feb",Pasivo!F:F,"")
+SUMIFS(Pasivo!N:N,Pasivo!B:B,A116 ,Pasivo!E:E,"No Pagado",Pasivo!C:C, "02 feb",Pasivo!F:F, "&gt;"&amp;EOMONTH(DATE(2025,7,1),0))
+ SUMIFS(Pasivo!N:N,Pasivo!B:B,A116 ,Pasivo!E:E,"No Pagado",Pasivo!C:C, "03 mar",Pasivo!F:F,"")
+SUMIFS(Pasivo!N:N,Pasivo!B:B,A116 ,Pasivo!E:E,"No Pagado",Pasivo!C:C, "03 mar",Pasivo!F:F, "&gt;"&amp;EOMONTH(DATE(2025,7,1),0)) 
+ SUMIFS(Pasivo!N:N,Pasivo!B:B,A116 ,Pasivo!E:E,"No Pagado",Pasivo!C:C, "04 abr",Pasivo!F:F,"")
+SUMIFS(Pasivo!N:N,Pasivo!B:B,A116 ,Pasivo!E:E,"No Pagado",Pasivo!C:C, "04 abr",Pasivo!F:F, "&gt;"&amp;EOMONTH(DATE(2025,7,1),0))
+ SUMIFS(Pasivo!N:N,Pasivo!B:B,A116 ,Pasivo!E:E,"No Pagado",Pasivo!C:C, "05 may",Pasivo!F:F,"")
+SUMIFS(Pasivo!N:N,Pasivo!B:B,A116 ,Pasivo!E:E,"No Pagado",Pasivo!C:C, "05 may",Pasivo!F:F, "&gt;"&amp;EOMONTH(DATE(2025,7,1),0))
+ SUMIFS(Pasivo!N:N,Pasivo!B:B,A116 ,Pasivo!E:E,"No Pagado",Pasivo!C:C, "06 jun",Pasivo!F:F,"")
+SUMIFS(Pasivo!N:N,Pasivo!B:B,A116 ,Pasivo!E:E,"No Pagado",Pasivo!C:C, "06 jun",Pasivo!F:F, "&gt;"&amp;EOMONTH(DATE(2025,7,1),0))
+ SUMIFS(Pasivo!N:N,Pasivo!B:B,A116 ,Pasivo!E:E,"No Pagado",Pasivo!C:C, "07 jul",Pasivo!F:F,"")
+SUMIFS(Pasivo!N:N,Pasivo!B:B,A116 ,Pasivo!E:E,"No Pagado",Pasivo!C:C, "07 jul",Pasivo!F:F, "&gt;"&amp;EOMONTH(DATE(2025,7,1),0))
</f>
        <v>1805.130303</v>
      </c>
    </row>
    <row r="117">
      <c r="A117" s="407" t="s">
        <v>164</v>
      </c>
      <c r="B117" s="408" t="s">
        <v>161</v>
      </c>
      <c r="C117" s="43">
        <v>2025.0</v>
      </c>
      <c r="D117" s="102">
        <f>SUMIFS(Pasivo!N:N,Pasivo!B:B,A117 ,Pasivo!E:E,"No Pagado",Pasivo!C:C, "01 ene",Pasivo!F:F,"")
+SUMIFS(Pasivo!N:N,Pasivo!B:B,A117 ,Pasivo!E:E,"No Pagado",Pasivo!C:C, "01 ene",Pasivo!F:F, "&gt;"&amp;EOMONTH(DATE(2025,7,1),0))
+ SUMIFS(Pasivo!N:N,Pasivo!B:B,A117 ,Pasivo!E:E,"No Pagado",Pasivo!C:C, "02 feb",Pasivo!F:F,"")
+SUMIFS(Pasivo!N:N,Pasivo!B:B,A117 ,Pasivo!E:E,"No Pagado",Pasivo!C:C, "02 feb",Pasivo!F:F, "&gt;"&amp;EOMONTH(DATE(2025,7,1),0))
+ SUMIFS(Pasivo!N:N,Pasivo!B:B,A117 ,Pasivo!E:E,"No Pagado",Pasivo!C:C, "03 mar",Pasivo!F:F,"")
+SUMIFS(Pasivo!N:N,Pasivo!B:B,A117 ,Pasivo!E:E,"No Pagado",Pasivo!C:C, "03 mar",Pasivo!F:F, "&gt;"&amp;EOMONTH(DATE(2025,7,1),0)) 
+ SUMIFS(Pasivo!N:N,Pasivo!B:B,A117 ,Pasivo!E:E,"No Pagado",Pasivo!C:C, "04 abr",Pasivo!F:F,"")
+SUMIFS(Pasivo!N:N,Pasivo!B:B,A117 ,Pasivo!E:E,"No Pagado",Pasivo!C:C, "04 abr",Pasivo!F:F, "&gt;"&amp;EOMONTH(DATE(2025,7,1),0))
+ SUMIFS(Pasivo!N:N,Pasivo!B:B,A117 ,Pasivo!E:E,"No Pagado",Pasivo!C:C, "05 may",Pasivo!F:F,"")
+SUMIFS(Pasivo!N:N,Pasivo!B:B,A117 ,Pasivo!E:E,"No Pagado",Pasivo!C:C, "05 may",Pasivo!F:F, "&gt;"&amp;EOMONTH(DATE(2025,7,1),0))
+ SUMIFS(Pasivo!N:N,Pasivo!B:B,A117 ,Pasivo!E:E,"No Pagado",Pasivo!C:C, "06 jun",Pasivo!F:F,"")
+SUMIFS(Pasivo!N:N,Pasivo!B:B,A117 ,Pasivo!E:E,"No Pagado",Pasivo!C:C, "06 jun",Pasivo!F:F, "&gt;"&amp;EOMONTH(DATE(2025,7,1),0))
+ SUMIFS(Pasivo!N:N,Pasivo!B:B,A117 ,Pasivo!E:E,"No Pagado",Pasivo!C:C, "07 jul",Pasivo!F:F,"")
+SUMIFS(Pasivo!N:N,Pasivo!B:B,A117 ,Pasivo!E:E,"No Pagado",Pasivo!C:C, "07 jul",Pasivo!F:F, "&gt;"&amp;EOMONTH(DATE(2025,7,1),0))
</f>
        <v>148.2008923</v>
      </c>
    </row>
    <row r="118">
      <c r="A118" s="407" t="s">
        <v>170</v>
      </c>
      <c r="B118" s="408" t="s">
        <v>161</v>
      </c>
      <c r="C118" s="43">
        <v>2025.0</v>
      </c>
      <c r="D118" s="102">
        <f>SUMIFS(Pasivo!N:N,Pasivo!B:B,A118 ,Pasivo!E:E,"No Pagado",Pasivo!C:C, "01 ene",Pasivo!F:F,"")
+SUMIFS(Pasivo!N:N,Pasivo!B:B,A118 ,Pasivo!E:E,"No Pagado",Pasivo!C:C, "01 ene",Pasivo!F:F, "&gt;"&amp;EOMONTH(DATE(2025,7,1),0))
+ SUMIFS(Pasivo!N:N,Pasivo!B:B,A118 ,Pasivo!E:E,"No Pagado",Pasivo!C:C, "02 feb",Pasivo!F:F,"")
+SUMIFS(Pasivo!N:N,Pasivo!B:B,A118 ,Pasivo!E:E,"No Pagado",Pasivo!C:C, "02 feb",Pasivo!F:F, "&gt;"&amp;EOMONTH(DATE(2025,7,1),0))
+ SUMIFS(Pasivo!N:N,Pasivo!B:B,A118 ,Pasivo!E:E,"No Pagado",Pasivo!C:C, "03 mar",Pasivo!F:F,"")
+SUMIFS(Pasivo!N:N,Pasivo!B:B,A118 ,Pasivo!E:E,"No Pagado",Pasivo!C:C, "03 mar",Pasivo!F:F, "&gt;"&amp;EOMONTH(DATE(2025,7,1),0)) 
+ SUMIFS(Pasivo!N:N,Pasivo!B:B,A118 ,Pasivo!E:E,"No Pagado",Pasivo!C:C, "04 abr",Pasivo!F:F,"")
+SUMIFS(Pasivo!N:N,Pasivo!B:B,A118 ,Pasivo!E:E,"No Pagado",Pasivo!C:C, "04 abr",Pasivo!F:F, "&gt;"&amp;EOMONTH(DATE(2025,7,1),0))
+ SUMIFS(Pasivo!N:N,Pasivo!B:B,A118 ,Pasivo!E:E,"No Pagado",Pasivo!C:C, "05 may",Pasivo!F:F,"")
+SUMIFS(Pasivo!N:N,Pasivo!B:B,A118 ,Pasivo!E:E,"No Pagado",Pasivo!C:C, "05 may",Pasivo!F:F, "&gt;"&amp;EOMONTH(DATE(2025,7,1),0))
+ SUMIFS(Pasivo!N:N,Pasivo!B:B,A118 ,Pasivo!E:E,"No Pagado",Pasivo!C:C, "06 jun",Pasivo!F:F,"")
+SUMIFS(Pasivo!N:N,Pasivo!B:B,A118 ,Pasivo!E:E,"No Pagado",Pasivo!C:C, "06 jun",Pasivo!F:F, "&gt;"&amp;EOMONTH(DATE(2025,7,1),0))
+ SUMIFS(Pasivo!N:N,Pasivo!B:B,A118 ,Pasivo!E:E,"No Pagado",Pasivo!C:C, "07 jul",Pasivo!F:F,"")
+SUMIFS(Pasivo!N:N,Pasivo!B:B,A118 ,Pasivo!E:E,"No Pagado",Pasivo!C:C, "07 jul",Pasivo!F:F, "&gt;"&amp;EOMONTH(DATE(2025,7,1),0))
</f>
        <v>190.0959916</v>
      </c>
    </row>
    <row r="119">
      <c r="A119" s="407" t="s">
        <v>174</v>
      </c>
      <c r="B119" s="408" t="s">
        <v>161</v>
      </c>
      <c r="C119" s="43">
        <v>2025.0</v>
      </c>
      <c r="D119" s="102">
        <f>SUMIFS(Pasivo!N:N,Pasivo!B:B,A119 ,Pasivo!E:E,"No Pagado",Pasivo!C:C, "01 ene",Pasivo!F:F,"")
+SUMIFS(Pasivo!N:N,Pasivo!B:B,A119 ,Pasivo!E:E,"No Pagado",Pasivo!C:C, "01 ene",Pasivo!F:F, "&gt;"&amp;EOMONTH(DATE(2025,7,1),0))
+ SUMIFS(Pasivo!N:N,Pasivo!B:B,A119 ,Pasivo!E:E,"No Pagado",Pasivo!C:C, "02 feb",Pasivo!F:F,"")
+SUMIFS(Pasivo!N:N,Pasivo!B:B,A119 ,Pasivo!E:E,"No Pagado",Pasivo!C:C, "02 feb",Pasivo!F:F, "&gt;"&amp;EOMONTH(DATE(2025,7,1),0))
+ SUMIFS(Pasivo!N:N,Pasivo!B:B,A119 ,Pasivo!E:E,"No Pagado",Pasivo!C:C, "03 mar",Pasivo!F:F,"")
+SUMIFS(Pasivo!N:N,Pasivo!B:B,A119 ,Pasivo!E:E,"No Pagado",Pasivo!C:C, "03 mar",Pasivo!F:F, "&gt;"&amp;EOMONTH(DATE(2025,7,1),0)) 
+ SUMIFS(Pasivo!N:N,Pasivo!B:B,A119 ,Pasivo!E:E,"No Pagado",Pasivo!C:C, "04 abr",Pasivo!F:F,"")
+SUMIFS(Pasivo!N:N,Pasivo!B:B,A119 ,Pasivo!E:E,"No Pagado",Pasivo!C:C, "04 abr",Pasivo!F:F, "&gt;"&amp;EOMONTH(DATE(2025,7,1),0))
+ SUMIFS(Pasivo!N:N,Pasivo!B:B,A119 ,Pasivo!E:E,"No Pagado",Pasivo!C:C, "05 may",Pasivo!F:F,"")
+SUMIFS(Pasivo!N:N,Pasivo!B:B,A119 ,Pasivo!E:E,"No Pagado",Pasivo!C:C, "05 may",Pasivo!F:F, "&gt;"&amp;EOMONTH(DATE(2025,7,1),0))
+ SUMIFS(Pasivo!N:N,Pasivo!B:B,A119 ,Pasivo!E:E,"No Pagado",Pasivo!C:C, "06 jun",Pasivo!F:F,"")
+SUMIFS(Pasivo!N:N,Pasivo!B:B,A119 ,Pasivo!E:E,"No Pagado",Pasivo!C:C, "06 jun",Pasivo!F:F, "&gt;"&amp;EOMONTH(DATE(2025,7,1),0))
+ SUMIFS(Pasivo!N:N,Pasivo!B:B,A119 ,Pasivo!E:E,"No Pagado",Pasivo!C:C, "07 jul",Pasivo!F:F,"")
+SUMIFS(Pasivo!N:N,Pasivo!B:B,A119 ,Pasivo!E:E,"No Pagado",Pasivo!C:C, "07 jul",Pasivo!F:F, "&gt;"&amp;EOMONTH(DATE(2025,7,1),0))
</f>
        <v>0</v>
      </c>
    </row>
    <row r="120">
      <c r="A120" s="407" t="s">
        <v>178</v>
      </c>
      <c r="B120" s="408" t="s">
        <v>161</v>
      </c>
      <c r="C120" s="43">
        <v>2025.0</v>
      </c>
      <c r="D120" s="102">
        <f>SUMIFS(Pasivo!N:N,Pasivo!B:B,A120 ,Pasivo!E:E,"No Pagado",Pasivo!C:C, "01 ene",Pasivo!F:F,"")
+SUMIFS(Pasivo!N:N,Pasivo!B:B,A120 ,Pasivo!E:E,"No Pagado",Pasivo!C:C, "01 ene",Pasivo!F:F, "&gt;"&amp;EOMONTH(DATE(2025,7,1),0))
+ SUMIFS(Pasivo!N:N,Pasivo!B:B,A120 ,Pasivo!E:E,"No Pagado",Pasivo!C:C, "02 feb",Pasivo!F:F,"")
+SUMIFS(Pasivo!N:N,Pasivo!B:B,A120 ,Pasivo!E:E,"No Pagado",Pasivo!C:C, "02 feb",Pasivo!F:F, "&gt;"&amp;EOMONTH(DATE(2025,7,1),0))
+ SUMIFS(Pasivo!N:N,Pasivo!B:B,A120 ,Pasivo!E:E,"No Pagado",Pasivo!C:C, "03 mar",Pasivo!F:F,"")
+SUMIFS(Pasivo!N:N,Pasivo!B:B,A120 ,Pasivo!E:E,"No Pagado",Pasivo!C:C, "03 mar",Pasivo!F:F, "&gt;"&amp;EOMONTH(DATE(2025,7,1),0)) 
+ SUMIFS(Pasivo!N:N,Pasivo!B:B,A120 ,Pasivo!E:E,"No Pagado",Pasivo!C:C, "04 abr",Pasivo!F:F,"")
+SUMIFS(Pasivo!N:N,Pasivo!B:B,A120 ,Pasivo!E:E,"No Pagado",Pasivo!C:C, "04 abr",Pasivo!F:F, "&gt;"&amp;EOMONTH(DATE(2025,7,1),0))
+ SUMIFS(Pasivo!N:N,Pasivo!B:B,A120 ,Pasivo!E:E,"No Pagado",Pasivo!C:C, "05 may",Pasivo!F:F,"")
+SUMIFS(Pasivo!N:N,Pasivo!B:B,A120 ,Pasivo!E:E,"No Pagado",Pasivo!C:C, "05 may",Pasivo!F:F, "&gt;"&amp;EOMONTH(DATE(2025,7,1),0))
+ SUMIFS(Pasivo!N:N,Pasivo!B:B,A120 ,Pasivo!E:E,"No Pagado",Pasivo!C:C, "06 jun",Pasivo!F:F,"")
+SUMIFS(Pasivo!N:N,Pasivo!B:B,A120 ,Pasivo!E:E,"No Pagado",Pasivo!C:C, "06 jun",Pasivo!F:F, "&gt;"&amp;EOMONTH(DATE(2025,7,1),0))
+ SUMIFS(Pasivo!N:N,Pasivo!B:B,A120 ,Pasivo!E:E,"No Pagado",Pasivo!C:C, "07 jul",Pasivo!F:F,"")
+SUMIFS(Pasivo!N:N,Pasivo!B:B,A120 ,Pasivo!E:E,"No Pagado",Pasivo!C:C, "07 jul",Pasivo!F:F, "&gt;"&amp;EOMONTH(DATE(2025,7,1),0))
</f>
        <v>89.54545455</v>
      </c>
    </row>
    <row r="121">
      <c r="A121" s="407" t="s">
        <v>139</v>
      </c>
      <c r="B121" s="408" t="s">
        <v>161</v>
      </c>
      <c r="C121" s="43">
        <v>2025.0</v>
      </c>
      <c r="D121" s="102">
        <f>SUMIFS(Pasivo!N:N,Pasivo!B:B,A121 ,Pasivo!E:E,"No Pagado",Pasivo!C:C, "01 ene",Pasivo!F:F,"")
+SUMIFS(Pasivo!N:N,Pasivo!B:B,A121 ,Pasivo!E:E,"No Pagado",Pasivo!C:C, "01 ene",Pasivo!F:F, "&gt;"&amp;EOMONTH(DATE(2025,7,1),0))
+ SUMIFS(Pasivo!N:N,Pasivo!B:B,A121 ,Pasivo!E:E,"No Pagado",Pasivo!C:C, "02 feb",Pasivo!F:F,"")
+SUMIFS(Pasivo!N:N,Pasivo!B:B,A121 ,Pasivo!E:E,"No Pagado",Pasivo!C:C, "02 feb",Pasivo!F:F, "&gt;"&amp;EOMONTH(DATE(2025,7,1),0))
+ SUMIFS(Pasivo!N:N,Pasivo!B:B,A121 ,Pasivo!E:E,"No Pagado",Pasivo!C:C, "03 mar",Pasivo!F:F,"")
+SUMIFS(Pasivo!N:N,Pasivo!B:B,A121 ,Pasivo!E:E,"No Pagado",Pasivo!C:C, "03 mar",Pasivo!F:F, "&gt;"&amp;EOMONTH(DATE(2025,7,1),0)) 
+ SUMIFS(Pasivo!N:N,Pasivo!B:B,A121 ,Pasivo!E:E,"No Pagado",Pasivo!C:C, "04 abr",Pasivo!F:F,"")
+SUMIFS(Pasivo!N:N,Pasivo!B:B,A121 ,Pasivo!E:E,"No Pagado",Pasivo!C:C, "04 abr",Pasivo!F:F, "&gt;"&amp;EOMONTH(DATE(2025,7,1),0))
+ SUMIFS(Pasivo!N:N,Pasivo!B:B,A121 ,Pasivo!E:E,"No Pagado",Pasivo!C:C, "05 may",Pasivo!F:F,"")
+SUMIFS(Pasivo!N:N,Pasivo!B:B,A121 ,Pasivo!E:E,"No Pagado",Pasivo!C:C, "05 may",Pasivo!F:F, "&gt;"&amp;EOMONTH(DATE(2025,7,1),0))
+ SUMIFS(Pasivo!N:N,Pasivo!B:B,A121 ,Pasivo!E:E,"No Pagado",Pasivo!C:C, "06 jun",Pasivo!F:F,"")
+SUMIFS(Pasivo!N:N,Pasivo!B:B,A121 ,Pasivo!E:E,"No Pagado",Pasivo!C:C, "06 jun",Pasivo!F:F, "&gt;"&amp;EOMONTH(DATE(2025,7,1),0))
+ SUMIFS(Pasivo!N:N,Pasivo!B:B,A121 ,Pasivo!E:E,"No Pagado",Pasivo!C:C, "07 jul",Pasivo!F:F,"")
+SUMIFS(Pasivo!N:N,Pasivo!B:B,A121 ,Pasivo!E:E,"No Pagado",Pasivo!C:C, "07 jul",Pasivo!F:F, "&gt;"&amp;EOMONTH(DATE(2025,7,1),0))
</f>
        <v>0</v>
      </c>
    </row>
    <row r="122">
      <c r="A122" s="409" t="s">
        <v>185</v>
      </c>
      <c r="B122" s="408" t="s">
        <v>161</v>
      </c>
      <c r="C122" s="43">
        <v>2025.0</v>
      </c>
      <c r="D122" s="102">
        <f>SUMIFS(Pasivo!N:N,Pasivo!B:B,A122 ,Pasivo!E:E,"No Pagado",Pasivo!C:C, "01 ene",Pasivo!F:F,"")
+SUMIFS(Pasivo!N:N,Pasivo!B:B,A122 ,Pasivo!E:E,"No Pagado",Pasivo!C:C, "01 ene",Pasivo!F:F, "&gt;"&amp;EOMONTH(DATE(2025,7,1),0))
+ SUMIFS(Pasivo!N:N,Pasivo!B:B,A122 ,Pasivo!E:E,"No Pagado",Pasivo!C:C, "02 feb",Pasivo!F:F,"")
+SUMIFS(Pasivo!N:N,Pasivo!B:B,A122 ,Pasivo!E:E,"No Pagado",Pasivo!C:C, "02 feb",Pasivo!F:F, "&gt;"&amp;EOMONTH(DATE(2025,7,1),0))
+ SUMIFS(Pasivo!N:N,Pasivo!B:B,A122 ,Pasivo!E:E,"No Pagado",Pasivo!C:C, "03 mar",Pasivo!F:F,"")
+SUMIFS(Pasivo!N:N,Pasivo!B:B,A122 ,Pasivo!E:E,"No Pagado",Pasivo!C:C, "03 mar",Pasivo!F:F, "&gt;"&amp;EOMONTH(DATE(2025,7,1),0)) 
+ SUMIFS(Pasivo!N:N,Pasivo!B:B,A122 ,Pasivo!E:E,"No Pagado",Pasivo!C:C, "04 abr",Pasivo!F:F,"")
+SUMIFS(Pasivo!N:N,Pasivo!B:B,A122 ,Pasivo!E:E,"No Pagado",Pasivo!C:C, "04 abr",Pasivo!F:F, "&gt;"&amp;EOMONTH(DATE(2025,7,1),0))
+ SUMIFS(Pasivo!N:N,Pasivo!B:B,A122 ,Pasivo!E:E,"No Pagado",Pasivo!C:C, "05 may",Pasivo!F:F,"")
+SUMIFS(Pasivo!N:N,Pasivo!B:B,A122 ,Pasivo!E:E,"No Pagado",Pasivo!C:C, "05 may",Pasivo!F:F, "&gt;"&amp;EOMONTH(DATE(2025,7,1),0))
+ SUMIFS(Pasivo!N:N,Pasivo!B:B,A122 ,Pasivo!E:E,"No Pagado",Pasivo!C:C, "06 jun",Pasivo!F:F,"")
+SUMIFS(Pasivo!N:N,Pasivo!B:B,A122 ,Pasivo!E:E,"No Pagado",Pasivo!C:C, "06 jun",Pasivo!F:F, "&gt;"&amp;EOMONTH(DATE(2025,7,1),0))
+ SUMIFS(Pasivo!N:N,Pasivo!B:B,A122 ,Pasivo!E:E,"No Pagado",Pasivo!C:C, "07 jul",Pasivo!F:F,"")
+SUMIFS(Pasivo!N:N,Pasivo!B:B,A122 ,Pasivo!E:E,"No Pagado",Pasivo!C:C, "07 jul",Pasivo!F:F, "&gt;"&amp;EOMONTH(DATE(2025,7,1),0))
</f>
        <v>0</v>
      </c>
    </row>
    <row r="123">
      <c r="A123" s="409" t="s">
        <v>188</v>
      </c>
      <c r="B123" s="408" t="s">
        <v>161</v>
      </c>
      <c r="C123" s="43">
        <v>2025.0</v>
      </c>
      <c r="D123" s="102">
        <f>SUMIFS(Pasivo!N:N,Pasivo!B:B,A123 ,Pasivo!E:E,"No Pagado",Pasivo!C:C, "01 ene",Pasivo!F:F,"")
+SUMIFS(Pasivo!N:N,Pasivo!B:B,A123 ,Pasivo!E:E,"No Pagado",Pasivo!C:C, "01 ene",Pasivo!F:F, "&gt;"&amp;EOMONTH(DATE(2025,7,1),0))
+ SUMIFS(Pasivo!N:N,Pasivo!B:B,A123 ,Pasivo!E:E,"No Pagado",Pasivo!C:C, "02 feb",Pasivo!F:F,"")
+SUMIFS(Pasivo!N:N,Pasivo!B:B,A123 ,Pasivo!E:E,"No Pagado",Pasivo!C:C, "02 feb",Pasivo!F:F, "&gt;"&amp;EOMONTH(DATE(2025,7,1),0))
+ SUMIFS(Pasivo!N:N,Pasivo!B:B,A123 ,Pasivo!E:E,"No Pagado",Pasivo!C:C, "03 mar",Pasivo!F:F,"")
+SUMIFS(Pasivo!N:N,Pasivo!B:B,A123 ,Pasivo!E:E,"No Pagado",Pasivo!C:C, "03 mar",Pasivo!F:F, "&gt;"&amp;EOMONTH(DATE(2025,7,1),0)) 
+ SUMIFS(Pasivo!N:N,Pasivo!B:B,A123 ,Pasivo!E:E,"No Pagado",Pasivo!C:C, "04 abr",Pasivo!F:F,"")
+SUMIFS(Pasivo!N:N,Pasivo!B:B,A123 ,Pasivo!E:E,"No Pagado",Pasivo!C:C, "04 abr",Pasivo!F:F, "&gt;"&amp;EOMONTH(DATE(2025,7,1),0))
+ SUMIFS(Pasivo!N:N,Pasivo!B:B,A123 ,Pasivo!E:E,"No Pagado",Pasivo!C:C, "05 may",Pasivo!F:F,"")
+SUMIFS(Pasivo!N:N,Pasivo!B:B,A123 ,Pasivo!E:E,"No Pagado",Pasivo!C:C, "05 may",Pasivo!F:F, "&gt;"&amp;EOMONTH(DATE(2025,7,1),0))
+ SUMIFS(Pasivo!N:N,Pasivo!B:B,A123 ,Pasivo!E:E,"No Pagado",Pasivo!C:C, "06 jun",Pasivo!F:F,"")
+SUMIFS(Pasivo!N:N,Pasivo!B:B,A123 ,Pasivo!E:E,"No Pagado",Pasivo!C:C, "06 jun",Pasivo!F:F, "&gt;"&amp;EOMONTH(DATE(2025,7,1),0))
+ SUMIFS(Pasivo!N:N,Pasivo!B:B,A123 ,Pasivo!E:E,"No Pagado",Pasivo!C:C, "07 jul",Pasivo!F:F,"")
+SUMIFS(Pasivo!N:N,Pasivo!B:B,A123 ,Pasivo!E:E,"No Pagado",Pasivo!C:C, "07 jul",Pasivo!F:F, "&gt;"&amp;EOMONTH(DATE(2025,7,1),0))
</f>
        <v>0</v>
      </c>
    </row>
    <row r="124">
      <c r="A124" s="409" t="s">
        <v>192</v>
      </c>
      <c r="B124" s="408" t="s">
        <v>161</v>
      </c>
      <c r="C124" s="43">
        <v>2025.0</v>
      </c>
      <c r="D124" s="102">
        <f>SUMIFS(Pasivo!N:N,Pasivo!B:B,A124 ,Pasivo!E:E,"No Pagado",Pasivo!C:C, "01 ene",Pasivo!F:F,"")
+SUMIFS(Pasivo!N:N,Pasivo!B:B,A124 ,Pasivo!E:E,"No Pagado",Pasivo!C:C, "01 ene",Pasivo!F:F, "&gt;"&amp;EOMONTH(DATE(2025,7,1),0))
+ SUMIFS(Pasivo!N:N,Pasivo!B:B,A124 ,Pasivo!E:E,"No Pagado",Pasivo!C:C, "02 feb",Pasivo!F:F,"")
+SUMIFS(Pasivo!N:N,Pasivo!B:B,A124 ,Pasivo!E:E,"No Pagado",Pasivo!C:C, "02 feb",Pasivo!F:F, "&gt;"&amp;EOMONTH(DATE(2025,7,1),0))
+ SUMIFS(Pasivo!N:N,Pasivo!B:B,A124 ,Pasivo!E:E,"No Pagado",Pasivo!C:C, "03 mar",Pasivo!F:F,"")
+SUMIFS(Pasivo!N:N,Pasivo!B:B,A124 ,Pasivo!E:E,"No Pagado",Pasivo!C:C, "03 mar",Pasivo!F:F, "&gt;"&amp;EOMONTH(DATE(2025,7,1),0)) 
+ SUMIFS(Pasivo!N:N,Pasivo!B:B,A124 ,Pasivo!E:E,"No Pagado",Pasivo!C:C, "04 abr",Pasivo!F:F,"")
+SUMIFS(Pasivo!N:N,Pasivo!B:B,A124 ,Pasivo!E:E,"No Pagado",Pasivo!C:C, "04 abr",Pasivo!F:F, "&gt;"&amp;EOMONTH(DATE(2025,7,1),0))
+ SUMIFS(Pasivo!N:N,Pasivo!B:B,A124 ,Pasivo!E:E,"No Pagado",Pasivo!C:C, "05 may",Pasivo!F:F,"")
+SUMIFS(Pasivo!N:N,Pasivo!B:B,A124 ,Pasivo!E:E,"No Pagado",Pasivo!C:C, "05 may",Pasivo!F:F, "&gt;"&amp;EOMONTH(DATE(2025,7,1),0))
+ SUMIFS(Pasivo!N:N,Pasivo!B:B,A124 ,Pasivo!E:E,"No Pagado",Pasivo!C:C, "06 jun",Pasivo!F:F,"")
+SUMIFS(Pasivo!N:N,Pasivo!B:B,A124 ,Pasivo!E:E,"No Pagado",Pasivo!C:C, "06 jun",Pasivo!F:F, "&gt;"&amp;EOMONTH(DATE(2025,7,1),0))
+ SUMIFS(Pasivo!N:N,Pasivo!B:B,A124 ,Pasivo!E:E,"No Pagado",Pasivo!C:C, "07 jul",Pasivo!F:F,"")
+SUMIFS(Pasivo!N:N,Pasivo!B:B,A124 ,Pasivo!E:E,"No Pagado",Pasivo!C:C, "07 jul",Pasivo!F:F, "&gt;"&amp;EOMONTH(DATE(2025,7,1),0))
</f>
        <v>0</v>
      </c>
    </row>
    <row r="125">
      <c r="A125" s="409" t="s">
        <v>195</v>
      </c>
      <c r="B125" s="408" t="s">
        <v>161</v>
      </c>
      <c r="C125" s="43">
        <v>2025.0</v>
      </c>
      <c r="D125" s="102">
        <f>SUMIFS(Pasivo!N:N,Pasivo!B:B,A125 ,Pasivo!E:E,"No Pagado",Pasivo!C:C, "01 ene",Pasivo!F:F,"")
+SUMIFS(Pasivo!N:N,Pasivo!B:B,A125 ,Pasivo!E:E,"No Pagado",Pasivo!C:C, "01 ene",Pasivo!F:F, "&gt;"&amp;EOMONTH(DATE(2025,7,1),0))
+ SUMIFS(Pasivo!N:N,Pasivo!B:B,A125 ,Pasivo!E:E,"No Pagado",Pasivo!C:C, "02 feb",Pasivo!F:F,"")
+SUMIFS(Pasivo!N:N,Pasivo!B:B,A125 ,Pasivo!E:E,"No Pagado",Pasivo!C:C, "02 feb",Pasivo!F:F, "&gt;"&amp;EOMONTH(DATE(2025,7,1),0))
+ SUMIFS(Pasivo!N:N,Pasivo!B:B,A125 ,Pasivo!E:E,"No Pagado",Pasivo!C:C, "03 mar",Pasivo!F:F,"")
+SUMIFS(Pasivo!N:N,Pasivo!B:B,A125 ,Pasivo!E:E,"No Pagado",Pasivo!C:C, "03 mar",Pasivo!F:F, "&gt;"&amp;EOMONTH(DATE(2025,7,1),0)) 
+ SUMIFS(Pasivo!N:N,Pasivo!B:B,A125 ,Pasivo!E:E,"No Pagado",Pasivo!C:C, "04 abr",Pasivo!F:F,"")
+SUMIFS(Pasivo!N:N,Pasivo!B:B,A125 ,Pasivo!E:E,"No Pagado",Pasivo!C:C, "04 abr",Pasivo!F:F, "&gt;"&amp;EOMONTH(DATE(2025,7,1),0))
+ SUMIFS(Pasivo!N:N,Pasivo!B:B,A125 ,Pasivo!E:E,"No Pagado",Pasivo!C:C, "05 may",Pasivo!F:F,"")
+SUMIFS(Pasivo!N:N,Pasivo!B:B,A125 ,Pasivo!E:E,"No Pagado",Pasivo!C:C, "05 may",Pasivo!F:F, "&gt;"&amp;EOMONTH(DATE(2025,7,1),0))
+ SUMIFS(Pasivo!N:N,Pasivo!B:B,A125 ,Pasivo!E:E,"No Pagado",Pasivo!C:C, "06 jun",Pasivo!F:F,"")
+SUMIFS(Pasivo!N:N,Pasivo!B:B,A125 ,Pasivo!E:E,"No Pagado",Pasivo!C:C, "06 jun",Pasivo!F:F, "&gt;"&amp;EOMONTH(DATE(2025,7,1),0))
+ SUMIFS(Pasivo!N:N,Pasivo!B:B,A125 ,Pasivo!E:E,"No Pagado",Pasivo!C:C, "07 jul",Pasivo!F:F,"")
+SUMIFS(Pasivo!N:N,Pasivo!B:B,A125 ,Pasivo!E:E,"No Pagado",Pasivo!C:C, "07 jul",Pasivo!F:F, "&gt;"&amp;EOMONTH(DATE(2025,7,1),0))
</f>
        <v>390.6950606</v>
      </c>
    </row>
    <row r="126">
      <c r="A126" s="409" t="s">
        <v>198</v>
      </c>
      <c r="B126" s="408" t="s">
        <v>161</v>
      </c>
      <c r="C126" s="43">
        <v>2025.0</v>
      </c>
      <c r="D126" s="102">
        <f>SUMIFS(Pasivo!N:N,Pasivo!B:B,A126 ,Pasivo!E:E,"No Pagado",Pasivo!C:C, "01 ene",Pasivo!F:F,"")
+SUMIFS(Pasivo!N:N,Pasivo!B:B,A126 ,Pasivo!E:E,"No Pagado",Pasivo!C:C, "01 ene",Pasivo!F:F, "&gt;"&amp;EOMONTH(DATE(2025,7,1),0))
+ SUMIFS(Pasivo!N:N,Pasivo!B:B,A126 ,Pasivo!E:E,"No Pagado",Pasivo!C:C, "02 feb",Pasivo!F:F,"")
+SUMIFS(Pasivo!N:N,Pasivo!B:B,A126 ,Pasivo!E:E,"No Pagado",Pasivo!C:C, "02 feb",Pasivo!F:F, "&gt;"&amp;EOMONTH(DATE(2025,7,1),0))
+ SUMIFS(Pasivo!N:N,Pasivo!B:B,A126 ,Pasivo!E:E,"No Pagado",Pasivo!C:C, "03 mar",Pasivo!F:F,"")
+SUMIFS(Pasivo!N:N,Pasivo!B:B,A126 ,Pasivo!E:E,"No Pagado",Pasivo!C:C, "03 mar",Pasivo!F:F, "&gt;"&amp;EOMONTH(DATE(2025,7,1),0)) 
+ SUMIFS(Pasivo!N:N,Pasivo!B:B,A126 ,Pasivo!E:E,"No Pagado",Pasivo!C:C, "04 abr",Pasivo!F:F,"")
+SUMIFS(Pasivo!N:N,Pasivo!B:B,A126 ,Pasivo!E:E,"No Pagado",Pasivo!C:C, "04 abr",Pasivo!F:F, "&gt;"&amp;EOMONTH(DATE(2025,7,1),0))
+ SUMIFS(Pasivo!N:N,Pasivo!B:B,A126 ,Pasivo!E:E,"No Pagado",Pasivo!C:C, "05 may",Pasivo!F:F,"")
+SUMIFS(Pasivo!N:N,Pasivo!B:B,A126 ,Pasivo!E:E,"No Pagado",Pasivo!C:C, "05 may",Pasivo!F:F, "&gt;"&amp;EOMONTH(DATE(2025,7,1),0))
+ SUMIFS(Pasivo!N:N,Pasivo!B:B,A126 ,Pasivo!E:E,"No Pagado",Pasivo!C:C, "06 jun",Pasivo!F:F,"")
+SUMIFS(Pasivo!N:N,Pasivo!B:B,A126 ,Pasivo!E:E,"No Pagado",Pasivo!C:C, "06 jun",Pasivo!F:F, "&gt;"&amp;EOMONTH(DATE(2025,7,1),0))
+ SUMIFS(Pasivo!N:N,Pasivo!B:B,A126 ,Pasivo!E:E,"No Pagado",Pasivo!C:C, "07 jul",Pasivo!F:F,"")
+SUMIFS(Pasivo!N:N,Pasivo!B:B,A126 ,Pasivo!E:E,"No Pagado",Pasivo!C:C, "07 jul",Pasivo!F:F, "&gt;"&amp;EOMONTH(DATE(2025,7,1),0))
</f>
        <v>0</v>
      </c>
    </row>
    <row r="127">
      <c r="A127" s="410" t="s">
        <v>201</v>
      </c>
      <c r="B127" s="408" t="s">
        <v>161</v>
      </c>
      <c r="C127" s="43">
        <v>2025.0</v>
      </c>
      <c r="D127" s="102">
        <f>SUMIFS(Pasivo!N:N,Pasivo!B:B,A127 ,Pasivo!E:E,"No Pagado",Pasivo!C:C, "01 ene",Pasivo!F:F,"")
+SUMIFS(Pasivo!N:N,Pasivo!B:B,A127 ,Pasivo!E:E,"No Pagado",Pasivo!C:C, "01 ene",Pasivo!F:F, "&gt;"&amp;EOMONTH(DATE(2025,7,1),0))
+ SUMIFS(Pasivo!N:N,Pasivo!B:B,A127 ,Pasivo!E:E,"No Pagado",Pasivo!C:C, "02 feb",Pasivo!F:F,"")
+SUMIFS(Pasivo!N:N,Pasivo!B:B,A127 ,Pasivo!E:E,"No Pagado",Pasivo!C:C, "02 feb",Pasivo!F:F, "&gt;"&amp;EOMONTH(DATE(2025,7,1),0))
+ SUMIFS(Pasivo!N:N,Pasivo!B:B,A127 ,Pasivo!E:E,"No Pagado",Pasivo!C:C, "03 mar",Pasivo!F:F,"")
+SUMIFS(Pasivo!N:N,Pasivo!B:B,A127 ,Pasivo!E:E,"No Pagado",Pasivo!C:C, "03 mar",Pasivo!F:F, "&gt;"&amp;EOMONTH(DATE(2025,7,1),0)) 
+ SUMIFS(Pasivo!N:N,Pasivo!B:B,A127 ,Pasivo!E:E,"No Pagado",Pasivo!C:C, "04 abr",Pasivo!F:F,"")
+SUMIFS(Pasivo!N:N,Pasivo!B:B,A127 ,Pasivo!E:E,"No Pagado",Pasivo!C:C, "04 abr",Pasivo!F:F, "&gt;"&amp;EOMONTH(DATE(2025,7,1),0))
+ SUMIFS(Pasivo!N:N,Pasivo!B:B,A127 ,Pasivo!E:E,"No Pagado",Pasivo!C:C, "05 may",Pasivo!F:F,"")
+SUMIFS(Pasivo!N:N,Pasivo!B:B,A127 ,Pasivo!E:E,"No Pagado",Pasivo!C:C, "05 may",Pasivo!F:F, "&gt;"&amp;EOMONTH(DATE(2025,7,1),0))
+ SUMIFS(Pasivo!N:N,Pasivo!B:B,A127 ,Pasivo!E:E,"No Pagado",Pasivo!C:C, "06 jun",Pasivo!F:F,"")
+SUMIFS(Pasivo!N:N,Pasivo!B:B,A127 ,Pasivo!E:E,"No Pagado",Pasivo!C:C, "06 jun",Pasivo!F:F, "&gt;"&amp;EOMONTH(DATE(2025,7,1),0))
+ SUMIFS(Pasivo!N:N,Pasivo!B:B,A127 ,Pasivo!E:E,"No Pagado",Pasivo!C:C, "07 jul",Pasivo!F:F,"")
+SUMIFS(Pasivo!N:N,Pasivo!B:B,A127 ,Pasivo!E:E,"No Pagado",Pasivo!C:C, "07 jul",Pasivo!F:F, "&gt;"&amp;EOMONTH(DATE(2025,7,1),0))
</f>
        <v>919.79</v>
      </c>
    </row>
    <row r="128">
      <c r="A128" s="411" t="s">
        <v>121</v>
      </c>
      <c r="B128" s="412" t="s">
        <v>166</v>
      </c>
      <c r="C128" s="43">
        <v>2025.0</v>
      </c>
      <c r="D128" s="102">
        <f>SUMIFS(Pasivo!N:N,Pasivo!B:B,A128 ,Pasivo!E:E,"No Pagado",Pasivo!C:C, "01 ene",Pasivo!F:F,"")
+SUMIFS(Pasivo!N:N,Pasivo!B:B,A128 ,Pasivo!E:E,"No Pagado",Pasivo!C:C, "01 ene",Pasivo!F:F, "&gt;"&amp;EOMONTH(DATE(2025,8,1),0))
+ SUMIFS(Pasivo!N:N,Pasivo!B:B,A128 ,Pasivo!E:E,"No Pagado",Pasivo!C:C, "02 feb",Pasivo!F:F,"")
+SUMIFS(Pasivo!N:N,Pasivo!B:B,A128 ,Pasivo!E:E,"No Pagado",Pasivo!C:C, "02 feb",Pasivo!F:F, "&gt;"&amp;EOMONTH(DATE(2025,8,1),0))
+ SUMIFS(Pasivo!N:N,Pasivo!B:B,A128 ,Pasivo!E:E,"No Pagado",Pasivo!C:C, "03 mar",Pasivo!F:F,"")
+SUMIFS(Pasivo!N:N,Pasivo!B:B,A128 ,Pasivo!E:E,"No Pagado",Pasivo!C:C, "03 mar",Pasivo!F:F, "&gt;"&amp;EOMONTH(DATE(2025,8,1),0)) 
+ SUMIFS(Pasivo!N:N,Pasivo!B:B,A128 ,Pasivo!E:E,"No Pagado",Pasivo!C:C, "04 abr",Pasivo!F:F,"")
+SUMIFS(Pasivo!N:N,Pasivo!B:B,A128 ,Pasivo!E:E,"No Pagado",Pasivo!C:C, "04 abr",Pasivo!F:F, "&gt;"&amp;EOMONTH(DATE(2025,8,1),0))
+ SUMIFS(Pasivo!N:N,Pasivo!B:B,A128 ,Pasivo!E:E,"No Pagado",Pasivo!C:C, "05 may",Pasivo!F:F,"")
+SUMIFS(Pasivo!N:N,Pasivo!B:B,A128 ,Pasivo!E:E,"No Pagado",Pasivo!C:C, "05 may",Pasivo!F:F, "&gt;"&amp;EOMONTH(DATE(2025,8,1),0))
+ SUMIFS(Pasivo!N:N,Pasivo!B:B,A128 ,Pasivo!E:E,"No Pagado",Pasivo!C:C, "06 jun",Pasivo!F:F,"")
+SUMIFS(Pasivo!N:N,Pasivo!B:B,A128 ,Pasivo!E:E,"No Pagado",Pasivo!C:C, "06 jun",Pasivo!F:F, "&gt;"&amp;EOMONTH(DATE(2025,8,1),0))
+ SUMIFS(Pasivo!N:N,Pasivo!B:B,A128 ,Pasivo!E:E,"No Pagado",Pasivo!C:C, "07 jul",Pasivo!F:F,"")
+SUMIFS(Pasivo!N:N,Pasivo!B:B,A128 ,Pasivo!E:E,"No Pagado",Pasivo!C:C, "07 jul",Pasivo!F:F, "&gt;"&amp;EOMONTH(DATE(2025,8,1),0))
+ SUMIFS(Pasivo!N:N,Pasivo!B:B,A128 ,Pasivo!E:E,"No Pagado",Pasivo!C:C, "08 ago",Pasivo!F:F,"")
+SUMIFS(Pasivo!N:N,Pasivo!B:B,A128 ,Pasivo!E:E,"No Pagado",Pasivo!C:C, "08 ago",Pasivo!F:F, "&gt;"&amp;EOMONTH(DATE(2025,8,1),0))
</f>
        <v>18282.24387</v>
      </c>
    </row>
    <row r="129">
      <c r="A129" s="411" t="s">
        <v>128</v>
      </c>
      <c r="B129" s="412" t="s">
        <v>166</v>
      </c>
      <c r="C129" s="43">
        <v>2025.0</v>
      </c>
      <c r="D129" s="102">
        <f>SUMIFS(Pasivo!N:N,Pasivo!B:B,A129 ,Pasivo!E:E,"No Pagado",Pasivo!C:C, "01 ene",Pasivo!F:F,"")
+SUMIFS(Pasivo!N:N,Pasivo!B:B,A129 ,Pasivo!E:E,"No Pagado",Pasivo!C:C, "01 ene",Pasivo!F:F, "&gt;"&amp;EOMONTH(DATE(2025,8,1),0))
+ SUMIFS(Pasivo!N:N,Pasivo!B:B,A129 ,Pasivo!E:E,"No Pagado",Pasivo!C:C, "02 feb",Pasivo!F:F,"")
+SUMIFS(Pasivo!N:N,Pasivo!B:B,A129 ,Pasivo!E:E,"No Pagado",Pasivo!C:C, "02 feb",Pasivo!F:F, "&gt;"&amp;EOMONTH(DATE(2025,8,1),0))
+ SUMIFS(Pasivo!N:N,Pasivo!B:B,A129 ,Pasivo!E:E,"No Pagado",Pasivo!C:C, "03 mar",Pasivo!F:F,"")
+SUMIFS(Pasivo!N:N,Pasivo!B:B,A129 ,Pasivo!E:E,"No Pagado",Pasivo!C:C, "03 mar",Pasivo!F:F, "&gt;"&amp;EOMONTH(DATE(2025,8,1),0)) 
+ SUMIFS(Pasivo!N:N,Pasivo!B:B,A129 ,Pasivo!E:E,"No Pagado",Pasivo!C:C, "04 abr",Pasivo!F:F,"")
+SUMIFS(Pasivo!N:N,Pasivo!B:B,A129 ,Pasivo!E:E,"No Pagado",Pasivo!C:C, "04 abr",Pasivo!F:F, "&gt;"&amp;EOMONTH(DATE(2025,8,1),0))
+ SUMIFS(Pasivo!N:N,Pasivo!B:B,A129 ,Pasivo!E:E,"No Pagado",Pasivo!C:C, "05 may",Pasivo!F:F,"")
+SUMIFS(Pasivo!N:N,Pasivo!B:B,A129 ,Pasivo!E:E,"No Pagado",Pasivo!C:C, "05 may",Pasivo!F:F, "&gt;"&amp;EOMONTH(DATE(2025,8,1),0))
+ SUMIFS(Pasivo!N:N,Pasivo!B:B,A129 ,Pasivo!E:E,"No Pagado",Pasivo!C:C, "06 jun",Pasivo!F:F,"")
+SUMIFS(Pasivo!N:N,Pasivo!B:B,A129 ,Pasivo!E:E,"No Pagado",Pasivo!C:C, "06 jun",Pasivo!F:F, "&gt;"&amp;EOMONTH(DATE(2025,8,1),0))
+ SUMIFS(Pasivo!N:N,Pasivo!B:B,A129 ,Pasivo!E:E,"No Pagado",Pasivo!C:C, "07 jul",Pasivo!F:F,"")
+SUMIFS(Pasivo!N:N,Pasivo!B:B,A129 ,Pasivo!E:E,"No Pagado",Pasivo!C:C, "07 jul",Pasivo!F:F, "&gt;"&amp;EOMONTH(DATE(2025,8,1),0))
+ SUMIFS(Pasivo!N:N,Pasivo!B:B,A129 ,Pasivo!E:E,"No Pagado",Pasivo!C:C, "08 ago",Pasivo!F:F,"")
+SUMIFS(Pasivo!N:N,Pasivo!B:B,A129 ,Pasivo!E:E,"No Pagado",Pasivo!C:C, "08 ago",Pasivo!F:F, "&gt;"&amp;EOMONTH(DATE(2025,8,1),0))
</f>
        <v>7142.666171</v>
      </c>
    </row>
    <row r="130">
      <c r="A130" s="411" t="s">
        <v>134</v>
      </c>
      <c r="B130" s="412" t="s">
        <v>166</v>
      </c>
      <c r="C130" s="43">
        <v>2025.0</v>
      </c>
      <c r="D130" s="102">
        <f>SUMIFS(Pasivo!N:N,Pasivo!B:B,A130 ,Pasivo!E:E,"No Pagado",Pasivo!C:C, "01 ene",Pasivo!F:F,"")
+SUMIFS(Pasivo!N:N,Pasivo!B:B,A130 ,Pasivo!E:E,"No Pagado",Pasivo!C:C, "01 ene",Pasivo!F:F, "&gt;"&amp;EOMONTH(DATE(2025,8,1),0))
+ SUMIFS(Pasivo!N:N,Pasivo!B:B,A130 ,Pasivo!E:E,"No Pagado",Pasivo!C:C, "02 feb",Pasivo!F:F,"")
+SUMIFS(Pasivo!N:N,Pasivo!B:B,A130 ,Pasivo!E:E,"No Pagado",Pasivo!C:C, "02 feb",Pasivo!F:F, "&gt;"&amp;EOMONTH(DATE(2025,8,1),0))
+ SUMIFS(Pasivo!N:N,Pasivo!B:B,A130 ,Pasivo!E:E,"No Pagado",Pasivo!C:C, "03 mar",Pasivo!F:F,"")
+SUMIFS(Pasivo!N:N,Pasivo!B:B,A130 ,Pasivo!E:E,"No Pagado",Pasivo!C:C, "03 mar",Pasivo!F:F, "&gt;"&amp;EOMONTH(DATE(2025,8,1),0)) 
+ SUMIFS(Pasivo!N:N,Pasivo!B:B,A130 ,Pasivo!E:E,"No Pagado",Pasivo!C:C, "04 abr",Pasivo!F:F,"")
+SUMIFS(Pasivo!N:N,Pasivo!B:B,A130 ,Pasivo!E:E,"No Pagado",Pasivo!C:C, "04 abr",Pasivo!F:F, "&gt;"&amp;EOMONTH(DATE(2025,8,1),0))
+ SUMIFS(Pasivo!N:N,Pasivo!B:B,A130 ,Pasivo!E:E,"No Pagado",Pasivo!C:C, "05 may",Pasivo!F:F,"")
+SUMIFS(Pasivo!N:N,Pasivo!B:B,A130 ,Pasivo!E:E,"No Pagado",Pasivo!C:C, "05 may",Pasivo!F:F, "&gt;"&amp;EOMONTH(DATE(2025,8,1),0))
+ SUMIFS(Pasivo!N:N,Pasivo!B:B,A130 ,Pasivo!E:E,"No Pagado",Pasivo!C:C, "06 jun",Pasivo!F:F,"")
+SUMIFS(Pasivo!N:N,Pasivo!B:B,A130 ,Pasivo!E:E,"No Pagado",Pasivo!C:C, "06 jun",Pasivo!F:F, "&gt;"&amp;EOMONTH(DATE(2025,8,1),0))
+ SUMIFS(Pasivo!N:N,Pasivo!B:B,A130 ,Pasivo!E:E,"No Pagado",Pasivo!C:C, "07 jul",Pasivo!F:F,"")
+SUMIFS(Pasivo!N:N,Pasivo!B:B,A130 ,Pasivo!E:E,"No Pagado",Pasivo!C:C, "07 jul",Pasivo!F:F, "&gt;"&amp;EOMONTH(DATE(2025,8,1),0))
+ SUMIFS(Pasivo!N:N,Pasivo!B:B,A130 ,Pasivo!E:E,"No Pagado",Pasivo!C:C, "08 ago",Pasivo!F:F,"")
+SUMIFS(Pasivo!N:N,Pasivo!B:B,A130 ,Pasivo!E:E,"No Pagado",Pasivo!C:C, "08 ago",Pasivo!F:F, "&gt;"&amp;EOMONTH(DATE(2025,8,1),0))
</f>
        <v>3942.666171</v>
      </c>
    </row>
    <row r="131">
      <c r="A131" s="413" t="s">
        <v>140</v>
      </c>
      <c r="B131" s="412" t="s">
        <v>166</v>
      </c>
      <c r="C131" s="43">
        <v>2025.0</v>
      </c>
      <c r="D131" s="102">
        <f>SUMIFS(Pasivo!N:N,Pasivo!B:B,A131 ,Pasivo!E:E,"No Pagado",Pasivo!C:C, "01 ene",Pasivo!F:F,"")
+SUMIFS(Pasivo!N:N,Pasivo!B:B,A131 ,Pasivo!E:E,"No Pagado",Pasivo!C:C, "01 ene",Pasivo!F:F, "&gt;"&amp;EOMONTH(DATE(2025,8,1),0))
+ SUMIFS(Pasivo!N:N,Pasivo!B:B,A131 ,Pasivo!E:E,"No Pagado",Pasivo!C:C, "02 feb",Pasivo!F:F,"")
+SUMIFS(Pasivo!N:N,Pasivo!B:B,A131 ,Pasivo!E:E,"No Pagado",Pasivo!C:C, "02 feb",Pasivo!F:F, "&gt;"&amp;EOMONTH(DATE(2025,8,1),0))
+ SUMIFS(Pasivo!N:N,Pasivo!B:B,A131 ,Pasivo!E:E,"No Pagado",Pasivo!C:C, "03 mar",Pasivo!F:F,"")
+SUMIFS(Pasivo!N:N,Pasivo!B:B,A131 ,Pasivo!E:E,"No Pagado",Pasivo!C:C, "03 mar",Pasivo!F:F, "&gt;"&amp;EOMONTH(DATE(2025,8,1),0)) 
+ SUMIFS(Pasivo!N:N,Pasivo!B:B,A131 ,Pasivo!E:E,"No Pagado",Pasivo!C:C, "04 abr",Pasivo!F:F,"")
+SUMIFS(Pasivo!N:N,Pasivo!B:B,A131 ,Pasivo!E:E,"No Pagado",Pasivo!C:C, "04 abr",Pasivo!F:F, "&gt;"&amp;EOMONTH(DATE(2025,8,1),0))
+ SUMIFS(Pasivo!N:N,Pasivo!B:B,A131 ,Pasivo!E:E,"No Pagado",Pasivo!C:C, "05 may",Pasivo!F:F,"")
+SUMIFS(Pasivo!N:N,Pasivo!B:B,A131 ,Pasivo!E:E,"No Pagado",Pasivo!C:C, "05 may",Pasivo!F:F, "&gt;"&amp;EOMONTH(DATE(2025,8,1),0))
+ SUMIFS(Pasivo!N:N,Pasivo!B:B,A131 ,Pasivo!E:E,"No Pagado",Pasivo!C:C, "06 jun",Pasivo!F:F,"")
+SUMIFS(Pasivo!N:N,Pasivo!B:B,A131 ,Pasivo!E:E,"No Pagado",Pasivo!C:C, "06 jun",Pasivo!F:F, "&gt;"&amp;EOMONTH(DATE(2025,8,1),0))
+ SUMIFS(Pasivo!N:N,Pasivo!B:B,A131 ,Pasivo!E:E,"No Pagado",Pasivo!C:C, "07 jul",Pasivo!F:F,"")
+SUMIFS(Pasivo!N:N,Pasivo!B:B,A131 ,Pasivo!E:E,"No Pagado",Pasivo!C:C, "07 jul",Pasivo!F:F, "&gt;"&amp;EOMONTH(DATE(2025,8,1),0))
+ SUMIFS(Pasivo!N:N,Pasivo!B:B,A131 ,Pasivo!E:E,"No Pagado",Pasivo!C:C, "08 ago",Pasivo!F:F,"")
+SUMIFS(Pasivo!N:N,Pasivo!B:B,A131 ,Pasivo!E:E,"No Pagado",Pasivo!C:C, "08 ago",Pasivo!F:F, "&gt;"&amp;EOMONTH(DATE(2025,8,1),0))
</f>
        <v>715.2713755</v>
      </c>
    </row>
    <row r="132">
      <c r="A132" s="411" t="s">
        <v>147</v>
      </c>
      <c r="B132" s="412" t="s">
        <v>166</v>
      </c>
      <c r="C132" s="43">
        <v>2025.0</v>
      </c>
      <c r="D132" s="102">
        <f>SUMIFS(Pasivo!N:N,Pasivo!B:B,A132 ,Pasivo!E:E,"No Pagado",Pasivo!C:C, "01 ene",Pasivo!F:F,"")
+SUMIFS(Pasivo!N:N,Pasivo!B:B,A132 ,Pasivo!E:E,"No Pagado",Pasivo!C:C, "01 ene",Pasivo!F:F, "&gt;"&amp;EOMONTH(DATE(2025,8,1),0))
+ SUMIFS(Pasivo!N:N,Pasivo!B:B,A132 ,Pasivo!E:E,"No Pagado",Pasivo!C:C, "02 feb",Pasivo!F:F,"")
+SUMIFS(Pasivo!N:N,Pasivo!B:B,A132 ,Pasivo!E:E,"No Pagado",Pasivo!C:C, "02 feb",Pasivo!F:F, "&gt;"&amp;EOMONTH(DATE(2025,8,1),0))
+ SUMIFS(Pasivo!N:N,Pasivo!B:B,A132 ,Pasivo!E:E,"No Pagado",Pasivo!C:C, "03 mar",Pasivo!F:F,"")
+SUMIFS(Pasivo!N:N,Pasivo!B:B,A132 ,Pasivo!E:E,"No Pagado",Pasivo!C:C, "03 mar",Pasivo!F:F, "&gt;"&amp;EOMONTH(DATE(2025,8,1),0)) 
+ SUMIFS(Pasivo!N:N,Pasivo!B:B,A132 ,Pasivo!E:E,"No Pagado",Pasivo!C:C, "04 abr",Pasivo!F:F,"")
+SUMIFS(Pasivo!N:N,Pasivo!B:B,A132 ,Pasivo!E:E,"No Pagado",Pasivo!C:C, "04 abr",Pasivo!F:F, "&gt;"&amp;EOMONTH(DATE(2025,8,1),0))
+ SUMIFS(Pasivo!N:N,Pasivo!B:B,A132 ,Pasivo!E:E,"No Pagado",Pasivo!C:C, "05 may",Pasivo!F:F,"")
+SUMIFS(Pasivo!N:N,Pasivo!B:B,A132 ,Pasivo!E:E,"No Pagado",Pasivo!C:C, "05 may",Pasivo!F:F, "&gt;"&amp;EOMONTH(DATE(2025,8,1),0))
+ SUMIFS(Pasivo!N:N,Pasivo!B:B,A132 ,Pasivo!E:E,"No Pagado",Pasivo!C:C, "06 jun",Pasivo!F:F,"")
+SUMIFS(Pasivo!N:N,Pasivo!B:B,A132 ,Pasivo!E:E,"No Pagado",Pasivo!C:C, "06 jun",Pasivo!F:F, "&gt;"&amp;EOMONTH(DATE(2025,8,1),0))
+ SUMIFS(Pasivo!N:N,Pasivo!B:B,A132 ,Pasivo!E:E,"No Pagado",Pasivo!C:C, "07 jul",Pasivo!F:F,"")
+SUMIFS(Pasivo!N:N,Pasivo!B:B,A132 ,Pasivo!E:E,"No Pagado",Pasivo!C:C, "07 jul",Pasivo!F:F, "&gt;"&amp;EOMONTH(DATE(2025,8,1),0))
+ SUMIFS(Pasivo!N:N,Pasivo!B:B,A132 ,Pasivo!E:E,"No Pagado",Pasivo!C:C, "08 ago",Pasivo!F:F,"")
+SUMIFS(Pasivo!N:N,Pasivo!B:B,A132 ,Pasivo!E:E,"No Pagado",Pasivo!C:C, "08 ago",Pasivo!F:F, "&gt;"&amp;EOMONTH(DATE(2025,8,1),0))
</f>
        <v>14684</v>
      </c>
    </row>
    <row r="133">
      <c r="A133" s="411" t="s">
        <v>153</v>
      </c>
      <c r="B133" s="412" t="s">
        <v>166</v>
      </c>
      <c r="C133" s="43">
        <v>2025.0</v>
      </c>
      <c r="D133" s="102">
        <f>SUMIFS(Pasivo!N:N,Pasivo!B:B,A133 ,Pasivo!E:E,"No Pagado",Pasivo!C:C, "01 ene",Pasivo!F:F,"")
+SUMIFS(Pasivo!N:N,Pasivo!B:B,A133 ,Pasivo!E:E,"No Pagado",Pasivo!C:C, "01 ene",Pasivo!F:F, "&gt;"&amp;EOMONTH(DATE(2025,8,1),0))
+ SUMIFS(Pasivo!N:N,Pasivo!B:B,A133 ,Pasivo!E:E,"No Pagado",Pasivo!C:C, "02 feb",Pasivo!F:F,"")
+SUMIFS(Pasivo!N:N,Pasivo!B:B,A133 ,Pasivo!E:E,"No Pagado",Pasivo!C:C, "02 feb",Pasivo!F:F, "&gt;"&amp;EOMONTH(DATE(2025,8,1),0))
+ SUMIFS(Pasivo!N:N,Pasivo!B:B,A133 ,Pasivo!E:E,"No Pagado",Pasivo!C:C, "03 mar",Pasivo!F:F,"")
+SUMIFS(Pasivo!N:N,Pasivo!B:B,A133 ,Pasivo!E:E,"No Pagado",Pasivo!C:C, "03 mar",Pasivo!F:F, "&gt;"&amp;EOMONTH(DATE(2025,8,1),0)) 
+ SUMIFS(Pasivo!N:N,Pasivo!B:B,A133 ,Pasivo!E:E,"No Pagado",Pasivo!C:C, "04 abr",Pasivo!F:F,"")
+SUMIFS(Pasivo!N:N,Pasivo!B:B,A133 ,Pasivo!E:E,"No Pagado",Pasivo!C:C, "04 abr",Pasivo!F:F, "&gt;"&amp;EOMONTH(DATE(2025,8,1),0))
+ SUMIFS(Pasivo!N:N,Pasivo!B:B,A133 ,Pasivo!E:E,"No Pagado",Pasivo!C:C, "05 may",Pasivo!F:F,"")
+SUMIFS(Pasivo!N:N,Pasivo!B:B,A133 ,Pasivo!E:E,"No Pagado",Pasivo!C:C, "05 may",Pasivo!F:F, "&gt;"&amp;EOMONTH(DATE(2025,8,1),0))
+ SUMIFS(Pasivo!N:N,Pasivo!B:B,A133 ,Pasivo!E:E,"No Pagado",Pasivo!C:C, "06 jun",Pasivo!F:F,"")
+SUMIFS(Pasivo!N:N,Pasivo!B:B,A133 ,Pasivo!E:E,"No Pagado",Pasivo!C:C, "06 jun",Pasivo!F:F, "&gt;"&amp;EOMONTH(DATE(2025,8,1),0))
+ SUMIFS(Pasivo!N:N,Pasivo!B:B,A133 ,Pasivo!E:E,"No Pagado",Pasivo!C:C, "07 jul",Pasivo!F:F,"")
+SUMIFS(Pasivo!N:N,Pasivo!B:B,A133 ,Pasivo!E:E,"No Pagado",Pasivo!C:C, "07 jul",Pasivo!F:F, "&gt;"&amp;EOMONTH(DATE(2025,8,1),0))
+ SUMIFS(Pasivo!N:N,Pasivo!B:B,A133 ,Pasivo!E:E,"No Pagado",Pasivo!C:C, "08 ago",Pasivo!F:F,"")
+SUMIFS(Pasivo!N:N,Pasivo!B:B,A133 ,Pasivo!E:E,"No Pagado",Pasivo!C:C, "08 ago",Pasivo!F:F, "&gt;"&amp;EOMONTH(DATE(2025,8,1),0))
</f>
        <v>7731.08</v>
      </c>
    </row>
    <row r="134">
      <c r="A134" s="411" t="s">
        <v>159</v>
      </c>
      <c r="B134" s="412" t="s">
        <v>166</v>
      </c>
      <c r="C134" s="43">
        <v>2025.0</v>
      </c>
      <c r="D134" s="102">
        <f>SUMIFS(Pasivo!N:N,Pasivo!B:B,A134 ,Pasivo!E:E,"No Pagado",Pasivo!C:C, "01 ene",Pasivo!F:F,"")
+SUMIFS(Pasivo!N:N,Pasivo!B:B,A134 ,Pasivo!E:E,"No Pagado",Pasivo!C:C, "01 ene",Pasivo!F:F, "&gt;"&amp;EOMONTH(DATE(2025,8,1),0))
+ SUMIFS(Pasivo!N:N,Pasivo!B:B,A134 ,Pasivo!E:E,"No Pagado",Pasivo!C:C, "02 feb",Pasivo!F:F,"")
+SUMIFS(Pasivo!N:N,Pasivo!B:B,A134 ,Pasivo!E:E,"No Pagado",Pasivo!C:C, "02 feb",Pasivo!F:F, "&gt;"&amp;EOMONTH(DATE(2025,8,1),0))
+ SUMIFS(Pasivo!N:N,Pasivo!B:B,A134 ,Pasivo!E:E,"No Pagado",Pasivo!C:C, "03 mar",Pasivo!F:F,"")
+SUMIFS(Pasivo!N:N,Pasivo!B:B,A134 ,Pasivo!E:E,"No Pagado",Pasivo!C:C, "03 mar",Pasivo!F:F, "&gt;"&amp;EOMONTH(DATE(2025,8,1),0)) 
+ SUMIFS(Pasivo!N:N,Pasivo!B:B,A134 ,Pasivo!E:E,"No Pagado",Pasivo!C:C, "04 abr",Pasivo!F:F,"")
+SUMIFS(Pasivo!N:N,Pasivo!B:B,A134 ,Pasivo!E:E,"No Pagado",Pasivo!C:C, "04 abr",Pasivo!F:F, "&gt;"&amp;EOMONTH(DATE(2025,8,1),0))
+ SUMIFS(Pasivo!N:N,Pasivo!B:B,A134 ,Pasivo!E:E,"No Pagado",Pasivo!C:C, "05 may",Pasivo!F:F,"")
+SUMIFS(Pasivo!N:N,Pasivo!B:B,A134 ,Pasivo!E:E,"No Pagado",Pasivo!C:C, "05 may",Pasivo!F:F, "&gt;"&amp;EOMONTH(DATE(2025,8,1),0))
+ SUMIFS(Pasivo!N:N,Pasivo!B:B,A134 ,Pasivo!E:E,"No Pagado",Pasivo!C:C, "06 jun",Pasivo!F:F,"")
+SUMIFS(Pasivo!N:N,Pasivo!B:B,A134 ,Pasivo!E:E,"No Pagado",Pasivo!C:C, "06 jun",Pasivo!F:F, "&gt;"&amp;EOMONTH(DATE(2025,8,1),0))
+ SUMIFS(Pasivo!N:N,Pasivo!B:B,A134 ,Pasivo!E:E,"No Pagado",Pasivo!C:C, "07 jul",Pasivo!F:F,"")
+SUMIFS(Pasivo!N:N,Pasivo!B:B,A134 ,Pasivo!E:E,"No Pagado",Pasivo!C:C, "07 jul",Pasivo!F:F, "&gt;"&amp;EOMONTH(DATE(2025,8,1),0))
+ SUMIFS(Pasivo!N:N,Pasivo!B:B,A134 ,Pasivo!E:E,"No Pagado",Pasivo!C:C, "08 ago",Pasivo!F:F,"")
+SUMIFS(Pasivo!N:N,Pasivo!B:B,A134 ,Pasivo!E:E,"No Pagado",Pasivo!C:C, "08 ago",Pasivo!F:F, "&gt;"&amp;EOMONTH(DATE(2025,8,1),0))
</f>
        <v>1650.394796</v>
      </c>
    </row>
    <row r="135">
      <c r="A135" s="411" t="s">
        <v>164</v>
      </c>
      <c r="B135" s="412" t="s">
        <v>166</v>
      </c>
      <c r="C135" s="43">
        <v>2025.0</v>
      </c>
      <c r="D135" s="102">
        <f>SUMIFS(Pasivo!N:N,Pasivo!B:B,A135 ,Pasivo!E:E,"No Pagado",Pasivo!C:C, "01 ene",Pasivo!F:F,"")
+SUMIFS(Pasivo!N:N,Pasivo!B:B,A135 ,Pasivo!E:E,"No Pagado",Pasivo!C:C, "01 ene",Pasivo!F:F, "&gt;"&amp;EOMONTH(DATE(2025,8,1),0))
+ SUMIFS(Pasivo!N:N,Pasivo!B:B,A135 ,Pasivo!E:E,"No Pagado",Pasivo!C:C, "02 feb",Pasivo!F:F,"")
+SUMIFS(Pasivo!N:N,Pasivo!B:B,A135 ,Pasivo!E:E,"No Pagado",Pasivo!C:C, "02 feb",Pasivo!F:F, "&gt;"&amp;EOMONTH(DATE(2025,8,1),0))
+ SUMIFS(Pasivo!N:N,Pasivo!B:B,A135 ,Pasivo!E:E,"No Pagado",Pasivo!C:C, "03 mar",Pasivo!F:F,"")
+SUMIFS(Pasivo!N:N,Pasivo!B:B,A135 ,Pasivo!E:E,"No Pagado",Pasivo!C:C, "03 mar",Pasivo!F:F, "&gt;"&amp;EOMONTH(DATE(2025,8,1),0)) 
+ SUMIFS(Pasivo!N:N,Pasivo!B:B,A135 ,Pasivo!E:E,"No Pagado",Pasivo!C:C, "04 abr",Pasivo!F:F,"")
+SUMIFS(Pasivo!N:N,Pasivo!B:B,A135 ,Pasivo!E:E,"No Pagado",Pasivo!C:C, "04 abr",Pasivo!F:F, "&gt;"&amp;EOMONTH(DATE(2025,8,1),0))
+ SUMIFS(Pasivo!N:N,Pasivo!B:B,A135 ,Pasivo!E:E,"No Pagado",Pasivo!C:C, "05 may",Pasivo!F:F,"")
+SUMIFS(Pasivo!N:N,Pasivo!B:B,A135 ,Pasivo!E:E,"No Pagado",Pasivo!C:C, "05 may",Pasivo!F:F, "&gt;"&amp;EOMONTH(DATE(2025,8,1),0))
+ SUMIFS(Pasivo!N:N,Pasivo!B:B,A135 ,Pasivo!E:E,"No Pagado",Pasivo!C:C, "06 jun",Pasivo!F:F,"")
+SUMIFS(Pasivo!N:N,Pasivo!B:B,A135 ,Pasivo!E:E,"No Pagado",Pasivo!C:C, "06 jun",Pasivo!F:F, "&gt;"&amp;EOMONTH(DATE(2025,8,1),0))
+ SUMIFS(Pasivo!N:N,Pasivo!B:B,A135 ,Pasivo!E:E,"No Pagado",Pasivo!C:C, "07 jul",Pasivo!F:F,"")
+SUMIFS(Pasivo!N:N,Pasivo!B:B,A135 ,Pasivo!E:E,"No Pagado",Pasivo!C:C, "07 jul",Pasivo!F:F, "&gt;"&amp;EOMONTH(DATE(2025,8,1),0))
+ SUMIFS(Pasivo!N:N,Pasivo!B:B,A135 ,Pasivo!E:E,"No Pagado",Pasivo!C:C, "08 ago",Pasivo!F:F,"")
+SUMIFS(Pasivo!N:N,Pasivo!B:B,A135 ,Pasivo!E:E,"No Pagado",Pasivo!C:C, "08 ago",Pasivo!F:F, "&gt;"&amp;EOMONTH(DATE(2025,8,1),0))
</f>
        <v>103.2194463</v>
      </c>
    </row>
    <row r="136">
      <c r="A136" s="411" t="s">
        <v>170</v>
      </c>
      <c r="B136" s="412" t="s">
        <v>166</v>
      </c>
      <c r="C136" s="43">
        <v>2025.0</v>
      </c>
      <c r="D136" s="102">
        <f>SUMIFS(Pasivo!N:N,Pasivo!B:B,A136 ,Pasivo!E:E,"No Pagado",Pasivo!C:C, "01 ene",Pasivo!F:F,"")
+SUMIFS(Pasivo!N:N,Pasivo!B:B,A136 ,Pasivo!E:E,"No Pagado",Pasivo!C:C, "01 ene",Pasivo!F:F, "&gt;"&amp;EOMONTH(DATE(2025,8,1),0))
+ SUMIFS(Pasivo!N:N,Pasivo!B:B,A136 ,Pasivo!E:E,"No Pagado",Pasivo!C:C, "02 feb",Pasivo!F:F,"")
+SUMIFS(Pasivo!N:N,Pasivo!B:B,A136 ,Pasivo!E:E,"No Pagado",Pasivo!C:C, "02 feb",Pasivo!F:F, "&gt;"&amp;EOMONTH(DATE(2025,8,1),0))
+ SUMIFS(Pasivo!N:N,Pasivo!B:B,A136 ,Pasivo!E:E,"No Pagado",Pasivo!C:C, "03 mar",Pasivo!F:F,"")
+SUMIFS(Pasivo!N:N,Pasivo!B:B,A136 ,Pasivo!E:E,"No Pagado",Pasivo!C:C, "03 mar",Pasivo!F:F, "&gt;"&amp;EOMONTH(DATE(2025,8,1),0)) 
+ SUMIFS(Pasivo!N:N,Pasivo!B:B,A136 ,Pasivo!E:E,"No Pagado",Pasivo!C:C, "04 abr",Pasivo!F:F,"")
+SUMIFS(Pasivo!N:N,Pasivo!B:B,A136 ,Pasivo!E:E,"No Pagado",Pasivo!C:C, "04 abr",Pasivo!F:F, "&gt;"&amp;EOMONTH(DATE(2025,8,1),0))
+ SUMIFS(Pasivo!N:N,Pasivo!B:B,A136 ,Pasivo!E:E,"No Pagado",Pasivo!C:C, "05 may",Pasivo!F:F,"")
+SUMIFS(Pasivo!N:N,Pasivo!B:B,A136 ,Pasivo!E:E,"No Pagado",Pasivo!C:C, "05 may",Pasivo!F:F, "&gt;"&amp;EOMONTH(DATE(2025,8,1),0))
+ SUMIFS(Pasivo!N:N,Pasivo!B:B,A136 ,Pasivo!E:E,"No Pagado",Pasivo!C:C, "06 jun",Pasivo!F:F,"")
+SUMIFS(Pasivo!N:N,Pasivo!B:B,A136 ,Pasivo!E:E,"No Pagado",Pasivo!C:C, "06 jun",Pasivo!F:F, "&gt;"&amp;EOMONTH(DATE(2025,8,1),0))
+ SUMIFS(Pasivo!N:N,Pasivo!B:B,A136 ,Pasivo!E:E,"No Pagado",Pasivo!C:C, "07 jul",Pasivo!F:F,"")
+SUMIFS(Pasivo!N:N,Pasivo!B:B,A136 ,Pasivo!E:E,"No Pagado",Pasivo!C:C, "07 jul",Pasivo!F:F, "&gt;"&amp;EOMONTH(DATE(2025,8,1),0))
+ SUMIFS(Pasivo!N:N,Pasivo!B:B,A136 ,Pasivo!E:E,"No Pagado",Pasivo!C:C, "08 ago",Pasivo!F:F,"")
+SUMIFS(Pasivo!N:N,Pasivo!B:B,A136 ,Pasivo!E:E,"No Pagado",Pasivo!C:C, "08 ago",Pasivo!F:F, "&gt;"&amp;EOMONTH(DATE(2025,8,1),0))
</f>
        <v>81.01265823</v>
      </c>
    </row>
    <row r="137">
      <c r="A137" s="411" t="s">
        <v>174</v>
      </c>
      <c r="B137" s="412" t="s">
        <v>166</v>
      </c>
      <c r="C137" s="43">
        <v>2025.0</v>
      </c>
      <c r="D137" s="102">
        <f>SUMIFS(Pasivo!N:N,Pasivo!B:B,A137 ,Pasivo!E:E,"No Pagado",Pasivo!C:C, "01 ene",Pasivo!F:F,"")
+SUMIFS(Pasivo!N:N,Pasivo!B:B,A137 ,Pasivo!E:E,"No Pagado",Pasivo!C:C, "01 ene",Pasivo!F:F, "&gt;"&amp;EOMONTH(DATE(2025,8,1),0))
+ SUMIFS(Pasivo!N:N,Pasivo!B:B,A137 ,Pasivo!E:E,"No Pagado",Pasivo!C:C, "02 feb",Pasivo!F:F,"")
+SUMIFS(Pasivo!N:N,Pasivo!B:B,A137 ,Pasivo!E:E,"No Pagado",Pasivo!C:C, "02 feb",Pasivo!F:F, "&gt;"&amp;EOMONTH(DATE(2025,8,1),0))
+ SUMIFS(Pasivo!N:N,Pasivo!B:B,A137 ,Pasivo!E:E,"No Pagado",Pasivo!C:C, "03 mar",Pasivo!F:F,"")
+SUMIFS(Pasivo!N:N,Pasivo!B:B,A137 ,Pasivo!E:E,"No Pagado",Pasivo!C:C, "03 mar",Pasivo!F:F, "&gt;"&amp;EOMONTH(DATE(2025,8,1),0)) 
+ SUMIFS(Pasivo!N:N,Pasivo!B:B,A137 ,Pasivo!E:E,"No Pagado",Pasivo!C:C, "04 abr",Pasivo!F:F,"")
+SUMIFS(Pasivo!N:N,Pasivo!B:B,A137 ,Pasivo!E:E,"No Pagado",Pasivo!C:C, "04 abr",Pasivo!F:F, "&gt;"&amp;EOMONTH(DATE(2025,8,1),0))
+ SUMIFS(Pasivo!N:N,Pasivo!B:B,A137 ,Pasivo!E:E,"No Pagado",Pasivo!C:C, "05 may",Pasivo!F:F,"")
+SUMIFS(Pasivo!N:N,Pasivo!B:B,A137 ,Pasivo!E:E,"No Pagado",Pasivo!C:C, "05 may",Pasivo!F:F, "&gt;"&amp;EOMONTH(DATE(2025,8,1),0))
+ SUMIFS(Pasivo!N:N,Pasivo!B:B,A137 ,Pasivo!E:E,"No Pagado",Pasivo!C:C, "06 jun",Pasivo!F:F,"")
+SUMIFS(Pasivo!N:N,Pasivo!B:B,A137 ,Pasivo!E:E,"No Pagado",Pasivo!C:C, "06 jun",Pasivo!F:F, "&gt;"&amp;EOMONTH(DATE(2025,8,1),0))
+ SUMIFS(Pasivo!N:N,Pasivo!B:B,A137 ,Pasivo!E:E,"No Pagado",Pasivo!C:C, "07 jul",Pasivo!F:F,"")
+SUMIFS(Pasivo!N:N,Pasivo!B:B,A137 ,Pasivo!E:E,"No Pagado",Pasivo!C:C, "07 jul",Pasivo!F:F, "&gt;"&amp;EOMONTH(DATE(2025,8,1),0))
+ SUMIFS(Pasivo!N:N,Pasivo!B:B,A137 ,Pasivo!E:E,"No Pagado",Pasivo!C:C, "08 ago",Pasivo!F:F,"")
+SUMIFS(Pasivo!N:N,Pasivo!B:B,A137 ,Pasivo!E:E,"No Pagado",Pasivo!C:C, "08 ago",Pasivo!F:F, "&gt;"&amp;EOMONTH(DATE(2025,8,1),0))
</f>
        <v>399.2565056</v>
      </c>
    </row>
    <row r="138">
      <c r="A138" s="411" t="s">
        <v>178</v>
      </c>
      <c r="B138" s="412" t="s">
        <v>166</v>
      </c>
      <c r="C138" s="43">
        <v>2025.0</v>
      </c>
      <c r="D138" s="102">
        <f>SUMIFS(Pasivo!N:N,Pasivo!B:B,A138 ,Pasivo!E:E,"No Pagado",Pasivo!C:C, "01 ene",Pasivo!F:F,"")
+SUMIFS(Pasivo!N:N,Pasivo!B:B,A138 ,Pasivo!E:E,"No Pagado",Pasivo!C:C, "01 ene",Pasivo!F:F, "&gt;"&amp;EOMONTH(DATE(2025,8,1),0))
+ SUMIFS(Pasivo!N:N,Pasivo!B:B,A138 ,Pasivo!E:E,"No Pagado",Pasivo!C:C, "02 feb",Pasivo!F:F,"")
+SUMIFS(Pasivo!N:N,Pasivo!B:B,A138 ,Pasivo!E:E,"No Pagado",Pasivo!C:C, "02 feb",Pasivo!F:F, "&gt;"&amp;EOMONTH(DATE(2025,8,1),0))
+ SUMIFS(Pasivo!N:N,Pasivo!B:B,A138 ,Pasivo!E:E,"No Pagado",Pasivo!C:C, "03 mar",Pasivo!F:F,"")
+SUMIFS(Pasivo!N:N,Pasivo!B:B,A138 ,Pasivo!E:E,"No Pagado",Pasivo!C:C, "03 mar",Pasivo!F:F, "&gt;"&amp;EOMONTH(DATE(2025,8,1),0)) 
+ SUMIFS(Pasivo!N:N,Pasivo!B:B,A138 ,Pasivo!E:E,"No Pagado",Pasivo!C:C, "04 abr",Pasivo!F:F,"")
+SUMIFS(Pasivo!N:N,Pasivo!B:B,A138 ,Pasivo!E:E,"No Pagado",Pasivo!C:C, "04 abr",Pasivo!F:F, "&gt;"&amp;EOMONTH(DATE(2025,8,1),0))
+ SUMIFS(Pasivo!N:N,Pasivo!B:B,A138 ,Pasivo!E:E,"No Pagado",Pasivo!C:C, "05 may",Pasivo!F:F,"")
+SUMIFS(Pasivo!N:N,Pasivo!B:B,A138 ,Pasivo!E:E,"No Pagado",Pasivo!C:C, "05 may",Pasivo!F:F, "&gt;"&amp;EOMONTH(DATE(2025,8,1),0))
+ SUMIFS(Pasivo!N:N,Pasivo!B:B,A138 ,Pasivo!E:E,"No Pagado",Pasivo!C:C, "06 jun",Pasivo!F:F,"")
+SUMIFS(Pasivo!N:N,Pasivo!B:B,A138 ,Pasivo!E:E,"No Pagado",Pasivo!C:C, "06 jun",Pasivo!F:F, "&gt;"&amp;EOMONTH(DATE(2025,8,1),0))
+ SUMIFS(Pasivo!N:N,Pasivo!B:B,A138 ,Pasivo!E:E,"No Pagado",Pasivo!C:C, "07 jul",Pasivo!F:F,"")
+SUMIFS(Pasivo!N:N,Pasivo!B:B,A138 ,Pasivo!E:E,"No Pagado",Pasivo!C:C, "07 jul",Pasivo!F:F, "&gt;"&amp;EOMONTH(DATE(2025,8,1),0))
+ SUMIFS(Pasivo!N:N,Pasivo!B:B,A138 ,Pasivo!E:E,"No Pagado",Pasivo!C:C, "08 ago",Pasivo!F:F,"")
+SUMIFS(Pasivo!N:N,Pasivo!B:B,A138 ,Pasivo!E:E,"No Pagado",Pasivo!C:C, "08 ago",Pasivo!F:F, "&gt;"&amp;EOMONTH(DATE(2025,8,1),0))
</f>
        <v>0</v>
      </c>
    </row>
    <row r="139">
      <c r="A139" s="411" t="s">
        <v>139</v>
      </c>
      <c r="B139" s="412" t="s">
        <v>166</v>
      </c>
      <c r="C139" s="43">
        <v>2025.0</v>
      </c>
      <c r="D139" s="102">
        <f>SUMIFS(Pasivo!N:N,Pasivo!B:B,A139 ,Pasivo!E:E,"No Pagado",Pasivo!C:C, "01 ene",Pasivo!F:F,"")
+SUMIFS(Pasivo!N:N,Pasivo!B:B,A139 ,Pasivo!E:E,"No Pagado",Pasivo!C:C, "01 ene",Pasivo!F:F, "&gt;"&amp;EOMONTH(DATE(2025,8,1),0))
+ SUMIFS(Pasivo!N:N,Pasivo!B:B,A139 ,Pasivo!E:E,"No Pagado",Pasivo!C:C, "02 feb",Pasivo!F:F,"")
+SUMIFS(Pasivo!N:N,Pasivo!B:B,A139 ,Pasivo!E:E,"No Pagado",Pasivo!C:C, "02 feb",Pasivo!F:F, "&gt;"&amp;EOMONTH(DATE(2025,8,1),0))
+ SUMIFS(Pasivo!N:N,Pasivo!B:B,A139 ,Pasivo!E:E,"No Pagado",Pasivo!C:C, "03 mar",Pasivo!F:F,"")
+SUMIFS(Pasivo!N:N,Pasivo!B:B,A139 ,Pasivo!E:E,"No Pagado",Pasivo!C:C, "03 mar",Pasivo!F:F, "&gt;"&amp;EOMONTH(DATE(2025,8,1),0)) 
+ SUMIFS(Pasivo!N:N,Pasivo!B:B,A139 ,Pasivo!E:E,"No Pagado",Pasivo!C:C, "04 abr",Pasivo!F:F,"")
+SUMIFS(Pasivo!N:N,Pasivo!B:B,A139 ,Pasivo!E:E,"No Pagado",Pasivo!C:C, "04 abr",Pasivo!F:F, "&gt;"&amp;EOMONTH(DATE(2025,8,1),0))
+ SUMIFS(Pasivo!N:N,Pasivo!B:B,A139 ,Pasivo!E:E,"No Pagado",Pasivo!C:C, "05 may",Pasivo!F:F,"")
+SUMIFS(Pasivo!N:N,Pasivo!B:B,A139 ,Pasivo!E:E,"No Pagado",Pasivo!C:C, "05 may",Pasivo!F:F, "&gt;"&amp;EOMONTH(DATE(2025,8,1),0))
+ SUMIFS(Pasivo!N:N,Pasivo!B:B,A139 ,Pasivo!E:E,"No Pagado",Pasivo!C:C, "06 jun",Pasivo!F:F,"")
+SUMIFS(Pasivo!N:N,Pasivo!B:B,A139 ,Pasivo!E:E,"No Pagado",Pasivo!C:C, "06 jun",Pasivo!F:F, "&gt;"&amp;EOMONTH(DATE(2025,8,1),0))
+ SUMIFS(Pasivo!N:N,Pasivo!B:B,A139 ,Pasivo!E:E,"No Pagado",Pasivo!C:C, "07 jul",Pasivo!F:F,"")
+SUMIFS(Pasivo!N:N,Pasivo!B:B,A139 ,Pasivo!E:E,"No Pagado",Pasivo!C:C, "07 jul",Pasivo!F:F, "&gt;"&amp;EOMONTH(DATE(2025,8,1),0))
+ SUMIFS(Pasivo!N:N,Pasivo!B:B,A139 ,Pasivo!E:E,"No Pagado",Pasivo!C:C, "08 ago",Pasivo!F:F,"")
+SUMIFS(Pasivo!N:N,Pasivo!B:B,A139 ,Pasivo!E:E,"No Pagado",Pasivo!C:C, "08 ago",Pasivo!F:F, "&gt;"&amp;EOMONTH(DATE(2025,8,1),0))
</f>
        <v>45.54689219</v>
      </c>
    </row>
    <row r="140">
      <c r="A140" s="413" t="s">
        <v>185</v>
      </c>
      <c r="B140" s="412" t="s">
        <v>166</v>
      </c>
      <c r="C140" s="43">
        <v>2025.0</v>
      </c>
      <c r="D140" s="102">
        <f>SUMIFS(Pasivo!N:N,Pasivo!B:B,A140 ,Pasivo!E:E,"No Pagado",Pasivo!C:C, "01 ene",Pasivo!F:F,"")
+SUMIFS(Pasivo!N:N,Pasivo!B:B,A140 ,Pasivo!E:E,"No Pagado",Pasivo!C:C, "01 ene",Pasivo!F:F, "&gt;"&amp;EOMONTH(DATE(2025,8,1),0))
+ SUMIFS(Pasivo!N:N,Pasivo!B:B,A140 ,Pasivo!E:E,"No Pagado",Pasivo!C:C, "02 feb",Pasivo!F:F,"")
+SUMIFS(Pasivo!N:N,Pasivo!B:B,A140 ,Pasivo!E:E,"No Pagado",Pasivo!C:C, "02 feb",Pasivo!F:F, "&gt;"&amp;EOMONTH(DATE(2025,8,1),0))
+ SUMIFS(Pasivo!N:N,Pasivo!B:B,A140 ,Pasivo!E:E,"No Pagado",Pasivo!C:C, "03 mar",Pasivo!F:F,"")
+SUMIFS(Pasivo!N:N,Pasivo!B:B,A140 ,Pasivo!E:E,"No Pagado",Pasivo!C:C, "03 mar",Pasivo!F:F, "&gt;"&amp;EOMONTH(DATE(2025,8,1),0)) 
+ SUMIFS(Pasivo!N:N,Pasivo!B:B,A140 ,Pasivo!E:E,"No Pagado",Pasivo!C:C, "04 abr",Pasivo!F:F,"")
+SUMIFS(Pasivo!N:N,Pasivo!B:B,A140 ,Pasivo!E:E,"No Pagado",Pasivo!C:C, "04 abr",Pasivo!F:F, "&gt;"&amp;EOMONTH(DATE(2025,8,1),0))
+ SUMIFS(Pasivo!N:N,Pasivo!B:B,A140 ,Pasivo!E:E,"No Pagado",Pasivo!C:C, "05 may",Pasivo!F:F,"")
+SUMIFS(Pasivo!N:N,Pasivo!B:B,A140 ,Pasivo!E:E,"No Pagado",Pasivo!C:C, "05 may",Pasivo!F:F, "&gt;"&amp;EOMONTH(DATE(2025,8,1),0))
+ SUMIFS(Pasivo!N:N,Pasivo!B:B,A140 ,Pasivo!E:E,"No Pagado",Pasivo!C:C, "06 jun",Pasivo!F:F,"")
+SUMIFS(Pasivo!N:N,Pasivo!B:B,A140 ,Pasivo!E:E,"No Pagado",Pasivo!C:C, "06 jun",Pasivo!F:F, "&gt;"&amp;EOMONTH(DATE(2025,8,1),0))
+ SUMIFS(Pasivo!N:N,Pasivo!B:B,A140 ,Pasivo!E:E,"No Pagado",Pasivo!C:C, "07 jul",Pasivo!F:F,"")
+SUMIFS(Pasivo!N:N,Pasivo!B:B,A140 ,Pasivo!E:E,"No Pagado",Pasivo!C:C, "07 jul",Pasivo!F:F, "&gt;"&amp;EOMONTH(DATE(2025,8,1),0))
+ SUMIFS(Pasivo!N:N,Pasivo!B:B,A140 ,Pasivo!E:E,"No Pagado",Pasivo!C:C, "08 ago",Pasivo!F:F,"")
+SUMIFS(Pasivo!N:N,Pasivo!B:B,A140 ,Pasivo!E:E,"No Pagado",Pasivo!C:C, "08 ago",Pasivo!F:F, "&gt;"&amp;EOMONTH(DATE(2025,8,1),0))
</f>
        <v>0</v>
      </c>
    </row>
    <row r="141">
      <c r="A141" s="413" t="s">
        <v>188</v>
      </c>
      <c r="B141" s="412" t="s">
        <v>166</v>
      </c>
      <c r="C141" s="43">
        <v>2025.0</v>
      </c>
      <c r="D141" s="102">
        <f>SUMIFS(Pasivo!N:N,Pasivo!B:B,A141 ,Pasivo!E:E,"No Pagado",Pasivo!C:C, "01 ene",Pasivo!F:F,"")
+SUMIFS(Pasivo!N:N,Pasivo!B:B,A141 ,Pasivo!E:E,"No Pagado",Pasivo!C:C, "01 ene",Pasivo!F:F, "&gt;"&amp;EOMONTH(DATE(2025,8,1),0))
+ SUMIFS(Pasivo!N:N,Pasivo!B:B,A141 ,Pasivo!E:E,"No Pagado",Pasivo!C:C, "02 feb",Pasivo!F:F,"")
+SUMIFS(Pasivo!N:N,Pasivo!B:B,A141 ,Pasivo!E:E,"No Pagado",Pasivo!C:C, "02 feb",Pasivo!F:F, "&gt;"&amp;EOMONTH(DATE(2025,8,1),0))
+ SUMIFS(Pasivo!N:N,Pasivo!B:B,A141 ,Pasivo!E:E,"No Pagado",Pasivo!C:C, "03 mar",Pasivo!F:F,"")
+SUMIFS(Pasivo!N:N,Pasivo!B:B,A141 ,Pasivo!E:E,"No Pagado",Pasivo!C:C, "03 mar",Pasivo!F:F, "&gt;"&amp;EOMONTH(DATE(2025,8,1),0)) 
+ SUMIFS(Pasivo!N:N,Pasivo!B:B,A141 ,Pasivo!E:E,"No Pagado",Pasivo!C:C, "04 abr",Pasivo!F:F,"")
+SUMIFS(Pasivo!N:N,Pasivo!B:B,A141 ,Pasivo!E:E,"No Pagado",Pasivo!C:C, "04 abr",Pasivo!F:F, "&gt;"&amp;EOMONTH(DATE(2025,8,1),0))
+ SUMIFS(Pasivo!N:N,Pasivo!B:B,A141 ,Pasivo!E:E,"No Pagado",Pasivo!C:C, "05 may",Pasivo!F:F,"")
+SUMIFS(Pasivo!N:N,Pasivo!B:B,A141 ,Pasivo!E:E,"No Pagado",Pasivo!C:C, "05 may",Pasivo!F:F, "&gt;"&amp;EOMONTH(DATE(2025,8,1),0))
+ SUMIFS(Pasivo!N:N,Pasivo!B:B,A141 ,Pasivo!E:E,"No Pagado",Pasivo!C:C, "06 jun",Pasivo!F:F,"")
+SUMIFS(Pasivo!N:N,Pasivo!B:B,A141 ,Pasivo!E:E,"No Pagado",Pasivo!C:C, "06 jun",Pasivo!F:F, "&gt;"&amp;EOMONTH(DATE(2025,8,1),0))
+ SUMIFS(Pasivo!N:N,Pasivo!B:B,A141 ,Pasivo!E:E,"No Pagado",Pasivo!C:C, "07 jul",Pasivo!F:F,"")
+SUMIFS(Pasivo!N:N,Pasivo!B:B,A141 ,Pasivo!E:E,"No Pagado",Pasivo!C:C, "07 jul",Pasivo!F:F, "&gt;"&amp;EOMONTH(DATE(2025,8,1),0))
+ SUMIFS(Pasivo!N:N,Pasivo!B:B,A141 ,Pasivo!E:E,"No Pagado",Pasivo!C:C, "08 ago",Pasivo!F:F,"")
+SUMIFS(Pasivo!N:N,Pasivo!B:B,A141 ,Pasivo!E:E,"No Pagado",Pasivo!C:C, "08 ago",Pasivo!F:F, "&gt;"&amp;EOMONTH(DATE(2025,8,1),0))
</f>
        <v>0</v>
      </c>
    </row>
    <row r="142">
      <c r="A142" s="413" t="s">
        <v>192</v>
      </c>
      <c r="B142" s="412" t="s">
        <v>166</v>
      </c>
      <c r="C142" s="43">
        <v>2025.0</v>
      </c>
      <c r="D142" s="102">
        <f>SUMIFS(Pasivo!N:N,Pasivo!B:B,A142 ,Pasivo!E:E,"No Pagado",Pasivo!C:C, "01 ene",Pasivo!F:F,"")
+SUMIFS(Pasivo!N:N,Pasivo!B:B,A142 ,Pasivo!E:E,"No Pagado",Pasivo!C:C, "01 ene",Pasivo!F:F, "&gt;"&amp;EOMONTH(DATE(2025,8,1),0))
+ SUMIFS(Pasivo!N:N,Pasivo!B:B,A142 ,Pasivo!E:E,"No Pagado",Pasivo!C:C, "02 feb",Pasivo!F:F,"")
+SUMIFS(Pasivo!N:N,Pasivo!B:B,A142 ,Pasivo!E:E,"No Pagado",Pasivo!C:C, "02 feb",Pasivo!F:F, "&gt;"&amp;EOMONTH(DATE(2025,8,1),0))
+ SUMIFS(Pasivo!N:N,Pasivo!B:B,A142 ,Pasivo!E:E,"No Pagado",Pasivo!C:C, "03 mar",Pasivo!F:F,"")
+SUMIFS(Pasivo!N:N,Pasivo!B:B,A142 ,Pasivo!E:E,"No Pagado",Pasivo!C:C, "03 mar",Pasivo!F:F, "&gt;"&amp;EOMONTH(DATE(2025,8,1),0)) 
+ SUMIFS(Pasivo!N:N,Pasivo!B:B,A142 ,Pasivo!E:E,"No Pagado",Pasivo!C:C, "04 abr",Pasivo!F:F,"")
+SUMIFS(Pasivo!N:N,Pasivo!B:B,A142 ,Pasivo!E:E,"No Pagado",Pasivo!C:C, "04 abr",Pasivo!F:F, "&gt;"&amp;EOMONTH(DATE(2025,8,1),0))
+ SUMIFS(Pasivo!N:N,Pasivo!B:B,A142 ,Pasivo!E:E,"No Pagado",Pasivo!C:C, "05 may",Pasivo!F:F,"")
+SUMIFS(Pasivo!N:N,Pasivo!B:B,A142 ,Pasivo!E:E,"No Pagado",Pasivo!C:C, "05 may",Pasivo!F:F, "&gt;"&amp;EOMONTH(DATE(2025,8,1),0))
+ SUMIFS(Pasivo!N:N,Pasivo!B:B,A142 ,Pasivo!E:E,"No Pagado",Pasivo!C:C, "06 jun",Pasivo!F:F,"")
+SUMIFS(Pasivo!N:N,Pasivo!B:B,A142 ,Pasivo!E:E,"No Pagado",Pasivo!C:C, "06 jun",Pasivo!F:F, "&gt;"&amp;EOMONTH(DATE(2025,8,1),0))
+ SUMIFS(Pasivo!N:N,Pasivo!B:B,A142 ,Pasivo!E:E,"No Pagado",Pasivo!C:C, "07 jul",Pasivo!F:F,"")
+SUMIFS(Pasivo!N:N,Pasivo!B:B,A142 ,Pasivo!E:E,"No Pagado",Pasivo!C:C, "07 jul",Pasivo!F:F, "&gt;"&amp;EOMONTH(DATE(2025,8,1),0))
+ SUMIFS(Pasivo!N:N,Pasivo!B:B,A142 ,Pasivo!E:E,"No Pagado",Pasivo!C:C, "08 ago",Pasivo!F:F,"")
+SUMIFS(Pasivo!N:N,Pasivo!B:B,A142 ,Pasivo!E:E,"No Pagado",Pasivo!C:C, "08 ago",Pasivo!F:F, "&gt;"&amp;EOMONTH(DATE(2025,8,1),0))
</f>
        <v>0</v>
      </c>
    </row>
    <row r="143">
      <c r="A143" s="413" t="s">
        <v>195</v>
      </c>
      <c r="B143" s="412" t="s">
        <v>166</v>
      </c>
      <c r="C143" s="43">
        <v>2025.0</v>
      </c>
      <c r="D143" s="102">
        <f>SUMIFS(Pasivo!N:N,Pasivo!B:B,A143 ,Pasivo!E:E,"No Pagado",Pasivo!C:C, "01 ene",Pasivo!F:F,"")
+SUMIFS(Pasivo!N:N,Pasivo!B:B,A143 ,Pasivo!E:E,"No Pagado",Pasivo!C:C, "01 ene",Pasivo!F:F, "&gt;"&amp;EOMONTH(DATE(2025,8,1),0))
+ SUMIFS(Pasivo!N:N,Pasivo!B:B,A143 ,Pasivo!E:E,"No Pagado",Pasivo!C:C, "02 feb",Pasivo!F:F,"")
+SUMIFS(Pasivo!N:N,Pasivo!B:B,A143 ,Pasivo!E:E,"No Pagado",Pasivo!C:C, "02 feb",Pasivo!F:F, "&gt;"&amp;EOMONTH(DATE(2025,8,1),0))
+ SUMIFS(Pasivo!N:N,Pasivo!B:B,A143 ,Pasivo!E:E,"No Pagado",Pasivo!C:C, "03 mar",Pasivo!F:F,"")
+SUMIFS(Pasivo!N:N,Pasivo!B:B,A143 ,Pasivo!E:E,"No Pagado",Pasivo!C:C, "03 mar",Pasivo!F:F, "&gt;"&amp;EOMONTH(DATE(2025,8,1),0)) 
+ SUMIFS(Pasivo!N:N,Pasivo!B:B,A143 ,Pasivo!E:E,"No Pagado",Pasivo!C:C, "04 abr",Pasivo!F:F,"")
+SUMIFS(Pasivo!N:N,Pasivo!B:B,A143 ,Pasivo!E:E,"No Pagado",Pasivo!C:C, "04 abr",Pasivo!F:F, "&gt;"&amp;EOMONTH(DATE(2025,8,1),0))
+ SUMIFS(Pasivo!N:N,Pasivo!B:B,A143 ,Pasivo!E:E,"No Pagado",Pasivo!C:C, "05 may",Pasivo!F:F,"")
+SUMIFS(Pasivo!N:N,Pasivo!B:B,A143 ,Pasivo!E:E,"No Pagado",Pasivo!C:C, "05 may",Pasivo!F:F, "&gt;"&amp;EOMONTH(DATE(2025,8,1),0))
+ SUMIFS(Pasivo!N:N,Pasivo!B:B,A143 ,Pasivo!E:E,"No Pagado",Pasivo!C:C, "06 jun",Pasivo!F:F,"")
+SUMIFS(Pasivo!N:N,Pasivo!B:B,A143 ,Pasivo!E:E,"No Pagado",Pasivo!C:C, "06 jun",Pasivo!F:F, "&gt;"&amp;EOMONTH(DATE(2025,8,1),0))
+ SUMIFS(Pasivo!N:N,Pasivo!B:B,A143 ,Pasivo!E:E,"No Pagado",Pasivo!C:C, "07 jul",Pasivo!F:F,"")
+SUMIFS(Pasivo!N:N,Pasivo!B:B,A143 ,Pasivo!E:E,"No Pagado",Pasivo!C:C, "07 jul",Pasivo!F:F, "&gt;"&amp;EOMONTH(DATE(2025,8,1),0))
+ SUMIFS(Pasivo!N:N,Pasivo!B:B,A143 ,Pasivo!E:E,"No Pagado",Pasivo!C:C, "08 ago",Pasivo!F:F,"")
+SUMIFS(Pasivo!N:N,Pasivo!B:B,A143 ,Pasivo!E:E,"No Pagado",Pasivo!C:C, "08 ago",Pasivo!F:F, "&gt;"&amp;EOMONTH(DATE(2025,8,1),0))
</f>
        <v>0</v>
      </c>
    </row>
    <row r="144">
      <c r="A144" s="413" t="s">
        <v>198</v>
      </c>
      <c r="B144" s="412" t="s">
        <v>166</v>
      </c>
      <c r="C144" s="43">
        <v>2025.0</v>
      </c>
      <c r="D144" s="102">
        <f>SUMIFS(Pasivo!N:N,Pasivo!B:B,A144 ,Pasivo!E:E,"No Pagado",Pasivo!C:C, "01 ene",Pasivo!F:F,"")
+SUMIFS(Pasivo!N:N,Pasivo!B:B,A144 ,Pasivo!E:E,"No Pagado",Pasivo!C:C, "01 ene",Pasivo!F:F, "&gt;"&amp;EOMONTH(DATE(2025,8,1),0))
+ SUMIFS(Pasivo!N:N,Pasivo!B:B,A144 ,Pasivo!E:E,"No Pagado",Pasivo!C:C, "02 feb",Pasivo!F:F,"")
+SUMIFS(Pasivo!N:N,Pasivo!B:B,A144 ,Pasivo!E:E,"No Pagado",Pasivo!C:C, "02 feb",Pasivo!F:F, "&gt;"&amp;EOMONTH(DATE(2025,8,1),0))
+ SUMIFS(Pasivo!N:N,Pasivo!B:B,A144 ,Pasivo!E:E,"No Pagado",Pasivo!C:C, "03 mar",Pasivo!F:F,"")
+SUMIFS(Pasivo!N:N,Pasivo!B:B,A144 ,Pasivo!E:E,"No Pagado",Pasivo!C:C, "03 mar",Pasivo!F:F, "&gt;"&amp;EOMONTH(DATE(2025,8,1),0)) 
+ SUMIFS(Pasivo!N:N,Pasivo!B:B,A144 ,Pasivo!E:E,"No Pagado",Pasivo!C:C, "04 abr",Pasivo!F:F,"")
+SUMIFS(Pasivo!N:N,Pasivo!B:B,A144 ,Pasivo!E:E,"No Pagado",Pasivo!C:C, "04 abr",Pasivo!F:F, "&gt;"&amp;EOMONTH(DATE(2025,8,1),0))
+ SUMIFS(Pasivo!N:N,Pasivo!B:B,A144 ,Pasivo!E:E,"No Pagado",Pasivo!C:C, "05 may",Pasivo!F:F,"")
+SUMIFS(Pasivo!N:N,Pasivo!B:B,A144 ,Pasivo!E:E,"No Pagado",Pasivo!C:C, "05 may",Pasivo!F:F, "&gt;"&amp;EOMONTH(DATE(2025,8,1),0))
+ SUMIFS(Pasivo!N:N,Pasivo!B:B,A144 ,Pasivo!E:E,"No Pagado",Pasivo!C:C, "06 jun",Pasivo!F:F,"")
+SUMIFS(Pasivo!N:N,Pasivo!B:B,A144 ,Pasivo!E:E,"No Pagado",Pasivo!C:C, "06 jun",Pasivo!F:F, "&gt;"&amp;EOMONTH(DATE(2025,8,1),0))
+ SUMIFS(Pasivo!N:N,Pasivo!B:B,A144 ,Pasivo!E:E,"No Pagado",Pasivo!C:C, "07 jul",Pasivo!F:F,"")
+SUMIFS(Pasivo!N:N,Pasivo!B:B,A144 ,Pasivo!E:E,"No Pagado",Pasivo!C:C, "07 jul",Pasivo!F:F, "&gt;"&amp;EOMONTH(DATE(2025,8,1),0))
+ SUMIFS(Pasivo!N:N,Pasivo!B:B,A144 ,Pasivo!E:E,"No Pagado",Pasivo!C:C, "08 ago",Pasivo!F:F,"")
+SUMIFS(Pasivo!N:N,Pasivo!B:B,A144 ,Pasivo!E:E,"No Pagado",Pasivo!C:C, "08 ago",Pasivo!F:F, "&gt;"&amp;EOMONTH(DATE(2025,8,1),0))
</f>
        <v>0</v>
      </c>
    </row>
    <row r="145">
      <c r="A145" s="414" t="s">
        <v>201</v>
      </c>
      <c r="B145" s="412" t="s">
        <v>166</v>
      </c>
      <c r="C145" s="43">
        <v>2025.0</v>
      </c>
      <c r="D145" s="102">
        <f>SUMIFS(Pasivo!N:N,Pasivo!B:B,A145 ,Pasivo!E:E,"No Pagado",Pasivo!C:C, "01 ene",Pasivo!F:F,"")
+SUMIFS(Pasivo!N:N,Pasivo!B:B,A145 ,Pasivo!E:E,"No Pagado",Pasivo!C:C, "01 ene",Pasivo!F:F, "&gt;"&amp;EOMONTH(DATE(2025,8,1),0))
+ SUMIFS(Pasivo!N:N,Pasivo!B:B,A145 ,Pasivo!E:E,"No Pagado",Pasivo!C:C, "02 feb",Pasivo!F:F,"")
+SUMIFS(Pasivo!N:N,Pasivo!B:B,A145 ,Pasivo!E:E,"No Pagado",Pasivo!C:C, "02 feb",Pasivo!F:F, "&gt;"&amp;EOMONTH(DATE(2025,8,1),0))
+ SUMIFS(Pasivo!N:N,Pasivo!B:B,A145 ,Pasivo!E:E,"No Pagado",Pasivo!C:C, "03 mar",Pasivo!F:F,"")
+SUMIFS(Pasivo!N:N,Pasivo!B:B,A145 ,Pasivo!E:E,"No Pagado",Pasivo!C:C, "03 mar",Pasivo!F:F, "&gt;"&amp;EOMONTH(DATE(2025,8,1),0)) 
+ SUMIFS(Pasivo!N:N,Pasivo!B:B,A145 ,Pasivo!E:E,"No Pagado",Pasivo!C:C, "04 abr",Pasivo!F:F,"")
+SUMIFS(Pasivo!N:N,Pasivo!B:B,A145 ,Pasivo!E:E,"No Pagado",Pasivo!C:C, "04 abr",Pasivo!F:F, "&gt;"&amp;EOMONTH(DATE(2025,8,1),0))
+ SUMIFS(Pasivo!N:N,Pasivo!B:B,A145 ,Pasivo!E:E,"No Pagado",Pasivo!C:C, "05 may",Pasivo!F:F,"")
+SUMIFS(Pasivo!N:N,Pasivo!B:B,A145 ,Pasivo!E:E,"No Pagado",Pasivo!C:C, "05 may",Pasivo!F:F, "&gt;"&amp;EOMONTH(DATE(2025,8,1),0))
+ SUMIFS(Pasivo!N:N,Pasivo!B:B,A145 ,Pasivo!E:E,"No Pagado",Pasivo!C:C, "06 jun",Pasivo!F:F,"")
+SUMIFS(Pasivo!N:N,Pasivo!B:B,A145 ,Pasivo!E:E,"No Pagado",Pasivo!C:C, "06 jun",Pasivo!F:F, "&gt;"&amp;EOMONTH(DATE(2025,8,1),0))
+ SUMIFS(Pasivo!N:N,Pasivo!B:B,A145 ,Pasivo!E:E,"No Pagado",Pasivo!C:C, "07 jul",Pasivo!F:F,"")
+SUMIFS(Pasivo!N:N,Pasivo!B:B,A145 ,Pasivo!E:E,"No Pagado",Pasivo!C:C, "07 jul",Pasivo!F:F, "&gt;"&amp;EOMONTH(DATE(2025,8,1),0))
+ SUMIFS(Pasivo!N:N,Pasivo!B:B,A145 ,Pasivo!E:E,"No Pagado",Pasivo!C:C, "08 ago",Pasivo!F:F,"")
+SUMIFS(Pasivo!N:N,Pasivo!B:B,A145 ,Pasivo!E:E,"No Pagado",Pasivo!C:C, "08 ago",Pasivo!F:F, "&gt;"&amp;EOMONTH(DATE(2025,8,1),0))
</f>
        <v>2028.34</v>
      </c>
    </row>
    <row r="146">
      <c r="A146" s="399" t="s">
        <v>121</v>
      </c>
      <c r="B146" s="400" t="s">
        <v>171</v>
      </c>
      <c r="C146" s="43">
        <v>2025.0</v>
      </c>
      <c r="D146" s="102">
        <f>SUMIFS(Pasivo!N:N,Pasivo!B:B,A146 ,Pasivo!E:E,"No Pagado",Pasivo!C:C, "01 ene",Pasivo!F:F,"")
+SUMIFS(Pasivo!N:N,Pasivo!B:B,A146 ,Pasivo!E:E,"No Pagado",Pasivo!C:C, "01 ene",Pasivo!F:F, "&gt;"&amp;EOMONTH(DATE(2025,9,1),0))
+ SUMIFS(Pasivo!N:N,Pasivo!B:B,A146 ,Pasivo!E:E,"No Pagado",Pasivo!C:C, "02 feb",Pasivo!F:F,"")
+SUMIFS(Pasivo!N:N,Pasivo!B:B,A146 ,Pasivo!E:E,"No Pagado",Pasivo!C:C, "02 feb",Pasivo!F:F, "&gt;"&amp;EOMONTH(DATE(2025,9,1),0))
+ SUMIFS(Pasivo!N:N,Pasivo!B:B,A146 ,Pasivo!E:E,"No Pagado",Pasivo!C:C, "03 mar",Pasivo!F:F,"")
+SUMIFS(Pasivo!N:N,Pasivo!B:B,A146 ,Pasivo!E:E,"No Pagado",Pasivo!C:C, "03 mar",Pasivo!F:F, "&gt;"&amp;EOMONTH(DATE(2025,9,1),0)) 
+ SUMIFS(Pasivo!N:N,Pasivo!B:B,A146 ,Pasivo!E:E,"No Pagado",Pasivo!C:C, "04 abr",Pasivo!F:F,"")
+SUMIFS(Pasivo!N:N,Pasivo!B:B,A146 ,Pasivo!E:E,"No Pagado",Pasivo!C:C, "04 abr",Pasivo!F:F, "&gt;"&amp;EOMONTH(DATE(2025,9,1),0))
+ SUMIFS(Pasivo!N:N,Pasivo!B:B,A146 ,Pasivo!E:E,"No Pagado",Pasivo!C:C, "05 may",Pasivo!F:F,"")
+SUMIFS(Pasivo!N:N,Pasivo!B:B,A146 ,Pasivo!E:E,"No Pagado",Pasivo!C:C, "05 may",Pasivo!F:F, "&gt;"&amp;EOMONTH(DATE(2025,9,1),0))
+ SUMIFS(Pasivo!N:N,Pasivo!B:B,A146 ,Pasivo!E:E,"No Pagado",Pasivo!C:C, "06 jun",Pasivo!F:F,"")
+SUMIFS(Pasivo!N:N,Pasivo!B:B,A146 ,Pasivo!E:E,"No Pagado",Pasivo!C:C, "06 jun",Pasivo!F:F, "&gt;"&amp;EOMONTH(DATE(2025,9,1),0))
+ SUMIFS(Pasivo!N:N,Pasivo!B:B,A146 ,Pasivo!E:E,"No Pagado",Pasivo!C:C, "07 jul",Pasivo!F:F,"")
+SUMIFS(Pasivo!N:N,Pasivo!B:B,A146 ,Pasivo!E:E,"No Pagado",Pasivo!C:C, "07 jul",Pasivo!F:F, "&gt;"&amp;EOMONTH(DATE(2025,9,1),0))
+ SUMIFS(Pasivo!N:N,Pasivo!B:B,A146 ,Pasivo!E:E,"No Pagado",Pasivo!C:C, "08 ago",Pasivo!F:F,"")
+SUMIFS(Pasivo!N:N,Pasivo!B:B,A146 ,Pasivo!E:E,"No Pagado",Pasivo!C:C, "08 ago",Pasivo!F:F, "&gt;"&amp;EOMONTH(DATE(2025,9,1),0))
+ SUMIFS(Pasivo!N:N,Pasivo!B:B,A146 ,Pasivo!E:E,"No Pagado",Pasivo!C:C, "09 sep",Pasivo!F:F,"")
+SUMIFS(Pasivo!N:N,Pasivo!B:B,A146 ,Pasivo!E:E,"No Pagado",Pasivo!C:C, "09 sep",Pasivo!F:F, "&gt;"&amp;EOMONTH(DATE(2025,9,1),0))
</f>
        <v>18133.94948</v>
      </c>
    </row>
    <row r="147">
      <c r="A147" s="399" t="s">
        <v>128</v>
      </c>
      <c r="B147" s="400" t="s">
        <v>171</v>
      </c>
      <c r="C147" s="43">
        <v>2025.0</v>
      </c>
      <c r="D147" s="102">
        <f>SUMIFS(Pasivo!N:N,Pasivo!B:B,A147 ,Pasivo!E:E,"No Pagado",Pasivo!C:C, "01 ene",Pasivo!F:F,"")
+SUMIFS(Pasivo!N:N,Pasivo!B:B,A147 ,Pasivo!E:E,"No Pagado",Pasivo!C:C, "01 ene",Pasivo!F:F, "&gt;"&amp;EOMONTH(DATE(2025,9,1),0))
+ SUMIFS(Pasivo!N:N,Pasivo!B:B,A147 ,Pasivo!E:E,"No Pagado",Pasivo!C:C, "02 feb",Pasivo!F:F,"")
+SUMIFS(Pasivo!N:N,Pasivo!B:B,A147 ,Pasivo!E:E,"No Pagado",Pasivo!C:C, "02 feb",Pasivo!F:F, "&gt;"&amp;EOMONTH(DATE(2025,9,1),0))
+ SUMIFS(Pasivo!N:N,Pasivo!B:B,A147 ,Pasivo!E:E,"No Pagado",Pasivo!C:C, "03 mar",Pasivo!F:F,"")
+SUMIFS(Pasivo!N:N,Pasivo!B:B,A147 ,Pasivo!E:E,"No Pagado",Pasivo!C:C, "03 mar",Pasivo!F:F, "&gt;"&amp;EOMONTH(DATE(2025,9,1),0)) 
+ SUMIFS(Pasivo!N:N,Pasivo!B:B,A147 ,Pasivo!E:E,"No Pagado",Pasivo!C:C, "04 abr",Pasivo!F:F,"")
+SUMIFS(Pasivo!N:N,Pasivo!B:B,A147 ,Pasivo!E:E,"No Pagado",Pasivo!C:C, "04 abr",Pasivo!F:F, "&gt;"&amp;EOMONTH(DATE(2025,9,1),0))
+ SUMIFS(Pasivo!N:N,Pasivo!B:B,A147 ,Pasivo!E:E,"No Pagado",Pasivo!C:C, "05 may",Pasivo!F:F,"")
+SUMIFS(Pasivo!N:N,Pasivo!B:B,A147 ,Pasivo!E:E,"No Pagado",Pasivo!C:C, "05 may",Pasivo!F:F, "&gt;"&amp;EOMONTH(DATE(2025,9,1),0))
+ SUMIFS(Pasivo!N:N,Pasivo!B:B,A147 ,Pasivo!E:E,"No Pagado",Pasivo!C:C, "06 jun",Pasivo!F:F,"")
+SUMIFS(Pasivo!N:N,Pasivo!B:B,A147 ,Pasivo!E:E,"No Pagado",Pasivo!C:C, "06 jun",Pasivo!F:F, "&gt;"&amp;EOMONTH(DATE(2025,9,1),0))
+ SUMIFS(Pasivo!N:N,Pasivo!B:B,A147 ,Pasivo!E:E,"No Pagado",Pasivo!C:C, "07 jul",Pasivo!F:F,"")
+SUMIFS(Pasivo!N:N,Pasivo!B:B,A147 ,Pasivo!E:E,"No Pagado",Pasivo!C:C, "07 jul",Pasivo!F:F, "&gt;"&amp;EOMONTH(DATE(2025,9,1),0))
+ SUMIFS(Pasivo!N:N,Pasivo!B:B,A147 ,Pasivo!E:E,"No Pagado",Pasivo!C:C, "08 ago",Pasivo!F:F,"")
+SUMIFS(Pasivo!N:N,Pasivo!B:B,A147 ,Pasivo!E:E,"No Pagado",Pasivo!C:C, "08 ago",Pasivo!F:F, "&gt;"&amp;EOMONTH(DATE(2025,9,1),0))
+ SUMIFS(Pasivo!N:N,Pasivo!B:B,A147 ,Pasivo!E:E,"No Pagado",Pasivo!C:C, "09 sep",Pasivo!F:F,"")
+SUMIFS(Pasivo!N:N,Pasivo!B:B,A147 ,Pasivo!E:E,"No Pagado",Pasivo!C:C, "09 sep",Pasivo!F:F, "&gt;"&amp;EOMONTH(DATE(2025,9,1),0))
</f>
        <v>7040.747266</v>
      </c>
    </row>
    <row r="148">
      <c r="A148" s="399" t="s">
        <v>134</v>
      </c>
      <c r="B148" s="400" t="s">
        <v>171</v>
      </c>
      <c r="C148" s="43">
        <v>2025.0</v>
      </c>
      <c r="D148" s="102">
        <f>SUMIFS(Pasivo!N:N,Pasivo!B:B,A148 ,Pasivo!E:E,"No Pagado",Pasivo!C:C, "01 ene",Pasivo!F:F,"")
+SUMIFS(Pasivo!N:N,Pasivo!B:B,A148 ,Pasivo!E:E,"No Pagado",Pasivo!C:C, "01 ene",Pasivo!F:F, "&gt;"&amp;EOMONTH(DATE(2025,9,1),0))
+ SUMIFS(Pasivo!N:N,Pasivo!B:B,A148 ,Pasivo!E:E,"No Pagado",Pasivo!C:C, "02 feb",Pasivo!F:F,"")
+SUMIFS(Pasivo!N:N,Pasivo!B:B,A148 ,Pasivo!E:E,"No Pagado",Pasivo!C:C, "02 feb",Pasivo!F:F, "&gt;"&amp;EOMONTH(DATE(2025,9,1),0))
+ SUMIFS(Pasivo!N:N,Pasivo!B:B,A148 ,Pasivo!E:E,"No Pagado",Pasivo!C:C, "03 mar",Pasivo!F:F,"")
+SUMIFS(Pasivo!N:N,Pasivo!B:B,A148 ,Pasivo!E:E,"No Pagado",Pasivo!C:C, "03 mar",Pasivo!F:F, "&gt;"&amp;EOMONTH(DATE(2025,9,1),0)) 
+ SUMIFS(Pasivo!N:N,Pasivo!B:B,A148 ,Pasivo!E:E,"No Pagado",Pasivo!C:C, "04 abr",Pasivo!F:F,"")
+SUMIFS(Pasivo!N:N,Pasivo!B:B,A148 ,Pasivo!E:E,"No Pagado",Pasivo!C:C, "04 abr",Pasivo!F:F, "&gt;"&amp;EOMONTH(DATE(2025,9,1),0))
+ SUMIFS(Pasivo!N:N,Pasivo!B:B,A148 ,Pasivo!E:E,"No Pagado",Pasivo!C:C, "05 may",Pasivo!F:F,"")
+SUMIFS(Pasivo!N:N,Pasivo!B:B,A148 ,Pasivo!E:E,"No Pagado",Pasivo!C:C, "05 may",Pasivo!F:F, "&gt;"&amp;EOMONTH(DATE(2025,9,1),0))
+ SUMIFS(Pasivo!N:N,Pasivo!B:B,A148 ,Pasivo!E:E,"No Pagado",Pasivo!C:C, "06 jun",Pasivo!F:F,"")
+SUMIFS(Pasivo!N:N,Pasivo!B:B,A148 ,Pasivo!E:E,"No Pagado",Pasivo!C:C, "06 jun",Pasivo!F:F, "&gt;"&amp;EOMONTH(DATE(2025,9,1),0))
+ SUMIFS(Pasivo!N:N,Pasivo!B:B,A148 ,Pasivo!E:E,"No Pagado",Pasivo!C:C, "07 jul",Pasivo!F:F,"")
+SUMIFS(Pasivo!N:N,Pasivo!B:B,A148 ,Pasivo!E:E,"No Pagado",Pasivo!C:C, "07 jul",Pasivo!F:F, "&gt;"&amp;EOMONTH(DATE(2025,9,1),0))
+ SUMIFS(Pasivo!N:N,Pasivo!B:B,A148 ,Pasivo!E:E,"No Pagado",Pasivo!C:C, "08 ago",Pasivo!F:F,"")
+SUMIFS(Pasivo!N:N,Pasivo!B:B,A148 ,Pasivo!E:E,"No Pagado",Pasivo!C:C, "08 ago",Pasivo!F:F, "&gt;"&amp;EOMONTH(DATE(2025,9,1),0))
+ SUMIFS(Pasivo!N:N,Pasivo!B:B,A148 ,Pasivo!E:E,"No Pagado",Pasivo!C:C, "09 sep",Pasivo!F:F,"")
+SUMIFS(Pasivo!N:N,Pasivo!B:B,A148 ,Pasivo!E:E,"No Pagado",Pasivo!C:C, "09 sep",Pasivo!F:F, "&gt;"&amp;EOMONTH(DATE(2025,9,1),0))
</f>
        <v>3669.817301</v>
      </c>
    </row>
    <row r="149">
      <c r="A149" s="401" t="s">
        <v>140</v>
      </c>
      <c r="B149" s="400" t="s">
        <v>171</v>
      </c>
      <c r="C149" s="43">
        <v>2025.0</v>
      </c>
      <c r="D149" s="102">
        <f>SUMIFS(Pasivo!N:N,Pasivo!B:B,A149 ,Pasivo!E:E,"No Pagado",Pasivo!C:C, "01 ene",Pasivo!F:F,"")
+SUMIFS(Pasivo!N:N,Pasivo!B:B,A149 ,Pasivo!E:E,"No Pagado",Pasivo!C:C, "01 ene",Pasivo!F:F, "&gt;"&amp;EOMONTH(DATE(2025,9,1),0))
+ SUMIFS(Pasivo!N:N,Pasivo!B:B,A149 ,Pasivo!E:E,"No Pagado",Pasivo!C:C, "02 feb",Pasivo!F:F,"")
+SUMIFS(Pasivo!N:N,Pasivo!B:B,A149 ,Pasivo!E:E,"No Pagado",Pasivo!C:C, "02 feb",Pasivo!F:F, "&gt;"&amp;EOMONTH(DATE(2025,9,1),0))
+ SUMIFS(Pasivo!N:N,Pasivo!B:B,A149 ,Pasivo!E:E,"No Pagado",Pasivo!C:C, "03 mar",Pasivo!F:F,"")
+SUMIFS(Pasivo!N:N,Pasivo!B:B,A149 ,Pasivo!E:E,"No Pagado",Pasivo!C:C, "03 mar",Pasivo!F:F, "&gt;"&amp;EOMONTH(DATE(2025,9,1),0)) 
+ SUMIFS(Pasivo!N:N,Pasivo!B:B,A149 ,Pasivo!E:E,"No Pagado",Pasivo!C:C, "04 abr",Pasivo!F:F,"")
+SUMIFS(Pasivo!N:N,Pasivo!B:B,A149 ,Pasivo!E:E,"No Pagado",Pasivo!C:C, "04 abr",Pasivo!F:F, "&gt;"&amp;EOMONTH(DATE(2025,9,1),0))
+ SUMIFS(Pasivo!N:N,Pasivo!B:B,A149 ,Pasivo!E:E,"No Pagado",Pasivo!C:C, "05 may",Pasivo!F:F,"")
+SUMIFS(Pasivo!N:N,Pasivo!B:B,A149 ,Pasivo!E:E,"No Pagado",Pasivo!C:C, "05 may",Pasivo!F:F, "&gt;"&amp;EOMONTH(DATE(2025,9,1),0))
+ SUMIFS(Pasivo!N:N,Pasivo!B:B,A149 ,Pasivo!E:E,"No Pagado",Pasivo!C:C, "06 jun",Pasivo!F:F,"")
+SUMIFS(Pasivo!N:N,Pasivo!B:B,A149 ,Pasivo!E:E,"No Pagado",Pasivo!C:C, "06 jun",Pasivo!F:F, "&gt;"&amp;EOMONTH(DATE(2025,9,1),0))
+ SUMIFS(Pasivo!N:N,Pasivo!B:B,A149 ,Pasivo!E:E,"No Pagado",Pasivo!C:C, "07 jul",Pasivo!F:F,"")
+SUMIFS(Pasivo!N:N,Pasivo!B:B,A149 ,Pasivo!E:E,"No Pagado",Pasivo!C:C, "07 jul",Pasivo!F:F, "&gt;"&amp;EOMONTH(DATE(2025,9,1),0))
+ SUMIFS(Pasivo!N:N,Pasivo!B:B,A149 ,Pasivo!E:E,"No Pagado",Pasivo!C:C, "08 ago",Pasivo!F:F,"")
+SUMIFS(Pasivo!N:N,Pasivo!B:B,A149 ,Pasivo!E:E,"No Pagado",Pasivo!C:C, "08 ago",Pasivo!F:F, "&gt;"&amp;EOMONTH(DATE(2025,9,1),0))
+ SUMIFS(Pasivo!N:N,Pasivo!B:B,A149 ,Pasivo!E:E,"No Pagado",Pasivo!C:C, "09 sep",Pasivo!F:F,"")
+SUMIFS(Pasivo!N:N,Pasivo!B:B,A149 ,Pasivo!E:E,"No Pagado",Pasivo!C:C, "09 sep",Pasivo!F:F, "&gt;"&amp;EOMONTH(DATE(2025,9,1),0))
</f>
        <v>527.7467128</v>
      </c>
    </row>
    <row r="150">
      <c r="A150" s="399" t="s">
        <v>147</v>
      </c>
      <c r="B150" s="400" t="s">
        <v>171</v>
      </c>
      <c r="C150" s="43">
        <v>2025.0</v>
      </c>
      <c r="D150" s="102">
        <f>SUMIFS(Pasivo!N:N,Pasivo!B:B,A150 ,Pasivo!E:E,"No Pagado",Pasivo!C:C, "01 ene",Pasivo!F:F,"")
+SUMIFS(Pasivo!N:N,Pasivo!B:B,A150 ,Pasivo!E:E,"No Pagado",Pasivo!C:C, "01 ene",Pasivo!F:F, "&gt;"&amp;EOMONTH(DATE(2025,9,1),0))
+ SUMIFS(Pasivo!N:N,Pasivo!B:B,A150 ,Pasivo!E:E,"No Pagado",Pasivo!C:C, "02 feb",Pasivo!F:F,"")
+SUMIFS(Pasivo!N:N,Pasivo!B:B,A150 ,Pasivo!E:E,"No Pagado",Pasivo!C:C, "02 feb",Pasivo!F:F, "&gt;"&amp;EOMONTH(DATE(2025,9,1),0))
+ SUMIFS(Pasivo!N:N,Pasivo!B:B,A150 ,Pasivo!E:E,"No Pagado",Pasivo!C:C, "03 mar",Pasivo!F:F,"")
+SUMIFS(Pasivo!N:N,Pasivo!B:B,A150 ,Pasivo!E:E,"No Pagado",Pasivo!C:C, "03 mar",Pasivo!F:F, "&gt;"&amp;EOMONTH(DATE(2025,9,1),0)) 
+ SUMIFS(Pasivo!N:N,Pasivo!B:B,A150 ,Pasivo!E:E,"No Pagado",Pasivo!C:C, "04 abr",Pasivo!F:F,"")
+SUMIFS(Pasivo!N:N,Pasivo!B:B,A150 ,Pasivo!E:E,"No Pagado",Pasivo!C:C, "04 abr",Pasivo!F:F, "&gt;"&amp;EOMONTH(DATE(2025,9,1),0))
+ SUMIFS(Pasivo!N:N,Pasivo!B:B,A150 ,Pasivo!E:E,"No Pagado",Pasivo!C:C, "05 may",Pasivo!F:F,"")
+SUMIFS(Pasivo!N:N,Pasivo!B:B,A150 ,Pasivo!E:E,"No Pagado",Pasivo!C:C, "05 may",Pasivo!F:F, "&gt;"&amp;EOMONTH(DATE(2025,9,1),0))
+ SUMIFS(Pasivo!N:N,Pasivo!B:B,A150 ,Pasivo!E:E,"No Pagado",Pasivo!C:C, "06 jun",Pasivo!F:F,"")
+SUMIFS(Pasivo!N:N,Pasivo!B:B,A150 ,Pasivo!E:E,"No Pagado",Pasivo!C:C, "06 jun",Pasivo!F:F, "&gt;"&amp;EOMONTH(DATE(2025,9,1),0))
+ SUMIFS(Pasivo!N:N,Pasivo!B:B,A150 ,Pasivo!E:E,"No Pagado",Pasivo!C:C, "07 jul",Pasivo!F:F,"")
+SUMIFS(Pasivo!N:N,Pasivo!B:B,A150 ,Pasivo!E:E,"No Pagado",Pasivo!C:C, "07 jul",Pasivo!F:F, "&gt;"&amp;EOMONTH(DATE(2025,9,1),0))
+ SUMIFS(Pasivo!N:N,Pasivo!B:B,A150 ,Pasivo!E:E,"No Pagado",Pasivo!C:C, "08 ago",Pasivo!F:F,"")
+SUMIFS(Pasivo!N:N,Pasivo!B:B,A150 ,Pasivo!E:E,"No Pagado",Pasivo!C:C, "08 ago",Pasivo!F:F, "&gt;"&amp;EOMONTH(DATE(2025,9,1),0))
+ SUMIFS(Pasivo!N:N,Pasivo!B:B,A150 ,Pasivo!E:E,"No Pagado",Pasivo!C:C, "09 sep",Pasivo!F:F,"")
+SUMIFS(Pasivo!N:N,Pasivo!B:B,A150 ,Pasivo!E:E,"No Pagado",Pasivo!C:C, "09 sep",Pasivo!F:F, "&gt;"&amp;EOMONTH(DATE(2025,9,1),0))
</f>
        <v>14684</v>
      </c>
    </row>
    <row r="151">
      <c r="A151" s="399" t="s">
        <v>153</v>
      </c>
      <c r="B151" s="400" t="s">
        <v>171</v>
      </c>
      <c r="C151" s="43">
        <v>2025.0</v>
      </c>
      <c r="D151" s="102">
        <f>SUMIFS(Pasivo!N:N,Pasivo!B:B,A151 ,Pasivo!E:E,"No Pagado",Pasivo!C:C, "01 ene",Pasivo!F:F,"")
+SUMIFS(Pasivo!N:N,Pasivo!B:B,A151 ,Pasivo!E:E,"No Pagado",Pasivo!C:C, "01 ene",Pasivo!F:F, "&gt;"&amp;EOMONTH(DATE(2025,9,1),0))
+ SUMIFS(Pasivo!N:N,Pasivo!B:B,A151 ,Pasivo!E:E,"No Pagado",Pasivo!C:C, "02 feb",Pasivo!F:F,"")
+SUMIFS(Pasivo!N:N,Pasivo!B:B,A151 ,Pasivo!E:E,"No Pagado",Pasivo!C:C, "02 feb",Pasivo!F:F, "&gt;"&amp;EOMONTH(DATE(2025,9,1),0))
+ SUMIFS(Pasivo!N:N,Pasivo!B:B,A151 ,Pasivo!E:E,"No Pagado",Pasivo!C:C, "03 mar",Pasivo!F:F,"")
+SUMIFS(Pasivo!N:N,Pasivo!B:B,A151 ,Pasivo!E:E,"No Pagado",Pasivo!C:C, "03 mar",Pasivo!F:F, "&gt;"&amp;EOMONTH(DATE(2025,9,1),0)) 
+ SUMIFS(Pasivo!N:N,Pasivo!B:B,A151 ,Pasivo!E:E,"No Pagado",Pasivo!C:C, "04 abr",Pasivo!F:F,"")
+SUMIFS(Pasivo!N:N,Pasivo!B:B,A151 ,Pasivo!E:E,"No Pagado",Pasivo!C:C, "04 abr",Pasivo!F:F, "&gt;"&amp;EOMONTH(DATE(2025,9,1),0))
+ SUMIFS(Pasivo!N:N,Pasivo!B:B,A151 ,Pasivo!E:E,"No Pagado",Pasivo!C:C, "05 may",Pasivo!F:F,"")
+SUMIFS(Pasivo!N:N,Pasivo!B:B,A151 ,Pasivo!E:E,"No Pagado",Pasivo!C:C, "05 may",Pasivo!F:F, "&gt;"&amp;EOMONTH(DATE(2025,9,1),0))
+ SUMIFS(Pasivo!N:N,Pasivo!B:B,A151 ,Pasivo!E:E,"No Pagado",Pasivo!C:C, "06 jun",Pasivo!F:F,"")
+SUMIFS(Pasivo!N:N,Pasivo!B:B,A151 ,Pasivo!E:E,"No Pagado",Pasivo!C:C, "06 jun",Pasivo!F:F, "&gt;"&amp;EOMONTH(DATE(2025,9,1),0))
+ SUMIFS(Pasivo!N:N,Pasivo!B:B,A151 ,Pasivo!E:E,"No Pagado",Pasivo!C:C, "07 jul",Pasivo!F:F,"")
+SUMIFS(Pasivo!N:N,Pasivo!B:B,A151 ,Pasivo!E:E,"No Pagado",Pasivo!C:C, "07 jul",Pasivo!F:F, "&gt;"&amp;EOMONTH(DATE(2025,9,1),0))
+ SUMIFS(Pasivo!N:N,Pasivo!B:B,A151 ,Pasivo!E:E,"No Pagado",Pasivo!C:C, "08 ago",Pasivo!F:F,"")
+SUMIFS(Pasivo!N:N,Pasivo!B:B,A151 ,Pasivo!E:E,"No Pagado",Pasivo!C:C, "08 ago",Pasivo!F:F, "&gt;"&amp;EOMONTH(DATE(2025,9,1),0))
+ SUMIFS(Pasivo!N:N,Pasivo!B:B,A151 ,Pasivo!E:E,"No Pagado",Pasivo!C:C, "09 sep",Pasivo!F:F,"")
+SUMIFS(Pasivo!N:N,Pasivo!B:B,A151 ,Pasivo!E:E,"No Pagado",Pasivo!C:C, "09 sep",Pasivo!F:F, "&gt;"&amp;EOMONTH(DATE(2025,9,1),0))
</f>
        <v>18532.08</v>
      </c>
    </row>
    <row r="152">
      <c r="A152" s="399" t="s">
        <v>159</v>
      </c>
      <c r="B152" s="400" t="s">
        <v>171</v>
      </c>
      <c r="C152" s="43">
        <v>2025.0</v>
      </c>
      <c r="D152" s="102">
        <f>SUMIFS(Pasivo!N:N,Pasivo!B:B,A152 ,Pasivo!E:E,"No Pagado",Pasivo!C:C, "01 ene",Pasivo!F:F,"")
+SUMIFS(Pasivo!N:N,Pasivo!B:B,A152 ,Pasivo!E:E,"No Pagado",Pasivo!C:C, "01 ene",Pasivo!F:F, "&gt;"&amp;EOMONTH(DATE(2025,9,1),0))
+ SUMIFS(Pasivo!N:N,Pasivo!B:B,A152 ,Pasivo!E:E,"No Pagado",Pasivo!C:C, "02 feb",Pasivo!F:F,"")
+SUMIFS(Pasivo!N:N,Pasivo!B:B,A152 ,Pasivo!E:E,"No Pagado",Pasivo!C:C, "02 feb",Pasivo!F:F, "&gt;"&amp;EOMONTH(DATE(2025,9,1),0))
+ SUMIFS(Pasivo!N:N,Pasivo!B:B,A152 ,Pasivo!E:E,"No Pagado",Pasivo!C:C, "03 mar",Pasivo!F:F,"")
+SUMIFS(Pasivo!N:N,Pasivo!B:B,A152 ,Pasivo!E:E,"No Pagado",Pasivo!C:C, "03 mar",Pasivo!F:F, "&gt;"&amp;EOMONTH(DATE(2025,9,1),0)) 
+ SUMIFS(Pasivo!N:N,Pasivo!B:B,A152 ,Pasivo!E:E,"No Pagado",Pasivo!C:C, "04 abr",Pasivo!F:F,"")
+SUMIFS(Pasivo!N:N,Pasivo!B:B,A152 ,Pasivo!E:E,"No Pagado",Pasivo!C:C, "04 abr",Pasivo!F:F, "&gt;"&amp;EOMONTH(DATE(2025,9,1),0))
+ SUMIFS(Pasivo!N:N,Pasivo!B:B,A152 ,Pasivo!E:E,"No Pagado",Pasivo!C:C, "05 may",Pasivo!F:F,"")
+SUMIFS(Pasivo!N:N,Pasivo!B:B,A152 ,Pasivo!E:E,"No Pagado",Pasivo!C:C, "05 may",Pasivo!F:F, "&gt;"&amp;EOMONTH(DATE(2025,9,1),0))
+ SUMIFS(Pasivo!N:N,Pasivo!B:B,A152 ,Pasivo!E:E,"No Pagado",Pasivo!C:C, "06 jun",Pasivo!F:F,"")
+SUMIFS(Pasivo!N:N,Pasivo!B:B,A152 ,Pasivo!E:E,"No Pagado",Pasivo!C:C, "06 jun",Pasivo!F:F, "&gt;"&amp;EOMONTH(DATE(2025,9,1),0))
+ SUMIFS(Pasivo!N:N,Pasivo!B:B,A152 ,Pasivo!E:E,"No Pagado",Pasivo!C:C, "07 jul",Pasivo!F:F,"")
+SUMIFS(Pasivo!N:N,Pasivo!B:B,A152 ,Pasivo!E:E,"No Pagado",Pasivo!C:C, "07 jul",Pasivo!F:F, "&gt;"&amp;EOMONTH(DATE(2025,9,1),0))
+ SUMIFS(Pasivo!N:N,Pasivo!B:B,A152 ,Pasivo!E:E,"No Pagado",Pasivo!C:C, "08 ago",Pasivo!F:F,"")
+SUMIFS(Pasivo!N:N,Pasivo!B:B,A152 ,Pasivo!E:E,"No Pagado",Pasivo!C:C, "08 ago",Pasivo!F:F, "&gt;"&amp;EOMONTH(DATE(2025,9,1),0))
+ SUMIFS(Pasivo!N:N,Pasivo!B:B,A152 ,Pasivo!E:E,"No Pagado",Pasivo!C:C, "09 sep",Pasivo!F:F,"")
+SUMIFS(Pasivo!N:N,Pasivo!B:B,A152 ,Pasivo!E:E,"No Pagado",Pasivo!C:C, "09 sep",Pasivo!F:F, "&gt;"&amp;EOMONTH(DATE(2025,9,1),0))
</f>
        <v>2299.672664</v>
      </c>
    </row>
    <row r="153">
      <c r="A153" s="399" t="s">
        <v>164</v>
      </c>
      <c r="B153" s="400" t="s">
        <v>171</v>
      </c>
      <c r="C153" s="43">
        <v>2025.0</v>
      </c>
      <c r="D153" s="102">
        <f>SUMIFS(Pasivo!N:N,Pasivo!B:B,A153 ,Pasivo!E:E,"No Pagado",Pasivo!C:C, "01 ene",Pasivo!F:F,"")
+SUMIFS(Pasivo!N:N,Pasivo!B:B,A153 ,Pasivo!E:E,"No Pagado",Pasivo!C:C, "01 ene",Pasivo!F:F, "&gt;"&amp;EOMONTH(DATE(2025,9,1),0))
+ SUMIFS(Pasivo!N:N,Pasivo!B:B,A153 ,Pasivo!E:E,"No Pagado",Pasivo!C:C, "02 feb",Pasivo!F:F,"")
+SUMIFS(Pasivo!N:N,Pasivo!B:B,A153 ,Pasivo!E:E,"No Pagado",Pasivo!C:C, "02 feb",Pasivo!F:F, "&gt;"&amp;EOMONTH(DATE(2025,9,1),0))
+ SUMIFS(Pasivo!N:N,Pasivo!B:B,A153 ,Pasivo!E:E,"No Pagado",Pasivo!C:C, "03 mar",Pasivo!F:F,"")
+SUMIFS(Pasivo!N:N,Pasivo!B:B,A153 ,Pasivo!E:E,"No Pagado",Pasivo!C:C, "03 mar",Pasivo!F:F, "&gt;"&amp;EOMONTH(DATE(2025,9,1),0)) 
+ SUMIFS(Pasivo!N:N,Pasivo!B:B,A153 ,Pasivo!E:E,"No Pagado",Pasivo!C:C, "04 abr",Pasivo!F:F,"")
+SUMIFS(Pasivo!N:N,Pasivo!B:B,A153 ,Pasivo!E:E,"No Pagado",Pasivo!C:C, "04 abr",Pasivo!F:F, "&gt;"&amp;EOMONTH(DATE(2025,9,1),0))
+ SUMIFS(Pasivo!N:N,Pasivo!B:B,A153 ,Pasivo!E:E,"No Pagado",Pasivo!C:C, "05 may",Pasivo!F:F,"")
+SUMIFS(Pasivo!N:N,Pasivo!B:B,A153 ,Pasivo!E:E,"No Pagado",Pasivo!C:C, "05 may",Pasivo!F:F, "&gt;"&amp;EOMONTH(DATE(2025,9,1),0))
+ SUMIFS(Pasivo!N:N,Pasivo!B:B,A153 ,Pasivo!E:E,"No Pagado",Pasivo!C:C, "06 jun",Pasivo!F:F,"")
+SUMIFS(Pasivo!N:N,Pasivo!B:B,A153 ,Pasivo!E:E,"No Pagado",Pasivo!C:C, "06 jun",Pasivo!F:F, "&gt;"&amp;EOMONTH(DATE(2025,9,1),0))
+ SUMIFS(Pasivo!N:N,Pasivo!B:B,A153 ,Pasivo!E:E,"No Pagado",Pasivo!C:C, "07 jul",Pasivo!F:F,"")
+SUMIFS(Pasivo!N:N,Pasivo!B:B,A153 ,Pasivo!E:E,"No Pagado",Pasivo!C:C, "07 jul",Pasivo!F:F, "&gt;"&amp;EOMONTH(DATE(2025,9,1),0))
+ SUMIFS(Pasivo!N:N,Pasivo!B:B,A153 ,Pasivo!E:E,"No Pagado",Pasivo!C:C, "08 ago",Pasivo!F:F,"")
+SUMIFS(Pasivo!N:N,Pasivo!B:B,A153 ,Pasivo!E:E,"No Pagado",Pasivo!C:C, "08 ago",Pasivo!F:F, "&gt;"&amp;EOMONTH(DATE(2025,9,1),0))
+ SUMIFS(Pasivo!N:N,Pasivo!B:B,A153 ,Pasivo!E:E,"No Pagado",Pasivo!C:C, "09 sep",Pasivo!F:F,"")
+SUMIFS(Pasivo!N:N,Pasivo!B:B,A153 ,Pasivo!E:E,"No Pagado",Pasivo!C:C, "09 sep",Pasivo!F:F, "&gt;"&amp;EOMONTH(DATE(2025,9,1),0))
</f>
        <v>117.4604314</v>
      </c>
    </row>
    <row r="154">
      <c r="A154" s="399" t="s">
        <v>170</v>
      </c>
      <c r="B154" s="400" t="s">
        <v>171</v>
      </c>
      <c r="C154" s="43">
        <v>2025.0</v>
      </c>
      <c r="D154" s="102">
        <f>SUMIFS(Pasivo!N:N,Pasivo!B:B,A154 ,Pasivo!E:E,"No Pagado",Pasivo!C:C, "01 ene",Pasivo!F:F,"")
+SUMIFS(Pasivo!N:N,Pasivo!B:B,A154 ,Pasivo!E:E,"No Pagado",Pasivo!C:C, "01 ene",Pasivo!F:F, "&gt;"&amp;EOMONTH(DATE(2025,9,1),0))
+ SUMIFS(Pasivo!N:N,Pasivo!B:B,A154 ,Pasivo!E:E,"No Pagado",Pasivo!C:C, "02 feb",Pasivo!F:F,"")
+SUMIFS(Pasivo!N:N,Pasivo!B:B,A154 ,Pasivo!E:E,"No Pagado",Pasivo!C:C, "02 feb",Pasivo!F:F, "&gt;"&amp;EOMONTH(DATE(2025,9,1),0))
+ SUMIFS(Pasivo!N:N,Pasivo!B:B,A154 ,Pasivo!E:E,"No Pagado",Pasivo!C:C, "03 mar",Pasivo!F:F,"")
+SUMIFS(Pasivo!N:N,Pasivo!B:B,A154 ,Pasivo!E:E,"No Pagado",Pasivo!C:C, "03 mar",Pasivo!F:F, "&gt;"&amp;EOMONTH(DATE(2025,9,1),0)) 
+ SUMIFS(Pasivo!N:N,Pasivo!B:B,A154 ,Pasivo!E:E,"No Pagado",Pasivo!C:C, "04 abr",Pasivo!F:F,"")
+SUMIFS(Pasivo!N:N,Pasivo!B:B,A154 ,Pasivo!E:E,"No Pagado",Pasivo!C:C, "04 abr",Pasivo!F:F, "&gt;"&amp;EOMONTH(DATE(2025,9,1),0))
+ SUMIFS(Pasivo!N:N,Pasivo!B:B,A154 ,Pasivo!E:E,"No Pagado",Pasivo!C:C, "05 may",Pasivo!F:F,"")
+SUMIFS(Pasivo!N:N,Pasivo!B:B,A154 ,Pasivo!E:E,"No Pagado",Pasivo!C:C, "05 may",Pasivo!F:F, "&gt;"&amp;EOMONTH(DATE(2025,9,1),0))
+ SUMIFS(Pasivo!N:N,Pasivo!B:B,A154 ,Pasivo!E:E,"No Pagado",Pasivo!C:C, "06 jun",Pasivo!F:F,"")
+SUMIFS(Pasivo!N:N,Pasivo!B:B,A154 ,Pasivo!E:E,"No Pagado",Pasivo!C:C, "06 jun",Pasivo!F:F, "&gt;"&amp;EOMONTH(DATE(2025,9,1),0))
+ SUMIFS(Pasivo!N:N,Pasivo!B:B,A154 ,Pasivo!E:E,"No Pagado",Pasivo!C:C, "07 jul",Pasivo!F:F,"")
+SUMIFS(Pasivo!N:N,Pasivo!B:B,A154 ,Pasivo!E:E,"No Pagado",Pasivo!C:C, "07 jul",Pasivo!F:F, "&gt;"&amp;EOMONTH(DATE(2025,9,1),0))
+ SUMIFS(Pasivo!N:N,Pasivo!B:B,A154 ,Pasivo!E:E,"No Pagado",Pasivo!C:C, "08 ago",Pasivo!F:F,"")
+SUMIFS(Pasivo!N:N,Pasivo!B:B,A154 ,Pasivo!E:E,"No Pagado",Pasivo!C:C, "08 ago",Pasivo!F:F, "&gt;"&amp;EOMONTH(DATE(2025,9,1),0))
+ SUMIFS(Pasivo!N:N,Pasivo!B:B,A154 ,Pasivo!E:E,"No Pagado",Pasivo!C:C, "09 sep",Pasivo!F:F,"")
+SUMIFS(Pasivo!N:N,Pasivo!B:B,A154 ,Pasivo!E:E,"No Pagado",Pasivo!C:C, "09 sep",Pasivo!F:F, "&gt;"&amp;EOMONTH(DATE(2025,9,1),0))
</f>
        <v>81.01265823</v>
      </c>
    </row>
    <row r="155">
      <c r="A155" s="399" t="s">
        <v>174</v>
      </c>
      <c r="B155" s="400" t="s">
        <v>171</v>
      </c>
      <c r="C155" s="43">
        <v>2025.0</v>
      </c>
      <c r="D155" s="102">
        <f>SUMIFS(Pasivo!N:N,Pasivo!B:B,A155 ,Pasivo!E:E,"No Pagado",Pasivo!C:C, "01 ene",Pasivo!F:F,"")
+SUMIFS(Pasivo!N:N,Pasivo!B:B,A155 ,Pasivo!E:E,"No Pagado",Pasivo!C:C, "01 ene",Pasivo!F:F, "&gt;"&amp;EOMONTH(DATE(2025,9,1),0))
+ SUMIFS(Pasivo!N:N,Pasivo!B:B,A155 ,Pasivo!E:E,"No Pagado",Pasivo!C:C, "02 feb",Pasivo!F:F,"")
+SUMIFS(Pasivo!N:N,Pasivo!B:B,A155 ,Pasivo!E:E,"No Pagado",Pasivo!C:C, "02 feb",Pasivo!F:F, "&gt;"&amp;EOMONTH(DATE(2025,9,1),0))
+ SUMIFS(Pasivo!N:N,Pasivo!B:B,A155 ,Pasivo!E:E,"No Pagado",Pasivo!C:C, "03 mar",Pasivo!F:F,"")
+SUMIFS(Pasivo!N:N,Pasivo!B:B,A155 ,Pasivo!E:E,"No Pagado",Pasivo!C:C, "03 mar",Pasivo!F:F, "&gt;"&amp;EOMONTH(DATE(2025,9,1),0)) 
+ SUMIFS(Pasivo!N:N,Pasivo!B:B,A155 ,Pasivo!E:E,"No Pagado",Pasivo!C:C, "04 abr",Pasivo!F:F,"")
+SUMIFS(Pasivo!N:N,Pasivo!B:B,A155 ,Pasivo!E:E,"No Pagado",Pasivo!C:C, "04 abr",Pasivo!F:F, "&gt;"&amp;EOMONTH(DATE(2025,9,1),0))
+ SUMIFS(Pasivo!N:N,Pasivo!B:B,A155 ,Pasivo!E:E,"No Pagado",Pasivo!C:C, "05 may",Pasivo!F:F,"")
+SUMIFS(Pasivo!N:N,Pasivo!B:B,A155 ,Pasivo!E:E,"No Pagado",Pasivo!C:C, "05 may",Pasivo!F:F, "&gt;"&amp;EOMONTH(DATE(2025,9,1),0))
+ SUMIFS(Pasivo!N:N,Pasivo!B:B,A155 ,Pasivo!E:E,"No Pagado",Pasivo!C:C, "06 jun",Pasivo!F:F,"")
+SUMIFS(Pasivo!N:N,Pasivo!B:B,A155 ,Pasivo!E:E,"No Pagado",Pasivo!C:C, "06 jun",Pasivo!F:F, "&gt;"&amp;EOMONTH(DATE(2025,9,1),0))
+ SUMIFS(Pasivo!N:N,Pasivo!B:B,A155 ,Pasivo!E:E,"No Pagado",Pasivo!C:C, "07 jul",Pasivo!F:F,"")
+SUMIFS(Pasivo!N:N,Pasivo!B:B,A155 ,Pasivo!E:E,"No Pagado",Pasivo!C:C, "07 jul",Pasivo!F:F, "&gt;"&amp;EOMONTH(DATE(2025,9,1),0))
+ SUMIFS(Pasivo!N:N,Pasivo!B:B,A155 ,Pasivo!E:E,"No Pagado",Pasivo!C:C, "08 ago",Pasivo!F:F,"")
+SUMIFS(Pasivo!N:N,Pasivo!B:B,A155 ,Pasivo!E:E,"No Pagado",Pasivo!C:C, "08 ago",Pasivo!F:F, "&gt;"&amp;EOMONTH(DATE(2025,9,1),0))
+ SUMIFS(Pasivo!N:N,Pasivo!B:B,A155 ,Pasivo!E:E,"No Pagado",Pasivo!C:C, "09 sep",Pasivo!F:F,"")
+SUMIFS(Pasivo!N:N,Pasivo!B:B,A155 ,Pasivo!E:E,"No Pagado",Pasivo!C:C, "09 sep",Pasivo!F:F, "&gt;"&amp;EOMONTH(DATE(2025,9,1),0))
</f>
        <v>467.6816609</v>
      </c>
    </row>
    <row r="156">
      <c r="A156" s="399" t="s">
        <v>178</v>
      </c>
      <c r="B156" s="400" t="s">
        <v>171</v>
      </c>
      <c r="C156" s="43">
        <v>2025.0</v>
      </c>
      <c r="D156" s="102">
        <f>SUMIFS(Pasivo!N:N,Pasivo!B:B,A156 ,Pasivo!E:E,"No Pagado",Pasivo!C:C, "01 ene",Pasivo!F:F,"")
+SUMIFS(Pasivo!N:N,Pasivo!B:B,A156 ,Pasivo!E:E,"No Pagado",Pasivo!C:C, "01 ene",Pasivo!F:F, "&gt;"&amp;EOMONTH(DATE(2025,9,1),0))
+ SUMIFS(Pasivo!N:N,Pasivo!B:B,A156 ,Pasivo!E:E,"No Pagado",Pasivo!C:C, "02 feb",Pasivo!F:F,"")
+SUMIFS(Pasivo!N:N,Pasivo!B:B,A156 ,Pasivo!E:E,"No Pagado",Pasivo!C:C, "02 feb",Pasivo!F:F, "&gt;"&amp;EOMONTH(DATE(2025,9,1),0))
+ SUMIFS(Pasivo!N:N,Pasivo!B:B,A156 ,Pasivo!E:E,"No Pagado",Pasivo!C:C, "03 mar",Pasivo!F:F,"")
+SUMIFS(Pasivo!N:N,Pasivo!B:B,A156 ,Pasivo!E:E,"No Pagado",Pasivo!C:C, "03 mar",Pasivo!F:F, "&gt;"&amp;EOMONTH(DATE(2025,9,1),0)) 
+ SUMIFS(Pasivo!N:N,Pasivo!B:B,A156 ,Pasivo!E:E,"No Pagado",Pasivo!C:C, "04 abr",Pasivo!F:F,"")
+SUMIFS(Pasivo!N:N,Pasivo!B:B,A156 ,Pasivo!E:E,"No Pagado",Pasivo!C:C, "04 abr",Pasivo!F:F, "&gt;"&amp;EOMONTH(DATE(2025,9,1),0))
+ SUMIFS(Pasivo!N:N,Pasivo!B:B,A156 ,Pasivo!E:E,"No Pagado",Pasivo!C:C, "05 may",Pasivo!F:F,"")
+SUMIFS(Pasivo!N:N,Pasivo!B:B,A156 ,Pasivo!E:E,"No Pagado",Pasivo!C:C, "05 may",Pasivo!F:F, "&gt;"&amp;EOMONTH(DATE(2025,9,1),0))
+ SUMIFS(Pasivo!N:N,Pasivo!B:B,A156 ,Pasivo!E:E,"No Pagado",Pasivo!C:C, "06 jun",Pasivo!F:F,"")
+SUMIFS(Pasivo!N:N,Pasivo!B:B,A156 ,Pasivo!E:E,"No Pagado",Pasivo!C:C, "06 jun",Pasivo!F:F, "&gt;"&amp;EOMONTH(DATE(2025,9,1),0))
+ SUMIFS(Pasivo!N:N,Pasivo!B:B,A156 ,Pasivo!E:E,"No Pagado",Pasivo!C:C, "07 jul",Pasivo!F:F,"")
+SUMIFS(Pasivo!N:N,Pasivo!B:B,A156 ,Pasivo!E:E,"No Pagado",Pasivo!C:C, "07 jul",Pasivo!F:F, "&gt;"&amp;EOMONTH(DATE(2025,9,1),0))
+ SUMIFS(Pasivo!N:N,Pasivo!B:B,A156 ,Pasivo!E:E,"No Pagado",Pasivo!C:C, "08 ago",Pasivo!F:F,"")
+SUMIFS(Pasivo!N:N,Pasivo!B:B,A156 ,Pasivo!E:E,"No Pagado",Pasivo!C:C, "08 ago",Pasivo!F:F, "&gt;"&amp;EOMONTH(DATE(2025,9,1),0))
+ SUMIFS(Pasivo!N:N,Pasivo!B:B,A156 ,Pasivo!E:E,"No Pagado",Pasivo!C:C, "09 sep",Pasivo!F:F,"")
+SUMIFS(Pasivo!N:N,Pasivo!B:B,A156 ,Pasivo!E:E,"No Pagado",Pasivo!C:C, "09 sep",Pasivo!F:F, "&gt;"&amp;EOMONTH(DATE(2025,9,1),0))
</f>
        <v>22.14532872</v>
      </c>
    </row>
    <row r="157">
      <c r="A157" s="399" t="s">
        <v>139</v>
      </c>
      <c r="B157" s="400" t="s">
        <v>171</v>
      </c>
      <c r="C157" s="43">
        <v>2025.0</v>
      </c>
      <c r="D157" s="102">
        <f>SUMIFS(Pasivo!N:N,Pasivo!B:B,A157 ,Pasivo!E:E,"No Pagado",Pasivo!C:C, "01 ene",Pasivo!F:F,"")
+SUMIFS(Pasivo!N:N,Pasivo!B:B,A157 ,Pasivo!E:E,"No Pagado",Pasivo!C:C, "01 ene",Pasivo!F:F, "&gt;"&amp;EOMONTH(DATE(2025,9,1),0))
+ SUMIFS(Pasivo!N:N,Pasivo!B:B,A157 ,Pasivo!E:E,"No Pagado",Pasivo!C:C, "02 feb",Pasivo!F:F,"")
+SUMIFS(Pasivo!N:N,Pasivo!B:B,A157 ,Pasivo!E:E,"No Pagado",Pasivo!C:C, "02 feb",Pasivo!F:F, "&gt;"&amp;EOMONTH(DATE(2025,9,1),0))
+ SUMIFS(Pasivo!N:N,Pasivo!B:B,A157 ,Pasivo!E:E,"No Pagado",Pasivo!C:C, "03 mar",Pasivo!F:F,"")
+SUMIFS(Pasivo!N:N,Pasivo!B:B,A157 ,Pasivo!E:E,"No Pagado",Pasivo!C:C, "03 mar",Pasivo!F:F, "&gt;"&amp;EOMONTH(DATE(2025,9,1),0)) 
+ SUMIFS(Pasivo!N:N,Pasivo!B:B,A157 ,Pasivo!E:E,"No Pagado",Pasivo!C:C, "04 abr",Pasivo!F:F,"")
+SUMIFS(Pasivo!N:N,Pasivo!B:B,A157 ,Pasivo!E:E,"No Pagado",Pasivo!C:C, "04 abr",Pasivo!F:F, "&gt;"&amp;EOMONTH(DATE(2025,9,1),0))
+ SUMIFS(Pasivo!N:N,Pasivo!B:B,A157 ,Pasivo!E:E,"No Pagado",Pasivo!C:C, "05 may",Pasivo!F:F,"")
+SUMIFS(Pasivo!N:N,Pasivo!B:B,A157 ,Pasivo!E:E,"No Pagado",Pasivo!C:C, "05 may",Pasivo!F:F, "&gt;"&amp;EOMONTH(DATE(2025,9,1),0))
+ SUMIFS(Pasivo!N:N,Pasivo!B:B,A157 ,Pasivo!E:E,"No Pagado",Pasivo!C:C, "06 jun",Pasivo!F:F,"")
+SUMIFS(Pasivo!N:N,Pasivo!B:B,A157 ,Pasivo!E:E,"No Pagado",Pasivo!C:C, "06 jun",Pasivo!F:F, "&gt;"&amp;EOMONTH(DATE(2025,9,1),0))
+ SUMIFS(Pasivo!N:N,Pasivo!B:B,A157 ,Pasivo!E:E,"No Pagado",Pasivo!C:C, "07 jul",Pasivo!F:F,"")
+SUMIFS(Pasivo!N:N,Pasivo!B:B,A157 ,Pasivo!E:E,"No Pagado",Pasivo!C:C, "07 jul",Pasivo!F:F, "&gt;"&amp;EOMONTH(DATE(2025,9,1),0))
+ SUMIFS(Pasivo!N:N,Pasivo!B:B,A157 ,Pasivo!E:E,"No Pagado",Pasivo!C:C, "08 ago",Pasivo!F:F,"")
+SUMIFS(Pasivo!N:N,Pasivo!B:B,A157 ,Pasivo!E:E,"No Pagado",Pasivo!C:C, "08 ago",Pasivo!F:F, "&gt;"&amp;EOMONTH(DATE(2025,9,1),0))
+ SUMIFS(Pasivo!N:N,Pasivo!B:B,A157 ,Pasivo!E:E,"No Pagado",Pasivo!C:C, "09 sep",Pasivo!F:F,"")
+SUMIFS(Pasivo!N:N,Pasivo!B:B,A157 ,Pasivo!E:E,"No Pagado",Pasivo!C:C, "09 sep",Pasivo!F:F, "&gt;"&amp;EOMONTH(DATE(2025,9,1),0))
</f>
        <v>60.56408304</v>
      </c>
    </row>
    <row r="158">
      <c r="A158" s="401" t="s">
        <v>185</v>
      </c>
      <c r="B158" s="400" t="s">
        <v>171</v>
      </c>
      <c r="C158" s="43">
        <v>2025.0</v>
      </c>
      <c r="D158" s="102">
        <f>SUMIFS(Pasivo!N:N,Pasivo!B:B,A158 ,Pasivo!E:E,"No Pagado",Pasivo!C:C, "01 ene",Pasivo!F:F,"")
+SUMIFS(Pasivo!N:N,Pasivo!B:B,A158 ,Pasivo!E:E,"No Pagado",Pasivo!C:C, "01 ene",Pasivo!F:F, "&gt;"&amp;EOMONTH(DATE(2025,9,1),0))
+ SUMIFS(Pasivo!N:N,Pasivo!B:B,A158 ,Pasivo!E:E,"No Pagado",Pasivo!C:C, "02 feb",Pasivo!F:F,"")
+SUMIFS(Pasivo!N:N,Pasivo!B:B,A158 ,Pasivo!E:E,"No Pagado",Pasivo!C:C, "02 feb",Pasivo!F:F, "&gt;"&amp;EOMONTH(DATE(2025,9,1),0))
+ SUMIFS(Pasivo!N:N,Pasivo!B:B,A158 ,Pasivo!E:E,"No Pagado",Pasivo!C:C, "03 mar",Pasivo!F:F,"")
+SUMIFS(Pasivo!N:N,Pasivo!B:B,A158 ,Pasivo!E:E,"No Pagado",Pasivo!C:C, "03 mar",Pasivo!F:F, "&gt;"&amp;EOMONTH(DATE(2025,9,1),0)) 
+ SUMIFS(Pasivo!N:N,Pasivo!B:B,A158 ,Pasivo!E:E,"No Pagado",Pasivo!C:C, "04 abr",Pasivo!F:F,"")
+SUMIFS(Pasivo!N:N,Pasivo!B:B,A158 ,Pasivo!E:E,"No Pagado",Pasivo!C:C, "04 abr",Pasivo!F:F, "&gt;"&amp;EOMONTH(DATE(2025,9,1),0))
+ SUMIFS(Pasivo!N:N,Pasivo!B:B,A158 ,Pasivo!E:E,"No Pagado",Pasivo!C:C, "05 may",Pasivo!F:F,"")
+SUMIFS(Pasivo!N:N,Pasivo!B:B,A158 ,Pasivo!E:E,"No Pagado",Pasivo!C:C, "05 may",Pasivo!F:F, "&gt;"&amp;EOMONTH(DATE(2025,9,1),0))
+ SUMIFS(Pasivo!N:N,Pasivo!B:B,A158 ,Pasivo!E:E,"No Pagado",Pasivo!C:C, "06 jun",Pasivo!F:F,"")
+SUMIFS(Pasivo!N:N,Pasivo!B:B,A158 ,Pasivo!E:E,"No Pagado",Pasivo!C:C, "06 jun",Pasivo!F:F, "&gt;"&amp;EOMONTH(DATE(2025,9,1),0))
+ SUMIFS(Pasivo!N:N,Pasivo!B:B,A158 ,Pasivo!E:E,"No Pagado",Pasivo!C:C, "07 jul",Pasivo!F:F,"")
+SUMIFS(Pasivo!N:N,Pasivo!B:B,A158 ,Pasivo!E:E,"No Pagado",Pasivo!C:C, "07 jul",Pasivo!F:F, "&gt;"&amp;EOMONTH(DATE(2025,9,1),0))
+ SUMIFS(Pasivo!N:N,Pasivo!B:B,A158 ,Pasivo!E:E,"No Pagado",Pasivo!C:C, "08 ago",Pasivo!F:F,"")
+SUMIFS(Pasivo!N:N,Pasivo!B:B,A158 ,Pasivo!E:E,"No Pagado",Pasivo!C:C, "08 ago",Pasivo!F:F, "&gt;"&amp;EOMONTH(DATE(2025,9,1),0))
+ SUMIFS(Pasivo!N:N,Pasivo!B:B,A158 ,Pasivo!E:E,"No Pagado",Pasivo!C:C, "09 sep",Pasivo!F:F,"")
+SUMIFS(Pasivo!N:N,Pasivo!B:B,A158 ,Pasivo!E:E,"No Pagado",Pasivo!C:C, "09 sep",Pasivo!F:F, "&gt;"&amp;EOMONTH(DATE(2025,9,1),0))
</f>
        <v>0</v>
      </c>
    </row>
    <row r="159">
      <c r="A159" s="401" t="s">
        <v>188</v>
      </c>
      <c r="B159" s="400" t="s">
        <v>171</v>
      </c>
      <c r="C159" s="43">
        <v>2025.0</v>
      </c>
      <c r="D159" s="102">
        <f>SUMIFS(Pasivo!N:N,Pasivo!B:B,A159 ,Pasivo!E:E,"No Pagado",Pasivo!C:C, "01 ene",Pasivo!F:F,"")
+SUMIFS(Pasivo!N:N,Pasivo!B:B,A159 ,Pasivo!E:E,"No Pagado",Pasivo!C:C, "01 ene",Pasivo!F:F, "&gt;"&amp;EOMONTH(DATE(2025,9,1),0))
+ SUMIFS(Pasivo!N:N,Pasivo!B:B,A159 ,Pasivo!E:E,"No Pagado",Pasivo!C:C, "02 feb",Pasivo!F:F,"")
+SUMIFS(Pasivo!N:N,Pasivo!B:B,A159 ,Pasivo!E:E,"No Pagado",Pasivo!C:C, "02 feb",Pasivo!F:F, "&gt;"&amp;EOMONTH(DATE(2025,9,1),0))
+ SUMIFS(Pasivo!N:N,Pasivo!B:B,A159 ,Pasivo!E:E,"No Pagado",Pasivo!C:C, "03 mar",Pasivo!F:F,"")
+SUMIFS(Pasivo!N:N,Pasivo!B:B,A159 ,Pasivo!E:E,"No Pagado",Pasivo!C:C, "03 mar",Pasivo!F:F, "&gt;"&amp;EOMONTH(DATE(2025,9,1),0)) 
+ SUMIFS(Pasivo!N:N,Pasivo!B:B,A159 ,Pasivo!E:E,"No Pagado",Pasivo!C:C, "04 abr",Pasivo!F:F,"")
+SUMIFS(Pasivo!N:N,Pasivo!B:B,A159 ,Pasivo!E:E,"No Pagado",Pasivo!C:C, "04 abr",Pasivo!F:F, "&gt;"&amp;EOMONTH(DATE(2025,9,1),0))
+ SUMIFS(Pasivo!N:N,Pasivo!B:B,A159 ,Pasivo!E:E,"No Pagado",Pasivo!C:C, "05 may",Pasivo!F:F,"")
+SUMIFS(Pasivo!N:N,Pasivo!B:B,A159 ,Pasivo!E:E,"No Pagado",Pasivo!C:C, "05 may",Pasivo!F:F, "&gt;"&amp;EOMONTH(DATE(2025,9,1),0))
+ SUMIFS(Pasivo!N:N,Pasivo!B:B,A159 ,Pasivo!E:E,"No Pagado",Pasivo!C:C, "06 jun",Pasivo!F:F,"")
+SUMIFS(Pasivo!N:N,Pasivo!B:B,A159 ,Pasivo!E:E,"No Pagado",Pasivo!C:C, "06 jun",Pasivo!F:F, "&gt;"&amp;EOMONTH(DATE(2025,9,1),0))
+ SUMIFS(Pasivo!N:N,Pasivo!B:B,A159 ,Pasivo!E:E,"No Pagado",Pasivo!C:C, "07 jul",Pasivo!F:F,"")
+SUMIFS(Pasivo!N:N,Pasivo!B:B,A159 ,Pasivo!E:E,"No Pagado",Pasivo!C:C, "07 jul",Pasivo!F:F, "&gt;"&amp;EOMONTH(DATE(2025,9,1),0))
+ SUMIFS(Pasivo!N:N,Pasivo!B:B,A159 ,Pasivo!E:E,"No Pagado",Pasivo!C:C, "08 ago",Pasivo!F:F,"")
+SUMIFS(Pasivo!N:N,Pasivo!B:B,A159 ,Pasivo!E:E,"No Pagado",Pasivo!C:C, "08 ago",Pasivo!F:F, "&gt;"&amp;EOMONTH(DATE(2025,9,1),0))
+ SUMIFS(Pasivo!N:N,Pasivo!B:B,A159 ,Pasivo!E:E,"No Pagado",Pasivo!C:C, "09 sep",Pasivo!F:F,"")
+SUMIFS(Pasivo!N:N,Pasivo!B:B,A159 ,Pasivo!E:E,"No Pagado",Pasivo!C:C, "09 sep",Pasivo!F:F, "&gt;"&amp;EOMONTH(DATE(2025,9,1),0))
</f>
        <v>0</v>
      </c>
    </row>
    <row r="160">
      <c r="A160" s="401" t="s">
        <v>192</v>
      </c>
      <c r="B160" s="400" t="s">
        <v>171</v>
      </c>
      <c r="C160" s="43">
        <v>2025.0</v>
      </c>
      <c r="D160" s="102">
        <f>SUMIFS(Pasivo!N:N,Pasivo!B:B,A160 ,Pasivo!E:E,"No Pagado",Pasivo!C:C, "01 ene",Pasivo!F:F,"")
+SUMIFS(Pasivo!N:N,Pasivo!B:B,A160 ,Pasivo!E:E,"No Pagado",Pasivo!C:C, "01 ene",Pasivo!F:F, "&gt;"&amp;EOMONTH(DATE(2025,9,1),0))
+ SUMIFS(Pasivo!N:N,Pasivo!B:B,A160 ,Pasivo!E:E,"No Pagado",Pasivo!C:C, "02 feb",Pasivo!F:F,"")
+SUMIFS(Pasivo!N:N,Pasivo!B:B,A160 ,Pasivo!E:E,"No Pagado",Pasivo!C:C, "02 feb",Pasivo!F:F, "&gt;"&amp;EOMONTH(DATE(2025,9,1),0))
+ SUMIFS(Pasivo!N:N,Pasivo!B:B,A160 ,Pasivo!E:E,"No Pagado",Pasivo!C:C, "03 mar",Pasivo!F:F,"")
+SUMIFS(Pasivo!N:N,Pasivo!B:B,A160 ,Pasivo!E:E,"No Pagado",Pasivo!C:C, "03 mar",Pasivo!F:F, "&gt;"&amp;EOMONTH(DATE(2025,9,1),0)) 
+ SUMIFS(Pasivo!N:N,Pasivo!B:B,A160 ,Pasivo!E:E,"No Pagado",Pasivo!C:C, "04 abr",Pasivo!F:F,"")
+SUMIFS(Pasivo!N:N,Pasivo!B:B,A160 ,Pasivo!E:E,"No Pagado",Pasivo!C:C, "04 abr",Pasivo!F:F, "&gt;"&amp;EOMONTH(DATE(2025,9,1),0))
+ SUMIFS(Pasivo!N:N,Pasivo!B:B,A160 ,Pasivo!E:E,"No Pagado",Pasivo!C:C, "05 may",Pasivo!F:F,"")
+SUMIFS(Pasivo!N:N,Pasivo!B:B,A160 ,Pasivo!E:E,"No Pagado",Pasivo!C:C, "05 may",Pasivo!F:F, "&gt;"&amp;EOMONTH(DATE(2025,9,1),0))
+ SUMIFS(Pasivo!N:N,Pasivo!B:B,A160 ,Pasivo!E:E,"No Pagado",Pasivo!C:C, "06 jun",Pasivo!F:F,"")
+SUMIFS(Pasivo!N:N,Pasivo!B:B,A160 ,Pasivo!E:E,"No Pagado",Pasivo!C:C, "06 jun",Pasivo!F:F, "&gt;"&amp;EOMONTH(DATE(2025,9,1),0))
+ SUMIFS(Pasivo!N:N,Pasivo!B:B,A160 ,Pasivo!E:E,"No Pagado",Pasivo!C:C, "07 jul",Pasivo!F:F,"")
+SUMIFS(Pasivo!N:N,Pasivo!B:B,A160 ,Pasivo!E:E,"No Pagado",Pasivo!C:C, "07 jul",Pasivo!F:F, "&gt;"&amp;EOMONTH(DATE(2025,9,1),0))
+ SUMIFS(Pasivo!N:N,Pasivo!B:B,A160 ,Pasivo!E:E,"No Pagado",Pasivo!C:C, "08 ago",Pasivo!F:F,"")
+SUMIFS(Pasivo!N:N,Pasivo!B:B,A160 ,Pasivo!E:E,"No Pagado",Pasivo!C:C, "08 ago",Pasivo!F:F, "&gt;"&amp;EOMONTH(DATE(2025,9,1),0))
+ SUMIFS(Pasivo!N:N,Pasivo!B:B,A160 ,Pasivo!E:E,"No Pagado",Pasivo!C:C, "09 sep",Pasivo!F:F,"")
+SUMIFS(Pasivo!N:N,Pasivo!B:B,A160 ,Pasivo!E:E,"No Pagado",Pasivo!C:C, "09 sep",Pasivo!F:F, "&gt;"&amp;EOMONTH(DATE(2025,9,1),0))
</f>
        <v>0</v>
      </c>
    </row>
    <row r="161">
      <c r="A161" s="401" t="s">
        <v>195</v>
      </c>
      <c r="B161" s="400" t="s">
        <v>171</v>
      </c>
      <c r="C161" s="43">
        <v>2025.0</v>
      </c>
      <c r="D161" s="102">
        <f>SUMIFS(Pasivo!N:N,Pasivo!B:B,A161 ,Pasivo!E:E,"No Pagado",Pasivo!C:C, "01 ene",Pasivo!F:F,"")
+SUMIFS(Pasivo!N:N,Pasivo!B:B,A161 ,Pasivo!E:E,"No Pagado",Pasivo!C:C, "01 ene",Pasivo!F:F, "&gt;"&amp;EOMONTH(DATE(2025,9,1),0))
+ SUMIFS(Pasivo!N:N,Pasivo!B:B,A161 ,Pasivo!E:E,"No Pagado",Pasivo!C:C, "02 feb",Pasivo!F:F,"")
+SUMIFS(Pasivo!N:N,Pasivo!B:B,A161 ,Pasivo!E:E,"No Pagado",Pasivo!C:C, "02 feb",Pasivo!F:F, "&gt;"&amp;EOMONTH(DATE(2025,9,1),0))
+ SUMIFS(Pasivo!N:N,Pasivo!B:B,A161 ,Pasivo!E:E,"No Pagado",Pasivo!C:C, "03 mar",Pasivo!F:F,"")
+SUMIFS(Pasivo!N:N,Pasivo!B:B,A161 ,Pasivo!E:E,"No Pagado",Pasivo!C:C, "03 mar",Pasivo!F:F, "&gt;"&amp;EOMONTH(DATE(2025,9,1),0)) 
+ SUMIFS(Pasivo!N:N,Pasivo!B:B,A161 ,Pasivo!E:E,"No Pagado",Pasivo!C:C, "04 abr",Pasivo!F:F,"")
+SUMIFS(Pasivo!N:N,Pasivo!B:B,A161 ,Pasivo!E:E,"No Pagado",Pasivo!C:C, "04 abr",Pasivo!F:F, "&gt;"&amp;EOMONTH(DATE(2025,9,1),0))
+ SUMIFS(Pasivo!N:N,Pasivo!B:B,A161 ,Pasivo!E:E,"No Pagado",Pasivo!C:C, "05 may",Pasivo!F:F,"")
+SUMIFS(Pasivo!N:N,Pasivo!B:B,A161 ,Pasivo!E:E,"No Pagado",Pasivo!C:C, "05 may",Pasivo!F:F, "&gt;"&amp;EOMONTH(DATE(2025,9,1),0))
+ SUMIFS(Pasivo!N:N,Pasivo!B:B,A161 ,Pasivo!E:E,"No Pagado",Pasivo!C:C, "06 jun",Pasivo!F:F,"")
+SUMIFS(Pasivo!N:N,Pasivo!B:B,A161 ,Pasivo!E:E,"No Pagado",Pasivo!C:C, "06 jun",Pasivo!F:F, "&gt;"&amp;EOMONTH(DATE(2025,9,1),0))
+ SUMIFS(Pasivo!N:N,Pasivo!B:B,A161 ,Pasivo!E:E,"No Pagado",Pasivo!C:C, "07 jul",Pasivo!F:F,"")
+SUMIFS(Pasivo!N:N,Pasivo!B:B,A161 ,Pasivo!E:E,"No Pagado",Pasivo!C:C, "07 jul",Pasivo!F:F, "&gt;"&amp;EOMONTH(DATE(2025,9,1),0))
+ SUMIFS(Pasivo!N:N,Pasivo!B:B,A161 ,Pasivo!E:E,"No Pagado",Pasivo!C:C, "08 ago",Pasivo!F:F,"")
+SUMIFS(Pasivo!N:N,Pasivo!B:B,A161 ,Pasivo!E:E,"No Pagado",Pasivo!C:C, "08 ago",Pasivo!F:F, "&gt;"&amp;EOMONTH(DATE(2025,9,1),0))
+ SUMIFS(Pasivo!N:N,Pasivo!B:B,A161 ,Pasivo!E:E,"No Pagado",Pasivo!C:C, "09 sep",Pasivo!F:F,"")
+SUMIFS(Pasivo!N:N,Pasivo!B:B,A161 ,Pasivo!E:E,"No Pagado",Pasivo!C:C, "09 sep",Pasivo!F:F, "&gt;"&amp;EOMONTH(DATE(2025,9,1),0))
</f>
        <v>0</v>
      </c>
    </row>
    <row r="162">
      <c r="A162" s="401" t="s">
        <v>198</v>
      </c>
      <c r="B162" s="400" t="s">
        <v>171</v>
      </c>
      <c r="C162" s="43">
        <v>2025.0</v>
      </c>
      <c r="D162" s="102">
        <f>SUMIFS(Pasivo!N:N,Pasivo!B:B,A162 ,Pasivo!E:E,"No Pagado",Pasivo!C:C, "01 ene",Pasivo!F:F,"")
+SUMIFS(Pasivo!N:N,Pasivo!B:B,A162 ,Pasivo!E:E,"No Pagado",Pasivo!C:C, "01 ene",Pasivo!F:F, "&gt;"&amp;EOMONTH(DATE(2025,9,1),0))
+ SUMIFS(Pasivo!N:N,Pasivo!B:B,A162 ,Pasivo!E:E,"No Pagado",Pasivo!C:C, "02 feb",Pasivo!F:F,"")
+SUMIFS(Pasivo!N:N,Pasivo!B:B,A162 ,Pasivo!E:E,"No Pagado",Pasivo!C:C, "02 feb",Pasivo!F:F, "&gt;"&amp;EOMONTH(DATE(2025,9,1),0))
+ SUMIFS(Pasivo!N:N,Pasivo!B:B,A162 ,Pasivo!E:E,"No Pagado",Pasivo!C:C, "03 mar",Pasivo!F:F,"")
+SUMIFS(Pasivo!N:N,Pasivo!B:B,A162 ,Pasivo!E:E,"No Pagado",Pasivo!C:C, "03 mar",Pasivo!F:F, "&gt;"&amp;EOMONTH(DATE(2025,9,1),0)) 
+ SUMIFS(Pasivo!N:N,Pasivo!B:B,A162 ,Pasivo!E:E,"No Pagado",Pasivo!C:C, "04 abr",Pasivo!F:F,"")
+SUMIFS(Pasivo!N:N,Pasivo!B:B,A162 ,Pasivo!E:E,"No Pagado",Pasivo!C:C, "04 abr",Pasivo!F:F, "&gt;"&amp;EOMONTH(DATE(2025,9,1),0))
+ SUMIFS(Pasivo!N:N,Pasivo!B:B,A162 ,Pasivo!E:E,"No Pagado",Pasivo!C:C, "05 may",Pasivo!F:F,"")
+SUMIFS(Pasivo!N:N,Pasivo!B:B,A162 ,Pasivo!E:E,"No Pagado",Pasivo!C:C, "05 may",Pasivo!F:F, "&gt;"&amp;EOMONTH(DATE(2025,9,1),0))
+ SUMIFS(Pasivo!N:N,Pasivo!B:B,A162 ,Pasivo!E:E,"No Pagado",Pasivo!C:C, "06 jun",Pasivo!F:F,"")
+SUMIFS(Pasivo!N:N,Pasivo!B:B,A162 ,Pasivo!E:E,"No Pagado",Pasivo!C:C, "06 jun",Pasivo!F:F, "&gt;"&amp;EOMONTH(DATE(2025,9,1),0))
+ SUMIFS(Pasivo!N:N,Pasivo!B:B,A162 ,Pasivo!E:E,"No Pagado",Pasivo!C:C, "07 jul",Pasivo!F:F,"")
+SUMIFS(Pasivo!N:N,Pasivo!B:B,A162 ,Pasivo!E:E,"No Pagado",Pasivo!C:C, "07 jul",Pasivo!F:F, "&gt;"&amp;EOMONTH(DATE(2025,9,1),0))
+ SUMIFS(Pasivo!N:N,Pasivo!B:B,A162 ,Pasivo!E:E,"No Pagado",Pasivo!C:C, "08 ago",Pasivo!F:F,"")
+SUMIFS(Pasivo!N:N,Pasivo!B:B,A162 ,Pasivo!E:E,"No Pagado",Pasivo!C:C, "08 ago",Pasivo!F:F, "&gt;"&amp;EOMONTH(DATE(2025,9,1),0))
+ SUMIFS(Pasivo!N:N,Pasivo!B:B,A162 ,Pasivo!E:E,"No Pagado",Pasivo!C:C, "09 sep",Pasivo!F:F,"")
+SUMIFS(Pasivo!N:N,Pasivo!B:B,A162 ,Pasivo!E:E,"No Pagado",Pasivo!C:C, "09 sep",Pasivo!F:F, "&gt;"&amp;EOMONTH(DATE(2025,9,1),0))
</f>
        <v>0</v>
      </c>
    </row>
    <row r="163">
      <c r="A163" s="402" t="s">
        <v>201</v>
      </c>
      <c r="B163" s="400" t="s">
        <v>171</v>
      </c>
      <c r="C163" s="43">
        <v>2025.0</v>
      </c>
      <c r="D163" s="102">
        <f>SUMIFS(Pasivo!N:N,Pasivo!B:B,A163 ,Pasivo!E:E,"No Pagado",Pasivo!C:C, "01 ene",Pasivo!F:F,"")
+SUMIFS(Pasivo!N:N,Pasivo!B:B,A163 ,Pasivo!E:E,"No Pagado",Pasivo!C:C, "01 ene",Pasivo!F:F, "&gt;"&amp;EOMONTH(DATE(2025,9,1),0))
+ SUMIFS(Pasivo!N:N,Pasivo!B:B,A163 ,Pasivo!E:E,"No Pagado",Pasivo!C:C, "02 feb",Pasivo!F:F,"")
+SUMIFS(Pasivo!N:N,Pasivo!B:B,A163 ,Pasivo!E:E,"No Pagado",Pasivo!C:C, "02 feb",Pasivo!F:F, "&gt;"&amp;EOMONTH(DATE(2025,9,1),0))
+ SUMIFS(Pasivo!N:N,Pasivo!B:B,A163 ,Pasivo!E:E,"No Pagado",Pasivo!C:C, "03 mar",Pasivo!F:F,"")
+SUMIFS(Pasivo!N:N,Pasivo!B:B,A163 ,Pasivo!E:E,"No Pagado",Pasivo!C:C, "03 mar",Pasivo!F:F, "&gt;"&amp;EOMONTH(DATE(2025,9,1),0)) 
+ SUMIFS(Pasivo!N:N,Pasivo!B:B,A163 ,Pasivo!E:E,"No Pagado",Pasivo!C:C, "04 abr",Pasivo!F:F,"")
+SUMIFS(Pasivo!N:N,Pasivo!B:B,A163 ,Pasivo!E:E,"No Pagado",Pasivo!C:C, "04 abr",Pasivo!F:F, "&gt;"&amp;EOMONTH(DATE(2025,9,1),0))
+ SUMIFS(Pasivo!N:N,Pasivo!B:B,A163 ,Pasivo!E:E,"No Pagado",Pasivo!C:C, "05 may",Pasivo!F:F,"")
+SUMIFS(Pasivo!N:N,Pasivo!B:B,A163 ,Pasivo!E:E,"No Pagado",Pasivo!C:C, "05 may",Pasivo!F:F, "&gt;"&amp;EOMONTH(DATE(2025,9,1),0))
+ SUMIFS(Pasivo!N:N,Pasivo!B:B,A163 ,Pasivo!E:E,"No Pagado",Pasivo!C:C, "06 jun",Pasivo!F:F,"")
+SUMIFS(Pasivo!N:N,Pasivo!B:B,A163 ,Pasivo!E:E,"No Pagado",Pasivo!C:C, "06 jun",Pasivo!F:F, "&gt;"&amp;EOMONTH(DATE(2025,9,1),0))
+ SUMIFS(Pasivo!N:N,Pasivo!B:B,A163 ,Pasivo!E:E,"No Pagado",Pasivo!C:C, "07 jul",Pasivo!F:F,"")
+SUMIFS(Pasivo!N:N,Pasivo!B:B,A163 ,Pasivo!E:E,"No Pagado",Pasivo!C:C, "07 jul",Pasivo!F:F, "&gt;"&amp;EOMONTH(DATE(2025,9,1),0))
+ SUMIFS(Pasivo!N:N,Pasivo!B:B,A163 ,Pasivo!E:E,"No Pagado",Pasivo!C:C, "08 ago",Pasivo!F:F,"")
+SUMIFS(Pasivo!N:N,Pasivo!B:B,A163 ,Pasivo!E:E,"No Pagado",Pasivo!C:C, "08 ago",Pasivo!F:F, "&gt;"&amp;EOMONTH(DATE(2025,9,1),0))
+ SUMIFS(Pasivo!N:N,Pasivo!B:B,A163 ,Pasivo!E:E,"No Pagado",Pasivo!C:C, "09 sep",Pasivo!F:F,"")
+SUMIFS(Pasivo!N:N,Pasivo!B:B,A163 ,Pasivo!E:E,"No Pagado",Pasivo!C:C, "09 sep",Pasivo!F:F, "&gt;"&amp;EOMONTH(DATE(2025,9,1),0))
</f>
        <v>2771.54</v>
      </c>
    </row>
    <row r="164">
      <c r="A164" s="415" t="s">
        <v>121</v>
      </c>
      <c r="B164" s="416" t="s">
        <v>175</v>
      </c>
      <c r="C164" s="43">
        <v>2025.0</v>
      </c>
    </row>
    <row r="165">
      <c r="A165" s="415" t="s">
        <v>128</v>
      </c>
      <c r="B165" s="416" t="s">
        <v>175</v>
      </c>
      <c r="C165" s="43">
        <v>2025.0</v>
      </c>
    </row>
    <row r="166">
      <c r="A166" s="415" t="s">
        <v>134</v>
      </c>
      <c r="B166" s="416" t="s">
        <v>175</v>
      </c>
      <c r="C166" s="43">
        <v>2025.0</v>
      </c>
    </row>
    <row r="167">
      <c r="A167" s="417" t="s">
        <v>140</v>
      </c>
      <c r="B167" s="416" t="s">
        <v>175</v>
      </c>
      <c r="C167" s="43">
        <v>2025.0</v>
      </c>
    </row>
    <row r="168">
      <c r="A168" s="415" t="s">
        <v>147</v>
      </c>
      <c r="B168" s="416" t="s">
        <v>175</v>
      </c>
      <c r="C168" s="43">
        <v>2025.0</v>
      </c>
    </row>
    <row r="169">
      <c r="A169" s="415" t="s">
        <v>153</v>
      </c>
      <c r="B169" s="416" t="s">
        <v>175</v>
      </c>
      <c r="C169" s="43">
        <v>2025.0</v>
      </c>
    </row>
    <row r="170">
      <c r="A170" s="415" t="s">
        <v>159</v>
      </c>
      <c r="B170" s="416" t="s">
        <v>175</v>
      </c>
      <c r="C170" s="43">
        <v>2025.0</v>
      </c>
    </row>
    <row r="171">
      <c r="A171" s="415" t="s">
        <v>164</v>
      </c>
      <c r="B171" s="416" t="s">
        <v>175</v>
      </c>
      <c r="C171" s="43">
        <v>2025.0</v>
      </c>
    </row>
    <row r="172">
      <c r="A172" s="415" t="s">
        <v>170</v>
      </c>
      <c r="B172" s="416" t="s">
        <v>175</v>
      </c>
      <c r="C172" s="43">
        <v>2025.0</v>
      </c>
    </row>
    <row r="173">
      <c r="A173" s="415" t="s">
        <v>174</v>
      </c>
      <c r="B173" s="416" t="s">
        <v>175</v>
      </c>
      <c r="C173" s="43">
        <v>2025.0</v>
      </c>
    </row>
    <row r="174">
      <c r="A174" s="415" t="s">
        <v>178</v>
      </c>
      <c r="B174" s="416" t="s">
        <v>175</v>
      </c>
      <c r="C174" s="43">
        <v>2025.0</v>
      </c>
    </row>
    <row r="175">
      <c r="A175" s="415" t="s">
        <v>139</v>
      </c>
      <c r="B175" s="416" t="s">
        <v>175</v>
      </c>
      <c r="C175" s="43">
        <v>2025.0</v>
      </c>
    </row>
    <row r="176">
      <c r="A176" s="417" t="s">
        <v>185</v>
      </c>
      <c r="B176" s="416" t="s">
        <v>175</v>
      </c>
      <c r="C176" s="43">
        <v>2025.0</v>
      </c>
    </row>
    <row r="177">
      <c r="A177" s="417" t="s">
        <v>188</v>
      </c>
      <c r="B177" s="416" t="s">
        <v>175</v>
      </c>
      <c r="C177" s="43">
        <v>2025.0</v>
      </c>
    </row>
    <row r="178">
      <c r="A178" s="417" t="s">
        <v>192</v>
      </c>
      <c r="B178" s="416" t="s">
        <v>175</v>
      </c>
      <c r="C178" s="43">
        <v>2025.0</v>
      </c>
    </row>
    <row r="179">
      <c r="A179" s="417" t="s">
        <v>195</v>
      </c>
      <c r="B179" s="416" t="s">
        <v>175</v>
      </c>
      <c r="C179" s="43">
        <v>2025.0</v>
      </c>
    </row>
    <row r="180">
      <c r="A180" s="417" t="s">
        <v>198</v>
      </c>
      <c r="B180" s="416" t="s">
        <v>175</v>
      </c>
      <c r="C180" s="43">
        <v>2025.0</v>
      </c>
    </row>
    <row r="181">
      <c r="A181" s="418" t="s">
        <v>201</v>
      </c>
      <c r="B181" s="416" t="s">
        <v>175</v>
      </c>
      <c r="C181" s="43">
        <v>2025.0</v>
      </c>
    </row>
    <row r="182">
      <c r="A182" s="387" t="s">
        <v>121</v>
      </c>
      <c r="B182" s="388" t="s">
        <v>179</v>
      </c>
      <c r="C182" s="43">
        <v>2025.0</v>
      </c>
    </row>
    <row r="183">
      <c r="A183" s="387" t="s">
        <v>128</v>
      </c>
      <c r="B183" s="388" t="s">
        <v>179</v>
      </c>
      <c r="C183" s="43">
        <v>2025.0</v>
      </c>
    </row>
    <row r="184">
      <c r="A184" s="387" t="s">
        <v>134</v>
      </c>
      <c r="B184" s="388" t="s">
        <v>179</v>
      </c>
      <c r="C184" s="43">
        <v>2025.0</v>
      </c>
    </row>
    <row r="185">
      <c r="A185" s="389" t="s">
        <v>140</v>
      </c>
      <c r="B185" s="388" t="s">
        <v>179</v>
      </c>
      <c r="C185" s="43">
        <v>2025.0</v>
      </c>
    </row>
    <row r="186">
      <c r="A186" s="387" t="s">
        <v>147</v>
      </c>
      <c r="B186" s="388" t="s">
        <v>179</v>
      </c>
      <c r="C186" s="43">
        <v>2025.0</v>
      </c>
    </row>
    <row r="187">
      <c r="A187" s="387" t="s">
        <v>153</v>
      </c>
      <c r="B187" s="388" t="s">
        <v>179</v>
      </c>
      <c r="C187" s="43">
        <v>2025.0</v>
      </c>
    </row>
    <row r="188">
      <c r="A188" s="387" t="s">
        <v>159</v>
      </c>
      <c r="B188" s="388" t="s">
        <v>179</v>
      </c>
      <c r="C188" s="43">
        <v>2025.0</v>
      </c>
    </row>
    <row r="189">
      <c r="A189" s="387" t="s">
        <v>164</v>
      </c>
      <c r="B189" s="388" t="s">
        <v>179</v>
      </c>
      <c r="C189" s="43">
        <v>2025.0</v>
      </c>
    </row>
    <row r="190">
      <c r="A190" s="387" t="s">
        <v>170</v>
      </c>
      <c r="B190" s="388" t="s">
        <v>179</v>
      </c>
      <c r="C190" s="43">
        <v>2025.0</v>
      </c>
    </row>
    <row r="191">
      <c r="A191" s="387" t="s">
        <v>174</v>
      </c>
      <c r="B191" s="388" t="s">
        <v>179</v>
      </c>
      <c r="C191" s="43">
        <v>2025.0</v>
      </c>
    </row>
    <row r="192">
      <c r="A192" s="387" t="s">
        <v>178</v>
      </c>
      <c r="B192" s="388" t="s">
        <v>179</v>
      </c>
      <c r="C192" s="43">
        <v>2025.0</v>
      </c>
    </row>
    <row r="193">
      <c r="A193" s="387" t="s">
        <v>139</v>
      </c>
      <c r="B193" s="388" t="s">
        <v>179</v>
      </c>
      <c r="C193" s="43">
        <v>2025.0</v>
      </c>
    </row>
    <row r="194">
      <c r="A194" s="389" t="s">
        <v>185</v>
      </c>
      <c r="B194" s="388" t="s">
        <v>179</v>
      </c>
      <c r="C194" s="43">
        <v>2025.0</v>
      </c>
    </row>
    <row r="195">
      <c r="A195" s="389" t="s">
        <v>188</v>
      </c>
      <c r="B195" s="388" t="s">
        <v>179</v>
      </c>
      <c r="C195" s="43">
        <v>2025.0</v>
      </c>
    </row>
    <row r="196">
      <c r="A196" s="389" t="s">
        <v>192</v>
      </c>
      <c r="B196" s="388" t="s">
        <v>179</v>
      </c>
      <c r="C196" s="43">
        <v>2025.0</v>
      </c>
    </row>
    <row r="197">
      <c r="A197" s="389" t="s">
        <v>195</v>
      </c>
      <c r="B197" s="388" t="s">
        <v>179</v>
      </c>
      <c r="C197" s="43">
        <v>2025.0</v>
      </c>
    </row>
    <row r="198">
      <c r="A198" s="389" t="s">
        <v>198</v>
      </c>
      <c r="B198" s="388" t="s">
        <v>179</v>
      </c>
      <c r="C198" s="43">
        <v>2025.0</v>
      </c>
    </row>
    <row r="199">
      <c r="A199" s="390" t="s">
        <v>201</v>
      </c>
      <c r="B199" s="388" t="s">
        <v>179</v>
      </c>
      <c r="C199" s="43">
        <v>2025.0</v>
      </c>
    </row>
    <row r="200">
      <c r="A200" s="395" t="s">
        <v>121</v>
      </c>
      <c r="B200" s="396" t="s">
        <v>182</v>
      </c>
      <c r="C200" s="43">
        <v>2025.0</v>
      </c>
    </row>
    <row r="201">
      <c r="A201" s="395" t="s">
        <v>128</v>
      </c>
      <c r="B201" s="396" t="s">
        <v>182</v>
      </c>
      <c r="C201" s="43">
        <v>2025.0</v>
      </c>
    </row>
    <row r="202">
      <c r="A202" s="395" t="s">
        <v>134</v>
      </c>
      <c r="B202" s="396" t="s">
        <v>182</v>
      </c>
      <c r="C202" s="43">
        <v>2025.0</v>
      </c>
    </row>
    <row r="203">
      <c r="A203" s="397" t="s">
        <v>140</v>
      </c>
      <c r="B203" s="396" t="s">
        <v>182</v>
      </c>
      <c r="C203" s="43">
        <v>2025.0</v>
      </c>
    </row>
    <row r="204">
      <c r="A204" s="395" t="s">
        <v>147</v>
      </c>
      <c r="B204" s="396" t="s">
        <v>182</v>
      </c>
      <c r="C204" s="43">
        <v>2025.0</v>
      </c>
    </row>
    <row r="205">
      <c r="A205" s="395" t="s">
        <v>153</v>
      </c>
      <c r="B205" s="396" t="s">
        <v>182</v>
      </c>
      <c r="C205" s="43">
        <v>2025.0</v>
      </c>
    </row>
    <row r="206">
      <c r="A206" s="395" t="s">
        <v>159</v>
      </c>
      <c r="B206" s="396" t="s">
        <v>182</v>
      </c>
      <c r="C206" s="43">
        <v>2025.0</v>
      </c>
    </row>
    <row r="207">
      <c r="A207" s="395" t="s">
        <v>164</v>
      </c>
      <c r="B207" s="396" t="s">
        <v>182</v>
      </c>
      <c r="C207" s="43">
        <v>2025.0</v>
      </c>
    </row>
    <row r="208">
      <c r="A208" s="395" t="s">
        <v>170</v>
      </c>
      <c r="B208" s="396" t="s">
        <v>182</v>
      </c>
      <c r="C208" s="43">
        <v>2025.0</v>
      </c>
    </row>
    <row r="209">
      <c r="A209" s="395" t="s">
        <v>174</v>
      </c>
      <c r="B209" s="396" t="s">
        <v>182</v>
      </c>
      <c r="C209" s="43">
        <v>2025.0</v>
      </c>
    </row>
    <row r="210">
      <c r="A210" s="395" t="s">
        <v>178</v>
      </c>
      <c r="B210" s="396" t="s">
        <v>182</v>
      </c>
      <c r="C210" s="43">
        <v>2025.0</v>
      </c>
    </row>
    <row r="211">
      <c r="A211" s="395" t="s">
        <v>139</v>
      </c>
      <c r="B211" s="396" t="s">
        <v>182</v>
      </c>
      <c r="C211" s="43">
        <v>2025.0</v>
      </c>
    </row>
    <row r="212">
      <c r="A212" s="397" t="s">
        <v>185</v>
      </c>
      <c r="B212" s="396" t="s">
        <v>182</v>
      </c>
      <c r="C212" s="43">
        <v>2025.0</v>
      </c>
    </row>
    <row r="213">
      <c r="A213" s="397" t="s">
        <v>188</v>
      </c>
      <c r="B213" s="396" t="s">
        <v>182</v>
      </c>
      <c r="C213" s="43">
        <v>2025.0</v>
      </c>
    </row>
    <row r="214">
      <c r="A214" s="397" t="s">
        <v>192</v>
      </c>
      <c r="B214" s="396" t="s">
        <v>182</v>
      </c>
      <c r="C214" s="43">
        <v>2025.0</v>
      </c>
    </row>
    <row r="215">
      <c r="A215" s="397" t="s">
        <v>195</v>
      </c>
      <c r="B215" s="396" t="s">
        <v>182</v>
      </c>
      <c r="C215" s="43">
        <v>2025.0</v>
      </c>
    </row>
    <row r="216">
      <c r="A216" s="397" t="s">
        <v>198</v>
      </c>
      <c r="B216" s="396" t="s">
        <v>182</v>
      </c>
      <c r="C216" s="43">
        <v>2025.0</v>
      </c>
    </row>
    <row r="217">
      <c r="A217" s="398" t="s">
        <v>201</v>
      </c>
      <c r="B217" s="396" t="s">
        <v>182</v>
      </c>
      <c r="C217" s="43">
        <v>2025.0</v>
      </c>
    </row>
    <row r="218">
      <c r="B218" s="44"/>
    </row>
    <row r="219">
      <c r="B219" s="44"/>
    </row>
    <row r="220">
      <c r="B220" s="44"/>
    </row>
    <row r="221">
      <c r="B221" s="44"/>
    </row>
    <row r="222">
      <c r="B222" s="44"/>
    </row>
    <row r="223">
      <c r="B223" s="44"/>
    </row>
    <row r="224">
      <c r="B224" s="44"/>
    </row>
    <row r="225">
      <c r="B225" s="44"/>
    </row>
    <row r="226">
      <c r="B226" s="44"/>
    </row>
    <row r="227">
      <c r="B227" s="44"/>
    </row>
    <row r="228">
      <c r="B228" s="44"/>
    </row>
    <row r="229">
      <c r="B229" s="44"/>
    </row>
    <row r="230">
      <c r="B230" s="44"/>
    </row>
    <row r="231">
      <c r="B231" s="44"/>
    </row>
    <row r="232">
      <c r="B232" s="44"/>
    </row>
    <row r="233">
      <c r="B233" s="44"/>
    </row>
    <row r="234">
      <c r="B234" s="44"/>
    </row>
    <row r="235">
      <c r="B235" s="44"/>
    </row>
    <row r="236">
      <c r="B236" s="44"/>
    </row>
    <row r="237">
      <c r="B237" s="44"/>
    </row>
    <row r="238">
      <c r="B238" s="44"/>
    </row>
    <row r="239">
      <c r="B239" s="44"/>
    </row>
    <row r="240">
      <c r="B240" s="44"/>
    </row>
    <row r="241">
      <c r="B241" s="44"/>
    </row>
    <row r="242">
      <c r="B242" s="44"/>
    </row>
    <row r="243">
      <c r="B243" s="44"/>
    </row>
    <row r="244">
      <c r="B244" s="44"/>
    </row>
    <row r="245">
      <c r="B245" s="44"/>
    </row>
    <row r="246">
      <c r="B246" s="44"/>
    </row>
    <row r="247">
      <c r="B247" s="44"/>
    </row>
    <row r="248">
      <c r="B248" s="44"/>
    </row>
    <row r="249">
      <c r="B249" s="44"/>
    </row>
    <row r="250">
      <c r="B250" s="44"/>
    </row>
    <row r="251">
      <c r="B251" s="44"/>
    </row>
    <row r="252">
      <c r="B252" s="44"/>
    </row>
    <row r="253">
      <c r="B253" s="44"/>
    </row>
    <row r="254">
      <c r="B254" s="44"/>
    </row>
    <row r="255">
      <c r="B255" s="44"/>
    </row>
    <row r="256">
      <c r="B256" s="44"/>
    </row>
    <row r="257">
      <c r="B257" s="44"/>
    </row>
    <row r="258">
      <c r="B258" s="44"/>
    </row>
    <row r="259">
      <c r="B259" s="44"/>
    </row>
    <row r="260">
      <c r="B260" s="44"/>
    </row>
    <row r="261">
      <c r="B261" s="44"/>
    </row>
    <row r="262">
      <c r="B262" s="44"/>
    </row>
    <row r="263">
      <c r="B263" s="44"/>
    </row>
    <row r="264">
      <c r="B264" s="44"/>
    </row>
    <row r="265">
      <c r="B265" s="44"/>
    </row>
    <row r="266">
      <c r="B266" s="44"/>
    </row>
    <row r="267">
      <c r="B267" s="44"/>
    </row>
    <row r="268">
      <c r="B268" s="44"/>
    </row>
    <row r="269">
      <c r="B269" s="44"/>
    </row>
    <row r="270">
      <c r="B270" s="44"/>
    </row>
    <row r="271">
      <c r="B271" s="44"/>
    </row>
    <row r="272">
      <c r="B272" s="44"/>
    </row>
    <row r="273">
      <c r="B273" s="44"/>
    </row>
    <row r="274">
      <c r="B274" s="44"/>
    </row>
    <row r="275">
      <c r="B275" s="44"/>
    </row>
    <row r="276">
      <c r="B276" s="44"/>
    </row>
    <row r="277">
      <c r="B277" s="44"/>
    </row>
    <row r="278">
      <c r="B278" s="44"/>
    </row>
    <row r="279">
      <c r="B279" s="44"/>
    </row>
    <row r="280">
      <c r="B280" s="44"/>
    </row>
    <row r="281">
      <c r="B281" s="44"/>
    </row>
    <row r="282">
      <c r="B282" s="44"/>
    </row>
    <row r="283">
      <c r="B283" s="44"/>
    </row>
    <row r="284">
      <c r="B284" s="44"/>
    </row>
    <row r="285">
      <c r="B285" s="44"/>
    </row>
    <row r="286">
      <c r="B286" s="44"/>
    </row>
    <row r="287">
      <c r="B287" s="44"/>
    </row>
    <row r="288">
      <c r="B288" s="44"/>
    </row>
    <row r="289">
      <c r="B289" s="44"/>
    </row>
    <row r="290">
      <c r="B290" s="44"/>
    </row>
    <row r="291">
      <c r="B291" s="44"/>
    </row>
    <row r="292">
      <c r="B292" s="44"/>
    </row>
    <row r="293">
      <c r="B293" s="44"/>
    </row>
    <row r="294">
      <c r="B294" s="44"/>
    </row>
    <row r="295">
      <c r="B295" s="44"/>
    </row>
    <row r="296">
      <c r="B296" s="44"/>
    </row>
    <row r="297">
      <c r="B297" s="44"/>
    </row>
    <row r="298">
      <c r="B298" s="44"/>
    </row>
    <row r="299">
      <c r="B299" s="44"/>
    </row>
    <row r="300">
      <c r="B300" s="44"/>
    </row>
    <row r="301">
      <c r="B301" s="44"/>
    </row>
    <row r="302">
      <c r="B302" s="44"/>
    </row>
    <row r="303">
      <c r="B303" s="44"/>
    </row>
    <row r="304">
      <c r="B304" s="44"/>
    </row>
    <row r="305">
      <c r="B305" s="44"/>
    </row>
    <row r="306">
      <c r="B306" s="44"/>
    </row>
    <row r="307">
      <c r="B307" s="44"/>
    </row>
    <row r="308">
      <c r="B308" s="44"/>
    </row>
    <row r="309">
      <c r="B309" s="44"/>
    </row>
    <row r="310">
      <c r="B310" s="44"/>
    </row>
    <row r="311">
      <c r="B311" s="44"/>
    </row>
    <row r="312">
      <c r="B312" s="44"/>
    </row>
    <row r="313">
      <c r="B313" s="44"/>
    </row>
    <row r="314">
      <c r="B314" s="44"/>
    </row>
    <row r="315">
      <c r="B315" s="44"/>
    </row>
    <row r="316">
      <c r="B316" s="44"/>
    </row>
    <row r="317">
      <c r="B317" s="44"/>
    </row>
    <row r="318">
      <c r="B318" s="44"/>
    </row>
    <row r="319">
      <c r="B319" s="44"/>
    </row>
    <row r="320">
      <c r="B320" s="44"/>
    </row>
    <row r="321">
      <c r="B321" s="44"/>
    </row>
    <row r="322">
      <c r="B322" s="44"/>
    </row>
    <row r="323">
      <c r="B323" s="44"/>
    </row>
    <row r="324">
      <c r="B324" s="44"/>
    </row>
    <row r="325">
      <c r="B325" s="44"/>
    </row>
    <row r="326">
      <c r="B326" s="44"/>
    </row>
    <row r="327">
      <c r="B327" s="44"/>
    </row>
    <row r="328">
      <c r="B328" s="44"/>
    </row>
    <row r="329">
      <c r="B329" s="44"/>
    </row>
    <row r="330">
      <c r="B330" s="44"/>
    </row>
    <row r="331">
      <c r="B331" s="44"/>
    </row>
    <row r="332">
      <c r="B332" s="44"/>
    </row>
    <row r="333">
      <c r="B333" s="44"/>
    </row>
    <row r="334">
      <c r="B334" s="44"/>
    </row>
    <row r="335">
      <c r="B335" s="44"/>
    </row>
    <row r="336">
      <c r="B336" s="44"/>
    </row>
    <row r="337">
      <c r="B337" s="44"/>
    </row>
    <row r="338">
      <c r="B338" s="44"/>
    </row>
    <row r="339">
      <c r="B339" s="44"/>
    </row>
    <row r="340">
      <c r="B340" s="44"/>
    </row>
    <row r="341">
      <c r="B341" s="44"/>
    </row>
    <row r="342">
      <c r="B342" s="44"/>
    </row>
    <row r="343">
      <c r="B343" s="44"/>
    </row>
    <row r="344">
      <c r="B344" s="44"/>
    </row>
    <row r="345">
      <c r="B345" s="44"/>
    </row>
    <row r="346">
      <c r="B346" s="44"/>
    </row>
    <row r="347">
      <c r="B347" s="44"/>
    </row>
    <row r="348">
      <c r="B348" s="44"/>
    </row>
    <row r="349">
      <c r="B349" s="44"/>
    </row>
    <row r="350">
      <c r="B350" s="44"/>
    </row>
    <row r="351">
      <c r="B351" s="44"/>
    </row>
    <row r="352">
      <c r="B352" s="44"/>
    </row>
    <row r="353">
      <c r="B353" s="44"/>
    </row>
    <row r="354">
      <c r="B354" s="44"/>
    </row>
    <row r="355">
      <c r="B355" s="44"/>
    </row>
    <row r="356">
      <c r="B356" s="44"/>
    </row>
    <row r="357">
      <c r="B357" s="44"/>
    </row>
    <row r="358">
      <c r="B358" s="44"/>
    </row>
    <row r="359">
      <c r="B359" s="44"/>
    </row>
    <row r="360">
      <c r="B360" s="44"/>
    </row>
    <row r="361">
      <c r="B361" s="44"/>
    </row>
    <row r="362">
      <c r="B362" s="44"/>
    </row>
    <row r="363">
      <c r="B363" s="44"/>
    </row>
    <row r="364">
      <c r="B364" s="44"/>
    </row>
    <row r="365">
      <c r="B365" s="44"/>
    </row>
    <row r="366">
      <c r="B366" s="44"/>
    </row>
    <row r="367">
      <c r="B367" s="44"/>
    </row>
    <row r="368">
      <c r="B368" s="44"/>
    </row>
    <row r="369">
      <c r="B369" s="44"/>
    </row>
    <row r="370">
      <c r="B370" s="44"/>
    </row>
    <row r="371">
      <c r="B371" s="44"/>
    </row>
    <row r="372">
      <c r="B372" s="44"/>
    </row>
    <row r="373">
      <c r="B373" s="44"/>
    </row>
    <row r="374">
      <c r="B374" s="44"/>
    </row>
    <row r="375">
      <c r="B375" s="44"/>
    </row>
    <row r="376">
      <c r="B376" s="44"/>
    </row>
    <row r="377">
      <c r="B377" s="44"/>
    </row>
    <row r="378">
      <c r="B378" s="44"/>
    </row>
    <row r="379">
      <c r="B379" s="44"/>
    </row>
    <row r="380">
      <c r="B380" s="44"/>
    </row>
    <row r="381">
      <c r="B381" s="44"/>
    </row>
    <row r="382">
      <c r="B382" s="44"/>
    </row>
    <row r="383">
      <c r="B383" s="44"/>
    </row>
    <row r="384">
      <c r="B384" s="44"/>
    </row>
    <row r="385">
      <c r="B385" s="44"/>
    </row>
    <row r="386">
      <c r="B386" s="44"/>
    </row>
    <row r="387">
      <c r="B387" s="44"/>
    </row>
    <row r="388">
      <c r="B388" s="44"/>
    </row>
    <row r="389">
      <c r="B389" s="44"/>
    </row>
    <row r="390">
      <c r="B390" s="44"/>
    </row>
    <row r="391">
      <c r="B391" s="44"/>
    </row>
    <row r="392">
      <c r="B392" s="44"/>
    </row>
    <row r="393">
      <c r="B393" s="44"/>
    </row>
    <row r="394">
      <c r="B394" s="44"/>
    </row>
    <row r="395">
      <c r="B395" s="44"/>
    </row>
    <row r="396">
      <c r="B396" s="44"/>
    </row>
    <row r="397">
      <c r="B397" s="44"/>
    </row>
    <row r="398">
      <c r="B398" s="44"/>
    </row>
    <row r="399">
      <c r="B399" s="44"/>
    </row>
    <row r="400">
      <c r="B400" s="44"/>
    </row>
    <row r="401">
      <c r="B401" s="44"/>
    </row>
    <row r="402">
      <c r="B402" s="44"/>
    </row>
    <row r="403">
      <c r="B403" s="44"/>
    </row>
    <row r="404">
      <c r="B404" s="44"/>
    </row>
    <row r="405">
      <c r="B405" s="44"/>
    </row>
    <row r="406">
      <c r="B406" s="44"/>
    </row>
    <row r="407">
      <c r="B407" s="44"/>
    </row>
    <row r="408">
      <c r="B408" s="44"/>
    </row>
    <row r="409">
      <c r="B409" s="44"/>
    </row>
    <row r="410">
      <c r="B410" s="44"/>
    </row>
    <row r="411">
      <c r="B411" s="44"/>
    </row>
    <row r="412">
      <c r="B412" s="44"/>
    </row>
    <row r="413">
      <c r="B413" s="44"/>
    </row>
    <row r="414">
      <c r="B414" s="44"/>
    </row>
    <row r="415">
      <c r="B415" s="44"/>
    </row>
    <row r="416">
      <c r="B416" s="44"/>
    </row>
    <row r="417">
      <c r="B417" s="44"/>
    </row>
    <row r="418">
      <c r="B418" s="44"/>
    </row>
    <row r="419">
      <c r="B419" s="44"/>
    </row>
    <row r="420">
      <c r="B420" s="44"/>
    </row>
    <row r="421">
      <c r="B421" s="44"/>
    </row>
    <row r="422">
      <c r="B422" s="44"/>
    </row>
    <row r="423">
      <c r="B423" s="44"/>
    </row>
    <row r="424">
      <c r="B424" s="44"/>
    </row>
    <row r="425">
      <c r="B425" s="44"/>
    </row>
    <row r="426">
      <c r="B426" s="44"/>
    </row>
    <row r="427">
      <c r="B427" s="44"/>
    </row>
    <row r="428">
      <c r="B428" s="44"/>
    </row>
    <row r="429">
      <c r="B429" s="44"/>
    </row>
    <row r="430">
      <c r="B430" s="44"/>
    </row>
    <row r="431">
      <c r="B431" s="44"/>
    </row>
    <row r="432">
      <c r="B432" s="44"/>
    </row>
    <row r="433">
      <c r="B433" s="44"/>
    </row>
    <row r="434">
      <c r="B434" s="44"/>
    </row>
    <row r="435">
      <c r="B435" s="44"/>
    </row>
    <row r="436">
      <c r="B436" s="44"/>
    </row>
    <row r="437">
      <c r="B437" s="44"/>
    </row>
    <row r="438">
      <c r="B438" s="44"/>
    </row>
    <row r="439">
      <c r="B439" s="44"/>
    </row>
    <row r="440">
      <c r="B440" s="44"/>
    </row>
    <row r="441">
      <c r="B441" s="44"/>
    </row>
    <row r="442">
      <c r="B442" s="44"/>
    </row>
    <row r="443">
      <c r="B443" s="44"/>
    </row>
    <row r="444">
      <c r="B444" s="44"/>
    </row>
    <row r="445">
      <c r="B445" s="44"/>
    </row>
    <row r="446">
      <c r="B446" s="44"/>
    </row>
    <row r="447">
      <c r="B447" s="44"/>
    </row>
    <row r="448">
      <c r="B448" s="44"/>
    </row>
    <row r="449">
      <c r="B449" s="44"/>
    </row>
    <row r="450">
      <c r="B450" s="44"/>
    </row>
    <row r="451">
      <c r="B451" s="44"/>
    </row>
    <row r="452">
      <c r="B452" s="44"/>
    </row>
    <row r="453">
      <c r="B453" s="44"/>
    </row>
    <row r="454">
      <c r="B454" s="44"/>
    </row>
    <row r="455">
      <c r="B455" s="44"/>
    </row>
    <row r="456">
      <c r="B456" s="44"/>
    </row>
    <row r="457">
      <c r="B457" s="44"/>
    </row>
    <row r="458">
      <c r="B458" s="44"/>
    </row>
    <row r="459">
      <c r="B459" s="44"/>
    </row>
    <row r="460">
      <c r="B460" s="44"/>
    </row>
    <row r="461">
      <c r="B461" s="44"/>
    </row>
    <row r="462">
      <c r="B462" s="44"/>
    </row>
    <row r="463">
      <c r="B463" s="44"/>
    </row>
    <row r="464">
      <c r="B464" s="44"/>
    </row>
    <row r="465">
      <c r="B465" s="44"/>
    </row>
    <row r="466">
      <c r="B466" s="44"/>
    </row>
    <row r="467">
      <c r="B467" s="44"/>
    </row>
    <row r="468">
      <c r="B468" s="44"/>
    </row>
    <row r="469">
      <c r="B469" s="44"/>
    </row>
    <row r="470">
      <c r="B470" s="44"/>
    </row>
    <row r="471">
      <c r="B471" s="44"/>
    </row>
    <row r="472">
      <c r="B472" s="44"/>
    </row>
    <row r="473">
      <c r="B473" s="44"/>
    </row>
    <row r="474">
      <c r="B474" s="44"/>
    </row>
    <row r="475">
      <c r="B475" s="44"/>
    </row>
    <row r="476">
      <c r="B476" s="44"/>
    </row>
    <row r="477">
      <c r="B477" s="44"/>
    </row>
    <row r="478">
      <c r="B478" s="44"/>
    </row>
    <row r="479">
      <c r="B479" s="44"/>
    </row>
    <row r="480">
      <c r="B480" s="44"/>
    </row>
    <row r="481">
      <c r="B481" s="44"/>
    </row>
    <row r="482">
      <c r="B482" s="44"/>
    </row>
    <row r="483">
      <c r="B483" s="44"/>
    </row>
    <row r="484">
      <c r="B484" s="44"/>
    </row>
    <row r="485">
      <c r="B485" s="44"/>
    </row>
    <row r="486">
      <c r="B486" s="44"/>
    </row>
    <row r="487">
      <c r="B487" s="44"/>
    </row>
    <row r="488">
      <c r="B488" s="44"/>
    </row>
    <row r="489">
      <c r="B489" s="44"/>
    </row>
    <row r="490">
      <c r="B490" s="44"/>
    </row>
    <row r="491">
      <c r="B491" s="44"/>
    </row>
    <row r="492">
      <c r="B492" s="44"/>
    </row>
    <row r="493">
      <c r="B493" s="44"/>
    </row>
    <row r="494">
      <c r="B494" s="44"/>
    </row>
    <row r="495">
      <c r="B495" s="44"/>
    </row>
    <row r="496">
      <c r="B496" s="44"/>
    </row>
    <row r="497">
      <c r="B497" s="44"/>
    </row>
    <row r="498">
      <c r="B498" s="44"/>
    </row>
    <row r="499">
      <c r="B499" s="44"/>
    </row>
    <row r="500">
      <c r="B500" s="44"/>
    </row>
    <row r="501">
      <c r="B501" s="44"/>
    </row>
    <row r="502">
      <c r="B502" s="44"/>
    </row>
    <row r="503">
      <c r="B503" s="44"/>
    </row>
    <row r="504">
      <c r="B504" s="44"/>
    </row>
    <row r="505">
      <c r="B505" s="44"/>
    </row>
    <row r="506">
      <c r="B506" s="44"/>
    </row>
    <row r="507">
      <c r="B507" s="44"/>
    </row>
    <row r="508">
      <c r="B508" s="44"/>
    </row>
    <row r="509">
      <c r="B509" s="44"/>
    </row>
    <row r="510">
      <c r="B510" s="44"/>
    </row>
    <row r="511">
      <c r="B511" s="44"/>
    </row>
    <row r="512">
      <c r="B512" s="44"/>
    </row>
    <row r="513">
      <c r="B513" s="44"/>
    </row>
    <row r="514">
      <c r="B514" s="44"/>
    </row>
    <row r="515">
      <c r="B515" s="44"/>
    </row>
    <row r="516">
      <c r="B516" s="44"/>
    </row>
    <row r="517">
      <c r="B517" s="44"/>
    </row>
    <row r="518">
      <c r="B518" s="44"/>
    </row>
    <row r="519">
      <c r="B519" s="44"/>
    </row>
    <row r="520">
      <c r="B520" s="44"/>
    </row>
    <row r="521">
      <c r="B521" s="44"/>
    </row>
    <row r="522">
      <c r="B522" s="44"/>
    </row>
    <row r="523">
      <c r="B523" s="44"/>
    </row>
    <row r="524">
      <c r="B524" s="44"/>
    </row>
    <row r="525">
      <c r="B525" s="44"/>
    </row>
    <row r="526">
      <c r="B526" s="44"/>
    </row>
    <row r="527">
      <c r="B527" s="44"/>
    </row>
    <row r="528">
      <c r="B528" s="44"/>
    </row>
    <row r="529">
      <c r="B529" s="44"/>
    </row>
    <row r="530">
      <c r="B530" s="44"/>
    </row>
    <row r="531">
      <c r="B531" s="44"/>
    </row>
    <row r="532">
      <c r="B532" s="44"/>
    </row>
    <row r="533">
      <c r="B533" s="44"/>
    </row>
    <row r="534">
      <c r="B534" s="44"/>
    </row>
    <row r="535">
      <c r="B535" s="44"/>
    </row>
    <row r="536">
      <c r="B536" s="44"/>
    </row>
    <row r="537">
      <c r="B537" s="44"/>
    </row>
    <row r="538">
      <c r="B538" s="44"/>
    </row>
    <row r="539">
      <c r="B539" s="44"/>
    </row>
    <row r="540">
      <c r="B540" s="44"/>
    </row>
    <row r="541">
      <c r="B541" s="44"/>
    </row>
    <row r="542">
      <c r="B542" s="44"/>
    </row>
    <row r="543">
      <c r="B543" s="44"/>
    </row>
    <row r="544">
      <c r="B544" s="44"/>
    </row>
    <row r="545">
      <c r="B545" s="44"/>
    </row>
    <row r="546">
      <c r="B546" s="44"/>
    </row>
    <row r="547">
      <c r="B547" s="44"/>
    </row>
    <row r="548">
      <c r="B548" s="44"/>
    </row>
    <row r="549">
      <c r="B549" s="44"/>
    </row>
    <row r="550">
      <c r="B550" s="44"/>
    </row>
    <row r="551">
      <c r="B551" s="44"/>
    </row>
    <row r="552">
      <c r="B552" s="44"/>
    </row>
    <row r="553">
      <c r="B553" s="44"/>
    </row>
    <row r="554">
      <c r="B554" s="44"/>
    </row>
    <row r="555">
      <c r="B555" s="44"/>
    </row>
    <row r="556">
      <c r="B556" s="44"/>
    </row>
    <row r="557">
      <c r="B557" s="44"/>
    </row>
    <row r="558">
      <c r="B558" s="44"/>
    </row>
    <row r="559">
      <c r="B559" s="44"/>
    </row>
    <row r="560">
      <c r="B560" s="44"/>
    </row>
    <row r="561">
      <c r="B561" s="44"/>
    </row>
    <row r="562">
      <c r="B562" s="44"/>
    </row>
    <row r="563">
      <c r="B563" s="44"/>
    </row>
    <row r="564">
      <c r="B564" s="44"/>
    </row>
    <row r="565">
      <c r="B565" s="44"/>
    </row>
    <row r="566">
      <c r="B566" s="44"/>
    </row>
    <row r="567">
      <c r="B567" s="44"/>
    </row>
    <row r="568">
      <c r="B568" s="44"/>
    </row>
    <row r="569">
      <c r="B569" s="44"/>
    </row>
    <row r="570">
      <c r="B570" s="44"/>
    </row>
    <row r="571">
      <c r="B571" s="44"/>
    </row>
    <row r="572">
      <c r="B572" s="44"/>
    </row>
    <row r="573">
      <c r="B573" s="44"/>
    </row>
    <row r="574">
      <c r="B574" s="44"/>
    </row>
    <row r="575">
      <c r="B575" s="44"/>
    </row>
    <row r="576">
      <c r="B576" s="44"/>
    </row>
    <row r="577">
      <c r="B577" s="44"/>
    </row>
    <row r="578">
      <c r="B578" s="44"/>
    </row>
    <row r="579">
      <c r="B579" s="44"/>
    </row>
    <row r="580">
      <c r="B580" s="44"/>
    </row>
    <row r="581">
      <c r="B581" s="44"/>
    </row>
    <row r="582">
      <c r="B582" s="44"/>
    </row>
    <row r="583">
      <c r="B583" s="44"/>
    </row>
    <row r="584">
      <c r="B584" s="44"/>
    </row>
    <row r="585">
      <c r="B585" s="44"/>
    </row>
    <row r="586">
      <c r="B586" s="44"/>
    </row>
    <row r="587">
      <c r="B587" s="44"/>
    </row>
    <row r="588">
      <c r="B588" s="44"/>
    </row>
    <row r="589">
      <c r="B589" s="44"/>
    </row>
    <row r="590">
      <c r="B590" s="44"/>
    </row>
    <row r="591">
      <c r="B591" s="44"/>
    </row>
    <row r="592">
      <c r="B592" s="44"/>
    </row>
    <row r="593">
      <c r="B593" s="44"/>
    </row>
    <row r="594">
      <c r="B594" s="44"/>
    </row>
    <row r="595">
      <c r="B595" s="44"/>
    </row>
    <row r="596">
      <c r="B596" s="44"/>
    </row>
    <row r="597">
      <c r="B597" s="44"/>
    </row>
    <row r="598">
      <c r="B598" s="44"/>
    </row>
    <row r="599">
      <c r="B599" s="44"/>
    </row>
    <row r="600">
      <c r="B600" s="44"/>
    </row>
    <row r="601">
      <c r="B601" s="44"/>
    </row>
    <row r="602">
      <c r="B602" s="44"/>
    </row>
    <row r="603">
      <c r="B603" s="44"/>
    </row>
    <row r="604">
      <c r="B604" s="44"/>
    </row>
    <row r="605">
      <c r="B605" s="44"/>
    </row>
    <row r="606">
      <c r="B606" s="44"/>
    </row>
    <row r="607">
      <c r="B607" s="44"/>
    </row>
    <row r="608">
      <c r="B608" s="44"/>
    </row>
    <row r="609">
      <c r="B609" s="44"/>
    </row>
    <row r="610">
      <c r="B610" s="44"/>
    </row>
    <row r="611">
      <c r="B611" s="44"/>
    </row>
    <row r="612">
      <c r="B612" s="44"/>
    </row>
    <row r="613">
      <c r="B613" s="44"/>
    </row>
    <row r="614">
      <c r="B614" s="44"/>
    </row>
    <row r="615">
      <c r="B615" s="44"/>
    </row>
    <row r="616">
      <c r="B616" s="44"/>
    </row>
    <row r="617">
      <c r="B617" s="44"/>
    </row>
    <row r="618">
      <c r="B618" s="44"/>
    </row>
    <row r="619">
      <c r="B619" s="44"/>
    </row>
    <row r="620">
      <c r="B620" s="44"/>
    </row>
    <row r="621">
      <c r="B621" s="44"/>
    </row>
    <row r="622">
      <c r="B622" s="44"/>
    </row>
    <row r="623">
      <c r="B623" s="44"/>
    </row>
    <row r="624">
      <c r="B624" s="44"/>
    </row>
    <row r="625">
      <c r="B625" s="44"/>
    </row>
    <row r="626">
      <c r="B626" s="44"/>
    </row>
    <row r="627">
      <c r="B627" s="44"/>
    </row>
    <row r="628">
      <c r="B628" s="44"/>
    </row>
    <row r="629">
      <c r="B629" s="44"/>
    </row>
    <row r="630">
      <c r="B630" s="44"/>
    </row>
    <row r="631">
      <c r="B631" s="44"/>
    </row>
    <row r="632">
      <c r="B632" s="44"/>
    </row>
    <row r="633">
      <c r="B633" s="44"/>
    </row>
    <row r="634">
      <c r="B634" s="44"/>
    </row>
    <row r="635">
      <c r="B635" s="44"/>
    </row>
    <row r="636">
      <c r="B636" s="44"/>
    </row>
    <row r="637">
      <c r="B637" s="44"/>
    </row>
    <row r="638">
      <c r="B638" s="44"/>
    </row>
    <row r="639">
      <c r="B639" s="44"/>
    </row>
    <row r="640">
      <c r="B640" s="44"/>
    </row>
    <row r="641">
      <c r="B641" s="44"/>
    </row>
    <row r="642">
      <c r="B642" s="44"/>
    </row>
    <row r="643">
      <c r="B643" s="44"/>
    </row>
    <row r="644">
      <c r="B644" s="44"/>
    </row>
    <row r="645">
      <c r="B645" s="44"/>
    </row>
    <row r="646">
      <c r="B646" s="44"/>
    </row>
    <row r="647">
      <c r="B647" s="44"/>
    </row>
    <row r="648">
      <c r="B648" s="44"/>
    </row>
    <row r="649">
      <c r="B649" s="44"/>
    </row>
    <row r="650">
      <c r="B650" s="44"/>
    </row>
    <row r="651">
      <c r="B651" s="44"/>
    </row>
    <row r="652">
      <c r="B652" s="44"/>
    </row>
    <row r="653">
      <c r="B653" s="44"/>
    </row>
    <row r="654">
      <c r="B654" s="44"/>
    </row>
    <row r="655">
      <c r="B655" s="44"/>
    </row>
    <row r="656">
      <c r="B656" s="44"/>
    </row>
    <row r="657">
      <c r="B657" s="44"/>
    </row>
    <row r="658">
      <c r="B658" s="44"/>
    </row>
    <row r="659">
      <c r="B659" s="44"/>
    </row>
    <row r="660">
      <c r="B660" s="44"/>
    </row>
    <row r="661">
      <c r="B661" s="44"/>
    </row>
    <row r="662">
      <c r="B662" s="44"/>
    </row>
    <row r="663">
      <c r="B663" s="44"/>
    </row>
    <row r="664">
      <c r="B664" s="44"/>
    </row>
    <row r="665">
      <c r="B665" s="44"/>
    </row>
    <row r="666">
      <c r="B666" s="44"/>
    </row>
    <row r="667">
      <c r="B667" s="44"/>
    </row>
    <row r="668">
      <c r="B668" s="44"/>
    </row>
    <row r="669">
      <c r="B669" s="44"/>
    </row>
    <row r="670">
      <c r="B670" s="44"/>
    </row>
    <row r="671">
      <c r="B671" s="44"/>
    </row>
    <row r="672">
      <c r="B672" s="44"/>
    </row>
    <row r="673">
      <c r="B673" s="44"/>
    </row>
    <row r="674">
      <c r="B674" s="44"/>
    </row>
    <row r="675">
      <c r="B675" s="44"/>
    </row>
    <row r="676">
      <c r="B676" s="44"/>
    </row>
    <row r="677">
      <c r="B677" s="44"/>
    </row>
    <row r="678">
      <c r="B678" s="44"/>
    </row>
    <row r="679">
      <c r="B679" s="44"/>
    </row>
    <row r="680">
      <c r="B680" s="44"/>
    </row>
    <row r="681">
      <c r="B681" s="44"/>
    </row>
    <row r="682">
      <c r="B682" s="44"/>
    </row>
    <row r="683">
      <c r="B683" s="44"/>
    </row>
    <row r="684">
      <c r="B684" s="44"/>
    </row>
    <row r="685">
      <c r="B685" s="44"/>
    </row>
    <row r="686">
      <c r="B686" s="44"/>
    </row>
    <row r="687">
      <c r="B687" s="44"/>
    </row>
    <row r="688">
      <c r="B688" s="44"/>
    </row>
    <row r="689">
      <c r="B689" s="44"/>
    </row>
    <row r="690">
      <c r="B690" s="44"/>
    </row>
    <row r="691">
      <c r="B691" s="44"/>
    </row>
    <row r="692">
      <c r="B692" s="44"/>
    </row>
    <row r="693">
      <c r="B693" s="44"/>
    </row>
    <row r="694">
      <c r="B694" s="44"/>
    </row>
    <row r="695">
      <c r="B695" s="44"/>
    </row>
    <row r="696">
      <c r="B696" s="44"/>
    </row>
    <row r="697">
      <c r="B697" s="44"/>
    </row>
    <row r="698">
      <c r="B698" s="44"/>
    </row>
    <row r="699">
      <c r="B699" s="44"/>
    </row>
    <row r="700">
      <c r="B700" s="44"/>
    </row>
    <row r="701">
      <c r="B701" s="44"/>
    </row>
    <row r="702">
      <c r="B702" s="44"/>
    </row>
    <row r="703">
      <c r="B703" s="44"/>
    </row>
    <row r="704">
      <c r="B704" s="44"/>
    </row>
    <row r="705">
      <c r="B705" s="44"/>
    </row>
    <row r="706">
      <c r="B706" s="44"/>
    </row>
    <row r="707">
      <c r="B707" s="44"/>
    </row>
    <row r="708">
      <c r="B708" s="44"/>
    </row>
    <row r="709">
      <c r="B709" s="44"/>
    </row>
    <row r="710">
      <c r="B710" s="44"/>
    </row>
    <row r="711">
      <c r="B711" s="44"/>
    </row>
    <row r="712">
      <c r="B712" s="44"/>
    </row>
    <row r="713">
      <c r="B713" s="44"/>
    </row>
    <row r="714">
      <c r="B714" s="44"/>
    </row>
    <row r="715">
      <c r="B715" s="44"/>
    </row>
    <row r="716">
      <c r="B716" s="44"/>
    </row>
    <row r="717">
      <c r="B717" s="44"/>
    </row>
    <row r="718">
      <c r="B718" s="44"/>
    </row>
    <row r="719">
      <c r="B719" s="44"/>
    </row>
    <row r="720">
      <c r="B720" s="44"/>
    </row>
    <row r="721">
      <c r="B721" s="44"/>
    </row>
    <row r="722">
      <c r="B722" s="44"/>
    </row>
    <row r="723">
      <c r="B723" s="44"/>
    </row>
    <row r="724">
      <c r="B724" s="44"/>
    </row>
    <row r="725">
      <c r="B725" s="44"/>
    </row>
    <row r="726">
      <c r="B726" s="44"/>
    </row>
    <row r="727">
      <c r="B727" s="44"/>
    </row>
    <row r="728">
      <c r="B728" s="44"/>
    </row>
    <row r="729">
      <c r="B729" s="44"/>
    </row>
    <row r="730">
      <c r="B730" s="44"/>
    </row>
    <row r="731">
      <c r="B731" s="44"/>
    </row>
    <row r="732">
      <c r="B732" s="44"/>
    </row>
    <row r="733">
      <c r="B733" s="44"/>
    </row>
    <row r="734">
      <c r="B734" s="44"/>
    </row>
    <row r="735">
      <c r="B735" s="44"/>
    </row>
    <row r="736">
      <c r="B736" s="44"/>
    </row>
    <row r="737">
      <c r="B737" s="44"/>
    </row>
    <row r="738">
      <c r="B738" s="44"/>
    </row>
    <row r="739">
      <c r="B739" s="44"/>
    </row>
    <row r="740">
      <c r="B740" s="44"/>
    </row>
    <row r="741">
      <c r="B741" s="44"/>
    </row>
    <row r="742">
      <c r="B742" s="44"/>
    </row>
    <row r="743">
      <c r="B743" s="44"/>
    </row>
    <row r="744">
      <c r="B744" s="44"/>
    </row>
    <row r="745">
      <c r="B745" s="44"/>
    </row>
    <row r="746">
      <c r="B746" s="44"/>
    </row>
    <row r="747">
      <c r="B747" s="44"/>
    </row>
    <row r="748">
      <c r="B748" s="44"/>
    </row>
    <row r="749">
      <c r="B749" s="44"/>
    </row>
    <row r="750">
      <c r="B750" s="44"/>
    </row>
    <row r="751">
      <c r="B751" s="44"/>
    </row>
    <row r="752">
      <c r="B752" s="44"/>
    </row>
    <row r="753">
      <c r="B753" s="44"/>
    </row>
    <row r="754">
      <c r="B754" s="44"/>
    </row>
    <row r="755">
      <c r="B755" s="44"/>
    </row>
    <row r="756">
      <c r="B756" s="44"/>
    </row>
    <row r="757">
      <c r="B757" s="44"/>
    </row>
    <row r="758">
      <c r="B758" s="44"/>
    </row>
    <row r="759">
      <c r="B759" s="44"/>
    </row>
    <row r="760">
      <c r="B760" s="44"/>
    </row>
    <row r="761">
      <c r="B761" s="44"/>
    </row>
    <row r="762">
      <c r="B762" s="44"/>
    </row>
    <row r="763">
      <c r="B763" s="44"/>
    </row>
    <row r="764">
      <c r="B764" s="44"/>
    </row>
    <row r="765">
      <c r="B765" s="44"/>
    </row>
    <row r="766">
      <c r="B766" s="44"/>
    </row>
    <row r="767">
      <c r="B767" s="44"/>
    </row>
    <row r="768">
      <c r="B768" s="44"/>
    </row>
    <row r="769">
      <c r="B769" s="44"/>
    </row>
    <row r="770">
      <c r="B770" s="44"/>
    </row>
    <row r="771">
      <c r="B771" s="44"/>
    </row>
    <row r="772">
      <c r="B772" s="44"/>
    </row>
    <row r="773">
      <c r="B773" s="44"/>
    </row>
    <row r="774">
      <c r="B774" s="44"/>
    </row>
    <row r="775">
      <c r="B775" s="44"/>
    </row>
    <row r="776">
      <c r="B776" s="44"/>
    </row>
    <row r="777">
      <c r="B777" s="44"/>
    </row>
    <row r="778">
      <c r="B778" s="44"/>
    </row>
    <row r="779">
      <c r="B779" s="44"/>
    </row>
    <row r="780">
      <c r="B780" s="44"/>
    </row>
    <row r="781">
      <c r="B781" s="44"/>
    </row>
    <row r="782">
      <c r="B782" s="44"/>
    </row>
    <row r="783">
      <c r="B783" s="44"/>
    </row>
    <row r="784">
      <c r="B784" s="44"/>
    </row>
    <row r="785">
      <c r="B785" s="44"/>
    </row>
    <row r="786">
      <c r="B786" s="44"/>
    </row>
    <row r="787">
      <c r="B787" s="44"/>
    </row>
    <row r="788">
      <c r="B788" s="44"/>
    </row>
    <row r="789">
      <c r="B789" s="44"/>
    </row>
    <row r="790">
      <c r="B790" s="44"/>
    </row>
    <row r="791">
      <c r="B791" s="44"/>
    </row>
    <row r="792">
      <c r="B792" s="44"/>
    </row>
    <row r="793">
      <c r="B793" s="44"/>
    </row>
    <row r="794">
      <c r="B794" s="44"/>
    </row>
    <row r="795">
      <c r="B795" s="44"/>
    </row>
    <row r="796">
      <c r="B796" s="44"/>
    </row>
    <row r="797">
      <c r="B797" s="44"/>
    </row>
    <row r="798">
      <c r="B798" s="44"/>
    </row>
    <row r="799">
      <c r="B799" s="44"/>
    </row>
    <row r="800">
      <c r="B800" s="44"/>
    </row>
    <row r="801">
      <c r="B801" s="44"/>
    </row>
    <row r="802">
      <c r="B802" s="44"/>
    </row>
    <row r="803">
      <c r="B803" s="44"/>
    </row>
    <row r="804">
      <c r="B804" s="44"/>
    </row>
    <row r="805">
      <c r="B805" s="44"/>
    </row>
    <row r="806">
      <c r="B806" s="44"/>
    </row>
    <row r="807">
      <c r="B807" s="44"/>
    </row>
    <row r="808">
      <c r="B808" s="44"/>
    </row>
    <row r="809">
      <c r="B809" s="44"/>
    </row>
    <row r="810">
      <c r="B810" s="44"/>
    </row>
    <row r="811">
      <c r="B811" s="44"/>
    </row>
    <row r="812">
      <c r="B812" s="44"/>
    </row>
    <row r="813">
      <c r="B813" s="44"/>
    </row>
    <row r="814">
      <c r="B814" s="44"/>
    </row>
    <row r="815">
      <c r="B815" s="44"/>
    </row>
    <row r="816">
      <c r="B816" s="44"/>
    </row>
    <row r="817">
      <c r="B817" s="44"/>
    </row>
    <row r="818">
      <c r="B818" s="44"/>
    </row>
    <row r="819">
      <c r="B819" s="44"/>
    </row>
    <row r="820">
      <c r="B820" s="44"/>
    </row>
    <row r="821">
      <c r="B821" s="44"/>
    </row>
    <row r="822">
      <c r="B822" s="44"/>
    </row>
    <row r="823">
      <c r="B823" s="44"/>
    </row>
    <row r="824">
      <c r="B824" s="44"/>
    </row>
    <row r="825">
      <c r="B825" s="44"/>
    </row>
    <row r="826">
      <c r="B826" s="44"/>
    </row>
    <row r="827">
      <c r="B827" s="44"/>
    </row>
    <row r="828">
      <c r="B828" s="44"/>
    </row>
    <row r="829">
      <c r="B829" s="44"/>
    </row>
    <row r="830">
      <c r="B830" s="44"/>
    </row>
    <row r="831">
      <c r="B831" s="44"/>
    </row>
    <row r="832">
      <c r="B832" s="44"/>
    </row>
    <row r="833">
      <c r="B833" s="44"/>
    </row>
    <row r="834">
      <c r="B834" s="44"/>
    </row>
    <row r="835">
      <c r="B835" s="44"/>
    </row>
    <row r="836">
      <c r="B836" s="44"/>
    </row>
    <row r="837">
      <c r="B837" s="44"/>
    </row>
    <row r="838">
      <c r="B838" s="44"/>
    </row>
    <row r="839">
      <c r="B839" s="44"/>
    </row>
    <row r="840">
      <c r="B840" s="44"/>
    </row>
    <row r="841">
      <c r="B841" s="44"/>
    </row>
    <row r="842">
      <c r="B842" s="44"/>
    </row>
    <row r="843">
      <c r="B843" s="44"/>
    </row>
    <row r="844">
      <c r="B844" s="44"/>
    </row>
    <row r="845">
      <c r="B845" s="44"/>
    </row>
    <row r="846">
      <c r="B846" s="44"/>
    </row>
    <row r="847">
      <c r="B847" s="44"/>
    </row>
    <row r="848">
      <c r="B848" s="44"/>
    </row>
    <row r="849">
      <c r="B849" s="44"/>
    </row>
    <row r="850">
      <c r="B850" s="44"/>
    </row>
    <row r="851">
      <c r="B851" s="44"/>
    </row>
    <row r="852">
      <c r="B852" s="44"/>
    </row>
    <row r="853">
      <c r="B853" s="44"/>
    </row>
    <row r="854">
      <c r="B854" s="44"/>
    </row>
    <row r="855">
      <c r="B855" s="44"/>
    </row>
    <row r="856">
      <c r="B856" s="44"/>
    </row>
    <row r="857">
      <c r="B857" s="44"/>
    </row>
    <row r="858">
      <c r="B858" s="44"/>
    </row>
    <row r="859">
      <c r="B859" s="44"/>
    </row>
    <row r="860">
      <c r="B860" s="44"/>
    </row>
    <row r="861">
      <c r="B861" s="44"/>
    </row>
    <row r="862">
      <c r="B862" s="44"/>
    </row>
    <row r="863">
      <c r="B863" s="44"/>
    </row>
    <row r="864">
      <c r="B864" s="44"/>
    </row>
    <row r="865">
      <c r="B865" s="44"/>
    </row>
    <row r="866">
      <c r="B866" s="44"/>
    </row>
    <row r="867">
      <c r="B867" s="44"/>
    </row>
    <row r="868">
      <c r="B868" s="44"/>
    </row>
    <row r="869">
      <c r="B869" s="44"/>
    </row>
    <row r="870">
      <c r="B870" s="44"/>
    </row>
    <row r="871">
      <c r="B871" s="44"/>
    </row>
    <row r="872">
      <c r="B872" s="44"/>
    </row>
    <row r="873">
      <c r="B873" s="44"/>
    </row>
    <row r="874">
      <c r="B874" s="44"/>
    </row>
    <row r="875">
      <c r="B875" s="44"/>
    </row>
    <row r="876">
      <c r="B876" s="44"/>
    </row>
    <row r="877">
      <c r="B877" s="44"/>
    </row>
    <row r="878">
      <c r="B878" s="44"/>
    </row>
    <row r="879">
      <c r="B879" s="44"/>
    </row>
    <row r="880">
      <c r="B880" s="44"/>
    </row>
    <row r="881">
      <c r="B881" s="44"/>
    </row>
    <row r="882">
      <c r="B882" s="44"/>
    </row>
    <row r="883">
      <c r="B883" s="44"/>
    </row>
    <row r="884">
      <c r="B884" s="44"/>
    </row>
    <row r="885">
      <c r="B885" s="44"/>
    </row>
    <row r="886">
      <c r="B886" s="44"/>
    </row>
    <row r="887">
      <c r="B887" s="44"/>
    </row>
    <row r="888">
      <c r="B888" s="44"/>
    </row>
    <row r="889">
      <c r="B889" s="44"/>
    </row>
    <row r="890">
      <c r="B890" s="44"/>
    </row>
    <row r="891">
      <c r="B891" s="44"/>
    </row>
    <row r="892">
      <c r="B892" s="44"/>
    </row>
    <row r="893">
      <c r="B893" s="44"/>
    </row>
    <row r="894">
      <c r="B894" s="44"/>
    </row>
    <row r="895">
      <c r="B895" s="44"/>
    </row>
    <row r="896">
      <c r="B896" s="44"/>
    </row>
    <row r="897">
      <c r="B897" s="44"/>
    </row>
    <row r="898">
      <c r="B898" s="44"/>
    </row>
    <row r="899">
      <c r="B899" s="44"/>
    </row>
    <row r="900">
      <c r="B900" s="44"/>
    </row>
    <row r="901">
      <c r="B901" s="44"/>
    </row>
    <row r="902">
      <c r="B902" s="44"/>
    </row>
    <row r="903">
      <c r="B903" s="44"/>
    </row>
    <row r="904">
      <c r="B904" s="44"/>
    </row>
    <row r="905">
      <c r="B905" s="44"/>
    </row>
    <row r="906">
      <c r="B906" s="44"/>
    </row>
    <row r="907">
      <c r="B907" s="44"/>
    </row>
    <row r="908">
      <c r="B908" s="44"/>
    </row>
    <row r="909">
      <c r="B909" s="44"/>
    </row>
    <row r="910">
      <c r="B910" s="44"/>
    </row>
    <row r="911">
      <c r="B911" s="44"/>
    </row>
    <row r="912">
      <c r="B912" s="44"/>
    </row>
    <row r="913">
      <c r="B913" s="44"/>
    </row>
    <row r="914">
      <c r="B914" s="44"/>
    </row>
    <row r="915">
      <c r="B915" s="44"/>
    </row>
    <row r="916">
      <c r="B916" s="44"/>
    </row>
    <row r="917">
      <c r="B917" s="44"/>
    </row>
    <row r="918">
      <c r="B918" s="44"/>
    </row>
    <row r="919">
      <c r="B919" s="44"/>
    </row>
    <row r="920">
      <c r="B920" s="44"/>
    </row>
    <row r="921">
      <c r="B921" s="44"/>
    </row>
    <row r="922">
      <c r="B922" s="44"/>
    </row>
    <row r="923">
      <c r="B923" s="44"/>
    </row>
    <row r="924">
      <c r="B924" s="44"/>
    </row>
    <row r="925">
      <c r="B925" s="44"/>
    </row>
    <row r="926">
      <c r="B926" s="44"/>
    </row>
    <row r="927">
      <c r="B927" s="44"/>
    </row>
    <row r="928">
      <c r="B928" s="44"/>
    </row>
    <row r="929">
      <c r="B929" s="44"/>
    </row>
    <row r="930">
      <c r="B930" s="44"/>
    </row>
    <row r="931">
      <c r="B931" s="44"/>
    </row>
    <row r="932">
      <c r="B932" s="44"/>
    </row>
    <row r="933">
      <c r="B933" s="44"/>
    </row>
    <row r="934">
      <c r="B934" s="44"/>
    </row>
    <row r="935">
      <c r="B935" s="44"/>
    </row>
    <row r="936">
      <c r="B936" s="44"/>
    </row>
    <row r="937">
      <c r="B937" s="44"/>
    </row>
    <row r="938">
      <c r="B938" s="44"/>
    </row>
    <row r="939">
      <c r="B939" s="44"/>
    </row>
    <row r="940">
      <c r="B940" s="44"/>
    </row>
    <row r="941">
      <c r="B941" s="44"/>
    </row>
    <row r="942">
      <c r="B942" s="44"/>
    </row>
    <row r="943">
      <c r="B943" s="44"/>
    </row>
    <row r="944">
      <c r="B944" s="44"/>
    </row>
    <row r="945">
      <c r="B945" s="44"/>
    </row>
    <row r="946">
      <c r="B946" s="44"/>
    </row>
    <row r="947">
      <c r="B947" s="44"/>
    </row>
    <row r="948">
      <c r="B948" s="44"/>
    </row>
    <row r="949">
      <c r="B949" s="44"/>
    </row>
    <row r="950">
      <c r="B950" s="44"/>
    </row>
    <row r="951">
      <c r="B951" s="44"/>
    </row>
    <row r="952">
      <c r="B952" s="44"/>
    </row>
    <row r="953">
      <c r="B953" s="44"/>
    </row>
    <row r="954">
      <c r="B954" s="44"/>
    </row>
    <row r="955">
      <c r="B955" s="44"/>
    </row>
    <row r="956">
      <c r="B956" s="44"/>
    </row>
    <row r="957">
      <c r="B957" s="44"/>
    </row>
    <row r="958">
      <c r="B958" s="44"/>
    </row>
    <row r="959">
      <c r="B959" s="44"/>
    </row>
    <row r="960">
      <c r="B960" s="44"/>
    </row>
    <row r="961">
      <c r="B961" s="44"/>
    </row>
    <row r="962">
      <c r="B962" s="44"/>
    </row>
    <row r="963">
      <c r="B963" s="44"/>
    </row>
    <row r="964">
      <c r="B964" s="44"/>
    </row>
    <row r="965">
      <c r="B965" s="44"/>
    </row>
    <row r="966">
      <c r="B966" s="44"/>
    </row>
    <row r="967">
      <c r="B967" s="44"/>
    </row>
    <row r="968">
      <c r="B968" s="44"/>
    </row>
    <row r="969">
      <c r="B969" s="44"/>
    </row>
    <row r="970">
      <c r="B970" s="44"/>
    </row>
    <row r="971">
      <c r="B971" s="44"/>
    </row>
    <row r="972">
      <c r="B972" s="44"/>
    </row>
    <row r="973">
      <c r="B973" s="44"/>
    </row>
    <row r="974">
      <c r="B974" s="44"/>
    </row>
    <row r="975">
      <c r="B975" s="44"/>
    </row>
    <row r="976">
      <c r="B976" s="44"/>
    </row>
    <row r="977">
      <c r="B977" s="44"/>
    </row>
    <row r="978">
      <c r="B978" s="44"/>
    </row>
    <row r="979">
      <c r="B979" s="44"/>
    </row>
    <row r="980">
      <c r="B980" s="44"/>
    </row>
    <row r="981">
      <c r="B981" s="44"/>
    </row>
    <row r="982">
      <c r="B982" s="44"/>
    </row>
    <row r="983">
      <c r="B983" s="44"/>
    </row>
    <row r="984">
      <c r="B984" s="44"/>
    </row>
    <row r="985">
      <c r="B985" s="44"/>
    </row>
    <row r="986">
      <c r="B986" s="44"/>
    </row>
    <row r="987">
      <c r="B987" s="44"/>
    </row>
    <row r="988">
      <c r="B988" s="44"/>
    </row>
    <row r="989">
      <c r="B989" s="44"/>
    </row>
    <row r="990">
      <c r="B990" s="44"/>
    </row>
    <row r="991">
      <c r="B991" s="44"/>
    </row>
    <row r="992">
      <c r="B992" s="44"/>
    </row>
    <row r="993">
      <c r="B993" s="44"/>
    </row>
    <row r="994">
      <c r="B994" s="44"/>
    </row>
    <row r="995">
      <c r="B995" s="44"/>
    </row>
    <row r="996">
      <c r="B996" s="44"/>
    </row>
    <row r="997">
      <c r="B997" s="44"/>
    </row>
    <row r="998">
      <c r="B998" s="44"/>
    </row>
    <row r="999">
      <c r="B999" s="44"/>
    </row>
    <row r="1000">
      <c r="B1000" s="44"/>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25.0"/>
    <col customWidth="1" min="2" max="2" width="23.5"/>
    <col customWidth="1" min="3" max="3" width="23.13"/>
    <col customWidth="1" min="4" max="4" width="11.38"/>
    <col customWidth="1" min="5" max="5" width="12.25"/>
    <col customWidth="1" min="6" max="6" width="17.88"/>
    <col customWidth="1" min="7" max="7" width="15.75"/>
    <col customWidth="1" min="8" max="8" width="16.5"/>
    <col customWidth="1" min="9" max="9" width="23.0"/>
    <col customWidth="1" min="10" max="10" width="6.5"/>
    <col customWidth="1" min="11" max="11" width="18.38"/>
    <col customWidth="1" min="12" max="13" width="17.75"/>
    <col customWidth="1" min="14" max="14" width="9.38"/>
    <col customWidth="1" min="15" max="15" width="14.25"/>
    <col customWidth="1" min="16" max="28" width="43.38"/>
  </cols>
  <sheetData>
    <row r="1">
      <c r="A1" s="10" t="s">
        <v>109</v>
      </c>
      <c r="B1" s="419" t="s">
        <v>110</v>
      </c>
      <c r="C1" s="93" t="s">
        <v>111</v>
      </c>
      <c r="D1" s="94" t="s">
        <v>116</v>
      </c>
      <c r="E1" s="95" t="s">
        <v>275</v>
      </c>
      <c r="F1" s="96" t="s">
        <v>1088</v>
      </c>
      <c r="G1" s="96" t="s">
        <v>279</v>
      </c>
      <c r="H1" s="96" t="s">
        <v>280</v>
      </c>
      <c r="I1" s="96" t="s">
        <v>281</v>
      </c>
      <c r="J1" s="96" t="s">
        <v>112</v>
      </c>
      <c r="K1" s="98" t="s">
        <v>282</v>
      </c>
      <c r="L1" s="99" t="s">
        <v>283</v>
      </c>
      <c r="M1" s="99" t="s">
        <v>284</v>
      </c>
      <c r="N1" s="100" t="s">
        <v>285</v>
      </c>
      <c r="O1" s="101" t="s">
        <v>286</v>
      </c>
    </row>
    <row r="2">
      <c r="A2" s="43" t="s">
        <v>131</v>
      </c>
      <c r="B2" s="43" t="s">
        <v>131</v>
      </c>
      <c r="C2" s="43" t="s">
        <v>180</v>
      </c>
      <c r="D2" s="51" t="s">
        <v>149</v>
      </c>
      <c r="E2" s="43">
        <v>2025.0</v>
      </c>
      <c r="F2" s="43" t="s">
        <v>305</v>
      </c>
      <c r="G2" s="122">
        <v>45782.0</v>
      </c>
      <c r="H2" s="121" t="s">
        <v>1089</v>
      </c>
      <c r="I2" s="121" t="s">
        <v>244</v>
      </c>
      <c r="J2" s="121"/>
      <c r="K2" s="122">
        <v>45813.0</v>
      </c>
      <c r="L2" s="123">
        <v>5095280.0</v>
      </c>
      <c r="M2" s="105"/>
      <c r="N2" s="106" t="str">
        <f>IF(ISBLANK(L2), "", VLOOKUP(D2, 'Info Tipo de Cambio y REM'!$A$24:$B$35, 2, FALSE))</f>
        <v>#N/A</v>
      </c>
      <c r="O2" s="107" t="str">
        <f t="shared" ref="O2:O1038" si="1">IF(NOT(ISBLANK(L2)), L2 / N2, IF(NOT(ISBLANK(M2)), M2, ""))</f>
        <v>#N/A</v>
      </c>
    </row>
    <row r="3">
      <c r="A3" s="43" t="s">
        <v>131</v>
      </c>
      <c r="B3" s="43" t="s">
        <v>131</v>
      </c>
      <c r="C3" s="43" t="s">
        <v>172</v>
      </c>
      <c r="D3" s="51" t="s">
        <v>149</v>
      </c>
      <c r="E3" s="43">
        <v>2025.0</v>
      </c>
      <c r="F3" s="43" t="s">
        <v>305</v>
      </c>
      <c r="G3" s="122">
        <v>45649.0</v>
      </c>
      <c r="H3" s="121" t="s">
        <v>360</v>
      </c>
      <c r="I3" s="121" t="s">
        <v>246</v>
      </c>
      <c r="J3" s="121"/>
      <c r="K3" s="122">
        <v>45649.0</v>
      </c>
      <c r="L3" s="89"/>
      <c r="M3" s="131">
        <v>250.0</v>
      </c>
      <c r="N3" s="106" t="str">
        <f>IF(ISBLANK(L3), "", VLOOKUP(D3, 'Info Tipo de Cambio y REM'!$A$24:$B$35, 2, FALSE))</f>
        <v/>
      </c>
      <c r="O3" s="107">
        <f t="shared" si="1"/>
        <v>250</v>
      </c>
    </row>
    <row r="4">
      <c r="A4" s="43" t="s">
        <v>131</v>
      </c>
      <c r="B4" s="43" t="s">
        <v>131</v>
      </c>
      <c r="C4" s="43" t="s">
        <v>183</v>
      </c>
      <c r="D4" s="51" t="s">
        <v>149</v>
      </c>
      <c r="E4" s="43">
        <v>2025.0</v>
      </c>
      <c r="F4" s="43" t="s">
        <v>305</v>
      </c>
      <c r="G4" s="122">
        <v>45723.0</v>
      </c>
      <c r="H4" s="121" t="s">
        <v>361</v>
      </c>
      <c r="I4" s="121" t="s">
        <v>334</v>
      </c>
      <c r="J4" s="121"/>
      <c r="K4" s="122">
        <v>45813.0</v>
      </c>
      <c r="L4" s="89"/>
      <c r="M4" s="131">
        <v>13450.0</v>
      </c>
      <c r="N4" s="106" t="str">
        <f>IF(ISBLANK(L4), "", VLOOKUP(D4, 'Info Tipo de Cambio y REM'!$A$24:$B$35, 2, FALSE))</f>
        <v/>
      </c>
      <c r="O4" s="107">
        <f t="shared" si="1"/>
        <v>13450</v>
      </c>
    </row>
    <row r="5">
      <c r="A5" s="43" t="s">
        <v>131</v>
      </c>
      <c r="B5" s="43" t="s">
        <v>131</v>
      </c>
      <c r="C5" s="43" t="s">
        <v>183</v>
      </c>
      <c r="D5" s="51" t="s">
        <v>149</v>
      </c>
      <c r="E5" s="43">
        <v>2025.0</v>
      </c>
      <c r="F5" s="43" t="s">
        <v>305</v>
      </c>
      <c r="G5" s="122">
        <v>45751.0</v>
      </c>
      <c r="H5" s="121" t="s">
        <v>362</v>
      </c>
      <c r="I5" s="121" t="s">
        <v>334</v>
      </c>
      <c r="J5" s="121"/>
      <c r="K5" s="122">
        <v>45841.0</v>
      </c>
      <c r="L5" s="89"/>
      <c r="M5" s="131">
        <v>13450.0</v>
      </c>
      <c r="N5" s="106" t="str">
        <f>IF(ISBLANK(L5), "", VLOOKUP(D5, 'Info Tipo de Cambio y REM'!$A$24:$B$35, 2, FALSE))</f>
        <v/>
      </c>
      <c r="O5" s="107">
        <f t="shared" si="1"/>
        <v>13450</v>
      </c>
    </row>
    <row r="6">
      <c r="A6" s="43" t="s">
        <v>131</v>
      </c>
      <c r="B6" s="43" t="s">
        <v>131</v>
      </c>
      <c r="C6" s="43" t="s">
        <v>183</v>
      </c>
      <c r="D6" s="51" t="s">
        <v>149</v>
      </c>
      <c r="E6" s="43">
        <v>2025.0</v>
      </c>
      <c r="F6" s="43" t="s">
        <v>305</v>
      </c>
      <c r="G6" s="82">
        <v>45770.0</v>
      </c>
      <c r="H6" s="121" t="s">
        <v>363</v>
      </c>
      <c r="I6" s="121" t="s">
        <v>334</v>
      </c>
      <c r="J6" s="121"/>
      <c r="K6" s="122">
        <v>45860.0</v>
      </c>
      <c r="L6" s="89"/>
      <c r="M6" s="131">
        <v>1300.0</v>
      </c>
      <c r="N6" s="106" t="str">
        <f>IF(ISBLANK(L6), "", VLOOKUP(D6, 'Info Tipo de Cambio y REM'!$A$24:$B$35, 2, FALSE))</f>
        <v/>
      </c>
      <c r="O6" s="107">
        <f t="shared" si="1"/>
        <v>1300</v>
      </c>
    </row>
    <row r="7">
      <c r="A7" s="43" t="s">
        <v>131</v>
      </c>
      <c r="B7" s="43" t="s">
        <v>131</v>
      </c>
      <c r="C7" s="43" t="s">
        <v>202</v>
      </c>
      <c r="D7" s="51" t="s">
        <v>149</v>
      </c>
      <c r="E7" s="43">
        <v>2025.0</v>
      </c>
      <c r="F7" s="43" t="s">
        <v>305</v>
      </c>
      <c r="G7" s="82">
        <v>45775.0</v>
      </c>
      <c r="H7" s="121" t="s">
        <v>364</v>
      </c>
      <c r="I7" s="121" t="s">
        <v>252</v>
      </c>
      <c r="J7" s="121"/>
      <c r="K7" s="122">
        <v>45865.0</v>
      </c>
      <c r="L7" s="89"/>
      <c r="M7" s="131">
        <v>5568.0</v>
      </c>
      <c r="N7" s="106" t="str">
        <f>IF(ISBLANK(L7), "", VLOOKUP(D7, 'Info Tipo de Cambio y REM'!$A$24:$B$35, 2, FALSE))</f>
        <v/>
      </c>
      <c r="O7" s="107">
        <f t="shared" si="1"/>
        <v>5568</v>
      </c>
    </row>
    <row r="8">
      <c r="A8" s="43" t="s">
        <v>131</v>
      </c>
      <c r="B8" s="43" t="s">
        <v>131</v>
      </c>
      <c r="C8" s="43" t="s">
        <v>180</v>
      </c>
      <c r="D8" s="51" t="s">
        <v>155</v>
      </c>
      <c r="E8" s="43">
        <v>2025.0</v>
      </c>
      <c r="F8" s="43" t="s">
        <v>305</v>
      </c>
      <c r="G8" s="82">
        <v>45810.0</v>
      </c>
      <c r="H8" s="121" t="s">
        <v>1090</v>
      </c>
      <c r="I8" s="43" t="s">
        <v>244</v>
      </c>
      <c r="K8" s="122">
        <v>45840.0</v>
      </c>
      <c r="L8" s="123">
        <v>5562007.0</v>
      </c>
      <c r="M8" s="105"/>
      <c r="N8" s="106" t="str">
        <f>IF(ISBLANK(L8), "", VLOOKUP(D8, 'Info Tipo de Cambio y REM'!$A$24:$B$35, 2, FALSE))</f>
        <v>#N/A</v>
      </c>
      <c r="O8" s="107" t="str">
        <f t="shared" si="1"/>
        <v>#N/A</v>
      </c>
    </row>
    <row r="9">
      <c r="A9" s="43" t="s">
        <v>131</v>
      </c>
      <c r="B9" s="43" t="s">
        <v>131</v>
      </c>
      <c r="C9" s="43" t="s">
        <v>172</v>
      </c>
      <c r="D9" s="51" t="s">
        <v>155</v>
      </c>
      <c r="E9" s="43">
        <v>2025.0</v>
      </c>
      <c r="F9" s="43" t="s">
        <v>305</v>
      </c>
      <c r="G9" s="122">
        <v>45649.0</v>
      </c>
      <c r="H9" s="121" t="s">
        <v>290</v>
      </c>
      <c r="I9" s="121" t="s">
        <v>246</v>
      </c>
      <c r="K9" s="122">
        <v>45678.0</v>
      </c>
      <c r="L9" s="89"/>
      <c r="M9" s="131">
        <v>250.0</v>
      </c>
      <c r="N9" s="106" t="str">
        <f>IF(ISBLANK(L9), "", VLOOKUP(D9, 'Info Tipo de Cambio y REM'!$A$24:$B$35, 2, FALSE))</f>
        <v/>
      </c>
      <c r="O9" s="107">
        <f t="shared" si="1"/>
        <v>250</v>
      </c>
    </row>
    <row r="10">
      <c r="A10" s="43" t="s">
        <v>131</v>
      </c>
      <c r="B10" s="43" t="s">
        <v>131</v>
      </c>
      <c r="C10" s="43" t="s">
        <v>183</v>
      </c>
      <c r="D10" s="51" t="s">
        <v>155</v>
      </c>
      <c r="E10" s="43">
        <v>2025.0</v>
      </c>
      <c r="F10" s="43" t="s">
        <v>305</v>
      </c>
      <c r="G10" s="122">
        <v>45723.0</v>
      </c>
      <c r="H10" s="121" t="s">
        <v>361</v>
      </c>
      <c r="I10" s="121" t="s">
        <v>247</v>
      </c>
      <c r="K10" s="122">
        <v>45813.0</v>
      </c>
      <c r="L10" s="89"/>
      <c r="M10" s="131">
        <v>13450.0</v>
      </c>
      <c r="N10" s="106" t="str">
        <f>IF(ISBLANK(L10), "", VLOOKUP(D10, 'Info Tipo de Cambio y REM'!$A$24:$B$35, 2, FALSE))</f>
        <v/>
      </c>
      <c r="O10" s="107">
        <f t="shared" si="1"/>
        <v>13450</v>
      </c>
    </row>
    <row r="11">
      <c r="A11" s="43" t="s">
        <v>131</v>
      </c>
      <c r="B11" s="43" t="s">
        <v>131</v>
      </c>
      <c r="C11" s="43" t="s">
        <v>183</v>
      </c>
      <c r="D11" s="51" t="s">
        <v>155</v>
      </c>
      <c r="E11" s="43">
        <v>2025.0</v>
      </c>
      <c r="F11" s="43" t="s">
        <v>305</v>
      </c>
      <c r="G11" s="122">
        <v>45751.0</v>
      </c>
      <c r="H11" s="121" t="s">
        <v>362</v>
      </c>
      <c r="I11" s="121" t="s">
        <v>247</v>
      </c>
      <c r="K11" s="122">
        <v>45841.0</v>
      </c>
      <c r="L11" s="89"/>
      <c r="M11" s="131">
        <v>13450.0</v>
      </c>
      <c r="N11" s="106" t="str">
        <f>IF(ISBLANK(L11), "", VLOOKUP(D11, 'Info Tipo de Cambio y REM'!$A$24:$B$35, 2, FALSE))</f>
        <v/>
      </c>
      <c r="O11" s="107">
        <f t="shared" si="1"/>
        <v>13450</v>
      </c>
    </row>
    <row r="12">
      <c r="A12" s="43" t="s">
        <v>131</v>
      </c>
      <c r="B12" s="43" t="s">
        <v>131</v>
      </c>
      <c r="C12" s="43" t="s">
        <v>183</v>
      </c>
      <c r="D12" s="51" t="s">
        <v>155</v>
      </c>
      <c r="E12" s="43">
        <v>2025.0</v>
      </c>
      <c r="F12" s="43" t="s">
        <v>305</v>
      </c>
      <c r="G12" s="82">
        <v>45770.0</v>
      </c>
      <c r="H12" s="121" t="s">
        <v>363</v>
      </c>
      <c r="I12" s="121" t="s">
        <v>247</v>
      </c>
      <c r="K12" s="122">
        <v>45860.0</v>
      </c>
      <c r="L12" s="89"/>
      <c r="M12" s="131">
        <v>1300.0</v>
      </c>
      <c r="N12" s="106" t="str">
        <f>IF(ISBLANK(L12), "", VLOOKUP(D12, 'Info Tipo de Cambio y REM'!$A$24:$B$35, 2, FALSE))</f>
        <v/>
      </c>
      <c r="O12" s="107">
        <f t="shared" si="1"/>
        <v>1300</v>
      </c>
    </row>
    <row r="13">
      <c r="A13" s="43" t="s">
        <v>131</v>
      </c>
      <c r="B13" s="43" t="s">
        <v>131</v>
      </c>
      <c r="C13" s="43" t="s">
        <v>202</v>
      </c>
      <c r="D13" s="51" t="s">
        <v>155</v>
      </c>
      <c r="E13" s="43">
        <v>2025.0</v>
      </c>
      <c r="F13" s="43" t="s">
        <v>305</v>
      </c>
      <c r="G13" s="82">
        <v>45775.0</v>
      </c>
      <c r="H13" s="121" t="s">
        <v>364</v>
      </c>
      <c r="I13" s="121" t="s">
        <v>252</v>
      </c>
      <c r="K13" s="122">
        <v>45865.0</v>
      </c>
      <c r="L13" s="89"/>
      <c r="M13" s="131">
        <v>5568.0</v>
      </c>
      <c r="N13" s="106" t="str">
        <f>IF(ISBLANK(L13), "", VLOOKUP(D13, 'Info Tipo de Cambio y REM'!$A$24:$B$35, 2, FALSE))</f>
        <v/>
      </c>
      <c r="O13" s="107">
        <f t="shared" si="1"/>
        <v>5568</v>
      </c>
    </row>
    <row r="14">
      <c r="A14" s="43" t="s">
        <v>131</v>
      </c>
      <c r="B14" s="43" t="s">
        <v>131</v>
      </c>
      <c r="C14" s="43" t="s">
        <v>199</v>
      </c>
      <c r="D14" s="51" t="s">
        <v>155</v>
      </c>
      <c r="E14" s="43">
        <v>2025.0</v>
      </c>
      <c r="F14" s="43" t="s">
        <v>305</v>
      </c>
      <c r="G14" s="82">
        <v>45827.0</v>
      </c>
      <c r="H14" s="121" t="s">
        <v>319</v>
      </c>
      <c r="I14" s="121" t="s">
        <v>250</v>
      </c>
      <c r="K14" s="122">
        <v>45887.0</v>
      </c>
      <c r="L14" s="89"/>
      <c r="M14" s="131">
        <v>7350.0</v>
      </c>
      <c r="N14" s="106" t="str">
        <f>IF(ISBLANK(L14), "", VLOOKUP(D14, 'Info Tipo de Cambio y REM'!$A$24:$B$35, 2, FALSE))</f>
        <v/>
      </c>
      <c r="O14" s="107">
        <f t="shared" si="1"/>
        <v>7350</v>
      </c>
    </row>
    <row r="15">
      <c r="A15" s="43" t="s">
        <v>131</v>
      </c>
      <c r="B15" s="43" t="s">
        <v>131</v>
      </c>
      <c r="C15" s="43" t="s">
        <v>132</v>
      </c>
      <c r="D15" s="51" t="s">
        <v>161</v>
      </c>
      <c r="E15" s="43">
        <v>2025.0</v>
      </c>
      <c r="F15" s="43" t="s">
        <v>305</v>
      </c>
      <c r="G15" s="82">
        <v>45856.0</v>
      </c>
      <c r="H15" s="121" t="s">
        <v>326</v>
      </c>
      <c r="I15" s="121" t="s">
        <v>254</v>
      </c>
      <c r="K15" s="122">
        <v>45887.0</v>
      </c>
      <c r="L15" s="123">
        <v>1052700.0</v>
      </c>
      <c r="M15" s="106"/>
      <c r="N15" s="106" t="str">
        <f>IF(ISBLANK(L15), "", VLOOKUP(D15, 'Info Tipo de Cambio y REM'!$A$24:$B$35, 2, FALSE))</f>
        <v>#N/A</v>
      </c>
      <c r="O15" s="107" t="str">
        <f t="shared" si="1"/>
        <v>#N/A</v>
      </c>
    </row>
    <row r="16">
      <c r="A16" s="43" t="s">
        <v>131</v>
      </c>
      <c r="B16" s="43" t="s">
        <v>131</v>
      </c>
      <c r="C16" s="43" t="s">
        <v>193</v>
      </c>
      <c r="D16" s="51" t="s">
        <v>161</v>
      </c>
      <c r="E16" s="43">
        <v>2025.0</v>
      </c>
      <c r="F16" s="43" t="s">
        <v>305</v>
      </c>
      <c r="G16" s="82">
        <v>45839.0</v>
      </c>
      <c r="H16" s="121" t="s">
        <v>327</v>
      </c>
      <c r="I16" s="121" t="s">
        <v>251</v>
      </c>
      <c r="K16" s="122">
        <v>45870.0</v>
      </c>
      <c r="L16" s="123">
        <v>364995.0</v>
      </c>
      <c r="M16" s="105"/>
      <c r="N16" s="106" t="str">
        <f>IF(ISBLANK(L16), "", VLOOKUP(D16, 'Info Tipo de Cambio y REM'!$A$24:$B$35, 2, FALSE))</f>
        <v>#N/A</v>
      </c>
      <c r="O16" s="107" t="str">
        <f t="shared" si="1"/>
        <v>#N/A</v>
      </c>
    </row>
    <row r="17">
      <c r="A17" s="43" t="s">
        <v>131</v>
      </c>
      <c r="B17" s="43" t="s">
        <v>131</v>
      </c>
      <c r="C17" s="43" t="s">
        <v>180</v>
      </c>
      <c r="D17" s="51" t="s">
        <v>161</v>
      </c>
      <c r="E17" s="43">
        <v>2025.0</v>
      </c>
      <c r="F17" s="43" t="s">
        <v>305</v>
      </c>
      <c r="G17" s="82">
        <v>45839.0</v>
      </c>
      <c r="H17" s="121" t="s">
        <v>323</v>
      </c>
      <c r="I17" s="121" t="s">
        <v>244</v>
      </c>
      <c r="K17" s="122">
        <v>45870.0</v>
      </c>
      <c r="L17" s="123">
        <v>5562007.0</v>
      </c>
      <c r="M17" s="106"/>
      <c r="N17" s="106" t="str">
        <f>IF(ISBLANK(L17), "", VLOOKUP(D17, 'Info Tipo de Cambio y REM'!$A$24:$B$35, 2, FALSE))</f>
        <v>#N/A</v>
      </c>
      <c r="O17" s="107" t="str">
        <f t="shared" si="1"/>
        <v>#N/A</v>
      </c>
    </row>
    <row r="18">
      <c r="A18" s="43" t="s">
        <v>131</v>
      </c>
      <c r="B18" s="43" t="s">
        <v>131</v>
      </c>
      <c r="C18" s="43" t="s">
        <v>172</v>
      </c>
      <c r="D18" s="51" t="s">
        <v>161</v>
      </c>
      <c r="E18" s="43">
        <v>2025.0</v>
      </c>
      <c r="F18" s="43" t="s">
        <v>305</v>
      </c>
      <c r="G18" s="122">
        <v>45649.0</v>
      </c>
      <c r="H18" s="121" t="s">
        <v>246</v>
      </c>
      <c r="I18" s="121" t="s">
        <v>290</v>
      </c>
      <c r="K18" s="122">
        <v>45678.0</v>
      </c>
      <c r="L18" s="89"/>
      <c r="M18" s="131">
        <v>250.0</v>
      </c>
      <c r="N18" s="106" t="str">
        <f>IF(ISBLANK(L18), "", VLOOKUP(D18, 'Info Tipo de Cambio y REM'!$A$24:$B$35, 2, FALSE))</f>
        <v/>
      </c>
      <c r="O18" s="107">
        <f t="shared" si="1"/>
        <v>250</v>
      </c>
    </row>
    <row r="19">
      <c r="A19" s="43" t="s">
        <v>131</v>
      </c>
      <c r="B19" s="43" t="s">
        <v>131</v>
      </c>
      <c r="C19" s="43" t="s">
        <v>202</v>
      </c>
      <c r="D19" s="51" t="s">
        <v>161</v>
      </c>
      <c r="E19" s="43">
        <v>2025.0</v>
      </c>
      <c r="F19" s="43" t="s">
        <v>305</v>
      </c>
      <c r="G19" s="82">
        <v>45775.0</v>
      </c>
      <c r="H19" s="121" t="s">
        <v>252</v>
      </c>
      <c r="I19" s="121" t="s">
        <v>364</v>
      </c>
      <c r="K19" s="122">
        <v>45865.0</v>
      </c>
      <c r="L19" s="89"/>
      <c r="M19" s="131">
        <v>5568.0</v>
      </c>
      <c r="N19" s="106" t="str">
        <f>IF(ISBLANK(L19), "", VLOOKUP(D19, 'Info Tipo de Cambio y REM'!$A$24:$B$35, 2, FALSE))</f>
        <v/>
      </c>
      <c r="O19" s="107">
        <f t="shared" si="1"/>
        <v>5568</v>
      </c>
    </row>
    <row r="20">
      <c r="A20" s="43" t="s">
        <v>131</v>
      </c>
      <c r="B20" s="43" t="s">
        <v>131</v>
      </c>
      <c r="C20" s="43" t="s">
        <v>199</v>
      </c>
      <c r="D20" s="51" t="s">
        <v>161</v>
      </c>
      <c r="E20" s="43">
        <v>2025.0</v>
      </c>
      <c r="F20" s="43" t="s">
        <v>305</v>
      </c>
      <c r="G20" s="82">
        <v>45827.0</v>
      </c>
      <c r="H20" s="121" t="s">
        <v>250</v>
      </c>
      <c r="I20" s="121" t="s">
        <v>319</v>
      </c>
      <c r="K20" s="122">
        <v>45887.0</v>
      </c>
      <c r="L20" s="89"/>
      <c r="M20" s="131">
        <v>7350.0</v>
      </c>
      <c r="N20" s="106" t="str">
        <f>IF(ISBLANK(L20), "", VLOOKUP(D20, 'Info Tipo de Cambio y REM'!$A$24:$B$35, 2, FALSE))</f>
        <v/>
      </c>
      <c r="O20" s="107">
        <f t="shared" si="1"/>
        <v>7350</v>
      </c>
    </row>
    <row r="21">
      <c r="A21" s="43" t="s">
        <v>131</v>
      </c>
      <c r="B21" s="43" t="s">
        <v>131</v>
      </c>
      <c r="C21" s="43" t="s">
        <v>204</v>
      </c>
      <c r="D21" s="51" t="s">
        <v>161</v>
      </c>
      <c r="E21" s="43">
        <v>2025.0</v>
      </c>
      <c r="F21" s="43" t="s">
        <v>305</v>
      </c>
      <c r="G21" s="420">
        <v>45845.0</v>
      </c>
      <c r="H21" s="121" t="s">
        <v>1091</v>
      </c>
      <c r="I21" s="121" t="s">
        <v>322</v>
      </c>
      <c r="K21" s="122">
        <v>45965.0</v>
      </c>
      <c r="L21" s="89"/>
      <c r="M21" s="131">
        <v>8450.0</v>
      </c>
      <c r="N21" s="106" t="str">
        <f>IF(ISBLANK(L21), "", VLOOKUP(D21, 'Info Tipo de Cambio y REM'!$A$24:$B$35, 2, FALSE))</f>
        <v/>
      </c>
      <c r="O21" s="107">
        <f t="shared" si="1"/>
        <v>8450</v>
      </c>
    </row>
    <row r="22">
      <c r="A22" s="102"/>
      <c r="B22" s="102"/>
      <c r="C22" s="102"/>
      <c r="D22" s="51"/>
      <c r="E22" s="102"/>
      <c r="F22" s="102"/>
      <c r="K22" s="104"/>
      <c r="L22" s="89"/>
      <c r="M22" s="106"/>
      <c r="N22" s="106" t="str">
        <f>IF(ISBLANK(L22), "", VLOOKUP(D22, 'Info Tipo de Cambio y REM'!$A$24:$B$35, 2, FALSE))</f>
        <v/>
      </c>
      <c r="O22" s="107" t="str">
        <f t="shared" si="1"/>
        <v/>
      </c>
    </row>
    <row r="23">
      <c r="A23" s="102"/>
      <c r="B23" s="102"/>
      <c r="C23" s="102"/>
      <c r="D23" s="51"/>
      <c r="E23" s="102"/>
      <c r="F23" s="102"/>
      <c r="K23" s="104"/>
      <c r="L23" s="89"/>
      <c r="M23" s="106"/>
      <c r="N23" s="106" t="str">
        <f>IF(ISBLANK(L23), "", VLOOKUP(D23, 'Info Tipo de Cambio y REM'!$A$24:$B$35, 2, FALSE))</f>
        <v/>
      </c>
      <c r="O23" s="107" t="str">
        <f t="shared" si="1"/>
        <v/>
      </c>
    </row>
    <row r="24">
      <c r="A24" s="102"/>
      <c r="B24" s="102"/>
      <c r="C24" s="102"/>
      <c r="D24" s="51"/>
      <c r="E24" s="102"/>
      <c r="F24" s="102"/>
      <c r="K24" s="104"/>
      <c r="L24" s="89"/>
      <c r="M24" s="106"/>
      <c r="N24" s="106" t="str">
        <f>IF(ISBLANK(L24), "", VLOOKUP(D24, 'Info Tipo de Cambio y REM'!$A$24:$B$35, 2, FALSE))</f>
        <v/>
      </c>
      <c r="O24" s="107" t="str">
        <f t="shared" si="1"/>
        <v/>
      </c>
    </row>
    <row r="25">
      <c r="A25" s="102"/>
      <c r="B25" s="102"/>
      <c r="C25" s="102"/>
      <c r="D25" s="51"/>
      <c r="E25" s="102"/>
      <c r="F25" s="102"/>
      <c r="K25" s="104"/>
      <c r="L25" s="89"/>
      <c r="M25" s="106"/>
      <c r="N25" s="106" t="str">
        <f>IF(ISBLANK(L25), "", VLOOKUP(D25, 'Info Tipo de Cambio y REM'!$A$24:$B$35, 2, FALSE))</f>
        <v/>
      </c>
      <c r="O25" s="107" t="str">
        <f t="shared" si="1"/>
        <v/>
      </c>
    </row>
    <row r="26">
      <c r="A26" s="102"/>
      <c r="B26" s="102"/>
      <c r="C26" s="102"/>
      <c r="D26" s="51"/>
      <c r="E26" s="102"/>
      <c r="F26" s="102"/>
      <c r="K26" s="104"/>
      <c r="L26" s="89"/>
      <c r="M26" s="106"/>
      <c r="N26" s="106" t="str">
        <f>IF(ISBLANK(L26), "", VLOOKUP(D26, 'Info Tipo de Cambio y REM'!$A$24:$B$35, 2, FALSE))</f>
        <v/>
      </c>
      <c r="O26" s="107" t="str">
        <f t="shared" si="1"/>
        <v/>
      </c>
    </row>
    <row r="27">
      <c r="A27" s="102"/>
      <c r="B27" s="102"/>
      <c r="C27" s="102"/>
      <c r="D27" s="51"/>
      <c r="E27" s="102"/>
      <c r="F27" s="102"/>
      <c r="G27" s="103"/>
      <c r="K27" s="104"/>
      <c r="L27" s="89"/>
      <c r="M27" s="106"/>
      <c r="N27" s="106" t="str">
        <f>IF(ISBLANK(L27), "", VLOOKUP(D27, 'Info Tipo de Cambio y REM'!$A$24:$B$35, 2, FALSE))</f>
        <v/>
      </c>
      <c r="O27" s="107" t="str">
        <f t="shared" si="1"/>
        <v/>
      </c>
    </row>
    <row r="28">
      <c r="A28" s="102"/>
      <c r="B28" s="102"/>
      <c r="C28" s="102"/>
      <c r="D28" s="51"/>
      <c r="E28" s="102"/>
      <c r="F28" s="102"/>
      <c r="G28" s="103"/>
      <c r="K28" s="104"/>
      <c r="L28" s="89"/>
      <c r="M28" s="106"/>
      <c r="N28" s="106" t="str">
        <f>IF(ISBLANK(L28), "", VLOOKUP(D28, 'Info Tipo de Cambio y REM'!$A$24:$B$35, 2, FALSE))</f>
        <v/>
      </c>
      <c r="O28" s="107" t="str">
        <f t="shared" si="1"/>
        <v/>
      </c>
    </row>
    <row r="29">
      <c r="A29" s="102"/>
      <c r="B29" s="102"/>
      <c r="C29" s="102"/>
      <c r="D29" s="51"/>
      <c r="E29" s="102"/>
      <c r="F29" s="102"/>
      <c r="G29" s="103"/>
      <c r="K29" s="104"/>
      <c r="L29" s="89"/>
      <c r="M29" s="105"/>
      <c r="N29" s="106" t="str">
        <f>IF(ISBLANK(L29), "", VLOOKUP(D29, 'Info Tipo de Cambio y REM'!$A$24:$B$35, 2, FALSE))</f>
        <v/>
      </c>
      <c r="O29" s="107" t="str">
        <f t="shared" si="1"/>
        <v/>
      </c>
    </row>
    <row r="30">
      <c r="A30" s="102"/>
      <c r="B30" s="102"/>
      <c r="C30" s="102"/>
      <c r="D30" s="51"/>
      <c r="E30" s="102"/>
      <c r="F30" s="102"/>
      <c r="G30" s="103"/>
      <c r="K30" s="104"/>
      <c r="L30" s="89"/>
      <c r="M30" s="106"/>
      <c r="N30" s="106" t="str">
        <f>IF(ISBLANK(L30), "", VLOOKUP(D30, 'Info Tipo de Cambio y REM'!$A$24:$B$35, 2, FALSE))</f>
        <v/>
      </c>
      <c r="O30" s="107" t="str">
        <f t="shared" si="1"/>
        <v/>
      </c>
    </row>
    <row r="31">
      <c r="A31" s="102"/>
      <c r="B31" s="102"/>
      <c r="C31" s="102"/>
      <c r="D31" s="51"/>
      <c r="E31" s="102"/>
      <c r="F31" s="102"/>
      <c r="G31" s="103"/>
      <c r="K31" s="104"/>
      <c r="L31" s="89"/>
      <c r="M31" s="106"/>
      <c r="N31" s="106" t="str">
        <f>IF(ISBLANK(L31), "", VLOOKUP(D31, 'Info Tipo de Cambio y REM'!$A$24:$B$35, 2, FALSE))</f>
        <v/>
      </c>
      <c r="O31" s="107" t="str">
        <f t="shared" si="1"/>
        <v/>
      </c>
    </row>
    <row r="32">
      <c r="A32" s="102"/>
      <c r="B32" s="102"/>
      <c r="C32" s="102"/>
      <c r="D32" s="51"/>
      <c r="E32" s="102"/>
      <c r="F32" s="102"/>
      <c r="G32" s="103"/>
      <c r="K32" s="104"/>
      <c r="L32" s="89"/>
      <c r="M32" s="106"/>
      <c r="N32" s="106" t="str">
        <f>IF(ISBLANK(L32), "", VLOOKUP(D32, 'Info Tipo de Cambio y REM'!$A$24:$B$35, 2, FALSE))</f>
        <v/>
      </c>
      <c r="O32" s="107" t="str">
        <f t="shared" si="1"/>
        <v/>
      </c>
    </row>
    <row r="33">
      <c r="A33" s="102"/>
      <c r="B33" s="102"/>
      <c r="C33" s="102"/>
      <c r="D33" s="51"/>
      <c r="E33" s="102"/>
      <c r="F33" s="102"/>
      <c r="G33" s="103"/>
      <c r="K33" s="104"/>
      <c r="L33" s="89"/>
      <c r="M33" s="105"/>
      <c r="N33" s="106" t="str">
        <f>IF(ISBLANK(L33), "", VLOOKUP(D33, 'Info Tipo de Cambio y REM'!$A$24:$B$35, 2, FALSE))</f>
        <v/>
      </c>
      <c r="O33" s="107" t="str">
        <f t="shared" si="1"/>
        <v/>
      </c>
    </row>
    <row r="34">
      <c r="A34" s="102"/>
      <c r="B34" s="102"/>
      <c r="C34" s="102"/>
      <c r="D34" s="51"/>
      <c r="E34" s="102"/>
      <c r="F34" s="102"/>
      <c r="G34" s="103"/>
      <c r="K34" s="104"/>
      <c r="L34" s="89"/>
      <c r="M34" s="105"/>
      <c r="N34" s="106" t="str">
        <f>IF(ISBLANK(L34), "", VLOOKUP(D34, 'Info Tipo de Cambio y REM'!$A$24:$B$35, 2, FALSE))</f>
        <v/>
      </c>
      <c r="O34" s="107" t="str">
        <f t="shared" si="1"/>
        <v/>
      </c>
    </row>
    <row r="35">
      <c r="A35" s="102"/>
      <c r="B35" s="102"/>
      <c r="C35" s="102"/>
      <c r="D35" s="51"/>
      <c r="E35" s="102"/>
      <c r="F35" s="102"/>
      <c r="G35" s="103"/>
      <c r="K35" s="104"/>
      <c r="L35" s="89"/>
      <c r="M35" s="105"/>
      <c r="N35" s="106" t="str">
        <f>IF(ISBLANK(L35), "", VLOOKUP(D35, 'Info Tipo de Cambio y REM'!$A$24:$B$35, 2, FALSE))</f>
        <v/>
      </c>
      <c r="O35" s="107" t="str">
        <f t="shared" si="1"/>
        <v/>
      </c>
    </row>
    <row r="36">
      <c r="A36" s="102"/>
      <c r="B36" s="102"/>
      <c r="C36" s="102"/>
      <c r="D36" s="51"/>
      <c r="E36" s="102"/>
      <c r="F36" s="102"/>
      <c r="G36" s="103"/>
      <c r="K36" s="104"/>
      <c r="L36" s="89"/>
      <c r="M36" s="106"/>
      <c r="N36" s="106" t="str">
        <f>IF(ISBLANK(L36), "", VLOOKUP(D36, 'Info Tipo de Cambio y REM'!$A$24:$B$35, 2, FALSE))</f>
        <v/>
      </c>
      <c r="O36" s="107" t="str">
        <f t="shared" si="1"/>
        <v/>
      </c>
    </row>
    <row r="37">
      <c r="A37" s="102"/>
      <c r="B37" s="102"/>
      <c r="C37" s="102"/>
      <c r="D37" s="51"/>
      <c r="E37" s="102"/>
      <c r="F37" s="102"/>
      <c r="G37" s="103"/>
      <c r="K37" s="104"/>
      <c r="L37" s="89"/>
      <c r="M37" s="106"/>
      <c r="N37" s="106" t="str">
        <f>IF(ISBLANK(L37), "", VLOOKUP(D37, 'Info Tipo de Cambio y REM'!$A$24:$B$35, 2, FALSE))</f>
        <v/>
      </c>
      <c r="O37" s="107" t="str">
        <f t="shared" si="1"/>
        <v/>
      </c>
    </row>
    <row r="38">
      <c r="A38" s="102"/>
      <c r="B38" s="102"/>
      <c r="C38" s="102"/>
      <c r="D38" s="51"/>
      <c r="E38" s="102"/>
      <c r="F38" s="102"/>
      <c r="G38" s="103"/>
      <c r="K38" s="104"/>
      <c r="L38" s="89"/>
      <c r="M38" s="106"/>
      <c r="N38" s="106" t="str">
        <f>IF(ISBLANK(L38), "", VLOOKUP(D38, 'Info Tipo de Cambio y REM'!$A$24:$B$35, 2, FALSE))</f>
        <v/>
      </c>
      <c r="O38" s="107" t="str">
        <f t="shared" si="1"/>
        <v/>
      </c>
    </row>
    <row r="39">
      <c r="A39" s="102"/>
      <c r="B39" s="102"/>
      <c r="C39" s="102"/>
      <c r="D39" s="51"/>
      <c r="E39" s="102"/>
      <c r="F39" s="102"/>
      <c r="G39" s="103"/>
      <c r="K39" s="104"/>
      <c r="L39" s="89"/>
      <c r="M39" s="106"/>
      <c r="N39" s="106" t="str">
        <f>IF(ISBLANK(L39), "", VLOOKUP(D39, 'Info Tipo de Cambio y REM'!$A$24:$B$35, 2, FALSE))</f>
        <v/>
      </c>
      <c r="O39" s="107" t="str">
        <f t="shared" si="1"/>
        <v/>
      </c>
    </row>
    <row r="40">
      <c r="A40" s="102"/>
      <c r="B40" s="102"/>
      <c r="C40" s="102"/>
      <c r="D40" s="51"/>
      <c r="E40" s="102"/>
      <c r="F40" s="102"/>
      <c r="G40" s="103"/>
      <c r="K40" s="104"/>
      <c r="L40" s="89"/>
      <c r="M40" s="106"/>
      <c r="N40" s="106" t="str">
        <f>IF(ISBLANK(L40), "", VLOOKUP(D40, 'Info Tipo de Cambio y REM'!$A$24:$B$35, 2, FALSE))</f>
        <v/>
      </c>
      <c r="O40" s="107" t="str">
        <f t="shared" si="1"/>
        <v/>
      </c>
    </row>
    <row r="41">
      <c r="A41" s="102"/>
      <c r="B41" s="102"/>
      <c r="C41" s="102"/>
      <c r="D41" s="51"/>
      <c r="E41" s="102"/>
      <c r="F41" s="102"/>
      <c r="G41" s="103"/>
      <c r="K41" s="104"/>
      <c r="L41" s="89"/>
      <c r="M41" s="106"/>
      <c r="N41" s="106" t="str">
        <f>IF(ISBLANK(L41), "", VLOOKUP(D41, 'Info Tipo de Cambio y REM'!$A$24:$B$35, 2, FALSE))</f>
        <v/>
      </c>
      <c r="O41" s="107" t="str">
        <f t="shared" si="1"/>
        <v/>
      </c>
    </row>
    <row r="42">
      <c r="A42" s="102"/>
      <c r="B42" s="102"/>
      <c r="C42" s="102"/>
      <c r="D42" s="51"/>
      <c r="E42" s="102"/>
      <c r="F42" s="102"/>
      <c r="G42" s="104"/>
      <c r="K42" s="104"/>
      <c r="L42" s="89"/>
      <c r="M42" s="106"/>
      <c r="N42" s="106" t="str">
        <f>IF(ISBLANK(L42), "", VLOOKUP(D42, 'Info Tipo de Cambio y REM'!$A$24:$B$35, 2, FALSE))</f>
        <v/>
      </c>
      <c r="O42" s="107" t="str">
        <f t="shared" si="1"/>
        <v/>
      </c>
    </row>
    <row r="43">
      <c r="A43" s="102"/>
      <c r="B43" s="102"/>
      <c r="C43" s="102"/>
      <c r="D43" s="51"/>
      <c r="E43" s="102"/>
      <c r="F43" s="102"/>
      <c r="G43" s="103"/>
      <c r="K43" s="104"/>
      <c r="L43" s="89"/>
      <c r="M43" s="105"/>
      <c r="N43" s="106" t="str">
        <f>IF(ISBLANK(L43), "", VLOOKUP(D43, 'Info Tipo de Cambio y REM'!$A$24:$B$35, 2, FALSE))</f>
        <v/>
      </c>
      <c r="O43" s="107" t="str">
        <f t="shared" si="1"/>
        <v/>
      </c>
    </row>
    <row r="44">
      <c r="A44" s="102"/>
      <c r="B44" s="102"/>
      <c r="C44" s="102"/>
      <c r="D44" s="51"/>
      <c r="E44" s="102"/>
      <c r="F44" s="102"/>
      <c r="G44" s="103"/>
      <c r="K44" s="104"/>
      <c r="L44" s="89"/>
      <c r="M44" s="105"/>
      <c r="N44" s="106" t="str">
        <f>IF(ISBLANK(L44), "", VLOOKUP(D44, 'Info Tipo de Cambio y REM'!$A$24:$B$35, 2, FALSE))</f>
        <v/>
      </c>
      <c r="O44" s="107" t="str">
        <f t="shared" si="1"/>
        <v/>
      </c>
    </row>
    <row r="45">
      <c r="A45" s="102"/>
      <c r="B45" s="102"/>
      <c r="C45" s="102"/>
      <c r="D45" s="51"/>
      <c r="E45" s="102"/>
      <c r="F45" s="102"/>
      <c r="G45" s="103"/>
      <c r="K45" s="104"/>
      <c r="L45" s="89"/>
      <c r="M45" s="106"/>
      <c r="N45" s="106" t="str">
        <f>IF(ISBLANK(L45), "", VLOOKUP(D45, 'Info Tipo de Cambio y REM'!$A$24:$B$35, 2, FALSE))</f>
        <v/>
      </c>
      <c r="O45" s="107" t="str">
        <f t="shared" si="1"/>
        <v/>
      </c>
      <c r="Q45" s="108"/>
      <c r="R45" s="109"/>
    </row>
    <row r="46">
      <c r="A46" s="102"/>
      <c r="B46" s="102"/>
      <c r="C46" s="102"/>
      <c r="D46" s="51"/>
      <c r="E46" s="102"/>
      <c r="F46" s="102"/>
      <c r="G46" s="103"/>
      <c r="K46" s="104"/>
      <c r="L46" s="89"/>
      <c r="M46" s="106"/>
      <c r="N46" s="106" t="str">
        <f>IF(ISBLANK(L46), "", VLOOKUP(D46, 'Info Tipo de Cambio y REM'!$A$24:$B$35, 2, FALSE))</f>
        <v/>
      </c>
      <c r="O46" s="107" t="str">
        <f t="shared" si="1"/>
        <v/>
      </c>
      <c r="Q46" s="108"/>
      <c r="R46" s="109"/>
    </row>
    <row r="47">
      <c r="A47" s="102"/>
      <c r="B47" s="102"/>
      <c r="C47" s="102"/>
      <c r="D47" s="51"/>
      <c r="E47" s="102"/>
      <c r="F47" s="102"/>
      <c r="G47" s="104"/>
      <c r="K47" s="104"/>
      <c r="L47" s="71"/>
      <c r="M47" s="106"/>
      <c r="N47" s="106" t="str">
        <f>IF(ISBLANK(L47), "", VLOOKUP(D47, 'Info Tipo de Cambio y REM'!$A$24:$B$35, 2, FALSE))</f>
        <v/>
      </c>
      <c r="O47" s="107" t="str">
        <f t="shared" si="1"/>
        <v/>
      </c>
      <c r="Q47" s="108"/>
      <c r="R47" s="109"/>
    </row>
    <row r="48">
      <c r="A48" s="102"/>
      <c r="B48" s="102"/>
      <c r="C48" s="102"/>
      <c r="D48" s="51"/>
      <c r="E48" s="102"/>
      <c r="F48" s="102"/>
      <c r="G48" s="104"/>
      <c r="K48" s="104"/>
      <c r="L48" s="71"/>
      <c r="M48" s="106"/>
      <c r="N48" s="106" t="str">
        <f>IF(ISBLANK(L48), "", VLOOKUP(D48, 'Info Tipo de Cambio y REM'!$A$24:$B$35, 2, FALSE))</f>
        <v/>
      </c>
      <c r="O48" s="107" t="str">
        <f t="shared" si="1"/>
        <v/>
      </c>
      <c r="Q48" s="108"/>
      <c r="R48" s="109"/>
    </row>
    <row r="49">
      <c r="A49" s="102"/>
      <c r="B49" s="102"/>
      <c r="C49" s="102"/>
      <c r="D49" s="51"/>
      <c r="E49" s="102"/>
      <c r="F49" s="102"/>
      <c r="G49" s="104"/>
      <c r="K49" s="104"/>
      <c r="L49" s="71"/>
      <c r="M49" s="106"/>
      <c r="N49" s="106" t="str">
        <f>IF(ISBLANK(L49), "", VLOOKUP(D49, 'Info Tipo de Cambio y REM'!$A$24:$B$35, 2, FALSE))</f>
        <v/>
      </c>
      <c r="O49" s="107" t="str">
        <f t="shared" si="1"/>
        <v/>
      </c>
      <c r="Q49" s="108"/>
      <c r="R49" s="109"/>
    </row>
    <row r="50">
      <c r="A50" s="102"/>
      <c r="B50" s="102"/>
      <c r="C50" s="102"/>
      <c r="D50" s="51"/>
      <c r="E50" s="102"/>
      <c r="F50" s="102"/>
      <c r="G50" s="104"/>
      <c r="K50" s="104"/>
      <c r="L50" s="71"/>
      <c r="M50" s="106"/>
      <c r="N50" s="106" t="str">
        <f>IF(ISBLANK(L50), "", VLOOKUP(D50, 'Info Tipo de Cambio y REM'!$A$24:$B$35, 2, FALSE))</f>
        <v/>
      </c>
      <c r="O50" s="107" t="str">
        <f t="shared" si="1"/>
        <v/>
      </c>
      <c r="Q50" s="108"/>
      <c r="R50" s="109"/>
    </row>
    <row r="51">
      <c r="A51" s="102"/>
      <c r="B51" s="102"/>
      <c r="C51" s="102"/>
      <c r="D51" s="51"/>
      <c r="E51" s="102"/>
      <c r="F51" s="102"/>
      <c r="G51" s="104"/>
      <c r="K51" s="104"/>
      <c r="L51" s="71"/>
      <c r="M51" s="106"/>
      <c r="N51" s="106" t="str">
        <f>IF(ISBLANK(L51), "", VLOOKUP(D51, 'Info Tipo de Cambio y REM'!$A$24:$B$35, 2, FALSE))</f>
        <v/>
      </c>
      <c r="O51" s="107" t="str">
        <f t="shared" si="1"/>
        <v/>
      </c>
      <c r="Q51" s="108"/>
      <c r="R51" s="109"/>
    </row>
    <row r="52">
      <c r="A52" s="102"/>
      <c r="B52" s="102"/>
      <c r="C52" s="102"/>
      <c r="D52" s="51"/>
      <c r="E52" s="102"/>
      <c r="F52" s="102"/>
      <c r="G52" s="104"/>
      <c r="K52" s="104"/>
      <c r="L52" s="89"/>
      <c r="M52" s="105"/>
      <c r="N52" s="106" t="str">
        <f>IF(ISBLANK(L52), "", VLOOKUP(D52, 'Info Tipo de Cambio y REM'!$A$24:$B$35, 2, FALSE))</f>
        <v/>
      </c>
      <c r="O52" s="107" t="str">
        <f t="shared" si="1"/>
        <v/>
      </c>
    </row>
    <row r="53">
      <c r="A53" s="102"/>
      <c r="B53" s="102"/>
      <c r="C53" s="102"/>
      <c r="D53" s="51"/>
      <c r="E53" s="102"/>
      <c r="F53" s="102"/>
      <c r="G53" s="104"/>
      <c r="K53" s="104"/>
      <c r="L53" s="71"/>
      <c r="M53" s="106"/>
      <c r="N53" s="106" t="str">
        <f>IF(ISBLANK(L53), "", VLOOKUP(D53, 'Info Tipo de Cambio y REM'!$A$24:$B$35, 2, FALSE))</f>
        <v/>
      </c>
      <c r="O53" s="107" t="str">
        <f t="shared" si="1"/>
        <v/>
      </c>
    </row>
    <row r="54">
      <c r="A54" s="102"/>
      <c r="B54" s="102"/>
      <c r="C54" s="102"/>
      <c r="D54" s="51"/>
      <c r="E54" s="102"/>
      <c r="F54" s="102"/>
      <c r="G54" s="104"/>
      <c r="K54" s="104"/>
      <c r="L54" s="89"/>
      <c r="M54" s="106"/>
      <c r="N54" s="106" t="str">
        <f>IF(ISBLANK(L54), "", VLOOKUP(D54, 'Info Tipo de Cambio y REM'!$A$24:$B$35, 2, FALSE))</f>
        <v/>
      </c>
      <c r="O54" s="107" t="str">
        <f t="shared" si="1"/>
        <v/>
      </c>
    </row>
    <row r="55">
      <c r="A55" s="102"/>
      <c r="B55" s="102"/>
      <c r="C55" s="102"/>
      <c r="D55" s="51"/>
      <c r="E55" s="102"/>
      <c r="F55" s="102"/>
      <c r="G55" s="104"/>
      <c r="K55" s="104"/>
      <c r="L55" s="89"/>
      <c r="M55" s="106"/>
      <c r="N55" s="106" t="str">
        <f>IF(ISBLANK(L55), "", VLOOKUP(D55, 'Info Tipo de Cambio y REM'!$A$24:$B$35, 2, FALSE))</f>
        <v/>
      </c>
      <c r="O55" s="107" t="str">
        <f t="shared" si="1"/>
        <v/>
      </c>
    </row>
    <row r="56">
      <c r="A56" s="102"/>
      <c r="B56" s="102"/>
      <c r="C56" s="102"/>
      <c r="D56" s="51"/>
      <c r="E56" s="102"/>
      <c r="F56" s="102"/>
      <c r="G56" s="104"/>
      <c r="H56" s="64"/>
      <c r="I56" s="111"/>
      <c r="K56" s="104"/>
      <c r="L56" s="89"/>
      <c r="M56" s="106"/>
      <c r="N56" s="106" t="str">
        <f>IF(ISBLANK(L56), "", VLOOKUP(D56, 'Info Tipo de Cambio y REM'!$A$24:$B$35, 2, FALSE))</f>
        <v/>
      </c>
      <c r="O56" s="107" t="str">
        <f t="shared" si="1"/>
        <v/>
      </c>
    </row>
    <row r="57">
      <c r="A57" s="102"/>
      <c r="B57" s="102"/>
      <c r="C57" s="102"/>
      <c r="D57" s="51"/>
      <c r="E57" s="102"/>
      <c r="F57" s="102"/>
      <c r="G57" s="104"/>
      <c r="H57" s="64"/>
      <c r="I57" s="111"/>
      <c r="K57" s="104"/>
      <c r="L57" s="89"/>
      <c r="M57" s="105"/>
      <c r="N57" s="106" t="str">
        <f>IF(ISBLANK(L57), "", VLOOKUP(D57, 'Info Tipo de Cambio y REM'!$A$24:$B$35, 2, FALSE))</f>
        <v/>
      </c>
      <c r="O57" s="107" t="str">
        <f t="shared" si="1"/>
        <v/>
      </c>
    </row>
    <row r="58">
      <c r="A58" s="102"/>
      <c r="B58" s="102"/>
      <c r="C58" s="102"/>
      <c r="D58" s="51"/>
      <c r="E58" s="102"/>
      <c r="F58" s="102"/>
      <c r="G58" s="104"/>
      <c r="H58" s="64"/>
      <c r="I58" s="64"/>
      <c r="K58" s="104"/>
      <c r="L58" s="89"/>
      <c r="M58" s="105"/>
      <c r="N58" s="106" t="str">
        <f>IF(ISBLANK(L58), "", VLOOKUP(D58, 'Info Tipo de Cambio y REM'!$A$24:$B$35, 2, FALSE))</f>
        <v/>
      </c>
      <c r="O58" s="107" t="str">
        <f t="shared" si="1"/>
        <v/>
      </c>
    </row>
    <row r="59">
      <c r="A59" s="102"/>
      <c r="B59" s="102"/>
      <c r="C59" s="102"/>
      <c r="D59" s="51"/>
      <c r="E59" s="102"/>
      <c r="F59" s="102"/>
      <c r="G59" s="104"/>
      <c r="K59" s="104"/>
      <c r="L59" s="71"/>
      <c r="M59" s="106"/>
      <c r="N59" s="106" t="str">
        <f>IF(ISBLANK(L59), "", VLOOKUP(D59, 'Info Tipo de Cambio y REM'!$A$24:$B$35, 2, FALSE))</f>
        <v/>
      </c>
      <c r="O59" s="107" t="str">
        <f t="shared" si="1"/>
        <v/>
      </c>
    </row>
    <row r="60">
      <c r="A60" s="102"/>
      <c r="B60" s="102"/>
      <c r="C60" s="102"/>
      <c r="D60" s="51"/>
      <c r="E60" s="102"/>
      <c r="F60" s="102"/>
      <c r="G60" s="104"/>
      <c r="K60" s="104"/>
      <c r="L60" s="89"/>
      <c r="M60" s="105"/>
      <c r="N60" s="106" t="str">
        <f>IF(ISBLANK(L60), "", VLOOKUP(D60, 'Info Tipo de Cambio y REM'!$A$24:$B$35, 2, FALSE))</f>
        <v/>
      </c>
      <c r="O60" s="107" t="str">
        <f t="shared" si="1"/>
        <v/>
      </c>
    </row>
    <row r="61">
      <c r="A61" s="102"/>
      <c r="B61" s="102"/>
      <c r="C61" s="102"/>
      <c r="D61" s="51"/>
      <c r="E61" s="102"/>
      <c r="F61" s="102"/>
      <c r="K61" s="103"/>
      <c r="L61" s="112"/>
      <c r="M61" s="107"/>
      <c r="N61" s="106" t="str">
        <f>IF(ISBLANK(L61), "", VLOOKUP(D61, 'Info Tipo de Cambio y REM'!$A$24:$B$35, 2, FALSE))</f>
        <v/>
      </c>
      <c r="O61" s="107" t="str">
        <f t="shared" si="1"/>
        <v/>
      </c>
    </row>
    <row r="62">
      <c r="A62" s="102"/>
      <c r="B62" s="102"/>
      <c r="C62" s="102"/>
      <c r="D62" s="51"/>
      <c r="E62" s="102"/>
      <c r="F62" s="102"/>
      <c r="K62" s="103"/>
      <c r="L62" s="113"/>
      <c r="M62" s="114"/>
      <c r="N62" s="106" t="str">
        <f>IF(ISBLANK(L62), "", VLOOKUP(D62, 'Info Tipo de Cambio y REM'!$A$24:$B$35, 2, FALSE))</f>
        <v/>
      </c>
      <c r="O62" s="107" t="str">
        <f t="shared" si="1"/>
        <v/>
      </c>
    </row>
    <row r="63">
      <c r="A63" s="102"/>
      <c r="B63" s="102"/>
      <c r="C63" s="102"/>
      <c r="D63" s="51"/>
      <c r="E63" s="102"/>
      <c r="F63" s="102"/>
      <c r="G63" s="103"/>
      <c r="K63" s="103"/>
      <c r="L63" s="113"/>
      <c r="M63" s="114"/>
      <c r="N63" s="106" t="str">
        <f>IF(ISBLANK(L63), "", VLOOKUP(D63, 'Info Tipo de Cambio y REM'!$A$24:$B$35, 2, FALSE))</f>
        <v/>
      </c>
      <c r="O63" s="107" t="str">
        <f t="shared" si="1"/>
        <v/>
      </c>
    </row>
    <row r="64">
      <c r="A64" s="102"/>
      <c r="B64" s="102"/>
      <c r="C64" s="102"/>
      <c r="D64" s="51"/>
      <c r="E64" s="102"/>
      <c r="F64" s="102"/>
      <c r="G64" s="104"/>
      <c r="H64" s="64"/>
      <c r="K64" s="104"/>
      <c r="L64" s="112"/>
      <c r="M64" s="105"/>
      <c r="N64" s="106" t="str">
        <f>IF(ISBLANK(L64), "", VLOOKUP(D64, 'Info Tipo de Cambio y REM'!$A$24:$B$35, 2, FALSE))</f>
        <v/>
      </c>
      <c r="O64" s="107" t="str">
        <f t="shared" si="1"/>
        <v/>
      </c>
    </row>
    <row r="65">
      <c r="A65" s="102"/>
      <c r="B65" s="102"/>
      <c r="C65" s="102"/>
      <c r="D65" s="51"/>
      <c r="E65" s="102"/>
      <c r="F65" s="102"/>
      <c r="G65" s="104"/>
      <c r="H65" s="64"/>
      <c r="K65" s="104"/>
      <c r="L65" s="112"/>
      <c r="M65" s="105"/>
      <c r="N65" s="106" t="str">
        <f>IF(ISBLANK(L65), "", VLOOKUP(D65, 'Info Tipo de Cambio y REM'!$A$24:$B$35, 2, FALSE))</f>
        <v/>
      </c>
      <c r="O65" s="107" t="str">
        <f t="shared" si="1"/>
        <v/>
      </c>
    </row>
    <row r="66">
      <c r="A66" s="102"/>
      <c r="B66" s="102"/>
      <c r="C66" s="102"/>
      <c r="D66" s="51"/>
      <c r="E66" s="102"/>
      <c r="F66" s="102"/>
      <c r="G66" s="104"/>
      <c r="K66" s="104"/>
      <c r="L66" s="112"/>
      <c r="M66" s="105"/>
      <c r="N66" s="106" t="str">
        <f>IF(ISBLANK(L66), "", VLOOKUP(D66, 'Info Tipo de Cambio y REM'!$A$24:$B$35, 2, FALSE))</f>
        <v/>
      </c>
      <c r="O66" s="107" t="str">
        <f t="shared" si="1"/>
        <v/>
      </c>
    </row>
    <row r="67">
      <c r="A67" s="102"/>
      <c r="B67" s="102"/>
      <c r="C67" s="102"/>
      <c r="D67" s="51"/>
      <c r="E67" s="102"/>
      <c r="F67" s="102"/>
      <c r="G67" s="104"/>
      <c r="K67" s="104"/>
      <c r="L67" s="113"/>
      <c r="M67" s="114"/>
      <c r="N67" s="106" t="str">
        <f>IF(ISBLANK(L67), "", VLOOKUP(D67, 'Info Tipo de Cambio y REM'!$A$24:$B$35, 2, FALSE))</f>
        <v/>
      </c>
      <c r="O67" s="107" t="str">
        <f t="shared" si="1"/>
        <v/>
      </c>
    </row>
    <row r="68">
      <c r="A68" s="102"/>
      <c r="B68" s="102"/>
      <c r="C68" s="102"/>
      <c r="D68" s="51"/>
      <c r="E68" s="102"/>
      <c r="F68" s="102"/>
      <c r="G68" s="104"/>
      <c r="K68" s="104"/>
      <c r="L68" s="113"/>
      <c r="M68" s="114"/>
      <c r="N68" s="106" t="str">
        <f>IF(ISBLANK(L68), "", VLOOKUP(D68, 'Info Tipo de Cambio y REM'!$A$24:$B$35, 2, FALSE))</f>
        <v/>
      </c>
      <c r="O68" s="107" t="str">
        <f t="shared" si="1"/>
        <v/>
      </c>
    </row>
    <row r="69">
      <c r="A69" s="102"/>
      <c r="B69" s="102"/>
      <c r="C69" s="102"/>
      <c r="D69" s="51"/>
      <c r="E69" s="102"/>
      <c r="F69" s="102"/>
      <c r="G69" s="104"/>
      <c r="K69" s="104"/>
      <c r="L69" s="112"/>
      <c r="M69" s="107"/>
      <c r="N69" s="106" t="str">
        <f>IF(ISBLANK(L69), "", VLOOKUP(D69, 'Info Tipo de Cambio y REM'!$A$24:$B$35, 2, FALSE))</f>
        <v/>
      </c>
      <c r="O69" s="107" t="str">
        <f t="shared" si="1"/>
        <v/>
      </c>
    </row>
    <row r="70">
      <c r="A70" s="102"/>
      <c r="B70" s="102"/>
      <c r="C70" s="102"/>
      <c r="D70" s="51"/>
      <c r="E70" s="102"/>
      <c r="F70" s="102"/>
      <c r="K70" s="103"/>
      <c r="L70" s="112"/>
      <c r="M70" s="114"/>
      <c r="N70" s="106" t="str">
        <f>IF(ISBLANK(L70), "", VLOOKUP(D70, 'Info Tipo de Cambio y REM'!$A$24:$B$35, 2, FALSE))</f>
        <v/>
      </c>
      <c r="O70" s="107" t="str">
        <f t="shared" si="1"/>
        <v/>
      </c>
    </row>
    <row r="71">
      <c r="A71" s="102"/>
      <c r="B71" s="102"/>
      <c r="C71" s="102"/>
      <c r="D71" s="51"/>
      <c r="E71" s="102"/>
      <c r="F71" s="102"/>
      <c r="K71" s="103"/>
      <c r="L71" s="112"/>
      <c r="M71" s="114"/>
      <c r="N71" s="106" t="str">
        <f>IF(ISBLANK(L71), "", VLOOKUP(D71, 'Info Tipo de Cambio y REM'!$A$24:$B$35, 2, FALSE))</f>
        <v/>
      </c>
      <c r="O71" s="107" t="str">
        <f t="shared" si="1"/>
        <v/>
      </c>
    </row>
    <row r="72">
      <c r="A72" s="102"/>
      <c r="B72" s="102"/>
      <c r="C72" s="102"/>
      <c r="D72" s="51"/>
      <c r="E72" s="102"/>
      <c r="F72" s="102"/>
      <c r="G72" s="103"/>
      <c r="K72" s="103"/>
      <c r="L72" s="113"/>
      <c r="M72" s="112"/>
      <c r="N72" s="106" t="str">
        <f>IF(ISBLANK(L72), "", VLOOKUP(D72, 'Info Tipo de Cambio y REM'!$A$24:$B$35, 2, FALSE))</f>
        <v/>
      </c>
      <c r="O72" s="107" t="str">
        <f t="shared" si="1"/>
        <v/>
      </c>
    </row>
    <row r="73">
      <c r="A73" s="102"/>
      <c r="B73" s="102"/>
      <c r="C73" s="102"/>
      <c r="D73" s="51"/>
      <c r="E73" s="102"/>
      <c r="F73" s="102"/>
      <c r="G73" s="104"/>
      <c r="H73" s="115"/>
      <c r="I73" s="116"/>
      <c r="K73" s="104"/>
      <c r="L73" s="117"/>
      <c r="M73" s="114"/>
      <c r="N73" s="106"/>
      <c r="O73" s="107" t="str">
        <f t="shared" si="1"/>
        <v/>
      </c>
    </row>
    <row r="74">
      <c r="A74" s="102"/>
      <c r="B74" s="102"/>
      <c r="C74" s="102"/>
      <c r="D74" s="51"/>
      <c r="E74" s="102"/>
      <c r="F74" s="102"/>
      <c r="G74" s="104"/>
      <c r="H74" s="115"/>
      <c r="I74" s="116"/>
      <c r="K74" s="104"/>
      <c r="L74" s="117"/>
      <c r="M74" s="107"/>
      <c r="N74" s="106" t="str">
        <f>IF(ISBLANK(L74), "", VLOOKUP(D74, 'Info Tipo de Cambio y REM'!$A$24:$B$35, 2, FALSE))</f>
        <v/>
      </c>
      <c r="O74" s="107" t="str">
        <f t="shared" si="1"/>
        <v/>
      </c>
    </row>
    <row r="75">
      <c r="A75" s="102"/>
      <c r="B75" s="102"/>
      <c r="C75" s="102"/>
      <c r="D75" s="51"/>
      <c r="E75" s="102"/>
      <c r="F75" s="102"/>
      <c r="G75" s="104"/>
      <c r="K75" s="103"/>
      <c r="L75" s="113"/>
      <c r="M75" s="114"/>
      <c r="N75" s="106" t="str">
        <f>IF(ISBLANK(L75), "", VLOOKUP(D75, 'Info Tipo de Cambio y REM'!$A$24:$B$35, 2, FALSE))</f>
        <v/>
      </c>
      <c r="O75" s="107" t="str">
        <f t="shared" si="1"/>
        <v/>
      </c>
    </row>
    <row r="76">
      <c r="A76" s="102"/>
      <c r="B76" s="102"/>
      <c r="C76" s="102"/>
      <c r="D76" s="51"/>
      <c r="E76" s="102"/>
      <c r="F76" s="102"/>
      <c r="G76" s="104"/>
      <c r="H76" s="118"/>
      <c r="K76" s="104"/>
      <c r="L76" s="117"/>
      <c r="M76" s="107"/>
      <c r="N76" s="106" t="str">
        <f>IF(ISBLANK(L76), "", VLOOKUP(D76, 'Info Tipo de Cambio y REM'!$A$24:$B$35, 2, FALSE))</f>
        <v/>
      </c>
      <c r="O76" s="107" t="str">
        <f t="shared" si="1"/>
        <v/>
      </c>
    </row>
    <row r="77">
      <c r="A77" s="102"/>
      <c r="B77" s="102"/>
      <c r="C77" s="102"/>
      <c r="D77" s="51"/>
      <c r="E77" s="102"/>
      <c r="F77" s="102"/>
      <c r="G77" s="104"/>
      <c r="H77" s="119"/>
      <c r="K77" s="104"/>
      <c r="L77" s="112"/>
      <c r="M77" s="107"/>
      <c r="N77" s="106" t="str">
        <f>IF(ISBLANK(L77), "", VLOOKUP(D77, 'Info Tipo de Cambio y REM'!$A$24:$B$35, 2, FALSE))</f>
        <v/>
      </c>
      <c r="O77" s="107" t="str">
        <f t="shared" si="1"/>
        <v/>
      </c>
    </row>
    <row r="78">
      <c r="A78" s="102"/>
      <c r="B78" s="102"/>
      <c r="C78" s="102"/>
      <c r="D78" s="51"/>
      <c r="E78" s="102"/>
      <c r="F78" s="102"/>
      <c r="G78" s="104"/>
      <c r="I78" s="102"/>
      <c r="K78" s="104"/>
      <c r="L78" s="112"/>
      <c r="M78" s="107"/>
      <c r="N78" s="106" t="str">
        <f>IF(ISBLANK(L78), "", VLOOKUP(D78, 'Info Tipo de Cambio y REM'!$A$24:$B$35, 2, FALSE))</f>
        <v/>
      </c>
      <c r="O78" s="107" t="str">
        <f t="shared" si="1"/>
        <v/>
      </c>
    </row>
    <row r="79">
      <c r="A79" s="102"/>
      <c r="B79" s="102"/>
      <c r="C79" s="102"/>
      <c r="D79" s="51"/>
      <c r="E79" s="102"/>
      <c r="F79" s="102"/>
      <c r="G79" s="104"/>
      <c r="K79" s="104"/>
      <c r="L79" s="112"/>
      <c r="M79" s="107"/>
      <c r="N79" s="106" t="str">
        <f>IF(ISBLANK(L79), "", VLOOKUP(D79, 'Info Tipo de Cambio y REM'!$A$24:$B$35, 2, FALSE))</f>
        <v/>
      </c>
      <c r="O79" s="107" t="str">
        <f t="shared" si="1"/>
        <v/>
      </c>
    </row>
    <row r="80">
      <c r="A80" s="102"/>
      <c r="B80" s="43" t="str">
        <f t="shared" ref="B80:B483" si="2">IF(
  A80="",
  "",
  IF(
    OR(A80="Santander-Galicia-Nación", A80="Bank Of America", A80="Transferwise", A80="Custodia Socios", A80="Cheques en cartera", A80="Caja"),
    "Activo Liquido",
    IF(
      OR(A80="Otras Inversiones", A80="Santander Inversiones"),
      "Mediano Plazo",
      IF(
        A80="Clientes a cobrar",
        "Clientes a cobrar",
        "DATO NO CARGADO"
      )
    )
  )
)
</f>
        <v/>
      </c>
      <c r="C80" s="102" t="str">
        <f>IF(I80="", "", IFERROR(VLOOKUP(I80, Clasificaciones!D:E, 2, FALSE), "DATO NO CARGADO"))
</f>
        <v/>
      </c>
      <c r="D80" s="51"/>
      <c r="E80" s="102"/>
      <c r="F80" s="102"/>
      <c r="G80" s="103"/>
      <c r="K80" s="103"/>
      <c r="L80" s="113"/>
      <c r="M80" s="107"/>
      <c r="N80" s="106" t="str">
        <f>IF(ISBLANK(L80), "", VLOOKUP(D80, 'Info Tipo de Cambio y REM'!$A$24:$B$35, 2, FALSE))</f>
        <v/>
      </c>
      <c r="O80" s="107" t="str">
        <f t="shared" si="1"/>
        <v/>
      </c>
    </row>
    <row r="81">
      <c r="A81" s="102"/>
      <c r="B81" s="43" t="str">
        <f t="shared" si="2"/>
        <v/>
      </c>
      <c r="C81" s="102" t="str">
        <f>IF(I81="", "", IFERROR(VLOOKUP(I81, Clasificaciones!D:E, 2, FALSE), "DATO NO CARGADO"))
</f>
        <v/>
      </c>
      <c r="D81" s="51"/>
      <c r="E81" s="102"/>
      <c r="F81" s="102"/>
      <c r="G81" s="103"/>
      <c r="K81" s="103"/>
      <c r="L81" s="113"/>
      <c r="M81" s="107"/>
      <c r="N81" s="106" t="str">
        <f>IF(ISBLANK(L81), "", VLOOKUP(D81, 'Info Tipo de Cambio y REM'!$A$24:$B$35, 2, FALSE))</f>
        <v/>
      </c>
      <c r="O81" s="107" t="str">
        <f t="shared" si="1"/>
        <v/>
      </c>
    </row>
    <row r="82">
      <c r="A82" s="102"/>
      <c r="B82" s="43" t="str">
        <f t="shared" si="2"/>
        <v/>
      </c>
      <c r="C82" s="102" t="str">
        <f>IF(I82="", "", IFERROR(VLOOKUP(I82, Clasificaciones!D:E, 2, FALSE), "DATO NO CARGADO"))
</f>
        <v/>
      </c>
      <c r="D82" s="51"/>
      <c r="E82" s="102"/>
      <c r="F82" s="102"/>
      <c r="G82" s="103"/>
      <c r="K82" s="103"/>
      <c r="L82" s="113"/>
      <c r="M82" s="107"/>
      <c r="N82" s="106" t="str">
        <f>IF(ISBLANK(L82), "", VLOOKUP(D82, 'Info Tipo de Cambio y REM'!$A$24:$B$35, 2, FALSE))</f>
        <v/>
      </c>
      <c r="O82" s="107" t="str">
        <f t="shared" si="1"/>
        <v/>
      </c>
    </row>
    <row r="83">
      <c r="A83" s="102"/>
      <c r="B83" s="43" t="str">
        <f t="shared" si="2"/>
        <v/>
      </c>
      <c r="C83" s="102" t="str">
        <f>IF(I83="", "", IFERROR(VLOOKUP(I83, Clasificaciones!D:E, 2, FALSE), "DATO NO CARGADO"))
</f>
        <v/>
      </c>
      <c r="D83" s="51"/>
      <c r="E83" s="102"/>
      <c r="F83" s="102"/>
      <c r="G83" s="103"/>
      <c r="K83" s="103"/>
      <c r="L83" s="113"/>
      <c r="M83" s="107"/>
      <c r="N83" s="106" t="str">
        <f>IF(ISBLANK(L83), "", VLOOKUP(D83, 'Info Tipo de Cambio y REM'!$A$24:$B$35, 2, FALSE))</f>
        <v/>
      </c>
      <c r="O83" s="107" t="str">
        <f t="shared" si="1"/>
        <v/>
      </c>
    </row>
    <row r="84">
      <c r="A84" s="102"/>
      <c r="B84" s="43" t="str">
        <f t="shared" si="2"/>
        <v/>
      </c>
      <c r="C84" s="102" t="str">
        <f>IF(I84="", "", IFERROR(VLOOKUP(I84, Clasificaciones!D:E, 2, FALSE), "DATO NO CARGADO"))
</f>
        <v/>
      </c>
      <c r="D84" s="51"/>
      <c r="E84" s="102"/>
      <c r="F84" s="102"/>
      <c r="G84" s="103"/>
      <c r="K84" s="103"/>
      <c r="L84" s="113"/>
      <c r="M84" s="107"/>
      <c r="N84" s="106" t="str">
        <f>IF(ISBLANK(L84), "", VLOOKUP(D84, 'Info Tipo de Cambio y REM'!$A$24:$B$35, 2, FALSE))</f>
        <v/>
      </c>
      <c r="O84" s="107" t="str">
        <f t="shared" si="1"/>
        <v/>
      </c>
    </row>
    <row r="85">
      <c r="A85" s="102"/>
      <c r="B85" s="43" t="str">
        <f t="shared" si="2"/>
        <v/>
      </c>
      <c r="C85" s="102" t="str">
        <f>IF(I85="", "", IFERROR(VLOOKUP(I85, Clasificaciones!D:E, 2, FALSE), "DATO NO CARGADO"))
</f>
        <v/>
      </c>
      <c r="D85" s="51"/>
      <c r="E85" s="102"/>
      <c r="F85" s="102"/>
      <c r="G85" s="103"/>
      <c r="K85" s="103"/>
      <c r="L85" s="113"/>
      <c r="M85" s="107"/>
      <c r="N85" s="106" t="str">
        <f>IF(ISBLANK(L85), "", VLOOKUP(D85, 'Info Tipo de Cambio y REM'!$A$24:$B$35, 2, FALSE))</f>
        <v/>
      </c>
      <c r="O85" s="107" t="str">
        <f t="shared" si="1"/>
        <v/>
      </c>
    </row>
    <row r="86">
      <c r="A86" s="102"/>
      <c r="B86" s="43" t="str">
        <f t="shared" si="2"/>
        <v/>
      </c>
      <c r="C86" s="102" t="str">
        <f>IF(I86="", "", IFERROR(VLOOKUP(I86, Clasificaciones!D:E, 2, FALSE), "DATO NO CARGADO"))
</f>
        <v/>
      </c>
      <c r="D86" s="51"/>
      <c r="E86" s="102"/>
      <c r="F86" s="102"/>
      <c r="G86" s="103"/>
      <c r="K86" s="103"/>
      <c r="L86" s="113"/>
      <c r="M86" s="107"/>
      <c r="N86" s="106" t="str">
        <f>IF(ISBLANK(L86), "", VLOOKUP(D86, 'Info Tipo de Cambio y REM'!$A$24:$B$35, 2, FALSE))</f>
        <v/>
      </c>
      <c r="O86" s="107" t="str">
        <f t="shared" si="1"/>
        <v/>
      </c>
    </row>
    <row r="87">
      <c r="A87" s="102"/>
      <c r="B87" s="43" t="str">
        <f t="shared" si="2"/>
        <v/>
      </c>
      <c r="C87" s="102" t="str">
        <f>IF(I87="", "", IFERROR(VLOOKUP(I87, Clasificaciones!D:E, 2, FALSE), "DATO NO CARGADO"))
</f>
        <v/>
      </c>
      <c r="D87" s="51"/>
      <c r="E87" s="102"/>
      <c r="F87" s="102"/>
      <c r="G87" s="103"/>
      <c r="K87" s="103"/>
      <c r="L87" s="113"/>
      <c r="M87" s="107"/>
      <c r="N87" s="106" t="str">
        <f>IF(ISBLANK(L87), "", VLOOKUP(D87, 'Info Tipo de Cambio y REM'!$A$24:$B$35, 2, FALSE))</f>
        <v/>
      </c>
      <c r="O87" s="107" t="str">
        <f t="shared" si="1"/>
        <v/>
      </c>
    </row>
    <row r="88">
      <c r="A88" s="102"/>
      <c r="B88" s="43" t="str">
        <f t="shared" si="2"/>
        <v/>
      </c>
      <c r="C88" s="102" t="str">
        <f>IF(I88="", "", IFERROR(VLOOKUP(I88, Clasificaciones!D:E, 2, FALSE), "DATO NO CARGADO"))
</f>
        <v/>
      </c>
      <c r="D88" s="51"/>
      <c r="E88" s="102"/>
      <c r="F88" s="102"/>
      <c r="G88" s="103"/>
      <c r="K88" s="103"/>
      <c r="L88" s="113"/>
      <c r="M88" s="107"/>
      <c r="N88" s="106" t="str">
        <f>IF(ISBLANK(L88), "", VLOOKUP(D88, 'Info Tipo de Cambio y REM'!$A$24:$B$35, 2, FALSE))</f>
        <v/>
      </c>
      <c r="O88" s="107" t="str">
        <f t="shared" si="1"/>
        <v/>
      </c>
    </row>
    <row r="89">
      <c r="A89" s="102"/>
      <c r="B89" s="43" t="str">
        <f t="shared" si="2"/>
        <v/>
      </c>
      <c r="C89" s="102" t="str">
        <f>IF(I89="", "", IFERROR(VLOOKUP(I89, Clasificaciones!D:E, 2, FALSE), "DATO NO CARGADO"))
</f>
        <v/>
      </c>
      <c r="D89" s="51"/>
      <c r="E89" s="102"/>
      <c r="F89" s="102"/>
      <c r="G89" s="103"/>
      <c r="K89" s="103"/>
      <c r="L89" s="113"/>
      <c r="M89" s="107"/>
      <c r="N89" s="106" t="str">
        <f>IF(ISBLANK(L89), "", VLOOKUP(D89, 'Info Tipo de Cambio y REM'!$A$24:$B$35, 2, FALSE))</f>
        <v/>
      </c>
      <c r="O89" s="107" t="str">
        <f t="shared" si="1"/>
        <v/>
      </c>
    </row>
    <row r="90">
      <c r="A90" s="102"/>
      <c r="B90" s="43" t="str">
        <f t="shared" si="2"/>
        <v/>
      </c>
      <c r="C90" s="102" t="str">
        <f>IF(I90="", "", IFERROR(VLOOKUP(I90, Clasificaciones!D:E, 2, FALSE), "DATO NO CARGADO"))
</f>
        <v/>
      </c>
      <c r="D90" s="51"/>
      <c r="E90" s="102"/>
      <c r="F90" s="102"/>
      <c r="G90" s="103"/>
      <c r="K90" s="103"/>
      <c r="L90" s="113"/>
      <c r="M90" s="107"/>
      <c r="N90" s="106" t="str">
        <f>IF(ISBLANK(L90), "", VLOOKUP(D90, 'Info Tipo de Cambio y REM'!$A$24:$B$35, 2, FALSE))</f>
        <v/>
      </c>
      <c r="O90" s="107" t="str">
        <f t="shared" si="1"/>
        <v/>
      </c>
    </row>
    <row r="91">
      <c r="A91" s="102"/>
      <c r="B91" s="43" t="str">
        <f t="shared" si="2"/>
        <v/>
      </c>
      <c r="C91" s="102" t="str">
        <f>IF(I91="", "", IFERROR(VLOOKUP(I91, Clasificaciones!D:E, 2, FALSE), "DATO NO CARGADO"))
</f>
        <v/>
      </c>
      <c r="D91" s="51"/>
      <c r="E91" s="102"/>
      <c r="F91" s="102"/>
      <c r="G91" s="103"/>
      <c r="K91" s="103"/>
      <c r="L91" s="113"/>
      <c r="M91" s="107"/>
      <c r="N91" s="106" t="str">
        <f>IF(ISBLANK(L91), "", VLOOKUP(D91, 'Info Tipo de Cambio y REM'!$A$24:$B$35, 2, FALSE))</f>
        <v/>
      </c>
      <c r="O91" s="107" t="str">
        <f t="shared" si="1"/>
        <v/>
      </c>
    </row>
    <row r="92">
      <c r="A92" s="102"/>
      <c r="B92" s="43" t="str">
        <f t="shared" si="2"/>
        <v/>
      </c>
      <c r="C92" s="102" t="str">
        <f>IF(I92="", "", IFERROR(VLOOKUP(I92, Clasificaciones!D:E, 2, FALSE), "DATO NO CARGADO"))
</f>
        <v/>
      </c>
      <c r="D92" s="51"/>
      <c r="E92" s="102"/>
      <c r="F92" s="102"/>
      <c r="G92" s="103"/>
      <c r="K92" s="103"/>
      <c r="L92" s="113"/>
      <c r="M92" s="107"/>
      <c r="N92" s="106" t="str">
        <f>IF(ISBLANK(L92), "", VLOOKUP(D92, 'Info Tipo de Cambio y REM'!$A$24:$B$35, 2, FALSE))</f>
        <v/>
      </c>
      <c r="O92" s="107" t="str">
        <f t="shared" si="1"/>
        <v/>
      </c>
    </row>
    <row r="93">
      <c r="A93" s="102"/>
      <c r="B93" s="43" t="str">
        <f t="shared" si="2"/>
        <v/>
      </c>
      <c r="C93" s="102" t="str">
        <f>IF(I93="", "", IFERROR(VLOOKUP(I93, Clasificaciones!D:E, 2, FALSE), "DATO NO CARGADO"))
</f>
        <v/>
      </c>
      <c r="D93" s="51"/>
      <c r="E93" s="102"/>
      <c r="F93" s="102"/>
      <c r="G93" s="103"/>
      <c r="K93" s="103"/>
      <c r="L93" s="113"/>
      <c r="M93" s="107"/>
      <c r="N93" s="106" t="str">
        <f>IF(ISBLANK(L93), "", VLOOKUP(D93, 'Info Tipo de Cambio y REM'!$A$24:$B$35, 2, FALSE))</f>
        <v/>
      </c>
      <c r="O93" s="107" t="str">
        <f t="shared" si="1"/>
        <v/>
      </c>
    </row>
    <row r="94">
      <c r="A94" s="102"/>
      <c r="B94" s="43" t="str">
        <f t="shared" si="2"/>
        <v/>
      </c>
      <c r="C94" s="102" t="str">
        <f>IF(I94="", "", IFERROR(VLOOKUP(I94, Clasificaciones!D:E, 2, FALSE), "DATO NO CARGADO"))
</f>
        <v/>
      </c>
      <c r="D94" s="51"/>
      <c r="E94" s="102"/>
      <c r="F94" s="102"/>
      <c r="G94" s="103"/>
      <c r="K94" s="103"/>
      <c r="L94" s="113"/>
      <c r="M94" s="107"/>
      <c r="N94" s="106" t="str">
        <f>IF(ISBLANK(L94), "", VLOOKUP(D94, 'Info Tipo de Cambio y REM'!$A$24:$B$35, 2, FALSE))</f>
        <v/>
      </c>
      <c r="O94" s="107" t="str">
        <f t="shared" si="1"/>
        <v/>
      </c>
    </row>
    <row r="95">
      <c r="A95" s="102"/>
      <c r="B95" s="43" t="str">
        <f t="shared" si="2"/>
        <v/>
      </c>
      <c r="C95" s="102" t="str">
        <f>IF(I95="", "", IFERROR(VLOOKUP(I95, Clasificaciones!D:E, 2, FALSE), "DATO NO CARGADO"))
</f>
        <v/>
      </c>
      <c r="D95" s="51"/>
      <c r="E95" s="102"/>
      <c r="F95" s="102"/>
      <c r="G95" s="103"/>
      <c r="K95" s="103"/>
      <c r="L95" s="113"/>
      <c r="M95" s="107"/>
      <c r="N95" s="106" t="str">
        <f>IF(ISBLANK(L95), "", VLOOKUP(D95, 'Info Tipo de Cambio y REM'!$A$24:$B$35, 2, FALSE))</f>
        <v/>
      </c>
      <c r="O95" s="107" t="str">
        <f t="shared" si="1"/>
        <v/>
      </c>
    </row>
    <row r="96">
      <c r="A96" s="102"/>
      <c r="B96" s="43" t="str">
        <f t="shared" si="2"/>
        <v/>
      </c>
      <c r="C96" s="102" t="str">
        <f>IF(I96="", "", IFERROR(VLOOKUP(I96, Clasificaciones!D:E, 2, FALSE), "DATO NO CARGADO"))
</f>
        <v/>
      </c>
      <c r="D96" s="51"/>
      <c r="E96" s="102"/>
      <c r="F96" s="102"/>
      <c r="G96" s="103"/>
      <c r="K96" s="103"/>
      <c r="L96" s="113"/>
      <c r="M96" s="107"/>
      <c r="N96" s="106" t="str">
        <f>IF(ISBLANK(L96), "", VLOOKUP(D96, 'Info Tipo de Cambio y REM'!$A$24:$B$35, 2, FALSE))</f>
        <v/>
      </c>
      <c r="O96" s="107" t="str">
        <f t="shared" si="1"/>
        <v/>
      </c>
    </row>
    <row r="97">
      <c r="A97" s="102"/>
      <c r="B97" s="43" t="str">
        <f t="shared" si="2"/>
        <v/>
      </c>
      <c r="C97" s="102" t="str">
        <f>IF(I97="", "", IFERROR(VLOOKUP(I97, Clasificaciones!D:E, 2, FALSE), "DATO NO CARGADO"))
</f>
        <v/>
      </c>
      <c r="D97" s="51"/>
      <c r="E97" s="102"/>
      <c r="F97" s="102"/>
      <c r="G97" s="103"/>
      <c r="K97" s="103"/>
      <c r="L97" s="113"/>
      <c r="M97" s="107"/>
      <c r="N97" s="106" t="str">
        <f>IF(ISBLANK(L97), "", VLOOKUP(D97, 'Info Tipo de Cambio y REM'!$A$24:$B$35, 2, FALSE))</f>
        <v/>
      </c>
      <c r="O97" s="107" t="str">
        <f t="shared" si="1"/>
        <v/>
      </c>
    </row>
    <row r="98">
      <c r="A98" s="102"/>
      <c r="B98" s="43" t="str">
        <f t="shared" si="2"/>
        <v/>
      </c>
      <c r="C98" s="102" t="str">
        <f>IF(I98="", "", IFERROR(VLOOKUP(I98, Clasificaciones!D:E, 2, FALSE), "DATO NO CARGADO"))
</f>
        <v/>
      </c>
      <c r="D98" s="51"/>
      <c r="E98" s="102"/>
      <c r="F98" s="102"/>
      <c r="G98" s="103"/>
      <c r="K98" s="103"/>
      <c r="L98" s="113"/>
      <c r="M98" s="107"/>
      <c r="N98" s="106" t="str">
        <f>IF(ISBLANK(L98), "", VLOOKUP(D98, 'Info Tipo de Cambio y REM'!$A$24:$B$35, 2, FALSE))</f>
        <v/>
      </c>
      <c r="O98" s="107" t="str">
        <f t="shared" si="1"/>
        <v/>
      </c>
    </row>
    <row r="99">
      <c r="A99" s="102"/>
      <c r="B99" s="43" t="str">
        <f t="shared" si="2"/>
        <v/>
      </c>
      <c r="C99" s="102" t="str">
        <f>IF(I99="", "", IFERROR(VLOOKUP(I99, Clasificaciones!D:E, 2, FALSE), "DATO NO CARGADO"))
</f>
        <v/>
      </c>
      <c r="D99" s="51"/>
      <c r="E99" s="102"/>
      <c r="F99" s="102"/>
      <c r="G99" s="103"/>
      <c r="K99" s="103"/>
      <c r="L99" s="113"/>
      <c r="M99" s="107"/>
      <c r="N99" s="106" t="str">
        <f>IF(ISBLANK(L99), "", VLOOKUP(D99, 'Info Tipo de Cambio y REM'!$A$24:$B$35, 2, FALSE))</f>
        <v/>
      </c>
      <c r="O99" s="107" t="str">
        <f t="shared" si="1"/>
        <v/>
      </c>
    </row>
    <row r="100">
      <c r="A100" s="102"/>
      <c r="B100" s="43" t="str">
        <f t="shared" si="2"/>
        <v/>
      </c>
      <c r="C100" s="102" t="str">
        <f>IF(I100="", "", IFERROR(VLOOKUP(I100, Clasificaciones!D:E, 2, FALSE), "DATO NO CARGADO"))
</f>
        <v/>
      </c>
      <c r="D100" s="51"/>
      <c r="E100" s="102"/>
      <c r="F100" s="102"/>
      <c r="G100" s="103"/>
      <c r="K100" s="103"/>
      <c r="L100" s="113"/>
      <c r="M100" s="107"/>
      <c r="N100" s="106" t="str">
        <f>IF(ISBLANK(L100), "", VLOOKUP(D100, 'Info Tipo de Cambio y REM'!$A$24:$B$35, 2, FALSE))</f>
        <v/>
      </c>
      <c r="O100" s="107" t="str">
        <f t="shared" si="1"/>
        <v/>
      </c>
    </row>
    <row r="101">
      <c r="A101" s="102"/>
      <c r="B101" s="43" t="str">
        <f t="shared" si="2"/>
        <v/>
      </c>
      <c r="C101" s="102" t="str">
        <f>IF(I101="", "", IFERROR(VLOOKUP(I101, Clasificaciones!D:E, 2, FALSE), "DATO NO CARGADO"))
</f>
        <v/>
      </c>
      <c r="D101" s="51"/>
      <c r="E101" s="102"/>
      <c r="F101" s="102"/>
      <c r="G101" s="103"/>
      <c r="K101" s="103"/>
      <c r="L101" s="113"/>
      <c r="M101" s="107"/>
      <c r="N101" s="106" t="str">
        <f>IF(ISBLANK(L101), "", VLOOKUP(D101, 'Info Tipo de Cambio y REM'!$A$24:$B$35, 2, FALSE))</f>
        <v/>
      </c>
      <c r="O101" s="107" t="str">
        <f t="shared" si="1"/>
        <v/>
      </c>
    </row>
    <row r="102">
      <c r="A102" s="102"/>
      <c r="B102" s="43" t="str">
        <f t="shared" si="2"/>
        <v/>
      </c>
      <c r="C102" s="102" t="str">
        <f>IF(I102="", "", IFERROR(VLOOKUP(I102, Clasificaciones!D:E, 2, FALSE), "DATO NO CARGADO"))
</f>
        <v/>
      </c>
      <c r="D102" s="51"/>
      <c r="E102" s="102"/>
      <c r="F102" s="102"/>
      <c r="G102" s="103"/>
      <c r="K102" s="103"/>
      <c r="L102" s="113"/>
      <c r="M102" s="107"/>
      <c r="N102" s="106" t="str">
        <f>IF(ISBLANK(L102), "", VLOOKUP(D102, 'Info Tipo de Cambio y REM'!$A$24:$B$35, 2, FALSE))</f>
        <v/>
      </c>
      <c r="O102" s="107" t="str">
        <f t="shared" si="1"/>
        <v/>
      </c>
    </row>
    <row r="103">
      <c r="A103" s="102"/>
      <c r="B103" s="43" t="str">
        <f t="shared" si="2"/>
        <v/>
      </c>
      <c r="C103" s="102" t="str">
        <f>IF(I103="", "", IFERROR(VLOOKUP(I103, Clasificaciones!D:E, 2, FALSE), "DATO NO CARGADO"))
</f>
        <v/>
      </c>
      <c r="D103" s="51"/>
      <c r="E103" s="102"/>
      <c r="F103" s="102"/>
      <c r="G103" s="103"/>
      <c r="K103" s="103"/>
      <c r="L103" s="113"/>
      <c r="M103" s="107"/>
      <c r="N103" s="106" t="str">
        <f>IF(ISBLANK(L103), "", VLOOKUP(D103, 'Info Tipo de Cambio y REM'!$A$24:$B$35, 2, FALSE))</f>
        <v/>
      </c>
      <c r="O103" s="107" t="str">
        <f t="shared" si="1"/>
        <v/>
      </c>
    </row>
    <row r="104">
      <c r="A104" s="102"/>
      <c r="B104" s="43" t="str">
        <f t="shared" si="2"/>
        <v/>
      </c>
      <c r="C104" s="102" t="str">
        <f>IF(I104="", "", IFERROR(VLOOKUP(I104, Clasificaciones!D:E, 2, FALSE), "DATO NO CARGADO"))
</f>
        <v/>
      </c>
      <c r="D104" s="51"/>
      <c r="E104" s="102"/>
      <c r="F104" s="102"/>
      <c r="G104" s="103"/>
      <c r="K104" s="103"/>
      <c r="L104" s="113"/>
      <c r="M104" s="107"/>
      <c r="N104" s="106" t="str">
        <f>IF(ISBLANK(L104), "", VLOOKUP(D104, 'Info Tipo de Cambio y REM'!$A$24:$B$35, 2, FALSE))</f>
        <v/>
      </c>
      <c r="O104" s="107" t="str">
        <f t="shared" si="1"/>
        <v/>
      </c>
    </row>
    <row r="105">
      <c r="A105" s="102"/>
      <c r="B105" s="43" t="str">
        <f t="shared" si="2"/>
        <v/>
      </c>
      <c r="C105" s="102" t="str">
        <f>IF(I105="", "", IFERROR(VLOOKUP(I105, Clasificaciones!D:E, 2, FALSE), "DATO NO CARGADO"))
</f>
        <v/>
      </c>
      <c r="D105" s="51"/>
      <c r="E105" s="102"/>
      <c r="F105" s="102"/>
      <c r="G105" s="103"/>
      <c r="K105" s="103"/>
      <c r="L105" s="113"/>
      <c r="M105" s="107"/>
      <c r="N105" s="106" t="str">
        <f>IF(ISBLANK(L105), "", VLOOKUP(D105, 'Info Tipo de Cambio y REM'!$A$24:$B$35, 2, FALSE))</f>
        <v/>
      </c>
      <c r="O105" s="107" t="str">
        <f t="shared" si="1"/>
        <v/>
      </c>
    </row>
    <row r="106">
      <c r="A106" s="102"/>
      <c r="B106" s="43" t="str">
        <f t="shared" si="2"/>
        <v/>
      </c>
      <c r="C106" s="102" t="str">
        <f>IF(I106="", "", IFERROR(VLOOKUP(I106, Clasificaciones!D:E, 2, FALSE), "DATO NO CARGADO"))
</f>
        <v/>
      </c>
      <c r="D106" s="51"/>
      <c r="E106" s="102"/>
      <c r="F106" s="102"/>
      <c r="G106" s="103"/>
      <c r="K106" s="103"/>
      <c r="L106" s="113"/>
      <c r="M106" s="107"/>
      <c r="N106" s="106" t="str">
        <f>IF(ISBLANK(L106), "", VLOOKUP(D106, 'Info Tipo de Cambio y REM'!$A$24:$B$35, 2, FALSE))</f>
        <v/>
      </c>
      <c r="O106" s="107" t="str">
        <f t="shared" si="1"/>
        <v/>
      </c>
    </row>
    <row r="107">
      <c r="A107" s="102"/>
      <c r="B107" s="43" t="str">
        <f t="shared" si="2"/>
        <v/>
      </c>
      <c r="C107" s="102" t="str">
        <f>IF(I107="", "", IFERROR(VLOOKUP(I107, Clasificaciones!D:E, 2, FALSE), "DATO NO CARGADO"))
</f>
        <v/>
      </c>
      <c r="D107" s="51"/>
      <c r="E107" s="102"/>
      <c r="F107" s="102"/>
      <c r="G107" s="103"/>
      <c r="K107" s="103"/>
      <c r="L107" s="113"/>
      <c r="M107" s="107"/>
      <c r="N107" s="106" t="str">
        <f>IF(ISBLANK(L107), "", VLOOKUP(D107, 'Info Tipo de Cambio y REM'!$A$24:$B$35, 2, FALSE))</f>
        <v/>
      </c>
      <c r="O107" s="107" t="str">
        <f t="shared" si="1"/>
        <v/>
      </c>
    </row>
    <row r="108">
      <c r="A108" s="102"/>
      <c r="B108" s="43" t="str">
        <f t="shared" si="2"/>
        <v/>
      </c>
      <c r="C108" s="102" t="str">
        <f>IF(I108="", "", IFERROR(VLOOKUP(I108, Clasificaciones!D:E, 2, FALSE), "DATO NO CARGADO"))
</f>
        <v/>
      </c>
      <c r="D108" s="51"/>
      <c r="E108" s="102"/>
      <c r="F108" s="102"/>
      <c r="G108" s="103"/>
      <c r="K108" s="103"/>
      <c r="L108" s="113"/>
      <c r="M108" s="107"/>
      <c r="N108" s="106" t="str">
        <f>IF(ISBLANK(L108), "", VLOOKUP(D108, 'Info Tipo de Cambio y REM'!$A$24:$B$35, 2, FALSE))</f>
        <v/>
      </c>
      <c r="O108" s="107" t="str">
        <f t="shared" si="1"/>
        <v/>
      </c>
    </row>
    <row r="109">
      <c r="A109" s="102"/>
      <c r="B109" s="43" t="str">
        <f t="shared" si="2"/>
        <v/>
      </c>
      <c r="C109" s="102" t="str">
        <f>IF(I109="", "", IFERROR(VLOOKUP(I109, Clasificaciones!D:E, 2, FALSE), "DATO NO CARGADO"))
</f>
        <v/>
      </c>
      <c r="D109" s="51"/>
      <c r="E109" s="102"/>
      <c r="F109" s="102"/>
      <c r="G109" s="103"/>
      <c r="K109" s="103"/>
      <c r="L109" s="113"/>
      <c r="M109" s="107"/>
      <c r="N109" s="106" t="str">
        <f>IF(ISBLANK(L109), "", VLOOKUP(D109, 'Info Tipo de Cambio y REM'!$A$24:$B$35, 2, FALSE))</f>
        <v/>
      </c>
      <c r="O109" s="107" t="str">
        <f t="shared" si="1"/>
        <v/>
      </c>
    </row>
    <row r="110">
      <c r="A110" s="102"/>
      <c r="B110" s="43" t="str">
        <f t="shared" si="2"/>
        <v/>
      </c>
      <c r="C110" s="102" t="str">
        <f>IF(I110="", "", IFERROR(VLOOKUP(I110, Clasificaciones!D:E, 2, FALSE), "DATO NO CARGADO"))
</f>
        <v/>
      </c>
      <c r="D110" s="51"/>
      <c r="E110" s="102"/>
      <c r="F110" s="102"/>
      <c r="G110" s="103"/>
      <c r="K110" s="103"/>
      <c r="L110" s="113"/>
      <c r="M110" s="107"/>
      <c r="N110" s="106" t="str">
        <f>IF(ISBLANK(L110), "", VLOOKUP(D110, 'Info Tipo de Cambio y REM'!$A$24:$B$35, 2, FALSE))</f>
        <v/>
      </c>
      <c r="O110" s="107" t="str">
        <f t="shared" si="1"/>
        <v/>
      </c>
    </row>
    <row r="111">
      <c r="A111" s="102"/>
      <c r="B111" s="43" t="str">
        <f t="shared" si="2"/>
        <v/>
      </c>
      <c r="C111" s="102" t="str">
        <f>IF(I111="", "", IFERROR(VLOOKUP(I111, Clasificaciones!D:E, 2, FALSE), "DATO NO CARGADO"))
</f>
        <v/>
      </c>
      <c r="D111" s="51"/>
      <c r="E111" s="102"/>
      <c r="F111" s="102"/>
      <c r="G111" s="103"/>
      <c r="K111" s="103"/>
      <c r="L111" s="113"/>
      <c r="M111" s="107"/>
      <c r="N111" s="106" t="str">
        <f>IF(ISBLANK(L111), "", VLOOKUP(D111, 'Info Tipo de Cambio y REM'!$A$24:$B$35, 2, FALSE))</f>
        <v/>
      </c>
      <c r="O111" s="107" t="str">
        <f t="shared" si="1"/>
        <v/>
      </c>
    </row>
    <row r="112">
      <c r="A112" s="102"/>
      <c r="B112" s="43" t="str">
        <f t="shared" si="2"/>
        <v/>
      </c>
      <c r="C112" s="102" t="str">
        <f>IF(I112="", "", IFERROR(VLOOKUP(I112, Clasificaciones!D:E, 2, FALSE), "DATO NO CARGADO"))
</f>
        <v/>
      </c>
      <c r="D112" s="51"/>
      <c r="E112" s="102"/>
      <c r="F112" s="102"/>
      <c r="G112" s="103"/>
      <c r="K112" s="103"/>
      <c r="L112" s="113"/>
      <c r="M112" s="107"/>
      <c r="N112" s="106" t="str">
        <f>IF(ISBLANK(L112), "", VLOOKUP(D112, 'Info Tipo de Cambio y REM'!$A$24:$B$35, 2, FALSE))</f>
        <v/>
      </c>
      <c r="O112" s="107" t="str">
        <f t="shared" si="1"/>
        <v/>
      </c>
    </row>
    <row r="113">
      <c r="A113" s="102"/>
      <c r="B113" s="43" t="str">
        <f t="shared" si="2"/>
        <v/>
      </c>
      <c r="C113" s="102" t="str">
        <f>IF(I113="", "", IFERROR(VLOOKUP(I113, Clasificaciones!D:E, 2, FALSE), "DATO NO CARGADO"))
</f>
        <v/>
      </c>
      <c r="D113" s="51"/>
      <c r="E113" s="102"/>
      <c r="F113" s="102"/>
      <c r="G113" s="103"/>
      <c r="K113" s="103"/>
      <c r="L113" s="113"/>
      <c r="M113" s="107"/>
      <c r="N113" s="106" t="str">
        <f>IF(ISBLANK(L113), "", VLOOKUP(D113, 'Info Tipo de Cambio y REM'!$A$24:$B$35, 2, FALSE))</f>
        <v/>
      </c>
      <c r="O113" s="107" t="str">
        <f t="shared" si="1"/>
        <v/>
      </c>
    </row>
    <row r="114">
      <c r="A114" s="102"/>
      <c r="B114" s="43" t="str">
        <f t="shared" si="2"/>
        <v/>
      </c>
      <c r="C114" s="102" t="str">
        <f>IF(I114="", "", IFERROR(VLOOKUP(I114, Clasificaciones!D:E, 2, FALSE), "DATO NO CARGADO"))
</f>
        <v/>
      </c>
      <c r="D114" s="51"/>
      <c r="E114" s="102"/>
      <c r="F114" s="102"/>
      <c r="G114" s="103"/>
      <c r="K114" s="103"/>
      <c r="L114" s="113"/>
      <c r="M114" s="107"/>
      <c r="N114" s="106" t="str">
        <f>IF(ISBLANK(L114), "", VLOOKUP(D114, 'Info Tipo de Cambio y REM'!$A$24:$B$35, 2, FALSE))</f>
        <v/>
      </c>
      <c r="O114" s="107" t="str">
        <f t="shared" si="1"/>
        <v/>
      </c>
    </row>
    <row r="115">
      <c r="A115" s="102"/>
      <c r="B115" s="43" t="str">
        <f t="shared" si="2"/>
        <v/>
      </c>
      <c r="C115" s="102" t="str">
        <f>IF(I115="", "", IFERROR(VLOOKUP(I115, Clasificaciones!D:E, 2, FALSE), "DATO NO CARGADO"))
</f>
        <v/>
      </c>
      <c r="D115" s="51"/>
      <c r="E115" s="102"/>
      <c r="F115" s="102"/>
      <c r="G115" s="103"/>
      <c r="K115" s="103"/>
      <c r="L115" s="113"/>
      <c r="M115" s="107"/>
      <c r="N115" s="106" t="str">
        <f>IF(ISBLANK(L115), "", VLOOKUP(D115, 'Info Tipo de Cambio y REM'!$A$24:$B$35, 2, FALSE))</f>
        <v/>
      </c>
      <c r="O115" s="107" t="str">
        <f t="shared" si="1"/>
        <v/>
      </c>
    </row>
    <row r="116">
      <c r="A116" s="102"/>
      <c r="B116" s="43" t="str">
        <f t="shared" si="2"/>
        <v/>
      </c>
      <c r="C116" s="102" t="str">
        <f>IF(I116="", "", IFERROR(VLOOKUP(I116, Clasificaciones!D:E, 2, FALSE), "DATO NO CARGADO"))
</f>
        <v/>
      </c>
      <c r="D116" s="51"/>
      <c r="E116" s="102"/>
      <c r="F116" s="102"/>
      <c r="G116" s="103"/>
      <c r="K116" s="103"/>
      <c r="L116" s="113"/>
      <c r="M116" s="107"/>
      <c r="N116" s="106" t="str">
        <f>IF(ISBLANK(L116), "", VLOOKUP(D116, 'Info Tipo de Cambio y REM'!$A$24:$B$35, 2, FALSE))</f>
        <v/>
      </c>
      <c r="O116" s="107" t="str">
        <f t="shared" si="1"/>
        <v/>
      </c>
    </row>
    <row r="117">
      <c r="A117" s="102"/>
      <c r="B117" s="43" t="str">
        <f t="shared" si="2"/>
        <v/>
      </c>
      <c r="C117" s="102" t="str">
        <f>IF(I117="", "", IFERROR(VLOOKUP(I117, Clasificaciones!D:E, 2, FALSE), "DATO NO CARGADO"))
</f>
        <v/>
      </c>
      <c r="D117" s="51"/>
      <c r="E117" s="102"/>
      <c r="F117" s="102"/>
      <c r="G117" s="103"/>
      <c r="K117" s="103"/>
      <c r="L117" s="113"/>
      <c r="M117" s="107"/>
      <c r="N117" s="106" t="str">
        <f>IF(ISBLANK(L117), "", VLOOKUP(D117, 'Info Tipo de Cambio y REM'!$A$24:$B$35, 2, FALSE))</f>
        <v/>
      </c>
      <c r="O117" s="107" t="str">
        <f t="shared" si="1"/>
        <v/>
      </c>
    </row>
    <row r="118">
      <c r="A118" s="102"/>
      <c r="B118" s="43" t="str">
        <f t="shared" si="2"/>
        <v/>
      </c>
      <c r="C118" s="102" t="str">
        <f>IF(I118="", "", IFERROR(VLOOKUP(I118, Clasificaciones!D:E, 2, FALSE), "DATO NO CARGADO"))
</f>
        <v/>
      </c>
      <c r="D118" s="51"/>
      <c r="E118" s="102"/>
      <c r="F118" s="102"/>
      <c r="G118" s="103"/>
      <c r="K118" s="103"/>
      <c r="L118" s="113"/>
      <c r="M118" s="107"/>
      <c r="N118" s="106" t="str">
        <f>IF(ISBLANK(L118), "", VLOOKUP(D118, 'Info Tipo de Cambio y REM'!$A$24:$B$35, 2, FALSE))</f>
        <v/>
      </c>
      <c r="O118" s="107" t="str">
        <f t="shared" si="1"/>
        <v/>
      </c>
    </row>
    <row r="119">
      <c r="A119" s="102"/>
      <c r="B119" s="43" t="str">
        <f t="shared" si="2"/>
        <v/>
      </c>
      <c r="C119" s="102" t="str">
        <f>IF(I119="", "", IFERROR(VLOOKUP(I119, Clasificaciones!D:E, 2, FALSE), "DATO NO CARGADO"))
</f>
        <v/>
      </c>
      <c r="D119" s="51"/>
      <c r="E119" s="102"/>
      <c r="F119" s="102"/>
      <c r="G119" s="103"/>
      <c r="K119" s="103"/>
      <c r="L119" s="113"/>
      <c r="M119" s="107"/>
      <c r="N119" s="106" t="str">
        <f>IF(ISBLANK(L119), "", VLOOKUP(D119, 'Info Tipo de Cambio y REM'!$A$24:$B$35, 2, FALSE))</f>
        <v/>
      </c>
      <c r="O119" s="107" t="str">
        <f t="shared" si="1"/>
        <v/>
      </c>
    </row>
    <row r="120">
      <c r="A120" s="102"/>
      <c r="B120" s="43" t="str">
        <f t="shared" si="2"/>
        <v/>
      </c>
      <c r="C120" s="102" t="str">
        <f>IF(I120="", "", IFERROR(VLOOKUP(I120, Clasificaciones!D:E, 2, FALSE), "DATO NO CARGADO"))
</f>
        <v/>
      </c>
      <c r="D120" s="51"/>
      <c r="E120" s="102"/>
      <c r="F120" s="102"/>
      <c r="G120" s="103"/>
      <c r="K120" s="103"/>
      <c r="L120" s="113"/>
      <c r="M120" s="107"/>
      <c r="N120" s="106" t="str">
        <f>IF(ISBLANK(L120), "", VLOOKUP(D120, 'Info Tipo de Cambio y REM'!$A$24:$B$35, 2, FALSE))</f>
        <v/>
      </c>
      <c r="O120" s="107" t="str">
        <f t="shared" si="1"/>
        <v/>
      </c>
    </row>
    <row r="121">
      <c r="A121" s="102"/>
      <c r="B121" s="43" t="str">
        <f t="shared" si="2"/>
        <v/>
      </c>
      <c r="C121" s="102" t="str">
        <f>IF(I121="", "", IFERROR(VLOOKUP(I121, Clasificaciones!D:E, 2, FALSE), "DATO NO CARGADO"))
</f>
        <v/>
      </c>
      <c r="D121" s="51"/>
      <c r="E121" s="102"/>
      <c r="F121" s="102"/>
      <c r="G121" s="103"/>
      <c r="K121" s="103"/>
      <c r="L121" s="113"/>
      <c r="M121" s="107"/>
      <c r="N121" s="106" t="str">
        <f>IF(ISBLANK(L121), "", VLOOKUP(D121, 'Info Tipo de Cambio y REM'!$A$24:$B$35, 2, FALSE))</f>
        <v/>
      </c>
      <c r="O121" s="107" t="str">
        <f t="shared" si="1"/>
        <v/>
      </c>
    </row>
    <row r="122">
      <c r="A122" s="102"/>
      <c r="B122" s="43" t="str">
        <f t="shared" si="2"/>
        <v/>
      </c>
      <c r="C122" s="102" t="str">
        <f>IF(I122="", "", IFERROR(VLOOKUP(I122, Clasificaciones!D:E, 2, FALSE), "DATO NO CARGADO"))
</f>
        <v/>
      </c>
      <c r="D122" s="51"/>
      <c r="E122" s="102"/>
      <c r="F122" s="102"/>
      <c r="G122" s="103"/>
      <c r="K122" s="103"/>
      <c r="L122" s="113"/>
      <c r="M122" s="107"/>
      <c r="N122" s="106" t="str">
        <f>IF(ISBLANK(L122), "", VLOOKUP(D122, 'Info Tipo de Cambio y REM'!$A$24:$B$35, 2, FALSE))</f>
        <v/>
      </c>
      <c r="O122" s="107" t="str">
        <f t="shared" si="1"/>
        <v/>
      </c>
    </row>
    <row r="123">
      <c r="A123" s="102"/>
      <c r="B123" s="43" t="str">
        <f t="shared" si="2"/>
        <v/>
      </c>
      <c r="C123" s="102" t="str">
        <f>IF(I123="", "", IFERROR(VLOOKUP(I123, Clasificaciones!D:E, 2, FALSE), "DATO NO CARGADO"))
</f>
        <v/>
      </c>
      <c r="D123" s="51"/>
      <c r="E123" s="102"/>
      <c r="F123" s="102"/>
      <c r="G123" s="103"/>
      <c r="K123" s="103"/>
      <c r="L123" s="113"/>
      <c r="M123" s="107"/>
      <c r="N123" s="106" t="str">
        <f>IF(ISBLANK(L123), "", VLOOKUP(D123, 'Info Tipo de Cambio y REM'!$A$24:$B$35, 2, FALSE))</f>
        <v/>
      </c>
      <c r="O123" s="107" t="str">
        <f t="shared" si="1"/>
        <v/>
      </c>
    </row>
    <row r="124">
      <c r="A124" s="102"/>
      <c r="B124" s="43" t="str">
        <f t="shared" si="2"/>
        <v/>
      </c>
      <c r="C124" s="102" t="str">
        <f>IF(I124="", "", IFERROR(VLOOKUP(I124, Clasificaciones!D:E, 2, FALSE), "DATO NO CARGADO"))
</f>
        <v/>
      </c>
      <c r="D124" s="51"/>
      <c r="E124" s="102"/>
      <c r="F124" s="102"/>
      <c r="G124" s="103"/>
      <c r="K124" s="103"/>
      <c r="L124" s="113"/>
      <c r="M124" s="107"/>
      <c r="N124" s="106" t="str">
        <f>IF(ISBLANK(L124), "", VLOOKUP(D124, 'Info Tipo de Cambio y REM'!$A$24:$B$35, 2, FALSE))</f>
        <v/>
      </c>
      <c r="O124" s="107" t="str">
        <f t="shared" si="1"/>
        <v/>
      </c>
    </row>
    <row r="125">
      <c r="A125" s="102"/>
      <c r="B125" s="43" t="str">
        <f t="shared" si="2"/>
        <v/>
      </c>
      <c r="C125" s="102" t="str">
        <f>IF(I125="", "", IFERROR(VLOOKUP(I125, Clasificaciones!D:E, 2, FALSE), "DATO NO CARGADO"))
</f>
        <v/>
      </c>
      <c r="D125" s="51"/>
      <c r="E125" s="102"/>
      <c r="F125" s="102"/>
      <c r="G125" s="103"/>
      <c r="K125" s="103"/>
      <c r="L125" s="113"/>
      <c r="M125" s="107"/>
      <c r="N125" s="106" t="str">
        <f>IF(ISBLANK(L125), "", VLOOKUP(D125, 'Info Tipo de Cambio y REM'!$A$24:$B$35, 2, FALSE))</f>
        <v/>
      </c>
      <c r="O125" s="107" t="str">
        <f t="shared" si="1"/>
        <v/>
      </c>
    </row>
    <row r="126">
      <c r="A126" s="102"/>
      <c r="B126" s="43" t="str">
        <f t="shared" si="2"/>
        <v/>
      </c>
      <c r="C126" s="102" t="str">
        <f>IF(I126="", "", IFERROR(VLOOKUP(I126, Clasificaciones!D:E, 2, FALSE), "DATO NO CARGADO"))
</f>
        <v/>
      </c>
      <c r="D126" s="51"/>
      <c r="E126" s="102"/>
      <c r="F126" s="102"/>
      <c r="G126" s="103"/>
      <c r="K126" s="103"/>
      <c r="L126" s="113"/>
      <c r="M126" s="107"/>
      <c r="N126" s="106" t="str">
        <f>IF(ISBLANK(L126), "", VLOOKUP(D126, 'Info Tipo de Cambio y REM'!$A$24:$B$35, 2, FALSE))</f>
        <v/>
      </c>
      <c r="O126" s="107" t="str">
        <f t="shared" si="1"/>
        <v/>
      </c>
    </row>
    <row r="127">
      <c r="A127" s="102"/>
      <c r="B127" s="43" t="str">
        <f t="shared" si="2"/>
        <v/>
      </c>
      <c r="C127" s="102" t="str">
        <f>IF(I127="", "", IFERROR(VLOOKUP(I127, Clasificaciones!D:E, 2, FALSE), "DATO NO CARGADO"))
</f>
        <v/>
      </c>
      <c r="D127" s="51"/>
      <c r="E127" s="102"/>
      <c r="F127" s="102"/>
      <c r="G127" s="103"/>
      <c r="K127" s="103"/>
      <c r="L127" s="113"/>
      <c r="M127" s="107"/>
      <c r="N127" s="106" t="str">
        <f>IF(ISBLANK(L127), "", VLOOKUP(D127, 'Info Tipo de Cambio y REM'!$A$24:$B$35, 2, FALSE))</f>
        <v/>
      </c>
      <c r="O127" s="107" t="str">
        <f t="shared" si="1"/>
        <v/>
      </c>
    </row>
    <row r="128">
      <c r="A128" s="102"/>
      <c r="B128" s="43" t="str">
        <f t="shared" si="2"/>
        <v/>
      </c>
      <c r="C128" s="102" t="str">
        <f>IF(I128="", "", IFERROR(VLOOKUP(I128, Clasificaciones!D:E, 2, FALSE), "DATO NO CARGADO"))
</f>
        <v/>
      </c>
      <c r="D128" s="51"/>
      <c r="E128" s="102"/>
      <c r="F128" s="102"/>
      <c r="G128" s="103"/>
      <c r="K128" s="103"/>
      <c r="L128" s="113"/>
      <c r="M128" s="107"/>
      <c r="N128" s="106" t="str">
        <f>IF(ISBLANK(L128), "", VLOOKUP(D128, 'Info Tipo de Cambio y REM'!$A$24:$B$35, 2, FALSE))</f>
        <v/>
      </c>
      <c r="O128" s="107" t="str">
        <f t="shared" si="1"/>
        <v/>
      </c>
    </row>
    <row r="129">
      <c r="A129" s="102"/>
      <c r="B129" s="43" t="str">
        <f t="shared" si="2"/>
        <v/>
      </c>
      <c r="C129" s="102" t="str">
        <f>IF(I129="", "", IFERROR(VLOOKUP(I129, Clasificaciones!D:E, 2, FALSE), "DATO NO CARGADO"))
</f>
        <v/>
      </c>
      <c r="D129" s="51"/>
      <c r="E129" s="102"/>
      <c r="F129" s="102"/>
      <c r="G129" s="103"/>
      <c r="K129" s="103"/>
      <c r="L129" s="113"/>
      <c r="M129" s="107"/>
      <c r="N129" s="106" t="str">
        <f>IF(ISBLANK(L129), "", VLOOKUP(D129, 'Info Tipo de Cambio y REM'!$A$24:$B$35, 2, FALSE))</f>
        <v/>
      </c>
      <c r="O129" s="107" t="str">
        <f t="shared" si="1"/>
        <v/>
      </c>
    </row>
    <row r="130">
      <c r="A130" s="102"/>
      <c r="B130" s="43" t="str">
        <f t="shared" si="2"/>
        <v/>
      </c>
      <c r="C130" s="102" t="str">
        <f>IF(I130="", "", IFERROR(VLOOKUP(I130, Clasificaciones!D:E, 2, FALSE), "DATO NO CARGADO"))
</f>
        <v/>
      </c>
      <c r="D130" s="51"/>
      <c r="E130" s="102"/>
      <c r="F130" s="102"/>
      <c r="G130" s="103"/>
      <c r="K130" s="103"/>
      <c r="L130" s="113"/>
      <c r="M130" s="107"/>
      <c r="N130" s="106" t="str">
        <f>IF(ISBLANK(L130), "", VLOOKUP(D130, 'Info Tipo de Cambio y REM'!$A$24:$B$35, 2, FALSE))</f>
        <v/>
      </c>
      <c r="O130" s="107" t="str">
        <f t="shared" si="1"/>
        <v/>
      </c>
    </row>
    <row r="131">
      <c r="A131" s="102"/>
      <c r="B131" s="43" t="str">
        <f t="shared" si="2"/>
        <v/>
      </c>
      <c r="C131" s="102" t="str">
        <f>IF(I131="", "", IFERROR(VLOOKUP(I131, Clasificaciones!D:E, 2, FALSE), "DATO NO CARGADO"))
</f>
        <v/>
      </c>
      <c r="D131" s="51"/>
      <c r="E131" s="102"/>
      <c r="F131" s="102"/>
      <c r="G131" s="103"/>
      <c r="K131" s="103"/>
      <c r="L131" s="113"/>
      <c r="M131" s="107"/>
      <c r="N131" s="106" t="str">
        <f>IF(ISBLANK(L131), "", VLOOKUP(D131, 'Info Tipo de Cambio y REM'!$A$24:$B$35, 2, FALSE))</f>
        <v/>
      </c>
      <c r="O131" s="107" t="str">
        <f t="shared" si="1"/>
        <v/>
      </c>
    </row>
    <row r="132">
      <c r="A132" s="102"/>
      <c r="B132" s="43" t="str">
        <f t="shared" si="2"/>
        <v/>
      </c>
      <c r="C132" s="102" t="str">
        <f>IF(I132="", "", IFERROR(VLOOKUP(I132, Clasificaciones!D:E, 2, FALSE), "DATO NO CARGADO"))
</f>
        <v/>
      </c>
      <c r="D132" s="51"/>
      <c r="E132" s="102"/>
      <c r="F132" s="102"/>
      <c r="G132" s="103"/>
      <c r="K132" s="103"/>
      <c r="L132" s="113"/>
      <c r="M132" s="107"/>
      <c r="N132" s="106" t="str">
        <f>IF(ISBLANK(L132), "", VLOOKUP(D132, 'Info Tipo de Cambio y REM'!$A$24:$B$35, 2, FALSE))</f>
        <v/>
      </c>
      <c r="O132" s="107" t="str">
        <f t="shared" si="1"/>
        <v/>
      </c>
    </row>
    <row r="133">
      <c r="A133" s="102"/>
      <c r="B133" s="43" t="str">
        <f t="shared" si="2"/>
        <v/>
      </c>
      <c r="C133" s="102" t="str">
        <f>IF(I133="", "", IFERROR(VLOOKUP(I133, Clasificaciones!D:E, 2, FALSE), "DATO NO CARGADO"))
</f>
        <v/>
      </c>
      <c r="D133" s="51"/>
      <c r="E133" s="102"/>
      <c r="F133" s="102"/>
      <c r="G133" s="103"/>
      <c r="K133" s="103"/>
      <c r="L133" s="113"/>
      <c r="M133" s="107"/>
      <c r="N133" s="106" t="str">
        <f>IF(ISBLANK(L133), "", VLOOKUP(D133, 'Info Tipo de Cambio y REM'!$A$24:$B$35, 2, FALSE))</f>
        <v/>
      </c>
      <c r="O133" s="107" t="str">
        <f t="shared" si="1"/>
        <v/>
      </c>
    </row>
    <row r="134">
      <c r="A134" s="102"/>
      <c r="B134" s="43" t="str">
        <f t="shared" si="2"/>
        <v/>
      </c>
      <c r="C134" s="102" t="str">
        <f>IF(I134="", "", IFERROR(VLOOKUP(I134, Clasificaciones!D:E, 2, FALSE), "DATO NO CARGADO"))
</f>
        <v/>
      </c>
      <c r="D134" s="51"/>
      <c r="E134" s="102"/>
      <c r="F134" s="102"/>
      <c r="G134" s="103"/>
      <c r="K134" s="103"/>
      <c r="L134" s="113"/>
      <c r="M134" s="107"/>
      <c r="N134" s="106" t="str">
        <f>IF(ISBLANK(L134), "", VLOOKUP(D134, 'Info Tipo de Cambio y REM'!$A$24:$B$35, 2, FALSE))</f>
        <v/>
      </c>
      <c r="O134" s="107" t="str">
        <f t="shared" si="1"/>
        <v/>
      </c>
    </row>
    <row r="135">
      <c r="A135" s="102"/>
      <c r="B135" s="43" t="str">
        <f t="shared" si="2"/>
        <v/>
      </c>
      <c r="C135" s="102" t="str">
        <f>IF(I135="", "", IFERROR(VLOOKUP(I135, Clasificaciones!D:E, 2, FALSE), "DATO NO CARGADO"))
</f>
        <v/>
      </c>
      <c r="D135" s="51"/>
      <c r="E135" s="102"/>
      <c r="F135" s="102"/>
      <c r="G135" s="103"/>
      <c r="K135" s="103"/>
      <c r="L135" s="113"/>
      <c r="M135" s="107"/>
      <c r="N135" s="106" t="str">
        <f>IF(ISBLANK(L135), "", VLOOKUP(D135, 'Info Tipo de Cambio y REM'!$A$24:$B$35, 2, FALSE))</f>
        <v/>
      </c>
      <c r="O135" s="107" t="str">
        <f t="shared" si="1"/>
        <v/>
      </c>
    </row>
    <row r="136">
      <c r="A136" s="102"/>
      <c r="B136" s="43" t="str">
        <f t="shared" si="2"/>
        <v/>
      </c>
      <c r="C136" s="102" t="str">
        <f>IF(I136="", "", IFERROR(VLOOKUP(I136, Clasificaciones!D:E, 2, FALSE), "DATO NO CARGADO"))
</f>
        <v/>
      </c>
      <c r="D136" s="51"/>
      <c r="E136" s="102"/>
      <c r="F136" s="102"/>
      <c r="G136" s="103"/>
      <c r="K136" s="103"/>
      <c r="L136" s="113"/>
      <c r="M136" s="107"/>
      <c r="N136" s="106" t="str">
        <f>IF(ISBLANK(L136), "", VLOOKUP(D136, 'Info Tipo de Cambio y REM'!$A$24:$B$35, 2, FALSE))</f>
        <v/>
      </c>
      <c r="O136" s="107" t="str">
        <f t="shared" si="1"/>
        <v/>
      </c>
    </row>
    <row r="137">
      <c r="A137" s="102"/>
      <c r="B137" s="43" t="str">
        <f t="shared" si="2"/>
        <v/>
      </c>
      <c r="C137" s="102" t="str">
        <f>IF(I137="", "", IFERROR(VLOOKUP(I137, Clasificaciones!D:E, 2, FALSE), "DATO NO CARGADO"))
</f>
        <v/>
      </c>
      <c r="D137" s="51"/>
      <c r="E137" s="102"/>
      <c r="F137" s="102"/>
      <c r="G137" s="103"/>
      <c r="K137" s="103"/>
      <c r="L137" s="113"/>
      <c r="M137" s="107"/>
      <c r="N137" s="106" t="str">
        <f>IF(ISBLANK(L137), "", VLOOKUP(D137, 'Info Tipo de Cambio y REM'!$A$24:$B$35, 2, FALSE))</f>
        <v/>
      </c>
      <c r="O137" s="107" t="str">
        <f t="shared" si="1"/>
        <v/>
      </c>
    </row>
    <row r="138">
      <c r="A138" s="102"/>
      <c r="B138" s="43" t="str">
        <f t="shared" si="2"/>
        <v/>
      </c>
      <c r="C138" s="102" t="str">
        <f>IF(I138="", "", IFERROR(VLOOKUP(I138, Clasificaciones!D:E, 2, FALSE), "DATO NO CARGADO"))
</f>
        <v/>
      </c>
      <c r="D138" s="51"/>
      <c r="E138" s="102"/>
      <c r="F138" s="102"/>
      <c r="G138" s="103"/>
      <c r="K138" s="103"/>
      <c r="L138" s="113"/>
      <c r="M138" s="107"/>
      <c r="N138" s="106" t="str">
        <f>IF(ISBLANK(L138), "", VLOOKUP(D138, 'Info Tipo de Cambio y REM'!$A$24:$B$35, 2, FALSE))</f>
        <v/>
      </c>
      <c r="O138" s="107" t="str">
        <f t="shared" si="1"/>
        <v/>
      </c>
    </row>
    <row r="139">
      <c r="A139" s="102"/>
      <c r="B139" s="43" t="str">
        <f t="shared" si="2"/>
        <v/>
      </c>
      <c r="C139" s="102" t="str">
        <f>IF(I139="", "", IFERROR(VLOOKUP(I139, Clasificaciones!D:E, 2, FALSE), "DATO NO CARGADO"))
</f>
        <v/>
      </c>
      <c r="D139" s="51"/>
      <c r="E139" s="102"/>
      <c r="F139" s="102"/>
      <c r="G139" s="103"/>
      <c r="K139" s="103"/>
      <c r="L139" s="113"/>
      <c r="M139" s="107"/>
      <c r="N139" s="106" t="str">
        <f>IF(ISBLANK(L139), "", VLOOKUP(D139, 'Info Tipo de Cambio y REM'!$A$24:$B$35, 2, FALSE))</f>
        <v/>
      </c>
      <c r="O139" s="107" t="str">
        <f t="shared" si="1"/>
        <v/>
      </c>
    </row>
    <row r="140">
      <c r="A140" s="102"/>
      <c r="B140" s="43" t="str">
        <f t="shared" si="2"/>
        <v/>
      </c>
      <c r="C140" s="102" t="str">
        <f>IF(I140="", "", IFERROR(VLOOKUP(I140, Clasificaciones!D:E, 2, FALSE), "DATO NO CARGADO"))
</f>
        <v/>
      </c>
      <c r="D140" s="51"/>
      <c r="E140" s="102"/>
      <c r="F140" s="102"/>
      <c r="G140" s="103"/>
      <c r="K140" s="103"/>
      <c r="L140" s="113"/>
      <c r="M140" s="107"/>
      <c r="N140" s="106" t="str">
        <f>IF(ISBLANK(L140), "", VLOOKUP(D140, 'Info Tipo de Cambio y REM'!$A$24:$B$35, 2, FALSE))</f>
        <v/>
      </c>
      <c r="O140" s="107" t="str">
        <f t="shared" si="1"/>
        <v/>
      </c>
    </row>
    <row r="141">
      <c r="A141" s="102"/>
      <c r="B141" s="43" t="str">
        <f t="shared" si="2"/>
        <v/>
      </c>
      <c r="C141" s="102" t="str">
        <f>IF(I141="", "", IFERROR(VLOOKUP(I141, Clasificaciones!D:E, 2, FALSE), "DATO NO CARGADO"))
</f>
        <v/>
      </c>
      <c r="D141" s="51"/>
      <c r="E141" s="102"/>
      <c r="F141" s="102"/>
      <c r="G141" s="103"/>
      <c r="K141" s="103"/>
      <c r="L141" s="113"/>
      <c r="M141" s="107"/>
      <c r="N141" s="106" t="str">
        <f>IF(ISBLANK(L141), "", VLOOKUP(D141, 'Info Tipo de Cambio y REM'!$A$24:$B$35, 2, FALSE))</f>
        <v/>
      </c>
      <c r="O141" s="107" t="str">
        <f t="shared" si="1"/>
        <v/>
      </c>
    </row>
    <row r="142">
      <c r="A142" s="102"/>
      <c r="B142" s="43" t="str">
        <f t="shared" si="2"/>
        <v/>
      </c>
      <c r="C142" s="102" t="str">
        <f>IF(I142="", "", IFERROR(VLOOKUP(I142, Clasificaciones!D:E, 2, FALSE), "DATO NO CARGADO"))
</f>
        <v/>
      </c>
      <c r="D142" s="51"/>
      <c r="E142" s="102"/>
      <c r="F142" s="102"/>
      <c r="G142" s="103"/>
      <c r="K142" s="103"/>
      <c r="L142" s="113"/>
      <c r="M142" s="107"/>
      <c r="N142" s="106" t="str">
        <f>IF(ISBLANK(L142), "", VLOOKUP(D142, 'Info Tipo de Cambio y REM'!$A$24:$B$35, 2, FALSE))</f>
        <v/>
      </c>
      <c r="O142" s="107" t="str">
        <f t="shared" si="1"/>
        <v/>
      </c>
    </row>
    <row r="143">
      <c r="A143" s="102"/>
      <c r="B143" s="43" t="str">
        <f t="shared" si="2"/>
        <v/>
      </c>
      <c r="C143" s="102" t="str">
        <f>IF(I143="", "", IFERROR(VLOOKUP(I143, Clasificaciones!D:E, 2, FALSE), "DATO NO CARGADO"))
</f>
        <v/>
      </c>
      <c r="D143" s="51"/>
      <c r="E143" s="102"/>
      <c r="F143" s="102"/>
      <c r="G143" s="103"/>
      <c r="K143" s="103"/>
      <c r="L143" s="113"/>
      <c r="M143" s="107"/>
      <c r="N143" s="106" t="str">
        <f>IF(ISBLANK(L143), "", VLOOKUP(D143, 'Info Tipo de Cambio y REM'!$A$24:$B$35, 2, FALSE))</f>
        <v/>
      </c>
      <c r="O143" s="107" t="str">
        <f t="shared" si="1"/>
        <v/>
      </c>
    </row>
    <row r="144">
      <c r="A144" s="102"/>
      <c r="B144" s="43" t="str">
        <f t="shared" si="2"/>
        <v/>
      </c>
      <c r="C144" s="102" t="str">
        <f>IF(I144="", "", IFERROR(VLOOKUP(I144, Clasificaciones!D:E, 2, FALSE), "DATO NO CARGADO"))
</f>
        <v/>
      </c>
      <c r="D144" s="51"/>
      <c r="E144" s="102"/>
      <c r="F144" s="102"/>
      <c r="G144" s="103"/>
      <c r="K144" s="103"/>
      <c r="L144" s="113"/>
      <c r="M144" s="107"/>
      <c r="N144" s="106" t="str">
        <f>IF(ISBLANK(L144), "", VLOOKUP(D144, 'Info Tipo de Cambio y REM'!$A$24:$B$35, 2, FALSE))</f>
        <v/>
      </c>
      <c r="O144" s="107" t="str">
        <f t="shared" si="1"/>
        <v/>
      </c>
    </row>
    <row r="145">
      <c r="A145" s="102"/>
      <c r="B145" s="43" t="str">
        <f t="shared" si="2"/>
        <v/>
      </c>
      <c r="C145" s="102" t="str">
        <f>IF(I145="", "", IFERROR(VLOOKUP(I145, Clasificaciones!D:E, 2, FALSE), "DATO NO CARGADO"))
</f>
        <v/>
      </c>
      <c r="D145" s="51"/>
      <c r="E145" s="102"/>
      <c r="F145" s="102"/>
      <c r="G145" s="103"/>
      <c r="K145" s="103"/>
      <c r="L145" s="113"/>
      <c r="M145" s="107"/>
      <c r="N145" s="106" t="str">
        <f>IF(ISBLANK(L145), "", VLOOKUP(D145, 'Info Tipo de Cambio y REM'!$A$24:$B$35, 2, FALSE))</f>
        <v/>
      </c>
      <c r="O145" s="107" t="str">
        <f t="shared" si="1"/>
        <v/>
      </c>
    </row>
    <row r="146">
      <c r="A146" s="102"/>
      <c r="B146" s="43" t="str">
        <f t="shared" si="2"/>
        <v/>
      </c>
      <c r="C146" s="102" t="str">
        <f>IF(I146="", "", IFERROR(VLOOKUP(I146, Clasificaciones!D:E, 2, FALSE), "DATO NO CARGADO"))
</f>
        <v/>
      </c>
      <c r="D146" s="51"/>
      <c r="E146" s="102"/>
      <c r="F146" s="102"/>
      <c r="G146" s="103"/>
      <c r="K146" s="103"/>
      <c r="L146" s="113"/>
      <c r="M146" s="107"/>
      <c r="N146" s="106" t="str">
        <f>IF(ISBLANK(L146), "", VLOOKUP(D146, 'Info Tipo de Cambio y REM'!$A$24:$B$35, 2, FALSE))</f>
        <v/>
      </c>
      <c r="O146" s="107" t="str">
        <f t="shared" si="1"/>
        <v/>
      </c>
    </row>
    <row r="147">
      <c r="A147" s="102"/>
      <c r="B147" s="43" t="str">
        <f t="shared" si="2"/>
        <v/>
      </c>
      <c r="C147" s="102" t="str">
        <f>IF(I147="", "", IFERROR(VLOOKUP(I147, Clasificaciones!D:E, 2, FALSE), "DATO NO CARGADO"))
</f>
        <v/>
      </c>
      <c r="D147" s="51"/>
      <c r="E147" s="102"/>
      <c r="F147" s="102"/>
      <c r="G147" s="103"/>
      <c r="K147" s="103"/>
      <c r="L147" s="113"/>
      <c r="M147" s="107"/>
      <c r="N147" s="106" t="str">
        <f>IF(ISBLANK(L147), "", VLOOKUP(D147, 'Info Tipo de Cambio y REM'!$A$24:$B$35, 2, FALSE))</f>
        <v/>
      </c>
      <c r="O147" s="107" t="str">
        <f t="shared" si="1"/>
        <v/>
      </c>
    </row>
    <row r="148">
      <c r="A148" s="102"/>
      <c r="B148" s="43" t="str">
        <f t="shared" si="2"/>
        <v/>
      </c>
      <c r="C148" s="102" t="str">
        <f>IF(I148="", "", IFERROR(VLOOKUP(I148, Clasificaciones!D:E, 2, FALSE), "DATO NO CARGADO"))
</f>
        <v/>
      </c>
      <c r="D148" s="51"/>
      <c r="E148" s="102"/>
      <c r="F148" s="102"/>
      <c r="G148" s="103"/>
      <c r="K148" s="103"/>
      <c r="L148" s="113"/>
      <c r="M148" s="107"/>
      <c r="N148" s="106" t="str">
        <f>IF(ISBLANK(L148), "", VLOOKUP(D148, 'Info Tipo de Cambio y REM'!$A$24:$B$35, 2, FALSE))</f>
        <v/>
      </c>
      <c r="O148" s="107" t="str">
        <f t="shared" si="1"/>
        <v/>
      </c>
    </row>
    <row r="149">
      <c r="A149" s="102"/>
      <c r="B149" s="43" t="str">
        <f t="shared" si="2"/>
        <v/>
      </c>
      <c r="C149" s="102" t="str">
        <f>IF(I149="", "", IFERROR(VLOOKUP(I149, Clasificaciones!D:E, 2, FALSE), "DATO NO CARGADO"))
</f>
        <v/>
      </c>
      <c r="D149" s="51"/>
      <c r="E149" s="102"/>
      <c r="F149" s="102"/>
      <c r="G149" s="103"/>
      <c r="K149" s="103"/>
      <c r="L149" s="113"/>
      <c r="M149" s="107"/>
      <c r="N149" s="106" t="str">
        <f>IF(ISBLANK(L149), "", VLOOKUP(D149, 'Info Tipo de Cambio y REM'!$A$24:$B$35, 2, FALSE))</f>
        <v/>
      </c>
      <c r="O149" s="107" t="str">
        <f t="shared" si="1"/>
        <v/>
      </c>
    </row>
    <row r="150">
      <c r="A150" s="102"/>
      <c r="B150" s="43" t="str">
        <f t="shared" si="2"/>
        <v/>
      </c>
      <c r="C150" s="102" t="str">
        <f>IF(I150="", "", IFERROR(VLOOKUP(I150, Clasificaciones!D:E, 2, FALSE), "DATO NO CARGADO"))
</f>
        <v/>
      </c>
      <c r="D150" s="51"/>
      <c r="E150" s="102"/>
      <c r="F150" s="102"/>
      <c r="G150" s="103"/>
      <c r="K150" s="103"/>
      <c r="L150" s="113"/>
      <c r="M150" s="107"/>
      <c r="N150" s="106" t="str">
        <f>IF(ISBLANK(L150), "", VLOOKUP(D150, 'Info Tipo de Cambio y REM'!$A$24:$B$35, 2, FALSE))</f>
        <v/>
      </c>
      <c r="O150" s="107" t="str">
        <f t="shared" si="1"/>
        <v/>
      </c>
    </row>
    <row r="151">
      <c r="A151" s="102"/>
      <c r="B151" s="43" t="str">
        <f t="shared" si="2"/>
        <v/>
      </c>
      <c r="C151" s="102" t="str">
        <f>IF(I151="", "", IFERROR(VLOOKUP(I151, Clasificaciones!D:E, 2, FALSE), "DATO NO CARGADO"))
</f>
        <v/>
      </c>
      <c r="D151" s="51"/>
      <c r="E151" s="102"/>
      <c r="F151" s="102"/>
      <c r="G151" s="103"/>
      <c r="K151" s="103"/>
      <c r="L151" s="113"/>
      <c r="M151" s="107"/>
      <c r="N151" s="106" t="str">
        <f>IF(ISBLANK(L151), "", VLOOKUP(D151, 'Info Tipo de Cambio y REM'!$A$24:$B$35, 2, FALSE))</f>
        <v/>
      </c>
      <c r="O151" s="107" t="str">
        <f t="shared" si="1"/>
        <v/>
      </c>
    </row>
    <row r="152">
      <c r="A152" s="102"/>
      <c r="B152" s="43" t="str">
        <f t="shared" si="2"/>
        <v/>
      </c>
      <c r="C152" s="102" t="str">
        <f>IF(I152="", "", IFERROR(VLOOKUP(I152, Clasificaciones!D:E, 2, FALSE), "DATO NO CARGADO"))
</f>
        <v/>
      </c>
      <c r="D152" s="51"/>
      <c r="E152" s="102"/>
      <c r="F152" s="102"/>
      <c r="G152" s="103"/>
      <c r="K152" s="103"/>
      <c r="L152" s="113"/>
      <c r="M152" s="107"/>
      <c r="N152" s="106" t="str">
        <f>IF(ISBLANK(L152), "", VLOOKUP(D152, 'Info Tipo de Cambio y REM'!$A$24:$B$35, 2, FALSE))</f>
        <v/>
      </c>
      <c r="O152" s="107" t="str">
        <f t="shared" si="1"/>
        <v/>
      </c>
    </row>
    <row r="153">
      <c r="A153" s="102"/>
      <c r="B153" s="43" t="str">
        <f t="shared" si="2"/>
        <v/>
      </c>
      <c r="C153" s="102" t="str">
        <f>IF(I153="", "", IFERROR(VLOOKUP(I153, Clasificaciones!D:E, 2, FALSE), "DATO NO CARGADO"))
</f>
        <v/>
      </c>
      <c r="D153" s="51"/>
      <c r="E153" s="102"/>
      <c r="F153" s="102"/>
      <c r="G153" s="103"/>
      <c r="K153" s="103"/>
      <c r="L153" s="113"/>
      <c r="M153" s="107"/>
      <c r="N153" s="106" t="str">
        <f>IF(ISBLANK(L153), "", VLOOKUP(D153, 'Info Tipo de Cambio y REM'!$A$24:$B$35, 2, FALSE))</f>
        <v/>
      </c>
      <c r="O153" s="107" t="str">
        <f t="shared" si="1"/>
        <v/>
      </c>
    </row>
    <row r="154">
      <c r="A154" s="102"/>
      <c r="B154" s="43" t="str">
        <f t="shared" si="2"/>
        <v/>
      </c>
      <c r="C154" s="102" t="str">
        <f>IF(I154="", "", IFERROR(VLOOKUP(I154, Clasificaciones!D:E, 2, FALSE), "DATO NO CARGADO"))
</f>
        <v/>
      </c>
      <c r="D154" s="51"/>
      <c r="E154" s="102"/>
      <c r="F154" s="102"/>
      <c r="G154" s="103"/>
      <c r="K154" s="103"/>
      <c r="L154" s="113"/>
      <c r="M154" s="107"/>
      <c r="N154" s="106" t="str">
        <f>IF(ISBLANK(L154), "", VLOOKUP(D154, 'Info Tipo de Cambio y REM'!$A$24:$B$35, 2, FALSE))</f>
        <v/>
      </c>
      <c r="O154" s="107" t="str">
        <f t="shared" si="1"/>
        <v/>
      </c>
    </row>
    <row r="155">
      <c r="A155" s="102"/>
      <c r="B155" s="43" t="str">
        <f t="shared" si="2"/>
        <v/>
      </c>
      <c r="C155" s="102" t="str">
        <f>IF(I155="", "", IFERROR(VLOOKUP(I155, Clasificaciones!D:E, 2, FALSE), "DATO NO CARGADO"))
</f>
        <v/>
      </c>
      <c r="D155" s="51"/>
      <c r="E155" s="102"/>
      <c r="F155" s="102"/>
      <c r="G155" s="103"/>
      <c r="K155" s="103"/>
      <c r="L155" s="113"/>
      <c r="M155" s="107"/>
      <c r="N155" s="106" t="str">
        <f>IF(ISBLANK(L155), "", VLOOKUP(D155, 'Info Tipo de Cambio y REM'!$A$24:$B$35, 2, FALSE))</f>
        <v/>
      </c>
      <c r="O155" s="107" t="str">
        <f t="shared" si="1"/>
        <v/>
      </c>
    </row>
    <row r="156">
      <c r="A156" s="102"/>
      <c r="B156" s="43" t="str">
        <f t="shared" si="2"/>
        <v/>
      </c>
      <c r="C156" s="102" t="str">
        <f>IF(I156="", "", IFERROR(VLOOKUP(I156, Clasificaciones!D:E, 2, FALSE), "DATO NO CARGADO"))
</f>
        <v/>
      </c>
      <c r="D156" s="51"/>
      <c r="E156" s="102"/>
      <c r="F156" s="102"/>
      <c r="G156" s="103"/>
      <c r="K156" s="103"/>
      <c r="L156" s="113"/>
      <c r="M156" s="107"/>
      <c r="N156" s="106" t="str">
        <f>IF(ISBLANK(L156), "", VLOOKUP(D156, 'Info Tipo de Cambio y REM'!$A$24:$B$35, 2, FALSE))</f>
        <v/>
      </c>
      <c r="O156" s="107" t="str">
        <f t="shared" si="1"/>
        <v/>
      </c>
    </row>
    <row r="157">
      <c r="A157" s="102"/>
      <c r="B157" s="43" t="str">
        <f t="shared" si="2"/>
        <v/>
      </c>
      <c r="C157" s="102" t="str">
        <f>IF(I157="", "", IFERROR(VLOOKUP(I157, Clasificaciones!D:E, 2, FALSE), "DATO NO CARGADO"))
</f>
        <v/>
      </c>
      <c r="D157" s="51"/>
      <c r="E157" s="102"/>
      <c r="F157" s="102"/>
      <c r="G157" s="103"/>
      <c r="K157" s="103"/>
      <c r="L157" s="113"/>
      <c r="M157" s="107"/>
      <c r="N157" s="106" t="str">
        <f>IF(ISBLANK(L157), "", VLOOKUP(D157, 'Info Tipo de Cambio y REM'!$A$24:$B$35, 2, FALSE))</f>
        <v/>
      </c>
      <c r="O157" s="107" t="str">
        <f t="shared" si="1"/>
        <v/>
      </c>
    </row>
    <row r="158">
      <c r="A158" s="102"/>
      <c r="B158" s="43" t="str">
        <f t="shared" si="2"/>
        <v/>
      </c>
      <c r="C158" s="102" t="str">
        <f>IF(I158="", "", IFERROR(VLOOKUP(I158, Clasificaciones!D:E, 2, FALSE), "DATO NO CARGADO"))
</f>
        <v/>
      </c>
      <c r="D158" s="51"/>
      <c r="E158" s="102"/>
      <c r="F158" s="102"/>
      <c r="G158" s="103"/>
      <c r="K158" s="103"/>
      <c r="L158" s="113"/>
      <c r="M158" s="107"/>
      <c r="N158" s="106" t="str">
        <f>IF(ISBLANK(L158), "", VLOOKUP(D158, 'Info Tipo de Cambio y REM'!$A$24:$B$35, 2, FALSE))</f>
        <v/>
      </c>
      <c r="O158" s="107" t="str">
        <f t="shared" si="1"/>
        <v/>
      </c>
    </row>
    <row r="159">
      <c r="A159" s="102"/>
      <c r="B159" s="43" t="str">
        <f t="shared" si="2"/>
        <v/>
      </c>
      <c r="C159" s="102" t="str">
        <f>IF(I159="", "", IFERROR(VLOOKUP(I159, Clasificaciones!D:E, 2, FALSE), "DATO NO CARGADO"))
</f>
        <v/>
      </c>
      <c r="D159" s="51"/>
      <c r="E159" s="102"/>
      <c r="F159" s="102"/>
      <c r="G159" s="103"/>
      <c r="K159" s="103"/>
      <c r="L159" s="113"/>
      <c r="M159" s="107"/>
      <c r="N159" s="106" t="str">
        <f>IF(ISBLANK(L159), "", VLOOKUP(D159, 'Info Tipo de Cambio y REM'!$A$24:$B$35, 2, FALSE))</f>
        <v/>
      </c>
      <c r="O159" s="107" t="str">
        <f t="shared" si="1"/>
        <v/>
      </c>
    </row>
    <row r="160">
      <c r="A160" s="102"/>
      <c r="B160" s="43" t="str">
        <f t="shared" si="2"/>
        <v/>
      </c>
      <c r="C160" s="102" t="str">
        <f>IF(I160="", "", IFERROR(VLOOKUP(I160, Clasificaciones!D:E, 2, FALSE), "DATO NO CARGADO"))
</f>
        <v/>
      </c>
      <c r="D160" s="51"/>
      <c r="E160" s="102"/>
      <c r="F160" s="102"/>
      <c r="G160" s="103"/>
      <c r="K160" s="103"/>
      <c r="L160" s="113"/>
      <c r="M160" s="107"/>
      <c r="N160" s="106" t="str">
        <f>IF(ISBLANK(L160), "", VLOOKUP(D160, 'Info Tipo de Cambio y REM'!$A$24:$B$35, 2, FALSE))</f>
        <v/>
      </c>
      <c r="O160" s="107" t="str">
        <f t="shared" si="1"/>
        <v/>
      </c>
    </row>
    <row r="161">
      <c r="A161" s="102"/>
      <c r="B161" s="43" t="str">
        <f t="shared" si="2"/>
        <v/>
      </c>
      <c r="C161" s="102" t="str">
        <f>IF(I161="", "", IFERROR(VLOOKUP(I161, Clasificaciones!D:E, 2, FALSE), "DATO NO CARGADO"))
</f>
        <v/>
      </c>
      <c r="D161" s="51"/>
      <c r="E161" s="102"/>
      <c r="F161" s="102"/>
      <c r="G161" s="103"/>
      <c r="K161" s="103"/>
      <c r="L161" s="113"/>
      <c r="M161" s="107"/>
      <c r="N161" s="106" t="str">
        <f>IF(ISBLANK(L161), "", VLOOKUP(D161, 'Info Tipo de Cambio y REM'!$A$24:$B$35, 2, FALSE))</f>
        <v/>
      </c>
      <c r="O161" s="107" t="str">
        <f t="shared" si="1"/>
        <v/>
      </c>
    </row>
    <row r="162">
      <c r="A162" s="102"/>
      <c r="B162" s="43" t="str">
        <f t="shared" si="2"/>
        <v/>
      </c>
      <c r="C162" s="102" t="str">
        <f>IF(I162="", "", IFERROR(VLOOKUP(I162, Clasificaciones!D:E, 2, FALSE), "DATO NO CARGADO"))
</f>
        <v/>
      </c>
      <c r="D162" s="51"/>
      <c r="E162" s="102"/>
      <c r="F162" s="102"/>
      <c r="G162" s="103"/>
      <c r="K162" s="103"/>
      <c r="L162" s="113"/>
      <c r="M162" s="107"/>
      <c r="N162" s="106" t="str">
        <f>IF(ISBLANK(L162), "", VLOOKUP(D162, 'Info Tipo de Cambio y REM'!$A$24:$B$35, 2, FALSE))</f>
        <v/>
      </c>
      <c r="O162" s="107" t="str">
        <f t="shared" si="1"/>
        <v/>
      </c>
    </row>
    <row r="163">
      <c r="A163" s="102"/>
      <c r="B163" s="43" t="str">
        <f t="shared" si="2"/>
        <v/>
      </c>
      <c r="C163" s="102" t="str">
        <f>IF(I163="", "", IFERROR(VLOOKUP(I163, Clasificaciones!D:E, 2, FALSE), "DATO NO CARGADO"))
</f>
        <v/>
      </c>
      <c r="D163" s="51"/>
      <c r="E163" s="102"/>
      <c r="F163" s="102"/>
      <c r="G163" s="103"/>
      <c r="K163" s="103"/>
      <c r="L163" s="113"/>
      <c r="M163" s="107"/>
      <c r="N163" s="106" t="str">
        <f>IF(ISBLANK(L163), "", VLOOKUP(D163, 'Info Tipo de Cambio y REM'!$A$24:$B$35, 2, FALSE))</f>
        <v/>
      </c>
      <c r="O163" s="107" t="str">
        <f t="shared" si="1"/>
        <v/>
      </c>
    </row>
    <row r="164">
      <c r="A164" s="102"/>
      <c r="B164" s="43" t="str">
        <f t="shared" si="2"/>
        <v/>
      </c>
      <c r="C164" s="102" t="str">
        <f>IF(I164="", "", IFERROR(VLOOKUP(I164, Clasificaciones!D:E, 2, FALSE), "DATO NO CARGADO"))
</f>
        <v/>
      </c>
      <c r="D164" s="51"/>
      <c r="E164" s="102"/>
      <c r="F164" s="102"/>
      <c r="G164" s="103"/>
      <c r="K164" s="103"/>
      <c r="L164" s="113"/>
      <c r="M164" s="107"/>
      <c r="N164" s="106" t="str">
        <f>IF(ISBLANK(L164), "", VLOOKUP(D164, 'Info Tipo de Cambio y REM'!$A$24:$B$35, 2, FALSE))</f>
        <v/>
      </c>
      <c r="O164" s="107" t="str">
        <f t="shared" si="1"/>
        <v/>
      </c>
    </row>
    <row r="165">
      <c r="A165" s="102"/>
      <c r="B165" s="43" t="str">
        <f t="shared" si="2"/>
        <v/>
      </c>
      <c r="C165" s="102" t="str">
        <f>IF(I165="", "", IFERROR(VLOOKUP(I165, Clasificaciones!D:E, 2, FALSE), "DATO NO CARGADO"))
</f>
        <v/>
      </c>
      <c r="D165" s="51"/>
      <c r="E165" s="102"/>
      <c r="F165" s="102"/>
      <c r="G165" s="103"/>
      <c r="K165" s="103"/>
      <c r="L165" s="113"/>
      <c r="M165" s="107"/>
      <c r="N165" s="106" t="str">
        <f>IF(ISBLANK(L165), "", VLOOKUP(D165, 'Info Tipo de Cambio y REM'!$A$24:$B$35, 2, FALSE))</f>
        <v/>
      </c>
      <c r="O165" s="107" t="str">
        <f t="shared" si="1"/>
        <v/>
      </c>
    </row>
    <row r="166">
      <c r="A166" s="102"/>
      <c r="B166" s="43" t="str">
        <f t="shared" si="2"/>
        <v/>
      </c>
      <c r="C166" s="102" t="str">
        <f>IF(I166="", "", IFERROR(VLOOKUP(I166, Clasificaciones!D:E, 2, FALSE), "DATO NO CARGADO"))
</f>
        <v/>
      </c>
      <c r="D166" s="51"/>
      <c r="E166" s="102"/>
      <c r="F166" s="102"/>
      <c r="G166" s="103"/>
      <c r="K166" s="103"/>
      <c r="L166" s="113"/>
      <c r="M166" s="107"/>
      <c r="N166" s="106" t="str">
        <f>IF(ISBLANK(L166), "", VLOOKUP(D166, 'Info Tipo de Cambio y REM'!$A$24:$B$35, 2, FALSE))</f>
        <v/>
      </c>
      <c r="O166" s="107" t="str">
        <f t="shared" si="1"/>
        <v/>
      </c>
    </row>
    <row r="167">
      <c r="A167" s="102"/>
      <c r="B167" s="43" t="str">
        <f t="shared" si="2"/>
        <v/>
      </c>
      <c r="C167" s="102" t="str">
        <f>IF(I167="", "", IFERROR(VLOOKUP(I167, Clasificaciones!D:E, 2, FALSE), "DATO NO CARGADO"))
</f>
        <v/>
      </c>
      <c r="D167" s="51"/>
      <c r="E167" s="102"/>
      <c r="F167" s="102"/>
      <c r="G167" s="103"/>
      <c r="K167" s="103"/>
      <c r="L167" s="113"/>
      <c r="M167" s="107"/>
      <c r="N167" s="106" t="str">
        <f>IF(ISBLANK(L167), "", VLOOKUP(D167, 'Info Tipo de Cambio y REM'!$A$24:$B$35, 2, FALSE))</f>
        <v/>
      </c>
      <c r="O167" s="107" t="str">
        <f t="shared" si="1"/>
        <v/>
      </c>
    </row>
    <row r="168">
      <c r="A168" s="102"/>
      <c r="B168" s="43" t="str">
        <f t="shared" si="2"/>
        <v/>
      </c>
      <c r="C168" s="102" t="str">
        <f>IF(I168="", "", IFERROR(VLOOKUP(I168, Clasificaciones!D:E, 2, FALSE), "DATO NO CARGADO"))
</f>
        <v/>
      </c>
      <c r="D168" s="51"/>
      <c r="E168" s="102"/>
      <c r="F168" s="102"/>
      <c r="G168" s="103"/>
      <c r="K168" s="103"/>
      <c r="L168" s="113"/>
      <c r="M168" s="107"/>
      <c r="N168" s="106" t="str">
        <f>IF(ISBLANK(L168), "", VLOOKUP(D168, 'Info Tipo de Cambio y REM'!$A$24:$B$35, 2, FALSE))</f>
        <v/>
      </c>
      <c r="O168" s="107" t="str">
        <f t="shared" si="1"/>
        <v/>
      </c>
    </row>
    <row r="169">
      <c r="A169" s="102"/>
      <c r="B169" s="43" t="str">
        <f t="shared" si="2"/>
        <v/>
      </c>
      <c r="C169" s="102" t="str">
        <f>IF(I169="", "", IFERROR(VLOOKUP(I169, Clasificaciones!D:E, 2, FALSE), "DATO NO CARGADO"))
</f>
        <v/>
      </c>
      <c r="D169" s="51"/>
      <c r="E169" s="102"/>
      <c r="F169" s="102"/>
      <c r="G169" s="103"/>
      <c r="K169" s="103"/>
      <c r="L169" s="113"/>
      <c r="M169" s="107"/>
      <c r="N169" s="106" t="str">
        <f>IF(ISBLANK(L169), "", VLOOKUP(D169, 'Info Tipo de Cambio y REM'!$A$24:$B$35, 2, FALSE))</f>
        <v/>
      </c>
      <c r="O169" s="107" t="str">
        <f t="shared" si="1"/>
        <v/>
      </c>
    </row>
    <row r="170">
      <c r="A170" s="102"/>
      <c r="B170" s="43" t="str">
        <f t="shared" si="2"/>
        <v/>
      </c>
      <c r="C170" s="102" t="str">
        <f>IF(I170="", "", IFERROR(VLOOKUP(I170, Clasificaciones!D:E, 2, FALSE), "DATO NO CARGADO"))
</f>
        <v/>
      </c>
      <c r="D170" s="51"/>
      <c r="E170" s="102"/>
      <c r="F170" s="102"/>
      <c r="G170" s="103"/>
      <c r="K170" s="103"/>
      <c r="L170" s="113"/>
      <c r="M170" s="107"/>
      <c r="N170" s="106" t="str">
        <f>IF(ISBLANK(L170), "", VLOOKUP(D170, 'Info Tipo de Cambio y REM'!$A$24:$B$35, 2, FALSE))</f>
        <v/>
      </c>
      <c r="O170" s="107" t="str">
        <f t="shared" si="1"/>
        <v/>
      </c>
    </row>
    <row r="171">
      <c r="A171" s="102"/>
      <c r="B171" s="43" t="str">
        <f t="shared" si="2"/>
        <v/>
      </c>
      <c r="C171" s="102" t="str">
        <f>IF(I171="", "", IFERROR(VLOOKUP(I171, Clasificaciones!D:E, 2, FALSE), "DATO NO CARGADO"))
</f>
        <v/>
      </c>
      <c r="D171" s="51"/>
      <c r="E171" s="102"/>
      <c r="F171" s="102"/>
      <c r="G171" s="103"/>
      <c r="K171" s="103"/>
      <c r="L171" s="113"/>
      <c r="M171" s="107"/>
      <c r="N171" s="106" t="str">
        <f>IF(ISBLANK(L171), "", VLOOKUP(D171, 'Info Tipo de Cambio y REM'!$A$24:$B$35, 2, FALSE))</f>
        <v/>
      </c>
      <c r="O171" s="107" t="str">
        <f t="shared" si="1"/>
        <v/>
      </c>
    </row>
    <row r="172">
      <c r="A172" s="102"/>
      <c r="B172" s="43" t="str">
        <f t="shared" si="2"/>
        <v/>
      </c>
      <c r="C172" s="102" t="str">
        <f>IF(I172="", "", IFERROR(VLOOKUP(I172, Clasificaciones!D:E, 2, FALSE), "DATO NO CARGADO"))
</f>
        <v/>
      </c>
      <c r="D172" s="51"/>
      <c r="E172" s="102"/>
      <c r="F172" s="102"/>
      <c r="G172" s="103"/>
      <c r="K172" s="103"/>
      <c r="L172" s="113"/>
      <c r="M172" s="107"/>
      <c r="N172" s="106" t="str">
        <f>IF(ISBLANK(L172), "", VLOOKUP(D172, 'Info Tipo de Cambio y REM'!$A$24:$B$35, 2, FALSE))</f>
        <v/>
      </c>
      <c r="O172" s="107" t="str">
        <f t="shared" si="1"/>
        <v/>
      </c>
    </row>
    <row r="173">
      <c r="A173" s="102"/>
      <c r="B173" s="43" t="str">
        <f t="shared" si="2"/>
        <v/>
      </c>
      <c r="C173" s="102" t="str">
        <f>IF(I173="", "", IFERROR(VLOOKUP(I173, Clasificaciones!D:E, 2, FALSE), "DATO NO CARGADO"))
</f>
        <v/>
      </c>
      <c r="D173" s="51"/>
      <c r="E173" s="102"/>
      <c r="F173" s="102"/>
      <c r="G173" s="103"/>
      <c r="K173" s="103"/>
      <c r="L173" s="113"/>
      <c r="M173" s="107"/>
      <c r="N173" s="106" t="str">
        <f>IF(ISBLANK(L173), "", VLOOKUP(D173, 'Info Tipo de Cambio y REM'!$A$24:$B$35, 2, FALSE))</f>
        <v/>
      </c>
      <c r="O173" s="107" t="str">
        <f t="shared" si="1"/>
        <v/>
      </c>
    </row>
    <row r="174">
      <c r="A174" s="102"/>
      <c r="B174" s="43" t="str">
        <f t="shared" si="2"/>
        <v/>
      </c>
      <c r="C174" s="102" t="str">
        <f>IF(I174="", "", IFERROR(VLOOKUP(I174, Clasificaciones!D:E, 2, FALSE), "DATO NO CARGADO"))
</f>
        <v/>
      </c>
      <c r="D174" s="51"/>
      <c r="E174" s="102"/>
      <c r="F174" s="102"/>
      <c r="G174" s="103"/>
      <c r="K174" s="103"/>
      <c r="L174" s="113"/>
      <c r="M174" s="107"/>
      <c r="N174" s="106" t="str">
        <f>IF(ISBLANK(L174), "", VLOOKUP(D174, 'Info Tipo de Cambio y REM'!$A$24:$B$35, 2, FALSE))</f>
        <v/>
      </c>
      <c r="O174" s="107" t="str">
        <f t="shared" si="1"/>
        <v/>
      </c>
    </row>
    <row r="175">
      <c r="A175" s="102"/>
      <c r="B175" s="43" t="str">
        <f t="shared" si="2"/>
        <v/>
      </c>
      <c r="C175" s="102" t="str">
        <f>IF(I175="", "", IFERROR(VLOOKUP(I175, Clasificaciones!D:E, 2, FALSE), "DATO NO CARGADO"))
</f>
        <v/>
      </c>
      <c r="D175" s="51"/>
      <c r="E175" s="102"/>
      <c r="F175" s="102"/>
      <c r="G175" s="103"/>
      <c r="K175" s="103"/>
      <c r="L175" s="113"/>
      <c r="M175" s="107"/>
      <c r="N175" s="106" t="str">
        <f>IF(ISBLANK(L175), "", VLOOKUP(D175, 'Info Tipo de Cambio y REM'!$A$24:$B$35, 2, FALSE))</f>
        <v/>
      </c>
      <c r="O175" s="107" t="str">
        <f t="shared" si="1"/>
        <v/>
      </c>
    </row>
    <row r="176">
      <c r="A176" s="102"/>
      <c r="B176" s="43" t="str">
        <f t="shared" si="2"/>
        <v/>
      </c>
      <c r="C176" s="102" t="str">
        <f>IF(I176="", "", IFERROR(VLOOKUP(I176, Clasificaciones!D:E, 2, FALSE), "DATO NO CARGADO"))
</f>
        <v/>
      </c>
      <c r="D176" s="51"/>
      <c r="E176" s="102"/>
      <c r="F176" s="102"/>
      <c r="G176" s="103"/>
      <c r="K176" s="103"/>
      <c r="L176" s="113"/>
      <c r="M176" s="107"/>
      <c r="N176" s="106" t="str">
        <f>IF(ISBLANK(L176), "", VLOOKUP(D176, 'Info Tipo de Cambio y REM'!$A$24:$B$35, 2, FALSE))</f>
        <v/>
      </c>
      <c r="O176" s="107" t="str">
        <f t="shared" si="1"/>
        <v/>
      </c>
    </row>
    <row r="177">
      <c r="A177" s="102"/>
      <c r="B177" s="43" t="str">
        <f t="shared" si="2"/>
        <v/>
      </c>
      <c r="C177" s="102" t="str">
        <f>IF(I177="", "", IFERROR(VLOOKUP(I177, Clasificaciones!D:E, 2, FALSE), "DATO NO CARGADO"))
</f>
        <v/>
      </c>
      <c r="D177" s="51"/>
      <c r="E177" s="102"/>
      <c r="F177" s="102"/>
      <c r="G177" s="103"/>
      <c r="K177" s="103"/>
      <c r="L177" s="113"/>
      <c r="M177" s="107"/>
      <c r="N177" s="106" t="str">
        <f>IF(ISBLANK(L177), "", VLOOKUP(D177, 'Info Tipo de Cambio y REM'!$A$24:$B$35, 2, FALSE))</f>
        <v/>
      </c>
      <c r="O177" s="107" t="str">
        <f t="shared" si="1"/>
        <v/>
      </c>
    </row>
    <row r="178">
      <c r="A178" s="102"/>
      <c r="B178" s="43" t="str">
        <f t="shared" si="2"/>
        <v/>
      </c>
      <c r="C178" s="102" t="str">
        <f>IF(I178="", "", IFERROR(VLOOKUP(I178, Clasificaciones!D:E, 2, FALSE), "DATO NO CARGADO"))
</f>
        <v/>
      </c>
      <c r="D178" s="51"/>
      <c r="E178" s="102"/>
      <c r="F178" s="102"/>
      <c r="G178" s="103"/>
      <c r="K178" s="103"/>
      <c r="L178" s="113"/>
      <c r="M178" s="107"/>
      <c r="N178" s="106" t="str">
        <f>IF(ISBLANK(L178), "", VLOOKUP(D178, 'Info Tipo de Cambio y REM'!$A$24:$B$35, 2, FALSE))</f>
        <v/>
      </c>
      <c r="O178" s="107" t="str">
        <f t="shared" si="1"/>
        <v/>
      </c>
    </row>
    <row r="179">
      <c r="A179" s="102"/>
      <c r="B179" s="43" t="str">
        <f t="shared" si="2"/>
        <v/>
      </c>
      <c r="C179" s="102" t="str">
        <f>IF(I179="", "", IFERROR(VLOOKUP(I179, Clasificaciones!D:E, 2, FALSE), "DATO NO CARGADO"))
</f>
        <v/>
      </c>
      <c r="D179" s="51"/>
      <c r="E179" s="102"/>
      <c r="F179" s="102"/>
      <c r="G179" s="103"/>
      <c r="K179" s="103"/>
      <c r="L179" s="113"/>
      <c r="M179" s="107"/>
      <c r="N179" s="106" t="str">
        <f>IF(ISBLANK(L179), "", VLOOKUP(D179, 'Info Tipo de Cambio y REM'!$A$24:$B$35, 2, FALSE))</f>
        <v/>
      </c>
      <c r="O179" s="107" t="str">
        <f t="shared" si="1"/>
        <v/>
      </c>
    </row>
    <row r="180">
      <c r="A180" s="102"/>
      <c r="B180" s="43" t="str">
        <f t="shared" si="2"/>
        <v/>
      </c>
      <c r="C180" s="102" t="str">
        <f>IF(I180="", "", IFERROR(VLOOKUP(I180, Clasificaciones!D:E, 2, FALSE), "DATO NO CARGADO"))
</f>
        <v/>
      </c>
      <c r="D180" s="51"/>
      <c r="E180" s="102"/>
      <c r="F180" s="102"/>
      <c r="G180" s="103"/>
      <c r="K180" s="103"/>
      <c r="L180" s="113"/>
      <c r="M180" s="107"/>
      <c r="N180" s="106" t="str">
        <f>IF(ISBLANK(L180), "", VLOOKUP(D180, 'Info Tipo de Cambio y REM'!$A$24:$B$35, 2, FALSE))</f>
        <v/>
      </c>
      <c r="O180" s="107" t="str">
        <f t="shared" si="1"/>
        <v/>
      </c>
    </row>
    <row r="181">
      <c r="A181" s="102"/>
      <c r="B181" s="43" t="str">
        <f t="shared" si="2"/>
        <v/>
      </c>
      <c r="C181" s="102" t="str">
        <f>IF(I181="", "", IFERROR(VLOOKUP(I181, Clasificaciones!D:E, 2, FALSE), "DATO NO CARGADO"))
</f>
        <v/>
      </c>
      <c r="D181" s="51"/>
      <c r="E181" s="102"/>
      <c r="F181" s="102"/>
      <c r="G181" s="103"/>
      <c r="K181" s="103"/>
      <c r="L181" s="113"/>
      <c r="M181" s="107"/>
      <c r="N181" s="106" t="str">
        <f>IF(ISBLANK(L181), "", VLOOKUP(D181, 'Info Tipo de Cambio y REM'!$A$24:$B$35, 2, FALSE))</f>
        <v/>
      </c>
      <c r="O181" s="107" t="str">
        <f t="shared" si="1"/>
        <v/>
      </c>
    </row>
    <row r="182">
      <c r="A182" s="102"/>
      <c r="B182" s="43" t="str">
        <f t="shared" si="2"/>
        <v/>
      </c>
      <c r="C182" s="102" t="str">
        <f>IF(I182="", "", IFERROR(VLOOKUP(I182, Clasificaciones!D:E, 2, FALSE), "DATO NO CARGADO"))
</f>
        <v/>
      </c>
      <c r="D182" s="51"/>
      <c r="E182" s="102"/>
      <c r="F182" s="102"/>
      <c r="G182" s="103"/>
      <c r="K182" s="103"/>
      <c r="L182" s="113"/>
      <c r="M182" s="107"/>
      <c r="N182" s="106" t="str">
        <f>IF(ISBLANK(L182), "", VLOOKUP(D182, 'Info Tipo de Cambio y REM'!$A$24:$B$35, 2, FALSE))</f>
        <v/>
      </c>
      <c r="O182" s="107" t="str">
        <f t="shared" si="1"/>
        <v/>
      </c>
    </row>
    <row r="183">
      <c r="A183" s="102"/>
      <c r="B183" s="43" t="str">
        <f t="shared" si="2"/>
        <v/>
      </c>
      <c r="C183" s="102" t="str">
        <f>IF(I183="", "", IFERROR(VLOOKUP(I183, Clasificaciones!D:E, 2, FALSE), "DATO NO CARGADO"))
</f>
        <v/>
      </c>
      <c r="D183" s="51"/>
      <c r="E183" s="102"/>
      <c r="F183" s="102"/>
      <c r="G183" s="103"/>
      <c r="K183" s="103"/>
      <c r="L183" s="113"/>
      <c r="M183" s="107"/>
      <c r="N183" s="106" t="str">
        <f>IF(ISBLANK(L183), "", VLOOKUP(D183, 'Info Tipo de Cambio y REM'!$A$24:$B$35, 2, FALSE))</f>
        <v/>
      </c>
      <c r="O183" s="107" t="str">
        <f t="shared" si="1"/>
        <v/>
      </c>
    </row>
    <row r="184">
      <c r="A184" s="102"/>
      <c r="B184" s="43" t="str">
        <f t="shared" si="2"/>
        <v/>
      </c>
      <c r="C184" s="102" t="str">
        <f>IF(I184="", "", IFERROR(VLOOKUP(I184, Clasificaciones!D:E, 2, FALSE), "DATO NO CARGADO"))
</f>
        <v/>
      </c>
      <c r="D184" s="51"/>
      <c r="E184" s="102"/>
      <c r="F184" s="102"/>
      <c r="G184" s="103"/>
      <c r="K184" s="103"/>
      <c r="L184" s="113"/>
      <c r="M184" s="107"/>
      <c r="N184" s="106" t="str">
        <f>IF(ISBLANK(L184), "", VLOOKUP(D184, 'Info Tipo de Cambio y REM'!$A$24:$B$35, 2, FALSE))</f>
        <v/>
      </c>
      <c r="O184" s="107" t="str">
        <f t="shared" si="1"/>
        <v/>
      </c>
    </row>
    <row r="185">
      <c r="A185" s="102"/>
      <c r="B185" s="43" t="str">
        <f t="shared" si="2"/>
        <v/>
      </c>
      <c r="C185" s="102" t="str">
        <f>IF(I185="", "", IFERROR(VLOOKUP(I185, Clasificaciones!D:E, 2, FALSE), "DATO NO CARGADO"))
</f>
        <v/>
      </c>
      <c r="D185" s="51"/>
      <c r="E185" s="102"/>
      <c r="F185" s="102"/>
      <c r="G185" s="103"/>
      <c r="K185" s="103"/>
      <c r="L185" s="113"/>
      <c r="M185" s="107"/>
      <c r="N185" s="106" t="str">
        <f>IF(ISBLANK(L185), "", VLOOKUP(D185, 'Info Tipo de Cambio y REM'!$A$24:$B$35, 2, FALSE))</f>
        <v/>
      </c>
      <c r="O185" s="107" t="str">
        <f t="shared" si="1"/>
        <v/>
      </c>
    </row>
    <row r="186">
      <c r="A186" s="102"/>
      <c r="B186" s="43" t="str">
        <f t="shared" si="2"/>
        <v/>
      </c>
      <c r="C186" s="102" t="str">
        <f>IF(I186="", "", IFERROR(VLOOKUP(I186, Clasificaciones!D:E, 2, FALSE), "DATO NO CARGADO"))
</f>
        <v/>
      </c>
      <c r="D186" s="51"/>
      <c r="E186" s="102"/>
      <c r="F186" s="102"/>
      <c r="G186" s="103"/>
      <c r="K186" s="103"/>
      <c r="L186" s="113"/>
      <c r="M186" s="107"/>
      <c r="N186" s="106" t="str">
        <f>IF(ISBLANK(L186), "", VLOOKUP(D186, 'Info Tipo de Cambio y REM'!$A$24:$B$35, 2, FALSE))</f>
        <v/>
      </c>
      <c r="O186" s="107" t="str">
        <f t="shared" si="1"/>
        <v/>
      </c>
    </row>
    <row r="187">
      <c r="A187" s="102"/>
      <c r="B187" s="43" t="str">
        <f t="shared" si="2"/>
        <v/>
      </c>
      <c r="C187" s="102" t="str">
        <f>IF(I187="", "", IFERROR(VLOOKUP(I187, Clasificaciones!D:E, 2, FALSE), "DATO NO CARGADO"))
</f>
        <v/>
      </c>
      <c r="D187" s="51"/>
      <c r="E187" s="102"/>
      <c r="F187" s="102"/>
      <c r="G187" s="103"/>
      <c r="K187" s="103"/>
      <c r="L187" s="113"/>
      <c r="M187" s="107"/>
      <c r="N187" s="106" t="str">
        <f>IF(ISBLANK(L187), "", VLOOKUP(D187, 'Info Tipo de Cambio y REM'!$A$24:$B$35, 2, FALSE))</f>
        <v/>
      </c>
      <c r="O187" s="107" t="str">
        <f t="shared" si="1"/>
        <v/>
      </c>
    </row>
    <row r="188">
      <c r="A188" s="102"/>
      <c r="B188" s="43" t="str">
        <f t="shared" si="2"/>
        <v/>
      </c>
      <c r="C188" s="102" t="str">
        <f>IF(I188="", "", IFERROR(VLOOKUP(I188, Clasificaciones!D:E, 2, FALSE), "DATO NO CARGADO"))
</f>
        <v/>
      </c>
      <c r="D188" s="51"/>
      <c r="E188" s="102"/>
      <c r="F188" s="102"/>
      <c r="G188" s="103"/>
      <c r="K188" s="103"/>
      <c r="L188" s="113"/>
      <c r="M188" s="107"/>
      <c r="N188" s="106" t="str">
        <f>IF(ISBLANK(L188), "", VLOOKUP(D188, 'Info Tipo de Cambio y REM'!$A$24:$B$35, 2, FALSE))</f>
        <v/>
      </c>
      <c r="O188" s="107" t="str">
        <f t="shared" si="1"/>
        <v/>
      </c>
    </row>
    <row r="189">
      <c r="A189" s="102"/>
      <c r="B189" s="43" t="str">
        <f t="shared" si="2"/>
        <v/>
      </c>
      <c r="C189" s="102" t="str">
        <f>IF(I189="", "", IFERROR(VLOOKUP(I189, Clasificaciones!D:E, 2, FALSE), "DATO NO CARGADO"))
</f>
        <v/>
      </c>
      <c r="D189" s="51"/>
      <c r="E189" s="102"/>
      <c r="F189" s="102"/>
      <c r="G189" s="103"/>
      <c r="K189" s="103"/>
      <c r="L189" s="113"/>
      <c r="M189" s="107"/>
      <c r="N189" s="106" t="str">
        <f>IF(ISBLANK(L189), "", VLOOKUP(D189, 'Info Tipo de Cambio y REM'!$A$24:$B$35, 2, FALSE))</f>
        <v/>
      </c>
      <c r="O189" s="107" t="str">
        <f t="shared" si="1"/>
        <v/>
      </c>
    </row>
    <row r="190">
      <c r="A190" s="102"/>
      <c r="B190" s="43" t="str">
        <f t="shared" si="2"/>
        <v/>
      </c>
      <c r="C190" s="102" t="str">
        <f>IF(I190="", "", IFERROR(VLOOKUP(I190, Clasificaciones!D:E, 2, FALSE), "DATO NO CARGADO"))
</f>
        <v/>
      </c>
      <c r="D190" s="51"/>
      <c r="E190" s="102"/>
      <c r="F190" s="102"/>
      <c r="G190" s="103"/>
      <c r="K190" s="103"/>
      <c r="L190" s="113"/>
      <c r="M190" s="107"/>
      <c r="N190" s="106" t="str">
        <f>IF(ISBLANK(L190), "", VLOOKUP(D190, 'Info Tipo de Cambio y REM'!$A$24:$B$35, 2, FALSE))</f>
        <v/>
      </c>
      <c r="O190" s="107" t="str">
        <f t="shared" si="1"/>
        <v/>
      </c>
    </row>
    <row r="191">
      <c r="A191" s="102"/>
      <c r="B191" s="43" t="str">
        <f t="shared" si="2"/>
        <v/>
      </c>
      <c r="C191" s="102" t="str">
        <f>IF(I191="", "", IFERROR(VLOOKUP(I191, Clasificaciones!D:E, 2, FALSE), "DATO NO CARGADO"))
</f>
        <v/>
      </c>
      <c r="D191" s="51"/>
      <c r="E191" s="102"/>
      <c r="F191" s="102"/>
      <c r="G191" s="103"/>
      <c r="K191" s="103"/>
      <c r="L191" s="113"/>
      <c r="M191" s="107"/>
      <c r="N191" s="106" t="str">
        <f>IF(ISBLANK(L191), "", VLOOKUP(D191, 'Info Tipo de Cambio y REM'!$A$24:$B$35, 2, FALSE))</f>
        <v/>
      </c>
      <c r="O191" s="107" t="str">
        <f t="shared" si="1"/>
        <v/>
      </c>
    </row>
    <row r="192">
      <c r="A192" s="102"/>
      <c r="B192" s="43" t="str">
        <f t="shared" si="2"/>
        <v/>
      </c>
      <c r="C192" s="102" t="str">
        <f>IF(I192="", "", IFERROR(VLOOKUP(I192, Clasificaciones!D:E, 2, FALSE), "DATO NO CARGADO"))
</f>
        <v/>
      </c>
      <c r="D192" s="51"/>
      <c r="E192" s="102"/>
      <c r="F192" s="102"/>
      <c r="G192" s="103"/>
      <c r="K192" s="103"/>
      <c r="L192" s="113"/>
      <c r="M192" s="107"/>
      <c r="N192" s="106" t="str">
        <f>IF(ISBLANK(L192), "", VLOOKUP(D192, 'Info Tipo de Cambio y REM'!$A$24:$B$35, 2, FALSE))</f>
        <v/>
      </c>
      <c r="O192" s="107" t="str">
        <f t="shared" si="1"/>
        <v/>
      </c>
    </row>
    <row r="193">
      <c r="A193" s="102"/>
      <c r="B193" s="43" t="str">
        <f t="shared" si="2"/>
        <v/>
      </c>
      <c r="C193" s="102" t="str">
        <f>IF(I193="", "", IFERROR(VLOOKUP(I193, Clasificaciones!D:E, 2, FALSE), "DATO NO CARGADO"))
</f>
        <v/>
      </c>
      <c r="D193" s="51"/>
      <c r="E193" s="102"/>
      <c r="F193" s="102"/>
      <c r="G193" s="103"/>
      <c r="K193" s="103"/>
      <c r="L193" s="113"/>
      <c r="M193" s="107"/>
      <c r="N193" s="106" t="str">
        <f>IF(ISBLANK(L193), "", VLOOKUP(D193, 'Info Tipo de Cambio y REM'!$A$24:$B$35, 2, FALSE))</f>
        <v/>
      </c>
      <c r="O193" s="107" t="str">
        <f t="shared" si="1"/>
        <v/>
      </c>
    </row>
    <row r="194">
      <c r="A194" s="102"/>
      <c r="B194" s="43" t="str">
        <f t="shared" si="2"/>
        <v/>
      </c>
      <c r="C194" s="102" t="str">
        <f>IF(I194="", "", IFERROR(VLOOKUP(I194, Clasificaciones!D:E, 2, FALSE), "DATO NO CARGADO"))
</f>
        <v/>
      </c>
      <c r="D194" s="51"/>
      <c r="E194" s="102"/>
      <c r="F194" s="102"/>
      <c r="G194" s="103"/>
      <c r="K194" s="103"/>
      <c r="L194" s="113"/>
      <c r="M194" s="107"/>
      <c r="N194" s="106" t="str">
        <f>IF(ISBLANK(L194), "", VLOOKUP(D194, 'Info Tipo de Cambio y REM'!$A$24:$B$35, 2, FALSE))</f>
        <v/>
      </c>
      <c r="O194" s="107" t="str">
        <f t="shared" si="1"/>
        <v/>
      </c>
    </row>
    <row r="195">
      <c r="A195" s="102"/>
      <c r="B195" s="43" t="str">
        <f t="shared" si="2"/>
        <v/>
      </c>
      <c r="C195" s="102" t="str">
        <f>IF(I195="", "", IFERROR(VLOOKUP(I195, Clasificaciones!D:E, 2, FALSE), "DATO NO CARGADO"))
</f>
        <v/>
      </c>
      <c r="D195" s="51"/>
      <c r="E195" s="102"/>
      <c r="F195" s="102"/>
      <c r="G195" s="103"/>
      <c r="K195" s="103"/>
      <c r="L195" s="113"/>
      <c r="M195" s="107"/>
      <c r="N195" s="106" t="str">
        <f>IF(ISBLANK(L195), "", VLOOKUP(D195, 'Info Tipo de Cambio y REM'!$A$24:$B$35, 2, FALSE))</f>
        <v/>
      </c>
      <c r="O195" s="107" t="str">
        <f t="shared" si="1"/>
        <v/>
      </c>
    </row>
    <row r="196">
      <c r="A196" s="102"/>
      <c r="B196" s="43" t="str">
        <f t="shared" si="2"/>
        <v/>
      </c>
      <c r="C196" s="102" t="str">
        <f>IF(I196="", "", IFERROR(VLOOKUP(I196, Clasificaciones!D:E, 2, FALSE), "DATO NO CARGADO"))
</f>
        <v/>
      </c>
      <c r="D196" s="51"/>
      <c r="E196" s="102"/>
      <c r="F196" s="102"/>
      <c r="G196" s="103"/>
      <c r="K196" s="103"/>
      <c r="L196" s="113"/>
      <c r="M196" s="107"/>
      <c r="N196" s="106" t="str">
        <f>IF(ISBLANK(L196), "", VLOOKUP(D196, 'Info Tipo de Cambio y REM'!$A$24:$B$35, 2, FALSE))</f>
        <v/>
      </c>
      <c r="O196" s="107" t="str">
        <f t="shared" si="1"/>
        <v/>
      </c>
    </row>
    <row r="197">
      <c r="A197" s="102"/>
      <c r="B197" s="43" t="str">
        <f t="shared" si="2"/>
        <v/>
      </c>
      <c r="C197" s="102" t="str">
        <f>IF(I197="", "", IFERROR(VLOOKUP(I197, Clasificaciones!D:E, 2, FALSE), "DATO NO CARGADO"))
</f>
        <v/>
      </c>
      <c r="D197" s="51"/>
      <c r="E197" s="102"/>
      <c r="F197" s="102"/>
      <c r="G197" s="103"/>
      <c r="K197" s="103"/>
      <c r="L197" s="113"/>
      <c r="M197" s="107"/>
      <c r="N197" s="106" t="str">
        <f>IF(ISBLANK(L197), "", VLOOKUP(D197, 'Info Tipo de Cambio y REM'!$A$24:$B$35, 2, FALSE))</f>
        <v/>
      </c>
      <c r="O197" s="107" t="str">
        <f t="shared" si="1"/>
        <v/>
      </c>
    </row>
    <row r="198">
      <c r="A198" s="102"/>
      <c r="B198" s="43" t="str">
        <f t="shared" si="2"/>
        <v/>
      </c>
      <c r="C198" s="102" t="str">
        <f>IF(I198="", "", IFERROR(VLOOKUP(I198, Clasificaciones!D:E, 2, FALSE), "DATO NO CARGADO"))
</f>
        <v/>
      </c>
      <c r="D198" s="51"/>
      <c r="E198" s="102"/>
      <c r="F198" s="102"/>
      <c r="G198" s="103"/>
      <c r="K198" s="103"/>
      <c r="L198" s="113"/>
      <c r="M198" s="107"/>
      <c r="N198" s="106" t="str">
        <f>IF(ISBLANK(L198), "", VLOOKUP(D198, 'Info Tipo de Cambio y REM'!$A$24:$B$35, 2, FALSE))</f>
        <v/>
      </c>
      <c r="O198" s="107" t="str">
        <f t="shared" si="1"/>
        <v/>
      </c>
    </row>
    <row r="199">
      <c r="A199" s="102"/>
      <c r="B199" s="43" t="str">
        <f t="shared" si="2"/>
        <v/>
      </c>
      <c r="C199" s="102" t="str">
        <f>IF(I199="", "", IFERROR(VLOOKUP(I199, Clasificaciones!D:E, 2, FALSE), "DATO NO CARGADO"))
</f>
        <v/>
      </c>
      <c r="D199" s="51"/>
      <c r="E199" s="102"/>
      <c r="F199" s="102"/>
      <c r="G199" s="103"/>
      <c r="K199" s="103"/>
      <c r="L199" s="113"/>
      <c r="M199" s="107"/>
      <c r="N199" s="106" t="str">
        <f>IF(ISBLANK(L199), "", VLOOKUP(D199, 'Info Tipo de Cambio y REM'!$A$24:$B$35, 2, FALSE))</f>
        <v/>
      </c>
      <c r="O199" s="107" t="str">
        <f t="shared" si="1"/>
        <v/>
      </c>
    </row>
    <row r="200">
      <c r="A200" s="102"/>
      <c r="B200" s="43" t="str">
        <f t="shared" si="2"/>
        <v/>
      </c>
      <c r="C200" s="102" t="str">
        <f>IF(I200="", "", IFERROR(VLOOKUP(I200, Clasificaciones!D:E, 2, FALSE), "DATO NO CARGADO"))
</f>
        <v/>
      </c>
      <c r="D200" s="51"/>
      <c r="E200" s="102"/>
      <c r="F200" s="102"/>
      <c r="G200" s="103"/>
      <c r="K200" s="103"/>
      <c r="L200" s="113"/>
      <c r="M200" s="107"/>
      <c r="N200" s="106" t="str">
        <f>IF(ISBLANK(L200), "", VLOOKUP(D200, 'Info Tipo de Cambio y REM'!$A$24:$B$35, 2, FALSE))</f>
        <v/>
      </c>
      <c r="O200" s="107" t="str">
        <f t="shared" si="1"/>
        <v/>
      </c>
    </row>
    <row r="201">
      <c r="A201" s="102"/>
      <c r="B201" s="43" t="str">
        <f t="shared" si="2"/>
        <v/>
      </c>
      <c r="C201" s="102" t="str">
        <f>IF(I201="", "", IFERROR(VLOOKUP(I201, Clasificaciones!D:E, 2, FALSE), "DATO NO CARGADO"))
</f>
        <v/>
      </c>
      <c r="D201" s="51"/>
      <c r="E201" s="102"/>
      <c r="F201" s="102"/>
      <c r="G201" s="103"/>
      <c r="K201" s="103"/>
      <c r="L201" s="113"/>
      <c r="M201" s="107"/>
      <c r="N201" s="106" t="str">
        <f>IF(ISBLANK(L201), "", VLOOKUP(D201, 'Info Tipo de Cambio y REM'!$A$24:$B$35, 2, FALSE))</f>
        <v/>
      </c>
      <c r="O201" s="107" t="str">
        <f t="shared" si="1"/>
        <v/>
      </c>
    </row>
    <row r="202">
      <c r="A202" s="102"/>
      <c r="B202" s="43" t="str">
        <f t="shared" si="2"/>
        <v/>
      </c>
      <c r="C202" s="102" t="str">
        <f>IF(I202="", "", IFERROR(VLOOKUP(I202, Clasificaciones!D:E, 2, FALSE), "DATO NO CARGADO"))
</f>
        <v/>
      </c>
      <c r="D202" s="51"/>
      <c r="E202" s="102"/>
      <c r="F202" s="102"/>
      <c r="G202" s="103"/>
      <c r="K202" s="103"/>
      <c r="L202" s="113"/>
      <c r="M202" s="107"/>
      <c r="N202" s="106" t="str">
        <f>IF(ISBLANK(L202), "", VLOOKUP(D202, 'Info Tipo de Cambio y REM'!$A$24:$B$35, 2, FALSE))</f>
        <v/>
      </c>
      <c r="O202" s="107" t="str">
        <f t="shared" si="1"/>
        <v/>
      </c>
    </row>
    <row r="203">
      <c r="A203" s="102"/>
      <c r="B203" s="43" t="str">
        <f t="shared" si="2"/>
        <v/>
      </c>
      <c r="C203" s="102" t="str">
        <f>IF(I203="", "", IFERROR(VLOOKUP(I203, Clasificaciones!D:E, 2, FALSE), "DATO NO CARGADO"))
</f>
        <v/>
      </c>
      <c r="D203" s="51"/>
      <c r="E203" s="102"/>
      <c r="F203" s="102"/>
      <c r="G203" s="103"/>
      <c r="K203" s="103"/>
      <c r="L203" s="113"/>
      <c r="M203" s="107"/>
      <c r="N203" s="106" t="str">
        <f>IF(ISBLANK(L203), "", VLOOKUP(D203, 'Info Tipo de Cambio y REM'!$A$24:$B$35, 2, FALSE))</f>
        <v/>
      </c>
      <c r="O203" s="107" t="str">
        <f t="shared" si="1"/>
        <v/>
      </c>
    </row>
    <row r="204">
      <c r="A204" s="102"/>
      <c r="B204" s="43" t="str">
        <f t="shared" si="2"/>
        <v/>
      </c>
      <c r="C204" s="102" t="str">
        <f>IF(I204="", "", IFERROR(VLOOKUP(I204, Clasificaciones!D:E, 2, FALSE), "DATO NO CARGADO"))
</f>
        <v/>
      </c>
      <c r="D204" s="51"/>
      <c r="E204" s="102"/>
      <c r="F204" s="102"/>
      <c r="G204" s="103"/>
      <c r="K204" s="103"/>
      <c r="L204" s="113"/>
      <c r="M204" s="107"/>
      <c r="N204" s="106" t="str">
        <f>IF(ISBLANK(L204), "", VLOOKUP(D204, 'Info Tipo de Cambio y REM'!$A$24:$B$35, 2, FALSE))</f>
        <v/>
      </c>
      <c r="O204" s="107" t="str">
        <f t="shared" si="1"/>
        <v/>
      </c>
    </row>
    <row r="205">
      <c r="A205" s="102"/>
      <c r="B205" s="43" t="str">
        <f t="shared" si="2"/>
        <v/>
      </c>
      <c r="C205" s="102" t="str">
        <f>IF(I205="", "", IFERROR(VLOOKUP(I205, Clasificaciones!D:E, 2, FALSE), "DATO NO CARGADO"))
</f>
        <v/>
      </c>
      <c r="D205" s="51"/>
      <c r="E205" s="102"/>
      <c r="F205" s="102"/>
      <c r="G205" s="103"/>
      <c r="K205" s="103"/>
      <c r="L205" s="113"/>
      <c r="M205" s="107"/>
      <c r="N205" s="106" t="str">
        <f>IF(ISBLANK(L205), "", VLOOKUP(D205, 'Info Tipo de Cambio y REM'!$A$24:$B$35, 2, FALSE))</f>
        <v/>
      </c>
      <c r="O205" s="107" t="str">
        <f t="shared" si="1"/>
        <v/>
      </c>
    </row>
    <row r="206">
      <c r="A206" s="102"/>
      <c r="B206" s="43" t="str">
        <f t="shared" si="2"/>
        <v/>
      </c>
      <c r="C206" s="102" t="str">
        <f>IF(I206="", "", IFERROR(VLOOKUP(I206, Clasificaciones!D:E, 2, FALSE), "DATO NO CARGADO"))
</f>
        <v/>
      </c>
      <c r="D206" s="51"/>
      <c r="E206" s="102"/>
      <c r="F206" s="102"/>
      <c r="G206" s="103"/>
      <c r="K206" s="103"/>
      <c r="L206" s="113"/>
      <c r="M206" s="107"/>
      <c r="N206" s="106" t="str">
        <f>IF(ISBLANK(L206), "", VLOOKUP(D206, 'Info Tipo de Cambio y REM'!$A$24:$B$35, 2, FALSE))</f>
        <v/>
      </c>
      <c r="O206" s="107" t="str">
        <f t="shared" si="1"/>
        <v/>
      </c>
    </row>
    <row r="207">
      <c r="A207" s="102"/>
      <c r="B207" s="43" t="str">
        <f t="shared" si="2"/>
        <v/>
      </c>
      <c r="C207" s="102" t="str">
        <f>IF(I207="", "", IFERROR(VLOOKUP(I207, Clasificaciones!D:E, 2, FALSE), "DATO NO CARGADO"))
</f>
        <v/>
      </c>
      <c r="D207" s="51"/>
      <c r="E207" s="102"/>
      <c r="F207" s="102"/>
      <c r="G207" s="103"/>
      <c r="K207" s="103"/>
      <c r="L207" s="113"/>
      <c r="M207" s="107"/>
      <c r="N207" s="106" t="str">
        <f>IF(ISBLANK(L207), "", VLOOKUP(D207, 'Info Tipo de Cambio y REM'!$A$24:$B$35, 2, FALSE))</f>
        <v/>
      </c>
      <c r="O207" s="107" t="str">
        <f t="shared" si="1"/>
        <v/>
      </c>
    </row>
    <row r="208">
      <c r="A208" s="102"/>
      <c r="B208" s="43" t="str">
        <f t="shared" si="2"/>
        <v/>
      </c>
      <c r="C208" s="102" t="str">
        <f>IF(I208="", "", IFERROR(VLOOKUP(I208, Clasificaciones!D:E, 2, FALSE), "DATO NO CARGADO"))
</f>
        <v/>
      </c>
      <c r="D208" s="51"/>
      <c r="E208" s="102"/>
      <c r="F208" s="102"/>
      <c r="G208" s="103"/>
      <c r="K208" s="103"/>
      <c r="L208" s="113"/>
      <c r="M208" s="107"/>
      <c r="N208" s="106" t="str">
        <f>IF(ISBLANK(L208), "", VLOOKUP(D208, 'Info Tipo de Cambio y REM'!$A$24:$B$35, 2, FALSE))</f>
        <v/>
      </c>
      <c r="O208" s="107" t="str">
        <f t="shared" si="1"/>
        <v/>
      </c>
    </row>
    <row r="209">
      <c r="A209" s="102"/>
      <c r="B209" s="43" t="str">
        <f t="shared" si="2"/>
        <v/>
      </c>
      <c r="C209" s="102" t="str">
        <f>IF(I209="", "", IFERROR(VLOOKUP(I209, Clasificaciones!D:E, 2, FALSE), "DATO NO CARGADO"))
</f>
        <v/>
      </c>
      <c r="D209" s="51"/>
      <c r="E209" s="102"/>
      <c r="F209" s="102"/>
      <c r="G209" s="103"/>
      <c r="K209" s="103"/>
      <c r="L209" s="113"/>
      <c r="M209" s="107"/>
      <c r="N209" s="106" t="str">
        <f>IF(ISBLANK(L209), "", VLOOKUP(D209, 'Info Tipo de Cambio y REM'!$A$24:$B$35, 2, FALSE))</f>
        <v/>
      </c>
      <c r="O209" s="107" t="str">
        <f t="shared" si="1"/>
        <v/>
      </c>
    </row>
    <row r="210">
      <c r="A210" s="102"/>
      <c r="B210" s="43" t="str">
        <f t="shared" si="2"/>
        <v/>
      </c>
      <c r="C210" s="102" t="str">
        <f>IF(I210="", "", IFERROR(VLOOKUP(I210, Clasificaciones!D:E, 2, FALSE), "DATO NO CARGADO"))
</f>
        <v/>
      </c>
      <c r="D210" s="51"/>
      <c r="E210" s="102"/>
      <c r="F210" s="102"/>
      <c r="G210" s="103"/>
      <c r="K210" s="103"/>
      <c r="L210" s="113"/>
      <c r="M210" s="107"/>
      <c r="N210" s="106" t="str">
        <f>IF(ISBLANK(L210), "", VLOOKUP(D210, 'Info Tipo de Cambio y REM'!$A$24:$B$35, 2, FALSE))</f>
        <v/>
      </c>
      <c r="O210" s="107" t="str">
        <f t="shared" si="1"/>
        <v/>
      </c>
    </row>
    <row r="211">
      <c r="A211" s="102"/>
      <c r="B211" s="43" t="str">
        <f t="shared" si="2"/>
        <v/>
      </c>
      <c r="C211" s="102" t="str">
        <f>IF(I211="", "", IFERROR(VLOOKUP(I211, Clasificaciones!D:E, 2, FALSE), "DATO NO CARGADO"))
</f>
        <v/>
      </c>
      <c r="D211" s="51"/>
      <c r="E211" s="102"/>
      <c r="F211" s="102"/>
      <c r="G211" s="103"/>
      <c r="K211" s="103"/>
      <c r="L211" s="113"/>
      <c r="M211" s="107"/>
      <c r="N211" s="106" t="str">
        <f>IF(ISBLANK(L211), "", VLOOKUP(D211, 'Info Tipo de Cambio y REM'!$A$24:$B$35, 2, FALSE))</f>
        <v/>
      </c>
      <c r="O211" s="107" t="str">
        <f t="shared" si="1"/>
        <v/>
      </c>
    </row>
    <row r="212">
      <c r="A212" s="102"/>
      <c r="B212" s="43" t="str">
        <f t="shared" si="2"/>
        <v/>
      </c>
      <c r="C212" s="102" t="str">
        <f>IF(I212="", "", IFERROR(VLOOKUP(I212, Clasificaciones!D:E, 2, FALSE), "DATO NO CARGADO"))
</f>
        <v/>
      </c>
      <c r="D212" s="51"/>
      <c r="E212" s="102"/>
      <c r="F212" s="102"/>
      <c r="G212" s="103"/>
      <c r="K212" s="103"/>
      <c r="L212" s="113"/>
      <c r="M212" s="107"/>
      <c r="N212" s="106" t="str">
        <f>IF(ISBLANK(L212), "", VLOOKUP(D212, 'Info Tipo de Cambio y REM'!$A$24:$B$35, 2, FALSE))</f>
        <v/>
      </c>
      <c r="O212" s="107" t="str">
        <f t="shared" si="1"/>
        <v/>
      </c>
    </row>
    <row r="213">
      <c r="A213" s="102"/>
      <c r="B213" s="43" t="str">
        <f t="shared" si="2"/>
        <v/>
      </c>
      <c r="C213" s="102" t="str">
        <f>IF(I213="", "", IFERROR(VLOOKUP(I213, Clasificaciones!D:E, 2, FALSE), "DATO NO CARGADO"))
</f>
        <v/>
      </c>
      <c r="D213" s="51"/>
      <c r="E213" s="102"/>
      <c r="F213" s="102"/>
      <c r="G213" s="103"/>
      <c r="K213" s="103"/>
      <c r="L213" s="113"/>
      <c r="M213" s="107"/>
      <c r="N213" s="106" t="str">
        <f>IF(ISBLANK(L213), "", VLOOKUP(D213, 'Info Tipo de Cambio y REM'!$A$24:$B$35, 2, FALSE))</f>
        <v/>
      </c>
      <c r="O213" s="107" t="str">
        <f t="shared" si="1"/>
        <v/>
      </c>
    </row>
    <row r="214">
      <c r="A214" s="102"/>
      <c r="B214" s="43" t="str">
        <f t="shared" si="2"/>
        <v/>
      </c>
      <c r="C214" s="102" t="str">
        <f>IF(I214="", "", IFERROR(VLOOKUP(I214, Clasificaciones!D:E, 2, FALSE), "DATO NO CARGADO"))
</f>
        <v/>
      </c>
      <c r="D214" s="51"/>
      <c r="E214" s="102"/>
      <c r="F214" s="102"/>
      <c r="G214" s="103"/>
      <c r="K214" s="103"/>
      <c r="L214" s="113"/>
      <c r="M214" s="107"/>
      <c r="N214" s="106" t="str">
        <f>IF(ISBLANK(L214), "", VLOOKUP(D214, 'Info Tipo de Cambio y REM'!$A$24:$B$35, 2, FALSE))</f>
        <v/>
      </c>
      <c r="O214" s="107" t="str">
        <f t="shared" si="1"/>
        <v/>
      </c>
    </row>
    <row r="215">
      <c r="A215" s="102"/>
      <c r="B215" s="43" t="str">
        <f t="shared" si="2"/>
        <v/>
      </c>
      <c r="C215" s="102" t="str">
        <f>IF(I215="", "", IFERROR(VLOOKUP(I215, Clasificaciones!D:E, 2, FALSE), "DATO NO CARGADO"))
</f>
        <v/>
      </c>
      <c r="D215" s="51"/>
      <c r="E215" s="102"/>
      <c r="F215" s="102"/>
      <c r="G215" s="103"/>
      <c r="K215" s="103"/>
      <c r="L215" s="113"/>
      <c r="M215" s="107"/>
      <c r="N215" s="106" t="str">
        <f>IF(ISBLANK(L215), "", VLOOKUP(D215, 'Info Tipo de Cambio y REM'!$A$24:$B$35, 2, FALSE))</f>
        <v/>
      </c>
      <c r="O215" s="107" t="str">
        <f t="shared" si="1"/>
        <v/>
      </c>
    </row>
    <row r="216">
      <c r="A216" s="102"/>
      <c r="B216" s="43" t="str">
        <f t="shared" si="2"/>
        <v/>
      </c>
      <c r="C216" s="102" t="str">
        <f>IF(I216="", "", IFERROR(VLOOKUP(I216, Clasificaciones!D:E, 2, FALSE), "DATO NO CARGADO"))
</f>
        <v/>
      </c>
      <c r="D216" s="51"/>
      <c r="E216" s="102"/>
      <c r="F216" s="102"/>
      <c r="G216" s="103"/>
      <c r="K216" s="103"/>
      <c r="L216" s="113"/>
      <c r="M216" s="107"/>
      <c r="N216" s="106" t="str">
        <f>IF(ISBLANK(L216), "", VLOOKUP(D216, 'Info Tipo de Cambio y REM'!$A$24:$B$35, 2, FALSE))</f>
        <v/>
      </c>
      <c r="O216" s="107" t="str">
        <f t="shared" si="1"/>
        <v/>
      </c>
    </row>
    <row r="217">
      <c r="A217" s="102"/>
      <c r="B217" s="43" t="str">
        <f t="shared" si="2"/>
        <v/>
      </c>
      <c r="C217" s="102" t="str">
        <f>IF(I217="", "", IFERROR(VLOOKUP(I217, Clasificaciones!D:E, 2, FALSE), "DATO NO CARGADO"))
</f>
        <v/>
      </c>
      <c r="D217" s="51"/>
      <c r="E217" s="102"/>
      <c r="F217" s="102"/>
      <c r="G217" s="103"/>
      <c r="K217" s="103"/>
      <c r="L217" s="113"/>
      <c r="M217" s="107"/>
      <c r="N217" s="106" t="str">
        <f>IF(ISBLANK(L217), "", VLOOKUP(D217, 'Info Tipo de Cambio y REM'!$A$24:$B$35, 2, FALSE))</f>
        <v/>
      </c>
      <c r="O217" s="107" t="str">
        <f t="shared" si="1"/>
        <v/>
      </c>
    </row>
    <row r="218">
      <c r="A218" s="102"/>
      <c r="B218" s="43" t="str">
        <f t="shared" si="2"/>
        <v/>
      </c>
      <c r="C218" s="102" t="str">
        <f>IF(I218="", "", IFERROR(VLOOKUP(I218, Clasificaciones!D:E, 2, FALSE), "DATO NO CARGADO"))
</f>
        <v/>
      </c>
      <c r="D218" s="51"/>
      <c r="E218" s="102"/>
      <c r="F218" s="102"/>
      <c r="G218" s="103"/>
      <c r="K218" s="103"/>
      <c r="L218" s="113"/>
      <c r="M218" s="107"/>
      <c r="N218" s="106" t="str">
        <f>IF(ISBLANK(L218), "", VLOOKUP(D218, 'Info Tipo de Cambio y REM'!$A$24:$B$35, 2, FALSE))</f>
        <v/>
      </c>
      <c r="O218" s="107" t="str">
        <f t="shared" si="1"/>
        <v/>
      </c>
    </row>
    <row r="219">
      <c r="A219" s="102"/>
      <c r="B219" s="43" t="str">
        <f t="shared" si="2"/>
        <v/>
      </c>
      <c r="C219" s="102" t="str">
        <f>IF(I219="", "", IFERROR(VLOOKUP(I219, Clasificaciones!D:E, 2, FALSE), "DATO NO CARGADO"))
</f>
        <v/>
      </c>
      <c r="D219" s="51"/>
      <c r="E219" s="102"/>
      <c r="F219" s="102"/>
      <c r="G219" s="103"/>
      <c r="K219" s="103"/>
      <c r="L219" s="113"/>
      <c r="M219" s="107"/>
      <c r="N219" s="106" t="str">
        <f>IF(ISBLANK(L219), "", VLOOKUP(D219, 'Info Tipo de Cambio y REM'!$A$24:$B$35, 2, FALSE))</f>
        <v/>
      </c>
      <c r="O219" s="107" t="str">
        <f t="shared" si="1"/>
        <v/>
      </c>
    </row>
    <row r="220">
      <c r="A220" s="102"/>
      <c r="B220" s="43" t="str">
        <f t="shared" si="2"/>
        <v/>
      </c>
      <c r="C220" s="102" t="str">
        <f>IF(I220="", "", IFERROR(VLOOKUP(I220, Clasificaciones!D:E, 2, FALSE), "DATO NO CARGADO"))
</f>
        <v/>
      </c>
      <c r="D220" s="51"/>
      <c r="E220" s="102"/>
      <c r="F220" s="102"/>
      <c r="G220" s="103"/>
      <c r="K220" s="103"/>
      <c r="L220" s="113"/>
      <c r="M220" s="107"/>
      <c r="N220" s="106" t="str">
        <f>IF(ISBLANK(L220), "", VLOOKUP(D220, 'Info Tipo de Cambio y REM'!$A$24:$B$35, 2, FALSE))</f>
        <v/>
      </c>
      <c r="O220" s="107" t="str">
        <f t="shared" si="1"/>
        <v/>
      </c>
    </row>
    <row r="221">
      <c r="A221" s="102"/>
      <c r="B221" s="43" t="str">
        <f t="shared" si="2"/>
        <v/>
      </c>
      <c r="C221" s="102" t="str">
        <f>IF(I221="", "", IFERROR(VLOOKUP(I221, Clasificaciones!D:E, 2, FALSE), "DATO NO CARGADO"))
</f>
        <v/>
      </c>
      <c r="D221" s="51"/>
      <c r="E221" s="102"/>
      <c r="F221" s="102"/>
      <c r="G221" s="103"/>
      <c r="K221" s="103"/>
      <c r="L221" s="113"/>
      <c r="M221" s="107"/>
      <c r="N221" s="106" t="str">
        <f>IF(ISBLANK(L221), "", VLOOKUP(D221, 'Info Tipo de Cambio y REM'!$A$24:$B$35, 2, FALSE))</f>
        <v/>
      </c>
      <c r="O221" s="107" t="str">
        <f t="shared" si="1"/>
        <v/>
      </c>
    </row>
    <row r="222">
      <c r="A222" s="102"/>
      <c r="B222" s="43" t="str">
        <f t="shared" si="2"/>
        <v/>
      </c>
      <c r="C222" s="102" t="str">
        <f>IF(I222="", "", IFERROR(VLOOKUP(I222, Clasificaciones!D:E, 2, FALSE), "DATO NO CARGADO"))
</f>
        <v/>
      </c>
      <c r="D222" s="51"/>
      <c r="E222" s="102"/>
      <c r="F222" s="102"/>
      <c r="G222" s="103"/>
      <c r="K222" s="103"/>
      <c r="L222" s="113"/>
      <c r="M222" s="107"/>
      <c r="N222" s="106" t="str">
        <f>IF(ISBLANK(L222), "", VLOOKUP(D222, 'Info Tipo de Cambio y REM'!$A$24:$B$35, 2, FALSE))</f>
        <v/>
      </c>
      <c r="O222" s="107" t="str">
        <f t="shared" si="1"/>
        <v/>
      </c>
    </row>
    <row r="223">
      <c r="A223" s="102"/>
      <c r="B223" s="43" t="str">
        <f t="shared" si="2"/>
        <v/>
      </c>
      <c r="C223" s="102" t="str">
        <f>IF(I223="", "", IFERROR(VLOOKUP(I223, Clasificaciones!D:E, 2, FALSE), "DATO NO CARGADO"))
</f>
        <v/>
      </c>
      <c r="D223" s="51"/>
      <c r="E223" s="102"/>
      <c r="F223" s="102"/>
      <c r="G223" s="103"/>
      <c r="K223" s="103"/>
      <c r="L223" s="113"/>
      <c r="M223" s="107"/>
      <c r="N223" s="106" t="str">
        <f>IF(ISBLANK(L223), "", VLOOKUP(D223, 'Info Tipo de Cambio y REM'!$A$24:$B$35, 2, FALSE))</f>
        <v/>
      </c>
      <c r="O223" s="107" t="str">
        <f t="shared" si="1"/>
        <v/>
      </c>
    </row>
    <row r="224">
      <c r="A224" s="102"/>
      <c r="B224" s="43" t="str">
        <f t="shared" si="2"/>
        <v/>
      </c>
      <c r="C224" s="102" t="str">
        <f>IF(I224="", "", IFERROR(VLOOKUP(I224, Clasificaciones!D:E, 2, FALSE), "DATO NO CARGADO"))
</f>
        <v/>
      </c>
      <c r="D224" s="51"/>
      <c r="E224" s="102"/>
      <c r="F224" s="102"/>
      <c r="G224" s="103"/>
      <c r="K224" s="103"/>
      <c r="L224" s="113"/>
      <c r="M224" s="107"/>
      <c r="N224" s="106" t="str">
        <f>IF(ISBLANK(L224), "", VLOOKUP(D224, 'Info Tipo de Cambio y REM'!$A$24:$B$35, 2, FALSE))</f>
        <v/>
      </c>
      <c r="O224" s="107" t="str">
        <f t="shared" si="1"/>
        <v/>
      </c>
    </row>
    <row r="225">
      <c r="A225" s="102"/>
      <c r="B225" s="43" t="str">
        <f t="shared" si="2"/>
        <v/>
      </c>
      <c r="C225" s="102" t="str">
        <f>IF(I225="", "", IFERROR(VLOOKUP(I225, Clasificaciones!D:E, 2, FALSE), "DATO NO CARGADO"))
</f>
        <v/>
      </c>
      <c r="D225" s="51"/>
      <c r="E225" s="102"/>
      <c r="F225" s="102"/>
      <c r="G225" s="103"/>
      <c r="K225" s="103"/>
      <c r="L225" s="113"/>
      <c r="M225" s="107"/>
      <c r="N225" s="106" t="str">
        <f>IF(ISBLANK(L225), "", VLOOKUP(D225, 'Info Tipo de Cambio y REM'!$A$24:$B$35, 2, FALSE))</f>
        <v/>
      </c>
      <c r="O225" s="107" t="str">
        <f t="shared" si="1"/>
        <v/>
      </c>
    </row>
    <row r="226">
      <c r="A226" s="102"/>
      <c r="B226" s="43" t="str">
        <f t="shared" si="2"/>
        <v/>
      </c>
      <c r="C226" s="102" t="str">
        <f>IF(I226="", "", IFERROR(VLOOKUP(I226, Clasificaciones!D:E, 2, FALSE), "DATO NO CARGADO"))
</f>
        <v/>
      </c>
      <c r="D226" s="51"/>
      <c r="E226" s="102"/>
      <c r="F226" s="102"/>
      <c r="G226" s="103"/>
      <c r="K226" s="103"/>
      <c r="L226" s="113"/>
      <c r="M226" s="107"/>
      <c r="N226" s="106" t="str">
        <f>IF(ISBLANK(L226), "", VLOOKUP(D226, 'Info Tipo de Cambio y REM'!$A$24:$B$35, 2, FALSE))</f>
        <v/>
      </c>
      <c r="O226" s="107" t="str">
        <f t="shared" si="1"/>
        <v/>
      </c>
    </row>
    <row r="227">
      <c r="A227" s="102"/>
      <c r="B227" s="43" t="str">
        <f t="shared" si="2"/>
        <v/>
      </c>
      <c r="C227" s="102" t="str">
        <f>IF(I227="", "", IFERROR(VLOOKUP(I227, Clasificaciones!D:E, 2, FALSE), "DATO NO CARGADO"))
</f>
        <v/>
      </c>
      <c r="D227" s="51"/>
      <c r="E227" s="102"/>
      <c r="F227" s="102"/>
      <c r="G227" s="103"/>
      <c r="K227" s="103"/>
      <c r="L227" s="113"/>
      <c r="M227" s="107"/>
      <c r="N227" s="106" t="str">
        <f>IF(ISBLANK(L227), "", VLOOKUP(D227, 'Info Tipo de Cambio y REM'!$A$24:$B$35, 2, FALSE))</f>
        <v/>
      </c>
      <c r="O227" s="107" t="str">
        <f t="shared" si="1"/>
        <v/>
      </c>
    </row>
    <row r="228">
      <c r="A228" s="102"/>
      <c r="B228" s="43" t="str">
        <f t="shared" si="2"/>
        <v/>
      </c>
      <c r="C228" s="102" t="str">
        <f>IF(I228="", "", IFERROR(VLOOKUP(I228, Clasificaciones!D:E, 2, FALSE), "DATO NO CARGADO"))
</f>
        <v/>
      </c>
      <c r="D228" s="51"/>
      <c r="E228" s="102"/>
      <c r="F228" s="102"/>
      <c r="G228" s="103"/>
      <c r="K228" s="103"/>
      <c r="L228" s="113"/>
      <c r="M228" s="107"/>
      <c r="N228" s="106" t="str">
        <f>IF(ISBLANK(L228), "", VLOOKUP(D228, 'Info Tipo de Cambio y REM'!$A$24:$B$35, 2, FALSE))</f>
        <v/>
      </c>
      <c r="O228" s="107" t="str">
        <f t="shared" si="1"/>
        <v/>
      </c>
    </row>
    <row r="229">
      <c r="A229" s="102"/>
      <c r="B229" s="43" t="str">
        <f t="shared" si="2"/>
        <v/>
      </c>
      <c r="C229" s="102" t="str">
        <f>IF(I229="", "", IFERROR(VLOOKUP(I229, Clasificaciones!D:E, 2, FALSE), "DATO NO CARGADO"))
</f>
        <v/>
      </c>
      <c r="D229" s="51"/>
      <c r="E229" s="102"/>
      <c r="F229" s="102"/>
      <c r="G229" s="103"/>
      <c r="K229" s="103"/>
      <c r="L229" s="113"/>
      <c r="M229" s="107"/>
      <c r="N229" s="106" t="str">
        <f>IF(ISBLANK(L229), "", VLOOKUP(D229, 'Info Tipo de Cambio y REM'!$A$24:$B$35, 2, FALSE))</f>
        <v/>
      </c>
      <c r="O229" s="107" t="str">
        <f t="shared" si="1"/>
        <v/>
      </c>
    </row>
    <row r="230">
      <c r="A230" s="102"/>
      <c r="B230" s="43" t="str">
        <f t="shared" si="2"/>
        <v/>
      </c>
      <c r="C230" s="102" t="str">
        <f>IF(I230="", "", IFERROR(VLOOKUP(I230, Clasificaciones!D:E, 2, FALSE), "DATO NO CARGADO"))
</f>
        <v/>
      </c>
      <c r="D230" s="51"/>
      <c r="E230" s="102"/>
      <c r="F230" s="102"/>
      <c r="G230" s="103"/>
      <c r="K230" s="103"/>
      <c r="L230" s="113"/>
      <c r="M230" s="107"/>
      <c r="N230" s="106" t="str">
        <f>IF(ISBLANK(L230), "", VLOOKUP(D230, 'Info Tipo de Cambio y REM'!$A$24:$B$35, 2, FALSE))</f>
        <v/>
      </c>
      <c r="O230" s="107" t="str">
        <f t="shared" si="1"/>
        <v/>
      </c>
    </row>
    <row r="231">
      <c r="A231" s="102"/>
      <c r="B231" s="43" t="str">
        <f t="shared" si="2"/>
        <v/>
      </c>
      <c r="C231" s="102" t="str">
        <f>IF(I231="", "", IFERROR(VLOOKUP(I231, Clasificaciones!D:E, 2, FALSE), "DATO NO CARGADO"))
</f>
        <v/>
      </c>
      <c r="D231" s="51"/>
      <c r="E231" s="102"/>
      <c r="F231" s="102"/>
      <c r="G231" s="103"/>
      <c r="K231" s="103"/>
      <c r="L231" s="113"/>
      <c r="M231" s="107"/>
      <c r="N231" s="106" t="str">
        <f>IF(ISBLANK(L231), "", VLOOKUP(D231, 'Info Tipo de Cambio y REM'!$A$24:$B$35, 2, FALSE))</f>
        <v/>
      </c>
      <c r="O231" s="107" t="str">
        <f t="shared" si="1"/>
        <v/>
      </c>
    </row>
    <row r="232">
      <c r="A232" s="102"/>
      <c r="B232" s="43" t="str">
        <f t="shared" si="2"/>
        <v/>
      </c>
      <c r="C232" s="102" t="str">
        <f>IF(I232="", "", IFERROR(VLOOKUP(I232, Clasificaciones!D:E, 2, FALSE), "DATO NO CARGADO"))
</f>
        <v/>
      </c>
      <c r="D232" s="51"/>
      <c r="E232" s="102"/>
      <c r="F232" s="102"/>
      <c r="G232" s="103"/>
      <c r="K232" s="103"/>
      <c r="L232" s="113"/>
      <c r="M232" s="107"/>
      <c r="N232" s="106" t="str">
        <f>IF(ISBLANK(L232), "", VLOOKUP(D232, 'Info Tipo de Cambio y REM'!$A$24:$B$35, 2, FALSE))</f>
        <v/>
      </c>
      <c r="O232" s="107" t="str">
        <f t="shared" si="1"/>
        <v/>
      </c>
    </row>
    <row r="233">
      <c r="A233" s="102"/>
      <c r="B233" s="43" t="str">
        <f t="shared" si="2"/>
        <v/>
      </c>
      <c r="C233" s="102" t="str">
        <f>IF(I233="", "", IFERROR(VLOOKUP(I233, Clasificaciones!D:E, 2, FALSE), "DATO NO CARGADO"))
</f>
        <v/>
      </c>
      <c r="D233" s="51"/>
      <c r="E233" s="102"/>
      <c r="F233" s="102"/>
      <c r="G233" s="103"/>
      <c r="K233" s="103"/>
      <c r="L233" s="113"/>
      <c r="M233" s="107"/>
      <c r="N233" s="106" t="str">
        <f>IF(ISBLANK(L233), "", VLOOKUP(D233, 'Info Tipo de Cambio y REM'!$A$24:$B$35, 2, FALSE))</f>
        <v/>
      </c>
      <c r="O233" s="107" t="str">
        <f t="shared" si="1"/>
        <v/>
      </c>
    </row>
    <row r="234">
      <c r="A234" s="102"/>
      <c r="B234" s="43" t="str">
        <f t="shared" si="2"/>
        <v/>
      </c>
      <c r="C234" s="102" t="str">
        <f>IF(I234="", "", IFERROR(VLOOKUP(I234, Clasificaciones!D:E, 2, FALSE), "DATO NO CARGADO"))
</f>
        <v/>
      </c>
      <c r="D234" s="51"/>
      <c r="E234" s="102"/>
      <c r="F234" s="102"/>
      <c r="G234" s="103"/>
      <c r="K234" s="103"/>
      <c r="L234" s="113"/>
      <c r="M234" s="107"/>
      <c r="N234" s="106" t="str">
        <f>IF(ISBLANK(L234), "", VLOOKUP(D234, 'Info Tipo de Cambio y REM'!$A$24:$B$35, 2, FALSE))</f>
        <v/>
      </c>
      <c r="O234" s="107" t="str">
        <f t="shared" si="1"/>
        <v/>
      </c>
    </row>
    <row r="235">
      <c r="A235" s="102"/>
      <c r="B235" s="43" t="str">
        <f t="shared" si="2"/>
        <v/>
      </c>
      <c r="C235" s="102" t="str">
        <f>IF(I235="", "", IFERROR(VLOOKUP(I235, Clasificaciones!D:E, 2, FALSE), "DATO NO CARGADO"))
</f>
        <v/>
      </c>
      <c r="D235" s="51"/>
      <c r="E235" s="102"/>
      <c r="F235" s="102"/>
      <c r="G235" s="103"/>
      <c r="K235" s="103"/>
      <c r="L235" s="113"/>
      <c r="M235" s="107"/>
      <c r="N235" s="106" t="str">
        <f>IF(ISBLANK(L235), "", VLOOKUP(D235, 'Info Tipo de Cambio y REM'!$A$24:$B$35, 2, FALSE))</f>
        <v/>
      </c>
      <c r="O235" s="107" t="str">
        <f t="shared" si="1"/>
        <v/>
      </c>
    </row>
    <row r="236">
      <c r="A236" s="102"/>
      <c r="B236" s="43" t="str">
        <f t="shared" si="2"/>
        <v/>
      </c>
      <c r="C236" s="102" t="str">
        <f>IF(I236="", "", IFERROR(VLOOKUP(I236, Clasificaciones!D:E, 2, FALSE), "DATO NO CARGADO"))
</f>
        <v/>
      </c>
      <c r="D236" s="51"/>
      <c r="E236" s="102"/>
      <c r="F236" s="102"/>
      <c r="G236" s="103"/>
      <c r="K236" s="103"/>
      <c r="L236" s="113"/>
      <c r="M236" s="107"/>
      <c r="N236" s="106" t="str">
        <f>IF(ISBLANK(L236), "", VLOOKUP(D236, 'Info Tipo de Cambio y REM'!$A$24:$B$35, 2, FALSE))</f>
        <v/>
      </c>
      <c r="O236" s="107" t="str">
        <f t="shared" si="1"/>
        <v/>
      </c>
    </row>
    <row r="237">
      <c r="A237" s="102"/>
      <c r="B237" s="43" t="str">
        <f t="shared" si="2"/>
        <v/>
      </c>
      <c r="C237" s="102" t="str">
        <f>IF(I237="", "", IFERROR(VLOOKUP(I237, Clasificaciones!D:E, 2, FALSE), "DATO NO CARGADO"))
</f>
        <v/>
      </c>
      <c r="D237" s="51"/>
      <c r="E237" s="102"/>
      <c r="F237" s="102"/>
      <c r="G237" s="103"/>
      <c r="K237" s="103"/>
      <c r="L237" s="113"/>
      <c r="M237" s="107"/>
      <c r="N237" s="106" t="str">
        <f>IF(ISBLANK(L237), "", VLOOKUP(D237, 'Info Tipo de Cambio y REM'!$A$24:$B$35, 2, FALSE))</f>
        <v/>
      </c>
      <c r="O237" s="107" t="str">
        <f t="shared" si="1"/>
        <v/>
      </c>
    </row>
    <row r="238">
      <c r="A238" s="102"/>
      <c r="B238" s="43" t="str">
        <f t="shared" si="2"/>
        <v/>
      </c>
      <c r="C238" s="102" t="str">
        <f>IF(I238="", "", IFERROR(VLOOKUP(I238, Clasificaciones!D:E, 2, FALSE), "DATO NO CARGADO"))
</f>
        <v/>
      </c>
      <c r="D238" s="51"/>
      <c r="E238" s="102"/>
      <c r="F238" s="102"/>
      <c r="G238" s="103"/>
      <c r="K238" s="103"/>
      <c r="L238" s="113"/>
      <c r="M238" s="107"/>
      <c r="N238" s="106" t="str">
        <f>IF(ISBLANK(L238), "", VLOOKUP(D238, 'Info Tipo de Cambio y REM'!$A$24:$B$35, 2, FALSE))</f>
        <v/>
      </c>
      <c r="O238" s="107" t="str">
        <f t="shared" si="1"/>
        <v/>
      </c>
    </row>
    <row r="239">
      <c r="A239" s="102"/>
      <c r="B239" s="43" t="str">
        <f t="shared" si="2"/>
        <v/>
      </c>
      <c r="C239" s="102" t="str">
        <f>IF(I239="", "", IFERROR(VLOOKUP(I239, Clasificaciones!D:E, 2, FALSE), "DATO NO CARGADO"))
</f>
        <v/>
      </c>
      <c r="D239" s="51"/>
      <c r="E239" s="102"/>
      <c r="F239" s="102"/>
      <c r="G239" s="103"/>
      <c r="K239" s="103"/>
      <c r="L239" s="113"/>
      <c r="M239" s="107"/>
      <c r="N239" s="106" t="str">
        <f>IF(ISBLANK(L239), "", VLOOKUP(D239, 'Info Tipo de Cambio y REM'!$A$24:$B$35, 2, FALSE))</f>
        <v/>
      </c>
      <c r="O239" s="107" t="str">
        <f t="shared" si="1"/>
        <v/>
      </c>
    </row>
    <row r="240">
      <c r="A240" s="102"/>
      <c r="B240" s="43" t="str">
        <f t="shared" si="2"/>
        <v/>
      </c>
      <c r="C240" s="102" t="str">
        <f>IF(I240="", "", IFERROR(VLOOKUP(I240, Clasificaciones!D:E, 2, FALSE), "DATO NO CARGADO"))
</f>
        <v/>
      </c>
      <c r="D240" s="51"/>
      <c r="E240" s="102"/>
      <c r="F240" s="102"/>
      <c r="G240" s="103"/>
      <c r="K240" s="103"/>
      <c r="L240" s="113"/>
      <c r="M240" s="107"/>
      <c r="N240" s="106" t="str">
        <f>IF(ISBLANK(L240), "", VLOOKUP(D240, 'Info Tipo de Cambio y REM'!$A$24:$B$35, 2, FALSE))</f>
        <v/>
      </c>
      <c r="O240" s="107" t="str">
        <f t="shared" si="1"/>
        <v/>
      </c>
    </row>
    <row r="241">
      <c r="A241" s="102"/>
      <c r="B241" s="43" t="str">
        <f t="shared" si="2"/>
        <v/>
      </c>
      <c r="C241" s="102" t="str">
        <f>IF(I241="", "", IFERROR(VLOOKUP(I241, Clasificaciones!D:E, 2, FALSE), "DATO NO CARGADO"))
</f>
        <v/>
      </c>
      <c r="D241" s="51"/>
      <c r="E241" s="102"/>
      <c r="F241" s="102"/>
      <c r="G241" s="103"/>
      <c r="K241" s="103"/>
      <c r="L241" s="113"/>
      <c r="M241" s="107"/>
      <c r="N241" s="106" t="str">
        <f>IF(ISBLANK(L241), "", VLOOKUP(D241, 'Info Tipo de Cambio y REM'!$A$24:$B$35, 2, FALSE))</f>
        <v/>
      </c>
      <c r="O241" s="107" t="str">
        <f t="shared" si="1"/>
        <v/>
      </c>
    </row>
    <row r="242">
      <c r="A242" s="102"/>
      <c r="B242" s="43" t="str">
        <f t="shared" si="2"/>
        <v/>
      </c>
      <c r="C242" s="102" t="str">
        <f>IF(I242="", "", IFERROR(VLOOKUP(I242, Clasificaciones!D:E, 2, FALSE), "DATO NO CARGADO"))
</f>
        <v/>
      </c>
      <c r="D242" s="51"/>
      <c r="E242" s="102"/>
      <c r="F242" s="102"/>
      <c r="G242" s="103"/>
      <c r="K242" s="103"/>
      <c r="L242" s="113"/>
      <c r="M242" s="107"/>
      <c r="N242" s="106" t="str">
        <f>IF(ISBLANK(L242), "", VLOOKUP(D242, 'Info Tipo de Cambio y REM'!$A$24:$B$35, 2, FALSE))</f>
        <v/>
      </c>
      <c r="O242" s="107" t="str">
        <f t="shared" si="1"/>
        <v/>
      </c>
    </row>
    <row r="243">
      <c r="A243" s="102"/>
      <c r="B243" s="43" t="str">
        <f t="shared" si="2"/>
        <v/>
      </c>
      <c r="C243" s="102" t="str">
        <f>IF(I243="", "", IFERROR(VLOOKUP(I243, Clasificaciones!D:E, 2, FALSE), "DATO NO CARGADO"))
</f>
        <v/>
      </c>
      <c r="D243" s="51"/>
      <c r="E243" s="102"/>
      <c r="F243" s="102"/>
      <c r="G243" s="103"/>
      <c r="K243" s="103"/>
      <c r="L243" s="113"/>
      <c r="M243" s="107"/>
      <c r="N243" s="106" t="str">
        <f>IF(ISBLANK(L243), "", VLOOKUP(D243, 'Info Tipo de Cambio y REM'!$A$24:$B$35, 2, FALSE))</f>
        <v/>
      </c>
      <c r="O243" s="107" t="str">
        <f t="shared" si="1"/>
        <v/>
      </c>
    </row>
    <row r="244">
      <c r="A244" s="102"/>
      <c r="B244" s="43" t="str">
        <f t="shared" si="2"/>
        <v/>
      </c>
      <c r="C244" s="102" t="str">
        <f>IF(I244="", "", IFERROR(VLOOKUP(I244, Clasificaciones!D:E, 2, FALSE), "DATO NO CARGADO"))
</f>
        <v/>
      </c>
      <c r="D244" s="51"/>
      <c r="E244" s="102"/>
      <c r="F244" s="102"/>
      <c r="G244" s="103"/>
      <c r="K244" s="103"/>
      <c r="L244" s="113"/>
      <c r="M244" s="107"/>
      <c r="N244" s="106" t="str">
        <f>IF(ISBLANK(L244), "", VLOOKUP(D244, 'Info Tipo de Cambio y REM'!$A$24:$B$35, 2, FALSE))</f>
        <v/>
      </c>
      <c r="O244" s="107" t="str">
        <f t="shared" si="1"/>
        <v/>
      </c>
    </row>
    <row r="245">
      <c r="A245" s="102"/>
      <c r="B245" s="43" t="str">
        <f t="shared" si="2"/>
        <v/>
      </c>
      <c r="C245" s="102" t="str">
        <f>IF(I245="", "", IFERROR(VLOOKUP(I245, Clasificaciones!D:E, 2, FALSE), "DATO NO CARGADO"))
</f>
        <v/>
      </c>
      <c r="D245" s="51"/>
      <c r="E245" s="102"/>
      <c r="F245" s="102"/>
      <c r="G245" s="103"/>
      <c r="K245" s="103"/>
      <c r="L245" s="113"/>
      <c r="M245" s="107"/>
      <c r="N245" s="106" t="str">
        <f>IF(ISBLANK(L245), "", VLOOKUP(D245, 'Info Tipo de Cambio y REM'!$A$24:$B$35, 2, FALSE))</f>
        <v/>
      </c>
      <c r="O245" s="107" t="str">
        <f t="shared" si="1"/>
        <v/>
      </c>
    </row>
    <row r="246">
      <c r="A246" s="102"/>
      <c r="B246" s="43" t="str">
        <f t="shared" si="2"/>
        <v/>
      </c>
      <c r="C246" s="102" t="str">
        <f>IF(I246="", "", IFERROR(VLOOKUP(I246, Clasificaciones!D:E, 2, FALSE), "DATO NO CARGADO"))
</f>
        <v/>
      </c>
      <c r="D246" s="51"/>
      <c r="E246" s="102"/>
      <c r="F246" s="102"/>
      <c r="G246" s="103"/>
      <c r="K246" s="103"/>
      <c r="L246" s="113"/>
      <c r="M246" s="107"/>
      <c r="N246" s="106" t="str">
        <f>IF(ISBLANK(L246), "", VLOOKUP(D246, 'Info Tipo de Cambio y REM'!$A$24:$B$35, 2, FALSE))</f>
        <v/>
      </c>
      <c r="O246" s="107" t="str">
        <f t="shared" si="1"/>
        <v/>
      </c>
    </row>
    <row r="247">
      <c r="A247" s="102"/>
      <c r="B247" s="43" t="str">
        <f t="shared" si="2"/>
        <v/>
      </c>
      <c r="C247" s="102" t="str">
        <f>IF(I247="", "", IFERROR(VLOOKUP(I247, Clasificaciones!D:E, 2, FALSE), "DATO NO CARGADO"))
</f>
        <v/>
      </c>
      <c r="D247" s="51"/>
      <c r="E247" s="102"/>
      <c r="F247" s="102"/>
      <c r="G247" s="103"/>
      <c r="K247" s="103"/>
      <c r="L247" s="113"/>
      <c r="M247" s="107"/>
      <c r="N247" s="106" t="str">
        <f>IF(ISBLANK(L247), "", VLOOKUP(D247, 'Info Tipo de Cambio y REM'!$A$24:$B$35, 2, FALSE))</f>
        <v/>
      </c>
      <c r="O247" s="107" t="str">
        <f t="shared" si="1"/>
        <v/>
      </c>
    </row>
    <row r="248">
      <c r="A248" s="102"/>
      <c r="B248" s="43" t="str">
        <f t="shared" si="2"/>
        <v/>
      </c>
      <c r="C248" s="102" t="str">
        <f>IF(I248="", "", IFERROR(VLOOKUP(I248, Clasificaciones!D:E, 2, FALSE), "DATO NO CARGADO"))
</f>
        <v/>
      </c>
      <c r="D248" s="51"/>
      <c r="E248" s="102"/>
      <c r="F248" s="102"/>
      <c r="G248" s="103"/>
      <c r="K248" s="103"/>
      <c r="L248" s="113"/>
      <c r="M248" s="107"/>
      <c r="N248" s="106" t="str">
        <f>IF(ISBLANK(L248), "", VLOOKUP(D248, 'Info Tipo de Cambio y REM'!$A$24:$B$35, 2, FALSE))</f>
        <v/>
      </c>
      <c r="O248" s="107" t="str">
        <f t="shared" si="1"/>
        <v/>
      </c>
    </row>
    <row r="249">
      <c r="A249" s="102"/>
      <c r="B249" s="43" t="str">
        <f t="shared" si="2"/>
        <v/>
      </c>
      <c r="C249" s="102" t="str">
        <f>IF(I249="", "", IFERROR(VLOOKUP(I249, Clasificaciones!D:E, 2, FALSE), "DATO NO CARGADO"))
</f>
        <v/>
      </c>
      <c r="D249" s="51"/>
      <c r="E249" s="102"/>
      <c r="F249" s="102"/>
      <c r="G249" s="103"/>
      <c r="K249" s="103"/>
      <c r="L249" s="113"/>
      <c r="M249" s="107"/>
      <c r="N249" s="106" t="str">
        <f>IF(ISBLANK(L249), "", VLOOKUP(D249, 'Info Tipo de Cambio y REM'!$A$24:$B$35, 2, FALSE))</f>
        <v/>
      </c>
      <c r="O249" s="107" t="str">
        <f t="shared" si="1"/>
        <v/>
      </c>
    </row>
    <row r="250">
      <c r="A250" s="102"/>
      <c r="B250" s="43" t="str">
        <f t="shared" si="2"/>
        <v/>
      </c>
      <c r="C250" s="102" t="str">
        <f>IF(I250="", "", IFERROR(VLOOKUP(I250, Clasificaciones!D:E, 2, FALSE), "DATO NO CARGADO"))
</f>
        <v/>
      </c>
      <c r="D250" s="51"/>
      <c r="E250" s="102"/>
      <c r="F250" s="102"/>
      <c r="G250" s="103"/>
      <c r="K250" s="103"/>
      <c r="L250" s="113"/>
      <c r="M250" s="107"/>
      <c r="N250" s="106" t="str">
        <f>IF(ISBLANK(L250), "", VLOOKUP(D250, 'Info Tipo de Cambio y REM'!$A$24:$B$35, 2, FALSE))</f>
        <v/>
      </c>
      <c r="O250" s="107" t="str">
        <f t="shared" si="1"/>
        <v/>
      </c>
    </row>
    <row r="251">
      <c r="A251" s="102"/>
      <c r="B251" s="43" t="str">
        <f t="shared" si="2"/>
        <v/>
      </c>
      <c r="C251" s="102" t="str">
        <f>IF(I251="", "", IFERROR(VLOOKUP(I251, Clasificaciones!D:E, 2, FALSE), "DATO NO CARGADO"))
</f>
        <v/>
      </c>
      <c r="D251" s="51"/>
      <c r="E251" s="102"/>
      <c r="F251" s="102"/>
      <c r="G251" s="103"/>
      <c r="K251" s="103"/>
      <c r="L251" s="113"/>
      <c r="M251" s="107"/>
      <c r="N251" s="106" t="str">
        <f>IF(ISBLANK(L251), "", VLOOKUP(D251, 'Info Tipo de Cambio y REM'!$A$24:$B$35, 2, FALSE))</f>
        <v/>
      </c>
      <c r="O251" s="107" t="str">
        <f t="shared" si="1"/>
        <v/>
      </c>
    </row>
    <row r="252">
      <c r="A252" s="102"/>
      <c r="B252" s="43" t="str">
        <f t="shared" si="2"/>
        <v/>
      </c>
      <c r="C252" s="102" t="str">
        <f>IF(I252="", "", IFERROR(VLOOKUP(I252, Clasificaciones!D:E, 2, FALSE), "DATO NO CARGADO"))
</f>
        <v/>
      </c>
      <c r="D252" s="51"/>
      <c r="E252" s="102"/>
      <c r="F252" s="102"/>
      <c r="G252" s="103"/>
      <c r="K252" s="103"/>
      <c r="L252" s="113"/>
      <c r="M252" s="107"/>
      <c r="N252" s="106" t="str">
        <f>IF(ISBLANK(L252), "", VLOOKUP(D252, 'Info Tipo de Cambio y REM'!$A$24:$B$35, 2, FALSE))</f>
        <v/>
      </c>
      <c r="O252" s="107" t="str">
        <f t="shared" si="1"/>
        <v/>
      </c>
    </row>
    <row r="253">
      <c r="A253" s="102"/>
      <c r="B253" s="43" t="str">
        <f t="shared" si="2"/>
        <v/>
      </c>
      <c r="C253" s="102" t="str">
        <f>IF(I253="", "", IFERROR(VLOOKUP(I253, Clasificaciones!D:E, 2, FALSE), "DATO NO CARGADO"))
</f>
        <v/>
      </c>
      <c r="D253" s="51"/>
      <c r="E253" s="102"/>
      <c r="F253" s="102"/>
      <c r="G253" s="103"/>
      <c r="K253" s="103"/>
      <c r="L253" s="113"/>
      <c r="M253" s="107"/>
      <c r="N253" s="106" t="str">
        <f>IF(ISBLANK(L253), "", VLOOKUP(D253, 'Info Tipo de Cambio y REM'!$A$24:$B$35, 2, FALSE))</f>
        <v/>
      </c>
      <c r="O253" s="107" t="str">
        <f t="shared" si="1"/>
        <v/>
      </c>
    </row>
    <row r="254">
      <c r="A254" s="102"/>
      <c r="B254" s="43" t="str">
        <f t="shared" si="2"/>
        <v/>
      </c>
      <c r="C254" s="102" t="str">
        <f>IF(I254="", "", IFERROR(VLOOKUP(I254, Clasificaciones!D:E, 2, FALSE), "DATO NO CARGADO"))
</f>
        <v/>
      </c>
      <c r="D254" s="51"/>
      <c r="E254" s="102"/>
      <c r="F254" s="102"/>
      <c r="G254" s="103"/>
      <c r="K254" s="103"/>
      <c r="L254" s="113"/>
      <c r="M254" s="107"/>
      <c r="N254" s="106" t="str">
        <f>IF(ISBLANK(L254), "", VLOOKUP(D254, 'Info Tipo de Cambio y REM'!$A$24:$B$35, 2, FALSE))</f>
        <v/>
      </c>
      <c r="O254" s="107" t="str">
        <f t="shared" si="1"/>
        <v/>
      </c>
    </row>
    <row r="255">
      <c r="A255" s="102"/>
      <c r="B255" s="43" t="str">
        <f t="shared" si="2"/>
        <v/>
      </c>
      <c r="C255" s="102" t="str">
        <f>IF(I255="", "", IFERROR(VLOOKUP(I255, Clasificaciones!D:E, 2, FALSE), "DATO NO CARGADO"))
</f>
        <v/>
      </c>
      <c r="D255" s="51"/>
      <c r="E255" s="102"/>
      <c r="F255" s="102"/>
      <c r="G255" s="103"/>
      <c r="K255" s="103"/>
      <c r="L255" s="113"/>
      <c r="M255" s="107"/>
      <c r="N255" s="106" t="str">
        <f>IF(ISBLANK(L255), "", VLOOKUP(D255, 'Info Tipo de Cambio y REM'!$A$24:$B$35, 2, FALSE))</f>
        <v/>
      </c>
      <c r="O255" s="107" t="str">
        <f t="shared" si="1"/>
        <v/>
      </c>
    </row>
    <row r="256">
      <c r="A256" s="102"/>
      <c r="B256" s="43" t="str">
        <f t="shared" si="2"/>
        <v/>
      </c>
      <c r="C256" s="102" t="str">
        <f>IF(I256="", "", IFERROR(VLOOKUP(I256, Clasificaciones!D:E, 2, FALSE), "DATO NO CARGADO"))
</f>
        <v/>
      </c>
      <c r="D256" s="51"/>
      <c r="E256" s="102"/>
      <c r="F256" s="102"/>
      <c r="G256" s="103"/>
      <c r="K256" s="103"/>
      <c r="L256" s="113"/>
      <c r="M256" s="107"/>
      <c r="N256" s="106" t="str">
        <f>IF(ISBLANK(L256), "", VLOOKUP(D256, 'Info Tipo de Cambio y REM'!$A$24:$B$35, 2, FALSE))</f>
        <v/>
      </c>
      <c r="O256" s="107" t="str">
        <f t="shared" si="1"/>
        <v/>
      </c>
    </row>
    <row r="257">
      <c r="A257" s="102"/>
      <c r="B257" s="43" t="str">
        <f t="shared" si="2"/>
        <v/>
      </c>
      <c r="C257" s="102" t="str">
        <f>IF(I257="", "", IFERROR(VLOOKUP(I257, Clasificaciones!D:E, 2, FALSE), "DATO NO CARGADO"))
</f>
        <v/>
      </c>
      <c r="D257" s="51"/>
      <c r="E257" s="102"/>
      <c r="F257" s="102"/>
      <c r="G257" s="103"/>
      <c r="K257" s="103"/>
      <c r="L257" s="113"/>
      <c r="M257" s="107"/>
      <c r="N257" s="106" t="str">
        <f>IF(ISBLANK(L257), "", VLOOKUP(D257, 'Info Tipo de Cambio y REM'!$A$24:$B$35, 2, FALSE))</f>
        <v/>
      </c>
      <c r="O257" s="107" t="str">
        <f t="shared" si="1"/>
        <v/>
      </c>
    </row>
    <row r="258">
      <c r="A258" s="102"/>
      <c r="B258" s="43" t="str">
        <f t="shared" si="2"/>
        <v/>
      </c>
      <c r="C258" s="102" t="str">
        <f>IF(I258="", "", IFERROR(VLOOKUP(I258, Clasificaciones!D:E, 2, FALSE), "DATO NO CARGADO"))
</f>
        <v/>
      </c>
      <c r="D258" s="51"/>
      <c r="E258" s="102"/>
      <c r="F258" s="102"/>
      <c r="G258" s="103"/>
      <c r="K258" s="103"/>
      <c r="L258" s="113"/>
      <c r="M258" s="107"/>
      <c r="N258" s="106" t="str">
        <f>IF(ISBLANK(L258), "", VLOOKUP(D258, 'Info Tipo de Cambio y REM'!$A$24:$B$35, 2, FALSE))</f>
        <v/>
      </c>
      <c r="O258" s="107" t="str">
        <f t="shared" si="1"/>
        <v/>
      </c>
    </row>
    <row r="259">
      <c r="A259" s="102"/>
      <c r="B259" s="43" t="str">
        <f t="shared" si="2"/>
        <v/>
      </c>
      <c r="C259" s="102" t="str">
        <f>IF(I259="", "", IFERROR(VLOOKUP(I259, Clasificaciones!D:E, 2, FALSE), "DATO NO CARGADO"))
</f>
        <v/>
      </c>
      <c r="D259" s="51"/>
      <c r="E259" s="102"/>
      <c r="F259" s="102"/>
      <c r="G259" s="103"/>
      <c r="K259" s="103"/>
      <c r="L259" s="113"/>
      <c r="M259" s="107"/>
      <c r="N259" s="106" t="str">
        <f>IF(ISBLANK(L259), "", VLOOKUP(D259, 'Info Tipo de Cambio y REM'!$A$24:$B$35, 2, FALSE))</f>
        <v/>
      </c>
      <c r="O259" s="107" t="str">
        <f t="shared" si="1"/>
        <v/>
      </c>
    </row>
    <row r="260">
      <c r="A260" s="102"/>
      <c r="B260" s="43" t="str">
        <f t="shared" si="2"/>
        <v/>
      </c>
      <c r="C260" s="102" t="str">
        <f>IF(I260="", "", IFERROR(VLOOKUP(I260, Clasificaciones!D:E, 2, FALSE), "DATO NO CARGADO"))
</f>
        <v/>
      </c>
      <c r="D260" s="51"/>
      <c r="E260" s="102"/>
      <c r="F260" s="102"/>
      <c r="G260" s="103"/>
      <c r="K260" s="103"/>
      <c r="L260" s="113"/>
      <c r="M260" s="107"/>
      <c r="N260" s="106" t="str">
        <f>IF(ISBLANK(L260), "", VLOOKUP(D260, 'Info Tipo de Cambio y REM'!$A$24:$B$35, 2, FALSE))</f>
        <v/>
      </c>
      <c r="O260" s="107" t="str">
        <f t="shared" si="1"/>
        <v/>
      </c>
    </row>
    <row r="261">
      <c r="A261" s="102"/>
      <c r="B261" s="43" t="str">
        <f t="shared" si="2"/>
        <v/>
      </c>
      <c r="C261" s="102" t="str">
        <f>IF(I261="", "", IFERROR(VLOOKUP(I261, Clasificaciones!D:E, 2, FALSE), "DATO NO CARGADO"))
</f>
        <v/>
      </c>
      <c r="D261" s="51"/>
      <c r="E261" s="102"/>
      <c r="F261" s="102"/>
      <c r="G261" s="103"/>
      <c r="K261" s="103"/>
      <c r="L261" s="113"/>
      <c r="M261" s="107"/>
      <c r="N261" s="106" t="str">
        <f>IF(ISBLANK(L261), "", VLOOKUP(D261, 'Info Tipo de Cambio y REM'!$A$24:$B$35, 2, FALSE))</f>
        <v/>
      </c>
      <c r="O261" s="107" t="str">
        <f t="shared" si="1"/>
        <v/>
      </c>
    </row>
    <row r="262">
      <c r="A262" s="102"/>
      <c r="B262" s="43" t="str">
        <f t="shared" si="2"/>
        <v/>
      </c>
      <c r="C262" s="102" t="str">
        <f>IF(I262="", "", IFERROR(VLOOKUP(I262, Clasificaciones!D:E, 2, FALSE), "DATO NO CARGADO"))
</f>
        <v/>
      </c>
      <c r="D262" s="51"/>
      <c r="E262" s="102"/>
      <c r="F262" s="102"/>
      <c r="G262" s="103"/>
      <c r="K262" s="103"/>
      <c r="L262" s="113"/>
      <c r="M262" s="107"/>
      <c r="N262" s="106" t="str">
        <f>IF(ISBLANK(L262), "", VLOOKUP(D262, 'Info Tipo de Cambio y REM'!$A$24:$B$35, 2, FALSE))</f>
        <v/>
      </c>
      <c r="O262" s="107" t="str">
        <f t="shared" si="1"/>
        <v/>
      </c>
    </row>
    <row r="263">
      <c r="A263" s="102"/>
      <c r="B263" s="43" t="str">
        <f t="shared" si="2"/>
        <v/>
      </c>
      <c r="C263" s="102" t="str">
        <f>IF(I263="", "", IFERROR(VLOOKUP(I263, Clasificaciones!D:E, 2, FALSE), "DATO NO CARGADO"))
</f>
        <v/>
      </c>
      <c r="D263" s="51"/>
      <c r="E263" s="102"/>
      <c r="F263" s="102"/>
      <c r="G263" s="103"/>
      <c r="K263" s="103"/>
      <c r="L263" s="113"/>
      <c r="M263" s="107"/>
      <c r="N263" s="106" t="str">
        <f>IF(ISBLANK(L263), "", VLOOKUP(D263, 'Info Tipo de Cambio y REM'!$A$24:$B$35, 2, FALSE))</f>
        <v/>
      </c>
      <c r="O263" s="107" t="str">
        <f t="shared" si="1"/>
        <v/>
      </c>
    </row>
    <row r="264">
      <c r="A264" s="102"/>
      <c r="B264" s="43" t="str">
        <f t="shared" si="2"/>
        <v/>
      </c>
      <c r="C264" s="102" t="str">
        <f>IF(I264="", "", IFERROR(VLOOKUP(I264, Clasificaciones!D:E, 2, FALSE), "DATO NO CARGADO"))
</f>
        <v/>
      </c>
      <c r="D264" s="51"/>
      <c r="E264" s="102"/>
      <c r="F264" s="102"/>
      <c r="G264" s="103"/>
      <c r="K264" s="103"/>
      <c r="L264" s="113"/>
      <c r="M264" s="107"/>
      <c r="N264" s="106" t="str">
        <f>IF(ISBLANK(L264), "", VLOOKUP(D264, 'Info Tipo de Cambio y REM'!$A$24:$B$35, 2, FALSE))</f>
        <v/>
      </c>
      <c r="O264" s="107" t="str">
        <f t="shared" si="1"/>
        <v/>
      </c>
    </row>
    <row r="265">
      <c r="A265" s="102"/>
      <c r="B265" s="43" t="str">
        <f t="shared" si="2"/>
        <v/>
      </c>
      <c r="C265" s="102" t="str">
        <f>IF(I265="", "", IFERROR(VLOOKUP(I265, Clasificaciones!D:E, 2, FALSE), "DATO NO CARGADO"))
</f>
        <v/>
      </c>
      <c r="D265" s="51"/>
      <c r="E265" s="102"/>
      <c r="F265" s="102"/>
      <c r="G265" s="103"/>
      <c r="K265" s="103"/>
      <c r="L265" s="113"/>
      <c r="M265" s="107"/>
      <c r="N265" s="106" t="str">
        <f>IF(ISBLANK(L265), "", VLOOKUP(D265, 'Info Tipo de Cambio y REM'!$A$24:$B$35, 2, FALSE))</f>
        <v/>
      </c>
      <c r="O265" s="107" t="str">
        <f t="shared" si="1"/>
        <v/>
      </c>
    </row>
    <row r="266">
      <c r="A266" s="102"/>
      <c r="B266" s="43" t="str">
        <f t="shared" si="2"/>
        <v/>
      </c>
      <c r="C266" s="102" t="str">
        <f>IF(I266="", "", IFERROR(VLOOKUP(I266, Clasificaciones!D:E, 2, FALSE), "DATO NO CARGADO"))
</f>
        <v/>
      </c>
      <c r="D266" s="51"/>
      <c r="E266" s="102"/>
      <c r="F266" s="102"/>
      <c r="G266" s="103"/>
      <c r="K266" s="103"/>
      <c r="L266" s="113"/>
      <c r="M266" s="107"/>
      <c r="N266" s="106" t="str">
        <f>IF(ISBLANK(L266), "", VLOOKUP(D266, 'Info Tipo de Cambio y REM'!$A$24:$B$35, 2, FALSE))</f>
        <v/>
      </c>
      <c r="O266" s="107" t="str">
        <f t="shared" si="1"/>
        <v/>
      </c>
    </row>
    <row r="267">
      <c r="A267" s="102"/>
      <c r="B267" s="43" t="str">
        <f t="shared" si="2"/>
        <v/>
      </c>
      <c r="C267" s="102" t="str">
        <f>IF(I267="", "", IFERROR(VLOOKUP(I267, Clasificaciones!D:E, 2, FALSE), "DATO NO CARGADO"))
</f>
        <v/>
      </c>
      <c r="D267" s="51"/>
      <c r="E267" s="102"/>
      <c r="F267" s="102"/>
      <c r="G267" s="103"/>
      <c r="K267" s="103"/>
      <c r="L267" s="113"/>
      <c r="M267" s="107"/>
      <c r="N267" s="106" t="str">
        <f>IF(ISBLANK(L267), "", VLOOKUP(D267, 'Info Tipo de Cambio y REM'!$A$24:$B$35, 2, FALSE))</f>
        <v/>
      </c>
      <c r="O267" s="107" t="str">
        <f t="shared" si="1"/>
        <v/>
      </c>
    </row>
    <row r="268">
      <c r="A268" s="102"/>
      <c r="B268" s="43" t="str">
        <f t="shared" si="2"/>
        <v/>
      </c>
      <c r="C268" s="102" t="str">
        <f>IF(I268="", "", IFERROR(VLOOKUP(I268, Clasificaciones!D:E, 2, FALSE), "DATO NO CARGADO"))
</f>
        <v/>
      </c>
      <c r="D268" s="51"/>
      <c r="E268" s="102"/>
      <c r="F268" s="102"/>
      <c r="G268" s="103"/>
      <c r="K268" s="103"/>
      <c r="L268" s="113"/>
      <c r="M268" s="107"/>
      <c r="N268" s="106" t="str">
        <f>IF(ISBLANK(L268), "", VLOOKUP(D268, 'Info Tipo de Cambio y REM'!$A$24:$B$35, 2, FALSE))</f>
        <v/>
      </c>
      <c r="O268" s="107" t="str">
        <f t="shared" si="1"/>
        <v/>
      </c>
    </row>
    <row r="269">
      <c r="A269" s="102"/>
      <c r="B269" s="43" t="str">
        <f t="shared" si="2"/>
        <v/>
      </c>
      <c r="C269" s="102" t="str">
        <f>IF(I269="", "", IFERROR(VLOOKUP(I269, Clasificaciones!D:E, 2, FALSE), "DATO NO CARGADO"))
</f>
        <v/>
      </c>
      <c r="D269" s="51"/>
      <c r="E269" s="102"/>
      <c r="F269" s="102"/>
      <c r="G269" s="103"/>
      <c r="K269" s="103"/>
      <c r="L269" s="113"/>
      <c r="M269" s="107"/>
      <c r="N269" s="106" t="str">
        <f>IF(ISBLANK(L269), "", VLOOKUP(D269, 'Info Tipo de Cambio y REM'!$A$24:$B$35, 2, FALSE))</f>
        <v/>
      </c>
      <c r="O269" s="107" t="str">
        <f t="shared" si="1"/>
        <v/>
      </c>
    </row>
    <row r="270">
      <c r="A270" s="102"/>
      <c r="B270" s="43" t="str">
        <f t="shared" si="2"/>
        <v/>
      </c>
      <c r="C270" s="102" t="str">
        <f>IF(I270="", "", IFERROR(VLOOKUP(I270, Clasificaciones!D:E, 2, FALSE), "DATO NO CARGADO"))
</f>
        <v/>
      </c>
      <c r="D270" s="51"/>
      <c r="E270" s="102"/>
      <c r="F270" s="102"/>
      <c r="G270" s="103"/>
      <c r="K270" s="103"/>
      <c r="L270" s="113"/>
      <c r="M270" s="107"/>
      <c r="N270" s="106" t="str">
        <f>IF(ISBLANK(L270), "", VLOOKUP(D270, 'Info Tipo de Cambio y REM'!$A$24:$B$35, 2, FALSE))</f>
        <v/>
      </c>
      <c r="O270" s="107" t="str">
        <f t="shared" si="1"/>
        <v/>
      </c>
    </row>
    <row r="271">
      <c r="A271" s="102"/>
      <c r="B271" s="43" t="str">
        <f t="shared" si="2"/>
        <v/>
      </c>
      <c r="C271" s="102" t="str">
        <f>IF(I271="", "", IFERROR(VLOOKUP(I271, Clasificaciones!D:E, 2, FALSE), "DATO NO CARGADO"))
</f>
        <v/>
      </c>
      <c r="D271" s="51"/>
      <c r="E271" s="102"/>
      <c r="F271" s="102"/>
      <c r="G271" s="103"/>
      <c r="K271" s="103"/>
      <c r="L271" s="113"/>
      <c r="M271" s="107"/>
      <c r="N271" s="106" t="str">
        <f>IF(ISBLANK(L271), "", VLOOKUP(D271, 'Info Tipo de Cambio y REM'!$A$24:$B$35, 2, FALSE))</f>
        <v/>
      </c>
      <c r="O271" s="107" t="str">
        <f t="shared" si="1"/>
        <v/>
      </c>
    </row>
    <row r="272">
      <c r="A272" s="102"/>
      <c r="B272" s="43" t="str">
        <f t="shared" si="2"/>
        <v/>
      </c>
      <c r="C272" s="102" t="str">
        <f>IF(I272="", "", IFERROR(VLOOKUP(I272, Clasificaciones!D:E, 2, FALSE), "DATO NO CARGADO"))
</f>
        <v/>
      </c>
      <c r="D272" s="51"/>
      <c r="E272" s="102"/>
      <c r="F272" s="102"/>
      <c r="G272" s="103"/>
      <c r="K272" s="103"/>
      <c r="L272" s="113"/>
      <c r="M272" s="107"/>
      <c r="N272" s="106" t="str">
        <f>IF(ISBLANK(L272), "", VLOOKUP(D272, 'Info Tipo de Cambio y REM'!$A$24:$B$35, 2, FALSE))</f>
        <v/>
      </c>
      <c r="O272" s="107" t="str">
        <f t="shared" si="1"/>
        <v/>
      </c>
    </row>
    <row r="273">
      <c r="A273" s="102"/>
      <c r="B273" s="43" t="str">
        <f t="shared" si="2"/>
        <v/>
      </c>
      <c r="C273" s="102" t="str">
        <f>IF(I273="", "", IFERROR(VLOOKUP(I273, Clasificaciones!D:E, 2, FALSE), "DATO NO CARGADO"))
</f>
        <v/>
      </c>
      <c r="D273" s="51"/>
      <c r="E273" s="102"/>
      <c r="F273" s="102"/>
      <c r="G273" s="103"/>
      <c r="K273" s="103"/>
      <c r="L273" s="113"/>
      <c r="M273" s="107"/>
      <c r="N273" s="106" t="str">
        <f>IF(ISBLANK(L273), "", VLOOKUP(D273, 'Info Tipo de Cambio y REM'!$A$24:$B$35, 2, FALSE))</f>
        <v/>
      </c>
      <c r="O273" s="107" t="str">
        <f t="shared" si="1"/>
        <v/>
      </c>
    </row>
    <row r="274">
      <c r="A274" s="102"/>
      <c r="B274" s="43" t="str">
        <f t="shared" si="2"/>
        <v/>
      </c>
      <c r="C274" s="102" t="str">
        <f>IF(I274="", "", IFERROR(VLOOKUP(I274, Clasificaciones!D:E, 2, FALSE), "DATO NO CARGADO"))
</f>
        <v/>
      </c>
      <c r="D274" s="51"/>
      <c r="E274" s="102"/>
      <c r="F274" s="102"/>
      <c r="G274" s="103"/>
      <c r="K274" s="103"/>
      <c r="L274" s="113"/>
      <c r="M274" s="107"/>
      <c r="N274" s="106" t="str">
        <f>IF(ISBLANK(L274), "", VLOOKUP(D274, 'Info Tipo de Cambio y REM'!$A$24:$B$35, 2, FALSE))</f>
        <v/>
      </c>
      <c r="O274" s="107" t="str">
        <f t="shared" si="1"/>
        <v/>
      </c>
    </row>
    <row r="275">
      <c r="A275" s="102"/>
      <c r="B275" s="43" t="str">
        <f t="shared" si="2"/>
        <v/>
      </c>
      <c r="C275" s="102" t="str">
        <f>IF(I275="", "", IFERROR(VLOOKUP(I275, Clasificaciones!D:E, 2, FALSE), "DATO NO CARGADO"))
</f>
        <v/>
      </c>
      <c r="D275" s="51"/>
      <c r="E275" s="102"/>
      <c r="F275" s="102"/>
      <c r="G275" s="103"/>
      <c r="K275" s="103"/>
      <c r="L275" s="113"/>
      <c r="M275" s="107"/>
      <c r="N275" s="106" t="str">
        <f>IF(ISBLANK(L275), "", VLOOKUP(D275, 'Info Tipo de Cambio y REM'!$A$24:$B$35, 2, FALSE))</f>
        <v/>
      </c>
      <c r="O275" s="107" t="str">
        <f t="shared" si="1"/>
        <v/>
      </c>
    </row>
    <row r="276">
      <c r="A276" s="102"/>
      <c r="B276" s="43" t="str">
        <f t="shared" si="2"/>
        <v/>
      </c>
      <c r="C276" s="102" t="str">
        <f>IF(I276="", "", IFERROR(VLOOKUP(I276, Clasificaciones!D:E, 2, FALSE), "DATO NO CARGADO"))
</f>
        <v/>
      </c>
      <c r="D276" s="51"/>
      <c r="E276" s="102"/>
      <c r="F276" s="102"/>
      <c r="G276" s="103"/>
      <c r="K276" s="103"/>
      <c r="L276" s="113"/>
      <c r="M276" s="107"/>
      <c r="N276" s="106" t="str">
        <f>IF(ISBLANK(L276), "", VLOOKUP(D276, 'Info Tipo de Cambio y REM'!$A$24:$B$35, 2, FALSE))</f>
        <v/>
      </c>
      <c r="O276" s="107" t="str">
        <f t="shared" si="1"/>
        <v/>
      </c>
    </row>
    <row r="277">
      <c r="A277" s="102"/>
      <c r="B277" s="43" t="str">
        <f t="shared" si="2"/>
        <v/>
      </c>
      <c r="C277" s="102" t="str">
        <f>IF(I277="", "", IFERROR(VLOOKUP(I277, Clasificaciones!D:E, 2, FALSE), "DATO NO CARGADO"))
</f>
        <v/>
      </c>
      <c r="D277" s="51"/>
      <c r="E277" s="102"/>
      <c r="F277" s="102"/>
      <c r="G277" s="103"/>
      <c r="K277" s="103"/>
      <c r="L277" s="113"/>
      <c r="M277" s="107"/>
      <c r="N277" s="106" t="str">
        <f>IF(ISBLANK(L277), "", VLOOKUP(D277, 'Info Tipo de Cambio y REM'!$A$24:$B$35, 2, FALSE))</f>
        <v/>
      </c>
      <c r="O277" s="107" t="str">
        <f t="shared" si="1"/>
        <v/>
      </c>
    </row>
    <row r="278">
      <c r="A278" s="102"/>
      <c r="B278" s="43" t="str">
        <f t="shared" si="2"/>
        <v/>
      </c>
      <c r="C278" s="102" t="str">
        <f>IF(I278="", "", IFERROR(VLOOKUP(I278, Clasificaciones!D:E, 2, FALSE), "DATO NO CARGADO"))
</f>
        <v/>
      </c>
      <c r="D278" s="51"/>
      <c r="E278" s="102"/>
      <c r="F278" s="102"/>
      <c r="G278" s="103"/>
      <c r="K278" s="103"/>
      <c r="L278" s="113"/>
      <c r="M278" s="107"/>
      <c r="N278" s="106" t="str">
        <f>IF(ISBLANK(L278), "", VLOOKUP(D278, 'Info Tipo de Cambio y REM'!$A$24:$B$35, 2, FALSE))</f>
        <v/>
      </c>
      <c r="O278" s="107" t="str">
        <f t="shared" si="1"/>
        <v/>
      </c>
    </row>
    <row r="279">
      <c r="A279" s="102"/>
      <c r="B279" s="43" t="str">
        <f t="shared" si="2"/>
        <v/>
      </c>
      <c r="C279" s="102" t="str">
        <f>IF(I279="", "", IFERROR(VLOOKUP(I279, Clasificaciones!D:E, 2, FALSE), "DATO NO CARGADO"))
</f>
        <v/>
      </c>
      <c r="D279" s="51"/>
      <c r="E279" s="102"/>
      <c r="F279" s="102"/>
      <c r="G279" s="103"/>
      <c r="K279" s="103"/>
      <c r="L279" s="113"/>
      <c r="M279" s="107"/>
      <c r="N279" s="106" t="str">
        <f>IF(ISBLANK(L279), "", VLOOKUP(D279, 'Info Tipo de Cambio y REM'!$A$24:$B$35, 2, FALSE))</f>
        <v/>
      </c>
      <c r="O279" s="107" t="str">
        <f t="shared" si="1"/>
        <v/>
      </c>
    </row>
    <row r="280">
      <c r="A280" s="102"/>
      <c r="B280" s="43" t="str">
        <f t="shared" si="2"/>
        <v/>
      </c>
      <c r="C280" s="102" t="str">
        <f>IF(I280="", "", IFERROR(VLOOKUP(I280, Clasificaciones!D:E, 2, FALSE), "DATO NO CARGADO"))
</f>
        <v/>
      </c>
      <c r="D280" s="51"/>
      <c r="E280" s="102"/>
      <c r="F280" s="102"/>
      <c r="G280" s="103"/>
      <c r="K280" s="103"/>
      <c r="L280" s="113"/>
      <c r="M280" s="107"/>
      <c r="N280" s="106" t="str">
        <f>IF(ISBLANK(L280), "", VLOOKUP(D280, 'Info Tipo de Cambio y REM'!$A$24:$B$35, 2, FALSE))</f>
        <v/>
      </c>
      <c r="O280" s="107" t="str">
        <f t="shared" si="1"/>
        <v/>
      </c>
    </row>
    <row r="281">
      <c r="A281" s="102"/>
      <c r="B281" s="43" t="str">
        <f t="shared" si="2"/>
        <v/>
      </c>
      <c r="C281" s="102" t="str">
        <f>IF(I281="", "", IFERROR(VLOOKUP(I281, Clasificaciones!D:E, 2, FALSE), "DATO NO CARGADO"))
</f>
        <v/>
      </c>
      <c r="D281" s="51"/>
      <c r="E281" s="102"/>
      <c r="F281" s="102"/>
      <c r="G281" s="103"/>
      <c r="K281" s="103"/>
      <c r="L281" s="113"/>
      <c r="M281" s="107"/>
      <c r="N281" s="106" t="str">
        <f>IF(ISBLANK(L281), "", VLOOKUP(D281, 'Info Tipo de Cambio y REM'!$A$24:$B$35, 2, FALSE))</f>
        <v/>
      </c>
      <c r="O281" s="107" t="str">
        <f t="shared" si="1"/>
        <v/>
      </c>
    </row>
    <row r="282">
      <c r="A282" s="102"/>
      <c r="B282" s="43" t="str">
        <f t="shared" si="2"/>
        <v/>
      </c>
      <c r="C282" s="102" t="str">
        <f>IF(I282="", "", IFERROR(VLOOKUP(I282, Clasificaciones!D:E, 2, FALSE), "DATO NO CARGADO"))
</f>
        <v/>
      </c>
      <c r="D282" s="51"/>
      <c r="E282" s="102"/>
      <c r="F282" s="102"/>
      <c r="G282" s="103"/>
      <c r="K282" s="103"/>
      <c r="L282" s="113"/>
      <c r="M282" s="107"/>
      <c r="N282" s="106" t="str">
        <f>IF(ISBLANK(L282), "", VLOOKUP(D282, 'Info Tipo de Cambio y REM'!$A$24:$B$35, 2, FALSE))</f>
        <v/>
      </c>
      <c r="O282" s="107" t="str">
        <f t="shared" si="1"/>
        <v/>
      </c>
    </row>
    <row r="283">
      <c r="A283" s="102"/>
      <c r="B283" s="43" t="str">
        <f t="shared" si="2"/>
        <v/>
      </c>
      <c r="C283" s="102" t="str">
        <f>IF(I283="", "", IFERROR(VLOOKUP(I283, Clasificaciones!D:E, 2, FALSE), "DATO NO CARGADO"))
</f>
        <v/>
      </c>
      <c r="D283" s="51"/>
      <c r="E283" s="102"/>
      <c r="F283" s="102"/>
      <c r="G283" s="103"/>
      <c r="K283" s="103"/>
      <c r="L283" s="113"/>
      <c r="M283" s="107"/>
      <c r="N283" s="106" t="str">
        <f>IF(ISBLANK(L283), "", VLOOKUP(D283, 'Info Tipo de Cambio y REM'!$A$24:$B$35, 2, FALSE))</f>
        <v/>
      </c>
      <c r="O283" s="107" t="str">
        <f t="shared" si="1"/>
        <v/>
      </c>
    </row>
    <row r="284">
      <c r="A284" s="102"/>
      <c r="B284" s="43" t="str">
        <f t="shared" si="2"/>
        <v/>
      </c>
      <c r="C284" s="102" t="str">
        <f>IF(I284="", "", IFERROR(VLOOKUP(I284, Clasificaciones!D:E, 2, FALSE), "DATO NO CARGADO"))
</f>
        <v/>
      </c>
      <c r="D284" s="51"/>
      <c r="E284" s="102"/>
      <c r="F284" s="102"/>
      <c r="G284" s="103"/>
      <c r="K284" s="103"/>
      <c r="L284" s="113"/>
      <c r="M284" s="107"/>
      <c r="N284" s="106" t="str">
        <f>IF(ISBLANK(L284), "", VLOOKUP(D284, 'Info Tipo de Cambio y REM'!$A$24:$B$35, 2, FALSE))</f>
        <v/>
      </c>
      <c r="O284" s="107" t="str">
        <f t="shared" si="1"/>
        <v/>
      </c>
    </row>
    <row r="285">
      <c r="A285" s="102"/>
      <c r="B285" s="43" t="str">
        <f t="shared" si="2"/>
        <v/>
      </c>
      <c r="C285" s="102" t="str">
        <f>IF(I285="", "", IFERROR(VLOOKUP(I285, Clasificaciones!D:E, 2, FALSE), "DATO NO CARGADO"))
</f>
        <v/>
      </c>
      <c r="D285" s="51"/>
      <c r="E285" s="102"/>
      <c r="F285" s="102"/>
      <c r="G285" s="103"/>
      <c r="K285" s="103"/>
      <c r="L285" s="113"/>
      <c r="M285" s="107"/>
      <c r="N285" s="106" t="str">
        <f>IF(ISBLANK(L285), "", VLOOKUP(D285, 'Info Tipo de Cambio y REM'!$A$24:$B$35, 2, FALSE))</f>
        <v/>
      </c>
      <c r="O285" s="107" t="str">
        <f t="shared" si="1"/>
        <v/>
      </c>
    </row>
    <row r="286">
      <c r="A286" s="102"/>
      <c r="B286" s="43" t="str">
        <f t="shared" si="2"/>
        <v/>
      </c>
      <c r="C286" s="102" t="str">
        <f>IF(I286="", "", IFERROR(VLOOKUP(I286, Clasificaciones!D:E, 2, FALSE), "DATO NO CARGADO"))
</f>
        <v/>
      </c>
      <c r="D286" s="51"/>
      <c r="E286" s="102"/>
      <c r="F286" s="102"/>
      <c r="G286" s="103"/>
      <c r="K286" s="103"/>
      <c r="L286" s="113"/>
      <c r="M286" s="107"/>
      <c r="N286" s="106" t="str">
        <f>IF(ISBLANK(L286), "", VLOOKUP(D286, 'Info Tipo de Cambio y REM'!$A$24:$B$35, 2, FALSE))</f>
        <v/>
      </c>
      <c r="O286" s="107" t="str">
        <f t="shared" si="1"/>
        <v/>
      </c>
    </row>
    <row r="287">
      <c r="A287" s="102"/>
      <c r="B287" s="43" t="str">
        <f t="shared" si="2"/>
        <v/>
      </c>
      <c r="C287" s="102" t="str">
        <f>IF(I287="", "", IFERROR(VLOOKUP(I287, Clasificaciones!D:E, 2, FALSE), "DATO NO CARGADO"))
</f>
        <v/>
      </c>
      <c r="D287" s="51"/>
      <c r="E287" s="102"/>
      <c r="F287" s="102"/>
      <c r="G287" s="103"/>
      <c r="K287" s="103"/>
      <c r="L287" s="113"/>
      <c r="M287" s="107"/>
      <c r="N287" s="106" t="str">
        <f>IF(ISBLANK(L287), "", VLOOKUP(D287, 'Info Tipo de Cambio y REM'!$A$24:$B$35, 2, FALSE))</f>
        <v/>
      </c>
      <c r="O287" s="107" t="str">
        <f t="shared" si="1"/>
        <v/>
      </c>
    </row>
    <row r="288">
      <c r="A288" s="102"/>
      <c r="B288" s="43" t="str">
        <f t="shared" si="2"/>
        <v/>
      </c>
      <c r="C288" s="102" t="str">
        <f>IF(I288="", "", IFERROR(VLOOKUP(I288, Clasificaciones!D:E, 2, FALSE), "DATO NO CARGADO"))
</f>
        <v/>
      </c>
      <c r="D288" s="51"/>
      <c r="E288" s="102"/>
      <c r="F288" s="102"/>
      <c r="G288" s="103"/>
      <c r="K288" s="103"/>
      <c r="L288" s="113"/>
      <c r="M288" s="107"/>
      <c r="N288" s="106" t="str">
        <f>IF(ISBLANK(L288), "", VLOOKUP(D288, 'Info Tipo de Cambio y REM'!$A$24:$B$35, 2, FALSE))</f>
        <v/>
      </c>
      <c r="O288" s="107" t="str">
        <f t="shared" si="1"/>
        <v/>
      </c>
    </row>
    <row r="289">
      <c r="A289" s="102"/>
      <c r="B289" s="43" t="str">
        <f t="shared" si="2"/>
        <v/>
      </c>
      <c r="C289" s="102" t="str">
        <f>IF(I289="", "", IFERROR(VLOOKUP(I289, Clasificaciones!D:E, 2, FALSE), "DATO NO CARGADO"))
</f>
        <v/>
      </c>
      <c r="D289" s="51"/>
      <c r="E289" s="102"/>
      <c r="F289" s="102"/>
      <c r="G289" s="103"/>
      <c r="K289" s="103"/>
      <c r="L289" s="113"/>
      <c r="M289" s="107"/>
      <c r="N289" s="106" t="str">
        <f>IF(ISBLANK(L289), "", VLOOKUP(D289, 'Info Tipo de Cambio y REM'!$A$24:$B$35, 2, FALSE))</f>
        <v/>
      </c>
      <c r="O289" s="107" t="str">
        <f t="shared" si="1"/>
        <v/>
      </c>
    </row>
    <row r="290">
      <c r="A290" s="102"/>
      <c r="B290" s="43" t="str">
        <f t="shared" si="2"/>
        <v/>
      </c>
      <c r="C290" s="102" t="str">
        <f>IF(I290="", "", IFERROR(VLOOKUP(I290, Clasificaciones!D:E, 2, FALSE), "DATO NO CARGADO"))
</f>
        <v/>
      </c>
      <c r="D290" s="51"/>
      <c r="E290" s="102"/>
      <c r="F290" s="102"/>
      <c r="G290" s="103"/>
      <c r="K290" s="103"/>
      <c r="L290" s="113"/>
      <c r="M290" s="107"/>
      <c r="N290" s="106" t="str">
        <f>IF(ISBLANK(L290), "", VLOOKUP(D290, 'Info Tipo de Cambio y REM'!$A$24:$B$35, 2, FALSE))</f>
        <v/>
      </c>
      <c r="O290" s="107" t="str">
        <f t="shared" si="1"/>
        <v/>
      </c>
    </row>
    <row r="291">
      <c r="A291" s="102"/>
      <c r="B291" s="43" t="str">
        <f t="shared" si="2"/>
        <v/>
      </c>
      <c r="C291" s="102" t="str">
        <f>IF(I291="", "", IFERROR(VLOOKUP(I291, Clasificaciones!D:E, 2, FALSE), "DATO NO CARGADO"))
</f>
        <v/>
      </c>
      <c r="D291" s="51"/>
      <c r="E291" s="102"/>
      <c r="F291" s="102"/>
      <c r="G291" s="103"/>
      <c r="K291" s="103"/>
      <c r="L291" s="113"/>
      <c r="M291" s="107"/>
      <c r="N291" s="106" t="str">
        <f>IF(ISBLANK(L291), "", VLOOKUP(D291, 'Info Tipo de Cambio y REM'!$A$24:$B$35, 2, FALSE))</f>
        <v/>
      </c>
      <c r="O291" s="107" t="str">
        <f t="shared" si="1"/>
        <v/>
      </c>
    </row>
    <row r="292">
      <c r="A292" s="102"/>
      <c r="B292" s="43" t="str">
        <f t="shared" si="2"/>
        <v/>
      </c>
      <c r="C292" s="102" t="str">
        <f>IF(I292="", "", IFERROR(VLOOKUP(I292, Clasificaciones!D:E, 2, FALSE), "DATO NO CARGADO"))
</f>
        <v/>
      </c>
      <c r="D292" s="51"/>
      <c r="E292" s="102"/>
      <c r="F292" s="102"/>
      <c r="G292" s="103"/>
      <c r="K292" s="103"/>
      <c r="L292" s="113"/>
      <c r="M292" s="107"/>
      <c r="N292" s="106" t="str">
        <f>IF(ISBLANK(L292), "", VLOOKUP(D292, 'Info Tipo de Cambio y REM'!$A$24:$B$35, 2, FALSE))</f>
        <v/>
      </c>
      <c r="O292" s="107" t="str">
        <f t="shared" si="1"/>
        <v/>
      </c>
    </row>
    <row r="293">
      <c r="A293" s="102"/>
      <c r="B293" s="43" t="str">
        <f t="shared" si="2"/>
        <v/>
      </c>
      <c r="C293" s="102" t="str">
        <f>IF(I293="", "", IFERROR(VLOOKUP(I293, Clasificaciones!D:E, 2, FALSE), "DATO NO CARGADO"))
</f>
        <v/>
      </c>
      <c r="D293" s="51"/>
      <c r="E293" s="102"/>
      <c r="F293" s="102"/>
      <c r="G293" s="103"/>
      <c r="K293" s="103"/>
      <c r="L293" s="113"/>
      <c r="M293" s="107"/>
      <c r="N293" s="106" t="str">
        <f>IF(ISBLANK(L293), "", VLOOKUP(D293, 'Info Tipo de Cambio y REM'!$A$24:$B$35, 2, FALSE))</f>
        <v/>
      </c>
      <c r="O293" s="107" t="str">
        <f t="shared" si="1"/>
        <v/>
      </c>
    </row>
    <row r="294">
      <c r="A294" s="102"/>
      <c r="B294" s="43" t="str">
        <f t="shared" si="2"/>
        <v/>
      </c>
      <c r="C294" s="102" t="str">
        <f>IF(I294="", "", IFERROR(VLOOKUP(I294, Clasificaciones!D:E, 2, FALSE), "DATO NO CARGADO"))
</f>
        <v/>
      </c>
      <c r="D294" s="51"/>
      <c r="E294" s="102"/>
      <c r="F294" s="102"/>
      <c r="G294" s="103"/>
      <c r="K294" s="103"/>
      <c r="L294" s="113"/>
      <c r="M294" s="107"/>
      <c r="N294" s="106" t="str">
        <f>IF(ISBLANK(L294), "", VLOOKUP(D294, 'Info Tipo de Cambio y REM'!$A$24:$B$35, 2, FALSE))</f>
        <v/>
      </c>
      <c r="O294" s="107" t="str">
        <f t="shared" si="1"/>
        <v/>
      </c>
    </row>
    <row r="295">
      <c r="A295" s="102"/>
      <c r="B295" s="43" t="str">
        <f t="shared" si="2"/>
        <v/>
      </c>
      <c r="C295" s="102" t="str">
        <f>IF(I295="", "", IFERROR(VLOOKUP(I295, Clasificaciones!D:E, 2, FALSE), "DATO NO CARGADO"))
</f>
        <v/>
      </c>
      <c r="D295" s="51"/>
      <c r="E295" s="102"/>
      <c r="F295" s="102"/>
      <c r="G295" s="103"/>
      <c r="K295" s="103"/>
      <c r="L295" s="113"/>
      <c r="M295" s="107"/>
      <c r="N295" s="106" t="str">
        <f>IF(ISBLANK(L295), "", VLOOKUP(D295, 'Info Tipo de Cambio y REM'!$A$24:$B$35, 2, FALSE))</f>
        <v/>
      </c>
      <c r="O295" s="107" t="str">
        <f t="shared" si="1"/>
        <v/>
      </c>
    </row>
    <row r="296">
      <c r="A296" s="102"/>
      <c r="B296" s="43" t="str">
        <f t="shared" si="2"/>
        <v/>
      </c>
      <c r="C296" s="102" t="str">
        <f>IF(I296="", "", IFERROR(VLOOKUP(I296, Clasificaciones!D:E, 2, FALSE), "DATO NO CARGADO"))
</f>
        <v/>
      </c>
      <c r="D296" s="51"/>
      <c r="E296" s="102"/>
      <c r="F296" s="102"/>
      <c r="G296" s="103"/>
      <c r="K296" s="103"/>
      <c r="L296" s="113"/>
      <c r="M296" s="107"/>
      <c r="N296" s="106" t="str">
        <f>IF(ISBLANK(L296), "", VLOOKUP(D296, 'Info Tipo de Cambio y REM'!$A$24:$B$35, 2, FALSE))</f>
        <v/>
      </c>
      <c r="O296" s="107" t="str">
        <f t="shared" si="1"/>
        <v/>
      </c>
    </row>
    <row r="297">
      <c r="A297" s="102"/>
      <c r="B297" s="43" t="str">
        <f t="shared" si="2"/>
        <v/>
      </c>
      <c r="C297" s="102" t="str">
        <f>IF(I297="", "", IFERROR(VLOOKUP(I297, Clasificaciones!D:E, 2, FALSE), "DATO NO CARGADO"))
</f>
        <v/>
      </c>
      <c r="D297" s="51"/>
      <c r="E297" s="102"/>
      <c r="F297" s="102"/>
      <c r="G297" s="103"/>
      <c r="K297" s="103"/>
      <c r="L297" s="113"/>
      <c r="M297" s="107"/>
      <c r="N297" s="106" t="str">
        <f>IF(ISBLANK(L297), "", VLOOKUP(D297, 'Info Tipo de Cambio y REM'!$A$24:$B$35, 2, FALSE))</f>
        <v/>
      </c>
      <c r="O297" s="107" t="str">
        <f t="shared" si="1"/>
        <v/>
      </c>
    </row>
    <row r="298">
      <c r="A298" s="102"/>
      <c r="B298" s="43" t="str">
        <f t="shared" si="2"/>
        <v/>
      </c>
      <c r="C298" s="102" t="str">
        <f>IF(I298="", "", IFERROR(VLOOKUP(I298, Clasificaciones!D:E, 2, FALSE), "DATO NO CARGADO"))
</f>
        <v/>
      </c>
      <c r="D298" s="51"/>
      <c r="E298" s="102"/>
      <c r="F298" s="102"/>
      <c r="G298" s="103"/>
      <c r="K298" s="103"/>
      <c r="L298" s="113"/>
      <c r="M298" s="107"/>
      <c r="N298" s="106" t="str">
        <f>IF(ISBLANK(L298), "", VLOOKUP(D298, 'Info Tipo de Cambio y REM'!$A$24:$B$35, 2, FALSE))</f>
        <v/>
      </c>
      <c r="O298" s="107" t="str">
        <f t="shared" si="1"/>
        <v/>
      </c>
    </row>
    <row r="299">
      <c r="A299" s="102"/>
      <c r="B299" s="43" t="str">
        <f t="shared" si="2"/>
        <v/>
      </c>
      <c r="C299" s="102" t="str">
        <f>IF(I299="", "", IFERROR(VLOOKUP(I299, Clasificaciones!D:E, 2, FALSE), "DATO NO CARGADO"))
</f>
        <v/>
      </c>
      <c r="D299" s="51"/>
      <c r="E299" s="102"/>
      <c r="F299" s="102"/>
      <c r="G299" s="103"/>
      <c r="K299" s="103"/>
      <c r="L299" s="113"/>
      <c r="M299" s="107"/>
      <c r="N299" s="106" t="str">
        <f>IF(ISBLANK(L299), "", VLOOKUP(D299, 'Info Tipo de Cambio y REM'!$A$24:$B$35, 2, FALSE))</f>
        <v/>
      </c>
      <c r="O299" s="107" t="str">
        <f t="shared" si="1"/>
        <v/>
      </c>
    </row>
    <row r="300">
      <c r="A300" s="102"/>
      <c r="B300" s="43" t="str">
        <f t="shared" si="2"/>
        <v/>
      </c>
      <c r="C300" s="102" t="str">
        <f>IF(I300="", "", IFERROR(VLOOKUP(I300, Clasificaciones!D:E, 2, FALSE), "DATO NO CARGADO"))
</f>
        <v/>
      </c>
      <c r="D300" s="51"/>
      <c r="E300" s="102"/>
      <c r="F300" s="102"/>
      <c r="G300" s="103"/>
      <c r="K300" s="103"/>
      <c r="L300" s="113"/>
      <c r="M300" s="107"/>
      <c r="N300" s="106" t="str">
        <f>IF(ISBLANK(L300), "", VLOOKUP(D300, 'Info Tipo de Cambio y REM'!$A$24:$B$35, 2, FALSE))</f>
        <v/>
      </c>
      <c r="O300" s="107" t="str">
        <f t="shared" si="1"/>
        <v/>
      </c>
    </row>
    <row r="301">
      <c r="A301" s="102"/>
      <c r="B301" s="43" t="str">
        <f t="shared" si="2"/>
        <v/>
      </c>
      <c r="C301" s="102" t="str">
        <f>IF(I301="", "", IFERROR(VLOOKUP(I301, Clasificaciones!D:E, 2, FALSE), "DATO NO CARGADO"))
</f>
        <v/>
      </c>
      <c r="D301" s="51"/>
      <c r="E301" s="102"/>
      <c r="F301" s="102"/>
      <c r="G301" s="103"/>
      <c r="K301" s="103"/>
      <c r="L301" s="113"/>
      <c r="M301" s="107"/>
      <c r="N301" s="106" t="str">
        <f>IF(ISBLANK(L301), "", VLOOKUP(D301, 'Info Tipo de Cambio y REM'!$A$24:$B$35, 2, FALSE))</f>
        <v/>
      </c>
      <c r="O301" s="107" t="str">
        <f t="shared" si="1"/>
        <v/>
      </c>
    </row>
    <row r="302">
      <c r="A302" s="102"/>
      <c r="B302" s="43" t="str">
        <f t="shared" si="2"/>
        <v/>
      </c>
      <c r="C302" s="102" t="str">
        <f>IF(I302="", "", IFERROR(VLOOKUP(I302, Clasificaciones!D:E, 2, FALSE), "DATO NO CARGADO"))
</f>
        <v/>
      </c>
      <c r="D302" s="51"/>
      <c r="E302" s="102"/>
      <c r="F302" s="102"/>
      <c r="G302" s="103"/>
      <c r="K302" s="103"/>
      <c r="L302" s="113"/>
      <c r="M302" s="107"/>
      <c r="N302" s="106" t="str">
        <f>IF(ISBLANK(L302), "", VLOOKUP(D302, 'Info Tipo de Cambio y REM'!$A$24:$B$35, 2, FALSE))</f>
        <v/>
      </c>
      <c r="O302" s="107" t="str">
        <f t="shared" si="1"/>
        <v/>
      </c>
    </row>
    <row r="303">
      <c r="A303" s="102"/>
      <c r="B303" s="43" t="str">
        <f t="shared" si="2"/>
        <v/>
      </c>
      <c r="C303" s="102" t="str">
        <f>IF(I303="", "", IFERROR(VLOOKUP(I303, Clasificaciones!D:E, 2, FALSE), "DATO NO CARGADO"))
</f>
        <v/>
      </c>
      <c r="D303" s="51"/>
      <c r="E303" s="102"/>
      <c r="F303" s="102"/>
      <c r="G303" s="103"/>
      <c r="K303" s="103"/>
      <c r="L303" s="113"/>
      <c r="M303" s="107"/>
      <c r="N303" s="106" t="str">
        <f>IF(ISBLANK(L303), "", VLOOKUP(D303, 'Info Tipo de Cambio y REM'!$A$24:$B$35, 2, FALSE))</f>
        <v/>
      </c>
      <c r="O303" s="107" t="str">
        <f t="shared" si="1"/>
        <v/>
      </c>
    </row>
    <row r="304">
      <c r="A304" s="102"/>
      <c r="B304" s="43" t="str">
        <f t="shared" si="2"/>
        <v/>
      </c>
      <c r="C304" s="102" t="str">
        <f>IF(I304="", "", IFERROR(VLOOKUP(I304, Clasificaciones!D:E, 2, FALSE), "DATO NO CARGADO"))
</f>
        <v/>
      </c>
      <c r="D304" s="51"/>
      <c r="E304" s="102"/>
      <c r="F304" s="102"/>
      <c r="G304" s="103"/>
      <c r="K304" s="103"/>
      <c r="L304" s="113"/>
      <c r="M304" s="107"/>
      <c r="N304" s="106" t="str">
        <f>IF(ISBLANK(L304), "", VLOOKUP(D304, 'Info Tipo de Cambio y REM'!$A$24:$B$35, 2, FALSE))</f>
        <v/>
      </c>
      <c r="O304" s="107" t="str">
        <f t="shared" si="1"/>
        <v/>
      </c>
    </row>
    <row r="305">
      <c r="A305" s="102"/>
      <c r="B305" s="43" t="str">
        <f t="shared" si="2"/>
        <v/>
      </c>
      <c r="C305" s="102" t="str">
        <f>IF(I305="", "", IFERROR(VLOOKUP(I305, Clasificaciones!D:E, 2, FALSE), "DATO NO CARGADO"))
</f>
        <v/>
      </c>
      <c r="D305" s="51"/>
      <c r="E305" s="102"/>
      <c r="F305" s="102"/>
      <c r="G305" s="103"/>
      <c r="K305" s="103"/>
      <c r="L305" s="113"/>
      <c r="M305" s="107"/>
      <c r="N305" s="106" t="str">
        <f>IF(ISBLANK(L305), "", VLOOKUP(D305, 'Info Tipo de Cambio y REM'!$A$24:$B$35, 2, FALSE))</f>
        <v/>
      </c>
      <c r="O305" s="107" t="str">
        <f t="shared" si="1"/>
        <v/>
      </c>
    </row>
    <row r="306">
      <c r="A306" s="102"/>
      <c r="B306" s="43" t="str">
        <f t="shared" si="2"/>
        <v/>
      </c>
      <c r="C306" s="102" t="str">
        <f>IF(I306="", "", IFERROR(VLOOKUP(I306, Clasificaciones!D:E, 2, FALSE), "DATO NO CARGADO"))
</f>
        <v/>
      </c>
      <c r="D306" s="51"/>
      <c r="E306" s="102"/>
      <c r="F306" s="102"/>
      <c r="G306" s="103"/>
      <c r="K306" s="103"/>
      <c r="L306" s="113"/>
      <c r="M306" s="107"/>
      <c r="N306" s="106" t="str">
        <f>IF(ISBLANK(L306), "", VLOOKUP(D306, 'Info Tipo de Cambio y REM'!$A$24:$B$35, 2, FALSE))</f>
        <v/>
      </c>
      <c r="O306" s="107" t="str">
        <f t="shared" si="1"/>
        <v/>
      </c>
    </row>
    <row r="307">
      <c r="A307" s="102"/>
      <c r="B307" s="43" t="str">
        <f t="shared" si="2"/>
        <v/>
      </c>
      <c r="C307" s="102" t="str">
        <f>IF(I307="", "", IFERROR(VLOOKUP(I307, Clasificaciones!D:E, 2, FALSE), "DATO NO CARGADO"))
</f>
        <v/>
      </c>
      <c r="D307" s="51"/>
      <c r="E307" s="102"/>
      <c r="F307" s="102"/>
      <c r="G307" s="103"/>
      <c r="K307" s="103"/>
      <c r="L307" s="113"/>
      <c r="M307" s="107"/>
      <c r="N307" s="106" t="str">
        <f>IF(ISBLANK(L307), "", VLOOKUP(D307, 'Info Tipo de Cambio y REM'!$A$24:$B$35, 2, FALSE))</f>
        <v/>
      </c>
      <c r="O307" s="107" t="str">
        <f t="shared" si="1"/>
        <v/>
      </c>
    </row>
    <row r="308">
      <c r="A308" s="102"/>
      <c r="B308" s="43" t="str">
        <f t="shared" si="2"/>
        <v/>
      </c>
      <c r="C308" s="102" t="str">
        <f>IF(I308="", "", IFERROR(VLOOKUP(I308, Clasificaciones!D:E, 2, FALSE), "DATO NO CARGADO"))
</f>
        <v/>
      </c>
      <c r="D308" s="51"/>
      <c r="E308" s="102"/>
      <c r="F308" s="102"/>
      <c r="G308" s="103"/>
      <c r="K308" s="103"/>
      <c r="L308" s="113"/>
      <c r="M308" s="107"/>
      <c r="N308" s="106" t="str">
        <f>IF(ISBLANK(L308), "", VLOOKUP(D308, 'Info Tipo de Cambio y REM'!$A$24:$B$35, 2, FALSE))</f>
        <v/>
      </c>
      <c r="O308" s="107" t="str">
        <f t="shared" si="1"/>
        <v/>
      </c>
    </row>
    <row r="309">
      <c r="A309" s="102"/>
      <c r="B309" s="43" t="str">
        <f t="shared" si="2"/>
        <v/>
      </c>
      <c r="C309" s="102" t="str">
        <f>IF(I309="", "", IFERROR(VLOOKUP(I309, Clasificaciones!D:E, 2, FALSE), "DATO NO CARGADO"))
</f>
        <v/>
      </c>
      <c r="D309" s="51"/>
      <c r="E309" s="102"/>
      <c r="F309" s="102"/>
      <c r="G309" s="103"/>
      <c r="K309" s="103"/>
      <c r="L309" s="113"/>
      <c r="M309" s="107"/>
      <c r="N309" s="106" t="str">
        <f>IF(ISBLANK(L309), "", VLOOKUP(D309, 'Info Tipo de Cambio y REM'!$A$24:$B$35, 2, FALSE))</f>
        <v/>
      </c>
      <c r="O309" s="107" t="str">
        <f t="shared" si="1"/>
        <v/>
      </c>
    </row>
    <row r="310">
      <c r="A310" s="102"/>
      <c r="B310" s="43" t="str">
        <f t="shared" si="2"/>
        <v/>
      </c>
      <c r="C310" s="102" t="str">
        <f>IF(I310="", "", IFERROR(VLOOKUP(I310, Clasificaciones!D:E, 2, FALSE), "DATO NO CARGADO"))
</f>
        <v/>
      </c>
      <c r="D310" s="51"/>
      <c r="E310" s="102"/>
      <c r="F310" s="102"/>
      <c r="G310" s="103"/>
      <c r="K310" s="103"/>
      <c r="L310" s="113"/>
      <c r="M310" s="107"/>
      <c r="N310" s="106" t="str">
        <f>IF(ISBLANK(L310), "", VLOOKUP(D310, 'Info Tipo de Cambio y REM'!$A$24:$B$35, 2, FALSE))</f>
        <v/>
      </c>
      <c r="O310" s="107" t="str">
        <f t="shared" si="1"/>
        <v/>
      </c>
    </row>
    <row r="311">
      <c r="A311" s="102"/>
      <c r="B311" s="43" t="str">
        <f t="shared" si="2"/>
        <v/>
      </c>
      <c r="C311" s="102" t="str">
        <f>IF(I311="", "", IFERROR(VLOOKUP(I311, Clasificaciones!D:E, 2, FALSE), "DATO NO CARGADO"))
</f>
        <v/>
      </c>
      <c r="D311" s="51"/>
      <c r="E311" s="102"/>
      <c r="F311" s="102"/>
      <c r="G311" s="103"/>
      <c r="K311" s="103"/>
      <c r="L311" s="113"/>
      <c r="M311" s="107"/>
      <c r="N311" s="106" t="str">
        <f>IF(ISBLANK(L311), "", VLOOKUP(D311, 'Info Tipo de Cambio y REM'!$A$24:$B$35, 2, FALSE))</f>
        <v/>
      </c>
      <c r="O311" s="107" t="str">
        <f t="shared" si="1"/>
        <v/>
      </c>
    </row>
    <row r="312">
      <c r="A312" s="102"/>
      <c r="B312" s="43" t="str">
        <f t="shared" si="2"/>
        <v/>
      </c>
      <c r="C312" s="102" t="str">
        <f>IF(I312="", "", IFERROR(VLOOKUP(I312, Clasificaciones!D:E, 2, FALSE), "DATO NO CARGADO"))
</f>
        <v/>
      </c>
      <c r="D312" s="51"/>
      <c r="E312" s="102"/>
      <c r="F312" s="102"/>
      <c r="G312" s="103"/>
      <c r="K312" s="103"/>
      <c r="L312" s="113"/>
      <c r="M312" s="107"/>
      <c r="N312" s="106" t="str">
        <f>IF(ISBLANK(L312), "", VLOOKUP(D312, 'Info Tipo de Cambio y REM'!$A$24:$B$35, 2, FALSE))</f>
        <v/>
      </c>
      <c r="O312" s="107" t="str">
        <f t="shared" si="1"/>
        <v/>
      </c>
    </row>
    <row r="313">
      <c r="A313" s="102"/>
      <c r="B313" s="43" t="str">
        <f t="shared" si="2"/>
        <v/>
      </c>
      <c r="C313" s="102" t="str">
        <f>IF(I313="", "", IFERROR(VLOOKUP(I313, Clasificaciones!D:E, 2, FALSE), "DATO NO CARGADO"))
</f>
        <v/>
      </c>
      <c r="D313" s="51"/>
      <c r="E313" s="102"/>
      <c r="F313" s="102"/>
      <c r="G313" s="103"/>
      <c r="K313" s="103"/>
      <c r="L313" s="113"/>
      <c r="M313" s="107"/>
      <c r="N313" s="106" t="str">
        <f>IF(ISBLANK(L313), "", VLOOKUP(D313, 'Info Tipo de Cambio y REM'!$A$24:$B$35, 2, FALSE))</f>
        <v/>
      </c>
      <c r="O313" s="107" t="str">
        <f t="shared" si="1"/>
        <v/>
      </c>
    </row>
    <row r="314">
      <c r="A314" s="102"/>
      <c r="B314" s="43" t="str">
        <f t="shared" si="2"/>
        <v/>
      </c>
      <c r="C314" s="102" t="str">
        <f>IF(I314="", "", IFERROR(VLOOKUP(I314, Clasificaciones!D:E, 2, FALSE), "DATO NO CARGADO"))
</f>
        <v/>
      </c>
      <c r="D314" s="51"/>
      <c r="E314" s="102"/>
      <c r="F314" s="102"/>
      <c r="G314" s="103"/>
      <c r="K314" s="103"/>
      <c r="L314" s="113"/>
      <c r="M314" s="107"/>
      <c r="N314" s="106" t="str">
        <f>IF(ISBLANK(L314), "", VLOOKUP(D314, 'Info Tipo de Cambio y REM'!$A$24:$B$35, 2, FALSE))</f>
        <v/>
      </c>
      <c r="O314" s="107" t="str">
        <f t="shared" si="1"/>
        <v/>
      </c>
    </row>
    <row r="315">
      <c r="A315" s="102"/>
      <c r="B315" s="43" t="str">
        <f t="shared" si="2"/>
        <v/>
      </c>
      <c r="C315" s="102" t="str">
        <f>IF(I315="", "", IFERROR(VLOOKUP(I315, Clasificaciones!D:E, 2, FALSE), "DATO NO CARGADO"))
</f>
        <v/>
      </c>
      <c r="D315" s="51"/>
      <c r="E315" s="102"/>
      <c r="F315" s="102"/>
      <c r="G315" s="103"/>
      <c r="K315" s="103"/>
      <c r="L315" s="113"/>
      <c r="M315" s="107"/>
      <c r="N315" s="106" t="str">
        <f>IF(ISBLANK(L315), "", VLOOKUP(D315, 'Info Tipo de Cambio y REM'!$A$24:$B$35, 2, FALSE))</f>
        <v/>
      </c>
      <c r="O315" s="107" t="str">
        <f t="shared" si="1"/>
        <v/>
      </c>
    </row>
    <row r="316">
      <c r="A316" s="102"/>
      <c r="B316" s="43" t="str">
        <f t="shared" si="2"/>
        <v/>
      </c>
      <c r="C316" s="102" t="str">
        <f>IF(I316="", "", IFERROR(VLOOKUP(I316, Clasificaciones!D:E, 2, FALSE), "DATO NO CARGADO"))
</f>
        <v/>
      </c>
      <c r="D316" s="51"/>
      <c r="E316" s="102"/>
      <c r="F316" s="102"/>
      <c r="G316" s="103"/>
      <c r="K316" s="103"/>
      <c r="L316" s="113"/>
      <c r="M316" s="107"/>
      <c r="N316" s="106" t="str">
        <f>IF(ISBLANK(L316), "", VLOOKUP(D316, 'Info Tipo de Cambio y REM'!$A$24:$B$35, 2, FALSE))</f>
        <v/>
      </c>
      <c r="O316" s="107" t="str">
        <f t="shared" si="1"/>
        <v/>
      </c>
    </row>
    <row r="317">
      <c r="A317" s="102"/>
      <c r="B317" s="43" t="str">
        <f t="shared" si="2"/>
        <v/>
      </c>
      <c r="C317" s="102" t="str">
        <f>IF(I317="", "", IFERROR(VLOOKUP(I317, Clasificaciones!D:E, 2, FALSE), "DATO NO CARGADO"))
</f>
        <v/>
      </c>
      <c r="D317" s="51"/>
      <c r="E317" s="102"/>
      <c r="F317" s="102"/>
      <c r="G317" s="103"/>
      <c r="K317" s="103"/>
      <c r="L317" s="113"/>
      <c r="M317" s="107"/>
      <c r="N317" s="106" t="str">
        <f>IF(ISBLANK(L317), "", VLOOKUP(D317, 'Info Tipo de Cambio y REM'!$A$24:$B$35, 2, FALSE))</f>
        <v/>
      </c>
      <c r="O317" s="107" t="str">
        <f t="shared" si="1"/>
        <v/>
      </c>
    </row>
    <row r="318">
      <c r="A318" s="102"/>
      <c r="B318" s="43" t="str">
        <f t="shared" si="2"/>
        <v/>
      </c>
      <c r="C318" s="102" t="str">
        <f>IF(I318="", "", IFERROR(VLOOKUP(I318, Clasificaciones!D:E, 2, FALSE), "DATO NO CARGADO"))
</f>
        <v/>
      </c>
      <c r="D318" s="51"/>
      <c r="E318" s="102"/>
      <c r="F318" s="102"/>
      <c r="G318" s="103"/>
      <c r="K318" s="103"/>
      <c r="L318" s="113"/>
      <c r="M318" s="107"/>
      <c r="N318" s="106" t="str">
        <f>IF(ISBLANK(L318), "", VLOOKUP(D318, 'Info Tipo de Cambio y REM'!$A$24:$B$35, 2, FALSE))</f>
        <v/>
      </c>
      <c r="O318" s="107" t="str">
        <f t="shared" si="1"/>
        <v/>
      </c>
    </row>
    <row r="319">
      <c r="A319" s="102"/>
      <c r="B319" s="43" t="str">
        <f t="shared" si="2"/>
        <v/>
      </c>
      <c r="C319" s="102" t="str">
        <f>IF(I319="", "", IFERROR(VLOOKUP(I319, Clasificaciones!D:E, 2, FALSE), "DATO NO CARGADO"))
</f>
        <v/>
      </c>
      <c r="D319" s="51"/>
      <c r="E319" s="102"/>
      <c r="F319" s="102"/>
      <c r="G319" s="103"/>
      <c r="K319" s="103"/>
      <c r="L319" s="113"/>
      <c r="M319" s="107"/>
      <c r="N319" s="106" t="str">
        <f>IF(ISBLANK(L319), "", VLOOKUP(D319, 'Info Tipo de Cambio y REM'!$A$24:$B$35, 2, FALSE))</f>
        <v/>
      </c>
      <c r="O319" s="107" t="str">
        <f t="shared" si="1"/>
        <v/>
      </c>
    </row>
    <row r="320">
      <c r="A320" s="102"/>
      <c r="B320" s="43" t="str">
        <f t="shared" si="2"/>
        <v/>
      </c>
      <c r="C320" s="102" t="str">
        <f>IF(I320="", "", IFERROR(VLOOKUP(I320, Clasificaciones!D:E, 2, FALSE), "DATO NO CARGADO"))
</f>
        <v/>
      </c>
      <c r="D320" s="51"/>
      <c r="E320" s="102"/>
      <c r="F320" s="102"/>
      <c r="G320" s="103"/>
      <c r="K320" s="103"/>
      <c r="L320" s="113"/>
      <c r="M320" s="107"/>
      <c r="N320" s="106" t="str">
        <f>IF(ISBLANK(L320), "", VLOOKUP(D320, 'Info Tipo de Cambio y REM'!$A$24:$B$35, 2, FALSE))</f>
        <v/>
      </c>
      <c r="O320" s="107" t="str">
        <f t="shared" si="1"/>
        <v/>
      </c>
    </row>
    <row r="321">
      <c r="A321" s="102"/>
      <c r="B321" s="43" t="str">
        <f t="shared" si="2"/>
        <v/>
      </c>
      <c r="C321" s="102" t="str">
        <f>IF(I321="", "", IFERROR(VLOOKUP(I321, Clasificaciones!D:E, 2, FALSE), "DATO NO CARGADO"))
</f>
        <v/>
      </c>
      <c r="D321" s="51"/>
      <c r="E321" s="102"/>
      <c r="F321" s="102"/>
      <c r="G321" s="103"/>
      <c r="K321" s="103"/>
      <c r="L321" s="113"/>
      <c r="M321" s="107"/>
      <c r="N321" s="106" t="str">
        <f>IF(ISBLANK(L321), "", VLOOKUP(D321, 'Info Tipo de Cambio y REM'!$A$24:$B$35, 2, FALSE))</f>
        <v/>
      </c>
      <c r="O321" s="107" t="str">
        <f t="shared" si="1"/>
        <v/>
      </c>
    </row>
    <row r="322">
      <c r="A322" s="102"/>
      <c r="B322" s="43" t="str">
        <f t="shared" si="2"/>
        <v/>
      </c>
      <c r="C322" s="102" t="str">
        <f>IF(I322="", "", IFERROR(VLOOKUP(I322, Clasificaciones!D:E, 2, FALSE), "DATO NO CARGADO"))
</f>
        <v/>
      </c>
      <c r="D322" s="51"/>
      <c r="E322" s="102"/>
      <c r="F322" s="102"/>
      <c r="G322" s="103"/>
      <c r="K322" s="103"/>
      <c r="L322" s="113"/>
      <c r="M322" s="107"/>
      <c r="N322" s="106" t="str">
        <f>IF(ISBLANK(L322), "", VLOOKUP(D322, 'Info Tipo de Cambio y REM'!$A$24:$B$35, 2, FALSE))</f>
        <v/>
      </c>
      <c r="O322" s="107" t="str">
        <f t="shared" si="1"/>
        <v/>
      </c>
    </row>
    <row r="323">
      <c r="A323" s="102"/>
      <c r="B323" s="43" t="str">
        <f t="shared" si="2"/>
        <v/>
      </c>
      <c r="C323" s="102" t="str">
        <f>IF(I323="", "", IFERROR(VLOOKUP(I323, Clasificaciones!D:E, 2, FALSE), "DATO NO CARGADO"))
</f>
        <v/>
      </c>
      <c r="D323" s="51"/>
      <c r="E323" s="102"/>
      <c r="F323" s="102"/>
      <c r="G323" s="103"/>
      <c r="K323" s="103"/>
      <c r="L323" s="113"/>
      <c r="M323" s="107"/>
      <c r="N323" s="106" t="str">
        <f>IF(ISBLANK(L323), "", VLOOKUP(D323, 'Info Tipo de Cambio y REM'!$A$24:$B$35, 2, FALSE))</f>
        <v/>
      </c>
      <c r="O323" s="107" t="str">
        <f t="shared" si="1"/>
        <v/>
      </c>
    </row>
    <row r="324">
      <c r="A324" s="102"/>
      <c r="B324" s="43" t="str">
        <f t="shared" si="2"/>
        <v/>
      </c>
      <c r="C324" s="102" t="str">
        <f>IF(I324="", "", IFERROR(VLOOKUP(I324, Clasificaciones!D:E, 2, FALSE), "DATO NO CARGADO"))
</f>
        <v/>
      </c>
      <c r="D324" s="51"/>
      <c r="E324" s="102"/>
      <c r="F324" s="102"/>
      <c r="G324" s="103"/>
      <c r="K324" s="103"/>
      <c r="L324" s="113"/>
      <c r="M324" s="107"/>
      <c r="N324" s="106" t="str">
        <f>IF(ISBLANK(L324), "", VLOOKUP(D324, 'Info Tipo de Cambio y REM'!$A$24:$B$35, 2, FALSE))</f>
        <v/>
      </c>
      <c r="O324" s="107" t="str">
        <f t="shared" si="1"/>
        <v/>
      </c>
    </row>
    <row r="325">
      <c r="A325" s="102"/>
      <c r="B325" s="43" t="str">
        <f t="shared" si="2"/>
        <v/>
      </c>
      <c r="C325" s="102" t="str">
        <f>IF(I325="", "", IFERROR(VLOOKUP(I325, Clasificaciones!D:E, 2, FALSE), "DATO NO CARGADO"))
</f>
        <v/>
      </c>
      <c r="D325" s="51"/>
      <c r="E325" s="102"/>
      <c r="F325" s="102"/>
      <c r="G325" s="103"/>
      <c r="K325" s="103"/>
      <c r="L325" s="113"/>
      <c r="M325" s="107"/>
      <c r="N325" s="106" t="str">
        <f>IF(ISBLANK(L325), "", VLOOKUP(D325, 'Info Tipo de Cambio y REM'!$A$24:$B$35, 2, FALSE))</f>
        <v/>
      </c>
      <c r="O325" s="107" t="str">
        <f t="shared" si="1"/>
        <v/>
      </c>
    </row>
    <row r="326">
      <c r="A326" s="102"/>
      <c r="B326" s="43" t="str">
        <f t="shared" si="2"/>
        <v/>
      </c>
      <c r="C326" s="102" t="str">
        <f>IF(I326="", "", IFERROR(VLOOKUP(I326, Clasificaciones!D:E, 2, FALSE), "DATO NO CARGADO"))
</f>
        <v/>
      </c>
      <c r="D326" s="51"/>
      <c r="E326" s="102"/>
      <c r="F326" s="102"/>
      <c r="G326" s="103"/>
      <c r="K326" s="103"/>
      <c r="L326" s="113"/>
      <c r="M326" s="107"/>
      <c r="N326" s="106" t="str">
        <f>IF(ISBLANK(L326), "", VLOOKUP(D326, 'Info Tipo de Cambio y REM'!$A$24:$B$35, 2, FALSE))</f>
        <v/>
      </c>
      <c r="O326" s="107" t="str">
        <f t="shared" si="1"/>
        <v/>
      </c>
    </row>
    <row r="327">
      <c r="A327" s="102"/>
      <c r="B327" s="43" t="str">
        <f t="shared" si="2"/>
        <v/>
      </c>
      <c r="C327" s="102" t="str">
        <f>IF(I327="", "", IFERROR(VLOOKUP(I327, Clasificaciones!D:E, 2, FALSE), "DATO NO CARGADO"))
</f>
        <v/>
      </c>
      <c r="D327" s="51"/>
      <c r="E327" s="102"/>
      <c r="F327" s="102"/>
      <c r="G327" s="103"/>
      <c r="K327" s="103"/>
      <c r="L327" s="113"/>
      <c r="M327" s="107"/>
      <c r="N327" s="106" t="str">
        <f>IF(ISBLANK(L327), "", VLOOKUP(D327, 'Info Tipo de Cambio y REM'!$A$24:$B$35, 2, FALSE))</f>
        <v/>
      </c>
      <c r="O327" s="107" t="str">
        <f t="shared" si="1"/>
        <v/>
      </c>
    </row>
    <row r="328">
      <c r="A328" s="102"/>
      <c r="B328" s="43" t="str">
        <f t="shared" si="2"/>
        <v/>
      </c>
      <c r="C328" s="102" t="str">
        <f>IF(I328="", "", IFERROR(VLOOKUP(I328, Clasificaciones!D:E, 2, FALSE), "DATO NO CARGADO"))
</f>
        <v/>
      </c>
      <c r="D328" s="51"/>
      <c r="E328" s="102"/>
      <c r="F328" s="102"/>
      <c r="G328" s="103"/>
      <c r="K328" s="103"/>
      <c r="L328" s="113"/>
      <c r="M328" s="107"/>
      <c r="N328" s="106" t="str">
        <f>IF(ISBLANK(L328), "", VLOOKUP(D328, 'Info Tipo de Cambio y REM'!$A$24:$B$35, 2, FALSE))</f>
        <v/>
      </c>
      <c r="O328" s="107" t="str">
        <f t="shared" si="1"/>
        <v/>
      </c>
    </row>
    <row r="329">
      <c r="A329" s="102"/>
      <c r="B329" s="43" t="str">
        <f t="shared" si="2"/>
        <v/>
      </c>
      <c r="C329" s="102" t="str">
        <f>IF(I329="", "", IFERROR(VLOOKUP(I329, Clasificaciones!D:E, 2, FALSE), "DATO NO CARGADO"))
</f>
        <v/>
      </c>
      <c r="D329" s="51"/>
      <c r="E329" s="102"/>
      <c r="F329" s="102"/>
      <c r="G329" s="103"/>
      <c r="K329" s="103"/>
      <c r="L329" s="113"/>
      <c r="M329" s="107"/>
      <c r="N329" s="106" t="str">
        <f>IF(ISBLANK(L329), "", VLOOKUP(D329, 'Info Tipo de Cambio y REM'!$A$24:$B$35, 2, FALSE))</f>
        <v/>
      </c>
      <c r="O329" s="107" t="str">
        <f t="shared" si="1"/>
        <v/>
      </c>
    </row>
    <row r="330">
      <c r="A330" s="102"/>
      <c r="B330" s="43" t="str">
        <f t="shared" si="2"/>
        <v/>
      </c>
      <c r="C330" s="102" t="str">
        <f>IF(I330="", "", IFERROR(VLOOKUP(I330, Clasificaciones!D:E, 2, FALSE), "DATO NO CARGADO"))
</f>
        <v/>
      </c>
      <c r="D330" s="51"/>
      <c r="E330" s="102"/>
      <c r="F330" s="102"/>
      <c r="G330" s="103"/>
      <c r="K330" s="103"/>
      <c r="L330" s="113"/>
      <c r="M330" s="107"/>
      <c r="N330" s="106" t="str">
        <f>IF(ISBLANK(L330), "", VLOOKUP(D330, 'Info Tipo de Cambio y REM'!$A$24:$B$35, 2, FALSE))</f>
        <v/>
      </c>
      <c r="O330" s="107" t="str">
        <f t="shared" si="1"/>
        <v/>
      </c>
    </row>
    <row r="331">
      <c r="A331" s="102"/>
      <c r="B331" s="43" t="str">
        <f t="shared" si="2"/>
        <v/>
      </c>
      <c r="C331" s="102" t="str">
        <f>IF(I331="", "", IFERROR(VLOOKUP(I331, Clasificaciones!D:E, 2, FALSE), "DATO NO CARGADO"))
</f>
        <v/>
      </c>
      <c r="D331" s="51"/>
      <c r="E331" s="102"/>
      <c r="F331" s="102"/>
      <c r="G331" s="103"/>
      <c r="K331" s="103"/>
      <c r="L331" s="113"/>
      <c r="M331" s="107"/>
      <c r="N331" s="106" t="str">
        <f>IF(ISBLANK(L331), "", VLOOKUP(D331, 'Info Tipo de Cambio y REM'!$A$24:$B$35, 2, FALSE))</f>
        <v/>
      </c>
      <c r="O331" s="107" t="str">
        <f t="shared" si="1"/>
        <v/>
      </c>
    </row>
    <row r="332">
      <c r="A332" s="102"/>
      <c r="B332" s="43" t="str">
        <f t="shared" si="2"/>
        <v/>
      </c>
      <c r="C332" s="102" t="str">
        <f>IF(I332="", "", IFERROR(VLOOKUP(I332, Clasificaciones!D:E, 2, FALSE), "DATO NO CARGADO"))
</f>
        <v/>
      </c>
      <c r="D332" s="51"/>
      <c r="E332" s="102"/>
      <c r="F332" s="102"/>
      <c r="G332" s="103"/>
      <c r="K332" s="103"/>
      <c r="L332" s="113"/>
      <c r="M332" s="107"/>
      <c r="N332" s="106" t="str">
        <f>IF(ISBLANK(L332), "", VLOOKUP(D332, 'Info Tipo de Cambio y REM'!$A$24:$B$35, 2, FALSE))</f>
        <v/>
      </c>
      <c r="O332" s="107" t="str">
        <f t="shared" si="1"/>
        <v/>
      </c>
    </row>
    <row r="333">
      <c r="A333" s="102"/>
      <c r="B333" s="43" t="str">
        <f t="shared" si="2"/>
        <v/>
      </c>
      <c r="C333" s="102" t="str">
        <f>IF(I333="", "", IFERROR(VLOOKUP(I333, Clasificaciones!D:E, 2, FALSE), "DATO NO CARGADO"))
</f>
        <v/>
      </c>
      <c r="D333" s="51"/>
      <c r="E333" s="102"/>
      <c r="F333" s="102"/>
      <c r="G333" s="103"/>
      <c r="K333" s="103"/>
      <c r="L333" s="113"/>
      <c r="M333" s="107"/>
      <c r="N333" s="106" t="str">
        <f>IF(ISBLANK(L333), "", VLOOKUP(D333, 'Info Tipo de Cambio y REM'!$A$24:$B$35, 2, FALSE))</f>
        <v/>
      </c>
      <c r="O333" s="107" t="str">
        <f t="shared" si="1"/>
        <v/>
      </c>
    </row>
    <row r="334">
      <c r="A334" s="102"/>
      <c r="B334" s="43" t="str">
        <f t="shared" si="2"/>
        <v/>
      </c>
      <c r="C334" s="102"/>
      <c r="D334" s="51"/>
      <c r="E334" s="102"/>
      <c r="F334" s="102"/>
      <c r="G334" s="103"/>
      <c r="K334" s="103"/>
      <c r="L334" s="113"/>
      <c r="M334" s="107"/>
      <c r="N334" s="106" t="str">
        <f>IF(ISBLANK(L334), "", VLOOKUP(D334, 'Info Tipo de Cambio y REM'!$A$24:$B$35, 2, FALSE))</f>
        <v/>
      </c>
      <c r="O334" s="107" t="str">
        <f t="shared" si="1"/>
        <v/>
      </c>
    </row>
    <row r="335">
      <c r="A335" s="102"/>
      <c r="B335" s="43" t="str">
        <f t="shared" si="2"/>
        <v/>
      </c>
      <c r="C335" s="102"/>
      <c r="D335" s="51"/>
      <c r="E335" s="102"/>
      <c r="F335" s="102"/>
      <c r="G335" s="103"/>
      <c r="K335" s="103"/>
      <c r="L335" s="113"/>
      <c r="M335" s="107"/>
      <c r="N335" s="106" t="str">
        <f>IF(ISBLANK(L335), "", VLOOKUP(D335, 'Info Tipo de Cambio y REM'!$A$24:$B$35, 2, FALSE))</f>
        <v/>
      </c>
      <c r="O335" s="107" t="str">
        <f t="shared" si="1"/>
        <v/>
      </c>
    </row>
    <row r="336">
      <c r="A336" s="102"/>
      <c r="B336" s="43" t="str">
        <f t="shared" si="2"/>
        <v/>
      </c>
      <c r="C336" s="102"/>
      <c r="D336" s="51"/>
      <c r="E336" s="102"/>
      <c r="F336" s="102"/>
      <c r="G336" s="103"/>
      <c r="K336" s="103"/>
      <c r="L336" s="113"/>
      <c r="M336" s="107"/>
      <c r="N336" s="106" t="str">
        <f>IF(ISBLANK(L336), "", VLOOKUP(D336, 'Info Tipo de Cambio y REM'!$A$24:$B$35, 2, FALSE))</f>
        <v/>
      </c>
      <c r="O336" s="107" t="str">
        <f t="shared" si="1"/>
        <v/>
      </c>
    </row>
    <row r="337">
      <c r="A337" s="102"/>
      <c r="B337" s="43" t="str">
        <f t="shared" si="2"/>
        <v/>
      </c>
      <c r="C337" s="102"/>
      <c r="D337" s="51"/>
      <c r="E337" s="102"/>
      <c r="F337" s="102"/>
      <c r="G337" s="103"/>
      <c r="K337" s="103"/>
      <c r="L337" s="113"/>
      <c r="M337" s="107"/>
      <c r="N337" s="106" t="str">
        <f>IF(ISBLANK(L337), "", VLOOKUP(D337, 'Info Tipo de Cambio y REM'!$A$24:$B$35, 2, FALSE))</f>
        <v/>
      </c>
      <c r="O337" s="107" t="str">
        <f t="shared" si="1"/>
        <v/>
      </c>
    </row>
    <row r="338">
      <c r="A338" s="102"/>
      <c r="B338" s="43" t="str">
        <f t="shared" si="2"/>
        <v/>
      </c>
      <c r="C338" s="102"/>
      <c r="D338" s="51"/>
      <c r="E338" s="102"/>
      <c r="F338" s="102"/>
      <c r="G338" s="103"/>
      <c r="K338" s="103"/>
      <c r="L338" s="113"/>
      <c r="M338" s="107"/>
      <c r="N338" s="106" t="str">
        <f>IF(ISBLANK(L338), "", VLOOKUP(D338, 'Info Tipo de Cambio y REM'!$A$24:$B$35, 2, FALSE))</f>
        <v/>
      </c>
      <c r="O338" s="107" t="str">
        <f t="shared" si="1"/>
        <v/>
      </c>
    </row>
    <row r="339">
      <c r="A339" s="102"/>
      <c r="B339" s="43" t="str">
        <f t="shared" si="2"/>
        <v/>
      </c>
      <c r="C339" s="102"/>
      <c r="D339" s="51"/>
      <c r="E339" s="102"/>
      <c r="F339" s="102"/>
      <c r="G339" s="103"/>
      <c r="K339" s="103"/>
      <c r="L339" s="113"/>
      <c r="M339" s="107"/>
      <c r="N339" s="106" t="str">
        <f>IF(ISBLANK(L339), "", VLOOKUP(D339, 'Info Tipo de Cambio y REM'!$A$24:$B$35, 2, FALSE))</f>
        <v/>
      </c>
      <c r="O339" s="107" t="str">
        <f t="shared" si="1"/>
        <v/>
      </c>
    </row>
    <row r="340">
      <c r="A340" s="102"/>
      <c r="B340" s="43" t="str">
        <f t="shared" si="2"/>
        <v/>
      </c>
      <c r="C340" s="102"/>
      <c r="D340" s="51"/>
      <c r="E340" s="102"/>
      <c r="F340" s="102"/>
      <c r="G340" s="103"/>
      <c r="K340" s="103"/>
      <c r="L340" s="113"/>
      <c r="M340" s="107"/>
      <c r="N340" s="106" t="str">
        <f>IF(ISBLANK(L340), "", VLOOKUP(D340, 'Info Tipo de Cambio y REM'!$A$24:$B$35, 2, FALSE))</f>
        <v/>
      </c>
      <c r="O340" s="107" t="str">
        <f t="shared" si="1"/>
        <v/>
      </c>
    </row>
    <row r="341">
      <c r="A341" s="102"/>
      <c r="B341" s="43" t="str">
        <f t="shared" si="2"/>
        <v/>
      </c>
      <c r="C341" s="102"/>
      <c r="D341" s="51"/>
      <c r="E341" s="102"/>
      <c r="F341" s="102"/>
      <c r="G341" s="103"/>
      <c r="K341" s="103"/>
      <c r="L341" s="113"/>
      <c r="M341" s="107"/>
      <c r="N341" s="106" t="str">
        <f>IF(ISBLANK(L341), "", VLOOKUP(D341, 'Info Tipo de Cambio y REM'!$A$24:$B$35, 2, FALSE))</f>
        <v/>
      </c>
      <c r="O341" s="107" t="str">
        <f t="shared" si="1"/>
        <v/>
      </c>
    </row>
    <row r="342">
      <c r="A342" s="102"/>
      <c r="B342" s="43" t="str">
        <f t="shared" si="2"/>
        <v/>
      </c>
      <c r="C342" s="102"/>
      <c r="D342" s="51"/>
      <c r="E342" s="102"/>
      <c r="F342" s="102"/>
      <c r="G342" s="103"/>
      <c r="K342" s="103"/>
      <c r="L342" s="113"/>
      <c r="M342" s="107"/>
      <c r="N342" s="106" t="str">
        <f>IF(ISBLANK(L342), "", VLOOKUP(D342, 'Info Tipo de Cambio y REM'!$A$24:$B$35, 2, FALSE))</f>
        <v/>
      </c>
      <c r="O342" s="107" t="str">
        <f t="shared" si="1"/>
        <v/>
      </c>
    </row>
    <row r="343">
      <c r="A343" s="102"/>
      <c r="B343" s="43" t="str">
        <f t="shared" si="2"/>
        <v/>
      </c>
      <c r="C343" s="102"/>
      <c r="D343" s="51"/>
      <c r="E343" s="102"/>
      <c r="F343" s="102"/>
      <c r="G343" s="103"/>
      <c r="K343" s="103"/>
      <c r="L343" s="113"/>
      <c r="M343" s="107"/>
      <c r="N343" s="106" t="str">
        <f>IF(ISBLANK(L343), "", VLOOKUP(D343, 'Info Tipo de Cambio y REM'!$A$24:$B$35, 2, FALSE))</f>
        <v/>
      </c>
      <c r="O343" s="107" t="str">
        <f t="shared" si="1"/>
        <v/>
      </c>
    </row>
    <row r="344">
      <c r="A344" s="102"/>
      <c r="B344" s="43" t="str">
        <f t="shared" si="2"/>
        <v/>
      </c>
      <c r="C344" s="102"/>
      <c r="D344" s="51"/>
      <c r="E344" s="102"/>
      <c r="F344" s="102"/>
      <c r="G344" s="103"/>
      <c r="K344" s="103"/>
      <c r="L344" s="113"/>
      <c r="M344" s="107"/>
      <c r="N344" s="106" t="str">
        <f>IF(ISBLANK(L344), "", VLOOKUP(D344, 'Info Tipo de Cambio y REM'!$A$24:$B$35, 2, FALSE))</f>
        <v/>
      </c>
      <c r="O344" s="107" t="str">
        <f t="shared" si="1"/>
        <v/>
      </c>
    </row>
    <row r="345">
      <c r="A345" s="102"/>
      <c r="B345" s="43" t="str">
        <f t="shared" si="2"/>
        <v/>
      </c>
      <c r="C345" s="102"/>
      <c r="D345" s="51"/>
      <c r="E345" s="102"/>
      <c r="F345" s="102"/>
      <c r="G345" s="103"/>
      <c r="K345" s="103"/>
      <c r="L345" s="113"/>
      <c r="M345" s="107"/>
      <c r="N345" s="106" t="str">
        <f>IF(ISBLANK(L345), "", VLOOKUP(D345, 'Info Tipo de Cambio y REM'!$A$24:$B$35, 2, FALSE))</f>
        <v/>
      </c>
      <c r="O345" s="107" t="str">
        <f t="shared" si="1"/>
        <v/>
      </c>
    </row>
    <row r="346">
      <c r="A346" s="102"/>
      <c r="B346" s="43" t="str">
        <f t="shared" si="2"/>
        <v/>
      </c>
      <c r="C346" s="102"/>
      <c r="D346" s="51"/>
      <c r="E346" s="102"/>
      <c r="F346" s="102"/>
      <c r="G346" s="103"/>
      <c r="K346" s="103"/>
      <c r="L346" s="113"/>
      <c r="M346" s="107"/>
      <c r="N346" s="106" t="str">
        <f>IF(ISBLANK(L346), "", VLOOKUP(D346, 'Info Tipo de Cambio y REM'!$A$24:$B$35, 2, FALSE))</f>
        <v/>
      </c>
      <c r="O346" s="107" t="str">
        <f t="shared" si="1"/>
        <v/>
      </c>
    </row>
    <row r="347">
      <c r="A347" s="102"/>
      <c r="B347" s="43" t="str">
        <f t="shared" si="2"/>
        <v/>
      </c>
      <c r="C347" s="102"/>
      <c r="D347" s="51"/>
      <c r="E347" s="102"/>
      <c r="F347" s="102"/>
      <c r="G347" s="103"/>
      <c r="K347" s="103"/>
      <c r="L347" s="113"/>
      <c r="M347" s="107"/>
      <c r="N347" s="106" t="str">
        <f>IF(ISBLANK(L347), "", VLOOKUP(D347, 'Info Tipo de Cambio y REM'!$A$24:$B$35, 2, FALSE))</f>
        <v/>
      </c>
      <c r="O347" s="107" t="str">
        <f t="shared" si="1"/>
        <v/>
      </c>
    </row>
    <row r="348">
      <c r="A348" s="102"/>
      <c r="B348" s="43" t="str">
        <f t="shared" si="2"/>
        <v/>
      </c>
      <c r="C348" s="102"/>
      <c r="D348" s="51"/>
      <c r="E348" s="102"/>
      <c r="F348" s="102"/>
      <c r="G348" s="103"/>
      <c r="K348" s="103"/>
      <c r="L348" s="113"/>
      <c r="M348" s="107"/>
      <c r="N348" s="106" t="str">
        <f>IF(ISBLANK(L348), "", VLOOKUP(D348, 'Info Tipo de Cambio y REM'!$A$24:$B$35, 2, FALSE))</f>
        <v/>
      </c>
      <c r="O348" s="107" t="str">
        <f t="shared" si="1"/>
        <v/>
      </c>
    </row>
    <row r="349">
      <c r="A349" s="102"/>
      <c r="B349" s="43" t="str">
        <f t="shared" si="2"/>
        <v/>
      </c>
      <c r="C349" s="102"/>
      <c r="D349" s="51"/>
      <c r="E349" s="102"/>
      <c r="F349" s="102"/>
      <c r="G349" s="103"/>
      <c r="K349" s="103"/>
      <c r="L349" s="113"/>
      <c r="M349" s="107"/>
      <c r="N349" s="106" t="str">
        <f>IF(ISBLANK(L349), "", VLOOKUP(D349, 'Info Tipo de Cambio y REM'!$A$24:$B$35, 2, FALSE))</f>
        <v/>
      </c>
      <c r="O349" s="107" t="str">
        <f t="shared" si="1"/>
        <v/>
      </c>
    </row>
    <row r="350">
      <c r="A350" s="102"/>
      <c r="B350" s="43" t="str">
        <f t="shared" si="2"/>
        <v/>
      </c>
      <c r="C350" s="102"/>
      <c r="D350" s="51"/>
      <c r="E350" s="102"/>
      <c r="F350" s="102"/>
      <c r="G350" s="103"/>
      <c r="K350" s="103"/>
      <c r="L350" s="113"/>
      <c r="M350" s="107"/>
      <c r="N350" s="106" t="str">
        <f>IF(ISBLANK(L350), "", VLOOKUP(D350, 'Info Tipo de Cambio y REM'!$A$24:$B$35, 2, FALSE))</f>
        <v/>
      </c>
      <c r="O350" s="107" t="str">
        <f t="shared" si="1"/>
        <v/>
      </c>
    </row>
    <row r="351">
      <c r="A351" s="102"/>
      <c r="B351" s="43" t="str">
        <f t="shared" si="2"/>
        <v/>
      </c>
      <c r="C351" s="102"/>
      <c r="D351" s="51"/>
      <c r="E351" s="102"/>
      <c r="F351" s="102"/>
      <c r="G351" s="103"/>
      <c r="K351" s="103"/>
      <c r="L351" s="113"/>
      <c r="M351" s="107"/>
      <c r="N351" s="106" t="str">
        <f>IF(ISBLANK(L351), "", VLOOKUP(D351, 'Info Tipo de Cambio y REM'!$A$24:$B$35, 2, FALSE))</f>
        <v/>
      </c>
      <c r="O351" s="107" t="str">
        <f t="shared" si="1"/>
        <v/>
      </c>
    </row>
    <row r="352">
      <c r="A352" s="102"/>
      <c r="B352" s="43" t="str">
        <f t="shared" si="2"/>
        <v/>
      </c>
      <c r="C352" s="102"/>
      <c r="D352" s="51"/>
      <c r="E352" s="102"/>
      <c r="F352" s="102"/>
      <c r="G352" s="103"/>
      <c r="K352" s="103"/>
      <c r="L352" s="113"/>
      <c r="M352" s="107"/>
      <c r="N352" s="106" t="str">
        <f>IF(ISBLANK(L352), "", VLOOKUP(D352, 'Info Tipo de Cambio y REM'!$A$24:$B$35, 2, FALSE))</f>
        <v/>
      </c>
      <c r="O352" s="107" t="str">
        <f t="shared" si="1"/>
        <v/>
      </c>
    </row>
    <row r="353">
      <c r="A353" s="102"/>
      <c r="B353" s="43" t="str">
        <f t="shared" si="2"/>
        <v/>
      </c>
      <c r="C353" s="102"/>
      <c r="D353" s="51"/>
      <c r="E353" s="102"/>
      <c r="F353" s="102"/>
      <c r="G353" s="103"/>
      <c r="K353" s="103"/>
      <c r="L353" s="113"/>
      <c r="M353" s="107"/>
      <c r="N353" s="106" t="str">
        <f>IF(ISBLANK(L353), "", VLOOKUP(D353, 'Info Tipo de Cambio y REM'!$A$24:$B$35, 2, FALSE))</f>
        <v/>
      </c>
      <c r="O353" s="107" t="str">
        <f t="shared" si="1"/>
        <v/>
      </c>
    </row>
    <row r="354">
      <c r="A354" s="102"/>
      <c r="B354" s="43" t="str">
        <f t="shared" si="2"/>
        <v/>
      </c>
      <c r="C354" s="102"/>
      <c r="D354" s="51"/>
      <c r="E354" s="102"/>
      <c r="F354" s="102"/>
      <c r="G354" s="103"/>
      <c r="K354" s="103"/>
      <c r="L354" s="113"/>
      <c r="M354" s="107"/>
      <c r="N354" s="106" t="str">
        <f>IF(ISBLANK(L354), "", VLOOKUP(D354, 'Info Tipo de Cambio y REM'!$A$24:$B$35, 2, FALSE))</f>
        <v/>
      </c>
      <c r="O354" s="107" t="str">
        <f t="shared" si="1"/>
        <v/>
      </c>
    </row>
    <row r="355">
      <c r="A355" s="102"/>
      <c r="B355" s="43" t="str">
        <f t="shared" si="2"/>
        <v/>
      </c>
      <c r="C355" s="102"/>
      <c r="D355" s="51"/>
      <c r="E355" s="102"/>
      <c r="F355" s="102"/>
      <c r="G355" s="103"/>
      <c r="K355" s="103"/>
      <c r="L355" s="113"/>
      <c r="M355" s="107"/>
      <c r="N355" s="106" t="str">
        <f>IF(ISBLANK(L355), "", VLOOKUP(D355, 'Info Tipo de Cambio y REM'!$A$24:$B$35, 2, FALSE))</f>
        <v/>
      </c>
      <c r="O355" s="107" t="str">
        <f t="shared" si="1"/>
        <v/>
      </c>
    </row>
    <row r="356">
      <c r="A356" s="102"/>
      <c r="B356" s="43" t="str">
        <f t="shared" si="2"/>
        <v/>
      </c>
      <c r="C356" s="102"/>
      <c r="D356" s="51"/>
      <c r="E356" s="102"/>
      <c r="F356" s="102"/>
      <c r="G356" s="103"/>
      <c r="K356" s="103"/>
      <c r="L356" s="113"/>
      <c r="M356" s="107"/>
      <c r="N356" s="106" t="str">
        <f>IF(ISBLANK(L356), "", VLOOKUP(D356, 'Info Tipo de Cambio y REM'!$A$24:$B$35, 2, FALSE))</f>
        <v/>
      </c>
      <c r="O356" s="107" t="str">
        <f t="shared" si="1"/>
        <v/>
      </c>
    </row>
    <row r="357">
      <c r="A357" s="102"/>
      <c r="B357" s="43" t="str">
        <f t="shared" si="2"/>
        <v/>
      </c>
      <c r="C357" s="102"/>
      <c r="D357" s="51"/>
      <c r="E357" s="102"/>
      <c r="F357" s="102"/>
      <c r="G357" s="103"/>
      <c r="K357" s="103"/>
      <c r="L357" s="113"/>
      <c r="M357" s="107"/>
      <c r="N357" s="106" t="str">
        <f>IF(ISBLANK(L357), "", VLOOKUP(D357, 'Info Tipo de Cambio y REM'!$A$24:$B$35, 2, FALSE))</f>
        <v/>
      </c>
      <c r="O357" s="107" t="str">
        <f t="shared" si="1"/>
        <v/>
      </c>
    </row>
    <row r="358">
      <c r="A358" s="102"/>
      <c r="B358" s="43" t="str">
        <f t="shared" si="2"/>
        <v/>
      </c>
      <c r="C358" s="102"/>
      <c r="D358" s="51"/>
      <c r="E358" s="102"/>
      <c r="F358" s="102"/>
      <c r="G358" s="103"/>
      <c r="K358" s="103"/>
      <c r="L358" s="113"/>
      <c r="M358" s="107"/>
      <c r="N358" s="106" t="str">
        <f>IF(ISBLANK(L358), "", VLOOKUP(D358, 'Info Tipo de Cambio y REM'!$A$24:$B$35, 2, FALSE))</f>
        <v/>
      </c>
      <c r="O358" s="107" t="str">
        <f t="shared" si="1"/>
        <v/>
      </c>
    </row>
    <row r="359">
      <c r="A359" s="102"/>
      <c r="B359" s="43" t="str">
        <f t="shared" si="2"/>
        <v/>
      </c>
      <c r="C359" s="102"/>
      <c r="D359" s="51"/>
      <c r="E359" s="102"/>
      <c r="F359" s="102"/>
      <c r="G359" s="103"/>
      <c r="K359" s="103"/>
      <c r="L359" s="113"/>
      <c r="M359" s="107"/>
      <c r="N359" s="106" t="str">
        <f>IF(ISBLANK(L359), "", VLOOKUP(D359, 'Info Tipo de Cambio y REM'!$A$24:$B$35, 2, FALSE))</f>
        <v/>
      </c>
      <c r="O359" s="107" t="str">
        <f t="shared" si="1"/>
        <v/>
      </c>
    </row>
    <row r="360">
      <c r="A360" s="102"/>
      <c r="B360" s="43" t="str">
        <f t="shared" si="2"/>
        <v/>
      </c>
      <c r="C360" s="102"/>
      <c r="D360" s="51"/>
      <c r="E360" s="102"/>
      <c r="F360" s="102"/>
      <c r="G360" s="103"/>
      <c r="K360" s="103"/>
      <c r="L360" s="113"/>
      <c r="M360" s="107"/>
      <c r="N360" s="106" t="str">
        <f>IF(ISBLANK(L360), "", VLOOKUP(D360, 'Info Tipo de Cambio y REM'!$A$24:$B$35, 2, FALSE))</f>
        <v/>
      </c>
      <c r="O360" s="107" t="str">
        <f t="shared" si="1"/>
        <v/>
      </c>
    </row>
    <row r="361">
      <c r="A361" s="102"/>
      <c r="B361" s="43" t="str">
        <f t="shared" si="2"/>
        <v/>
      </c>
      <c r="C361" s="102"/>
      <c r="D361" s="51"/>
      <c r="E361" s="102"/>
      <c r="F361" s="102"/>
      <c r="G361" s="103"/>
      <c r="K361" s="103"/>
      <c r="L361" s="113"/>
      <c r="M361" s="107"/>
      <c r="N361" s="106" t="str">
        <f>IF(ISBLANK(L361), "", VLOOKUP(D361, 'Info Tipo de Cambio y REM'!$A$24:$B$35, 2, FALSE))</f>
        <v/>
      </c>
      <c r="O361" s="107" t="str">
        <f t="shared" si="1"/>
        <v/>
      </c>
    </row>
    <row r="362">
      <c r="A362" s="102"/>
      <c r="B362" s="43" t="str">
        <f t="shared" si="2"/>
        <v/>
      </c>
      <c r="C362" s="102"/>
      <c r="D362" s="51"/>
      <c r="E362" s="102"/>
      <c r="F362" s="102"/>
      <c r="G362" s="103"/>
      <c r="K362" s="103"/>
      <c r="L362" s="113"/>
      <c r="M362" s="107"/>
      <c r="N362" s="106" t="str">
        <f>IF(ISBLANK(L362), "", VLOOKUP(D362, 'Info Tipo de Cambio y REM'!$A$24:$B$35, 2, FALSE))</f>
        <v/>
      </c>
      <c r="O362" s="107" t="str">
        <f t="shared" si="1"/>
        <v/>
      </c>
    </row>
    <row r="363">
      <c r="A363" s="102"/>
      <c r="B363" s="43" t="str">
        <f t="shared" si="2"/>
        <v/>
      </c>
      <c r="C363" s="102"/>
      <c r="D363" s="51"/>
      <c r="E363" s="102"/>
      <c r="F363" s="102"/>
      <c r="G363" s="103"/>
      <c r="K363" s="103"/>
      <c r="L363" s="113"/>
      <c r="M363" s="107"/>
      <c r="N363" s="106" t="str">
        <f>IF(ISBLANK(L363), "", VLOOKUP(D363, 'Info Tipo de Cambio y REM'!$A$24:$B$35, 2, FALSE))</f>
        <v/>
      </c>
      <c r="O363" s="107" t="str">
        <f t="shared" si="1"/>
        <v/>
      </c>
    </row>
    <row r="364">
      <c r="A364" s="102"/>
      <c r="B364" s="43" t="str">
        <f t="shared" si="2"/>
        <v/>
      </c>
      <c r="C364" s="102"/>
      <c r="D364" s="51"/>
      <c r="E364" s="102"/>
      <c r="F364" s="102"/>
      <c r="G364" s="103"/>
      <c r="K364" s="103"/>
      <c r="L364" s="113"/>
      <c r="M364" s="107"/>
      <c r="N364" s="106" t="str">
        <f>IF(ISBLANK(L364), "", VLOOKUP(D364, 'Info Tipo de Cambio y REM'!$A$24:$B$35, 2, FALSE))</f>
        <v/>
      </c>
      <c r="O364" s="107" t="str">
        <f t="shared" si="1"/>
        <v/>
      </c>
    </row>
    <row r="365">
      <c r="A365" s="102"/>
      <c r="B365" s="43" t="str">
        <f t="shared" si="2"/>
        <v/>
      </c>
      <c r="C365" s="102"/>
      <c r="D365" s="51"/>
      <c r="E365" s="102"/>
      <c r="F365" s="102"/>
      <c r="G365" s="103"/>
      <c r="K365" s="103"/>
      <c r="L365" s="113"/>
      <c r="M365" s="107"/>
      <c r="N365" s="106" t="str">
        <f>IF(ISBLANK(L365), "", VLOOKUP(D365, 'Info Tipo de Cambio y REM'!$A$24:$B$35, 2, FALSE))</f>
        <v/>
      </c>
      <c r="O365" s="107" t="str">
        <f t="shared" si="1"/>
        <v/>
      </c>
    </row>
    <row r="366">
      <c r="A366" s="102"/>
      <c r="B366" s="43" t="str">
        <f t="shared" si="2"/>
        <v/>
      </c>
      <c r="C366" s="102"/>
      <c r="D366" s="51"/>
      <c r="E366" s="102"/>
      <c r="F366" s="102"/>
      <c r="G366" s="103"/>
      <c r="K366" s="103"/>
      <c r="L366" s="113"/>
      <c r="M366" s="107"/>
      <c r="N366" s="106" t="str">
        <f>IF(ISBLANK(L366), "", VLOOKUP(D366, 'Info Tipo de Cambio y REM'!$A$24:$B$35, 2, FALSE))</f>
        <v/>
      </c>
      <c r="O366" s="107" t="str">
        <f t="shared" si="1"/>
        <v/>
      </c>
    </row>
    <row r="367">
      <c r="A367" s="102"/>
      <c r="B367" s="43" t="str">
        <f t="shared" si="2"/>
        <v/>
      </c>
      <c r="C367" s="102"/>
      <c r="D367" s="51"/>
      <c r="E367" s="102"/>
      <c r="F367" s="102"/>
      <c r="G367" s="103"/>
      <c r="K367" s="103"/>
      <c r="L367" s="113"/>
      <c r="M367" s="107"/>
      <c r="N367" s="106" t="str">
        <f>IF(ISBLANK(L367), "", VLOOKUP(D367, 'Info Tipo de Cambio y REM'!$A$24:$B$35, 2, FALSE))</f>
        <v/>
      </c>
      <c r="O367" s="107" t="str">
        <f t="shared" si="1"/>
        <v/>
      </c>
    </row>
    <row r="368">
      <c r="A368" s="102"/>
      <c r="B368" s="43" t="str">
        <f t="shared" si="2"/>
        <v/>
      </c>
      <c r="C368" s="102"/>
      <c r="D368" s="51"/>
      <c r="E368" s="102"/>
      <c r="F368" s="102"/>
      <c r="G368" s="103"/>
      <c r="K368" s="103"/>
      <c r="L368" s="113"/>
      <c r="M368" s="107"/>
      <c r="N368" s="106" t="str">
        <f>IF(ISBLANK(L368), "", VLOOKUP(D368, 'Info Tipo de Cambio y REM'!$A$24:$B$35, 2, FALSE))</f>
        <v/>
      </c>
      <c r="O368" s="107" t="str">
        <f t="shared" si="1"/>
        <v/>
      </c>
    </row>
    <row r="369">
      <c r="A369" s="102"/>
      <c r="B369" s="43" t="str">
        <f t="shared" si="2"/>
        <v/>
      </c>
      <c r="C369" s="102"/>
      <c r="D369" s="51"/>
      <c r="E369" s="102"/>
      <c r="F369" s="102"/>
      <c r="G369" s="103"/>
      <c r="K369" s="103"/>
      <c r="L369" s="113"/>
      <c r="M369" s="107"/>
      <c r="N369" s="106" t="str">
        <f>IF(ISBLANK(L369), "", VLOOKUP(D369, 'Info Tipo de Cambio y REM'!$A$24:$B$35, 2, FALSE))</f>
        <v/>
      </c>
      <c r="O369" s="107" t="str">
        <f t="shared" si="1"/>
        <v/>
      </c>
    </row>
    <row r="370">
      <c r="A370" s="102"/>
      <c r="B370" s="43" t="str">
        <f t="shared" si="2"/>
        <v/>
      </c>
      <c r="C370" s="102"/>
      <c r="D370" s="51"/>
      <c r="E370" s="102"/>
      <c r="F370" s="102"/>
      <c r="G370" s="103"/>
      <c r="K370" s="103"/>
      <c r="L370" s="113"/>
      <c r="M370" s="107"/>
      <c r="N370" s="106" t="str">
        <f>IF(ISBLANK(L370), "", VLOOKUP(D370, 'Info Tipo de Cambio y REM'!$A$24:$B$35, 2, FALSE))</f>
        <v/>
      </c>
      <c r="O370" s="107" t="str">
        <f t="shared" si="1"/>
        <v/>
      </c>
    </row>
    <row r="371">
      <c r="A371" s="102"/>
      <c r="B371" s="43" t="str">
        <f t="shared" si="2"/>
        <v/>
      </c>
      <c r="C371" s="102"/>
      <c r="D371" s="51"/>
      <c r="E371" s="102"/>
      <c r="F371" s="102"/>
      <c r="G371" s="103"/>
      <c r="K371" s="103"/>
      <c r="L371" s="113"/>
      <c r="M371" s="107"/>
      <c r="N371" s="106" t="str">
        <f>IF(ISBLANK(L371), "", VLOOKUP(D371, 'Info Tipo de Cambio y REM'!$A$24:$B$35, 2, FALSE))</f>
        <v/>
      </c>
      <c r="O371" s="107" t="str">
        <f t="shared" si="1"/>
        <v/>
      </c>
    </row>
    <row r="372">
      <c r="A372" s="102"/>
      <c r="B372" s="43" t="str">
        <f t="shared" si="2"/>
        <v/>
      </c>
      <c r="C372" s="102"/>
      <c r="D372" s="51"/>
      <c r="E372" s="102"/>
      <c r="F372" s="102"/>
      <c r="G372" s="103"/>
      <c r="K372" s="103"/>
      <c r="L372" s="113"/>
      <c r="M372" s="107"/>
      <c r="N372" s="106" t="str">
        <f>IF(ISBLANK(L372), "", VLOOKUP(D372, 'Info Tipo de Cambio y REM'!$A$24:$B$35, 2, FALSE))</f>
        <v/>
      </c>
      <c r="O372" s="107" t="str">
        <f t="shared" si="1"/>
        <v/>
      </c>
    </row>
    <row r="373">
      <c r="A373" s="102"/>
      <c r="B373" s="43" t="str">
        <f t="shared" si="2"/>
        <v/>
      </c>
      <c r="C373" s="102"/>
      <c r="D373" s="51"/>
      <c r="E373" s="102"/>
      <c r="F373" s="102"/>
      <c r="G373" s="103"/>
      <c r="K373" s="103"/>
      <c r="L373" s="113"/>
      <c r="M373" s="107"/>
      <c r="N373" s="106" t="str">
        <f>IF(ISBLANK(L373), "", VLOOKUP(D373, 'Info Tipo de Cambio y REM'!$A$24:$B$35, 2, FALSE))</f>
        <v/>
      </c>
      <c r="O373" s="107" t="str">
        <f t="shared" si="1"/>
        <v/>
      </c>
    </row>
    <row r="374">
      <c r="A374" s="102"/>
      <c r="B374" s="43" t="str">
        <f t="shared" si="2"/>
        <v/>
      </c>
      <c r="C374" s="102"/>
      <c r="D374" s="51"/>
      <c r="E374" s="102"/>
      <c r="F374" s="102"/>
      <c r="G374" s="103"/>
      <c r="K374" s="103"/>
      <c r="L374" s="113"/>
      <c r="M374" s="107"/>
      <c r="N374" s="106" t="str">
        <f>IF(ISBLANK(L374), "", VLOOKUP(D374, 'Info Tipo de Cambio y REM'!$A$24:$B$35, 2, FALSE))</f>
        <v/>
      </c>
      <c r="O374" s="107" t="str">
        <f t="shared" si="1"/>
        <v/>
      </c>
    </row>
    <row r="375">
      <c r="A375" s="102"/>
      <c r="B375" s="43" t="str">
        <f t="shared" si="2"/>
        <v/>
      </c>
      <c r="C375" s="102"/>
      <c r="D375" s="51"/>
      <c r="E375" s="102"/>
      <c r="F375" s="102"/>
      <c r="G375" s="103"/>
      <c r="K375" s="103"/>
      <c r="L375" s="113"/>
      <c r="M375" s="107"/>
      <c r="N375" s="106" t="str">
        <f>IF(ISBLANK(L375), "", VLOOKUP(D375, 'Info Tipo de Cambio y REM'!$A$24:$B$35, 2, FALSE))</f>
        <v/>
      </c>
      <c r="O375" s="107" t="str">
        <f t="shared" si="1"/>
        <v/>
      </c>
    </row>
    <row r="376">
      <c r="A376" s="102"/>
      <c r="B376" s="43" t="str">
        <f t="shared" si="2"/>
        <v/>
      </c>
      <c r="C376" s="102"/>
      <c r="D376" s="51"/>
      <c r="E376" s="102"/>
      <c r="F376" s="102"/>
      <c r="G376" s="103"/>
      <c r="K376" s="103"/>
      <c r="L376" s="113"/>
      <c r="M376" s="107"/>
      <c r="N376" s="106" t="str">
        <f>IF(ISBLANK(L376), "", VLOOKUP(D376, 'Info Tipo de Cambio y REM'!$A$24:$B$35, 2, FALSE))</f>
        <v/>
      </c>
      <c r="O376" s="107" t="str">
        <f t="shared" si="1"/>
        <v/>
      </c>
    </row>
    <row r="377">
      <c r="A377" s="102"/>
      <c r="B377" s="43" t="str">
        <f t="shared" si="2"/>
        <v/>
      </c>
      <c r="C377" s="102"/>
      <c r="D377" s="51"/>
      <c r="E377" s="102"/>
      <c r="F377" s="102"/>
      <c r="G377" s="103"/>
      <c r="K377" s="103"/>
      <c r="L377" s="113"/>
      <c r="M377" s="107"/>
      <c r="N377" s="106" t="str">
        <f>IF(ISBLANK(L377), "", VLOOKUP(D377, 'Info Tipo de Cambio y REM'!$A$24:$B$35, 2, FALSE))</f>
        <v/>
      </c>
      <c r="O377" s="107" t="str">
        <f t="shared" si="1"/>
        <v/>
      </c>
    </row>
    <row r="378">
      <c r="A378" s="102"/>
      <c r="B378" s="43" t="str">
        <f t="shared" si="2"/>
        <v/>
      </c>
      <c r="C378" s="102"/>
      <c r="D378" s="51"/>
      <c r="E378" s="102"/>
      <c r="F378" s="102"/>
      <c r="G378" s="103"/>
      <c r="K378" s="103"/>
      <c r="L378" s="113"/>
      <c r="M378" s="107"/>
      <c r="N378" s="106" t="str">
        <f>IF(ISBLANK(L378), "", VLOOKUP(D378, 'Info Tipo de Cambio y REM'!$A$24:$B$35, 2, FALSE))</f>
        <v/>
      </c>
      <c r="O378" s="107" t="str">
        <f t="shared" si="1"/>
        <v/>
      </c>
    </row>
    <row r="379">
      <c r="A379" s="102"/>
      <c r="B379" s="43" t="str">
        <f t="shared" si="2"/>
        <v/>
      </c>
      <c r="C379" s="102"/>
      <c r="D379" s="51"/>
      <c r="E379" s="102"/>
      <c r="F379" s="102"/>
      <c r="G379" s="103"/>
      <c r="K379" s="103"/>
      <c r="L379" s="113"/>
      <c r="M379" s="107"/>
      <c r="N379" s="106" t="str">
        <f>IF(ISBLANK(L379), "", VLOOKUP(D379, 'Info Tipo de Cambio y REM'!$A$24:$B$35, 2, FALSE))</f>
        <v/>
      </c>
      <c r="O379" s="107" t="str">
        <f t="shared" si="1"/>
        <v/>
      </c>
    </row>
    <row r="380">
      <c r="A380" s="102"/>
      <c r="B380" s="43" t="str">
        <f t="shared" si="2"/>
        <v/>
      </c>
      <c r="C380" s="102"/>
      <c r="D380" s="51"/>
      <c r="E380" s="102"/>
      <c r="F380" s="102"/>
      <c r="G380" s="103"/>
      <c r="K380" s="103"/>
      <c r="L380" s="113"/>
      <c r="M380" s="107"/>
      <c r="N380" s="106" t="str">
        <f>IF(ISBLANK(L380), "", VLOOKUP(D380, 'Info Tipo de Cambio y REM'!$A$24:$B$35, 2, FALSE))</f>
        <v/>
      </c>
      <c r="O380" s="107" t="str">
        <f t="shared" si="1"/>
        <v/>
      </c>
    </row>
    <row r="381">
      <c r="A381" s="102"/>
      <c r="B381" s="43" t="str">
        <f t="shared" si="2"/>
        <v/>
      </c>
      <c r="C381" s="102"/>
      <c r="D381" s="51"/>
      <c r="E381" s="102"/>
      <c r="F381" s="102"/>
      <c r="G381" s="103"/>
      <c r="K381" s="103"/>
      <c r="L381" s="113"/>
      <c r="M381" s="107"/>
      <c r="N381" s="106" t="str">
        <f>IF(ISBLANK(L381), "", VLOOKUP(D381, 'Info Tipo de Cambio y REM'!$A$24:$B$35, 2, FALSE))</f>
        <v/>
      </c>
      <c r="O381" s="107" t="str">
        <f t="shared" si="1"/>
        <v/>
      </c>
    </row>
    <row r="382">
      <c r="A382" s="102"/>
      <c r="B382" s="43" t="str">
        <f t="shared" si="2"/>
        <v/>
      </c>
      <c r="C382" s="102"/>
      <c r="D382" s="51"/>
      <c r="E382" s="102"/>
      <c r="F382" s="102"/>
      <c r="G382" s="103"/>
      <c r="K382" s="103"/>
      <c r="L382" s="113"/>
      <c r="M382" s="107"/>
      <c r="N382" s="106" t="str">
        <f>IF(ISBLANK(L382), "", VLOOKUP(D382, 'Info Tipo de Cambio y REM'!$A$24:$B$35, 2, FALSE))</f>
        <v/>
      </c>
      <c r="O382" s="107" t="str">
        <f t="shared" si="1"/>
        <v/>
      </c>
    </row>
    <row r="383">
      <c r="A383" s="102"/>
      <c r="B383" s="43" t="str">
        <f t="shared" si="2"/>
        <v/>
      </c>
      <c r="C383" s="102"/>
      <c r="D383" s="51"/>
      <c r="E383" s="102"/>
      <c r="F383" s="102"/>
      <c r="G383" s="103"/>
      <c r="K383" s="103"/>
      <c r="L383" s="113"/>
      <c r="M383" s="107"/>
      <c r="N383" s="106" t="str">
        <f>IF(ISBLANK(L383), "", VLOOKUP(D383, 'Info Tipo de Cambio y REM'!$A$24:$B$35, 2, FALSE))</f>
        <v/>
      </c>
      <c r="O383" s="107" t="str">
        <f t="shared" si="1"/>
        <v/>
      </c>
    </row>
    <row r="384">
      <c r="A384" s="102"/>
      <c r="B384" s="43" t="str">
        <f t="shared" si="2"/>
        <v/>
      </c>
      <c r="C384" s="102"/>
      <c r="D384" s="51"/>
      <c r="E384" s="102"/>
      <c r="F384" s="102"/>
      <c r="G384" s="103"/>
      <c r="K384" s="103"/>
      <c r="L384" s="113"/>
      <c r="M384" s="107"/>
      <c r="N384" s="106" t="str">
        <f>IF(ISBLANK(L384), "", VLOOKUP(D384, 'Info Tipo de Cambio y REM'!$A$24:$B$35, 2, FALSE))</f>
        <v/>
      </c>
      <c r="O384" s="107" t="str">
        <f t="shared" si="1"/>
        <v/>
      </c>
    </row>
    <row r="385">
      <c r="A385" s="102"/>
      <c r="B385" s="43" t="str">
        <f t="shared" si="2"/>
        <v/>
      </c>
      <c r="C385" s="102"/>
      <c r="D385" s="51"/>
      <c r="E385" s="102"/>
      <c r="F385" s="102"/>
      <c r="G385" s="103"/>
      <c r="K385" s="103"/>
      <c r="L385" s="113"/>
      <c r="M385" s="107"/>
      <c r="N385" s="106" t="str">
        <f>IF(ISBLANK(L385), "", VLOOKUP(D385, 'Info Tipo de Cambio y REM'!$A$24:$B$35, 2, FALSE))</f>
        <v/>
      </c>
      <c r="O385" s="107" t="str">
        <f t="shared" si="1"/>
        <v/>
      </c>
    </row>
    <row r="386">
      <c r="A386" s="102"/>
      <c r="B386" s="43" t="str">
        <f t="shared" si="2"/>
        <v/>
      </c>
      <c r="C386" s="102"/>
      <c r="D386" s="51"/>
      <c r="E386" s="102"/>
      <c r="F386" s="102"/>
      <c r="G386" s="103"/>
      <c r="K386" s="103"/>
      <c r="L386" s="113"/>
      <c r="M386" s="107"/>
      <c r="N386" s="106" t="str">
        <f>IF(ISBLANK(L386), "", VLOOKUP(D386, 'Info Tipo de Cambio y REM'!$A$24:$B$35, 2, FALSE))</f>
        <v/>
      </c>
      <c r="O386" s="107" t="str">
        <f t="shared" si="1"/>
        <v/>
      </c>
    </row>
    <row r="387">
      <c r="A387" s="102"/>
      <c r="B387" s="43" t="str">
        <f t="shared" si="2"/>
        <v/>
      </c>
      <c r="C387" s="102"/>
      <c r="D387" s="51"/>
      <c r="E387" s="102"/>
      <c r="F387" s="102"/>
      <c r="G387" s="103"/>
      <c r="K387" s="103"/>
      <c r="L387" s="113"/>
      <c r="M387" s="107"/>
      <c r="N387" s="106" t="str">
        <f>IF(ISBLANK(L387), "", VLOOKUP(D387, 'Info Tipo de Cambio y REM'!$A$24:$B$35, 2, FALSE))</f>
        <v/>
      </c>
      <c r="O387" s="107" t="str">
        <f t="shared" si="1"/>
        <v/>
      </c>
    </row>
    <row r="388">
      <c r="A388" s="102"/>
      <c r="B388" s="43" t="str">
        <f t="shared" si="2"/>
        <v/>
      </c>
      <c r="C388" s="102"/>
      <c r="D388" s="51"/>
      <c r="E388" s="102"/>
      <c r="F388" s="102"/>
      <c r="G388" s="103"/>
      <c r="K388" s="103"/>
      <c r="L388" s="113"/>
      <c r="M388" s="107"/>
      <c r="N388" s="106" t="str">
        <f>IF(ISBLANK(L388), "", VLOOKUP(D388, 'Info Tipo de Cambio y REM'!$A$24:$B$35, 2, FALSE))</f>
        <v/>
      </c>
      <c r="O388" s="107" t="str">
        <f t="shared" si="1"/>
        <v/>
      </c>
    </row>
    <row r="389">
      <c r="A389" s="102"/>
      <c r="B389" s="43" t="str">
        <f t="shared" si="2"/>
        <v/>
      </c>
      <c r="C389" s="102"/>
      <c r="D389" s="51"/>
      <c r="E389" s="102"/>
      <c r="F389" s="102"/>
      <c r="G389" s="103"/>
      <c r="K389" s="103"/>
      <c r="L389" s="113"/>
      <c r="M389" s="107"/>
      <c r="N389" s="106" t="str">
        <f>IF(ISBLANK(L389), "", VLOOKUP(D389, 'Info Tipo de Cambio y REM'!$A$24:$B$35, 2, FALSE))</f>
        <v/>
      </c>
      <c r="O389" s="107" t="str">
        <f t="shared" si="1"/>
        <v/>
      </c>
    </row>
    <row r="390">
      <c r="A390" s="102"/>
      <c r="B390" s="43" t="str">
        <f t="shared" si="2"/>
        <v/>
      </c>
      <c r="C390" s="102"/>
      <c r="D390" s="51"/>
      <c r="E390" s="102"/>
      <c r="F390" s="102"/>
      <c r="G390" s="103"/>
      <c r="K390" s="103"/>
      <c r="L390" s="113"/>
      <c r="M390" s="107"/>
      <c r="N390" s="106" t="str">
        <f>IF(ISBLANK(L390), "", VLOOKUP(D390, 'Info Tipo de Cambio y REM'!$A$24:$B$35, 2, FALSE))</f>
        <v/>
      </c>
      <c r="O390" s="107" t="str">
        <f t="shared" si="1"/>
        <v/>
      </c>
    </row>
    <row r="391">
      <c r="A391" s="102"/>
      <c r="B391" s="43" t="str">
        <f t="shared" si="2"/>
        <v/>
      </c>
      <c r="C391" s="102"/>
      <c r="D391" s="51"/>
      <c r="E391" s="102"/>
      <c r="F391" s="102"/>
      <c r="G391" s="103"/>
      <c r="K391" s="103"/>
      <c r="L391" s="113"/>
      <c r="M391" s="107"/>
      <c r="N391" s="106" t="str">
        <f>IF(ISBLANK(L391), "", VLOOKUP(D391, 'Info Tipo de Cambio y REM'!$A$24:$B$35, 2, FALSE))</f>
        <v/>
      </c>
      <c r="O391" s="107" t="str">
        <f t="shared" si="1"/>
        <v/>
      </c>
    </row>
    <row r="392">
      <c r="A392" s="102"/>
      <c r="B392" s="43" t="str">
        <f t="shared" si="2"/>
        <v/>
      </c>
      <c r="C392" s="102"/>
      <c r="D392" s="51"/>
      <c r="E392" s="102"/>
      <c r="F392" s="102"/>
      <c r="G392" s="103"/>
      <c r="K392" s="103"/>
      <c r="L392" s="113"/>
      <c r="M392" s="107"/>
      <c r="N392" s="106" t="str">
        <f>IF(ISBLANK(L392), "", VLOOKUP(D392, 'Info Tipo de Cambio y REM'!$A$24:$B$35, 2, FALSE))</f>
        <v/>
      </c>
      <c r="O392" s="107" t="str">
        <f t="shared" si="1"/>
        <v/>
      </c>
    </row>
    <row r="393">
      <c r="A393" s="102"/>
      <c r="B393" s="43" t="str">
        <f t="shared" si="2"/>
        <v/>
      </c>
      <c r="C393" s="102"/>
      <c r="D393" s="51"/>
      <c r="E393" s="102"/>
      <c r="F393" s="102"/>
      <c r="G393" s="103"/>
      <c r="K393" s="103"/>
      <c r="L393" s="113"/>
      <c r="M393" s="107"/>
      <c r="N393" s="106" t="str">
        <f>IF(ISBLANK(L393), "", VLOOKUP(D393, 'Info Tipo de Cambio y REM'!$A$24:$B$35, 2, FALSE))</f>
        <v/>
      </c>
      <c r="O393" s="107" t="str">
        <f t="shared" si="1"/>
        <v/>
      </c>
    </row>
    <row r="394">
      <c r="A394" s="102"/>
      <c r="B394" s="43" t="str">
        <f t="shared" si="2"/>
        <v/>
      </c>
      <c r="C394" s="102"/>
      <c r="D394" s="51"/>
      <c r="E394" s="102"/>
      <c r="F394" s="102"/>
      <c r="G394" s="103"/>
      <c r="K394" s="103"/>
      <c r="L394" s="113"/>
      <c r="M394" s="107"/>
      <c r="N394" s="106" t="str">
        <f>IF(ISBLANK(L394), "", VLOOKUP(D394, 'Info Tipo de Cambio y REM'!$A$24:$B$35, 2, FALSE))</f>
        <v/>
      </c>
      <c r="O394" s="107" t="str">
        <f t="shared" si="1"/>
        <v/>
      </c>
    </row>
    <row r="395">
      <c r="A395" s="102"/>
      <c r="B395" s="43" t="str">
        <f t="shared" si="2"/>
        <v/>
      </c>
      <c r="C395" s="102"/>
      <c r="D395" s="51"/>
      <c r="E395" s="102"/>
      <c r="F395" s="102"/>
      <c r="G395" s="103"/>
      <c r="K395" s="103"/>
      <c r="L395" s="113"/>
      <c r="M395" s="107"/>
      <c r="N395" s="106" t="str">
        <f>IF(ISBLANK(L395), "", VLOOKUP(D395, 'Info Tipo de Cambio y REM'!$A$24:$B$35, 2, FALSE))</f>
        <v/>
      </c>
      <c r="O395" s="107" t="str">
        <f t="shared" si="1"/>
        <v/>
      </c>
    </row>
    <row r="396">
      <c r="A396" s="102"/>
      <c r="B396" s="43" t="str">
        <f t="shared" si="2"/>
        <v/>
      </c>
      <c r="C396" s="102"/>
      <c r="D396" s="51"/>
      <c r="E396" s="102"/>
      <c r="F396" s="102"/>
      <c r="G396" s="103"/>
      <c r="K396" s="103"/>
      <c r="L396" s="113"/>
      <c r="M396" s="107"/>
      <c r="N396" s="106" t="str">
        <f>IF(ISBLANK(L396), "", VLOOKUP(D396, 'Info Tipo de Cambio y REM'!$A$24:$B$35, 2, FALSE))</f>
        <v/>
      </c>
      <c r="O396" s="107" t="str">
        <f t="shared" si="1"/>
        <v/>
      </c>
    </row>
    <row r="397">
      <c r="A397" s="102"/>
      <c r="B397" s="43" t="str">
        <f t="shared" si="2"/>
        <v/>
      </c>
      <c r="C397" s="102"/>
      <c r="D397" s="51"/>
      <c r="E397" s="102"/>
      <c r="F397" s="102"/>
      <c r="G397" s="103"/>
      <c r="K397" s="103"/>
      <c r="L397" s="113"/>
      <c r="M397" s="107"/>
      <c r="N397" s="106" t="str">
        <f>IF(ISBLANK(L397), "", VLOOKUP(D397, 'Info Tipo de Cambio y REM'!$A$24:$B$35, 2, FALSE))</f>
        <v/>
      </c>
      <c r="O397" s="107" t="str">
        <f t="shared" si="1"/>
        <v/>
      </c>
    </row>
    <row r="398">
      <c r="A398" s="102"/>
      <c r="B398" s="43" t="str">
        <f t="shared" si="2"/>
        <v/>
      </c>
      <c r="C398" s="102"/>
      <c r="D398" s="51"/>
      <c r="E398" s="102"/>
      <c r="F398" s="102"/>
      <c r="G398" s="103"/>
      <c r="K398" s="103"/>
      <c r="L398" s="113"/>
      <c r="M398" s="107"/>
      <c r="N398" s="106" t="str">
        <f>IF(ISBLANK(L398), "", VLOOKUP(D398, 'Info Tipo de Cambio y REM'!$A$24:$B$35, 2, FALSE))</f>
        <v/>
      </c>
      <c r="O398" s="107" t="str">
        <f t="shared" si="1"/>
        <v/>
      </c>
    </row>
    <row r="399">
      <c r="A399" s="102"/>
      <c r="B399" s="43" t="str">
        <f t="shared" si="2"/>
        <v/>
      </c>
      <c r="C399" s="102"/>
      <c r="D399" s="51"/>
      <c r="E399" s="102"/>
      <c r="F399" s="102"/>
      <c r="G399" s="103"/>
      <c r="K399" s="103"/>
      <c r="L399" s="113"/>
      <c r="M399" s="107"/>
      <c r="N399" s="106" t="str">
        <f>IF(ISBLANK(L399), "", VLOOKUP(D399, 'Info Tipo de Cambio y REM'!$A$24:$B$35, 2, FALSE))</f>
        <v/>
      </c>
      <c r="O399" s="107" t="str">
        <f t="shared" si="1"/>
        <v/>
      </c>
    </row>
    <row r="400">
      <c r="A400" s="102"/>
      <c r="B400" s="43" t="str">
        <f t="shared" si="2"/>
        <v/>
      </c>
      <c r="C400" s="102"/>
      <c r="D400" s="51"/>
      <c r="E400" s="102"/>
      <c r="F400" s="102"/>
      <c r="G400" s="103"/>
      <c r="K400" s="103"/>
      <c r="L400" s="113"/>
      <c r="M400" s="107"/>
      <c r="N400" s="106" t="str">
        <f>IF(ISBLANK(L400), "", VLOOKUP(D400, 'Info Tipo de Cambio y REM'!$A$24:$B$35, 2, FALSE))</f>
        <v/>
      </c>
      <c r="O400" s="107" t="str">
        <f t="shared" si="1"/>
        <v/>
      </c>
    </row>
    <row r="401">
      <c r="A401" s="102"/>
      <c r="B401" s="43" t="str">
        <f t="shared" si="2"/>
        <v/>
      </c>
      <c r="C401" s="102"/>
      <c r="D401" s="51"/>
      <c r="E401" s="102"/>
      <c r="F401" s="102"/>
      <c r="G401" s="103"/>
      <c r="K401" s="103"/>
      <c r="L401" s="113"/>
      <c r="M401" s="107"/>
      <c r="N401" s="106" t="str">
        <f>IF(ISBLANK(L401), "", VLOOKUP(D401, 'Info Tipo de Cambio y REM'!$A$24:$B$35, 2, FALSE))</f>
        <v/>
      </c>
      <c r="O401" s="107" t="str">
        <f t="shared" si="1"/>
        <v/>
      </c>
    </row>
    <row r="402">
      <c r="A402" s="102"/>
      <c r="B402" s="43" t="str">
        <f t="shared" si="2"/>
        <v/>
      </c>
      <c r="C402" s="102"/>
      <c r="D402" s="51"/>
      <c r="E402" s="102"/>
      <c r="F402" s="102"/>
      <c r="G402" s="103"/>
      <c r="K402" s="103"/>
      <c r="L402" s="113"/>
      <c r="M402" s="107"/>
      <c r="N402" s="106" t="str">
        <f>IF(ISBLANK(L402), "", VLOOKUP(D402, 'Info Tipo de Cambio y REM'!$A$24:$B$35, 2, FALSE))</f>
        <v/>
      </c>
      <c r="O402" s="107" t="str">
        <f t="shared" si="1"/>
        <v/>
      </c>
    </row>
    <row r="403">
      <c r="A403" s="102"/>
      <c r="B403" s="43" t="str">
        <f t="shared" si="2"/>
        <v/>
      </c>
      <c r="C403" s="102"/>
      <c r="D403" s="51"/>
      <c r="E403" s="102"/>
      <c r="F403" s="102"/>
      <c r="G403" s="103"/>
      <c r="K403" s="103"/>
      <c r="L403" s="113"/>
      <c r="M403" s="107"/>
      <c r="N403" s="106" t="str">
        <f>IF(ISBLANK(L403), "", VLOOKUP(D403, 'Info Tipo de Cambio y REM'!$A$24:$B$35, 2, FALSE))</f>
        <v/>
      </c>
      <c r="O403" s="107" t="str">
        <f t="shared" si="1"/>
        <v/>
      </c>
    </row>
    <row r="404">
      <c r="A404" s="102"/>
      <c r="B404" s="43" t="str">
        <f t="shared" si="2"/>
        <v/>
      </c>
      <c r="C404" s="102"/>
      <c r="D404" s="51"/>
      <c r="E404" s="102"/>
      <c r="F404" s="102"/>
      <c r="G404" s="103"/>
      <c r="K404" s="103"/>
      <c r="L404" s="113"/>
      <c r="M404" s="107"/>
      <c r="N404" s="106" t="str">
        <f>IF(ISBLANK(L404), "", VLOOKUP(D404, 'Info Tipo de Cambio y REM'!$A$24:$B$35, 2, FALSE))</f>
        <v/>
      </c>
      <c r="O404" s="107" t="str">
        <f t="shared" si="1"/>
        <v/>
      </c>
    </row>
    <row r="405">
      <c r="A405" s="102"/>
      <c r="B405" s="43" t="str">
        <f t="shared" si="2"/>
        <v/>
      </c>
      <c r="C405" s="102"/>
      <c r="D405" s="51"/>
      <c r="E405" s="102"/>
      <c r="F405" s="102"/>
      <c r="G405" s="103"/>
      <c r="K405" s="103"/>
      <c r="L405" s="113"/>
      <c r="M405" s="107"/>
      <c r="N405" s="106" t="str">
        <f>IF(ISBLANK(L405), "", VLOOKUP(D405, 'Info Tipo de Cambio y REM'!$A$24:$B$35, 2, FALSE))</f>
        <v/>
      </c>
      <c r="O405" s="107" t="str">
        <f t="shared" si="1"/>
        <v/>
      </c>
    </row>
    <row r="406">
      <c r="A406" s="102"/>
      <c r="B406" s="43" t="str">
        <f t="shared" si="2"/>
        <v/>
      </c>
      <c r="C406" s="102"/>
      <c r="D406" s="51"/>
      <c r="E406" s="102"/>
      <c r="F406" s="102"/>
      <c r="G406" s="103"/>
      <c r="K406" s="103"/>
      <c r="L406" s="113"/>
      <c r="M406" s="107"/>
      <c r="N406" s="106" t="str">
        <f>IF(ISBLANK(L406), "", VLOOKUP(D406, 'Info Tipo de Cambio y REM'!$A$24:$B$35, 2, FALSE))</f>
        <v/>
      </c>
      <c r="O406" s="107" t="str">
        <f t="shared" si="1"/>
        <v/>
      </c>
    </row>
    <row r="407">
      <c r="A407" s="102"/>
      <c r="B407" s="43" t="str">
        <f t="shared" si="2"/>
        <v/>
      </c>
      <c r="C407" s="102"/>
      <c r="D407" s="51"/>
      <c r="E407" s="102"/>
      <c r="F407" s="102"/>
      <c r="G407" s="103"/>
      <c r="K407" s="103"/>
      <c r="L407" s="113"/>
      <c r="M407" s="107"/>
      <c r="N407" s="106" t="str">
        <f>IF(ISBLANK(L407), "", VLOOKUP(D407, 'Info Tipo de Cambio y REM'!$A$24:$B$35, 2, FALSE))</f>
        <v/>
      </c>
      <c r="O407" s="107" t="str">
        <f t="shared" si="1"/>
        <v/>
      </c>
    </row>
    <row r="408">
      <c r="A408" s="102"/>
      <c r="B408" s="43" t="str">
        <f t="shared" si="2"/>
        <v/>
      </c>
      <c r="C408" s="102"/>
      <c r="D408" s="51"/>
      <c r="E408" s="102"/>
      <c r="F408" s="102"/>
      <c r="G408" s="103"/>
      <c r="K408" s="103"/>
      <c r="L408" s="113"/>
      <c r="M408" s="107"/>
      <c r="N408" s="106" t="str">
        <f>IF(ISBLANK(L408), "", VLOOKUP(D408, 'Info Tipo de Cambio y REM'!$A$24:$B$35, 2, FALSE))</f>
        <v/>
      </c>
      <c r="O408" s="107" t="str">
        <f t="shared" si="1"/>
        <v/>
      </c>
    </row>
    <row r="409">
      <c r="A409" s="102"/>
      <c r="B409" s="43" t="str">
        <f t="shared" si="2"/>
        <v/>
      </c>
      <c r="C409" s="102"/>
      <c r="D409" s="51"/>
      <c r="E409" s="102"/>
      <c r="F409" s="102"/>
      <c r="G409" s="103"/>
      <c r="K409" s="103"/>
      <c r="L409" s="113"/>
      <c r="M409" s="107"/>
      <c r="N409" s="106" t="str">
        <f>IF(ISBLANK(L409), "", VLOOKUP(D409, 'Info Tipo de Cambio y REM'!$A$24:$B$35, 2, FALSE))</f>
        <v/>
      </c>
      <c r="O409" s="107" t="str">
        <f t="shared" si="1"/>
        <v/>
      </c>
    </row>
    <row r="410">
      <c r="A410" s="102"/>
      <c r="B410" s="43" t="str">
        <f t="shared" si="2"/>
        <v/>
      </c>
      <c r="C410" s="102"/>
      <c r="D410" s="51"/>
      <c r="E410" s="102"/>
      <c r="F410" s="102"/>
      <c r="G410" s="103"/>
      <c r="K410" s="103"/>
      <c r="L410" s="113"/>
      <c r="M410" s="107"/>
      <c r="N410" s="106" t="str">
        <f>IF(ISBLANK(L410), "", VLOOKUP(D410, 'Info Tipo de Cambio y REM'!$A$24:$B$35, 2, FALSE))</f>
        <v/>
      </c>
      <c r="O410" s="107" t="str">
        <f t="shared" si="1"/>
        <v/>
      </c>
    </row>
    <row r="411">
      <c r="A411" s="102"/>
      <c r="B411" s="43" t="str">
        <f t="shared" si="2"/>
        <v/>
      </c>
      <c r="C411" s="102"/>
      <c r="D411" s="51"/>
      <c r="E411" s="102"/>
      <c r="F411" s="102"/>
      <c r="G411" s="103"/>
      <c r="K411" s="103"/>
      <c r="L411" s="113"/>
      <c r="M411" s="107"/>
      <c r="N411" s="106" t="str">
        <f>IF(ISBLANK(L411), "", VLOOKUP(D411, 'Info Tipo de Cambio y REM'!$A$24:$B$35, 2, FALSE))</f>
        <v/>
      </c>
      <c r="O411" s="107" t="str">
        <f t="shared" si="1"/>
        <v/>
      </c>
    </row>
    <row r="412">
      <c r="A412" s="102"/>
      <c r="B412" s="43" t="str">
        <f t="shared" si="2"/>
        <v/>
      </c>
      <c r="C412" s="102"/>
      <c r="D412" s="51"/>
      <c r="E412" s="102"/>
      <c r="F412" s="102"/>
      <c r="G412" s="103"/>
      <c r="K412" s="103"/>
      <c r="L412" s="113"/>
      <c r="M412" s="107"/>
      <c r="N412" s="106" t="str">
        <f>IF(ISBLANK(L412), "", VLOOKUP(D412, 'Info Tipo de Cambio y REM'!$A$24:$B$35, 2, FALSE))</f>
        <v/>
      </c>
      <c r="O412" s="107" t="str">
        <f t="shared" si="1"/>
        <v/>
      </c>
    </row>
    <row r="413">
      <c r="A413" s="102"/>
      <c r="B413" s="43" t="str">
        <f t="shared" si="2"/>
        <v/>
      </c>
      <c r="C413" s="102"/>
      <c r="D413" s="51"/>
      <c r="E413" s="102"/>
      <c r="F413" s="102"/>
      <c r="G413" s="103"/>
      <c r="K413" s="103"/>
      <c r="L413" s="113"/>
      <c r="M413" s="107"/>
      <c r="N413" s="106" t="str">
        <f>IF(ISBLANK(L413), "", VLOOKUP(D413, 'Info Tipo de Cambio y REM'!$A$24:$B$35, 2, FALSE))</f>
        <v/>
      </c>
      <c r="O413" s="107" t="str">
        <f t="shared" si="1"/>
        <v/>
      </c>
    </row>
    <row r="414">
      <c r="A414" s="102"/>
      <c r="B414" s="43" t="str">
        <f t="shared" si="2"/>
        <v/>
      </c>
      <c r="C414" s="102"/>
      <c r="D414" s="51"/>
      <c r="E414" s="102"/>
      <c r="F414" s="102"/>
      <c r="G414" s="103"/>
      <c r="K414" s="103"/>
      <c r="L414" s="113"/>
      <c r="M414" s="107"/>
      <c r="N414" s="106" t="str">
        <f>IF(ISBLANK(L414), "", VLOOKUP(D414, 'Info Tipo de Cambio y REM'!$A$24:$B$35, 2, FALSE))</f>
        <v/>
      </c>
      <c r="O414" s="107" t="str">
        <f t="shared" si="1"/>
        <v/>
      </c>
    </row>
    <row r="415">
      <c r="A415" s="102"/>
      <c r="B415" s="43" t="str">
        <f t="shared" si="2"/>
        <v/>
      </c>
      <c r="C415" s="102"/>
      <c r="D415" s="51"/>
      <c r="E415" s="102"/>
      <c r="F415" s="102"/>
      <c r="G415" s="103"/>
      <c r="K415" s="103"/>
      <c r="L415" s="113"/>
      <c r="M415" s="107"/>
      <c r="N415" s="106" t="str">
        <f>IF(ISBLANK(L415), "", VLOOKUP(D415, 'Info Tipo de Cambio y REM'!$A$24:$B$35, 2, FALSE))</f>
        <v/>
      </c>
      <c r="O415" s="107" t="str">
        <f t="shared" si="1"/>
        <v/>
      </c>
    </row>
    <row r="416">
      <c r="A416" s="102"/>
      <c r="B416" s="43" t="str">
        <f t="shared" si="2"/>
        <v/>
      </c>
      <c r="C416" s="102"/>
      <c r="D416" s="51"/>
      <c r="E416" s="102"/>
      <c r="F416" s="102"/>
      <c r="G416" s="103"/>
      <c r="K416" s="103"/>
      <c r="L416" s="113"/>
      <c r="M416" s="107"/>
      <c r="N416" s="106" t="str">
        <f>IF(ISBLANK(L416), "", VLOOKUP(D416, 'Info Tipo de Cambio y REM'!$A$24:$B$35, 2, FALSE))</f>
        <v/>
      </c>
      <c r="O416" s="107" t="str">
        <f t="shared" si="1"/>
        <v/>
      </c>
    </row>
    <row r="417">
      <c r="A417" s="102"/>
      <c r="B417" s="43" t="str">
        <f t="shared" si="2"/>
        <v/>
      </c>
      <c r="C417" s="102"/>
      <c r="D417" s="51"/>
      <c r="E417" s="102"/>
      <c r="F417" s="102"/>
      <c r="G417" s="103"/>
      <c r="K417" s="103"/>
      <c r="L417" s="113"/>
      <c r="M417" s="107"/>
      <c r="N417" s="106" t="str">
        <f>IF(ISBLANK(L417), "", VLOOKUP(D417, 'Info Tipo de Cambio y REM'!$A$24:$B$35, 2, FALSE))</f>
        <v/>
      </c>
      <c r="O417" s="107" t="str">
        <f t="shared" si="1"/>
        <v/>
      </c>
    </row>
    <row r="418">
      <c r="A418" s="102"/>
      <c r="B418" s="43" t="str">
        <f t="shared" si="2"/>
        <v/>
      </c>
      <c r="C418" s="102"/>
      <c r="D418" s="51"/>
      <c r="E418" s="102"/>
      <c r="F418" s="102"/>
      <c r="G418" s="103"/>
      <c r="K418" s="103"/>
      <c r="L418" s="113"/>
      <c r="M418" s="107"/>
      <c r="N418" s="106" t="str">
        <f>IF(ISBLANK(L418), "", VLOOKUP(D418, 'Info Tipo de Cambio y REM'!$A$24:$B$35, 2, FALSE))</f>
        <v/>
      </c>
      <c r="O418" s="107" t="str">
        <f t="shared" si="1"/>
        <v/>
      </c>
    </row>
    <row r="419">
      <c r="A419" s="102"/>
      <c r="B419" s="43" t="str">
        <f t="shared" si="2"/>
        <v/>
      </c>
      <c r="C419" s="102"/>
      <c r="D419" s="51"/>
      <c r="E419" s="102"/>
      <c r="F419" s="102"/>
      <c r="G419" s="103"/>
      <c r="K419" s="103"/>
      <c r="L419" s="113"/>
      <c r="M419" s="107"/>
      <c r="N419" s="106" t="str">
        <f>IF(ISBLANK(L419), "", VLOOKUP(D419, 'Info Tipo de Cambio y REM'!$A$24:$B$35, 2, FALSE))</f>
        <v/>
      </c>
      <c r="O419" s="107" t="str">
        <f t="shared" si="1"/>
        <v/>
      </c>
    </row>
    <row r="420">
      <c r="A420" s="102"/>
      <c r="B420" s="43" t="str">
        <f t="shared" si="2"/>
        <v/>
      </c>
      <c r="C420" s="102"/>
      <c r="D420" s="51"/>
      <c r="E420" s="102"/>
      <c r="F420" s="102"/>
      <c r="G420" s="103"/>
      <c r="K420" s="103"/>
      <c r="L420" s="113"/>
      <c r="M420" s="107"/>
      <c r="N420" s="106" t="str">
        <f>IF(ISBLANK(L420), "", VLOOKUP(D420, 'Info Tipo de Cambio y REM'!$A$24:$B$35, 2, FALSE))</f>
        <v/>
      </c>
      <c r="O420" s="107" t="str">
        <f t="shared" si="1"/>
        <v/>
      </c>
    </row>
    <row r="421">
      <c r="A421" s="102"/>
      <c r="B421" s="43" t="str">
        <f t="shared" si="2"/>
        <v/>
      </c>
      <c r="C421" s="102"/>
      <c r="D421" s="51"/>
      <c r="E421" s="102"/>
      <c r="F421" s="102"/>
      <c r="G421" s="103"/>
      <c r="K421" s="103"/>
      <c r="L421" s="113"/>
      <c r="M421" s="107"/>
      <c r="N421" s="106" t="str">
        <f>IF(ISBLANK(L421), "", VLOOKUP(D421, 'Info Tipo de Cambio y REM'!$A$24:$B$35, 2, FALSE))</f>
        <v/>
      </c>
      <c r="O421" s="107" t="str">
        <f t="shared" si="1"/>
        <v/>
      </c>
    </row>
    <row r="422">
      <c r="A422" s="102"/>
      <c r="B422" s="43" t="str">
        <f t="shared" si="2"/>
        <v/>
      </c>
      <c r="C422" s="102"/>
      <c r="D422" s="51"/>
      <c r="E422" s="102"/>
      <c r="F422" s="102"/>
      <c r="G422" s="103"/>
      <c r="K422" s="103"/>
      <c r="L422" s="113"/>
      <c r="M422" s="107"/>
      <c r="N422" s="106" t="str">
        <f>IF(ISBLANK(L422), "", VLOOKUP(D422, 'Info Tipo de Cambio y REM'!$A$24:$B$35, 2, FALSE))</f>
        <v/>
      </c>
      <c r="O422" s="107" t="str">
        <f t="shared" si="1"/>
        <v/>
      </c>
    </row>
    <row r="423">
      <c r="A423" s="102"/>
      <c r="B423" s="43" t="str">
        <f t="shared" si="2"/>
        <v/>
      </c>
      <c r="C423" s="102"/>
      <c r="D423" s="51"/>
      <c r="E423" s="102"/>
      <c r="F423" s="102"/>
      <c r="G423" s="103"/>
      <c r="K423" s="103"/>
      <c r="L423" s="113"/>
      <c r="M423" s="107"/>
      <c r="N423" s="106" t="str">
        <f>IF(ISBLANK(L423), "", VLOOKUP(D423, 'Info Tipo de Cambio y REM'!$A$24:$B$35, 2, FALSE))</f>
        <v/>
      </c>
      <c r="O423" s="107" t="str">
        <f t="shared" si="1"/>
        <v/>
      </c>
    </row>
    <row r="424">
      <c r="A424" s="102"/>
      <c r="B424" s="43" t="str">
        <f t="shared" si="2"/>
        <v/>
      </c>
      <c r="C424" s="102"/>
      <c r="D424" s="51"/>
      <c r="E424" s="102"/>
      <c r="F424" s="102"/>
      <c r="G424" s="103"/>
      <c r="K424" s="103"/>
      <c r="L424" s="113"/>
      <c r="M424" s="107"/>
      <c r="N424" s="106" t="str">
        <f>IF(ISBLANK(L424), "", VLOOKUP(D424, 'Info Tipo de Cambio y REM'!$A$24:$B$35, 2, FALSE))</f>
        <v/>
      </c>
      <c r="O424" s="107" t="str">
        <f t="shared" si="1"/>
        <v/>
      </c>
    </row>
    <row r="425">
      <c r="A425" s="102"/>
      <c r="B425" s="43" t="str">
        <f t="shared" si="2"/>
        <v/>
      </c>
      <c r="C425" s="102"/>
      <c r="D425" s="51"/>
      <c r="E425" s="102"/>
      <c r="F425" s="102"/>
      <c r="G425" s="103"/>
      <c r="K425" s="103"/>
      <c r="L425" s="113"/>
      <c r="M425" s="107"/>
      <c r="N425" s="106" t="str">
        <f>IF(ISBLANK(L425), "", VLOOKUP(D425, 'Info Tipo de Cambio y REM'!$A$24:$B$35, 2, FALSE))</f>
        <v/>
      </c>
      <c r="O425" s="107" t="str">
        <f t="shared" si="1"/>
        <v/>
      </c>
    </row>
    <row r="426">
      <c r="A426" s="102"/>
      <c r="B426" s="43" t="str">
        <f t="shared" si="2"/>
        <v/>
      </c>
      <c r="C426" s="102"/>
      <c r="D426" s="51"/>
      <c r="E426" s="102"/>
      <c r="F426" s="102"/>
      <c r="G426" s="103"/>
      <c r="K426" s="103"/>
      <c r="L426" s="113"/>
      <c r="M426" s="107"/>
      <c r="N426" s="106" t="str">
        <f>IF(ISBLANK(L426), "", VLOOKUP(D426, 'Info Tipo de Cambio y REM'!$A$24:$B$35, 2, FALSE))</f>
        <v/>
      </c>
      <c r="O426" s="107" t="str">
        <f t="shared" si="1"/>
        <v/>
      </c>
    </row>
    <row r="427">
      <c r="A427" s="102"/>
      <c r="B427" s="43" t="str">
        <f t="shared" si="2"/>
        <v/>
      </c>
      <c r="C427" s="102"/>
      <c r="D427" s="51"/>
      <c r="E427" s="102"/>
      <c r="F427" s="102"/>
      <c r="G427" s="103"/>
      <c r="K427" s="103"/>
      <c r="L427" s="113"/>
      <c r="M427" s="107"/>
      <c r="N427" s="106" t="str">
        <f>IF(ISBLANK(L427), "", VLOOKUP(D427, 'Info Tipo de Cambio y REM'!$A$24:$B$35, 2, FALSE))</f>
        <v/>
      </c>
      <c r="O427" s="107" t="str">
        <f t="shared" si="1"/>
        <v/>
      </c>
    </row>
    <row r="428">
      <c r="A428" s="102"/>
      <c r="B428" s="43" t="str">
        <f t="shared" si="2"/>
        <v/>
      </c>
      <c r="C428" s="102"/>
      <c r="D428" s="51"/>
      <c r="E428" s="102"/>
      <c r="F428" s="102"/>
      <c r="G428" s="103"/>
      <c r="K428" s="103"/>
      <c r="L428" s="113"/>
      <c r="M428" s="107"/>
      <c r="N428" s="106" t="str">
        <f>IF(ISBLANK(L428), "", VLOOKUP(D428, 'Info Tipo de Cambio y REM'!$A$24:$B$35, 2, FALSE))</f>
        <v/>
      </c>
      <c r="O428" s="107" t="str">
        <f t="shared" si="1"/>
        <v/>
      </c>
    </row>
    <row r="429">
      <c r="A429" s="102"/>
      <c r="B429" s="43" t="str">
        <f t="shared" si="2"/>
        <v/>
      </c>
      <c r="C429" s="102"/>
      <c r="D429" s="51"/>
      <c r="E429" s="102"/>
      <c r="F429" s="102"/>
      <c r="G429" s="103"/>
      <c r="K429" s="103"/>
      <c r="L429" s="113"/>
      <c r="M429" s="107"/>
      <c r="N429" s="106" t="str">
        <f>IF(ISBLANK(L429), "", VLOOKUP(D429, 'Info Tipo de Cambio y REM'!$A$24:$B$35, 2, FALSE))</f>
        <v/>
      </c>
      <c r="O429" s="107" t="str">
        <f t="shared" si="1"/>
        <v/>
      </c>
    </row>
    <row r="430">
      <c r="A430" s="102"/>
      <c r="B430" s="43" t="str">
        <f t="shared" si="2"/>
        <v/>
      </c>
      <c r="C430" s="102"/>
      <c r="D430" s="51"/>
      <c r="E430" s="102"/>
      <c r="F430" s="102"/>
      <c r="G430" s="103"/>
      <c r="K430" s="103"/>
      <c r="L430" s="113"/>
      <c r="M430" s="107"/>
      <c r="N430" s="106" t="str">
        <f>IF(ISBLANK(L430), "", VLOOKUP(D430, 'Info Tipo de Cambio y REM'!$A$24:$B$35, 2, FALSE))</f>
        <v/>
      </c>
      <c r="O430" s="107" t="str">
        <f t="shared" si="1"/>
        <v/>
      </c>
    </row>
    <row r="431">
      <c r="A431" s="102"/>
      <c r="B431" s="43" t="str">
        <f t="shared" si="2"/>
        <v/>
      </c>
      <c r="C431" s="102"/>
      <c r="D431" s="51"/>
      <c r="E431" s="102"/>
      <c r="F431" s="102"/>
      <c r="G431" s="103"/>
      <c r="K431" s="103"/>
      <c r="L431" s="113"/>
      <c r="M431" s="107"/>
      <c r="N431" s="106" t="str">
        <f>IF(ISBLANK(L431), "", VLOOKUP(D431, 'Info Tipo de Cambio y REM'!$A$24:$B$35, 2, FALSE))</f>
        <v/>
      </c>
      <c r="O431" s="107" t="str">
        <f t="shared" si="1"/>
        <v/>
      </c>
    </row>
    <row r="432">
      <c r="A432" s="102"/>
      <c r="B432" s="43" t="str">
        <f t="shared" si="2"/>
        <v/>
      </c>
      <c r="C432" s="102"/>
      <c r="D432" s="51"/>
      <c r="E432" s="102"/>
      <c r="F432" s="102"/>
      <c r="G432" s="103"/>
      <c r="K432" s="103"/>
      <c r="L432" s="113"/>
      <c r="M432" s="107"/>
      <c r="N432" s="106" t="str">
        <f>IF(ISBLANK(L432), "", VLOOKUP(D432, 'Info Tipo de Cambio y REM'!$A$24:$B$35, 2, FALSE))</f>
        <v/>
      </c>
      <c r="O432" s="107" t="str">
        <f t="shared" si="1"/>
        <v/>
      </c>
    </row>
    <row r="433">
      <c r="A433" s="102"/>
      <c r="B433" s="43" t="str">
        <f t="shared" si="2"/>
        <v/>
      </c>
      <c r="C433" s="102"/>
      <c r="D433" s="51"/>
      <c r="E433" s="102"/>
      <c r="F433" s="102"/>
      <c r="G433" s="103"/>
      <c r="K433" s="103"/>
      <c r="L433" s="113"/>
      <c r="M433" s="107"/>
      <c r="N433" s="106" t="str">
        <f>IF(ISBLANK(L433), "", VLOOKUP(D433, 'Info Tipo de Cambio y REM'!$A$24:$B$35, 2, FALSE))</f>
        <v/>
      </c>
      <c r="O433" s="107" t="str">
        <f t="shared" si="1"/>
        <v/>
      </c>
    </row>
    <row r="434">
      <c r="A434" s="102"/>
      <c r="B434" s="43" t="str">
        <f t="shared" si="2"/>
        <v/>
      </c>
      <c r="C434" s="102"/>
      <c r="D434" s="51"/>
      <c r="E434" s="102"/>
      <c r="F434" s="102"/>
      <c r="G434" s="103"/>
      <c r="K434" s="103"/>
      <c r="L434" s="113"/>
      <c r="M434" s="107"/>
      <c r="N434" s="106" t="str">
        <f>IF(ISBLANK(L434), "", VLOOKUP(D434, 'Info Tipo de Cambio y REM'!$A$24:$B$35, 2, FALSE))</f>
        <v/>
      </c>
      <c r="O434" s="107" t="str">
        <f t="shared" si="1"/>
        <v/>
      </c>
    </row>
    <row r="435">
      <c r="A435" s="102"/>
      <c r="B435" s="43" t="str">
        <f t="shared" si="2"/>
        <v/>
      </c>
      <c r="C435" s="102"/>
      <c r="D435" s="51"/>
      <c r="E435" s="102"/>
      <c r="F435" s="102"/>
      <c r="G435" s="103"/>
      <c r="K435" s="103"/>
      <c r="L435" s="113"/>
      <c r="M435" s="107"/>
      <c r="N435" s="106" t="str">
        <f>IF(ISBLANK(L435), "", VLOOKUP(D435, 'Info Tipo de Cambio y REM'!$A$24:$B$35, 2, FALSE))</f>
        <v/>
      </c>
      <c r="O435" s="107" t="str">
        <f t="shared" si="1"/>
        <v/>
      </c>
    </row>
    <row r="436">
      <c r="A436" s="102"/>
      <c r="B436" s="43" t="str">
        <f t="shared" si="2"/>
        <v/>
      </c>
      <c r="C436" s="102"/>
      <c r="D436" s="51"/>
      <c r="E436" s="102"/>
      <c r="F436" s="102"/>
      <c r="G436" s="103"/>
      <c r="K436" s="103"/>
      <c r="L436" s="113"/>
      <c r="M436" s="107"/>
      <c r="N436" s="106" t="str">
        <f>IF(ISBLANK(L436), "", VLOOKUP(D436, 'Info Tipo de Cambio y REM'!$A$24:$B$35, 2, FALSE))</f>
        <v/>
      </c>
      <c r="O436" s="107" t="str">
        <f t="shared" si="1"/>
        <v/>
      </c>
    </row>
    <row r="437">
      <c r="A437" s="102"/>
      <c r="B437" s="43" t="str">
        <f t="shared" si="2"/>
        <v/>
      </c>
      <c r="C437" s="102"/>
      <c r="D437" s="51"/>
      <c r="E437" s="102"/>
      <c r="F437" s="102"/>
      <c r="G437" s="103"/>
      <c r="K437" s="103"/>
      <c r="L437" s="113"/>
      <c r="M437" s="107"/>
      <c r="N437" s="106" t="str">
        <f>IF(ISBLANK(L437), "", VLOOKUP(D437, 'Info Tipo de Cambio y REM'!$A$24:$B$35, 2, FALSE))</f>
        <v/>
      </c>
      <c r="O437" s="107" t="str">
        <f t="shared" si="1"/>
        <v/>
      </c>
    </row>
    <row r="438">
      <c r="A438" s="102"/>
      <c r="B438" s="43" t="str">
        <f t="shared" si="2"/>
        <v/>
      </c>
      <c r="C438" s="102"/>
      <c r="D438" s="51"/>
      <c r="E438" s="102"/>
      <c r="F438" s="102"/>
      <c r="G438" s="103"/>
      <c r="K438" s="103"/>
      <c r="L438" s="113"/>
      <c r="M438" s="107"/>
      <c r="N438" s="106" t="str">
        <f>IF(ISBLANK(L438), "", VLOOKUP(D438, 'Info Tipo de Cambio y REM'!$A$24:$B$35, 2, FALSE))</f>
        <v/>
      </c>
      <c r="O438" s="107" t="str">
        <f t="shared" si="1"/>
        <v/>
      </c>
    </row>
    <row r="439">
      <c r="A439" s="102"/>
      <c r="B439" s="43" t="str">
        <f t="shared" si="2"/>
        <v/>
      </c>
      <c r="C439" s="102"/>
      <c r="D439" s="51"/>
      <c r="E439" s="102"/>
      <c r="F439" s="102"/>
      <c r="G439" s="103"/>
      <c r="K439" s="103"/>
      <c r="L439" s="113"/>
      <c r="M439" s="107"/>
      <c r="N439" s="106" t="str">
        <f>IF(ISBLANK(L439), "", VLOOKUP(D439, 'Info Tipo de Cambio y REM'!$A$24:$B$35, 2, FALSE))</f>
        <v/>
      </c>
      <c r="O439" s="107" t="str">
        <f t="shared" si="1"/>
        <v/>
      </c>
    </row>
    <row r="440">
      <c r="A440" s="102"/>
      <c r="B440" s="43" t="str">
        <f t="shared" si="2"/>
        <v/>
      </c>
      <c r="C440" s="102"/>
      <c r="D440" s="51"/>
      <c r="E440" s="102"/>
      <c r="F440" s="102"/>
      <c r="G440" s="103"/>
      <c r="K440" s="103"/>
      <c r="L440" s="113"/>
      <c r="M440" s="107"/>
      <c r="N440" s="106" t="str">
        <f>IF(ISBLANK(L440), "", VLOOKUP(D440, 'Info Tipo de Cambio y REM'!$A$24:$B$35, 2, FALSE))</f>
        <v/>
      </c>
      <c r="O440" s="107" t="str">
        <f t="shared" si="1"/>
        <v/>
      </c>
    </row>
    <row r="441">
      <c r="A441" s="102"/>
      <c r="B441" s="43" t="str">
        <f t="shared" si="2"/>
        <v/>
      </c>
      <c r="C441" s="102"/>
      <c r="D441" s="51"/>
      <c r="E441" s="102"/>
      <c r="F441" s="102"/>
      <c r="G441" s="103"/>
      <c r="K441" s="103"/>
      <c r="L441" s="113"/>
      <c r="M441" s="107"/>
      <c r="N441" s="106" t="str">
        <f>IF(ISBLANK(L441), "", VLOOKUP(D441, 'Info Tipo de Cambio y REM'!$A$24:$B$35, 2, FALSE))</f>
        <v/>
      </c>
      <c r="O441" s="107" t="str">
        <f t="shared" si="1"/>
        <v/>
      </c>
    </row>
    <row r="442">
      <c r="A442" s="102"/>
      <c r="B442" s="43" t="str">
        <f t="shared" si="2"/>
        <v/>
      </c>
      <c r="C442" s="102"/>
      <c r="D442" s="51"/>
      <c r="E442" s="102"/>
      <c r="F442" s="102"/>
      <c r="G442" s="103"/>
      <c r="K442" s="103"/>
      <c r="L442" s="113"/>
      <c r="M442" s="107"/>
      <c r="N442" s="106" t="str">
        <f>IF(ISBLANK(L442), "", VLOOKUP(D442, 'Info Tipo de Cambio y REM'!$A$24:$B$35, 2, FALSE))</f>
        <v/>
      </c>
      <c r="O442" s="107" t="str">
        <f t="shared" si="1"/>
        <v/>
      </c>
    </row>
    <row r="443">
      <c r="A443" s="102"/>
      <c r="B443" s="43" t="str">
        <f t="shared" si="2"/>
        <v/>
      </c>
      <c r="C443" s="102"/>
      <c r="D443" s="51"/>
      <c r="E443" s="102"/>
      <c r="F443" s="102"/>
      <c r="G443" s="103"/>
      <c r="K443" s="103"/>
      <c r="L443" s="113"/>
      <c r="M443" s="107"/>
      <c r="N443" s="106" t="str">
        <f>IF(ISBLANK(L443), "", VLOOKUP(D443, 'Info Tipo de Cambio y REM'!$A$24:$B$35, 2, FALSE))</f>
        <v/>
      </c>
      <c r="O443" s="107" t="str">
        <f t="shared" si="1"/>
        <v/>
      </c>
    </row>
    <row r="444">
      <c r="A444" s="102"/>
      <c r="B444" s="43" t="str">
        <f t="shared" si="2"/>
        <v/>
      </c>
      <c r="C444" s="102"/>
      <c r="D444" s="51"/>
      <c r="E444" s="102"/>
      <c r="F444" s="102"/>
      <c r="G444" s="103"/>
      <c r="K444" s="103"/>
      <c r="L444" s="113"/>
      <c r="M444" s="107"/>
      <c r="N444" s="106" t="str">
        <f>IF(ISBLANK(L444), "", VLOOKUP(D444, 'Info Tipo de Cambio y REM'!$A$24:$B$35, 2, FALSE))</f>
        <v/>
      </c>
      <c r="O444" s="107" t="str">
        <f t="shared" si="1"/>
        <v/>
      </c>
    </row>
    <row r="445">
      <c r="A445" s="102"/>
      <c r="B445" s="43" t="str">
        <f t="shared" si="2"/>
        <v/>
      </c>
      <c r="C445" s="102"/>
      <c r="D445" s="51"/>
      <c r="E445" s="102"/>
      <c r="F445" s="102"/>
      <c r="G445" s="103"/>
      <c r="K445" s="103"/>
      <c r="L445" s="113"/>
      <c r="M445" s="107"/>
      <c r="N445" s="106" t="str">
        <f>IF(ISBLANK(L445), "", VLOOKUP(D445, 'Info Tipo de Cambio y REM'!$A$24:$B$35, 2, FALSE))</f>
        <v/>
      </c>
      <c r="O445" s="107" t="str">
        <f t="shared" si="1"/>
        <v/>
      </c>
    </row>
    <row r="446">
      <c r="A446" s="102"/>
      <c r="B446" s="43" t="str">
        <f t="shared" si="2"/>
        <v/>
      </c>
      <c r="C446" s="102"/>
      <c r="D446" s="51"/>
      <c r="E446" s="102"/>
      <c r="F446" s="102"/>
      <c r="G446" s="103"/>
      <c r="K446" s="103"/>
      <c r="L446" s="113"/>
      <c r="M446" s="107"/>
      <c r="N446" s="106" t="str">
        <f>IF(ISBLANK(L446), "", VLOOKUP(D446, 'Info Tipo de Cambio y REM'!$A$24:$B$35, 2, FALSE))</f>
        <v/>
      </c>
      <c r="O446" s="107" t="str">
        <f t="shared" si="1"/>
        <v/>
      </c>
    </row>
    <row r="447">
      <c r="A447" s="102"/>
      <c r="B447" s="43" t="str">
        <f t="shared" si="2"/>
        <v/>
      </c>
      <c r="C447" s="102"/>
      <c r="D447" s="51"/>
      <c r="E447" s="102"/>
      <c r="F447" s="102"/>
      <c r="G447" s="103"/>
      <c r="K447" s="103"/>
      <c r="L447" s="113"/>
      <c r="M447" s="107"/>
      <c r="N447" s="106" t="str">
        <f>IF(ISBLANK(L447), "", VLOOKUP(D447, 'Info Tipo de Cambio y REM'!$A$24:$B$35, 2, FALSE))</f>
        <v/>
      </c>
      <c r="O447" s="107" t="str">
        <f t="shared" si="1"/>
        <v/>
      </c>
    </row>
    <row r="448">
      <c r="A448" s="102"/>
      <c r="B448" s="43" t="str">
        <f t="shared" si="2"/>
        <v/>
      </c>
      <c r="C448" s="102"/>
      <c r="D448" s="51"/>
      <c r="E448" s="102"/>
      <c r="F448" s="102"/>
      <c r="G448" s="103"/>
      <c r="K448" s="103"/>
      <c r="L448" s="113"/>
      <c r="M448" s="107"/>
      <c r="N448" s="106" t="str">
        <f>IF(ISBLANK(L448), "", VLOOKUP(D448, 'Info Tipo de Cambio y REM'!$A$24:$B$35, 2, FALSE))</f>
        <v/>
      </c>
      <c r="O448" s="107" t="str">
        <f t="shared" si="1"/>
        <v/>
      </c>
    </row>
    <row r="449">
      <c r="A449" s="102"/>
      <c r="B449" s="43" t="str">
        <f t="shared" si="2"/>
        <v/>
      </c>
      <c r="C449" s="102"/>
      <c r="D449" s="51"/>
      <c r="E449" s="102"/>
      <c r="F449" s="102"/>
      <c r="G449" s="103"/>
      <c r="K449" s="103"/>
      <c r="L449" s="113"/>
      <c r="M449" s="107"/>
      <c r="N449" s="106" t="str">
        <f>IF(ISBLANK(L449), "", VLOOKUP(D449, 'Info Tipo de Cambio y REM'!$A$24:$B$35, 2, FALSE))</f>
        <v/>
      </c>
      <c r="O449" s="107" t="str">
        <f t="shared" si="1"/>
        <v/>
      </c>
    </row>
    <row r="450">
      <c r="A450" s="102"/>
      <c r="B450" s="43" t="str">
        <f t="shared" si="2"/>
        <v/>
      </c>
      <c r="C450" s="102"/>
      <c r="D450" s="51"/>
      <c r="E450" s="102"/>
      <c r="F450" s="102"/>
      <c r="G450" s="103"/>
      <c r="K450" s="103"/>
      <c r="L450" s="113"/>
      <c r="M450" s="107"/>
      <c r="N450" s="106" t="str">
        <f>IF(ISBLANK(L450), "", VLOOKUP(D450, 'Info Tipo de Cambio y REM'!$A$24:$B$35, 2, FALSE))</f>
        <v/>
      </c>
      <c r="O450" s="107" t="str">
        <f t="shared" si="1"/>
        <v/>
      </c>
    </row>
    <row r="451">
      <c r="A451" s="102"/>
      <c r="B451" s="43" t="str">
        <f t="shared" si="2"/>
        <v/>
      </c>
      <c r="C451" s="102"/>
      <c r="D451" s="51"/>
      <c r="E451" s="102"/>
      <c r="F451" s="102"/>
      <c r="G451" s="103"/>
      <c r="K451" s="103"/>
      <c r="L451" s="113"/>
      <c r="M451" s="107"/>
      <c r="N451" s="106" t="str">
        <f>IF(ISBLANK(L451), "", VLOOKUP(D451, 'Info Tipo de Cambio y REM'!$A$24:$B$35, 2, FALSE))</f>
        <v/>
      </c>
      <c r="O451" s="107" t="str">
        <f t="shared" si="1"/>
        <v/>
      </c>
    </row>
    <row r="452">
      <c r="A452" s="102"/>
      <c r="B452" s="43" t="str">
        <f t="shared" si="2"/>
        <v/>
      </c>
      <c r="C452" s="102"/>
      <c r="D452" s="51"/>
      <c r="E452" s="102"/>
      <c r="F452" s="102"/>
      <c r="G452" s="103"/>
      <c r="K452" s="103"/>
      <c r="L452" s="113"/>
      <c r="M452" s="107"/>
      <c r="N452" s="106" t="str">
        <f>IF(ISBLANK(L452), "", VLOOKUP(D452, 'Info Tipo de Cambio y REM'!$A$24:$B$35, 2, FALSE))</f>
        <v/>
      </c>
      <c r="O452" s="107" t="str">
        <f t="shared" si="1"/>
        <v/>
      </c>
    </row>
    <row r="453">
      <c r="A453" s="102"/>
      <c r="B453" s="43" t="str">
        <f t="shared" si="2"/>
        <v/>
      </c>
      <c r="C453" s="102"/>
      <c r="D453" s="51"/>
      <c r="E453" s="102"/>
      <c r="F453" s="102"/>
      <c r="G453" s="103"/>
      <c r="K453" s="103"/>
      <c r="L453" s="113"/>
      <c r="M453" s="107"/>
      <c r="N453" s="106" t="str">
        <f>IF(ISBLANK(L453), "", VLOOKUP(D453, 'Info Tipo de Cambio y REM'!$A$24:$B$35, 2, FALSE))</f>
        <v/>
      </c>
      <c r="O453" s="107" t="str">
        <f t="shared" si="1"/>
        <v/>
      </c>
    </row>
    <row r="454">
      <c r="A454" s="102"/>
      <c r="B454" s="43" t="str">
        <f t="shared" si="2"/>
        <v/>
      </c>
      <c r="C454" s="102"/>
      <c r="D454" s="51"/>
      <c r="E454" s="102"/>
      <c r="F454" s="102"/>
      <c r="G454" s="103"/>
      <c r="K454" s="103"/>
      <c r="L454" s="113"/>
      <c r="M454" s="107"/>
      <c r="N454" s="106" t="str">
        <f>IF(ISBLANK(L454), "", VLOOKUP(D454, 'Info Tipo de Cambio y REM'!$A$24:$B$35, 2, FALSE))</f>
        <v/>
      </c>
      <c r="O454" s="107" t="str">
        <f t="shared" si="1"/>
        <v/>
      </c>
    </row>
    <row r="455">
      <c r="A455" s="102"/>
      <c r="B455" s="43" t="str">
        <f t="shared" si="2"/>
        <v/>
      </c>
      <c r="C455" s="102"/>
      <c r="D455" s="51"/>
      <c r="E455" s="102"/>
      <c r="F455" s="102"/>
      <c r="G455" s="103"/>
      <c r="K455" s="103"/>
      <c r="L455" s="113"/>
      <c r="M455" s="107"/>
      <c r="N455" s="106" t="str">
        <f>IF(ISBLANK(L455), "", VLOOKUP(D455, 'Info Tipo de Cambio y REM'!$A$24:$B$35, 2, FALSE))</f>
        <v/>
      </c>
      <c r="O455" s="107" t="str">
        <f t="shared" si="1"/>
        <v/>
      </c>
    </row>
    <row r="456">
      <c r="A456" s="102"/>
      <c r="B456" s="43" t="str">
        <f t="shared" si="2"/>
        <v/>
      </c>
      <c r="C456" s="102"/>
      <c r="D456" s="51"/>
      <c r="E456" s="102"/>
      <c r="F456" s="102"/>
      <c r="G456" s="103"/>
      <c r="K456" s="103"/>
      <c r="L456" s="113"/>
      <c r="M456" s="107"/>
      <c r="N456" s="106" t="str">
        <f>IF(ISBLANK(L456), "", VLOOKUP(D456, 'Info Tipo de Cambio y REM'!$A$24:$B$35, 2, FALSE))</f>
        <v/>
      </c>
      <c r="O456" s="107" t="str">
        <f t="shared" si="1"/>
        <v/>
      </c>
    </row>
    <row r="457">
      <c r="A457" s="102"/>
      <c r="B457" s="43" t="str">
        <f t="shared" si="2"/>
        <v/>
      </c>
      <c r="C457" s="102"/>
      <c r="D457" s="51"/>
      <c r="E457" s="102"/>
      <c r="F457" s="102"/>
      <c r="G457" s="103"/>
      <c r="K457" s="103"/>
      <c r="L457" s="113"/>
      <c r="M457" s="107"/>
      <c r="N457" s="106" t="str">
        <f>IF(ISBLANK(L457), "", VLOOKUP(D457, 'Info Tipo de Cambio y REM'!$A$24:$B$35, 2, FALSE))</f>
        <v/>
      </c>
      <c r="O457" s="107" t="str">
        <f t="shared" si="1"/>
        <v/>
      </c>
    </row>
    <row r="458">
      <c r="A458" s="102"/>
      <c r="B458" s="43" t="str">
        <f t="shared" si="2"/>
        <v/>
      </c>
      <c r="C458" s="102"/>
      <c r="D458" s="51"/>
      <c r="E458" s="102"/>
      <c r="F458" s="102"/>
      <c r="G458" s="103"/>
      <c r="K458" s="103"/>
      <c r="L458" s="113"/>
      <c r="M458" s="107"/>
      <c r="N458" s="106" t="str">
        <f>IF(ISBLANK(L458), "", VLOOKUP(D458, 'Info Tipo de Cambio y REM'!$A$24:$B$35, 2, FALSE))</f>
        <v/>
      </c>
      <c r="O458" s="107" t="str">
        <f t="shared" si="1"/>
        <v/>
      </c>
    </row>
    <row r="459">
      <c r="A459" s="102"/>
      <c r="B459" s="43" t="str">
        <f t="shared" si="2"/>
        <v/>
      </c>
      <c r="C459" s="102"/>
      <c r="D459" s="51"/>
      <c r="E459" s="102"/>
      <c r="F459" s="102"/>
      <c r="G459" s="103"/>
      <c r="K459" s="103"/>
      <c r="L459" s="113"/>
      <c r="M459" s="107"/>
      <c r="N459" s="106" t="str">
        <f>IF(ISBLANK(L459), "", VLOOKUP(D459, 'Info Tipo de Cambio y REM'!$A$24:$B$35, 2, FALSE))</f>
        <v/>
      </c>
      <c r="O459" s="107" t="str">
        <f t="shared" si="1"/>
        <v/>
      </c>
    </row>
    <row r="460">
      <c r="A460" s="102"/>
      <c r="B460" s="43" t="str">
        <f t="shared" si="2"/>
        <v/>
      </c>
      <c r="C460" s="102"/>
      <c r="D460" s="51"/>
      <c r="E460" s="102"/>
      <c r="F460" s="102"/>
      <c r="G460" s="103"/>
      <c r="K460" s="103"/>
      <c r="L460" s="113"/>
      <c r="M460" s="107"/>
      <c r="N460" s="106" t="str">
        <f>IF(ISBLANK(L460), "", VLOOKUP(D460, 'Info Tipo de Cambio y REM'!$A$24:$B$35, 2, FALSE))</f>
        <v/>
      </c>
      <c r="O460" s="107" t="str">
        <f t="shared" si="1"/>
        <v/>
      </c>
    </row>
    <row r="461">
      <c r="A461" s="102"/>
      <c r="B461" s="43" t="str">
        <f t="shared" si="2"/>
        <v/>
      </c>
      <c r="C461" s="102"/>
      <c r="D461" s="51"/>
      <c r="E461" s="102"/>
      <c r="F461" s="102"/>
      <c r="G461" s="103"/>
      <c r="K461" s="103"/>
      <c r="L461" s="113"/>
      <c r="M461" s="107"/>
      <c r="N461" s="106" t="str">
        <f>IF(ISBLANK(L461), "", VLOOKUP(D461, 'Info Tipo de Cambio y REM'!$A$24:$B$35, 2, FALSE))</f>
        <v/>
      </c>
      <c r="O461" s="107" t="str">
        <f t="shared" si="1"/>
        <v/>
      </c>
    </row>
    <row r="462">
      <c r="A462" s="102"/>
      <c r="B462" s="43" t="str">
        <f t="shared" si="2"/>
        <v/>
      </c>
      <c r="C462" s="102"/>
      <c r="D462" s="51"/>
      <c r="E462" s="102"/>
      <c r="F462" s="102"/>
      <c r="G462" s="103"/>
      <c r="K462" s="103"/>
      <c r="L462" s="113"/>
      <c r="M462" s="107"/>
      <c r="N462" s="106" t="str">
        <f>IF(ISBLANK(L462), "", VLOOKUP(D462, 'Info Tipo de Cambio y REM'!$A$24:$B$35, 2, FALSE))</f>
        <v/>
      </c>
      <c r="O462" s="107" t="str">
        <f t="shared" si="1"/>
        <v/>
      </c>
    </row>
    <row r="463">
      <c r="A463" s="102"/>
      <c r="B463" s="43" t="str">
        <f t="shared" si="2"/>
        <v/>
      </c>
      <c r="C463" s="102"/>
      <c r="D463" s="51"/>
      <c r="E463" s="102"/>
      <c r="F463" s="102"/>
      <c r="G463" s="103"/>
      <c r="K463" s="103"/>
      <c r="L463" s="113"/>
      <c r="M463" s="107"/>
      <c r="N463" s="106" t="str">
        <f>IF(ISBLANK(L463), "", VLOOKUP(D463, 'Info Tipo de Cambio y REM'!$A$24:$B$35, 2, FALSE))</f>
        <v/>
      </c>
      <c r="O463" s="107" t="str">
        <f t="shared" si="1"/>
        <v/>
      </c>
    </row>
    <row r="464">
      <c r="A464" s="102"/>
      <c r="B464" s="43" t="str">
        <f t="shared" si="2"/>
        <v/>
      </c>
      <c r="C464" s="102"/>
      <c r="D464" s="51"/>
      <c r="E464" s="102"/>
      <c r="F464" s="102"/>
      <c r="G464" s="103"/>
      <c r="K464" s="103"/>
      <c r="L464" s="113"/>
      <c r="M464" s="107"/>
      <c r="N464" s="106" t="str">
        <f>IF(ISBLANK(L464), "", VLOOKUP(D464, 'Info Tipo de Cambio y REM'!$A$24:$B$35, 2, FALSE))</f>
        <v/>
      </c>
      <c r="O464" s="107" t="str">
        <f t="shared" si="1"/>
        <v/>
      </c>
    </row>
    <row r="465">
      <c r="A465" s="102"/>
      <c r="B465" s="43" t="str">
        <f t="shared" si="2"/>
        <v/>
      </c>
      <c r="C465" s="102"/>
      <c r="D465" s="51"/>
      <c r="E465" s="102"/>
      <c r="F465" s="102"/>
      <c r="G465" s="103"/>
      <c r="K465" s="103"/>
      <c r="L465" s="113"/>
      <c r="M465" s="107"/>
      <c r="N465" s="106" t="str">
        <f>IF(ISBLANK(L465), "", VLOOKUP(D465, 'Info Tipo de Cambio y REM'!$A$24:$B$35, 2, FALSE))</f>
        <v/>
      </c>
      <c r="O465" s="107" t="str">
        <f t="shared" si="1"/>
        <v/>
      </c>
    </row>
    <row r="466">
      <c r="A466" s="102"/>
      <c r="B466" s="43" t="str">
        <f t="shared" si="2"/>
        <v/>
      </c>
      <c r="C466" s="102"/>
      <c r="D466" s="51"/>
      <c r="E466" s="102"/>
      <c r="F466" s="102"/>
      <c r="G466" s="103"/>
      <c r="K466" s="103"/>
      <c r="L466" s="113"/>
      <c r="M466" s="107"/>
      <c r="N466" s="106" t="str">
        <f>IF(ISBLANK(L466), "", VLOOKUP(D466, 'Info Tipo de Cambio y REM'!$A$24:$B$35, 2, FALSE))</f>
        <v/>
      </c>
      <c r="O466" s="107" t="str">
        <f t="shared" si="1"/>
        <v/>
      </c>
    </row>
    <row r="467">
      <c r="A467" s="102"/>
      <c r="B467" s="43" t="str">
        <f t="shared" si="2"/>
        <v/>
      </c>
      <c r="C467" s="102"/>
      <c r="D467" s="51"/>
      <c r="E467" s="102"/>
      <c r="F467" s="102"/>
      <c r="G467" s="103"/>
      <c r="K467" s="103"/>
      <c r="L467" s="113"/>
      <c r="M467" s="107"/>
      <c r="N467" s="106" t="str">
        <f>IF(ISBLANK(L467), "", VLOOKUP(D467, 'Info Tipo de Cambio y REM'!$A$24:$B$35, 2, FALSE))</f>
        <v/>
      </c>
      <c r="O467" s="107" t="str">
        <f t="shared" si="1"/>
        <v/>
      </c>
    </row>
    <row r="468">
      <c r="A468" s="102"/>
      <c r="B468" s="43" t="str">
        <f t="shared" si="2"/>
        <v/>
      </c>
      <c r="C468" s="102"/>
      <c r="D468" s="51"/>
      <c r="E468" s="102"/>
      <c r="F468" s="102"/>
      <c r="G468" s="103"/>
      <c r="K468" s="103"/>
      <c r="L468" s="113"/>
      <c r="M468" s="107"/>
      <c r="N468" s="106" t="str">
        <f>IF(ISBLANK(L468), "", VLOOKUP(D468, 'Info Tipo de Cambio y REM'!$A$24:$B$35, 2, FALSE))</f>
        <v/>
      </c>
      <c r="O468" s="107" t="str">
        <f t="shared" si="1"/>
        <v/>
      </c>
    </row>
    <row r="469">
      <c r="A469" s="102"/>
      <c r="B469" s="43" t="str">
        <f t="shared" si="2"/>
        <v/>
      </c>
      <c r="C469" s="102"/>
      <c r="D469" s="51"/>
      <c r="E469" s="102"/>
      <c r="F469" s="102"/>
      <c r="G469" s="103"/>
      <c r="K469" s="103"/>
      <c r="L469" s="113"/>
      <c r="M469" s="107"/>
      <c r="N469" s="106" t="str">
        <f>IF(ISBLANK(L469), "", VLOOKUP(D469, 'Info Tipo de Cambio y REM'!$A$24:$B$35, 2, FALSE))</f>
        <v/>
      </c>
      <c r="O469" s="107" t="str">
        <f t="shared" si="1"/>
        <v/>
      </c>
    </row>
    <row r="470">
      <c r="A470" s="102"/>
      <c r="B470" s="43" t="str">
        <f t="shared" si="2"/>
        <v/>
      </c>
      <c r="C470" s="102"/>
      <c r="D470" s="51"/>
      <c r="E470" s="102"/>
      <c r="F470" s="102"/>
      <c r="G470" s="103"/>
      <c r="K470" s="103"/>
      <c r="L470" s="113"/>
      <c r="M470" s="107"/>
      <c r="N470" s="106" t="str">
        <f>IF(ISBLANK(L470), "", VLOOKUP(D470, 'Info Tipo de Cambio y REM'!$A$24:$B$35, 2, FALSE))</f>
        <v/>
      </c>
      <c r="O470" s="107" t="str">
        <f t="shared" si="1"/>
        <v/>
      </c>
    </row>
    <row r="471">
      <c r="A471" s="102"/>
      <c r="B471" s="43" t="str">
        <f t="shared" si="2"/>
        <v/>
      </c>
      <c r="C471" s="102"/>
      <c r="D471" s="51"/>
      <c r="E471" s="102"/>
      <c r="F471" s="102"/>
      <c r="G471" s="103"/>
      <c r="K471" s="103"/>
      <c r="L471" s="113"/>
      <c r="M471" s="107"/>
      <c r="N471" s="106" t="str">
        <f>IF(ISBLANK(L471), "", VLOOKUP(D471, 'Info Tipo de Cambio y REM'!$A$24:$B$35, 2, FALSE))</f>
        <v/>
      </c>
      <c r="O471" s="107" t="str">
        <f t="shared" si="1"/>
        <v/>
      </c>
    </row>
    <row r="472">
      <c r="A472" s="102"/>
      <c r="B472" s="43" t="str">
        <f t="shared" si="2"/>
        <v/>
      </c>
      <c r="C472" s="102"/>
      <c r="D472" s="51"/>
      <c r="E472" s="102"/>
      <c r="F472" s="102"/>
      <c r="G472" s="103"/>
      <c r="K472" s="103"/>
      <c r="L472" s="113"/>
      <c r="M472" s="107"/>
      <c r="N472" s="106" t="str">
        <f>IF(ISBLANK(L472), "", VLOOKUP(D472, 'Info Tipo de Cambio y REM'!$A$24:$B$35, 2, FALSE))</f>
        <v/>
      </c>
      <c r="O472" s="107" t="str">
        <f t="shared" si="1"/>
        <v/>
      </c>
    </row>
    <row r="473">
      <c r="A473" s="102"/>
      <c r="B473" s="43" t="str">
        <f t="shared" si="2"/>
        <v/>
      </c>
      <c r="C473" s="102"/>
      <c r="D473" s="51"/>
      <c r="E473" s="102"/>
      <c r="F473" s="102"/>
      <c r="G473" s="103"/>
      <c r="K473" s="103"/>
      <c r="L473" s="113"/>
      <c r="M473" s="107"/>
      <c r="N473" s="106" t="str">
        <f>IF(ISBLANK(L473), "", VLOOKUP(D473, 'Info Tipo de Cambio y REM'!$A$24:$B$35, 2, FALSE))</f>
        <v/>
      </c>
      <c r="O473" s="107" t="str">
        <f t="shared" si="1"/>
        <v/>
      </c>
    </row>
    <row r="474">
      <c r="A474" s="102"/>
      <c r="B474" s="43" t="str">
        <f t="shared" si="2"/>
        <v/>
      </c>
      <c r="C474" s="102"/>
      <c r="D474" s="51"/>
      <c r="E474" s="102"/>
      <c r="F474" s="102"/>
      <c r="G474" s="103"/>
      <c r="K474" s="103"/>
      <c r="L474" s="113"/>
      <c r="M474" s="107"/>
      <c r="N474" s="106" t="str">
        <f>IF(ISBLANK(L474), "", VLOOKUP(D474, 'Info Tipo de Cambio y REM'!$A$24:$B$35, 2, FALSE))</f>
        <v/>
      </c>
      <c r="O474" s="107" t="str">
        <f t="shared" si="1"/>
        <v/>
      </c>
    </row>
    <row r="475">
      <c r="A475" s="102"/>
      <c r="B475" s="43" t="str">
        <f t="shared" si="2"/>
        <v/>
      </c>
      <c r="C475" s="102"/>
      <c r="D475" s="51"/>
      <c r="E475" s="102"/>
      <c r="F475" s="102"/>
      <c r="G475" s="103"/>
      <c r="K475" s="103"/>
      <c r="L475" s="113"/>
      <c r="M475" s="107"/>
      <c r="N475" s="106" t="str">
        <f>IF(ISBLANK(L475), "", VLOOKUP(D475, 'Info Tipo de Cambio y REM'!$A$24:$B$35, 2, FALSE))</f>
        <v/>
      </c>
      <c r="O475" s="107" t="str">
        <f t="shared" si="1"/>
        <v/>
      </c>
    </row>
    <row r="476">
      <c r="A476" s="102"/>
      <c r="B476" s="43" t="str">
        <f t="shared" si="2"/>
        <v/>
      </c>
      <c r="C476" s="102"/>
      <c r="D476" s="51"/>
      <c r="E476" s="102"/>
      <c r="F476" s="102"/>
      <c r="G476" s="103"/>
      <c r="K476" s="103"/>
      <c r="L476" s="113"/>
      <c r="M476" s="107"/>
      <c r="N476" s="106" t="str">
        <f>IF(ISBLANK(L476), "", VLOOKUP(D476, 'Info Tipo de Cambio y REM'!$A$24:$B$35, 2, FALSE))</f>
        <v/>
      </c>
      <c r="O476" s="107" t="str">
        <f t="shared" si="1"/>
        <v/>
      </c>
    </row>
    <row r="477">
      <c r="A477" s="102"/>
      <c r="B477" s="43" t="str">
        <f t="shared" si="2"/>
        <v/>
      </c>
      <c r="C477" s="102"/>
      <c r="D477" s="51"/>
      <c r="E477" s="102"/>
      <c r="F477" s="102"/>
      <c r="G477" s="103"/>
      <c r="K477" s="103"/>
      <c r="L477" s="113"/>
      <c r="M477" s="107"/>
      <c r="N477" s="106" t="str">
        <f>IF(ISBLANK(L477), "", VLOOKUP(D477, 'Info Tipo de Cambio y REM'!$A$24:$B$35, 2, FALSE))</f>
        <v/>
      </c>
      <c r="O477" s="107" t="str">
        <f t="shared" si="1"/>
        <v/>
      </c>
    </row>
    <row r="478">
      <c r="A478" s="102"/>
      <c r="B478" s="43" t="str">
        <f t="shared" si="2"/>
        <v/>
      </c>
      <c r="C478" s="102"/>
      <c r="D478" s="51"/>
      <c r="E478" s="102"/>
      <c r="F478" s="102"/>
      <c r="G478" s="103"/>
      <c r="K478" s="103"/>
      <c r="L478" s="113"/>
      <c r="M478" s="107"/>
      <c r="N478" s="106" t="str">
        <f>IF(ISBLANK(L478), "", VLOOKUP(D478, 'Info Tipo de Cambio y REM'!$A$24:$B$35, 2, FALSE))</f>
        <v/>
      </c>
      <c r="O478" s="107" t="str">
        <f t="shared" si="1"/>
        <v/>
      </c>
    </row>
    <row r="479">
      <c r="A479" s="102"/>
      <c r="B479" s="43" t="str">
        <f t="shared" si="2"/>
        <v/>
      </c>
      <c r="C479" s="102"/>
      <c r="D479" s="51"/>
      <c r="E479" s="102"/>
      <c r="F479" s="102"/>
      <c r="G479" s="103"/>
      <c r="K479" s="103"/>
      <c r="L479" s="113"/>
      <c r="M479" s="107"/>
      <c r="N479" s="106" t="str">
        <f>IF(ISBLANK(L479), "", VLOOKUP(D479, 'Info Tipo de Cambio y REM'!$A$24:$B$35, 2, FALSE))</f>
        <v/>
      </c>
      <c r="O479" s="107" t="str">
        <f t="shared" si="1"/>
        <v/>
      </c>
    </row>
    <row r="480">
      <c r="A480" s="102"/>
      <c r="B480" s="43" t="str">
        <f t="shared" si="2"/>
        <v/>
      </c>
      <c r="C480" s="102"/>
      <c r="D480" s="51"/>
      <c r="E480" s="102"/>
      <c r="F480" s="102"/>
      <c r="G480" s="103"/>
      <c r="K480" s="103"/>
      <c r="L480" s="113"/>
      <c r="M480" s="107"/>
      <c r="N480" s="106" t="str">
        <f>IF(ISBLANK(L480), "", VLOOKUP(D480, 'Info Tipo de Cambio y REM'!$A$24:$B$35, 2, FALSE))</f>
        <v/>
      </c>
      <c r="O480" s="107" t="str">
        <f t="shared" si="1"/>
        <v/>
      </c>
    </row>
    <row r="481">
      <c r="A481" s="102"/>
      <c r="B481" s="43" t="str">
        <f t="shared" si="2"/>
        <v/>
      </c>
      <c r="C481" s="102"/>
      <c r="D481" s="51"/>
      <c r="E481" s="102"/>
      <c r="F481" s="102"/>
      <c r="G481" s="103"/>
      <c r="K481" s="103"/>
      <c r="L481" s="113"/>
      <c r="M481" s="107"/>
      <c r="N481" s="106" t="str">
        <f>IF(ISBLANK(L481), "", VLOOKUP(D481, 'Info Tipo de Cambio y REM'!$A$24:$B$35, 2, FALSE))</f>
        <v/>
      </c>
      <c r="O481" s="107" t="str">
        <f t="shared" si="1"/>
        <v/>
      </c>
    </row>
    <row r="482">
      <c r="A482" s="102"/>
      <c r="B482" s="43" t="str">
        <f t="shared" si="2"/>
        <v/>
      </c>
      <c r="C482" s="102"/>
      <c r="D482" s="51"/>
      <c r="E482" s="102"/>
      <c r="F482" s="102"/>
      <c r="G482" s="103"/>
      <c r="K482" s="103"/>
      <c r="L482" s="113"/>
      <c r="M482" s="107"/>
      <c r="N482" s="106" t="str">
        <f>IF(ISBLANK(L482), "", VLOOKUP(D482, 'Info Tipo de Cambio y REM'!$A$24:$B$35, 2, FALSE))</f>
        <v/>
      </c>
      <c r="O482" s="107" t="str">
        <f t="shared" si="1"/>
        <v/>
      </c>
    </row>
    <row r="483">
      <c r="A483" s="102"/>
      <c r="B483" s="43" t="str">
        <f t="shared" si="2"/>
        <v/>
      </c>
      <c r="C483" s="102"/>
      <c r="D483" s="51"/>
      <c r="E483" s="102"/>
      <c r="F483" s="102"/>
      <c r="G483" s="103"/>
      <c r="K483" s="103"/>
      <c r="L483" s="113"/>
      <c r="M483" s="107"/>
      <c r="N483" s="106" t="str">
        <f>IF(ISBLANK(L483), "", VLOOKUP(D483, 'Info Tipo de Cambio y REM'!$A$24:$B$35, 2, FALSE))</f>
        <v/>
      </c>
      <c r="O483" s="107" t="str">
        <f t="shared" si="1"/>
        <v/>
      </c>
    </row>
    <row r="484">
      <c r="A484" s="102"/>
      <c r="B484" s="102"/>
      <c r="C484" s="102"/>
      <c r="D484" s="51"/>
      <c r="E484" s="102"/>
      <c r="F484" s="102"/>
      <c r="G484" s="103"/>
      <c r="K484" s="103"/>
      <c r="L484" s="113"/>
      <c r="M484" s="107"/>
      <c r="N484" s="106" t="str">
        <f>IF(ISBLANK(L484), "", VLOOKUP(D484, 'Info Tipo de Cambio y REM'!$A$24:$B$35, 2, FALSE))</f>
        <v/>
      </c>
      <c r="O484" s="107" t="str">
        <f t="shared" si="1"/>
        <v/>
      </c>
    </row>
    <row r="485">
      <c r="A485" s="102"/>
      <c r="B485" s="102"/>
      <c r="C485" s="102"/>
      <c r="D485" s="51"/>
      <c r="E485" s="102"/>
      <c r="F485" s="102"/>
      <c r="G485" s="103"/>
      <c r="K485" s="103"/>
      <c r="L485" s="113"/>
      <c r="M485" s="107"/>
      <c r="N485" s="106" t="str">
        <f>IF(ISBLANK(L485), "", VLOOKUP(D485, 'Info Tipo de Cambio y REM'!$A$24:$B$35, 2, FALSE))</f>
        <v/>
      </c>
      <c r="O485" s="107" t="str">
        <f t="shared" si="1"/>
        <v/>
      </c>
    </row>
    <row r="486">
      <c r="A486" s="102"/>
      <c r="B486" s="102"/>
      <c r="C486" s="102"/>
      <c r="D486" s="51"/>
      <c r="E486" s="102"/>
      <c r="F486" s="102"/>
      <c r="G486" s="103"/>
      <c r="K486" s="103"/>
      <c r="L486" s="113"/>
      <c r="M486" s="107"/>
      <c r="N486" s="106" t="str">
        <f>IF(ISBLANK(L486), "", VLOOKUP(D486, 'Info Tipo de Cambio y REM'!$A$24:$B$35, 2, FALSE))</f>
        <v/>
      </c>
      <c r="O486" s="107" t="str">
        <f t="shared" si="1"/>
        <v/>
      </c>
    </row>
    <row r="487">
      <c r="A487" s="102"/>
      <c r="B487" s="102"/>
      <c r="C487" s="102"/>
      <c r="D487" s="51"/>
      <c r="E487" s="102"/>
      <c r="F487" s="102"/>
      <c r="G487" s="103"/>
      <c r="K487" s="103"/>
      <c r="L487" s="113"/>
      <c r="M487" s="107"/>
      <c r="N487" s="106" t="str">
        <f>IF(ISBLANK(L487), "", VLOOKUP(D487, 'Info Tipo de Cambio y REM'!$A$24:$B$35, 2, FALSE))</f>
        <v/>
      </c>
      <c r="O487" s="107" t="str">
        <f t="shared" si="1"/>
        <v/>
      </c>
    </row>
    <row r="488">
      <c r="A488" s="102"/>
      <c r="B488" s="102"/>
      <c r="C488" s="102"/>
      <c r="D488" s="51"/>
      <c r="E488" s="102"/>
      <c r="F488" s="102"/>
      <c r="G488" s="103"/>
      <c r="K488" s="103"/>
      <c r="L488" s="113"/>
      <c r="M488" s="107"/>
      <c r="N488" s="106" t="str">
        <f>IF(ISBLANK(L488), "", VLOOKUP(D488, 'Info Tipo de Cambio y REM'!$A$24:$B$35, 2, FALSE))</f>
        <v/>
      </c>
      <c r="O488" s="107" t="str">
        <f t="shared" si="1"/>
        <v/>
      </c>
    </row>
    <row r="489">
      <c r="A489" s="102"/>
      <c r="B489" s="102"/>
      <c r="C489" s="102"/>
      <c r="D489" s="51"/>
      <c r="E489" s="102"/>
      <c r="F489" s="102"/>
      <c r="G489" s="103"/>
      <c r="K489" s="103"/>
      <c r="L489" s="113"/>
      <c r="M489" s="107"/>
      <c r="N489" s="106" t="str">
        <f>IF(ISBLANK(L489), "", VLOOKUP(D489, 'Info Tipo de Cambio y REM'!$A$24:$B$35, 2, FALSE))</f>
        <v/>
      </c>
      <c r="O489" s="107" t="str">
        <f t="shared" si="1"/>
        <v/>
      </c>
    </row>
    <row r="490">
      <c r="A490" s="102"/>
      <c r="B490" s="102"/>
      <c r="C490" s="102"/>
      <c r="D490" s="51"/>
      <c r="E490" s="102"/>
      <c r="F490" s="102"/>
      <c r="G490" s="103"/>
      <c r="K490" s="103"/>
      <c r="L490" s="113"/>
      <c r="M490" s="107"/>
      <c r="N490" s="106" t="str">
        <f>IF(ISBLANK(L490), "", VLOOKUP(D490, 'Info Tipo de Cambio y REM'!$A$24:$B$35, 2, FALSE))</f>
        <v/>
      </c>
      <c r="O490" s="107" t="str">
        <f t="shared" si="1"/>
        <v/>
      </c>
    </row>
    <row r="491">
      <c r="A491" s="102"/>
      <c r="B491" s="102"/>
      <c r="C491" s="102"/>
      <c r="D491" s="51"/>
      <c r="E491" s="102"/>
      <c r="F491" s="102"/>
      <c r="G491" s="103"/>
      <c r="K491" s="103"/>
      <c r="L491" s="113"/>
      <c r="M491" s="107"/>
      <c r="N491" s="106" t="str">
        <f>IF(ISBLANK(L491), "", VLOOKUP(D491, 'Info Tipo de Cambio y REM'!$A$24:$B$35, 2, FALSE))</f>
        <v/>
      </c>
      <c r="O491" s="107" t="str">
        <f t="shared" si="1"/>
        <v/>
      </c>
    </row>
    <row r="492">
      <c r="A492" s="102"/>
      <c r="B492" s="102"/>
      <c r="C492" s="102"/>
      <c r="D492" s="51"/>
      <c r="E492" s="102"/>
      <c r="F492" s="102"/>
      <c r="G492" s="103"/>
      <c r="K492" s="103"/>
      <c r="L492" s="113"/>
      <c r="M492" s="107"/>
      <c r="N492" s="106" t="str">
        <f>IF(ISBLANK(L492), "", VLOOKUP(D492, 'Info Tipo de Cambio y REM'!$A$24:$B$35, 2, FALSE))</f>
        <v/>
      </c>
      <c r="O492" s="107" t="str">
        <f t="shared" si="1"/>
        <v/>
      </c>
    </row>
    <row r="493">
      <c r="A493" s="102"/>
      <c r="B493" s="102"/>
      <c r="C493" s="102"/>
      <c r="D493" s="51"/>
      <c r="E493" s="102"/>
      <c r="F493" s="102"/>
      <c r="G493" s="103"/>
      <c r="K493" s="103"/>
      <c r="L493" s="113"/>
      <c r="M493" s="107"/>
      <c r="N493" s="106" t="str">
        <f>IF(ISBLANK(L493), "", VLOOKUP(D493, 'Info Tipo de Cambio y REM'!$A$24:$B$35, 2, FALSE))</f>
        <v/>
      </c>
      <c r="O493" s="107" t="str">
        <f t="shared" si="1"/>
        <v/>
      </c>
    </row>
    <row r="494">
      <c r="A494" s="102"/>
      <c r="B494" s="102"/>
      <c r="C494" s="102"/>
      <c r="D494" s="51"/>
      <c r="E494" s="102"/>
      <c r="F494" s="102"/>
      <c r="G494" s="103"/>
      <c r="K494" s="103"/>
      <c r="L494" s="113"/>
      <c r="M494" s="107"/>
      <c r="N494" s="106" t="str">
        <f>IF(ISBLANK(L494), "", VLOOKUP(D494, 'Info Tipo de Cambio y REM'!$A$24:$B$35, 2, FALSE))</f>
        <v/>
      </c>
      <c r="O494" s="107" t="str">
        <f t="shared" si="1"/>
        <v/>
      </c>
    </row>
    <row r="495">
      <c r="A495" s="102"/>
      <c r="B495" s="102"/>
      <c r="C495" s="102"/>
      <c r="D495" s="51"/>
      <c r="E495" s="102"/>
      <c r="F495" s="102"/>
      <c r="G495" s="103"/>
      <c r="K495" s="103"/>
      <c r="L495" s="113"/>
      <c r="M495" s="107"/>
      <c r="N495" s="106" t="str">
        <f>IF(ISBLANK(L495), "", VLOOKUP(D495, 'Info Tipo de Cambio y REM'!$A$24:$B$35, 2, FALSE))</f>
        <v/>
      </c>
      <c r="O495" s="107" t="str">
        <f t="shared" si="1"/>
        <v/>
      </c>
    </row>
    <row r="496">
      <c r="A496" s="102"/>
      <c r="B496" s="102"/>
      <c r="C496" s="102"/>
      <c r="D496" s="51"/>
      <c r="E496" s="102"/>
      <c r="F496" s="102"/>
      <c r="G496" s="103"/>
      <c r="K496" s="103"/>
      <c r="L496" s="113"/>
      <c r="M496" s="107"/>
      <c r="N496" s="106" t="str">
        <f>IF(ISBLANK(L496), "", VLOOKUP(D496, 'Info Tipo de Cambio y REM'!$A$24:$B$35, 2, FALSE))</f>
        <v/>
      </c>
      <c r="O496" s="107" t="str">
        <f t="shared" si="1"/>
        <v/>
      </c>
    </row>
    <row r="497">
      <c r="A497" s="102"/>
      <c r="B497" s="102"/>
      <c r="C497" s="102"/>
      <c r="D497" s="51"/>
      <c r="E497" s="102"/>
      <c r="F497" s="102"/>
      <c r="G497" s="103"/>
      <c r="K497" s="103"/>
      <c r="L497" s="113"/>
      <c r="M497" s="107"/>
      <c r="N497" s="106" t="str">
        <f>IF(ISBLANK(L497), "", VLOOKUP(D497, 'Info Tipo de Cambio y REM'!$A$24:$B$35, 2, FALSE))</f>
        <v/>
      </c>
      <c r="O497" s="107" t="str">
        <f t="shared" si="1"/>
        <v/>
      </c>
    </row>
    <row r="498">
      <c r="A498" s="102"/>
      <c r="B498" s="102"/>
      <c r="C498" s="102"/>
      <c r="D498" s="51"/>
      <c r="E498" s="102"/>
      <c r="F498" s="102"/>
      <c r="G498" s="103"/>
      <c r="K498" s="103"/>
      <c r="L498" s="113"/>
      <c r="M498" s="107"/>
      <c r="N498" s="106" t="str">
        <f>IF(ISBLANK(L498), "", VLOOKUP(D498, 'Info Tipo de Cambio y REM'!$A$24:$B$35, 2, FALSE))</f>
        <v/>
      </c>
      <c r="O498" s="107" t="str">
        <f t="shared" si="1"/>
        <v/>
      </c>
    </row>
    <row r="499">
      <c r="A499" s="102"/>
      <c r="B499" s="102"/>
      <c r="C499" s="102"/>
      <c r="D499" s="51"/>
      <c r="E499" s="102"/>
      <c r="F499" s="102"/>
      <c r="G499" s="103"/>
      <c r="K499" s="103"/>
      <c r="L499" s="113"/>
      <c r="M499" s="107"/>
      <c r="N499" s="106" t="str">
        <f>IF(ISBLANK(L499), "", VLOOKUP(D499, 'Info Tipo de Cambio y REM'!$A$24:$B$35, 2, FALSE))</f>
        <v/>
      </c>
      <c r="O499" s="107" t="str">
        <f t="shared" si="1"/>
        <v/>
      </c>
    </row>
    <row r="500">
      <c r="A500" s="102"/>
      <c r="B500" s="102"/>
      <c r="C500" s="102"/>
      <c r="D500" s="51"/>
      <c r="E500" s="102"/>
      <c r="F500" s="102"/>
      <c r="G500" s="103"/>
      <c r="K500" s="103"/>
      <c r="L500" s="113"/>
      <c r="M500" s="107"/>
      <c r="N500" s="106" t="str">
        <f>IF(ISBLANK(L500), "", VLOOKUP(D500, 'Info Tipo de Cambio y REM'!$A$24:$B$35, 2, FALSE))</f>
        <v/>
      </c>
      <c r="O500" s="107" t="str">
        <f t="shared" si="1"/>
        <v/>
      </c>
    </row>
    <row r="501">
      <c r="A501" s="102"/>
      <c r="B501" s="102"/>
      <c r="C501" s="102"/>
      <c r="D501" s="51"/>
      <c r="E501" s="102"/>
      <c r="F501" s="102"/>
      <c r="G501" s="103"/>
      <c r="K501" s="103"/>
      <c r="L501" s="113"/>
      <c r="M501" s="107"/>
      <c r="N501" s="106" t="str">
        <f>IF(ISBLANK(L501), "", VLOOKUP(D501, 'Info Tipo de Cambio y REM'!$A$24:$B$35, 2, FALSE))</f>
        <v/>
      </c>
      <c r="O501" s="107" t="str">
        <f t="shared" si="1"/>
        <v/>
      </c>
    </row>
    <row r="502">
      <c r="A502" s="102"/>
      <c r="B502" s="102"/>
      <c r="C502" s="102"/>
      <c r="D502" s="51"/>
      <c r="E502" s="102"/>
      <c r="F502" s="102"/>
      <c r="G502" s="103"/>
      <c r="K502" s="103"/>
      <c r="L502" s="113"/>
      <c r="M502" s="107"/>
      <c r="N502" s="106" t="str">
        <f>IF(ISBLANK(L502), "", VLOOKUP(D502, 'Info Tipo de Cambio y REM'!$A$24:$B$35, 2, FALSE))</f>
        <v/>
      </c>
      <c r="O502" s="107" t="str">
        <f t="shared" si="1"/>
        <v/>
      </c>
    </row>
    <row r="503">
      <c r="A503" s="102"/>
      <c r="B503" s="102"/>
      <c r="C503" s="102"/>
      <c r="D503" s="51"/>
      <c r="E503" s="102"/>
      <c r="F503" s="102"/>
      <c r="G503" s="103"/>
      <c r="K503" s="103"/>
      <c r="L503" s="113"/>
      <c r="M503" s="107"/>
      <c r="N503" s="106" t="str">
        <f>IF(ISBLANK(L503), "", VLOOKUP(D503, 'Info Tipo de Cambio y REM'!$A$24:$B$35, 2, FALSE))</f>
        <v/>
      </c>
      <c r="O503" s="107" t="str">
        <f t="shared" si="1"/>
        <v/>
      </c>
    </row>
    <row r="504">
      <c r="A504" s="102"/>
      <c r="B504" s="102"/>
      <c r="C504" s="102"/>
      <c r="D504" s="51"/>
      <c r="E504" s="102"/>
      <c r="F504" s="102"/>
      <c r="G504" s="103"/>
      <c r="K504" s="103"/>
      <c r="L504" s="113"/>
      <c r="M504" s="107"/>
      <c r="N504" s="106" t="str">
        <f>IF(ISBLANK(L504), "", VLOOKUP(D504, 'Info Tipo de Cambio y REM'!$A$24:$B$35, 2, FALSE))</f>
        <v/>
      </c>
      <c r="O504" s="107" t="str">
        <f t="shared" si="1"/>
        <v/>
      </c>
    </row>
    <row r="505">
      <c r="A505" s="102"/>
      <c r="B505" s="102"/>
      <c r="C505" s="102"/>
      <c r="D505" s="51"/>
      <c r="E505" s="102"/>
      <c r="F505" s="102"/>
      <c r="G505" s="103"/>
      <c r="K505" s="103"/>
      <c r="L505" s="113"/>
      <c r="M505" s="107"/>
      <c r="N505" s="106" t="str">
        <f>IF(ISBLANK(L505), "", VLOOKUP(D505, 'Info Tipo de Cambio y REM'!$A$24:$B$35, 2, FALSE))</f>
        <v/>
      </c>
      <c r="O505" s="107" t="str">
        <f t="shared" si="1"/>
        <v/>
      </c>
    </row>
    <row r="506">
      <c r="A506" s="102"/>
      <c r="B506" s="102"/>
      <c r="C506" s="102"/>
      <c r="D506" s="51"/>
      <c r="E506" s="102"/>
      <c r="F506" s="102"/>
      <c r="G506" s="103"/>
      <c r="K506" s="103"/>
      <c r="L506" s="113"/>
      <c r="M506" s="107"/>
      <c r="N506" s="106" t="str">
        <f>IF(ISBLANK(L506), "", VLOOKUP(D506, 'Info Tipo de Cambio y REM'!$A$24:$B$35, 2, FALSE))</f>
        <v/>
      </c>
      <c r="O506" s="107" t="str">
        <f t="shared" si="1"/>
        <v/>
      </c>
    </row>
    <row r="507">
      <c r="A507" s="102"/>
      <c r="B507" s="102"/>
      <c r="C507" s="102"/>
      <c r="D507" s="51"/>
      <c r="E507" s="102"/>
      <c r="F507" s="102"/>
      <c r="G507" s="103"/>
      <c r="K507" s="103"/>
      <c r="L507" s="113"/>
      <c r="M507" s="107"/>
      <c r="N507" s="106" t="str">
        <f>IF(ISBLANK(L507), "", VLOOKUP(D507, 'Info Tipo de Cambio y REM'!$A$24:$B$35, 2, FALSE))</f>
        <v/>
      </c>
      <c r="O507" s="107" t="str">
        <f t="shared" si="1"/>
        <v/>
      </c>
    </row>
    <row r="508">
      <c r="A508" s="102"/>
      <c r="B508" s="102"/>
      <c r="C508" s="102"/>
      <c r="D508" s="51"/>
      <c r="E508" s="102"/>
      <c r="F508" s="102"/>
      <c r="G508" s="103"/>
      <c r="K508" s="103"/>
      <c r="L508" s="113"/>
      <c r="M508" s="107"/>
      <c r="N508" s="106" t="str">
        <f>IF(ISBLANK(L508), "", VLOOKUP(D508, 'Info Tipo de Cambio y REM'!$A$24:$B$35, 2, FALSE))</f>
        <v/>
      </c>
      <c r="O508" s="107" t="str">
        <f t="shared" si="1"/>
        <v/>
      </c>
    </row>
    <row r="509">
      <c r="A509" s="102"/>
      <c r="B509" s="102"/>
      <c r="C509" s="102"/>
      <c r="D509" s="51"/>
      <c r="E509" s="102"/>
      <c r="F509" s="102"/>
      <c r="G509" s="103"/>
      <c r="K509" s="103"/>
      <c r="L509" s="113"/>
      <c r="M509" s="107"/>
      <c r="N509" s="106" t="str">
        <f>IF(ISBLANK(L509), "", VLOOKUP(D509, 'Info Tipo de Cambio y REM'!$A$24:$B$35, 2, FALSE))</f>
        <v/>
      </c>
      <c r="O509" s="107" t="str">
        <f t="shared" si="1"/>
        <v/>
      </c>
    </row>
    <row r="510">
      <c r="A510" s="102"/>
      <c r="B510" s="102"/>
      <c r="C510" s="102"/>
      <c r="D510" s="51"/>
      <c r="E510" s="102"/>
      <c r="F510" s="102"/>
      <c r="G510" s="103"/>
      <c r="K510" s="103"/>
      <c r="L510" s="113"/>
      <c r="M510" s="107"/>
      <c r="N510" s="106" t="str">
        <f>IF(ISBLANK(L510), "", VLOOKUP(D510, 'Info Tipo de Cambio y REM'!$A$24:$B$35, 2, FALSE))</f>
        <v/>
      </c>
      <c r="O510" s="107" t="str">
        <f t="shared" si="1"/>
        <v/>
      </c>
    </row>
    <row r="511">
      <c r="A511" s="102"/>
      <c r="B511" s="102"/>
      <c r="C511" s="102"/>
      <c r="D511" s="51"/>
      <c r="E511" s="102"/>
      <c r="F511" s="102"/>
      <c r="G511" s="103"/>
      <c r="K511" s="103"/>
      <c r="L511" s="113"/>
      <c r="M511" s="107"/>
      <c r="N511" s="106" t="str">
        <f>IF(ISBLANK(L511), "", VLOOKUP(D511, 'Info Tipo de Cambio y REM'!$A$24:$B$35, 2, FALSE))</f>
        <v/>
      </c>
      <c r="O511" s="107" t="str">
        <f t="shared" si="1"/>
        <v/>
      </c>
    </row>
    <row r="512">
      <c r="A512" s="102"/>
      <c r="B512" s="102"/>
      <c r="C512" s="102"/>
      <c r="D512" s="51"/>
      <c r="E512" s="102"/>
      <c r="F512" s="102"/>
      <c r="G512" s="103"/>
      <c r="K512" s="103"/>
      <c r="L512" s="113"/>
      <c r="M512" s="107"/>
      <c r="N512" s="106" t="str">
        <f>IF(ISBLANK(L512), "", VLOOKUP(D512, 'Info Tipo de Cambio y REM'!$A$24:$B$35, 2, FALSE))</f>
        <v/>
      </c>
      <c r="O512" s="107" t="str">
        <f t="shared" si="1"/>
        <v/>
      </c>
    </row>
    <row r="513">
      <c r="A513" s="102"/>
      <c r="B513" s="102"/>
      <c r="C513" s="102"/>
      <c r="D513" s="51"/>
      <c r="E513" s="102"/>
      <c r="F513" s="102"/>
      <c r="G513" s="103"/>
      <c r="K513" s="103"/>
      <c r="L513" s="113"/>
      <c r="M513" s="107"/>
      <c r="N513" s="106" t="str">
        <f>IF(ISBLANK(L513), "", VLOOKUP(D513, 'Info Tipo de Cambio y REM'!$A$24:$B$35, 2, FALSE))</f>
        <v/>
      </c>
      <c r="O513" s="107" t="str">
        <f t="shared" si="1"/>
        <v/>
      </c>
    </row>
    <row r="514">
      <c r="A514" s="102"/>
      <c r="B514" s="102"/>
      <c r="C514" s="102"/>
      <c r="D514" s="51"/>
      <c r="E514" s="102"/>
      <c r="F514" s="102"/>
      <c r="G514" s="103"/>
      <c r="K514" s="103"/>
      <c r="L514" s="113"/>
      <c r="M514" s="107"/>
      <c r="N514" s="106" t="str">
        <f>IF(ISBLANK(L514), "", VLOOKUP(D514, 'Info Tipo de Cambio y REM'!$A$24:$B$35, 2, FALSE))</f>
        <v/>
      </c>
      <c r="O514" s="107" t="str">
        <f t="shared" si="1"/>
        <v/>
      </c>
    </row>
    <row r="515">
      <c r="A515" s="102"/>
      <c r="B515" s="102"/>
      <c r="C515" s="102"/>
      <c r="D515" s="51"/>
      <c r="E515" s="102"/>
      <c r="F515" s="102"/>
      <c r="G515" s="103"/>
      <c r="K515" s="103"/>
      <c r="L515" s="113"/>
      <c r="M515" s="107"/>
      <c r="N515" s="106" t="str">
        <f>IF(ISBLANK(L515), "", VLOOKUP(D515, 'Info Tipo de Cambio y REM'!$A$24:$B$35, 2, FALSE))</f>
        <v/>
      </c>
      <c r="O515" s="107" t="str">
        <f t="shared" si="1"/>
        <v/>
      </c>
    </row>
    <row r="516">
      <c r="A516" s="102"/>
      <c r="B516" s="102"/>
      <c r="C516" s="102"/>
      <c r="D516" s="51"/>
      <c r="E516" s="102"/>
      <c r="F516" s="102"/>
      <c r="G516" s="103"/>
      <c r="K516" s="103"/>
      <c r="L516" s="113"/>
      <c r="M516" s="107"/>
      <c r="N516" s="106" t="str">
        <f>IF(ISBLANK(L516), "", VLOOKUP(D516, 'Info Tipo de Cambio y REM'!$A$24:$B$35, 2, FALSE))</f>
        <v/>
      </c>
      <c r="O516" s="107" t="str">
        <f t="shared" si="1"/>
        <v/>
      </c>
    </row>
    <row r="517">
      <c r="A517" s="102"/>
      <c r="B517" s="102"/>
      <c r="C517" s="102"/>
      <c r="D517" s="51"/>
      <c r="E517" s="102"/>
      <c r="F517" s="102"/>
      <c r="G517" s="103"/>
      <c r="K517" s="103"/>
      <c r="L517" s="113"/>
      <c r="M517" s="107"/>
      <c r="N517" s="106" t="str">
        <f>IF(ISBLANK(L517), "", VLOOKUP(D517, 'Info Tipo de Cambio y REM'!$A$24:$B$35, 2, FALSE))</f>
        <v/>
      </c>
      <c r="O517" s="107" t="str">
        <f t="shared" si="1"/>
        <v/>
      </c>
    </row>
    <row r="518">
      <c r="A518" s="102"/>
      <c r="B518" s="102"/>
      <c r="C518" s="102"/>
      <c r="D518" s="51"/>
      <c r="E518" s="102"/>
      <c r="F518" s="102"/>
      <c r="G518" s="103"/>
      <c r="K518" s="103"/>
      <c r="L518" s="113"/>
      <c r="M518" s="107"/>
      <c r="N518" s="106" t="str">
        <f>IF(ISBLANK(L518), "", VLOOKUP(D518, 'Info Tipo de Cambio y REM'!$A$24:$B$35, 2, FALSE))</f>
        <v/>
      </c>
      <c r="O518" s="107" t="str">
        <f t="shared" si="1"/>
        <v/>
      </c>
    </row>
    <row r="519">
      <c r="A519" s="102"/>
      <c r="B519" s="102"/>
      <c r="C519" s="102"/>
      <c r="D519" s="51"/>
      <c r="E519" s="102"/>
      <c r="F519" s="102"/>
      <c r="G519" s="103"/>
      <c r="K519" s="103"/>
      <c r="L519" s="113"/>
      <c r="M519" s="107"/>
      <c r="N519" s="106" t="str">
        <f>IF(ISBLANK(L519), "", VLOOKUP(D519, 'Info Tipo de Cambio y REM'!$A$24:$B$35, 2, FALSE))</f>
        <v/>
      </c>
      <c r="O519" s="107" t="str">
        <f t="shared" si="1"/>
        <v/>
      </c>
    </row>
    <row r="520">
      <c r="A520" s="102"/>
      <c r="B520" s="102"/>
      <c r="C520" s="102"/>
      <c r="D520" s="51"/>
      <c r="E520" s="102"/>
      <c r="F520" s="102"/>
      <c r="G520" s="103"/>
      <c r="K520" s="103"/>
      <c r="L520" s="113"/>
      <c r="M520" s="107"/>
      <c r="N520" s="106" t="str">
        <f>IF(ISBLANK(L520), "", VLOOKUP(D520, 'Info Tipo de Cambio y REM'!$A$24:$B$35, 2, FALSE))</f>
        <v/>
      </c>
      <c r="O520" s="107" t="str">
        <f t="shared" si="1"/>
        <v/>
      </c>
    </row>
    <row r="521">
      <c r="A521" s="102"/>
      <c r="B521" s="102"/>
      <c r="C521" s="102"/>
      <c r="D521" s="51"/>
      <c r="E521" s="102"/>
      <c r="F521" s="102"/>
      <c r="G521" s="103"/>
      <c r="K521" s="103"/>
      <c r="L521" s="113"/>
      <c r="M521" s="107"/>
      <c r="N521" s="106" t="str">
        <f>IF(ISBLANK(L521), "", VLOOKUP(D521, 'Info Tipo de Cambio y REM'!$A$24:$B$35, 2, FALSE))</f>
        <v/>
      </c>
      <c r="O521" s="107" t="str">
        <f t="shared" si="1"/>
        <v/>
      </c>
    </row>
    <row r="522">
      <c r="A522" s="102"/>
      <c r="B522" s="102"/>
      <c r="C522" s="102"/>
      <c r="D522" s="51"/>
      <c r="E522" s="102"/>
      <c r="F522" s="102"/>
      <c r="G522" s="103"/>
      <c r="K522" s="103"/>
      <c r="L522" s="113"/>
      <c r="M522" s="107"/>
      <c r="N522" s="106" t="str">
        <f>IF(ISBLANK(L522), "", VLOOKUP(D522, 'Info Tipo de Cambio y REM'!$A$24:$B$35, 2, FALSE))</f>
        <v/>
      </c>
      <c r="O522" s="107" t="str">
        <f t="shared" si="1"/>
        <v/>
      </c>
    </row>
    <row r="523">
      <c r="A523" s="102"/>
      <c r="B523" s="102"/>
      <c r="C523" s="102"/>
      <c r="D523" s="51"/>
      <c r="E523" s="102"/>
      <c r="F523" s="102"/>
      <c r="G523" s="103"/>
      <c r="K523" s="103"/>
      <c r="L523" s="113"/>
      <c r="M523" s="107"/>
      <c r="N523" s="106" t="str">
        <f>IF(ISBLANK(L523), "", VLOOKUP(D523, 'Info Tipo de Cambio y REM'!$A$24:$B$35, 2, FALSE))</f>
        <v/>
      </c>
      <c r="O523" s="107" t="str">
        <f t="shared" si="1"/>
        <v/>
      </c>
    </row>
    <row r="524">
      <c r="A524" s="102"/>
      <c r="B524" s="102"/>
      <c r="C524" s="102"/>
      <c r="D524" s="51"/>
      <c r="E524" s="102"/>
      <c r="F524" s="102"/>
      <c r="G524" s="103"/>
      <c r="K524" s="103"/>
      <c r="L524" s="113"/>
      <c r="M524" s="107"/>
      <c r="N524" s="106" t="str">
        <f>IF(ISBLANK(L524), "", VLOOKUP(D524, 'Info Tipo de Cambio y REM'!$A$24:$B$35, 2, FALSE))</f>
        <v/>
      </c>
      <c r="O524" s="107" t="str">
        <f t="shared" si="1"/>
        <v/>
      </c>
    </row>
    <row r="525">
      <c r="A525" s="102"/>
      <c r="B525" s="102"/>
      <c r="C525" s="102"/>
      <c r="D525" s="51"/>
      <c r="E525" s="102"/>
      <c r="F525" s="102"/>
      <c r="G525" s="103"/>
      <c r="K525" s="103"/>
      <c r="L525" s="113"/>
      <c r="M525" s="107"/>
      <c r="N525" s="106" t="str">
        <f>IF(ISBLANK(L525), "", VLOOKUP(D525, 'Info Tipo de Cambio y REM'!$A$24:$B$35, 2, FALSE))</f>
        <v/>
      </c>
      <c r="O525" s="107" t="str">
        <f t="shared" si="1"/>
        <v/>
      </c>
    </row>
    <row r="526">
      <c r="A526" s="102"/>
      <c r="B526" s="102"/>
      <c r="C526" s="102"/>
      <c r="D526" s="51"/>
      <c r="E526" s="102"/>
      <c r="F526" s="102"/>
      <c r="G526" s="103"/>
      <c r="K526" s="103"/>
      <c r="L526" s="113"/>
      <c r="M526" s="107"/>
      <c r="N526" s="106" t="str">
        <f>IF(ISBLANK(L526), "", VLOOKUP(D526, 'Info Tipo de Cambio y REM'!$A$24:$B$35, 2, FALSE))</f>
        <v/>
      </c>
      <c r="O526" s="107" t="str">
        <f t="shared" si="1"/>
        <v/>
      </c>
    </row>
    <row r="527">
      <c r="A527" s="102"/>
      <c r="B527" s="102"/>
      <c r="C527" s="102"/>
      <c r="D527" s="51"/>
      <c r="E527" s="102"/>
      <c r="F527" s="102"/>
      <c r="G527" s="103"/>
      <c r="K527" s="103"/>
      <c r="L527" s="113"/>
      <c r="M527" s="107"/>
      <c r="N527" s="106" t="str">
        <f>IF(ISBLANK(L527), "", VLOOKUP(D527, 'Info Tipo de Cambio y REM'!$A$24:$B$35, 2, FALSE))</f>
        <v/>
      </c>
      <c r="O527" s="107" t="str">
        <f t="shared" si="1"/>
        <v/>
      </c>
    </row>
    <row r="528">
      <c r="A528" s="102"/>
      <c r="B528" s="102"/>
      <c r="C528" s="102"/>
      <c r="D528" s="51"/>
      <c r="E528" s="102"/>
      <c r="F528" s="102"/>
      <c r="G528" s="103"/>
      <c r="K528" s="103"/>
      <c r="L528" s="113"/>
      <c r="M528" s="107"/>
      <c r="N528" s="106" t="str">
        <f>IF(ISBLANK(L528), "", VLOOKUP(D528, 'Info Tipo de Cambio y REM'!$A$24:$B$35, 2, FALSE))</f>
        <v/>
      </c>
      <c r="O528" s="107" t="str">
        <f t="shared" si="1"/>
        <v/>
      </c>
    </row>
    <row r="529">
      <c r="A529" s="102"/>
      <c r="B529" s="102"/>
      <c r="C529" s="102"/>
      <c r="D529" s="51"/>
      <c r="E529" s="102"/>
      <c r="F529" s="102"/>
      <c r="G529" s="103"/>
      <c r="K529" s="103"/>
      <c r="L529" s="113"/>
      <c r="M529" s="107"/>
      <c r="N529" s="106" t="str">
        <f>IF(ISBLANK(L529), "", VLOOKUP(D529, 'Info Tipo de Cambio y REM'!$A$24:$B$35, 2, FALSE))</f>
        <v/>
      </c>
      <c r="O529" s="107" t="str">
        <f t="shared" si="1"/>
        <v/>
      </c>
    </row>
    <row r="530">
      <c r="A530" s="102"/>
      <c r="B530" s="102"/>
      <c r="C530" s="102"/>
      <c r="D530" s="51"/>
      <c r="E530" s="102"/>
      <c r="F530" s="102"/>
      <c r="G530" s="103"/>
      <c r="K530" s="103"/>
      <c r="L530" s="113"/>
      <c r="M530" s="107"/>
      <c r="N530" s="106" t="str">
        <f>IF(ISBLANK(L530), "", VLOOKUP(D530, 'Info Tipo de Cambio y REM'!$A$24:$B$35, 2, FALSE))</f>
        <v/>
      </c>
      <c r="O530" s="107" t="str">
        <f t="shared" si="1"/>
        <v/>
      </c>
    </row>
    <row r="531">
      <c r="A531" s="102"/>
      <c r="B531" s="102"/>
      <c r="C531" s="102"/>
      <c r="D531" s="51"/>
      <c r="E531" s="102"/>
      <c r="F531" s="102"/>
      <c r="G531" s="103"/>
      <c r="K531" s="103"/>
      <c r="L531" s="113"/>
      <c r="M531" s="107"/>
      <c r="N531" s="106" t="str">
        <f>IF(ISBLANK(L531), "", VLOOKUP(D531, 'Info Tipo de Cambio y REM'!$A$24:$B$35, 2, FALSE))</f>
        <v/>
      </c>
      <c r="O531" s="107" t="str">
        <f t="shared" si="1"/>
        <v/>
      </c>
    </row>
    <row r="532">
      <c r="A532" s="102"/>
      <c r="B532" s="102"/>
      <c r="C532" s="102"/>
      <c r="D532" s="51"/>
      <c r="E532" s="102"/>
      <c r="F532" s="102"/>
      <c r="G532" s="103"/>
      <c r="K532" s="103"/>
      <c r="L532" s="113"/>
      <c r="M532" s="107"/>
      <c r="N532" s="106" t="str">
        <f>IF(ISBLANK(L532), "", VLOOKUP(D532, 'Info Tipo de Cambio y REM'!$A$24:$B$35, 2, FALSE))</f>
        <v/>
      </c>
      <c r="O532" s="107" t="str">
        <f t="shared" si="1"/>
        <v/>
      </c>
    </row>
    <row r="533">
      <c r="A533" s="102"/>
      <c r="B533" s="102"/>
      <c r="C533" s="102"/>
      <c r="D533" s="51"/>
      <c r="E533" s="102"/>
      <c r="F533" s="102"/>
      <c r="G533" s="103"/>
      <c r="K533" s="103"/>
      <c r="L533" s="113"/>
      <c r="M533" s="107"/>
      <c r="N533" s="106" t="str">
        <f>IF(ISBLANK(L533), "", VLOOKUP(D533, 'Info Tipo de Cambio y REM'!$A$24:$B$35, 2, FALSE))</f>
        <v/>
      </c>
      <c r="O533" s="107" t="str">
        <f t="shared" si="1"/>
        <v/>
      </c>
    </row>
    <row r="534">
      <c r="A534" s="102"/>
      <c r="B534" s="102"/>
      <c r="C534" s="102"/>
      <c r="D534" s="51"/>
      <c r="E534" s="102"/>
      <c r="F534" s="102"/>
      <c r="G534" s="103"/>
      <c r="K534" s="103"/>
      <c r="L534" s="113"/>
      <c r="M534" s="107"/>
      <c r="N534" s="106" t="str">
        <f>IF(ISBLANK(L534), "", VLOOKUP(D534, 'Info Tipo de Cambio y REM'!$A$24:$B$35, 2, FALSE))</f>
        <v/>
      </c>
      <c r="O534" s="107" t="str">
        <f t="shared" si="1"/>
        <v/>
      </c>
    </row>
    <row r="535">
      <c r="A535" s="102"/>
      <c r="B535" s="102"/>
      <c r="C535" s="102"/>
      <c r="D535" s="51"/>
      <c r="E535" s="102"/>
      <c r="F535" s="102"/>
      <c r="G535" s="103"/>
      <c r="K535" s="103"/>
      <c r="L535" s="113"/>
      <c r="M535" s="107"/>
      <c r="N535" s="106" t="str">
        <f>IF(ISBLANK(L535), "", VLOOKUP(D535, 'Info Tipo de Cambio y REM'!$A$24:$B$35, 2, FALSE))</f>
        <v/>
      </c>
      <c r="O535" s="107" t="str">
        <f t="shared" si="1"/>
        <v/>
      </c>
    </row>
    <row r="536">
      <c r="A536" s="102"/>
      <c r="B536" s="102"/>
      <c r="C536" s="102"/>
      <c r="D536" s="51"/>
      <c r="E536" s="102"/>
      <c r="F536" s="102"/>
      <c r="G536" s="103"/>
      <c r="K536" s="103"/>
      <c r="L536" s="113"/>
      <c r="M536" s="107"/>
      <c r="N536" s="106" t="str">
        <f>IF(ISBLANK(L536), "", VLOOKUP(D536, 'Info Tipo de Cambio y REM'!$A$24:$B$35, 2, FALSE))</f>
        <v/>
      </c>
      <c r="O536" s="107" t="str">
        <f t="shared" si="1"/>
        <v/>
      </c>
    </row>
    <row r="537">
      <c r="A537" s="102"/>
      <c r="B537" s="102"/>
      <c r="C537" s="102"/>
      <c r="D537" s="51"/>
      <c r="E537" s="102"/>
      <c r="F537" s="102"/>
      <c r="G537" s="103"/>
      <c r="K537" s="103"/>
      <c r="L537" s="113"/>
      <c r="M537" s="107"/>
      <c r="N537" s="106" t="str">
        <f>IF(ISBLANK(L537), "", VLOOKUP(D537, 'Info Tipo de Cambio y REM'!$A$24:$B$35, 2, FALSE))</f>
        <v/>
      </c>
      <c r="O537" s="107" t="str">
        <f t="shared" si="1"/>
        <v/>
      </c>
    </row>
    <row r="538">
      <c r="A538" s="102"/>
      <c r="B538" s="102"/>
      <c r="C538" s="102"/>
      <c r="D538" s="51"/>
      <c r="E538" s="102"/>
      <c r="F538" s="102"/>
      <c r="G538" s="103"/>
      <c r="K538" s="103"/>
      <c r="L538" s="113"/>
      <c r="M538" s="107"/>
      <c r="N538" s="106" t="str">
        <f>IF(ISBLANK(L538), "", VLOOKUP(D538, 'Info Tipo de Cambio y REM'!$A$24:$B$35, 2, FALSE))</f>
        <v/>
      </c>
      <c r="O538" s="107" t="str">
        <f t="shared" si="1"/>
        <v/>
      </c>
    </row>
    <row r="539">
      <c r="A539" s="102"/>
      <c r="B539" s="102"/>
      <c r="C539" s="102"/>
      <c r="D539" s="51"/>
      <c r="E539" s="102"/>
      <c r="F539" s="102"/>
      <c r="G539" s="103"/>
      <c r="K539" s="103"/>
      <c r="L539" s="113"/>
      <c r="M539" s="107"/>
      <c r="N539" s="106" t="str">
        <f>IF(ISBLANK(L539), "", VLOOKUP(D539, 'Info Tipo de Cambio y REM'!$A$24:$B$35, 2, FALSE))</f>
        <v/>
      </c>
      <c r="O539" s="107" t="str">
        <f t="shared" si="1"/>
        <v/>
      </c>
    </row>
    <row r="540">
      <c r="A540" s="102"/>
      <c r="B540" s="102"/>
      <c r="C540" s="102"/>
      <c r="D540" s="51"/>
      <c r="E540" s="102"/>
      <c r="F540" s="102"/>
      <c r="G540" s="103"/>
      <c r="K540" s="103"/>
      <c r="L540" s="113"/>
      <c r="M540" s="107"/>
      <c r="N540" s="106" t="str">
        <f>IF(ISBLANK(L540), "", VLOOKUP(D540, 'Info Tipo de Cambio y REM'!$A$24:$B$35, 2, FALSE))</f>
        <v/>
      </c>
      <c r="O540" s="107" t="str">
        <f t="shared" si="1"/>
        <v/>
      </c>
    </row>
    <row r="541">
      <c r="A541" s="102"/>
      <c r="B541" s="102"/>
      <c r="C541" s="102"/>
      <c r="D541" s="51"/>
      <c r="E541" s="102"/>
      <c r="F541" s="102"/>
      <c r="G541" s="103"/>
      <c r="K541" s="103"/>
      <c r="L541" s="113"/>
      <c r="M541" s="107"/>
      <c r="N541" s="106" t="str">
        <f>IF(ISBLANK(L541), "", VLOOKUP(D541, 'Info Tipo de Cambio y REM'!$A$24:$B$35, 2, FALSE))</f>
        <v/>
      </c>
      <c r="O541" s="107" t="str">
        <f t="shared" si="1"/>
        <v/>
      </c>
    </row>
    <row r="542">
      <c r="A542" s="102"/>
      <c r="B542" s="102"/>
      <c r="C542" s="102"/>
      <c r="D542" s="51"/>
      <c r="E542" s="102"/>
      <c r="F542" s="102"/>
      <c r="G542" s="103"/>
      <c r="K542" s="103"/>
      <c r="L542" s="113"/>
      <c r="M542" s="107"/>
      <c r="N542" s="106" t="str">
        <f>IF(ISBLANK(L542), "", VLOOKUP(D542, 'Info Tipo de Cambio y REM'!$A$24:$B$35, 2, FALSE))</f>
        <v/>
      </c>
      <c r="O542" s="107" t="str">
        <f t="shared" si="1"/>
        <v/>
      </c>
    </row>
    <row r="543">
      <c r="A543" s="102"/>
      <c r="B543" s="102"/>
      <c r="C543" s="102"/>
      <c r="D543" s="51"/>
      <c r="E543" s="102"/>
      <c r="F543" s="102"/>
      <c r="G543" s="103"/>
      <c r="K543" s="103"/>
      <c r="L543" s="113"/>
      <c r="M543" s="107"/>
      <c r="N543" s="106" t="str">
        <f>IF(ISBLANK(L543), "", VLOOKUP(D543, 'Info Tipo de Cambio y REM'!$A$24:$B$35, 2, FALSE))</f>
        <v/>
      </c>
      <c r="O543" s="107" t="str">
        <f t="shared" si="1"/>
        <v/>
      </c>
    </row>
    <row r="544">
      <c r="A544" s="102"/>
      <c r="B544" s="102"/>
      <c r="C544" s="102"/>
      <c r="D544" s="51"/>
      <c r="E544" s="102"/>
      <c r="F544" s="102"/>
      <c r="G544" s="103"/>
      <c r="K544" s="103"/>
      <c r="L544" s="113"/>
      <c r="M544" s="107"/>
      <c r="N544" s="106" t="str">
        <f>IF(ISBLANK(L544), "", VLOOKUP(D544, 'Info Tipo de Cambio y REM'!$A$24:$B$35, 2, FALSE))</f>
        <v/>
      </c>
      <c r="O544" s="107" t="str">
        <f t="shared" si="1"/>
        <v/>
      </c>
    </row>
    <row r="545">
      <c r="A545" s="102"/>
      <c r="B545" s="102"/>
      <c r="C545" s="102"/>
      <c r="D545" s="51"/>
      <c r="E545" s="102"/>
      <c r="F545" s="102"/>
      <c r="G545" s="103"/>
      <c r="K545" s="103"/>
      <c r="L545" s="113"/>
      <c r="M545" s="107"/>
      <c r="N545" s="106" t="str">
        <f>IF(ISBLANK(L545), "", VLOOKUP(D545, 'Info Tipo de Cambio y REM'!$A$24:$B$35, 2, FALSE))</f>
        <v/>
      </c>
      <c r="O545" s="107" t="str">
        <f t="shared" si="1"/>
        <v/>
      </c>
    </row>
    <row r="546">
      <c r="A546" s="102"/>
      <c r="B546" s="102"/>
      <c r="C546" s="102"/>
      <c r="D546" s="51"/>
      <c r="E546" s="102"/>
      <c r="F546" s="102"/>
      <c r="G546" s="103"/>
      <c r="K546" s="103"/>
      <c r="L546" s="113"/>
      <c r="M546" s="107"/>
      <c r="N546" s="106" t="str">
        <f>IF(ISBLANK(L546), "", VLOOKUP(D546, 'Info Tipo de Cambio y REM'!$A$24:$B$35, 2, FALSE))</f>
        <v/>
      </c>
      <c r="O546" s="107" t="str">
        <f t="shared" si="1"/>
        <v/>
      </c>
    </row>
    <row r="547">
      <c r="A547" s="102"/>
      <c r="B547" s="102"/>
      <c r="C547" s="102"/>
      <c r="D547" s="51"/>
      <c r="E547" s="102"/>
      <c r="F547" s="102"/>
      <c r="G547" s="103"/>
      <c r="K547" s="103"/>
      <c r="L547" s="113"/>
      <c r="M547" s="107"/>
      <c r="N547" s="106" t="str">
        <f>IF(ISBLANK(L547), "", VLOOKUP(D547, 'Info Tipo de Cambio y REM'!$A$24:$B$35, 2, FALSE))</f>
        <v/>
      </c>
      <c r="O547" s="107" t="str">
        <f t="shared" si="1"/>
        <v/>
      </c>
    </row>
    <row r="548">
      <c r="A548" s="102"/>
      <c r="B548" s="102"/>
      <c r="C548" s="102"/>
      <c r="D548" s="51"/>
      <c r="E548" s="102"/>
      <c r="F548" s="102"/>
      <c r="G548" s="103"/>
      <c r="K548" s="103"/>
      <c r="L548" s="113"/>
      <c r="M548" s="107"/>
      <c r="N548" s="106" t="str">
        <f>IF(ISBLANK(L548), "", VLOOKUP(D548, 'Info Tipo de Cambio y REM'!$A$24:$B$35, 2, FALSE))</f>
        <v/>
      </c>
      <c r="O548" s="107" t="str">
        <f t="shared" si="1"/>
        <v/>
      </c>
    </row>
    <row r="549">
      <c r="A549" s="102"/>
      <c r="B549" s="102"/>
      <c r="C549" s="102"/>
      <c r="D549" s="51"/>
      <c r="E549" s="102"/>
      <c r="F549" s="102"/>
      <c r="G549" s="103"/>
      <c r="K549" s="103"/>
      <c r="L549" s="113"/>
      <c r="M549" s="107"/>
      <c r="N549" s="106" t="str">
        <f>IF(ISBLANK(L549), "", VLOOKUP(D549, 'Info Tipo de Cambio y REM'!$A$24:$B$35, 2, FALSE))</f>
        <v/>
      </c>
      <c r="O549" s="107" t="str">
        <f t="shared" si="1"/>
        <v/>
      </c>
    </row>
    <row r="550">
      <c r="A550" s="102"/>
      <c r="B550" s="102"/>
      <c r="C550" s="102"/>
      <c r="D550" s="51"/>
      <c r="E550" s="102"/>
      <c r="F550" s="102"/>
      <c r="G550" s="103"/>
      <c r="K550" s="103"/>
      <c r="L550" s="113"/>
      <c r="M550" s="107"/>
      <c r="N550" s="106" t="str">
        <f>IF(ISBLANK(L550), "", VLOOKUP(D550, 'Info Tipo de Cambio y REM'!$A$24:$B$35, 2, FALSE))</f>
        <v/>
      </c>
      <c r="O550" s="107" t="str">
        <f t="shared" si="1"/>
        <v/>
      </c>
    </row>
    <row r="551">
      <c r="A551" s="102"/>
      <c r="B551" s="102"/>
      <c r="C551" s="102"/>
      <c r="D551" s="51"/>
      <c r="E551" s="102"/>
      <c r="F551" s="102"/>
      <c r="G551" s="103"/>
      <c r="K551" s="103"/>
      <c r="L551" s="113"/>
      <c r="M551" s="107"/>
      <c r="N551" s="106" t="str">
        <f>IF(ISBLANK(L551), "", VLOOKUP(D551, 'Info Tipo de Cambio y REM'!$A$24:$B$35, 2, FALSE))</f>
        <v/>
      </c>
      <c r="O551" s="107" t="str">
        <f t="shared" si="1"/>
        <v/>
      </c>
    </row>
    <row r="552">
      <c r="A552" s="102"/>
      <c r="B552" s="102"/>
      <c r="C552" s="102"/>
      <c r="D552" s="51"/>
      <c r="E552" s="102"/>
      <c r="F552" s="102"/>
      <c r="G552" s="103"/>
      <c r="K552" s="103"/>
      <c r="L552" s="113"/>
      <c r="M552" s="107"/>
      <c r="N552" s="106" t="str">
        <f>IF(ISBLANK(L552), "", VLOOKUP(D552, 'Info Tipo de Cambio y REM'!$A$24:$B$35, 2, FALSE))</f>
        <v/>
      </c>
      <c r="O552" s="107" t="str">
        <f t="shared" si="1"/>
        <v/>
      </c>
    </row>
    <row r="553">
      <c r="A553" s="102"/>
      <c r="B553" s="102"/>
      <c r="C553" s="102"/>
      <c r="D553" s="51"/>
      <c r="E553" s="102"/>
      <c r="F553" s="102"/>
      <c r="G553" s="103"/>
      <c r="K553" s="103"/>
      <c r="L553" s="113"/>
      <c r="M553" s="107"/>
      <c r="N553" s="106" t="str">
        <f>IF(ISBLANK(L553), "", VLOOKUP(D553, 'Info Tipo de Cambio y REM'!$A$24:$B$35, 2, FALSE))</f>
        <v/>
      </c>
      <c r="O553" s="107" t="str">
        <f t="shared" si="1"/>
        <v/>
      </c>
    </row>
    <row r="554">
      <c r="A554" s="102"/>
      <c r="B554" s="102"/>
      <c r="C554" s="102"/>
      <c r="D554" s="51"/>
      <c r="E554" s="102"/>
      <c r="F554" s="102"/>
      <c r="G554" s="103"/>
      <c r="K554" s="103"/>
      <c r="L554" s="113"/>
      <c r="M554" s="107"/>
      <c r="N554" s="106" t="str">
        <f>IF(ISBLANK(L554), "", VLOOKUP(D554, 'Info Tipo de Cambio y REM'!$A$24:$B$35, 2, FALSE))</f>
        <v/>
      </c>
      <c r="O554" s="107" t="str">
        <f t="shared" si="1"/>
        <v/>
      </c>
    </row>
    <row r="555">
      <c r="A555" s="102"/>
      <c r="B555" s="102"/>
      <c r="C555" s="102"/>
      <c r="D555" s="51"/>
      <c r="E555" s="102"/>
      <c r="F555" s="102"/>
      <c r="G555" s="103"/>
      <c r="K555" s="103"/>
      <c r="L555" s="113"/>
      <c r="M555" s="107"/>
      <c r="N555" s="106" t="str">
        <f>IF(ISBLANK(L555), "", VLOOKUP(D555, 'Info Tipo de Cambio y REM'!$A$24:$B$35, 2, FALSE))</f>
        <v/>
      </c>
      <c r="O555" s="107" t="str">
        <f t="shared" si="1"/>
        <v/>
      </c>
    </row>
    <row r="556">
      <c r="A556" s="102"/>
      <c r="B556" s="102"/>
      <c r="C556" s="102"/>
      <c r="D556" s="51"/>
      <c r="E556" s="102"/>
      <c r="F556" s="102"/>
      <c r="G556" s="103"/>
      <c r="K556" s="103"/>
      <c r="L556" s="113"/>
      <c r="M556" s="107"/>
      <c r="N556" s="106" t="str">
        <f>IF(ISBLANK(L556), "", VLOOKUP(D556, 'Info Tipo de Cambio y REM'!$A$24:$B$35, 2, FALSE))</f>
        <v/>
      </c>
      <c r="O556" s="107" t="str">
        <f t="shared" si="1"/>
        <v/>
      </c>
    </row>
    <row r="557">
      <c r="A557" s="102"/>
      <c r="B557" s="102"/>
      <c r="C557" s="102"/>
      <c r="D557" s="51"/>
      <c r="E557" s="102"/>
      <c r="F557" s="102"/>
      <c r="G557" s="103"/>
      <c r="K557" s="103"/>
      <c r="L557" s="113"/>
      <c r="M557" s="107"/>
      <c r="N557" s="106" t="str">
        <f>IF(ISBLANK(L557), "", VLOOKUP(D557, 'Info Tipo de Cambio y REM'!$A$24:$B$35, 2, FALSE))</f>
        <v/>
      </c>
      <c r="O557" s="107" t="str">
        <f t="shared" si="1"/>
        <v/>
      </c>
    </row>
    <row r="558">
      <c r="A558" s="102"/>
      <c r="B558" s="102"/>
      <c r="C558" s="102"/>
      <c r="D558" s="51"/>
      <c r="E558" s="102"/>
      <c r="F558" s="102"/>
      <c r="G558" s="103"/>
      <c r="K558" s="103"/>
      <c r="L558" s="113"/>
      <c r="M558" s="107"/>
      <c r="N558" s="106" t="str">
        <f>IF(ISBLANK(L558), "", VLOOKUP(D558, 'Info Tipo de Cambio y REM'!$A$24:$B$35, 2, FALSE))</f>
        <v/>
      </c>
      <c r="O558" s="107" t="str">
        <f t="shared" si="1"/>
        <v/>
      </c>
    </row>
    <row r="559">
      <c r="A559" s="102"/>
      <c r="B559" s="102"/>
      <c r="C559" s="102"/>
      <c r="D559" s="51"/>
      <c r="E559" s="102"/>
      <c r="F559" s="102"/>
      <c r="G559" s="103"/>
      <c r="K559" s="103"/>
      <c r="L559" s="113"/>
      <c r="M559" s="107"/>
      <c r="N559" s="106" t="str">
        <f>IF(ISBLANK(L559), "", VLOOKUP(D559, 'Info Tipo de Cambio y REM'!$A$24:$B$35, 2, FALSE))</f>
        <v/>
      </c>
      <c r="O559" s="107" t="str">
        <f t="shared" si="1"/>
        <v/>
      </c>
    </row>
    <row r="560">
      <c r="A560" s="102"/>
      <c r="B560" s="102"/>
      <c r="C560" s="102"/>
      <c r="D560" s="51"/>
      <c r="E560" s="102"/>
      <c r="F560" s="102"/>
      <c r="G560" s="103"/>
      <c r="K560" s="103"/>
      <c r="L560" s="113"/>
      <c r="M560" s="107"/>
      <c r="N560" s="106" t="str">
        <f>IF(ISBLANK(L560), "", VLOOKUP(D560, 'Info Tipo de Cambio y REM'!$A$24:$B$35, 2, FALSE))</f>
        <v/>
      </c>
      <c r="O560" s="107" t="str">
        <f t="shared" si="1"/>
        <v/>
      </c>
    </row>
    <row r="561">
      <c r="A561" s="102"/>
      <c r="B561" s="102"/>
      <c r="C561" s="102"/>
      <c r="D561" s="51"/>
      <c r="E561" s="102"/>
      <c r="F561" s="102"/>
      <c r="G561" s="103"/>
      <c r="K561" s="103"/>
      <c r="L561" s="113"/>
      <c r="M561" s="107"/>
      <c r="N561" s="106" t="str">
        <f>IF(ISBLANK(L561), "", VLOOKUP(D561, 'Info Tipo de Cambio y REM'!$A$24:$B$35, 2, FALSE))</f>
        <v/>
      </c>
      <c r="O561" s="107" t="str">
        <f t="shared" si="1"/>
        <v/>
      </c>
    </row>
    <row r="562">
      <c r="A562" s="102"/>
      <c r="B562" s="102"/>
      <c r="C562" s="102"/>
      <c r="D562" s="51"/>
      <c r="E562" s="102"/>
      <c r="F562" s="102"/>
      <c r="G562" s="103"/>
      <c r="K562" s="103"/>
      <c r="L562" s="113"/>
      <c r="M562" s="107"/>
      <c r="N562" s="106" t="str">
        <f>IF(ISBLANK(L562), "", VLOOKUP(D562, 'Info Tipo de Cambio y REM'!$A$24:$B$35, 2, FALSE))</f>
        <v/>
      </c>
      <c r="O562" s="107" t="str">
        <f t="shared" si="1"/>
        <v/>
      </c>
    </row>
    <row r="563">
      <c r="A563" s="102"/>
      <c r="B563" s="102"/>
      <c r="C563" s="102"/>
      <c r="D563" s="51"/>
      <c r="E563" s="102"/>
      <c r="F563" s="102"/>
      <c r="G563" s="103"/>
      <c r="K563" s="103"/>
      <c r="L563" s="113"/>
      <c r="M563" s="107"/>
      <c r="N563" s="106" t="str">
        <f>IF(ISBLANK(L563), "", VLOOKUP(D563, 'Info Tipo de Cambio y REM'!$A$24:$B$35, 2, FALSE))</f>
        <v/>
      </c>
      <c r="O563" s="107" t="str">
        <f t="shared" si="1"/>
        <v/>
      </c>
    </row>
    <row r="564">
      <c r="A564" s="102"/>
      <c r="B564" s="102"/>
      <c r="C564" s="102"/>
      <c r="D564" s="51"/>
      <c r="E564" s="102"/>
      <c r="F564" s="102"/>
      <c r="G564" s="103"/>
      <c r="K564" s="103"/>
      <c r="L564" s="113"/>
      <c r="M564" s="107"/>
      <c r="N564" s="106" t="str">
        <f>IF(ISBLANK(L564), "", VLOOKUP(D564, 'Info Tipo de Cambio y REM'!$A$24:$B$35, 2, FALSE))</f>
        <v/>
      </c>
      <c r="O564" s="107" t="str">
        <f t="shared" si="1"/>
        <v/>
      </c>
    </row>
    <row r="565">
      <c r="A565" s="102"/>
      <c r="B565" s="102"/>
      <c r="C565" s="102"/>
      <c r="D565" s="51"/>
      <c r="E565" s="102"/>
      <c r="F565" s="102"/>
      <c r="G565" s="103"/>
      <c r="K565" s="103"/>
      <c r="L565" s="113"/>
      <c r="M565" s="107"/>
      <c r="N565" s="106" t="str">
        <f>IF(ISBLANK(L565), "", VLOOKUP(D565, 'Info Tipo de Cambio y REM'!$A$24:$B$35, 2, FALSE))</f>
        <v/>
      </c>
      <c r="O565" s="107" t="str">
        <f t="shared" si="1"/>
        <v/>
      </c>
    </row>
    <row r="566">
      <c r="A566" s="102"/>
      <c r="B566" s="102"/>
      <c r="C566" s="102"/>
      <c r="D566" s="51"/>
      <c r="E566" s="102"/>
      <c r="F566" s="102"/>
      <c r="G566" s="103"/>
      <c r="K566" s="103"/>
      <c r="L566" s="113"/>
      <c r="M566" s="107"/>
      <c r="N566" s="106" t="str">
        <f>IF(ISBLANK(L566), "", VLOOKUP(D566, 'Info Tipo de Cambio y REM'!$A$24:$B$35, 2, FALSE))</f>
        <v/>
      </c>
      <c r="O566" s="107" t="str">
        <f t="shared" si="1"/>
        <v/>
      </c>
    </row>
    <row r="567">
      <c r="A567" s="102"/>
      <c r="B567" s="102"/>
      <c r="C567" s="102"/>
      <c r="D567" s="51"/>
      <c r="E567" s="102"/>
      <c r="F567" s="102"/>
      <c r="G567" s="103"/>
      <c r="K567" s="103"/>
      <c r="L567" s="113"/>
      <c r="M567" s="107"/>
      <c r="N567" s="106" t="str">
        <f>IF(ISBLANK(L567), "", VLOOKUP(D567, 'Info Tipo de Cambio y REM'!$A$24:$B$35, 2, FALSE))</f>
        <v/>
      </c>
      <c r="O567" s="107" t="str">
        <f t="shared" si="1"/>
        <v/>
      </c>
    </row>
    <row r="568">
      <c r="A568" s="102"/>
      <c r="B568" s="102"/>
      <c r="C568" s="102"/>
      <c r="D568" s="51"/>
      <c r="E568" s="102"/>
      <c r="F568" s="102"/>
      <c r="G568" s="103"/>
      <c r="K568" s="103"/>
      <c r="L568" s="113"/>
      <c r="M568" s="107"/>
      <c r="N568" s="106" t="str">
        <f>IF(ISBLANK(L568), "", VLOOKUP(D568, 'Info Tipo de Cambio y REM'!$A$24:$B$35, 2, FALSE))</f>
        <v/>
      </c>
      <c r="O568" s="107" t="str">
        <f t="shared" si="1"/>
        <v/>
      </c>
    </row>
    <row r="569">
      <c r="A569" s="102"/>
      <c r="B569" s="102"/>
      <c r="C569" s="102"/>
      <c r="D569" s="51"/>
      <c r="E569" s="102"/>
      <c r="F569" s="102"/>
      <c r="G569" s="103"/>
      <c r="K569" s="103"/>
      <c r="L569" s="113"/>
      <c r="M569" s="107"/>
      <c r="N569" s="106" t="str">
        <f>IF(ISBLANK(L569), "", VLOOKUP(D569, 'Info Tipo de Cambio y REM'!$A$24:$B$35, 2, FALSE))</f>
        <v/>
      </c>
      <c r="O569" s="107" t="str">
        <f t="shared" si="1"/>
        <v/>
      </c>
    </row>
    <row r="570">
      <c r="A570" s="102"/>
      <c r="B570" s="102"/>
      <c r="C570" s="102"/>
      <c r="D570" s="51"/>
      <c r="E570" s="102"/>
      <c r="F570" s="102"/>
      <c r="G570" s="103"/>
      <c r="K570" s="103"/>
      <c r="L570" s="113"/>
      <c r="M570" s="107"/>
      <c r="N570" s="106" t="str">
        <f>IF(ISBLANK(L570), "", VLOOKUP(D570, 'Info Tipo de Cambio y REM'!$A$24:$B$35, 2, FALSE))</f>
        <v/>
      </c>
      <c r="O570" s="107" t="str">
        <f t="shared" si="1"/>
        <v/>
      </c>
    </row>
    <row r="571">
      <c r="A571" s="102"/>
      <c r="B571" s="102"/>
      <c r="C571" s="102"/>
      <c r="D571" s="51"/>
      <c r="E571" s="102"/>
      <c r="F571" s="102"/>
      <c r="G571" s="103"/>
      <c r="K571" s="103"/>
      <c r="L571" s="113"/>
      <c r="M571" s="107"/>
      <c r="N571" s="106" t="str">
        <f>IF(ISBLANK(L571), "", VLOOKUP(D571, 'Info Tipo de Cambio y REM'!$A$24:$B$35, 2, FALSE))</f>
        <v/>
      </c>
      <c r="O571" s="107" t="str">
        <f t="shared" si="1"/>
        <v/>
      </c>
    </row>
    <row r="572">
      <c r="A572" s="102"/>
      <c r="B572" s="102"/>
      <c r="C572" s="102"/>
      <c r="D572" s="51"/>
      <c r="E572" s="102"/>
      <c r="F572" s="102"/>
      <c r="G572" s="103"/>
      <c r="K572" s="103"/>
      <c r="L572" s="113"/>
      <c r="M572" s="107"/>
      <c r="N572" s="106" t="str">
        <f>IF(ISBLANK(L572), "", VLOOKUP(D572, 'Info Tipo de Cambio y REM'!$A$24:$B$35, 2, FALSE))</f>
        <v/>
      </c>
      <c r="O572" s="107" t="str">
        <f t="shared" si="1"/>
        <v/>
      </c>
    </row>
    <row r="573">
      <c r="A573" s="102"/>
      <c r="B573" s="102"/>
      <c r="C573" s="102"/>
      <c r="D573" s="51"/>
      <c r="E573" s="102"/>
      <c r="F573" s="102"/>
      <c r="G573" s="103"/>
      <c r="K573" s="103"/>
      <c r="L573" s="113"/>
      <c r="M573" s="107"/>
      <c r="N573" s="106" t="str">
        <f>IF(ISBLANK(L573), "", VLOOKUP(D573, 'Info Tipo de Cambio y REM'!$A$24:$B$35, 2, FALSE))</f>
        <v/>
      </c>
      <c r="O573" s="107" t="str">
        <f t="shared" si="1"/>
        <v/>
      </c>
    </row>
    <row r="574">
      <c r="A574" s="102"/>
      <c r="B574" s="102"/>
      <c r="C574" s="102"/>
      <c r="D574" s="51"/>
      <c r="E574" s="102"/>
      <c r="F574" s="102"/>
      <c r="G574" s="103"/>
      <c r="K574" s="103"/>
      <c r="L574" s="113"/>
      <c r="M574" s="107"/>
      <c r="N574" s="106" t="str">
        <f>IF(ISBLANK(L574), "", VLOOKUP(D574, 'Info Tipo de Cambio y REM'!$A$24:$B$35, 2, FALSE))</f>
        <v/>
      </c>
      <c r="O574" s="107" t="str">
        <f t="shared" si="1"/>
        <v/>
      </c>
    </row>
    <row r="575">
      <c r="A575" s="102"/>
      <c r="B575" s="102"/>
      <c r="C575" s="102"/>
      <c r="D575" s="51"/>
      <c r="E575" s="102"/>
      <c r="F575" s="102"/>
      <c r="G575" s="103"/>
      <c r="K575" s="103"/>
      <c r="L575" s="113"/>
      <c r="M575" s="107"/>
      <c r="N575" s="106" t="str">
        <f>IF(ISBLANK(L575), "", VLOOKUP(D575, 'Info Tipo de Cambio y REM'!$A$24:$B$35, 2, FALSE))</f>
        <v/>
      </c>
      <c r="O575" s="107" t="str">
        <f t="shared" si="1"/>
        <v/>
      </c>
    </row>
    <row r="576">
      <c r="A576" s="102"/>
      <c r="B576" s="102"/>
      <c r="C576" s="102"/>
      <c r="D576" s="51"/>
      <c r="E576" s="102"/>
      <c r="F576" s="102"/>
      <c r="G576" s="103"/>
      <c r="K576" s="103"/>
      <c r="L576" s="113"/>
      <c r="M576" s="107"/>
      <c r="N576" s="106" t="str">
        <f>IF(ISBLANK(L576), "", VLOOKUP(D576, 'Info Tipo de Cambio y REM'!$A$24:$B$35, 2, FALSE))</f>
        <v/>
      </c>
      <c r="O576" s="107" t="str">
        <f t="shared" si="1"/>
        <v/>
      </c>
    </row>
    <row r="577">
      <c r="A577" s="102"/>
      <c r="B577" s="102"/>
      <c r="C577" s="102"/>
      <c r="D577" s="51"/>
      <c r="E577" s="102"/>
      <c r="F577" s="102"/>
      <c r="G577" s="103"/>
      <c r="K577" s="103"/>
      <c r="L577" s="113"/>
      <c r="M577" s="107"/>
      <c r="N577" s="106" t="str">
        <f>IF(ISBLANK(L577), "", VLOOKUP(D577, 'Info Tipo de Cambio y REM'!$A$24:$B$35, 2, FALSE))</f>
        <v/>
      </c>
      <c r="O577" s="107" t="str">
        <f t="shared" si="1"/>
        <v/>
      </c>
    </row>
    <row r="578">
      <c r="A578" s="102"/>
      <c r="B578" s="102"/>
      <c r="C578" s="102"/>
      <c r="D578" s="51"/>
      <c r="E578" s="102"/>
      <c r="F578" s="102"/>
      <c r="G578" s="103"/>
      <c r="K578" s="103"/>
      <c r="L578" s="113"/>
      <c r="M578" s="107"/>
      <c r="N578" s="106" t="str">
        <f>IF(ISBLANK(L578), "", VLOOKUP(D578, 'Info Tipo de Cambio y REM'!$A$24:$B$35, 2, FALSE))</f>
        <v/>
      </c>
      <c r="O578" s="107" t="str">
        <f t="shared" si="1"/>
        <v/>
      </c>
    </row>
    <row r="579">
      <c r="A579" s="102"/>
      <c r="B579" s="102"/>
      <c r="C579" s="102"/>
      <c r="D579" s="51"/>
      <c r="E579" s="102"/>
      <c r="F579" s="102"/>
      <c r="G579" s="103"/>
      <c r="K579" s="103"/>
      <c r="L579" s="113"/>
      <c r="M579" s="107"/>
      <c r="N579" s="106" t="str">
        <f>IF(ISBLANK(L579), "", VLOOKUP(D579, 'Info Tipo de Cambio y REM'!$A$24:$B$35, 2, FALSE))</f>
        <v/>
      </c>
      <c r="O579" s="107" t="str">
        <f t="shared" si="1"/>
        <v/>
      </c>
    </row>
    <row r="580">
      <c r="A580" s="102"/>
      <c r="B580" s="102"/>
      <c r="C580" s="102"/>
      <c r="D580" s="51"/>
      <c r="E580" s="102"/>
      <c r="F580" s="102"/>
      <c r="G580" s="103"/>
      <c r="K580" s="103"/>
      <c r="L580" s="113"/>
      <c r="M580" s="107"/>
      <c r="N580" s="106" t="str">
        <f>IF(ISBLANK(L580), "", VLOOKUP(D580, 'Info Tipo de Cambio y REM'!$A$24:$B$35, 2, FALSE))</f>
        <v/>
      </c>
      <c r="O580" s="107" t="str">
        <f t="shared" si="1"/>
        <v/>
      </c>
    </row>
    <row r="581">
      <c r="A581" s="102"/>
      <c r="B581" s="102"/>
      <c r="C581" s="102"/>
      <c r="D581" s="51"/>
      <c r="E581" s="102"/>
      <c r="F581" s="102"/>
      <c r="G581" s="103"/>
      <c r="K581" s="103"/>
      <c r="L581" s="113"/>
      <c r="M581" s="107"/>
      <c r="N581" s="106" t="str">
        <f>IF(ISBLANK(L581), "", VLOOKUP(D581, 'Info Tipo de Cambio y REM'!$A$24:$B$35, 2, FALSE))</f>
        <v/>
      </c>
      <c r="O581" s="107" t="str">
        <f t="shared" si="1"/>
        <v/>
      </c>
    </row>
    <row r="582">
      <c r="A582" s="102"/>
      <c r="B582" s="102"/>
      <c r="C582" s="102"/>
      <c r="D582" s="51"/>
      <c r="E582" s="102"/>
      <c r="F582" s="102"/>
      <c r="G582" s="103"/>
      <c r="K582" s="103"/>
      <c r="L582" s="113"/>
      <c r="M582" s="107"/>
      <c r="N582" s="106" t="str">
        <f>IF(ISBLANK(L582), "", VLOOKUP(D582, 'Info Tipo de Cambio y REM'!$A$24:$B$35, 2, FALSE))</f>
        <v/>
      </c>
      <c r="O582" s="107" t="str">
        <f t="shared" si="1"/>
        <v/>
      </c>
    </row>
    <row r="583">
      <c r="A583" s="102"/>
      <c r="B583" s="102"/>
      <c r="C583" s="102"/>
      <c r="D583" s="51"/>
      <c r="E583" s="102"/>
      <c r="F583" s="102"/>
      <c r="G583" s="103"/>
      <c r="K583" s="103"/>
      <c r="L583" s="113"/>
      <c r="M583" s="107"/>
      <c r="N583" s="106" t="str">
        <f>IF(ISBLANK(L583), "", VLOOKUP(D583, 'Info Tipo de Cambio y REM'!$A$24:$B$35, 2, FALSE))</f>
        <v/>
      </c>
      <c r="O583" s="107" t="str">
        <f t="shared" si="1"/>
        <v/>
      </c>
    </row>
    <row r="584">
      <c r="A584" s="102"/>
      <c r="B584" s="102"/>
      <c r="C584" s="102"/>
      <c r="D584" s="51"/>
      <c r="E584" s="102"/>
      <c r="F584" s="102"/>
      <c r="G584" s="103"/>
      <c r="K584" s="103"/>
      <c r="L584" s="113"/>
      <c r="M584" s="107"/>
      <c r="N584" s="106" t="str">
        <f>IF(ISBLANK(L584), "", VLOOKUP(D584, 'Info Tipo de Cambio y REM'!$A$24:$B$35, 2, FALSE))</f>
        <v/>
      </c>
      <c r="O584" s="107" t="str">
        <f t="shared" si="1"/>
        <v/>
      </c>
    </row>
    <row r="585">
      <c r="A585" s="102"/>
      <c r="B585" s="102"/>
      <c r="C585" s="102"/>
      <c r="D585" s="51"/>
      <c r="E585" s="102"/>
      <c r="F585" s="102"/>
      <c r="G585" s="103"/>
      <c r="K585" s="103"/>
      <c r="L585" s="113"/>
      <c r="M585" s="107"/>
      <c r="N585" s="106" t="str">
        <f>IF(ISBLANK(L585), "", VLOOKUP(D585, 'Info Tipo de Cambio y REM'!$A$24:$B$35, 2, FALSE))</f>
        <v/>
      </c>
      <c r="O585" s="107" t="str">
        <f t="shared" si="1"/>
        <v/>
      </c>
    </row>
    <row r="586">
      <c r="A586" s="102"/>
      <c r="B586" s="102"/>
      <c r="C586" s="102"/>
      <c r="D586" s="51"/>
      <c r="E586" s="102"/>
      <c r="F586" s="102"/>
      <c r="G586" s="103"/>
      <c r="K586" s="103"/>
      <c r="L586" s="113"/>
      <c r="M586" s="107"/>
      <c r="N586" s="106" t="str">
        <f>IF(ISBLANK(L586), "", VLOOKUP(D586, 'Info Tipo de Cambio y REM'!$A$24:$B$35, 2, FALSE))</f>
        <v/>
      </c>
      <c r="O586" s="107" t="str">
        <f t="shared" si="1"/>
        <v/>
      </c>
    </row>
    <row r="587">
      <c r="A587" s="102"/>
      <c r="B587" s="102"/>
      <c r="C587" s="102"/>
      <c r="D587" s="51"/>
      <c r="E587" s="102"/>
      <c r="F587" s="102"/>
      <c r="G587" s="103"/>
      <c r="K587" s="103"/>
      <c r="L587" s="113"/>
      <c r="M587" s="107"/>
      <c r="N587" s="106" t="str">
        <f>IF(ISBLANK(L587), "", VLOOKUP(D587, 'Info Tipo de Cambio y REM'!$A$24:$B$35, 2, FALSE))</f>
        <v/>
      </c>
      <c r="O587" s="107" t="str">
        <f t="shared" si="1"/>
        <v/>
      </c>
    </row>
    <row r="588">
      <c r="A588" s="102"/>
      <c r="B588" s="102"/>
      <c r="C588" s="102"/>
      <c r="D588" s="51"/>
      <c r="E588" s="102"/>
      <c r="F588" s="102"/>
      <c r="G588" s="103"/>
      <c r="K588" s="103"/>
      <c r="L588" s="113"/>
      <c r="M588" s="107"/>
      <c r="N588" s="106" t="str">
        <f>IF(ISBLANK(L588), "", VLOOKUP(D588, 'Info Tipo de Cambio y REM'!$A$24:$B$35, 2, FALSE))</f>
        <v/>
      </c>
      <c r="O588" s="107" t="str">
        <f t="shared" si="1"/>
        <v/>
      </c>
    </row>
    <row r="589">
      <c r="A589" s="102"/>
      <c r="B589" s="102"/>
      <c r="C589" s="102"/>
      <c r="D589" s="51"/>
      <c r="E589" s="102"/>
      <c r="F589" s="102"/>
      <c r="G589" s="103"/>
      <c r="K589" s="103"/>
      <c r="L589" s="113"/>
      <c r="M589" s="107"/>
      <c r="N589" s="106" t="str">
        <f>IF(ISBLANK(L589), "", VLOOKUP(D589, 'Info Tipo de Cambio y REM'!$A$24:$B$35, 2, FALSE))</f>
        <v/>
      </c>
      <c r="O589" s="107" t="str">
        <f t="shared" si="1"/>
        <v/>
      </c>
    </row>
    <row r="590">
      <c r="A590" s="102"/>
      <c r="B590" s="102"/>
      <c r="C590" s="102"/>
      <c r="D590" s="51"/>
      <c r="E590" s="102"/>
      <c r="F590" s="102"/>
      <c r="G590" s="103"/>
      <c r="K590" s="103"/>
      <c r="L590" s="113"/>
      <c r="M590" s="107"/>
      <c r="N590" s="106" t="str">
        <f>IF(ISBLANK(L590), "", VLOOKUP(D590, 'Info Tipo de Cambio y REM'!$A$24:$B$35, 2, FALSE))</f>
        <v/>
      </c>
      <c r="O590" s="107" t="str">
        <f t="shared" si="1"/>
        <v/>
      </c>
    </row>
    <row r="591">
      <c r="A591" s="102"/>
      <c r="B591" s="102"/>
      <c r="C591" s="102"/>
      <c r="D591" s="51"/>
      <c r="E591" s="102"/>
      <c r="F591" s="102"/>
      <c r="G591" s="103"/>
      <c r="K591" s="103"/>
      <c r="L591" s="113"/>
      <c r="M591" s="107"/>
      <c r="N591" s="106" t="str">
        <f>IF(ISBLANK(L591), "", VLOOKUP(D591, 'Info Tipo de Cambio y REM'!$A$24:$B$35, 2, FALSE))</f>
        <v/>
      </c>
      <c r="O591" s="107" t="str">
        <f t="shared" si="1"/>
        <v/>
      </c>
    </row>
    <row r="592">
      <c r="A592" s="102"/>
      <c r="B592" s="102"/>
      <c r="C592" s="102"/>
      <c r="D592" s="51"/>
      <c r="E592" s="102"/>
      <c r="F592" s="102"/>
      <c r="G592" s="103"/>
      <c r="K592" s="103"/>
      <c r="L592" s="113"/>
      <c r="M592" s="107"/>
      <c r="N592" s="106" t="str">
        <f>IF(ISBLANK(L592), "", VLOOKUP(D592, 'Info Tipo de Cambio y REM'!$A$24:$B$35, 2, FALSE))</f>
        <v/>
      </c>
      <c r="O592" s="107" t="str">
        <f t="shared" si="1"/>
        <v/>
      </c>
    </row>
    <row r="593">
      <c r="A593" s="102"/>
      <c r="B593" s="102"/>
      <c r="C593" s="102"/>
      <c r="D593" s="51"/>
      <c r="E593" s="102"/>
      <c r="F593" s="102"/>
      <c r="G593" s="103"/>
      <c r="K593" s="103"/>
      <c r="L593" s="113"/>
      <c r="M593" s="107"/>
      <c r="N593" s="106" t="str">
        <f>IF(ISBLANK(L593), "", VLOOKUP(D593, 'Info Tipo de Cambio y REM'!$A$24:$B$35, 2, FALSE))</f>
        <v/>
      </c>
      <c r="O593" s="107" t="str">
        <f t="shared" si="1"/>
        <v/>
      </c>
    </row>
    <row r="594">
      <c r="A594" s="102"/>
      <c r="B594" s="102"/>
      <c r="C594" s="102"/>
      <c r="D594" s="51"/>
      <c r="E594" s="102"/>
      <c r="F594" s="102"/>
      <c r="G594" s="103"/>
      <c r="K594" s="103"/>
      <c r="L594" s="113"/>
      <c r="M594" s="107"/>
      <c r="N594" s="106" t="str">
        <f>IF(ISBLANK(L594), "", VLOOKUP(D594, 'Info Tipo de Cambio y REM'!$A$24:$B$35, 2, FALSE))</f>
        <v/>
      </c>
      <c r="O594" s="107" t="str">
        <f t="shared" si="1"/>
        <v/>
      </c>
    </row>
    <row r="595">
      <c r="A595" s="102"/>
      <c r="B595" s="102"/>
      <c r="C595" s="102"/>
      <c r="D595" s="51"/>
      <c r="E595" s="102"/>
      <c r="F595" s="102"/>
      <c r="G595" s="103"/>
      <c r="K595" s="103"/>
      <c r="L595" s="113"/>
      <c r="M595" s="107"/>
      <c r="N595" s="106" t="str">
        <f>IF(ISBLANK(L595), "", VLOOKUP(D595, 'Info Tipo de Cambio y REM'!$A$24:$B$35, 2, FALSE))</f>
        <v/>
      </c>
      <c r="O595" s="107" t="str">
        <f t="shared" si="1"/>
        <v/>
      </c>
    </row>
    <row r="596">
      <c r="A596" s="102"/>
      <c r="B596" s="102"/>
      <c r="C596" s="102"/>
      <c r="D596" s="51"/>
      <c r="E596" s="102"/>
      <c r="F596" s="102"/>
      <c r="G596" s="103"/>
      <c r="K596" s="103"/>
      <c r="L596" s="113"/>
      <c r="M596" s="107"/>
      <c r="N596" s="106" t="str">
        <f>IF(ISBLANK(L596), "", VLOOKUP(D596, 'Info Tipo de Cambio y REM'!$A$24:$B$35, 2, FALSE))</f>
        <v/>
      </c>
      <c r="O596" s="107" t="str">
        <f t="shared" si="1"/>
        <v/>
      </c>
    </row>
    <row r="597">
      <c r="A597" s="102"/>
      <c r="B597" s="102"/>
      <c r="C597" s="102"/>
      <c r="D597" s="51"/>
      <c r="E597" s="102"/>
      <c r="F597" s="102"/>
      <c r="G597" s="103"/>
      <c r="K597" s="103"/>
      <c r="L597" s="113"/>
      <c r="M597" s="107"/>
      <c r="N597" s="106" t="str">
        <f>IF(ISBLANK(L597), "", VLOOKUP(D597, 'Info Tipo de Cambio y REM'!$A$24:$B$35, 2, FALSE))</f>
        <v/>
      </c>
      <c r="O597" s="107" t="str">
        <f t="shared" si="1"/>
        <v/>
      </c>
    </row>
    <row r="598">
      <c r="A598" s="102"/>
      <c r="B598" s="102"/>
      <c r="C598" s="102"/>
      <c r="D598" s="51"/>
      <c r="E598" s="102"/>
      <c r="F598" s="102"/>
      <c r="G598" s="103"/>
      <c r="K598" s="103"/>
      <c r="L598" s="113"/>
      <c r="M598" s="107"/>
      <c r="N598" s="106" t="str">
        <f>IF(ISBLANK(L598), "", VLOOKUP(D598, 'Info Tipo de Cambio y REM'!$A$24:$B$35, 2, FALSE))</f>
        <v/>
      </c>
      <c r="O598" s="107" t="str">
        <f t="shared" si="1"/>
        <v/>
      </c>
    </row>
    <row r="599">
      <c r="A599" s="102"/>
      <c r="B599" s="102"/>
      <c r="C599" s="102"/>
      <c r="D599" s="51"/>
      <c r="E599" s="102"/>
      <c r="F599" s="102"/>
      <c r="G599" s="103"/>
      <c r="K599" s="103"/>
      <c r="L599" s="113"/>
      <c r="M599" s="107"/>
      <c r="N599" s="106" t="str">
        <f>IF(ISBLANK(L599), "", VLOOKUP(D599, 'Info Tipo de Cambio y REM'!$A$24:$B$35, 2, FALSE))</f>
        <v/>
      </c>
      <c r="O599" s="107" t="str">
        <f t="shared" si="1"/>
        <v/>
      </c>
    </row>
    <row r="600">
      <c r="A600" s="102"/>
      <c r="B600" s="102"/>
      <c r="C600" s="102"/>
      <c r="D600" s="51"/>
      <c r="E600" s="102"/>
      <c r="F600" s="102"/>
      <c r="G600" s="103"/>
      <c r="K600" s="103"/>
      <c r="L600" s="113"/>
      <c r="M600" s="107"/>
      <c r="N600" s="106" t="str">
        <f>IF(ISBLANK(L600), "", VLOOKUP(D600, 'Info Tipo de Cambio y REM'!$A$24:$B$35, 2, FALSE))</f>
        <v/>
      </c>
      <c r="O600" s="107" t="str">
        <f t="shared" si="1"/>
        <v/>
      </c>
    </row>
    <row r="601">
      <c r="A601" s="102"/>
      <c r="B601" s="102"/>
      <c r="C601" s="102"/>
      <c r="D601" s="51"/>
      <c r="E601" s="102"/>
      <c r="F601" s="102"/>
      <c r="G601" s="103"/>
      <c r="K601" s="103"/>
      <c r="L601" s="113"/>
      <c r="M601" s="107"/>
      <c r="N601" s="106" t="str">
        <f>IF(ISBLANK(L601), "", VLOOKUP(D601, 'Info Tipo de Cambio y REM'!$A$24:$B$35, 2, FALSE))</f>
        <v/>
      </c>
      <c r="O601" s="107" t="str">
        <f t="shared" si="1"/>
        <v/>
      </c>
    </row>
    <row r="602">
      <c r="A602" s="102"/>
      <c r="B602" s="102"/>
      <c r="C602" s="102"/>
      <c r="D602" s="51"/>
      <c r="E602" s="102"/>
      <c r="F602" s="102"/>
      <c r="G602" s="103"/>
      <c r="K602" s="103"/>
      <c r="L602" s="113"/>
      <c r="M602" s="107"/>
      <c r="N602" s="106" t="str">
        <f>IF(ISBLANK(L602), "", VLOOKUP(D602, 'Info Tipo de Cambio y REM'!$A$24:$B$35, 2, FALSE))</f>
        <v/>
      </c>
      <c r="O602" s="107" t="str">
        <f t="shared" si="1"/>
        <v/>
      </c>
    </row>
    <row r="603">
      <c r="A603" s="102"/>
      <c r="B603" s="102"/>
      <c r="C603" s="102"/>
      <c r="D603" s="51"/>
      <c r="E603" s="102"/>
      <c r="F603" s="102"/>
      <c r="G603" s="103"/>
      <c r="K603" s="103"/>
      <c r="L603" s="113"/>
      <c r="M603" s="107"/>
      <c r="N603" s="106" t="str">
        <f>IF(ISBLANK(L603), "", VLOOKUP(D603, 'Info Tipo de Cambio y REM'!$A$24:$B$35, 2, FALSE))</f>
        <v/>
      </c>
      <c r="O603" s="107" t="str">
        <f t="shared" si="1"/>
        <v/>
      </c>
    </row>
    <row r="604">
      <c r="A604" s="102"/>
      <c r="B604" s="102"/>
      <c r="C604" s="102"/>
      <c r="D604" s="51"/>
      <c r="E604" s="102"/>
      <c r="F604" s="102"/>
      <c r="G604" s="103"/>
      <c r="K604" s="103"/>
      <c r="L604" s="113"/>
      <c r="M604" s="107"/>
      <c r="N604" s="106" t="str">
        <f>IF(ISBLANK(L604), "", VLOOKUP(D604, 'Info Tipo de Cambio y REM'!$A$24:$B$35, 2, FALSE))</f>
        <v/>
      </c>
      <c r="O604" s="107" t="str">
        <f t="shared" si="1"/>
        <v/>
      </c>
    </row>
    <row r="605">
      <c r="A605" s="102"/>
      <c r="B605" s="102"/>
      <c r="C605" s="102"/>
      <c r="D605" s="51"/>
      <c r="E605" s="102"/>
      <c r="F605" s="102"/>
      <c r="G605" s="103"/>
      <c r="K605" s="103"/>
      <c r="L605" s="113"/>
      <c r="M605" s="107"/>
      <c r="N605" s="106" t="str">
        <f>IF(ISBLANK(L605), "", VLOOKUP(D605, 'Info Tipo de Cambio y REM'!$A$24:$B$35, 2, FALSE))</f>
        <v/>
      </c>
      <c r="O605" s="107" t="str">
        <f t="shared" si="1"/>
        <v/>
      </c>
    </row>
    <row r="606">
      <c r="A606" s="102"/>
      <c r="B606" s="102"/>
      <c r="C606" s="102"/>
      <c r="D606" s="51"/>
      <c r="E606" s="102"/>
      <c r="F606" s="102"/>
      <c r="G606" s="103"/>
      <c r="K606" s="103"/>
      <c r="L606" s="113"/>
      <c r="M606" s="107"/>
      <c r="N606" s="106" t="str">
        <f>IF(ISBLANK(L606), "", VLOOKUP(D606, 'Info Tipo de Cambio y REM'!$A$24:$B$35, 2, FALSE))</f>
        <v/>
      </c>
      <c r="O606" s="107" t="str">
        <f t="shared" si="1"/>
        <v/>
      </c>
    </row>
    <row r="607">
      <c r="A607" s="102"/>
      <c r="B607" s="102"/>
      <c r="C607" s="102"/>
      <c r="D607" s="51"/>
      <c r="E607" s="102"/>
      <c r="F607" s="102"/>
      <c r="G607" s="103"/>
      <c r="K607" s="103"/>
      <c r="L607" s="113"/>
      <c r="M607" s="107"/>
      <c r="N607" s="106" t="str">
        <f>IF(ISBLANK(L607), "", VLOOKUP(D607, 'Info Tipo de Cambio y REM'!$A$24:$B$35, 2, FALSE))</f>
        <v/>
      </c>
      <c r="O607" s="107" t="str">
        <f t="shared" si="1"/>
        <v/>
      </c>
    </row>
    <row r="608">
      <c r="A608" s="102"/>
      <c r="B608" s="102"/>
      <c r="C608" s="102"/>
      <c r="D608" s="51"/>
      <c r="E608" s="102"/>
      <c r="F608" s="102"/>
      <c r="G608" s="103"/>
      <c r="K608" s="103"/>
      <c r="L608" s="113"/>
      <c r="M608" s="107"/>
      <c r="N608" s="106" t="str">
        <f>IF(ISBLANK(L608), "", VLOOKUP(D608, 'Info Tipo de Cambio y REM'!$A$24:$B$35, 2, FALSE))</f>
        <v/>
      </c>
      <c r="O608" s="107" t="str">
        <f t="shared" si="1"/>
        <v/>
      </c>
    </row>
    <row r="609">
      <c r="A609" s="102"/>
      <c r="B609" s="102"/>
      <c r="C609" s="102"/>
      <c r="D609" s="51"/>
      <c r="E609" s="102"/>
      <c r="F609" s="102"/>
      <c r="G609" s="103"/>
      <c r="K609" s="103"/>
      <c r="L609" s="113"/>
      <c r="M609" s="107"/>
      <c r="N609" s="106" t="str">
        <f>IF(ISBLANK(L609), "", VLOOKUP(D609, 'Info Tipo de Cambio y REM'!$A$24:$B$35, 2, FALSE))</f>
        <v/>
      </c>
      <c r="O609" s="107" t="str">
        <f t="shared" si="1"/>
        <v/>
      </c>
    </row>
    <row r="610">
      <c r="A610" s="102"/>
      <c r="B610" s="102"/>
      <c r="C610" s="102"/>
      <c r="D610" s="51"/>
      <c r="E610" s="102"/>
      <c r="F610" s="102"/>
      <c r="G610" s="103"/>
      <c r="K610" s="103"/>
      <c r="L610" s="113"/>
      <c r="M610" s="107"/>
      <c r="N610" s="106" t="str">
        <f>IF(ISBLANK(L610), "", VLOOKUP(D610, 'Info Tipo de Cambio y REM'!$A$24:$B$35, 2, FALSE))</f>
        <v/>
      </c>
      <c r="O610" s="107" t="str">
        <f t="shared" si="1"/>
        <v/>
      </c>
    </row>
    <row r="611">
      <c r="A611" s="102"/>
      <c r="B611" s="102"/>
      <c r="C611" s="102"/>
      <c r="D611" s="51"/>
      <c r="E611" s="102"/>
      <c r="F611" s="102"/>
      <c r="G611" s="103"/>
      <c r="K611" s="103"/>
      <c r="L611" s="113"/>
      <c r="M611" s="107"/>
      <c r="N611" s="106" t="str">
        <f>IF(ISBLANK(L611), "", VLOOKUP(D611, 'Info Tipo de Cambio y REM'!$A$24:$B$35, 2, FALSE))</f>
        <v/>
      </c>
      <c r="O611" s="107" t="str">
        <f t="shared" si="1"/>
        <v/>
      </c>
    </row>
    <row r="612">
      <c r="A612" s="102"/>
      <c r="B612" s="102"/>
      <c r="C612" s="102"/>
      <c r="D612" s="51"/>
      <c r="E612" s="102"/>
      <c r="F612" s="102"/>
      <c r="G612" s="103"/>
      <c r="K612" s="103"/>
      <c r="L612" s="113"/>
      <c r="M612" s="107"/>
      <c r="N612" s="106" t="str">
        <f>IF(ISBLANK(L612), "", VLOOKUP(D612, 'Info Tipo de Cambio y REM'!$A$24:$B$35, 2, FALSE))</f>
        <v/>
      </c>
      <c r="O612" s="107" t="str">
        <f t="shared" si="1"/>
        <v/>
      </c>
    </row>
    <row r="613">
      <c r="A613" s="102"/>
      <c r="B613" s="102"/>
      <c r="C613" s="102"/>
      <c r="D613" s="51"/>
      <c r="E613" s="102"/>
      <c r="F613" s="102"/>
      <c r="G613" s="103"/>
      <c r="K613" s="103"/>
      <c r="L613" s="113"/>
      <c r="M613" s="107"/>
      <c r="N613" s="106" t="str">
        <f>IF(ISBLANK(L613), "", VLOOKUP(D613, 'Info Tipo de Cambio y REM'!$A$24:$B$35, 2, FALSE))</f>
        <v/>
      </c>
      <c r="O613" s="107" t="str">
        <f t="shared" si="1"/>
        <v/>
      </c>
    </row>
    <row r="614">
      <c r="A614" s="102"/>
      <c r="B614" s="102"/>
      <c r="C614" s="102"/>
      <c r="D614" s="51"/>
      <c r="E614" s="102"/>
      <c r="F614" s="102"/>
      <c r="G614" s="103"/>
      <c r="K614" s="103"/>
      <c r="L614" s="113"/>
      <c r="M614" s="107"/>
      <c r="N614" s="106" t="str">
        <f>IF(ISBLANK(L614), "", VLOOKUP(D614, 'Info Tipo de Cambio y REM'!$A$24:$B$35, 2, FALSE))</f>
        <v/>
      </c>
      <c r="O614" s="107" t="str">
        <f t="shared" si="1"/>
        <v/>
      </c>
    </row>
    <row r="615">
      <c r="A615" s="102"/>
      <c r="B615" s="102"/>
      <c r="C615" s="102"/>
      <c r="D615" s="51"/>
      <c r="E615" s="102"/>
      <c r="F615" s="102"/>
      <c r="G615" s="103"/>
      <c r="K615" s="103"/>
      <c r="L615" s="113"/>
      <c r="M615" s="107"/>
      <c r="N615" s="106" t="str">
        <f>IF(ISBLANK(L615), "", VLOOKUP(D615, 'Info Tipo de Cambio y REM'!$A$24:$B$35, 2, FALSE))</f>
        <v/>
      </c>
      <c r="O615" s="107" t="str">
        <f t="shared" si="1"/>
        <v/>
      </c>
    </row>
    <row r="616">
      <c r="A616" s="102"/>
      <c r="B616" s="102"/>
      <c r="C616" s="102"/>
      <c r="D616" s="51"/>
      <c r="E616" s="102"/>
      <c r="F616" s="102"/>
      <c r="G616" s="103"/>
      <c r="K616" s="103"/>
      <c r="L616" s="113"/>
      <c r="M616" s="107"/>
      <c r="N616" s="106" t="str">
        <f>IF(ISBLANK(L616), "", VLOOKUP(D616, 'Info Tipo de Cambio y REM'!$A$24:$B$35, 2, FALSE))</f>
        <v/>
      </c>
      <c r="O616" s="107" t="str">
        <f t="shared" si="1"/>
        <v/>
      </c>
    </row>
    <row r="617">
      <c r="A617" s="102"/>
      <c r="B617" s="102"/>
      <c r="C617" s="102"/>
      <c r="D617" s="51"/>
      <c r="E617" s="102"/>
      <c r="F617" s="102"/>
      <c r="G617" s="103"/>
      <c r="K617" s="103"/>
      <c r="L617" s="113"/>
      <c r="M617" s="107"/>
      <c r="N617" s="106" t="str">
        <f>IF(ISBLANK(L617), "", VLOOKUP(D617, 'Info Tipo de Cambio y REM'!$A$24:$B$35, 2, FALSE))</f>
        <v/>
      </c>
      <c r="O617" s="107" t="str">
        <f t="shared" si="1"/>
        <v/>
      </c>
    </row>
    <row r="618">
      <c r="A618" s="102"/>
      <c r="B618" s="102"/>
      <c r="C618" s="102"/>
      <c r="D618" s="51"/>
      <c r="E618" s="102"/>
      <c r="F618" s="102"/>
      <c r="G618" s="103"/>
      <c r="K618" s="103"/>
      <c r="L618" s="113"/>
      <c r="M618" s="107"/>
      <c r="N618" s="106" t="str">
        <f>IF(ISBLANK(L618), "", VLOOKUP(D618, 'Info Tipo de Cambio y REM'!$A$24:$B$35, 2, FALSE))</f>
        <v/>
      </c>
      <c r="O618" s="107" t="str">
        <f t="shared" si="1"/>
        <v/>
      </c>
    </row>
    <row r="619">
      <c r="A619" s="102"/>
      <c r="B619" s="102"/>
      <c r="C619" s="102"/>
      <c r="D619" s="51"/>
      <c r="E619" s="102"/>
      <c r="F619" s="102"/>
      <c r="G619" s="103"/>
      <c r="K619" s="103"/>
      <c r="L619" s="113"/>
      <c r="M619" s="107"/>
      <c r="N619" s="106" t="str">
        <f>IF(ISBLANK(L619), "", VLOOKUP(D619, 'Info Tipo de Cambio y REM'!$A$24:$B$35, 2, FALSE))</f>
        <v/>
      </c>
      <c r="O619" s="107" t="str">
        <f t="shared" si="1"/>
        <v/>
      </c>
    </row>
    <row r="620">
      <c r="A620" s="102"/>
      <c r="B620" s="102"/>
      <c r="C620" s="102"/>
      <c r="D620" s="51"/>
      <c r="E620" s="102"/>
      <c r="F620" s="102"/>
      <c r="G620" s="103"/>
      <c r="K620" s="103"/>
      <c r="L620" s="113"/>
      <c r="M620" s="107"/>
      <c r="N620" s="106" t="str">
        <f>IF(ISBLANK(L620), "", VLOOKUP(D620, 'Info Tipo de Cambio y REM'!$A$24:$B$35, 2, FALSE))</f>
        <v/>
      </c>
      <c r="O620" s="107" t="str">
        <f t="shared" si="1"/>
        <v/>
      </c>
    </row>
    <row r="621">
      <c r="A621" s="102"/>
      <c r="B621" s="102"/>
      <c r="C621" s="102"/>
      <c r="D621" s="51"/>
      <c r="E621" s="102"/>
      <c r="F621" s="102"/>
      <c r="G621" s="103"/>
      <c r="K621" s="103"/>
      <c r="L621" s="113"/>
      <c r="M621" s="107"/>
      <c r="N621" s="106" t="str">
        <f>IF(ISBLANK(L621), "", VLOOKUP(D621, 'Info Tipo de Cambio y REM'!$A$24:$B$35, 2, FALSE))</f>
        <v/>
      </c>
      <c r="O621" s="107" t="str">
        <f t="shared" si="1"/>
        <v/>
      </c>
    </row>
    <row r="622">
      <c r="A622" s="102"/>
      <c r="B622" s="102"/>
      <c r="C622" s="102"/>
      <c r="D622" s="51"/>
      <c r="E622" s="102"/>
      <c r="F622" s="102"/>
      <c r="G622" s="103"/>
      <c r="K622" s="103"/>
      <c r="L622" s="113"/>
      <c r="M622" s="107"/>
      <c r="N622" s="106" t="str">
        <f>IF(ISBLANK(L622), "", VLOOKUP(D622, 'Info Tipo de Cambio y REM'!$A$24:$B$35, 2, FALSE))</f>
        <v/>
      </c>
      <c r="O622" s="107" t="str">
        <f t="shared" si="1"/>
        <v/>
      </c>
    </row>
    <row r="623">
      <c r="A623" s="102"/>
      <c r="B623" s="102"/>
      <c r="C623" s="102"/>
      <c r="D623" s="51"/>
      <c r="E623" s="102"/>
      <c r="F623" s="102"/>
      <c r="G623" s="103"/>
      <c r="K623" s="103"/>
      <c r="L623" s="113"/>
      <c r="M623" s="107"/>
      <c r="N623" s="106" t="str">
        <f>IF(ISBLANK(L623), "", VLOOKUP(D623, 'Info Tipo de Cambio y REM'!$A$24:$B$35, 2, FALSE))</f>
        <v/>
      </c>
      <c r="O623" s="107" t="str">
        <f t="shared" si="1"/>
        <v/>
      </c>
    </row>
    <row r="624">
      <c r="A624" s="102"/>
      <c r="B624" s="102"/>
      <c r="C624" s="102"/>
      <c r="D624" s="51"/>
      <c r="E624" s="102"/>
      <c r="F624" s="102"/>
      <c r="G624" s="103"/>
      <c r="K624" s="103"/>
      <c r="L624" s="113"/>
      <c r="M624" s="107"/>
      <c r="N624" s="106" t="str">
        <f>IF(ISBLANK(L624), "", VLOOKUP(D624, 'Info Tipo de Cambio y REM'!$A$24:$B$35, 2, FALSE))</f>
        <v/>
      </c>
      <c r="O624" s="107" t="str">
        <f t="shared" si="1"/>
        <v/>
      </c>
    </row>
    <row r="625">
      <c r="A625" s="102"/>
      <c r="B625" s="102"/>
      <c r="C625" s="102"/>
      <c r="D625" s="51"/>
      <c r="E625" s="102"/>
      <c r="F625" s="102"/>
      <c r="G625" s="103"/>
      <c r="K625" s="103"/>
      <c r="L625" s="113"/>
      <c r="M625" s="107"/>
      <c r="N625" s="106" t="str">
        <f>IF(ISBLANK(L625), "", VLOOKUP(D625, 'Info Tipo de Cambio y REM'!$A$24:$B$35, 2, FALSE))</f>
        <v/>
      </c>
      <c r="O625" s="107" t="str">
        <f t="shared" si="1"/>
        <v/>
      </c>
    </row>
    <row r="626">
      <c r="A626" s="102"/>
      <c r="B626" s="102"/>
      <c r="C626" s="102"/>
      <c r="D626" s="51"/>
      <c r="E626" s="102"/>
      <c r="F626" s="102"/>
      <c r="G626" s="103"/>
      <c r="K626" s="103"/>
      <c r="L626" s="113"/>
      <c r="M626" s="107"/>
      <c r="N626" s="106" t="str">
        <f>IF(ISBLANK(L626), "", VLOOKUP(D626, 'Info Tipo de Cambio y REM'!$A$24:$B$35, 2, FALSE))</f>
        <v/>
      </c>
      <c r="O626" s="107" t="str">
        <f t="shared" si="1"/>
        <v/>
      </c>
    </row>
    <row r="627">
      <c r="A627" s="102"/>
      <c r="B627" s="102"/>
      <c r="C627" s="102"/>
      <c r="D627" s="51"/>
      <c r="E627" s="102"/>
      <c r="F627" s="102"/>
      <c r="G627" s="103"/>
      <c r="K627" s="103"/>
      <c r="L627" s="113"/>
      <c r="M627" s="107"/>
      <c r="N627" s="106" t="str">
        <f>IF(ISBLANK(L627), "", VLOOKUP(D627, 'Info Tipo de Cambio y REM'!$A$24:$B$35, 2, FALSE))</f>
        <v/>
      </c>
      <c r="O627" s="107" t="str">
        <f t="shared" si="1"/>
        <v/>
      </c>
    </row>
    <row r="628">
      <c r="A628" s="102"/>
      <c r="B628" s="102"/>
      <c r="C628" s="102"/>
      <c r="D628" s="51"/>
      <c r="E628" s="102"/>
      <c r="F628" s="102"/>
      <c r="G628" s="103"/>
      <c r="K628" s="103"/>
      <c r="L628" s="113"/>
      <c r="M628" s="107"/>
      <c r="N628" s="106" t="str">
        <f>IF(ISBLANK(L628), "", VLOOKUP(D628, 'Info Tipo de Cambio y REM'!$A$24:$B$35, 2, FALSE))</f>
        <v/>
      </c>
      <c r="O628" s="107" t="str">
        <f t="shared" si="1"/>
        <v/>
      </c>
    </row>
    <row r="629">
      <c r="A629" s="102"/>
      <c r="B629" s="102"/>
      <c r="C629" s="102"/>
      <c r="D629" s="51"/>
      <c r="E629" s="102"/>
      <c r="F629" s="102"/>
      <c r="G629" s="103"/>
      <c r="K629" s="103"/>
      <c r="L629" s="113"/>
      <c r="M629" s="107"/>
      <c r="N629" s="106" t="str">
        <f>IF(ISBLANK(L629), "", VLOOKUP(D629, 'Info Tipo de Cambio y REM'!$A$24:$B$35, 2, FALSE))</f>
        <v/>
      </c>
      <c r="O629" s="107" t="str">
        <f t="shared" si="1"/>
        <v/>
      </c>
    </row>
    <row r="630">
      <c r="A630" s="102"/>
      <c r="B630" s="102"/>
      <c r="C630" s="102"/>
      <c r="D630" s="51"/>
      <c r="E630" s="102"/>
      <c r="F630" s="102"/>
      <c r="G630" s="103"/>
      <c r="K630" s="103"/>
      <c r="L630" s="113"/>
      <c r="M630" s="107"/>
      <c r="N630" s="106" t="str">
        <f>IF(ISBLANK(L630), "", VLOOKUP(D630, 'Info Tipo de Cambio y REM'!$A$24:$B$35, 2, FALSE))</f>
        <v/>
      </c>
      <c r="O630" s="107" t="str">
        <f t="shared" si="1"/>
        <v/>
      </c>
    </row>
    <row r="631">
      <c r="A631" s="102"/>
      <c r="B631" s="102"/>
      <c r="C631" s="102"/>
      <c r="D631" s="51"/>
      <c r="E631" s="102"/>
      <c r="F631" s="102"/>
      <c r="G631" s="103"/>
      <c r="K631" s="103"/>
      <c r="L631" s="113"/>
      <c r="M631" s="107"/>
      <c r="N631" s="106" t="str">
        <f>IF(ISBLANK(L631), "", VLOOKUP(D631, 'Info Tipo de Cambio y REM'!$A$24:$B$35, 2, FALSE))</f>
        <v/>
      </c>
      <c r="O631" s="107" t="str">
        <f t="shared" si="1"/>
        <v/>
      </c>
    </row>
    <row r="632">
      <c r="A632" s="102"/>
      <c r="B632" s="102"/>
      <c r="C632" s="102"/>
      <c r="D632" s="51"/>
      <c r="E632" s="102"/>
      <c r="F632" s="102"/>
      <c r="G632" s="103"/>
      <c r="K632" s="103"/>
      <c r="L632" s="113"/>
      <c r="M632" s="107"/>
      <c r="N632" s="106" t="str">
        <f>IF(ISBLANK(L632), "", VLOOKUP(D632, 'Info Tipo de Cambio y REM'!$A$24:$B$35, 2, FALSE))</f>
        <v/>
      </c>
      <c r="O632" s="107" t="str">
        <f t="shared" si="1"/>
        <v/>
      </c>
    </row>
    <row r="633">
      <c r="A633" s="102"/>
      <c r="B633" s="102"/>
      <c r="C633" s="102"/>
      <c r="D633" s="51"/>
      <c r="E633" s="102"/>
      <c r="F633" s="102"/>
      <c r="G633" s="103"/>
      <c r="K633" s="103"/>
      <c r="L633" s="113"/>
      <c r="M633" s="107"/>
      <c r="N633" s="106" t="str">
        <f>IF(ISBLANK(L633), "", VLOOKUP(D633, 'Info Tipo de Cambio y REM'!$A$24:$B$35, 2, FALSE))</f>
        <v/>
      </c>
      <c r="O633" s="107" t="str">
        <f t="shared" si="1"/>
        <v/>
      </c>
    </row>
    <row r="634">
      <c r="A634" s="102"/>
      <c r="B634" s="102"/>
      <c r="C634" s="102"/>
      <c r="D634" s="51"/>
      <c r="E634" s="102"/>
      <c r="F634" s="102"/>
      <c r="G634" s="103"/>
      <c r="K634" s="103"/>
      <c r="L634" s="113"/>
      <c r="M634" s="107"/>
      <c r="N634" s="106" t="str">
        <f>IF(ISBLANK(L634), "", VLOOKUP(D634, 'Info Tipo de Cambio y REM'!$A$24:$B$35, 2, FALSE))</f>
        <v/>
      </c>
      <c r="O634" s="107" t="str">
        <f t="shared" si="1"/>
        <v/>
      </c>
    </row>
    <row r="635">
      <c r="A635" s="102"/>
      <c r="B635" s="102"/>
      <c r="C635" s="102"/>
      <c r="D635" s="51"/>
      <c r="E635" s="102"/>
      <c r="F635" s="102"/>
      <c r="G635" s="103"/>
      <c r="K635" s="103"/>
      <c r="L635" s="113"/>
      <c r="M635" s="107"/>
      <c r="N635" s="106" t="str">
        <f>IF(ISBLANK(L635), "", VLOOKUP(D635, 'Info Tipo de Cambio y REM'!$A$24:$B$35, 2, FALSE))</f>
        <v/>
      </c>
      <c r="O635" s="107" t="str">
        <f t="shared" si="1"/>
        <v/>
      </c>
    </row>
    <row r="636">
      <c r="A636" s="102"/>
      <c r="B636" s="102"/>
      <c r="C636" s="102"/>
      <c r="D636" s="51"/>
      <c r="E636" s="102"/>
      <c r="F636" s="102"/>
      <c r="G636" s="103"/>
      <c r="K636" s="103"/>
      <c r="L636" s="113"/>
      <c r="M636" s="107"/>
      <c r="N636" s="106" t="str">
        <f>IF(ISBLANK(L636), "", VLOOKUP(D636, 'Info Tipo de Cambio y REM'!$A$24:$B$35, 2, FALSE))</f>
        <v/>
      </c>
      <c r="O636" s="107" t="str">
        <f t="shared" si="1"/>
        <v/>
      </c>
    </row>
    <row r="637">
      <c r="A637" s="102"/>
      <c r="B637" s="102"/>
      <c r="C637" s="102"/>
      <c r="D637" s="51"/>
      <c r="E637" s="102"/>
      <c r="F637" s="102"/>
      <c r="G637" s="103"/>
      <c r="K637" s="103"/>
      <c r="L637" s="113"/>
      <c r="M637" s="107"/>
      <c r="N637" s="106" t="str">
        <f>IF(ISBLANK(L637), "", VLOOKUP(D637, 'Info Tipo de Cambio y REM'!$A$24:$B$35, 2, FALSE))</f>
        <v/>
      </c>
      <c r="O637" s="107" t="str">
        <f t="shared" si="1"/>
        <v/>
      </c>
    </row>
    <row r="638">
      <c r="A638" s="102"/>
      <c r="B638" s="102"/>
      <c r="C638" s="102"/>
      <c r="D638" s="51"/>
      <c r="E638" s="102"/>
      <c r="F638" s="102"/>
      <c r="G638" s="103"/>
      <c r="K638" s="103"/>
      <c r="L638" s="113"/>
      <c r="M638" s="107"/>
      <c r="N638" s="106" t="str">
        <f>IF(ISBLANK(L638), "", VLOOKUP(D638, 'Info Tipo de Cambio y REM'!$A$24:$B$35, 2, FALSE))</f>
        <v/>
      </c>
      <c r="O638" s="107" t="str">
        <f t="shared" si="1"/>
        <v/>
      </c>
    </row>
    <row r="639">
      <c r="A639" s="102"/>
      <c r="B639" s="102"/>
      <c r="C639" s="102"/>
      <c r="D639" s="51"/>
      <c r="E639" s="102"/>
      <c r="F639" s="102"/>
      <c r="G639" s="103"/>
      <c r="K639" s="103"/>
      <c r="L639" s="113"/>
      <c r="M639" s="107"/>
      <c r="N639" s="106" t="str">
        <f>IF(ISBLANK(L639), "", VLOOKUP(D639, 'Info Tipo de Cambio y REM'!$A$24:$B$35, 2, FALSE))</f>
        <v/>
      </c>
      <c r="O639" s="107" t="str">
        <f t="shared" si="1"/>
        <v/>
      </c>
    </row>
    <row r="640">
      <c r="A640" s="102"/>
      <c r="B640" s="102"/>
      <c r="C640" s="102"/>
      <c r="D640" s="51"/>
      <c r="E640" s="102"/>
      <c r="F640" s="102"/>
      <c r="G640" s="103"/>
      <c r="K640" s="103"/>
      <c r="L640" s="113"/>
      <c r="M640" s="107"/>
      <c r="N640" s="106" t="str">
        <f>IF(ISBLANK(L640), "", VLOOKUP(D640, 'Info Tipo de Cambio y REM'!$A$24:$B$35, 2, FALSE))</f>
        <v/>
      </c>
      <c r="O640" s="107" t="str">
        <f t="shared" si="1"/>
        <v/>
      </c>
    </row>
    <row r="641">
      <c r="A641" s="102"/>
      <c r="B641" s="102"/>
      <c r="C641" s="102"/>
      <c r="D641" s="51"/>
      <c r="E641" s="102"/>
      <c r="F641" s="102"/>
      <c r="G641" s="103"/>
      <c r="K641" s="103"/>
      <c r="L641" s="113"/>
      <c r="M641" s="107"/>
      <c r="N641" s="106" t="str">
        <f>IF(ISBLANK(L641), "", VLOOKUP(D641, 'Info Tipo de Cambio y REM'!$A$24:$B$35, 2, FALSE))</f>
        <v/>
      </c>
      <c r="O641" s="107" t="str">
        <f t="shared" si="1"/>
        <v/>
      </c>
    </row>
    <row r="642">
      <c r="A642" s="102"/>
      <c r="B642" s="102"/>
      <c r="C642" s="102"/>
      <c r="D642" s="51"/>
      <c r="E642" s="102"/>
      <c r="F642" s="102"/>
      <c r="G642" s="103"/>
      <c r="K642" s="103"/>
      <c r="L642" s="113"/>
      <c r="M642" s="107"/>
      <c r="N642" s="106" t="str">
        <f>IF(ISBLANK(L642), "", VLOOKUP(D642, 'Info Tipo de Cambio y REM'!$A$24:$B$35, 2, FALSE))</f>
        <v/>
      </c>
      <c r="O642" s="107" t="str">
        <f t="shared" si="1"/>
        <v/>
      </c>
    </row>
    <row r="643">
      <c r="A643" s="102"/>
      <c r="B643" s="102"/>
      <c r="C643" s="102"/>
      <c r="D643" s="51"/>
      <c r="E643" s="102"/>
      <c r="F643" s="102"/>
      <c r="G643" s="103"/>
      <c r="K643" s="103"/>
      <c r="L643" s="113"/>
      <c r="M643" s="107"/>
      <c r="N643" s="106" t="str">
        <f>IF(ISBLANK(L643), "", VLOOKUP(D643, 'Info Tipo de Cambio y REM'!$A$24:$B$35, 2, FALSE))</f>
        <v/>
      </c>
      <c r="O643" s="107" t="str">
        <f t="shared" si="1"/>
        <v/>
      </c>
    </row>
    <row r="644">
      <c r="A644" s="102"/>
      <c r="B644" s="102"/>
      <c r="C644" s="102"/>
      <c r="D644" s="51"/>
      <c r="E644" s="102"/>
      <c r="F644" s="102"/>
      <c r="G644" s="103"/>
      <c r="K644" s="103"/>
      <c r="L644" s="113"/>
      <c r="M644" s="107"/>
      <c r="N644" s="106" t="str">
        <f>IF(ISBLANK(L644), "", VLOOKUP(D644, 'Info Tipo de Cambio y REM'!$A$24:$B$35, 2, FALSE))</f>
        <v/>
      </c>
      <c r="O644" s="107" t="str">
        <f t="shared" si="1"/>
        <v/>
      </c>
    </row>
    <row r="645">
      <c r="A645" s="102"/>
      <c r="B645" s="102"/>
      <c r="C645" s="102"/>
      <c r="D645" s="51"/>
      <c r="E645" s="102"/>
      <c r="F645" s="102"/>
      <c r="G645" s="103"/>
      <c r="K645" s="103"/>
      <c r="L645" s="113"/>
      <c r="M645" s="107"/>
      <c r="N645" s="106" t="str">
        <f>IF(ISBLANK(L645), "", VLOOKUP(D645, 'Info Tipo de Cambio y REM'!$A$24:$B$35, 2, FALSE))</f>
        <v/>
      </c>
      <c r="O645" s="107" t="str">
        <f t="shared" si="1"/>
        <v/>
      </c>
    </row>
    <row r="646">
      <c r="A646" s="102"/>
      <c r="B646" s="102"/>
      <c r="C646" s="102"/>
      <c r="D646" s="51"/>
      <c r="E646" s="102"/>
      <c r="F646" s="102"/>
      <c r="G646" s="103"/>
      <c r="K646" s="103"/>
      <c r="L646" s="113"/>
      <c r="M646" s="107"/>
      <c r="N646" s="106" t="str">
        <f>IF(ISBLANK(L646), "", VLOOKUP(D646, 'Info Tipo de Cambio y REM'!$A$24:$B$35, 2, FALSE))</f>
        <v/>
      </c>
      <c r="O646" s="107" t="str">
        <f t="shared" si="1"/>
        <v/>
      </c>
    </row>
    <row r="647">
      <c r="A647" s="102"/>
      <c r="B647" s="102"/>
      <c r="C647" s="102"/>
      <c r="D647" s="51"/>
      <c r="E647" s="102"/>
      <c r="F647" s="102"/>
      <c r="G647" s="103"/>
      <c r="K647" s="103"/>
      <c r="L647" s="113"/>
      <c r="M647" s="107"/>
      <c r="N647" s="106" t="str">
        <f>IF(ISBLANK(L647), "", VLOOKUP(D647, 'Info Tipo de Cambio y REM'!$A$24:$B$35, 2, FALSE))</f>
        <v/>
      </c>
      <c r="O647" s="107" t="str">
        <f t="shared" si="1"/>
        <v/>
      </c>
    </row>
    <row r="648">
      <c r="A648" s="102"/>
      <c r="B648" s="102"/>
      <c r="C648" s="102"/>
      <c r="D648" s="51"/>
      <c r="E648" s="102"/>
      <c r="F648" s="102"/>
      <c r="G648" s="103"/>
      <c r="K648" s="103"/>
      <c r="L648" s="113"/>
      <c r="M648" s="107"/>
      <c r="N648" s="106" t="str">
        <f>IF(ISBLANK(L648), "", VLOOKUP(D648, 'Info Tipo de Cambio y REM'!$A$24:$B$35, 2, FALSE))</f>
        <v/>
      </c>
      <c r="O648" s="107" t="str">
        <f t="shared" si="1"/>
        <v/>
      </c>
    </row>
    <row r="649">
      <c r="A649" s="102"/>
      <c r="B649" s="102"/>
      <c r="C649" s="102"/>
      <c r="D649" s="51"/>
      <c r="E649" s="102"/>
      <c r="F649" s="102"/>
      <c r="G649" s="103"/>
      <c r="K649" s="103"/>
      <c r="L649" s="113"/>
      <c r="M649" s="107"/>
      <c r="N649" s="106" t="str">
        <f>IF(ISBLANK(L649), "", VLOOKUP(D649, 'Info Tipo de Cambio y REM'!$A$24:$B$35, 2, FALSE))</f>
        <v/>
      </c>
      <c r="O649" s="107" t="str">
        <f t="shared" si="1"/>
        <v/>
      </c>
    </row>
    <row r="650">
      <c r="A650" s="102"/>
      <c r="B650" s="102"/>
      <c r="C650" s="102"/>
      <c r="D650" s="51"/>
      <c r="E650" s="102"/>
      <c r="F650" s="102"/>
      <c r="G650" s="103"/>
      <c r="K650" s="103"/>
      <c r="L650" s="113"/>
      <c r="M650" s="107"/>
      <c r="N650" s="106" t="str">
        <f>IF(ISBLANK(L650), "", VLOOKUP(D650, 'Info Tipo de Cambio y REM'!$A$24:$B$35, 2, FALSE))</f>
        <v/>
      </c>
      <c r="O650" s="107" t="str">
        <f t="shared" si="1"/>
        <v/>
      </c>
    </row>
    <row r="651">
      <c r="A651" s="102"/>
      <c r="B651" s="102"/>
      <c r="C651" s="102"/>
      <c r="D651" s="51"/>
      <c r="E651" s="102"/>
      <c r="F651" s="102"/>
      <c r="G651" s="103"/>
      <c r="K651" s="103"/>
      <c r="L651" s="113"/>
      <c r="M651" s="107"/>
      <c r="N651" s="106" t="str">
        <f>IF(ISBLANK(L651), "", VLOOKUP(D651, 'Info Tipo de Cambio y REM'!$A$24:$B$35, 2, FALSE))</f>
        <v/>
      </c>
      <c r="O651" s="107" t="str">
        <f t="shared" si="1"/>
        <v/>
      </c>
    </row>
    <row r="652">
      <c r="A652" s="102"/>
      <c r="B652" s="102"/>
      <c r="C652" s="102"/>
      <c r="D652" s="51"/>
      <c r="E652" s="102"/>
      <c r="F652" s="102"/>
      <c r="G652" s="103"/>
      <c r="K652" s="103"/>
      <c r="L652" s="113"/>
      <c r="M652" s="107"/>
      <c r="N652" s="106" t="str">
        <f>IF(ISBLANK(L652), "", VLOOKUP(D652, 'Info Tipo de Cambio y REM'!$A$24:$B$35, 2, FALSE))</f>
        <v/>
      </c>
      <c r="O652" s="107" t="str">
        <f t="shared" si="1"/>
        <v/>
      </c>
    </row>
    <row r="653">
      <c r="A653" s="102"/>
      <c r="B653" s="102"/>
      <c r="C653" s="102"/>
      <c r="D653" s="51"/>
      <c r="E653" s="102"/>
      <c r="F653" s="102"/>
      <c r="G653" s="103"/>
      <c r="K653" s="103"/>
      <c r="L653" s="113"/>
      <c r="M653" s="107"/>
      <c r="N653" s="106" t="str">
        <f>IF(ISBLANK(L653), "", VLOOKUP(D653, 'Info Tipo de Cambio y REM'!$A$24:$B$35, 2, FALSE))</f>
        <v/>
      </c>
      <c r="O653" s="107" t="str">
        <f t="shared" si="1"/>
        <v/>
      </c>
    </row>
    <row r="654">
      <c r="A654" s="102"/>
      <c r="B654" s="102"/>
      <c r="C654" s="102"/>
      <c r="D654" s="51"/>
      <c r="E654" s="102"/>
      <c r="F654" s="102"/>
      <c r="G654" s="103"/>
      <c r="K654" s="103"/>
      <c r="L654" s="113"/>
      <c r="M654" s="107"/>
      <c r="N654" s="106" t="str">
        <f>IF(ISBLANK(L654), "", VLOOKUP(D654, 'Info Tipo de Cambio y REM'!$A$24:$B$35, 2, FALSE))</f>
        <v/>
      </c>
      <c r="O654" s="107" t="str">
        <f t="shared" si="1"/>
        <v/>
      </c>
    </row>
    <row r="655">
      <c r="A655" s="102"/>
      <c r="B655" s="102"/>
      <c r="C655" s="102"/>
      <c r="D655" s="51"/>
      <c r="E655" s="102"/>
      <c r="F655" s="102"/>
      <c r="G655" s="103"/>
      <c r="K655" s="103"/>
      <c r="L655" s="113"/>
      <c r="M655" s="107"/>
      <c r="N655" s="106" t="str">
        <f>IF(ISBLANK(L655), "", VLOOKUP(D655, 'Info Tipo de Cambio y REM'!$A$24:$B$35, 2, FALSE))</f>
        <v/>
      </c>
      <c r="O655" s="107" t="str">
        <f t="shared" si="1"/>
        <v/>
      </c>
    </row>
    <row r="656">
      <c r="A656" s="102"/>
      <c r="B656" s="102"/>
      <c r="C656" s="102"/>
      <c r="D656" s="51"/>
      <c r="E656" s="102"/>
      <c r="F656" s="102"/>
      <c r="G656" s="103"/>
      <c r="K656" s="103"/>
      <c r="L656" s="113"/>
      <c r="M656" s="107"/>
      <c r="N656" s="106" t="str">
        <f>IF(ISBLANK(L656), "", VLOOKUP(D656, 'Info Tipo de Cambio y REM'!$A$24:$B$35, 2, FALSE))</f>
        <v/>
      </c>
      <c r="O656" s="107" t="str">
        <f t="shared" si="1"/>
        <v/>
      </c>
    </row>
    <row r="657">
      <c r="A657" s="102"/>
      <c r="B657" s="102"/>
      <c r="C657" s="102"/>
      <c r="D657" s="51"/>
      <c r="E657" s="102"/>
      <c r="F657" s="102"/>
      <c r="G657" s="103"/>
      <c r="K657" s="103"/>
      <c r="L657" s="113"/>
      <c r="M657" s="107"/>
      <c r="N657" s="106" t="str">
        <f>IF(ISBLANK(L657), "", VLOOKUP(D657, 'Info Tipo de Cambio y REM'!$A$24:$B$35, 2, FALSE))</f>
        <v/>
      </c>
      <c r="O657" s="107" t="str">
        <f t="shared" si="1"/>
        <v/>
      </c>
    </row>
    <row r="658">
      <c r="A658" s="102"/>
      <c r="B658" s="102"/>
      <c r="C658" s="102"/>
      <c r="D658" s="51"/>
      <c r="E658" s="102"/>
      <c r="F658" s="102"/>
      <c r="G658" s="103"/>
      <c r="K658" s="103"/>
      <c r="L658" s="113"/>
      <c r="M658" s="107"/>
      <c r="N658" s="106" t="str">
        <f>IF(ISBLANK(L658), "", VLOOKUP(D658, 'Info Tipo de Cambio y REM'!$A$24:$B$35, 2, FALSE))</f>
        <v/>
      </c>
      <c r="O658" s="107" t="str">
        <f t="shared" si="1"/>
        <v/>
      </c>
    </row>
    <row r="659">
      <c r="A659" s="102"/>
      <c r="B659" s="102"/>
      <c r="C659" s="102"/>
      <c r="D659" s="51"/>
      <c r="E659" s="102"/>
      <c r="F659" s="102"/>
      <c r="G659" s="103"/>
      <c r="K659" s="103"/>
      <c r="L659" s="113"/>
      <c r="M659" s="107"/>
      <c r="N659" s="106" t="str">
        <f>IF(ISBLANK(L659), "", VLOOKUP(D659, 'Info Tipo de Cambio y REM'!$A$24:$B$35, 2, FALSE))</f>
        <v/>
      </c>
      <c r="O659" s="107" t="str">
        <f t="shared" si="1"/>
        <v/>
      </c>
    </row>
    <row r="660">
      <c r="A660" s="102"/>
      <c r="B660" s="102"/>
      <c r="C660" s="102"/>
      <c r="D660" s="51"/>
      <c r="E660" s="102"/>
      <c r="F660" s="102"/>
      <c r="G660" s="103"/>
      <c r="K660" s="103"/>
      <c r="L660" s="113"/>
      <c r="M660" s="107"/>
      <c r="N660" s="106" t="str">
        <f>IF(ISBLANK(L660), "", VLOOKUP(D660, 'Info Tipo de Cambio y REM'!$A$24:$B$35, 2, FALSE))</f>
        <v/>
      </c>
      <c r="O660" s="107" t="str">
        <f t="shared" si="1"/>
        <v/>
      </c>
    </row>
    <row r="661">
      <c r="A661" s="102"/>
      <c r="B661" s="102"/>
      <c r="C661" s="102"/>
      <c r="D661" s="51"/>
      <c r="E661" s="102"/>
      <c r="F661" s="102"/>
      <c r="G661" s="103"/>
      <c r="K661" s="103"/>
      <c r="L661" s="113"/>
      <c r="M661" s="107"/>
      <c r="N661" s="106" t="str">
        <f>IF(ISBLANK(L661), "", VLOOKUP(D661, 'Info Tipo de Cambio y REM'!$A$24:$B$35, 2, FALSE))</f>
        <v/>
      </c>
      <c r="O661" s="107" t="str">
        <f t="shared" si="1"/>
        <v/>
      </c>
    </row>
    <row r="662">
      <c r="A662" s="102"/>
      <c r="B662" s="102"/>
      <c r="C662" s="102"/>
      <c r="D662" s="51"/>
      <c r="E662" s="102"/>
      <c r="F662" s="102"/>
      <c r="G662" s="103"/>
      <c r="K662" s="103"/>
      <c r="L662" s="113"/>
      <c r="M662" s="107"/>
      <c r="N662" s="106" t="str">
        <f>IF(ISBLANK(L662), "", VLOOKUP(D662, 'Info Tipo de Cambio y REM'!$A$24:$B$35, 2, FALSE))</f>
        <v/>
      </c>
      <c r="O662" s="107" t="str">
        <f t="shared" si="1"/>
        <v/>
      </c>
    </row>
    <row r="663">
      <c r="A663" s="102"/>
      <c r="B663" s="102"/>
      <c r="C663" s="102"/>
      <c r="D663" s="51"/>
      <c r="E663" s="102"/>
      <c r="F663" s="102"/>
      <c r="G663" s="103"/>
      <c r="K663" s="103"/>
      <c r="L663" s="113"/>
      <c r="M663" s="107"/>
      <c r="N663" s="106" t="str">
        <f>IF(ISBLANK(L663), "", VLOOKUP(D663, 'Info Tipo de Cambio y REM'!$A$24:$B$35, 2, FALSE))</f>
        <v/>
      </c>
      <c r="O663" s="107" t="str">
        <f t="shared" si="1"/>
        <v/>
      </c>
    </row>
    <row r="664">
      <c r="A664" s="102"/>
      <c r="B664" s="102"/>
      <c r="C664" s="102"/>
      <c r="D664" s="51"/>
      <c r="E664" s="102"/>
      <c r="F664" s="102"/>
      <c r="G664" s="103"/>
      <c r="K664" s="103"/>
      <c r="L664" s="113"/>
      <c r="M664" s="107"/>
      <c r="N664" s="106" t="str">
        <f>IF(ISBLANK(L664), "", VLOOKUP(D664, 'Info Tipo de Cambio y REM'!$A$24:$B$35, 2, FALSE))</f>
        <v/>
      </c>
      <c r="O664" s="107" t="str">
        <f t="shared" si="1"/>
        <v/>
      </c>
    </row>
    <row r="665">
      <c r="A665" s="102"/>
      <c r="B665" s="102"/>
      <c r="C665" s="102"/>
      <c r="D665" s="51"/>
      <c r="E665" s="102"/>
      <c r="F665" s="102"/>
      <c r="G665" s="103"/>
      <c r="K665" s="103"/>
      <c r="L665" s="113"/>
      <c r="M665" s="107"/>
      <c r="N665" s="106" t="str">
        <f>IF(ISBLANK(L665), "", VLOOKUP(D665, 'Info Tipo de Cambio y REM'!$A$24:$B$35, 2, FALSE))</f>
        <v/>
      </c>
      <c r="O665" s="107" t="str">
        <f t="shared" si="1"/>
        <v/>
      </c>
    </row>
    <row r="666">
      <c r="A666" s="102"/>
      <c r="B666" s="102"/>
      <c r="C666" s="102"/>
      <c r="D666" s="51"/>
      <c r="E666" s="102"/>
      <c r="F666" s="102"/>
      <c r="G666" s="103"/>
      <c r="K666" s="103"/>
      <c r="L666" s="113"/>
      <c r="M666" s="107"/>
      <c r="N666" s="106" t="str">
        <f>IF(ISBLANK(L666), "", VLOOKUP(D666, 'Info Tipo de Cambio y REM'!$A$24:$B$35, 2, FALSE))</f>
        <v/>
      </c>
      <c r="O666" s="107" t="str">
        <f t="shared" si="1"/>
        <v/>
      </c>
    </row>
    <row r="667">
      <c r="A667" s="102"/>
      <c r="B667" s="102"/>
      <c r="C667" s="102"/>
      <c r="D667" s="51"/>
      <c r="E667" s="102"/>
      <c r="F667" s="102"/>
      <c r="G667" s="103"/>
      <c r="K667" s="103"/>
      <c r="L667" s="113"/>
      <c r="M667" s="107"/>
      <c r="N667" s="106" t="str">
        <f>IF(ISBLANK(L667), "", VLOOKUP(D667, 'Info Tipo de Cambio y REM'!$A$24:$B$35, 2, FALSE))</f>
        <v/>
      </c>
      <c r="O667" s="107" t="str">
        <f t="shared" si="1"/>
        <v/>
      </c>
    </row>
    <row r="668">
      <c r="A668" s="102"/>
      <c r="B668" s="102"/>
      <c r="C668" s="102"/>
      <c r="D668" s="51"/>
      <c r="E668" s="102"/>
      <c r="F668" s="102"/>
      <c r="G668" s="103"/>
      <c r="K668" s="103"/>
      <c r="L668" s="113"/>
      <c r="M668" s="107"/>
      <c r="N668" s="106" t="str">
        <f>IF(ISBLANK(L668), "", VLOOKUP(D668, 'Info Tipo de Cambio y REM'!$A$24:$B$35, 2, FALSE))</f>
        <v/>
      </c>
      <c r="O668" s="107" t="str">
        <f t="shared" si="1"/>
        <v/>
      </c>
    </row>
    <row r="669">
      <c r="A669" s="102"/>
      <c r="B669" s="102"/>
      <c r="C669" s="102"/>
      <c r="D669" s="51"/>
      <c r="E669" s="102"/>
      <c r="F669" s="102"/>
      <c r="G669" s="103"/>
      <c r="K669" s="103"/>
      <c r="L669" s="113"/>
      <c r="M669" s="107"/>
      <c r="N669" s="106" t="str">
        <f>IF(ISBLANK(L669), "", VLOOKUP(D669, 'Info Tipo de Cambio y REM'!$A$24:$B$35, 2, FALSE))</f>
        <v/>
      </c>
      <c r="O669" s="107" t="str">
        <f t="shared" si="1"/>
        <v/>
      </c>
    </row>
    <row r="670">
      <c r="A670" s="102"/>
      <c r="B670" s="102"/>
      <c r="C670" s="102"/>
      <c r="D670" s="51"/>
      <c r="E670" s="102"/>
      <c r="F670" s="102"/>
      <c r="G670" s="103"/>
      <c r="K670" s="103"/>
      <c r="L670" s="113"/>
      <c r="M670" s="107"/>
      <c r="N670" s="106" t="str">
        <f>IF(ISBLANK(L670), "", VLOOKUP(D670, 'Info Tipo de Cambio y REM'!$A$24:$B$35, 2, FALSE))</f>
        <v/>
      </c>
      <c r="O670" s="107" t="str">
        <f t="shared" si="1"/>
        <v/>
      </c>
    </row>
    <row r="671">
      <c r="A671" s="102"/>
      <c r="B671" s="102"/>
      <c r="C671" s="102"/>
      <c r="D671" s="51"/>
      <c r="E671" s="102"/>
      <c r="F671" s="102"/>
      <c r="G671" s="103"/>
      <c r="K671" s="103"/>
      <c r="L671" s="113"/>
      <c r="M671" s="107"/>
      <c r="N671" s="106" t="str">
        <f>IF(ISBLANK(L671), "", VLOOKUP(D671, 'Info Tipo de Cambio y REM'!$A$24:$B$35, 2, FALSE))</f>
        <v/>
      </c>
      <c r="O671" s="107" t="str">
        <f t="shared" si="1"/>
        <v/>
      </c>
    </row>
    <row r="672">
      <c r="A672" s="102"/>
      <c r="B672" s="102"/>
      <c r="C672" s="102"/>
      <c r="D672" s="51"/>
      <c r="E672" s="102"/>
      <c r="F672" s="102"/>
      <c r="G672" s="103"/>
      <c r="K672" s="103"/>
      <c r="L672" s="113"/>
      <c r="M672" s="107"/>
      <c r="N672" s="106" t="str">
        <f>IF(ISBLANK(L672), "", VLOOKUP(D672, 'Info Tipo de Cambio y REM'!$A$24:$B$35, 2, FALSE))</f>
        <v/>
      </c>
      <c r="O672" s="107" t="str">
        <f t="shared" si="1"/>
        <v/>
      </c>
    </row>
    <row r="673">
      <c r="A673" s="102"/>
      <c r="B673" s="102"/>
      <c r="C673" s="102"/>
      <c r="D673" s="51"/>
      <c r="E673" s="102"/>
      <c r="F673" s="102"/>
      <c r="G673" s="103"/>
      <c r="K673" s="103"/>
      <c r="L673" s="113"/>
      <c r="M673" s="107"/>
      <c r="N673" s="106" t="str">
        <f>IF(ISBLANK(L673), "", VLOOKUP(D673, 'Info Tipo de Cambio y REM'!$A$24:$B$35, 2, FALSE))</f>
        <v/>
      </c>
      <c r="O673" s="107" t="str">
        <f t="shared" si="1"/>
        <v/>
      </c>
    </row>
    <row r="674">
      <c r="A674" s="102"/>
      <c r="B674" s="102"/>
      <c r="C674" s="102"/>
      <c r="D674" s="51"/>
      <c r="E674" s="102"/>
      <c r="F674" s="102"/>
      <c r="G674" s="103"/>
      <c r="K674" s="103"/>
      <c r="L674" s="113"/>
      <c r="M674" s="107"/>
      <c r="N674" s="106" t="str">
        <f>IF(ISBLANK(L674), "", VLOOKUP(D674, 'Info Tipo de Cambio y REM'!$A$24:$B$35, 2, FALSE))</f>
        <v/>
      </c>
      <c r="O674" s="107" t="str">
        <f t="shared" si="1"/>
        <v/>
      </c>
    </row>
    <row r="675">
      <c r="A675" s="102"/>
      <c r="B675" s="102"/>
      <c r="C675" s="102"/>
      <c r="D675" s="51"/>
      <c r="E675" s="102"/>
      <c r="F675" s="102"/>
      <c r="G675" s="103"/>
      <c r="K675" s="103"/>
      <c r="L675" s="113"/>
      <c r="M675" s="107"/>
      <c r="N675" s="106" t="str">
        <f>IF(ISBLANK(L675), "", VLOOKUP(D675, 'Info Tipo de Cambio y REM'!$A$24:$B$35, 2, FALSE))</f>
        <v/>
      </c>
      <c r="O675" s="107" t="str">
        <f t="shared" si="1"/>
        <v/>
      </c>
    </row>
    <row r="676">
      <c r="A676" s="102"/>
      <c r="B676" s="102"/>
      <c r="C676" s="102"/>
      <c r="D676" s="51"/>
      <c r="E676" s="102"/>
      <c r="F676" s="102"/>
      <c r="G676" s="103"/>
      <c r="K676" s="103"/>
      <c r="L676" s="113"/>
      <c r="M676" s="107"/>
      <c r="N676" s="106" t="str">
        <f>IF(ISBLANK(L676), "", VLOOKUP(D676, 'Info Tipo de Cambio y REM'!$A$24:$B$35, 2, FALSE))</f>
        <v/>
      </c>
      <c r="O676" s="107" t="str">
        <f t="shared" si="1"/>
        <v/>
      </c>
    </row>
    <row r="677">
      <c r="A677" s="102"/>
      <c r="B677" s="102"/>
      <c r="C677" s="102"/>
      <c r="D677" s="51"/>
      <c r="E677" s="102"/>
      <c r="F677" s="102"/>
      <c r="G677" s="103"/>
      <c r="K677" s="103"/>
      <c r="L677" s="113"/>
      <c r="M677" s="107"/>
      <c r="N677" s="106" t="str">
        <f>IF(ISBLANK(L677), "", VLOOKUP(D677, 'Info Tipo de Cambio y REM'!$A$24:$B$35, 2, FALSE))</f>
        <v/>
      </c>
      <c r="O677" s="107" t="str">
        <f t="shared" si="1"/>
        <v/>
      </c>
    </row>
    <row r="678">
      <c r="A678" s="102"/>
      <c r="B678" s="102"/>
      <c r="C678" s="102"/>
      <c r="D678" s="51"/>
      <c r="E678" s="102"/>
      <c r="F678" s="102"/>
      <c r="G678" s="103"/>
      <c r="K678" s="103"/>
      <c r="L678" s="113"/>
      <c r="M678" s="107"/>
      <c r="N678" s="106" t="str">
        <f>IF(ISBLANK(L678), "", VLOOKUP(D678, 'Info Tipo de Cambio y REM'!$A$24:$B$35, 2, FALSE))</f>
        <v/>
      </c>
      <c r="O678" s="107" t="str">
        <f t="shared" si="1"/>
        <v/>
      </c>
    </row>
    <row r="679">
      <c r="A679" s="102"/>
      <c r="B679" s="102"/>
      <c r="C679" s="102"/>
      <c r="D679" s="51"/>
      <c r="E679" s="102"/>
      <c r="F679" s="102"/>
      <c r="G679" s="103"/>
      <c r="K679" s="103"/>
      <c r="L679" s="113"/>
      <c r="M679" s="107"/>
      <c r="N679" s="106" t="str">
        <f>IF(ISBLANK(L679), "", VLOOKUP(D679, 'Info Tipo de Cambio y REM'!$A$24:$B$35, 2, FALSE))</f>
        <v/>
      </c>
      <c r="O679" s="107" t="str">
        <f t="shared" si="1"/>
        <v/>
      </c>
    </row>
    <row r="680">
      <c r="A680" s="102"/>
      <c r="B680" s="102"/>
      <c r="C680" s="102"/>
      <c r="D680" s="51"/>
      <c r="E680" s="102"/>
      <c r="F680" s="102"/>
      <c r="G680" s="103"/>
      <c r="K680" s="103"/>
      <c r="L680" s="113"/>
      <c r="M680" s="107"/>
      <c r="N680" s="106" t="str">
        <f>IF(ISBLANK(L680), "", VLOOKUP(D680, 'Info Tipo de Cambio y REM'!$A$24:$B$35, 2, FALSE))</f>
        <v/>
      </c>
      <c r="O680" s="107" t="str">
        <f t="shared" si="1"/>
        <v/>
      </c>
    </row>
    <row r="681">
      <c r="A681" s="102"/>
      <c r="B681" s="102"/>
      <c r="C681" s="102"/>
      <c r="D681" s="51"/>
      <c r="E681" s="102"/>
      <c r="F681" s="102"/>
      <c r="G681" s="103"/>
      <c r="K681" s="103"/>
      <c r="L681" s="113"/>
      <c r="M681" s="107"/>
      <c r="N681" s="106" t="str">
        <f>IF(ISBLANK(L681), "", VLOOKUP(D681, 'Info Tipo de Cambio y REM'!$A$24:$B$35, 2, FALSE))</f>
        <v/>
      </c>
      <c r="O681" s="107" t="str">
        <f t="shared" si="1"/>
        <v/>
      </c>
    </row>
    <row r="682">
      <c r="A682" s="102"/>
      <c r="B682" s="102"/>
      <c r="C682" s="102"/>
      <c r="D682" s="51"/>
      <c r="E682" s="102"/>
      <c r="F682" s="102"/>
      <c r="G682" s="103"/>
      <c r="K682" s="103"/>
      <c r="L682" s="113"/>
      <c r="M682" s="107"/>
      <c r="N682" s="106" t="str">
        <f>IF(ISBLANK(L682), "", VLOOKUP(D682, 'Info Tipo de Cambio y REM'!$A$24:$B$35, 2, FALSE))</f>
        <v/>
      </c>
      <c r="O682" s="107" t="str">
        <f t="shared" si="1"/>
        <v/>
      </c>
    </row>
    <row r="683">
      <c r="A683" s="102"/>
      <c r="B683" s="102"/>
      <c r="C683" s="102"/>
      <c r="D683" s="51"/>
      <c r="E683" s="102"/>
      <c r="F683" s="102"/>
      <c r="G683" s="103"/>
      <c r="K683" s="103"/>
      <c r="L683" s="113"/>
      <c r="M683" s="107"/>
      <c r="N683" s="106" t="str">
        <f>IF(ISBLANK(L683), "", VLOOKUP(D683, 'Info Tipo de Cambio y REM'!$A$24:$B$35, 2, FALSE))</f>
        <v/>
      </c>
      <c r="O683" s="107" t="str">
        <f t="shared" si="1"/>
        <v/>
      </c>
    </row>
    <row r="684">
      <c r="A684" s="102"/>
      <c r="B684" s="102"/>
      <c r="C684" s="102"/>
      <c r="D684" s="51"/>
      <c r="E684" s="102"/>
      <c r="F684" s="102"/>
      <c r="G684" s="103"/>
      <c r="K684" s="103"/>
      <c r="L684" s="113"/>
      <c r="M684" s="107"/>
      <c r="N684" s="106" t="str">
        <f>IF(ISBLANK(L684), "", VLOOKUP(D684, 'Info Tipo de Cambio y REM'!$A$24:$B$35, 2, FALSE))</f>
        <v/>
      </c>
      <c r="O684" s="107" t="str">
        <f t="shared" si="1"/>
        <v/>
      </c>
    </row>
    <row r="685">
      <c r="A685" s="102"/>
      <c r="B685" s="102"/>
      <c r="C685" s="102"/>
      <c r="D685" s="51"/>
      <c r="E685" s="102"/>
      <c r="F685" s="102"/>
      <c r="G685" s="103"/>
      <c r="K685" s="103"/>
      <c r="L685" s="113"/>
      <c r="M685" s="107"/>
      <c r="N685" s="106" t="str">
        <f>IF(ISBLANK(L685), "", VLOOKUP(D685, 'Info Tipo de Cambio y REM'!$A$24:$B$35, 2, FALSE))</f>
        <v/>
      </c>
      <c r="O685" s="107" t="str">
        <f t="shared" si="1"/>
        <v/>
      </c>
    </row>
    <row r="686">
      <c r="A686" s="102"/>
      <c r="B686" s="102"/>
      <c r="C686" s="102"/>
      <c r="D686" s="51"/>
      <c r="E686" s="102"/>
      <c r="F686" s="102"/>
      <c r="G686" s="103"/>
      <c r="K686" s="103"/>
      <c r="L686" s="113"/>
      <c r="M686" s="107"/>
      <c r="N686" s="106" t="str">
        <f>IF(ISBLANK(L686), "", VLOOKUP(D686, 'Info Tipo de Cambio y REM'!$A$24:$B$35, 2, FALSE))</f>
        <v/>
      </c>
      <c r="O686" s="107" t="str">
        <f t="shared" si="1"/>
        <v/>
      </c>
    </row>
    <row r="687">
      <c r="A687" s="102"/>
      <c r="B687" s="102"/>
      <c r="C687" s="102"/>
      <c r="D687" s="51"/>
      <c r="E687" s="102"/>
      <c r="F687" s="102"/>
      <c r="G687" s="103"/>
      <c r="K687" s="103"/>
      <c r="L687" s="113"/>
      <c r="M687" s="107"/>
      <c r="N687" s="106" t="str">
        <f>IF(ISBLANK(L687), "", VLOOKUP(D687, 'Info Tipo de Cambio y REM'!$A$24:$B$35, 2, FALSE))</f>
        <v/>
      </c>
      <c r="O687" s="107" t="str">
        <f t="shared" si="1"/>
        <v/>
      </c>
    </row>
    <row r="688">
      <c r="A688" s="102"/>
      <c r="B688" s="102"/>
      <c r="C688" s="102"/>
      <c r="D688" s="51"/>
      <c r="E688" s="102"/>
      <c r="F688" s="102"/>
      <c r="G688" s="103"/>
      <c r="K688" s="103"/>
      <c r="L688" s="113"/>
      <c r="M688" s="107"/>
      <c r="N688" s="106" t="str">
        <f>IF(ISBLANK(L688), "", VLOOKUP(D688, 'Info Tipo de Cambio y REM'!$A$24:$B$35, 2, FALSE))</f>
        <v/>
      </c>
      <c r="O688" s="107" t="str">
        <f t="shared" si="1"/>
        <v/>
      </c>
    </row>
    <row r="689">
      <c r="A689" s="102"/>
      <c r="B689" s="102"/>
      <c r="C689" s="102"/>
      <c r="D689" s="51"/>
      <c r="E689" s="102"/>
      <c r="F689" s="102"/>
      <c r="G689" s="103"/>
      <c r="K689" s="103"/>
      <c r="L689" s="113"/>
      <c r="M689" s="107"/>
      <c r="N689" s="106" t="str">
        <f>IF(ISBLANK(L689), "", VLOOKUP(D689, 'Info Tipo de Cambio y REM'!$A$24:$B$35, 2, FALSE))</f>
        <v/>
      </c>
      <c r="O689" s="107" t="str">
        <f t="shared" si="1"/>
        <v/>
      </c>
    </row>
    <row r="690">
      <c r="A690" s="102"/>
      <c r="B690" s="102"/>
      <c r="C690" s="102"/>
      <c r="D690" s="51"/>
      <c r="E690" s="102"/>
      <c r="F690" s="102"/>
      <c r="G690" s="103"/>
      <c r="K690" s="103"/>
      <c r="L690" s="113"/>
      <c r="M690" s="107"/>
      <c r="N690" s="106" t="str">
        <f>IF(ISBLANK(L690), "", VLOOKUP(D690, 'Info Tipo de Cambio y REM'!$A$24:$B$35, 2, FALSE))</f>
        <v/>
      </c>
      <c r="O690" s="107" t="str">
        <f t="shared" si="1"/>
        <v/>
      </c>
    </row>
    <row r="691">
      <c r="A691" s="102"/>
      <c r="B691" s="102"/>
      <c r="C691" s="102"/>
      <c r="D691" s="51"/>
      <c r="E691" s="102"/>
      <c r="F691" s="102"/>
      <c r="G691" s="103"/>
      <c r="K691" s="103"/>
      <c r="L691" s="113"/>
      <c r="M691" s="107"/>
      <c r="N691" s="106" t="str">
        <f>IF(ISBLANK(L691), "", VLOOKUP(D691, 'Info Tipo de Cambio y REM'!$A$24:$B$35, 2, FALSE))</f>
        <v/>
      </c>
      <c r="O691" s="107" t="str">
        <f t="shared" si="1"/>
        <v/>
      </c>
    </row>
    <row r="692">
      <c r="A692" s="102"/>
      <c r="B692" s="102"/>
      <c r="C692" s="102"/>
      <c r="D692" s="51"/>
      <c r="E692" s="102"/>
      <c r="F692" s="102"/>
      <c r="G692" s="103"/>
      <c r="K692" s="103"/>
      <c r="L692" s="113"/>
      <c r="M692" s="107"/>
      <c r="N692" s="106" t="str">
        <f>IF(ISBLANK(L692), "", VLOOKUP(D692, 'Info Tipo de Cambio y REM'!$A$24:$B$35, 2, FALSE))</f>
        <v/>
      </c>
      <c r="O692" s="107" t="str">
        <f t="shared" si="1"/>
        <v/>
      </c>
    </row>
    <row r="693">
      <c r="A693" s="102"/>
      <c r="B693" s="102"/>
      <c r="C693" s="102"/>
      <c r="D693" s="51"/>
      <c r="E693" s="102"/>
      <c r="F693" s="102"/>
      <c r="G693" s="103"/>
      <c r="K693" s="103"/>
      <c r="L693" s="113"/>
      <c r="M693" s="107"/>
      <c r="N693" s="106" t="str">
        <f>IF(ISBLANK(L693), "", VLOOKUP(D693, 'Info Tipo de Cambio y REM'!$A$24:$B$35, 2, FALSE))</f>
        <v/>
      </c>
      <c r="O693" s="107" t="str">
        <f t="shared" si="1"/>
        <v/>
      </c>
    </row>
    <row r="694">
      <c r="A694" s="102"/>
      <c r="B694" s="102"/>
      <c r="C694" s="102"/>
      <c r="D694" s="51"/>
      <c r="E694" s="102"/>
      <c r="F694" s="102"/>
      <c r="G694" s="103"/>
      <c r="K694" s="103"/>
      <c r="L694" s="113"/>
      <c r="M694" s="107"/>
      <c r="N694" s="106" t="str">
        <f>IF(ISBLANK(L694), "", VLOOKUP(D694, 'Info Tipo de Cambio y REM'!$A$24:$B$35, 2, FALSE))</f>
        <v/>
      </c>
      <c r="O694" s="107" t="str">
        <f t="shared" si="1"/>
        <v/>
      </c>
    </row>
    <row r="695">
      <c r="A695" s="102"/>
      <c r="B695" s="102"/>
      <c r="C695" s="102"/>
      <c r="D695" s="51"/>
      <c r="E695" s="102"/>
      <c r="F695" s="102"/>
      <c r="G695" s="103"/>
      <c r="K695" s="103"/>
      <c r="L695" s="113"/>
      <c r="M695" s="107"/>
      <c r="N695" s="106" t="str">
        <f>IF(ISBLANK(L695), "", VLOOKUP(D695, 'Info Tipo de Cambio y REM'!$A$24:$B$35, 2, FALSE))</f>
        <v/>
      </c>
      <c r="O695" s="107" t="str">
        <f t="shared" si="1"/>
        <v/>
      </c>
    </row>
    <row r="696">
      <c r="A696" s="102"/>
      <c r="B696" s="102"/>
      <c r="C696" s="102"/>
      <c r="D696" s="51"/>
      <c r="E696" s="102"/>
      <c r="F696" s="102"/>
      <c r="G696" s="103"/>
      <c r="K696" s="103"/>
      <c r="L696" s="113"/>
      <c r="M696" s="107"/>
      <c r="N696" s="106" t="str">
        <f>IF(ISBLANK(L696), "", VLOOKUP(D696, 'Info Tipo de Cambio y REM'!$A$24:$B$35, 2, FALSE))</f>
        <v/>
      </c>
      <c r="O696" s="107" t="str">
        <f t="shared" si="1"/>
        <v/>
      </c>
    </row>
    <row r="697">
      <c r="A697" s="102"/>
      <c r="B697" s="102"/>
      <c r="C697" s="102"/>
      <c r="D697" s="51"/>
      <c r="E697" s="102"/>
      <c r="F697" s="102"/>
      <c r="G697" s="103"/>
      <c r="K697" s="103"/>
      <c r="L697" s="113"/>
      <c r="M697" s="107"/>
      <c r="N697" s="106" t="str">
        <f>IF(ISBLANK(L697), "", VLOOKUP(D697, 'Info Tipo de Cambio y REM'!$A$24:$B$35, 2, FALSE))</f>
        <v/>
      </c>
      <c r="O697" s="107" t="str">
        <f t="shared" si="1"/>
        <v/>
      </c>
    </row>
    <row r="698">
      <c r="A698" s="102"/>
      <c r="B698" s="102"/>
      <c r="C698" s="102"/>
      <c r="D698" s="51"/>
      <c r="E698" s="102"/>
      <c r="F698" s="102"/>
      <c r="G698" s="103"/>
      <c r="K698" s="103"/>
      <c r="L698" s="113"/>
      <c r="M698" s="107"/>
      <c r="N698" s="106" t="str">
        <f>IF(ISBLANK(L698), "", VLOOKUP(D698, 'Info Tipo de Cambio y REM'!$A$24:$B$35, 2, FALSE))</f>
        <v/>
      </c>
      <c r="O698" s="107" t="str">
        <f t="shared" si="1"/>
        <v/>
      </c>
    </row>
    <row r="699">
      <c r="A699" s="102"/>
      <c r="B699" s="102"/>
      <c r="C699" s="102"/>
      <c r="D699" s="51"/>
      <c r="E699" s="102"/>
      <c r="F699" s="102"/>
      <c r="G699" s="103"/>
      <c r="K699" s="103"/>
      <c r="L699" s="113"/>
      <c r="M699" s="107"/>
      <c r="N699" s="106" t="str">
        <f>IF(ISBLANK(L699), "", VLOOKUP(D699, 'Info Tipo de Cambio y REM'!$A$24:$B$35, 2, FALSE))</f>
        <v/>
      </c>
      <c r="O699" s="107" t="str">
        <f t="shared" si="1"/>
        <v/>
      </c>
    </row>
    <row r="700">
      <c r="A700" s="102"/>
      <c r="B700" s="102"/>
      <c r="C700" s="102"/>
      <c r="D700" s="51"/>
      <c r="E700" s="102"/>
      <c r="F700" s="102"/>
      <c r="G700" s="103"/>
      <c r="K700" s="103"/>
      <c r="L700" s="113"/>
      <c r="M700" s="107"/>
      <c r="N700" s="106" t="str">
        <f>IF(ISBLANK(L700), "", VLOOKUP(D700, 'Info Tipo de Cambio y REM'!$A$24:$B$35, 2, FALSE))</f>
        <v/>
      </c>
      <c r="O700" s="107" t="str">
        <f t="shared" si="1"/>
        <v/>
      </c>
    </row>
    <row r="701">
      <c r="A701" s="102"/>
      <c r="B701" s="102"/>
      <c r="C701" s="102"/>
      <c r="D701" s="51"/>
      <c r="E701" s="102"/>
      <c r="F701" s="102"/>
      <c r="G701" s="103"/>
      <c r="K701" s="103"/>
      <c r="L701" s="113"/>
      <c r="M701" s="107"/>
      <c r="N701" s="106" t="str">
        <f>IF(ISBLANK(L701), "", VLOOKUP(D701, 'Info Tipo de Cambio y REM'!$A$24:$B$35, 2, FALSE))</f>
        <v/>
      </c>
      <c r="O701" s="107" t="str">
        <f t="shared" si="1"/>
        <v/>
      </c>
    </row>
    <row r="702">
      <c r="A702" s="102"/>
      <c r="B702" s="102"/>
      <c r="C702" s="102"/>
      <c r="D702" s="51"/>
      <c r="E702" s="102"/>
      <c r="F702" s="102"/>
      <c r="G702" s="103"/>
      <c r="K702" s="103"/>
      <c r="L702" s="113"/>
      <c r="M702" s="107"/>
      <c r="N702" s="106" t="str">
        <f>IF(ISBLANK(L702), "", VLOOKUP(D702, 'Info Tipo de Cambio y REM'!$A$24:$B$35, 2, FALSE))</f>
        <v/>
      </c>
      <c r="O702" s="107" t="str">
        <f t="shared" si="1"/>
        <v/>
      </c>
    </row>
    <row r="703">
      <c r="A703" s="102"/>
      <c r="B703" s="102"/>
      <c r="C703" s="102"/>
      <c r="D703" s="51"/>
      <c r="E703" s="102"/>
      <c r="F703" s="102"/>
      <c r="G703" s="103"/>
      <c r="K703" s="103"/>
      <c r="L703" s="113"/>
      <c r="M703" s="107"/>
      <c r="N703" s="106" t="str">
        <f>IF(ISBLANK(L703), "", VLOOKUP(D703, 'Info Tipo de Cambio y REM'!$A$24:$B$35, 2, FALSE))</f>
        <v/>
      </c>
      <c r="O703" s="107" t="str">
        <f t="shared" si="1"/>
        <v/>
      </c>
    </row>
    <row r="704">
      <c r="A704" s="102"/>
      <c r="B704" s="102"/>
      <c r="C704" s="102"/>
      <c r="D704" s="51"/>
      <c r="E704" s="102"/>
      <c r="F704" s="102"/>
      <c r="G704" s="103"/>
      <c r="K704" s="103"/>
      <c r="L704" s="113"/>
      <c r="M704" s="107"/>
      <c r="N704" s="106" t="str">
        <f>IF(ISBLANK(L704), "", VLOOKUP(D704, 'Info Tipo de Cambio y REM'!$A$24:$B$35, 2, FALSE))</f>
        <v/>
      </c>
      <c r="O704" s="107" t="str">
        <f t="shared" si="1"/>
        <v/>
      </c>
    </row>
    <row r="705">
      <c r="A705" s="102"/>
      <c r="B705" s="102"/>
      <c r="C705" s="102"/>
      <c r="D705" s="51"/>
      <c r="E705" s="102"/>
      <c r="F705" s="102"/>
      <c r="G705" s="103"/>
      <c r="K705" s="103"/>
      <c r="L705" s="113"/>
      <c r="M705" s="107"/>
      <c r="N705" s="106" t="str">
        <f>IF(ISBLANK(L705), "", VLOOKUP(D705, 'Info Tipo de Cambio y REM'!$A$24:$B$35, 2, FALSE))</f>
        <v/>
      </c>
      <c r="O705" s="107" t="str">
        <f t="shared" si="1"/>
        <v/>
      </c>
    </row>
    <row r="706">
      <c r="A706" s="102"/>
      <c r="B706" s="102"/>
      <c r="C706" s="102"/>
      <c r="D706" s="51"/>
      <c r="E706" s="102"/>
      <c r="F706" s="102"/>
      <c r="G706" s="103"/>
      <c r="K706" s="103"/>
      <c r="L706" s="113"/>
      <c r="M706" s="107"/>
      <c r="N706" s="106" t="str">
        <f>IF(ISBLANK(L706), "", VLOOKUP(D706, 'Info Tipo de Cambio y REM'!$A$24:$B$35, 2, FALSE))</f>
        <v/>
      </c>
      <c r="O706" s="107" t="str">
        <f t="shared" si="1"/>
        <v/>
      </c>
    </row>
    <row r="707">
      <c r="A707" s="102"/>
      <c r="B707" s="102"/>
      <c r="C707" s="102"/>
      <c r="D707" s="51"/>
      <c r="E707" s="102"/>
      <c r="F707" s="102"/>
      <c r="G707" s="103"/>
      <c r="K707" s="103"/>
      <c r="L707" s="113"/>
      <c r="M707" s="107"/>
      <c r="N707" s="106" t="str">
        <f>IF(ISBLANK(L707), "", VLOOKUP(D707, 'Info Tipo de Cambio y REM'!$A$24:$B$35, 2, FALSE))</f>
        <v/>
      </c>
      <c r="O707" s="107" t="str">
        <f t="shared" si="1"/>
        <v/>
      </c>
    </row>
    <row r="708">
      <c r="A708" s="102"/>
      <c r="B708" s="102"/>
      <c r="C708" s="102"/>
      <c r="D708" s="51"/>
      <c r="E708" s="102"/>
      <c r="F708" s="102"/>
      <c r="G708" s="103"/>
      <c r="K708" s="103"/>
      <c r="L708" s="113"/>
      <c r="M708" s="107"/>
      <c r="N708" s="106" t="str">
        <f>IF(ISBLANK(L708), "", VLOOKUP(D708, 'Info Tipo de Cambio y REM'!$A$24:$B$35, 2, FALSE))</f>
        <v/>
      </c>
      <c r="O708" s="107" t="str">
        <f t="shared" si="1"/>
        <v/>
      </c>
    </row>
    <row r="709">
      <c r="A709" s="102"/>
      <c r="B709" s="102"/>
      <c r="C709" s="102"/>
      <c r="D709" s="51"/>
      <c r="E709" s="102"/>
      <c r="F709" s="102"/>
      <c r="G709" s="103"/>
      <c r="K709" s="103"/>
      <c r="L709" s="113"/>
      <c r="M709" s="107"/>
      <c r="N709" s="106" t="str">
        <f>IF(ISBLANK(L709), "", VLOOKUP(D709, 'Info Tipo de Cambio y REM'!$A$24:$B$35, 2, FALSE))</f>
        <v/>
      </c>
      <c r="O709" s="107" t="str">
        <f t="shared" si="1"/>
        <v/>
      </c>
    </row>
    <row r="710">
      <c r="A710" s="102"/>
      <c r="B710" s="102"/>
      <c r="C710" s="102"/>
      <c r="D710" s="51"/>
      <c r="E710" s="102"/>
      <c r="F710" s="102"/>
      <c r="G710" s="103"/>
      <c r="K710" s="103"/>
      <c r="L710" s="113"/>
      <c r="M710" s="107"/>
      <c r="N710" s="106" t="str">
        <f>IF(ISBLANK(L710), "", VLOOKUP(D710, 'Info Tipo de Cambio y REM'!$A$24:$B$35, 2, FALSE))</f>
        <v/>
      </c>
      <c r="O710" s="107" t="str">
        <f t="shared" si="1"/>
        <v/>
      </c>
    </row>
    <row r="711">
      <c r="A711" s="102"/>
      <c r="B711" s="102"/>
      <c r="C711" s="102"/>
      <c r="D711" s="51"/>
      <c r="E711" s="102"/>
      <c r="F711" s="102"/>
      <c r="G711" s="103"/>
      <c r="K711" s="103"/>
      <c r="L711" s="113"/>
      <c r="M711" s="107"/>
      <c r="N711" s="106" t="str">
        <f>IF(ISBLANK(L711), "", VLOOKUP(D711, 'Info Tipo de Cambio y REM'!$A$24:$B$35, 2, FALSE))</f>
        <v/>
      </c>
      <c r="O711" s="107" t="str">
        <f t="shared" si="1"/>
        <v/>
      </c>
    </row>
    <row r="712">
      <c r="A712" s="102"/>
      <c r="B712" s="102"/>
      <c r="C712" s="102"/>
      <c r="D712" s="51"/>
      <c r="E712" s="102"/>
      <c r="F712" s="102"/>
      <c r="G712" s="103"/>
      <c r="K712" s="103"/>
      <c r="L712" s="113"/>
      <c r="M712" s="107"/>
      <c r="N712" s="106" t="str">
        <f>IF(ISBLANK(L712), "", VLOOKUP(D712, 'Info Tipo de Cambio y REM'!$A$24:$B$35, 2, FALSE))</f>
        <v/>
      </c>
      <c r="O712" s="107" t="str">
        <f t="shared" si="1"/>
        <v/>
      </c>
    </row>
    <row r="713">
      <c r="A713" s="102"/>
      <c r="B713" s="102"/>
      <c r="C713" s="102"/>
      <c r="D713" s="51"/>
      <c r="E713" s="102"/>
      <c r="F713" s="102"/>
      <c r="G713" s="103"/>
      <c r="K713" s="103"/>
      <c r="L713" s="113"/>
      <c r="M713" s="107"/>
      <c r="N713" s="106" t="str">
        <f>IF(ISBLANK(L713), "", VLOOKUP(D713, 'Info Tipo de Cambio y REM'!$A$24:$B$35, 2, FALSE))</f>
        <v/>
      </c>
      <c r="O713" s="107" t="str">
        <f t="shared" si="1"/>
        <v/>
      </c>
    </row>
    <row r="714">
      <c r="A714" s="102"/>
      <c r="B714" s="102"/>
      <c r="C714" s="102"/>
      <c r="D714" s="51"/>
      <c r="E714" s="102"/>
      <c r="F714" s="102"/>
      <c r="G714" s="103"/>
      <c r="K714" s="103"/>
      <c r="L714" s="113"/>
      <c r="M714" s="107"/>
      <c r="N714" s="106" t="str">
        <f>IF(ISBLANK(L714), "", VLOOKUP(D714, 'Info Tipo de Cambio y REM'!$A$24:$B$35, 2, FALSE))</f>
        <v/>
      </c>
      <c r="O714" s="107" t="str">
        <f t="shared" si="1"/>
        <v/>
      </c>
    </row>
    <row r="715">
      <c r="A715" s="102"/>
      <c r="B715" s="102"/>
      <c r="C715" s="102"/>
      <c r="D715" s="51"/>
      <c r="E715" s="102"/>
      <c r="F715" s="102"/>
      <c r="G715" s="103"/>
      <c r="K715" s="103"/>
      <c r="L715" s="113"/>
      <c r="M715" s="107"/>
      <c r="N715" s="106" t="str">
        <f>IF(ISBLANK(L715), "", VLOOKUP(D715, 'Info Tipo de Cambio y REM'!$A$24:$B$35, 2, FALSE))</f>
        <v/>
      </c>
      <c r="O715" s="107" t="str">
        <f t="shared" si="1"/>
        <v/>
      </c>
    </row>
    <row r="716">
      <c r="A716" s="102"/>
      <c r="B716" s="102"/>
      <c r="C716" s="102"/>
      <c r="D716" s="51"/>
      <c r="E716" s="102"/>
      <c r="F716" s="102"/>
      <c r="G716" s="103"/>
      <c r="K716" s="103"/>
      <c r="L716" s="113"/>
      <c r="M716" s="107"/>
      <c r="N716" s="106" t="str">
        <f>IF(ISBLANK(L716), "", VLOOKUP(D716, 'Info Tipo de Cambio y REM'!$A$24:$B$35, 2, FALSE))</f>
        <v/>
      </c>
      <c r="O716" s="107" t="str">
        <f t="shared" si="1"/>
        <v/>
      </c>
    </row>
    <row r="717">
      <c r="A717" s="102"/>
      <c r="B717" s="102"/>
      <c r="C717" s="102"/>
      <c r="D717" s="51"/>
      <c r="E717" s="102"/>
      <c r="F717" s="102"/>
      <c r="G717" s="103"/>
      <c r="K717" s="103"/>
      <c r="L717" s="113"/>
      <c r="M717" s="107"/>
      <c r="N717" s="106" t="str">
        <f>IF(ISBLANK(L717), "", VLOOKUP(D717, 'Info Tipo de Cambio y REM'!$A$24:$B$35, 2, FALSE))</f>
        <v/>
      </c>
      <c r="O717" s="107" t="str">
        <f t="shared" si="1"/>
        <v/>
      </c>
    </row>
    <row r="718">
      <c r="A718" s="102"/>
      <c r="B718" s="102"/>
      <c r="C718" s="102"/>
      <c r="D718" s="51"/>
      <c r="E718" s="102"/>
      <c r="F718" s="102"/>
      <c r="G718" s="103"/>
      <c r="K718" s="103"/>
      <c r="L718" s="113"/>
      <c r="M718" s="107"/>
      <c r="N718" s="106" t="str">
        <f>IF(ISBLANK(L718), "", VLOOKUP(D718, 'Info Tipo de Cambio y REM'!$A$24:$B$35, 2, FALSE))</f>
        <v/>
      </c>
      <c r="O718" s="107" t="str">
        <f t="shared" si="1"/>
        <v/>
      </c>
    </row>
    <row r="719">
      <c r="A719" s="102"/>
      <c r="B719" s="102"/>
      <c r="C719" s="102"/>
      <c r="D719" s="51"/>
      <c r="E719" s="102"/>
      <c r="F719" s="102"/>
      <c r="G719" s="103"/>
      <c r="K719" s="103"/>
      <c r="L719" s="113"/>
      <c r="M719" s="107"/>
      <c r="N719" s="106" t="str">
        <f>IF(ISBLANK(L719), "", VLOOKUP(D719, 'Info Tipo de Cambio y REM'!$A$24:$B$35, 2, FALSE))</f>
        <v/>
      </c>
      <c r="O719" s="107" t="str">
        <f t="shared" si="1"/>
        <v/>
      </c>
    </row>
    <row r="720">
      <c r="A720" s="102"/>
      <c r="B720" s="102"/>
      <c r="C720" s="102"/>
      <c r="D720" s="51"/>
      <c r="E720" s="102"/>
      <c r="F720" s="102"/>
      <c r="G720" s="103"/>
      <c r="K720" s="103"/>
      <c r="L720" s="113"/>
      <c r="M720" s="107"/>
      <c r="N720" s="106" t="str">
        <f>IF(ISBLANK(L720), "", VLOOKUP(D720, 'Info Tipo de Cambio y REM'!$A$24:$B$35, 2, FALSE))</f>
        <v/>
      </c>
      <c r="O720" s="107" t="str">
        <f t="shared" si="1"/>
        <v/>
      </c>
    </row>
    <row r="721">
      <c r="A721" s="102"/>
      <c r="B721" s="102"/>
      <c r="C721" s="102"/>
      <c r="D721" s="51"/>
      <c r="E721" s="102"/>
      <c r="F721" s="102"/>
      <c r="G721" s="103"/>
      <c r="K721" s="103"/>
      <c r="L721" s="113"/>
      <c r="M721" s="107"/>
      <c r="N721" s="106" t="str">
        <f>IF(ISBLANK(L721), "", VLOOKUP(D721, 'Info Tipo de Cambio y REM'!$A$24:$B$35, 2, FALSE))</f>
        <v/>
      </c>
      <c r="O721" s="107" t="str">
        <f t="shared" si="1"/>
        <v/>
      </c>
    </row>
    <row r="722">
      <c r="A722" s="102"/>
      <c r="B722" s="102"/>
      <c r="C722" s="102"/>
      <c r="D722" s="51"/>
      <c r="E722" s="102"/>
      <c r="F722" s="102"/>
      <c r="G722" s="103"/>
      <c r="K722" s="103"/>
      <c r="L722" s="113"/>
      <c r="M722" s="107"/>
      <c r="N722" s="106" t="str">
        <f>IF(ISBLANK(L722), "", VLOOKUP(D722, 'Info Tipo de Cambio y REM'!$A$24:$B$35, 2, FALSE))</f>
        <v/>
      </c>
      <c r="O722" s="107" t="str">
        <f t="shared" si="1"/>
        <v/>
      </c>
    </row>
    <row r="723">
      <c r="A723" s="102"/>
      <c r="B723" s="102"/>
      <c r="C723" s="102"/>
      <c r="D723" s="51"/>
      <c r="E723" s="102"/>
      <c r="F723" s="102"/>
      <c r="G723" s="103"/>
      <c r="K723" s="103"/>
      <c r="L723" s="113"/>
      <c r="M723" s="107"/>
      <c r="N723" s="106" t="str">
        <f>IF(ISBLANK(L723), "", VLOOKUP(D723, 'Info Tipo de Cambio y REM'!$A$24:$B$35, 2, FALSE))</f>
        <v/>
      </c>
      <c r="O723" s="107" t="str">
        <f t="shared" si="1"/>
        <v/>
      </c>
    </row>
    <row r="724">
      <c r="A724" s="102"/>
      <c r="B724" s="102"/>
      <c r="C724" s="102"/>
      <c r="D724" s="51"/>
      <c r="E724" s="102"/>
      <c r="F724" s="102"/>
      <c r="G724" s="103"/>
      <c r="K724" s="103"/>
      <c r="L724" s="113"/>
      <c r="M724" s="107"/>
      <c r="N724" s="106" t="str">
        <f>IF(ISBLANK(L724), "", VLOOKUP(D724, 'Info Tipo de Cambio y REM'!$A$24:$B$35, 2, FALSE))</f>
        <v/>
      </c>
      <c r="O724" s="107" t="str">
        <f t="shared" si="1"/>
        <v/>
      </c>
    </row>
    <row r="725">
      <c r="A725" s="102"/>
      <c r="B725" s="102"/>
      <c r="C725" s="102"/>
      <c r="D725" s="51"/>
      <c r="E725" s="102"/>
      <c r="F725" s="102"/>
      <c r="G725" s="103"/>
      <c r="K725" s="103"/>
      <c r="L725" s="113"/>
      <c r="M725" s="107"/>
      <c r="N725" s="106" t="str">
        <f>IF(ISBLANK(L725), "", VLOOKUP(D725, 'Info Tipo de Cambio y REM'!$A$24:$B$35, 2, FALSE))</f>
        <v/>
      </c>
      <c r="O725" s="107" t="str">
        <f t="shared" si="1"/>
        <v/>
      </c>
    </row>
    <row r="726">
      <c r="A726" s="102"/>
      <c r="B726" s="102"/>
      <c r="C726" s="102"/>
      <c r="D726" s="51"/>
      <c r="E726" s="102"/>
      <c r="F726" s="102"/>
      <c r="G726" s="103"/>
      <c r="K726" s="103"/>
      <c r="L726" s="113"/>
      <c r="M726" s="107"/>
      <c r="N726" s="106" t="str">
        <f>IF(ISBLANK(L726), "", VLOOKUP(D726, 'Info Tipo de Cambio y REM'!$A$24:$B$35, 2, FALSE))</f>
        <v/>
      </c>
      <c r="O726" s="107" t="str">
        <f t="shared" si="1"/>
        <v/>
      </c>
    </row>
    <row r="727">
      <c r="A727" s="102"/>
      <c r="B727" s="102"/>
      <c r="C727" s="102"/>
      <c r="D727" s="51"/>
      <c r="E727" s="102"/>
      <c r="F727" s="102"/>
      <c r="G727" s="103"/>
      <c r="K727" s="103"/>
      <c r="L727" s="113"/>
      <c r="M727" s="107"/>
      <c r="N727" s="106" t="str">
        <f>IF(ISBLANK(L727), "", VLOOKUP(D727, 'Info Tipo de Cambio y REM'!$A$24:$B$35, 2, FALSE))</f>
        <v/>
      </c>
      <c r="O727" s="107" t="str">
        <f t="shared" si="1"/>
        <v/>
      </c>
    </row>
    <row r="728">
      <c r="A728" s="102"/>
      <c r="B728" s="102"/>
      <c r="C728" s="102"/>
      <c r="D728" s="51"/>
      <c r="E728" s="102"/>
      <c r="F728" s="102"/>
      <c r="G728" s="103"/>
      <c r="K728" s="103"/>
      <c r="L728" s="113"/>
      <c r="M728" s="107"/>
      <c r="N728" s="106" t="str">
        <f>IF(ISBLANK(L728), "", VLOOKUP(D728, 'Info Tipo de Cambio y REM'!$A$24:$B$35, 2, FALSE))</f>
        <v/>
      </c>
      <c r="O728" s="107" t="str">
        <f t="shared" si="1"/>
        <v/>
      </c>
    </row>
    <row r="729">
      <c r="A729" s="102"/>
      <c r="B729" s="102"/>
      <c r="C729" s="102"/>
      <c r="D729" s="51"/>
      <c r="E729" s="102"/>
      <c r="F729" s="102"/>
      <c r="G729" s="103"/>
      <c r="K729" s="103"/>
      <c r="L729" s="113"/>
      <c r="M729" s="107"/>
      <c r="N729" s="106" t="str">
        <f>IF(ISBLANK(L729), "", VLOOKUP(D729, 'Info Tipo de Cambio y REM'!$A$24:$B$35, 2, FALSE))</f>
        <v/>
      </c>
      <c r="O729" s="107" t="str">
        <f t="shared" si="1"/>
        <v/>
      </c>
    </row>
    <row r="730">
      <c r="A730" s="102"/>
      <c r="B730" s="102"/>
      <c r="C730" s="102"/>
      <c r="D730" s="51"/>
      <c r="E730" s="102"/>
      <c r="F730" s="102"/>
      <c r="G730" s="103"/>
      <c r="K730" s="103"/>
      <c r="L730" s="113"/>
      <c r="M730" s="107"/>
      <c r="N730" s="106" t="str">
        <f>IF(ISBLANK(L730), "", VLOOKUP(D730, 'Info Tipo de Cambio y REM'!$A$24:$B$35, 2, FALSE))</f>
        <v/>
      </c>
      <c r="O730" s="107" t="str">
        <f t="shared" si="1"/>
        <v/>
      </c>
    </row>
    <row r="731">
      <c r="A731" s="102"/>
      <c r="B731" s="102"/>
      <c r="C731" s="102"/>
      <c r="D731" s="51"/>
      <c r="E731" s="102"/>
      <c r="F731" s="102"/>
      <c r="G731" s="103"/>
      <c r="K731" s="103"/>
      <c r="L731" s="113"/>
      <c r="M731" s="107"/>
      <c r="N731" s="106" t="str">
        <f>IF(ISBLANK(L731), "", VLOOKUP(D731, 'Info Tipo de Cambio y REM'!$A$24:$B$35, 2, FALSE))</f>
        <v/>
      </c>
      <c r="O731" s="107" t="str">
        <f t="shared" si="1"/>
        <v/>
      </c>
    </row>
    <row r="732">
      <c r="A732" s="102"/>
      <c r="B732" s="102"/>
      <c r="C732" s="102"/>
      <c r="D732" s="51"/>
      <c r="E732" s="102"/>
      <c r="F732" s="102"/>
      <c r="G732" s="103"/>
      <c r="K732" s="103"/>
      <c r="L732" s="113"/>
      <c r="M732" s="107"/>
      <c r="N732" s="106" t="str">
        <f>IF(ISBLANK(L732), "", VLOOKUP(D732, 'Info Tipo de Cambio y REM'!$A$24:$B$35, 2, FALSE))</f>
        <v/>
      </c>
      <c r="O732" s="107" t="str">
        <f t="shared" si="1"/>
        <v/>
      </c>
    </row>
    <row r="733">
      <c r="A733" s="102"/>
      <c r="B733" s="102"/>
      <c r="C733" s="102"/>
      <c r="D733" s="51"/>
      <c r="E733" s="102"/>
      <c r="F733" s="102"/>
      <c r="G733" s="103"/>
      <c r="K733" s="103"/>
      <c r="L733" s="113"/>
      <c r="M733" s="107"/>
      <c r="N733" s="106" t="str">
        <f>IF(ISBLANK(L733), "", VLOOKUP(D733, 'Info Tipo de Cambio y REM'!$A$24:$B$35, 2, FALSE))</f>
        <v/>
      </c>
      <c r="O733" s="107" t="str">
        <f t="shared" si="1"/>
        <v/>
      </c>
    </row>
    <row r="734">
      <c r="A734" s="102"/>
      <c r="B734" s="102"/>
      <c r="C734" s="102"/>
      <c r="D734" s="51"/>
      <c r="E734" s="102"/>
      <c r="F734" s="102"/>
      <c r="G734" s="103"/>
      <c r="K734" s="103"/>
      <c r="L734" s="113"/>
      <c r="M734" s="107"/>
      <c r="N734" s="106" t="str">
        <f>IF(ISBLANK(L734), "", VLOOKUP(D734, 'Info Tipo de Cambio y REM'!$A$24:$B$35, 2, FALSE))</f>
        <v/>
      </c>
      <c r="O734" s="107" t="str">
        <f t="shared" si="1"/>
        <v/>
      </c>
    </row>
    <row r="735">
      <c r="A735" s="102"/>
      <c r="B735" s="102"/>
      <c r="C735" s="102"/>
      <c r="D735" s="51"/>
      <c r="E735" s="102"/>
      <c r="F735" s="102"/>
      <c r="G735" s="103"/>
      <c r="K735" s="103"/>
      <c r="L735" s="113"/>
      <c r="M735" s="107"/>
      <c r="N735" s="106" t="str">
        <f>IF(ISBLANK(L735), "", VLOOKUP(D735, 'Info Tipo de Cambio y REM'!$A$24:$B$35, 2, FALSE))</f>
        <v/>
      </c>
      <c r="O735" s="107" t="str">
        <f t="shared" si="1"/>
        <v/>
      </c>
    </row>
    <row r="736">
      <c r="A736" s="102"/>
      <c r="B736" s="102"/>
      <c r="C736" s="102"/>
      <c r="D736" s="51"/>
      <c r="E736" s="102"/>
      <c r="F736" s="102"/>
      <c r="G736" s="103"/>
      <c r="K736" s="103"/>
      <c r="L736" s="113"/>
      <c r="M736" s="107"/>
      <c r="N736" s="106" t="str">
        <f>IF(ISBLANK(L736), "", VLOOKUP(D736, 'Info Tipo de Cambio y REM'!$A$24:$B$35, 2, FALSE))</f>
        <v/>
      </c>
      <c r="O736" s="107" t="str">
        <f t="shared" si="1"/>
        <v/>
      </c>
    </row>
    <row r="737">
      <c r="A737" s="102"/>
      <c r="B737" s="102"/>
      <c r="C737" s="102"/>
      <c r="D737" s="51"/>
      <c r="E737" s="102"/>
      <c r="F737" s="102"/>
      <c r="G737" s="103"/>
      <c r="K737" s="103"/>
      <c r="L737" s="113"/>
      <c r="M737" s="107"/>
      <c r="N737" s="106" t="str">
        <f>IF(ISBLANK(L737), "", VLOOKUP(D737, 'Info Tipo de Cambio y REM'!$A$24:$B$35, 2, FALSE))</f>
        <v/>
      </c>
      <c r="O737" s="107" t="str">
        <f t="shared" si="1"/>
        <v/>
      </c>
    </row>
    <row r="738">
      <c r="A738" s="102"/>
      <c r="B738" s="102"/>
      <c r="C738" s="102"/>
      <c r="D738" s="51"/>
      <c r="E738" s="102"/>
      <c r="F738" s="102"/>
      <c r="G738" s="103"/>
      <c r="K738" s="103"/>
      <c r="L738" s="113"/>
      <c r="M738" s="107"/>
      <c r="N738" s="106" t="str">
        <f>IF(ISBLANK(L738), "", VLOOKUP(D738, 'Info Tipo de Cambio y REM'!$A$24:$B$35, 2, FALSE))</f>
        <v/>
      </c>
      <c r="O738" s="107" t="str">
        <f t="shared" si="1"/>
        <v/>
      </c>
    </row>
    <row r="739">
      <c r="A739" s="102"/>
      <c r="B739" s="102"/>
      <c r="C739" s="102"/>
      <c r="D739" s="51"/>
      <c r="E739" s="102"/>
      <c r="F739" s="102"/>
      <c r="G739" s="103"/>
      <c r="K739" s="103"/>
      <c r="L739" s="113"/>
      <c r="M739" s="107"/>
      <c r="N739" s="106" t="str">
        <f>IF(ISBLANK(L739), "", VLOOKUP(D739, 'Info Tipo de Cambio y REM'!$A$24:$B$35, 2, FALSE))</f>
        <v/>
      </c>
      <c r="O739" s="107" t="str">
        <f t="shared" si="1"/>
        <v/>
      </c>
    </row>
    <row r="740">
      <c r="A740" s="102"/>
      <c r="B740" s="102"/>
      <c r="C740" s="102"/>
      <c r="D740" s="51"/>
      <c r="E740" s="102"/>
      <c r="F740" s="102"/>
      <c r="G740" s="103"/>
      <c r="K740" s="103"/>
      <c r="L740" s="113"/>
      <c r="M740" s="107"/>
      <c r="N740" s="106" t="str">
        <f>IF(ISBLANK(L740), "", VLOOKUP(D740, 'Info Tipo de Cambio y REM'!$A$24:$B$35, 2, FALSE))</f>
        <v/>
      </c>
      <c r="O740" s="107" t="str">
        <f t="shared" si="1"/>
        <v/>
      </c>
    </row>
    <row r="741">
      <c r="A741" s="102"/>
      <c r="B741" s="102"/>
      <c r="C741" s="102"/>
      <c r="D741" s="51"/>
      <c r="E741" s="102"/>
      <c r="F741" s="102"/>
      <c r="G741" s="103"/>
      <c r="K741" s="103"/>
      <c r="L741" s="113"/>
      <c r="M741" s="107"/>
      <c r="N741" s="106" t="str">
        <f>IF(ISBLANK(L741), "", VLOOKUP(D741, 'Info Tipo de Cambio y REM'!$A$24:$B$35, 2, FALSE))</f>
        <v/>
      </c>
      <c r="O741" s="107" t="str">
        <f t="shared" si="1"/>
        <v/>
      </c>
    </row>
    <row r="742">
      <c r="A742" s="102"/>
      <c r="B742" s="102"/>
      <c r="C742" s="102"/>
      <c r="D742" s="51"/>
      <c r="E742" s="102"/>
      <c r="F742" s="102"/>
      <c r="G742" s="103"/>
      <c r="K742" s="103"/>
      <c r="L742" s="113"/>
      <c r="M742" s="107"/>
      <c r="N742" s="106" t="str">
        <f>IF(ISBLANK(L742), "", VLOOKUP(D742, 'Info Tipo de Cambio y REM'!$A$24:$B$35, 2, FALSE))</f>
        <v/>
      </c>
      <c r="O742" s="107" t="str">
        <f t="shared" si="1"/>
        <v/>
      </c>
    </row>
    <row r="743">
      <c r="A743" s="102"/>
      <c r="B743" s="102"/>
      <c r="C743" s="102"/>
      <c r="D743" s="51"/>
      <c r="E743" s="102"/>
      <c r="F743" s="102"/>
      <c r="G743" s="103"/>
      <c r="K743" s="103"/>
      <c r="L743" s="113"/>
      <c r="M743" s="107"/>
      <c r="N743" s="106" t="str">
        <f>IF(ISBLANK(L743), "", VLOOKUP(D743, 'Info Tipo de Cambio y REM'!$A$24:$B$35, 2, FALSE))</f>
        <v/>
      </c>
      <c r="O743" s="107" t="str">
        <f t="shared" si="1"/>
        <v/>
      </c>
    </row>
    <row r="744">
      <c r="A744" s="102"/>
      <c r="B744" s="102"/>
      <c r="C744" s="102"/>
      <c r="D744" s="51"/>
      <c r="E744" s="102"/>
      <c r="F744" s="102"/>
      <c r="G744" s="103"/>
      <c r="K744" s="103"/>
      <c r="L744" s="113"/>
      <c r="M744" s="107"/>
      <c r="N744" s="106" t="str">
        <f>IF(ISBLANK(L744), "", VLOOKUP(D744, 'Info Tipo de Cambio y REM'!$A$24:$B$35, 2, FALSE))</f>
        <v/>
      </c>
      <c r="O744" s="107" t="str">
        <f t="shared" si="1"/>
        <v/>
      </c>
    </row>
    <row r="745">
      <c r="A745" s="102"/>
      <c r="B745" s="102"/>
      <c r="C745" s="102"/>
      <c r="D745" s="51"/>
      <c r="E745" s="102"/>
      <c r="F745" s="102"/>
      <c r="G745" s="103"/>
      <c r="K745" s="103"/>
      <c r="L745" s="113"/>
      <c r="M745" s="107"/>
      <c r="N745" s="106" t="str">
        <f>IF(ISBLANK(L745), "", VLOOKUP(D745, 'Info Tipo de Cambio y REM'!$A$24:$B$35, 2, FALSE))</f>
        <v/>
      </c>
      <c r="O745" s="107" t="str">
        <f t="shared" si="1"/>
        <v/>
      </c>
    </row>
    <row r="746">
      <c r="A746" s="102"/>
      <c r="B746" s="102"/>
      <c r="C746" s="102"/>
      <c r="D746" s="51"/>
      <c r="E746" s="102"/>
      <c r="F746" s="102"/>
      <c r="G746" s="103"/>
      <c r="K746" s="103"/>
      <c r="L746" s="113"/>
      <c r="M746" s="107"/>
      <c r="N746" s="106" t="str">
        <f>IF(ISBLANK(L746), "", VLOOKUP(D746, 'Info Tipo de Cambio y REM'!$A$24:$B$35, 2, FALSE))</f>
        <v/>
      </c>
      <c r="O746" s="107" t="str">
        <f t="shared" si="1"/>
        <v/>
      </c>
    </row>
    <row r="747">
      <c r="A747" s="102"/>
      <c r="B747" s="102"/>
      <c r="C747" s="102"/>
      <c r="D747" s="51"/>
      <c r="E747" s="102"/>
      <c r="F747" s="102"/>
      <c r="G747" s="103"/>
      <c r="K747" s="103"/>
      <c r="L747" s="113"/>
      <c r="M747" s="107"/>
      <c r="N747" s="106" t="str">
        <f>IF(ISBLANK(L747), "", VLOOKUP(D747, 'Info Tipo de Cambio y REM'!$A$24:$B$35, 2, FALSE))</f>
        <v/>
      </c>
      <c r="O747" s="107" t="str">
        <f t="shared" si="1"/>
        <v/>
      </c>
    </row>
    <row r="748">
      <c r="A748" s="102"/>
      <c r="B748" s="102"/>
      <c r="C748" s="102"/>
      <c r="D748" s="51"/>
      <c r="E748" s="102"/>
      <c r="F748" s="102"/>
      <c r="G748" s="103"/>
      <c r="K748" s="103"/>
      <c r="L748" s="113"/>
      <c r="M748" s="107"/>
      <c r="N748" s="106" t="str">
        <f>IF(ISBLANK(L748), "", VLOOKUP(D748, 'Info Tipo de Cambio y REM'!$A$24:$B$35, 2, FALSE))</f>
        <v/>
      </c>
      <c r="O748" s="107" t="str">
        <f t="shared" si="1"/>
        <v/>
      </c>
    </row>
    <row r="749">
      <c r="A749" s="102"/>
      <c r="B749" s="102"/>
      <c r="C749" s="102"/>
      <c r="D749" s="51"/>
      <c r="E749" s="102"/>
      <c r="F749" s="102"/>
      <c r="G749" s="103"/>
      <c r="K749" s="103"/>
      <c r="L749" s="113"/>
      <c r="M749" s="107"/>
      <c r="N749" s="106" t="str">
        <f>IF(ISBLANK(L749), "", VLOOKUP(D749, 'Info Tipo de Cambio y REM'!$A$24:$B$35, 2, FALSE))</f>
        <v/>
      </c>
      <c r="O749" s="107" t="str">
        <f t="shared" si="1"/>
        <v/>
      </c>
    </row>
    <row r="750">
      <c r="A750" s="102"/>
      <c r="B750" s="102"/>
      <c r="C750" s="102"/>
      <c r="D750" s="51"/>
      <c r="E750" s="102"/>
      <c r="F750" s="102"/>
      <c r="G750" s="103"/>
      <c r="K750" s="103"/>
      <c r="L750" s="113"/>
      <c r="M750" s="107"/>
      <c r="N750" s="106" t="str">
        <f>IF(ISBLANK(L750), "", VLOOKUP(D750, 'Info Tipo de Cambio y REM'!$A$24:$B$35, 2, FALSE))</f>
        <v/>
      </c>
      <c r="O750" s="107" t="str">
        <f t="shared" si="1"/>
        <v/>
      </c>
    </row>
    <row r="751">
      <c r="A751" s="102"/>
      <c r="B751" s="102"/>
      <c r="C751" s="102"/>
      <c r="D751" s="51"/>
      <c r="E751" s="102"/>
      <c r="F751" s="102"/>
      <c r="G751" s="103"/>
      <c r="K751" s="103"/>
      <c r="L751" s="113"/>
      <c r="M751" s="107"/>
      <c r="N751" s="106" t="str">
        <f>IF(ISBLANK(L751), "", VLOOKUP(D751, 'Info Tipo de Cambio y REM'!$A$24:$B$35, 2, FALSE))</f>
        <v/>
      </c>
      <c r="O751" s="107" t="str">
        <f t="shared" si="1"/>
        <v/>
      </c>
    </row>
    <row r="752">
      <c r="A752" s="102"/>
      <c r="B752" s="102"/>
      <c r="C752" s="102"/>
      <c r="D752" s="51"/>
      <c r="E752" s="102"/>
      <c r="F752" s="102"/>
      <c r="G752" s="103"/>
      <c r="K752" s="103"/>
      <c r="L752" s="113"/>
      <c r="M752" s="107"/>
      <c r="N752" s="106" t="str">
        <f>IF(ISBLANK(L752), "", VLOOKUP(D752, 'Info Tipo de Cambio y REM'!$A$24:$B$35, 2, FALSE))</f>
        <v/>
      </c>
      <c r="O752" s="107" t="str">
        <f t="shared" si="1"/>
        <v/>
      </c>
    </row>
    <row r="753">
      <c r="A753" s="102"/>
      <c r="B753" s="102"/>
      <c r="C753" s="102"/>
      <c r="D753" s="51"/>
      <c r="E753" s="102"/>
      <c r="F753" s="102"/>
      <c r="G753" s="103"/>
      <c r="K753" s="103"/>
      <c r="L753" s="113"/>
      <c r="M753" s="107"/>
      <c r="N753" s="106" t="str">
        <f>IF(ISBLANK(L753), "", VLOOKUP(D753, 'Info Tipo de Cambio y REM'!$A$24:$B$35, 2, FALSE))</f>
        <v/>
      </c>
      <c r="O753" s="107" t="str">
        <f t="shared" si="1"/>
        <v/>
      </c>
    </row>
    <row r="754">
      <c r="A754" s="102"/>
      <c r="B754" s="102"/>
      <c r="C754" s="102"/>
      <c r="D754" s="51"/>
      <c r="E754" s="102"/>
      <c r="F754" s="102"/>
      <c r="G754" s="103"/>
      <c r="K754" s="103"/>
      <c r="L754" s="113"/>
      <c r="M754" s="107"/>
      <c r="N754" s="106" t="str">
        <f>IF(ISBLANK(L754), "", VLOOKUP(D754, 'Info Tipo de Cambio y REM'!$A$24:$B$35, 2, FALSE))</f>
        <v/>
      </c>
      <c r="O754" s="107" t="str">
        <f t="shared" si="1"/>
        <v/>
      </c>
    </row>
    <row r="755">
      <c r="A755" s="102"/>
      <c r="B755" s="102"/>
      <c r="C755" s="102"/>
      <c r="D755" s="51"/>
      <c r="E755" s="102"/>
      <c r="F755" s="102"/>
      <c r="G755" s="103"/>
      <c r="K755" s="103"/>
      <c r="L755" s="113"/>
      <c r="M755" s="107"/>
      <c r="N755" s="106" t="str">
        <f>IF(ISBLANK(L755), "", VLOOKUP(D755, 'Info Tipo de Cambio y REM'!$A$24:$B$35, 2, FALSE))</f>
        <v/>
      </c>
      <c r="O755" s="107" t="str">
        <f t="shared" si="1"/>
        <v/>
      </c>
    </row>
    <row r="756">
      <c r="A756" s="102"/>
      <c r="B756" s="102"/>
      <c r="C756" s="102"/>
      <c r="D756" s="51"/>
      <c r="E756" s="102"/>
      <c r="F756" s="102"/>
      <c r="G756" s="103"/>
      <c r="K756" s="103"/>
      <c r="L756" s="113"/>
      <c r="M756" s="107"/>
      <c r="N756" s="106" t="str">
        <f>IF(ISBLANK(L756), "", VLOOKUP(D756, 'Info Tipo de Cambio y REM'!$A$24:$B$35, 2, FALSE))</f>
        <v/>
      </c>
      <c r="O756" s="107" t="str">
        <f t="shared" si="1"/>
        <v/>
      </c>
    </row>
    <row r="757">
      <c r="A757" s="102"/>
      <c r="B757" s="102"/>
      <c r="C757" s="102"/>
      <c r="D757" s="51"/>
      <c r="E757" s="102"/>
      <c r="F757" s="102"/>
      <c r="G757" s="103"/>
      <c r="K757" s="103"/>
      <c r="L757" s="113"/>
      <c r="M757" s="107"/>
      <c r="N757" s="106" t="str">
        <f>IF(ISBLANK(L757), "", VLOOKUP(D757, 'Info Tipo de Cambio y REM'!$A$24:$B$35, 2, FALSE))</f>
        <v/>
      </c>
      <c r="O757" s="107" t="str">
        <f t="shared" si="1"/>
        <v/>
      </c>
    </row>
    <row r="758">
      <c r="A758" s="102"/>
      <c r="B758" s="102"/>
      <c r="C758" s="102"/>
      <c r="D758" s="51"/>
      <c r="E758" s="102"/>
      <c r="F758" s="102"/>
      <c r="G758" s="103"/>
      <c r="K758" s="103"/>
      <c r="L758" s="113"/>
      <c r="M758" s="107"/>
      <c r="N758" s="106" t="str">
        <f>IF(ISBLANK(L758), "", VLOOKUP(D758, 'Info Tipo de Cambio y REM'!$A$24:$B$35, 2, FALSE))</f>
        <v/>
      </c>
      <c r="O758" s="107" t="str">
        <f t="shared" si="1"/>
        <v/>
      </c>
    </row>
    <row r="759">
      <c r="A759" s="102"/>
      <c r="B759" s="102"/>
      <c r="C759" s="102"/>
      <c r="D759" s="51"/>
      <c r="E759" s="102"/>
      <c r="F759" s="102"/>
      <c r="G759" s="103"/>
      <c r="K759" s="103"/>
      <c r="L759" s="113"/>
      <c r="M759" s="107"/>
      <c r="N759" s="106" t="str">
        <f>IF(ISBLANK(L759), "", VLOOKUP(D759, 'Info Tipo de Cambio y REM'!$A$24:$B$35, 2, FALSE))</f>
        <v/>
      </c>
      <c r="O759" s="107" t="str">
        <f t="shared" si="1"/>
        <v/>
      </c>
    </row>
    <row r="760">
      <c r="A760" s="102"/>
      <c r="B760" s="102"/>
      <c r="C760" s="102"/>
      <c r="D760" s="51"/>
      <c r="E760" s="102"/>
      <c r="F760" s="102"/>
      <c r="G760" s="103"/>
      <c r="K760" s="103"/>
      <c r="L760" s="113"/>
      <c r="M760" s="107"/>
      <c r="N760" s="106" t="str">
        <f>IF(ISBLANK(L760), "", VLOOKUP(D760, 'Info Tipo de Cambio y REM'!$A$24:$B$35, 2, FALSE))</f>
        <v/>
      </c>
      <c r="O760" s="107" t="str">
        <f t="shared" si="1"/>
        <v/>
      </c>
    </row>
    <row r="761">
      <c r="A761" s="102"/>
      <c r="B761" s="102"/>
      <c r="C761" s="102"/>
      <c r="D761" s="51"/>
      <c r="E761" s="102"/>
      <c r="F761" s="102"/>
      <c r="G761" s="103"/>
      <c r="K761" s="103"/>
      <c r="L761" s="113"/>
      <c r="M761" s="107"/>
      <c r="N761" s="106" t="str">
        <f>IF(ISBLANK(L761), "", VLOOKUP(D761, 'Info Tipo de Cambio y REM'!$A$24:$B$35, 2, FALSE))</f>
        <v/>
      </c>
      <c r="O761" s="107" t="str">
        <f t="shared" si="1"/>
        <v/>
      </c>
    </row>
    <row r="762">
      <c r="A762" s="102"/>
      <c r="B762" s="102"/>
      <c r="C762" s="102"/>
      <c r="D762" s="51"/>
      <c r="E762" s="102"/>
      <c r="F762" s="102"/>
      <c r="G762" s="103"/>
      <c r="K762" s="103"/>
      <c r="L762" s="113"/>
      <c r="M762" s="107"/>
      <c r="N762" s="106" t="str">
        <f>IF(ISBLANK(L762), "", VLOOKUP(D762, 'Info Tipo de Cambio y REM'!$A$24:$B$35, 2, FALSE))</f>
        <v/>
      </c>
      <c r="O762" s="107" t="str">
        <f t="shared" si="1"/>
        <v/>
      </c>
    </row>
    <row r="763">
      <c r="A763" s="102"/>
      <c r="B763" s="102"/>
      <c r="C763" s="102"/>
      <c r="D763" s="51"/>
      <c r="E763" s="102"/>
      <c r="F763" s="102"/>
      <c r="G763" s="103"/>
      <c r="K763" s="103"/>
      <c r="L763" s="113"/>
      <c r="M763" s="107"/>
      <c r="N763" s="106" t="str">
        <f>IF(ISBLANK(L763), "", VLOOKUP(D763, 'Info Tipo de Cambio y REM'!$A$24:$B$35, 2, FALSE))</f>
        <v/>
      </c>
      <c r="O763" s="107" t="str">
        <f t="shared" si="1"/>
        <v/>
      </c>
    </row>
    <row r="764">
      <c r="A764" s="102"/>
      <c r="B764" s="102"/>
      <c r="C764" s="102"/>
      <c r="D764" s="51"/>
      <c r="E764" s="102"/>
      <c r="F764" s="102"/>
      <c r="G764" s="103"/>
      <c r="K764" s="103"/>
      <c r="L764" s="113"/>
      <c r="M764" s="107"/>
      <c r="N764" s="106" t="str">
        <f>IF(ISBLANK(L764), "", VLOOKUP(D764, 'Info Tipo de Cambio y REM'!$A$24:$B$35, 2, FALSE))</f>
        <v/>
      </c>
      <c r="O764" s="107" t="str">
        <f t="shared" si="1"/>
        <v/>
      </c>
    </row>
    <row r="765">
      <c r="A765" s="102"/>
      <c r="B765" s="102"/>
      <c r="C765" s="102"/>
      <c r="D765" s="51"/>
      <c r="E765" s="102"/>
      <c r="F765" s="102"/>
      <c r="G765" s="103"/>
      <c r="K765" s="103"/>
      <c r="L765" s="113"/>
      <c r="M765" s="107"/>
      <c r="N765" s="106" t="str">
        <f>IF(ISBLANK(L765), "", VLOOKUP(D765, 'Info Tipo de Cambio y REM'!$A$24:$B$35, 2, FALSE))</f>
        <v/>
      </c>
      <c r="O765" s="107" t="str">
        <f t="shared" si="1"/>
        <v/>
      </c>
    </row>
    <row r="766">
      <c r="A766" s="102"/>
      <c r="B766" s="102"/>
      <c r="C766" s="102"/>
      <c r="D766" s="51"/>
      <c r="E766" s="102"/>
      <c r="F766" s="102"/>
      <c r="G766" s="103"/>
      <c r="K766" s="103"/>
      <c r="L766" s="113"/>
      <c r="M766" s="107"/>
      <c r="N766" s="106" t="str">
        <f>IF(ISBLANK(L766), "", VLOOKUP(D766, 'Info Tipo de Cambio y REM'!$A$24:$B$35, 2, FALSE))</f>
        <v/>
      </c>
      <c r="O766" s="107" t="str">
        <f t="shared" si="1"/>
        <v/>
      </c>
    </row>
    <row r="767">
      <c r="A767" s="102"/>
      <c r="B767" s="102"/>
      <c r="C767" s="102"/>
      <c r="D767" s="51"/>
      <c r="E767" s="102"/>
      <c r="F767" s="102"/>
      <c r="G767" s="103"/>
      <c r="K767" s="103"/>
      <c r="L767" s="113"/>
      <c r="M767" s="107"/>
      <c r="N767" s="106" t="str">
        <f>IF(ISBLANK(L767), "", VLOOKUP(D767, 'Info Tipo de Cambio y REM'!$A$24:$B$35, 2, FALSE))</f>
        <v/>
      </c>
      <c r="O767" s="107" t="str">
        <f t="shared" si="1"/>
        <v/>
      </c>
    </row>
    <row r="768">
      <c r="A768" s="102"/>
      <c r="B768" s="102"/>
      <c r="C768" s="102"/>
      <c r="D768" s="51"/>
      <c r="E768" s="102"/>
      <c r="F768" s="102"/>
      <c r="G768" s="103"/>
      <c r="K768" s="103"/>
      <c r="L768" s="113"/>
      <c r="M768" s="107"/>
      <c r="N768" s="106" t="str">
        <f>IF(ISBLANK(L768), "", VLOOKUP(D768, 'Info Tipo de Cambio y REM'!$A$24:$B$35, 2, FALSE))</f>
        <v/>
      </c>
      <c r="O768" s="107" t="str">
        <f t="shared" si="1"/>
        <v/>
      </c>
    </row>
    <row r="769">
      <c r="A769" s="102"/>
      <c r="B769" s="102"/>
      <c r="C769" s="102"/>
      <c r="D769" s="51"/>
      <c r="E769" s="102"/>
      <c r="F769" s="102"/>
      <c r="G769" s="103"/>
      <c r="K769" s="103"/>
      <c r="L769" s="113"/>
      <c r="M769" s="107"/>
      <c r="N769" s="106" t="str">
        <f>IF(ISBLANK(L769), "", VLOOKUP(D769, 'Info Tipo de Cambio y REM'!$A$24:$B$35, 2, FALSE))</f>
        <v/>
      </c>
      <c r="O769" s="107" t="str">
        <f t="shared" si="1"/>
        <v/>
      </c>
    </row>
    <row r="770">
      <c r="A770" s="102"/>
      <c r="B770" s="102"/>
      <c r="C770" s="102"/>
      <c r="D770" s="51"/>
      <c r="E770" s="102"/>
      <c r="F770" s="102"/>
      <c r="G770" s="103"/>
      <c r="K770" s="103"/>
      <c r="L770" s="113"/>
      <c r="M770" s="107"/>
      <c r="N770" s="106" t="str">
        <f>IF(ISBLANK(L770), "", VLOOKUP(D770, 'Info Tipo de Cambio y REM'!$A$24:$B$35, 2, FALSE))</f>
        <v/>
      </c>
      <c r="O770" s="107" t="str">
        <f t="shared" si="1"/>
        <v/>
      </c>
    </row>
    <row r="771">
      <c r="A771" s="102"/>
      <c r="B771" s="102"/>
      <c r="C771" s="102"/>
      <c r="D771" s="51"/>
      <c r="E771" s="102"/>
      <c r="F771" s="102"/>
      <c r="G771" s="103"/>
      <c r="K771" s="103"/>
      <c r="L771" s="113"/>
      <c r="M771" s="107"/>
      <c r="N771" s="106" t="str">
        <f>IF(ISBLANK(L771), "", VLOOKUP(D771, 'Info Tipo de Cambio y REM'!$A$24:$B$35, 2, FALSE))</f>
        <v/>
      </c>
      <c r="O771" s="107" t="str">
        <f t="shared" si="1"/>
        <v/>
      </c>
    </row>
    <row r="772">
      <c r="A772" s="102"/>
      <c r="B772" s="102"/>
      <c r="C772" s="102"/>
      <c r="D772" s="51"/>
      <c r="E772" s="102"/>
      <c r="F772" s="102"/>
      <c r="G772" s="103"/>
      <c r="K772" s="103"/>
      <c r="L772" s="113"/>
      <c r="M772" s="107"/>
      <c r="N772" s="106" t="str">
        <f>IF(ISBLANK(L772), "", VLOOKUP(D772, 'Info Tipo de Cambio y REM'!$A$24:$B$35, 2, FALSE))</f>
        <v/>
      </c>
      <c r="O772" s="107" t="str">
        <f t="shared" si="1"/>
        <v/>
      </c>
    </row>
    <row r="773">
      <c r="A773" s="102"/>
      <c r="B773" s="102"/>
      <c r="C773" s="102"/>
      <c r="D773" s="51"/>
      <c r="E773" s="102"/>
      <c r="F773" s="102"/>
      <c r="G773" s="103"/>
      <c r="K773" s="103"/>
      <c r="L773" s="113"/>
      <c r="M773" s="107"/>
      <c r="N773" s="106" t="str">
        <f>IF(ISBLANK(L773), "", VLOOKUP(D773, 'Info Tipo de Cambio y REM'!$A$24:$B$35, 2, FALSE))</f>
        <v/>
      </c>
      <c r="O773" s="107" t="str">
        <f t="shared" si="1"/>
        <v/>
      </c>
    </row>
    <row r="774">
      <c r="A774" s="102"/>
      <c r="B774" s="102"/>
      <c r="C774" s="102"/>
      <c r="D774" s="51"/>
      <c r="E774" s="102"/>
      <c r="F774" s="102"/>
      <c r="G774" s="103"/>
      <c r="K774" s="103"/>
      <c r="L774" s="113"/>
      <c r="M774" s="107"/>
      <c r="N774" s="106" t="str">
        <f>IF(ISBLANK(L774), "", VLOOKUP(D774, 'Info Tipo de Cambio y REM'!$A$24:$B$35, 2, FALSE))</f>
        <v/>
      </c>
      <c r="O774" s="107" t="str">
        <f t="shared" si="1"/>
        <v/>
      </c>
    </row>
    <row r="775">
      <c r="A775" s="102"/>
      <c r="B775" s="102"/>
      <c r="C775" s="102"/>
      <c r="D775" s="51"/>
      <c r="E775" s="102"/>
      <c r="F775" s="102"/>
      <c r="G775" s="103"/>
      <c r="K775" s="103"/>
      <c r="L775" s="113"/>
      <c r="M775" s="107"/>
      <c r="N775" s="106" t="str">
        <f>IF(ISBLANK(L775), "", VLOOKUP(D775, 'Info Tipo de Cambio y REM'!$A$24:$B$35, 2, FALSE))</f>
        <v/>
      </c>
      <c r="O775" s="107" t="str">
        <f t="shared" si="1"/>
        <v/>
      </c>
    </row>
    <row r="776">
      <c r="A776" s="102"/>
      <c r="B776" s="102"/>
      <c r="C776" s="102"/>
      <c r="D776" s="51"/>
      <c r="E776" s="102"/>
      <c r="F776" s="102"/>
      <c r="G776" s="103"/>
      <c r="K776" s="103"/>
      <c r="L776" s="113"/>
      <c r="M776" s="107"/>
      <c r="N776" s="106" t="str">
        <f>IF(ISBLANK(L776), "", VLOOKUP(D776, 'Info Tipo de Cambio y REM'!$A$24:$B$35, 2, FALSE))</f>
        <v/>
      </c>
      <c r="O776" s="107" t="str">
        <f t="shared" si="1"/>
        <v/>
      </c>
    </row>
    <row r="777">
      <c r="A777" s="102"/>
      <c r="B777" s="102"/>
      <c r="C777" s="102"/>
      <c r="D777" s="51"/>
      <c r="E777" s="102"/>
      <c r="F777" s="102"/>
      <c r="G777" s="103"/>
      <c r="K777" s="103"/>
      <c r="L777" s="113"/>
      <c r="M777" s="107"/>
      <c r="N777" s="106" t="str">
        <f>IF(ISBLANK(L777), "", VLOOKUP(D777, 'Info Tipo de Cambio y REM'!$A$24:$B$35, 2, FALSE))</f>
        <v/>
      </c>
      <c r="O777" s="107" t="str">
        <f t="shared" si="1"/>
        <v/>
      </c>
    </row>
    <row r="778">
      <c r="A778" s="102"/>
      <c r="B778" s="102"/>
      <c r="C778" s="102"/>
      <c r="D778" s="51"/>
      <c r="E778" s="102"/>
      <c r="F778" s="102"/>
      <c r="G778" s="103"/>
      <c r="K778" s="103"/>
      <c r="L778" s="113"/>
      <c r="M778" s="107"/>
      <c r="N778" s="106" t="str">
        <f>IF(ISBLANK(L778), "", VLOOKUP(D778, 'Info Tipo de Cambio y REM'!$A$24:$B$35, 2, FALSE))</f>
        <v/>
      </c>
      <c r="O778" s="107" t="str">
        <f t="shared" si="1"/>
        <v/>
      </c>
    </row>
    <row r="779">
      <c r="A779" s="102"/>
      <c r="B779" s="102"/>
      <c r="C779" s="102"/>
      <c r="D779" s="51"/>
      <c r="E779" s="102"/>
      <c r="F779" s="102"/>
      <c r="G779" s="103"/>
      <c r="K779" s="103"/>
      <c r="L779" s="113"/>
      <c r="M779" s="107"/>
      <c r="N779" s="106" t="str">
        <f>IF(ISBLANK(L779), "", VLOOKUP(D779, 'Info Tipo de Cambio y REM'!$A$24:$B$35, 2, FALSE))</f>
        <v/>
      </c>
      <c r="O779" s="107" t="str">
        <f t="shared" si="1"/>
        <v/>
      </c>
    </row>
    <row r="780">
      <c r="A780" s="102"/>
      <c r="B780" s="102"/>
      <c r="C780" s="102"/>
      <c r="D780" s="51"/>
      <c r="E780" s="102"/>
      <c r="F780" s="102"/>
      <c r="G780" s="103"/>
      <c r="K780" s="103"/>
      <c r="L780" s="113"/>
      <c r="M780" s="107"/>
      <c r="N780" s="106" t="str">
        <f>IF(ISBLANK(L780), "", VLOOKUP(D780, 'Info Tipo de Cambio y REM'!$A$24:$B$35, 2, FALSE))</f>
        <v/>
      </c>
      <c r="O780" s="107" t="str">
        <f t="shared" si="1"/>
        <v/>
      </c>
    </row>
    <row r="781">
      <c r="A781" s="102"/>
      <c r="B781" s="102"/>
      <c r="C781" s="102"/>
      <c r="D781" s="51"/>
      <c r="E781" s="102"/>
      <c r="F781" s="102"/>
      <c r="G781" s="103"/>
      <c r="K781" s="103"/>
      <c r="L781" s="113"/>
      <c r="M781" s="107"/>
      <c r="N781" s="106" t="str">
        <f>IF(ISBLANK(L781), "", VLOOKUP(D781, 'Info Tipo de Cambio y REM'!$A$24:$B$35, 2, FALSE))</f>
        <v/>
      </c>
      <c r="O781" s="107" t="str">
        <f t="shared" si="1"/>
        <v/>
      </c>
    </row>
    <row r="782">
      <c r="A782" s="102"/>
      <c r="B782" s="102"/>
      <c r="C782" s="102"/>
      <c r="D782" s="51"/>
      <c r="E782" s="102"/>
      <c r="F782" s="102"/>
      <c r="G782" s="103"/>
      <c r="K782" s="103"/>
      <c r="L782" s="113"/>
      <c r="M782" s="107"/>
      <c r="N782" s="106" t="str">
        <f>IF(ISBLANK(L782), "", VLOOKUP(D782, 'Info Tipo de Cambio y REM'!$A$24:$B$35, 2, FALSE))</f>
        <v/>
      </c>
      <c r="O782" s="107" t="str">
        <f t="shared" si="1"/>
        <v/>
      </c>
    </row>
    <row r="783">
      <c r="A783" s="102"/>
      <c r="B783" s="102"/>
      <c r="C783" s="102"/>
      <c r="D783" s="51"/>
      <c r="E783" s="102"/>
      <c r="F783" s="102"/>
      <c r="G783" s="103"/>
      <c r="K783" s="103"/>
      <c r="L783" s="113"/>
      <c r="M783" s="107"/>
      <c r="N783" s="106" t="str">
        <f>IF(ISBLANK(L783), "", VLOOKUP(D783, 'Info Tipo de Cambio y REM'!$A$24:$B$35, 2, FALSE))</f>
        <v/>
      </c>
      <c r="O783" s="107" t="str">
        <f t="shared" si="1"/>
        <v/>
      </c>
    </row>
    <row r="784">
      <c r="A784" s="102"/>
      <c r="B784" s="102"/>
      <c r="C784" s="102"/>
      <c r="D784" s="51"/>
      <c r="E784" s="102"/>
      <c r="F784" s="102"/>
      <c r="G784" s="103"/>
      <c r="K784" s="103"/>
      <c r="L784" s="113"/>
      <c r="M784" s="107"/>
      <c r="N784" s="106" t="str">
        <f>IF(ISBLANK(L784), "", VLOOKUP(D784, 'Info Tipo de Cambio y REM'!$A$24:$B$35, 2, FALSE))</f>
        <v/>
      </c>
      <c r="O784" s="107" t="str">
        <f t="shared" si="1"/>
        <v/>
      </c>
    </row>
    <row r="785">
      <c r="A785" s="102"/>
      <c r="B785" s="102"/>
      <c r="C785" s="102"/>
      <c r="D785" s="51"/>
      <c r="E785" s="102"/>
      <c r="F785" s="102"/>
      <c r="G785" s="103"/>
      <c r="K785" s="103"/>
      <c r="L785" s="113"/>
      <c r="M785" s="107"/>
      <c r="N785" s="106" t="str">
        <f>IF(ISBLANK(L785), "", VLOOKUP(D785, 'Info Tipo de Cambio y REM'!$A$24:$B$35, 2, FALSE))</f>
        <v/>
      </c>
      <c r="O785" s="107" t="str">
        <f t="shared" si="1"/>
        <v/>
      </c>
    </row>
    <row r="786">
      <c r="A786" s="102"/>
      <c r="B786" s="102"/>
      <c r="C786" s="102"/>
      <c r="D786" s="51"/>
      <c r="E786" s="102"/>
      <c r="F786" s="102"/>
      <c r="G786" s="103"/>
      <c r="K786" s="103"/>
      <c r="L786" s="113"/>
      <c r="M786" s="107"/>
      <c r="N786" s="106" t="str">
        <f>IF(ISBLANK(L786), "", VLOOKUP(D786, 'Info Tipo de Cambio y REM'!$A$24:$B$35, 2, FALSE))</f>
        <v/>
      </c>
      <c r="O786" s="107" t="str">
        <f t="shared" si="1"/>
        <v/>
      </c>
    </row>
    <row r="787">
      <c r="A787" s="102"/>
      <c r="B787" s="102"/>
      <c r="C787" s="102"/>
      <c r="D787" s="51"/>
      <c r="E787" s="102"/>
      <c r="F787" s="102"/>
      <c r="G787" s="103"/>
      <c r="K787" s="103"/>
      <c r="L787" s="113"/>
      <c r="M787" s="107"/>
      <c r="N787" s="106" t="str">
        <f>IF(ISBLANK(L787), "", VLOOKUP(D787, 'Info Tipo de Cambio y REM'!$A$24:$B$35, 2, FALSE))</f>
        <v/>
      </c>
      <c r="O787" s="107" t="str">
        <f t="shared" si="1"/>
        <v/>
      </c>
    </row>
    <row r="788">
      <c r="A788" s="102"/>
      <c r="B788" s="102"/>
      <c r="C788" s="102"/>
      <c r="D788" s="51"/>
      <c r="E788" s="102"/>
      <c r="F788" s="102"/>
      <c r="G788" s="103"/>
      <c r="K788" s="103"/>
      <c r="L788" s="113"/>
      <c r="M788" s="107"/>
      <c r="N788" s="106" t="str">
        <f>IF(ISBLANK(L788), "", VLOOKUP(D788, 'Info Tipo de Cambio y REM'!$A$24:$B$35, 2, FALSE))</f>
        <v/>
      </c>
      <c r="O788" s="107" t="str">
        <f t="shared" si="1"/>
        <v/>
      </c>
    </row>
    <row r="789">
      <c r="A789" s="102"/>
      <c r="B789" s="102"/>
      <c r="C789" s="102"/>
      <c r="D789" s="51"/>
      <c r="E789" s="102"/>
      <c r="F789" s="102"/>
      <c r="G789" s="103"/>
      <c r="K789" s="103"/>
      <c r="L789" s="113"/>
      <c r="M789" s="107"/>
      <c r="N789" s="106" t="str">
        <f>IF(ISBLANK(L789), "", VLOOKUP(D789, 'Info Tipo de Cambio y REM'!$A$24:$B$35, 2, FALSE))</f>
        <v/>
      </c>
      <c r="O789" s="107" t="str">
        <f t="shared" si="1"/>
        <v/>
      </c>
    </row>
    <row r="790">
      <c r="A790" s="102"/>
      <c r="B790" s="102"/>
      <c r="C790" s="102"/>
      <c r="D790" s="51"/>
      <c r="E790" s="102"/>
      <c r="F790" s="102"/>
      <c r="G790" s="103"/>
      <c r="K790" s="103"/>
      <c r="L790" s="113"/>
      <c r="M790" s="107"/>
      <c r="N790" s="106" t="str">
        <f>IF(ISBLANK(L790), "", VLOOKUP(D790, 'Info Tipo de Cambio y REM'!$A$24:$B$35, 2, FALSE))</f>
        <v/>
      </c>
      <c r="O790" s="107" t="str">
        <f t="shared" si="1"/>
        <v/>
      </c>
    </row>
    <row r="791">
      <c r="A791" s="102"/>
      <c r="B791" s="102"/>
      <c r="C791" s="102"/>
      <c r="D791" s="51"/>
      <c r="E791" s="102"/>
      <c r="F791" s="102"/>
      <c r="G791" s="103"/>
      <c r="K791" s="103"/>
      <c r="L791" s="113"/>
      <c r="M791" s="107"/>
      <c r="N791" s="106" t="str">
        <f>IF(ISBLANK(L791), "", VLOOKUP(D791, 'Info Tipo de Cambio y REM'!$A$24:$B$35, 2, FALSE))</f>
        <v/>
      </c>
      <c r="O791" s="107" t="str">
        <f t="shared" si="1"/>
        <v/>
      </c>
    </row>
    <row r="792">
      <c r="A792" s="102"/>
      <c r="B792" s="102"/>
      <c r="C792" s="102"/>
      <c r="D792" s="51"/>
      <c r="E792" s="102"/>
      <c r="F792" s="102"/>
      <c r="G792" s="103"/>
      <c r="K792" s="103"/>
      <c r="L792" s="113"/>
      <c r="M792" s="107"/>
      <c r="N792" s="106" t="str">
        <f>IF(ISBLANK(L792), "", VLOOKUP(D792, 'Info Tipo de Cambio y REM'!$A$24:$B$35, 2, FALSE))</f>
        <v/>
      </c>
      <c r="O792" s="107" t="str">
        <f t="shared" si="1"/>
        <v/>
      </c>
    </row>
    <row r="793">
      <c r="A793" s="102"/>
      <c r="B793" s="102"/>
      <c r="C793" s="102"/>
      <c r="D793" s="51"/>
      <c r="E793" s="102"/>
      <c r="F793" s="102"/>
      <c r="G793" s="103"/>
      <c r="K793" s="103"/>
      <c r="L793" s="113"/>
      <c r="M793" s="107"/>
      <c r="N793" s="106" t="str">
        <f>IF(ISBLANK(L793), "", VLOOKUP(D793, 'Info Tipo de Cambio y REM'!$A$24:$B$35, 2, FALSE))</f>
        <v/>
      </c>
      <c r="O793" s="107" t="str">
        <f t="shared" si="1"/>
        <v/>
      </c>
    </row>
    <row r="794">
      <c r="A794" s="102"/>
      <c r="B794" s="102"/>
      <c r="C794" s="102"/>
      <c r="D794" s="51"/>
      <c r="E794" s="102"/>
      <c r="F794" s="102"/>
      <c r="G794" s="103"/>
      <c r="K794" s="103"/>
      <c r="L794" s="113"/>
      <c r="M794" s="107"/>
      <c r="N794" s="106" t="str">
        <f>IF(ISBLANK(L794), "", VLOOKUP(D794, 'Info Tipo de Cambio y REM'!$A$24:$B$35, 2, FALSE))</f>
        <v/>
      </c>
      <c r="O794" s="107" t="str">
        <f t="shared" si="1"/>
        <v/>
      </c>
    </row>
    <row r="795">
      <c r="A795" s="102"/>
      <c r="B795" s="102"/>
      <c r="C795" s="102"/>
      <c r="D795" s="51"/>
      <c r="E795" s="102"/>
      <c r="F795" s="102"/>
      <c r="G795" s="103"/>
      <c r="K795" s="103"/>
      <c r="L795" s="113"/>
      <c r="M795" s="107"/>
      <c r="N795" s="106" t="str">
        <f>IF(ISBLANK(L795), "", VLOOKUP(D795, 'Info Tipo de Cambio y REM'!$A$24:$B$35, 2, FALSE))</f>
        <v/>
      </c>
      <c r="O795" s="107" t="str">
        <f t="shared" si="1"/>
        <v/>
      </c>
    </row>
    <row r="796">
      <c r="A796" s="102"/>
      <c r="B796" s="102"/>
      <c r="C796" s="102"/>
      <c r="D796" s="51"/>
      <c r="E796" s="102"/>
      <c r="F796" s="102"/>
      <c r="G796" s="103"/>
      <c r="K796" s="103"/>
      <c r="L796" s="113"/>
      <c r="M796" s="107"/>
      <c r="N796" s="106" t="str">
        <f>IF(ISBLANK(L796), "", VLOOKUP(D796, 'Info Tipo de Cambio y REM'!$A$24:$B$35, 2, FALSE))</f>
        <v/>
      </c>
      <c r="O796" s="107" t="str">
        <f t="shared" si="1"/>
        <v/>
      </c>
    </row>
    <row r="797">
      <c r="A797" s="102"/>
      <c r="B797" s="102"/>
      <c r="C797" s="102"/>
      <c r="D797" s="51"/>
      <c r="E797" s="102"/>
      <c r="F797" s="102"/>
      <c r="G797" s="103"/>
      <c r="K797" s="103"/>
      <c r="L797" s="113"/>
      <c r="M797" s="107"/>
      <c r="N797" s="106" t="str">
        <f>IF(ISBLANK(L797), "", VLOOKUP(D797, 'Info Tipo de Cambio y REM'!$A$24:$B$35, 2, FALSE))</f>
        <v/>
      </c>
      <c r="O797" s="107" t="str">
        <f t="shared" si="1"/>
        <v/>
      </c>
    </row>
    <row r="798">
      <c r="A798" s="102"/>
      <c r="B798" s="102"/>
      <c r="C798" s="102"/>
      <c r="D798" s="51"/>
      <c r="E798" s="102"/>
      <c r="F798" s="102"/>
      <c r="G798" s="103"/>
      <c r="K798" s="103"/>
      <c r="L798" s="113"/>
      <c r="M798" s="107"/>
      <c r="N798" s="106" t="str">
        <f>IF(ISBLANK(L798), "", VLOOKUP(D798, 'Info Tipo de Cambio y REM'!$A$24:$B$35, 2, FALSE))</f>
        <v/>
      </c>
      <c r="O798" s="107" t="str">
        <f t="shared" si="1"/>
        <v/>
      </c>
    </row>
    <row r="799">
      <c r="A799" s="102"/>
      <c r="B799" s="102"/>
      <c r="C799" s="102"/>
      <c r="D799" s="51"/>
      <c r="E799" s="102"/>
      <c r="F799" s="102"/>
      <c r="G799" s="103"/>
      <c r="K799" s="103"/>
      <c r="L799" s="113"/>
      <c r="M799" s="107"/>
      <c r="N799" s="106" t="str">
        <f>IF(ISBLANK(L799), "", VLOOKUP(D799, 'Info Tipo de Cambio y REM'!$A$24:$B$35, 2, FALSE))</f>
        <v/>
      </c>
      <c r="O799" s="107" t="str">
        <f t="shared" si="1"/>
        <v/>
      </c>
    </row>
    <row r="800">
      <c r="A800" s="102"/>
      <c r="B800" s="102"/>
      <c r="C800" s="102"/>
      <c r="D800" s="51"/>
      <c r="E800" s="102"/>
      <c r="F800" s="102"/>
      <c r="G800" s="103"/>
      <c r="K800" s="103"/>
      <c r="L800" s="113"/>
      <c r="M800" s="107"/>
      <c r="N800" s="106" t="str">
        <f>IF(ISBLANK(L800), "", VLOOKUP(D800, 'Info Tipo de Cambio y REM'!$A$24:$B$35, 2, FALSE))</f>
        <v/>
      </c>
      <c r="O800" s="107" t="str">
        <f t="shared" si="1"/>
        <v/>
      </c>
    </row>
    <row r="801">
      <c r="A801" s="102"/>
      <c r="B801" s="102"/>
      <c r="C801" s="102"/>
      <c r="D801" s="51"/>
      <c r="E801" s="102"/>
      <c r="F801" s="102"/>
      <c r="G801" s="103"/>
      <c r="K801" s="103"/>
      <c r="L801" s="113"/>
      <c r="M801" s="107"/>
      <c r="N801" s="106" t="str">
        <f>IF(ISBLANK(L801), "", VLOOKUP(D801, 'Info Tipo de Cambio y REM'!$A$24:$B$35, 2, FALSE))</f>
        <v/>
      </c>
      <c r="O801" s="107" t="str">
        <f t="shared" si="1"/>
        <v/>
      </c>
    </row>
    <row r="802">
      <c r="A802" s="102"/>
      <c r="B802" s="102"/>
      <c r="C802" s="102"/>
      <c r="D802" s="51"/>
      <c r="E802" s="102"/>
      <c r="F802" s="102"/>
      <c r="G802" s="103"/>
      <c r="K802" s="103"/>
      <c r="L802" s="113"/>
      <c r="M802" s="107"/>
      <c r="N802" s="106" t="str">
        <f>IF(ISBLANK(L802), "", VLOOKUP(D802, 'Info Tipo de Cambio y REM'!$A$24:$B$35, 2, FALSE))</f>
        <v/>
      </c>
      <c r="O802" s="107" t="str">
        <f t="shared" si="1"/>
        <v/>
      </c>
    </row>
    <row r="803">
      <c r="A803" s="102"/>
      <c r="B803" s="102"/>
      <c r="C803" s="102"/>
      <c r="D803" s="51"/>
      <c r="E803" s="102"/>
      <c r="F803" s="102"/>
      <c r="G803" s="103"/>
      <c r="K803" s="103"/>
      <c r="L803" s="113"/>
      <c r="M803" s="107"/>
      <c r="N803" s="106" t="str">
        <f>IF(ISBLANK(L803), "", VLOOKUP(D803, 'Info Tipo de Cambio y REM'!$A$24:$B$35, 2, FALSE))</f>
        <v/>
      </c>
      <c r="O803" s="107" t="str">
        <f t="shared" si="1"/>
        <v/>
      </c>
    </row>
    <row r="804">
      <c r="A804" s="102"/>
      <c r="B804" s="102"/>
      <c r="C804" s="102"/>
      <c r="D804" s="51"/>
      <c r="E804" s="102"/>
      <c r="F804" s="102"/>
      <c r="G804" s="103"/>
      <c r="K804" s="103"/>
      <c r="L804" s="113"/>
      <c r="M804" s="107"/>
      <c r="N804" s="106" t="str">
        <f>IF(ISBLANK(L804), "", VLOOKUP(D804, 'Info Tipo de Cambio y REM'!$A$24:$B$35, 2, FALSE))</f>
        <v/>
      </c>
      <c r="O804" s="107" t="str">
        <f t="shared" si="1"/>
        <v/>
      </c>
    </row>
    <row r="805">
      <c r="A805" s="102"/>
      <c r="B805" s="102"/>
      <c r="C805" s="102"/>
      <c r="D805" s="51"/>
      <c r="E805" s="102"/>
      <c r="F805" s="102"/>
      <c r="G805" s="103"/>
      <c r="K805" s="103"/>
      <c r="L805" s="113"/>
      <c r="M805" s="107"/>
      <c r="N805" s="106" t="str">
        <f>IF(ISBLANK(L805), "", VLOOKUP(D805, 'Info Tipo de Cambio y REM'!$A$24:$B$35, 2, FALSE))</f>
        <v/>
      </c>
      <c r="O805" s="107" t="str">
        <f t="shared" si="1"/>
        <v/>
      </c>
    </row>
    <row r="806">
      <c r="A806" s="102"/>
      <c r="B806" s="102"/>
      <c r="C806" s="102"/>
      <c r="D806" s="51"/>
      <c r="E806" s="102"/>
      <c r="F806" s="102"/>
      <c r="G806" s="103"/>
      <c r="K806" s="103"/>
      <c r="L806" s="113"/>
      <c r="M806" s="107"/>
      <c r="N806" s="106" t="str">
        <f>IF(ISBLANK(L806), "", VLOOKUP(D806, 'Info Tipo de Cambio y REM'!$A$24:$B$35, 2, FALSE))</f>
        <v/>
      </c>
      <c r="O806" s="107" t="str">
        <f t="shared" si="1"/>
        <v/>
      </c>
    </row>
    <row r="807">
      <c r="A807" s="102"/>
      <c r="B807" s="102"/>
      <c r="C807" s="102"/>
      <c r="D807" s="51"/>
      <c r="E807" s="102"/>
      <c r="F807" s="102"/>
      <c r="G807" s="103"/>
      <c r="K807" s="103"/>
      <c r="L807" s="113"/>
      <c r="M807" s="107"/>
      <c r="N807" s="106" t="str">
        <f>IF(ISBLANK(L807), "", VLOOKUP(D807, 'Info Tipo de Cambio y REM'!$A$24:$B$35, 2, FALSE))</f>
        <v/>
      </c>
      <c r="O807" s="107" t="str">
        <f t="shared" si="1"/>
        <v/>
      </c>
    </row>
    <row r="808">
      <c r="A808" s="102"/>
      <c r="B808" s="102"/>
      <c r="C808" s="102"/>
      <c r="D808" s="51"/>
      <c r="E808" s="102"/>
      <c r="F808" s="102"/>
      <c r="G808" s="103"/>
      <c r="K808" s="103"/>
      <c r="L808" s="113"/>
      <c r="M808" s="107"/>
      <c r="N808" s="106" t="str">
        <f>IF(ISBLANK(L808), "", VLOOKUP(D808, 'Info Tipo de Cambio y REM'!$A$24:$B$35, 2, FALSE))</f>
        <v/>
      </c>
      <c r="O808" s="107" t="str">
        <f t="shared" si="1"/>
        <v/>
      </c>
    </row>
    <row r="809">
      <c r="A809" s="102"/>
      <c r="B809" s="102"/>
      <c r="C809" s="102"/>
      <c r="D809" s="51"/>
      <c r="E809" s="102"/>
      <c r="F809" s="102"/>
      <c r="G809" s="103"/>
      <c r="K809" s="103"/>
      <c r="L809" s="113"/>
      <c r="M809" s="107"/>
      <c r="N809" s="106" t="str">
        <f>IF(ISBLANK(L809), "", VLOOKUP(D809, 'Info Tipo de Cambio y REM'!$A$24:$B$35, 2, FALSE))</f>
        <v/>
      </c>
      <c r="O809" s="107" t="str">
        <f t="shared" si="1"/>
        <v/>
      </c>
    </row>
    <row r="810">
      <c r="A810" s="102"/>
      <c r="B810" s="102"/>
      <c r="C810" s="102"/>
      <c r="D810" s="51"/>
      <c r="E810" s="102"/>
      <c r="F810" s="102"/>
      <c r="G810" s="103"/>
      <c r="K810" s="103"/>
      <c r="L810" s="113"/>
      <c r="M810" s="107"/>
      <c r="N810" s="106" t="str">
        <f>IF(ISBLANK(L810), "", VLOOKUP(D810, 'Info Tipo de Cambio y REM'!$A$24:$B$35, 2, FALSE))</f>
        <v/>
      </c>
      <c r="O810" s="107" t="str">
        <f t="shared" si="1"/>
        <v/>
      </c>
    </row>
    <row r="811">
      <c r="A811" s="102"/>
      <c r="B811" s="102"/>
      <c r="C811" s="102"/>
      <c r="D811" s="51"/>
      <c r="E811" s="102"/>
      <c r="F811" s="102"/>
      <c r="G811" s="103"/>
      <c r="K811" s="103"/>
      <c r="L811" s="113"/>
      <c r="M811" s="107"/>
      <c r="N811" s="106" t="str">
        <f>IF(ISBLANK(L811), "", VLOOKUP(D811, 'Info Tipo de Cambio y REM'!$A$24:$B$35, 2, FALSE))</f>
        <v/>
      </c>
      <c r="O811" s="107" t="str">
        <f t="shared" si="1"/>
        <v/>
      </c>
    </row>
    <row r="812">
      <c r="A812" s="102"/>
      <c r="B812" s="102"/>
      <c r="C812" s="102"/>
      <c r="D812" s="51"/>
      <c r="E812" s="102"/>
      <c r="F812" s="102"/>
      <c r="G812" s="103"/>
      <c r="K812" s="103"/>
      <c r="L812" s="113"/>
      <c r="M812" s="107"/>
      <c r="N812" s="106" t="str">
        <f>IF(ISBLANK(L812), "", VLOOKUP(D812, 'Info Tipo de Cambio y REM'!$A$24:$B$35, 2, FALSE))</f>
        <v/>
      </c>
      <c r="O812" s="107" t="str">
        <f t="shared" si="1"/>
        <v/>
      </c>
    </row>
    <row r="813">
      <c r="A813" s="102"/>
      <c r="B813" s="102"/>
      <c r="C813" s="102"/>
      <c r="D813" s="51"/>
      <c r="E813" s="102"/>
      <c r="F813" s="102"/>
      <c r="G813" s="103"/>
      <c r="K813" s="103"/>
      <c r="L813" s="113"/>
      <c r="M813" s="107"/>
      <c r="N813" s="106" t="str">
        <f>IF(ISBLANK(L813), "", VLOOKUP(D813, 'Info Tipo de Cambio y REM'!$A$24:$B$35, 2, FALSE))</f>
        <v/>
      </c>
      <c r="O813" s="107" t="str">
        <f t="shared" si="1"/>
        <v/>
      </c>
    </row>
    <row r="814">
      <c r="A814" s="102"/>
      <c r="B814" s="102"/>
      <c r="C814" s="102"/>
      <c r="D814" s="51"/>
      <c r="E814" s="102"/>
      <c r="F814" s="102"/>
      <c r="G814" s="103"/>
      <c r="K814" s="103"/>
      <c r="L814" s="113"/>
      <c r="M814" s="107"/>
      <c r="N814" s="106" t="str">
        <f>IF(ISBLANK(L814), "", VLOOKUP(D814, 'Info Tipo de Cambio y REM'!$A$24:$B$35, 2, FALSE))</f>
        <v/>
      </c>
      <c r="O814" s="107" t="str">
        <f t="shared" si="1"/>
        <v/>
      </c>
    </row>
    <row r="815">
      <c r="A815" s="102"/>
      <c r="B815" s="102"/>
      <c r="C815" s="102"/>
      <c r="D815" s="51"/>
      <c r="E815" s="102"/>
      <c r="F815" s="102"/>
      <c r="G815" s="103"/>
      <c r="K815" s="103"/>
      <c r="L815" s="113"/>
      <c r="M815" s="107"/>
      <c r="N815" s="106" t="str">
        <f>IF(ISBLANK(L815), "", VLOOKUP(D815, 'Info Tipo de Cambio y REM'!$A$24:$B$35, 2, FALSE))</f>
        <v/>
      </c>
      <c r="O815" s="107" t="str">
        <f t="shared" si="1"/>
        <v/>
      </c>
    </row>
    <row r="816">
      <c r="A816" s="102"/>
      <c r="B816" s="102"/>
      <c r="C816" s="102"/>
      <c r="D816" s="51"/>
      <c r="E816" s="102"/>
      <c r="F816" s="102"/>
      <c r="G816" s="103"/>
      <c r="K816" s="103"/>
      <c r="L816" s="113"/>
      <c r="M816" s="107"/>
      <c r="N816" s="106" t="str">
        <f>IF(ISBLANK(L816), "", VLOOKUP(D816, 'Info Tipo de Cambio y REM'!$A$24:$B$35, 2, FALSE))</f>
        <v/>
      </c>
      <c r="O816" s="107" t="str">
        <f t="shared" si="1"/>
        <v/>
      </c>
    </row>
    <row r="817">
      <c r="A817" s="102"/>
      <c r="B817" s="102"/>
      <c r="C817" s="102"/>
      <c r="D817" s="51"/>
      <c r="E817" s="102"/>
      <c r="F817" s="102"/>
      <c r="G817" s="103"/>
      <c r="K817" s="103"/>
      <c r="L817" s="113"/>
      <c r="M817" s="107"/>
      <c r="N817" s="106" t="str">
        <f>IF(ISBLANK(L817), "", VLOOKUP(D817, 'Info Tipo de Cambio y REM'!$A$24:$B$35, 2, FALSE))</f>
        <v/>
      </c>
      <c r="O817" s="107" t="str">
        <f t="shared" si="1"/>
        <v/>
      </c>
    </row>
    <row r="818">
      <c r="A818" s="102"/>
      <c r="B818" s="102"/>
      <c r="C818" s="102"/>
      <c r="D818" s="51"/>
      <c r="E818" s="102"/>
      <c r="F818" s="102"/>
      <c r="G818" s="103"/>
      <c r="K818" s="103"/>
      <c r="L818" s="113"/>
      <c r="M818" s="107"/>
      <c r="N818" s="106" t="str">
        <f>IF(ISBLANK(L818), "", VLOOKUP(D818, 'Info Tipo de Cambio y REM'!$A$24:$B$35, 2, FALSE))</f>
        <v/>
      </c>
      <c r="O818" s="107" t="str">
        <f t="shared" si="1"/>
        <v/>
      </c>
    </row>
    <row r="819">
      <c r="A819" s="102"/>
      <c r="B819" s="102"/>
      <c r="C819" s="102"/>
      <c r="D819" s="51"/>
      <c r="E819" s="102"/>
      <c r="F819" s="102"/>
      <c r="G819" s="103"/>
      <c r="K819" s="103"/>
      <c r="L819" s="113"/>
      <c r="M819" s="107"/>
      <c r="N819" s="106" t="str">
        <f>IF(ISBLANK(L819), "", VLOOKUP(D819, 'Info Tipo de Cambio y REM'!$A$24:$B$35, 2, FALSE))</f>
        <v/>
      </c>
      <c r="O819" s="107" t="str">
        <f t="shared" si="1"/>
        <v/>
      </c>
    </row>
    <row r="820">
      <c r="A820" s="102"/>
      <c r="B820" s="102"/>
      <c r="C820" s="102"/>
      <c r="D820" s="51"/>
      <c r="E820" s="102"/>
      <c r="F820" s="102"/>
      <c r="G820" s="103"/>
      <c r="K820" s="103"/>
      <c r="L820" s="113"/>
      <c r="M820" s="107"/>
      <c r="N820" s="106" t="str">
        <f>IF(ISBLANK(L820), "", VLOOKUP(D820, 'Info Tipo de Cambio y REM'!$A$24:$B$35, 2, FALSE))</f>
        <v/>
      </c>
      <c r="O820" s="107" t="str">
        <f t="shared" si="1"/>
        <v/>
      </c>
    </row>
    <row r="821">
      <c r="A821" s="102"/>
      <c r="B821" s="102"/>
      <c r="C821" s="102"/>
      <c r="D821" s="51"/>
      <c r="E821" s="102"/>
      <c r="F821" s="102"/>
      <c r="G821" s="103"/>
      <c r="K821" s="103"/>
      <c r="L821" s="113"/>
      <c r="M821" s="107"/>
      <c r="N821" s="106" t="str">
        <f>IF(ISBLANK(L821), "", VLOOKUP(D821, 'Info Tipo de Cambio y REM'!$A$24:$B$35, 2, FALSE))</f>
        <v/>
      </c>
      <c r="O821" s="107" t="str">
        <f t="shared" si="1"/>
        <v/>
      </c>
    </row>
    <row r="822">
      <c r="A822" s="102"/>
      <c r="B822" s="102"/>
      <c r="C822" s="102"/>
      <c r="D822" s="51"/>
      <c r="E822" s="102"/>
      <c r="F822" s="102"/>
      <c r="G822" s="103"/>
      <c r="K822" s="103"/>
      <c r="L822" s="113"/>
      <c r="M822" s="107"/>
      <c r="N822" s="106" t="str">
        <f>IF(ISBLANK(L822), "", VLOOKUP(D822, 'Info Tipo de Cambio y REM'!$A$24:$B$35, 2, FALSE))</f>
        <v/>
      </c>
      <c r="O822" s="107" t="str">
        <f t="shared" si="1"/>
        <v/>
      </c>
    </row>
    <row r="823">
      <c r="A823" s="102"/>
      <c r="B823" s="102"/>
      <c r="C823" s="102"/>
      <c r="D823" s="51"/>
      <c r="E823" s="102"/>
      <c r="F823" s="102"/>
      <c r="G823" s="103"/>
      <c r="K823" s="103"/>
      <c r="L823" s="113"/>
      <c r="M823" s="107"/>
      <c r="N823" s="106" t="str">
        <f>IF(ISBLANK(L823), "", VLOOKUP(D823, 'Info Tipo de Cambio y REM'!$A$24:$B$35, 2, FALSE))</f>
        <v/>
      </c>
      <c r="O823" s="107" t="str">
        <f t="shared" si="1"/>
        <v/>
      </c>
    </row>
    <row r="824">
      <c r="A824" s="102"/>
      <c r="B824" s="102"/>
      <c r="C824" s="102"/>
      <c r="D824" s="51"/>
      <c r="E824" s="102"/>
      <c r="F824" s="102"/>
      <c r="G824" s="103"/>
      <c r="K824" s="103"/>
      <c r="L824" s="113"/>
      <c r="M824" s="107"/>
      <c r="N824" s="106" t="str">
        <f>IF(ISBLANK(L824), "", VLOOKUP(D824, 'Info Tipo de Cambio y REM'!$A$24:$B$35, 2, FALSE))</f>
        <v/>
      </c>
      <c r="O824" s="107" t="str">
        <f t="shared" si="1"/>
        <v/>
      </c>
    </row>
    <row r="825">
      <c r="A825" s="102"/>
      <c r="B825" s="102"/>
      <c r="C825" s="102"/>
      <c r="D825" s="51"/>
      <c r="E825" s="102"/>
      <c r="F825" s="102"/>
      <c r="G825" s="103"/>
      <c r="K825" s="103"/>
      <c r="L825" s="113"/>
      <c r="M825" s="107"/>
      <c r="N825" s="106" t="str">
        <f>IF(ISBLANK(L825), "", VLOOKUP(D825, 'Info Tipo de Cambio y REM'!$A$24:$B$35, 2, FALSE))</f>
        <v/>
      </c>
      <c r="O825" s="107" t="str">
        <f t="shared" si="1"/>
        <v/>
      </c>
    </row>
    <row r="826">
      <c r="A826" s="102"/>
      <c r="B826" s="102"/>
      <c r="C826" s="102"/>
      <c r="D826" s="51"/>
      <c r="E826" s="102"/>
      <c r="F826" s="102"/>
      <c r="G826" s="103"/>
      <c r="K826" s="103"/>
      <c r="L826" s="113"/>
      <c r="M826" s="107"/>
      <c r="N826" s="106" t="str">
        <f>IF(ISBLANK(L826), "", VLOOKUP(D826, 'Info Tipo de Cambio y REM'!$A$24:$B$35, 2, FALSE))</f>
        <v/>
      </c>
      <c r="O826" s="107" t="str">
        <f t="shared" si="1"/>
        <v/>
      </c>
    </row>
    <row r="827">
      <c r="A827" s="102"/>
      <c r="B827" s="102"/>
      <c r="C827" s="102"/>
      <c r="D827" s="51"/>
      <c r="E827" s="102"/>
      <c r="F827" s="102"/>
      <c r="G827" s="103"/>
      <c r="K827" s="103"/>
      <c r="L827" s="113"/>
      <c r="M827" s="107"/>
      <c r="N827" s="106" t="str">
        <f>IF(ISBLANK(L827), "", VLOOKUP(D827, 'Info Tipo de Cambio y REM'!$A$24:$B$35, 2, FALSE))</f>
        <v/>
      </c>
      <c r="O827" s="107" t="str">
        <f t="shared" si="1"/>
        <v/>
      </c>
    </row>
    <row r="828">
      <c r="A828" s="102"/>
      <c r="B828" s="102"/>
      <c r="C828" s="102"/>
      <c r="D828" s="51"/>
      <c r="E828" s="102"/>
      <c r="F828" s="102"/>
      <c r="G828" s="103"/>
      <c r="K828" s="103"/>
      <c r="L828" s="113"/>
      <c r="M828" s="107"/>
      <c r="N828" s="106" t="str">
        <f>IF(ISBLANK(L828), "", VLOOKUP(D828, 'Info Tipo de Cambio y REM'!$A$24:$B$35, 2, FALSE))</f>
        <v/>
      </c>
      <c r="O828" s="107" t="str">
        <f t="shared" si="1"/>
        <v/>
      </c>
    </row>
    <row r="829">
      <c r="A829" s="102"/>
      <c r="B829" s="102"/>
      <c r="C829" s="102"/>
      <c r="D829" s="51"/>
      <c r="E829" s="102"/>
      <c r="F829" s="102"/>
      <c r="G829" s="103"/>
      <c r="K829" s="103"/>
      <c r="L829" s="113"/>
      <c r="M829" s="107"/>
      <c r="N829" s="106" t="str">
        <f>IF(ISBLANK(L829), "", VLOOKUP(D829, 'Info Tipo de Cambio y REM'!$A$24:$B$35, 2, FALSE))</f>
        <v/>
      </c>
      <c r="O829" s="107" t="str">
        <f t="shared" si="1"/>
        <v/>
      </c>
    </row>
    <row r="830">
      <c r="A830" s="102"/>
      <c r="B830" s="102"/>
      <c r="C830" s="102"/>
      <c r="D830" s="51"/>
      <c r="E830" s="102"/>
      <c r="F830" s="102"/>
      <c r="G830" s="103"/>
      <c r="K830" s="103"/>
      <c r="L830" s="113"/>
      <c r="M830" s="107"/>
      <c r="N830" s="106" t="str">
        <f>IF(ISBLANK(L830), "", VLOOKUP(D830, 'Info Tipo de Cambio y REM'!$A$24:$B$35, 2, FALSE))</f>
        <v/>
      </c>
      <c r="O830" s="107" t="str">
        <f t="shared" si="1"/>
        <v/>
      </c>
    </row>
    <row r="831">
      <c r="A831" s="102"/>
      <c r="B831" s="102"/>
      <c r="C831" s="102"/>
      <c r="D831" s="51"/>
      <c r="E831" s="102"/>
      <c r="F831" s="102"/>
      <c r="G831" s="103"/>
      <c r="K831" s="103"/>
      <c r="L831" s="113"/>
      <c r="M831" s="107"/>
      <c r="N831" s="106" t="str">
        <f>IF(ISBLANK(L831), "", VLOOKUP(D831, 'Info Tipo de Cambio y REM'!$A$24:$B$35, 2, FALSE))</f>
        <v/>
      </c>
      <c r="O831" s="107" t="str">
        <f t="shared" si="1"/>
        <v/>
      </c>
    </row>
    <row r="832">
      <c r="A832" s="102"/>
      <c r="B832" s="102"/>
      <c r="C832" s="102"/>
      <c r="D832" s="51"/>
      <c r="E832" s="102"/>
      <c r="F832" s="102"/>
      <c r="G832" s="103"/>
      <c r="K832" s="103"/>
      <c r="L832" s="113"/>
      <c r="M832" s="107"/>
      <c r="N832" s="106" t="str">
        <f>IF(ISBLANK(L832), "", VLOOKUP(D832, 'Info Tipo de Cambio y REM'!$A$24:$B$35, 2, FALSE))</f>
        <v/>
      </c>
      <c r="O832" s="107" t="str">
        <f t="shared" si="1"/>
        <v/>
      </c>
    </row>
    <row r="833">
      <c r="A833" s="102"/>
      <c r="B833" s="102"/>
      <c r="C833" s="102"/>
      <c r="D833" s="51"/>
      <c r="E833" s="102"/>
      <c r="F833" s="102"/>
      <c r="G833" s="103"/>
      <c r="K833" s="103"/>
      <c r="L833" s="113"/>
      <c r="M833" s="107"/>
      <c r="N833" s="106" t="str">
        <f>IF(ISBLANK(L833), "", VLOOKUP(D833, 'Info Tipo de Cambio y REM'!$A$24:$B$35, 2, FALSE))</f>
        <v/>
      </c>
      <c r="O833" s="107" t="str">
        <f t="shared" si="1"/>
        <v/>
      </c>
    </row>
    <row r="834">
      <c r="A834" s="102"/>
      <c r="B834" s="102"/>
      <c r="C834" s="102"/>
      <c r="D834" s="51"/>
      <c r="E834" s="102"/>
      <c r="F834" s="102"/>
      <c r="G834" s="103"/>
      <c r="K834" s="103"/>
      <c r="L834" s="113"/>
      <c r="M834" s="107"/>
      <c r="N834" s="106" t="str">
        <f>IF(ISBLANK(L834), "", VLOOKUP(D834, 'Info Tipo de Cambio y REM'!$A$24:$B$35, 2, FALSE))</f>
        <v/>
      </c>
      <c r="O834" s="107" t="str">
        <f t="shared" si="1"/>
        <v/>
      </c>
    </row>
    <row r="835">
      <c r="A835" s="102"/>
      <c r="B835" s="102"/>
      <c r="C835" s="102"/>
      <c r="D835" s="51"/>
      <c r="E835" s="102"/>
      <c r="F835" s="102"/>
      <c r="G835" s="103"/>
      <c r="K835" s="103"/>
      <c r="L835" s="113"/>
      <c r="M835" s="107"/>
      <c r="N835" s="106" t="str">
        <f>IF(ISBLANK(L835), "", VLOOKUP(D835, 'Info Tipo de Cambio y REM'!$A$24:$B$35, 2, FALSE))</f>
        <v/>
      </c>
      <c r="O835" s="107" t="str">
        <f t="shared" si="1"/>
        <v/>
      </c>
    </row>
    <row r="836">
      <c r="A836" s="102"/>
      <c r="B836" s="102"/>
      <c r="C836" s="102"/>
      <c r="D836" s="51"/>
      <c r="E836" s="102"/>
      <c r="F836" s="102"/>
      <c r="G836" s="103"/>
      <c r="K836" s="103"/>
      <c r="L836" s="113"/>
      <c r="M836" s="107"/>
      <c r="N836" s="106" t="str">
        <f>IF(ISBLANK(L836), "", VLOOKUP(D836, 'Info Tipo de Cambio y REM'!$A$24:$B$35, 2, FALSE))</f>
        <v/>
      </c>
      <c r="O836" s="107" t="str">
        <f t="shared" si="1"/>
        <v/>
      </c>
    </row>
    <row r="837">
      <c r="A837" s="102"/>
      <c r="B837" s="102"/>
      <c r="C837" s="102"/>
      <c r="D837" s="51"/>
      <c r="E837" s="102"/>
      <c r="F837" s="102"/>
      <c r="G837" s="103"/>
      <c r="K837" s="103"/>
      <c r="L837" s="113"/>
      <c r="M837" s="107"/>
      <c r="N837" s="106" t="str">
        <f>IF(ISBLANK(L837), "", VLOOKUP(D837, 'Info Tipo de Cambio y REM'!$A$24:$B$35, 2, FALSE))</f>
        <v/>
      </c>
      <c r="O837" s="107" t="str">
        <f t="shared" si="1"/>
        <v/>
      </c>
    </row>
    <row r="838">
      <c r="A838" s="102"/>
      <c r="B838" s="102"/>
      <c r="C838" s="102"/>
      <c r="D838" s="51"/>
      <c r="E838" s="102"/>
      <c r="F838" s="102"/>
      <c r="G838" s="103"/>
      <c r="K838" s="103"/>
      <c r="L838" s="113"/>
      <c r="M838" s="107"/>
      <c r="N838" s="106" t="str">
        <f>IF(ISBLANK(L838), "", VLOOKUP(D838, 'Info Tipo de Cambio y REM'!$A$24:$B$35, 2, FALSE))</f>
        <v/>
      </c>
      <c r="O838" s="107" t="str">
        <f t="shared" si="1"/>
        <v/>
      </c>
    </row>
    <row r="839">
      <c r="A839" s="102"/>
      <c r="B839" s="102"/>
      <c r="C839" s="102"/>
      <c r="D839" s="51"/>
      <c r="E839" s="102"/>
      <c r="F839" s="102"/>
      <c r="G839" s="103"/>
      <c r="K839" s="103"/>
      <c r="L839" s="113"/>
      <c r="M839" s="107"/>
      <c r="N839" s="106" t="str">
        <f>IF(ISBLANK(L839), "", VLOOKUP(D839, 'Info Tipo de Cambio y REM'!$A$24:$B$35, 2, FALSE))</f>
        <v/>
      </c>
      <c r="O839" s="107" t="str">
        <f t="shared" si="1"/>
        <v/>
      </c>
    </row>
    <row r="840">
      <c r="A840" s="102"/>
      <c r="B840" s="102"/>
      <c r="C840" s="102"/>
      <c r="D840" s="51"/>
      <c r="E840" s="102"/>
      <c r="F840" s="102"/>
      <c r="G840" s="103"/>
      <c r="K840" s="103"/>
      <c r="L840" s="113"/>
      <c r="M840" s="107"/>
      <c r="N840" s="106" t="str">
        <f>IF(ISBLANK(L840), "", VLOOKUP(D840, 'Info Tipo de Cambio y REM'!$A$24:$B$35, 2, FALSE))</f>
        <v/>
      </c>
      <c r="O840" s="107" t="str">
        <f t="shared" si="1"/>
        <v/>
      </c>
    </row>
    <row r="841">
      <c r="A841" s="102"/>
      <c r="B841" s="102"/>
      <c r="C841" s="102"/>
      <c r="D841" s="51"/>
      <c r="E841" s="102"/>
      <c r="F841" s="102"/>
      <c r="G841" s="103"/>
      <c r="K841" s="103"/>
      <c r="L841" s="113"/>
      <c r="M841" s="107"/>
      <c r="N841" s="106" t="str">
        <f>IF(ISBLANK(L841), "", VLOOKUP(D841, 'Info Tipo de Cambio y REM'!$A$24:$B$35, 2, FALSE))</f>
        <v/>
      </c>
      <c r="O841" s="107" t="str">
        <f t="shared" si="1"/>
        <v/>
      </c>
    </row>
    <row r="842">
      <c r="A842" s="102"/>
      <c r="B842" s="102"/>
      <c r="C842" s="102"/>
      <c r="D842" s="51"/>
      <c r="E842" s="102"/>
      <c r="F842" s="102"/>
      <c r="G842" s="103"/>
      <c r="K842" s="103"/>
      <c r="L842" s="113"/>
      <c r="M842" s="107"/>
      <c r="N842" s="106" t="str">
        <f>IF(ISBLANK(L842), "", VLOOKUP(D842, 'Info Tipo de Cambio y REM'!$A$24:$B$35, 2, FALSE))</f>
        <v/>
      </c>
      <c r="O842" s="107" t="str">
        <f t="shared" si="1"/>
        <v/>
      </c>
    </row>
    <row r="843">
      <c r="A843" s="102"/>
      <c r="B843" s="102"/>
      <c r="C843" s="102"/>
      <c r="D843" s="51"/>
      <c r="E843" s="102"/>
      <c r="F843" s="102"/>
      <c r="G843" s="103"/>
      <c r="K843" s="103"/>
      <c r="L843" s="113"/>
      <c r="M843" s="107"/>
      <c r="N843" s="106" t="str">
        <f>IF(ISBLANK(L843), "", VLOOKUP(D843, 'Info Tipo de Cambio y REM'!$A$24:$B$35, 2, FALSE))</f>
        <v/>
      </c>
      <c r="O843" s="107" t="str">
        <f t="shared" si="1"/>
        <v/>
      </c>
    </row>
    <row r="844">
      <c r="A844" s="102"/>
      <c r="B844" s="102"/>
      <c r="C844" s="102"/>
      <c r="D844" s="51"/>
      <c r="E844" s="102"/>
      <c r="F844" s="102"/>
      <c r="G844" s="103"/>
      <c r="K844" s="103"/>
      <c r="L844" s="113"/>
      <c r="M844" s="107"/>
      <c r="N844" s="106" t="str">
        <f>IF(ISBLANK(L844), "", VLOOKUP(D844, 'Info Tipo de Cambio y REM'!$A$24:$B$35, 2, FALSE))</f>
        <v/>
      </c>
      <c r="O844" s="107" t="str">
        <f t="shared" si="1"/>
        <v/>
      </c>
    </row>
    <row r="845">
      <c r="A845" s="102"/>
      <c r="B845" s="102"/>
      <c r="C845" s="102"/>
      <c r="D845" s="51"/>
      <c r="E845" s="102"/>
      <c r="F845" s="102"/>
      <c r="G845" s="103"/>
      <c r="K845" s="103"/>
      <c r="L845" s="113"/>
      <c r="M845" s="107"/>
      <c r="N845" s="106" t="str">
        <f>IF(ISBLANK(L845), "", VLOOKUP(D845, 'Info Tipo de Cambio y REM'!$A$24:$B$35, 2, FALSE))</f>
        <v/>
      </c>
      <c r="O845" s="107" t="str">
        <f t="shared" si="1"/>
        <v/>
      </c>
    </row>
    <row r="846">
      <c r="A846" s="102"/>
      <c r="B846" s="102"/>
      <c r="C846" s="102"/>
      <c r="D846" s="51"/>
      <c r="E846" s="102"/>
      <c r="F846" s="102"/>
      <c r="G846" s="103"/>
      <c r="K846" s="103"/>
      <c r="L846" s="113"/>
      <c r="M846" s="107"/>
      <c r="N846" s="106" t="str">
        <f>IF(ISBLANK(L846), "", VLOOKUP(D846, 'Info Tipo de Cambio y REM'!$A$24:$B$35, 2, FALSE))</f>
        <v/>
      </c>
      <c r="O846" s="107" t="str">
        <f t="shared" si="1"/>
        <v/>
      </c>
    </row>
    <row r="847">
      <c r="A847" s="102"/>
      <c r="B847" s="102"/>
      <c r="C847" s="102"/>
      <c r="D847" s="51"/>
      <c r="E847" s="102"/>
      <c r="F847" s="102"/>
      <c r="G847" s="103"/>
      <c r="K847" s="103"/>
      <c r="L847" s="113"/>
      <c r="M847" s="107"/>
      <c r="N847" s="106" t="str">
        <f>IF(ISBLANK(L847), "", VLOOKUP(D847, 'Info Tipo de Cambio y REM'!$A$24:$B$35, 2, FALSE))</f>
        <v/>
      </c>
      <c r="O847" s="107" t="str">
        <f t="shared" si="1"/>
        <v/>
      </c>
    </row>
    <row r="848">
      <c r="A848" s="102"/>
      <c r="B848" s="102"/>
      <c r="C848" s="102"/>
      <c r="D848" s="51"/>
      <c r="E848" s="102"/>
      <c r="F848" s="102"/>
      <c r="G848" s="103"/>
      <c r="K848" s="103"/>
      <c r="L848" s="113"/>
      <c r="M848" s="107"/>
      <c r="N848" s="106" t="str">
        <f>IF(ISBLANK(L848), "", VLOOKUP(D848, 'Info Tipo de Cambio y REM'!$A$24:$B$35, 2, FALSE))</f>
        <v/>
      </c>
      <c r="O848" s="107" t="str">
        <f t="shared" si="1"/>
        <v/>
      </c>
    </row>
    <row r="849">
      <c r="A849" s="102"/>
      <c r="B849" s="102"/>
      <c r="C849" s="102"/>
      <c r="D849" s="51"/>
      <c r="E849" s="102"/>
      <c r="F849" s="102"/>
      <c r="G849" s="103"/>
      <c r="K849" s="103"/>
      <c r="L849" s="113"/>
      <c r="M849" s="107"/>
      <c r="N849" s="106" t="str">
        <f>IF(ISBLANK(L849), "", VLOOKUP(D849, 'Info Tipo de Cambio y REM'!$A$24:$B$35, 2, FALSE))</f>
        <v/>
      </c>
      <c r="O849" s="107" t="str">
        <f t="shared" si="1"/>
        <v/>
      </c>
    </row>
    <row r="850">
      <c r="A850" s="102"/>
      <c r="B850" s="102"/>
      <c r="C850" s="102"/>
      <c r="D850" s="51"/>
      <c r="E850" s="102"/>
      <c r="F850" s="102"/>
      <c r="G850" s="103"/>
      <c r="K850" s="103"/>
      <c r="L850" s="113"/>
      <c r="M850" s="107"/>
      <c r="N850" s="106" t="str">
        <f>IF(ISBLANK(L850), "", VLOOKUP(D850, 'Info Tipo de Cambio y REM'!$A$24:$B$35, 2, FALSE))</f>
        <v/>
      </c>
      <c r="O850" s="107" t="str">
        <f t="shared" si="1"/>
        <v/>
      </c>
    </row>
    <row r="851">
      <c r="A851" s="102"/>
      <c r="B851" s="102"/>
      <c r="C851" s="102"/>
      <c r="D851" s="51"/>
      <c r="E851" s="102"/>
      <c r="F851" s="102"/>
      <c r="G851" s="103"/>
      <c r="K851" s="103"/>
      <c r="L851" s="113"/>
      <c r="M851" s="107"/>
      <c r="N851" s="106" t="str">
        <f>IF(ISBLANK(L851), "", VLOOKUP(D851, 'Info Tipo de Cambio y REM'!$A$24:$B$35, 2, FALSE))</f>
        <v/>
      </c>
      <c r="O851" s="107" t="str">
        <f t="shared" si="1"/>
        <v/>
      </c>
    </row>
    <row r="852">
      <c r="A852" s="102"/>
      <c r="B852" s="102"/>
      <c r="C852" s="102"/>
      <c r="D852" s="51"/>
      <c r="E852" s="102"/>
      <c r="F852" s="102"/>
      <c r="G852" s="103"/>
      <c r="K852" s="103"/>
      <c r="L852" s="113"/>
      <c r="M852" s="107"/>
      <c r="N852" s="106" t="str">
        <f>IF(ISBLANK(L852), "", VLOOKUP(D852, 'Info Tipo de Cambio y REM'!$A$24:$B$35, 2, FALSE))</f>
        <v/>
      </c>
      <c r="O852" s="107" t="str">
        <f t="shared" si="1"/>
        <v/>
      </c>
    </row>
    <row r="853">
      <c r="A853" s="102"/>
      <c r="B853" s="102"/>
      <c r="C853" s="102"/>
      <c r="D853" s="51"/>
      <c r="E853" s="102"/>
      <c r="F853" s="102"/>
      <c r="G853" s="103"/>
      <c r="K853" s="103"/>
      <c r="L853" s="113"/>
      <c r="M853" s="107"/>
      <c r="N853" s="106" t="str">
        <f>IF(ISBLANK(L853), "", VLOOKUP(D853, 'Info Tipo de Cambio y REM'!$A$24:$B$35, 2, FALSE))</f>
        <v/>
      </c>
      <c r="O853" s="107" t="str">
        <f t="shared" si="1"/>
        <v/>
      </c>
    </row>
    <row r="854">
      <c r="A854" s="102"/>
      <c r="B854" s="102"/>
      <c r="C854" s="102"/>
      <c r="D854" s="51"/>
      <c r="E854" s="102"/>
      <c r="F854" s="102"/>
      <c r="G854" s="103"/>
      <c r="K854" s="103"/>
      <c r="L854" s="113"/>
      <c r="M854" s="107"/>
      <c r="N854" s="106" t="str">
        <f>IF(ISBLANK(L854), "", VLOOKUP(D854, 'Info Tipo de Cambio y REM'!$A$24:$B$35, 2, FALSE))</f>
        <v/>
      </c>
      <c r="O854" s="107" t="str">
        <f t="shared" si="1"/>
        <v/>
      </c>
    </row>
    <row r="855">
      <c r="A855" s="102"/>
      <c r="B855" s="102"/>
      <c r="C855" s="102"/>
      <c r="D855" s="51"/>
      <c r="E855" s="102"/>
      <c r="F855" s="102"/>
      <c r="G855" s="103"/>
      <c r="K855" s="103"/>
      <c r="L855" s="113"/>
      <c r="M855" s="107"/>
      <c r="N855" s="106" t="str">
        <f>IF(ISBLANK(L855), "", VLOOKUP(D855, 'Info Tipo de Cambio y REM'!$A$24:$B$35, 2, FALSE))</f>
        <v/>
      </c>
      <c r="O855" s="107" t="str">
        <f t="shared" si="1"/>
        <v/>
      </c>
    </row>
    <row r="856">
      <c r="A856" s="102"/>
      <c r="B856" s="102"/>
      <c r="C856" s="102"/>
      <c r="D856" s="51"/>
      <c r="E856" s="102"/>
      <c r="F856" s="102"/>
      <c r="G856" s="103"/>
      <c r="K856" s="103"/>
      <c r="L856" s="113"/>
      <c r="M856" s="107"/>
      <c r="N856" s="106" t="str">
        <f>IF(ISBLANK(L856), "", VLOOKUP(D856, 'Info Tipo de Cambio y REM'!$A$24:$B$35, 2, FALSE))</f>
        <v/>
      </c>
      <c r="O856" s="107" t="str">
        <f t="shared" si="1"/>
        <v/>
      </c>
    </row>
    <row r="857">
      <c r="A857" s="102"/>
      <c r="B857" s="102"/>
      <c r="C857" s="102"/>
      <c r="D857" s="51"/>
      <c r="E857" s="102"/>
      <c r="F857" s="102"/>
      <c r="G857" s="103"/>
      <c r="K857" s="103"/>
      <c r="L857" s="113"/>
      <c r="M857" s="107"/>
      <c r="N857" s="106" t="str">
        <f>IF(ISBLANK(L857), "", VLOOKUP(D857, 'Info Tipo de Cambio y REM'!$A$24:$B$35, 2, FALSE))</f>
        <v/>
      </c>
      <c r="O857" s="107" t="str">
        <f t="shared" si="1"/>
        <v/>
      </c>
    </row>
    <row r="858">
      <c r="A858" s="102"/>
      <c r="B858" s="102"/>
      <c r="C858" s="102"/>
      <c r="D858" s="51"/>
      <c r="E858" s="102"/>
      <c r="F858" s="102"/>
      <c r="G858" s="103"/>
      <c r="K858" s="103"/>
      <c r="L858" s="113"/>
      <c r="M858" s="107"/>
      <c r="N858" s="106" t="str">
        <f>IF(ISBLANK(L858), "", VLOOKUP(D858, 'Info Tipo de Cambio y REM'!$A$24:$B$35, 2, FALSE))</f>
        <v/>
      </c>
      <c r="O858" s="107" t="str">
        <f t="shared" si="1"/>
        <v/>
      </c>
    </row>
    <row r="859">
      <c r="A859" s="102"/>
      <c r="B859" s="102"/>
      <c r="C859" s="102"/>
      <c r="D859" s="51"/>
      <c r="E859" s="102"/>
      <c r="F859" s="102"/>
      <c r="G859" s="103"/>
      <c r="K859" s="103"/>
      <c r="L859" s="113"/>
      <c r="M859" s="107"/>
      <c r="N859" s="106" t="str">
        <f>IF(ISBLANK(L859), "", VLOOKUP(D859, 'Info Tipo de Cambio y REM'!$A$24:$B$35, 2, FALSE))</f>
        <v/>
      </c>
      <c r="O859" s="107" t="str">
        <f t="shared" si="1"/>
        <v/>
      </c>
    </row>
    <row r="860">
      <c r="A860" s="102"/>
      <c r="B860" s="102"/>
      <c r="C860" s="102"/>
      <c r="D860" s="51"/>
      <c r="E860" s="102"/>
      <c r="F860" s="102"/>
      <c r="G860" s="103"/>
      <c r="K860" s="103"/>
      <c r="L860" s="113"/>
      <c r="M860" s="107"/>
      <c r="N860" s="106" t="str">
        <f>IF(ISBLANK(L860), "", VLOOKUP(D860, 'Info Tipo de Cambio y REM'!$A$24:$B$35, 2, FALSE))</f>
        <v/>
      </c>
      <c r="O860" s="107" t="str">
        <f t="shared" si="1"/>
        <v/>
      </c>
    </row>
    <row r="861">
      <c r="A861" s="102"/>
      <c r="B861" s="102"/>
      <c r="C861" s="102"/>
      <c r="D861" s="51"/>
      <c r="E861" s="102"/>
      <c r="F861" s="102"/>
      <c r="G861" s="103"/>
      <c r="K861" s="103"/>
      <c r="L861" s="113"/>
      <c r="M861" s="107"/>
      <c r="N861" s="106" t="str">
        <f>IF(ISBLANK(L861), "", VLOOKUP(D861, 'Info Tipo de Cambio y REM'!$A$24:$B$35, 2, FALSE))</f>
        <v/>
      </c>
      <c r="O861" s="107" t="str">
        <f t="shared" si="1"/>
        <v/>
      </c>
    </row>
    <row r="862">
      <c r="A862" s="102"/>
      <c r="B862" s="102"/>
      <c r="C862" s="102"/>
      <c r="D862" s="51"/>
      <c r="E862" s="102"/>
      <c r="F862" s="102"/>
      <c r="G862" s="103"/>
      <c r="K862" s="103"/>
      <c r="L862" s="113"/>
      <c r="M862" s="107"/>
      <c r="N862" s="106" t="str">
        <f>IF(ISBLANK(L862), "", VLOOKUP(D862, 'Info Tipo de Cambio y REM'!$A$24:$B$35, 2, FALSE))</f>
        <v/>
      </c>
      <c r="O862" s="107" t="str">
        <f t="shared" si="1"/>
        <v/>
      </c>
    </row>
    <row r="863">
      <c r="A863" s="102"/>
      <c r="B863" s="102"/>
      <c r="C863" s="102"/>
      <c r="D863" s="51"/>
      <c r="E863" s="102"/>
      <c r="F863" s="102"/>
      <c r="G863" s="103"/>
      <c r="K863" s="103"/>
      <c r="L863" s="113"/>
      <c r="M863" s="107"/>
      <c r="N863" s="106" t="str">
        <f>IF(ISBLANK(L863), "", VLOOKUP(D863, 'Info Tipo de Cambio y REM'!$A$24:$B$35, 2, FALSE))</f>
        <v/>
      </c>
      <c r="O863" s="107" t="str">
        <f t="shared" si="1"/>
        <v/>
      </c>
    </row>
    <row r="864">
      <c r="A864" s="102"/>
      <c r="B864" s="102"/>
      <c r="C864" s="102"/>
      <c r="D864" s="51"/>
      <c r="E864" s="102"/>
      <c r="F864" s="102"/>
      <c r="G864" s="103"/>
      <c r="K864" s="103"/>
      <c r="L864" s="113"/>
      <c r="M864" s="107"/>
      <c r="N864" s="106" t="str">
        <f>IF(ISBLANK(L864), "", VLOOKUP(D864, 'Info Tipo de Cambio y REM'!$A$24:$B$35, 2, FALSE))</f>
        <v/>
      </c>
      <c r="O864" s="107" t="str">
        <f t="shared" si="1"/>
        <v/>
      </c>
    </row>
    <row r="865">
      <c r="A865" s="102"/>
      <c r="B865" s="102"/>
      <c r="C865" s="102"/>
      <c r="D865" s="51"/>
      <c r="E865" s="102"/>
      <c r="F865" s="102"/>
      <c r="G865" s="103"/>
      <c r="K865" s="103"/>
      <c r="L865" s="113"/>
      <c r="M865" s="107"/>
      <c r="N865" s="106" t="str">
        <f>IF(ISBLANK(L865), "", VLOOKUP(D865, 'Info Tipo de Cambio y REM'!$A$24:$B$35, 2, FALSE))</f>
        <v/>
      </c>
      <c r="O865" s="107" t="str">
        <f t="shared" si="1"/>
        <v/>
      </c>
    </row>
    <row r="866">
      <c r="A866" s="102"/>
      <c r="B866" s="102"/>
      <c r="C866" s="102"/>
      <c r="D866" s="51"/>
      <c r="E866" s="102"/>
      <c r="F866" s="102"/>
      <c r="G866" s="103"/>
      <c r="K866" s="103"/>
      <c r="L866" s="113"/>
      <c r="M866" s="107"/>
      <c r="N866" s="106" t="str">
        <f>IF(ISBLANK(L866), "", VLOOKUP(D866, 'Info Tipo de Cambio y REM'!$A$24:$B$35, 2, FALSE))</f>
        <v/>
      </c>
      <c r="O866" s="107" t="str">
        <f t="shared" si="1"/>
        <v/>
      </c>
    </row>
    <row r="867">
      <c r="A867" s="102"/>
      <c r="B867" s="102"/>
      <c r="C867" s="102"/>
      <c r="D867" s="51"/>
      <c r="E867" s="102"/>
      <c r="F867" s="102"/>
      <c r="G867" s="103"/>
      <c r="K867" s="103"/>
      <c r="L867" s="113"/>
      <c r="M867" s="107"/>
      <c r="N867" s="106" t="str">
        <f>IF(ISBLANK(L867), "", VLOOKUP(D867, 'Info Tipo de Cambio y REM'!$A$24:$B$35, 2, FALSE))</f>
        <v/>
      </c>
      <c r="O867" s="107" t="str">
        <f t="shared" si="1"/>
        <v/>
      </c>
    </row>
    <row r="868">
      <c r="A868" s="102"/>
      <c r="B868" s="102"/>
      <c r="C868" s="102"/>
      <c r="D868" s="51"/>
      <c r="E868" s="102"/>
      <c r="F868" s="102"/>
      <c r="G868" s="103"/>
      <c r="K868" s="103"/>
      <c r="L868" s="113"/>
      <c r="M868" s="107"/>
      <c r="N868" s="106" t="str">
        <f>IF(ISBLANK(L868), "", VLOOKUP(D868, 'Info Tipo de Cambio y REM'!$A$24:$B$35, 2, FALSE))</f>
        <v/>
      </c>
      <c r="O868" s="107" t="str">
        <f t="shared" si="1"/>
        <v/>
      </c>
    </row>
    <row r="869">
      <c r="A869" s="102"/>
      <c r="B869" s="102"/>
      <c r="C869" s="102"/>
      <c r="D869" s="51"/>
      <c r="E869" s="102"/>
      <c r="F869" s="102"/>
      <c r="G869" s="103"/>
      <c r="K869" s="103"/>
      <c r="L869" s="113"/>
      <c r="M869" s="107"/>
      <c r="N869" s="106" t="str">
        <f>IF(ISBLANK(L869), "", VLOOKUP(D869, 'Info Tipo de Cambio y REM'!$A$24:$B$35, 2, FALSE))</f>
        <v/>
      </c>
      <c r="O869" s="107" t="str">
        <f t="shared" si="1"/>
        <v/>
      </c>
    </row>
    <row r="870">
      <c r="A870" s="102"/>
      <c r="B870" s="102"/>
      <c r="C870" s="102"/>
      <c r="D870" s="51"/>
      <c r="E870" s="102"/>
      <c r="F870" s="102"/>
      <c r="G870" s="103"/>
      <c r="K870" s="103"/>
      <c r="L870" s="113"/>
      <c r="M870" s="107"/>
      <c r="N870" s="106" t="str">
        <f>IF(ISBLANK(L870), "", VLOOKUP(D870, 'Info Tipo de Cambio y REM'!$A$24:$B$35, 2, FALSE))</f>
        <v/>
      </c>
      <c r="O870" s="107" t="str">
        <f t="shared" si="1"/>
        <v/>
      </c>
    </row>
    <row r="871">
      <c r="A871" s="102"/>
      <c r="B871" s="102"/>
      <c r="C871" s="102"/>
      <c r="D871" s="51"/>
      <c r="E871" s="102"/>
      <c r="F871" s="102"/>
      <c r="G871" s="103"/>
      <c r="K871" s="103"/>
      <c r="L871" s="113"/>
      <c r="M871" s="107"/>
      <c r="N871" s="106" t="str">
        <f>IF(ISBLANK(L871), "", VLOOKUP(D871, 'Info Tipo de Cambio y REM'!$A$24:$B$35, 2, FALSE))</f>
        <v/>
      </c>
      <c r="O871" s="107" t="str">
        <f t="shared" si="1"/>
        <v/>
      </c>
    </row>
    <row r="872">
      <c r="A872" s="102"/>
      <c r="B872" s="102"/>
      <c r="C872" s="102"/>
      <c r="D872" s="51"/>
      <c r="E872" s="102"/>
      <c r="F872" s="102"/>
      <c r="G872" s="103"/>
      <c r="K872" s="103"/>
      <c r="L872" s="113"/>
      <c r="M872" s="107"/>
      <c r="N872" s="106" t="str">
        <f>IF(ISBLANK(L872), "", VLOOKUP(D872, 'Info Tipo de Cambio y REM'!$A$24:$B$35, 2, FALSE))</f>
        <v/>
      </c>
      <c r="O872" s="107" t="str">
        <f t="shared" si="1"/>
        <v/>
      </c>
    </row>
    <row r="873">
      <c r="A873" s="102"/>
      <c r="B873" s="102"/>
      <c r="C873" s="102"/>
      <c r="D873" s="51"/>
      <c r="E873" s="102"/>
      <c r="F873" s="102"/>
      <c r="G873" s="103"/>
      <c r="K873" s="103"/>
      <c r="L873" s="113"/>
      <c r="M873" s="107"/>
      <c r="N873" s="106" t="str">
        <f>IF(ISBLANK(L873), "", VLOOKUP(D873, 'Info Tipo de Cambio y REM'!$A$24:$B$35, 2, FALSE))</f>
        <v/>
      </c>
      <c r="O873" s="107" t="str">
        <f t="shared" si="1"/>
        <v/>
      </c>
    </row>
    <row r="874">
      <c r="A874" s="102"/>
      <c r="B874" s="102"/>
      <c r="C874" s="102"/>
      <c r="D874" s="51"/>
      <c r="E874" s="102"/>
      <c r="F874" s="102"/>
      <c r="G874" s="103"/>
      <c r="K874" s="103"/>
      <c r="L874" s="113"/>
      <c r="M874" s="107"/>
      <c r="N874" s="106" t="str">
        <f>IF(ISBLANK(L874), "", VLOOKUP(D874, 'Info Tipo de Cambio y REM'!$A$24:$B$35, 2, FALSE))</f>
        <v/>
      </c>
      <c r="O874" s="107" t="str">
        <f t="shared" si="1"/>
        <v/>
      </c>
    </row>
    <row r="875">
      <c r="A875" s="102"/>
      <c r="B875" s="102"/>
      <c r="C875" s="102"/>
      <c r="D875" s="51"/>
      <c r="E875" s="102"/>
      <c r="F875" s="102"/>
      <c r="G875" s="103"/>
      <c r="K875" s="103"/>
      <c r="L875" s="113"/>
      <c r="M875" s="107"/>
      <c r="N875" s="106" t="str">
        <f>IF(ISBLANK(L875), "", VLOOKUP(D875, 'Info Tipo de Cambio y REM'!$A$24:$B$35, 2, FALSE))</f>
        <v/>
      </c>
      <c r="O875" s="107" t="str">
        <f t="shared" si="1"/>
        <v/>
      </c>
    </row>
    <row r="876">
      <c r="A876" s="102"/>
      <c r="B876" s="102"/>
      <c r="C876" s="102"/>
      <c r="D876" s="51"/>
      <c r="E876" s="102"/>
      <c r="F876" s="102"/>
      <c r="G876" s="103"/>
      <c r="K876" s="103"/>
      <c r="L876" s="113"/>
      <c r="M876" s="107"/>
      <c r="N876" s="106" t="str">
        <f>IF(ISBLANK(L876), "", VLOOKUP(D876, 'Info Tipo de Cambio y REM'!$A$24:$B$35, 2, FALSE))</f>
        <v/>
      </c>
      <c r="O876" s="107" t="str">
        <f t="shared" si="1"/>
        <v/>
      </c>
    </row>
    <row r="877">
      <c r="A877" s="102"/>
      <c r="B877" s="102"/>
      <c r="C877" s="102"/>
      <c r="D877" s="51"/>
      <c r="E877" s="102"/>
      <c r="F877" s="102"/>
      <c r="G877" s="103"/>
      <c r="K877" s="103"/>
      <c r="L877" s="113"/>
      <c r="M877" s="107"/>
      <c r="N877" s="106" t="str">
        <f>IF(ISBLANK(L877), "", VLOOKUP(D877, 'Info Tipo de Cambio y REM'!$A$24:$B$35, 2, FALSE))</f>
        <v/>
      </c>
      <c r="O877" s="107" t="str">
        <f t="shared" si="1"/>
        <v/>
      </c>
    </row>
    <row r="878">
      <c r="A878" s="102"/>
      <c r="B878" s="102"/>
      <c r="C878" s="102"/>
      <c r="D878" s="51"/>
      <c r="E878" s="102"/>
      <c r="F878" s="102"/>
      <c r="G878" s="103"/>
      <c r="K878" s="103"/>
      <c r="L878" s="113"/>
      <c r="M878" s="107"/>
      <c r="N878" s="106" t="str">
        <f>IF(ISBLANK(L878), "", VLOOKUP(D878, 'Info Tipo de Cambio y REM'!$A$24:$B$35, 2, FALSE))</f>
        <v/>
      </c>
      <c r="O878" s="107" t="str">
        <f t="shared" si="1"/>
        <v/>
      </c>
    </row>
    <row r="879">
      <c r="A879" s="102"/>
      <c r="B879" s="102"/>
      <c r="C879" s="102"/>
      <c r="D879" s="51"/>
      <c r="E879" s="102"/>
      <c r="F879" s="102"/>
      <c r="G879" s="103"/>
      <c r="K879" s="103"/>
      <c r="L879" s="113"/>
      <c r="M879" s="107"/>
      <c r="N879" s="106" t="str">
        <f>IF(ISBLANK(L879), "", VLOOKUP(D879, 'Info Tipo de Cambio y REM'!$A$24:$B$35, 2, FALSE))</f>
        <v/>
      </c>
      <c r="O879" s="107" t="str">
        <f t="shared" si="1"/>
        <v/>
      </c>
    </row>
    <row r="880">
      <c r="A880" s="102"/>
      <c r="B880" s="102"/>
      <c r="C880" s="102"/>
      <c r="D880" s="51"/>
      <c r="E880" s="102"/>
      <c r="F880" s="102"/>
      <c r="G880" s="103"/>
      <c r="K880" s="103"/>
      <c r="L880" s="113"/>
      <c r="M880" s="107"/>
      <c r="N880" s="106" t="str">
        <f>IF(ISBLANK(L880), "", VLOOKUP(D880, 'Info Tipo de Cambio y REM'!$A$24:$B$35, 2, FALSE))</f>
        <v/>
      </c>
      <c r="O880" s="107" t="str">
        <f t="shared" si="1"/>
        <v/>
      </c>
    </row>
    <row r="881">
      <c r="A881" s="102"/>
      <c r="B881" s="102"/>
      <c r="C881" s="102"/>
      <c r="D881" s="51"/>
      <c r="E881" s="102"/>
      <c r="F881" s="102"/>
      <c r="G881" s="103"/>
      <c r="K881" s="103"/>
      <c r="L881" s="113"/>
      <c r="M881" s="107"/>
      <c r="N881" s="106" t="str">
        <f>IF(ISBLANK(L881), "", VLOOKUP(D881, 'Info Tipo de Cambio y REM'!$A$24:$B$35, 2, FALSE))</f>
        <v/>
      </c>
      <c r="O881" s="107" t="str">
        <f t="shared" si="1"/>
        <v/>
      </c>
    </row>
    <row r="882">
      <c r="A882" s="102"/>
      <c r="B882" s="102"/>
      <c r="C882" s="102"/>
      <c r="D882" s="51"/>
      <c r="E882" s="102"/>
      <c r="F882" s="102"/>
      <c r="G882" s="103"/>
      <c r="K882" s="103"/>
      <c r="L882" s="113"/>
      <c r="M882" s="107"/>
      <c r="N882" s="106" t="str">
        <f>IF(ISBLANK(L882), "", VLOOKUP(D882, 'Info Tipo de Cambio y REM'!$A$24:$B$35, 2, FALSE))</f>
        <v/>
      </c>
      <c r="O882" s="107" t="str">
        <f t="shared" si="1"/>
        <v/>
      </c>
    </row>
    <row r="883">
      <c r="A883" s="102"/>
      <c r="B883" s="102"/>
      <c r="C883" s="102"/>
      <c r="D883" s="51"/>
      <c r="E883" s="102"/>
      <c r="F883" s="102"/>
      <c r="G883" s="103"/>
      <c r="K883" s="103"/>
      <c r="L883" s="113"/>
      <c r="M883" s="107"/>
      <c r="N883" s="106" t="str">
        <f>IF(ISBLANK(L883), "", VLOOKUP(D883, 'Info Tipo de Cambio y REM'!$A$24:$B$35, 2, FALSE))</f>
        <v/>
      </c>
      <c r="O883" s="107" t="str">
        <f t="shared" si="1"/>
        <v/>
      </c>
    </row>
    <row r="884">
      <c r="A884" s="102"/>
      <c r="B884" s="102"/>
      <c r="C884" s="102"/>
      <c r="D884" s="51"/>
      <c r="E884" s="102"/>
      <c r="F884" s="102"/>
      <c r="G884" s="103"/>
      <c r="K884" s="103"/>
      <c r="L884" s="113"/>
      <c r="M884" s="107"/>
      <c r="N884" s="106" t="str">
        <f>IF(ISBLANK(L884), "", VLOOKUP(D884, 'Info Tipo de Cambio y REM'!$A$24:$B$35, 2, FALSE))</f>
        <v/>
      </c>
      <c r="O884" s="107" t="str">
        <f t="shared" si="1"/>
        <v/>
      </c>
    </row>
    <row r="885">
      <c r="A885" s="102"/>
      <c r="B885" s="102"/>
      <c r="C885" s="102"/>
      <c r="D885" s="51"/>
      <c r="E885" s="102"/>
      <c r="F885" s="102"/>
      <c r="G885" s="103"/>
      <c r="K885" s="103"/>
      <c r="L885" s="113"/>
      <c r="M885" s="107"/>
      <c r="N885" s="106" t="str">
        <f>IF(ISBLANK(L885), "", VLOOKUP(D885, 'Info Tipo de Cambio y REM'!$A$24:$B$35, 2, FALSE))</f>
        <v/>
      </c>
      <c r="O885" s="107" t="str">
        <f t="shared" si="1"/>
        <v/>
      </c>
    </row>
    <row r="886">
      <c r="A886" s="102"/>
      <c r="B886" s="102"/>
      <c r="C886" s="102"/>
      <c r="D886" s="51"/>
      <c r="E886" s="102"/>
      <c r="F886" s="102"/>
      <c r="G886" s="103"/>
      <c r="K886" s="103"/>
      <c r="L886" s="113"/>
      <c r="M886" s="107"/>
      <c r="N886" s="106" t="str">
        <f>IF(ISBLANK(L886), "", VLOOKUP(D886, 'Info Tipo de Cambio y REM'!$A$24:$B$35, 2, FALSE))</f>
        <v/>
      </c>
      <c r="O886" s="107" t="str">
        <f t="shared" si="1"/>
        <v/>
      </c>
    </row>
    <row r="887">
      <c r="A887" s="102"/>
      <c r="B887" s="102"/>
      <c r="C887" s="102"/>
      <c r="D887" s="51"/>
      <c r="E887" s="102"/>
      <c r="F887" s="102"/>
      <c r="G887" s="103"/>
      <c r="K887" s="103"/>
      <c r="L887" s="113"/>
      <c r="M887" s="107"/>
      <c r="N887" s="106" t="str">
        <f>IF(ISBLANK(L887), "", VLOOKUP(D887, 'Info Tipo de Cambio y REM'!$A$24:$B$35, 2, FALSE))</f>
        <v/>
      </c>
      <c r="O887" s="107" t="str">
        <f t="shared" si="1"/>
        <v/>
      </c>
    </row>
    <row r="888">
      <c r="A888" s="102"/>
      <c r="B888" s="102"/>
      <c r="C888" s="102"/>
      <c r="D888" s="51"/>
      <c r="E888" s="102"/>
      <c r="F888" s="102"/>
      <c r="G888" s="103"/>
      <c r="K888" s="103"/>
      <c r="L888" s="113"/>
      <c r="M888" s="107"/>
      <c r="N888" s="106" t="str">
        <f>IF(ISBLANK(L888), "", VLOOKUP(D888, 'Info Tipo de Cambio y REM'!$A$24:$B$35, 2, FALSE))</f>
        <v/>
      </c>
      <c r="O888" s="107" t="str">
        <f t="shared" si="1"/>
        <v/>
      </c>
    </row>
    <row r="889">
      <c r="A889" s="102"/>
      <c r="B889" s="102"/>
      <c r="C889" s="102"/>
      <c r="D889" s="51"/>
      <c r="E889" s="102"/>
      <c r="F889" s="102"/>
      <c r="G889" s="103"/>
      <c r="K889" s="103"/>
      <c r="L889" s="113"/>
      <c r="M889" s="107"/>
      <c r="N889" s="106" t="str">
        <f>IF(ISBLANK(L889), "", VLOOKUP(D889, 'Info Tipo de Cambio y REM'!$A$24:$B$35, 2, FALSE))</f>
        <v/>
      </c>
      <c r="O889" s="107" t="str">
        <f t="shared" si="1"/>
        <v/>
      </c>
    </row>
    <row r="890">
      <c r="A890" s="102"/>
      <c r="B890" s="102"/>
      <c r="C890" s="102"/>
      <c r="D890" s="51"/>
      <c r="E890" s="102"/>
      <c r="F890" s="102"/>
      <c r="G890" s="103"/>
      <c r="K890" s="103"/>
      <c r="L890" s="113"/>
      <c r="M890" s="107"/>
      <c r="N890" s="106" t="str">
        <f>IF(ISBLANK(L890), "", VLOOKUP(D890, 'Info Tipo de Cambio y REM'!$A$24:$B$35, 2, FALSE))</f>
        <v/>
      </c>
      <c r="O890" s="107" t="str">
        <f t="shared" si="1"/>
        <v/>
      </c>
    </row>
    <row r="891">
      <c r="A891" s="102"/>
      <c r="B891" s="102"/>
      <c r="C891" s="102"/>
      <c r="D891" s="51"/>
      <c r="E891" s="102"/>
      <c r="F891" s="102"/>
      <c r="G891" s="103"/>
      <c r="K891" s="103"/>
      <c r="L891" s="113"/>
      <c r="M891" s="107"/>
      <c r="N891" s="106" t="str">
        <f>IF(ISBLANK(L891), "", VLOOKUP(D891, 'Info Tipo de Cambio y REM'!$A$24:$B$35, 2, FALSE))</f>
        <v/>
      </c>
      <c r="O891" s="107" t="str">
        <f t="shared" si="1"/>
        <v/>
      </c>
    </row>
    <row r="892">
      <c r="A892" s="102"/>
      <c r="B892" s="102"/>
      <c r="C892" s="102"/>
      <c r="D892" s="51"/>
      <c r="E892" s="102"/>
      <c r="F892" s="102"/>
      <c r="G892" s="103"/>
      <c r="K892" s="103"/>
      <c r="L892" s="113"/>
      <c r="M892" s="107"/>
      <c r="N892" s="106" t="str">
        <f>IF(ISBLANK(L892), "", VLOOKUP(D892, 'Info Tipo de Cambio y REM'!$A$24:$B$35, 2, FALSE))</f>
        <v/>
      </c>
      <c r="O892" s="107" t="str">
        <f t="shared" si="1"/>
        <v/>
      </c>
    </row>
    <row r="893">
      <c r="A893" s="102"/>
      <c r="B893" s="102"/>
      <c r="C893" s="102"/>
      <c r="D893" s="51"/>
      <c r="E893" s="102"/>
      <c r="F893" s="102"/>
      <c r="G893" s="103"/>
      <c r="K893" s="103"/>
      <c r="L893" s="113"/>
      <c r="M893" s="107"/>
      <c r="N893" s="106" t="str">
        <f>IF(ISBLANK(L893), "", VLOOKUP(D893, 'Info Tipo de Cambio y REM'!$A$24:$B$35, 2, FALSE))</f>
        <v/>
      </c>
      <c r="O893" s="107" t="str">
        <f t="shared" si="1"/>
        <v/>
      </c>
    </row>
    <row r="894">
      <c r="A894" s="102"/>
      <c r="B894" s="102"/>
      <c r="C894" s="102"/>
      <c r="D894" s="51"/>
      <c r="E894" s="102"/>
      <c r="F894" s="102"/>
      <c r="G894" s="103"/>
      <c r="K894" s="103"/>
      <c r="L894" s="113"/>
      <c r="M894" s="107"/>
      <c r="N894" s="106" t="str">
        <f>IF(ISBLANK(L894), "", VLOOKUP(D894, 'Info Tipo de Cambio y REM'!$A$24:$B$35, 2, FALSE))</f>
        <v/>
      </c>
      <c r="O894" s="107" t="str">
        <f t="shared" si="1"/>
        <v/>
      </c>
    </row>
    <row r="895">
      <c r="A895" s="102"/>
      <c r="B895" s="102"/>
      <c r="C895" s="102"/>
      <c r="D895" s="51"/>
      <c r="E895" s="102"/>
      <c r="F895" s="102"/>
      <c r="G895" s="103"/>
      <c r="K895" s="103"/>
      <c r="L895" s="113"/>
      <c r="M895" s="107"/>
      <c r="N895" s="106" t="str">
        <f>IF(ISBLANK(L895), "", VLOOKUP(D895, 'Info Tipo de Cambio y REM'!$A$24:$B$35, 2, FALSE))</f>
        <v/>
      </c>
      <c r="O895" s="107" t="str">
        <f t="shared" si="1"/>
        <v/>
      </c>
    </row>
    <row r="896">
      <c r="A896" s="102"/>
      <c r="B896" s="102"/>
      <c r="C896" s="102"/>
      <c r="D896" s="51"/>
      <c r="E896" s="102"/>
      <c r="F896" s="102"/>
      <c r="G896" s="103"/>
      <c r="K896" s="103"/>
      <c r="L896" s="113"/>
      <c r="M896" s="107"/>
      <c r="N896" s="106" t="str">
        <f>IF(ISBLANK(L896), "", VLOOKUP(D896, 'Info Tipo de Cambio y REM'!$A$24:$B$35, 2, FALSE))</f>
        <v/>
      </c>
      <c r="O896" s="107" t="str">
        <f t="shared" si="1"/>
        <v/>
      </c>
    </row>
    <row r="897">
      <c r="A897" s="102"/>
      <c r="B897" s="102"/>
      <c r="C897" s="102"/>
      <c r="D897" s="51"/>
      <c r="E897" s="102"/>
      <c r="F897" s="102"/>
      <c r="G897" s="103"/>
      <c r="K897" s="103"/>
      <c r="L897" s="113"/>
      <c r="M897" s="107"/>
      <c r="N897" s="106" t="str">
        <f>IF(ISBLANK(L897), "", VLOOKUP(D897, 'Info Tipo de Cambio y REM'!$A$24:$B$35, 2, FALSE))</f>
        <v/>
      </c>
      <c r="O897" s="107" t="str">
        <f t="shared" si="1"/>
        <v/>
      </c>
    </row>
    <row r="898">
      <c r="A898" s="102"/>
      <c r="B898" s="102"/>
      <c r="C898" s="102"/>
      <c r="D898" s="51"/>
      <c r="E898" s="102"/>
      <c r="F898" s="102"/>
      <c r="G898" s="103"/>
      <c r="K898" s="103"/>
      <c r="L898" s="113"/>
      <c r="M898" s="107"/>
      <c r="N898" s="106" t="str">
        <f>IF(ISBLANK(L898), "", VLOOKUP(D898, 'Info Tipo de Cambio y REM'!$A$24:$B$35, 2, FALSE))</f>
        <v/>
      </c>
      <c r="O898" s="107" t="str">
        <f t="shared" si="1"/>
        <v/>
      </c>
    </row>
    <row r="899">
      <c r="A899" s="102"/>
      <c r="B899" s="102"/>
      <c r="C899" s="102"/>
      <c r="D899" s="51"/>
      <c r="E899" s="102"/>
      <c r="F899" s="102"/>
      <c r="G899" s="103"/>
      <c r="K899" s="103"/>
      <c r="L899" s="113"/>
      <c r="M899" s="107"/>
      <c r="N899" s="106" t="str">
        <f>IF(ISBLANK(L899), "", VLOOKUP(D899, 'Info Tipo de Cambio y REM'!$A$24:$B$35, 2, FALSE))</f>
        <v/>
      </c>
      <c r="O899" s="107" t="str">
        <f t="shared" si="1"/>
        <v/>
      </c>
    </row>
    <row r="900">
      <c r="A900" s="102"/>
      <c r="B900" s="102"/>
      <c r="C900" s="102"/>
      <c r="D900" s="51"/>
      <c r="E900" s="102"/>
      <c r="F900" s="102"/>
      <c r="G900" s="103"/>
      <c r="K900" s="103"/>
      <c r="L900" s="113"/>
      <c r="M900" s="107"/>
      <c r="N900" s="106" t="str">
        <f>IF(ISBLANK(L900), "", VLOOKUP(D900, 'Info Tipo de Cambio y REM'!$A$24:$B$35, 2, FALSE))</f>
        <v/>
      </c>
      <c r="O900" s="107" t="str">
        <f t="shared" si="1"/>
        <v/>
      </c>
    </row>
    <row r="901">
      <c r="A901" s="102"/>
      <c r="B901" s="102"/>
      <c r="C901" s="102"/>
      <c r="D901" s="51"/>
      <c r="E901" s="102"/>
      <c r="F901" s="102"/>
      <c r="G901" s="103"/>
      <c r="K901" s="103"/>
      <c r="L901" s="113"/>
      <c r="M901" s="107"/>
      <c r="N901" s="106" t="str">
        <f>IF(ISBLANK(L901), "", VLOOKUP(D901, 'Info Tipo de Cambio y REM'!$A$24:$B$35, 2, FALSE))</f>
        <v/>
      </c>
      <c r="O901" s="107" t="str">
        <f t="shared" si="1"/>
        <v/>
      </c>
    </row>
    <row r="902">
      <c r="A902" s="102"/>
      <c r="B902" s="102"/>
      <c r="C902" s="102"/>
      <c r="D902" s="51"/>
      <c r="E902" s="102"/>
      <c r="F902" s="102"/>
      <c r="G902" s="103"/>
      <c r="K902" s="103"/>
      <c r="L902" s="113"/>
      <c r="M902" s="107"/>
      <c r="N902" s="106" t="str">
        <f>IF(ISBLANK(L902), "", VLOOKUP(D902, 'Info Tipo de Cambio y REM'!$A$24:$B$35, 2, FALSE))</f>
        <v/>
      </c>
      <c r="O902" s="107" t="str">
        <f t="shared" si="1"/>
        <v/>
      </c>
    </row>
    <row r="903">
      <c r="A903" s="102"/>
      <c r="B903" s="102"/>
      <c r="C903" s="102"/>
      <c r="D903" s="51"/>
      <c r="E903" s="102"/>
      <c r="F903" s="102"/>
      <c r="G903" s="103"/>
      <c r="K903" s="103"/>
      <c r="L903" s="113"/>
      <c r="M903" s="107"/>
      <c r="N903" s="106" t="str">
        <f>IF(ISBLANK(L903), "", VLOOKUP(D903, 'Info Tipo de Cambio y REM'!$A$24:$B$35, 2, FALSE))</f>
        <v/>
      </c>
      <c r="O903" s="107" t="str">
        <f t="shared" si="1"/>
        <v/>
      </c>
    </row>
    <row r="904">
      <c r="A904" s="102"/>
      <c r="B904" s="102"/>
      <c r="C904" s="102"/>
      <c r="D904" s="51"/>
      <c r="E904" s="102"/>
      <c r="F904" s="102"/>
      <c r="G904" s="103"/>
      <c r="K904" s="103"/>
      <c r="L904" s="113"/>
      <c r="M904" s="107"/>
      <c r="N904" s="106" t="str">
        <f>IF(ISBLANK(L904), "", VLOOKUP(D904, 'Info Tipo de Cambio y REM'!$A$24:$B$35, 2, FALSE))</f>
        <v/>
      </c>
      <c r="O904" s="107" t="str">
        <f t="shared" si="1"/>
        <v/>
      </c>
    </row>
    <row r="905">
      <c r="A905" s="102"/>
      <c r="B905" s="102"/>
      <c r="C905" s="102"/>
      <c r="D905" s="51"/>
      <c r="E905" s="102"/>
      <c r="F905" s="102"/>
      <c r="G905" s="103"/>
      <c r="K905" s="103"/>
      <c r="L905" s="113"/>
      <c r="M905" s="107"/>
      <c r="N905" s="106" t="str">
        <f>IF(ISBLANK(L905), "", VLOOKUP(D905, 'Info Tipo de Cambio y REM'!$A$24:$B$35, 2, FALSE))</f>
        <v/>
      </c>
      <c r="O905" s="107" t="str">
        <f t="shared" si="1"/>
        <v/>
      </c>
    </row>
    <row r="906">
      <c r="A906" s="102"/>
      <c r="B906" s="102"/>
      <c r="C906" s="102"/>
      <c r="D906" s="51"/>
      <c r="E906" s="102"/>
      <c r="F906" s="102"/>
      <c r="G906" s="103"/>
      <c r="K906" s="103"/>
      <c r="L906" s="113"/>
      <c r="M906" s="107"/>
      <c r="N906" s="106" t="str">
        <f>IF(ISBLANK(L906), "", VLOOKUP(D906, 'Info Tipo de Cambio y REM'!$A$24:$B$35, 2, FALSE))</f>
        <v/>
      </c>
      <c r="O906" s="107" t="str">
        <f t="shared" si="1"/>
        <v/>
      </c>
    </row>
    <row r="907">
      <c r="A907" s="102"/>
      <c r="B907" s="102"/>
      <c r="C907" s="102"/>
      <c r="D907" s="51"/>
      <c r="E907" s="102"/>
      <c r="F907" s="102"/>
      <c r="G907" s="103"/>
      <c r="K907" s="103"/>
      <c r="L907" s="113"/>
      <c r="M907" s="107"/>
      <c r="N907" s="106" t="str">
        <f>IF(ISBLANK(L907), "", VLOOKUP(D907, 'Info Tipo de Cambio y REM'!$A$24:$B$35, 2, FALSE))</f>
        <v/>
      </c>
      <c r="O907" s="107" t="str">
        <f t="shared" si="1"/>
        <v/>
      </c>
    </row>
    <row r="908">
      <c r="A908" s="102"/>
      <c r="B908" s="102"/>
      <c r="C908" s="102"/>
      <c r="D908" s="51"/>
      <c r="E908" s="102"/>
      <c r="F908" s="102"/>
      <c r="G908" s="103"/>
      <c r="K908" s="103"/>
      <c r="L908" s="113"/>
      <c r="M908" s="107"/>
      <c r="N908" s="106" t="str">
        <f>IF(ISBLANK(L908), "", VLOOKUP(D908, 'Info Tipo de Cambio y REM'!$A$24:$B$35, 2, FALSE))</f>
        <v/>
      </c>
      <c r="O908" s="107" t="str">
        <f t="shared" si="1"/>
        <v/>
      </c>
    </row>
    <row r="909">
      <c r="A909" s="102"/>
      <c r="B909" s="102"/>
      <c r="C909" s="102"/>
      <c r="D909" s="51"/>
      <c r="E909" s="102"/>
      <c r="F909" s="102"/>
      <c r="G909" s="103"/>
      <c r="K909" s="103"/>
      <c r="L909" s="113"/>
      <c r="M909" s="107"/>
      <c r="N909" s="106" t="str">
        <f>IF(ISBLANK(L909), "", VLOOKUP(D909, 'Info Tipo de Cambio y REM'!$A$24:$B$35, 2, FALSE))</f>
        <v/>
      </c>
      <c r="O909" s="107" t="str">
        <f t="shared" si="1"/>
        <v/>
      </c>
    </row>
    <row r="910">
      <c r="A910" s="102"/>
      <c r="B910" s="102"/>
      <c r="C910" s="102"/>
      <c r="D910" s="51"/>
      <c r="E910" s="102"/>
      <c r="F910" s="102"/>
      <c r="G910" s="103"/>
      <c r="K910" s="103"/>
      <c r="L910" s="113"/>
      <c r="M910" s="107"/>
      <c r="N910" s="106" t="str">
        <f>IF(ISBLANK(L910), "", VLOOKUP(D910, 'Info Tipo de Cambio y REM'!$A$24:$B$35, 2, FALSE))</f>
        <v/>
      </c>
      <c r="O910" s="107" t="str">
        <f t="shared" si="1"/>
        <v/>
      </c>
    </row>
    <row r="911">
      <c r="A911" s="102"/>
      <c r="B911" s="102"/>
      <c r="C911" s="102"/>
      <c r="D911" s="51"/>
      <c r="E911" s="102"/>
      <c r="F911" s="102"/>
      <c r="G911" s="103"/>
      <c r="K911" s="103"/>
      <c r="L911" s="113"/>
      <c r="M911" s="107"/>
      <c r="N911" s="106" t="str">
        <f>IF(ISBLANK(L911), "", VLOOKUP(D911, 'Info Tipo de Cambio y REM'!$A$24:$B$35, 2, FALSE))</f>
        <v/>
      </c>
      <c r="O911" s="107" t="str">
        <f t="shared" si="1"/>
        <v/>
      </c>
    </row>
    <row r="912">
      <c r="A912" s="102"/>
      <c r="B912" s="102"/>
      <c r="C912" s="102"/>
      <c r="D912" s="51"/>
      <c r="E912" s="102"/>
      <c r="F912" s="102"/>
      <c r="G912" s="103"/>
      <c r="K912" s="103"/>
      <c r="L912" s="113"/>
      <c r="M912" s="107"/>
      <c r="N912" s="106" t="str">
        <f>IF(ISBLANK(L912), "", VLOOKUP(D912, 'Info Tipo de Cambio y REM'!$A$24:$B$35, 2, FALSE))</f>
        <v/>
      </c>
      <c r="O912" s="107" t="str">
        <f t="shared" si="1"/>
        <v/>
      </c>
    </row>
    <row r="913">
      <c r="A913" s="102"/>
      <c r="B913" s="102"/>
      <c r="C913" s="102"/>
      <c r="D913" s="51"/>
      <c r="E913" s="102"/>
      <c r="F913" s="102"/>
      <c r="G913" s="103"/>
      <c r="K913" s="103"/>
      <c r="L913" s="113"/>
      <c r="M913" s="107"/>
      <c r="N913" s="106" t="str">
        <f>IF(ISBLANK(L913), "", VLOOKUP(D913, 'Info Tipo de Cambio y REM'!$A$24:$B$35, 2, FALSE))</f>
        <v/>
      </c>
      <c r="O913" s="107" t="str">
        <f t="shared" si="1"/>
        <v/>
      </c>
    </row>
    <row r="914">
      <c r="A914" s="102"/>
      <c r="B914" s="102"/>
      <c r="C914" s="102"/>
      <c r="D914" s="51"/>
      <c r="E914" s="102"/>
      <c r="F914" s="102"/>
      <c r="G914" s="103"/>
      <c r="K914" s="103"/>
      <c r="L914" s="113"/>
      <c r="M914" s="107"/>
      <c r="N914" s="106" t="str">
        <f>IF(ISBLANK(L914), "", VLOOKUP(D914, 'Info Tipo de Cambio y REM'!$A$24:$B$35, 2, FALSE))</f>
        <v/>
      </c>
      <c r="O914" s="107" t="str">
        <f t="shared" si="1"/>
        <v/>
      </c>
    </row>
    <row r="915">
      <c r="A915" s="102"/>
      <c r="B915" s="102"/>
      <c r="C915" s="102"/>
      <c r="D915" s="51"/>
      <c r="E915" s="102"/>
      <c r="F915" s="102"/>
      <c r="G915" s="103"/>
      <c r="K915" s="103"/>
      <c r="L915" s="113"/>
      <c r="M915" s="107"/>
      <c r="N915" s="106" t="str">
        <f>IF(ISBLANK(L915), "", VLOOKUP(D915, 'Info Tipo de Cambio y REM'!$A$24:$B$35, 2, FALSE))</f>
        <v/>
      </c>
      <c r="O915" s="107" t="str">
        <f t="shared" si="1"/>
        <v/>
      </c>
    </row>
    <row r="916">
      <c r="A916" s="102"/>
      <c r="B916" s="102"/>
      <c r="C916" s="102"/>
      <c r="D916" s="51"/>
      <c r="E916" s="102"/>
      <c r="F916" s="102"/>
      <c r="G916" s="103"/>
      <c r="K916" s="103"/>
      <c r="L916" s="113"/>
      <c r="M916" s="107"/>
      <c r="N916" s="106" t="str">
        <f>IF(ISBLANK(L916), "", VLOOKUP(D916, 'Info Tipo de Cambio y REM'!$A$24:$B$35, 2, FALSE))</f>
        <v/>
      </c>
      <c r="O916" s="107" t="str">
        <f t="shared" si="1"/>
        <v/>
      </c>
    </row>
    <row r="917">
      <c r="A917" s="102"/>
      <c r="B917" s="102"/>
      <c r="C917" s="102"/>
      <c r="D917" s="51"/>
      <c r="E917" s="102"/>
      <c r="F917" s="102"/>
      <c r="G917" s="103"/>
      <c r="K917" s="103"/>
      <c r="L917" s="113"/>
      <c r="M917" s="107"/>
      <c r="N917" s="106" t="str">
        <f>IF(ISBLANK(L917), "", VLOOKUP(D917, 'Info Tipo de Cambio y REM'!$A$24:$B$35, 2, FALSE))</f>
        <v/>
      </c>
      <c r="O917" s="107" t="str">
        <f t="shared" si="1"/>
        <v/>
      </c>
    </row>
    <row r="918">
      <c r="A918" s="102"/>
      <c r="B918" s="102"/>
      <c r="C918" s="102"/>
      <c r="D918" s="51"/>
      <c r="E918" s="102"/>
      <c r="F918" s="102"/>
      <c r="G918" s="103"/>
      <c r="K918" s="103"/>
      <c r="L918" s="113"/>
      <c r="M918" s="107"/>
      <c r="N918" s="106" t="str">
        <f>IF(ISBLANK(L918), "", VLOOKUP(D918, 'Info Tipo de Cambio y REM'!$A$24:$B$35, 2, FALSE))</f>
        <v/>
      </c>
      <c r="O918" s="107" t="str">
        <f t="shared" si="1"/>
        <v/>
      </c>
    </row>
    <row r="919">
      <c r="A919" s="102"/>
      <c r="B919" s="102"/>
      <c r="C919" s="102"/>
      <c r="D919" s="51"/>
      <c r="E919" s="102"/>
      <c r="F919" s="102"/>
      <c r="G919" s="103"/>
      <c r="K919" s="103"/>
      <c r="L919" s="113"/>
      <c r="M919" s="107"/>
      <c r="N919" s="106" t="str">
        <f>IF(ISBLANK(L919), "", VLOOKUP(D919, 'Info Tipo de Cambio y REM'!$A$24:$B$35, 2, FALSE))</f>
        <v/>
      </c>
      <c r="O919" s="107" t="str">
        <f t="shared" si="1"/>
        <v/>
      </c>
    </row>
    <row r="920">
      <c r="A920" s="102"/>
      <c r="B920" s="102"/>
      <c r="C920" s="102"/>
      <c r="D920" s="51"/>
      <c r="E920" s="102"/>
      <c r="F920" s="102"/>
      <c r="G920" s="103"/>
      <c r="K920" s="103"/>
      <c r="L920" s="113"/>
      <c r="M920" s="107"/>
      <c r="N920" s="106" t="str">
        <f>IF(ISBLANK(L920), "", VLOOKUP(D920, 'Info Tipo de Cambio y REM'!$A$24:$B$35, 2, FALSE))</f>
        <v/>
      </c>
      <c r="O920" s="107" t="str">
        <f t="shared" si="1"/>
        <v/>
      </c>
    </row>
    <row r="921">
      <c r="A921" s="102"/>
      <c r="B921" s="102"/>
      <c r="C921" s="102"/>
      <c r="D921" s="51"/>
      <c r="E921" s="102"/>
      <c r="F921" s="102"/>
      <c r="G921" s="103"/>
      <c r="K921" s="103"/>
      <c r="L921" s="113"/>
      <c r="M921" s="107"/>
      <c r="N921" s="106" t="str">
        <f>IF(ISBLANK(L921), "", VLOOKUP(D921, 'Info Tipo de Cambio y REM'!$A$24:$B$35, 2, FALSE))</f>
        <v/>
      </c>
      <c r="O921" s="107" t="str">
        <f t="shared" si="1"/>
        <v/>
      </c>
    </row>
    <row r="922">
      <c r="A922" s="102"/>
      <c r="B922" s="102"/>
      <c r="C922" s="102"/>
      <c r="D922" s="51"/>
      <c r="E922" s="102"/>
      <c r="F922" s="102"/>
      <c r="G922" s="103"/>
      <c r="K922" s="103"/>
      <c r="L922" s="113"/>
      <c r="M922" s="107"/>
      <c r="N922" s="106" t="str">
        <f>IF(ISBLANK(L922), "", VLOOKUP(D922, 'Info Tipo de Cambio y REM'!$A$24:$B$35, 2, FALSE))</f>
        <v/>
      </c>
      <c r="O922" s="107" t="str">
        <f t="shared" si="1"/>
        <v/>
      </c>
    </row>
    <row r="923">
      <c r="A923" s="102"/>
      <c r="B923" s="102"/>
      <c r="C923" s="102"/>
      <c r="D923" s="51"/>
      <c r="E923" s="102"/>
      <c r="F923" s="102"/>
      <c r="G923" s="103"/>
      <c r="K923" s="103"/>
      <c r="L923" s="113"/>
      <c r="M923" s="107"/>
      <c r="N923" s="106" t="str">
        <f>IF(ISBLANK(L923), "", VLOOKUP(D923, 'Info Tipo de Cambio y REM'!$A$24:$B$35, 2, FALSE))</f>
        <v/>
      </c>
      <c r="O923" s="107" t="str">
        <f t="shared" si="1"/>
        <v/>
      </c>
    </row>
    <row r="924">
      <c r="A924" s="102"/>
      <c r="B924" s="102"/>
      <c r="C924" s="102"/>
      <c r="D924" s="51"/>
      <c r="E924" s="102"/>
      <c r="F924" s="102"/>
      <c r="G924" s="103"/>
      <c r="K924" s="103"/>
      <c r="L924" s="113"/>
      <c r="M924" s="107"/>
      <c r="N924" s="106" t="str">
        <f>IF(ISBLANK(L924), "", VLOOKUP(D924, 'Info Tipo de Cambio y REM'!$A$24:$B$35, 2, FALSE))</f>
        <v/>
      </c>
      <c r="O924" s="107" t="str">
        <f t="shared" si="1"/>
        <v/>
      </c>
    </row>
    <row r="925">
      <c r="A925" s="102"/>
      <c r="B925" s="102"/>
      <c r="C925" s="102"/>
      <c r="D925" s="51"/>
      <c r="E925" s="102"/>
      <c r="F925" s="102"/>
      <c r="G925" s="103"/>
      <c r="K925" s="103"/>
      <c r="L925" s="113"/>
      <c r="M925" s="107"/>
      <c r="N925" s="106" t="str">
        <f>IF(ISBLANK(L925), "", VLOOKUP(D925, 'Info Tipo de Cambio y REM'!$A$24:$B$35, 2, FALSE))</f>
        <v/>
      </c>
      <c r="O925" s="107" t="str">
        <f t="shared" si="1"/>
        <v/>
      </c>
    </row>
    <row r="926">
      <c r="A926" s="102"/>
      <c r="B926" s="102"/>
      <c r="C926" s="102"/>
      <c r="D926" s="51"/>
      <c r="E926" s="102"/>
      <c r="F926" s="102"/>
      <c r="G926" s="103"/>
      <c r="K926" s="103"/>
      <c r="L926" s="113"/>
      <c r="M926" s="107"/>
      <c r="N926" s="106" t="str">
        <f>IF(ISBLANK(L926), "", VLOOKUP(D926, 'Info Tipo de Cambio y REM'!$A$24:$B$35, 2, FALSE))</f>
        <v/>
      </c>
      <c r="O926" s="107" t="str">
        <f t="shared" si="1"/>
        <v/>
      </c>
    </row>
    <row r="927">
      <c r="A927" s="102"/>
      <c r="B927" s="102"/>
      <c r="C927" s="102"/>
      <c r="D927" s="51"/>
      <c r="E927" s="102"/>
      <c r="F927" s="102"/>
      <c r="G927" s="103"/>
      <c r="K927" s="103"/>
      <c r="L927" s="113"/>
      <c r="M927" s="107"/>
      <c r="N927" s="106" t="str">
        <f>IF(ISBLANK(L927), "", VLOOKUP(D927, 'Info Tipo de Cambio y REM'!$A$24:$B$35, 2, FALSE))</f>
        <v/>
      </c>
      <c r="O927" s="107" t="str">
        <f t="shared" si="1"/>
        <v/>
      </c>
    </row>
    <row r="928">
      <c r="A928" s="102"/>
      <c r="B928" s="102"/>
      <c r="C928" s="102"/>
      <c r="D928" s="51"/>
      <c r="E928" s="102"/>
      <c r="F928" s="102"/>
      <c r="G928" s="103"/>
      <c r="K928" s="103"/>
      <c r="L928" s="113"/>
      <c r="M928" s="107"/>
      <c r="N928" s="106" t="str">
        <f>IF(ISBLANK(L928), "", VLOOKUP(D928, 'Info Tipo de Cambio y REM'!$A$24:$B$35, 2, FALSE))</f>
        <v/>
      </c>
      <c r="O928" s="107" t="str">
        <f t="shared" si="1"/>
        <v/>
      </c>
    </row>
    <row r="929">
      <c r="A929" s="102"/>
      <c r="B929" s="102"/>
      <c r="C929" s="102"/>
      <c r="D929" s="51"/>
      <c r="E929" s="102"/>
      <c r="F929" s="102"/>
      <c r="G929" s="103"/>
      <c r="K929" s="103"/>
      <c r="L929" s="113"/>
      <c r="M929" s="107"/>
      <c r="N929" s="106" t="str">
        <f>IF(ISBLANK(L929), "", VLOOKUP(D929, 'Info Tipo de Cambio y REM'!$A$24:$B$35, 2, FALSE))</f>
        <v/>
      </c>
      <c r="O929" s="107" t="str">
        <f t="shared" si="1"/>
        <v/>
      </c>
    </row>
    <row r="930">
      <c r="A930" s="102"/>
      <c r="B930" s="102"/>
      <c r="C930" s="102"/>
      <c r="D930" s="51"/>
      <c r="E930" s="102"/>
      <c r="F930" s="102"/>
      <c r="G930" s="103"/>
      <c r="K930" s="103"/>
      <c r="L930" s="113"/>
      <c r="M930" s="107"/>
      <c r="N930" s="106" t="str">
        <f>IF(ISBLANK(L930), "", VLOOKUP(D930, 'Info Tipo de Cambio y REM'!$A$24:$B$35, 2, FALSE))</f>
        <v/>
      </c>
      <c r="O930" s="107" t="str">
        <f t="shared" si="1"/>
        <v/>
      </c>
    </row>
    <row r="931">
      <c r="A931" s="102"/>
      <c r="B931" s="102"/>
      <c r="C931" s="102"/>
      <c r="D931" s="51"/>
      <c r="E931" s="102"/>
      <c r="F931" s="102"/>
      <c r="G931" s="103"/>
      <c r="K931" s="103"/>
      <c r="L931" s="113"/>
      <c r="M931" s="107"/>
      <c r="N931" s="106" t="str">
        <f>IF(ISBLANK(L931), "", VLOOKUP(D931, 'Info Tipo de Cambio y REM'!$A$24:$B$35, 2, FALSE))</f>
        <v/>
      </c>
      <c r="O931" s="107" t="str">
        <f t="shared" si="1"/>
        <v/>
      </c>
    </row>
    <row r="932">
      <c r="A932" s="102"/>
      <c r="B932" s="102"/>
      <c r="C932" s="102"/>
      <c r="D932" s="51"/>
      <c r="E932" s="102"/>
      <c r="F932" s="102"/>
      <c r="G932" s="103"/>
      <c r="K932" s="103"/>
      <c r="L932" s="113"/>
      <c r="M932" s="107"/>
      <c r="N932" s="106" t="str">
        <f>IF(ISBLANK(L932), "", VLOOKUP(D932, 'Info Tipo de Cambio y REM'!$A$24:$B$35, 2, FALSE))</f>
        <v/>
      </c>
      <c r="O932" s="107" t="str">
        <f t="shared" si="1"/>
        <v/>
      </c>
    </row>
    <row r="933">
      <c r="A933" s="102"/>
      <c r="B933" s="102"/>
      <c r="C933" s="102"/>
      <c r="D933" s="51"/>
      <c r="E933" s="102"/>
      <c r="F933" s="102"/>
      <c r="G933" s="103"/>
      <c r="K933" s="103"/>
      <c r="L933" s="113"/>
      <c r="M933" s="107"/>
      <c r="N933" s="106" t="str">
        <f>IF(ISBLANK(L933), "", VLOOKUP(D933, 'Info Tipo de Cambio y REM'!$A$24:$B$35, 2, FALSE))</f>
        <v/>
      </c>
      <c r="O933" s="107" t="str">
        <f t="shared" si="1"/>
        <v/>
      </c>
    </row>
    <row r="934">
      <c r="A934" s="102"/>
      <c r="B934" s="102"/>
      <c r="C934" s="102"/>
      <c r="D934" s="51"/>
      <c r="E934" s="102"/>
      <c r="F934" s="102"/>
      <c r="G934" s="103"/>
      <c r="K934" s="103"/>
      <c r="L934" s="113"/>
      <c r="M934" s="107"/>
      <c r="N934" s="106" t="str">
        <f>IF(ISBLANK(L934), "", VLOOKUP(D934, 'Info Tipo de Cambio y REM'!$A$24:$B$35, 2, FALSE))</f>
        <v/>
      </c>
      <c r="O934" s="107" t="str">
        <f t="shared" si="1"/>
        <v/>
      </c>
    </row>
    <row r="935">
      <c r="A935" s="102"/>
      <c r="B935" s="102"/>
      <c r="C935" s="102"/>
      <c r="D935" s="51"/>
      <c r="E935" s="102"/>
      <c r="F935" s="102"/>
      <c r="G935" s="103"/>
      <c r="K935" s="103"/>
      <c r="L935" s="113"/>
      <c r="M935" s="107"/>
      <c r="N935" s="106" t="str">
        <f>IF(ISBLANK(L935), "", VLOOKUP(D935, 'Info Tipo de Cambio y REM'!$A$24:$B$35, 2, FALSE))</f>
        <v/>
      </c>
      <c r="O935" s="107" t="str">
        <f t="shared" si="1"/>
        <v/>
      </c>
    </row>
    <row r="936">
      <c r="A936" s="102"/>
      <c r="B936" s="102"/>
      <c r="C936" s="102"/>
      <c r="D936" s="51"/>
      <c r="E936" s="102"/>
      <c r="F936" s="102"/>
      <c r="G936" s="103"/>
      <c r="K936" s="103"/>
      <c r="L936" s="113"/>
      <c r="M936" s="107"/>
      <c r="N936" s="106" t="str">
        <f>IF(ISBLANK(L936), "", VLOOKUP(D936, 'Info Tipo de Cambio y REM'!$A$24:$B$35, 2, FALSE))</f>
        <v/>
      </c>
      <c r="O936" s="107" t="str">
        <f t="shared" si="1"/>
        <v/>
      </c>
    </row>
    <row r="937">
      <c r="A937" s="102"/>
      <c r="B937" s="102"/>
      <c r="C937" s="102"/>
      <c r="D937" s="51"/>
      <c r="E937" s="102"/>
      <c r="F937" s="102"/>
      <c r="G937" s="103"/>
      <c r="K937" s="103"/>
      <c r="L937" s="113"/>
      <c r="M937" s="107"/>
      <c r="N937" s="106" t="str">
        <f>IF(ISBLANK(L937), "", VLOOKUP(D937, 'Info Tipo de Cambio y REM'!$A$24:$B$35, 2, FALSE))</f>
        <v/>
      </c>
      <c r="O937" s="107" t="str">
        <f t="shared" si="1"/>
        <v/>
      </c>
    </row>
    <row r="938">
      <c r="A938" s="102"/>
      <c r="B938" s="102"/>
      <c r="C938" s="102"/>
      <c r="D938" s="51"/>
      <c r="E938" s="102"/>
      <c r="F938" s="102"/>
      <c r="G938" s="103"/>
      <c r="K938" s="103"/>
      <c r="L938" s="113"/>
      <c r="M938" s="107"/>
      <c r="N938" s="106" t="str">
        <f>IF(ISBLANK(L938), "", VLOOKUP(D938, 'Info Tipo de Cambio y REM'!$A$24:$B$35, 2, FALSE))</f>
        <v/>
      </c>
      <c r="O938" s="107" t="str">
        <f t="shared" si="1"/>
        <v/>
      </c>
    </row>
    <row r="939">
      <c r="A939" s="102"/>
      <c r="B939" s="102"/>
      <c r="C939" s="102"/>
      <c r="D939" s="51"/>
      <c r="E939" s="102"/>
      <c r="F939" s="102"/>
      <c r="G939" s="103"/>
      <c r="K939" s="103"/>
      <c r="L939" s="113"/>
      <c r="M939" s="107"/>
      <c r="N939" s="106" t="str">
        <f>IF(ISBLANK(L939), "", VLOOKUP(D939, 'Info Tipo de Cambio y REM'!$A$24:$B$35, 2, FALSE))</f>
        <v/>
      </c>
      <c r="O939" s="107" t="str">
        <f t="shared" si="1"/>
        <v/>
      </c>
    </row>
    <row r="940">
      <c r="A940" s="102"/>
      <c r="B940" s="102"/>
      <c r="C940" s="102"/>
      <c r="D940" s="51"/>
      <c r="E940" s="102"/>
      <c r="F940" s="102"/>
      <c r="G940" s="103"/>
      <c r="K940" s="103"/>
      <c r="L940" s="113"/>
      <c r="M940" s="107"/>
      <c r="N940" s="106" t="str">
        <f>IF(ISBLANK(L940), "", VLOOKUP(D940, 'Info Tipo de Cambio y REM'!$A$24:$B$35, 2, FALSE))</f>
        <v/>
      </c>
      <c r="O940" s="107" t="str">
        <f t="shared" si="1"/>
        <v/>
      </c>
    </row>
    <row r="941">
      <c r="A941" s="102"/>
      <c r="B941" s="102"/>
      <c r="C941" s="102"/>
      <c r="D941" s="51"/>
      <c r="E941" s="102"/>
      <c r="F941" s="102"/>
      <c r="G941" s="103"/>
      <c r="K941" s="103"/>
      <c r="L941" s="113"/>
      <c r="M941" s="107"/>
      <c r="N941" s="106" t="str">
        <f>IF(ISBLANK(L941), "", VLOOKUP(D941, 'Info Tipo de Cambio y REM'!$A$24:$B$35, 2, FALSE))</f>
        <v/>
      </c>
      <c r="O941" s="107" t="str">
        <f t="shared" si="1"/>
        <v/>
      </c>
    </row>
    <row r="942">
      <c r="A942" s="102"/>
      <c r="B942" s="102"/>
      <c r="C942" s="102"/>
      <c r="D942" s="51"/>
      <c r="E942" s="102"/>
      <c r="F942" s="102"/>
      <c r="G942" s="103"/>
      <c r="K942" s="103"/>
      <c r="L942" s="113"/>
      <c r="M942" s="107"/>
      <c r="N942" s="106" t="str">
        <f>IF(ISBLANK(L942), "", VLOOKUP(D942, 'Info Tipo de Cambio y REM'!$A$24:$B$35, 2, FALSE))</f>
        <v/>
      </c>
      <c r="O942" s="107" t="str">
        <f t="shared" si="1"/>
        <v/>
      </c>
    </row>
    <row r="943">
      <c r="A943" s="102"/>
      <c r="B943" s="102"/>
      <c r="C943" s="102"/>
      <c r="D943" s="51"/>
      <c r="E943" s="102"/>
      <c r="F943" s="102"/>
      <c r="G943" s="103"/>
      <c r="K943" s="103"/>
      <c r="L943" s="113"/>
      <c r="M943" s="107"/>
      <c r="N943" s="106" t="str">
        <f>IF(ISBLANK(L943), "", VLOOKUP(D943, 'Info Tipo de Cambio y REM'!$A$24:$B$35, 2, FALSE))</f>
        <v/>
      </c>
      <c r="O943" s="107" t="str">
        <f t="shared" si="1"/>
        <v/>
      </c>
    </row>
    <row r="944">
      <c r="A944" s="102"/>
      <c r="B944" s="102"/>
      <c r="C944" s="102"/>
      <c r="D944" s="51"/>
      <c r="E944" s="102"/>
      <c r="F944" s="102"/>
      <c r="G944" s="103"/>
      <c r="K944" s="103"/>
      <c r="L944" s="113"/>
      <c r="M944" s="107"/>
      <c r="N944" s="106" t="str">
        <f>IF(ISBLANK(L944), "", VLOOKUP(D944, 'Info Tipo de Cambio y REM'!$A$24:$B$35, 2, FALSE))</f>
        <v/>
      </c>
      <c r="O944" s="107" t="str">
        <f t="shared" si="1"/>
        <v/>
      </c>
    </row>
    <row r="945">
      <c r="A945" s="102"/>
      <c r="B945" s="102"/>
      <c r="C945" s="102"/>
      <c r="D945" s="51"/>
      <c r="E945" s="102"/>
      <c r="F945" s="102"/>
      <c r="G945" s="103"/>
      <c r="K945" s="103"/>
      <c r="L945" s="113"/>
      <c r="M945" s="107"/>
      <c r="N945" s="106" t="str">
        <f>IF(ISBLANK(L945), "", VLOOKUP(D945, 'Info Tipo de Cambio y REM'!$A$24:$B$35, 2, FALSE))</f>
        <v/>
      </c>
      <c r="O945" s="107" t="str">
        <f t="shared" si="1"/>
        <v/>
      </c>
    </row>
    <row r="946">
      <c r="A946" s="102"/>
      <c r="B946" s="102"/>
      <c r="C946" s="102"/>
      <c r="D946" s="51"/>
      <c r="E946" s="102"/>
      <c r="F946" s="102"/>
      <c r="G946" s="103"/>
      <c r="K946" s="103"/>
      <c r="L946" s="113"/>
      <c r="M946" s="107"/>
      <c r="N946" s="106" t="str">
        <f>IF(ISBLANK(L946), "", VLOOKUP(D946, 'Info Tipo de Cambio y REM'!$A$24:$B$35, 2, FALSE))</f>
        <v/>
      </c>
      <c r="O946" s="107" t="str">
        <f t="shared" si="1"/>
        <v/>
      </c>
    </row>
    <row r="947">
      <c r="A947" s="102"/>
      <c r="B947" s="102"/>
      <c r="C947" s="102"/>
      <c r="D947" s="51"/>
      <c r="E947" s="102"/>
      <c r="F947" s="102"/>
      <c r="G947" s="103"/>
      <c r="K947" s="103"/>
      <c r="L947" s="113"/>
      <c r="M947" s="107"/>
      <c r="N947" s="106" t="str">
        <f>IF(ISBLANK(L947), "", VLOOKUP(D947, 'Info Tipo de Cambio y REM'!$A$24:$B$35, 2, FALSE))</f>
        <v/>
      </c>
      <c r="O947" s="107" t="str">
        <f t="shared" si="1"/>
        <v/>
      </c>
    </row>
    <row r="948">
      <c r="A948" s="102"/>
      <c r="B948" s="102"/>
      <c r="C948" s="102"/>
      <c r="D948" s="51"/>
      <c r="E948" s="102"/>
      <c r="F948" s="102"/>
      <c r="G948" s="103"/>
      <c r="K948" s="103"/>
      <c r="L948" s="113"/>
      <c r="M948" s="107"/>
      <c r="N948" s="106" t="str">
        <f>IF(ISBLANK(L948), "", VLOOKUP(D948, 'Info Tipo de Cambio y REM'!$A$24:$B$35, 2, FALSE))</f>
        <v/>
      </c>
      <c r="O948" s="107" t="str">
        <f t="shared" si="1"/>
        <v/>
      </c>
    </row>
    <row r="949">
      <c r="A949" s="102"/>
      <c r="B949" s="102"/>
      <c r="C949" s="102"/>
      <c r="D949" s="51"/>
      <c r="E949" s="102"/>
      <c r="F949" s="102"/>
      <c r="G949" s="103"/>
      <c r="K949" s="103"/>
      <c r="L949" s="113"/>
      <c r="M949" s="107"/>
      <c r="N949" s="106" t="str">
        <f>IF(ISBLANK(L949), "", VLOOKUP(D949, 'Info Tipo de Cambio y REM'!$A$24:$B$35, 2, FALSE))</f>
        <v/>
      </c>
      <c r="O949" s="107" t="str">
        <f t="shared" si="1"/>
        <v/>
      </c>
    </row>
    <row r="950">
      <c r="A950" s="102"/>
      <c r="B950" s="102"/>
      <c r="C950" s="102"/>
      <c r="D950" s="51"/>
      <c r="E950" s="102"/>
      <c r="F950" s="102"/>
      <c r="G950" s="103"/>
      <c r="K950" s="103"/>
      <c r="L950" s="113"/>
      <c r="M950" s="107"/>
      <c r="N950" s="106" t="str">
        <f>IF(ISBLANK(L950), "", VLOOKUP(D950, 'Info Tipo de Cambio y REM'!$A$24:$B$35, 2, FALSE))</f>
        <v/>
      </c>
      <c r="O950" s="107" t="str">
        <f t="shared" si="1"/>
        <v/>
      </c>
    </row>
    <row r="951">
      <c r="A951" s="102"/>
      <c r="B951" s="102"/>
      <c r="C951" s="102"/>
      <c r="D951" s="51"/>
      <c r="E951" s="102"/>
      <c r="F951" s="102"/>
      <c r="G951" s="103"/>
      <c r="K951" s="103"/>
      <c r="L951" s="113"/>
      <c r="M951" s="107"/>
      <c r="N951" s="106" t="str">
        <f>IF(ISBLANK(L951), "", VLOOKUP(D951, 'Info Tipo de Cambio y REM'!$A$24:$B$35, 2, FALSE))</f>
        <v/>
      </c>
      <c r="O951" s="107" t="str">
        <f t="shared" si="1"/>
        <v/>
      </c>
    </row>
    <row r="952">
      <c r="A952" s="102"/>
      <c r="B952" s="102"/>
      <c r="C952" s="102"/>
      <c r="D952" s="51"/>
      <c r="E952" s="102"/>
      <c r="F952" s="102"/>
      <c r="G952" s="103"/>
      <c r="K952" s="103"/>
      <c r="L952" s="113"/>
      <c r="M952" s="107"/>
      <c r="N952" s="106" t="str">
        <f>IF(ISBLANK(L952), "", VLOOKUP(D952, 'Info Tipo de Cambio y REM'!$A$24:$B$35, 2, FALSE))</f>
        <v/>
      </c>
      <c r="O952" s="107" t="str">
        <f t="shared" si="1"/>
        <v/>
      </c>
    </row>
    <row r="953">
      <c r="A953" s="102"/>
      <c r="B953" s="102"/>
      <c r="C953" s="102"/>
      <c r="D953" s="51"/>
      <c r="E953" s="102"/>
      <c r="F953" s="102"/>
      <c r="G953" s="103"/>
      <c r="K953" s="103"/>
      <c r="L953" s="113"/>
      <c r="M953" s="107"/>
      <c r="N953" s="106" t="str">
        <f>IF(ISBLANK(L953), "", VLOOKUP(D953, 'Info Tipo de Cambio y REM'!$A$24:$B$35, 2, FALSE))</f>
        <v/>
      </c>
      <c r="O953" s="107" t="str">
        <f t="shared" si="1"/>
        <v/>
      </c>
    </row>
    <row r="954">
      <c r="A954" s="102"/>
      <c r="B954" s="102"/>
      <c r="C954" s="102"/>
      <c r="D954" s="51"/>
      <c r="E954" s="102"/>
      <c r="F954" s="102"/>
      <c r="G954" s="103"/>
      <c r="K954" s="103"/>
      <c r="L954" s="113"/>
      <c r="M954" s="107"/>
      <c r="N954" s="106" t="str">
        <f>IF(ISBLANK(L954), "", VLOOKUP(D954, 'Info Tipo de Cambio y REM'!$A$24:$B$35, 2, FALSE))</f>
        <v/>
      </c>
      <c r="O954" s="107" t="str">
        <f t="shared" si="1"/>
        <v/>
      </c>
    </row>
    <row r="955">
      <c r="A955" s="102"/>
      <c r="B955" s="102"/>
      <c r="C955" s="102"/>
      <c r="D955" s="51"/>
      <c r="E955" s="102"/>
      <c r="F955" s="102"/>
      <c r="G955" s="103"/>
      <c r="K955" s="103"/>
      <c r="L955" s="113"/>
      <c r="M955" s="107"/>
      <c r="N955" s="106" t="str">
        <f>IF(ISBLANK(L955), "", VLOOKUP(D955, 'Info Tipo de Cambio y REM'!$A$24:$B$35, 2, FALSE))</f>
        <v/>
      </c>
      <c r="O955" s="107" t="str">
        <f t="shared" si="1"/>
        <v/>
      </c>
    </row>
    <row r="956">
      <c r="A956" s="102"/>
      <c r="B956" s="102"/>
      <c r="C956" s="102"/>
      <c r="D956" s="51"/>
      <c r="E956" s="102"/>
      <c r="F956" s="102"/>
      <c r="G956" s="103"/>
      <c r="K956" s="103"/>
      <c r="L956" s="113"/>
      <c r="M956" s="107"/>
      <c r="N956" s="106" t="str">
        <f>IF(ISBLANK(L956), "", VLOOKUP(D956, 'Info Tipo de Cambio y REM'!$A$24:$B$35, 2, FALSE))</f>
        <v/>
      </c>
      <c r="O956" s="107" t="str">
        <f t="shared" si="1"/>
        <v/>
      </c>
    </row>
    <row r="957">
      <c r="A957" s="102"/>
      <c r="B957" s="102"/>
      <c r="C957" s="102"/>
      <c r="D957" s="51"/>
      <c r="E957" s="102"/>
      <c r="F957" s="102"/>
      <c r="G957" s="103"/>
      <c r="K957" s="103"/>
      <c r="L957" s="113"/>
      <c r="M957" s="107"/>
      <c r="N957" s="106" t="str">
        <f>IF(ISBLANK(L957), "", VLOOKUP(D957, 'Info Tipo de Cambio y REM'!$A$24:$B$35, 2, FALSE))</f>
        <v/>
      </c>
      <c r="O957" s="107" t="str">
        <f t="shared" si="1"/>
        <v/>
      </c>
    </row>
    <row r="958">
      <c r="A958" s="102"/>
      <c r="B958" s="102"/>
      <c r="C958" s="102"/>
      <c r="D958" s="51"/>
      <c r="E958" s="102"/>
      <c r="F958" s="102"/>
      <c r="G958" s="103"/>
      <c r="K958" s="103"/>
      <c r="L958" s="113"/>
      <c r="M958" s="107"/>
      <c r="N958" s="106" t="str">
        <f>IF(ISBLANK(L958), "", VLOOKUP(D958, 'Info Tipo de Cambio y REM'!$A$24:$B$35, 2, FALSE))</f>
        <v/>
      </c>
      <c r="O958" s="107" t="str">
        <f t="shared" si="1"/>
        <v/>
      </c>
    </row>
    <row r="959">
      <c r="A959" s="102"/>
      <c r="B959" s="102"/>
      <c r="C959" s="102"/>
      <c r="D959" s="51"/>
      <c r="E959" s="102"/>
      <c r="F959" s="102"/>
      <c r="G959" s="103"/>
      <c r="K959" s="103"/>
      <c r="L959" s="113"/>
      <c r="M959" s="107"/>
      <c r="N959" s="106" t="str">
        <f>IF(ISBLANK(L959), "", VLOOKUP(D959, 'Info Tipo de Cambio y REM'!$A$24:$B$35, 2, FALSE))</f>
        <v/>
      </c>
      <c r="O959" s="107" t="str">
        <f t="shared" si="1"/>
        <v/>
      </c>
    </row>
    <row r="960">
      <c r="A960" s="102"/>
      <c r="B960" s="102"/>
      <c r="C960" s="102"/>
      <c r="D960" s="51"/>
      <c r="E960" s="102"/>
      <c r="F960" s="102"/>
      <c r="G960" s="103"/>
      <c r="K960" s="103"/>
      <c r="L960" s="113"/>
      <c r="M960" s="107"/>
      <c r="N960" s="106" t="str">
        <f>IF(ISBLANK(L960), "", VLOOKUP(D960, 'Info Tipo de Cambio y REM'!$A$24:$B$35, 2, FALSE))</f>
        <v/>
      </c>
      <c r="O960" s="107" t="str">
        <f t="shared" si="1"/>
        <v/>
      </c>
    </row>
    <row r="961">
      <c r="A961" s="102"/>
      <c r="B961" s="102"/>
      <c r="C961" s="102"/>
      <c r="D961" s="51"/>
      <c r="E961" s="102"/>
      <c r="F961" s="102"/>
      <c r="G961" s="103"/>
      <c r="K961" s="103"/>
      <c r="L961" s="113"/>
      <c r="M961" s="107"/>
      <c r="N961" s="106" t="str">
        <f>IF(ISBLANK(L961), "", VLOOKUP(D961, 'Info Tipo de Cambio y REM'!$A$24:$B$35, 2, FALSE))</f>
        <v/>
      </c>
      <c r="O961" s="107" t="str">
        <f t="shared" si="1"/>
        <v/>
      </c>
    </row>
    <row r="962">
      <c r="A962" s="102"/>
      <c r="B962" s="102"/>
      <c r="C962" s="102"/>
      <c r="D962" s="51"/>
      <c r="E962" s="102"/>
      <c r="F962" s="102"/>
      <c r="G962" s="103"/>
      <c r="K962" s="103"/>
      <c r="L962" s="113"/>
      <c r="M962" s="107"/>
      <c r="N962" s="106" t="str">
        <f>IF(ISBLANK(L962), "", VLOOKUP(D962, 'Info Tipo de Cambio y REM'!$A$24:$B$35, 2, FALSE))</f>
        <v/>
      </c>
      <c r="O962" s="107" t="str">
        <f t="shared" si="1"/>
        <v/>
      </c>
    </row>
    <row r="963">
      <c r="A963" s="102"/>
      <c r="B963" s="102"/>
      <c r="C963" s="102"/>
      <c r="D963" s="51"/>
      <c r="E963" s="102"/>
      <c r="F963" s="102"/>
      <c r="G963" s="103"/>
      <c r="K963" s="103"/>
      <c r="L963" s="113"/>
      <c r="M963" s="107"/>
      <c r="N963" s="106" t="str">
        <f>IF(ISBLANK(L963), "", VLOOKUP(D963, 'Info Tipo de Cambio y REM'!$A$24:$B$35, 2, FALSE))</f>
        <v/>
      </c>
      <c r="O963" s="107" t="str">
        <f t="shared" si="1"/>
        <v/>
      </c>
    </row>
    <row r="964">
      <c r="A964" s="102"/>
      <c r="B964" s="102"/>
      <c r="C964" s="102"/>
      <c r="D964" s="51"/>
      <c r="E964" s="102"/>
      <c r="F964" s="102"/>
      <c r="G964" s="103"/>
      <c r="K964" s="103"/>
      <c r="L964" s="113"/>
      <c r="M964" s="107"/>
      <c r="N964" s="106" t="str">
        <f>IF(ISBLANK(L964), "", VLOOKUP(D964, 'Info Tipo de Cambio y REM'!$A$24:$B$35, 2, FALSE))</f>
        <v/>
      </c>
      <c r="O964" s="107" t="str">
        <f t="shared" si="1"/>
        <v/>
      </c>
    </row>
    <row r="965">
      <c r="A965" s="102"/>
      <c r="B965" s="102"/>
      <c r="C965" s="102"/>
      <c r="D965" s="51"/>
      <c r="E965" s="102"/>
      <c r="F965" s="102"/>
      <c r="G965" s="103"/>
      <c r="K965" s="103"/>
      <c r="L965" s="113"/>
      <c r="M965" s="107"/>
      <c r="N965" s="106" t="str">
        <f>IF(ISBLANK(L965), "", VLOOKUP(D965, 'Info Tipo de Cambio y REM'!$A$24:$B$35, 2, FALSE))</f>
        <v/>
      </c>
      <c r="O965" s="107" t="str">
        <f t="shared" si="1"/>
        <v/>
      </c>
    </row>
    <row r="966">
      <c r="A966" s="102"/>
      <c r="B966" s="102"/>
      <c r="C966" s="102"/>
      <c r="D966" s="51"/>
      <c r="E966" s="102"/>
      <c r="F966" s="102"/>
      <c r="G966" s="103"/>
      <c r="K966" s="103"/>
      <c r="L966" s="113"/>
      <c r="M966" s="107"/>
      <c r="N966" s="106" t="str">
        <f>IF(ISBLANK(L966), "", VLOOKUP(D966, 'Info Tipo de Cambio y REM'!$A$24:$B$35, 2, FALSE))</f>
        <v/>
      </c>
      <c r="O966" s="107" t="str">
        <f t="shared" si="1"/>
        <v/>
      </c>
    </row>
    <row r="967">
      <c r="A967" s="102"/>
      <c r="B967" s="102"/>
      <c r="C967" s="102"/>
      <c r="D967" s="51"/>
      <c r="E967" s="102"/>
      <c r="F967" s="102"/>
      <c r="G967" s="103"/>
      <c r="K967" s="103"/>
      <c r="L967" s="113"/>
      <c r="M967" s="107"/>
      <c r="N967" s="106" t="str">
        <f>IF(ISBLANK(L967), "", VLOOKUP(D967, 'Info Tipo de Cambio y REM'!$A$24:$B$35, 2, FALSE))</f>
        <v/>
      </c>
      <c r="O967" s="107" t="str">
        <f t="shared" si="1"/>
        <v/>
      </c>
    </row>
    <row r="968">
      <c r="A968" s="102"/>
      <c r="B968" s="102"/>
      <c r="C968" s="102"/>
      <c r="D968" s="51"/>
      <c r="E968" s="102"/>
      <c r="F968" s="102"/>
      <c r="G968" s="103"/>
      <c r="K968" s="103"/>
      <c r="L968" s="113"/>
      <c r="M968" s="107"/>
      <c r="N968" s="106" t="str">
        <f>IF(ISBLANK(L968), "", VLOOKUP(D968, 'Info Tipo de Cambio y REM'!$A$24:$B$35, 2, FALSE))</f>
        <v/>
      </c>
      <c r="O968" s="107" t="str">
        <f t="shared" si="1"/>
        <v/>
      </c>
    </row>
    <row r="969">
      <c r="A969" s="102"/>
      <c r="B969" s="102"/>
      <c r="C969" s="102"/>
      <c r="D969" s="51"/>
      <c r="E969" s="102"/>
      <c r="F969" s="102"/>
      <c r="G969" s="103"/>
      <c r="K969" s="103"/>
      <c r="L969" s="113"/>
      <c r="M969" s="107"/>
      <c r="N969" s="106" t="str">
        <f>IF(ISBLANK(L969), "", VLOOKUP(D969, 'Info Tipo de Cambio y REM'!$A$24:$B$35, 2, FALSE))</f>
        <v/>
      </c>
      <c r="O969" s="107" t="str">
        <f t="shared" si="1"/>
        <v/>
      </c>
    </row>
    <row r="970">
      <c r="A970" s="102"/>
      <c r="B970" s="102"/>
      <c r="C970" s="102"/>
      <c r="D970" s="51"/>
      <c r="E970" s="102"/>
      <c r="F970" s="102"/>
      <c r="G970" s="103"/>
      <c r="K970" s="103"/>
      <c r="L970" s="113"/>
      <c r="M970" s="107"/>
      <c r="N970" s="106" t="str">
        <f>IF(ISBLANK(L970), "", VLOOKUP(D970, 'Info Tipo de Cambio y REM'!$A$24:$B$35, 2, FALSE))</f>
        <v/>
      </c>
      <c r="O970" s="107" t="str">
        <f t="shared" si="1"/>
        <v/>
      </c>
    </row>
    <row r="971">
      <c r="A971" s="102"/>
      <c r="B971" s="102"/>
      <c r="C971" s="102"/>
      <c r="D971" s="51"/>
      <c r="E971" s="102"/>
      <c r="F971" s="102"/>
      <c r="G971" s="103"/>
      <c r="K971" s="103"/>
      <c r="L971" s="113"/>
      <c r="M971" s="107"/>
      <c r="N971" s="106" t="str">
        <f>IF(ISBLANK(L971), "", VLOOKUP(D971, 'Info Tipo de Cambio y REM'!$A$24:$B$35, 2, FALSE))</f>
        <v/>
      </c>
      <c r="O971" s="107" t="str">
        <f t="shared" si="1"/>
        <v/>
      </c>
    </row>
    <row r="972">
      <c r="A972" s="102"/>
      <c r="B972" s="102"/>
      <c r="C972" s="102"/>
      <c r="D972" s="51"/>
      <c r="E972" s="102"/>
      <c r="F972" s="102"/>
      <c r="G972" s="103"/>
      <c r="K972" s="103"/>
      <c r="L972" s="113"/>
      <c r="M972" s="107"/>
      <c r="N972" s="106" t="str">
        <f>IF(ISBLANK(L972), "", VLOOKUP(D972, 'Info Tipo de Cambio y REM'!$A$24:$B$35, 2, FALSE))</f>
        <v/>
      </c>
      <c r="O972" s="107" t="str">
        <f t="shared" si="1"/>
        <v/>
      </c>
    </row>
    <row r="973">
      <c r="A973" s="102"/>
      <c r="B973" s="102"/>
      <c r="C973" s="102"/>
      <c r="D973" s="51"/>
      <c r="E973" s="102"/>
      <c r="F973" s="102"/>
      <c r="G973" s="103"/>
      <c r="K973" s="103"/>
      <c r="L973" s="113"/>
      <c r="M973" s="107"/>
      <c r="N973" s="106" t="str">
        <f>IF(ISBLANK(L973), "", VLOOKUP(D973, 'Info Tipo de Cambio y REM'!$A$24:$B$35, 2, FALSE))</f>
        <v/>
      </c>
      <c r="O973" s="107" t="str">
        <f t="shared" si="1"/>
        <v/>
      </c>
    </row>
    <row r="974">
      <c r="A974" s="102"/>
      <c r="B974" s="102"/>
      <c r="C974" s="102"/>
      <c r="D974" s="51"/>
      <c r="E974" s="102"/>
      <c r="F974" s="102"/>
      <c r="G974" s="103"/>
      <c r="K974" s="103"/>
      <c r="L974" s="113"/>
      <c r="M974" s="107"/>
      <c r="N974" s="106" t="str">
        <f>IF(ISBLANK(L974), "", VLOOKUP(D974, 'Info Tipo de Cambio y REM'!$A$24:$B$35, 2, FALSE))</f>
        <v/>
      </c>
      <c r="O974" s="107" t="str">
        <f t="shared" si="1"/>
        <v/>
      </c>
    </row>
    <row r="975">
      <c r="A975" s="102"/>
      <c r="B975" s="102"/>
      <c r="C975" s="102"/>
      <c r="D975" s="51"/>
      <c r="E975" s="102"/>
      <c r="F975" s="102"/>
      <c r="G975" s="103"/>
      <c r="K975" s="103"/>
      <c r="L975" s="113"/>
      <c r="M975" s="107"/>
      <c r="N975" s="106" t="str">
        <f>IF(ISBLANK(L975), "", VLOOKUP(D975, 'Info Tipo de Cambio y REM'!$A$24:$B$35, 2, FALSE))</f>
        <v/>
      </c>
      <c r="O975" s="107" t="str">
        <f t="shared" si="1"/>
        <v/>
      </c>
    </row>
    <row r="976">
      <c r="A976" s="102"/>
      <c r="B976" s="102"/>
      <c r="C976" s="102"/>
      <c r="D976" s="51"/>
      <c r="E976" s="102"/>
      <c r="F976" s="102"/>
      <c r="G976" s="103"/>
      <c r="K976" s="103"/>
      <c r="L976" s="113"/>
      <c r="M976" s="107"/>
      <c r="N976" s="106" t="str">
        <f>IF(ISBLANK(L976), "", VLOOKUP(D976, 'Info Tipo de Cambio y REM'!$A$24:$B$35, 2, FALSE))</f>
        <v/>
      </c>
      <c r="O976" s="107" t="str">
        <f t="shared" si="1"/>
        <v/>
      </c>
    </row>
    <row r="977">
      <c r="A977" s="102"/>
      <c r="B977" s="102"/>
      <c r="C977" s="102"/>
      <c r="D977" s="51"/>
      <c r="E977" s="102"/>
      <c r="F977" s="102"/>
      <c r="G977" s="103"/>
      <c r="K977" s="103"/>
      <c r="L977" s="113"/>
      <c r="M977" s="107"/>
      <c r="N977" s="106" t="str">
        <f>IF(ISBLANK(L977), "", VLOOKUP(D977, 'Info Tipo de Cambio y REM'!$A$24:$B$35, 2, FALSE))</f>
        <v/>
      </c>
      <c r="O977" s="107" t="str">
        <f t="shared" si="1"/>
        <v/>
      </c>
    </row>
    <row r="978">
      <c r="A978" s="102"/>
      <c r="B978" s="102"/>
      <c r="C978" s="102"/>
      <c r="D978" s="51"/>
      <c r="E978" s="102"/>
      <c r="F978" s="102"/>
      <c r="G978" s="103"/>
      <c r="K978" s="103"/>
      <c r="L978" s="113"/>
      <c r="M978" s="107"/>
      <c r="N978" s="106" t="str">
        <f>IF(ISBLANK(L978), "", VLOOKUP(D978, 'Info Tipo de Cambio y REM'!$A$24:$B$35, 2, FALSE))</f>
        <v/>
      </c>
      <c r="O978" s="107" t="str">
        <f t="shared" si="1"/>
        <v/>
      </c>
    </row>
    <row r="979">
      <c r="A979" s="102"/>
      <c r="B979" s="102"/>
      <c r="C979" s="102"/>
      <c r="D979" s="51"/>
      <c r="E979" s="102"/>
      <c r="F979" s="102"/>
      <c r="G979" s="103"/>
      <c r="K979" s="103"/>
      <c r="L979" s="113"/>
      <c r="M979" s="107"/>
      <c r="N979" s="106" t="str">
        <f>IF(ISBLANK(L979), "", VLOOKUP(D979, 'Info Tipo de Cambio y REM'!$A$24:$B$35, 2, FALSE))</f>
        <v/>
      </c>
      <c r="O979" s="107" t="str">
        <f t="shared" si="1"/>
        <v/>
      </c>
    </row>
    <row r="980">
      <c r="A980" s="102"/>
      <c r="B980" s="102"/>
      <c r="C980" s="102"/>
      <c r="D980" s="51"/>
      <c r="E980" s="102"/>
      <c r="F980" s="102"/>
      <c r="G980" s="103"/>
      <c r="K980" s="103"/>
      <c r="L980" s="113"/>
      <c r="M980" s="107"/>
      <c r="N980" s="106" t="str">
        <f>IF(ISBLANK(L980), "", VLOOKUP(D980, 'Info Tipo de Cambio y REM'!$A$24:$B$35, 2, FALSE))</f>
        <v/>
      </c>
      <c r="O980" s="107" t="str">
        <f t="shared" si="1"/>
        <v/>
      </c>
    </row>
    <row r="981">
      <c r="A981" s="102"/>
      <c r="B981" s="102"/>
      <c r="C981" s="102"/>
      <c r="D981" s="51"/>
      <c r="E981" s="102"/>
      <c r="F981" s="102"/>
      <c r="G981" s="103"/>
      <c r="K981" s="103"/>
      <c r="L981" s="113"/>
      <c r="M981" s="107"/>
      <c r="N981" s="106" t="str">
        <f>IF(ISBLANK(L981), "", VLOOKUP(D981, 'Info Tipo de Cambio y REM'!$A$24:$B$35, 2, FALSE))</f>
        <v/>
      </c>
      <c r="O981" s="107" t="str">
        <f t="shared" si="1"/>
        <v/>
      </c>
    </row>
    <row r="982">
      <c r="A982" s="102"/>
      <c r="B982" s="102"/>
      <c r="C982" s="102"/>
      <c r="D982" s="51"/>
      <c r="E982" s="102"/>
      <c r="F982" s="102"/>
      <c r="G982" s="103"/>
      <c r="K982" s="103"/>
      <c r="L982" s="113"/>
      <c r="M982" s="107"/>
      <c r="N982" s="106" t="str">
        <f>IF(ISBLANK(L982), "", VLOOKUP(D982, 'Info Tipo de Cambio y REM'!$A$24:$B$35, 2, FALSE))</f>
        <v/>
      </c>
      <c r="O982" s="107" t="str">
        <f t="shared" si="1"/>
        <v/>
      </c>
    </row>
    <row r="983">
      <c r="A983" s="102"/>
      <c r="B983" s="102"/>
      <c r="C983" s="102"/>
      <c r="D983" s="51"/>
      <c r="E983" s="102"/>
      <c r="F983" s="102"/>
      <c r="G983" s="103"/>
      <c r="K983" s="103"/>
      <c r="L983" s="113"/>
      <c r="M983" s="107"/>
      <c r="N983" s="106" t="str">
        <f>IF(ISBLANK(L983), "", VLOOKUP(D983, 'Info Tipo de Cambio y REM'!$A$24:$B$35, 2, FALSE))</f>
        <v/>
      </c>
      <c r="O983" s="107" t="str">
        <f t="shared" si="1"/>
        <v/>
      </c>
    </row>
    <row r="984">
      <c r="A984" s="102"/>
      <c r="B984" s="102"/>
      <c r="C984" s="102"/>
      <c r="D984" s="51"/>
      <c r="E984" s="102"/>
      <c r="F984" s="102"/>
      <c r="G984" s="103"/>
      <c r="K984" s="103"/>
      <c r="L984" s="113"/>
      <c r="M984" s="107"/>
      <c r="N984" s="106" t="str">
        <f>IF(ISBLANK(L984), "", VLOOKUP(D984, 'Info Tipo de Cambio y REM'!$A$24:$B$35, 2, FALSE))</f>
        <v/>
      </c>
      <c r="O984" s="107" t="str">
        <f t="shared" si="1"/>
        <v/>
      </c>
    </row>
    <row r="985">
      <c r="A985" s="102"/>
      <c r="B985" s="102"/>
      <c r="C985" s="102"/>
      <c r="D985" s="51"/>
      <c r="E985" s="102"/>
      <c r="F985" s="102"/>
      <c r="G985" s="103"/>
      <c r="K985" s="103"/>
      <c r="L985" s="113"/>
      <c r="M985" s="107"/>
      <c r="N985" s="106" t="str">
        <f>IF(ISBLANK(L985), "", VLOOKUP(D985, 'Info Tipo de Cambio y REM'!$A$24:$B$35, 2, FALSE))</f>
        <v/>
      </c>
      <c r="O985" s="107" t="str">
        <f t="shared" si="1"/>
        <v/>
      </c>
    </row>
    <row r="986">
      <c r="A986" s="102"/>
      <c r="B986" s="102"/>
      <c r="C986" s="102"/>
      <c r="D986" s="51"/>
      <c r="E986" s="102"/>
      <c r="F986" s="102"/>
      <c r="G986" s="103"/>
      <c r="K986" s="103"/>
      <c r="L986" s="113"/>
      <c r="M986" s="107"/>
      <c r="N986" s="106" t="str">
        <f>IF(ISBLANK(L986), "", VLOOKUP(D986, 'Info Tipo de Cambio y REM'!$A$24:$B$35, 2, FALSE))</f>
        <v/>
      </c>
      <c r="O986" s="107" t="str">
        <f t="shared" si="1"/>
        <v/>
      </c>
    </row>
    <row r="987">
      <c r="A987" s="102"/>
      <c r="B987" s="102"/>
      <c r="C987" s="102"/>
      <c r="D987" s="51"/>
      <c r="E987" s="102"/>
      <c r="F987" s="102"/>
      <c r="G987" s="103"/>
      <c r="K987" s="103"/>
      <c r="L987" s="113"/>
      <c r="M987" s="107"/>
      <c r="N987" s="106" t="str">
        <f>IF(ISBLANK(L987), "", VLOOKUP(D987, 'Info Tipo de Cambio y REM'!$A$24:$B$35, 2, FALSE))</f>
        <v/>
      </c>
      <c r="O987" s="107" t="str">
        <f t="shared" si="1"/>
        <v/>
      </c>
    </row>
    <row r="988">
      <c r="A988" s="102"/>
      <c r="B988" s="102"/>
      <c r="C988" s="102"/>
      <c r="D988" s="51"/>
      <c r="E988" s="102"/>
      <c r="F988" s="102"/>
      <c r="G988" s="103"/>
      <c r="K988" s="103"/>
      <c r="L988" s="113"/>
      <c r="M988" s="107"/>
      <c r="N988" s="106" t="str">
        <f>IF(ISBLANK(L988), "", VLOOKUP(D988, 'Info Tipo de Cambio y REM'!$A$24:$B$35, 2, FALSE))</f>
        <v/>
      </c>
      <c r="O988" s="107" t="str">
        <f t="shared" si="1"/>
        <v/>
      </c>
    </row>
    <row r="989">
      <c r="A989" s="102"/>
      <c r="B989" s="102"/>
      <c r="C989" s="102"/>
      <c r="D989" s="51"/>
      <c r="E989" s="102"/>
      <c r="F989" s="102"/>
      <c r="G989" s="103"/>
      <c r="K989" s="103"/>
      <c r="L989" s="113"/>
      <c r="M989" s="107"/>
      <c r="N989" s="106" t="str">
        <f>IF(ISBLANK(L989), "", VLOOKUP(D989, 'Info Tipo de Cambio y REM'!$A$24:$B$35, 2, FALSE))</f>
        <v/>
      </c>
      <c r="O989" s="107" t="str">
        <f t="shared" si="1"/>
        <v/>
      </c>
    </row>
    <row r="990">
      <c r="A990" s="102"/>
      <c r="B990" s="102"/>
      <c r="C990" s="102"/>
      <c r="D990" s="51"/>
      <c r="E990" s="102"/>
      <c r="F990" s="102"/>
      <c r="G990" s="103"/>
      <c r="K990" s="103"/>
      <c r="L990" s="113"/>
      <c r="M990" s="107"/>
      <c r="N990" s="106" t="str">
        <f>IF(ISBLANK(L990), "", VLOOKUP(D990, 'Info Tipo de Cambio y REM'!$A$24:$B$35, 2, FALSE))</f>
        <v/>
      </c>
      <c r="O990" s="107" t="str">
        <f t="shared" si="1"/>
        <v/>
      </c>
    </row>
    <row r="991">
      <c r="A991" s="102"/>
      <c r="B991" s="102"/>
      <c r="C991" s="102"/>
      <c r="D991" s="51"/>
      <c r="E991" s="102"/>
      <c r="F991" s="102"/>
      <c r="G991" s="103"/>
      <c r="K991" s="103"/>
      <c r="L991" s="113"/>
      <c r="M991" s="107"/>
      <c r="N991" s="106" t="str">
        <f>IF(ISBLANK(L991), "", VLOOKUP(D991, 'Info Tipo de Cambio y REM'!$A$24:$B$35, 2, FALSE))</f>
        <v/>
      </c>
      <c r="O991" s="107" t="str">
        <f t="shared" si="1"/>
        <v/>
      </c>
    </row>
    <row r="992">
      <c r="A992" s="102"/>
      <c r="B992" s="102"/>
      <c r="C992" s="102"/>
      <c r="D992" s="51"/>
      <c r="E992" s="102"/>
      <c r="F992" s="102"/>
      <c r="G992" s="103"/>
      <c r="K992" s="103"/>
      <c r="L992" s="113"/>
      <c r="M992" s="107"/>
      <c r="N992" s="106" t="str">
        <f>IF(ISBLANK(L992), "", VLOOKUP(D992, 'Info Tipo de Cambio y REM'!$A$24:$B$35, 2, FALSE))</f>
        <v/>
      </c>
      <c r="O992" s="107" t="str">
        <f t="shared" si="1"/>
        <v/>
      </c>
    </row>
    <row r="993">
      <c r="A993" s="102"/>
      <c r="B993" s="102"/>
      <c r="C993" s="102"/>
      <c r="D993" s="51"/>
      <c r="E993" s="102"/>
      <c r="F993" s="102"/>
      <c r="G993" s="103"/>
      <c r="K993" s="103"/>
      <c r="L993" s="113"/>
      <c r="M993" s="107"/>
      <c r="N993" s="106" t="str">
        <f>IF(ISBLANK(L993), "", VLOOKUP(D993, 'Info Tipo de Cambio y REM'!$A$24:$B$35, 2, FALSE))</f>
        <v/>
      </c>
      <c r="O993" s="107" t="str">
        <f t="shared" si="1"/>
        <v/>
      </c>
    </row>
    <row r="994">
      <c r="A994" s="102"/>
      <c r="B994" s="102"/>
      <c r="C994" s="102"/>
      <c r="D994" s="51"/>
      <c r="E994" s="102"/>
      <c r="F994" s="102"/>
      <c r="G994" s="103"/>
      <c r="K994" s="103"/>
      <c r="L994" s="113"/>
      <c r="M994" s="107"/>
      <c r="N994" s="106" t="str">
        <f>IF(ISBLANK(L994), "", VLOOKUP(D994, 'Info Tipo de Cambio y REM'!$A$24:$B$35, 2, FALSE))</f>
        <v/>
      </c>
      <c r="O994" s="107" t="str">
        <f t="shared" si="1"/>
        <v/>
      </c>
    </row>
    <row r="995">
      <c r="A995" s="102"/>
      <c r="B995" s="102"/>
      <c r="C995" s="102"/>
      <c r="D995" s="51"/>
      <c r="E995" s="102"/>
      <c r="F995" s="102"/>
      <c r="G995" s="103"/>
      <c r="K995" s="103"/>
      <c r="L995" s="113"/>
      <c r="M995" s="107"/>
      <c r="N995" s="106" t="str">
        <f>IF(ISBLANK(L995), "", VLOOKUP(D995, 'Info Tipo de Cambio y REM'!$A$24:$B$35, 2, FALSE))</f>
        <v/>
      </c>
      <c r="O995" s="107" t="str">
        <f t="shared" si="1"/>
        <v/>
      </c>
    </row>
    <row r="996">
      <c r="A996" s="102"/>
      <c r="B996" s="102"/>
      <c r="C996" s="102"/>
      <c r="D996" s="51"/>
      <c r="E996" s="102"/>
      <c r="F996" s="102"/>
      <c r="G996" s="103"/>
      <c r="K996" s="103"/>
      <c r="L996" s="113"/>
      <c r="M996" s="107"/>
      <c r="N996" s="106" t="str">
        <f>IF(ISBLANK(L996), "", VLOOKUP(D996, 'Info Tipo de Cambio y REM'!$A$24:$B$35, 2, FALSE))</f>
        <v/>
      </c>
      <c r="O996" s="107" t="str">
        <f t="shared" si="1"/>
        <v/>
      </c>
    </row>
    <row r="997">
      <c r="A997" s="102"/>
      <c r="B997" s="102"/>
      <c r="C997" s="102"/>
      <c r="D997" s="51"/>
      <c r="E997" s="102"/>
      <c r="F997" s="102"/>
      <c r="G997" s="103"/>
      <c r="K997" s="103"/>
      <c r="L997" s="113"/>
      <c r="M997" s="107"/>
      <c r="N997" s="106" t="str">
        <f>IF(ISBLANK(L997), "", VLOOKUP(D997, 'Info Tipo de Cambio y REM'!$A$24:$B$35, 2, FALSE))</f>
        <v/>
      </c>
      <c r="O997" s="107" t="str">
        <f t="shared" si="1"/>
        <v/>
      </c>
    </row>
    <row r="998">
      <c r="A998" s="102"/>
      <c r="B998" s="102"/>
      <c r="C998" s="102"/>
      <c r="D998" s="51"/>
      <c r="E998" s="102"/>
      <c r="F998" s="102"/>
      <c r="G998" s="103"/>
      <c r="K998" s="103"/>
      <c r="L998" s="113"/>
      <c r="M998" s="107"/>
      <c r="N998" s="106" t="str">
        <f>IF(ISBLANK(L998), "", VLOOKUP(D998, 'Info Tipo de Cambio y REM'!$A$24:$B$35, 2, FALSE))</f>
        <v/>
      </c>
      <c r="O998" s="107" t="str">
        <f t="shared" si="1"/>
        <v/>
      </c>
    </row>
    <row r="999">
      <c r="A999" s="102"/>
      <c r="B999" s="102"/>
      <c r="C999" s="102"/>
      <c r="D999" s="51"/>
      <c r="E999" s="102"/>
      <c r="F999" s="102"/>
      <c r="G999" s="103"/>
      <c r="K999" s="103"/>
      <c r="L999" s="113"/>
      <c r="M999" s="107"/>
      <c r="N999" s="106" t="str">
        <f>IF(ISBLANK(L999), "", VLOOKUP(D999, 'Info Tipo de Cambio y REM'!$A$24:$B$35, 2, FALSE))</f>
        <v/>
      </c>
      <c r="O999" s="107" t="str">
        <f t="shared" si="1"/>
        <v/>
      </c>
    </row>
    <row r="1000">
      <c r="A1000" s="102"/>
      <c r="B1000" s="102"/>
      <c r="C1000" s="102"/>
      <c r="D1000" s="51"/>
      <c r="E1000" s="102"/>
      <c r="F1000" s="102"/>
      <c r="G1000" s="103"/>
      <c r="K1000" s="103"/>
      <c r="L1000" s="113"/>
      <c r="M1000" s="107"/>
      <c r="N1000" s="106" t="str">
        <f>IF(ISBLANK(L1000), "", VLOOKUP(D1000, 'Info Tipo de Cambio y REM'!$A$24:$B$35, 2, FALSE))</f>
        <v/>
      </c>
      <c r="O1000" s="107" t="str">
        <f t="shared" si="1"/>
        <v/>
      </c>
    </row>
    <row r="1001">
      <c r="A1001" s="102"/>
      <c r="B1001" s="102"/>
      <c r="C1001" s="102"/>
      <c r="D1001" s="51"/>
      <c r="E1001" s="102"/>
      <c r="F1001" s="102"/>
      <c r="G1001" s="103"/>
      <c r="K1001" s="103"/>
      <c r="L1001" s="113"/>
      <c r="M1001" s="107"/>
      <c r="N1001" s="106" t="str">
        <f>IF(ISBLANK(L1001), "", VLOOKUP(D1001, 'Info Tipo de Cambio y REM'!$A$24:$B$35, 2, FALSE))</f>
        <v/>
      </c>
      <c r="O1001" s="107" t="str">
        <f t="shared" si="1"/>
        <v/>
      </c>
    </row>
    <row r="1002">
      <c r="A1002" s="102"/>
      <c r="B1002" s="102"/>
      <c r="C1002" s="102"/>
      <c r="D1002" s="51"/>
      <c r="E1002" s="102"/>
      <c r="F1002" s="102"/>
      <c r="G1002" s="103"/>
      <c r="K1002" s="103"/>
      <c r="L1002" s="113"/>
      <c r="M1002" s="107"/>
      <c r="N1002" s="106" t="str">
        <f>IF(ISBLANK(L1002), "", VLOOKUP(D1002, 'Info Tipo de Cambio y REM'!$A$24:$B$35, 2, FALSE))</f>
        <v/>
      </c>
      <c r="O1002" s="107" t="str">
        <f t="shared" si="1"/>
        <v/>
      </c>
    </row>
    <row r="1003">
      <c r="A1003" s="102"/>
      <c r="B1003" s="102"/>
      <c r="C1003" s="102"/>
      <c r="D1003" s="51"/>
      <c r="E1003" s="102"/>
      <c r="F1003" s="102"/>
      <c r="G1003" s="103"/>
      <c r="K1003" s="103"/>
      <c r="L1003" s="113"/>
      <c r="M1003" s="107"/>
      <c r="N1003" s="106" t="str">
        <f>IF(ISBLANK(L1003), "", VLOOKUP(D1003, 'Info Tipo de Cambio y REM'!$A$24:$B$35, 2, FALSE))</f>
        <v/>
      </c>
      <c r="O1003" s="107" t="str">
        <f t="shared" si="1"/>
        <v/>
      </c>
    </row>
    <row r="1004">
      <c r="A1004" s="102"/>
      <c r="B1004" s="102"/>
      <c r="C1004" s="102"/>
      <c r="D1004" s="51"/>
      <c r="E1004" s="102"/>
      <c r="F1004" s="102"/>
      <c r="G1004" s="103"/>
      <c r="K1004" s="103"/>
      <c r="L1004" s="113"/>
      <c r="M1004" s="107"/>
      <c r="N1004" s="106" t="str">
        <f>IF(ISBLANK(L1004), "", VLOOKUP(D1004, 'Info Tipo de Cambio y REM'!$A$24:$B$35, 2, FALSE))</f>
        <v/>
      </c>
      <c r="O1004" s="107" t="str">
        <f t="shared" si="1"/>
        <v/>
      </c>
    </row>
    <row r="1005">
      <c r="A1005" s="102"/>
      <c r="B1005" s="102"/>
      <c r="C1005" s="102"/>
      <c r="D1005" s="51"/>
      <c r="E1005" s="102"/>
      <c r="F1005" s="102"/>
      <c r="G1005" s="103"/>
      <c r="K1005" s="103"/>
      <c r="L1005" s="113"/>
      <c r="M1005" s="107"/>
      <c r="N1005" s="106" t="str">
        <f>IF(ISBLANK(L1005), "", VLOOKUP(D1005, 'Info Tipo de Cambio y REM'!$A$24:$B$35, 2, FALSE))</f>
        <v/>
      </c>
      <c r="O1005" s="107" t="str">
        <f t="shared" si="1"/>
        <v/>
      </c>
    </row>
    <row r="1006">
      <c r="A1006" s="102"/>
      <c r="B1006" s="102"/>
      <c r="C1006" s="102"/>
      <c r="D1006" s="51"/>
      <c r="E1006" s="102"/>
      <c r="F1006" s="102"/>
      <c r="G1006" s="103"/>
      <c r="K1006" s="103"/>
      <c r="L1006" s="113"/>
      <c r="M1006" s="107"/>
      <c r="N1006" s="106" t="str">
        <f>IF(ISBLANK(L1006), "", VLOOKUP(D1006, 'Info Tipo de Cambio y REM'!$A$24:$B$35, 2, FALSE))</f>
        <v/>
      </c>
      <c r="O1006" s="107" t="str">
        <f t="shared" si="1"/>
        <v/>
      </c>
    </row>
    <row r="1007">
      <c r="A1007" s="102"/>
      <c r="B1007" s="102"/>
      <c r="C1007" s="102"/>
      <c r="D1007" s="51"/>
      <c r="E1007" s="102"/>
      <c r="F1007" s="102"/>
      <c r="G1007" s="103"/>
      <c r="K1007" s="103"/>
      <c r="L1007" s="113"/>
      <c r="M1007" s="107"/>
      <c r="N1007" s="106" t="str">
        <f>IF(ISBLANK(L1007), "", VLOOKUP(D1007, 'Info Tipo de Cambio y REM'!$A$24:$B$35, 2, FALSE))</f>
        <v/>
      </c>
      <c r="O1007" s="107" t="str">
        <f t="shared" si="1"/>
        <v/>
      </c>
    </row>
    <row r="1008">
      <c r="A1008" s="102"/>
      <c r="B1008" s="102"/>
      <c r="C1008" s="102"/>
      <c r="D1008" s="51"/>
      <c r="E1008" s="102"/>
      <c r="F1008" s="102"/>
      <c r="G1008" s="103"/>
      <c r="K1008" s="103"/>
      <c r="L1008" s="113"/>
      <c r="M1008" s="107"/>
      <c r="N1008" s="106" t="str">
        <f>IF(ISBLANK(L1008), "", VLOOKUP(D1008, 'Info Tipo de Cambio y REM'!$A$24:$B$35, 2, FALSE))</f>
        <v/>
      </c>
      <c r="O1008" s="107" t="str">
        <f t="shared" si="1"/>
        <v/>
      </c>
    </row>
    <row r="1009">
      <c r="A1009" s="102"/>
      <c r="B1009" s="102"/>
      <c r="C1009" s="102"/>
      <c r="D1009" s="51"/>
      <c r="E1009" s="102"/>
      <c r="F1009" s="102"/>
      <c r="G1009" s="103"/>
      <c r="K1009" s="103"/>
      <c r="L1009" s="113"/>
      <c r="M1009" s="107"/>
      <c r="N1009" s="106" t="str">
        <f>IF(ISBLANK(L1009), "", VLOOKUP(D1009, 'Info Tipo de Cambio y REM'!$A$24:$B$35, 2, FALSE))</f>
        <v/>
      </c>
      <c r="O1009" s="107" t="str">
        <f t="shared" si="1"/>
        <v/>
      </c>
    </row>
    <row r="1010">
      <c r="A1010" s="102"/>
      <c r="B1010" s="102"/>
      <c r="C1010" s="102"/>
      <c r="D1010" s="51"/>
      <c r="E1010" s="102"/>
      <c r="F1010" s="102"/>
      <c r="G1010" s="103"/>
      <c r="K1010" s="103"/>
      <c r="L1010" s="113"/>
      <c r="M1010" s="107"/>
      <c r="N1010" s="106" t="str">
        <f>IF(ISBLANK(L1010), "", VLOOKUP(D1010, 'Info Tipo de Cambio y REM'!$A$24:$B$35, 2, FALSE))</f>
        <v/>
      </c>
      <c r="O1010" s="107" t="str">
        <f t="shared" si="1"/>
        <v/>
      </c>
    </row>
    <row r="1011">
      <c r="A1011" s="102"/>
      <c r="B1011" s="102"/>
      <c r="C1011" s="102"/>
      <c r="D1011" s="51"/>
      <c r="E1011" s="102"/>
      <c r="F1011" s="102"/>
      <c r="G1011" s="103"/>
      <c r="K1011" s="103"/>
      <c r="L1011" s="113"/>
      <c r="M1011" s="107"/>
      <c r="N1011" s="106" t="str">
        <f>IF(ISBLANK(L1011), "", VLOOKUP(D1011, 'Info Tipo de Cambio y REM'!$A$24:$B$35, 2, FALSE))</f>
        <v/>
      </c>
      <c r="O1011" s="107" t="str">
        <f t="shared" si="1"/>
        <v/>
      </c>
    </row>
    <row r="1012">
      <c r="A1012" s="102"/>
      <c r="B1012" s="102"/>
      <c r="C1012" s="102"/>
      <c r="D1012" s="51"/>
      <c r="E1012" s="102"/>
      <c r="F1012" s="102"/>
      <c r="G1012" s="103"/>
      <c r="K1012" s="103"/>
      <c r="L1012" s="113"/>
      <c r="M1012" s="107"/>
      <c r="N1012" s="106" t="str">
        <f>IF(ISBLANK(L1012), "", VLOOKUP(D1012, 'Info Tipo de Cambio y REM'!$A$24:$B$35, 2, FALSE))</f>
        <v/>
      </c>
      <c r="O1012" s="107" t="str">
        <f t="shared" si="1"/>
        <v/>
      </c>
    </row>
    <row r="1013">
      <c r="A1013" s="102"/>
      <c r="B1013" s="102"/>
      <c r="C1013" s="102"/>
      <c r="D1013" s="51"/>
      <c r="E1013" s="102"/>
      <c r="F1013" s="102"/>
      <c r="G1013" s="103"/>
      <c r="K1013" s="103"/>
      <c r="L1013" s="113"/>
      <c r="M1013" s="107"/>
      <c r="N1013" s="106" t="str">
        <f>IF(ISBLANK(L1013), "", VLOOKUP(D1013, 'Info Tipo de Cambio y REM'!$A$24:$B$35, 2, FALSE))</f>
        <v/>
      </c>
      <c r="O1013" s="107" t="str">
        <f t="shared" si="1"/>
        <v/>
      </c>
    </row>
    <row r="1014">
      <c r="A1014" s="102"/>
      <c r="B1014" s="102"/>
      <c r="C1014" s="102"/>
      <c r="D1014" s="51"/>
      <c r="E1014" s="102"/>
      <c r="F1014" s="102"/>
      <c r="G1014" s="103"/>
      <c r="K1014" s="103"/>
      <c r="L1014" s="113"/>
      <c r="M1014" s="107"/>
      <c r="N1014" s="106" t="str">
        <f>IF(ISBLANK(L1014), "", VLOOKUP(D1014, 'Info Tipo de Cambio y REM'!$A$24:$B$35, 2, FALSE))</f>
        <v/>
      </c>
      <c r="O1014" s="107" t="str">
        <f t="shared" si="1"/>
        <v/>
      </c>
    </row>
    <row r="1015">
      <c r="A1015" s="102"/>
      <c r="B1015" s="102"/>
      <c r="C1015" s="102"/>
      <c r="D1015" s="51"/>
      <c r="E1015" s="102"/>
      <c r="F1015" s="102"/>
      <c r="G1015" s="103"/>
      <c r="K1015" s="103"/>
      <c r="L1015" s="113"/>
      <c r="M1015" s="107"/>
      <c r="N1015" s="106" t="str">
        <f>IF(ISBLANK(L1015), "", VLOOKUP(D1015, 'Info Tipo de Cambio y REM'!$A$24:$B$35, 2, FALSE))</f>
        <v/>
      </c>
      <c r="O1015" s="107" t="str">
        <f t="shared" si="1"/>
        <v/>
      </c>
    </row>
    <row r="1016">
      <c r="A1016" s="102"/>
      <c r="B1016" s="102"/>
      <c r="C1016" s="102"/>
      <c r="D1016" s="51"/>
      <c r="E1016" s="102"/>
      <c r="F1016" s="102"/>
      <c r="G1016" s="103"/>
      <c r="K1016" s="103"/>
      <c r="L1016" s="113"/>
      <c r="M1016" s="107"/>
      <c r="N1016" s="106" t="str">
        <f>IF(ISBLANK(L1016), "", VLOOKUP(D1016, 'Info Tipo de Cambio y REM'!$A$24:$B$35, 2, FALSE))</f>
        <v/>
      </c>
      <c r="O1016" s="107" t="str">
        <f t="shared" si="1"/>
        <v/>
      </c>
    </row>
    <row r="1017">
      <c r="A1017" s="102"/>
      <c r="B1017" s="102"/>
      <c r="C1017" s="102"/>
      <c r="D1017" s="51"/>
      <c r="E1017" s="102"/>
      <c r="F1017" s="102"/>
      <c r="G1017" s="103"/>
      <c r="K1017" s="103"/>
      <c r="L1017" s="113"/>
      <c r="M1017" s="107"/>
      <c r="N1017" s="106" t="str">
        <f>IF(ISBLANK(L1017), "", VLOOKUP(D1017, 'Info Tipo de Cambio y REM'!$A$24:$B$35, 2, FALSE))</f>
        <v/>
      </c>
      <c r="O1017" s="107" t="str">
        <f t="shared" si="1"/>
        <v/>
      </c>
    </row>
    <row r="1018">
      <c r="A1018" s="102"/>
      <c r="B1018" s="102"/>
      <c r="C1018" s="102"/>
      <c r="D1018" s="51"/>
      <c r="E1018" s="102"/>
      <c r="F1018" s="102"/>
      <c r="G1018" s="103"/>
      <c r="K1018" s="103"/>
      <c r="L1018" s="113"/>
      <c r="M1018" s="107"/>
      <c r="N1018" s="106" t="str">
        <f>IF(ISBLANK(L1018), "", VLOOKUP(D1018, 'Info Tipo de Cambio y REM'!$A$24:$B$35, 2, FALSE))</f>
        <v/>
      </c>
      <c r="O1018" s="107" t="str">
        <f t="shared" si="1"/>
        <v/>
      </c>
    </row>
    <row r="1019">
      <c r="A1019" s="102"/>
      <c r="B1019" s="102"/>
      <c r="C1019" s="102"/>
      <c r="D1019" s="51"/>
      <c r="E1019" s="102"/>
      <c r="F1019" s="102"/>
      <c r="G1019" s="103"/>
      <c r="K1019" s="103"/>
      <c r="L1019" s="113"/>
      <c r="M1019" s="107"/>
      <c r="N1019" s="106" t="str">
        <f>IF(ISBLANK(L1019), "", VLOOKUP(D1019, 'Info Tipo de Cambio y REM'!$A$24:$B$35, 2, FALSE))</f>
        <v/>
      </c>
      <c r="O1019" s="107" t="str">
        <f t="shared" si="1"/>
        <v/>
      </c>
    </row>
    <row r="1020">
      <c r="A1020" s="102"/>
      <c r="B1020" s="102"/>
      <c r="C1020" s="102"/>
      <c r="D1020" s="51"/>
      <c r="E1020" s="102"/>
      <c r="F1020" s="102"/>
      <c r="G1020" s="103"/>
      <c r="K1020" s="103"/>
      <c r="L1020" s="113"/>
      <c r="M1020" s="107"/>
      <c r="N1020" s="106" t="str">
        <f>IF(ISBLANK(L1020), "", VLOOKUP(D1020, 'Info Tipo de Cambio y REM'!$A$24:$B$35, 2, FALSE))</f>
        <v/>
      </c>
      <c r="O1020" s="107" t="str">
        <f t="shared" si="1"/>
        <v/>
      </c>
    </row>
    <row r="1021">
      <c r="A1021" s="102"/>
      <c r="B1021" s="102"/>
      <c r="C1021" s="102"/>
      <c r="D1021" s="51"/>
      <c r="E1021" s="102"/>
      <c r="F1021" s="102"/>
      <c r="G1021" s="103"/>
      <c r="K1021" s="103"/>
      <c r="L1021" s="113"/>
      <c r="M1021" s="107"/>
      <c r="N1021" s="106" t="str">
        <f>IF(ISBLANK(L1021), "", VLOOKUP(D1021, 'Info Tipo de Cambio y REM'!$A$24:$B$35, 2, FALSE))</f>
        <v/>
      </c>
      <c r="O1021" s="107" t="str">
        <f t="shared" si="1"/>
        <v/>
      </c>
    </row>
    <row r="1022">
      <c r="A1022" s="102"/>
      <c r="B1022" s="102"/>
      <c r="C1022" s="102"/>
      <c r="D1022" s="51"/>
      <c r="E1022" s="102"/>
      <c r="F1022" s="102"/>
      <c r="G1022" s="103"/>
      <c r="K1022" s="103"/>
      <c r="L1022" s="113"/>
      <c r="M1022" s="107"/>
      <c r="N1022" s="106" t="str">
        <f>IF(ISBLANK(L1022), "", VLOOKUP(D1022, 'Info Tipo de Cambio y REM'!$A$24:$B$35, 2, FALSE))</f>
        <v/>
      </c>
      <c r="O1022" s="107" t="str">
        <f t="shared" si="1"/>
        <v/>
      </c>
    </row>
    <row r="1023">
      <c r="A1023" s="102"/>
      <c r="B1023" s="102"/>
      <c r="C1023" s="102"/>
      <c r="D1023" s="51"/>
      <c r="E1023" s="102"/>
      <c r="F1023" s="102"/>
      <c r="G1023" s="103"/>
      <c r="K1023" s="103"/>
      <c r="L1023" s="113"/>
      <c r="M1023" s="107"/>
      <c r="N1023" s="106" t="str">
        <f>IF(ISBLANK(L1023), "", VLOOKUP(D1023, 'Info Tipo de Cambio y REM'!$A$24:$B$35, 2, FALSE))</f>
        <v/>
      </c>
      <c r="O1023" s="107" t="str">
        <f t="shared" si="1"/>
        <v/>
      </c>
    </row>
    <row r="1024">
      <c r="A1024" s="102"/>
      <c r="B1024" s="102"/>
      <c r="C1024" s="102"/>
      <c r="D1024" s="51"/>
      <c r="E1024" s="102"/>
      <c r="F1024" s="102"/>
      <c r="G1024" s="103"/>
      <c r="K1024" s="103"/>
      <c r="L1024" s="113"/>
      <c r="M1024" s="107"/>
      <c r="N1024" s="106" t="str">
        <f>IF(ISBLANK(L1024), "", VLOOKUP(D1024, 'Info Tipo de Cambio y REM'!$A$24:$B$35, 2, FALSE))</f>
        <v/>
      </c>
      <c r="O1024" s="107" t="str">
        <f t="shared" si="1"/>
        <v/>
      </c>
    </row>
    <row r="1025">
      <c r="A1025" s="102"/>
      <c r="B1025" s="102"/>
      <c r="C1025" s="102"/>
      <c r="D1025" s="51"/>
      <c r="E1025" s="102"/>
      <c r="F1025" s="102"/>
      <c r="G1025" s="103"/>
      <c r="K1025" s="103"/>
      <c r="L1025" s="113"/>
      <c r="M1025" s="107"/>
      <c r="N1025" s="106" t="str">
        <f>IF(ISBLANK(L1025), "", VLOOKUP(D1025, 'Info Tipo de Cambio y REM'!$A$24:$B$35, 2, FALSE))</f>
        <v/>
      </c>
      <c r="O1025" s="107" t="str">
        <f t="shared" si="1"/>
        <v/>
      </c>
    </row>
    <row r="1026">
      <c r="A1026" s="102"/>
      <c r="B1026" s="102"/>
      <c r="C1026" s="102"/>
      <c r="D1026" s="51"/>
      <c r="E1026" s="102"/>
      <c r="F1026" s="102"/>
      <c r="G1026" s="103"/>
      <c r="K1026" s="103"/>
      <c r="L1026" s="113"/>
      <c r="M1026" s="107"/>
      <c r="N1026" s="106" t="str">
        <f>IF(ISBLANK(L1026), "", VLOOKUP(D1026, 'Info Tipo de Cambio y REM'!$A$24:$B$35, 2, FALSE))</f>
        <v/>
      </c>
      <c r="O1026" s="107" t="str">
        <f t="shared" si="1"/>
        <v/>
      </c>
    </row>
    <row r="1027">
      <c r="A1027" s="102"/>
      <c r="B1027" s="102"/>
      <c r="C1027" s="102"/>
      <c r="D1027" s="51"/>
      <c r="E1027" s="102"/>
      <c r="F1027" s="102"/>
      <c r="G1027" s="103"/>
      <c r="K1027" s="103"/>
      <c r="L1027" s="113"/>
      <c r="M1027" s="107"/>
      <c r="N1027" s="106" t="str">
        <f>IF(ISBLANK(L1027), "", VLOOKUP(D1027, 'Info Tipo de Cambio y REM'!$A$24:$B$35, 2, FALSE))</f>
        <v/>
      </c>
      <c r="O1027" s="107" t="str">
        <f t="shared" si="1"/>
        <v/>
      </c>
    </row>
    <row r="1028">
      <c r="A1028" s="102"/>
      <c r="B1028" s="102"/>
      <c r="C1028" s="102"/>
      <c r="D1028" s="51"/>
      <c r="E1028" s="102"/>
      <c r="F1028" s="102"/>
      <c r="G1028" s="103"/>
      <c r="K1028" s="103"/>
      <c r="L1028" s="113"/>
      <c r="M1028" s="107"/>
      <c r="N1028" s="106" t="str">
        <f>IF(ISBLANK(L1028), "", VLOOKUP(D1028, 'Info Tipo de Cambio y REM'!$A$24:$B$35, 2, FALSE))</f>
        <v/>
      </c>
      <c r="O1028" s="107" t="str">
        <f t="shared" si="1"/>
        <v/>
      </c>
    </row>
    <row r="1029">
      <c r="A1029" s="102"/>
      <c r="B1029" s="102"/>
      <c r="C1029" s="102"/>
      <c r="D1029" s="51"/>
      <c r="E1029" s="102"/>
      <c r="F1029" s="102"/>
      <c r="G1029" s="103"/>
      <c r="K1029" s="103"/>
      <c r="L1029" s="113"/>
      <c r="M1029" s="107"/>
      <c r="N1029" s="106" t="str">
        <f>IF(ISBLANK(L1029), "", VLOOKUP(D1029, 'Info Tipo de Cambio y REM'!$A$24:$B$35, 2, FALSE))</f>
        <v/>
      </c>
      <c r="O1029" s="107" t="str">
        <f t="shared" si="1"/>
        <v/>
      </c>
    </row>
    <row r="1030">
      <c r="A1030" s="102"/>
      <c r="B1030" s="102"/>
      <c r="C1030" s="102"/>
      <c r="D1030" s="51"/>
      <c r="E1030" s="102"/>
      <c r="F1030" s="102"/>
      <c r="G1030" s="103"/>
      <c r="K1030" s="103"/>
      <c r="L1030" s="113"/>
      <c r="M1030" s="107"/>
      <c r="N1030" s="106" t="str">
        <f>IF(ISBLANK(L1030), "", VLOOKUP(D1030, 'Info Tipo de Cambio y REM'!$A$24:$B$35, 2, FALSE))</f>
        <v/>
      </c>
      <c r="O1030" s="107" t="str">
        <f t="shared" si="1"/>
        <v/>
      </c>
    </row>
    <row r="1031">
      <c r="A1031" s="102"/>
      <c r="B1031" s="102"/>
      <c r="C1031" s="102"/>
      <c r="D1031" s="51"/>
      <c r="E1031" s="102"/>
      <c r="F1031" s="102"/>
      <c r="G1031" s="103"/>
      <c r="K1031" s="103"/>
      <c r="L1031" s="113"/>
      <c r="M1031" s="107"/>
      <c r="N1031" s="106" t="str">
        <f>IF(ISBLANK(L1031), "", VLOOKUP(D1031, 'Info Tipo de Cambio y REM'!$A$24:$B$35, 2, FALSE))</f>
        <v/>
      </c>
      <c r="O1031" s="107" t="str">
        <f t="shared" si="1"/>
        <v/>
      </c>
    </row>
    <row r="1032">
      <c r="A1032" s="102"/>
      <c r="B1032" s="102"/>
      <c r="C1032" s="102"/>
      <c r="D1032" s="51"/>
      <c r="E1032" s="102"/>
      <c r="F1032" s="102"/>
      <c r="G1032" s="103"/>
      <c r="K1032" s="103"/>
      <c r="L1032" s="113"/>
      <c r="M1032" s="107"/>
      <c r="N1032" s="106" t="str">
        <f>IF(ISBLANK(L1032), "", VLOOKUP(D1032, 'Info Tipo de Cambio y REM'!$A$24:$B$35, 2, FALSE))</f>
        <v/>
      </c>
      <c r="O1032" s="107" t="str">
        <f t="shared" si="1"/>
        <v/>
      </c>
    </row>
    <row r="1033">
      <c r="A1033" s="102"/>
      <c r="B1033" s="102"/>
      <c r="C1033" s="102"/>
      <c r="D1033" s="51"/>
      <c r="E1033" s="102"/>
      <c r="F1033" s="102"/>
      <c r="G1033" s="103"/>
      <c r="K1033" s="103"/>
      <c r="L1033" s="113"/>
      <c r="M1033" s="107"/>
      <c r="N1033" s="106" t="str">
        <f>IF(ISBLANK(L1033), "", VLOOKUP(D1033, 'Info Tipo de Cambio y REM'!$A$24:$B$35, 2, FALSE))</f>
        <v/>
      </c>
      <c r="O1033" s="107" t="str">
        <f t="shared" si="1"/>
        <v/>
      </c>
    </row>
    <row r="1034">
      <c r="A1034" s="102"/>
      <c r="B1034" s="102"/>
      <c r="C1034" s="102"/>
      <c r="D1034" s="51"/>
      <c r="E1034" s="102"/>
      <c r="F1034" s="102"/>
      <c r="G1034" s="103"/>
      <c r="K1034" s="103"/>
      <c r="L1034" s="113"/>
      <c r="M1034" s="107"/>
      <c r="N1034" s="106" t="str">
        <f>IF(ISBLANK(L1034), "", VLOOKUP(D1034, 'Info Tipo de Cambio y REM'!$A$24:$B$35, 2, FALSE))</f>
        <v/>
      </c>
      <c r="O1034" s="107" t="str">
        <f t="shared" si="1"/>
        <v/>
      </c>
    </row>
    <row r="1035">
      <c r="A1035" s="102"/>
      <c r="B1035" s="102"/>
      <c r="C1035" s="102"/>
      <c r="D1035" s="51"/>
      <c r="E1035" s="102"/>
      <c r="F1035" s="102"/>
      <c r="G1035" s="103"/>
      <c r="K1035" s="103"/>
      <c r="L1035" s="113"/>
      <c r="M1035" s="107"/>
      <c r="N1035" s="106" t="str">
        <f>IF(ISBLANK(L1035), "", VLOOKUP(D1035, 'Info Tipo de Cambio y REM'!$A$24:$B$35, 2, FALSE))</f>
        <v/>
      </c>
      <c r="O1035" s="107" t="str">
        <f t="shared" si="1"/>
        <v/>
      </c>
    </row>
    <row r="1036">
      <c r="A1036" s="102"/>
      <c r="B1036" s="102"/>
      <c r="C1036" s="102"/>
      <c r="D1036" s="51"/>
      <c r="E1036" s="102"/>
      <c r="F1036" s="102"/>
      <c r="G1036" s="103"/>
      <c r="K1036" s="103"/>
      <c r="L1036" s="113"/>
      <c r="M1036" s="107"/>
      <c r="N1036" s="106" t="str">
        <f>IF(ISBLANK(L1036), "", VLOOKUP(D1036, 'Info Tipo de Cambio y REM'!$A$24:$B$35, 2, FALSE))</f>
        <v/>
      </c>
      <c r="O1036" s="107" t="str">
        <f t="shared" si="1"/>
        <v/>
      </c>
    </row>
    <row r="1037">
      <c r="A1037" s="102"/>
      <c r="B1037" s="102"/>
      <c r="C1037" s="102"/>
      <c r="D1037" s="51"/>
      <c r="E1037" s="102"/>
      <c r="F1037" s="102"/>
      <c r="G1037" s="103"/>
      <c r="K1037" s="103"/>
      <c r="L1037" s="113"/>
      <c r="M1037" s="107"/>
      <c r="N1037" s="106" t="str">
        <f>IF(ISBLANK(L1037), "", VLOOKUP(D1037, 'Info Tipo de Cambio y REM'!$A$24:$B$35, 2, FALSE))</f>
        <v/>
      </c>
      <c r="O1037" s="107" t="str">
        <f t="shared" si="1"/>
        <v/>
      </c>
    </row>
    <row r="1038">
      <c r="A1038" s="102"/>
      <c r="B1038" s="102"/>
      <c r="C1038" s="102"/>
      <c r="D1038" s="51"/>
      <c r="E1038" s="102"/>
      <c r="F1038" s="102"/>
      <c r="G1038" s="103"/>
      <c r="K1038" s="103"/>
      <c r="L1038" s="113"/>
      <c r="M1038" s="107"/>
      <c r="N1038" s="106" t="str">
        <f>IF(ISBLANK(L1038), "", VLOOKUP(D1038, 'Info Tipo de Cambio y REM'!$A$24:$B$35, 2, FALSE))</f>
        <v/>
      </c>
      <c r="O1038" s="107" t="str">
        <f t="shared" si="1"/>
        <v/>
      </c>
    </row>
  </sheetData>
  <conditionalFormatting sqref="K2:K1038">
    <cfRule type="expression" dxfId="0" priority="1">
      <formula>AND(K2&lt;=TODAY(), K2&lt;&gt;"")</formula>
    </cfRule>
  </conditionalFormatting>
  <conditionalFormatting sqref="K2:K1038">
    <cfRule type="expression" dxfId="1" priority="2">
      <formula>AND(K2&gt;TODAY(), K2&lt;&gt;"")</formula>
    </cfRule>
  </conditionalFormatting>
  <dataValidations>
    <dataValidation type="list" allowBlank="1" showErrorMessage="1" sqref="D2:D1038">
      <formula1>Listas!$H$3:$H$14</formula1>
    </dataValidation>
    <dataValidation type="list" allowBlank="1" showErrorMessage="1" sqref="B2:B1038">
      <formula1>"Activo Liquido,Mediano Plazo,Clientes a cobrar"</formula1>
    </dataValidation>
    <dataValidation type="list" allowBlank="1" showErrorMessage="1" sqref="E2:E1038">
      <formula1>"2025,2026,2027,2028"</formula1>
    </dataValidation>
    <dataValidation type="list" allowBlank="1" showErrorMessage="1" sqref="C2:C1038">
      <formula1>Listas!$C$3:$C$356</formula1>
    </dataValidation>
    <dataValidation type="list" allowBlank="1" showErrorMessage="1" sqref="A2:A1038">
      <formula1>"Caja,Custodia Socios,Santander-Galicia-Nación,Santander Inversiones,Bank Of America,Transferwise,Cheques en cartera,Clientes a cobrar,Otras Inversiones"</formula1>
    </dataValidation>
    <dataValidation type="list" allowBlank="1" showErrorMessage="1" sqref="F2:F1038">
      <formula1>"Si,No"</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8.25"/>
    <col customWidth="1" min="2" max="2" width="26.75"/>
    <col customWidth="1" min="3" max="3" width="11.38"/>
    <col customWidth="1" min="4" max="4" width="9.63"/>
    <col customWidth="1" min="5" max="5" width="18.63"/>
    <col customWidth="1" min="6" max="6" width="15.13"/>
    <col customWidth="1" min="7" max="7" width="28.25"/>
    <col customWidth="1" min="8" max="8" width="27.38"/>
    <col customWidth="1" min="9" max="9" width="11.63"/>
    <col customWidth="1" min="10" max="11" width="17.75"/>
    <col customWidth="1" min="12" max="12" width="18.38"/>
    <col customWidth="1" min="13" max="13" width="14.25"/>
    <col customWidth="1" min="14" max="14" width="43.38"/>
    <col customWidth="1" min="15" max="16" width="9.38"/>
    <col customWidth="1" min="17" max="17" width="6.13"/>
    <col customWidth="1" min="18" max="22" width="43.38"/>
  </cols>
  <sheetData>
    <row r="1">
      <c r="A1" s="10" t="s">
        <v>112</v>
      </c>
      <c r="B1" s="93" t="s">
        <v>113</v>
      </c>
      <c r="C1" s="94" t="s">
        <v>116</v>
      </c>
      <c r="D1" s="95" t="s">
        <v>275</v>
      </c>
      <c r="E1" s="10" t="s">
        <v>1092</v>
      </c>
      <c r="F1" s="10" t="s">
        <v>368</v>
      </c>
      <c r="G1" s="152" t="s">
        <v>369</v>
      </c>
      <c r="H1" s="10" t="s">
        <v>370</v>
      </c>
      <c r="I1" s="153" t="s">
        <v>282</v>
      </c>
      <c r="J1" s="99" t="s">
        <v>283</v>
      </c>
      <c r="K1" s="154" t="s">
        <v>284</v>
      </c>
      <c r="L1" s="155" t="s">
        <v>285</v>
      </c>
      <c r="M1" s="101" t="s">
        <v>286</v>
      </c>
    </row>
    <row r="2" hidden="1">
      <c r="A2" s="102"/>
      <c r="B2" s="102"/>
      <c r="C2" s="51"/>
      <c r="D2" s="156"/>
      <c r="E2" s="102"/>
      <c r="F2" s="104"/>
      <c r="G2" s="55" t="s">
        <v>1093</v>
      </c>
      <c r="I2" s="104"/>
      <c r="J2" s="89"/>
      <c r="K2" s="71"/>
      <c r="L2" s="106" t="str">
        <f>IF(ISBLANK(J2), "", VLOOKUP(C2, 'Info Tipo de Cambio y REM'!$A$24:$B$35, 2, FALSE))</f>
        <v/>
      </c>
      <c r="M2" s="107" t="str">
        <f t="shared" ref="M2:M403" si="1">IFERROR(IF(NOT(ISBLANK(J2)), J2 / L2, IF(NOT(ISBLANK(K2)), K2, "")), "")
</f>
        <v/>
      </c>
    </row>
    <row r="3" hidden="1">
      <c r="A3" s="102"/>
      <c r="B3" s="102"/>
      <c r="C3" s="51" t="s">
        <v>155</v>
      </c>
      <c r="D3" s="156">
        <v>2025.0</v>
      </c>
      <c r="E3" s="43" t="s">
        <v>371</v>
      </c>
      <c r="F3" s="122">
        <v>45413.0</v>
      </c>
      <c r="G3" s="121" t="s">
        <v>373</v>
      </c>
      <c r="H3" s="421" t="s">
        <v>372</v>
      </c>
      <c r="I3" s="104"/>
      <c r="J3" s="123">
        <v>96000.0</v>
      </c>
      <c r="K3" s="242"/>
      <c r="L3" s="106" t="str">
        <f>IF(ISBLANK(J3), "", VLOOKUP(C3, 'Info Tipo de Cambio y REM'!$A$24:$B$35, 2, FALSE))</f>
        <v>#N/A</v>
      </c>
      <c r="M3" s="107" t="str">
        <f t="shared" si="1"/>
        <v/>
      </c>
    </row>
    <row r="4" hidden="1">
      <c r="A4" s="102"/>
      <c r="B4" s="102"/>
      <c r="C4" s="51" t="s">
        <v>155</v>
      </c>
      <c r="D4" s="156">
        <v>2025.0</v>
      </c>
      <c r="E4" s="43" t="s">
        <v>371</v>
      </c>
      <c r="F4" s="122">
        <v>45848.0</v>
      </c>
      <c r="G4" s="422" t="s">
        <v>633</v>
      </c>
      <c r="H4" s="422" t="s">
        <v>383</v>
      </c>
      <c r="I4" s="423"/>
      <c r="J4" s="424">
        <v>537700.0</v>
      </c>
      <c r="K4" s="242"/>
      <c r="L4" s="106" t="str">
        <f>IF(ISBLANK(J4), "", VLOOKUP(C4, 'Info Tipo de Cambio y REM'!$A$24:$B$35, 2, FALSE))</f>
        <v>#N/A</v>
      </c>
      <c r="M4" s="107" t="str">
        <f t="shared" si="1"/>
        <v/>
      </c>
    </row>
    <row r="5" hidden="1">
      <c r="A5" s="102"/>
      <c r="B5" s="102"/>
      <c r="C5" s="51" t="s">
        <v>155</v>
      </c>
      <c r="D5" s="156">
        <v>2025.0</v>
      </c>
      <c r="E5" s="43" t="s">
        <v>371</v>
      </c>
      <c r="F5" s="122">
        <v>45848.0</v>
      </c>
      <c r="G5" s="422" t="s">
        <v>579</v>
      </c>
      <c r="H5" s="422" t="s">
        <v>391</v>
      </c>
      <c r="I5" s="423"/>
      <c r="J5" s="424">
        <v>671880.0</v>
      </c>
      <c r="K5" s="242"/>
      <c r="L5" s="106" t="str">
        <f>IF(ISBLANK(J5), "", VLOOKUP(C5, 'Info Tipo de Cambio y REM'!$A$24:$B$35, 2, FALSE))</f>
        <v>#N/A</v>
      </c>
      <c r="M5" s="107" t="str">
        <f t="shared" si="1"/>
        <v/>
      </c>
    </row>
    <row r="6" hidden="1">
      <c r="A6" s="102"/>
      <c r="B6" s="102"/>
      <c r="C6" s="51" t="s">
        <v>155</v>
      </c>
      <c r="D6" s="156">
        <v>2025.0</v>
      </c>
      <c r="E6" s="43" t="s">
        <v>371</v>
      </c>
      <c r="F6" s="122">
        <v>45848.0</v>
      </c>
      <c r="G6" s="422" t="s">
        <v>635</v>
      </c>
      <c r="H6" s="422" t="s">
        <v>397</v>
      </c>
      <c r="I6" s="423"/>
      <c r="J6" s="424">
        <v>201120.0</v>
      </c>
      <c r="K6" s="242"/>
      <c r="L6" s="106" t="str">
        <f>IF(ISBLANK(J6), "", VLOOKUP(C6, 'Info Tipo de Cambio y REM'!$A$24:$B$35, 2, FALSE))</f>
        <v>#N/A</v>
      </c>
      <c r="M6" s="107" t="str">
        <f t="shared" si="1"/>
        <v/>
      </c>
    </row>
    <row r="7" hidden="1">
      <c r="A7" s="102"/>
      <c r="B7" s="102"/>
      <c r="C7" s="51" t="s">
        <v>155</v>
      </c>
      <c r="D7" s="156">
        <v>2025.0</v>
      </c>
      <c r="E7" s="43" t="s">
        <v>371</v>
      </c>
      <c r="F7" s="122">
        <v>45848.0</v>
      </c>
      <c r="G7" s="422" t="s">
        <v>636</v>
      </c>
      <c r="H7" s="422" t="s">
        <v>401</v>
      </c>
      <c r="I7" s="423"/>
      <c r="J7" s="424">
        <v>394178.0</v>
      </c>
      <c r="K7" s="242"/>
      <c r="L7" s="106" t="str">
        <f>IF(ISBLANK(J7), "", VLOOKUP(C7, 'Info Tipo de Cambio y REM'!$A$24:$B$35, 2, FALSE))</f>
        <v>#N/A</v>
      </c>
      <c r="M7" s="107" t="str">
        <f t="shared" si="1"/>
        <v/>
      </c>
    </row>
    <row r="8" hidden="1">
      <c r="A8" s="102"/>
      <c r="B8" s="102"/>
      <c r="C8" s="51" t="s">
        <v>155</v>
      </c>
      <c r="D8" s="156">
        <v>2025.0</v>
      </c>
      <c r="E8" s="43" t="s">
        <v>371</v>
      </c>
      <c r="F8" s="122">
        <v>45848.0</v>
      </c>
      <c r="G8" s="422" t="s">
        <v>386</v>
      </c>
      <c r="H8" s="422" t="s">
        <v>413</v>
      </c>
      <c r="I8" s="423"/>
      <c r="J8" s="424">
        <v>22829.0</v>
      </c>
      <c r="K8" s="242"/>
      <c r="L8" s="106" t="str">
        <f>IF(ISBLANK(J8), "", VLOOKUP(C8, 'Info Tipo de Cambio y REM'!$A$24:$B$35, 2, FALSE))</f>
        <v>#N/A</v>
      </c>
      <c r="M8" s="107" t="str">
        <f t="shared" si="1"/>
        <v/>
      </c>
    </row>
    <row r="9" hidden="1">
      <c r="A9" s="102"/>
      <c r="B9" s="102"/>
      <c r="C9" s="51" t="s">
        <v>155</v>
      </c>
      <c r="D9" s="156">
        <v>2025.0</v>
      </c>
      <c r="E9" s="43" t="s">
        <v>371</v>
      </c>
      <c r="F9" s="122">
        <v>45848.0</v>
      </c>
      <c r="G9" s="422" t="s">
        <v>639</v>
      </c>
      <c r="H9" s="422" t="s">
        <v>504</v>
      </c>
      <c r="I9" s="423"/>
      <c r="J9" s="424">
        <v>408375.0</v>
      </c>
      <c r="K9" s="242"/>
      <c r="L9" s="106" t="str">
        <f>IF(ISBLANK(J9), "", VLOOKUP(C9, 'Info Tipo de Cambio y REM'!$A$24:$B$35, 2, FALSE))</f>
        <v>#N/A</v>
      </c>
      <c r="M9" s="107" t="str">
        <f t="shared" si="1"/>
        <v/>
      </c>
    </row>
    <row r="10" hidden="1">
      <c r="A10" s="102"/>
      <c r="B10" s="102"/>
      <c r="C10" s="51" t="s">
        <v>155</v>
      </c>
      <c r="D10" s="156">
        <v>2025.0</v>
      </c>
      <c r="E10" s="43" t="s">
        <v>371</v>
      </c>
      <c r="F10" s="122">
        <v>45845.0</v>
      </c>
      <c r="G10" s="422" t="s">
        <v>641</v>
      </c>
      <c r="H10" s="422" t="s">
        <v>407</v>
      </c>
      <c r="I10" s="423"/>
      <c r="J10" s="424">
        <v>250356.0</v>
      </c>
      <c r="K10" s="242"/>
      <c r="L10" s="106" t="str">
        <f>IF(ISBLANK(J10), "", VLOOKUP(C10, 'Info Tipo de Cambio y REM'!$A$24:$B$35, 2, FALSE))</f>
        <v>#N/A</v>
      </c>
      <c r="M10" s="107" t="str">
        <f t="shared" si="1"/>
        <v/>
      </c>
    </row>
    <row r="11" hidden="1">
      <c r="A11" s="102"/>
      <c r="B11" s="102"/>
      <c r="C11" s="51" t="s">
        <v>155</v>
      </c>
      <c r="D11" s="156">
        <v>2025.0</v>
      </c>
      <c r="E11" s="43" t="s">
        <v>371</v>
      </c>
      <c r="F11" s="122">
        <v>45848.0</v>
      </c>
      <c r="G11" s="422" t="s">
        <v>642</v>
      </c>
      <c r="H11" s="422" t="s">
        <v>409</v>
      </c>
      <c r="I11" s="423"/>
      <c r="J11" s="424">
        <v>750055.0</v>
      </c>
      <c r="K11" s="242"/>
      <c r="L11" s="106" t="str">
        <f>IF(ISBLANK(J11), "", VLOOKUP(C11, 'Info Tipo de Cambio y REM'!$A$24:$B$35, 2, FALSE))</f>
        <v>#N/A</v>
      </c>
      <c r="M11" s="107" t="str">
        <f t="shared" si="1"/>
        <v/>
      </c>
    </row>
    <row r="12" hidden="1">
      <c r="A12" s="102"/>
      <c r="B12" s="102"/>
      <c r="C12" s="51" t="s">
        <v>155</v>
      </c>
      <c r="D12" s="156">
        <v>2025.0</v>
      </c>
      <c r="E12" s="43" t="s">
        <v>371</v>
      </c>
      <c r="F12" s="122">
        <v>45848.0</v>
      </c>
      <c r="G12" s="422" t="s">
        <v>1094</v>
      </c>
      <c r="H12" s="422" t="s">
        <v>575</v>
      </c>
      <c r="I12" s="423"/>
      <c r="J12" s="424">
        <v>802040.0</v>
      </c>
      <c r="K12" s="242"/>
      <c r="L12" s="106" t="str">
        <f>IF(ISBLANK(J12), "", VLOOKUP(C12, 'Info Tipo de Cambio y REM'!$A$24:$B$35, 2, FALSE))</f>
        <v>#N/A</v>
      </c>
      <c r="M12" s="107" t="str">
        <f t="shared" si="1"/>
        <v/>
      </c>
    </row>
    <row r="13" hidden="1">
      <c r="A13" s="102"/>
      <c r="B13" s="102"/>
      <c r="C13" s="51" t="s">
        <v>155</v>
      </c>
      <c r="D13" s="156">
        <v>2025.0</v>
      </c>
      <c r="E13" s="43" t="s">
        <v>371</v>
      </c>
      <c r="F13" s="122">
        <v>45848.0</v>
      </c>
      <c r="G13" s="422" t="s">
        <v>645</v>
      </c>
      <c r="H13" s="422" t="s">
        <v>644</v>
      </c>
      <c r="I13" s="423"/>
      <c r="J13" s="424">
        <v>674500.0</v>
      </c>
      <c r="K13" s="242"/>
      <c r="L13" s="106" t="str">
        <f>IF(ISBLANK(J13), "", VLOOKUP(C13, 'Info Tipo de Cambio y REM'!$A$24:$B$35, 2, FALSE))</f>
        <v>#N/A</v>
      </c>
      <c r="M13" s="107" t="str">
        <f t="shared" si="1"/>
        <v/>
      </c>
    </row>
    <row r="14" hidden="1">
      <c r="A14" s="102"/>
      <c r="B14" s="102"/>
      <c r="C14" s="51" t="s">
        <v>155</v>
      </c>
      <c r="D14" s="156">
        <v>2025.0</v>
      </c>
      <c r="E14" s="43" t="s">
        <v>371</v>
      </c>
      <c r="F14" s="122">
        <v>45845.0</v>
      </c>
      <c r="G14" s="422" t="s">
        <v>628</v>
      </c>
      <c r="H14" s="422" t="s">
        <v>629</v>
      </c>
      <c r="I14" s="423"/>
      <c r="J14" s="424">
        <v>392090.0</v>
      </c>
      <c r="K14" s="242"/>
      <c r="L14" s="106" t="str">
        <f>IF(ISBLANK(J14), "", VLOOKUP(C14, 'Info Tipo de Cambio y REM'!$A$24:$B$35, 2, FALSE))</f>
        <v>#N/A</v>
      </c>
      <c r="M14" s="107" t="str">
        <f t="shared" si="1"/>
        <v/>
      </c>
    </row>
    <row r="15" hidden="1">
      <c r="A15" s="102"/>
      <c r="B15" s="102"/>
      <c r="C15" s="51" t="s">
        <v>155</v>
      </c>
      <c r="D15" s="156">
        <v>2025.0</v>
      </c>
      <c r="E15" s="43" t="s">
        <v>371</v>
      </c>
      <c r="F15" s="122">
        <v>45845.0</v>
      </c>
      <c r="G15" s="422" t="s">
        <v>630</v>
      </c>
      <c r="H15" s="422" t="s">
        <v>566</v>
      </c>
      <c r="I15" s="423"/>
      <c r="J15" s="424">
        <v>60123.0</v>
      </c>
      <c r="K15" s="242"/>
      <c r="L15" s="106" t="str">
        <f>IF(ISBLANK(J15), "", VLOOKUP(C15, 'Info Tipo de Cambio y REM'!$A$24:$B$35, 2, FALSE))</f>
        <v>#N/A</v>
      </c>
      <c r="M15" s="107" t="str">
        <f t="shared" si="1"/>
        <v/>
      </c>
    </row>
    <row r="16" hidden="1">
      <c r="A16" s="102"/>
      <c r="B16" s="102"/>
      <c r="C16" s="51" t="s">
        <v>155</v>
      </c>
      <c r="D16" s="156">
        <v>2025.0</v>
      </c>
      <c r="E16" s="43" t="s">
        <v>371</v>
      </c>
      <c r="F16" s="122">
        <v>45845.0</v>
      </c>
      <c r="G16" s="422" t="s">
        <v>631</v>
      </c>
      <c r="H16" s="422" t="s">
        <v>379</v>
      </c>
      <c r="I16" s="423"/>
      <c r="J16" s="424">
        <v>401555.0</v>
      </c>
      <c r="K16" s="242"/>
      <c r="L16" s="106" t="str">
        <f>IF(ISBLANK(J16), "", VLOOKUP(C16, 'Info Tipo de Cambio y REM'!$A$24:$B$35, 2, FALSE))</f>
        <v>#N/A</v>
      </c>
      <c r="M16" s="107" t="str">
        <f t="shared" si="1"/>
        <v/>
      </c>
    </row>
    <row r="17" hidden="1">
      <c r="A17" s="102"/>
      <c r="B17" s="102"/>
      <c r="C17" s="51" t="s">
        <v>155</v>
      </c>
      <c r="D17" s="156">
        <v>2025.0</v>
      </c>
      <c r="E17" s="43" t="s">
        <v>371</v>
      </c>
      <c r="F17" s="122">
        <v>45845.0</v>
      </c>
      <c r="G17" s="422" t="s">
        <v>632</v>
      </c>
      <c r="H17" s="422" t="s">
        <v>381</v>
      </c>
      <c r="I17" s="423"/>
      <c r="J17" s="424">
        <v>338952.0</v>
      </c>
      <c r="K17" s="242"/>
      <c r="L17" s="106" t="str">
        <f>IF(ISBLANK(J17), "", VLOOKUP(C17, 'Info Tipo de Cambio y REM'!$A$24:$B$35, 2, FALSE))</f>
        <v>#N/A</v>
      </c>
      <c r="M17" s="107" t="str">
        <f t="shared" si="1"/>
        <v/>
      </c>
    </row>
    <row r="18" hidden="1">
      <c r="A18" s="102"/>
      <c r="B18" s="102"/>
      <c r="C18" s="51" t="s">
        <v>155</v>
      </c>
      <c r="D18" s="156">
        <v>2025.0</v>
      </c>
      <c r="E18" s="43" t="s">
        <v>371</v>
      </c>
      <c r="F18" s="122">
        <v>45845.0</v>
      </c>
      <c r="G18" s="422" t="s">
        <v>573</v>
      </c>
      <c r="H18" s="422" t="s">
        <v>387</v>
      </c>
      <c r="I18" s="423"/>
      <c r="J18" s="424">
        <v>281174.0</v>
      </c>
      <c r="K18" s="242"/>
      <c r="L18" s="106" t="str">
        <f>IF(ISBLANK(J18), "", VLOOKUP(C18, 'Info Tipo de Cambio y REM'!$A$24:$B$35, 2, FALSE))</f>
        <v>#N/A</v>
      </c>
      <c r="M18" s="107" t="str">
        <f t="shared" si="1"/>
        <v/>
      </c>
    </row>
    <row r="19" hidden="1">
      <c r="A19" s="102"/>
      <c r="B19" s="102"/>
      <c r="C19" s="51" t="s">
        <v>155</v>
      </c>
      <c r="D19" s="156">
        <v>2025.0</v>
      </c>
      <c r="E19" s="43" t="s">
        <v>371</v>
      </c>
      <c r="F19" s="122">
        <v>45845.0</v>
      </c>
      <c r="G19" s="422" t="s">
        <v>634</v>
      </c>
      <c r="H19" s="422" t="s">
        <v>389</v>
      </c>
      <c r="I19" s="423"/>
      <c r="J19" s="424">
        <v>245242.0</v>
      </c>
      <c r="K19" s="242"/>
      <c r="L19" s="106" t="str">
        <f>IF(ISBLANK(J19), "", VLOOKUP(C19, 'Info Tipo de Cambio y REM'!$A$24:$B$35, 2, FALSE))</f>
        <v>#N/A</v>
      </c>
      <c r="M19" s="107" t="str">
        <f t="shared" si="1"/>
        <v/>
      </c>
    </row>
    <row r="20" hidden="1">
      <c r="A20" s="102"/>
      <c r="B20" s="102"/>
      <c r="C20" s="51" t="s">
        <v>155</v>
      </c>
      <c r="D20" s="156">
        <v>2025.0</v>
      </c>
      <c r="E20" s="43" t="s">
        <v>371</v>
      </c>
      <c r="F20" s="122">
        <v>45845.0</v>
      </c>
      <c r="G20" s="422" t="s">
        <v>637</v>
      </c>
      <c r="H20" s="422" t="s">
        <v>403</v>
      </c>
      <c r="I20" s="423"/>
      <c r="J20" s="424">
        <v>251466.0</v>
      </c>
      <c r="K20" s="242"/>
      <c r="L20" s="106" t="str">
        <f>IF(ISBLANK(J20), "", VLOOKUP(C20, 'Info Tipo de Cambio y REM'!$A$24:$B$35, 2, FALSE))</f>
        <v>#N/A</v>
      </c>
      <c r="M20" s="107" t="str">
        <f t="shared" si="1"/>
        <v/>
      </c>
    </row>
    <row r="21" hidden="1">
      <c r="A21" s="102"/>
      <c r="B21" s="102"/>
      <c r="C21" s="51" t="s">
        <v>155</v>
      </c>
      <c r="D21" s="156">
        <v>2025.0</v>
      </c>
      <c r="E21" s="43" t="s">
        <v>371</v>
      </c>
      <c r="F21" s="122">
        <v>45845.0</v>
      </c>
      <c r="G21" s="422" t="s">
        <v>638</v>
      </c>
      <c r="H21" s="422" t="s">
        <v>577</v>
      </c>
      <c r="I21" s="423"/>
      <c r="J21" s="424">
        <v>183868.0</v>
      </c>
      <c r="K21" s="242"/>
      <c r="L21" s="106" t="str">
        <f>IF(ISBLANK(J21), "", VLOOKUP(C21, 'Info Tipo de Cambio y REM'!$A$24:$B$35, 2, FALSE))</f>
        <v>#N/A</v>
      </c>
      <c r="M21" s="107" t="str">
        <f t="shared" si="1"/>
        <v/>
      </c>
    </row>
    <row r="22" hidden="1">
      <c r="A22" s="102"/>
      <c r="B22" s="102"/>
      <c r="C22" s="51" t="s">
        <v>155</v>
      </c>
      <c r="D22" s="156">
        <v>2025.0</v>
      </c>
      <c r="E22" s="43" t="s">
        <v>371</v>
      </c>
      <c r="F22" s="122">
        <v>45845.0</v>
      </c>
      <c r="G22" s="422" t="s">
        <v>640</v>
      </c>
      <c r="H22" s="422" t="s">
        <v>580</v>
      </c>
      <c r="I22" s="423"/>
      <c r="J22" s="424">
        <v>164136.0</v>
      </c>
      <c r="K22" s="242"/>
      <c r="L22" s="106" t="str">
        <f>IF(ISBLANK(J22), "", VLOOKUP(C22, 'Info Tipo de Cambio y REM'!$A$24:$B$35, 2, FALSE))</f>
        <v>#N/A</v>
      </c>
      <c r="M22" s="107" t="str">
        <f t="shared" si="1"/>
        <v/>
      </c>
    </row>
    <row r="23" hidden="1">
      <c r="A23" s="102"/>
      <c r="B23" s="102"/>
      <c r="C23" s="51" t="s">
        <v>155</v>
      </c>
      <c r="D23" s="156">
        <v>2025.0</v>
      </c>
      <c r="E23" s="43" t="s">
        <v>371</v>
      </c>
      <c r="F23" s="122">
        <v>45845.0</v>
      </c>
      <c r="G23" s="422" t="s">
        <v>643</v>
      </c>
      <c r="H23" s="422" t="s">
        <v>411</v>
      </c>
      <c r="I23" s="423"/>
      <c r="J23" s="424">
        <v>232403.0</v>
      </c>
      <c r="K23" s="242"/>
      <c r="L23" s="106" t="str">
        <f>IF(ISBLANK(J23), "", VLOOKUP(C23, 'Info Tipo de Cambio y REM'!$A$24:$B$35, 2, FALSE))</f>
        <v>#N/A</v>
      </c>
      <c r="M23" s="107" t="str">
        <f t="shared" si="1"/>
        <v/>
      </c>
    </row>
    <row r="24" hidden="1">
      <c r="A24" s="102"/>
      <c r="B24" s="102"/>
      <c r="C24" s="51" t="s">
        <v>155</v>
      </c>
      <c r="D24" s="156">
        <v>2025.0</v>
      </c>
      <c r="E24" s="43" t="s">
        <v>371</v>
      </c>
      <c r="F24" s="122">
        <v>45845.0</v>
      </c>
      <c r="G24" s="422" t="s">
        <v>509</v>
      </c>
      <c r="H24" s="422" t="s">
        <v>377</v>
      </c>
      <c r="I24" s="423"/>
      <c r="J24" s="424">
        <v>284750.0</v>
      </c>
      <c r="K24" s="242"/>
      <c r="L24" s="106" t="str">
        <f>IF(ISBLANK(J24), "", VLOOKUP(C24, 'Info Tipo de Cambio y REM'!$A$24:$B$35, 2, FALSE))</f>
        <v>#N/A</v>
      </c>
      <c r="M24" s="107" t="str">
        <f t="shared" si="1"/>
        <v/>
      </c>
    </row>
    <row r="25" hidden="1">
      <c r="A25" s="133"/>
      <c r="B25" s="102"/>
      <c r="C25" s="51" t="s">
        <v>155</v>
      </c>
      <c r="D25" s="156">
        <v>2025.0</v>
      </c>
      <c r="E25" s="43" t="s">
        <v>371</v>
      </c>
      <c r="F25" s="122">
        <v>45845.0</v>
      </c>
      <c r="G25" s="422" t="s">
        <v>647</v>
      </c>
      <c r="H25" s="422" t="s">
        <v>646</v>
      </c>
      <c r="I25" s="423"/>
      <c r="J25" s="424">
        <v>515961.0</v>
      </c>
      <c r="K25" s="242"/>
      <c r="L25" s="106" t="str">
        <f>IF(ISBLANK(J25), "", VLOOKUP(C25, 'Info Tipo de Cambio y REM'!$A$24:$B$35, 2, FALSE))</f>
        <v>#N/A</v>
      </c>
      <c r="M25" s="107" t="str">
        <f t="shared" si="1"/>
        <v/>
      </c>
    </row>
    <row r="26" hidden="1">
      <c r="A26" s="102"/>
      <c r="B26" s="102"/>
      <c r="C26" s="51" t="s">
        <v>155</v>
      </c>
      <c r="D26" s="156">
        <v>2025.0</v>
      </c>
      <c r="E26" s="43" t="s">
        <v>371</v>
      </c>
      <c r="F26" s="122">
        <v>45536.0</v>
      </c>
      <c r="G26" s="425"/>
      <c r="H26" s="421" t="s">
        <v>417</v>
      </c>
      <c r="I26" s="104"/>
      <c r="J26" s="242"/>
      <c r="K26" s="123">
        <v>4050.0</v>
      </c>
      <c r="L26" s="106" t="str">
        <f>IF(ISBLANK(J26), "", VLOOKUP(C26, 'Info Tipo de Cambio y REM'!$A$24:$B$35, 2, FALSE))</f>
        <v/>
      </c>
      <c r="M26" s="107">
        <f t="shared" si="1"/>
        <v>4050</v>
      </c>
    </row>
    <row r="27" hidden="1">
      <c r="A27" s="102"/>
      <c r="B27" s="102"/>
      <c r="C27" s="51" t="s">
        <v>155</v>
      </c>
      <c r="D27" s="156">
        <v>2025.0</v>
      </c>
      <c r="E27" s="43" t="s">
        <v>371</v>
      </c>
      <c r="F27" s="122">
        <v>45838.0</v>
      </c>
      <c r="G27" s="121" t="s">
        <v>648</v>
      </c>
      <c r="H27" s="421" t="s">
        <v>418</v>
      </c>
      <c r="I27" s="104"/>
      <c r="J27" s="242"/>
      <c r="K27" s="123">
        <v>600.0</v>
      </c>
      <c r="L27" s="106" t="str">
        <f>IF(ISBLANK(J27), "", VLOOKUP(C27, 'Info Tipo de Cambio y REM'!$A$24:$B$35, 2, FALSE))</f>
        <v/>
      </c>
      <c r="M27" s="107">
        <f t="shared" si="1"/>
        <v>600</v>
      </c>
    </row>
    <row r="28" hidden="1">
      <c r="A28" s="102"/>
      <c r="B28" s="102"/>
      <c r="C28" s="51" t="s">
        <v>155</v>
      </c>
      <c r="D28" s="156">
        <v>2025.0</v>
      </c>
      <c r="E28" s="43" t="s">
        <v>371</v>
      </c>
      <c r="F28" s="122">
        <v>45868.0</v>
      </c>
      <c r="G28" s="422" t="s">
        <v>1095</v>
      </c>
      <c r="H28" s="422" t="s">
        <v>418</v>
      </c>
      <c r="I28" s="423"/>
      <c r="J28" s="426"/>
      <c r="K28" s="424">
        <v>600.0</v>
      </c>
      <c r="L28" s="106" t="str">
        <f>IF(ISBLANK(J28), "", VLOOKUP(C28, 'Info Tipo de Cambio y REM'!$A$24:$B$35, 2, FALSE))</f>
        <v/>
      </c>
      <c r="M28" s="107">
        <f t="shared" si="1"/>
        <v>600</v>
      </c>
    </row>
    <row r="29" hidden="1">
      <c r="A29" s="102"/>
      <c r="B29" s="102"/>
      <c r="C29" s="51" t="s">
        <v>155</v>
      </c>
      <c r="D29" s="156">
        <v>2025.0</v>
      </c>
      <c r="E29" s="43" t="s">
        <v>371</v>
      </c>
      <c r="F29" s="122">
        <v>45787.0</v>
      </c>
      <c r="G29" s="425"/>
      <c r="H29" s="421" t="s">
        <v>1096</v>
      </c>
      <c r="I29" s="104"/>
      <c r="J29" s="123">
        <v>49230.0</v>
      </c>
      <c r="K29" s="242"/>
      <c r="L29" s="106" t="str">
        <f>IF(ISBLANK(J29), "", VLOOKUP(C29, 'Info Tipo de Cambio y REM'!$A$24:$B$35, 2, FALSE))</f>
        <v>#N/A</v>
      </c>
      <c r="M29" s="107" t="str">
        <f t="shared" si="1"/>
        <v/>
      </c>
    </row>
    <row r="30" hidden="1">
      <c r="A30" s="102"/>
      <c r="B30" s="102"/>
      <c r="C30" s="51" t="s">
        <v>155</v>
      </c>
      <c r="D30" s="156">
        <v>2025.0</v>
      </c>
      <c r="E30" s="43" t="s">
        <v>371</v>
      </c>
      <c r="F30" s="122">
        <v>45818.0</v>
      </c>
      <c r="G30" s="425"/>
      <c r="H30" s="422" t="s">
        <v>1097</v>
      </c>
      <c r="I30" s="423"/>
      <c r="J30" s="424">
        <v>59568.0</v>
      </c>
      <c r="K30" s="242"/>
      <c r="L30" s="106" t="str">
        <f>IF(ISBLANK(J30), "", VLOOKUP(C30, 'Info Tipo de Cambio y REM'!$A$24:$B$35, 2, FALSE))</f>
        <v>#N/A</v>
      </c>
      <c r="M30" s="107" t="str">
        <f t="shared" si="1"/>
        <v/>
      </c>
    </row>
    <row r="31" hidden="1">
      <c r="A31" s="102"/>
      <c r="B31" s="102"/>
      <c r="C31" s="51" t="s">
        <v>155</v>
      </c>
      <c r="D31" s="156">
        <v>2025.0</v>
      </c>
      <c r="E31" s="43" t="s">
        <v>371</v>
      </c>
      <c r="F31" s="122">
        <v>45856.0</v>
      </c>
      <c r="G31" s="425"/>
      <c r="H31" s="422" t="s">
        <v>1098</v>
      </c>
      <c r="I31" s="423"/>
      <c r="J31" s="424">
        <v>111382.0</v>
      </c>
      <c r="K31" s="242"/>
      <c r="L31" s="106" t="str">
        <f>IF(ISBLANK(J31), "", VLOOKUP(C31, 'Info Tipo de Cambio y REM'!$A$24:$B$35, 2, FALSE))</f>
        <v>#N/A</v>
      </c>
      <c r="M31" s="107" t="str">
        <f t="shared" si="1"/>
        <v/>
      </c>
    </row>
    <row r="32" hidden="1">
      <c r="A32" s="102"/>
      <c r="B32" s="102"/>
      <c r="C32" s="51" t="s">
        <v>155</v>
      </c>
      <c r="D32" s="156">
        <v>2025.0</v>
      </c>
      <c r="E32" s="43" t="s">
        <v>371</v>
      </c>
      <c r="F32" s="122">
        <v>45856.0</v>
      </c>
      <c r="G32" s="425"/>
      <c r="H32" s="422" t="s">
        <v>1099</v>
      </c>
      <c r="I32" s="423"/>
      <c r="J32" s="424">
        <v>337214.0</v>
      </c>
      <c r="K32" s="242"/>
      <c r="L32" s="106" t="str">
        <f>IF(ISBLANK(J32), "", VLOOKUP(C32, 'Info Tipo de Cambio y REM'!$A$24:$B$35, 2, FALSE))</f>
        <v>#N/A</v>
      </c>
      <c r="M32" s="107" t="str">
        <f t="shared" si="1"/>
        <v/>
      </c>
    </row>
    <row r="33" hidden="1">
      <c r="A33" s="102"/>
      <c r="B33" s="102"/>
      <c r="C33" s="51" t="s">
        <v>155</v>
      </c>
      <c r="D33" s="156">
        <v>2025.0</v>
      </c>
      <c r="E33" s="43" t="s">
        <v>371</v>
      </c>
      <c r="F33" s="122">
        <v>45860.0</v>
      </c>
      <c r="G33" s="425"/>
      <c r="H33" s="422" t="s">
        <v>1100</v>
      </c>
      <c r="I33" s="423"/>
      <c r="J33" s="424">
        <v>1835920.0</v>
      </c>
      <c r="K33" s="242"/>
      <c r="L33" s="106" t="str">
        <f>IF(ISBLANK(J33), "", VLOOKUP(C33, 'Info Tipo de Cambio y REM'!$A$24:$B$35, 2, FALSE))</f>
        <v>#N/A</v>
      </c>
      <c r="M33" s="107" t="str">
        <f t="shared" si="1"/>
        <v/>
      </c>
    </row>
    <row r="34" hidden="1">
      <c r="A34" s="102"/>
      <c r="B34" s="102"/>
      <c r="C34" s="51" t="s">
        <v>155</v>
      </c>
      <c r="D34" s="156">
        <v>2025.0</v>
      </c>
      <c r="E34" s="43" t="s">
        <v>371</v>
      </c>
      <c r="F34" s="122">
        <v>45843.0</v>
      </c>
      <c r="G34" s="425"/>
      <c r="H34" s="422" t="s">
        <v>1101</v>
      </c>
      <c r="I34" s="423"/>
      <c r="J34" s="426"/>
      <c r="K34" s="242"/>
      <c r="L34" s="106" t="str">
        <f>IF(ISBLANK(J34), "", VLOOKUP(C34, 'Info Tipo de Cambio y REM'!$A$24:$B$35, 2, FALSE))</f>
        <v/>
      </c>
      <c r="M34" s="107" t="str">
        <f t="shared" si="1"/>
        <v/>
      </c>
    </row>
    <row r="35" hidden="1">
      <c r="A35" s="102"/>
      <c r="B35" s="102"/>
      <c r="C35" s="51" t="s">
        <v>155</v>
      </c>
      <c r="D35" s="156">
        <v>2025.0</v>
      </c>
      <c r="E35" s="43" t="s">
        <v>371</v>
      </c>
      <c r="F35" s="122">
        <v>45843.0</v>
      </c>
      <c r="G35" s="425"/>
      <c r="H35" s="422" t="s">
        <v>1102</v>
      </c>
      <c r="I35" s="423"/>
      <c r="J35" s="424">
        <v>4910000.0</v>
      </c>
      <c r="K35" s="242"/>
      <c r="L35" s="106" t="str">
        <f>IF(ISBLANK(J35), "", VLOOKUP(C35, 'Info Tipo de Cambio y REM'!$A$24:$B$35, 2, FALSE))</f>
        <v>#N/A</v>
      </c>
      <c r="M35" s="107" t="str">
        <f t="shared" si="1"/>
        <v/>
      </c>
    </row>
    <row r="36">
      <c r="A36" s="102"/>
      <c r="B36" s="102"/>
      <c r="C36" s="51" t="s">
        <v>161</v>
      </c>
      <c r="D36" s="156">
        <v>2025.0</v>
      </c>
      <c r="E36" s="43" t="s">
        <v>371</v>
      </c>
      <c r="F36" s="122">
        <v>45413.0</v>
      </c>
      <c r="G36" s="121" t="s">
        <v>373</v>
      </c>
      <c r="H36" s="421" t="s">
        <v>372</v>
      </c>
      <c r="I36" s="104"/>
      <c r="J36" s="123">
        <v>96000.0</v>
      </c>
      <c r="K36" s="242"/>
      <c r="L36" s="106" t="str">
        <f>IF(ISBLANK(J36), "", VLOOKUP(C36, 'Info Tipo de Cambio y REM'!$A$24:$B$35, 2, FALSE))</f>
        <v>#N/A</v>
      </c>
      <c r="M36" s="107" t="str">
        <f t="shared" si="1"/>
        <v/>
      </c>
      <c r="N36" s="165"/>
      <c r="Q36" s="89">
        <v>919.79</v>
      </c>
    </row>
    <row r="37">
      <c r="A37" s="102"/>
      <c r="B37" s="102"/>
      <c r="C37" s="51" t="s">
        <v>161</v>
      </c>
      <c r="D37" s="156">
        <v>2025.0</v>
      </c>
      <c r="E37" s="43" t="s">
        <v>371</v>
      </c>
      <c r="F37" s="122">
        <v>45870.0</v>
      </c>
      <c r="G37" s="425"/>
      <c r="H37" s="422" t="s">
        <v>671</v>
      </c>
      <c r="I37" s="104"/>
      <c r="J37" s="123">
        <v>142317.0</v>
      </c>
      <c r="K37" s="242"/>
      <c r="L37" s="106" t="str">
        <f>IF(ISBLANK(J37), "", VLOOKUP(C37, 'Info Tipo de Cambio y REM'!$A$24:$B$35, 2, FALSE))</f>
        <v>#N/A</v>
      </c>
      <c r="M37" s="107" t="str">
        <f t="shared" si="1"/>
        <v/>
      </c>
      <c r="N37" s="165" t="s">
        <v>649</v>
      </c>
      <c r="O37" s="165" t="s">
        <v>650</v>
      </c>
      <c r="Q37" s="89">
        <v>14.82</v>
      </c>
    </row>
    <row r="38">
      <c r="A38" s="102"/>
      <c r="B38" s="102"/>
      <c r="C38" s="51" t="s">
        <v>161</v>
      </c>
      <c r="D38" s="156">
        <v>2025.0</v>
      </c>
      <c r="E38" s="43" t="s">
        <v>371</v>
      </c>
      <c r="F38" s="122">
        <v>45870.0</v>
      </c>
      <c r="G38" s="121" t="s">
        <v>589</v>
      </c>
      <c r="H38" s="422" t="s">
        <v>672</v>
      </c>
      <c r="I38" s="104"/>
      <c r="J38" s="123">
        <v>221400.0</v>
      </c>
      <c r="K38" s="242"/>
      <c r="L38" s="106" t="str">
        <f>IF(ISBLANK(J38), "", VLOOKUP(C38, 'Info Tipo de Cambio y REM'!$A$24:$B$35, 2, FALSE))</f>
        <v>#N/A</v>
      </c>
      <c r="M38" s="107" t="str">
        <f t="shared" si="1"/>
        <v/>
      </c>
      <c r="N38" s="165" t="s">
        <v>649</v>
      </c>
      <c r="O38" s="165" t="s">
        <v>651</v>
      </c>
      <c r="Q38" s="89">
        <v>633.6</v>
      </c>
    </row>
    <row r="39">
      <c r="A39" s="102"/>
      <c r="B39" s="102"/>
      <c r="C39" s="51" t="s">
        <v>161</v>
      </c>
      <c r="D39" s="156">
        <v>2025.0</v>
      </c>
      <c r="E39" s="43" t="s">
        <v>371</v>
      </c>
      <c r="F39" s="122">
        <v>45870.0</v>
      </c>
      <c r="G39" s="121" t="s">
        <v>674</v>
      </c>
      <c r="H39" s="422" t="s">
        <v>673</v>
      </c>
      <c r="I39" s="104"/>
      <c r="J39" s="123">
        <v>20000.0</v>
      </c>
      <c r="K39" s="242"/>
      <c r="L39" s="106" t="str">
        <f>IF(ISBLANK(J39), "", VLOOKUP(C39, 'Info Tipo de Cambio y REM'!$A$24:$B$35, 2, FALSE))</f>
        <v>#N/A</v>
      </c>
      <c r="M39" s="107" t="str">
        <f t="shared" si="1"/>
        <v/>
      </c>
      <c r="N39" s="165" t="s">
        <v>649</v>
      </c>
      <c r="O39" s="165" t="s">
        <v>652</v>
      </c>
      <c r="Q39" s="89">
        <v>6.91</v>
      </c>
    </row>
    <row r="40">
      <c r="A40" s="102"/>
      <c r="B40" s="102"/>
      <c r="C40" s="51" t="s">
        <v>161</v>
      </c>
      <c r="D40" s="156">
        <v>2025.0</v>
      </c>
      <c r="E40" s="43" t="s">
        <v>371</v>
      </c>
      <c r="F40" s="122">
        <v>45870.0</v>
      </c>
      <c r="G40" s="121" t="s">
        <v>458</v>
      </c>
      <c r="H40" s="422" t="s">
        <v>675</v>
      </c>
      <c r="I40" s="104"/>
      <c r="J40" s="123">
        <v>132000.0</v>
      </c>
      <c r="K40" s="242"/>
      <c r="L40" s="106" t="str">
        <f>IF(ISBLANK(J40), "", VLOOKUP(C40, 'Info Tipo de Cambio y REM'!$A$24:$B$35, 2, FALSE))</f>
        <v>#N/A</v>
      </c>
      <c r="M40" s="107" t="str">
        <f t="shared" si="1"/>
        <v/>
      </c>
      <c r="N40" s="165" t="s">
        <v>649</v>
      </c>
      <c r="O40" s="165" t="s">
        <v>653</v>
      </c>
      <c r="Q40" s="89">
        <v>11.0</v>
      </c>
    </row>
    <row r="41">
      <c r="A41" s="102"/>
      <c r="B41" s="102"/>
      <c r="C41" s="51" t="s">
        <v>161</v>
      </c>
      <c r="D41" s="156">
        <v>2025.0</v>
      </c>
      <c r="E41" s="43" t="s">
        <v>371</v>
      </c>
      <c r="F41" s="122">
        <v>45870.0</v>
      </c>
      <c r="G41" s="121" t="s">
        <v>676</v>
      </c>
      <c r="H41" s="422" t="s">
        <v>566</v>
      </c>
      <c r="I41" s="104"/>
      <c r="J41" s="242"/>
      <c r="K41" s="123">
        <v>1141.0</v>
      </c>
      <c r="L41" s="106" t="str">
        <f>IF(ISBLANK(J41), "", VLOOKUP(C41, 'Info Tipo de Cambio y REM'!$A$24:$B$35, 2, FALSE))</f>
        <v/>
      </c>
      <c r="M41" s="107">
        <f t="shared" si="1"/>
        <v>1141</v>
      </c>
      <c r="N41" s="165" t="s">
        <v>649</v>
      </c>
      <c r="O41" s="165" t="s">
        <v>654</v>
      </c>
      <c r="Q41" s="89">
        <v>14.19</v>
      </c>
    </row>
    <row r="42">
      <c r="A42" s="102"/>
      <c r="B42" s="102"/>
      <c r="C42" s="51" t="s">
        <v>161</v>
      </c>
      <c r="D42" s="156">
        <v>2025.0</v>
      </c>
      <c r="E42" s="43" t="s">
        <v>371</v>
      </c>
      <c r="F42" s="122">
        <v>45870.0</v>
      </c>
      <c r="G42" s="121" t="s">
        <v>677</v>
      </c>
      <c r="H42" s="422" t="s">
        <v>389</v>
      </c>
      <c r="I42" s="104"/>
      <c r="J42" s="242"/>
      <c r="K42" s="123">
        <v>614.0</v>
      </c>
      <c r="L42" s="106" t="str">
        <f>IF(ISBLANK(J42), "", VLOOKUP(C42, 'Info Tipo de Cambio y REM'!$A$24:$B$35, 2, FALSE))</f>
        <v/>
      </c>
      <c r="M42" s="107">
        <f t="shared" si="1"/>
        <v>614</v>
      </c>
      <c r="N42" s="165" t="s">
        <v>649</v>
      </c>
      <c r="O42" s="165" t="s">
        <v>655</v>
      </c>
      <c r="Q42" s="89">
        <v>507.4</v>
      </c>
    </row>
    <row r="43">
      <c r="A43" s="102"/>
      <c r="B43" s="102"/>
      <c r="C43" s="51" t="s">
        <v>161</v>
      </c>
      <c r="D43" s="156">
        <v>2025.0</v>
      </c>
      <c r="E43" s="43" t="s">
        <v>371</v>
      </c>
      <c r="F43" s="122">
        <v>45870.0</v>
      </c>
      <c r="G43" s="121" t="s">
        <v>678</v>
      </c>
      <c r="H43" s="422" t="s">
        <v>387</v>
      </c>
      <c r="I43" s="104"/>
      <c r="J43" s="242"/>
      <c r="K43" s="123">
        <v>2722.0</v>
      </c>
      <c r="L43" s="106" t="str">
        <f>IF(ISBLANK(J43), "", VLOOKUP(C43, 'Info Tipo de Cambio y REM'!$A$24:$B$35, 2, FALSE))</f>
        <v/>
      </c>
      <c r="M43" s="107">
        <f t="shared" si="1"/>
        <v>2722</v>
      </c>
      <c r="N43" s="165" t="s">
        <v>649</v>
      </c>
      <c r="O43" s="83" t="s">
        <v>656</v>
      </c>
      <c r="Q43" s="214">
        <v>22.99</v>
      </c>
    </row>
    <row r="44">
      <c r="A44" s="102"/>
      <c r="B44" s="102"/>
      <c r="C44" s="51" t="s">
        <v>161</v>
      </c>
      <c r="D44" s="156">
        <v>2025.0</v>
      </c>
      <c r="E44" s="43" t="s">
        <v>371</v>
      </c>
      <c r="F44" s="122">
        <v>45870.0</v>
      </c>
      <c r="G44" s="121" t="s">
        <v>676</v>
      </c>
      <c r="H44" s="422" t="s">
        <v>379</v>
      </c>
      <c r="I44" s="104"/>
      <c r="J44" s="242"/>
      <c r="K44" s="123">
        <v>1366.0</v>
      </c>
      <c r="L44" s="106" t="str">
        <f>IF(ISBLANK(J44), "", VLOOKUP(C44, 'Info Tipo de Cambio y REM'!$A$24:$B$35, 2, FALSE))</f>
        <v/>
      </c>
      <c r="M44" s="107">
        <f t="shared" si="1"/>
        <v>1366</v>
      </c>
      <c r="N44" s="165" t="s">
        <v>649</v>
      </c>
      <c r="O44" s="83" t="s">
        <v>657</v>
      </c>
      <c r="Q44" s="214">
        <v>20.0</v>
      </c>
    </row>
    <row r="45">
      <c r="A45" s="102"/>
      <c r="B45" s="102"/>
      <c r="C45" s="51" t="s">
        <v>161</v>
      </c>
      <c r="D45" s="156">
        <v>2025.0</v>
      </c>
      <c r="E45" s="43" t="s">
        <v>371</v>
      </c>
      <c r="F45" s="122">
        <v>45870.0</v>
      </c>
      <c r="G45" s="121" t="s">
        <v>676</v>
      </c>
      <c r="H45" s="422" t="s">
        <v>403</v>
      </c>
      <c r="I45" s="104"/>
      <c r="J45" s="242"/>
      <c r="K45" s="123">
        <v>1412.0</v>
      </c>
      <c r="L45" s="106" t="str">
        <f>IF(ISBLANK(J45), "", VLOOKUP(C45, 'Info Tipo de Cambio y REM'!$A$24:$B$35, 2, FALSE))</f>
        <v/>
      </c>
      <c r="M45" s="107">
        <f t="shared" si="1"/>
        <v>1412</v>
      </c>
      <c r="N45" s="165" t="s">
        <v>649</v>
      </c>
      <c r="O45" s="83" t="s">
        <v>658</v>
      </c>
      <c r="Q45" s="214">
        <v>6.49</v>
      </c>
    </row>
    <row r="46">
      <c r="A46" s="102"/>
      <c r="B46" s="102"/>
      <c r="C46" s="51" t="s">
        <v>161</v>
      </c>
      <c r="D46" s="156">
        <v>2025.0</v>
      </c>
      <c r="E46" s="43" t="s">
        <v>371</v>
      </c>
      <c r="F46" s="122">
        <v>45870.0</v>
      </c>
      <c r="G46" s="121" t="s">
        <v>679</v>
      </c>
      <c r="H46" s="422" t="s">
        <v>580</v>
      </c>
      <c r="I46" s="104"/>
      <c r="J46" s="242"/>
      <c r="K46" s="123">
        <v>1313.0</v>
      </c>
      <c r="L46" s="106" t="str">
        <f>IF(ISBLANK(J46), "", VLOOKUP(C46, 'Info Tipo de Cambio y REM'!$A$24:$B$35, 2, FALSE))</f>
        <v/>
      </c>
      <c r="M46" s="107">
        <f t="shared" si="1"/>
        <v>1313</v>
      </c>
      <c r="N46" s="165" t="s">
        <v>649</v>
      </c>
      <c r="O46" s="83" t="s">
        <v>659</v>
      </c>
      <c r="Q46" s="214">
        <v>29.0</v>
      </c>
    </row>
    <row r="47">
      <c r="A47" s="102"/>
      <c r="B47" s="102"/>
      <c r="C47" s="51" t="s">
        <v>161</v>
      </c>
      <c r="D47" s="156">
        <v>2025.0</v>
      </c>
      <c r="E47" s="43" t="s">
        <v>371</v>
      </c>
      <c r="F47" s="122">
        <v>45870.0</v>
      </c>
      <c r="G47" s="121" t="s">
        <v>676</v>
      </c>
      <c r="H47" s="422" t="s">
        <v>450</v>
      </c>
      <c r="I47" s="104"/>
      <c r="J47" s="242"/>
      <c r="K47" s="123">
        <v>1978.0</v>
      </c>
      <c r="L47" s="106" t="str">
        <f>IF(ISBLANK(J47), "", VLOOKUP(C47, 'Info Tipo de Cambio y REM'!$A$24:$B$35, 2, FALSE))</f>
        <v/>
      </c>
      <c r="M47" s="107">
        <f t="shared" si="1"/>
        <v>1978</v>
      </c>
      <c r="N47" s="165" t="s">
        <v>649</v>
      </c>
      <c r="O47" s="83" t="s">
        <v>660</v>
      </c>
      <c r="Q47" s="214">
        <v>132.72</v>
      </c>
    </row>
    <row r="48">
      <c r="A48" s="102"/>
      <c r="B48" s="102"/>
      <c r="C48" s="51" t="s">
        <v>161</v>
      </c>
      <c r="D48" s="156">
        <v>2025.0</v>
      </c>
      <c r="E48" s="43" t="s">
        <v>371</v>
      </c>
      <c r="F48" s="122">
        <v>45870.0</v>
      </c>
      <c r="G48" s="121" t="s">
        <v>676</v>
      </c>
      <c r="H48" s="422" t="s">
        <v>577</v>
      </c>
      <c r="I48" s="104"/>
      <c r="J48" s="242"/>
      <c r="K48" s="123">
        <v>1526.0</v>
      </c>
      <c r="L48" s="106" t="str">
        <f>IF(ISBLANK(J48), "", VLOOKUP(C48, 'Info Tipo de Cambio y REM'!$A$24:$B$35, 2, FALSE))</f>
        <v/>
      </c>
      <c r="M48" s="107">
        <f t="shared" si="1"/>
        <v>1526</v>
      </c>
      <c r="N48" s="215" t="s">
        <v>661</v>
      </c>
      <c r="O48" s="63" t="s">
        <v>662</v>
      </c>
      <c r="P48" s="215">
        <v>143990.0</v>
      </c>
      <c r="Q48" s="71"/>
    </row>
    <row r="49">
      <c r="A49" s="102"/>
      <c r="B49" s="102"/>
      <c r="C49" s="51" t="s">
        <v>161</v>
      </c>
      <c r="D49" s="156">
        <v>2025.0</v>
      </c>
      <c r="E49" s="43" t="s">
        <v>371</v>
      </c>
      <c r="F49" s="122">
        <v>45870.0</v>
      </c>
      <c r="G49" s="121" t="s">
        <v>676</v>
      </c>
      <c r="H49" s="422" t="s">
        <v>411</v>
      </c>
      <c r="I49" s="104"/>
      <c r="J49" s="242"/>
      <c r="K49" s="123">
        <v>1791.0</v>
      </c>
      <c r="L49" s="106" t="str">
        <f>IF(ISBLANK(J49), "", VLOOKUP(C49, 'Info Tipo de Cambio y REM'!$A$24:$B$35, 2, FALSE))</f>
        <v/>
      </c>
      <c r="M49" s="107">
        <f t="shared" si="1"/>
        <v>1791</v>
      </c>
      <c r="N49" s="217" t="s">
        <v>663</v>
      </c>
      <c r="O49" s="217" t="s">
        <v>577</v>
      </c>
      <c r="P49" s="218">
        <v>72726.0</v>
      </c>
      <c r="Q49" s="71"/>
    </row>
    <row r="50">
      <c r="A50" s="102"/>
      <c r="B50" s="102"/>
      <c r="C50" s="51" t="s">
        <v>161</v>
      </c>
      <c r="D50" s="156">
        <v>2025.0</v>
      </c>
      <c r="E50" s="43" t="s">
        <v>371</v>
      </c>
      <c r="F50" s="122">
        <v>45870.0</v>
      </c>
      <c r="G50" s="121" t="s">
        <v>678</v>
      </c>
      <c r="H50" s="422" t="s">
        <v>680</v>
      </c>
      <c r="I50" s="104"/>
      <c r="J50" s="242"/>
      <c r="K50" s="123">
        <v>1429.0</v>
      </c>
      <c r="L50" s="106" t="str">
        <f>IF(ISBLANK(J50), "", VLOOKUP(C50, 'Info Tipo de Cambio y REM'!$A$24:$B$35, 2, FALSE))</f>
        <v/>
      </c>
      <c r="M50" s="107">
        <f t="shared" si="1"/>
        <v>1429</v>
      </c>
      <c r="N50" s="165" t="s">
        <v>664</v>
      </c>
      <c r="P50" s="89">
        <v>161500.0</v>
      </c>
      <c r="Q50" s="71"/>
    </row>
    <row r="51">
      <c r="A51" s="102"/>
      <c r="B51" s="102"/>
      <c r="C51" s="51" t="s">
        <v>161</v>
      </c>
      <c r="D51" s="156">
        <v>2025.0</v>
      </c>
      <c r="E51" s="43" t="s">
        <v>371</v>
      </c>
      <c r="F51" s="122">
        <v>45870.0</v>
      </c>
      <c r="G51" s="121" t="s">
        <v>551</v>
      </c>
      <c r="H51" s="422" t="s">
        <v>681</v>
      </c>
      <c r="I51" s="104"/>
      <c r="J51" s="242"/>
      <c r="K51" s="123">
        <v>614.0</v>
      </c>
      <c r="L51" s="106" t="str">
        <f>IF(ISBLANK(J51), "", VLOOKUP(C51, 'Info Tipo de Cambio y REM'!$A$24:$B$35, 2, FALSE))</f>
        <v/>
      </c>
      <c r="M51" s="107">
        <f t="shared" si="1"/>
        <v>614</v>
      </c>
      <c r="N51" s="83" t="s">
        <v>665</v>
      </c>
      <c r="Q51" s="123">
        <v>20.0</v>
      </c>
    </row>
    <row r="52">
      <c r="A52" s="102"/>
      <c r="B52" s="102"/>
      <c r="C52" s="51" t="s">
        <v>161</v>
      </c>
      <c r="D52" s="156">
        <v>2025.0</v>
      </c>
      <c r="E52" s="43" t="s">
        <v>371</v>
      </c>
      <c r="F52" s="122">
        <v>45870.0</v>
      </c>
      <c r="G52" s="121" t="s">
        <v>682</v>
      </c>
      <c r="H52" s="422" t="s">
        <v>458</v>
      </c>
      <c r="I52" s="104"/>
      <c r="J52" s="242"/>
      <c r="K52" s="123">
        <v>2200.0</v>
      </c>
      <c r="L52" s="106" t="str">
        <f>IF(ISBLANK(J52), "", VLOOKUP(C52, 'Info Tipo de Cambio y REM'!$A$24:$B$35, 2, FALSE))</f>
        <v/>
      </c>
      <c r="M52" s="107">
        <f t="shared" si="1"/>
        <v>2200</v>
      </c>
      <c r="N52" s="83" t="s">
        <v>666</v>
      </c>
      <c r="Q52" s="123">
        <v>5.0</v>
      </c>
    </row>
    <row r="53">
      <c r="A53" s="102"/>
      <c r="B53" s="102"/>
      <c r="C53" s="51" t="s">
        <v>161</v>
      </c>
      <c r="D53" s="156">
        <v>2025.0</v>
      </c>
      <c r="E53" s="43" t="s">
        <v>371</v>
      </c>
      <c r="F53" s="122">
        <v>45870.0</v>
      </c>
      <c r="G53" s="121" t="s">
        <v>551</v>
      </c>
      <c r="H53" s="422" t="s">
        <v>683</v>
      </c>
      <c r="I53" s="104"/>
      <c r="J53" s="242"/>
      <c r="K53" s="123">
        <v>1500.0</v>
      </c>
      <c r="L53" s="106" t="str">
        <f>IF(ISBLANK(J53), "", VLOOKUP(C53, 'Info Tipo de Cambio y REM'!$A$24:$B$35, 2, FALSE))</f>
        <v/>
      </c>
      <c r="M53" s="107">
        <f t="shared" si="1"/>
        <v>1500</v>
      </c>
      <c r="N53" s="83" t="s">
        <v>667</v>
      </c>
      <c r="Q53" s="123">
        <v>22.52</v>
      </c>
    </row>
    <row r="54">
      <c r="A54" s="102"/>
      <c r="B54" s="102"/>
      <c r="C54" s="51" t="s">
        <v>161</v>
      </c>
      <c r="D54" s="156">
        <v>2025.0</v>
      </c>
      <c r="E54" s="43" t="s">
        <v>371</v>
      </c>
      <c r="F54" s="122">
        <v>45890.0</v>
      </c>
      <c r="G54" s="425"/>
      <c r="H54" s="422" t="s">
        <v>684</v>
      </c>
      <c r="I54" s="104"/>
      <c r="J54" s="123">
        <v>2012802.0</v>
      </c>
      <c r="K54" s="242"/>
      <c r="L54" s="106" t="str">
        <f>IF(ISBLANK(J54), "", VLOOKUP(C54, 'Info Tipo de Cambio y REM'!$A$24:$B$35, 2, FALSE))</f>
        <v>#N/A</v>
      </c>
      <c r="M54" s="107" t="str">
        <f t="shared" si="1"/>
        <v/>
      </c>
      <c r="N54" s="83" t="s">
        <v>668</v>
      </c>
      <c r="Q54" s="123">
        <v>45.0</v>
      </c>
    </row>
    <row r="55">
      <c r="A55" s="102"/>
      <c r="B55" s="102"/>
      <c r="C55" s="51" t="s">
        <v>161</v>
      </c>
      <c r="D55" s="156">
        <v>2025.0</v>
      </c>
      <c r="E55" s="43" t="s">
        <v>371</v>
      </c>
      <c r="F55" s="122">
        <v>45887.0</v>
      </c>
      <c r="G55" s="425"/>
      <c r="H55" s="422" t="s">
        <v>685</v>
      </c>
      <c r="I55" s="104"/>
      <c r="J55" s="123">
        <v>369970.0</v>
      </c>
      <c r="K55" s="242"/>
      <c r="L55" s="106" t="str">
        <f>IF(ISBLANK(J55), "", VLOOKUP(C55, 'Info Tipo de Cambio y REM'!$A$24:$B$35, 2, FALSE))</f>
        <v>#N/A</v>
      </c>
      <c r="M55" s="107" t="str">
        <f t="shared" si="1"/>
        <v/>
      </c>
      <c r="N55" s="83" t="s">
        <v>669</v>
      </c>
      <c r="Q55" s="123">
        <v>29.99</v>
      </c>
    </row>
    <row r="56">
      <c r="A56" s="102"/>
      <c r="B56" s="102"/>
      <c r="C56" s="51" t="s">
        <v>161</v>
      </c>
      <c r="D56" s="156">
        <v>2025.0</v>
      </c>
      <c r="E56" s="43" t="s">
        <v>371</v>
      </c>
      <c r="F56" s="122">
        <v>45910.0</v>
      </c>
      <c r="G56" s="189"/>
      <c r="H56" s="422" t="s">
        <v>1103</v>
      </c>
      <c r="I56" s="104"/>
      <c r="J56" s="123">
        <v>71341.0</v>
      </c>
      <c r="K56" s="242"/>
      <c r="L56" s="106" t="str">
        <f>IF(ISBLANK(J56), "", VLOOKUP(C56, 'Info Tipo de Cambio y REM'!$A$24:$B$35, 2, FALSE))</f>
        <v>#N/A</v>
      </c>
      <c r="M56" s="107" t="str">
        <f t="shared" si="1"/>
        <v/>
      </c>
      <c r="N56" s="83" t="s">
        <v>670</v>
      </c>
      <c r="Q56" s="123">
        <v>502.07</v>
      </c>
    </row>
    <row r="57">
      <c r="A57" s="102"/>
      <c r="B57" s="102"/>
      <c r="C57" s="51" t="s">
        <v>161</v>
      </c>
      <c r="D57" s="156">
        <v>2025.0</v>
      </c>
      <c r="E57" s="43" t="s">
        <v>371</v>
      </c>
      <c r="F57" s="122">
        <v>45879.0</v>
      </c>
      <c r="G57" s="189"/>
      <c r="H57" s="422" t="s">
        <v>689</v>
      </c>
      <c r="I57" s="104"/>
      <c r="J57" s="123">
        <v>4910000.0</v>
      </c>
      <c r="K57" s="242"/>
      <c r="L57" s="106" t="str">
        <f>IF(ISBLANK(J57), "", VLOOKUP(C57, 'Info Tipo de Cambio y REM'!$A$24:$B$35, 2, FALSE))</f>
        <v>#N/A</v>
      </c>
      <c r="M57" s="107" t="str">
        <f t="shared" si="1"/>
        <v/>
      </c>
      <c r="N57" s="427" t="s">
        <v>671</v>
      </c>
      <c r="P57" s="89">
        <v>142317.48</v>
      </c>
      <c r="Q57" s="71"/>
    </row>
    <row r="58">
      <c r="A58" s="102"/>
      <c r="B58" s="102"/>
      <c r="C58" s="51" t="s">
        <v>161</v>
      </c>
      <c r="D58" s="156">
        <v>2025.0</v>
      </c>
      <c r="E58" s="43" t="s">
        <v>371</v>
      </c>
      <c r="F58" s="122">
        <v>45870.0</v>
      </c>
      <c r="G58" s="189"/>
      <c r="H58" s="422" t="s">
        <v>690</v>
      </c>
      <c r="I58" s="104"/>
      <c r="J58" s="123">
        <v>118200.0</v>
      </c>
      <c r="K58" s="242"/>
      <c r="L58" s="106" t="str">
        <f>IF(ISBLANK(J58), "", VLOOKUP(C58, 'Info Tipo de Cambio y REM'!$A$24:$B$35, 2, FALSE))</f>
        <v>#N/A</v>
      </c>
      <c r="M58" s="107" t="str">
        <f t="shared" si="1"/>
        <v/>
      </c>
      <c r="N58" s="427" t="s">
        <v>672</v>
      </c>
      <c r="O58" s="43" t="s">
        <v>589</v>
      </c>
      <c r="P58" s="89">
        <v>221400.0</v>
      </c>
      <c r="Q58" s="71"/>
    </row>
    <row r="59">
      <c r="A59" s="102"/>
      <c r="B59" s="102"/>
      <c r="C59" s="51" t="s">
        <v>161</v>
      </c>
      <c r="D59" s="156">
        <v>2025.0</v>
      </c>
      <c r="E59" s="43" t="s">
        <v>371</v>
      </c>
      <c r="F59" s="428"/>
      <c r="G59" s="189"/>
      <c r="H59" s="421" t="s">
        <v>417</v>
      </c>
      <c r="I59" s="104"/>
      <c r="J59" s="242"/>
      <c r="K59" s="123">
        <v>4050.0</v>
      </c>
      <c r="L59" s="106" t="str">
        <f>IF(ISBLANK(J59), "", VLOOKUP(C59, 'Info Tipo de Cambio y REM'!$A$24:$B$35, 2, FALSE))</f>
        <v/>
      </c>
      <c r="M59" s="107">
        <f t="shared" si="1"/>
        <v>4050</v>
      </c>
      <c r="N59" s="427" t="s">
        <v>673</v>
      </c>
      <c r="O59" s="43" t="s">
        <v>674</v>
      </c>
      <c r="P59" s="89">
        <v>20000.0</v>
      </c>
      <c r="Q59" s="71"/>
    </row>
    <row r="60">
      <c r="A60" s="102"/>
      <c r="B60" s="102"/>
      <c r="C60" s="51" t="s">
        <v>161</v>
      </c>
      <c r="D60" s="156">
        <v>2025.0</v>
      </c>
      <c r="E60" s="43" t="s">
        <v>371</v>
      </c>
      <c r="F60" s="122">
        <v>45879.0</v>
      </c>
      <c r="G60" s="189"/>
      <c r="H60" s="421" t="s">
        <v>698</v>
      </c>
      <c r="I60" s="104"/>
      <c r="J60" s="123">
        <v>59568.0</v>
      </c>
      <c r="K60" s="242"/>
      <c r="L60" s="106" t="str">
        <f>IF(ISBLANK(J60), "", VLOOKUP(C60, 'Info Tipo de Cambio y REM'!$A$24:$B$35, 2, FALSE))</f>
        <v>#N/A</v>
      </c>
      <c r="M60" s="107" t="str">
        <f t="shared" si="1"/>
        <v/>
      </c>
      <c r="N60" s="427" t="s">
        <v>675</v>
      </c>
      <c r="O60" s="43" t="s">
        <v>458</v>
      </c>
      <c r="P60" s="89">
        <v>132000.0</v>
      </c>
      <c r="Q60" s="71"/>
    </row>
    <row r="61">
      <c r="A61" s="102"/>
      <c r="B61" s="102"/>
      <c r="C61" s="51" t="s">
        <v>161</v>
      </c>
      <c r="D61" s="156">
        <v>2025.0</v>
      </c>
      <c r="E61" s="43" t="s">
        <v>371</v>
      </c>
      <c r="F61" s="122">
        <v>45870.0</v>
      </c>
      <c r="G61" s="189"/>
      <c r="H61" s="421" t="s">
        <v>627</v>
      </c>
      <c r="I61" s="104"/>
      <c r="J61" s="123">
        <v>4591021.0</v>
      </c>
      <c r="K61" s="242"/>
      <c r="L61" s="106" t="str">
        <f>IF(ISBLANK(J61), "", VLOOKUP(C61, 'Info Tipo de Cambio y REM'!$A$24:$B$35, 2, FALSE))</f>
        <v>#N/A</v>
      </c>
      <c r="M61" s="107" t="str">
        <f t="shared" si="1"/>
        <v/>
      </c>
      <c r="N61" s="429" t="s">
        <v>566</v>
      </c>
      <c r="O61" s="43" t="s">
        <v>676</v>
      </c>
      <c r="Q61" s="89">
        <v>1141.0</v>
      </c>
    </row>
    <row r="62">
      <c r="A62" s="102"/>
      <c r="B62" s="102"/>
      <c r="C62" s="51" t="s">
        <v>161</v>
      </c>
      <c r="D62" s="156">
        <v>2025.0</v>
      </c>
      <c r="E62" s="43" t="s">
        <v>371</v>
      </c>
      <c r="F62" s="122">
        <v>45870.0</v>
      </c>
      <c r="G62" s="189"/>
      <c r="H62" s="422" t="s">
        <v>1104</v>
      </c>
      <c r="I62" s="104"/>
      <c r="J62" s="242"/>
      <c r="K62" s="123">
        <v>820.0</v>
      </c>
      <c r="L62" s="106" t="str">
        <f>IF(ISBLANK(J62), "", VLOOKUP(C62, 'Info Tipo de Cambio y REM'!$A$24:$B$35, 2, FALSE))</f>
        <v/>
      </c>
      <c r="M62" s="107">
        <f t="shared" si="1"/>
        <v>820</v>
      </c>
      <c r="N62" s="429" t="s">
        <v>389</v>
      </c>
      <c r="O62" s="43" t="s">
        <v>677</v>
      </c>
      <c r="Q62" s="89">
        <v>614.0</v>
      </c>
    </row>
    <row r="63">
      <c r="A63" s="102"/>
      <c r="B63" s="102"/>
      <c r="C63" s="51" t="s">
        <v>161</v>
      </c>
      <c r="D63" s="156">
        <v>2025.0</v>
      </c>
      <c r="E63" s="43" t="s">
        <v>371</v>
      </c>
      <c r="F63" s="122">
        <v>45870.0</v>
      </c>
      <c r="G63" s="189"/>
      <c r="H63" s="121" t="s">
        <v>1105</v>
      </c>
      <c r="I63" s="104"/>
      <c r="J63" s="242"/>
      <c r="K63" s="123">
        <v>920.0</v>
      </c>
      <c r="L63" s="106" t="str">
        <f>IF(ISBLANK(J63), "", VLOOKUP(C63, 'Info Tipo de Cambio y REM'!$A$24:$B$35, 2, FALSE))</f>
        <v/>
      </c>
      <c r="M63" s="107">
        <f t="shared" si="1"/>
        <v>920</v>
      </c>
      <c r="N63" s="429" t="s">
        <v>387</v>
      </c>
      <c r="O63" s="43" t="s">
        <v>678</v>
      </c>
      <c r="Q63" s="89">
        <v>2722.0</v>
      </c>
    </row>
    <row r="64">
      <c r="A64" s="102"/>
      <c r="B64" s="102"/>
      <c r="C64" s="51"/>
      <c r="D64" s="156"/>
      <c r="E64" s="102"/>
      <c r="F64" s="104"/>
      <c r="G64" s="158"/>
      <c r="I64" s="104"/>
      <c r="J64" s="89"/>
      <c r="K64" s="89"/>
      <c r="L64" s="106" t="str">
        <f>IF(ISBLANK(J64), "", VLOOKUP(C64, 'Info Tipo de Cambio y REM'!$A$24:$B$35, 2, FALSE))</f>
        <v/>
      </c>
      <c r="M64" s="107" t="str">
        <f t="shared" si="1"/>
        <v/>
      </c>
      <c r="N64" s="429" t="s">
        <v>379</v>
      </c>
      <c r="O64" s="43" t="s">
        <v>676</v>
      </c>
      <c r="Q64" s="89">
        <v>1366.0</v>
      </c>
    </row>
    <row r="65">
      <c r="A65" s="133"/>
      <c r="B65" s="102"/>
      <c r="C65" s="141"/>
      <c r="D65" s="157"/>
      <c r="E65" s="102"/>
      <c r="F65" s="104"/>
      <c r="G65" s="55"/>
      <c r="I65" s="104"/>
      <c r="J65" s="89"/>
      <c r="K65" s="89"/>
      <c r="L65" s="106" t="str">
        <f>IF(ISBLANK(J65), "", VLOOKUP(C65, 'Info Tipo de Cambio y REM'!$A$24:$B$35, 2, FALSE))</f>
        <v/>
      </c>
      <c r="M65" s="107" t="str">
        <f t="shared" si="1"/>
        <v/>
      </c>
      <c r="N65" s="429" t="s">
        <v>403</v>
      </c>
      <c r="O65" s="43" t="s">
        <v>676</v>
      </c>
      <c r="Q65" s="89">
        <v>1412.0</v>
      </c>
    </row>
    <row r="66">
      <c r="A66" s="102"/>
      <c r="B66" s="102"/>
      <c r="C66" s="51"/>
      <c r="D66" s="156"/>
      <c r="E66" s="102"/>
      <c r="F66" s="104"/>
      <c r="G66" s="55"/>
      <c r="I66" s="104"/>
      <c r="J66" s="89"/>
      <c r="K66" s="71"/>
      <c r="L66" s="106" t="str">
        <f>IF(ISBLANK(J66), "", VLOOKUP(C66, 'Info Tipo de Cambio y REM'!$A$24:$B$35, 2, FALSE))</f>
        <v/>
      </c>
      <c r="M66" s="107" t="str">
        <f t="shared" si="1"/>
        <v/>
      </c>
      <c r="N66" s="429" t="s">
        <v>580</v>
      </c>
      <c r="O66" s="43" t="s">
        <v>679</v>
      </c>
      <c r="Q66" s="89">
        <v>1313.0</v>
      </c>
    </row>
    <row r="67">
      <c r="A67" s="102"/>
      <c r="B67" s="102"/>
      <c r="C67" s="51"/>
      <c r="D67" s="156"/>
      <c r="E67" s="102"/>
      <c r="F67" s="104"/>
      <c r="G67" s="55"/>
      <c r="I67" s="104"/>
      <c r="J67" s="89"/>
      <c r="K67" s="71"/>
      <c r="L67" s="106" t="str">
        <f>IF(ISBLANK(J67), "", VLOOKUP(C67, 'Info Tipo de Cambio y REM'!$A$24:$B$35, 2, FALSE))</f>
        <v/>
      </c>
      <c r="M67" s="107" t="str">
        <f t="shared" si="1"/>
        <v/>
      </c>
      <c r="N67" s="429" t="s">
        <v>450</v>
      </c>
      <c r="O67" s="43" t="s">
        <v>676</v>
      </c>
      <c r="Q67" s="89">
        <v>1978.0</v>
      </c>
    </row>
    <row r="68">
      <c r="A68" s="102"/>
      <c r="B68" s="102"/>
      <c r="C68" s="51"/>
      <c r="D68" s="156"/>
      <c r="E68" s="102"/>
      <c r="F68" s="104"/>
      <c r="G68" s="55"/>
      <c r="I68" s="104"/>
      <c r="J68" s="89"/>
      <c r="K68" s="71"/>
      <c r="L68" s="106" t="str">
        <f>IF(ISBLANK(J68), "", VLOOKUP(C68, 'Info Tipo de Cambio y REM'!$A$24:$B$35, 2, FALSE))</f>
        <v/>
      </c>
      <c r="M68" s="107" t="str">
        <f t="shared" si="1"/>
        <v/>
      </c>
      <c r="N68" s="429" t="s">
        <v>577</v>
      </c>
      <c r="O68" s="43" t="s">
        <v>676</v>
      </c>
      <c r="Q68" s="89">
        <v>1526.0</v>
      </c>
    </row>
    <row r="69">
      <c r="A69" s="102"/>
      <c r="B69" s="102"/>
      <c r="C69" s="51"/>
      <c r="D69" s="156"/>
      <c r="E69" s="102"/>
      <c r="F69" s="104"/>
      <c r="G69" s="55"/>
      <c r="I69" s="104"/>
      <c r="J69" s="89"/>
      <c r="K69" s="71"/>
      <c r="L69" s="106" t="str">
        <f>IF(ISBLANK(J69), "", VLOOKUP(C69, 'Info Tipo de Cambio y REM'!$A$24:$B$35, 2, FALSE))</f>
        <v/>
      </c>
      <c r="M69" s="107" t="str">
        <f t="shared" si="1"/>
        <v/>
      </c>
      <c r="N69" s="398" t="s">
        <v>411</v>
      </c>
      <c r="O69" s="43" t="s">
        <v>676</v>
      </c>
      <c r="Q69" s="89">
        <v>1791.0</v>
      </c>
    </row>
    <row r="70">
      <c r="A70" s="102"/>
      <c r="B70" s="102"/>
      <c r="C70" s="51"/>
      <c r="D70" s="156"/>
      <c r="E70" s="102"/>
      <c r="F70" s="104"/>
      <c r="G70" s="55"/>
      <c r="I70" s="104"/>
      <c r="J70" s="89"/>
      <c r="K70" s="71"/>
      <c r="L70" s="106" t="str">
        <f>IF(ISBLANK(J70), "", VLOOKUP(C70, 'Info Tipo de Cambio y REM'!$A$24:$B$35, 2, FALSE))</f>
        <v/>
      </c>
      <c r="M70" s="107" t="str">
        <f t="shared" si="1"/>
        <v/>
      </c>
      <c r="N70" s="430" t="s">
        <v>680</v>
      </c>
      <c r="O70" s="43" t="s">
        <v>678</v>
      </c>
      <c r="Q70" s="89">
        <v>1429.0</v>
      </c>
    </row>
    <row r="71">
      <c r="A71" s="102"/>
      <c r="B71" s="102"/>
      <c r="C71" s="51"/>
      <c r="D71" s="156"/>
      <c r="E71" s="102"/>
      <c r="F71" s="104"/>
      <c r="G71" s="55"/>
      <c r="I71" s="104"/>
      <c r="J71" s="89"/>
      <c r="K71" s="71"/>
      <c r="L71" s="106" t="str">
        <f>IF(ISBLANK(J71), "", VLOOKUP(C71, 'Info Tipo de Cambio y REM'!$A$24:$B$35, 2, FALSE))</f>
        <v/>
      </c>
      <c r="M71" s="107" t="str">
        <f t="shared" si="1"/>
        <v/>
      </c>
      <c r="N71" s="398" t="s">
        <v>681</v>
      </c>
      <c r="O71" s="43" t="s">
        <v>551</v>
      </c>
      <c r="Q71" s="89">
        <v>614.0</v>
      </c>
    </row>
    <row r="72">
      <c r="A72" s="102"/>
      <c r="B72" s="102"/>
      <c r="C72" s="51"/>
      <c r="D72" s="156"/>
      <c r="E72" s="102"/>
      <c r="F72" s="104"/>
      <c r="G72" s="55"/>
      <c r="I72" s="104"/>
      <c r="J72" s="89"/>
      <c r="K72" s="71"/>
      <c r="L72" s="106" t="str">
        <f>IF(ISBLANK(J72), "", VLOOKUP(C72, 'Info Tipo de Cambio y REM'!$A$24:$B$35, 2, FALSE))</f>
        <v/>
      </c>
      <c r="M72" s="107" t="str">
        <f t="shared" si="1"/>
        <v/>
      </c>
      <c r="N72" s="430" t="s">
        <v>458</v>
      </c>
      <c r="O72" s="43" t="s">
        <v>682</v>
      </c>
      <c r="Q72" s="89">
        <v>2200.0</v>
      </c>
    </row>
    <row r="73">
      <c r="A73" s="102"/>
      <c r="B73" s="102"/>
      <c r="C73" s="51"/>
      <c r="D73" s="156"/>
      <c r="E73" s="102"/>
      <c r="F73" s="104"/>
      <c r="G73" s="55"/>
      <c r="I73" s="104"/>
      <c r="J73" s="89"/>
      <c r="K73" s="71"/>
      <c r="L73" s="106" t="str">
        <f>IF(ISBLANK(J73), "", VLOOKUP(C73, 'Info Tipo de Cambio y REM'!$A$24:$B$35, 2, FALSE))</f>
        <v/>
      </c>
      <c r="M73" s="107" t="str">
        <f t="shared" si="1"/>
        <v/>
      </c>
      <c r="N73" s="398" t="s">
        <v>683</v>
      </c>
      <c r="O73" s="43" t="s">
        <v>551</v>
      </c>
      <c r="Q73" s="89">
        <v>1500.0</v>
      </c>
    </row>
    <row r="74">
      <c r="A74" s="102"/>
      <c r="B74" s="102"/>
      <c r="C74" s="51"/>
      <c r="D74" s="156"/>
      <c r="E74" s="102"/>
      <c r="F74" s="104"/>
      <c r="G74" s="55"/>
      <c r="I74" s="104"/>
      <c r="J74" s="89"/>
      <c r="K74" s="71"/>
      <c r="L74" s="106" t="str">
        <f>IF(ISBLANK(J74), "", VLOOKUP(C74, 'Info Tipo de Cambio y REM'!$A$24:$B$35, 2, FALSE))</f>
        <v/>
      </c>
      <c r="M74" s="107" t="str">
        <f t="shared" si="1"/>
        <v/>
      </c>
      <c r="N74" s="427" t="s">
        <v>684</v>
      </c>
      <c r="O74" s="1"/>
      <c r="P74" s="229">
        <v>2012802.0</v>
      </c>
      <c r="Q74" s="89"/>
    </row>
    <row r="75">
      <c r="A75" s="102"/>
      <c r="B75" s="102"/>
      <c r="C75" s="51"/>
      <c r="D75" s="156"/>
      <c r="E75" s="102"/>
      <c r="F75" s="104"/>
      <c r="G75" s="55"/>
      <c r="I75" s="104"/>
      <c r="J75" s="89"/>
      <c r="K75" s="71"/>
      <c r="L75" s="106" t="str">
        <f>IF(ISBLANK(J75), "", VLOOKUP(C75, 'Info Tipo de Cambio y REM'!$A$24:$B$35, 2, FALSE))</f>
        <v/>
      </c>
      <c r="M75" s="107" t="str">
        <f t="shared" si="1"/>
        <v/>
      </c>
      <c r="N75" s="427" t="s">
        <v>685</v>
      </c>
      <c r="O75" s="1"/>
      <c r="P75" s="229">
        <v>369970.0</v>
      </c>
      <c r="Q75" s="89"/>
    </row>
    <row r="76">
      <c r="A76" s="102"/>
      <c r="B76" s="102"/>
      <c r="C76" s="51"/>
      <c r="D76" s="156"/>
      <c r="E76" s="102"/>
      <c r="F76" s="104"/>
      <c r="G76" s="55"/>
      <c r="I76" s="104"/>
      <c r="J76" s="89"/>
      <c r="K76" s="71"/>
      <c r="L76" s="106" t="str">
        <f>IF(ISBLANK(J76), "", VLOOKUP(C76, 'Info Tipo de Cambio y REM'!$A$24:$B$35, 2, FALSE))</f>
        <v/>
      </c>
      <c r="M76" s="107" t="str">
        <f t="shared" si="1"/>
        <v/>
      </c>
      <c r="N76" s="427" t="s">
        <v>686</v>
      </c>
      <c r="O76" s="1"/>
      <c r="P76" s="229">
        <v>71341.0</v>
      </c>
      <c r="Q76" s="89"/>
    </row>
    <row r="77">
      <c r="A77" s="102"/>
      <c r="B77" s="102"/>
      <c r="C77" s="51"/>
      <c r="D77" s="156"/>
      <c r="E77" s="102"/>
      <c r="F77" s="104"/>
      <c r="G77" s="55"/>
      <c r="I77" s="104"/>
      <c r="J77" s="89"/>
      <c r="K77" s="71"/>
      <c r="L77" s="106" t="str">
        <f>IF(ISBLANK(J77), "", VLOOKUP(C77, 'Info Tipo de Cambio y REM'!$A$24:$B$35, 2, FALSE))</f>
        <v/>
      </c>
      <c r="M77" s="107" t="str">
        <f t="shared" si="1"/>
        <v/>
      </c>
      <c r="N77" s="230" t="s">
        <v>687</v>
      </c>
      <c r="O77" s="156" t="s">
        <v>688</v>
      </c>
      <c r="P77" s="198"/>
      <c r="Q77" s="229">
        <v>725.0</v>
      </c>
    </row>
    <row r="78">
      <c r="A78" s="102"/>
      <c r="B78" s="102"/>
      <c r="C78" s="51"/>
      <c r="D78" s="156"/>
      <c r="E78" s="102"/>
      <c r="F78" s="104"/>
      <c r="G78" s="55"/>
      <c r="I78" s="104"/>
      <c r="J78" s="89"/>
      <c r="K78" s="71"/>
      <c r="L78" s="106" t="str">
        <f>IF(ISBLANK(J78), "", VLOOKUP(C78, 'Info Tipo de Cambio y REM'!$A$24:$B$35, 2, FALSE))</f>
        <v/>
      </c>
      <c r="M78" s="107" t="str">
        <f t="shared" si="1"/>
        <v/>
      </c>
      <c r="N78" s="427" t="s">
        <v>689</v>
      </c>
      <c r="O78" s="1"/>
      <c r="P78" s="89">
        <v>4910000.0</v>
      </c>
      <c r="Q78" s="71"/>
    </row>
    <row r="79">
      <c r="A79" s="102"/>
      <c r="B79" s="102"/>
      <c r="C79" s="51"/>
      <c r="D79" s="156"/>
      <c r="E79" s="102"/>
      <c r="F79" s="104"/>
      <c r="G79" s="55"/>
      <c r="I79" s="104"/>
      <c r="J79" s="89"/>
      <c r="K79" s="71"/>
      <c r="L79" s="106" t="str">
        <f>IF(ISBLANK(J79), "", VLOOKUP(C79, 'Info Tipo de Cambio y REM'!$A$24:$B$35, 2, FALSE))</f>
        <v/>
      </c>
      <c r="M79" s="107" t="str">
        <f t="shared" si="1"/>
        <v/>
      </c>
      <c r="N79" s="431" t="s">
        <v>690</v>
      </c>
      <c r="O79" s="1"/>
      <c r="P79" s="229">
        <v>118200.0</v>
      </c>
      <c r="Q79" s="71"/>
    </row>
    <row r="80">
      <c r="A80" s="102"/>
      <c r="B80" s="102"/>
      <c r="C80" s="51"/>
      <c r="D80" s="156"/>
      <c r="E80" s="102"/>
      <c r="F80" s="104"/>
      <c r="G80" s="55"/>
      <c r="I80" s="104"/>
      <c r="J80" s="89"/>
      <c r="K80" s="71"/>
      <c r="L80" s="106" t="str">
        <f>IF(ISBLANK(J80), "", VLOOKUP(C80, 'Info Tipo de Cambio y REM'!$A$24:$B$35, 2, FALSE))</f>
        <v/>
      </c>
      <c r="M80" s="107" t="str">
        <f t="shared" si="1"/>
        <v/>
      </c>
      <c r="N80" s="83" t="s">
        <v>691</v>
      </c>
      <c r="O80" s="83" t="s">
        <v>692</v>
      </c>
      <c r="P80" s="89"/>
      <c r="Q80" s="71"/>
    </row>
    <row r="81">
      <c r="A81" s="102"/>
      <c r="B81" s="102"/>
      <c r="C81" s="51"/>
      <c r="D81" s="156"/>
      <c r="E81" s="102"/>
      <c r="F81" s="104"/>
      <c r="G81" s="55"/>
      <c r="I81" s="104"/>
      <c r="J81" s="89"/>
      <c r="K81" s="71"/>
      <c r="L81" s="106" t="str">
        <f>IF(ISBLANK(J81), "", VLOOKUP(C81, 'Info Tipo de Cambio y REM'!$A$24:$B$35, 2, FALSE))</f>
        <v/>
      </c>
      <c r="M81" s="107" t="str">
        <f t="shared" si="1"/>
        <v/>
      </c>
      <c r="N81" s="83" t="s">
        <v>691</v>
      </c>
      <c r="O81" s="83" t="s">
        <v>693</v>
      </c>
      <c r="Q81" s="71"/>
    </row>
    <row r="82">
      <c r="A82" s="102"/>
      <c r="B82" s="102"/>
      <c r="C82" s="51"/>
      <c r="D82" s="156"/>
      <c r="E82" s="102"/>
      <c r="F82" s="104"/>
      <c r="G82" s="55"/>
      <c r="I82" s="104"/>
      <c r="J82" s="89"/>
      <c r="K82" s="71"/>
      <c r="L82" s="106" t="str">
        <f>IF(ISBLANK(J82), "", VLOOKUP(C82, 'Info Tipo de Cambio y REM'!$A$24:$B$35, 2, FALSE))</f>
        <v/>
      </c>
      <c r="M82" s="107" t="str">
        <f t="shared" si="1"/>
        <v/>
      </c>
      <c r="N82" s="83" t="s">
        <v>691</v>
      </c>
      <c r="O82" s="83" t="s">
        <v>694</v>
      </c>
      <c r="Q82" s="71"/>
    </row>
    <row r="83">
      <c r="A83" s="102"/>
      <c r="B83" s="102"/>
      <c r="C83" s="51"/>
      <c r="D83" s="156"/>
      <c r="E83" s="102"/>
      <c r="F83" s="104"/>
      <c r="G83" s="55"/>
      <c r="I83" s="104"/>
      <c r="J83" s="89"/>
      <c r="K83" s="71"/>
      <c r="L83" s="106" t="str">
        <f>IF(ISBLANK(J83), "", VLOOKUP(C83, 'Info Tipo de Cambio y REM'!$A$24:$B$35, 2, FALSE))</f>
        <v/>
      </c>
      <c r="M83" s="107" t="str">
        <f t="shared" si="1"/>
        <v/>
      </c>
      <c r="N83" s="83" t="s">
        <v>691</v>
      </c>
      <c r="O83" s="83" t="s">
        <v>695</v>
      </c>
      <c r="Q83" s="71"/>
    </row>
    <row r="84">
      <c r="A84" s="102"/>
      <c r="B84" s="102"/>
      <c r="C84" s="51"/>
      <c r="D84" s="156"/>
      <c r="E84" s="102"/>
      <c r="F84" s="104"/>
      <c r="G84" s="55"/>
      <c r="I84" s="104"/>
      <c r="J84" s="89"/>
      <c r="K84" s="71"/>
      <c r="L84" s="106" t="str">
        <f>IF(ISBLANK(J84), "", VLOOKUP(C84, 'Info Tipo de Cambio y REM'!$A$24:$B$35, 2, FALSE))</f>
        <v/>
      </c>
      <c r="M84" s="107" t="str">
        <f t="shared" si="1"/>
        <v/>
      </c>
      <c r="N84" s="83" t="s">
        <v>696</v>
      </c>
      <c r="O84" s="83"/>
      <c r="P84" s="89">
        <v>4910000.0</v>
      </c>
      <c r="Q84" s="71"/>
    </row>
    <row r="85">
      <c r="A85" s="102"/>
      <c r="B85" s="102"/>
      <c r="C85" s="51"/>
      <c r="D85" s="156"/>
      <c r="E85" s="102"/>
      <c r="F85" s="104"/>
      <c r="G85" s="55"/>
      <c r="I85" s="104"/>
      <c r="J85" s="89"/>
      <c r="K85" s="71"/>
      <c r="L85" s="106" t="str">
        <f>IF(ISBLANK(J85), "", VLOOKUP(C85, 'Info Tipo de Cambio y REM'!$A$24:$B$35, 2, FALSE))</f>
        <v/>
      </c>
      <c r="M85" s="107" t="str">
        <f t="shared" si="1"/>
        <v/>
      </c>
      <c r="N85" s="427" t="s">
        <v>697</v>
      </c>
      <c r="Q85" s="89">
        <v>820.0</v>
      </c>
    </row>
    <row r="86">
      <c r="A86" s="102"/>
      <c r="B86" s="102"/>
      <c r="C86" s="51"/>
      <c r="D86" s="156"/>
      <c r="E86" s="102"/>
      <c r="F86" s="104"/>
      <c r="G86" s="55"/>
      <c r="I86" s="104"/>
      <c r="J86" s="89"/>
      <c r="K86" s="71"/>
      <c r="L86" s="106" t="str">
        <f>IF(ISBLANK(J86), "", VLOOKUP(C86, 'Info Tipo de Cambio y REM'!$A$24:$B$35, 2, FALSE))</f>
        <v/>
      </c>
      <c r="M86" s="107" t="str">
        <f t="shared" si="1"/>
        <v/>
      </c>
    </row>
    <row r="87">
      <c r="A87" s="102"/>
      <c r="B87" s="102"/>
      <c r="C87" s="51"/>
      <c r="D87" s="156"/>
      <c r="E87" s="102"/>
      <c r="F87" s="104"/>
      <c r="G87" s="55"/>
      <c r="I87" s="104"/>
      <c r="J87" s="89"/>
      <c r="K87" s="71"/>
      <c r="L87" s="106" t="str">
        <f>IF(ISBLANK(J87), "", VLOOKUP(C87, 'Info Tipo de Cambio y REM'!$A$24:$B$35, 2, FALSE))</f>
        <v/>
      </c>
      <c r="M87" s="107" t="str">
        <f t="shared" si="1"/>
        <v/>
      </c>
    </row>
    <row r="88">
      <c r="A88" s="102"/>
      <c r="B88" s="102"/>
      <c r="C88" s="51"/>
      <c r="D88" s="156"/>
      <c r="E88" s="102"/>
      <c r="F88" s="104"/>
      <c r="G88" s="55"/>
      <c r="I88" s="104"/>
      <c r="J88" s="89"/>
      <c r="K88" s="71"/>
      <c r="L88" s="106" t="str">
        <f>IF(ISBLANK(J88), "", VLOOKUP(C88, 'Info Tipo de Cambio y REM'!$A$24:$B$35, 2, FALSE))</f>
        <v/>
      </c>
      <c r="M88" s="107" t="str">
        <f t="shared" si="1"/>
        <v/>
      </c>
    </row>
    <row r="89">
      <c r="A89" s="102"/>
      <c r="B89" s="102"/>
      <c r="C89" s="51"/>
      <c r="D89" s="156"/>
      <c r="E89" s="102"/>
      <c r="F89" s="104"/>
      <c r="G89" s="55"/>
      <c r="I89" s="104"/>
      <c r="J89" s="89"/>
      <c r="K89" s="89"/>
      <c r="L89" s="106" t="str">
        <f>IF(ISBLANK(J89), "", VLOOKUP(C89, 'Info Tipo de Cambio y REM'!$A$24:$B$35, 2, FALSE))</f>
        <v/>
      </c>
      <c r="M89" s="107" t="str">
        <f t="shared" si="1"/>
        <v/>
      </c>
    </row>
    <row r="90">
      <c r="A90" s="102"/>
      <c r="B90" s="102"/>
      <c r="C90" s="51"/>
      <c r="D90" s="156"/>
      <c r="E90" s="102"/>
      <c r="F90" s="104"/>
      <c r="G90" s="55"/>
      <c r="I90" s="104"/>
      <c r="J90" s="89"/>
      <c r="K90" s="89"/>
      <c r="L90" s="106" t="str">
        <f>IF(ISBLANK(J90), "", VLOOKUP(C90, 'Info Tipo de Cambio y REM'!$A$24:$B$35, 2, FALSE))</f>
        <v/>
      </c>
      <c r="M90" s="107" t="str">
        <f t="shared" si="1"/>
        <v/>
      </c>
    </row>
    <row r="91">
      <c r="A91" s="102"/>
      <c r="B91" s="102"/>
      <c r="C91" s="51"/>
      <c r="D91" s="156"/>
      <c r="E91" s="102"/>
      <c r="F91" s="104"/>
      <c r="G91" s="55"/>
      <c r="I91" s="104"/>
      <c r="J91" s="89"/>
      <c r="K91" s="71"/>
      <c r="L91" s="106" t="str">
        <f>IF(ISBLANK(J91), "", VLOOKUP(C91, 'Info Tipo de Cambio y REM'!$A$24:$B$35, 2, FALSE))</f>
        <v/>
      </c>
      <c r="M91" s="107" t="str">
        <f t="shared" si="1"/>
        <v/>
      </c>
    </row>
    <row r="92">
      <c r="A92" s="102"/>
      <c r="B92" s="102"/>
      <c r="C92" s="51"/>
      <c r="D92" s="156"/>
      <c r="E92" s="102"/>
      <c r="F92" s="104"/>
      <c r="G92" s="55"/>
      <c r="I92" s="104"/>
      <c r="J92" s="89"/>
      <c r="K92" s="71"/>
      <c r="L92" s="106" t="str">
        <f>IF(ISBLANK(J92), "", VLOOKUP(C92, 'Info Tipo de Cambio y REM'!$A$24:$B$35, 2, FALSE))</f>
        <v/>
      </c>
      <c r="M92" s="107" t="str">
        <f t="shared" si="1"/>
        <v/>
      </c>
    </row>
    <row r="93">
      <c r="A93" s="102"/>
      <c r="B93" s="102"/>
      <c r="C93" s="51"/>
      <c r="D93" s="156"/>
      <c r="E93" s="102"/>
      <c r="F93" s="104"/>
      <c r="G93" s="55"/>
      <c r="I93" s="104"/>
      <c r="J93" s="89"/>
      <c r="K93" s="71"/>
      <c r="L93" s="106" t="str">
        <f>IF(ISBLANK(J93), "", VLOOKUP(C93, 'Info Tipo de Cambio y REM'!$A$24:$B$35, 2, FALSE))</f>
        <v/>
      </c>
      <c r="M93" s="107" t="str">
        <f t="shared" si="1"/>
        <v/>
      </c>
    </row>
    <row r="94">
      <c r="A94" s="102"/>
      <c r="B94" s="102"/>
      <c r="C94" s="51"/>
      <c r="D94" s="156"/>
      <c r="E94" s="102"/>
      <c r="F94" s="104"/>
      <c r="G94" s="55"/>
      <c r="I94" s="104"/>
      <c r="J94" s="89"/>
      <c r="K94" s="71"/>
      <c r="L94" s="106" t="str">
        <f>IF(ISBLANK(J94), "", VLOOKUP(C94, 'Info Tipo de Cambio y REM'!$A$24:$B$35, 2, FALSE))</f>
        <v/>
      </c>
      <c r="M94" s="107" t="str">
        <f t="shared" si="1"/>
        <v/>
      </c>
    </row>
    <row r="95">
      <c r="A95" s="102"/>
      <c r="B95" s="102"/>
      <c r="C95" s="51"/>
      <c r="D95" s="156"/>
      <c r="E95" s="102"/>
      <c r="F95" s="104"/>
      <c r="G95" s="55"/>
      <c r="I95" s="104"/>
      <c r="J95" s="89"/>
      <c r="K95" s="71"/>
      <c r="L95" s="106" t="str">
        <f>IF(ISBLANK(J95), "", VLOOKUP(C95, 'Info Tipo de Cambio y REM'!$A$24:$B$35, 2, FALSE))</f>
        <v/>
      </c>
      <c r="M95" s="107" t="str">
        <f t="shared" si="1"/>
        <v/>
      </c>
    </row>
    <row r="96">
      <c r="A96" s="102"/>
      <c r="B96" s="102"/>
      <c r="C96" s="51"/>
      <c r="D96" s="156"/>
      <c r="E96" s="102"/>
      <c r="F96" s="104"/>
      <c r="G96" s="55"/>
      <c r="I96" s="104"/>
      <c r="J96" s="89"/>
      <c r="K96" s="71"/>
      <c r="L96" s="106" t="str">
        <f>IF(ISBLANK(J96), "", VLOOKUP(C96, 'Info Tipo de Cambio y REM'!$A$24:$B$35, 2, FALSE))</f>
        <v/>
      </c>
      <c r="M96" s="107" t="str">
        <f t="shared" si="1"/>
        <v/>
      </c>
    </row>
    <row r="97">
      <c r="A97" s="102"/>
      <c r="B97" s="102"/>
      <c r="C97" s="51"/>
      <c r="D97" s="156"/>
      <c r="E97" s="102"/>
      <c r="F97" s="104"/>
      <c r="G97" s="158"/>
      <c r="H97" s="159"/>
      <c r="I97" s="104"/>
      <c r="J97" s="89"/>
      <c r="K97" s="89"/>
      <c r="L97" s="106" t="str">
        <f>IF(ISBLANK(J97), "", VLOOKUP(C97, 'Info Tipo de Cambio y REM'!$A$24:$B$35, 2, FALSE))</f>
        <v/>
      </c>
      <c r="M97" s="107" t="str">
        <f t="shared" si="1"/>
        <v/>
      </c>
    </row>
    <row r="98">
      <c r="A98" s="102"/>
      <c r="B98" s="102"/>
      <c r="C98" s="51"/>
      <c r="D98" s="156"/>
      <c r="E98" s="102"/>
      <c r="F98" s="104"/>
      <c r="G98" s="158"/>
      <c r="H98" s="159"/>
      <c r="I98" s="104"/>
      <c r="J98" s="89"/>
      <c r="K98" s="89"/>
      <c r="L98" s="106" t="str">
        <f>IF(ISBLANK(J98), "", VLOOKUP(C98, 'Info Tipo de Cambio y REM'!$A$24:$B$35, 2, FALSE))</f>
        <v/>
      </c>
      <c r="M98" s="107" t="str">
        <f t="shared" si="1"/>
        <v/>
      </c>
    </row>
    <row r="99">
      <c r="A99" s="102"/>
      <c r="B99" s="102"/>
      <c r="C99" s="51"/>
      <c r="D99" s="156"/>
      <c r="E99" s="102"/>
      <c r="F99" s="104"/>
      <c r="G99" s="158"/>
      <c r="H99" s="159"/>
      <c r="I99" s="104"/>
      <c r="J99" s="89"/>
      <c r="K99" s="89"/>
      <c r="L99" s="106" t="str">
        <f>IF(ISBLANK(J99), "", VLOOKUP(C99, 'Info Tipo de Cambio y REM'!$A$24:$B$35, 2, FALSE))</f>
        <v/>
      </c>
      <c r="M99" s="107" t="str">
        <f t="shared" si="1"/>
        <v/>
      </c>
    </row>
    <row r="100">
      <c r="A100" s="102"/>
      <c r="B100" s="102"/>
      <c r="C100" s="51"/>
      <c r="D100" s="156"/>
      <c r="E100" s="102"/>
      <c r="F100" s="104"/>
      <c r="G100" s="158"/>
      <c r="H100" s="159"/>
      <c r="I100" s="104"/>
      <c r="J100" s="89"/>
      <c r="K100" s="89"/>
      <c r="L100" s="106" t="str">
        <f>IF(ISBLANK(J100), "", VLOOKUP(C100, 'Info Tipo de Cambio y REM'!$A$24:$B$35, 2, FALSE))</f>
        <v/>
      </c>
      <c r="M100" s="107" t="str">
        <f t="shared" si="1"/>
        <v/>
      </c>
    </row>
    <row r="101">
      <c r="A101" s="102"/>
      <c r="B101" s="102"/>
      <c r="C101" s="51"/>
      <c r="D101" s="156"/>
      <c r="E101" s="102"/>
      <c r="F101" s="104"/>
      <c r="G101" s="158"/>
      <c r="H101" s="159"/>
      <c r="I101" s="104"/>
      <c r="J101" s="89"/>
      <c r="K101" s="89"/>
      <c r="L101" s="106" t="str">
        <f>IF(ISBLANK(J101), "", VLOOKUP(C101, 'Info Tipo de Cambio y REM'!$A$24:$B$35, 2, FALSE))</f>
        <v/>
      </c>
      <c r="M101" s="107" t="str">
        <f t="shared" si="1"/>
        <v/>
      </c>
    </row>
    <row r="102">
      <c r="A102" s="133"/>
      <c r="B102" s="102"/>
      <c r="C102" s="141"/>
      <c r="D102" s="157"/>
      <c r="E102" s="102"/>
      <c r="F102" s="104"/>
      <c r="G102" s="55"/>
      <c r="I102" s="104"/>
      <c r="J102" s="89"/>
      <c r="K102" s="89"/>
      <c r="L102" s="106" t="str">
        <f>IF(ISBLANK(J102), "", VLOOKUP(C102, 'Info Tipo de Cambio y REM'!$A$24:$B$35, 2, FALSE))</f>
        <v/>
      </c>
      <c r="M102" s="107" t="str">
        <f t="shared" si="1"/>
        <v/>
      </c>
    </row>
    <row r="103">
      <c r="A103" s="102"/>
      <c r="B103" s="102"/>
      <c r="C103" s="51"/>
      <c r="D103" s="156"/>
      <c r="E103" s="102"/>
      <c r="F103" s="104"/>
      <c r="G103" s="158"/>
      <c r="I103" s="104"/>
      <c r="J103" s="89"/>
      <c r="K103" s="71"/>
      <c r="L103" s="106" t="str">
        <f>IF(ISBLANK(J103), "", VLOOKUP(C103, 'Info Tipo de Cambio y REM'!$A$24:$B$35, 2, FALSE))</f>
        <v/>
      </c>
      <c r="M103" s="107" t="str">
        <f t="shared" si="1"/>
        <v/>
      </c>
    </row>
    <row r="104">
      <c r="A104" s="102"/>
      <c r="B104" s="102"/>
      <c r="C104" s="51"/>
      <c r="D104" s="156"/>
      <c r="E104" s="102"/>
      <c r="F104" s="104"/>
      <c r="G104" s="158"/>
      <c r="I104" s="104"/>
      <c r="J104" s="89"/>
      <c r="K104" s="71"/>
      <c r="L104" s="106" t="str">
        <f>IF(ISBLANK(J104), "", VLOOKUP(C104, 'Info Tipo de Cambio y REM'!$A$24:$B$35, 2, FALSE))</f>
        <v/>
      </c>
      <c r="M104" s="107" t="str">
        <f t="shared" si="1"/>
        <v/>
      </c>
    </row>
    <row r="105">
      <c r="A105" s="102"/>
      <c r="B105" s="102"/>
      <c r="C105" s="51"/>
      <c r="D105" s="156"/>
      <c r="E105" s="102"/>
      <c r="F105" s="104"/>
      <c r="G105" s="158"/>
      <c r="I105" s="104"/>
      <c r="J105" s="89"/>
      <c r="K105" s="71"/>
      <c r="L105" s="106" t="str">
        <f>IF(ISBLANK(J105), "", VLOOKUP(C105, 'Info Tipo de Cambio y REM'!$A$24:$B$35, 2, FALSE))</f>
        <v/>
      </c>
      <c r="M105" s="107" t="str">
        <f t="shared" si="1"/>
        <v/>
      </c>
    </row>
    <row r="106">
      <c r="A106" s="102"/>
      <c r="B106" s="102"/>
      <c r="C106" s="51"/>
      <c r="D106" s="156"/>
      <c r="E106" s="102"/>
      <c r="F106" s="104"/>
      <c r="G106" s="158"/>
      <c r="I106" s="104"/>
      <c r="J106" s="89"/>
      <c r="K106" s="71"/>
      <c r="L106" s="106" t="str">
        <f>IF(ISBLANK(J106), "", VLOOKUP(C106, 'Info Tipo de Cambio y REM'!$A$24:$B$35, 2, FALSE))</f>
        <v/>
      </c>
      <c r="M106" s="107" t="str">
        <f t="shared" si="1"/>
        <v/>
      </c>
    </row>
    <row r="107">
      <c r="A107" s="102"/>
      <c r="B107" s="102"/>
      <c r="C107" s="51"/>
      <c r="D107" s="156"/>
      <c r="E107" s="102"/>
      <c r="F107" s="104"/>
      <c r="G107" s="158"/>
      <c r="I107" s="104"/>
      <c r="J107" s="89"/>
      <c r="K107" s="71"/>
      <c r="L107" s="106" t="str">
        <f>IF(ISBLANK(J107), "", VLOOKUP(C107, 'Info Tipo de Cambio y REM'!$A$24:$B$35, 2, FALSE))</f>
        <v/>
      </c>
      <c r="M107" s="107" t="str">
        <f t="shared" si="1"/>
        <v/>
      </c>
    </row>
    <row r="108">
      <c r="A108" s="102"/>
      <c r="B108" s="102"/>
      <c r="C108" s="51"/>
      <c r="D108" s="156"/>
      <c r="E108" s="102"/>
      <c r="F108" s="104"/>
      <c r="G108" s="158"/>
      <c r="I108" s="104"/>
      <c r="J108" s="89"/>
      <c r="K108" s="71"/>
      <c r="L108" s="106" t="str">
        <f>IF(ISBLANK(J108), "", VLOOKUP(C108, 'Info Tipo de Cambio y REM'!$A$24:$B$35, 2, FALSE))</f>
        <v/>
      </c>
      <c r="M108" s="107" t="str">
        <f t="shared" si="1"/>
        <v/>
      </c>
    </row>
    <row r="109">
      <c r="A109" s="102"/>
      <c r="B109" s="102"/>
      <c r="C109" s="51"/>
      <c r="D109" s="156"/>
      <c r="E109" s="102"/>
      <c r="F109" s="104"/>
      <c r="G109" s="158"/>
      <c r="I109" s="104"/>
      <c r="J109" s="89"/>
      <c r="K109" s="71"/>
      <c r="L109" s="106" t="str">
        <f>IF(ISBLANK(J109), "", VLOOKUP(C109, 'Info Tipo de Cambio y REM'!$A$24:$B$35, 2, FALSE))</f>
        <v/>
      </c>
      <c r="M109" s="107" t="str">
        <f t="shared" si="1"/>
        <v/>
      </c>
    </row>
    <row r="110">
      <c r="A110" s="102"/>
      <c r="B110" s="102"/>
      <c r="C110" s="51"/>
      <c r="D110" s="156"/>
      <c r="E110" s="102"/>
      <c r="F110" s="104"/>
      <c r="G110" s="158"/>
      <c r="I110" s="104"/>
      <c r="J110" s="89"/>
      <c r="K110" s="71"/>
      <c r="L110" s="106" t="str">
        <f>IF(ISBLANK(J110), "", VLOOKUP(C110, 'Info Tipo de Cambio y REM'!$A$24:$B$35, 2, FALSE))</f>
        <v/>
      </c>
      <c r="M110" s="107" t="str">
        <f t="shared" si="1"/>
        <v/>
      </c>
    </row>
    <row r="111">
      <c r="A111" s="102"/>
      <c r="B111" s="102"/>
      <c r="C111" s="51"/>
      <c r="D111" s="156"/>
      <c r="E111" s="102"/>
      <c r="F111" s="104"/>
      <c r="G111" s="158"/>
      <c r="I111" s="104"/>
      <c r="J111" s="89"/>
      <c r="K111" s="71"/>
      <c r="L111" s="106" t="str">
        <f>IF(ISBLANK(J111), "", VLOOKUP(C111, 'Info Tipo de Cambio y REM'!$A$24:$B$35, 2, FALSE))</f>
        <v/>
      </c>
      <c r="M111" s="107" t="str">
        <f t="shared" si="1"/>
        <v/>
      </c>
    </row>
    <row r="112">
      <c r="A112" s="102"/>
      <c r="B112" s="102"/>
      <c r="C112" s="51"/>
      <c r="D112" s="156"/>
      <c r="E112" s="102"/>
      <c r="F112" s="104"/>
      <c r="G112" s="158"/>
      <c r="I112" s="104"/>
      <c r="J112" s="89"/>
      <c r="K112" s="71"/>
      <c r="L112" s="106" t="str">
        <f>IF(ISBLANK(J112), "", VLOOKUP(C112, 'Info Tipo de Cambio y REM'!$A$24:$B$35, 2, FALSE))</f>
        <v/>
      </c>
      <c r="M112" s="107" t="str">
        <f t="shared" si="1"/>
        <v/>
      </c>
    </row>
    <row r="113">
      <c r="A113" s="102"/>
      <c r="B113" s="102"/>
      <c r="C113" s="51"/>
      <c r="D113" s="156"/>
      <c r="E113" s="102"/>
      <c r="F113" s="104"/>
      <c r="G113" s="158"/>
      <c r="I113" s="104"/>
      <c r="J113" s="89"/>
      <c r="K113" s="71"/>
      <c r="L113" s="106" t="str">
        <f>IF(ISBLANK(J113), "", VLOOKUP(C113, 'Info Tipo de Cambio y REM'!$A$24:$B$35, 2, FALSE))</f>
        <v/>
      </c>
      <c r="M113" s="107" t="str">
        <f t="shared" si="1"/>
        <v/>
      </c>
    </row>
    <row r="114">
      <c r="A114" s="102"/>
      <c r="B114" s="102"/>
      <c r="C114" s="51"/>
      <c r="D114" s="156"/>
      <c r="E114" s="102"/>
      <c r="F114" s="104"/>
      <c r="G114" s="158"/>
      <c r="I114" s="104"/>
      <c r="J114" s="89"/>
      <c r="K114" s="71"/>
      <c r="L114" s="106" t="str">
        <f>IF(ISBLANK(J114), "", VLOOKUP(C114, 'Info Tipo de Cambio y REM'!$A$24:$B$35, 2, FALSE))</f>
        <v/>
      </c>
      <c r="M114" s="107" t="str">
        <f t="shared" si="1"/>
        <v/>
      </c>
    </row>
    <row r="115">
      <c r="A115" s="102"/>
      <c r="B115" s="102"/>
      <c r="C115" s="51"/>
      <c r="D115" s="156"/>
      <c r="E115" s="102"/>
      <c r="F115" s="104"/>
      <c r="G115" s="158"/>
      <c r="I115" s="104"/>
      <c r="J115" s="89"/>
      <c r="K115" s="71"/>
      <c r="L115" s="106" t="str">
        <f>IF(ISBLANK(J115), "", VLOOKUP(C115, 'Info Tipo de Cambio y REM'!$A$24:$B$35, 2, FALSE))</f>
        <v/>
      </c>
      <c r="M115" s="107" t="str">
        <f t="shared" si="1"/>
        <v/>
      </c>
    </row>
    <row r="116">
      <c r="A116" s="102"/>
      <c r="B116" s="102"/>
      <c r="C116" s="51"/>
      <c r="D116" s="156"/>
      <c r="E116" s="102"/>
      <c r="F116" s="104"/>
      <c r="G116" s="158"/>
      <c r="I116" s="104"/>
      <c r="J116" s="89"/>
      <c r="K116" s="71"/>
      <c r="L116" s="106" t="str">
        <f>IF(ISBLANK(J116), "", VLOOKUP(C116, 'Info Tipo de Cambio y REM'!$A$24:$B$35, 2, FALSE))</f>
        <v/>
      </c>
      <c r="M116" s="107" t="str">
        <f t="shared" si="1"/>
        <v/>
      </c>
    </row>
    <row r="117">
      <c r="A117" s="102"/>
      <c r="B117" s="102"/>
      <c r="C117" s="51"/>
      <c r="D117" s="156"/>
      <c r="E117" s="102"/>
      <c r="F117" s="104"/>
      <c r="G117" s="158"/>
      <c r="I117" s="104"/>
      <c r="J117" s="89"/>
      <c r="K117" s="71"/>
      <c r="L117" s="106" t="str">
        <f>IF(ISBLANK(J117), "", VLOOKUP(C117, 'Info Tipo de Cambio y REM'!$A$24:$B$35, 2, FALSE))</f>
        <v/>
      </c>
      <c r="M117" s="107" t="str">
        <f t="shared" si="1"/>
        <v/>
      </c>
    </row>
    <row r="118">
      <c r="A118" s="102"/>
      <c r="B118" s="102"/>
      <c r="C118" s="51"/>
      <c r="D118" s="156"/>
      <c r="E118" s="102"/>
      <c r="F118" s="104"/>
      <c r="G118" s="158"/>
      <c r="I118" s="104"/>
      <c r="J118" s="89"/>
      <c r="K118" s="71"/>
      <c r="L118" s="106" t="str">
        <f>IF(ISBLANK(J118), "", VLOOKUP(C118, 'Info Tipo de Cambio y REM'!$A$24:$B$35, 2, FALSE))</f>
        <v/>
      </c>
      <c r="M118" s="107" t="str">
        <f t="shared" si="1"/>
        <v/>
      </c>
    </row>
    <row r="119">
      <c r="A119" s="102"/>
      <c r="B119" s="102"/>
      <c r="C119" s="51"/>
      <c r="D119" s="156"/>
      <c r="E119" s="102"/>
      <c r="F119" s="104"/>
      <c r="G119" s="158"/>
      <c r="I119" s="104"/>
      <c r="J119" s="89"/>
      <c r="K119" s="71"/>
      <c r="L119" s="106" t="str">
        <f>IF(ISBLANK(J119), "", VLOOKUP(C119, 'Info Tipo de Cambio y REM'!$A$24:$B$35, 2, FALSE))</f>
        <v/>
      </c>
      <c r="M119" s="107" t="str">
        <f t="shared" si="1"/>
        <v/>
      </c>
    </row>
    <row r="120">
      <c r="A120" s="102"/>
      <c r="B120" s="102"/>
      <c r="C120" s="51"/>
      <c r="D120" s="156"/>
      <c r="E120" s="102"/>
      <c r="F120" s="104"/>
      <c r="G120" s="158"/>
      <c r="I120" s="104"/>
      <c r="J120" s="89"/>
      <c r="K120" s="71"/>
      <c r="L120" s="106" t="str">
        <f>IF(ISBLANK(J120), "", VLOOKUP(C120, 'Info Tipo de Cambio y REM'!$A$24:$B$35, 2, FALSE))</f>
        <v/>
      </c>
      <c r="M120" s="107" t="str">
        <f t="shared" si="1"/>
        <v/>
      </c>
    </row>
    <row r="121">
      <c r="A121" s="102"/>
      <c r="B121" s="102"/>
      <c r="C121" s="51"/>
      <c r="D121" s="156"/>
      <c r="E121" s="102"/>
      <c r="F121" s="104"/>
      <c r="G121" s="158"/>
      <c r="I121" s="104"/>
      <c r="J121" s="89"/>
      <c r="K121" s="71"/>
      <c r="L121" s="106" t="str">
        <f>IF(ISBLANK(J121), "", VLOOKUP(C121, 'Info Tipo de Cambio y REM'!$A$24:$B$35, 2, FALSE))</f>
        <v/>
      </c>
      <c r="M121" s="107" t="str">
        <f t="shared" si="1"/>
        <v/>
      </c>
    </row>
    <row r="122">
      <c r="A122" s="102"/>
      <c r="B122" s="102"/>
      <c r="C122" s="51"/>
      <c r="D122" s="156"/>
      <c r="E122" s="102"/>
      <c r="F122" s="104"/>
      <c r="G122" s="158"/>
      <c r="I122" s="104"/>
      <c r="J122" s="89"/>
      <c r="K122" s="71"/>
      <c r="L122" s="106" t="str">
        <f>IF(ISBLANK(J122), "", VLOOKUP(C122, 'Info Tipo de Cambio y REM'!$A$24:$B$35, 2, FALSE))</f>
        <v/>
      </c>
      <c r="M122" s="107" t="str">
        <f t="shared" si="1"/>
        <v/>
      </c>
    </row>
    <row r="123">
      <c r="A123" s="102"/>
      <c r="B123" s="102"/>
      <c r="C123" s="51"/>
      <c r="D123" s="156"/>
      <c r="E123" s="102"/>
      <c r="F123" s="104"/>
      <c r="G123" s="55"/>
      <c r="I123" s="104"/>
      <c r="J123" s="89"/>
      <c r="K123" s="71"/>
      <c r="L123" s="106" t="str">
        <f>IF(ISBLANK(J123), "", VLOOKUP(C123, 'Info Tipo de Cambio y REM'!$A$24:$B$35, 2, FALSE))</f>
        <v/>
      </c>
      <c r="M123" s="107" t="str">
        <f t="shared" si="1"/>
        <v/>
      </c>
    </row>
    <row r="124">
      <c r="A124" s="102"/>
      <c r="B124" s="102"/>
      <c r="C124" s="51"/>
      <c r="D124" s="156"/>
      <c r="E124" s="102"/>
      <c r="F124" s="104"/>
      <c r="G124" s="160"/>
      <c r="I124" s="104"/>
      <c r="J124" s="89"/>
      <c r="K124" s="71"/>
      <c r="L124" s="106" t="str">
        <f>IF(ISBLANK(J124), "", VLOOKUP(C124, 'Info Tipo de Cambio y REM'!$A$24:$B$35, 2, FALSE))</f>
        <v/>
      </c>
      <c r="M124" s="107" t="str">
        <f t="shared" si="1"/>
        <v/>
      </c>
    </row>
    <row r="125">
      <c r="A125" s="102"/>
      <c r="B125" s="102"/>
      <c r="C125" s="51"/>
      <c r="D125" s="156"/>
      <c r="E125" s="102"/>
      <c r="F125" s="104"/>
      <c r="G125" s="161"/>
      <c r="I125" s="104"/>
      <c r="J125" s="89"/>
      <c r="K125" s="71"/>
      <c r="L125" s="106" t="str">
        <f>IF(ISBLANK(J125), "", VLOOKUP(C125, 'Info Tipo de Cambio y REM'!$A$24:$B$35, 2, FALSE))</f>
        <v/>
      </c>
      <c r="M125" s="107" t="str">
        <f t="shared" si="1"/>
        <v/>
      </c>
    </row>
    <row r="126">
      <c r="A126" s="102"/>
      <c r="B126" s="102"/>
      <c r="C126" s="51"/>
      <c r="D126" s="156"/>
      <c r="E126" s="102"/>
      <c r="F126" s="104"/>
      <c r="G126" s="162"/>
      <c r="I126" s="104"/>
      <c r="K126" s="89"/>
      <c r="L126" s="106" t="str">
        <f>IF(ISBLANK(J126), "", VLOOKUP(C126, 'Info Tipo de Cambio y REM'!$A$24:$B$35, 2, FALSE))</f>
        <v/>
      </c>
      <c r="M126" s="107" t="str">
        <f t="shared" si="1"/>
        <v/>
      </c>
    </row>
    <row r="127">
      <c r="A127" s="102"/>
      <c r="B127" s="102"/>
      <c r="C127" s="51"/>
      <c r="D127" s="156"/>
      <c r="E127" s="102"/>
      <c r="F127" s="104"/>
      <c r="G127" s="162"/>
      <c r="I127" s="104"/>
      <c r="K127" s="89"/>
      <c r="L127" s="106" t="str">
        <f>IF(ISBLANK(J127), "", VLOOKUP(C127, 'Info Tipo de Cambio y REM'!$A$24:$B$35, 2, FALSE))</f>
        <v/>
      </c>
      <c r="M127" s="107" t="str">
        <f t="shared" si="1"/>
        <v/>
      </c>
    </row>
    <row r="128">
      <c r="A128" s="102"/>
      <c r="B128" s="102"/>
      <c r="C128" s="51"/>
      <c r="D128" s="156"/>
      <c r="E128" s="102"/>
      <c r="F128" s="104"/>
      <c r="G128" s="163"/>
      <c r="I128" s="104"/>
      <c r="K128" s="89"/>
      <c r="L128" s="106" t="str">
        <f>IF(ISBLANK(J128), "", VLOOKUP(C128, 'Info Tipo de Cambio y REM'!$A$24:$B$35, 2, FALSE))</f>
        <v/>
      </c>
      <c r="M128" s="107" t="str">
        <f t="shared" si="1"/>
        <v/>
      </c>
    </row>
    <row r="129">
      <c r="A129" s="102"/>
      <c r="B129" s="102"/>
      <c r="C129" s="51"/>
      <c r="D129" s="156"/>
      <c r="E129" s="102"/>
      <c r="F129" s="104"/>
      <c r="G129" s="162"/>
      <c r="I129" s="104"/>
      <c r="J129" s="89"/>
      <c r="K129" s="71"/>
      <c r="L129" s="106" t="str">
        <f>IF(ISBLANK(J129), "", VLOOKUP(C129, 'Info Tipo de Cambio y REM'!$A$24:$B$35, 2, FALSE))</f>
        <v/>
      </c>
      <c r="M129" s="107" t="str">
        <f t="shared" si="1"/>
        <v/>
      </c>
    </row>
    <row r="130">
      <c r="A130" s="102"/>
      <c r="B130" s="102"/>
      <c r="C130" s="51"/>
      <c r="D130" s="156"/>
      <c r="E130" s="102"/>
      <c r="F130" s="104"/>
      <c r="G130" s="160"/>
      <c r="I130" s="104"/>
      <c r="J130" s="89"/>
      <c r="K130" s="71"/>
      <c r="L130" s="106" t="str">
        <f>IF(ISBLANK(J130), "", VLOOKUP(C130, 'Info Tipo de Cambio y REM'!$A$24:$B$35, 2, FALSE))</f>
        <v/>
      </c>
      <c r="M130" s="107" t="str">
        <f t="shared" si="1"/>
        <v/>
      </c>
    </row>
    <row r="131">
      <c r="A131" s="102"/>
      <c r="B131" s="102"/>
      <c r="C131" s="51"/>
      <c r="D131" s="156"/>
      <c r="E131" s="102"/>
      <c r="F131" s="104"/>
      <c r="G131" s="160"/>
      <c r="I131" s="104"/>
      <c r="J131" s="89"/>
      <c r="K131" s="71"/>
      <c r="L131" s="106" t="str">
        <f>IF(ISBLANK(J131), "", VLOOKUP(C131, 'Info Tipo de Cambio y REM'!$A$24:$B$35, 2, FALSE))</f>
        <v/>
      </c>
      <c r="M131" s="107" t="str">
        <f t="shared" si="1"/>
        <v/>
      </c>
    </row>
    <row r="132">
      <c r="A132" s="102"/>
      <c r="B132" s="102"/>
      <c r="C132" s="51"/>
      <c r="D132" s="156"/>
      <c r="E132" s="102"/>
      <c r="F132" s="104"/>
      <c r="G132" s="160"/>
      <c r="I132" s="104"/>
      <c r="J132" s="89"/>
      <c r="K132" s="71"/>
      <c r="L132" s="106" t="str">
        <f>IF(ISBLANK(J132), "", VLOOKUP(C132, 'Info Tipo de Cambio y REM'!$A$24:$B$35, 2, FALSE))</f>
        <v/>
      </c>
      <c r="M132" s="107" t="str">
        <f t="shared" si="1"/>
        <v/>
      </c>
    </row>
    <row r="133">
      <c r="A133" s="102"/>
      <c r="B133" s="102"/>
      <c r="C133" s="51"/>
      <c r="D133" s="156"/>
      <c r="E133" s="102"/>
      <c r="F133" s="104"/>
      <c r="G133" s="160"/>
      <c r="I133" s="104"/>
      <c r="J133" s="89"/>
      <c r="K133" s="71"/>
      <c r="L133" s="106" t="str">
        <f>IF(ISBLANK(J133), "", VLOOKUP(C133, 'Info Tipo de Cambio y REM'!$A$24:$B$35, 2, FALSE))</f>
        <v/>
      </c>
      <c r="M133" s="107" t="str">
        <f t="shared" si="1"/>
        <v/>
      </c>
    </row>
    <row r="134">
      <c r="A134" s="102"/>
      <c r="B134" s="102"/>
      <c r="C134" s="51"/>
      <c r="D134" s="156"/>
      <c r="E134" s="102"/>
      <c r="F134" s="104"/>
      <c r="G134" s="160"/>
      <c r="I134" s="104"/>
      <c r="J134" s="89"/>
      <c r="K134" s="71"/>
      <c r="L134" s="106" t="str">
        <f>IF(ISBLANK(J134), "", VLOOKUP(C134, 'Info Tipo de Cambio y REM'!$A$24:$B$35, 2, FALSE))</f>
        <v/>
      </c>
      <c r="M134" s="107" t="str">
        <f t="shared" si="1"/>
        <v/>
      </c>
    </row>
    <row r="135">
      <c r="A135" s="102"/>
      <c r="B135" s="102"/>
      <c r="C135" s="51"/>
      <c r="D135" s="156"/>
      <c r="E135" s="102"/>
      <c r="F135" s="103"/>
      <c r="G135" s="55"/>
      <c r="I135" s="103"/>
      <c r="K135" s="89"/>
      <c r="L135" s="106" t="str">
        <f>IF(ISBLANK(J135), "", VLOOKUP(C135, 'Info Tipo de Cambio y REM'!$A$24:$B$35, 2, FALSE))</f>
        <v/>
      </c>
      <c r="M135" s="107" t="str">
        <f t="shared" si="1"/>
        <v/>
      </c>
    </row>
    <row r="136">
      <c r="A136" s="102"/>
      <c r="B136" s="102"/>
      <c r="C136" s="51"/>
      <c r="D136" s="156"/>
      <c r="E136" s="102"/>
      <c r="F136" s="103"/>
      <c r="G136" s="55"/>
      <c r="I136" s="103"/>
      <c r="K136" s="89"/>
      <c r="L136" s="106" t="str">
        <f>IF(ISBLANK(J136), "", VLOOKUP(C136, 'Info Tipo de Cambio y REM'!$A$24:$B$35, 2, FALSE))</f>
        <v/>
      </c>
      <c r="M136" s="107" t="str">
        <f t="shared" si="1"/>
        <v/>
      </c>
    </row>
    <row r="137">
      <c r="A137" s="102"/>
      <c r="B137" s="102"/>
      <c r="C137" s="51"/>
      <c r="D137" s="156"/>
      <c r="E137" s="102"/>
      <c r="F137" s="103"/>
      <c r="G137" s="55"/>
      <c r="I137" s="103"/>
      <c r="K137" s="89"/>
      <c r="L137" s="106" t="str">
        <f>IF(ISBLANK(J137), "", VLOOKUP(C137, 'Info Tipo de Cambio y REM'!$A$24:$B$35, 2, FALSE))</f>
        <v/>
      </c>
      <c r="M137" s="107" t="str">
        <f t="shared" si="1"/>
        <v/>
      </c>
    </row>
    <row r="138">
      <c r="A138" s="102"/>
      <c r="B138" s="102"/>
      <c r="C138" s="51"/>
      <c r="D138" s="156"/>
      <c r="E138" s="102"/>
      <c r="F138" s="103"/>
      <c r="G138" s="55"/>
      <c r="I138" s="103"/>
      <c r="K138" s="89"/>
      <c r="L138" s="106" t="str">
        <f>IF(ISBLANK(J138), "", VLOOKUP(C138, 'Info Tipo de Cambio y REM'!$A$24:$B$35, 2, FALSE))</f>
        <v/>
      </c>
      <c r="M138" s="107" t="str">
        <f t="shared" si="1"/>
        <v/>
      </c>
    </row>
    <row r="139">
      <c r="A139" s="102"/>
      <c r="B139" s="102"/>
      <c r="C139" s="51"/>
      <c r="D139" s="156"/>
      <c r="E139" s="102"/>
      <c r="F139" s="103"/>
      <c r="G139" s="55"/>
      <c r="I139" s="103"/>
      <c r="K139" s="89"/>
      <c r="L139" s="106" t="str">
        <f>IF(ISBLANK(J139), "", VLOOKUP(C139, 'Info Tipo de Cambio y REM'!$A$24:$B$35, 2, FALSE))</f>
        <v/>
      </c>
      <c r="M139" s="107" t="str">
        <f t="shared" si="1"/>
        <v/>
      </c>
    </row>
    <row r="140">
      <c r="A140" s="102"/>
      <c r="B140" s="102"/>
      <c r="C140" s="51"/>
      <c r="D140" s="156"/>
      <c r="E140" s="102"/>
      <c r="F140" s="164"/>
      <c r="G140" s="165"/>
      <c r="H140" s="166"/>
      <c r="I140" s="164"/>
      <c r="K140" s="89"/>
      <c r="L140" s="106" t="str">
        <f>IF(ISBLANK(J140), "", VLOOKUP(C140, 'Info Tipo de Cambio y REM'!$A$24:$B$35, 2, FALSE))</f>
        <v/>
      </c>
      <c r="M140" s="107" t="str">
        <f t="shared" si="1"/>
        <v/>
      </c>
    </row>
    <row r="141">
      <c r="A141" s="102"/>
      <c r="B141" s="102"/>
      <c r="C141" s="51"/>
      <c r="D141" s="156"/>
      <c r="E141" s="102"/>
      <c r="F141" s="167"/>
      <c r="G141" s="165"/>
      <c r="H141" s="166"/>
      <c r="I141" s="167"/>
      <c r="K141" s="89"/>
      <c r="L141" s="106" t="str">
        <f>IF(ISBLANK(J141), "", VLOOKUP(C141, 'Info Tipo de Cambio y REM'!$A$24:$B$35, 2, FALSE))</f>
        <v/>
      </c>
      <c r="M141" s="107" t="str">
        <f t="shared" si="1"/>
        <v/>
      </c>
    </row>
    <row r="142">
      <c r="A142" s="102"/>
      <c r="B142" s="102"/>
      <c r="C142" s="51"/>
      <c r="D142" s="156"/>
      <c r="E142" s="102"/>
      <c r="F142" s="167"/>
      <c r="G142" s="165"/>
      <c r="H142" s="166"/>
      <c r="I142" s="167"/>
      <c r="K142" s="89"/>
      <c r="L142" s="106" t="str">
        <f>IF(ISBLANK(J142), "", VLOOKUP(C142, 'Info Tipo de Cambio y REM'!$A$24:$B$35, 2, FALSE))</f>
        <v/>
      </c>
      <c r="M142" s="107" t="str">
        <f t="shared" si="1"/>
        <v/>
      </c>
    </row>
    <row r="143">
      <c r="A143" s="102"/>
      <c r="B143" s="102"/>
      <c r="C143" s="51"/>
      <c r="D143" s="156"/>
      <c r="E143" s="102"/>
      <c r="F143" s="167"/>
      <c r="G143" s="165"/>
      <c r="H143" s="166"/>
      <c r="I143" s="167"/>
      <c r="K143" s="89"/>
      <c r="L143" s="106" t="str">
        <f>IF(ISBLANK(J143), "", VLOOKUP(C143, 'Info Tipo de Cambio y REM'!$A$24:$B$35, 2, FALSE))</f>
        <v/>
      </c>
      <c r="M143" s="107" t="str">
        <f t="shared" si="1"/>
        <v/>
      </c>
    </row>
    <row r="144">
      <c r="A144" s="102"/>
      <c r="B144" s="102"/>
      <c r="C144" s="51"/>
      <c r="D144" s="156"/>
      <c r="E144" s="102"/>
      <c r="F144" s="168"/>
      <c r="G144" s="55"/>
      <c r="I144" s="104"/>
      <c r="J144" s="89"/>
      <c r="K144" s="71"/>
      <c r="L144" s="106" t="str">
        <f>IF(ISBLANK(J144), "", VLOOKUP(C144, 'Info Tipo de Cambio y REM'!$A$24:$B$35, 2, FALSE))</f>
        <v/>
      </c>
      <c r="M144" s="107" t="str">
        <f t="shared" si="1"/>
        <v/>
      </c>
    </row>
    <row r="145">
      <c r="A145" s="102"/>
      <c r="B145" s="102"/>
      <c r="C145" s="51"/>
      <c r="D145" s="156"/>
      <c r="E145" s="102"/>
      <c r="F145" s="168"/>
      <c r="G145" s="55"/>
      <c r="I145" s="104"/>
      <c r="J145" s="89"/>
      <c r="K145" s="71"/>
      <c r="L145" s="106" t="str">
        <f>IF(ISBLANK(J145), "", VLOOKUP(C145, 'Info Tipo de Cambio y REM'!$A$24:$B$35, 2, FALSE))</f>
        <v/>
      </c>
      <c r="M145" s="107" t="str">
        <f t="shared" si="1"/>
        <v/>
      </c>
    </row>
    <row r="146">
      <c r="A146" s="102"/>
      <c r="B146" s="102"/>
      <c r="C146" s="51"/>
      <c r="D146" s="156"/>
      <c r="E146" s="102"/>
      <c r="F146" s="168"/>
      <c r="G146" s="55"/>
      <c r="H146" s="169"/>
      <c r="I146" s="104"/>
      <c r="K146" s="89"/>
      <c r="L146" s="106" t="str">
        <f>IF(ISBLANK(J146), "", VLOOKUP(C146, 'Info Tipo de Cambio y REM'!$A$24:$B$35, 2, FALSE))</f>
        <v/>
      </c>
      <c r="M146" s="107" t="str">
        <f t="shared" si="1"/>
        <v/>
      </c>
    </row>
    <row r="147">
      <c r="A147" s="102"/>
      <c r="B147" s="102"/>
      <c r="C147" s="51"/>
      <c r="D147" s="156"/>
      <c r="E147" s="102"/>
      <c r="F147" s="168"/>
      <c r="G147" s="55"/>
      <c r="I147" s="104"/>
      <c r="K147" s="89"/>
      <c r="L147" s="106" t="str">
        <f>IF(ISBLANK(J147), "", VLOOKUP(C147, 'Info Tipo de Cambio y REM'!$A$24:$B$35, 2, FALSE))</f>
        <v/>
      </c>
      <c r="M147" s="107" t="str">
        <f t="shared" si="1"/>
        <v/>
      </c>
    </row>
    <row r="148">
      <c r="A148" s="102"/>
      <c r="B148" s="102"/>
      <c r="C148" s="51"/>
      <c r="D148" s="156"/>
      <c r="E148" s="102"/>
      <c r="F148" s="170"/>
      <c r="G148" s="55"/>
      <c r="H148" s="169"/>
      <c r="I148" s="170"/>
      <c r="K148" s="171"/>
      <c r="L148" s="106" t="str">
        <f>IF(ISBLANK(J148), "", VLOOKUP(C148, 'Info Tipo de Cambio y REM'!$A$24:$B$35, 2, FALSE))</f>
        <v/>
      </c>
      <c r="M148" s="107" t="str">
        <f t="shared" si="1"/>
        <v/>
      </c>
    </row>
    <row r="149">
      <c r="A149" s="102"/>
      <c r="B149" s="102"/>
      <c r="C149" s="51"/>
      <c r="D149" s="156"/>
      <c r="E149" s="102"/>
      <c r="F149" s="170"/>
      <c r="G149" s="55"/>
      <c r="H149" s="169"/>
      <c r="I149" s="170"/>
      <c r="K149" s="171"/>
      <c r="L149" s="106" t="str">
        <f>IF(ISBLANK(J149), "", VLOOKUP(C149, 'Info Tipo de Cambio y REM'!$A$24:$B$35, 2, FALSE))</f>
        <v/>
      </c>
      <c r="M149" s="107" t="str">
        <f t="shared" si="1"/>
        <v/>
      </c>
    </row>
    <row r="150">
      <c r="A150" s="102"/>
      <c r="B150" s="102"/>
      <c r="C150" s="51"/>
      <c r="D150" s="156"/>
      <c r="E150" s="102"/>
      <c r="F150" s="170"/>
      <c r="G150" s="55"/>
      <c r="H150" s="169"/>
      <c r="I150" s="170"/>
      <c r="K150" s="171"/>
      <c r="L150" s="106" t="str">
        <f>IF(ISBLANK(J150), "", VLOOKUP(C150, 'Info Tipo de Cambio y REM'!$A$24:$B$35, 2, FALSE))</f>
        <v/>
      </c>
      <c r="M150" s="107" t="str">
        <f t="shared" si="1"/>
        <v/>
      </c>
    </row>
    <row r="151">
      <c r="A151" s="102"/>
      <c r="B151" s="102"/>
      <c r="C151" s="51"/>
      <c r="D151" s="156"/>
      <c r="E151" s="102"/>
      <c r="F151" s="170"/>
      <c r="G151" s="55"/>
      <c r="H151" s="169"/>
      <c r="I151" s="170"/>
      <c r="K151" s="171"/>
      <c r="L151" s="106" t="str">
        <f>IF(ISBLANK(J151), "", VLOOKUP(C151, 'Info Tipo de Cambio y REM'!$A$24:$B$35, 2, FALSE))</f>
        <v/>
      </c>
      <c r="M151" s="107" t="str">
        <f t="shared" si="1"/>
        <v/>
      </c>
    </row>
    <row r="152">
      <c r="A152" s="102"/>
      <c r="B152" s="102"/>
      <c r="C152" s="51"/>
      <c r="D152" s="156"/>
      <c r="E152" s="102"/>
      <c r="F152" s="170"/>
      <c r="G152" s="55"/>
      <c r="H152" s="169"/>
      <c r="I152" s="170"/>
      <c r="K152" s="171"/>
      <c r="L152" s="106" t="str">
        <f>IF(ISBLANK(J152), "", VLOOKUP(C152, 'Info Tipo de Cambio y REM'!$A$24:$B$35, 2, FALSE))</f>
        <v/>
      </c>
      <c r="M152" s="107" t="str">
        <f t="shared" si="1"/>
        <v/>
      </c>
    </row>
    <row r="153">
      <c r="A153" s="102"/>
      <c r="B153" s="102"/>
      <c r="C153" s="51"/>
      <c r="D153" s="156"/>
      <c r="E153" s="102"/>
      <c r="F153" s="170"/>
      <c r="G153" s="55"/>
      <c r="H153" s="169"/>
      <c r="I153" s="170"/>
      <c r="K153" s="171"/>
      <c r="L153" s="106" t="str">
        <f>IF(ISBLANK(J153), "", VLOOKUP(C153, 'Info Tipo de Cambio y REM'!$A$24:$B$35, 2, FALSE))</f>
        <v/>
      </c>
      <c r="M153" s="107" t="str">
        <f t="shared" si="1"/>
        <v/>
      </c>
    </row>
    <row r="154">
      <c r="A154" s="102"/>
      <c r="B154" s="102"/>
      <c r="C154" s="51"/>
      <c r="D154" s="156"/>
      <c r="E154" s="102"/>
      <c r="F154" s="170"/>
      <c r="G154" s="55"/>
      <c r="H154" s="169"/>
      <c r="I154" s="170"/>
      <c r="K154" s="171"/>
      <c r="L154" s="106" t="str">
        <f>IF(ISBLANK(J154), "", VLOOKUP(C154, 'Info Tipo de Cambio y REM'!$A$24:$B$35, 2, FALSE))</f>
        <v/>
      </c>
      <c r="M154" s="107" t="str">
        <f t="shared" si="1"/>
        <v/>
      </c>
    </row>
    <row r="155">
      <c r="A155" s="102"/>
      <c r="B155" s="102"/>
      <c r="C155" s="51"/>
      <c r="D155" s="156"/>
      <c r="E155" s="102"/>
      <c r="F155" s="170"/>
      <c r="G155" s="55"/>
      <c r="H155" s="169"/>
      <c r="I155" s="170"/>
      <c r="K155" s="171"/>
      <c r="L155" s="106" t="str">
        <f>IF(ISBLANK(J155), "", VLOOKUP(C155, 'Info Tipo de Cambio y REM'!$A$24:$B$35, 2, FALSE))</f>
        <v/>
      </c>
      <c r="M155" s="107" t="str">
        <f t="shared" si="1"/>
        <v/>
      </c>
    </row>
    <row r="156">
      <c r="A156" s="102"/>
      <c r="B156" s="102"/>
      <c r="C156" s="51"/>
      <c r="D156" s="156"/>
      <c r="E156" s="102"/>
      <c r="F156" s="170"/>
      <c r="G156" s="55"/>
      <c r="H156" s="169"/>
      <c r="I156" s="170"/>
      <c r="K156" s="171"/>
      <c r="L156" s="106" t="str">
        <f>IF(ISBLANK(J156), "", VLOOKUP(C156, 'Info Tipo de Cambio y REM'!$A$24:$B$35, 2, FALSE))</f>
        <v/>
      </c>
      <c r="M156" s="107" t="str">
        <f t="shared" si="1"/>
        <v/>
      </c>
    </row>
    <row r="157">
      <c r="A157" s="102"/>
      <c r="B157" s="102"/>
      <c r="C157" s="51"/>
      <c r="D157" s="156"/>
      <c r="E157" s="102"/>
      <c r="F157" s="170"/>
      <c r="G157" s="55"/>
      <c r="H157" s="169"/>
      <c r="I157" s="170"/>
      <c r="K157" s="171"/>
      <c r="L157" s="106" t="str">
        <f>IF(ISBLANK(J157), "", VLOOKUP(C157, 'Info Tipo de Cambio y REM'!$A$24:$B$35, 2, FALSE))</f>
        <v/>
      </c>
      <c r="M157" s="107" t="str">
        <f t="shared" si="1"/>
        <v/>
      </c>
    </row>
    <row r="158">
      <c r="A158" s="102"/>
      <c r="B158" s="102"/>
      <c r="C158" s="51"/>
      <c r="D158" s="156"/>
      <c r="E158" s="102"/>
      <c r="F158" s="170"/>
      <c r="G158" s="55"/>
      <c r="H158" s="169"/>
      <c r="I158" s="170"/>
      <c r="K158" s="171"/>
      <c r="L158" s="106" t="str">
        <f>IF(ISBLANK(J158), "", VLOOKUP(C158, 'Info Tipo de Cambio y REM'!$A$24:$B$35, 2, FALSE))</f>
        <v/>
      </c>
      <c r="M158" s="107" t="str">
        <f t="shared" si="1"/>
        <v/>
      </c>
    </row>
    <row r="159">
      <c r="A159" s="102"/>
      <c r="B159" s="102"/>
      <c r="C159" s="51"/>
      <c r="D159" s="156"/>
      <c r="E159" s="102"/>
      <c r="F159" s="170"/>
      <c r="G159" s="55"/>
      <c r="H159" s="169"/>
      <c r="I159" s="170"/>
      <c r="K159" s="171"/>
      <c r="L159" s="106" t="str">
        <f>IF(ISBLANK(J159), "", VLOOKUP(C159, 'Info Tipo de Cambio y REM'!$A$24:$B$35, 2, FALSE))</f>
        <v/>
      </c>
      <c r="M159" s="107" t="str">
        <f t="shared" si="1"/>
        <v/>
      </c>
    </row>
    <row r="160">
      <c r="A160" s="102"/>
      <c r="B160" s="102"/>
      <c r="C160" s="51"/>
      <c r="D160" s="156"/>
      <c r="E160" s="102"/>
      <c r="F160" s="170"/>
      <c r="G160" s="162"/>
      <c r="H160" s="169"/>
      <c r="I160" s="170"/>
      <c r="K160" s="171"/>
      <c r="L160" s="106" t="str">
        <f>IF(ISBLANK(J160), "", VLOOKUP(C160, 'Info Tipo de Cambio y REM'!$A$24:$B$35, 2, FALSE))</f>
        <v/>
      </c>
      <c r="M160" s="107" t="str">
        <f t="shared" si="1"/>
        <v/>
      </c>
    </row>
    <row r="161">
      <c r="A161" s="102"/>
      <c r="B161" s="102"/>
      <c r="C161" s="51"/>
      <c r="D161" s="156"/>
      <c r="E161" s="102"/>
      <c r="F161" s="172"/>
      <c r="G161" s="165"/>
      <c r="I161" s="104"/>
      <c r="K161" s="89"/>
      <c r="L161" s="106" t="str">
        <f>IF(ISBLANK(J161), "", VLOOKUP(C161, 'Info Tipo de Cambio y REM'!$A$24:$B$35, 2, FALSE))</f>
        <v/>
      </c>
      <c r="M161" s="107" t="str">
        <f t="shared" si="1"/>
        <v/>
      </c>
      <c r="N161" s="173"/>
      <c r="O161" s="173"/>
      <c r="P161" s="173"/>
      <c r="Q161" s="173"/>
      <c r="R161" s="173"/>
      <c r="S161" s="173"/>
      <c r="T161" s="173"/>
      <c r="U161" s="173"/>
      <c r="V161" s="173"/>
    </row>
    <row r="162">
      <c r="A162" s="102"/>
      <c r="B162" s="102"/>
      <c r="C162" s="51"/>
      <c r="D162" s="156"/>
      <c r="E162" s="102"/>
      <c r="F162" s="172"/>
      <c r="G162" s="165"/>
      <c r="I162" s="104"/>
      <c r="K162" s="89"/>
      <c r="L162" s="106" t="str">
        <f>IF(ISBLANK(J162), "", VLOOKUP(C162, 'Info Tipo de Cambio y REM'!$A$24:$B$35, 2, FALSE))</f>
        <v/>
      </c>
      <c r="M162" s="107" t="str">
        <f t="shared" si="1"/>
        <v/>
      </c>
      <c r="N162" s="173"/>
      <c r="O162" s="173"/>
      <c r="P162" s="173"/>
      <c r="Q162" s="173"/>
      <c r="R162" s="173"/>
      <c r="S162" s="173"/>
      <c r="T162" s="173"/>
      <c r="U162" s="173"/>
      <c r="V162" s="173"/>
    </row>
    <row r="163">
      <c r="A163" s="102"/>
      <c r="B163" s="102"/>
      <c r="C163" s="51"/>
      <c r="D163" s="156"/>
      <c r="E163" s="102"/>
      <c r="F163" s="172"/>
      <c r="G163" s="158"/>
      <c r="I163" s="104"/>
      <c r="K163" s="89"/>
      <c r="L163" s="106" t="str">
        <f>IF(ISBLANK(J163), "", VLOOKUP(C163, 'Info Tipo de Cambio y REM'!$A$24:$B$35, 2, FALSE))</f>
        <v/>
      </c>
      <c r="M163" s="107" t="str">
        <f t="shared" si="1"/>
        <v/>
      </c>
      <c r="N163" s="173"/>
      <c r="O163" s="173"/>
      <c r="P163" s="173"/>
      <c r="Q163" s="173"/>
      <c r="R163" s="173"/>
      <c r="S163" s="173"/>
      <c r="T163" s="173"/>
      <c r="U163" s="173"/>
      <c r="V163" s="173"/>
    </row>
    <row r="164">
      <c r="A164" s="102"/>
      <c r="B164" s="102"/>
      <c r="C164" s="51"/>
      <c r="D164" s="156"/>
      <c r="E164" s="102"/>
      <c r="F164" s="172"/>
      <c r="G164" s="158"/>
      <c r="I164" s="104"/>
      <c r="K164" s="89"/>
      <c r="L164" s="106" t="str">
        <f>IF(ISBLANK(J164), "", VLOOKUP(C164, 'Info Tipo de Cambio y REM'!$A$24:$B$35, 2, FALSE))</f>
        <v/>
      </c>
      <c r="M164" s="107" t="str">
        <f t="shared" si="1"/>
        <v/>
      </c>
      <c r="N164" s="173"/>
      <c r="O164" s="173"/>
      <c r="P164" s="173"/>
      <c r="Q164" s="173"/>
      <c r="R164" s="173"/>
      <c r="S164" s="173"/>
      <c r="T164" s="173"/>
      <c r="U164" s="173"/>
      <c r="V164" s="173"/>
    </row>
    <row r="165">
      <c r="A165" s="102"/>
      <c r="B165" s="102"/>
      <c r="C165" s="51"/>
      <c r="D165" s="156"/>
      <c r="E165" s="102"/>
      <c r="F165" s="104"/>
      <c r="G165" s="55"/>
      <c r="H165" s="169"/>
      <c r="I165" s="174"/>
      <c r="K165" s="171"/>
      <c r="L165" s="106" t="str">
        <f>IF(ISBLANK(J165), "", VLOOKUP(C165, 'Info Tipo de Cambio y REM'!$A$24:$B$35, 2, FALSE))</f>
        <v/>
      </c>
      <c r="M165" s="107" t="str">
        <f t="shared" si="1"/>
        <v/>
      </c>
      <c r="N165" s="173"/>
      <c r="O165" s="173"/>
      <c r="P165" s="173"/>
      <c r="Q165" s="173"/>
      <c r="R165" s="173"/>
      <c r="S165" s="173"/>
      <c r="T165" s="173"/>
      <c r="U165" s="173"/>
      <c r="V165" s="173"/>
    </row>
    <row r="166">
      <c r="A166" s="102"/>
      <c r="B166" s="102"/>
      <c r="C166" s="51"/>
      <c r="D166" s="156"/>
      <c r="E166" s="102"/>
      <c r="F166" s="104"/>
      <c r="G166" s="55"/>
      <c r="H166" s="169"/>
      <c r="I166" s="174"/>
      <c r="K166" s="171"/>
      <c r="L166" s="106" t="str">
        <f>IF(ISBLANK(J166), "", VLOOKUP(C166, 'Info Tipo de Cambio y REM'!$A$24:$B$35, 2, FALSE))</f>
        <v/>
      </c>
      <c r="M166" s="107" t="str">
        <f t="shared" si="1"/>
        <v/>
      </c>
      <c r="N166" s="173"/>
      <c r="O166" s="173"/>
      <c r="P166" s="173"/>
      <c r="Q166" s="173"/>
      <c r="R166" s="173"/>
      <c r="S166" s="173"/>
      <c r="T166" s="173"/>
      <c r="U166" s="173"/>
      <c r="V166" s="173"/>
    </row>
    <row r="167">
      <c r="A167" s="102"/>
      <c r="B167" s="102"/>
      <c r="C167" s="51"/>
      <c r="D167" s="156"/>
      <c r="E167" s="102"/>
      <c r="F167" s="104"/>
      <c r="G167" s="55"/>
      <c r="H167" s="169"/>
      <c r="I167" s="174"/>
      <c r="K167" s="171"/>
      <c r="L167" s="106" t="str">
        <f>IF(ISBLANK(J167), "", VLOOKUP(C167, 'Info Tipo de Cambio y REM'!$A$24:$B$35, 2, FALSE))</f>
        <v/>
      </c>
      <c r="M167" s="107" t="str">
        <f t="shared" si="1"/>
        <v/>
      </c>
      <c r="N167" s="173"/>
      <c r="O167" s="173"/>
      <c r="P167" s="173"/>
      <c r="Q167" s="173"/>
      <c r="R167" s="173"/>
      <c r="S167" s="173"/>
      <c r="T167" s="173"/>
      <c r="U167" s="173"/>
      <c r="V167" s="173"/>
    </row>
    <row r="168">
      <c r="A168" s="102"/>
      <c r="B168" s="102"/>
      <c r="C168" s="51"/>
      <c r="D168" s="156"/>
      <c r="E168" s="102"/>
      <c r="F168" s="104"/>
      <c r="G168" s="55"/>
      <c r="H168" s="169"/>
      <c r="I168" s="174"/>
      <c r="K168" s="171"/>
      <c r="L168" s="106" t="str">
        <f>IF(ISBLANK(J168), "", VLOOKUP(C168, 'Info Tipo de Cambio y REM'!$A$24:$B$35, 2, FALSE))</f>
        <v/>
      </c>
      <c r="M168" s="107" t="str">
        <f t="shared" si="1"/>
        <v/>
      </c>
      <c r="N168" s="173"/>
      <c r="O168" s="173"/>
      <c r="P168" s="173"/>
      <c r="Q168" s="173"/>
      <c r="R168" s="173"/>
      <c r="S168" s="173"/>
      <c r="T168" s="173"/>
      <c r="U168" s="173"/>
      <c r="V168" s="173"/>
    </row>
    <row r="169">
      <c r="A169" s="102"/>
      <c r="B169" s="102"/>
      <c r="C169" s="51"/>
      <c r="D169" s="156"/>
      <c r="E169" s="102"/>
      <c r="F169" s="104"/>
      <c r="G169" s="55"/>
      <c r="H169" s="169"/>
      <c r="I169" s="174"/>
      <c r="K169" s="171"/>
      <c r="L169" s="106" t="str">
        <f>IF(ISBLANK(J169), "", VLOOKUP(C169, 'Info Tipo de Cambio y REM'!$A$24:$B$35, 2, FALSE))</f>
        <v/>
      </c>
      <c r="M169" s="107" t="str">
        <f t="shared" si="1"/>
        <v/>
      </c>
      <c r="N169" s="173"/>
      <c r="O169" s="173"/>
      <c r="P169" s="173"/>
      <c r="Q169" s="173"/>
      <c r="R169" s="173"/>
      <c r="S169" s="173"/>
      <c r="T169" s="173"/>
      <c r="U169" s="173"/>
      <c r="V169" s="173"/>
    </row>
    <row r="170">
      <c r="A170" s="102"/>
      <c r="B170" s="102"/>
      <c r="C170" s="51"/>
      <c r="D170" s="156"/>
      <c r="E170" s="102"/>
      <c r="F170" s="104"/>
      <c r="G170" s="165"/>
      <c r="I170" s="168"/>
      <c r="K170" s="89"/>
      <c r="L170" s="106" t="str">
        <f>IF(ISBLANK(J170), "", VLOOKUP(C170, 'Info Tipo de Cambio y REM'!$A$24:$B$35, 2, FALSE))</f>
        <v/>
      </c>
      <c r="M170" s="107" t="str">
        <f t="shared" si="1"/>
        <v/>
      </c>
    </row>
    <row r="171">
      <c r="A171" s="102"/>
      <c r="B171" s="102"/>
      <c r="C171" s="51"/>
      <c r="D171" s="156"/>
      <c r="E171" s="102"/>
      <c r="F171" s="172"/>
      <c r="G171" s="165"/>
      <c r="I171" s="168"/>
      <c r="J171" s="175"/>
      <c r="K171" s="71"/>
      <c r="L171" s="106" t="str">
        <f>IF(ISBLANK(J171), "", VLOOKUP(C171, 'Info Tipo de Cambio y REM'!$A$24:$B$35, 2, FALSE))</f>
        <v/>
      </c>
      <c r="M171" s="107" t="str">
        <f t="shared" si="1"/>
        <v/>
      </c>
    </row>
    <row r="172">
      <c r="A172" s="102"/>
      <c r="B172" s="102"/>
      <c r="C172" s="51"/>
      <c r="D172" s="156"/>
      <c r="E172" s="102"/>
      <c r="F172" s="172"/>
      <c r="G172" s="165"/>
      <c r="I172" s="168"/>
      <c r="J172" s="176"/>
      <c r="K172" s="71"/>
      <c r="L172" s="106" t="str">
        <f>IF(ISBLANK(J172), "", VLOOKUP(C172, 'Info Tipo de Cambio y REM'!$A$24:$B$35, 2, FALSE))</f>
        <v/>
      </c>
      <c r="M172" s="107" t="str">
        <f t="shared" si="1"/>
        <v/>
      </c>
    </row>
    <row r="173">
      <c r="A173" s="102"/>
      <c r="B173" s="102"/>
      <c r="C173" s="51"/>
      <c r="D173" s="156"/>
      <c r="E173" s="102"/>
      <c r="F173" s="172"/>
      <c r="G173" s="165"/>
      <c r="I173" s="168"/>
      <c r="J173" s="176"/>
      <c r="K173" s="71"/>
      <c r="L173" s="106" t="str">
        <f>IF(ISBLANK(J173), "", VLOOKUP(C173, 'Info Tipo de Cambio y REM'!$A$24:$B$35, 2, FALSE))</f>
        <v/>
      </c>
      <c r="M173" s="107" t="str">
        <f t="shared" si="1"/>
        <v/>
      </c>
    </row>
    <row r="174">
      <c r="A174" s="92"/>
      <c r="B174" s="102"/>
      <c r="C174" s="51"/>
      <c r="D174" s="92"/>
      <c r="E174" s="92"/>
      <c r="F174" s="177"/>
      <c r="G174" s="178"/>
      <c r="H174" s="92"/>
      <c r="I174" s="177"/>
      <c r="J174" s="179"/>
      <c r="K174" s="180"/>
      <c r="L174" s="106" t="str">
        <f>IF(ISBLANK(J174), "", VLOOKUP(C174, 'Info Tipo de Cambio y REM'!$A$24:$B$35, 2, FALSE))</f>
        <v/>
      </c>
      <c r="M174" s="181" t="str">
        <f t="shared" si="1"/>
        <v/>
      </c>
      <c r="N174" s="182"/>
      <c r="O174" s="182"/>
      <c r="P174" s="182"/>
      <c r="Q174" s="182"/>
      <c r="R174" s="182"/>
      <c r="S174" s="182"/>
      <c r="T174" s="182"/>
      <c r="U174" s="182"/>
      <c r="V174" s="182"/>
    </row>
    <row r="175">
      <c r="A175" s="102"/>
      <c r="B175" s="102"/>
      <c r="C175" s="51"/>
      <c r="D175" s="156"/>
      <c r="E175" s="102"/>
      <c r="F175" s="183"/>
      <c r="G175" s="165"/>
      <c r="I175" s="168"/>
      <c r="J175" s="89"/>
      <c r="K175" s="71"/>
      <c r="L175" s="106" t="str">
        <f>IF(ISBLANK(J175), "", VLOOKUP(C175, 'Info Tipo de Cambio y REM'!$A$24:$B$35, 2, FALSE))</f>
        <v/>
      </c>
      <c r="M175" s="107" t="str">
        <f t="shared" si="1"/>
        <v/>
      </c>
    </row>
    <row r="176">
      <c r="A176" s="102"/>
      <c r="B176" s="102"/>
      <c r="C176" s="51"/>
      <c r="D176" s="156"/>
      <c r="E176" s="102"/>
      <c r="F176" s="104"/>
      <c r="G176" s="184"/>
      <c r="H176" s="132"/>
      <c r="I176" s="185"/>
      <c r="J176" s="89"/>
      <c r="K176" s="71"/>
      <c r="L176" s="106" t="str">
        <f>IF(ISBLANK(J176), "", VLOOKUP(C176, 'Info Tipo de Cambio y REM'!$A$24:$B$35, 2, FALSE))</f>
        <v/>
      </c>
      <c r="M176" s="107" t="str">
        <f t="shared" si="1"/>
        <v/>
      </c>
    </row>
    <row r="177">
      <c r="A177" s="102"/>
      <c r="B177" s="102"/>
      <c r="C177" s="51"/>
      <c r="D177" s="156"/>
      <c r="E177" s="102"/>
      <c r="F177" s="186"/>
      <c r="G177" s="187"/>
      <c r="H177" s="121"/>
      <c r="I177" s="104"/>
      <c r="J177" s="188"/>
      <c r="K177" s="71"/>
      <c r="L177" s="106" t="str">
        <f>IF(ISBLANK(J177), "", VLOOKUP(C177, 'Info Tipo de Cambio y REM'!$A$24:$B$35, 2, FALSE))</f>
        <v/>
      </c>
      <c r="M177" s="107" t="str">
        <f t="shared" si="1"/>
        <v/>
      </c>
    </row>
    <row r="178">
      <c r="A178" s="102"/>
      <c r="B178" s="102"/>
      <c r="C178" s="51"/>
      <c r="D178" s="156"/>
      <c r="E178" s="102"/>
      <c r="F178" s="186"/>
      <c r="G178" s="187"/>
      <c r="H178" s="121"/>
      <c r="I178" s="104"/>
      <c r="J178" s="188"/>
      <c r="K178" s="71"/>
      <c r="L178" s="106" t="str">
        <f>IF(ISBLANK(J178), "", VLOOKUP(C178, 'Info Tipo de Cambio y REM'!$A$24:$B$35, 2, FALSE))</f>
        <v/>
      </c>
      <c r="M178" s="107" t="str">
        <f t="shared" si="1"/>
        <v/>
      </c>
    </row>
    <row r="179">
      <c r="A179" s="102"/>
      <c r="B179" s="102"/>
      <c r="C179" s="51"/>
      <c r="D179" s="156"/>
      <c r="E179" s="102"/>
      <c r="F179" s="186"/>
      <c r="G179" s="187"/>
      <c r="H179" s="121"/>
      <c r="I179" s="104"/>
      <c r="J179" s="188"/>
      <c r="K179" s="71"/>
      <c r="L179" s="106" t="str">
        <f>IF(ISBLANK(J179), "", VLOOKUP(C179, 'Info Tipo de Cambio y REM'!$A$24:$B$35, 2, FALSE))</f>
        <v/>
      </c>
      <c r="M179" s="107" t="str">
        <f t="shared" si="1"/>
        <v/>
      </c>
    </row>
    <row r="180">
      <c r="A180" s="102"/>
      <c r="B180" s="102"/>
      <c r="C180" s="51"/>
      <c r="D180" s="156"/>
      <c r="E180" s="102"/>
      <c r="F180" s="186"/>
      <c r="G180" s="187"/>
      <c r="H180" s="121"/>
      <c r="I180" s="104"/>
      <c r="J180" s="188"/>
      <c r="K180" s="71"/>
      <c r="L180" s="106" t="str">
        <f>IF(ISBLANK(J180), "", VLOOKUP(C180, 'Info Tipo de Cambio y REM'!$A$24:$B$35, 2, FALSE))</f>
        <v/>
      </c>
      <c r="M180" s="107" t="str">
        <f t="shared" si="1"/>
        <v/>
      </c>
    </row>
    <row r="181">
      <c r="A181" s="102"/>
      <c r="B181" s="102"/>
      <c r="C181" s="51"/>
      <c r="D181" s="156"/>
      <c r="E181" s="102"/>
      <c r="F181" s="186"/>
      <c r="G181" s="187"/>
      <c r="H181" s="121"/>
      <c r="I181" s="104"/>
      <c r="J181" s="188"/>
      <c r="K181" s="71"/>
      <c r="L181" s="106" t="str">
        <f>IF(ISBLANK(J181), "", VLOOKUP(C181, 'Info Tipo de Cambio y REM'!$A$24:$B$35, 2, FALSE))</f>
        <v/>
      </c>
      <c r="M181" s="107" t="str">
        <f t="shared" si="1"/>
        <v/>
      </c>
    </row>
    <row r="182">
      <c r="A182" s="102"/>
      <c r="B182" s="102"/>
      <c r="C182" s="51"/>
      <c r="D182" s="156"/>
      <c r="E182" s="102"/>
      <c r="F182" s="186"/>
      <c r="G182" s="187"/>
      <c r="H182" s="121"/>
      <c r="I182" s="104"/>
      <c r="J182" s="188"/>
      <c r="K182" s="71"/>
      <c r="L182" s="106" t="str">
        <f>IF(ISBLANK(J182), "", VLOOKUP(C182, 'Info Tipo de Cambio y REM'!$A$24:$B$35, 2, FALSE))</f>
        <v/>
      </c>
      <c r="M182" s="107" t="str">
        <f t="shared" si="1"/>
        <v/>
      </c>
    </row>
    <row r="183">
      <c r="A183" s="102"/>
      <c r="B183" s="102"/>
      <c r="C183" s="51"/>
      <c r="D183" s="156"/>
      <c r="E183" s="102"/>
      <c r="F183" s="186"/>
      <c r="G183" s="187"/>
      <c r="H183" s="121"/>
      <c r="I183" s="104"/>
      <c r="J183" s="188"/>
      <c r="K183" s="71"/>
      <c r="L183" s="106" t="str">
        <f>IF(ISBLANK(J183), "", VLOOKUP(C183, 'Info Tipo de Cambio y REM'!$A$24:$B$35, 2, FALSE))</f>
        <v/>
      </c>
      <c r="M183" s="107" t="str">
        <f t="shared" si="1"/>
        <v/>
      </c>
    </row>
    <row r="184">
      <c r="A184" s="102"/>
      <c r="B184" s="102"/>
      <c r="C184" s="51"/>
      <c r="D184" s="156"/>
      <c r="E184" s="102"/>
      <c r="F184" s="186"/>
      <c r="G184" s="187"/>
      <c r="H184" s="121"/>
      <c r="I184" s="104"/>
      <c r="J184" s="188"/>
      <c r="K184" s="71"/>
      <c r="L184" s="106" t="str">
        <f>IF(ISBLANK(J184), "", VLOOKUP(C184, 'Info Tipo de Cambio y REM'!$A$24:$B$35, 2, FALSE))</f>
        <v/>
      </c>
      <c r="M184" s="107" t="str">
        <f t="shared" si="1"/>
        <v/>
      </c>
    </row>
    <row r="185">
      <c r="A185" s="102"/>
      <c r="B185" s="102"/>
      <c r="C185" s="51"/>
      <c r="D185" s="156"/>
      <c r="E185" s="102"/>
      <c r="F185" s="186"/>
      <c r="G185" s="187"/>
      <c r="H185" s="121"/>
      <c r="I185" s="104"/>
      <c r="J185" s="188"/>
      <c r="K185" s="71"/>
      <c r="L185" s="106" t="str">
        <f>IF(ISBLANK(J185), "", VLOOKUP(C185, 'Info Tipo de Cambio y REM'!$A$24:$B$35, 2, FALSE))</f>
        <v/>
      </c>
      <c r="M185" s="107" t="str">
        <f t="shared" si="1"/>
        <v/>
      </c>
    </row>
    <row r="186">
      <c r="A186" s="102"/>
      <c r="B186" s="102"/>
      <c r="C186" s="51"/>
      <c r="D186" s="156"/>
      <c r="E186" s="102"/>
      <c r="F186" s="186"/>
      <c r="G186" s="187"/>
      <c r="H186" s="189"/>
      <c r="I186" s="104"/>
      <c r="J186" s="188"/>
      <c r="K186" s="71"/>
      <c r="L186" s="106" t="str">
        <f>IF(ISBLANK(J186), "", VLOOKUP(C186, 'Info Tipo de Cambio y REM'!$A$24:$B$35, 2, FALSE))</f>
        <v/>
      </c>
      <c r="M186" s="107" t="str">
        <f t="shared" si="1"/>
        <v/>
      </c>
    </row>
    <row r="187">
      <c r="A187" s="102"/>
      <c r="B187" s="102"/>
      <c r="C187" s="51"/>
      <c r="D187" s="156"/>
      <c r="E187" s="102"/>
      <c r="F187" s="186"/>
      <c r="G187" s="187"/>
      <c r="H187" s="121"/>
      <c r="I187" s="104"/>
      <c r="J187" s="188"/>
      <c r="K187" s="71"/>
      <c r="L187" s="106" t="str">
        <f>IF(ISBLANK(J187), "", VLOOKUP(C187, 'Info Tipo de Cambio y REM'!$A$24:$B$35, 2, FALSE))</f>
        <v/>
      </c>
      <c r="M187" s="107" t="str">
        <f t="shared" si="1"/>
        <v/>
      </c>
    </row>
    <row r="188">
      <c r="A188" s="102"/>
      <c r="B188" s="102"/>
      <c r="C188" s="51"/>
      <c r="D188" s="156"/>
      <c r="E188" s="102"/>
      <c r="F188" s="186"/>
      <c r="G188" s="187"/>
      <c r="H188" s="121"/>
      <c r="I188" s="104"/>
      <c r="J188" s="188"/>
      <c r="K188" s="71"/>
      <c r="L188" s="106" t="str">
        <f>IF(ISBLANK(J188), "", VLOOKUP(C188, 'Info Tipo de Cambio y REM'!$A$24:$B$35, 2, FALSE))</f>
        <v/>
      </c>
      <c r="M188" s="107" t="str">
        <f t="shared" si="1"/>
        <v/>
      </c>
    </row>
    <row r="189">
      <c r="A189" s="102"/>
      <c r="B189" s="102"/>
      <c r="C189" s="51"/>
      <c r="D189" s="156"/>
      <c r="E189" s="102"/>
      <c r="F189" s="186"/>
      <c r="G189" s="187"/>
      <c r="H189" s="121"/>
      <c r="I189" s="104"/>
      <c r="J189" s="188"/>
      <c r="K189" s="71"/>
      <c r="L189" s="106" t="str">
        <f>IF(ISBLANK(J189), "", VLOOKUP(C189, 'Info Tipo de Cambio y REM'!$A$24:$B$35, 2, FALSE))</f>
        <v/>
      </c>
      <c r="M189" s="107" t="str">
        <f t="shared" si="1"/>
        <v/>
      </c>
    </row>
    <row r="190">
      <c r="A190" s="102"/>
      <c r="B190" s="102"/>
      <c r="C190" s="51"/>
      <c r="D190" s="156"/>
      <c r="E190" s="102"/>
      <c r="F190" s="186"/>
      <c r="G190" s="187"/>
      <c r="H190" s="121"/>
      <c r="I190" s="104"/>
      <c r="J190" s="188"/>
      <c r="K190" s="71"/>
      <c r="L190" s="106" t="str">
        <f>IF(ISBLANK(J190), "", VLOOKUP(C190, 'Info Tipo de Cambio y REM'!$A$24:$B$35, 2, FALSE))</f>
        <v/>
      </c>
      <c r="M190" s="107" t="str">
        <f t="shared" si="1"/>
        <v/>
      </c>
    </row>
    <row r="191">
      <c r="A191" s="102"/>
      <c r="B191" s="102"/>
      <c r="C191" s="51"/>
      <c r="D191" s="156"/>
      <c r="E191" s="102"/>
      <c r="F191" s="186"/>
      <c r="G191" s="187"/>
      <c r="H191" s="121"/>
      <c r="I191" s="104"/>
      <c r="J191" s="188"/>
      <c r="K191" s="71"/>
      <c r="L191" s="106" t="str">
        <f>IF(ISBLANK(J191), "", VLOOKUP(C191, 'Info Tipo de Cambio y REM'!$A$24:$B$35, 2, FALSE))</f>
        <v/>
      </c>
      <c r="M191" s="107" t="str">
        <f t="shared" si="1"/>
        <v/>
      </c>
    </row>
    <row r="192">
      <c r="A192" s="102"/>
      <c r="B192" s="102"/>
      <c r="C192" s="51"/>
      <c r="D192" s="156"/>
      <c r="E192" s="102"/>
      <c r="F192" s="186"/>
      <c r="G192" s="187"/>
      <c r="H192" s="121"/>
      <c r="I192" s="104"/>
      <c r="J192" s="188"/>
      <c r="K192" s="71"/>
      <c r="L192" s="106" t="str">
        <f>IF(ISBLANK(J192), "", VLOOKUP(C192, 'Info Tipo de Cambio y REM'!$A$24:$B$35, 2, FALSE))</f>
        <v/>
      </c>
      <c r="M192" s="107" t="str">
        <f t="shared" si="1"/>
        <v/>
      </c>
    </row>
    <row r="193">
      <c r="A193" s="102"/>
      <c r="B193" s="102"/>
      <c r="C193" s="51"/>
      <c r="D193" s="156"/>
      <c r="E193" s="102"/>
      <c r="F193" s="186"/>
      <c r="G193" s="187"/>
      <c r="H193" s="121"/>
      <c r="I193" s="104"/>
      <c r="J193" s="188"/>
      <c r="K193" s="71"/>
      <c r="L193" s="106" t="str">
        <f>IF(ISBLANK(J193), "", VLOOKUP(C193, 'Info Tipo de Cambio y REM'!$A$24:$B$35, 2, FALSE))</f>
        <v/>
      </c>
      <c r="M193" s="107" t="str">
        <f t="shared" si="1"/>
        <v/>
      </c>
    </row>
    <row r="194">
      <c r="A194" s="102"/>
      <c r="B194" s="102"/>
      <c r="C194" s="51"/>
      <c r="D194" s="156"/>
      <c r="E194" s="102"/>
      <c r="F194" s="186"/>
      <c r="G194" s="187"/>
      <c r="H194" s="121"/>
      <c r="I194" s="104"/>
      <c r="J194" s="188"/>
      <c r="K194" s="71"/>
      <c r="L194" s="106" t="str">
        <f>IF(ISBLANK(J194), "", VLOOKUP(C194, 'Info Tipo de Cambio y REM'!$A$24:$B$35, 2, FALSE))</f>
        <v/>
      </c>
      <c r="M194" s="107" t="str">
        <f t="shared" si="1"/>
        <v/>
      </c>
    </row>
    <row r="195">
      <c r="A195" s="102"/>
      <c r="B195" s="102"/>
      <c r="C195" s="51"/>
      <c r="D195" s="156"/>
      <c r="E195" s="102"/>
      <c r="F195" s="186"/>
      <c r="G195" s="187"/>
      <c r="H195" s="121"/>
      <c r="I195" s="104"/>
      <c r="J195" s="188"/>
      <c r="K195" s="71"/>
      <c r="L195" s="106" t="str">
        <f>IF(ISBLANK(J195), "", VLOOKUP(C195, 'Info Tipo de Cambio y REM'!$A$24:$B$35, 2, FALSE))</f>
        <v/>
      </c>
      <c r="M195" s="107" t="str">
        <f t="shared" si="1"/>
        <v/>
      </c>
    </row>
    <row r="196">
      <c r="A196" s="102"/>
      <c r="B196" s="102"/>
      <c r="C196" s="51"/>
      <c r="D196" s="156"/>
      <c r="E196" s="102"/>
      <c r="F196" s="186"/>
      <c r="G196" s="160"/>
      <c r="H196" s="121"/>
      <c r="I196" s="104"/>
      <c r="J196" s="188"/>
      <c r="K196" s="71"/>
      <c r="L196" s="106" t="str">
        <f>IF(ISBLANK(J196), "", VLOOKUP(C196, 'Info Tipo de Cambio y REM'!$A$24:$B$35, 2, FALSE))</f>
        <v/>
      </c>
      <c r="M196" s="107" t="str">
        <f t="shared" si="1"/>
        <v/>
      </c>
    </row>
    <row r="197">
      <c r="A197" s="102"/>
      <c r="B197" s="102"/>
      <c r="C197" s="51"/>
      <c r="D197" s="156"/>
      <c r="E197" s="102"/>
      <c r="F197" s="190"/>
      <c r="G197" s="184"/>
      <c r="H197" s="121"/>
      <c r="I197" s="104"/>
      <c r="J197" s="113"/>
      <c r="K197" s="89"/>
      <c r="L197" s="106" t="str">
        <f>IF(ISBLANK(J197), "", VLOOKUP(C197, 'Info Tipo de Cambio y REM'!$A$24:$B$35, 2, FALSE))</f>
        <v/>
      </c>
      <c r="M197" s="107" t="str">
        <f t="shared" si="1"/>
        <v/>
      </c>
    </row>
    <row r="198">
      <c r="A198" s="102"/>
      <c r="B198" s="102"/>
      <c r="C198" s="51"/>
      <c r="D198" s="156"/>
      <c r="E198" s="102"/>
      <c r="F198" s="104"/>
      <c r="G198" s="158"/>
      <c r="I198" s="104"/>
      <c r="J198" s="112"/>
      <c r="K198" s="71"/>
      <c r="L198" s="106" t="str">
        <f>IF(ISBLANK(J198), "", VLOOKUP(C198, 'Info Tipo de Cambio y REM'!$A$24:$B$35, 2, FALSE))</f>
        <v/>
      </c>
      <c r="M198" s="107" t="str">
        <f t="shared" si="1"/>
        <v/>
      </c>
    </row>
    <row r="199">
      <c r="A199" s="102"/>
      <c r="B199" s="102"/>
      <c r="C199" s="51"/>
      <c r="D199" s="156"/>
      <c r="E199" s="102"/>
      <c r="F199" s="191"/>
      <c r="G199" s="55"/>
      <c r="H199" s="121"/>
      <c r="I199" s="104"/>
      <c r="J199" s="112"/>
      <c r="K199" s="71"/>
      <c r="L199" s="106" t="str">
        <f>IF(ISBLANK(J199), "", VLOOKUP(C199, 'Info Tipo de Cambio y REM'!$A$24:$B$35, 2, FALSE))</f>
        <v/>
      </c>
      <c r="M199" s="107" t="str">
        <f t="shared" si="1"/>
        <v/>
      </c>
    </row>
    <row r="200">
      <c r="A200" s="102"/>
      <c r="B200" s="102"/>
      <c r="C200" s="51"/>
      <c r="D200" s="156"/>
      <c r="E200" s="102"/>
      <c r="F200" s="191"/>
      <c r="G200" s="158"/>
      <c r="H200" s="121"/>
      <c r="I200" s="104"/>
      <c r="J200" s="112"/>
      <c r="K200" s="71"/>
      <c r="L200" s="106" t="str">
        <f>IF(ISBLANK(J200), "", VLOOKUP(C200, 'Info Tipo de Cambio y REM'!$A$24:$B$35, 2, FALSE))</f>
        <v/>
      </c>
      <c r="M200" s="107" t="str">
        <f t="shared" si="1"/>
        <v/>
      </c>
    </row>
    <row r="201">
      <c r="A201" s="102"/>
      <c r="B201" s="102"/>
      <c r="C201" s="51"/>
      <c r="D201" s="156"/>
      <c r="E201" s="102"/>
      <c r="F201" s="104"/>
      <c r="G201" s="165"/>
      <c r="H201" s="192"/>
      <c r="I201" s="104"/>
      <c r="J201" s="112"/>
      <c r="K201" s="71"/>
      <c r="L201" s="106" t="str">
        <f>IF(ISBLANK(J201), "", VLOOKUP(C201, 'Info Tipo de Cambio y REM'!$A$24:$B$35, 2, FALSE))</f>
        <v/>
      </c>
      <c r="M201" s="107" t="str">
        <f t="shared" si="1"/>
        <v/>
      </c>
    </row>
    <row r="202">
      <c r="A202" s="102"/>
      <c r="B202" s="102"/>
      <c r="C202" s="51"/>
      <c r="D202" s="156"/>
      <c r="E202" s="102"/>
      <c r="F202" s="104"/>
      <c r="G202" s="165"/>
      <c r="I202" s="104"/>
      <c r="J202" s="112"/>
      <c r="K202" s="71"/>
      <c r="L202" s="106" t="str">
        <f>IF(ISBLANK(J202), "", VLOOKUP(C202, 'Info Tipo de Cambio y REM'!$A$24:$B$35, 2, FALSE))</f>
        <v/>
      </c>
      <c r="M202" s="107" t="str">
        <f t="shared" si="1"/>
        <v/>
      </c>
    </row>
    <row r="203">
      <c r="A203" s="102"/>
      <c r="B203" s="102"/>
      <c r="C203" s="51"/>
      <c r="D203" s="156"/>
      <c r="E203" s="102"/>
      <c r="F203" s="104"/>
      <c r="G203" s="165"/>
      <c r="I203" s="104"/>
      <c r="J203" s="113"/>
      <c r="K203" s="109"/>
      <c r="L203" s="106" t="str">
        <f>IF(ISBLANK(J203), "", VLOOKUP(C203, 'Info Tipo de Cambio y REM'!$A$24:$B$35, 2, FALSE))</f>
        <v/>
      </c>
      <c r="M203" s="107" t="str">
        <f t="shared" si="1"/>
        <v/>
      </c>
    </row>
    <row r="204">
      <c r="A204" s="102"/>
      <c r="B204" s="102"/>
      <c r="C204" s="51"/>
      <c r="D204" s="156"/>
      <c r="E204" s="102"/>
      <c r="F204" s="122"/>
      <c r="G204" s="165"/>
      <c r="H204" s="83"/>
      <c r="I204" s="122"/>
      <c r="J204" s="113"/>
      <c r="K204" s="193"/>
      <c r="L204" s="106" t="str">
        <f>IF(ISBLANK(J204), "", VLOOKUP(C204, 'Info Tipo de Cambio y REM'!$A$24:$B$35, 2, FALSE))</f>
        <v/>
      </c>
      <c r="M204" s="107" t="str">
        <f t="shared" si="1"/>
        <v/>
      </c>
    </row>
    <row r="205">
      <c r="A205" s="102"/>
      <c r="B205" s="102"/>
      <c r="C205" s="51"/>
      <c r="D205" s="156"/>
      <c r="E205" s="102"/>
      <c r="F205" s="122"/>
      <c r="G205" s="165"/>
      <c r="H205" s="83"/>
      <c r="I205" s="122"/>
      <c r="J205" s="113"/>
      <c r="K205" s="193"/>
      <c r="L205" s="106" t="str">
        <f>IF(ISBLANK(J205), "", VLOOKUP(C205, 'Info Tipo de Cambio y REM'!$A$24:$B$35, 2, FALSE))</f>
        <v/>
      </c>
      <c r="M205" s="107" t="str">
        <f t="shared" si="1"/>
        <v/>
      </c>
    </row>
    <row r="206">
      <c r="A206" s="102"/>
      <c r="B206" s="102"/>
      <c r="C206" s="51"/>
      <c r="D206" s="156"/>
      <c r="E206" s="102"/>
      <c r="F206" s="122"/>
      <c r="G206" s="165"/>
      <c r="H206" s="83"/>
      <c r="I206" s="122"/>
      <c r="J206" s="113"/>
      <c r="K206" s="193"/>
      <c r="L206" s="106" t="str">
        <f>IF(ISBLANK(J206), "", VLOOKUP(C206, 'Info Tipo de Cambio y REM'!$A$24:$B$35, 2, FALSE))</f>
        <v/>
      </c>
      <c r="M206" s="107" t="str">
        <f t="shared" si="1"/>
        <v/>
      </c>
    </row>
    <row r="207">
      <c r="A207" s="102"/>
      <c r="B207" s="102"/>
      <c r="C207" s="51"/>
      <c r="D207" s="156"/>
      <c r="E207" s="102"/>
      <c r="F207" s="122"/>
      <c r="G207" s="165"/>
      <c r="H207" s="83"/>
      <c r="I207" s="122"/>
      <c r="J207" s="113"/>
      <c r="K207" s="193"/>
      <c r="L207" s="106" t="str">
        <f>IF(ISBLANK(J207), "", VLOOKUP(C207, 'Info Tipo de Cambio y REM'!$A$24:$B$35, 2, FALSE))</f>
        <v/>
      </c>
      <c r="M207" s="107" t="str">
        <f t="shared" si="1"/>
        <v/>
      </c>
    </row>
    <row r="208">
      <c r="A208" s="102"/>
      <c r="B208" s="102"/>
      <c r="C208" s="51"/>
      <c r="D208" s="156"/>
      <c r="E208" s="102"/>
      <c r="F208" s="122"/>
      <c r="G208" s="165"/>
      <c r="H208" s="83"/>
      <c r="I208" s="122"/>
      <c r="J208" s="113"/>
      <c r="K208" s="193"/>
      <c r="L208" s="106" t="str">
        <f>IF(ISBLANK(J208), "", VLOOKUP(C208, 'Info Tipo de Cambio y REM'!$A$24:$B$35, 2, FALSE))</f>
        <v/>
      </c>
      <c r="M208" s="107" t="str">
        <f t="shared" si="1"/>
        <v/>
      </c>
    </row>
    <row r="209">
      <c r="A209" s="102"/>
      <c r="B209" s="102"/>
      <c r="C209" s="51"/>
      <c r="D209" s="156"/>
      <c r="E209" s="102"/>
      <c r="F209" s="194"/>
      <c r="G209" s="165"/>
      <c r="H209" s="83"/>
      <c r="I209" s="122"/>
      <c r="J209" s="113"/>
      <c r="K209" s="193"/>
      <c r="L209" s="106" t="str">
        <f>IF(ISBLANK(J209), "", VLOOKUP(C209, 'Info Tipo de Cambio y REM'!$A$24:$B$35, 2, FALSE))</f>
        <v/>
      </c>
      <c r="M209" s="107" t="str">
        <f t="shared" si="1"/>
        <v/>
      </c>
    </row>
    <row r="210">
      <c r="A210" s="102"/>
      <c r="B210" s="102"/>
      <c r="C210" s="51"/>
      <c r="D210" s="156"/>
      <c r="E210" s="102"/>
      <c r="F210" s="82"/>
      <c r="G210" s="165"/>
      <c r="H210" s="121"/>
      <c r="I210" s="82"/>
      <c r="J210" s="113"/>
      <c r="K210" s="193"/>
      <c r="L210" s="106" t="str">
        <f>IF(ISBLANK(J210), "", VLOOKUP(C210, 'Info Tipo de Cambio y REM'!$A$24:$B$35, 2, FALSE))</f>
        <v/>
      </c>
      <c r="M210" s="107" t="str">
        <f t="shared" si="1"/>
        <v/>
      </c>
    </row>
    <row r="211">
      <c r="A211" s="102"/>
      <c r="B211" s="102"/>
      <c r="C211" s="51"/>
      <c r="D211" s="156"/>
      <c r="E211" s="102"/>
      <c r="F211" s="82"/>
      <c r="G211" s="165"/>
      <c r="H211" s="121"/>
      <c r="I211" s="82"/>
      <c r="J211" s="113"/>
      <c r="K211" s="193"/>
      <c r="L211" s="106" t="str">
        <f>IF(ISBLANK(J211), "", VLOOKUP(C211, 'Info Tipo de Cambio y REM'!$A$24:$B$35, 2, FALSE))</f>
        <v/>
      </c>
      <c r="M211" s="107" t="str">
        <f t="shared" si="1"/>
        <v/>
      </c>
    </row>
    <row r="212">
      <c r="A212" s="102"/>
      <c r="B212" s="102"/>
      <c r="C212" s="51"/>
      <c r="D212" s="156"/>
      <c r="E212" s="102"/>
      <c r="F212" s="82"/>
      <c r="G212" s="165"/>
      <c r="H212" s="121"/>
      <c r="I212" s="82"/>
      <c r="J212" s="113"/>
      <c r="K212" s="193"/>
      <c r="L212" s="106" t="str">
        <f>IF(ISBLANK(J212), "", VLOOKUP(C212, 'Info Tipo de Cambio y REM'!$A$24:$B$35, 2, FALSE))</f>
        <v/>
      </c>
      <c r="M212" s="107" t="str">
        <f t="shared" si="1"/>
        <v/>
      </c>
    </row>
    <row r="213">
      <c r="A213" s="102"/>
      <c r="B213" s="102"/>
      <c r="C213" s="51"/>
      <c r="D213" s="156"/>
      <c r="E213" s="102"/>
      <c r="F213" s="82"/>
      <c r="G213" s="165"/>
      <c r="H213" s="121"/>
      <c r="I213" s="82"/>
      <c r="J213" s="113"/>
      <c r="K213" s="193"/>
      <c r="L213" s="106" t="str">
        <f>IF(ISBLANK(J213), "", VLOOKUP(C213, 'Info Tipo de Cambio y REM'!$A$24:$B$35, 2, FALSE))</f>
        <v/>
      </c>
      <c r="M213" s="107" t="str">
        <f t="shared" si="1"/>
        <v/>
      </c>
    </row>
    <row r="214">
      <c r="A214" s="102"/>
      <c r="B214" s="102"/>
      <c r="C214" s="51"/>
      <c r="D214" s="156"/>
      <c r="E214" s="102"/>
      <c r="F214" s="82"/>
      <c r="G214" s="165"/>
      <c r="H214" s="121"/>
      <c r="I214" s="82"/>
      <c r="J214" s="113"/>
      <c r="K214" s="193"/>
      <c r="L214" s="106" t="str">
        <f>IF(ISBLANK(J214), "", VLOOKUP(C214, 'Info Tipo de Cambio y REM'!$A$24:$B$35, 2, FALSE))</f>
        <v/>
      </c>
      <c r="M214" s="107" t="str">
        <f t="shared" si="1"/>
        <v/>
      </c>
    </row>
    <row r="215">
      <c r="A215" s="102"/>
      <c r="B215" s="102"/>
      <c r="C215" s="51"/>
      <c r="D215" s="156"/>
      <c r="E215" s="102"/>
      <c r="F215" s="82"/>
      <c r="G215" s="165"/>
      <c r="H215" s="121"/>
      <c r="I215" s="82"/>
      <c r="J215" s="113"/>
      <c r="K215" s="193"/>
      <c r="L215" s="106" t="str">
        <f>IF(ISBLANK(J215), "", VLOOKUP(C215, 'Info Tipo de Cambio y REM'!$A$24:$B$35, 2, FALSE))</f>
        <v/>
      </c>
      <c r="M215" s="107" t="str">
        <f t="shared" si="1"/>
        <v/>
      </c>
    </row>
    <row r="216">
      <c r="A216" s="102"/>
      <c r="B216" s="102"/>
      <c r="C216" s="51"/>
      <c r="D216" s="156"/>
      <c r="E216" s="102"/>
      <c r="F216" s="82"/>
      <c r="G216" s="165"/>
      <c r="H216" s="121"/>
      <c r="I216" s="82"/>
      <c r="J216" s="113"/>
      <c r="K216" s="193"/>
      <c r="L216" s="106" t="str">
        <f>IF(ISBLANK(J216), "", VLOOKUP(C216, 'Info Tipo de Cambio y REM'!$A$24:$B$35, 2, FALSE))</f>
        <v/>
      </c>
      <c r="M216" s="107" t="str">
        <f t="shared" si="1"/>
        <v/>
      </c>
    </row>
    <row r="217">
      <c r="A217" s="102"/>
      <c r="B217" s="102"/>
      <c r="C217" s="51"/>
      <c r="D217" s="156"/>
      <c r="E217" s="102"/>
      <c r="F217" s="82"/>
      <c r="G217" s="165"/>
      <c r="H217" s="121"/>
      <c r="I217" s="82"/>
      <c r="J217" s="113"/>
      <c r="K217" s="193"/>
      <c r="L217" s="106" t="str">
        <f>IF(ISBLANK(J217), "", VLOOKUP(C217, 'Info Tipo de Cambio y REM'!$A$24:$B$35, 2, FALSE))</f>
        <v/>
      </c>
      <c r="M217" s="107" t="str">
        <f t="shared" si="1"/>
        <v/>
      </c>
    </row>
    <row r="218">
      <c r="A218" s="102"/>
      <c r="B218" s="102"/>
      <c r="C218" s="51"/>
      <c r="D218" s="156"/>
      <c r="E218" s="102"/>
      <c r="F218" s="82"/>
      <c r="G218" s="165"/>
      <c r="H218" s="195"/>
      <c r="I218" s="82"/>
      <c r="J218" s="113"/>
      <c r="K218" s="109"/>
      <c r="L218" s="106" t="str">
        <f>IF(ISBLANK(J218), "", VLOOKUP(C218, 'Info Tipo de Cambio y REM'!$A$24:$B$35, 2, FALSE))</f>
        <v/>
      </c>
      <c r="M218" s="107" t="str">
        <f t="shared" si="1"/>
        <v/>
      </c>
    </row>
    <row r="219">
      <c r="A219" s="102"/>
      <c r="B219" s="102"/>
      <c r="C219" s="51"/>
      <c r="D219" s="156"/>
      <c r="E219" s="102"/>
      <c r="F219" s="82"/>
      <c r="G219" s="165"/>
      <c r="H219" s="195"/>
      <c r="I219" s="82"/>
      <c r="J219" s="113"/>
      <c r="K219" s="109"/>
      <c r="L219" s="106" t="str">
        <f>IF(ISBLANK(J219), "", VLOOKUP(C219, 'Info Tipo de Cambio y REM'!$A$24:$B$35, 2, FALSE))</f>
        <v/>
      </c>
      <c r="M219" s="107" t="str">
        <f t="shared" si="1"/>
        <v/>
      </c>
    </row>
    <row r="220">
      <c r="A220" s="102"/>
      <c r="B220" s="102"/>
      <c r="C220" s="51"/>
      <c r="D220" s="156"/>
      <c r="E220" s="102"/>
      <c r="F220" s="170"/>
      <c r="G220" s="55"/>
      <c r="H220" s="169"/>
      <c r="I220" s="104"/>
      <c r="J220" s="113"/>
      <c r="K220" s="109"/>
      <c r="L220" s="106" t="str">
        <f>IF(ISBLANK(J220), "", VLOOKUP(C220, 'Info Tipo de Cambio y REM'!$A$24:$B$35, 2, FALSE))</f>
        <v/>
      </c>
      <c r="M220" s="107" t="str">
        <f t="shared" si="1"/>
        <v/>
      </c>
    </row>
    <row r="221">
      <c r="A221" s="102"/>
      <c r="B221" s="102"/>
      <c r="C221" s="51"/>
      <c r="D221" s="156"/>
      <c r="E221" s="102"/>
      <c r="F221" s="170"/>
      <c r="G221" s="55"/>
      <c r="I221" s="104"/>
      <c r="J221" s="113"/>
      <c r="K221" s="109"/>
      <c r="L221" s="106" t="str">
        <f>IF(ISBLANK(J221), "", VLOOKUP(C221, 'Info Tipo de Cambio y REM'!$A$24:$B$35, 2, FALSE))</f>
        <v/>
      </c>
      <c r="M221" s="107" t="str">
        <f t="shared" si="1"/>
        <v/>
      </c>
    </row>
    <row r="222">
      <c r="A222" s="102"/>
      <c r="B222" s="102"/>
      <c r="C222" s="51"/>
      <c r="D222" s="156"/>
      <c r="E222" s="102"/>
      <c r="F222" s="196"/>
      <c r="G222" s="165"/>
      <c r="H222" s="83"/>
      <c r="I222" s="104"/>
      <c r="J222" s="189"/>
      <c r="K222" s="123"/>
      <c r="L222" s="106" t="str">
        <f>IF(ISBLANK(J222), "", VLOOKUP(C222, 'Info Tipo de Cambio y REM'!$A$24:$B$35, 2, FALSE))</f>
        <v/>
      </c>
      <c r="M222" s="107" t="str">
        <f t="shared" si="1"/>
        <v/>
      </c>
    </row>
    <row r="223">
      <c r="A223" s="102"/>
      <c r="B223" s="102"/>
      <c r="C223" s="51"/>
      <c r="D223" s="156"/>
      <c r="E223" s="102"/>
      <c r="F223" s="196"/>
      <c r="G223" s="165"/>
      <c r="H223" s="83"/>
      <c r="I223" s="104"/>
      <c r="J223" s="189"/>
      <c r="K223" s="123"/>
      <c r="L223" s="106" t="str">
        <f>IF(ISBLANK(J223), "", VLOOKUP(C223, 'Info Tipo de Cambio y REM'!$A$24:$B$35, 2, FALSE))</f>
        <v/>
      </c>
      <c r="M223" s="107" t="str">
        <f t="shared" si="1"/>
        <v/>
      </c>
    </row>
    <row r="224">
      <c r="A224" s="102"/>
      <c r="B224" s="102"/>
      <c r="C224" s="51"/>
      <c r="D224" s="156"/>
      <c r="E224" s="102"/>
      <c r="F224" s="196"/>
      <c r="G224" s="165"/>
      <c r="H224" s="83"/>
      <c r="I224" s="104"/>
      <c r="J224" s="189"/>
      <c r="K224" s="123"/>
      <c r="L224" s="106" t="str">
        <f>IF(ISBLANK(J224), "", VLOOKUP(C224, 'Info Tipo de Cambio y REM'!$A$24:$B$35, 2, FALSE))</f>
        <v/>
      </c>
      <c r="M224" s="107" t="str">
        <f t="shared" si="1"/>
        <v/>
      </c>
    </row>
    <row r="225">
      <c r="A225" s="102"/>
      <c r="B225" s="102"/>
      <c r="C225" s="51"/>
      <c r="D225" s="156"/>
      <c r="E225" s="102"/>
      <c r="F225" s="104"/>
      <c r="G225" s="165"/>
      <c r="I225" s="104"/>
      <c r="K225" s="89"/>
      <c r="L225" s="106" t="str">
        <f>IF(ISBLANK(J225), "", VLOOKUP(C225, 'Info Tipo de Cambio y REM'!$A$24:$B$35, 2, FALSE))</f>
        <v/>
      </c>
      <c r="M225" s="107" t="str">
        <f t="shared" si="1"/>
        <v/>
      </c>
    </row>
    <row r="226">
      <c r="A226" s="102"/>
      <c r="B226" s="102"/>
      <c r="C226" s="51"/>
      <c r="D226" s="156"/>
      <c r="E226" s="102"/>
      <c r="F226" s="104"/>
      <c r="G226" s="165"/>
      <c r="I226" s="104"/>
      <c r="K226" s="89"/>
      <c r="L226" s="106" t="str">
        <f>IF(ISBLANK(J226), "", VLOOKUP(C226, 'Info Tipo de Cambio y REM'!$A$24:$B$35, 2, FALSE))</f>
        <v/>
      </c>
      <c r="M226" s="107" t="str">
        <f t="shared" si="1"/>
        <v/>
      </c>
    </row>
    <row r="227">
      <c r="A227" s="102"/>
      <c r="B227" s="102"/>
      <c r="C227" s="51"/>
      <c r="D227" s="156"/>
      <c r="E227" s="102"/>
      <c r="F227" s="104"/>
      <c r="G227" s="165"/>
      <c r="I227" s="104"/>
      <c r="K227" s="89"/>
      <c r="L227" s="106" t="str">
        <f>IF(ISBLANK(J227), "", VLOOKUP(C227, 'Info Tipo de Cambio y REM'!$A$24:$B$35, 2, FALSE))</f>
        <v/>
      </c>
      <c r="M227" s="107" t="str">
        <f t="shared" si="1"/>
        <v/>
      </c>
    </row>
    <row r="228">
      <c r="A228" s="102"/>
      <c r="B228" s="102"/>
      <c r="C228" s="51"/>
      <c r="D228" s="156"/>
      <c r="E228" s="102"/>
      <c r="F228" s="104"/>
      <c r="G228" s="165"/>
      <c r="I228" s="104"/>
      <c r="K228" s="89"/>
      <c r="L228" s="106" t="str">
        <f>IF(ISBLANK(J228), "", VLOOKUP(C228, 'Info Tipo de Cambio y REM'!$A$24:$B$35, 2, FALSE))</f>
        <v/>
      </c>
      <c r="M228" s="107" t="str">
        <f t="shared" si="1"/>
        <v/>
      </c>
    </row>
    <row r="229">
      <c r="A229" s="102"/>
      <c r="B229" s="102"/>
      <c r="C229" s="51"/>
      <c r="D229" s="156"/>
      <c r="E229" s="102"/>
      <c r="F229" s="104"/>
      <c r="G229" s="165"/>
      <c r="I229" s="104"/>
      <c r="K229" s="89"/>
      <c r="L229" s="106" t="str">
        <f>IF(ISBLANK(J229), "", VLOOKUP(C229, 'Info Tipo de Cambio y REM'!$A$24:$B$35, 2, FALSE))</f>
        <v/>
      </c>
      <c r="M229" s="107" t="str">
        <f t="shared" si="1"/>
        <v/>
      </c>
    </row>
    <row r="230">
      <c r="A230" s="102"/>
      <c r="B230" s="102"/>
      <c r="C230" s="51"/>
      <c r="D230" s="156"/>
      <c r="E230" s="102"/>
      <c r="F230" s="104"/>
      <c r="G230" s="165"/>
      <c r="I230" s="104"/>
      <c r="K230" s="89"/>
      <c r="L230" s="106" t="str">
        <f>IF(ISBLANK(J230), "", VLOOKUP(C230, 'Info Tipo de Cambio y REM'!$A$24:$B$35, 2, FALSE))</f>
        <v/>
      </c>
      <c r="M230" s="107" t="str">
        <f t="shared" si="1"/>
        <v/>
      </c>
    </row>
    <row r="231">
      <c r="A231" s="102"/>
      <c r="B231" s="102"/>
      <c r="C231" s="51"/>
      <c r="D231" s="156"/>
      <c r="E231" s="102"/>
      <c r="F231" s="104"/>
      <c r="G231" s="165"/>
      <c r="I231" s="104"/>
      <c r="K231" s="89"/>
      <c r="L231" s="106" t="str">
        <f>IF(ISBLANK(J231), "", VLOOKUP(C231, 'Info Tipo de Cambio y REM'!$A$24:$B$35, 2, FALSE))</f>
        <v/>
      </c>
      <c r="M231" s="107" t="str">
        <f t="shared" si="1"/>
        <v/>
      </c>
    </row>
    <row r="232">
      <c r="A232" s="102"/>
      <c r="B232" s="102"/>
      <c r="C232" s="51"/>
      <c r="D232" s="156"/>
      <c r="E232" s="102"/>
      <c r="F232" s="104"/>
      <c r="G232" s="165"/>
      <c r="I232" s="104"/>
      <c r="K232" s="89"/>
      <c r="L232" s="106" t="str">
        <f>IF(ISBLANK(J232), "", VLOOKUP(C232, 'Info Tipo de Cambio y REM'!$A$24:$B$35, 2, FALSE))</f>
        <v/>
      </c>
      <c r="M232" s="107" t="str">
        <f t="shared" si="1"/>
        <v/>
      </c>
    </row>
    <row r="233">
      <c r="A233" s="102"/>
      <c r="B233" s="102"/>
      <c r="C233" s="51"/>
      <c r="D233" s="156"/>
      <c r="E233" s="102"/>
      <c r="F233" s="104"/>
      <c r="G233" s="165"/>
      <c r="I233" s="104"/>
      <c r="K233" s="89"/>
      <c r="L233" s="106" t="str">
        <f>IF(ISBLANK(J233), "", VLOOKUP(C233, 'Info Tipo de Cambio y REM'!$A$24:$B$35, 2, FALSE))</f>
        <v/>
      </c>
      <c r="M233" s="107" t="str">
        <f t="shared" si="1"/>
        <v/>
      </c>
    </row>
    <row r="234">
      <c r="A234" s="102"/>
      <c r="B234" s="102"/>
      <c r="C234" s="51"/>
      <c r="D234" s="156"/>
      <c r="E234" s="102"/>
      <c r="F234" s="104"/>
      <c r="G234" s="165"/>
      <c r="I234" s="104"/>
      <c r="K234" s="89"/>
      <c r="L234" s="106" t="str">
        <f>IF(ISBLANK(J234), "", VLOOKUP(C234, 'Info Tipo de Cambio y REM'!$A$24:$B$35, 2, FALSE))</f>
        <v/>
      </c>
      <c r="M234" s="107" t="str">
        <f t="shared" si="1"/>
        <v/>
      </c>
    </row>
    <row r="235">
      <c r="A235" s="102"/>
      <c r="B235" s="102"/>
      <c r="C235" s="51"/>
      <c r="D235" s="156"/>
      <c r="E235" s="102"/>
      <c r="F235" s="104"/>
      <c r="G235" s="165"/>
      <c r="I235" s="104"/>
      <c r="K235" s="89"/>
      <c r="L235" s="106" t="str">
        <f>IF(ISBLANK(J235), "", VLOOKUP(C235, 'Info Tipo de Cambio y REM'!$A$24:$B$35, 2, FALSE))</f>
        <v/>
      </c>
      <c r="M235" s="107" t="str">
        <f t="shared" si="1"/>
        <v/>
      </c>
    </row>
    <row r="236">
      <c r="A236" s="102"/>
      <c r="B236" s="102"/>
      <c r="C236" s="51"/>
      <c r="D236" s="156"/>
      <c r="E236" s="102"/>
      <c r="F236" s="104"/>
      <c r="G236" s="165"/>
      <c r="I236" s="104"/>
      <c r="K236" s="89"/>
      <c r="L236" s="106" t="str">
        <f>IF(ISBLANK(J236), "", VLOOKUP(C236, 'Info Tipo de Cambio y REM'!$A$24:$B$35, 2, FALSE))</f>
        <v/>
      </c>
      <c r="M236" s="107" t="str">
        <f t="shared" si="1"/>
        <v/>
      </c>
    </row>
    <row r="237">
      <c r="A237" s="102"/>
      <c r="B237" s="102"/>
      <c r="C237" s="51"/>
      <c r="D237" s="156"/>
      <c r="E237" s="102"/>
      <c r="F237" s="104"/>
      <c r="G237" s="165"/>
      <c r="I237" s="104"/>
      <c r="K237" s="89"/>
      <c r="L237" s="106" t="str">
        <f>IF(ISBLANK(J237), "", VLOOKUP(C237, 'Info Tipo de Cambio y REM'!$A$24:$B$35, 2, FALSE))</f>
        <v/>
      </c>
      <c r="M237" s="107" t="str">
        <f t="shared" si="1"/>
        <v/>
      </c>
    </row>
    <row r="238">
      <c r="A238" s="102"/>
      <c r="B238" s="102"/>
      <c r="C238" s="51"/>
      <c r="D238" s="156"/>
      <c r="E238" s="102"/>
      <c r="F238" s="104"/>
      <c r="G238" s="165"/>
      <c r="I238" s="104"/>
      <c r="K238" s="89"/>
      <c r="L238" s="106" t="str">
        <f>IF(ISBLANK(J238), "", VLOOKUP(C238, 'Info Tipo de Cambio y REM'!$A$24:$B$35, 2, FALSE))</f>
        <v/>
      </c>
      <c r="M238" s="107" t="str">
        <f t="shared" si="1"/>
        <v/>
      </c>
    </row>
    <row r="239">
      <c r="A239" s="102"/>
      <c r="B239" s="102"/>
      <c r="C239" s="51"/>
      <c r="D239" s="156"/>
      <c r="E239" s="102"/>
      <c r="F239" s="104"/>
      <c r="G239" s="165"/>
      <c r="I239" s="104"/>
      <c r="K239" s="89"/>
      <c r="L239" s="106" t="str">
        <f>IF(ISBLANK(J239), "", VLOOKUP(C239, 'Info Tipo de Cambio y REM'!$A$24:$B$35, 2, FALSE))</f>
        <v/>
      </c>
      <c r="M239" s="107" t="str">
        <f t="shared" si="1"/>
        <v/>
      </c>
    </row>
    <row r="240">
      <c r="A240" s="102"/>
      <c r="B240" s="102"/>
      <c r="C240" s="51"/>
      <c r="D240" s="156"/>
      <c r="E240" s="102"/>
      <c r="F240" s="104"/>
      <c r="G240" s="165"/>
      <c r="I240" s="104"/>
      <c r="K240" s="89"/>
      <c r="L240" s="106" t="str">
        <f>IF(ISBLANK(J240), "", VLOOKUP(C240, 'Info Tipo de Cambio y REM'!$A$24:$B$35, 2, FALSE))</f>
        <v/>
      </c>
      <c r="M240" s="107" t="str">
        <f t="shared" si="1"/>
        <v/>
      </c>
    </row>
    <row r="241">
      <c r="A241" s="102"/>
      <c r="B241" s="102"/>
      <c r="C241" s="51"/>
      <c r="D241" s="156"/>
      <c r="E241" s="102"/>
      <c r="F241" s="104"/>
      <c r="G241" s="165"/>
      <c r="I241" s="104"/>
      <c r="K241" s="89"/>
      <c r="L241" s="106" t="str">
        <f>IF(ISBLANK(J241), "", VLOOKUP(C241, 'Info Tipo de Cambio y REM'!$A$24:$B$35, 2, FALSE))</f>
        <v/>
      </c>
      <c r="M241" s="107" t="str">
        <f t="shared" si="1"/>
        <v/>
      </c>
    </row>
    <row r="242">
      <c r="A242" s="102"/>
      <c r="B242" s="102"/>
      <c r="C242" s="51"/>
      <c r="D242" s="156"/>
      <c r="E242" s="102"/>
      <c r="F242" s="104"/>
      <c r="G242" s="165"/>
      <c r="I242" s="104"/>
      <c r="K242" s="89"/>
      <c r="L242" s="106" t="str">
        <f>IF(ISBLANK(J242), "", VLOOKUP(C242, 'Info Tipo de Cambio y REM'!$A$24:$B$35, 2, FALSE))</f>
        <v/>
      </c>
      <c r="M242" s="107" t="str">
        <f t="shared" si="1"/>
        <v/>
      </c>
    </row>
    <row r="243">
      <c r="A243" s="102"/>
      <c r="B243" s="102"/>
      <c r="C243" s="51"/>
      <c r="D243" s="156"/>
      <c r="E243" s="102"/>
      <c r="F243" s="104"/>
      <c r="G243" s="165"/>
      <c r="I243" s="104"/>
      <c r="K243" s="89"/>
      <c r="L243" s="106" t="str">
        <f>IF(ISBLANK(J243), "", VLOOKUP(C243, 'Info Tipo de Cambio y REM'!$A$24:$B$35, 2, FALSE))</f>
        <v/>
      </c>
      <c r="M243" s="107" t="str">
        <f t="shared" si="1"/>
        <v/>
      </c>
    </row>
    <row r="244">
      <c r="A244" s="102"/>
      <c r="B244" s="102"/>
      <c r="C244" s="51"/>
      <c r="D244" s="156"/>
      <c r="E244" s="102"/>
      <c r="F244" s="104"/>
      <c r="G244" s="165"/>
      <c r="I244" s="104"/>
      <c r="K244" s="89"/>
      <c r="L244" s="106" t="str">
        <f>IF(ISBLANK(J244), "", VLOOKUP(C244, 'Info Tipo de Cambio y REM'!$A$24:$B$35, 2, FALSE))</f>
        <v/>
      </c>
      <c r="M244" s="107" t="str">
        <f t="shared" si="1"/>
        <v/>
      </c>
    </row>
    <row r="245">
      <c r="A245" s="102"/>
      <c r="B245" s="102"/>
      <c r="C245" s="51"/>
      <c r="D245" s="156"/>
      <c r="E245" s="102"/>
      <c r="F245" s="104"/>
      <c r="G245" s="165"/>
      <c r="I245" s="104"/>
      <c r="K245" s="89"/>
      <c r="L245" s="106" t="str">
        <f>IF(ISBLANK(J245), "", VLOOKUP(C245, 'Info Tipo de Cambio y REM'!$A$24:$B$35, 2, FALSE))</f>
        <v/>
      </c>
      <c r="M245" s="107" t="str">
        <f t="shared" si="1"/>
        <v/>
      </c>
    </row>
    <row r="246">
      <c r="A246" s="102"/>
      <c r="B246" s="102"/>
      <c r="C246" s="51"/>
      <c r="D246" s="156"/>
      <c r="E246" s="102"/>
      <c r="F246" s="104"/>
      <c r="G246" s="165"/>
      <c r="I246" s="104"/>
      <c r="K246" s="89"/>
      <c r="L246" s="106" t="str">
        <f>IF(ISBLANK(J246), "", VLOOKUP(C246, 'Info Tipo de Cambio y REM'!$A$24:$B$35, 2, FALSE))</f>
        <v/>
      </c>
      <c r="M246" s="107" t="str">
        <f t="shared" si="1"/>
        <v/>
      </c>
    </row>
    <row r="247">
      <c r="A247" s="102"/>
      <c r="B247" s="102"/>
      <c r="C247" s="51"/>
      <c r="D247" s="156"/>
      <c r="E247" s="102"/>
      <c r="F247" s="104"/>
      <c r="G247" s="165"/>
      <c r="I247" s="104"/>
      <c r="K247" s="89"/>
      <c r="L247" s="106" t="str">
        <f>IF(ISBLANK(J247), "", VLOOKUP(C247, 'Info Tipo de Cambio y REM'!$A$24:$B$35, 2, FALSE))</f>
        <v/>
      </c>
      <c r="M247" s="107" t="str">
        <f t="shared" si="1"/>
        <v/>
      </c>
    </row>
    <row r="248">
      <c r="A248" s="102"/>
      <c r="B248" s="102"/>
      <c r="C248" s="51"/>
      <c r="D248" s="156"/>
      <c r="E248" s="102"/>
      <c r="F248" s="104"/>
      <c r="G248" s="165"/>
      <c r="I248" s="104"/>
      <c r="K248" s="89"/>
      <c r="L248" s="106" t="str">
        <f>IF(ISBLANK(J248), "", VLOOKUP(C248, 'Info Tipo de Cambio y REM'!$A$24:$B$35, 2, FALSE))</f>
        <v/>
      </c>
      <c r="M248" s="107" t="str">
        <f t="shared" si="1"/>
        <v/>
      </c>
    </row>
    <row r="249">
      <c r="A249" s="102"/>
      <c r="B249" s="102"/>
      <c r="C249" s="51"/>
      <c r="D249" s="156"/>
      <c r="E249" s="102"/>
      <c r="F249" s="104"/>
      <c r="G249" s="165"/>
      <c r="I249" s="104"/>
      <c r="K249" s="89"/>
      <c r="L249" s="106" t="str">
        <f>IF(ISBLANK(J249), "", VLOOKUP(C249, 'Info Tipo de Cambio y REM'!$A$24:$B$35, 2, FALSE))</f>
        <v/>
      </c>
      <c r="M249" s="107" t="str">
        <f t="shared" si="1"/>
        <v/>
      </c>
    </row>
    <row r="250">
      <c r="A250" s="102"/>
      <c r="B250" s="102"/>
      <c r="C250" s="51"/>
      <c r="D250" s="156"/>
      <c r="E250" s="102"/>
      <c r="F250" s="104"/>
      <c r="G250" s="165"/>
      <c r="H250" s="1"/>
      <c r="I250" s="168"/>
      <c r="J250" s="89"/>
      <c r="K250" s="71"/>
      <c r="L250" s="106" t="str">
        <f>IF(ISBLANK(J250), "", VLOOKUP(C250, 'Info Tipo de Cambio y REM'!$A$24:$B$35, 2, FALSE))</f>
        <v/>
      </c>
      <c r="M250" s="107" t="str">
        <f t="shared" si="1"/>
        <v/>
      </c>
    </row>
    <row r="251">
      <c r="A251" s="102"/>
      <c r="B251" s="102"/>
      <c r="C251" s="51"/>
      <c r="D251" s="156"/>
      <c r="E251" s="102"/>
      <c r="F251" s="104"/>
      <c r="G251" s="165"/>
      <c r="H251" s="1"/>
      <c r="I251" s="168"/>
      <c r="J251" s="89"/>
      <c r="K251" s="71"/>
      <c r="L251" s="106" t="str">
        <f>IF(ISBLANK(J251), "", VLOOKUP(C251, 'Info Tipo de Cambio y REM'!$A$24:$B$35, 2, FALSE))</f>
        <v/>
      </c>
      <c r="M251" s="107" t="str">
        <f t="shared" si="1"/>
        <v/>
      </c>
    </row>
    <row r="252">
      <c r="A252" s="102"/>
      <c r="B252" s="102"/>
      <c r="C252" s="51"/>
      <c r="D252" s="156"/>
      <c r="E252" s="102"/>
      <c r="F252" s="104"/>
      <c r="G252" s="165"/>
      <c r="H252" s="1"/>
      <c r="I252" s="168"/>
      <c r="J252" s="89"/>
      <c r="K252" s="71"/>
      <c r="L252" s="106" t="str">
        <f>IF(ISBLANK(J252), "", VLOOKUP(C252, 'Info Tipo de Cambio y REM'!$A$24:$B$35, 2, FALSE))</f>
        <v/>
      </c>
      <c r="M252" s="107" t="str">
        <f t="shared" si="1"/>
        <v/>
      </c>
    </row>
    <row r="253">
      <c r="A253" s="197"/>
      <c r="B253" s="102"/>
      <c r="C253" s="51"/>
      <c r="D253" s="197"/>
      <c r="E253" s="197"/>
      <c r="F253" s="183"/>
      <c r="G253" s="178"/>
      <c r="H253" s="92"/>
      <c r="I253" s="177"/>
      <c r="J253" s="198"/>
      <c r="K253" s="199"/>
      <c r="L253" s="106" t="str">
        <f>IF(ISBLANK(J253), "", VLOOKUP(C253, 'Info Tipo de Cambio y REM'!$A$24:$B$35, 2, FALSE))</f>
        <v/>
      </c>
      <c r="M253" s="200" t="str">
        <f t="shared" si="1"/>
        <v/>
      </c>
      <c r="N253" s="198"/>
      <c r="O253" s="198"/>
      <c r="P253" s="198"/>
      <c r="Q253" s="198"/>
      <c r="R253" s="198"/>
      <c r="S253" s="198"/>
      <c r="T253" s="198"/>
      <c r="U253" s="198"/>
      <c r="V253" s="198"/>
    </row>
    <row r="254">
      <c r="A254" s="102"/>
      <c r="B254" s="102"/>
      <c r="C254" s="51"/>
      <c r="D254" s="156"/>
      <c r="E254" s="102"/>
      <c r="F254" s="104"/>
      <c r="G254" s="165"/>
      <c r="H254" s="1"/>
      <c r="I254" s="168"/>
      <c r="J254" s="89"/>
      <c r="K254" s="71"/>
      <c r="L254" s="106" t="str">
        <f>IF(ISBLANK(J254), "", VLOOKUP(C254, 'Info Tipo de Cambio y REM'!$A$24:$B$35, 2, FALSE))</f>
        <v/>
      </c>
      <c r="M254" s="107" t="str">
        <f t="shared" si="1"/>
        <v/>
      </c>
    </row>
    <row r="255">
      <c r="A255" s="102"/>
      <c r="B255" s="102"/>
      <c r="C255" s="51"/>
      <c r="D255" s="156"/>
      <c r="E255" s="102"/>
      <c r="F255" s="104"/>
      <c r="G255" s="184"/>
      <c r="H255" s="1"/>
      <c r="I255" s="185"/>
      <c r="J255" s="201"/>
      <c r="K255" s="71"/>
      <c r="L255" s="106" t="str">
        <f>IF(ISBLANK(J255), "", VLOOKUP(C255, 'Info Tipo de Cambio y REM'!$A$24:$B$35, 2, FALSE))</f>
        <v/>
      </c>
      <c r="M255" s="107" t="str">
        <f t="shared" si="1"/>
        <v/>
      </c>
    </row>
    <row r="256">
      <c r="A256" s="102"/>
      <c r="B256" s="102"/>
      <c r="C256" s="51"/>
      <c r="D256" s="156"/>
      <c r="E256" s="102"/>
      <c r="F256" s="104"/>
      <c r="G256" s="165"/>
      <c r="I256" s="104"/>
      <c r="J256" s="89"/>
      <c r="K256" s="71"/>
      <c r="L256" s="106" t="str">
        <f>IF(ISBLANK(J256), "", VLOOKUP(C256, 'Info Tipo de Cambio y REM'!$A$24:$B$35, 2, FALSE))</f>
        <v/>
      </c>
      <c r="M256" s="107" t="str">
        <f t="shared" si="1"/>
        <v/>
      </c>
    </row>
    <row r="257">
      <c r="A257" s="102"/>
      <c r="B257" s="102"/>
      <c r="C257" s="51"/>
      <c r="D257" s="156"/>
      <c r="E257" s="102"/>
      <c r="F257" s="104"/>
      <c r="G257" s="165"/>
      <c r="I257" s="104"/>
      <c r="J257" s="89"/>
      <c r="K257" s="71"/>
      <c r="L257" s="106" t="str">
        <f>IF(ISBLANK(J257), "", VLOOKUP(C257, 'Info Tipo de Cambio y REM'!$A$24:$B$35, 2, FALSE))</f>
        <v/>
      </c>
      <c r="M257" s="107" t="str">
        <f t="shared" si="1"/>
        <v/>
      </c>
    </row>
    <row r="258">
      <c r="A258" s="102"/>
      <c r="B258" s="102"/>
      <c r="C258" s="51"/>
      <c r="D258" s="156"/>
      <c r="E258" s="102"/>
      <c r="F258" s="104"/>
      <c r="G258" s="202"/>
      <c r="H258" s="203"/>
      <c r="I258" s="104"/>
      <c r="J258" s="112"/>
      <c r="K258" s="71"/>
      <c r="L258" s="106" t="str">
        <f>IF(ISBLANK(J258), "", VLOOKUP(C258, 'Info Tipo de Cambio y REM'!$A$24:$B$35, 2, FALSE))</f>
        <v/>
      </c>
      <c r="M258" s="107" t="str">
        <f t="shared" si="1"/>
        <v/>
      </c>
    </row>
    <row r="259">
      <c r="A259" s="102"/>
      <c r="B259" s="102"/>
      <c r="C259" s="51"/>
      <c r="D259" s="156"/>
      <c r="E259" s="102"/>
      <c r="F259" s="104"/>
      <c r="G259" s="203"/>
      <c r="H259" s="203"/>
      <c r="I259" s="104"/>
      <c r="J259" s="112"/>
      <c r="K259" s="71"/>
      <c r="L259" s="106" t="str">
        <f>IF(ISBLANK(J259), "", VLOOKUP(C259, 'Info Tipo de Cambio y REM'!$A$24:$B$35, 2, FALSE))</f>
        <v/>
      </c>
      <c r="M259" s="107" t="str">
        <f t="shared" si="1"/>
        <v/>
      </c>
    </row>
    <row r="260">
      <c r="A260" s="102"/>
      <c r="B260" s="102"/>
      <c r="C260" s="51"/>
      <c r="D260" s="156"/>
      <c r="E260" s="102"/>
      <c r="F260" s="104"/>
      <c r="G260" s="203"/>
      <c r="H260" s="203"/>
      <c r="I260" s="104"/>
      <c r="J260" s="112"/>
      <c r="K260" s="71"/>
      <c r="L260" s="106" t="str">
        <f>IF(ISBLANK(J260), "", VLOOKUP(C260, 'Info Tipo de Cambio y REM'!$A$24:$B$35, 2, FALSE))</f>
        <v/>
      </c>
      <c r="M260" s="107" t="str">
        <f t="shared" si="1"/>
        <v/>
      </c>
    </row>
    <row r="261">
      <c r="A261" s="102"/>
      <c r="B261" s="102"/>
      <c r="C261" s="51"/>
      <c r="D261" s="156"/>
      <c r="E261" s="102"/>
      <c r="F261" s="104"/>
      <c r="G261" s="203"/>
      <c r="H261" s="203"/>
      <c r="I261" s="104"/>
      <c r="J261" s="112"/>
      <c r="K261" s="71"/>
      <c r="L261" s="106" t="str">
        <f>IF(ISBLANK(J261), "", VLOOKUP(C261, 'Info Tipo de Cambio y REM'!$A$24:$B$35, 2, FALSE))</f>
        <v/>
      </c>
      <c r="M261" s="107" t="str">
        <f t="shared" si="1"/>
        <v/>
      </c>
    </row>
    <row r="262">
      <c r="A262" s="102"/>
      <c r="B262" s="102"/>
      <c r="C262" s="51"/>
      <c r="D262" s="156"/>
      <c r="E262" s="102"/>
      <c r="F262" s="104"/>
      <c r="G262" s="203"/>
      <c r="H262" s="203"/>
      <c r="I262" s="104"/>
      <c r="J262" s="112"/>
      <c r="K262" s="71"/>
      <c r="L262" s="106" t="str">
        <f>IF(ISBLANK(J262), "", VLOOKUP(C262, 'Info Tipo de Cambio y REM'!$A$24:$B$35, 2, FALSE))</f>
        <v/>
      </c>
      <c r="M262" s="107" t="str">
        <f t="shared" si="1"/>
        <v/>
      </c>
    </row>
    <row r="263">
      <c r="A263" s="102"/>
      <c r="B263" s="102"/>
      <c r="C263" s="51"/>
      <c r="D263" s="156"/>
      <c r="E263" s="102"/>
      <c r="F263" s="104"/>
      <c r="G263" s="203"/>
      <c r="H263" s="203"/>
      <c r="I263" s="104"/>
      <c r="J263" s="112"/>
      <c r="K263" s="71"/>
      <c r="L263" s="106" t="str">
        <f>IF(ISBLANK(J263), "", VLOOKUP(C263, 'Info Tipo de Cambio y REM'!$A$24:$B$35, 2, FALSE))</f>
        <v/>
      </c>
      <c r="M263" s="107" t="str">
        <f t="shared" si="1"/>
        <v/>
      </c>
    </row>
    <row r="264">
      <c r="A264" s="102"/>
      <c r="B264" s="102"/>
      <c r="C264" s="51"/>
      <c r="D264" s="156"/>
      <c r="E264" s="102"/>
      <c r="F264" s="104"/>
      <c r="G264" s="203"/>
      <c r="H264" s="203"/>
      <c r="I264" s="104"/>
      <c r="J264" s="112"/>
      <c r="K264" s="71"/>
      <c r="L264" s="106" t="str">
        <f>IF(ISBLANK(J264), "", VLOOKUP(C264, 'Info Tipo de Cambio y REM'!$A$24:$B$35, 2, FALSE))</f>
        <v/>
      </c>
      <c r="M264" s="107" t="str">
        <f t="shared" si="1"/>
        <v/>
      </c>
    </row>
    <row r="265">
      <c r="A265" s="102"/>
      <c r="B265" s="102"/>
      <c r="C265" s="51"/>
      <c r="D265" s="156"/>
      <c r="E265" s="102"/>
      <c r="F265" s="104"/>
      <c r="G265" s="203"/>
      <c r="H265" s="203"/>
      <c r="I265" s="104"/>
      <c r="J265" s="112"/>
      <c r="K265" s="71"/>
      <c r="L265" s="106" t="str">
        <f>IF(ISBLANK(J265), "", VLOOKUP(C265, 'Info Tipo de Cambio y REM'!$A$24:$B$35, 2, FALSE))</f>
        <v/>
      </c>
      <c r="M265" s="107" t="str">
        <f t="shared" si="1"/>
        <v/>
      </c>
    </row>
    <row r="266">
      <c r="A266" s="102"/>
      <c r="B266" s="102"/>
      <c r="C266" s="51"/>
      <c r="D266" s="156"/>
      <c r="E266" s="102"/>
      <c r="F266" s="104"/>
      <c r="G266" s="203"/>
      <c r="H266" s="203"/>
      <c r="I266" s="104"/>
      <c r="J266" s="112"/>
      <c r="K266" s="71"/>
      <c r="L266" s="106" t="str">
        <f>IF(ISBLANK(J266), "", VLOOKUP(C266, 'Info Tipo de Cambio y REM'!$A$24:$B$35, 2, FALSE))</f>
        <v/>
      </c>
      <c r="M266" s="107" t="str">
        <f t="shared" si="1"/>
        <v/>
      </c>
    </row>
    <row r="267">
      <c r="A267" s="102"/>
      <c r="B267" s="102"/>
      <c r="C267" s="51"/>
      <c r="D267" s="156"/>
      <c r="E267" s="102"/>
      <c r="F267" s="104"/>
      <c r="G267" s="203"/>
      <c r="H267" s="203"/>
      <c r="I267" s="104"/>
      <c r="J267" s="112"/>
      <c r="K267" s="71"/>
      <c r="L267" s="106" t="str">
        <f>IF(ISBLANK(J267), "", VLOOKUP(C267, 'Info Tipo de Cambio y REM'!$A$24:$B$35, 2, FALSE))</f>
        <v/>
      </c>
      <c r="M267" s="107" t="str">
        <f t="shared" si="1"/>
        <v/>
      </c>
    </row>
    <row r="268">
      <c r="A268" s="102"/>
      <c r="B268" s="102"/>
      <c r="C268" s="51"/>
      <c r="D268" s="156"/>
      <c r="E268" s="102"/>
      <c r="F268" s="104"/>
      <c r="G268" s="203"/>
      <c r="H268" s="203"/>
      <c r="I268" s="104"/>
      <c r="J268" s="112"/>
      <c r="K268" s="71"/>
      <c r="L268" s="106" t="str">
        <f>IF(ISBLANK(J268), "", VLOOKUP(C268, 'Info Tipo de Cambio y REM'!$A$24:$B$35, 2, FALSE))</f>
        <v/>
      </c>
      <c r="M268" s="107" t="str">
        <f t="shared" si="1"/>
        <v/>
      </c>
    </row>
    <row r="269">
      <c r="A269" s="102"/>
      <c r="B269" s="102"/>
      <c r="C269" s="51"/>
      <c r="D269" s="156"/>
      <c r="E269" s="102"/>
      <c r="F269" s="104"/>
      <c r="G269" s="203"/>
      <c r="H269" s="203"/>
      <c r="I269" s="104"/>
      <c r="J269" s="112"/>
      <c r="K269" s="71"/>
      <c r="L269" s="106" t="str">
        <f>IF(ISBLANK(J269), "", VLOOKUP(C269, 'Info Tipo de Cambio y REM'!$A$24:$B$35, 2, FALSE))</f>
        <v/>
      </c>
      <c r="M269" s="107" t="str">
        <f t="shared" si="1"/>
        <v/>
      </c>
    </row>
    <row r="270">
      <c r="A270" s="102"/>
      <c r="B270" s="102"/>
      <c r="C270" s="51"/>
      <c r="D270" s="156"/>
      <c r="E270" s="102"/>
      <c r="F270" s="104"/>
      <c r="G270" s="203"/>
      <c r="H270" s="203"/>
      <c r="I270" s="104"/>
      <c r="J270" s="112"/>
      <c r="K270" s="71"/>
      <c r="L270" s="106" t="str">
        <f>IF(ISBLANK(J270), "", VLOOKUP(C270, 'Info Tipo de Cambio y REM'!$A$24:$B$35, 2, FALSE))</f>
        <v/>
      </c>
      <c r="M270" s="107" t="str">
        <f t="shared" si="1"/>
        <v/>
      </c>
    </row>
    <row r="271">
      <c r="A271" s="102"/>
      <c r="B271" s="102"/>
      <c r="C271" s="51"/>
      <c r="D271" s="156"/>
      <c r="E271" s="102"/>
      <c r="F271" s="104"/>
      <c r="G271" s="203"/>
      <c r="H271" s="203"/>
      <c r="I271" s="104"/>
      <c r="J271" s="112"/>
      <c r="K271" s="71"/>
      <c r="L271" s="106" t="str">
        <f>IF(ISBLANK(J271), "", VLOOKUP(C271, 'Info Tipo de Cambio y REM'!$A$24:$B$35, 2, FALSE))</f>
        <v/>
      </c>
      <c r="M271" s="107" t="str">
        <f t="shared" si="1"/>
        <v/>
      </c>
    </row>
    <row r="272">
      <c r="A272" s="102"/>
      <c r="B272" s="102"/>
      <c r="C272" s="51"/>
      <c r="D272" s="156"/>
      <c r="E272" s="102"/>
      <c r="F272" s="104"/>
      <c r="G272" s="203"/>
      <c r="H272" s="203"/>
      <c r="I272" s="104"/>
      <c r="J272" s="112"/>
      <c r="K272" s="71"/>
      <c r="L272" s="106" t="str">
        <f>IF(ISBLANK(J272), "", VLOOKUP(C272, 'Info Tipo de Cambio y REM'!$A$24:$B$35, 2, FALSE))</f>
        <v/>
      </c>
      <c r="M272" s="107" t="str">
        <f t="shared" si="1"/>
        <v/>
      </c>
    </row>
    <row r="273">
      <c r="A273" s="102"/>
      <c r="B273" s="102"/>
      <c r="C273" s="51"/>
      <c r="D273" s="156"/>
      <c r="E273" s="102"/>
      <c r="F273" s="104"/>
      <c r="G273" s="203"/>
      <c r="H273" s="203"/>
      <c r="I273" s="104"/>
      <c r="J273" s="112"/>
      <c r="K273" s="71"/>
      <c r="L273" s="106" t="str">
        <f>IF(ISBLANK(J273), "", VLOOKUP(C273, 'Info Tipo de Cambio y REM'!$A$24:$B$35, 2, FALSE))</f>
        <v/>
      </c>
      <c r="M273" s="107" t="str">
        <f t="shared" si="1"/>
        <v/>
      </c>
    </row>
    <row r="274">
      <c r="A274" s="102"/>
      <c r="B274" s="102"/>
      <c r="C274" s="51"/>
      <c r="D274" s="156"/>
      <c r="E274" s="102"/>
      <c r="F274" s="104"/>
      <c r="G274" s="203"/>
      <c r="H274" s="203"/>
      <c r="I274" s="104"/>
      <c r="J274" s="204"/>
      <c r="K274" s="71"/>
      <c r="L274" s="106" t="str">
        <f>IF(ISBLANK(J274), "", VLOOKUP(C274, 'Info Tipo de Cambio y REM'!$A$24:$B$35, 2, FALSE))</f>
        <v/>
      </c>
      <c r="M274" s="107" t="str">
        <f t="shared" si="1"/>
        <v/>
      </c>
    </row>
    <row r="275">
      <c r="A275" s="102"/>
      <c r="B275" s="102"/>
      <c r="C275" s="51"/>
      <c r="D275" s="156"/>
      <c r="E275" s="102"/>
      <c r="F275" s="104"/>
      <c r="G275" s="203"/>
      <c r="H275" s="203"/>
      <c r="I275" s="104"/>
      <c r="J275" s="204"/>
      <c r="K275" s="71"/>
      <c r="L275" s="106" t="str">
        <f>IF(ISBLANK(J275), "", VLOOKUP(C275, 'Info Tipo de Cambio y REM'!$A$24:$B$35, 2, FALSE))</f>
        <v/>
      </c>
      <c r="M275" s="107" t="str">
        <f t="shared" si="1"/>
        <v/>
      </c>
    </row>
    <row r="276">
      <c r="A276" s="102"/>
      <c r="B276" s="102"/>
      <c r="C276" s="51"/>
      <c r="D276" s="156"/>
      <c r="E276" s="102"/>
      <c r="F276" s="104"/>
      <c r="G276" s="203"/>
      <c r="H276" s="203"/>
      <c r="I276" s="104"/>
      <c r="J276" s="205"/>
      <c r="K276" s="71"/>
      <c r="L276" s="106" t="str">
        <f>IF(ISBLANK(J276), "", VLOOKUP(C276, 'Info Tipo de Cambio y REM'!$A$24:$B$35, 2, FALSE))</f>
        <v/>
      </c>
      <c r="M276" s="107" t="str">
        <f t="shared" si="1"/>
        <v/>
      </c>
    </row>
    <row r="277">
      <c r="A277" s="92"/>
      <c r="B277" s="102"/>
      <c r="C277" s="51"/>
      <c r="D277" s="92"/>
      <c r="E277" s="102"/>
      <c r="F277" s="104"/>
      <c r="G277" s="206"/>
      <c r="H277" s="207"/>
      <c r="I277" s="208"/>
      <c r="J277" s="209"/>
      <c r="K277" s="210"/>
      <c r="L277" s="106" t="str">
        <f>IF(ISBLANK(J277), "", VLOOKUP(C277, 'Info Tipo de Cambio y REM'!$A$24:$B$35, 2, FALSE))</f>
        <v/>
      </c>
      <c r="M277" s="181" t="str">
        <f t="shared" si="1"/>
        <v/>
      </c>
      <c r="N277" s="182"/>
      <c r="O277" s="182"/>
      <c r="P277" s="182"/>
      <c r="Q277" s="182"/>
      <c r="R277" s="182"/>
      <c r="S277" s="182"/>
      <c r="T277" s="182"/>
      <c r="U277" s="182"/>
      <c r="V277" s="182"/>
    </row>
    <row r="278">
      <c r="A278" s="102"/>
      <c r="B278" s="102"/>
      <c r="C278" s="51"/>
      <c r="D278" s="156"/>
      <c r="E278" s="102"/>
      <c r="F278" s="104"/>
      <c r="G278" s="211"/>
      <c r="H278" s="202"/>
      <c r="I278" s="104"/>
      <c r="J278" s="212"/>
      <c r="K278" s="71"/>
      <c r="L278" s="106" t="str">
        <f>IF(ISBLANK(J278), "", VLOOKUP(C278, 'Info Tipo de Cambio y REM'!$A$24:$B$35, 2, FALSE))</f>
        <v/>
      </c>
      <c r="M278" s="107" t="str">
        <f t="shared" si="1"/>
        <v/>
      </c>
    </row>
    <row r="279">
      <c r="A279" s="102"/>
      <c r="B279" s="102"/>
      <c r="C279" s="51"/>
      <c r="D279" s="156"/>
      <c r="E279" s="102"/>
      <c r="F279" s="104"/>
      <c r="H279" s="202"/>
      <c r="I279" s="104"/>
      <c r="J279" s="112"/>
      <c r="K279" s="71"/>
      <c r="L279" s="106" t="str">
        <f>IF(ISBLANK(J279), "", VLOOKUP(C279, 'Info Tipo de Cambio y REM'!$A$24:$B$35, 2, FALSE))</f>
        <v/>
      </c>
      <c r="M279" s="107" t="str">
        <f t="shared" si="1"/>
        <v/>
      </c>
    </row>
    <row r="280">
      <c r="A280" s="102"/>
      <c r="B280" s="102"/>
      <c r="C280" s="51"/>
      <c r="D280" s="156"/>
      <c r="E280" s="102"/>
      <c r="F280" s="104"/>
      <c r="G280" s="165"/>
      <c r="I280" s="104"/>
      <c r="K280" s="89"/>
      <c r="L280" s="106" t="str">
        <f>IF(ISBLANK(J280), "", VLOOKUP(C280, 'Info Tipo de Cambio y REM'!$A$24:$B$35, 2, FALSE))</f>
        <v/>
      </c>
      <c r="M280" s="107" t="str">
        <f t="shared" si="1"/>
        <v/>
      </c>
    </row>
    <row r="281">
      <c r="A281" s="102"/>
      <c r="B281" s="102"/>
      <c r="C281" s="51"/>
      <c r="D281" s="156"/>
      <c r="E281" s="102"/>
      <c r="F281" s="104"/>
      <c r="G281" s="165"/>
      <c r="H281" s="165"/>
      <c r="I281" s="104"/>
      <c r="K281" s="89"/>
      <c r="L281" s="106" t="str">
        <f>IF(ISBLANK(J281), "", VLOOKUP(C281, 'Info Tipo de Cambio y REM'!$A$24:$B$35, 2, FALSE))</f>
        <v/>
      </c>
      <c r="M281" s="107" t="str">
        <f t="shared" si="1"/>
        <v/>
      </c>
    </row>
    <row r="282">
      <c r="A282" s="102"/>
      <c r="B282" s="102"/>
      <c r="C282" s="51"/>
      <c r="D282" s="156"/>
      <c r="E282" s="102"/>
      <c r="F282" s="104"/>
      <c r="G282" s="165"/>
      <c r="H282" s="165"/>
      <c r="I282" s="104"/>
      <c r="K282" s="89"/>
      <c r="L282" s="106" t="str">
        <f>IF(ISBLANK(J282), "", VLOOKUP(C282, 'Info Tipo de Cambio y REM'!$A$24:$B$35, 2, FALSE))</f>
        <v/>
      </c>
      <c r="M282" s="107" t="str">
        <f t="shared" si="1"/>
        <v/>
      </c>
    </row>
    <row r="283">
      <c r="A283" s="102"/>
      <c r="B283" s="102"/>
      <c r="C283" s="51"/>
      <c r="D283" s="156"/>
      <c r="E283" s="102"/>
      <c r="F283" s="104"/>
      <c r="G283" s="165"/>
      <c r="H283" s="165"/>
      <c r="I283" s="104"/>
      <c r="K283" s="89"/>
      <c r="L283" s="106" t="str">
        <f>IF(ISBLANK(J283), "", VLOOKUP(C283, 'Info Tipo de Cambio y REM'!$A$24:$B$35, 2, FALSE))</f>
        <v/>
      </c>
      <c r="M283" s="107" t="str">
        <f t="shared" si="1"/>
        <v/>
      </c>
    </row>
    <row r="284">
      <c r="A284" s="102"/>
      <c r="B284" s="102"/>
      <c r="C284" s="51"/>
      <c r="D284" s="156"/>
      <c r="E284" s="102"/>
      <c r="F284" s="104"/>
      <c r="G284" s="165"/>
      <c r="H284" s="165"/>
      <c r="I284" s="104"/>
      <c r="K284" s="89"/>
      <c r="L284" s="106" t="str">
        <f>IF(ISBLANK(J284), "", VLOOKUP(C284, 'Info Tipo de Cambio y REM'!$A$24:$B$35, 2, FALSE))</f>
        <v/>
      </c>
      <c r="M284" s="107" t="str">
        <f t="shared" si="1"/>
        <v/>
      </c>
    </row>
    <row r="285">
      <c r="A285" s="102"/>
      <c r="B285" s="102"/>
      <c r="C285" s="51"/>
      <c r="D285" s="156"/>
      <c r="E285" s="102"/>
      <c r="F285" s="104"/>
      <c r="G285" s="165"/>
      <c r="H285" s="165"/>
      <c r="I285" s="104"/>
      <c r="K285" s="89"/>
      <c r="L285" s="106" t="str">
        <f>IF(ISBLANK(J285), "", VLOOKUP(C285, 'Info Tipo de Cambio y REM'!$A$24:$B$35, 2, FALSE))</f>
        <v/>
      </c>
      <c r="M285" s="107" t="str">
        <f t="shared" si="1"/>
        <v/>
      </c>
    </row>
    <row r="286">
      <c r="A286" s="102"/>
      <c r="B286" s="102"/>
      <c r="C286" s="51"/>
      <c r="D286" s="156"/>
      <c r="E286" s="102"/>
      <c r="F286" s="104"/>
      <c r="G286" s="165"/>
      <c r="H286" s="165"/>
      <c r="I286" s="104"/>
      <c r="K286" s="89"/>
      <c r="L286" s="106" t="str">
        <f>IF(ISBLANK(J286), "", VLOOKUP(C286, 'Info Tipo de Cambio y REM'!$A$24:$B$35, 2, FALSE))</f>
        <v/>
      </c>
      <c r="M286" s="107" t="str">
        <f t="shared" si="1"/>
        <v/>
      </c>
    </row>
    <row r="287">
      <c r="A287" s="102"/>
      <c r="B287" s="102"/>
      <c r="C287" s="51"/>
      <c r="D287" s="156"/>
      <c r="E287" s="102"/>
      <c r="F287" s="122"/>
      <c r="G287" s="165"/>
      <c r="H287" s="83"/>
      <c r="I287" s="213"/>
      <c r="K287" s="214"/>
      <c r="L287" s="106" t="str">
        <f>IF(ISBLANK(J287), "", VLOOKUP(C287, 'Info Tipo de Cambio y REM'!$A$24:$B$35, 2, FALSE))</f>
        <v/>
      </c>
      <c r="M287" s="107" t="str">
        <f t="shared" si="1"/>
        <v/>
      </c>
    </row>
    <row r="288">
      <c r="A288" s="102"/>
      <c r="B288" s="102"/>
      <c r="C288" s="51"/>
      <c r="D288" s="156"/>
      <c r="E288" s="102"/>
      <c r="F288" s="122"/>
      <c r="G288" s="165"/>
      <c r="H288" s="83"/>
      <c r="I288" s="213"/>
      <c r="K288" s="214"/>
      <c r="L288" s="106" t="str">
        <f>IF(ISBLANK(J288), "", VLOOKUP(C288, 'Info Tipo de Cambio y REM'!$A$24:$B$35, 2, FALSE))</f>
        <v/>
      </c>
      <c r="M288" s="107" t="str">
        <f t="shared" si="1"/>
        <v/>
      </c>
    </row>
    <row r="289">
      <c r="A289" s="102"/>
      <c r="B289" s="102"/>
      <c r="C289" s="51"/>
      <c r="D289" s="156"/>
      <c r="E289" s="102"/>
      <c r="F289" s="122"/>
      <c r="G289" s="165"/>
      <c r="H289" s="83"/>
      <c r="I289" s="213"/>
      <c r="K289" s="214"/>
      <c r="L289" s="106" t="str">
        <f>IF(ISBLANK(J289), "", VLOOKUP(C289, 'Info Tipo de Cambio y REM'!$A$24:$B$35, 2, FALSE))</f>
        <v/>
      </c>
      <c r="M289" s="107" t="str">
        <f t="shared" si="1"/>
        <v/>
      </c>
    </row>
    <row r="290">
      <c r="A290" s="102"/>
      <c r="B290" s="102"/>
      <c r="C290" s="51"/>
      <c r="D290" s="156"/>
      <c r="E290" s="102"/>
      <c r="F290" s="122"/>
      <c r="G290" s="165"/>
      <c r="H290" s="83"/>
      <c r="I290" s="213"/>
      <c r="K290" s="214"/>
      <c r="L290" s="106" t="str">
        <f>IF(ISBLANK(J290), "", VLOOKUP(C290, 'Info Tipo de Cambio y REM'!$A$24:$B$35, 2, FALSE))</f>
        <v/>
      </c>
      <c r="M290" s="107" t="str">
        <f t="shared" si="1"/>
        <v/>
      </c>
    </row>
    <row r="291">
      <c r="A291" s="102"/>
      <c r="B291" s="102"/>
      <c r="C291" s="51"/>
      <c r="D291" s="156"/>
      <c r="E291" s="102"/>
      <c r="F291" s="122"/>
      <c r="G291" s="165"/>
      <c r="H291" s="83"/>
      <c r="I291" s="213"/>
      <c r="K291" s="214"/>
      <c r="L291" s="106" t="str">
        <f>IF(ISBLANK(J291), "", VLOOKUP(C291, 'Info Tipo de Cambio y REM'!$A$24:$B$35, 2, FALSE))</f>
        <v/>
      </c>
      <c r="M291" s="107" t="str">
        <f t="shared" si="1"/>
        <v/>
      </c>
    </row>
    <row r="292">
      <c r="A292" s="102"/>
      <c r="B292" s="102"/>
      <c r="C292" s="51"/>
      <c r="D292" s="156"/>
      <c r="E292" s="102"/>
      <c r="F292" s="104"/>
      <c r="G292" s="215"/>
      <c r="H292" s="63"/>
      <c r="I292" s="104"/>
      <c r="J292" s="215"/>
      <c r="K292" s="71"/>
      <c r="L292" s="106" t="str">
        <f>IF(ISBLANK(J292), "", VLOOKUP(C292, 'Info Tipo de Cambio y REM'!$A$24:$B$35, 2, FALSE))</f>
        <v/>
      </c>
      <c r="M292" s="107" t="str">
        <f t="shared" si="1"/>
        <v/>
      </c>
    </row>
    <row r="293">
      <c r="A293" s="102"/>
      <c r="B293" s="102"/>
      <c r="C293" s="51"/>
      <c r="D293" s="156"/>
      <c r="E293" s="102"/>
      <c r="F293" s="216"/>
      <c r="G293" s="217"/>
      <c r="H293" s="217"/>
      <c r="I293" s="104"/>
      <c r="J293" s="218"/>
      <c r="K293" s="71"/>
      <c r="L293" s="106" t="str">
        <f>IF(ISBLANK(J293), "", VLOOKUP(C293, 'Info Tipo de Cambio y REM'!$A$24:$B$35, 2, FALSE))</f>
        <v/>
      </c>
      <c r="M293" s="107" t="str">
        <f t="shared" si="1"/>
        <v/>
      </c>
    </row>
    <row r="294">
      <c r="A294" s="102"/>
      <c r="B294" s="102"/>
      <c r="C294" s="51"/>
      <c r="D294" s="156"/>
      <c r="E294" s="102"/>
      <c r="F294" s="104"/>
      <c r="G294" s="165"/>
      <c r="I294" s="104"/>
      <c r="J294" s="89"/>
      <c r="K294" s="71"/>
      <c r="L294" s="106" t="str">
        <f>IF(ISBLANK(J294), "", VLOOKUP(C294, 'Info Tipo de Cambio y REM'!$A$24:$B$35, 2, FALSE))</f>
        <v/>
      </c>
      <c r="M294" s="107" t="str">
        <f t="shared" si="1"/>
        <v/>
      </c>
    </row>
    <row r="295">
      <c r="A295" s="102"/>
      <c r="B295" s="102"/>
      <c r="C295" s="51"/>
      <c r="D295" s="156"/>
      <c r="E295" s="102"/>
      <c r="F295" s="104"/>
      <c r="G295" s="83"/>
      <c r="I295" s="104"/>
      <c r="K295" s="123"/>
      <c r="L295" s="106" t="str">
        <f>IF(ISBLANK(J295), "", VLOOKUP(C295, 'Info Tipo de Cambio y REM'!$A$24:$B$35, 2, FALSE))</f>
        <v/>
      </c>
      <c r="M295" s="107" t="str">
        <f t="shared" si="1"/>
        <v/>
      </c>
    </row>
    <row r="296">
      <c r="A296" s="102"/>
      <c r="B296" s="102"/>
      <c r="C296" s="51"/>
      <c r="D296" s="156"/>
      <c r="E296" s="102"/>
      <c r="F296" s="196"/>
      <c r="G296" s="83"/>
      <c r="I296" s="196"/>
      <c r="K296" s="123"/>
      <c r="L296" s="106" t="str">
        <f>IF(ISBLANK(J296), "", VLOOKUP(C296, 'Info Tipo de Cambio y REM'!$A$24:$B$35, 2, FALSE))</f>
        <v/>
      </c>
      <c r="M296" s="107" t="str">
        <f t="shared" si="1"/>
        <v/>
      </c>
    </row>
    <row r="297">
      <c r="A297" s="102"/>
      <c r="B297" s="102"/>
      <c r="C297" s="51"/>
      <c r="D297" s="156"/>
      <c r="E297" s="102"/>
      <c r="F297" s="196"/>
      <c r="G297" s="83"/>
      <c r="I297" s="196"/>
      <c r="K297" s="123"/>
      <c r="L297" s="106" t="str">
        <f>IF(ISBLANK(J297), "", VLOOKUP(C297, 'Info Tipo de Cambio y REM'!$A$24:$B$35, 2, FALSE))</f>
        <v/>
      </c>
      <c r="M297" s="107" t="str">
        <f t="shared" si="1"/>
        <v/>
      </c>
    </row>
    <row r="298">
      <c r="A298" s="102"/>
      <c r="B298" s="102"/>
      <c r="C298" s="51"/>
      <c r="D298" s="156"/>
      <c r="E298" s="102"/>
      <c r="F298" s="196"/>
      <c r="G298" s="83"/>
      <c r="I298" s="196"/>
      <c r="K298" s="123"/>
      <c r="L298" s="106" t="str">
        <f>IF(ISBLANK(J298), "", VLOOKUP(C298, 'Info Tipo de Cambio y REM'!$A$24:$B$35, 2, FALSE))</f>
        <v/>
      </c>
      <c r="M298" s="107" t="str">
        <f t="shared" si="1"/>
        <v/>
      </c>
    </row>
    <row r="299">
      <c r="A299" s="102"/>
      <c r="B299" s="102"/>
      <c r="C299" s="51"/>
      <c r="D299" s="156"/>
      <c r="E299" s="102"/>
      <c r="F299" s="104"/>
      <c r="G299" s="83"/>
      <c r="I299" s="104"/>
      <c r="K299" s="123"/>
      <c r="L299" s="106" t="str">
        <f>IF(ISBLANK(J299), "", VLOOKUP(C299, 'Info Tipo de Cambio y REM'!$A$24:$B$35, 2, FALSE))</f>
        <v/>
      </c>
      <c r="M299" s="107" t="str">
        <f t="shared" si="1"/>
        <v/>
      </c>
    </row>
    <row r="300">
      <c r="A300" s="102"/>
      <c r="B300" s="102"/>
      <c r="C300" s="51"/>
      <c r="D300" s="156"/>
      <c r="E300" s="102"/>
      <c r="F300" s="104"/>
      <c r="G300" s="83"/>
      <c r="I300" s="104"/>
      <c r="K300" s="123"/>
      <c r="L300" s="106" t="str">
        <f>IF(ISBLANK(J300), "", VLOOKUP(C300, 'Info Tipo de Cambio y REM'!$A$24:$B$35, 2, FALSE))</f>
        <v/>
      </c>
      <c r="M300" s="107" t="str">
        <f t="shared" si="1"/>
        <v/>
      </c>
    </row>
    <row r="301">
      <c r="A301" s="102"/>
      <c r="B301" s="102"/>
      <c r="C301" s="51"/>
      <c r="D301" s="156"/>
      <c r="E301" s="102"/>
      <c r="F301" s="104"/>
      <c r="G301" s="165"/>
      <c r="I301" s="104"/>
      <c r="J301" s="89"/>
      <c r="K301" s="71"/>
      <c r="L301" s="106" t="str">
        <f>IF(ISBLANK(J301), "", VLOOKUP(C301, 'Info Tipo de Cambio y REM'!$A$24:$B$35, 2, FALSE))</f>
        <v/>
      </c>
      <c r="M301" s="107" t="str">
        <f t="shared" si="1"/>
        <v/>
      </c>
    </row>
    <row r="302">
      <c r="A302" s="102"/>
      <c r="B302" s="102"/>
      <c r="C302" s="51"/>
      <c r="D302" s="156"/>
      <c r="E302" s="102"/>
      <c r="F302" s="104"/>
      <c r="G302" s="165"/>
      <c r="I302" s="104"/>
      <c r="J302" s="89"/>
      <c r="K302" s="71"/>
      <c r="L302" s="106" t="str">
        <f>IF(ISBLANK(J302), "", VLOOKUP(C302, 'Info Tipo de Cambio y REM'!$A$24:$B$35, 2, FALSE))</f>
        <v/>
      </c>
      <c r="M302" s="107" t="str">
        <f t="shared" si="1"/>
        <v/>
      </c>
    </row>
    <row r="303">
      <c r="A303" s="102"/>
      <c r="B303" s="102"/>
      <c r="C303" s="51"/>
      <c r="D303" s="156"/>
      <c r="E303" s="102"/>
      <c r="F303" s="104"/>
      <c r="G303" s="165"/>
      <c r="I303" s="104"/>
      <c r="J303" s="89"/>
      <c r="K303" s="71"/>
      <c r="L303" s="106" t="str">
        <f>IF(ISBLANK(J303), "", VLOOKUP(C303, 'Info Tipo de Cambio y REM'!$A$24:$B$35, 2, FALSE))</f>
        <v/>
      </c>
      <c r="M303" s="107" t="str">
        <f t="shared" si="1"/>
        <v/>
      </c>
    </row>
    <row r="304">
      <c r="A304" s="102"/>
      <c r="B304" s="102"/>
      <c r="C304" s="51"/>
      <c r="D304" s="156"/>
      <c r="E304" s="102"/>
      <c r="F304" s="104"/>
      <c r="G304" s="165"/>
      <c r="I304" s="104"/>
      <c r="J304" s="89"/>
      <c r="K304" s="71"/>
      <c r="L304" s="106" t="str">
        <f>IF(ISBLANK(J304), "", VLOOKUP(C304, 'Info Tipo de Cambio y REM'!$A$24:$B$35, 2, FALSE))</f>
        <v/>
      </c>
      <c r="M304" s="107" t="str">
        <f t="shared" si="1"/>
        <v/>
      </c>
    </row>
    <row r="305">
      <c r="A305" s="102"/>
      <c r="B305" s="102"/>
      <c r="C305" s="51"/>
      <c r="D305" s="156"/>
      <c r="E305" s="102"/>
      <c r="F305" s="104"/>
      <c r="G305" s="125"/>
      <c r="I305" s="104"/>
      <c r="K305" s="89"/>
      <c r="L305" s="106" t="str">
        <f>IF(ISBLANK(J305), "", VLOOKUP(C305, 'Info Tipo de Cambio y REM'!$A$24:$B$35, 2, FALSE))</f>
        <v/>
      </c>
      <c r="M305" s="107" t="str">
        <f t="shared" si="1"/>
        <v/>
      </c>
    </row>
    <row r="306">
      <c r="A306" s="102"/>
      <c r="B306" s="102"/>
      <c r="C306" s="51"/>
      <c r="D306" s="156"/>
      <c r="E306" s="102"/>
      <c r="F306" s="104"/>
      <c r="G306" s="125"/>
      <c r="I306" s="104"/>
      <c r="K306" s="89"/>
      <c r="L306" s="106" t="str">
        <f>IF(ISBLANK(J306), "", VLOOKUP(C306, 'Info Tipo de Cambio y REM'!$A$24:$B$35, 2, FALSE))</f>
        <v/>
      </c>
      <c r="M306" s="107" t="str">
        <f t="shared" si="1"/>
        <v/>
      </c>
    </row>
    <row r="307">
      <c r="A307" s="102"/>
      <c r="B307" s="102"/>
      <c r="C307" s="51"/>
      <c r="D307" s="156"/>
      <c r="E307" s="102"/>
      <c r="F307" s="104"/>
      <c r="G307" s="125"/>
      <c r="I307" s="104"/>
      <c r="K307" s="89"/>
      <c r="L307" s="106" t="str">
        <f>IF(ISBLANK(J307), "", VLOOKUP(C307, 'Info Tipo de Cambio y REM'!$A$24:$B$35, 2, FALSE))</f>
        <v/>
      </c>
      <c r="M307" s="107" t="str">
        <f t="shared" si="1"/>
        <v/>
      </c>
    </row>
    <row r="308">
      <c r="A308" s="102"/>
      <c r="B308" s="102"/>
      <c r="C308" s="51"/>
      <c r="D308" s="156"/>
      <c r="E308" s="102"/>
      <c r="F308" s="104"/>
      <c r="G308" s="125"/>
      <c r="I308" s="104"/>
      <c r="K308" s="89"/>
      <c r="L308" s="106" t="str">
        <f>IF(ISBLANK(J308), "", VLOOKUP(C308, 'Info Tipo de Cambio y REM'!$A$24:$B$35, 2, FALSE))</f>
        <v/>
      </c>
      <c r="M308" s="107" t="str">
        <f t="shared" si="1"/>
        <v/>
      </c>
    </row>
    <row r="309">
      <c r="A309" s="102"/>
      <c r="B309" s="102"/>
      <c r="C309" s="51"/>
      <c r="D309" s="156"/>
      <c r="E309" s="102"/>
      <c r="F309" s="104"/>
      <c r="G309" s="125"/>
      <c r="I309" s="104"/>
      <c r="K309" s="89"/>
      <c r="L309" s="106" t="str">
        <f>IF(ISBLANK(J309), "", VLOOKUP(C309, 'Info Tipo de Cambio y REM'!$A$24:$B$35, 2, FALSE))</f>
        <v/>
      </c>
      <c r="M309" s="107" t="str">
        <f t="shared" si="1"/>
        <v/>
      </c>
    </row>
    <row r="310">
      <c r="A310" s="102"/>
      <c r="B310" s="102"/>
      <c r="C310" s="51"/>
      <c r="D310" s="156"/>
      <c r="E310" s="102"/>
      <c r="F310" s="104"/>
      <c r="G310" s="125"/>
      <c r="I310" s="104"/>
      <c r="K310" s="89"/>
      <c r="L310" s="106" t="str">
        <f>IF(ISBLANK(J310), "", VLOOKUP(C310, 'Info Tipo de Cambio y REM'!$A$24:$B$35, 2, FALSE))</f>
        <v/>
      </c>
      <c r="M310" s="107" t="str">
        <f t="shared" si="1"/>
        <v/>
      </c>
    </row>
    <row r="311">
      <c r="A311" s="102"/>
      <c r="B311" s="102"/>
      <c r="C311" s="51"/>
      <c r="D311" s="156"/>
      <c r="E311" s="102"/>
      <c r="F311" s="104"/>
      <c r="G311" s="125"/>
      <c r="I311" s="104"/>
      <c r="K311" s="89"/>
      <c r="L311" s="106" t="str">
        <f>IF(ISBLANK(J311), "", VLOOKUP(C311, 'Info Tipo de Cambio y REM'!$A$24:$B$35, 2, FALSE))</f>
        <v/>
      </c>
      <c r="M311" s="107" t="str">
        <f t="shared" si="1"/>
        <v/>
      </c>
    </row>
    <row r="312">
      <c r="A312" s="102"/>
      <c r="B312" s="102"/>
      <c r="C312" s="51"/>
      <c r="D312" s="156"/>
      <c r="E312" s="102"/>
      <c r="F312" s="104"/>
      <c r="G312" s="125"/>
      <c r="I312" s="104"/>
      <c r="K312" s="89"/>
      <c r="L312" s="106" t="str">
        <f>IF(ISBLANK(J312), "", VLOOKUP(C312, 'Info Tipo de Cambio y REM'!$A$24:$B$35, 2, FALSE))</f>
        <v/>
      </c>
      <c r="M312" s="107" t="str">
        <f t="shared" si="1"/>
        <v/>
      </c>
    </row>
    <row r="313">
      <c r="A313" s="102"/>
      <c r="B313" s="102"/>
      <c r="C313" s="51"/>
      <c r="D313" s="156"/>
      <c r="E313" s="102"/>
      <c r="F313" s="104"/>
      <c r="I313" s="104"/>
      <c r="K313" s="89"/>
      <c r="L313" s="106" t="str">
        <f>IF(ISBLANK(J313), "", VLOOKUP(C313, 'Info Tipo de Cambio y REM'!$A$24:$B$35, 2, FALSE))</f>
        <v/>
      </c>
      <c r="M313" s="107" t="str">
        <f t="shared" si="1"/>
        <v/>
      </c>
    </row>
    <row r="314">
      <c r="A314" s="102"/>
      <c r="B314" s="102"/>
      <c r="C314" s="51"/>
      <c r="D314" s="156"/>
      <c r="E314" s="102"/>
      <c r="F314" s="104"/>
      <c r="G314" s="124"/>
      <c r="I314" s="104"/>
      <c r="K314" s="89"/>
      <c r="L314" s="106" t="str">
        <f>IF(ISBLANK(J314), "", VLOOKUP(C314, 'Info Tipo de Cambio y REM'!$A$24:$B$35, 2, FALSE))</f>
        <v/>
      </c>
      <c r="M314" s="107" t="str">
        <f t="shared" si="1"/>
        <v/>
      </c>
    </row>
    <row r="315">
      <c r="A315" s="102"/>
      <c r="B315" s="102"/>
      <c r="C315" s="51"/>
      <c r="D315" s="156"/>
      <c r="E315" s="102"/>
      <c r="F315" s="104"/>
      <c r="I315" s="104"/>
      <c r="K315" s="89"/>
      <c r="L315" s="106" t="str">
        <f>IF(ISBLANK(J315), "", VLOOKUP(C315, 'Info Tipo de Cambio y REM'!$A$24:$B$35, 2, FALSE))</f>
        <v/>
      </c>
      <c r="M315" s="107" t="str">
        <f t="shared" si="1"/>
        <v/>
      </c>
    </row>
    <row r="316">
      <c r="A316" s="102"/>
      <c r="B316" s="102"/>
      <c r="C316" s="51"/>
      <c r="D316" s="156"/>
      <c r="E316" s="102"/>
      <c r="F316" s="104"/>
      <c r="G316" s="124"/>
      <c r="I316" s="104"/>
      <c r="K316" s="89"/>
      <c r="L316" s="106" t="str">
        <f>IF(ISBLANK(J316), "", VLOOKUP(C316, 'Info Tipo de Cambio y REM'!$A$24:$B$35, 2, FALSE))</f>
        <v/>
      </c>
      <c r="M316" s="107" t="str">
        <f t="shared" si="1"/>
        <v/>
      </c>
    </row>
    <row r="317">
      <c r="A317" s="102"/>
      <c r="B317" s="102"/>
      <c r="C317" s="51"/>
      <c r="D317" s="156"/>
      <c r="E317" s="102"/>
      <c r="F317" s="104"/>
      <c r="I317" s="104"/>
      <c r="K317" s="89"/>
      <c r="L317" s="106" t="str">
        <f>IF(ISBLANK(J317), "", VLOOKUP(C317, 'Info Tipo de Cambio y REM'!$A$24:$B$35, 2, FALSE))</f>
        <v/>
      </c>
      <c r="M317" s="107" t="str">
        <f t="shared" si="1"/>
        <v/>
      </c>
    </row>
    <row r="318">
      <c r="A318" s="102"/>
      <c r="B318" s="102"/>
      <c r="C318" s="51"/>
      <c r="D318" s="156"/>
      <c r="E318" s="102"/>
      <c r="F318" s="104"/>
      <c r="G318" s="165"/>
      <c r="H318" s="1"/>
      <c r="I318" s="168"/>
      <c r="J318" s="229"/>
      <c r="K318" s="89"/>
      <c r="L318" s="106" t="str">
        <f>IF(ISBLANK(J318), "", VLOOKUP(C318, 'Info Tipo de Cambio y REM'!$A$24:$B$35, 2, FALSE))</f>
        <v/>
      </c>
      <c r="M318" s="107" t="str">
        <f t="shared" si="1"/>
        <v/>
      </c>
    </row>
    <row r="319">
      <c r="A319" s="102"/>
      <c r="B319" s="102"/>
      <c r="C319" s="51"/>
      <c r="D319" s="156"/>
      <c r="E319" s="102"/>
      <c r="F319" s="104"/>
      <c r="G319" s="165"/>
      <c r="H319" s="1"/>
      <c r="I319" s="168"/>
      <c r="J319" s="229"/>
      <c r="K319" s="89"/>
      <c r="L319" s="106" t="str">
        <f>IF(ISBLANK(J319), "", VLOOKUP(C319, 'Info Tipo de Cambio y REM'!$A$24:$B$35, 2, FALSE))</f>
        <v/>
      </c>
      <c r="M319" s="107" t="str">
        <f t="shared" si="1"/>
        <v/>
      </c>
    </row>
    <row r="320">
      <c r="A320" s="102"/>
      <c r="B320" s="102"/>
      <c r="C320" s="51"/>
      <c r="D320" s="156"/>
      <c r="E320" s="102"/>
      <c r="F320" s="104"/>
      <c r="G320" s="165"/>
      <c r="H320" s="1"/>
      <c r="I320" s="168"/>
      <c r="J320" s="229"/>
      <c r="K320" s="89"/>
      <c r="L320" s="106" t="str">
        <f>IF(ISBLANK(J320), "", VLOOKUP(C320, 'Info Tipo de Cambio y REM'!$A$24:$B$35, 2, FALSE))</f>
        <v/>
      </c>
      <c r="M320" s="107" t="str">
        <f t="shared" si="1"/>
        <v/>
      </c>
    </row>
    <row r="321">
      <c r="A321" s="197"/>
      <c r="B321" s="102"/>
      <c r="C321" s="51"/>
      <c r="D321" s="156"/>
      <c r="E321" s="102"/>
      <c r="F321" s="104"/>
      <c r="G321" s="230"/>
      <c r="H321" s="156"/>
      <c r="I321" s="183"/>
      <c r="J321" s="198"/>
      <c r="K321" s="229"/>
      <c r="L321" s="106" t="str">
        <f>IF(ISBLANK(J321), "", VLOOKUP(C321, 'Info Tipo de Cambio y REM'!$A$24:$B$35, 2, FALSE))</f>
        <v/>
      </c>
      <c r="M321" s="107" t="str">
        <f t="shared" si="1"/>
        <v/>
      </c>
    </row>
    <row r="322">
      <c r="A322" s="102"/>
      <c r="B322" s="102"/>
      <c r="C322" s="51"/>
      <c r="D322" s="156"/>
      <c r="E322" s="102"/>
      <c r="F322" s="104"/>
      <c r="G322" s="165"/>
      <c r="H322" s="1"/>
      <c r="I322" s="168"/>
      <c r="J322" s="89"/>
      <c r="K322" s="71"/>
      <c r="L322" s="106" t="str">
        <f>IF(ISBLANK(J322), "", VLOOKUP(C322, 'Info Tipo de Cambio y REM'!$A$24:$B$35, 2, FALSE))</f>
        <v/>
      </c>
      <c r="M322" s="107" t="str">
        <f t="shared" si="1"/>
        <v/>
      </c>
    </row>
    <row r="323">
      <c r="A323" s="102"/>
      <c r="B323" s="102"/>
      <c r="C323" s="51"/>
      <c r="D323" s="156"/>
      <c r="E323" s="102"/>
      <c r="F323" s="104"/>
      <c r="G323" s="184"/>
      <c r="H323" s="1"/>
      <c r="I323" s="185"/>
      <c r="J323" s="229"/>
      <c r="K323" s="71"/>
      <c r="L323" s="106" t="str">
        <f>IF(ISBLANK(J323), "", VLOOKUP(C323, 'Info Tipo de Cambio y REM'!$A$24:$B$35, 2, FALSE))</f>
        <v/>
      </c>
      <c r="M323" s="107" t="str">
        <f t="shared" si="1"/>
        <v/>
      </c>
    </row>
    <row r="324">
      <c r="A324" s="102"/>
      <c r="B324" s="102"/>
      <c r="C324" s="51"/>
      <c r="D324" s="156"/>
      <c r="E324" s="102"/>
      <c r="F324" s="104"/>
      <c r="G324" s="83"/>
      <c r="H324" s="83"/>
      <c r="I324" s="104"/>
      <c r="J324" s="89"/>
      <c r="K324" s="71"/>
      <c r="L324" s="231">
        <v>609.8</v>
      </c>
      <c r="M324" s="107" t="str">
        <f t="shared" si="1"/>
        <v/>
      </c>
    </row>
    <row r="325">
      <c r="A325" s="102"/>
      <c r="B325" s="102"/>
      <c r="C325" s="51"/>
      <c r="D325" s="156"/>
      <c r="E325" s="102"/>
      <c r="F325" s="104"/>
      <c r="G325" s="83"/>
      <c r="H325" s="83"/>
      <c r="I325" s="103"/>
      <c r="K325" s="71"/>
      <c r="L325" s="231">
        <v>49.0</v>
      </c>
      <c r="M325" s="107" t="str">
        <f t="shared" si="1"/>
        <v/>
      </c>
    </row>
    <row r="326">
      <c r="A326" s="102"/>
      <c r="B326" s="102"/>
      <c r="C326" s="51"/>
      <c r="D326" s="156"/>
      <c r="E326" s="102"/>
      <c r="F326" s="104"/>
      <c r="G326" s="83"/>
      <c r="H326" s="83"/>
      <c r="I326" s="103"/>
      <c r="K326" s="71"/>
      <c r="L326" s="231">
        <v>139.95</v>
      </c>
      <c r="M326" s="107" t="str">
        <f t="shared" si="1"/>
        <v/>
      </c>
    </row>
    <row r="327">
      <c r="A327" s="102"/>
      <c r="B327" s="102"/>
      <c r="C327" s="51"/>
      <c r="D327" s="156"/>
      <c r="E327" s="102"/>
      <c r="F327" s="104"/>
      <c r="G327" s="83"/>
      <c r="H327" s="83"/>
      <c r="I327" s="103"/>
      <c r="K327" s="71"/>
      <c r="L327" s="231">
        <v>500.54</v>
      </c>
      <c r="M327" s="107" t="str">
        <f t="shared" si="1"/>
        <v/>
      </c>
    </row>
    <row r="328">
      <c r="A328" s="102"/>
      <c r="B328" s="43" t="str">
        <f>IF(A328="", "", IFERROR(VLOOKUP(A328, Clasificaciones!A:B, 2, FALSE), "DATO NO CARGADO"))</f>
        <v/>
      </c>
      <c r="C328" s="51" t="s">
        <v>161</v>
      </c>
      <c r="D328" s="156">
        <v>2025.0</v>
      </c>
      <c r="E328" s="43" t="s">
        <v>371</v>
      </c>
      <c r="F328" s="104">
        <v>45869.0</v>
      </c>
      <c r="G328" s="83" t="s">
        <v>696</v>
      </c>
      <c r="H328" s="83"/>
      <c r="I328" s="104">
        <v>45877.0</v>
      </c>
      <c r="J328" s="89">
        <v>4910000.0</v>
      </c>
      <c r="K328" s="71"/>
      <c r="L328" s="231"/>
      <c r="M328" s="107" t="str">
        <f t="shared" si="1"/>
        <v/>
      </c>
    </row>
    <row r="329">
      <c r="A329" s="102"/>
      <c r="B329" s="43" t="str">
        <f>IF(A329="", "", IFERROR(VLOOKUP(A329, Clasificaciones!A:B, 2, FALSE), "DATO NO CARGADO"))</f>
        <v/>
      </c>
      <c r="C329" s="51"/>
      <c r="D329" s="257"/>
      <c r="E329" s="43" t="s">
        <v>371</v>
      </c>
      <c r="F329" s="104">
        <v>45869.0</v>
      </c>
      <c r="G329" s="165" t="s">
        <v>697</v>
      </c>
      <c r="I329" s="104">
        <v>45877.0</v>
      </c>
      <c r="K329" s="89">
        <v>820.0</v>
      </c>
      <c r="L329" s="106"/>
      <c r="M329" s="107">
        <f t="shared" si="1"/>
        <v>820</v>
      </c>
    </row>
    <row r="330">
      <c r="A330" s="102"/>
      <c r="B330" s="43" t="str">
        <f>IF(A330="", "", IFERROR(VLOOKUP(A330, Clasificaciones!A:B, 2, FALSE), "DATO NO CARGADO"))</f>
        <v/>
      </c>
      <c r="C330" s="51"/>
      <c r="D330" s="257"/>
      <c r="E330" s="102"/>
      <c r="F330" s="103"/>
      <c r="G330" s="258"/>
      <c r="I330" s="103"/>
      <c r="K330" s="71"/>
      <c r="L330" s="106" t="str">
        <f>IF(ISBLANK(J330), "", VLOOKUP(C330, 'Info Tipo de Cambio y REM'!$A$24:$B$35, 2, FALSE))</f>
        <v/>
      </c>
      <c r="M330" s="107" t="str">
        <f t="shared" si="1"/>
        <v/>
      </c>
    </row>
    <row r="331">
      <c r="A331" s="102"/>
      <c r="B331" s="43" t="str">
        <f>IF(A331="", "", IFERROR(VLOOKUP(A331, Clasificaciones!A:B, 2, FALSE), "DATO NO CARGADO"))</f>
        <v/>
      </c>
      <c r="C331" s="51"/>
      <c r="D331" s="257"/>
      <c r="E331" s="102"/>
      <c r="F331" s="103"/>
      <c r="G331" s="258"/>
      <c r="I331" s="103"/>
      <c r="K331" s="71"/>
      <c r="L331" s="106" t="str">
        <f>IF(ISBLANK(J331), "", VLOOKUP(C331, 'Info Tipo de Cambio y REM'!$A$24:$B$35, 2, FALSE))</f>
        <v/>
      </c>
      <c r="M331" s="107" t="str">
        <f t="shared" si="1"/>
        <v/>
      </c>
    </row>
    <row r="332">
      <c r="A332" s="102"/>
      <c r="B332" s="43" t="str">
        <f>IF(A332="", "", IFERROR(VLOOKUP(A332, Clasificaciones!A:B, 2, FALSE), "DATO NO CARGADO"))</f>
        <v/>
      </c>
      <c r="C332" s="51"/>
      <c r="D332" s="257"/>
      <c r="E332" s="102"/>
      <c r="F332" s="103"/>
      <c r="G332" s="258"/>
      <c r="I332" s="103"/>
      <c r="K332" s="71"/>
      <c r="L332" s="106" t="str">
        <f>IF(ISBLANK(J332), "", VLOOKUP(C332, 'Info Tipo de Cambio y REM'!$A$24:$B$35, 2, FALSE))</f>
        <v/>
      </c>
      <c r="M332" s="107" t="str">
        <f t="shared" si="1"/>
        <v/>
      </c>
    </row>
    <row r="333">
      <c r="A333" s="102"/>
      <c r="B333" s="43" t="str">
        <f>IF(A333="", "", IFERROR(VLOOKUP(A333, Clasificaciones!A:B, 2, FALSE), "DATO NO CARGADO"))</f>
        <v/>
      </c>
      <c r="C333" s="51"/>
      <c r="D333" s="257"/>
      <c r="E333" s="102"/>
      <c r="F333" s="103"/>
      <c r="G333" s="258"/>
      <c r="I333" s="103"/>
      <c r="K333" s="71"/>
      <c r="L333" s="106" t="str">
        <f>IF(ISBLANK(J333), "", VLOOKUP(C333, 'Info Tipo de Cambio y REM'!$A$24:$B$35, 2, FALSE))</f>
        <v/>
      </c>
      <c r="M333" s="107" t="str">
        <f t="shared" si="1"/>
        <v/>
      </c>
    </row>
    <row r="334">
      <c r="A334" s="102"/>
      <c r="B334" s="43" t="str">
        <f>IF(A334="", "", IFERROR(VLOOKUP(A334, Clasificaciones!A:B, 2, FALSE), "DATO NO CARGADO"))</f>
        <v/>
      </c>
      <c r="C334" s="51"/>
      <c r="D334" s="257"/>
      <c r="E334" s="102"/>
      <c r="F334" s="103"/>
      <c r="G334" s="258"/>
      <c r="I334" s="103"/>
      <c r="K334" s="71"/>
      <c r="L334" s="106" t="str">
        <f>IF(ISBLANK(J334), "", VLOOKUP(C334, 'Info Tipo de Cambio y REM'!$A$24:$B$35, 2, FALSE))</f>
        <v/>
      </c>
      <c r="M334" s="107" t="str">
        <f t="shared" si="1"/>
        <v/>
      </c>
    </row>
    <row r="335">
      <c r="A335" s="102"/>
      <c r="B335" s="43" t="str">
        <f>IF(A335="", "", IFERROR(VLOOKUP(A335, Clasificaciones!A:B, 2, FALSE), "DATO NO CARGADO"))</f>
        <v/>
      </c>
      <c r="C335" s="51"/>
      <c r="D335" s="257"/>
      <c r="E335" s="102"/>
      <c r="F335" s="103"/>
      <c r="G335" s="258"/>
      <c r="I335" s="103"/>
      <c r="K335" s="71"/>
      <c r="L335" s="106" t="str">
        <f>IF(ISBLANK(J335), "", VLOOKUP(C335, 'Info Tipo de Cambio y REM'!$A$24:$B$35, 2, FALSE))</f>
        <v/>
      </c>
      <c r="M335" s="107" t="str">
        <f t="shared" si="1"/>
        <v/>
      </c>
    </row>
    <row r="336">
      <c r="A336" s="102"/>
      <c r="B336" s="43" t="str">
        <f>IF(A336="", "", IFERROR(VLOOKUP(A336, Clasificaciones!A:B, 2, FALSE), "DATO NO CARGADO"))</f>
        <v/>
      </c>
      <c r="C336" s="51"/>
      <c r="D336" s="257"/>
      <c r="E336" s="102"/>
      <c r="F336" s="103"/>
      <c r="G336" s="258"/>
      <c r="I336" s="103"/>
      <c r="K336" s="71"/>
      <c r="L336" s="106" t="str">
        <f>IF(ISBLANK(J336), "", VLOOKUP(C336, 'Info Tipo de Cambio y REM'!$A$24:$B$35, 2, FALSE))</f>
        <v/>
      </c>
      <c r="M336" s="107" t="str">
        <f t="shared" si="1"/>
        <v/>
      </c>
    </row>
    <row r="337">
      <c r="A337" s="102"/>
      <c r="B337" s="43" t="str">
        <f>IF(A337="", "", IFERROR(VLOOKUP(A337, Clasificaciones!A:B, 2, FALSE), "DATO NO CARGADO"))</f>
        <v/>
      </c>
      <c r="C337" s="51"/>
      <c r="D337" s="257"/>
      <c r="E337" s="102"/>
      <c r="F337" s="103"/>
      <c r="G337" s="258"/>
      <c r="I337" s="103"/>
      <c r="K337" s="71"/>
      <c r="L337" s="106" t="str">
        <f>IF(ISBLANK(J337), "", VLOOKUP(C337, 'Info Tipo de Cambio y REM'!$A$24:$B$35, 2, FALSE))</f>
        <v/>
      </c>
      <c r="M337" s="107" t="str">
        <f t="shared" si="1"/>
        <v/>
      </c>
    </row>
    <row r="338">
      <c r="A338" s="102"/>
      <c r="B338" s="43" t="str">
        <f>IF(A338="", "", IFERROR(VLOOKUP(A338, Clasificaciones!A:B, 2, FALSE), "DATO NO CARGADO"))</f>
        <v/>
      </c>
      <c r="C338" s="51"/>
      <c r="D338" s="257"/>
      <c r="E338" s="102"/>
      <c r="F338" s="103"/>
      <c r="G338" s="258"/>
      <c r="I338" s="103"/>
      <c r="K338" s="71"/>
      <c r="L338" s="106" t="str">
        <f>IF(ISBLANK(J338), "", VLOOKUP(C338, 'Info Tipo de Cambio y REM'!$A$24:$B$35, 2, FALSE))</f>
        <v/>
      </c>
      <c r="M338" s="107" t="str">
        <f t="shared" si="1"/>
        <v/>
      </c>
    </row>
    <row r="339">
      <c r="A339" s="102"/>
      <c r="B339" s="43" t="str">
        <f>IF(A339="", "", IFERROR(VLOOKUP(A339, Clasificaciones!A:B, 2, FALSE), "DATO NO CARGADO"))</f>
        <v/>
      </c>
      <c r="C339" s="51"/>
      <c r="D339" s="257"/>
      <c r="E339" s="102"/>
      <c r="F339" s="103"/>
      <c r="G339" s="258"/>
      <c r="I339" s="103"/>
      <c r="K339" s="71"/>
      <c r="L339" s="106" t="str">
        <f>IF(ISBLANK(J339), "", VLOOKUP(C339, 'Info Tipo de Cambio y REM'!$A$24:$B$35, 2, FALSE))</f>
        <v/>
      </c>
      <c r="M339" s="107" t="str">
        <f t="shared" si="1"/>
        <v/>
      </c>
    </row>
    <row r="340">
      <c r="A340" s="102"/>
      <c r="B340" s="43" t="str">
        <f>IF(A340="", "", IFERROR(VLOOKUP(A340, Clasificaciones!A:B, 2, FALSE), "DATO NO CARGADO"))</f>
        <v/>
      </c>
      <c r="C340" s="51"/>
      <c r="D340" s="257"/>
      <c r="E340" s="102"/>
      <c r="F340" s="103"/>
      <c r="G340" s="258"/>
      <c r="I340" s="103"/>
      <c r="K340" s="71"/>
      <c r="L340" s="106" t="str">
        <f>IF(ISBLANK(J340), "", VLOOKUP(C340, 'Info Tipo de Cambio y REM'!$A$24:$B$35, 2, FALSE))</f>
        <v/>
      </c>
      <c r="M340" s="107" t="str">
        <f t="shared" si="1"/>
        <v/>
      </c>
    </row>
    <row r="341">
      <c r="A341" s="102"/>
      <c r="B341" s="43" t="str">
        <f>IF(A341="", "", IFERROR(VLOOKUP(A341, Clasificaciones!A:B, 2, FALSE), "DATO NO CARGADO"))</f>
        <v/>
      </c>
      <c r="C341" s="51"/>
      <c r="D341" s="257"/>
      <c r="E341" s="102"/>
      <c r="F341" s="103"/>
      <c r="G341" s="258"/>
      <c r="I341" s="103"/>
      <c r="K341" s="71"/>
      <c r="L341" s="106" t="str">
        <f>IF(ISBLANK(J341), "", VLOOKUP(C341, 'Info Tipo de Cambio y REM'!$A$24:$B$35, 2, FALSE))</f>
        <v/>
      </c>
      <c r="M341" s="107" t="str">
        <f t="shared" si="1"/>
        <v/>
      </c>
    </row>
    <row r="342">
      <c r="A342" s="102"/>
      <c r="B342" s="43" t="str">
        <f>IF(A342="", "", IFERROR(VLOOKUP(A342, Clasificaciones!A:B, 2, FALSE), "DATO NO CARGADO"))</f>
        <v/>
      </c>
      <c r="C342" s="51"/>
      <c r="D342" s="257"/>
      <c r="E342" s="102"/>
      <c r="F342" s="103"/>
      <c r="G342" s="258"/>
      <c r="I342" s="103"/>
      <c r="K342" s="71"/>
      <c r="L342" s="106" t="str">
        <f>IF(ISBLANK(J342), "", VLOOKUP(C342, 'Info Tipo de Cambio y REM'!$A$24:$B$35, 2, FALSE))</f>
        <v/>
      </c>
      <c r="M342" s="107" t="str">
        <f t="shared" si="1"/>
        <v/>
      </c>
    </row>
    <row r="343">
      <c r="A343" s="102"/>
      <c r="B343" s="43" t="str">
        <f>IF(A343="", "", IFERROR(VLOOKUP(A343, Clasificaciones!A:B, 2, FALSE), "DATO NO CARGADO"))</f>
        <v/>
      </c>
      <c r="C343" s="51"/>
      <c r="D343" s="257"/>
      <c r="E343" s="102"/>
      <c r="F343" s="103"/>
      <c r="G343" s="258"/>
      <c r="I343" s="103"/>
      <c r="K343" s="71"/>
      <c r="L343" s="106" t="str">
        <f>IF(ISBLANK(J343), "", VLOOKUP(C343, 'Info Tipo de Cambio y REM'!$A$24:$B$35, 2, FALSE))</f>
        <v/>
      </c>
      <c r="M343" s="107" t="str">
        <f t="shared" si="1"/>
        <v/>
      </c>
    </row>
    <row r="344">
      <c r="A344" s="102"/>
      <c r="B344" s="43" t="str">
        <f>IF(A344="", "", IFERROR(VLOOKUP(A344, Clasificaciones!A:B, 2, FALSE), "DATO NO CARGADO"))</f>
        <v/>
      </c>
      <c r="C344" s="51"/>
      <c r="D344" s="257"/>
      <c r="E344" s="102"/>
      <c r="F344" s="103"/>
      <c r="G344" s="258"/>
      <c r="I344" s="103"/>
      <c r="K344" s="71"/>
      <c r="L344" s="106" t="str">
        <f>IF(ISBLANK(J344), "", VLOOKUP(C344, 'Info Tipo de Cambio y REM'!$A$24:$B$35, 2, FALSE))</f>
        <v/>
      </c>
      <c r="M344" s="107" t="str">
        <f t="shared" si="1"/>
        <v/>
      </c>
    </row>
    <row r="345">
      <c r="A345" s="102"/>
      <c r="B345" s="43" t="str">
        <f>IF(A345="", "", IFERROR(VLOOKUP(A345, Clasificaciones!A:B, 2, FALSE), "DATO NO CARGADO"))</f>
        <v/>
      </c>
      <c r="C345" s="51"/>
      <c r="D345" s="257"/>
      <c r="E345" s="102"/>
      <c r="F345" s="103"/>
      <c r="G345" s="258"/>
      <c r="I345" s="103"/>
      <c r="K345" s="71"/>
      <c r="L345" s="106" t="str">
        <f>IF(ISBLANK(J345), "", VLOOKUP(C345, 'Info Tipo de Cambio y REM'!$A$24:$B$35, 2, FALSE))</f>
        <v/>
      </c>
      <c r="M345" s="107" t="str">
        <f t="shared" si="1"/>
        <v/>
      </c>
    </row>
    <row r="346">
      <c r="A346" s="102"/>
      <c r="B346" s="43" t="str">
        <f>IF(A346="", "", IFERROR(VLOOKUP(A346, Clasificaciones!A:B, 2, FALSE), "DATO NO CARGADO"))</f>
        <v/>
      </c>
      <c r="C346" s="51"/>
      <c r="D346" s="257"/>
      <c r="E346" s="102"/>
      <c r="F346" s="103"/>
      <c r="G346" s="258"/>
      <c r="I346" s="103"/>
      <c r="K346" s="71"/>
      <c r="L346" s="106" t="str">
        <f>IF(ISBLANK(J346), "", VLOOKUP(C346, 'Info Tipo de Cambio y REM'!$A$24:$B$35, 2, FALSE))</f>
        <v/>
      </c>
      <c r="M346" s="107" t="str">
        <f t="shared" si="1"/>
        <v/>
      </c>
    </row>
    <row r="347">
      <c r="A347" s="102"/>
      <c r="B347" s="43" t="str">
        <f>IF(A347="", "", IFERROR(VLOOKUP(A347, Clasificaciones!A:B, 2, FALSE), "DATO NO CARGADO"))</f>
        <v/>
      </c>
      <c r="C347" s="51"/>
      <c r="D347" s="257"/>
      <c r="E347" s="102"/>
      <c r="F347" s="103"/>
      <c r="G347" s="258"/>
      <c r="I347" s="103"/>
      <c r="K347" s="71"/>
      <c r="L347" s="106" t="str">
        <f>IF(ISBLANK(J347), "", VLOOKUP(C347, 'Info Tipo de Cambio y REM'!$A$24:$B$35, 2, FALSE))</f>
        <v/>
      </c>
      <c r="M347" s="107" t="str">
        <f t="shared" si="1"/>
        <v/>
      </c>
    </row>
    <row r="348">
      <c r="A348" s="102"/>
      <c r="B348" s="43" t="str">
        <f>IF(A348="", "", IFERROR(VLOOKUP(A348, Clasificaciones!A:B, 2, FALSE), "DATO NO CARGADO"))</f>
        <v/>
      </c>
      <c r="C348" s="51"/>
      <c r="D348" s="257"/>
      <c r="E348" s="102"/>
      <c r="F348" s="103"/>
      <c r="G348" s="258"/>
      <c r="I348" s="103"/>
      <c r="K348" s="71"/>
      <c r="L348" s="106" t="str">
        <f>IF(ISBLANK(J348), "", VLOOKUP(C348, 'Info Tipo de Cambio y REM'!$A$24:$B$35, 2, FALSE))</f>
        <v/>
      </c>
      <c r="M348" s="107" t="str">
        <f t="shared" si="1"/>
        <v/>
      </c>
    </row>
    <row r="349">
      <c r="A349" s="102"/>
      <c r="B349" s="43" t="str">
        <f>IF(A349="", "", IFERROR(VLOOKUP(A349, Clasificaciones!A:B, 2, FALSE), "DATO NO CARGADO"))</f>
        <v/>
      </c>
      <c r="C349" s="51"/>
      <c r="D349" s="257"/>
      <c r="E349" s="102"/>
      <c r="F349" s="103"/>
      <c r="G349" s="258"/>
      <c r="I349" s="103"/>
      <c r="K349" s="71"/>
      <c r="L349" s="106" t="str">
        <f>IF(ISBLANK(J349), "", VLOOKUP(C349, 'Info Tipo de Cambio y REM'!$A$24:$B$35, 2, FALSE))</f>
        <v/>
      </c>
      <c r="M349" s="107" t="str">
        <f t="shared" si="1"/>
        <v/>
      </c>
    </row>
    <row r="350">
      <c r="A350" s="102"/>
      <c r="B350" s="43" t="str">
        <f>IF(A350="", "", IFERROR(VLOOKUP(A350, Clasificaciones!A:B, 2, FALSE), "DATO NO CARGADO"))</f>
        <v/>
      </c>
      <c r="C350" s="51"/>
      <c r="D350" s="257"/>
      <c r="E350" s="102"/>
      <c r="F350" s="103"/>
      <c r="G350" s="258"/>
      <c r="I350" s="103"/>
      <c r="K350" s="71"/>
      <c r="L350" s="106" t="str">
        <f>IF(ISBLANK(J350), "", VLOOKUP(C350, 'Info Tipo de Cambio y REM'!$A$24:$B$35, 2, FALSE))</f>
        <v/>
      </c>
      <c r="M350" s="107" t="str">
        <f t="shared" si="1"/>
        <v/>
      </c>
    </row>
    <row r="351">
      <c r="A351" s="102"/>
      <c r="B351" s="43" t="str">
        <f>IF(A351="", "", IFERROR(VLOOKUP(A351, Clasificaciones!A:B, 2, FALSE), "DATO NO CARGADO"))</f>
        <v/>
      </c>
      <c r="C351" s="51"/>
      <c r="D351" s="257"/>
      <c r="E351" s="102"/>
      <c r="F351" s="103"/>
      <c r="G351" s="258"/>
      <c r="I351" s="103"/>
      <c r="K351" s="71"/>
      <c r="L351" s="106" t="str">
        <f>IF(ISBLANK(J351), "", VLOOKUP(C351, 'Info Tipo de Cambio y REM'!$A$24:$B$35, 2, FALSE))</f>
        <v/>
      </c>
      <c r="M351" s="107" t="str">
        <f t="shared" si="1"/>
        <v/>
      </c>
    </row>
    <row r="352">
      <c r="A352" s="102"/>
      <c r="B352" s="43" t="str">
        <f>IF(A352="", "", IFERROR(VLOOKUP(A352, Clasificaciones!A:B, 2, FALSE), "DATO NO CARGADO"))</f>
        <v/>
      </c>
      <c r="C352" s="51"/>
      <c r="D352" s="257"/>
      <c r="E352" s="102"/>
      <c r="F352" s="103"/>
      <c r="G352" s="258"/>
      <c r="I352" s="103"/>
      <c r="K352" s="71"/>
      <c r="L352" s="106" t="str">
        <f>IF(ISBLANK(J352), "", VLOOKUP(C352, 'Info Tipo de Cambio y REM'!$A$24:$B$35, 2, FALSE))</f>
        <v/>
      </c>
      <c r="M352" s="107" t="str">
        <f t="shared" si="1"/>
        <v/>
      </c>
    </row>
    <row r="353">
      <c r="A353" s="102"/>
      <c r="B353" s="43" t="str">
        <f>IF(A353="", "", IFERROR(VLOOKUP(A353, Clasificaciones!A:B, 2, FALSE), "DATO NO CARGADO"))</f>
        <v/>
      </c>
      <c r="C353" s="51"/>
      <c r="D353" s="257"/>
      <c r="E353" s="102"/>
      <c r="F353" s="103"/>
      <c r="G353" s="258"/>
      <c r="I353" s="103"/>
      <c r="K353" s="71"/>
      <c r="L353" s="106" t="str">
        <f>IF(ISBLANK(J353), "", VLOOKUP(C353, 'Info Tipo de Cambio y REM'!$A$24:$B$35, 2, FALSE))</f>
        <v/>
      </c>
      <c r="M353" s="107" t="str">
        <f t="shared" si="1"/>
        <v/>
      </c>
    </row>
    <row r="354">
      <c r="A354" s="102"/>
      <c r="B354" s="43" t="str">
        <f>IF(A354="", "", IFERROR(VLOOKUP(A354, Clasificaciones!A:B, 2, FALSE), "DATO NO CARGADO"))</f>
        <v/>
      </c>
      <c r="C354" s="51"/>
      <c r="D354" s="257"/>
      <c r="E354" s="102"/>
      <c r="F354" s="103"/>
      <c r="G354" s="258"/>
      <c r="I354" s="103"/>
      <c r="K354" s="71"/>
      <c r="L354" s="106" t="str">
        <f>IF(ISBLANK(J354), "", VLOOKUP(C354, 'Info Tipo de Cambio y REM'!$A$24:$B$35, 2, FALSE))</f>
        <v/>
      </c>
      <c r="M354" s="107" t="str">
        <f t="shared" si="1"/>
        <v/>
      </c>
    </row>
    <row r="355">
      <c r="A355" s="102"/>
      <c r="B355" s="43" t="str">
        <f>IF(A355="", "", IFERROR(VLOOKUP(A355, Clasificaciones!A:B, 2, FALSE), "DATO NO CARGADO"))</f>
        <v/>
      </c>
      <c r="C355" s="51"/>
      <c r="D355" s="257"/>
      <c r="E355" s="102"/>
      <c r="F355" s="103"/>
      <c r="G355" s="258"/>
      <c r="I355" s="103"/>
      <c r="K355" s="71"/>
      <c r="L355" s="106" t="str">
        <f>IF(ISBLANK(J355), "", VLOOKUP(C355, 'Info Tipo de Cambio y REM'!$A$24:$B$35, 2, FALSE))</f>
        <v/>
      </c>
      <c r="M355" s="107" t="str">
        <f t="shared" si="1"/>
        <v/>
      </c>
    </row>
    <row r="356">
      <c r="A356" s="102"/>
      <c r="B356" s="43" t="str">
        <f>IF(A356="", "", IFERROR(VLOOKUP(A356, Clasificaciones!A:B, 2, FALSE), "DATO NO CARGADO"))</f>
        <v/>
      </c>
      <c r="C356" s="51"/>
      <c r="D356" s="257"/>
      <c r="E356" s="102"/>
      <c r="F356" s="103"/>
      <c r="G356" s="258"/>
      <c r="I356" s="103"/>
      <c r="K356" s="71"/>
      <c r="L356" s="106" t="str">
        <f>IF(ISBLANK(J356), "", VLOOKUP(C356, 'Info Tipo de Cambio y REM'!$A$24:$B$35, 2, FALSE))</f>
        <v/>
      </c>
      <c r="M356" s="107" t="str">
        <f t="shared" si="1"/>
        <v/>
      </c>
    </row>
    <row r="357">
      <c r="A357" s="102"/>
      <c r="B357" s="43" t="str">
        <f>IF(A357="", "", IFERROR(VLOOKUP(A357, Clasificaciones!A:B, 2, FALSE), "DATO NO CARGADO"))</f>
        <v/>
      </c>
      <c r="C357" s="51"/>
      <c r="D357" s="257"/>
      <c r="E357" s="102"/>
      <c r="F357" s="103"/>
      <c r="G357" s="258"/>
      <c r="I357" s="103"/>
      <c r="K357" s="71"/>
      <c r="L357" s="106" t="str">
        <f>IF(ISBLANK(J357), "", VLOOKUP(C357, 'Info Tipo de Cambio y REM'!$A$24:$B$35, 2, FALSE))</f>
        <v/>
      </c>
      <c r="M357" s="107" t="str">
        <f t="shared" si="1"/>
        <v/>
      </c>
    </row>
    <row r="358">
      <c r="A358" s="102"/>
      <c r="B358" s="43" t="str">
        <f>IF(A358="", "", IFERROR(VLOOKUP(A358, Clasificaciones!A:B, 2, FALSE), "DATO NO CARGADO"))</f>
        <v/>
      </c>
      <c r="C358" s="51"/>
      <c r="D358" s="257"/>
      <c r="E358" s="102"/>
      <c r="F358" s="103"/>
      <c r="G358" s="258"/>
      <c r="I358" s="103"/>
      <c r="K358" s="71"/>
      <c r="L358" s="106" t="str">
        <f>IF(ISBLANK(J358), "", VLOOKUP(C358, 'Info Tipo de Cambio y REM'!$A$24:$B$35, 2, FALSE))</f>
        <v/>
      </c>
      <c r="M358" s="107" t="str">
        <f t="shared" si="1"/>
        <v/>
      </c>
    </row>
    <row r="359">
      <c r="A359" s="102"/>
      <c r="B359" s="43" t="str">
        <f>IF(A359="", "", IFERROR(VLOOKUP(A359, Clasificaciones!A:B, 2, FALSE), "DATO NO CARGADO"))</f>
        <v/>
      </c>
      <c r="C359" s="51"/>
      <c r="D359" s="257"/>
      <c r="E359" s="102"/>
      <c r="F359" s="103"/>
      <c r="G359" s="258"/>
      <c r="I359" s="103"/>
      <c r="K359" s="71"/>
      <c r="L359" s="106" t="str">
        <f>IF(ISBLANK(J359), "", VLOOKUP(C359, 'Info Tipo de Cambio y REM'!$A$24:$B$35, 2, FALSE))</f>
        <v/>
      </c>
      <c r="M359" s="107" t="str">
        <f t="shared" si="1"/>
        <v/>
      </c>
    </row>
    <row r="360">
      <c r="A360" s="102"/>
      <c r="B360" s="43" t="str">
        <f>IF(A360="", "", IFERROR(VLOOKUP(A360, Clasificaciones!A:B, 2, FALSE), "DATO NO CARGADO"))</f>
        <v/>
      </c>
      <c r="C360" s="51"/>
      <c r="D360" s="257"/>
      <c r="E360" s="102"/>
      <c r="F360" s="103"/>
      <c r="G360" s="258"/>
      <c r="I360" s="103"/>
      <c r="K360" s="71"/>
      <c r="L360" s="106" t="str">
        <f>IF(ISBLANK(J360), "", VLOOKUP(C360, 'Info Tipo de Cambio y REM'!$A$24:$B$35, 2, FALSE))</f>
        <v/>
      </c>
      <c r="M360" s="107" t="str">
        <f t="shared" si="1"/>
        <v/>
      </c>
    </row>
    <row r="361">
      <c r="A361" s="102"/>
      <c r="B361" s="43" t="str">
        <f>IF(A361="", "", IFERROR(VLOOKUP(A361, Clasificaciones!A:B, 2, FALSE), "DATO NO CARGADO"))</f>
        <v/>
      </c>
      <c r="C361" s="51"/>
      <c r="D361" s="257"/>
      <c r="E361" s="102"/>
      <c r="F361" s="103"/>
      <c r="G361" s="258"/>
      <c r="I361" s="103"/>
      <c r="K361" s="71"/>
      <c r="L361" s="106" t="str">
        <f>IF(ISBLANK(J361), "", VLOOKUP(C361, 'Info Tipo de Cambio y REM'!$A$24:$B$35, 2, FALSE))</f>
        <v/>
      </c>
      <c r="M361" s="107" t="str">
        <f t="shared" si="1"/>
        <v/>
      </c>
    </row>
    <row r="362">
      <c r="A362" s="102"/>
      <c r="B362" s="43" t="str">
        <f>IF(A362="", "", IFERROR(VLOOKUP(A362, Clasificaciones!A:B, 2, FALSE), "DATO NO CARGADO"))</f>
        <v/>
      </c>
      <c r="C362" s="51"/>
      <c r="D362" s="257"/>
      <c r="E362" s="102"/>
      <c r="F362" s="103"/>
      <c r="G362" s="258"/>
      <c r="I362" s="103"/>
      <c r="K362" s="71"/>
      <c r="L362" s="106" t="str">
        <f>IF(ISBLANK(J362), "", VLOOKUP(C362, 'Info Tipo de Cambio y REM'!$A$24:$B$35, 2, FALSE))</f>
        <v/>
      </c>
      <c r="M362" s="107" t="str">
        <f t="shared" si="1"/>
        <v/>
      </c>
    </row>
    <row r="363">
      <c r="A363" s="102"/>
      <c r="B363" s="43" t="str">
        <f>IF(A363="", "", IFERROR(VLOOKUP(A363, Clasificaciones!A:B, 2, FALSE), "DATO NO CARGADO"))</f>
        <v/>
      </c>
      <c r="C363" s="51"/>
      <c r="D363" s="257"/>
      <c r="E363" s="102"/>
      <c r="F363" s="103"/>
      <c r="G363" s="258"/>
      <c r="I363" s="103"/>
      <c r="K363" s="71"/>
      <c r="L363" s="106" t="str">
        <f>IF(ISBLANK(J363), "", VLOOKUP(C363, 'Info Tipo de Cambio y REM'!$A$24:$B$35, 2, FALSE))</f>
        <v/>
      </c>
      <c r="M363" s="107" t="str">
        <f t="shared" si="1"/>
        <v/>
      </c>
    </row>
    <row r="364">
      <c r="A364" s="102"/>
      <c r="B364" s="43" t="str">
        <f>IF(A364="", "", IFERROR(VLOOKUP(A364, Clasificaciones!A:B, 2, FALSE), "DATO NO CARGADO"))</f>
        <v/>
      </c>
      <c r="C364" s="51"/>
      <c r="D364" s="257"/>
      <c r="E364" s="102"/>
      <c r="F364" s="103"/>
      <c r="G364" s="258"/>
      <c r="I364" s="103"/>
      <c r="K364" s="71"/>
      <c r="L364" s="106" t="str">
        <f>IF(ISBLANK(J364), "", VLOOKUP(C364, 'Info Tipo de Cambio y REM'!$A$24:$B$35, 2, FALSE))</f>
        <v/>
      </c>
      <c r="M364" s="107" t="str">
        <f t="shared" si="1"/>
        <v/>
      </c>
    </row>
    <row r="365">
      <c r="A365" s="102"/>
      <c r="B365" s="43" t="str">
        <f>IF(A365="", "", IFERROR(VLOOKUP(A365, Clasificaciones!A:B, 2, FALSE), "DATO NO CARGADO"))</f>
        <v/>
      </c>
      <c r="C365" s="51"/>
      <c r="D365" s="257"/>
      <c r="E365" s="102"/>
      <c r="F365" s="103"/>
      <c r="G365" s="258"/>
      <c r="I365" s="103"/>
      <c r="K365" s="71"/>
      <c r="L365" s="106" t="str">
        <f>IF(ISBLANK(J365), "", VLOOKUP(C365, 'Info Tipo de Cambio y REM'!$A$24:$B$35, 2, FALSE))</f>
        <v/>
      </c>
      <c r="M365" s="107" t="str">
        <f t="shared" si="1"/>
        <v/>
      </c>
    </row>
    <row r="366">
      <c r="A366" s="102"/>
      <c r="B366" s="43" t="str">
        <f>IF(A366="", "", IFERROR(VLOOKUP(A366, Clasificaciones!A:B, 2, FALSE), "DATO NO CARGADO"))</f>
        <v/>
      </c>
      <c r="C366" s="51"/>
      <c r="D366" s="257"/>
      <c r="E366" s="102"/>
      <c r="F366" s="103"/>
      <c r="G366" s="258"/>
      <c r="I366" s="103"/>
      <c r="K366" s="71"/>
      <c r="L366" s="106" t="str">
        <f>IF(ISBLANK(J366), "", VLOOKUP(C366, 'Info Tipo de Cambio y REM'!$A$24:$B$35, 2, FALSE))</f>
        <v/>
      </c>
      <c r="M366" s="107" t="str">
        <f t="shared" si="1"/>
        <v/>
      </c>
    </row>
    <row r="367">
      <c r="A367" s="102"/>
      <c r="B367" s="43" t="str">
        <f>IF(A367="", "", IFERROR(VLOOKUP(A367, Clasificaciones!A:B, 2, FALSE), "DATO NO CARGADO"))</f>
        <v/>
      </c>
      <c r="C367" s="51"/>
      <c r="D367" s="257"/>
      <c r="E367" s="102"/>
      <c r="F367" s="103"/>
      <c r="G367" s="258"/>
      <c r="I367" s="103"/>
      <c r="K367" s="71"/>
      <c r="L367" s="106" t="str">
        <f>IF(ISBLANK(J367), "", VLOOKUP(C367, 'Info Tipo de Cambio y REM'!$A$24:$B$35, 2, FALSE))</f>
        <v/>
      </c>
      <c r="M367" s="107" t="str">
        <f t="shared" si="1"/>
        <v/>
      </c>
    </row>
    <row r="368">
      <c r="A368" s="102"/>
      <c r="B368" s="43" t="str">
        <f>IF(A368="", "", IFERROR(VLOOKUP(A368, Clasificaciones!A:B, 2, FALSE), "DATO NO CARGADO"))</f>
        <v/>
      </c>
      <c r="C368" s="51"/>
      <c r="D368" s="257"/>
      <c r="E368" s="102"/>
      <c r="F368" s="103"/>
      <c r="G368" s="258"/>
      <c r="I368" s="103"/>
      <c r="K368" s="71"/>
      <c r="L368" s="106" t="str">
        <f>IF(ISBLANK(J368), "", VLOOKUP(C368, 'Info Tipo de Cambio y REM'!$A$24:$B$35, 2, FALSE))</f>
        <v/>
      </c>
      <c r="M368" s="107" t="str">
        <f t="shared" si="1"/>
        <v/>
      </c>
    </row>
    <row r="369">
      <c r="A369" s="102"/>
      <c r="B369" s="43" t="str">
        <f>IF(A369="", "", IFERROR(VLOOKUP(A369, Clasificaciones!A:B, 2, FALSE), "DATO NO CARGADO"))</f>
        <v/>
      </c>
      <c r="C369" s="51"/>
      <c r="D369" s="257"/>
      <c r="E369" s="102"/>
      <c r="F369" s="103"/>
      <c r="G369" s="258"/>
      <c r="I369" s="103"/>
      <c r="K369" s="71"/>
      <c r="L369" s="106" t="str">
        <f>IF(ISBLANK(J369), "", VLOOKUP(C369, 'Info Tipo de Cambio y REM'!$A$24:$B$35, 2, FALSE))</f>
        <v/>
      </c>
      <c r="M369" s="107" t="str">
        <f t="shared" si="1"/>
        <v/>
      </c>
    </row>
    <row r="370">
      <c r="A370" s="102"/>
      <c r="B370" s="43" t="str">
        <f>IF(A370="", "", IFERROR(VLOOKUP(A370, Clasificaciones!A:B, 2, FALSE), "DATO NO CARGADO"))</f>
        <v/>
      </c>
      <c r="C370" s="51"/>
      <c r="D370" s="257"/>
      <c r="E370" s="102"/>
      <c r="F370" s="103"/>
      <c r="G370" s="258"/>
      <c r="I370" s="103"/>
      <c r="K370" s="71"/>
      <c r="L370" s="106" t="str">
        <f>IF(ISBLANK(J370), "", VLOOKUP(C370, 'Info Tipo de Cambio y REM'!$A$24:$B$35, 2, FALSE))</f>
        <v/>
      </c>
      <c r="M370" s="107" t="str">
        <f t="shared" si="1"/>
        <v/>
      </c>
    </row>
    <row r="371">
      <c r="A371" s="102"/>
      <c r="B371" s="43" t="str">
        <f>IF(A371="", "", IFERROR(VLOOKUP(A371, Clasificaciones!A:B, 2, FALSE), "DATO NO CARGADO"))</f>
        <v/>
      </c>
      <c r="C371" s="51"/>
      <c r="D371" s="257"/>
      <c r="E371" s="102"/>
      <c r="F371" s="103"/>
      <c r="G371" s="258"/>
      <c r="I371" s="103"/>
      <c r="K371" s="71"/>
      <c r="L371" s="106" t="str">
        <f>IF(ISBLANK(J371), "", VLOOKUP(C371, 'Info Tipo de Cambio y REM'!$A$24:$B$35, 2, FALSE))</f>
        <v/>
      </c>
      <c r="M371" s="107" t="str">
        <f t="shared" si="1"/>
        <v/>
      </c>
    </row>
    <row r="372">
      <c r="A372" s="102"/>
      <c r="B372" s="43" t="str">
        <f>IF(A372="", "", IFERROR(VLOOKUP(A372, Clasificaciones!A:B, 2, FALSE), "DATO NO CARGADO"))</f>
        <v/>
      </c>
      <c r="C372" s="51"/>
      <c r="D372" s="257"/>
      <c r="E372" s="102"/>
      <c r="F372" s="103"/>
      <c r="G372" s="258"/>
      <c r="I372" s="103"/>
      <c r="K372" s="71"/>
      <c r="L372" s="106" t="str">
        <f>IF(ISBLANK(J372), "", VLOOKUP(C372, 'Info Tipo de Cambio y REM'!$A$24:$B$35, 2, FALSE))</f>
        <v/>
      </c>
      <c r="M372" s="107" t="str">
        <f t="shared" si="1"/>
        <v/>
      </c>
    </row>
    <row r="373">
      <c r="A373" s="102"/>
      <c r="B373" s="43" t="str">
        <f>IF(A373="", "", IFERROR(VLOOKUP(A373, Clasificaciones!A:B, 2, FALSE), "DATO NO CARGADO"))</f>
        <v/>
      </c>
      <c r="C373" s="51"/>
      <c r="D373" s="257"/>
      <c r="E373" s="102"/>
      <c r="F373" s="103"/>
      <c r="G373" s="258"/>
      <c r="I373" s="103"/>
      <c r="K373" s="71"/>
      <c r="L373" s="106" t="str">
        <f>IF(ISBLANK(J373), "", VLOOKUP(C373, 'Info Tipo de Cambio y REM'!$A$24:$B$35, 2, FALSE))</f>
        <v/>
      </c>
      <c r="M373" s="107" t="str">
        <f t="shared" si="1"/>
        <v/>
      </c>
    </row>
    <row r="374">
      <c r="A374" s="102"/>
      <c r="B374" s="43" t="str">
        <f>IF(A374="", "", IFERROR(VLOOKUP(A374, Clasificaciones!A:B, 2, FALSE), "DATO NO CARGADO"))</f>
        <v/>
      </c>
      <c r="C374" s="51"/>
      <c r="D374" s="257"/>
      <c r="E374" s="102"/>
      <c r="F374" s="103"/>
      <c r="G374" s="258"/>
      <c r="I374" s="103"/>
      <c r="K374" s="71"/>
      <c r="L374" s="106" t="str">
        <f>IF(ISBLANK(J374), "", VLOOKUP(C374, 'Info Tipo de Cambio y REM'!$A$24:$B$35, 2, FALSE))</f>
        <v/>
      </c>
      <c r="M374" s="107" t="str">
        <f t="shared" si="1"/>
        <v/>
      </c>
    </row>
    <row r="375">
      <c r="A375" s="102"/>
      <c r="B375" s="43" t="str">
        <f>IF(A375="", "", IFERROR(VLOOKUP(A375, Clasificaciones!A:B, 2, FALSE), "DATO NO CARGADO"))</f>
        <v/>
      </c>
      <c r="C375" s="51"/>
      <c r="D375" s="257"/>
      <c r="E375" s="102"/>
      <c r="F375" s="103"/>
      <c r="G375" s="258"/>
      <c r="I375" s="103"/>
      <c r="K375" s="71"/>
      <c r="L375" s="106" t="str">
        <f>IF(ISBLANK(J375), "", VLOOKUP(C375, 'Info Tipo de Cambio y REM'!$A$24:$B$35, 2, FALSE))</f>
        <v/>
      </c>
      <c r="M375" s="107" t="str">
        <f t="shared" si="1"/>
        <v/>
      </c>
    </row>
    <row r="376">
      <c r="A376" s="102"/>
      <c r="B376" s="43" t="str">
        <f>IF(A376="", "", IFERROR(VLOOKUP(A376, Clasificaciones!A:B, 2, FALSE), "DATO NO CARGADO"))</f>
        <v/>
      </c>
      <c r="C376" s="51"/>
      <c r="D376" s="257"/>
      <c r="E376" s="102"/>
      <c r="F376" s="103"/>
      <c r="G376" s="258"/>
      <c r="I376" s="103"/>
      <c r="K376" s="71"/>
      <c r="L376" s="106" t="str">
        <f>IF(ISBLANK(J376), "", VLOOKUP(C376, 'Info Tipo de Cambio y REM'!$A$24:$B$35, 2, FALSE))</f>
        <v/>
      </c>
      <c r="M376" s="107" t="str">
        <f t="shared" si="1"/>
        <v/>
      </c>
    </row>
    <row r="377">
      <c r="A377" s="102"/>
      <c r="B377" s="43" t="str">
        <f>IF(A377="", "", IFERROR(VLOOKUP(A377, Clasificaciones!A:B, 2, FALSE), "DATO NO CARGADO"))</f>
        <v/>
      </c>
      <c r="C377" s="51"/>
      <c r="D377" s="257"/>
      <c r="E377" s="102"/>
      <c r="F377" s="103"/>
      <c r="G377" s="258"/>
      <c r="I377" s="103"/>
      <c r="K377" s="71"/>
      <c r="L377" s="106" t="str">
        <f>IF(ISBLANK(J377), "", VLOOKUP(C377, 'Info Tipo de Cambio y REM'!$A$24:$B$35, 2, FALSE))</f>
        <v/>
      </c>
      <c r="M377" s="107" t="str">
        <f t="shared" si="1"/>
        <v/>
      </c>
    </row>
    <row r="378">
      <c r="A378" s="102"/>
      <c r="B378" s="43" t="str">
        <f>IF(A378="", "", IFERROR(VLOOKUP(A378, Clasificaciones!A:B, 2, FALSE), "DATO NO CARGADO"))</f>
        <v/>
      </c>
      <c r="C378" s="51"/>
      <c r="D378" s="257"/>
      <c r="E378" s="102"/>
      <c r="F378" s="103"/>
      <c r="G378" s="258"/>
      <c r="I378" s="103"/>
      <c r="K378" s="71"/>
      <c r="L378" s="106" t="str">
        <f>IF(ISBLANK(J378), "", VLOOKUP(C378, 'Info Tipo de Cambio y REM'!$A$24:$B$35, 2, FALSE))</f>
        <v/>
      </c>
      <c r="M378" s="107" t="str">
        <f t="shared" si="1"/>
        <v/>
      </c>
    </row>
    <row r="379">
      <c r="A379" s="102"/>
      <c r="B379" s="43" t="str">
        <f>IF(A379="", "", IFERROR(VLOOKUP(A379, Clasificaciones!A:B, 2, FALSE), "DATO NO CARGADO"))</f>
        <v/>
      </c>
      <c r="C379" s="51"/>
      <c r="D379" s="257"/>
      <c r="E379" s="102"/>
      <c r="F379" s="103"/>
      <c r="G379" s="258"/>
      <c r="I379" s="103"/>
      <c r="K379" s="71"/>
      <c r="L379" s="106" t="str">
        <f>IF(ISBLANK(J379), "", VLOOKUP(C379, 'Info Tipo de Cambio y REM'!$A$24:$B$35, 2, FALSE))</f>
        <v/>
      </c>
      <c r="M379" s="107" t="str">
        <f t="shared" si="1"/>
        <v/>
      </c>
    </row>
    <row r="380">
      <c r="A380" s="102"/>
      <c r="B380" s="43" t="str">
        <f>IF(A380="", "", IFERROR(VLOOKUP(A380, Clasificaciones!A:B, 2, FALSE), "DATO NO CARGADO"))</f>
        <v/>
      </c>
      <c r="C380" s="51"/>
      <c r="D380" s="257"/>
      <c r="E380" s="102"/>
      <c r="F380" s="103"/>
      <c r="G380" s="258"/>
      <c r="I380" s="103"/>
      <c r="K380" s="71"/>
      <c r="L380" s="106" t="str">
        <f>IF(ISBLANK(J380), "", VLOOKUP(C380, 'Info Tipo de Cambio y REM'!$A$24:$B$35, 2, FALSE))</f>
        <v/>
      </c>
      <c r="M380" s="107" t="str">
        <f t="shared" si="1"/>
        <v/>
      </c>
    </row>
    <row r="381">
      <c r="A381" s="102"/>
      <c r="B381" s="43" t="str">
        <f>IF(A381="", "", IFERROR(VLOOKUP(A381, Clasificaciones!A:B, 2, FALSE), "DATO NO CARGADO"))</f>
        <v/>
      </c>
      <c r="C381" s="51"/>
      <c r="D381" s="257"/>
      <c r="E381" s="102"/>
      <c r="F381" s="103"/>
      <c r="G381" s="258"/>
      <c r="I381" s="103"/>
      <c r="K381" s="71"/>
      <c r="L381" s="106" t="str">
        <f>IF(ISBLANK(J381), "", VLOOKUP(C381, 'Info Tipo de Cambio y REM'!$A$24:$B$35, 2, FALSE))</f>
        <v/>
      </c>
      <c r="M381" s="107" t="str">
        <f t="shared" si="1"/>
        <v/>
      </c>
    </row>
    <row r="382">
      <c r="A382" s="102"/>
      <c r="B382" s="43" t="str">
        <f>IF(A382="", "", IFERROR(VLOOKUP(A382, Clasificaciones!A:B, 2, FALSE), "DATO NO CARGADO"))</f>
        <v/>
      </c>
      <c r="C382" s="51"/>
      <c r="D382" s="257"/>
      <c r="E382" s="102"/>
      <c r="F382" s="103"/>
      <c r="G382" s="258"/>
      <c r="I382" s="103"/>
      <c r="K382" s="71"/>
      <c r="L382" s="106" t="str">
        <f>IF(ISBLANK(J382), "", VLOOKUP(C382, 'Info Tipo de Cambio y REM'!$A$24:$B$35, 2, FALSE))</f>
        <v/>
      </c>
      <c r="M382" s="107" t="str">
        <f t="shared" si="1"/>
        <v/>
      </c>
    </row>
    <row r="383">
      <c r="A383" s="102"/>
      <c r="B383" s="43" t="str">
        <f>IF(A383="", "", IFERROR(VLOOKUP(A383, Clasificaciones!A:B, 2, FALSE), "DATO NO CARGADO"))</f>
        <v/>
      </c>
      <c r="C383" s="51"/>
      <c r="D383" s="257"/>
      <c r="E383" s="102"/>
      <c r="F383" s="103"/>
      <c r="G383" s="258"/>
      <c r="I383" s="103"/>
      <c r="K383" s="71"/>
      <c r="L383" s="106" t="str">
        <f>IF(ISBLANK(J383), "", VLOOKUP(C383, 'Info Tipo de Cambio y REM'!$A$24:$B$35, 2, FALSE))</f>
        <v/>
      </c>
      <c r="M383" s="107" t="str">
        <f t="shared" si="1"/>
        <v/>
      </c>
    </row>
    <row r="384">
      <c r="A384" s="102"/>
      <c r="B384" s="43" t="str">
        <f>IF(A384="", "", IFERROR(VLOOKUP(A384, Clasificaciones!A:B, 2, FALSE), "DATO NO CARGADO"))</f>
        <v/>
      </c>
      <c r="C384" s="51"/>
      <c r="D384" s="257"/>
      <c r="E384" s="102"/>
      <c r="F384" s="103"/>
      <c r="G384" s="258"/>
      <c r="I384" s="103"/>
      <c r="K384" s="71"/>
      <c r="L384" s="106" t="str">
        <f>IF(ISBLANK(J384), "", VLOOKUP(C384, 'Info Tipo de Cambio y REM'!$A$24:$B$35, 2, FALSE))</f>
        <v/>
      </c>
      <c r="M384" s="107" t="str">
        <f t="shared" si="1"/>
        <v/>
      </c>
    </row>
    <row r="385">
      <c r="A385" s="102"/>
      <c r="B385" s="43" t="str">
        <f>IF(A385="", "", IFERROR(VLOOKUP(A385, Clasificaciones!A:B, 2, FALSE), "DATO NO CARGADO"))</f>
        <v/>
      </c>
      <c r="C385" s="51"/>
      <c r="D385" s="257"/>
      <c r="E385" s="102"/>
      <c r="F385" s="103"/>
      <c r="G385" s="258"/>
      <c r="I385" s="103"/>
      <c r="K385" s="71"/>
      <c r="L385" s="106" t="str">
        <f>IF(ISBLANK(J385), "", VLOOKUP(C385, 'Info Tipo de Cambio y REM'!$A$24:$B$35, 2, FALSE))</f>
        <v/>
      </c>
      <c r="M385" s="107" t="str">
        <f t="shared" si="1"/>
        <v/>
      </c>
    </row>
    <row r="386">
      <c r="A386" s="102"/>
      <c r="B386" s="43" t="str">
        <f>IF(A386="", "", IFERROR(VLOOKUP(A386, Clasificaciones!A:B, 2, FALSE), "DATO NO CARGADO"))</f>
        <v/>
      </c>
      <c r="C386" s="51"/>
      <c r="D386" s="257"/>
      <c r="E386" s="102"/>
      <c r="F386" s="103"/>
      <c r="G386" s="258"/>
      <c r="I386" s="103"/>
      <c r="K386" s="71"/>
      <c r="L386" s="106" t="str">
        <f>IF(ISBLANK(J386), "", VLOOKUP(C386, 'Info Tipo de Cambio y REM'!$A$24:$B$35, 2, FALSE))</f>
        <v/>
      </c>
      <c r="M386" s="107" t="str">
        <f t="shared" si="1"/>
        <v/>
      </c>
    </row>
    <row r="387">
      <c r="A387" s="102"/>
      <c r="B387" s="43" t="str">
        <f>IF(A387="", "", IFERROR(VLOOKUP(A387, Clasificaciones!A:B, 2, FALSE), "DATO NO CARGADO"))</f>
        <v/>
      </c>
      <c r="C387" s="51"/>
      <c r="D387" s="257"/>
      <c r="E387" s="102"/>
      <c r="F387" s="103"/>
      <c r="G387" s="258"/>
      <c r="I387" s="103"/>
      <c r="K387" s="71"/>
      <c r="L387" s="106" t="str">
        <f>IF(ISBLANK(J387), "", VLOOKUP(C387, 'Info Tipo de Cambio y REM'!$A$24:$B$35, 2, FALSE))</f>
        <v/>
      </c>
      <c r="M387" s="107" t="str">
        <f t="shared" si="1"/>
        <v/>
      </c>
    </row>
    <row r="388">
      <c r="A388" s="102"/>
      <c r="B388" s="43" t="str">
        <f>IF(A388="", "", IFERROR(VLOOKUP(A388, Clasificaciones!A:B, 2, FALSE), "DATO NO CARGADO"))</f>
        <v/>
      </c>
      <c r="C388" s="51"/>
      <c r="D388" s="257"/>
      <c r="E388" s="102"/>
      <c r="F388" s="103"/>
      <c r="G388" s="258"/>
      <c r="I388" s="103"/>
      <c r="K388" s="71"/>
      <c r="L388" s="106" t="str">
        <f>IF(ISBLANK(J388), "", VLOOKUP(C388, 'Info Tipo de Cambio y REM'!$A$24:$B$35, 2, FALSE))</f>
        <v/>
      </c>
      <c r="M388" s="107" t="str">
        <f t="shared" si="1"/>
        <v/>
      </c>
    </row>
    <row r="389">
      <c r="A389" s="102"/>
      <c r="B389" s="43" t="str">
        <f>IF(A389="", "", IFERROR(VLOOKUP(A389, Clasificaciones!A:B, 2, FALSE), "DATO NO CARGADO"))</f>
        <v/>
      </c>
      <c r="C389" s="51"/>
      <c r="D389" s="257"/>
      <c r="E389" s="102"/>
      <c r="F389" s="103"/>
      <c r="G389" s="258"/>
      <c r="I389" s="103"/>
      <c r="K389" s="71"/>
      <c r="L389" s="106" t="str">
        <f>IF(ISBLANK(J389), "", VLOOKUP(C389, 'Info Tipo de Cambio y REM'!$A$24:$B$35, 2, FALSE))</f>
        <v/>
      </c>
      <c r="M389" s="107" t="str">
        <f t="shared" si="1"/>
        <v/>
      </c>
    </row>
    <row r="390">
      <c r="A390" s="102"/>
      <c r="B390" s="43" t="str">
        <f>IF(A390="", "", IFERROR(VLOOKUP(A390, Clasificaciones!A:B, 2, FALSE), "DATO NO CARGADO"))</f>
        <v/>
      </c>
      <c r="C390" s="51"/>
      <c r="D390" s="257"/>
      <c r="E390" s="102"/>
      <c r="F390" s="103"/>
      <c r="G390" s="258"/>
      <c r="I390" s="103"/>
      <c r="K390" s="71"/>
      <c r="L390" s="106" t="str">
        <f>IF(ISBLANK(J390), "", VLOOKUP(C390, 'Info Tipo de Cambio y REM'!$A$24:$B$35, 2, FALSE))</f>
        <v/>
      </c>
      <c r="M390" s="107" t="str">
        <f t="shared" si="1"/>
        <v/>
      </c>
    </row>
    <row r="391">
      <c r="A391" s="102"/>
      <c r="B391" s="43" t="str">
        <f>IF(A391="", "", IFERROR(VLOOKUP(A391, Clasificaciones!A:B, 2, FALSE), "DATO NO CARGADO"))</f>
        <v/>
      </c>
      <c r="C391" s="51"/>
      <c r="D391" s="257"/>
      <c r="E391" s="102"/>
      <c r="F391" s="103"/>
      <c r="G391" s="258"/>
      <c r="I391" s="103"/>
      <c r="K391" s="71"/>
      <c r="L391" s="106" t="str">
        <f>IF(ISBLANK(J391), "", VLOOKUP(C391, 'Info Tipo de Cambio y REM'!$A$24:$B$35, 2, FALSE))</f>
        <v/>
      </c>
      <c r="M391" s="107" t="str">
        <f t="shared" si="1"/>
        <v/>
      </c>
    </row>
    <row r="392">
      <c r="A392" s="102"/>
      <c r="B392" s="43" t="str">
        <f>IF(A392="", "", IFERROR(VLOOKUP(A392, Clasificaciones!A:B, 2, FALSE), "DATO NO CARGADO"))</f>
        <v/>
      </c>
      <c r="C392" s="51"/>
      <c r="D392" s="257"/>
      <c r="E392" s="102"/>
      <c r="F392" s="103"/>
      <c r="G392" s="258"/>
      <c r="I392" s="103"/>
      <c r="K392" s="71"/>
      <c r="L392" s="106" t="str">
        <f>IF(ISBLANK(J392), "", VLOOKUP(C392, 'Info Tipo de Cambio y REM'!$A$24:$B$35, 2, FALSE))</f>
        <v/>
      </c>
      <c r="M392" s="107" t="str">
        <f t="shared" si="1"/>
        <v/>
      </c>
    </row>
    <row r="393">
      <c r="A393" s="102"/>
      <c r="B393" s="43" t="str">
        <f>IF(A393="", "", IFERROR(VLOOKUP(A393, Clasificaciones!A:B, 2, FALSE), "DATO NO CARGADO"))</f>
        <v/>
      </c>
      <c r="C393" s="51"/>
      <c r="D393" s="257"/>
      <c r="E393" s="102"/>
      <c r="F393" s="103"/>
      <c r="G393" s="258"/>
      <c r="I393" s="103"/>
      <c r="K393" s="71"/>
      <c r="L393" s="106" t="str">
        <f>IF(ISBLANK(J393), "", VLOOKUP(C393, 'Info Tipo de Cambio y REM'!$A$24:$B$35, 2, FALSE))</f>
        <v/>
      </c>
      <c r="M393" s="107" t="str">
        <f t="shared" si="1"/>
        <v/>
      </c>
    </row>
    <row r="394">
      <c r="A394" s="102"/>
      <c r="B394" s="43" t="str">
        <f>IF(A394="", "", IFERROR(VLOOKUP(A394, Clasificaciones!A:B, 2, FALSE), "DATO NO CARGADO"))</f>
        <v/>
      </c>
      <c r="C394" s="51"/>
      <c r="D394" s="257"/>
      <c r="E394" s="102"/>
      <c r="F394" s="103"/>
      <c r="G394" s="258"/>
      <c r="I394" s="103"/>
      <c r="K394" s="71"/>
      <c r="L394" s="106" t="str">
        <f>IF(ISBLANK(J394), "", VLOOKUP(C394, 'Info Tipo de Cambio y REM'!$A$24:$B$35, 2, FALSE))</f>
        <v/>
      </c>
      <c r="M394" s="107" t="str">
        <f t="shared" si="1"/>
        <v/>
      </c>
    </row>
    <row r="395">
      <c r="A395" s="102"/>
      <c r="B395" s="43" t="str">
        <f>IF(A395="", "", IFERROR(VLOOKUP(A395, Clasificaciones!A:B, 2, FALSE), "DATO NO CARGADO"))</f>
        <v/>
      </c>
      <c r="C395" s="51"/>
      <c r="D395" s="257"/>
      <c r="E395" s="102"/>
      <c r="F395" s="103"/>
      <c r="G395" s="258"/>
      <c r="I395" s="103"/>
      <c r="K395" s="71"/>
      <c r="L395" s="106" t="str">
        <f>IF(ISBLANK(J395), "", VLOOKUP(C395, 'Info Tipo de Cambio y REM'!$A$24:$B$35, 2, FALSE))</f>
        <v/>
      </c>
      <c r="M395" s="107" t="str">
        <f t="shared" si="1"/>
        <v/>
      </c>
    </row>
    <row r="396">
      <c r="A396" s="102"/>
      <c r="B396" s="43" t="str">
        <f>IF(A396="", "", IFERROR(VLOOKUP(A396, Clasificaciones!A:B, 2, FALSE), "DATO NO CARGADO"))</f>
        <v/>
      </c>
      <c r="C396" s="51"/>
      <c r="D396" s="257"/>
      <c r="E396" s="102"/>
      <c r="F396" s="103"/>
      <c r="G396" s="258"/>
      <c r="I396" s="103"/>
      <c r="K396" s="71"/>
      <c r="L396" s="106" t="str">
        <f>IF(ISBLANK(J396), "", VLOOKUP(C396, 'Info Tipo de Cambio y REM'!$A$24:$B$35, 2, FALSE))</f>
        <v/>
      </c>
      <c r="M396" s="107" t="str">
        <f t="shared" si="1"/>
        <v/>
      </c>
    </row>
    <row r="397">
      <c r="A397" s="102"/>
      <c r="B397" s="43" t="str">
        <f>IF(A397="", "", IFERROR(VLOOKUP(A397, Clasificaciones!A:B, 2, FALSE), "DATO NO CARGADO"))</f>
        <v/>
      </c>
      <c r="C397" s="51"/>
      <c r="D397" s="257"/>
      <c r="E397" s="102"/>
      <c r="F397" s="103"/>
      <c r="G397" s="258"/>
      <c r="I397" s="103"/>
      <c r="K397" s="71"/>
      <c r="L397" s="106" t="str">
        <f>IF(ISBLANK(J397), "", VLOOKUP(C397, 'Info Tipo de Cambio y REM'!$A$24:$B$35, 2, FALSE))</f>
        <v/>
      </c>
      <c r="M397" s="107" t="str">
        <f t="shared" si="1"/>
        <v/>
      </c>
    </row>
    <row r="398">
      <c r="A398" s="102"/>
      <c r="B398" s="43" t="str">
        <f>IF(A398="", "", IFERROR(VLOOKUP(A398, Clasificaciones!A:B, 2, FALSE), "DATO NO CARGADO"))</f>
        <v/>
      </c>
      <c r="C398" s="51"/>
      <c r="D398" s="257"/>
      <c r="E398" s="102"/>
      <c r="F398" s="103"/>
      <c r="G398" s="258"/>
      <c r="I398" s="103"/>
      <c r="K398" s="71"/>
      <c r="L398" s="106" t="str">
        <f>IF(ISBLANK(J398), "", VLOOKUP(C398, 'Info Tipo de Cambio y REM'!$A$24:$B$35, 2, FALSE))</f>
        <v/>
      </c>
      <c r="M398" s="107" t="str">
        <f t="shared" si="1"/>
        <v/>
      </c>
    </row>
    <row r="399">
      <c r="A399" s="102"/>
      <c r="B399" s="43" t="str">
        <f>IF(A399="", "", IFERROR(VLOOKUP(A399, Clasificaciones!A:B, 2, FALSE), "DATO NO CARGADO"))</f>
        <v/>
      </c>
      <c r="C399" s="51"/>
      <c r="D399" s="257"/>
      <c r="E399" s="102"/>
      <c r="F399" s="103"/>
      <c r="G399" s="258"/>
      <c r="I399" s="103"/>
      <c r="K399" s="71"/>
      <c r="L399" s="106" t="str">
        <f>IF(ISBLANK(J399), "", VLOOKUP(C399, 'Info Tipo de Cambio y REM'!$A$24:$B$35, 2, FALSE))</f>
        <v/>
      </c>
      <c r="M399" s="107" t="str">
        <f t="shared" si="1"/>
        <v/>
      </c>
    </row>
    <row r="400">
      <c r="A400" s="102"/>
      <c r="B400" s="43" t="str">
        <f>IF(A400="", "", IFERROR(VLOOKUP(A400, Clasificaciones!A:B, 2, FALSE), "DATO NO CARGADO"))</f>
        <v/>
      </c>
      <c r="C400" s="51"/>
      <c r="D400" s="257"/>
      <c r="E400" s="102"/>
      <c r="F400" s="103"/>
      <c r="G400" s="258"/>
      <c r="I400" s="103"/>
      <c r="K400" s="71"/>
      <c r="L400" s="106" t="str">
        <f>IF(ISBLANK(J400), "", VLOOKUP(C400, 'Info Tipo de Cambio y REM'!$A$24:$B$35, 2, FALSE))</f>
        <v/>
      </c>
      <c r="M400" s="107" t="str">
        <f t="shared" si="1"/>
        <v/>
      </c>
    </row>
    <row r="401">
      <c r="A401" s="102"/>
      <c r="B401" s="43" t="str">
        <f>IF(A401="", "", IFERROR(VLOOKUP(A401, Clasificaciones!A:B, 2, FALSE), "DATO NO CARGADO"))</f>
        <v/>
      </c>
      <c r="C401" s="51"/>
      <c r="D401" s="257"/>
      <c r="E401" s="102"/>
      <c r="F401" s="103"/>
      <c r="G401" s="258"/>
      <c r="I401" s="103"/>
      <c r="K401" s="71"/>
      <c r="L401" s="106" t="str">
        <f>IF(ISBLANK(J401), "", VLOOKUP(C401, 'Info Tipo de Cambio y REM'!$A$24:$B$35, 2, FALSE))</f>
        <v/>
      </c>
      <c r="M401" s="107" t="str">
        <f t="shared" si="1"/>
        <v/>
      </c>
    </row>
    <row r="402">
      <c r="A402" s="102"/>
      <c r="B402" s="43" t="str">
        <f>IF(A402="", "", IFERROR(VLOOKUP(A402, Clasificaciones!A:B, 2, FALSE), "DATO NO CARGADO"))</f>
        <v/>
      </c>
      <c r="C402" s="51"/>
      <c r="D402" s="257"/>
      <c r="E402" s="102"/>
      <c r="F402" s="103"/>
      <c r="G402" s="258"/>
      <c r="I402" s="103"/>
      <c r="K402" s="71"/>
      <c r="L402" s="106" t="str">
        <f>IF(ISBLANK(J402), "", VLOOKUP(C402, 'Info Tipo de Cambio y REM'!$A$24:$B$35, 2, FALSE))</f>
        <v/>
      </c>
      <c r="M402" s="107" t="str">
        <f t="shared" si="1"/>
        <v/>
      </c>
    </row>
    <row r="403">
      <c r="A403" s="102"/>
      <c r="B403" s="43" t="str">
        <f>IF(A403="", "", IFERROR(VLOOKUP(A403, Clasificaciones!A:B, 2, FALSE), "DATO NO CARGADO"))</f>
        <v/>
      </c>
      <c r="C403" s="51"/>
      <c r="D403" s="257"/>
      <c r="E403" s="102"/>
      <c r="F403" s="103"/>
      <c r="G403" s="258"/>
      <c r="I403" s="103"/>
      <c r="K403" s="71"/>
      <c r="L403" s="106" t="str">
        <f>IF(ISBLANK(J403), "", VLOOKUP(C403, 'Info Tipo de Cambio y REM'!$A$24:$B$35, 2, FALSE))</f>
        <v/>
      </c>
      <c r="M403" s="107" t="str">
        <f t="shared" si="1"/>
        <v/>
      </c>
    </row>
    <row r="404">
      <c r="A404" s="102"/>
      <c r="B404" s="43" t="str">
        <f>IF(A404="", "", IFERROR(VLOOKUP(A404, Clasificaciones!A:B, 2, FALSE), "DATO NO CARGADO"))</f>
        <v/>
      </c>
      <c r="C404" s="51"/>
      <c r="D404" s="257"/>
      <c r="E404" s="102"/>
      <c r="F404" s="103"/>
      <c r="G404" s="258"/>
      <c r="I404" s="103"/>
      <c r="K404" s="71"/>
      <c r="L404" s="106" t="str">
        <f>IF(ISBLANK(J404), "", VLOOKUP(C404, 'Info Tipo de Cambio y REM'!$A$24:$B$35, 2, FALSE))</f>
        <v/>
      </c>
      <c r="M404" s="107" t="str">
        <f t="shared" ref="M404:M1095" si="2">IF(NOT(ISBLANK(J404)), J404 / L404, IF(NOT(ISBLANK(K404)), K404, ""))</f>
        <v/>
      </c>
    </row>
    <row r="405">
      <c r="A405" s="102"/>
      <c r="B405" s="43" t="str">
        <f>IF(A405="", "", IFERROR(VLOOKUP(A405, Clasificaciones!A:B, 2, FALSE), "DATO NO CARGADO"))</f>
        <v/>
      </c>
      <c r="C405" s="51"/>
      <c r="D405" s="257"/>
      <c r="E405" s="102"/>
      <c r="F405" s="103"/>
      <c r="G405" s="258"/>
      <c r="I405" s="103"/>
      <c r="K405" s="71"/>
      <c r="L405" s="106" t="str">
        <f>IF(ISBLANK(J405), "", VLOOKUP(C405, 'Info Tipo de Cambio y REM'!$A$24:$B$35, 2, FALSE))</f>
        <v/>
      </c>
      <c r="M405" s="107" t="str">
        <f t="shared" si="2"/>
        <v/>
      </c>
    </row>
    <row r="406">
      <c r="A406" s="102"/>
      <c r="B406" s="43" t="str">
        <f>IF(A406="", "", IFERROR(VLOOKUP(A406, Clasificaciones!A:B, 2, FALSE), "DATO NO CARGADO"))</f>
        <v/>
      </c>
      <c r="C406" s="51"/>
      <c r="D406" s="257"/>
      <c r="E406" s="102"/>
      <c r="F406" s="103"/>
      <c r="G406" s="258"/>
      <c r="I406" s="103"/>
      <c r="K406" s="71"/>
      <c r="L406" s="106" t="str">
        <f>IF(ISBLANK(J406), "", VLOOKUP(C406, 'Info Tipo de Cambio y REM'!$A$24:$B$35, 2, FALSE))</f>
        <v/>
      </c>
      <c r="M406" s="107" t="str">
        <f t="shared" si="2"/>
        <v/>
      </c>
    </row>
    <row r="407">
      <c r="A407" s="102"/>
      <c r="B407" s="43" t="str">
        <f>IF(A407="", "", IFERROR(VLOOKUP(A407, Clasificaciones!A:B, 2, FALSE), "DATO NO CARGADO"))</f>
        <v/>
      </c>
      <c r="C407" s="51"/>
      <c r="D407" s="257"/>
      <c r="E407" s="102"/>
      <c r="F407" s="103"/>
      <c r="G407" s="258"/>
      <c r="I407" s="103"/>
      <c r="K407" s="71"/>
      <c r="L407" s="106" t="str">
        <f>IF(ISBLANK(J407), "", VLOOKUP(C407, 'Info Tipo de Cambio y REM'!$A$24:$B$35, 2, FALSE))</f>
        <v/>
      </c>
      <c r="M407" s="107" t="str">
        <f t="shared" si="2"/>
        <v/>
      </c>
    </row>
    <row r="408">
      <c r="A408" s="102"/>
      <c r="B408" s="43" t="str">
        <f>IF(A408="", "", IFERROR(VLOOKUP(A408, Clasificaciones!A:B, 2, FALSE), "DATO NO CARGADO"))</f>
        <v/>
      </c>
      <c r="C408" s="51"/>
      <c r="D408" s="257"/>
      <c r="E408" s="102"/>
      <c r="F408" s="103"/>
      <c r="G408" s="258"/>
      <c r="I408" s="103"/>
      <c r="K408" s="71"/>
      <c r="L408" s="106" t="str">
        <f>IF(ISBLANK(J408), "", VLOOKUP(C408, 'Info Tipo de Cambio y REM'!$A$24:$B$35, 2, FALSE))</f>
        <v/>
      </c>
      <c r="M408" s="107" t="str">
        <f t="shared" si="2"/>
        <v/>
      </c>
    </row>
    <row r="409">
      <c r="A409" s="102"/>
      <c r="B409" s="43" t="str">
        <f>IF(A409="", "", IFERROR(VLOOKUP(A409, Clasificaciones!A:B, 2, FALSE), "DATO NO CARGADO"))</f>
        <v/>
      </c>
      <c r="C409" s="51"/>
      <c r="D409" s="257"/>
      <c r="E409" s="102"/>
      <c r="F409" s="103"/>
      <c r="G409" s="258"/>
      <c r="I409" s="103"/>
      <c r="K409" s="71"/>
      <c r="L409" s="106" t="str">
        <f>IF(ISBLANK(J409), "", VLOOKUP(C409, 'Info Tipo de Cambio y REM'!$A$24:$B$35, 2, FALSE))</f>
        <v/>
      </c>
      <c r="M409" s="107" t="str">
        <f t="shared" si="2"/>
        <v/>
      </c>
    </row>
    <row r="410">
      <c r="A410" s="102"/>
      <c r="B410" s="43" t="str">
        <f>IF(A410="", "", IFERROR(VLOOKUP(A410, Clasificaciones!A:B, 2, FALSE), "DATO NO CARGADO"))</f>
        <v/>
      </c>
      <c r="C410" s="51"/>
      <c r="D410" s="257"/>
      <c r="E410" s="102"/>
      <c r="F410" s="103"/>
      <c r="G410" s="258"/>
      <c r="I410" s="103"/>
      <c r="K410" s="71"/>
      <c r="L410" s="106" t="str">
        <f>IF(ISBLANK(J410), "", VLOOKUP(C410, 'Info Tipo de Cambio y REM'!$A$24:$B$35, 2, FALSE))</f>
        <v/>
      </c>
      <c r="M410" s="107" t="str">
        <f t="shared" si="2"/>
        <v/>
      </c>
    </row>
    <row r="411">
      <c r="A411" s="102"/>
      <c r="B411" s="43" t="str">
        <f>IF(A411="", "", IFERROR(VLOOKUP(A411, Clasificaciones!A:B, 2, FALSE), "DATO NO CARGADO"))</f>
        <v/>
      </c>
      <c r="C411" s="51"/>
      <c r="D411" s="257"/>
      <c r="E411" s="102"/>
      <c r="F411" s="103"/>
      <c r="G411" s="258"/>
      <c r="I411" s="103"/>
      <c r="K411" s="71"/>
      <c r="L411" s="106" t="str">
        <f>IF(ISBLANK(J411), "", VLOOKUP(C411, 'Info Tipo de Cambio y REM'!$A$24:$B$35, 2, FALSE))</f>
        <v/>
      </c>
      <c r="M411" s="107" t="str">
        <f t="shared" si="2"/>
        <v/>
      </c>
    </row>
    <row r="412">
      <c r="A412" s="102"/>
      <c r="B412" s="43" t="str">
        <f>IF(A412="", "", IFERROR(VLOOKUP(A412, Clasificaciones!A:B, 2, FALSE), "DATO NO CARGADO"))</f>
        <v/>
      </c>
      <c r="C412" s="51"/>
      <c r="D412" s="257"/>
      <c r="E412" s="102"/>
      <c r="F412" s="103"/>
      <c r="G412" s="258"/>
      <c r="I412" s="103"/>
      <c r="K412" s="71"/>
      <c r="L412" s="106" t="str">
        <f>IF(ISBLANK(J412), "", VLOOKUP(C412, 'Info Tipo de Cambio y REM'!$A$24:$B$35, 2, FALSE))</f>
        <v/>
      </c>
      <c r="M412" s="107" t="str">
        <f t="shared" si="2"/>
        <v/>
      </c>
    </row>
    <row r="413">
      <c r="A413" s="102"/>
      <c r="B413" s="43" t="str">
        <f>IF(A413="", "", IFERROR(VLOOKUP(A413, Clasificaciones!A:B, 2, FALSE), "DATO NO CARGADO"))</f>
        <v/>
      </c>
      <c r="C413" s="51"/>
      <c r="D413" s="257"/>
      <c r="E413" s="102"/>
      <c r="F413" s="103"/>
      <c r="G413" s="258"/>
      <c r="I413" s="103"/>
      <c r="K413" s="71"/>
      <c r="L413" s="106" t="str">
        <f>IF(ISBLANK(J413), "", VLOOKUP(C413, 'Info Tipo de Cambio y REM'!$A$24:$B$35, 2, FALSE))</f>
        <v/>
      </c>
      <c r="M413" s="107" t="str">
        <f t="shared" si="2"/>
        <v/>
      </c>
    </row>
    <row r="414">
      <c r="A414" s="102"/>
      <c r="B414" s="43" t="str">
        <f>IF(A414="", "", IFERROR(VLOOKUP(A414, Clasificaciones!A:B, 2, FALSE), "DATO NO CARGADO"))</f>
        <v/>
      </c>
      <c r="C414" s="51"/>
      <c r="D414" s="257"/>
      <c r="E414" s="102"/>
      <c r="F414" s="103"/>
      <c r="G414" s="258"/>
      <c r="I414" s="103"/>
      <c r="K414" s="71"/>
      <c r="L414" s="106" t="str">
        <f>IF(ISBLANK(J414), "", VLOOKUP(C414, 'Info Tipo de Cambio y REM'!$A$24:$B$35, 2, FALSE))</f>
        <v/>
      </c>
      <c r="M414" s="107" t="str">
        <f t="shared" si="2"/>
        <v/>
      </c>
    </row>
    <row r="415">
      <c r="A415" s="102"/>
      <c r="B415" s="43" t="str">
        <f>IF(A415="", "", IFERROR(VLOOKUP(A415, Clasificaciones!A:B, 2, FALSE), "DATO NO CARGADO"))</f>
        <v/>
      </c>
      <c r="C415" s="51"/>
      <c r="D415" s="257"/>
      <c r="E415" s="102"/>
      <c r="F415" s="103"/>
      <c r="G415" s="258"/>
      <c r="I415" s="103"/>
      <c r="K415" s="71"/>
      <c r="L415" s="106" t="str">
        <f>IF(ISBLANK(J415), "", VLOOKUP(C415, 'Info Tipo de Cambio y REM'!$A$24:$B$35, 2, FALSE))</f>
        <v/>
      </c>
      <c r="M415" s="107" t="str">
        <f t="shared" si="2"/>
        <v/>
      </c>
    </row>
    <row r="416">
      <c r="A416" s="102"/>
      <c r="B416" s="43" t="str">
        <f>IF(A416="", "", IFERROR(VLOOKUP(A416, Clasificaciones!A:B, 2, FALSE), "DATO NO CARGADO"))</f>
        <v/>
      </c>
      <c r="C416" s="51"/>
      <c r="D416" s="257"/>
      <c r="E416" s="102"/>
      <c r="F416" s="103"/>
      <c r="G416" s="258"/>
      <c r="I416" s="103"/>
      <c r="K416" s="71"/>
      <c r="L416" s="106" t="str">
        <f>IF(ISBLANK(J416), "", VLOOKUP(C416, 'Info Tipo de Cambio y REM'!$A$24:$B$35, 2, FALSE))</f>
        <v/>
      </c>
      <c r="M416" s="107" t="str">
        <f t="shared" si="2"/>
        <v/>
      </c>
    </row>
    <row r="417">
      <c r="A417" s="102"/>
      <c r="B417" s="43" t="str">
        <f>IF(A417="", "", IFERROR(VLOOKUP(A417, Clasificaciones!A:B, 2, FALSE), "DATO NO CARGADO"))</f>
        <v/>
      </c>
      <c r="C417" s="51"/>
      <c r="D417" s="257"/>
      <c r="E417" s="102"/>
      <c r="F417" s="103"/>
      <c r="G417" s="258"/>
      <c r="I417" s="103"/>
      <c r="K417" s="71"/>
      <c r="L417" s="106" t="str">
        <f>IF(ISBLANK(J417), "", VLOOKUP(C417, 'Info Tipo de Cambio y REM'!$A$24:$B$35, 2, FALSE))</f>
        <v/>
      </c>
      <c r="M417" s="107" t="str">
        <f t="shared" si="2"/>
        <v/>
      </c>
    </row>
    <row r="418">
      <c r="A418" s="102"/>
      <c r="B418" s="43" t="str">
        <f>IF(A418="", "", IFERROR(VLOOKUP(A418, Clasificaciones!A:B, 2, FALSE), "DATO NO CARGADO"))</f>
        <v/>
      </c>
      <c r="C418" s="51"/>
      <c r="D418" s="257"/>
      <c r="E418" s="102"/>
      <c r="F418" s="103"/>
      <c r="G418" s="258"/>
      <c r="I418" s="103"/>
      <c r="K418" s="71"/>
      <c r="L418" s="106" t="str">
        <f>IF(ISBLANK(J418), "", VLOOKUP(C418, 'Info Tipo de Cambio y REM'!$A$24:$B$35, 2, FALSE))</f>
        <v/>
      </c>
      <c r="M418" s="107" t="str">
        <f t="shared" si="2"/>
        <v/>
      </c>
    </row>
    <row r="419">
      <c r="A419" s="102"/>
      <c r="B419" s="43" t="str">
        <f>IF(A419="", "", IFERROR(VLOOKUP(A419, Clasificaciones!A:B, 2, FALSE), "DATO NO CARGADO"))</f>
        <v/>
      </c>
      <c r="C419" s="51"/>
      <c r="D419" s="257"/>
      <c r="E419" s="102"/>
      <c r="F419" s="103"/>
      <c r="G419" s="258"/>
      <c r="I419" s="103"/>
      <c r="K419" s="71"/>
      <c r="L419" s="106" t="str">
        <f>IF(ISBLANK(J419), "", VLOOKUP(C419, 'Info Tipo de Cambio y REM'!$A$24:$B$35, 2, FALSE))</f>
        <v/>
      </c>
      <c r="M419" s="107" t="str">
        <f t="shared" si="2"/>
        <v/>
      </c>
    </row>
    <row r="420">
      <c r="A420" s="102"/>
      <c r="B420" s="43" t="str">
        <f>IF(A420="", "", IFERROR(VLOOKUP(A420, Clasificaciones!A:B, 2, FALSE), "DATO NO CARGADO"))</f>
        <v/>
      </c>
      <c r="C420" s="51"/>
      <c r="D420" s="257"/>
      <c r="E420" s="102"/>
      <c r="F420" s="103"/>
      <c r="G420" s="258"/>
      <c r="I420" s="103"/>
      <c r="K420" s="71"/>
      <c r="L420" s="106" t="str">
        <f>IF(ISBLANK(J420), "", VLOOKUP(C420, 'Info Tipo de Cambio y REM'!$A$24:$B$35, 2, FALSE))</f>
        <v/>
      </c>
      <c r="M420" s="107" t="str">
        <f t="shared" si="2"/>
        <v/>
      </c>
    </row>
    <row r="421">
      <c r="A421" s="102"/>
      <c r="B421" s="43" t="str">
        <f>IF(A421="", "", IFERROR(VLOOKUP(A421, Clasificaciones!A:B, 2, FALSE), "DATO NO CARGADO"))</f>
        <v/>
      </c>
      <c r="C421" s="51"/>
      <c r="D421" s="257"/>
      <c r="E421" s="102"/>
      <c r="F421" s="103"/>
      <c r="G421" s="258"/>
      <c r="I421" s="103"/>
      <c r="K421" s="71"/>
      <c r="L421" s="106" t="str">
        <f>IF(ISBLANK(J421), "", VLOOKUP(C421, 'Info Tipo de Cambio y REM'!$A$24:$B$35, 2, FALSE))</f>
        <v/>
      </c>
      <c r="M421" s="107" t="str">
        <f t="shared" si="2"/>
        <v/>
      </c>
    </row>
    <row r="422">
      <c r="A422" s="102"/>
      <c r="B422" s="43" t="str">
        <f>IF(A422="", "", IFERROR(VLOOKUP(A422, Clasificaciones!A:B, 2, FALSE), "DATO NO CARGADO"))</f>
        <v/>
      </c>
      <c r="C422" s="51"/>
      <c r="D422" s="257"/>
      <c r="E422" s="102"/>
      <c r="F422" s="103"/>
      <c r="G422" s="258"/>
      <c r="I422" s="103"/>
      <c r="K422" s="71"/>
      <c r="L422" s="106" t="str">
        <f>IF(ISBLANK(J422), "", VLOOKUP(C422, 'Info Tipo de Cambio y REM'!$A$24:$B$35, 2, FALSE))</f>
        <v/>
      </c>
      <c r="M422" s="107" t="str">
        <f t="shared" si="2"/>
        <v/>
      </c>
    </row>
    <row r="423">
      <c r="A423" s="102"/>
      <c r="B423" s="43" t="str">
        <f>IF(A423="", "", IFERROR(VLOOKUP(A423, Clasificaciones!A:B, 2, FALSE), "DATO NO CARGADO"))</f>
        <v/>
      </c>
      <c r="C423" s="51"/>
      <c r="D423" s="257"/>
      <c r="E423" s="102"/>
      <c r="F423" s="103"/>
      <c r="G423" s="258"/>
      <c r="I423" s="103"/>
      <c r="K423" s="71"/>
      <c r="L423" s="106" t="str">
        <f>IF(ISBLANK(J423), "", VLOOKUP(C423, 'Info Tipo de Cambio y REM'!$A$24:$B$35, 2, FALSE))</f>
        <v/>
      </c>
      <c r="M423" s="107" t="str">
        <f t="shared" si="2"/>
        <v/>
      </c>
    </row>
    <row r="424">
      <c r="A424" s="102"/>
      <c r="B424" s="43" t="str">
        <f>IF(A424="", "", IFERROR(VLOOKUP(A424, Clasificaciones!A:B, 2, FALSE), "DATO NO CARGADO"))</f>
        <v/>
      </c>
      <c r="C424" s="51"/>
      <c r="D424" s="257"/>
      <c r="E424" s="102"/>
      <c r="F424" s="103"/>
      <c r="G424" s="258"/>
      <c r="I424" s="103"/>
      <c r="K424" s="71"/>
      <c r="L424" s="106" t="str">
        <f>IF(ISBLANK(J424), "", VLOOKUP(C424, 'Info Tipo de Cambio y REM'!$A$24:$B$35, 2, FALSE))</f>
        <v/>
      </c>
      <c r="M424" s="107" t="str">
        <f t="shared" si="2"/>
        <v/>
      </c>
    </row>
    <row r="425">
      <c r="A425" s="102"/>
      <c r="B425" s="43" t="str">
        <f>IF(A425="", "", IFERROR(VLOOKUP(A425, Clasificaciones!A:B, 2, FALSE), "DATO NO CARGADO"))</f>
        <v/>
      </c>
      <c r="C425" s="51"/>
      <c r="D425" s="257"/>
      <c r="E425" s="102"/>
      <c r="F425" s="103"/>
      <c r="G425" s="258"/>
      <c r="I425" s="103"/>
      <c r="K425" s="71"/>
      <c r="L425" s="106" t="str">
        <f>IF(ISBLANK(J425), "", VLOOKUP(C425, 'Info Tipo de Cambio y REM'!$A$24:$B$35, 2, FALSE))</f>
        <v/>
      </c>
      <c r="M425" s="107" t="str">
        <f t="shared" si="2"/>
        <v/>
      </c>
    </row>
    <row r="426">
      <c r="A426" s="102"/>
      <c r="B426" s="43" t="str">
        <f>IF(A426="", "", IFERROR(VLOOKUP(A426, Clasificaciones!A:B, 2, FALSE), "DATO NO CARGADO"))</f>
        <v/>
      </c>
      <c r="C426" s="51"/>
      <c r="D426" s="257"/>
      <c r="E426" s="102"/>
      <c r="F426" s="103"/>
      <c r="G426" s="258"/>
      <c r="I426" s="103"/>
      <c r="K426" s="71"/>
      <c r="L426" s="106" t="str">
        <f>IF(ISBLANK(J426), "", VLOOKUP(C426, 'Info Tipo de Cambio y REM'!$A$24:$B$35, 2, FALSE))</f>
        <v/>
      </c>
      <c r="M426" s="107" t="str">
        <f t="shared" si="2"/>
        <v/>
      </c>
    </row>
    <row r="427">
      <c r="A427" s="102"/>
      <c r="B427" s="43" t="str">
        <f>IF(A427="", "", IFERROR(VLOOKUP(A427, Clasificaciones!A:B, 2, FALSE), "DATO NO CARGADO"))</f>
        <v/>
      </c>
      <c r="C427" s="51"/>
      <c r="D427" s="257"/>
      <c r="E427" s="102"/>
      <c r="F427" s="103"/>
      <c r="G427" s="258"/>
      <c r="I427" s="103"/>
      <c r="K427" s="71"/>
      <c r="L427" s="106" t="str">
        <f>IF(ISBLANK(J427), "", VLOOKUP(C427, 'Info Tipo de Cambio y REM'!$A$24:$B$35, 2, FALSE))</f>
        <v/>
      </c>
      <c r="M427" s="107" t="str">
        <f t="shared" si="2"/>
        <v/>
      </c>
    </row>
    <row r="428">
      <c r="A428" s="102"/>
      <c r="B428" s="43" t="str">
        <f>IF(A428="", "", IFERROR(VLOOKUP(A428, Clasificaciones!A:B, 2, FALSE), "DATO NO CARGADO"))</f>
        <v/>
      </c>
      <c r="C428" s="51"/>
      <c r="D428" s="257"/>
      <c r="E428" s="102"/>
      <c r="F428" s="103"/>
      <c r="G428" s="258"/>
      <c r="I428" s="103"/>
      <c r="K428" s="71"/>
      <c r="L428" s="106" t="str">
        <f>IF(ISBLANK(J428), "", VLOOKUP(C428, 'Info Tipo de Cambio y REM'!$A$24:$B$35, 2, FALSE))</f>
        <v/>
      </c>
      <c r="M428" s="107" t="str">
        <f t="shared" si="2"/>
        <v/>
      </c>
    </row>
    <row r="429">
      <c r="A429" s="102"/>
      <c r="B429" s="43" t="str">
        <f>IF(A429="", "", IFERROR(VLOOKUP(A429, Clasificaciones!A:B, 2, FALSE), "DATO NO CARGADO"))</f>
        <v/>
      </c>
      <c r="C429" s="51"/>
      <c r="D429" s="257"/>
      <c r="E429" s="102"/>
      <c r="F429" s="103"/>
      <c r="G429" s="258"/>
      <c r="I429" s="103"/>
      <c r="K429" s="71"/>
      <c r="L429" s="106" t="str">
        <f>IF(ISBLANK(J429), "", VLOOKUP(C429, 'Info Tipo de Cambio y REM'!$A$24:$B$35, 2, FALSE))</f>
        <v/>
      </c>
      <c r="M429" s="107" t="str">
        <f t="shared" si="2"/>
        <v/>
      </c>
    </row>
    <row r="430">
      <c r="A430" s="102"/>
      <c r="B430" s="43" t="str">
        <f>IF(A430="", "", IFERROR(VLOOKUP(A430, Clasificaciones!A:B, 2, FALSE), "DATO NO CARGADO"))</f>
        <v/>
      </c>
      <c r="C430" s="51"/>
      <c r="D430" s="257"/>
      <c r="E430" s="102"/>
      <c r="F430" s="103"/>
      <c r="G430" s="258"/>
      <c r="I430" s="103"/>
      <c r="K430" s="71"/>
      <c r="L430" s="106" t="str">
        <f>IF(ISBLANK(J430), "", VLOOKUP(C430, 'Info Tipo de Cambio y REM'!$A$24:$B$35, 2, FALSE))</f>
        <v/>
      </c>
      <c r="M430" s="107" t="str">
        <f t="shared" si="2"/>
        <v/>
      </c>
    </row>
    <row r="431">
      <c r="A431" s="102"/>
      <c r="B431" s="43" t="str">
        <f>IF(A431="", "", IFERROR(VLOOKUP(A431, Clasificaciones!A:B, 2, FALSE), "DATO NO CARGADO"))</f>
        <v/>
      </c>
      <c r="C431" s="51"/>
      <c r="D431" s="257"/>
      <c r="E431" s="102"/>
      <c r="F431" s="103"/>
      <c r="G431" s="258"/>
      <c r="I431" s="103"/>
      <c r="K431" s="71"/>
      <c r="L431" s="106" t="str">
        <f>IF(ISBLANK(J431), "", VLOOKUP(C431, 'Info Tipo de Cambio y REM'!$A$24:$B$35, 2, FALSE))</f>
        <v/>
      </c>
      <c r="M431" s="107" t="str">
        <f t="shared" si="2"/>
        <v/>
      </c>
    </row>
    <row r="432">
      <c r="A432" s="102"/>
      <c r="B432" s="43" t="str">
        <f>IF(A432="", "", IFERROR(VLOOKUP(A432, Clasificaciones!A:B, 2, FALSE), "DATO NO CARGADO"))</f>
        <v/>
      </c>
      <c r="C432" s="51"/>
      <c r="D432" s="257"/>
      <c r="E432" s="102"/>
      <c r="F432" s="103"/>
      <c r="G432" s="258"/>
      <c r="I432" s="103"/>
      <c r="K432" s="71"/>
      <c r="L432" s="106" t="str">
        <f>IF(ISBLANK(J432), "", VLOOKUP(C432, 'Info Tipo de Cambio y REM'!$A$24:$B$35, 2, FALSE))</f>
        <v/>
      </c>
      <c r="M432" s="107" t="str">
        <f t="shared" si="2"/>
        <v/>
      </c>
    </row>
    <row r="433">
      <c r="A433" s="102"/>
      <c r="B433" s="43" t="str">
        <f>IF(A433="", "", IFERROR(VLOOKUP(A433, Clasificaciones!A:B, 2, FALSE), "DATO NO CARGADO"))</f>
        <v/>
      </c>
      <c r="C433" s="51"/>
      <c r="D433" s="257"/>
      <c r="E433" s="102"/>
      <c r="F433" s="103"/>
      <c r="G433" s="258"/>
      <c r="I433" s="103"/>
      <c r="K433" s="71"/>
      <c r="L433" s="106" t="str">
        <f>IF(ISBLANK(J433), "", VLOOKUP(C433, 'Info Tipo de Cambio y REM'!$A$24:$B$35, 2, FALSE))</f>
        <v/>
      </c>
      <c r="M433" s="107" t="str">
        <f t="shared" si="2"/>
        <v/>
      </c>
    </row>
    <row r="434">
      <c r="A434" s="102"/>
      <c r="B434" s="43" t="str">
        <f>IF(A434="", "", IFERROR(VLOOKUP(A434, Clasificaciones!A:B, 2, FALSE), "DATO NO CARGADO"))</f>
        <v/>
      </c>
      <c r="C434" s="51"/>
      <c r="D434" s="257"/>
      <c r="E434" s="102"/>
      <c r="F434" s="103"/>
      <c r="G434" s="258"/>
      <c r="I434" s="103"/>
      <c r="K434" s="71"/>
      <c r="L434" s="106" t="str">
        <f>IF(ISBLANK(J434), "", VLOOKUP(C434, 'Info Tipo de Cambio y REM'!$A$24:$B$35, 2, FALSE))</f>
        <v/>
      </c>
      <c r="M434" s="107" t="str">
        <f t="shared" si="2"/>
        <v/>
      </c>
    </row>
    <row r="435">
      <c r="A435" s="102"/>
      <c r="B435" s="43" t="str">
        <f>IF(A435="", "", IFERROR(VLOOKUP(A435, Clasificaciones!A:B, 2, FALSE), "DATO NO CARGADO"))</f>
        <v/>
      </c>
      <c r="C435" s="51"/>
      <c r="D435" s="257"/>
      <c r="E435" s="102"/>
      <c r="F435" s="103"/>
      <c r="G435" s="258"/>
      <c r="I435" s="103"/>
      <c r="K435" s="71"/>
      <c r="L435" s="106" t="str">
        <f>IF(ISBLANK(J435), "", VLOOKUP(C435, 'Info Tipo de Cambio y REM'!$A$24:$B$35, 2, FALSE))</f>
        <v/>
      </c>
      <c r="M435" s="107" t="str">
        <f t="shared" si="2"/>
        <v/>
      </c>
    </row>
    <row r="436">
      <c r="A436" s="102"/>
      <c r="B436" s="43" t="str">
        <f>IF(A436="", "", IFERROR(VLOOKUP(A436, Clasificaciones!A:B, 2, FALSE), "DATO NO CARGADO"))</f>
        <v/>
      </c>
      <c r="C436" s="51"/>
      <c r="D436" s="257"/>
      <c r="E436" s="102"/>
      <c r="F436" s="103"/>
      <c r="G436" s="258"/>
      <c r="I436" s="103"/>
      <c r="K436" s="71"/>
      <c r="L436" s="106" t="str">
        <f>IF(ISBLANK(J436), "", VLOOKUP(C436, 'Info Tipo de Cambio y REM'!$A$24:$B$35, 2, FALSE))</f>
        <v/>
      </c>
      <c r="M436" s="107" t="str">
        <f t="shared" si="2"/>
        <v/>
      </c>
    </row>
    <row r="437">
      <c r="A437" s="102"/>
      <c r="B437" s="43" t="str">
        <f>IF(A437="", "", IFERROR(VLOOKUP(A437, Clasificaciones!A:B, 2, FALSE), "DATO NO CARGADO"))</f>
        <v/>
      </c>
      <c r="C437" s="51"/>
      <c r="D437" s="257"/>
      <c r="E437" s="102"/>
      <c r="F437" s="103"/>
      <c r="G437" s="258"/>
      <c r="I437" s="103"/>
      <c r="K437" s="71"/>
      <c r="L437" s="106" t="str">
        <f>IF(ISBLANK(J437), "", VLOOKUP(C437, 'Info Tipo de Cambio y REM'!$A$24:$B$35, 2, FALSE))</f>
        <v/>
      </c>
      <c r="M437" s="107" t="str">
        <f t="shared" si="2"/>
        <v/>
      </c>
    </row>
    <row r="438">
      <c r="A438" s="102"/>
      <c r="B438" s="43" t="str">
        <f>IF(A438="", "", IFERROR(VLOOKUP(A438, Clasificaciones!A:B, 2, FALSE), "DATO NO CARGADO"))</f>
        <v/>
      </c>
      <c r="C438" s="51"/>
      <c r="D438" s="257"/>
      <c r="E438" s="102"/>
      <c r="F438" s="103"/>
      <c r="G438" s="258"/>
      <c r="I438" s="103"/>
      <c r="K438" s="71"/>
      <c r="L438" s="106" t="str">
        <f>IF(ISBLANK(J438), "", VLOOKUP(C438, 'Info Tipo de Cambio y REM'!$A$24:$B$35, 2, FALSE))</f>
        <v/>
      </c>
      <c r="M438" s="107" t="str">
        <f t="shared" si="2"/>
        <v/>
      </c>
    </row>
    <row r="439">
      <c r="A439" s="102"/>
      <c r="B439" s="43" t="str">
        <f>IF(A439="", "", IFERROR(VLOOKUP(A439, Clasificaciones!A:B, 2, FALSE), "DATO NO CARGADO"))</f>
        <v/>
      </c>
      <c r="C439" s="51"/>
      <c r="D439" s="257"/>
      <c r="E439" s="102"/>
      <c r="F439" s="103"/>
      <c r="G439" s="258"/>
      <c r="I439" s="103"/>
      <c r="K439" s="71"/>
      <c r="L439" s="106" t="str">
        <f>IF(ISBLANK(J439), "", VLOOKUP(C439, 'Info Tipo de Cambio y REM'!$A$24:$B$35, 2, FALSE))</f>
        <v/>
      </c>
      <c r="M439" s="107" t="str">
        <f t="shared" si="2"/>
        <v/>
      </c>
    </row>
    <row r="440">
      <c r="A440" s="102"/>
      <c r="B440" s="43" t="str">
        <f>IF(A440="", "", IFERROR(VLOOKUP(A440, Clasificaciones!A:B, 2, FALSE), "DATO NO CARGADO"))</f>
        <v/>
      </c>
      <c r="C440" s="51"/>
      <c r="D440" s="257"/>
      <c r="E440" s="102"/>
      <c r="F440" s="103"/>
      <c r="G440" s="258"/>
      <c r="I440" s="103"/>
      <c r="K440" s="71"/>
      <c r="L440" s="106" t="str">
        <f>IF(ISBLANK(J440), "", VLOOKUP(C440, 'Info Tipo de Cambio y REM'!$A$24:$B$35, 2, FALSE))</f>
        <v/>
      </c>
      <c r="M440" s="107" t="str">
        <f t="shared" si="2"/>
        <v/>
      </c>
    </row>
    <row r="441">
      <c r="A441" s="102"/>
      <c r="B441" s="43" t="str">
        <f>IF(A441="", "", IFERROR(VLOOKUP(A441, Clasificaciones!A:B, 2, FALSE), "DATO NO CARGADO"))</f>
        <v/>
      </c>
      <c r="C441" s="51"/>
      <c r="D441" s="257"/>
      <c r="E441" s="102"/>
      <c r="F441" s="103"/>
      <c r="G441" s="258"/>
      <c r="I441" s="103"/>
      <c r="K441" s="71"/>
      <c r="L441" s="106" t="str">
        <f>IF(ISBLANK(J441), "", VLOOKUP(C441, 'Info Tipo de Cambio y REM'!$A$24:$B$35, 2, FALSE))</f>
        <v/>
      </c>
      <c r="M441" s="107" t="str">
        <f t="shared" si="2"/>
        <v/>
      </c>
    </row>
    <row r="442">
      <c r="A442" s="102"/>
      <c r="B442" s="43" t="str">
        <f>IF(A442="", "", IFERROR(VLOOKUP(A442, Clasificaciones!A:B, 2, FALSE), "DATO NO CARGADO"))</f>
        <v/>
      </c>
      <c r="C442" s="51"/>
      <c r="D442" s="257"/>
      <c r="E442" s="102"/>
      <c r="F442" s="103"/>
      <c r="G442" s="258"/>
      <c r="I442" s="103"/>
      <c r="K442" s="71"/>
      <c r="L442" s="106" t="str">
        <f>IF(ISBLANK(J442), "", VLOOKUP(C442, 'Info Tipo de Cambio y REM'!$A$24:$B$35, 2, FALSE))</f>
        <v/>
      </c>
      <c r="M442" s="107" t="str">
        <f t="shared" si="2"/>
        <v/>
      </c>
    </row>
    <row r="443">
      <c r="A443" s="102"/>
      <c r="B443" s="43" t="str">
        <f>IF(A443="", "", IFERROR(VLOOKUP(A443, Clasificaciones!A:B, 2, FALSE), "DATO NO CARGADO"))</f>
        <v/>
      </c>
      <c r="C443" s="51"/>
      <c r="D443" s="257"/>
      <c r="E443" s="102"/>
      <c r="F443" s="103"/>
      <c r="G443" s="258"/>
      <c r="I443" s="103"/>
      <c r="K443" s="71"/>
      <c r="L443" s="106" t="str">
        <f>IF(ISBLANK(J443), "", VLOOKUP(C443, 'Info Tipo de Cambio y REM'!$A$24:$B$35, 2, FALSE))</f>
        <v/>
      </c>
      <c r="M443" s="107" t="str">
        <f t="shared" si="2"/>
        <v/>
      </c>
    </row>
    <row r="444">
      <c r="A444" s="102"/>
      <c r="B444" s="43" t="str">
        <f>IF(A444="", "", IFERROR(VLOOKUP(A444, Clasificaciones!A:B, 2, FALSE), "DATO NO CARGADO"))</f>
        <v/>
      </c>
      <c r="C444" s="51"/>
      <c r="D444" s="257"/>
      <c r="E444" s="102"/>
      <c r="F444" s="103"/>
      <c r="G444" s="258"/>
      <c r="I444" s="103"/>
      <c r="K444" s="71"/>
      <c r="L444" s="106" t="str">
        <f>IF(ISBLANK(J444), "", VLOOKUP(C444, 'Info Tipo de Cambio y REM'!$A$24:$B$35, 2, FALSE))</f>
        <v/>
      </c>
      <c r="M444" s="107" t="str">
        <f t="shared" si="2"/>
        <v/>
      </c>
    </row>
    <row r="445">
      <c r="A445" s="102"/>
      <c r="B445" s="43" t="str">
        <f>IF(A445="", "", IFERROR(VLOOKUP(A445, Clasificaciones!A:B, 2, FALSE), "DATO NO CARGADO"))</f>
        <v/>
      </c>
      <c r="C445" s="51"/>
      <c r="D445" s="257"/>
      <c r="E445" s="102"/>
      <c r="F445" s="103"/>
      <c r="G445" s="258"/>
      <c r="I445" s="103"/>
      <c r="K445" s="71"/>
      <c r="L445" s="106" t="str">
        <f>IF(ISBLANK(J445), "", VLOOKUP(C445, 'Info Tipo de Cambio y REM'!$A$24:$B$35, 2, FALSE))</f>
        <v/>
      </c>
      <c r="M445" s="107" t="str">
        <f t="shared" si="2"/>
        <v/>
      </c>
    </row>
    <row r="446">
      <c r="A446" s="102"/>
      <c r="B446" s="43" t="str">
        <f>IF(A446="", "", IFERROR(VLOOKUP(A446, Clasificaciones!A:B, 2, FALSE), "DATO NO CARGADO"))</f>
        <v/>
      </c>
      <c r="C446" s="51"/>
      <c r="D446" s="257"/>
      <c r="E446" s="102"/>
      <c r="F446" s="103"/>
      <c r="G446" s="258"/>
      <c r="I446" s="103"/>
      <c r="K446" s="71"/>
      <c r="L446" s="106" t="str">
        <f>IF(ISBLANK(J446), "", VLOOKUP(C446, 'Info Tipo de Cambio y REM'!$A$24:$B$35, 2, FALSE))</f>
        <v/>
      </c>
      <c r="M446" s="107" t="str">
        <f t="shared" si="2"/>
        <v/>
      </c>
    </row>
    <row r="447">
      <c r="A447" s="102"/>
      <c r="B447" s="43" t="str">
        <f>IF(A447="", "", IFERROR(VLOOKUP(A447, Clasificaciones!A:B, 2, FALSE), "DATO NO CARGADO"))</f>
        <v/>
      </c>
      <c r="C447" s="51"/>
      <c r="D447" s="257"/>
      <c r="E447" s="102"/>
      <c r="F447" s="103"/>
      <c r="G447" s="258"/>
      <c r="I447" s="103"/>
      <c r="K447" s="71"/>
      <c r="L447" s="106" t="str">
        <f>IF(ISBLANK(J447), "", VLOOKUP(C447, 'Info Tipo de Cambio y REM'!$A$24:$B$35, 2, FALSE))</f>
        <v/>
      </c>
      <c r="M447" s="107" t="str">
        <f t="shared" si="2"/>
        <v/>
      </c>
    </row>
    <row r="448">
      <c r="A448" s="102"/>
      <c r="B448" s="43" t="str">
        <f>IF(A448="", "", IFERROR(VLOOKUP(A448, Clasificaciones!A:B, 2, FALSE), "DATO NO CARGADO"))</f>
        <v/>
      </c>
      <c r="C448" s="51"/>
      <c r="D448" s="257"/>
      <c r="E448" s="102"/>
      <c r="F448" s="103"/>
      <c r="G448" s="258"/>
      <c r="I448" s="103"/>
      <c r="K448" s="71"/>
      <c r="L448" s="106" t="str">
        <f>IF(ISBLANK(J448), "", VLOOKUP(C448, 'Info Tipo de Cambio y REM'!$A$24:$B$35, 2, FALSE))</f>
        <v/>
      </c>
      <c r="M448" s="107" t="str">
        <f t="shared" si="2"/>
        <v/>
      </c>
    </row>
    <row r="449">
      <c r="A449" s="102"/>
      <c r="B449" s="43" t="str">
        <f>IF(A449="", "", IFERROR(VLOOKUP(A449, Clasificaciones!A:B, 2, FALSE), "DATO NO CARGADO"))</f>
        <v/>
      </c>
      <c r="C449" s="51"/>
      <c r="D449" s="257"/>
      <c r="E449" s="102"/>
      <c r="F449" s="103"/>
      <c r="G449" s="258"/>
      <c r="I449" s="103"/>
      <c r="K449" s="71"/>
      <c r="L449" s="106" t="str">
        <f>IF(ISBLANK(J449), "", VLOOKUP(C449, 'Info Tipo de Cambio y REM'!$A$24:$B$35, 2, FALSE))</f>
        <v/>
      </c>
      <c r="M449" s="107" t="str">
        <f t="shared" si="2"/>
        <v/>
      </c>
    </row>
    <row r="450">
      <c r="A450" s="102"/>
      <c r="B450" s="43" t="str">
        <f>IF(A450="", "", IFERROR(VLOOKUP(A450, Clasificaciones!A:B, 2, FALSE), "DATO NO CARGADO"))</f>
        <v/>
      </c>
      <c r="C450" s="51"/>
      <c r="D450" s="257"/>
      <c r="E450" s="102"/>
      <c r="F450" s="103"/>
      <c r="G450" s="258"/>
      <c r="I450" s="103"/>
      <c r="K450" s="71"/>
      <c r="L450" s="106" t="str">
        <f>IF(ISBLANK(J450), "", VLOOKUP(C450, 'Info Tipo de Cambio y REM'!$A$24:$B$35, 2, FALSE))</f>
        <v/>
      </c>
      <c r="M450" s="107" t="str">
        <f t="shared" si="2"/>
        <v/>
      </c>
    </row>
    <row r="451">
      <c r="A451" s="102"/>
      <c r="B451" s="43" t="str">
        <f>IF(A451="", "", IFERROR(VLOOKUP(A451, Clasificaciones!A:B, 2, FALSE), "DATO NO CARGADO"))</f>
        <v/>
      </c>
      <c r="C451" s="51"/>
      <c r="D451" s="257"/>
      <c r="E451" s="102"/>
      <c r="F451" s="103"/>
      <c r="G451" s="258"/>
      <c r="I451" s="103"/>
      <c r="K451" s="71"/>
      <c r="L451" s="106" t="str">
        <f>IF(ISBLANK(J451), "", VLOOKUP(C451, 'Info Tipo de Cambio y REM'!$A$24:$B$35, 2, FALSE))</f>
        <v/>
      </c>
      <c r="M451" s="107" t="str">
        <f t="shared" si="2"/>
        <v/>
      </c>
    </row>
    <row r="452">
      <c r="A452" s="102"/>
      <c r="B452" s="43" t="str">
        <f>IF(A452="", "", IFERROR(VLOOKUP(A452, Clasificaciones!A:B, 2, FALSE), "DATO NO CARGADO"))</f>
        <v/>
      </c>
      <c r="C452" s="51"/>
      <c r="D452" s="257"/>
      <c r="E452" s="102"/>
      <c r="F452" s="103"/>
      <c r="G452" s="258"/>
      <c r="I452" s="103"/>
      <c r="K452" s="71"/>
      <c r="L452" s="106" t="str">
        <f>IF(ISBLANK(J452), "", VLOOKUP(C452, 'Info Tipo de Cambio y REM'!$A$24:$B$35, 2, FALSE))</f>
        <v/>
      </c>
      <c r="M452" s="107" t="str">
        <f t="shared" si="2"/>
        <v/>
      </c>
    </row>
    <row r="453">
      <c r="A453" s="102"/>
      <c r="B453" s="43" t="str">
        <f>IF(A453="", "", IFERROR(VLOOKUP(A453, Clasificaciones!A:B, 2, FALSE), "DATO NO CARGADO"))</f>
        <v/>
      </c>
      <c r="C453" s="51"/>
      <c r="D453" s="257"/>
      <c r="E453" s="102"/>
      <c r="F453" s="103"/>
      <c r="G453" s="258"/>
      <c r="I453" s="103"/>
      <c r="K453" s="71"/>
      <c r="L453" s="106" t="str">
        <f>IF(ISBLANK(J453), "", VLOOKUP(C453, 'Info Tipo de Cambio y REM'!$A$24:$B$35, 2, FALSE))</f>
        <v/>
      </c>
      <c r="M453" s="107" t="str">
        <f t="shared" si="2"/>
        <v/>
      </c>
    </row>
    <row r="454">
      <c r="A454" s="102"/>
      <c r="B454" s="43" t="str">
        <f>IF(A454="", "", IFERROR(VLOOKUP(A454, Clasificaciones!A:B, 2, FALSE), "DATO NO CARGADO"))</f>
        <v/>
      </c>
      <c r="C454" s="51"/>
      <c r="D454" s="257"/>
      <c r="E454" s="102"/>
      <c r="F454" s="103"/>
      <c r="G454" s="258"/>
      <c r="I454" s="103"/>
      <c r="K454" s="71"/>
      <c r="L454" s="106" t="str">
        <f>IF(ISBLANK(J454), "", VLOOKUP(C454, 'Info Tipo de Cambio y REM'!$A$24:$B$35, 2, FALSE))</f>
        <v/>
      </c>
      <c r="M454" s="107" t="str">
        <f t="shared" si="2"/>
        <v/>
      </c>
    </row>
    <row r="455">
      <c r="A455" s="102"/>
      <c r="B455" s="43" t="str">
        <f>IF(A455="", "", IFERROR(VLOOKUP(A455, Clasificaciones!A:B, 2, FALSE), "DATO NO CARGADO"))</f>
        <v/>
      </c>
      <c r="C455" s="51"/>
      <c r="D455" s="257"/>
      <c r="E455" s="102"/>
      <c r="F455" s="103"/>
      <c r="G455" s="258"/>
      <c r="I455" s="103"/>
      <c r="K455" s="71"/>
      <c r="L455" s="106" t="str">
        <f>IF(ISBLANK(J455), "", VLOOKUP(C455, 'Info Tipo de Cambio y REM'!$A$24:$B$35, 2, FALSE))</f>
        <v/>
      </c>
      <c r="M455" s="107" t="str">
        <f t="shared" si="2"/>
        <v/>
      </c>
    </row>
    <row r="456">
      <c r="A456" s="102"/>
      <c r="B456" s="43" t="str">
        <f>IF(A456="", "", IFERROR(VLOOKUP(A456, Clasificaciones!A:B, 2, FALSE), "DATO NO CARGADO"))</f>
        <v/>
      </c>
      <c r="C456" s="51"/>
      <c r="D456" s="257"/>
      <c r="E456" s="102"/>
      <c r="F456" s="103"/>
      <c r="G456" s="258"/>
      <c r="I456" s="103"/>
      <c r="K456" s="71"/>
      <c r="L456" s="106" t="str">
        <f>IF(ISBLANK(J456), "", VLOOKUP(C456, 'Info Tipo de Cambio y REM'!$A$24:$B$35, 2, FALSE))</f>
        <v/>
      </c>
      <c r="M456" s="107" t="str">
        <f t="shared" si="2"/>
        <v/>
      </c>
    </row>
    <row r="457">
      <c r="A457" s="102"/>
      <c r="B457" s="43" t="str">
        <f>IF(A457="", "", IFERROR(VLOOKUP(A457, Clasificaciones!A:B, 2, FALSE), "DATO NO CARGADO"))</f>
        <v/>
      </c>
      <c r="C457" s="51"/>
      <c r="D457" s="257"/>
      <c r="E457" s="102"/>
      <c r="F457" s="103"/>
      <c r="G457" s="258"/>
      <c r="I457" s="103"/>
      <c r="K457" s="71"/>
      <c r="L457" s="106" t="str">
        <f>IF(ISBLANK(J457), "", VLOOKUP(C457, 'Info Tipo de Cambio y REM'!$A$24:$B$35, 2, FALSE))</f>
        <v/>
      </c>
      <c r="M457" s="107" t="str">
        <f t="shared" si="2"/>
        <v/>
      </c>
    </row>
    <row r="458">
      <c r="A458" s="102"/>
      <c r="B458" s="43" t="str">
        <f>IF(A458="", "", IFERROR(VLOOKUP(A458, Clasificaciones!A:B, 2, FALSE), "DATO NO CARGADO"))</f>
        <v/>
      </c>
      <c r="C458" s="51"/>
      <c r="D458" s="257"/>
      <c r="E458" s="102"/>
      <c r="F458" s="103"/>
      <c r="G458" s="258"/>
      <c r="I458" s="103"/>
      <c r="K458" s="71"/>
      <c r="L458" s="106" t="str">
        <f>IF(ISBLANK(J458), "", VLOOKUP(C458, 'Info Tipo de Cambio y REM'!$A$24:$B$35, 2, FALSE))</f>
        <v/>
      </c>
      <c r="M458" s="107" t="str">
        <f t="shared" si="2"/>
        <v/>
      </c>
    </row>
    <row r="459">
      <c r="A459" s="102"/>
      <c r="B459" s="43" t="str">
        <f>IF(A459="", "", IFERROR(VLOOKUP(A459, Clasificaciones!A:B, 2, FALSE), "DATO NO CARGADO"))</f>
        <v/>
      </c>
      <c r="C459" s="51"/>
      <c r="D459" s="257"/>
      <c r="E459" s="102"/>
      <c r="F459" s="103"/>
      <c r="G459" s="258"/>
      <c r="I459" s="103"/>
      <c r="K459" s="71"/>
      <c r="L459" s="106" t="str">
        <f>IF(ISBLANK(J459), "", VLOOKUP(C459, 'Info Tipo de Cambio y REM'!$A$24:$B$35, 2, FALSE))</f>
        <v/>
      </c>
      <c r="M459" s="107" t="str">
        <f t="shared" si="2"/>
        <v/>
      </c>
    </row>
    <row r="460">
      <c r="A460" s="102"/>
      <c r="B460" s="43" t="str">
        <f>IF(A460="", "", IFERROR(VLOOKUP(A460, Clasificaciones!A:B, 2, FALSE), "DATO NO CARGADO"))</f>
        <v/>
      </c>
      <c r="C460" s="51"/>
      <c r="D460" s="257"/>
      <c r="E460" s="102"/>
      <c r="F460" s="103"/>
      <c r="G460" s="258"/>
      <c r="I460" s="103"/>
      <c r="K460" s="71"/>
      <c r="L460" s="106" t="str">
        <f>IF(ISBLANK(J460), "", VLOOKUP(C460, 'Info Tipo de Cambio y REM'!$A$24:$B$35, 2, FALSE))</f>
        <v/>
      </c>
      <c r="M460" s="107" t="str">
        <f t="shared" si="2"/>
        <v/>
      </c>
    </row>
    <row r="461">
      <c r="A461" s="102"/>
      <c r="B461" s="43" t="str">
        <f>IF(A461="", "", IFERROR(VLOOKUP(A461, Clasificaciones!A:B, 2, FALSE), "DATO NO CARGADO"))</f>
        <v/>
      </c>
      <c r="C461" s="51"/>
      <c r="D461" s="257"/>
      <c r="E461" s="102"/>
      <c r="F461" s="103"/>
      <c r="G461" s="258"/>
      <c r="I461" s="103"/>
      <c r="K461" s="71"/>
      <c r="L461" s="106" t="str">
        <f>IF(ISBLANK(J461), "", VLOOKUP(C461, 'Info Tipo de Cambio y REM'!$A$24:$B$35, 2, FALSE))</f>
        <v/>
      </c>
      <c r="M461" s="107" t="str">
        <f t="shared" si="2"/>
        <v/>
      </c>
    </row>
    <row r="462">
      <c r="A462" s="102"/>
      <c r="B462" s="43" t="str">
        <f>IF(A462="", "", IFERROR(VLOOKUP(A462, Clasificaciones!A:B, 2, FALSE), "DATO NO CARGADO"))</f>
        <v/>
      </c>
      <c r="C462" s="51"/>
      <c r="D462" s="257"/>
      <c r="E462" s="102"/>
      <c r="F462" s="103"/>
      <c r="G462" s="258"/>
      <c r="I462" s="103"/>
      <c r="K462" s="71"/>
      <c r="L462" s="106" t="str">
        <f>IF(ISBLANK(J462), "", VLOOKUP(C462, 'Info Tipo de Cambio y REM'!$A$24:$B$35, 2, FALSE))</f>
        <v/>
      </c>
      <c r="M462" s="107" t="str">
        <f t="shared" si="2"/>
        <v/>
      </c>
    </row>
    <row r="463">
      <c r="A463" s="102"/>
      <c r="B463" s="43" t="str">
        <f>IF(A463="", "", IFERROR(VLOOKUP(A463, Clasificaciones!A:B, 2, FALSE), "DATO NO CARGADO"))</f>
        <v/>
      </c>
      <c r="C463" s="51"/>
      <c r="D463" s="257"/>
      <c r="E463" s="102"/>
      <c r="F463" s="103"/>
      <c r="G463" s="258"/>
      <c r="I463" s="103"/>
      <c r="K463" s="71"/>
      <c r="L463" s="106" t="str">
        <f>IF(ISBLANK(J463), "", VLOOKUP(C463, 'Info Tipo de Cambio y REM'!$A$24:$B$35, 2, FALSE))</f>
        <v/>
      </c>
      <c r="M463" s="107" t="str">
        <f t="shared" si="2"/>
        <v/>
      </c>
    </row>
    <row r="464">
      <c r="A464" s="102"/>
      <c r="B464" s="43" t="str">
        <f>IF(A464="", "", IFERROR(VLOOKUP(A464, Clasificaciones!A:B, 2, FALSE), "DATO NO CARGADO"))</f>
        <v/>
      </c>
      <c r="C464" s="51"/>
      <c r="D464" s="257"/>
      <c r="E464" s="102"/>
      <c r="F464" s="103"/>
      <c r="G464" s="258"/>
      <c r="I464" s="103"/>
      <c r="K464" s="71"/>
      <c r="L464" s="106" t="str">
        <f>IF(ISBLANK(J464), "", VLOOKUP(C464, 'Info Tipo de Cambio y REM'!$A$24:$B$35, 2, FALSE))</f>
        <v/>
      </c>
      <c r="M464" s="107" t="str">
        <f t="shared" si="2"/>
        <v/>
      </c>
    </row>
    <row r="465">
      <c r="A465" s="102"/>
      <c r="B465" s="43" t="str">
        <f>IF(A465="", "", IFERROR(VLOOKUP(A465, Clasificaciones!A:B, 2, FALSE), "DATO NO CARGADO"))</f>
        <v/>
      </c>
      <c r="C465" s="51"/>
      <c r="D465" s="257"/>
      <c r="E465" s="102"/>
      <c r="F465" s="103"/>
      <c r="G465" s="258"/>
      <c r="I465" s="103"/>
      <c r="K465" s="71"/>
      <c r="L465" s="106" t="str">
        <f>IF(ISBLANK(J465), "", VLOOKUP(C465, 'Info Tipo de Cambio y REM'!$A$24:$B$35, 2, FALSE))</f>
        <v/>
      </c>
      <c r="M465" s="107" t="str">
        <f t="shared" si="2"/>
        <v/>
      </c>
    </row>
    <row r="466">
      <c r="A466" s="102"/>
      <c r="B466" s="43" t="str">
        <f>IF(A466="", "", IFERROR(VLOOKUP(A466, Clasificaciones!A:B, 2, FALSE), "DATO NO CARGADO"))</f>
        <v/>
      </c>
      <c r="C466" s="51"/>
      <c r="D466" s="257"/>
      <c r="E466" s="102"/>
      <c r="F466" s="103"/>
      <c r="G466" s="258"/>
      <c r="I466" s="103"/>
      <c r="K466" s="71"/>
      <c r="L466" s="106" t="str">
        <f>IF(ISBLANK(J466), "", VLOOKUP(C466, 'Info Tipo de Cambio y REM'!$A$24:$B$35, 2, FALSE))</f>
        <v/>
      </c>
      <c r="M466" s="107" t="str">
        <f t="shared" si="2"/>
        <v/>
      </c>
    </row>
    <row r="467">
      <c r="A467" s="102"/>
      <c r="B467" s="43" t="str">
        <f>IF(A467="", "", IFERROR(VLOOKUP(A467, Clasificaciones!A:B, 2, FALSE), "DATO NO CARGADO"))</f>
        <v/>
      </c>
      <c r="C467" s="51"/>
      <c r="D467" s="257"/>
      <c r="E467" s="102"/>
      <c r="F467" s="103"/>
      <c r="G467" s="258"/>
      <c r="I467" s="103"/>
      <c r="K467" s="71"/>
      <c r="L467" s="106" t="str">
        <f>IF(ISBLANK(J467), "", VLOOKUP(C467, 'Info Tipo de Cambio y REM'!$A$24:$B$35, 2, FALSE))</f>
        <v/>
      </c>
      <c r="M467" s="107" t="str">
        <f t="shared" si="2"/>
        <v/>
      </c>
    </row>
    <row r="468">
      <c r="A468" s="102"/>
      <c r="B468" s="43" t="str">
        <f>IF(A468="", "", IFERROR(VLOOKUP(A468, Clasificaciones!A:B, 2, FALSE), "DATO NO CARGADO"))</f>
        <v/>
      </c>
      <c r="C468" s="51"/>
      <c r="D468" s="257"/>
      <c r="E468" s="102"/>
      <c r="F468" s="103"/>
      <c r="G468" s="258"/>
      <c r="I468" s="103"/>
      <c r="K468" s="71"/>
      <c r="L468" s="106" t="str">
        <f>IF(ISBLANK(J468), "", VLOOKUP(C468, 'Info Tipo de Cambio y REM'!$A$24:$B$35, 2, FALSE))</f>
        <v/>
      </c>
      <c r="M468" s="107" t="str">
        <f t="shared" si="2"/>
        <v/>
      </c>
    </row>
    <row r="469">
      <c r="A469" s="102"/>
      <c r="B469" s="43" t="str">
        <f>IF(A469="", "", IFERROR(VLOOKUP(A469, Clasificaciones!A:B, 2, FALSE), "DATO NO CARGADO"))</f>
        <v/>
      </c>
      <c r="C469" s="51"/>
      <c r="D469" s="257"/>
      <c r="E469" s="102"/>
      <c r="F469" s="103"/>
      <c r="G469" s="258"/>
      <c r="I469" s="103"/>
      <c r="K469" s="71"/>
      <c r="L469" s="106" t="str">
        <f>IF(ISBLANK(J469), "", VLOOKUP(C469, 'Info Tipo de Cambio y REM'!$A$24:$B$35, 2, FALSE))</f>
        <v/>
      </c>
      <c r="M469" s="107" t="str">
        <f t="shared" si="2"/>
        <v/>
      </c>
    </row>
    <row r="470">
      <c r="A470" s="102"/>
      <c r="B470" s="43" t="str">
        <f>IF(A470="", "", IFERROR(VLOOKUP(A470, Clasificaciones!A:B, 2, FALSE), "DATO NO CARGADO"))</f>
        <v/>
      </c>
      <c r="C470" s="51"/>
      <c r="D470" s="257"/>
      <c r="E470" s="102"/>
      <c r="F470" s="103"/>
      <c r="G470" s="258"/>
      <c r="I470" s="103"/>
      <c r="K470" s="71"/>
      <c r="L470" s="106" t="str">
        <f>IF(ISBLANK(J470), "", VLOOKUP(C470, 'Info Tipo de Cambio y REM'!$A$24:$B$35, 2, FALSE))</f>
        <v/>
      </c>
      <c r="M470" s="107" t="str">
        <f t="shared" si="2"/>
        <v/>
      </c>
    </row>
    <row r="471">
      <c r="A471" s="102"/>
      <c r="B471" s="43" t="str">
        <f>IF(A471="", "", IFERROR(VLOOKUP(A471, Clasificaciones!A:B, 2, FALSE), "DATO NO CARGADO"))</f>
        <v/>
      </c>
      <c r="C471" s="51"/>
      <c r="D471" s="257"/>
      <c r="E471" s="102"/>
      <c r="F471" s="103"/>
      <c r="G471" s="258"/>
      <c r="I471" s="103"/>
      <c r="K471" s="71"/>
      <c r="L471" s="106" t="str">
        <f>IF(ISBLANK(J471), "", VLOOKUP(C471, 'Info Tipo de Cambio y REM'!$A$24:$B$35, 2, FALSE))</f>
        <v/>
      </c>
      <c r="M471" s="107" t="str">
        <f t="shared" si="2"/>
        <v/>
      </c>
    </row>
    <row r="472">
      <c r="A472" s="102"/>
      <c r="B472" s="43" t="str">
        <f>IF(A472="", "", IFERROR(VLOOKUP(A472, Clasificaciones!A:B, 2, FALSE), "DATO NO CARGADO"))</f>
        <v/>
      </c>
      <c r="C472" s="51"/>
      <c r="D472" s="257"/>
      <c r="E472" s="102"/>
      <c r="F472" s="103"/>
      <c r="G472" s="258"/>
      <c r="I472" s="103"/>
      <c r="K472" s="71"/>
      <c r="L472" s="106" t="str">
        <f>IF(ISBLANK(J472), "", VLOOKUP(C472, 'Info Tipo de Cambio y REM'!$A$24:$B$35, 2, FALSE))</f>
        <v/>
      </c>
      <c r="M472" s="107" t="str">
        <f t="shared" si="2"/>
        <v/>
      </c>
    </row>
    <row r="473">
      <c r="A473" s="102"/>
      <c r="B473" s="43" t="str">
        <f>IF(A473="", "", IFERROR(VLOOKUP(A473, Clasificaciones!A:B, 2, FALSE), "DATO NO CARGADO"))</f>
        <v/>
      </c>
      <c r="C473" s="51"/>
      <c r="D473" s="257"/>
      <c r="E473" s="102"/>
      <c r="F473" s="103"/>
      <c r="G473" s="258"/>
      <c r="I473" s="103"/>
      <c r="K473" s="71"/>
      <c r="L473" s="106" t="str">
        <f>IF(ISBLANK(J473), "", VLOOKUP(C473, 'Info Tipo de Cambio y REM'!$A$24:$B$35, 2, FALSE))</f>
        <v/>
      </c>
      <c r="M473" s="107" t="str">
        <f t="shared" si="2"/>
        <v/>
      </c>
    </row>
    <row r="474">
      <c r="A474" s="102"/>
      <c r="B474" s="43" t="str">
        <f>IF(A474="", "", IFERROR(VLOOKUP(A474, Clasificaciones!A:B, 2, FALSE), "DATO NO CARGADO"))</f>
        <v/>
      </c>
      <c r="C474" s="51"/>
      <c r="D474" s="257"/>
      <c r="E474" s="102"/>
      <c r="F474" s="103"/>
      <c r="G474" s="258"/>
      <c r="I474" s="103"/>
      <c r="K474" s="71"/>
      <c r="L474" s="106" t="str">
        <f>IF(ISBLANK(J474), "", VLOOKUP(C474, 'Info Tipo de Cambio y REM'!$A$24:$B$35, 2, FALSE))</f>
        <v/>
      </c>
      <c r="M474" s="107" t="str">
        <f t="shared" si="2"/>
        <v/>
      </c>
    </row>
    <row r="475">
      <c r="A475" s="102"/>
      <c r="B475" s="43" t="str">
        <f>IF(A475="", "", IFERROR(VLOOKUP(A475, Clasificaciones!A:B, 2, FALSE), "DATO NO CARGADO"))</f>
        <v/>
      </c>
      <c r="C475" s="51"/>
      <c r="D475" s="257"/>
      <c r="E475" s="102"/>
      <c r="F475" s="103"/>
      <c r="G475" s="258"/>
      <c r="I475" s="103"/>
      <c r="K475" s="71"/>
      <c r="L475" s="106" t="str">
        <f>IF(ISBLANK(J475), "", VLOOKUP(C475, 'Info Tipo de Cambio y REM'!$A$24:$B$35, 2, FALSE))</f>
        <v/>
      </c>
      <c r="M475" s="107" t="str">
        <f t="shared" si="2"/>
        <v/>
      </c>
    </row>
    <row r="476">
      <c r="A476" s="102"/>
      <c r="B476" s="43" t="str">
        <f>IF(A476="", "", IFERROR(VLOOKUP(A476, Clasificaciones!A:B, 2, FALSE), "DATO NO CARGADO"))</f>
        <v/>
      </c>
      <c r="C476" s="51"/>
      <c r="D476" s="257"/>
      <c r="E476" s="102"/>
      <c r="F476" s="103"/>
      <c r="G476" s="258"/>
      <c r="I476" s="103"/>
      <c r="K476" s="71"/>
      <c r="L476" s="106" t="str">
        <f>IF(ISBLANK(J476), "", VLOOKUP(C476, 'Info Tipo de Cambio y REM'!$A$24:$B$35, 2, FALSE))</f>
        <v/>
      </c>
      <c r="M476" s="107" t="str">
        <f t="shared" si="2"/>
        <v/>
      </c>
    </row>
    <row r="477">
      <c r="A477" s="102"/>
      <c r="B477" s="43" t="str">
        <f>IF(A477="", "", IFERROR(VLOOKUP(A477, Clasificaciones!A:B, 2, FALSE), "DATO NO CARGADO"))</f>
        <v/>
      </c>
      <c r="C477" s="51"/>
      <c r="D477" s="257"/>
      <c r="E477" s="102"/>
      <c r="F477" s="103"/>
      <c r="G477" s="258"/>
      <c r="I477" s="103"/>
      <c r="K477" s="71"/>
      <c r="L477" s="106" t="str">
        <f>IF(ISBLANK(J477), "", VLOOKUP(C477, 'Info Tipo de Cambio y REM'!$A$24:$B$35, 2, FALSE))</f>
        <v/>
      </c>
      <c r="M477" s="107" t="str">
        <f t="shared" si="2"/>
        <v/>
      </c>
    </row>
    <row r="478">
      <c r="A478" s="102"/>
      <c r="B478" s="43" t="str">
        <f>IF(A478="", "", IFERROR(VLOOKUP(A478, Clasificaciones!A:B, 2, FALSE), "DATO NO CARGADO"))</f>
        <v/>
      </c>
      <c r="C478" s="51"/>
      <c r="D478" s="257"/>
      <c r="E478" s="102"/>
      <c r="F478" s="103"/>
      <c r="G478" s="258"/>
      <c r="I478" s="103"/>
      <c r="K478" s="71"/>
      <c r="L478" s="106" t="str">
        <f>IF(ISBLANK(J478), "", VLOOKUP(C478, 'Info Tipo de Cambio y REM'!$A$24:$B$35, 2, FALSE))</f>
        <v/>
      </c>
      <c r="M478" s="107" t="str">
        <f t="shared" si="2"/>
        <v/>
      </c>
    </row>
    <row r="479">
      <c r="A479" s="102"/>
      <c r="B479" s="43" t="str">
        <f>IF(A479="", "", IFERROR(VLOOKUP(A479, Clasificaciones!A:B, 2, FALSE), "DATO NO CARGADO"))</f>
        <v/>
      </c>
      <c r="C479" s="51"/>
      <c r="D479" s="257"/>
      <c r="E479" s="102"/>
      <c r="F479" s="103"/>
      <c r="G479" s="258"/>
      <c r="I479" s="103"/>
      <c r="K479" s="71"/>
      <c r="L479" s="106" t="str">
        <f>IF(ISBLANK(J479), "", VLOOKUP(C479, 'Info Tipo de Cambio y REM'!$A$24:$B$35, 2, FALSE))</f>
        <v/>
      </c>
      <c r="M479" s="107" t="str">
        <f t="shared" si="2"/>
        <v/>
      </c>
    </row>
    <row r="480">
      <c r="A480" s="102"/>
      <c r="B480" s="43" t="str">
        <f>IF(A480="", "", IFERROR(VLOOKUP(A480, Clasificaciones!A:B, 2, FALSE), "DATO NO CARGADO"))</f>
        <v/>
      </c>
      <c r="C480" s="51"/>
      <c r="D480" s="257"/>
      <c r="E480" s="102"/>
      <c r="F480" s="103"/>
      <c r="G480" s="258"/>
      <c r="I480" s="103"/>
      <c r="K480" s="71"/>
      <c r="L480" s="106" t="str">
        <f>IF(ISBLANK(J480), "", VLOOKUP(C480, 'Info Tipo de Cambio y REM'!$A$24:$B$35, 2, FALSE))</f>
        <v/>
      </c>
      <c r="M480" s="107" t="str">
        <f t="shared" si="2"/>
        <v/>
      </c>
    </row>
    <row r="481">
      <c r="A481" s="102"/>
      <c r="B481" s="43" t="str">
        <f>IF(A481="", "", IFERROR(VLOOKUP(A481, Clasificaciones!A:B, 2, FALSE), "DATO NO CARGADO"))</f>
        <v/>
      </c>
      <c r="C481" s="51"/>
      <c r="D481" s="257"/>
      <c r="E481" s="102"/>
      <c r="F481" s="103"/>
      <c r="G481" s="258"/>
      <c r="I481" s="103"/>
      <c r="K481" s="71"/>
      <c r="L481" s="106" t="str">
        <f>IF(ISBLANK(J481), "", VLOOKUP(C481, 'Info Tipo de Cambio y REM'!$A$24:$B$35, 2, FALSE))</f>
        <v/>
      </c>
      <c r="M481" s="107" t="str">
        <f t="shared" si="2"/>
        <v/>
      </c>
    </row>
    <row r="482">
      <c r="A482" s="102"/>
      <c r="B482" s="43" t="str">
        <f>IF(A482="", "", IFERROR(VLOOKUP(A482, Clasificaciones!A:B, 2, FALSE), "DATO NO CARGADO"))</f>
        <v/>
      </c>
      <c r="C482" s="51"/>
      <c r="D482" s="257"/>
      <c r="E482" s="102"/>
      <c r="F482" s="103"/>
      <c r="G482" s="258"/>
      <c r="I482" s="103"/>
      <c r="K482" s="71"/>
      <c r="L482" s="106" t="str">
        <f>IF(ISBLANK(J482), "", VLOOKUP(C482, 'Info Tipo de Cambio y REM'!$A$24:$B$35, 2, FALSE))</f>
        <v/>
      </c>
      <c r="M482" s="107" t="str">
        <f t="shared" si="2"/>
        <v/>
      </c>
    </row>
    <row r="483">
      <c r="A483" s="102"/>
      <c r="B483" s="43" t="str">
        <f>IF(A483="", "", IFERROR(VLOOKUP(A483, Clasificaciones!A:B, 2, FALSE), "DATO NO CARGADO"))</f>
        <v/>
      </c>
      <c r="C483" s="51"/>
      <c r="D483" s="257"/>
      <c r="E483" s="102"/>
      <c r="F483" s="103"/>
      <c r="G483" s="258"/>
      <c r="I483" s="103"/>
      <c r="K483" s="71"/>
      <c r="L483" s="106" t="str">
        <f>IF(ISBLANK(J483), "", VLOOKUP(C483, 'Info Tipo de Cambio y REM'!$A$24:$B$35, 2, FALSE))</f>
        <v/>
      </c>
      <c r="M483" s="107" t="str">
        <f t="shared" si="2"/>
        <v/>
      </c>
    </row>
    <row r="484">
      <c r="A484" s="102"/>
      <c r="B484" s="43" t="str">
        <f>IF(A484="", "", IFERROR(VLOOKUP(A484, Clasificaciones!A:B, 2, FALSE), "DATO NO CARGADO"))</f>
        <v/>
      </c>
      <c r="C484" s="51"/>
      <c r="D484" s="257"/>
      <c r="E484" s="102"/>
      <c r="F484" s="103"/>
      <c r="G484" s="258"/>
      <c r="I484" s="103"/>
      <c r="K484" s="71"/>
      <c r="L484" s="106" t="str">
        <f>IF(ISBLANK(J484), "", VLOOKUP(C484, 'Info Tipo de Cambio y REM'!$A$24:$B$35, 2, FALSE))</f>
        <v/>
      </c>
      <c r="M484" s="107" t="str">
        <f t="shared" si="2"/>
        <v/>
      </c>
    </row>
    <row r="485">
      <c r="A485" s="102"/>
      <c r="B485" s="43" t="str">
        <f>IF(A485="", "", IFERROR(VLOOKUP(A485, Clasificaciones!A:B, 2, FALSE), "DATO NO CARGADO"))</f>
        <v/>
      </c>
      <c r="C485" s="51"/>
      <c r="D485" s="257"/>
      <c r="E485" s="102"/>
      <c r="F485" s="103"/>
      <c r="G485" s="258"/>
      <c r="I485" s="103"/>
      <c r="K485" s="71"/>
      <c r="L485" s="106" t="str">
        <f>IF(ISBLANK(J485), "", VLOOKUP(C485, 'Info Tipo de Cambio y REM'!$A$24:$B$35, 2, FALSE))</f>
        <v/>
      </c>
      <c r="M485" s="107" t="str">
        <f t="shared" si="2"/>
        <v/>
      </c>
    </row>
    <row r="486">
      <c r="A486" s="102"/>
      <c r="B486" s="43" t="str">
        <f>IF(A486="", "", IFERROR(VLOOKUP(A486, Clasificaciones!A:B, 2, FALSE), "DATO NO CARGADO"))</f>
        <v/>
      </c>
      <c r="C486" s="51"/>
      <c r="D486" s="257"/>
      <c r="E486" s="102"/>
      <c r="F486" s="103"/>
      <c r="G486" s="258"/>
      <c r="I486" s="103"/>
      <c r="K486" s="71"/>
      <c r="L486" s="106" t="str">
        <f>IF(ISBLANK(J486), "", VLOOKUP(C486, 'Info Tipo de Cambio y REM'!$A$24:$B$35, 2, FALSE))</f>
        <v/>
      </c>
      <c r="M486" s="107" t="str">
        <f t="shared" si="2"/>
        <v/>
      </c>
    </row>
    <row r="487">
      <c r="A487" s="102"/>
      <c r="B487" s="43" t="str">
        <f>IF(A487="", "", IFERROR(VLOOKUP(A487, Clasificaciones!A:B, 2, FALSE), "DATO NO CARGADO"))</f>
        <v/>
      </c>
      <c r="C487" s="51"/>
      <c r="D487" s="257"/>
      <c r="E487" s="102"/>
      <c r="F487" s="103"/>
      <c r="G487" s="258"/>
      <c r="I487" s="103"/>
      <c r="K487" s="71"/>
      <c r="L487" s="106" t="str">
        <f>IF(ISBLANK(J487), "", VLOOKUP(C487, 'Info Tipo de Cambio y REM'!$A$24:$B$35, 2, FALSE))</f>
        <v/>
      </c>
      <c r="M487" s="107" t="str">
        <f t="shared" si="2"/>
        <v/>
      </c>
    </row>
    <row r="488">
      <c r="A488" s="102"/>
      <c r="B488" s="43" t="str">
        <f>IF(A488="", "", IFERROR(VLOOKUP(A488, Clasificaciones!A:B, 2, FALSE), "DATO NO CARGADO"))</f>
        <v/>
      </c>
      <c r="C488" s="51"/>
      <c r="D488" s="257"/>
      <c r="E488" s="102"/>
      <c r="F488" s="103"/>
      <c r="G488" s="258"/>
      <c r="I488" s="103"/>
      <c r="K488" s="71"/>
      <c r="L488" s="106" t="str">
        <f>IF(ISBLANK(J488), "", VLOOKUP(C488, 'Info Tipo de Cambio y REM'!$A$24:$B$35, 2, FALSE))</f>
        <v/>
      </c>
      <c r="M488" s="107" t="str">
        <f t="shared" si="2"/>
        <v/>
      </c>
    </row>
    <row r="489">
      <c r="A489" s="102"/>
      <c r="B489" s="43" t="str">
        <f>IF(A489="", "", IFERROR(VLOOKUP(A489, Clasificaciones!A:B, 2, FALSE), "DATO NO CARGADO"))</f>
        <v/>
      </c>
      <c r="C489" s="51"/>
      <c r="D489" s="257"/>
      <c r="E489" s="102"/>
      <c r="F489" s="103"/>
      <c r="G489" s="258"/>
      <c r="I489" s="103"/>
      <c r="K489" s="71"/>
      <c r="L489" s="106" t="str">
        <f>IF(ISBLANK(J489), "", VLOOKUP(C489, 'Info Tipo de Cambio y REM'!$A$24:$B$35, 2, FALSE))</f>
        <v/>
      </c>
      <c r="M489" s="107" t="str">
        <f t="shared" si="2"/>
        <v/>
      </c>
    </row>
    <row r="490">
      <c r="A490" s="102"/>
      <c r="B490" s="43" t="str">
        <f>IF(A490="", "", IFERROR(VLOOKUP(A490, Clasificaciones!A:B, 2, FALSE), "DATO NO CARGADO"))</f>
        <v/>
      </c>
      <c r="C490" s="51"/>
      <c r="D490" s="257"/>
      <c r="E490" s="102"/>
      <c r="F490" s="103"/>
      <c r="G490" s="258"/>
      <c r="I490" s="103"/>
      <c r="K490" s="71"/>
      <c r="L490" s="106" t="str">
        <f>IF(ISBLANK(J490), "", VLOOKUP(C490, 'Info Tipo de Cambio y REM'!$A$24:$B$35, 2, FALSE))</f>
        <v/>
      </c>
      <c r="M490" s="107" t="str">
        <f t="shared" si="2"/>
        <v/>
      </c>
    </row>
    <row r="491">
      <c r="A491" s="102"/>
      <c r="B491" s="43" t="str">
        <f>IF(A491="", "", IFERROR(VLOOKUP(A491, Clasificaciones!A:B, 2, FALSE), "DATO NO CARGADO"))</f>
        <v/>
      </c>
      <c r="C491" s="51"/>
      <c r="D491" s="257"/>
      <c r="E491" s="102"/>
      <c r="F491" s="103"/>
      <c r="G491" s="258"/>
      <c r="I491" s="103"/>
      <c r="K491" s="71"/>
      <c r="L491" s="106" t="str">
        <f>IF(ISBLANK(J491), "", VLOOKUP(C491, 'Info Tipo de Cambio y REM'!$A$24:$B$35, 2, FALSE))</f>
        <v/>
      </c>
      <c r="M491" s="107" t="str">
        <f t="shared" si="2"/>
        <v/>
      </c>
    </row>
    <row r="492">
      <c r="A492" s="102"/>
      <c r="B492" s="43" t="str">
        <f>IF(A492="", "", IFERROR(VLOOKUP(A492, Clasificaciones!A:B, 2, FALSE), "DATO NO CARGADO"))</f>
        <v/>
      </c>
      <c r="C492" s="51"/>
      <c r="D492" s="257"/>
      <c r="E492" s="102"/>
      <c r="F492" s="103"/>
      <c r="G492" s="258"/>
      <c r="I492" s="103"/>
      <c r="K492" s="71"/>
      <c r="L492" s="106" t="str">
        <f>IF(ISBLANK(J492), "", VLOOKUP(C492, 'Info Tipo de Cambio y REM'!$A$24:$B$35, 2, FALSE))</f>
        <v/>
      </c>
      <c r="M492" s="107" t="str">
        <f t="shared" si="2"/>
        <v/>
      </c>
    </row>
    <row r="493">
      <c r="A493" s="102"/>
      <c r="B493" s="43" t="str">
        <f>IF(A493="", "", IFERROR(VLOOKUP(A493, Clasificaciones!A:B, 2, FALSE), "DATO NO CARGADO"))</f>
        <v/>
      </c>
      <c r="C493" s="51"/>
      <c r="D493" s="257"/>
      <c r="E493" s="102"/>
      <c r="F493" s="103"/>
      <c r="G493" s="258"/>
      <c r="I493" s="103"/>
      <c r="K493" s="71"/>
      <c r="L493" s="106" t="str">
        <f>IF(ISBLANK(J493), "", VLOOKUP(C493, 'Info Tipo de Cambio y REM'!$A$24:$B$35, 2, FALSE))</f>
        <v/>
      </c>
      <c r="M493" s="107" t="str">
        <f t="shared" si="2"/>
        <v/>
      </c>
    </row>
    <row r="494">
      <c r="A494" s="102"/>
      <c r="B494" s="43" t="str">
        <f>IF(A494="", "", IFERROR(VLOOKUP(A494, Clasificaciones!A:B, 2, FALSE), "DATO NO CARGADO"))</f>
        <v/>
      </c>
      <c r="C494" s="51"/>
      <c r="D494" s="257"/>
      <c r="E494" s="102"/>
      <c r="F494" s="103"/>
      <c r="G494" s="258"/>
      <c r="I494" s="103"/>
      <c r="K494" s="71"/>
      <c r="L494" s="106" t="str">
        <f>IF(ISBLANK(J494), "", VLOOKUP(C494, 'Info Tipo de Cambio y REM'!$A$24:$B$35, 2, FALSE))</f>
        <v/>
      </c>
      <c r="M494" s="107" t="str">
        <f t="shared" si="2"/>
        <v/>
      </c>
    </row>
    <row r="495">
      <c r="A495" s="102"/>
      <c r="B495" s="43" t="str">
        <f>IF(A495="", "", IFERROR(VLOOKUP(A495, Clasificaciones!A:B, 2, FALSE), "DATO NO CARGADO"))</f>
        <v/>
      </c>
      <c r="C495" s="51"/>
      <c r="D495" s="257"/>
      <c r="E495" s="102"/>
      <c r="F495" s="103"/>
      <c r="G495" s="258"/>
      <c r="I495" s="103"/>
      <c r="K495" s="71"/>
      <c r="L495" s="106" t="str">
        <f>IF(ISBLANK(J495), "", VLOOKUP(C495, 'Info Tipo de Cambio y REM'!$A$24:$B$35, 2, FALSE))</f>
        <v/>
      </c>
      <c r="M495" s="107" t="str">
        <f t="shared" si="2"/>
        <v/>
      </c>
    </row>
    <row r="496">
      <c r="A496" s="102"/>
      <c r="B496" s="43" t="str">
        <f>IF(A496="", "", IFERROR(VLOOKUP(A496, Clasificaciones!A:B, 2, FALSE), "DATO NO CARGADO"))</f>
        <v/>
      </c>
      <c r="C496" s="51"/>
      <c r="D496" s="257"/>
      <c r="E496" s="102"/>
      <c r="F496" s="103"/>
      <c r="G496" s="258"/>
      <c r="I496" s="103"/>
      <c r="K496" s="71"/>
      <c r="L496" s="106" t="str">
        <f>IF(ISBLANK(J496), "", VLOOKUP(C496, 'Info Tipo de Cambio y REM'!$A$24:$B$35, 2, FALSE))</f>
        <v/>
      </c>
      <c r="M496" s="107" t="str">
        <f t="shared" si="2"/>
        <v/>
      </c>
    </row>
    <row r="497">
      <c r="A497" s="102"/>
      <c r="B497" s="43" t="str">
        <f>IF(A497="", "", IFERROR(VLOOKUP(A497, Clasificaciones!A:B, 2, FALSE), "DATO NO CARGADO"))</f>
        <v/>
      </c>
      <c r="C497" s="51"/>
      <c r="D497" s="257"/>
      <c r="E497" s="102"/>
      <c r="F497" s="103"/>
      <c r="G497" s="258"/>
      <c r="I497" s="103"/>
      <c r="K497" s="71"/>
      <c r="L497" s="106" t="str">
        <f>IF(ISBLANK(J497), "", VLOOKUP(C497, 'Info Tipo de Cambio y REM'!$A$24:$B$35, 2, FALSE))</f>
        <v/>
      </c>
      <c r="M497" s="107" t="str">
        <f t="shared" si="2"/>
        <v/>
      </c>
    </row>
    <row r="498">
      <c r="A498" s="102"/>
      <c r="B498" s="43" t="str">
        <f>IF(A498="", "", IFERROR(VLOOKUP(A498, Clasificaciones!A:B, 2, FALSE), "DATO NO CARGADO"))</f>
        <v/>
      </c>
      <c r="C498" s="51"/>
      <c r="D498" s="257"/>
      <c r="E498" s="102"/>
      <c r="F498" s="103"/>
      <c r="G498" s="258"/>
      <c r="I498" s="103"/>
      <c r="K498" s="71"/>
      <c r="L498" s="106" t="str">
        <f>IF(ISBLANK(J498), "", VLOOKUP(C498, 'Info Tipo de Cambio y REM'!$A$24:$B$35, 2, FALSE))</f>
        <v/>
      </c>
      <c r="M498" s="107" t="str">
        <f t="shared" si="2"/>
        <v/>
      </c>
    </row>
    <row r="499">
      <c r="A499" s="102"/>
      <c r="B499" s="43" t="str">
        <f>IF(A499="", "", IFERROR(VLOOKUP(A499, Clasificaciones!A:B, 2, FALSE), "DATO NO CARGADO"))</f>
        <v/>
      </c>
      <c r="C499" s="51"/>
      <c r="D499" s="257"/>
      <c r="E499" s="102"/>
      <c r="F499" s="103"/>
      <c r="G499" s="258"/>
      <c r="I499" s="103"/>
      <c r="K499" s="71"/>
      <c r="L499" s="106" t="str">
        <f>IF(ISBLANK(J499), "", VLOOKUP(C499, 'Info Tipo de Cambio y REM'!$A$24:$B$35, 2, FALSE))</f>
        <v/>
      </c>
      <c r="M499" s="107" t="str">
        <f t="shared" si="2"/>
        <v/>
      </c>
    </row>
    <row r="500">
      <c r="A500" s="102"/>
      <c r="B500" s="43" t="str">
        <f>IF(A500="", "", IFERROR(VLOOKUP(A500, Clasificaciones!A:B, 2, FALSE), "DATO NO CARGADO"))</f>
        <v/>
      </c>
      <c r="C500" s="51"/>
      <c r="D500" s="257"/>
      <c r="E500" s="102"/>
      <c r="F500" s="103"/>
      <c r="G500" s="258"/>
      <c r="I500" s="103"/>
      <c r="K500" s="71"/>
      <c r="L500" s="106" t="str">
        <f>IF(ISBLANK(J500), "", VLOOKUP(C500, 'Info Tipo de Cambio y REM'!$A$24:$B$35, 2, FALSE))</f>
        <v/>
      </c>
      <c r="M500" s="107" t="str">
        <f t="shared" si="2"/>
        <v/>
      </c>
    </row>
    <row r="501">
      <c r="A501" s="102"/>
      <c r="B501" s="43" t="str">
        <f>IF(A501="", "", IFERROR(VLOOKUP(A501, Clasificaciones!A:B, 2, FALSE), "DATO NO CARGADO"))</f>
        <v/>
      </c>
      <c r="C501" s="51"/>
      <c r="D501" s="257"/>
      <c r="E501" s="102"/>
      <c r="F501" s="103"/>
      <c r="G501" s="258"/>
      <c r="I501" s="103"/>
      <c r="K501" s="71"/>
      <c r="L501" s="106" t="str">
        <f>IF(ISBLANK(J501), "", VLOOKUP(C501, 'Info Tipo de Cambio y REM'!$A$24:$B$35, 2, FALSE))</f>
        <v/>
      </c>
      <c r="M501" s="107" t="str">
        <f t="shared" si="2"/>
        <v/>
      </c>
    </row>
    <row r="502">
      <c r="A502" s="102"/>
      <c r="B502" s="43" t="str">
        <f>IF(A502="", "", IFERROR(VLOOKUP(A502, Clasificaciones!A:B, 2, FALSE), "DATO NO CARGADO"))</f>
        <v/>
      </c>
      <c r="C502" s="51"/>
      <c r="D502" s="257"/>
      <c r="E502" s="102"/>
      <c r="F502" s="103"/>
      <c r="G502" s="258"/>
      <c r="I502" s="103"/>
      <c r="K502" s="71"/>
      <c r="L502" s="106" t="str">
        <f>IF(ISBLANK(J502), "", VLOOKUP(C502, 'Info Tipo de Cambio y REM'!$A$24:$B$35, 2, FALSE))</f>
        <v/>
      </c>
      <c r="M502" s="107" t="str">
        <f t="shared" si="2"/>
        <v/>
      </c>
    </row>
    <row r="503">
      <c r="A503" s="102"/>
      <c r="B503" s="43" t="str">
        <f>IF(A503="", "", IFERROR(VLOOKUP(A503, Clasificaciones!A:B, 2, FALSE), "DATO NO CARGADO"))</f>
        <v/>
      </c>
      <c r="C503" s="51"/>
      <c r="D503" s="257"/>
      <c r="E503" s="102"/>
      <c r="F503" s="103"/>
      <c r="G503" s="258"/>
      <c r="I503" s="103"/>
      <c r="K503" s="71"/>
      <c r="L503" s="106" t="str">
        <f>IF(ISBLANK(J503), "", VLOOKUP(C503, 'Info Tipo de Cambio y REM'!$A$24:$B$35, 2, FALSE))</f>
        <v/>
      </c>
      <c r="M503" s="107" t="str">
        <f t="shared" si="2"/>
        <v/>
      </c>
    </row>
    <row r="504">
      <c r="A504" s="102"/>
      <c r="B504" s="43" t="str">
        <f>IF(A504="", "", IFERROR(VLOOKUP(A504, Clasificaciones!A:B, 2, FALSE), "DATO NO CARGADO"))</f>
        <v/>
      </c>
      <c r="C504" s="51"/>
      <c r="D504" s="257"/>
      <c r="E504" s="102"/>
      <c r="F504" s="103"/>
      <c r="G504" s="258"/>
      <c r="I504" s="103"/>
      <c r="K504" s="71"/>
      <c r="L504" s="106" t="str">
        <f>IF(ISBLANK(J504), "", VLOOKUP(C504, 'Info Tipo de Cambio y REM'!$A$24:$B$35, 2, FALSE))</f>
        <v/>
      </c>
      <c r="M504" s="107" t="str">
        <f t="shared" si="2"/>
        <v/>
      </c>
    </row>
    <row r="505">
      <c r="A505" s="102"/>
      <c r="B505" s="43" t="str">
        <f>IF(A505="", "", IFERROR(VLOOKUP(A505, Clasificaciones!A:B, 2, FALSE), "DATO NO CARGADO"))</f>
        <v/>
      </c>
      <c r="C505" s="51"/>
      <c r="D505" s="257"/>
      <c r="E505" s="102"/>
      <c r="F505" s="103"/>
      <c r="G505" s="258"/>
      <c r="I505" s="103"/>
      <c r="K505" s="71"/>
      <c r="L505" s="106" t="str">
        <f>IF(ISBLANK(J505), "", VLOOKUP(C505, 'Info Tipo de Cambio y REM'!$A$24:$B$35, 2, FALSE))</f>
        <v/>
      </c>
      <c r="M505" s="107" t="str">
        <f t="shared" si="2"/>
        <v/>
      </c>
    </row>
    <row r="506">
      <c r="A506" s="102"/>
      <c r="B506" s="43" t="str">
        <f>IF(A506="", "", IFERROR(VLOOKUP(A506, Clasificaciones!A:B, 2, FALSE), "DATO NO CARGADO"))</f>
        <v/>
      </c>
      <c r="C506" s="51"/>
      <c r="D506" s="257"/>
      <c r="E506" s="102"/>
      <c r="F506" s="103"/>
      <c r="G506" s="258"/>
      <c r="I506" s="103"/>
      <c r="K506" s="71"/>
      <c r="L506" s="106" t="str">
        <f>IF(ISBLANK(J506), "", VLOOKUP(C506, 'Info Tipo de Cambio y REM'!$A$24:$B$35, 2, FALSE))</f>
        <v/>
      </c>
      <c r="M506" s="107" t="str">
        <f t="shared" si="2"/>
        <v/>
      </c>
    </row>
    <row r="507">
      <c r="A507" s="102"/>
      <c r="B507" s="43" t="str">
        <f>IF(A507="", "", IFERROR(VLOOKUP(A507, Clasificaciones!A:B, 2, FALSE), "DATO NO CARGADO"))</f>
        <v/>
      </c>
      <c r="C507" s="51"/>
      <c r="D507" s="257"/>
      <c r="E507" s="102"/>
      <c r="F507" s="103"/>
      <c r="G507" s="258"/>
      <c r="I507" s="103"/>
      <c r="K507" s="71"/>
      <c r="L507" s="106" t="str">
        <f>IF(ISBLANK(J507), "", VLOOKUP(C507, 'Info Tipo de Cambio y REM'!$A$24:$B$35, 2, FALSE))</f>
        <v/>
      </c>
      <c r="M507" s="107" t="str">
        <f t="shared" si="2"/>
        <v/>
      </c>
    </row>
    <row r="508">
      <c r="A508" s="102"/>
      <c r="B508" s="43" t="str">
        <f>IF(A508="", "", IFERROR(VLOOKUP(A508, Clasificaciones!A:B, 2, FALSE), "DATO NO CARGADO"))</f>
        <v/>
      </c>
      <c r="C508" s="51"/>
      <c r="D508" s="257"/>
      <c r="E508" s="102"/>
      <c r="F508" s="103"/>
      <c r="G508" s="258"/>
      <c r="I508" s="103"/>
      <c r="K508" s="71"/>
      <c r="L508" s="106" t="str">
        <f>IF(ISBLANK(J508), "", VLOOKUP(C508, 'Info Tipo de Cambio y REM'!$A$24:$B$35, 2, FALSE))</f>
        <v/>
      </c>
      <c r="M508" s="107" t="str">
        <f t="shared" si="2"/>
        <v/>
      </c>
    </row>
    <row r="509">
      <c r="A509" s="102"/>
      <c r="B509" s="43" t="str">
        <f>IF(A509="", "", IFERROR(VLOOKUP(A509, Clasificaciones!A:B, 2, FALSE), "DATO NO CARGADO"))</f>
        <v/>
      </c>
      <c r="C509" s="51"/>
      <c r="D509" s="257"/>
      <c r="E509" s="102"/>
      <c r="F509" s="103"/>
      <c r="G509" s="258"/>
      <c r="I509" s="103"/>
      <c r="K509" s="71"/>
      <c r="L509" s="106" t="str">
        <f>IF(ISBLANK(J509), "", VLOOKUP(C509, 'Info Tipo de Cambio y REM'!$A$24:$B$35, 2, FALSE))</f>
        <v/>
      </c>
      <c r="M509" s="107" t="str">
        <f t="shared" si="2"/>
        <v/>
      </c>
    </row>
    <row r="510">
      <c r="A510" s="102"/>
      <c r="B510" s="43" t="str">
        <f>IF(A510="", "", IFERROR(VLOOKUP(A510, Clasificaciones!A:B, 2, FALSE), "DATO NO CARGADO"))</f>
        <v/>
      </c>
      <c r="C510" s="51"/>
      <c r="D510" s="257"/>
      <c r="E510" s="102"/>
      <c r="F510" s="103"/>
      <c r="G510" s="258"/>
      <c r="I510" s="103"/>
      <c r="K510" s="71"/>
      <c r="L510" s="106" t="str">
        <f>IF(ISBLANK(J510), "", VLOOKUP(C510, 'Info Tipo de Cambio y REM'!$A$24:$B$35, 2, FALSE))</f>
        <v/>
      </c>
      <c r="M510" s="107" t="str">
        <f t="shared" si="2"/>
        <v/>
      </c>
    </row>
    <row r="511">
      <c r="A511" s="102"/>
      <c r="B511" s="43" t="str">
        <f>IF(A511="", "", IFERROR(VLOOKUP(A511, Clasificaciones!A:B, 2, FALSE), "DATO NO CARGADO"))</f>
        <v/>
      </c>
      <c r="C511" s="51"/>
      <c r="D511" s="257"/>
      <c r="E511" s="102"/>
      <c r="F511" s="103"/>
      <c r="G511" s="258"/>
      <c r="I511" s="103"/>
      <c r="K511" s="71"/>
      <c r="L511" s="106" t="str">
        <f>IF(ISBLANK(J511), "", VLOOKUP(C511, 'Info Tipo de Cambio y REM'!$A$24:$B$35, 2, FALSE))</f>
        <v/>
      </c>
      <c r="M511" s="107" t="str">
        <f t="shared" si="2"/>
        <v/>
      </c>
    </row>
    <row r="512">
      <c r="A512" s="102"/>
      <c r="B512" s="43" t="str">
        <f>IF(A512="", "", IFERROR(VLOOKUP(A512, Clasificaciones!A:B, 2, FALSE), "DATO NO CARGADO"))</f>
        <v/>
      </c>
      <c r="C512" s="51"/>
      <c r="D512" s="257"/>
      <c r="E512" s="102"/>
      <c r="F512" s="103"/>
      <c r="G512" s="258"/>
      <c r="I512" s="103"/>
      <c r="K512" s="71"/>
      <c r="L512" s="106" t="str">
        <f>IF(ISBLANK(J512), "", VLOOKUP(C512, 'Info Tipo de Cambio y REM'!$A$24:$B$35, 2, FALSE))</f>
        <v/>
      </c>
      <c r="M512" s="107" t="str">
        <f t="shared" si="2"/>
        <v/>
      </c>
    </row>
    <row r="513">
      <c r="A513" s="102"/>
      <c r="B513" s="43" t="str">
        <f>IF(A513="", "", IFERROR(VLOOKUP(A513, Clasificaciones!A:B, 2, FALSE), "DATO NO CARGADO"))</f>
        <v/>
      </c>
      <c r="C513" s="51"/>
      <c r="D513" s="257"/>
      <c r="E513" s="102"/>
      <c r="F513" s="103"/>
      <c r="G513" s="258"/>
      <c r="I513" s="103"/>
      <c r="K513" s="71"/>
      <c r="L513" s="106" t="str">
        <f>IF(ISBLANK(J513), "", VLOOKUP(C513, 'Info Tipo de Cambio y REM'!$A$24:$B$35, 2, FALSE))</f>
        <v/>
      </c>
      <c r="M513" s="107" t="str">
        <f t="shared" si="2"/>
        <v/>
      </c>
    </row>
    <row r="514">
      <c r="A514" s="102"/>
      <c r="B514" s="43" t="str">
        <f>IF(A514="", "", IFERROR(VLOOKUP(A514, Clasificaciones!A:B, 2, FALSE), "DATO NO CARGADO"))</f>
        <v/>
      </c>
      <c r="C514" s="51"/>
      <c r="D514" s="257"/>
      <c r="E514" s="102"/>
      <c r="F514" s="103"/>
      <c r="G514" s="258"/>
      <c r="I514" s="103"/>
      <c r="K514" s="71"/>
      <c r="L514" s="106" t="str">
        <f>IF(ISBLANK(J514), "", VLOOKUP(C514, 'Info Tipo de Cambio y REM'!$A$24:$B$35, 2, FALSE))</f>
        <v/>
      </c>
      <c r="M514" s="107" t="str">
        <f t="shared" si="2"/>
        <v/>
      </c>
    </row>
    <row r="515">
      <c r="A515" s="102"/>
      <c r="B515" s="43" t="str">
        <f>IF(A515="", "", IFERROR(VLOOKUP(A515, Clasificaciones!A:B, 2, FALSE), "DATO NO CARGADO"))</f>
        <v/>
      </c>
      <c r="C515" s="51"/>
      <c r="D515" s="257"/>
      <c r="E515" s="102"/>
      <c r="F515" s="103"/>
      <c r="G515" s="258"/>
      <c r="I515" s="103"/>
      <c r="K515" s="71"/>
      <c r="L515" s="106" t="str">
        <f>IF(ISBLANK(J515), "", VLOOKUP(C515, 'Info Tipo de Cambio y REM'!$A$24:$B$35, 2, FALSE))</f>
        <v/>
      </c>
      <c r="M515" s="107" t="str">
        <f t="shared" si="2"/>
        <v/>
      </c>
    </row>
    <row r="516">
      <c r="A516" s="102"/>
      <c r="B516" s="43" t="str">
        <f>IF(A516="", "", IFERROR(VLOOKUP(A516, Clasificaciones!A:B, 2, FALSE), "DATO NO CARGADO"))</f>
        <v/>
      </c>
      <c r="C516" s="51"/>
      <c r="D516" s="257"/>
      <c r="E516" s="102"/>
      <c r="F516" s="103"/>
      <c r="G516" s="258"/>
      <c r="I516" s="103"/>
      <c r="K516" s="71"/>
      <c r="L516" s="106" t="str">
        <f>IF(ISBLANK(J516), "", VLOOKUP(C516, 'Info Tipo de Cambio y REM'!$A$24:$B$35, 2, FALSE))</f>
        <v/>
      </c>
      <c r="M516" s="107" t="str">
        <f t="shared" si="2"/>
        <v/>
      </c>
    </row>
    <row r="517">
      <c r="A517" s="102"/>
      <c r="B517" s="43" t="str">
        <f>IF(A517="", "", IFERROR(VLOOKUP(A517, Clasificaciones!A:B, 2, FALSE), "DATO NO CARGADO"))</f>
        <v/>
      </c>
      <c r="C517" s="51"/>
      <c r="D517" s="257"/>
      <c r="E517" s="102"/>
      <c r="F517" s="103"/>
      <c r="G517" s="258"/>
      <c r="I517" s="103"/>
      <c r="K517" s="71"/>
      <c r="L517" s="106" t="str">
        <f>IF(ISBLANK(J517), "", VLOOKUP(C517, 'Info Tipo de Cambio y REM'!$A$24:$B$35, 2, FALSE))</f>
        <v/>
      </c>
      <c r="M517" s="107" t="str">
        <f t="shared" si="2"/>
        <v/>
      </c>
    </row>
    <row r="518">
      <c r="A518" s="102"/>
      <c r="B518" s="43" t="str">
        <f>IF(A518="", "", IFERROR(VLOOKUP(A518, Clasificaciones!A:B, 2, FALSE), "DATO NO CARGADO"))</f>
        <v/>
      </c>
      <c r="C518" s="51"/>
      <c r="D518" s="257"/>
      <c r="E518" s="102"/>
      <c r="F518" s="103"/>
      <c r="G518" s="258"/>
      <c r="I518" s="103"/>
      <c r="K518" s="71"/>
      <c r="L518" s="106" t="str">
        <f>IF(ISBLANK(J518), "", VLOOKUP(C518, 'Info Tipo de Cambio y REM'!$A$24:$B$35, 2, FALSE))</f>
        <v/>
      </c>
      <c r="M518" s="107" t="str">
        <f t="shared" si="2"/>
        <v/>
      </c>
    </row>
    <row r="519">
      <c r="A519" s="102"/>
      <c r="B519" s="43" t="str">
        <f>IF(A519="", "", IFERROR(VLOOKUP(A519, Clasificaciones!A:B, 2, FALSE), "DATO NO CARGADO"))</f>
        <v/>
      </c>
      <c r="C519" s="51"/>
      <c r="D519" s="257"/>
      <c r="E519" s="102"/>
      <c r="F519" s="103"/>
      <c r="G519" s="258"/>
      <c r="I519" s="103"/>
      <c r="K519" s="71"/>
      <c r="L519" s="106" t="str">
        <f>IF(ISBLANK(J519), "", VLOOKUP(C519, 'Info Tipo de Cambio y REM'!$A$24:$B$35, 2, FALSE))</f>
        <v/>
      </c>
      <c r="M519" s="107" t="str">
        <f t="shared" si="2"/>
        <v/>
      </c>
    </row>
    <row r="520">
      <c r="A520" s="102"/>
      <c r="B520" s="43" t="str">
        <f>IF(A520="", "", IFERROR(VLOOKUP(A520, Clasificaciones!A:B, 2, FALSE), "DATO NO CARGADO"))</f>
        <v/>
      </c>
      <c r="C520" s="51"/>
      <c r="D520" s="257"/>
      <c r="E520" s="102"/>
      <c r="F520" s="103"/>
      <c r="G520" s="258"/>
      <c r="I520" s="103"/>
      <c r="K520" s="71"/>
      <c r="L520" s="106" t="str">
        <f>IF(ISBLANK(J520), "", VLOOKUP(C520, 'Info Tipo de Cambio y REM'!$A$24:$B$35, 2, FALSE))</f>
        <v/>
      </c>
      <c r="M520" s="107" t="str">
        <f t="shared" si="2"/>
        <v/>
      </c>
    </row>
    <row r="521">
      <c r="A521" s="102"/>
      <c r="B521" s="43" t="str">
        <f>IF(A521="", "", IFERROR(VLOOKUP(A521, Clasificaciones!A:B, 2, FALSE), "DATO NO CARGADO"))</f>
        <v/>
      </c>
      <c r="C521" s="51"/>
      <c r="D521" s="257"/>
      <c r="E521" s="102"/>
      <c r="F521" s="103"/>
      <c r="G521" s="258"/>
      <c r="I521" s="103"/>
      <c r="K521" s="71"/>
      <c r="L521" s="106" t="str">
        <f>IF(ISBLANK(J521), "", VLOOKUP(C521, 'Info Tipo de Cambio y REM'!$A$24:$B$35, 2, FALSE))</f>
        <v/>
      </c>
      <c r="M521" s="107" t="str">
        <f t="shared" si="2"/>
        <v/>
      </c>
    </row>
    <row r="522">
      <c r="A522" s="102"/>
      <c r="B522" s="43" t="str">
        <f>IF(A522="", "", IFERROR(VLOOKUP(A522, Clasificaciones!A:B, 2, FALSE), "DATO NO CARGADO"))</f>
        <v/>
      </c>
      <c r="C522" s="51"/>
      <c r="D522" s="257"/>
      <c r="E522" s="102"/>
      <c r="F522" s="103"/>
      <c r="G522" s="258"/>
      <c r="I522" s="103"/>
      <c r="K522" s="71"/>
      <c r="L522" s="106" t="str">
        <f>IF(ISBLANK(J522), "", VLOOKUP(C522, 'Info Tipo de Cambio y REM'!$A$24:$B$35, 2, FALSE))</f>
        <v/>
      </c>
      <c r="M522" s="107" t="str">
        <f t="shared" si="2"/>
        <v/>
      </c>
    </row>
    <row r="523">
      <c r="A523" s="102"/>
      <c r="B523" s="43" t="str">
        <f>IF(A523="", "", IFERROR(VLOOKUP(A523, Clasificaciones!A:B, 2, FALSE), "DATO NO CARGADO"))</f>
        <v/>
      </c>
      <c r="C523" s="51"/>
      <c r="D523" s="257"/>
      <c r="E523" s="102"/>
      <c r="F523" s="103"/>
      <c r="G523" s="258"/>
      <c r="I523" s="103"/>
      <c r="K523" s="71"/>
      <c r="L523" s="106" t="str">
        <f>IF(ISBLANK(J523), "", VLOOKUP(C523, 'Info Tipo de Cambio y REM'!$A$24:$B$35, 2, FALSE))</f>
        <v/>
      </c>
      <c r="M523" s="107" t="str">
        <f t="shared" si="2"/>
        <v/>
      </c>
    </row>
    <row r="524">
      <c r="A524" s="102"/>
      <c r="B524" s="43" t="str">
        <f>IF(A524="", "", IFERROR(VLOOKUP(A524, Clasificaciones!A:B, 2, FALSE), "DATO NO CARGADO"))</f>
        <v/>
      </c>
      <c r="C524" s="51"/>
      <c r="D524" s="257"/>
      <c r="E524" s="102"/>
      <c r="F524" s="103"/>
      <c r="G524" s="258"/>
      <c r="I524" s="103"/>
      <c r="K524" s="71"/>
      <c r="L524" s="106" t="str">
        <f>IF(ISBLANK(J524), "", VLOOKUP(C524, 'Info Tipo de Cambio y REM'!$A$24:$B$35, 2, FALSE))</f>
        <v/>
      </c>
      <c r="M524" s="107" t="str">
        <f t="shared" si="2"/>
        <v/>
      </c>
    </row>
    <row r="525">
      <c r="A525" s="102"/>
      <c r="B525" s="43" t="str">
        <f>IF(A525="", "", IFERROR(VLOOKUP(A525, Clasificaciones!A:B, 2, FALSE), "DATO NO CARGADO"))</f>
        <v/>
      </c>
      <c r="C525" s="51"/>
      <c r="D525" s="257"/>
      <c r="E525" s="102"/>
      <c r="F525" s="103"/>
      <c r="G525" s="258"/>
      <c r="I525" s="103"/>
      <c r="K525" s="71"/>
      <c r="L525" s="106" t="str">
        <f>IF(ISBLANK(J525), "", VLOOKUP(C525, 'Info Tipo de Cambio y REM'!$A$24:$B$35, 2, FALSE))</f>
        <v/>
      </c>
      <c r="M525" s="107" t="str">
        <f t="shared" si="2"/>
        <v/>
      </c>
    </row>
    <row r="526">
      <c r="A526" s="102"/>
      <c r="B526" s="43" t="str">
        <f>IF(A526="", "", IFERROR(VLOOKUP(A526, Clasificaciones!A:B, 2, FALSE), "DATO NO CARGADO"))</f>
        <v/>
      </c>
      <c r="C526" s="51"/>
      <c r="D526" s="257"/>
      <c r="E526" s="102"/>
      <c r="F526" s="103"/>
      <c r="G526" s="258"/>
      <c r="I526" s="103"/>
      <c r="K526" s="71"/>
      <c r="L526" s="106" t="str">
        <f>IF(ISBLANK(J526), "", VLOOKUP(C526, 'Info Tipo de Cambio y REM'!$A$24:$B$35, 2, FALSE))</f>
        <v/>
      </c>
      <c r="M526" s="107" t="str">
        <f t="shared" si="2"/>
        <v/>
      </c>
    </row>
    <row r="527">
      <c r="A527" s="102"/>
      <c r="B527" s="43" t="str">
        <f>IF(A527="", "", IFERROR(VLOOKUP(A527, Clasificaciones!A:B, 2, FALSE), "DATO NO CARGADO"))</f>
        <v/>
      </c>
      <c r="C527" s="51"/>
      <c r="D527" s="257"/>
      <c r="E527" s="102"/>
      <c r="F527" s="103"/>
      <c r="G527" s="258"/>
      <c r="I527" s="103"/>
      <c r="K527" s="71"/>
      <c r="L527" s="106" t="str">
        <f>IF(ISBLANK(J527), "", VLOOKUP(C527, 'Info Tipo de Cambio y REM'!$A$24:$B$35, 2, FALSE))</f>
        <v/>
      </c>
      <c r="M527" s="107" t="str">
        <f t="shared" si="2"/>
        <v/>
      </c>
    </row>
    <row r="528">
      <c r="A528" s="102"/>
      <c r="B528" s="43" t="str">
        <f>IF(A528="", "", IFERROR(VLOOKUP(A528, Clasificaciones!A:B, 2, FALSE), "DATO NO CARGADO"))</f>
        <v/>
      </c>
      <c r="C528" s="51"/>
      <c r="D528" s="257"/>
      <c r="E528" s="102"/>
      <c r="F528" s="103"/>
      <c r="G528" s="258"/>
      <c r="I528" s="103"/>
      <c r="K528" s="71"/>
      <c r="L528" s="106" t="str">
        <f>IF(ISBLANK(J528), "", VLOOKUP(C528, 'Info Tipo de Cambio y REM'!$A$24:$B$35, 2, FALSE))</f>
        <v/>
      </c>
      <c r="M528" s="107" t="str">
        <f t="shared" si="2"/>
        <v/>
      </c>
    </row>
    <row r="529">
      <c r="A529" s="102"/>
      <c r="B529" s="43" t="str">
        <f>IF(A529="", "", IFERROR(VLOOKUP(A529, Clasificaciones!A:B, 2, FALSE), "DATO NO CARGADO"))</f>
        <v/>
      </c>
      <c r="C529" s="51"/>
      <c r="D529" s="257"/>
      <c r="E529" s="102"/>
      <c r="F529" s="103"/>
      <c r="G529" s="258"/>
      <c r="I529" s="103"/>
      <c r="K529" s="71"/>
      <c r="L529" s="106" t="str">
        <f>IF(ISBLANK(J529), "", VLOOKUP(C529, 'Info Tipo de Cambio y REM'!$A$24:$B$35, 2, FALSE))</f>
        <v/>
      </c>
      <c r="M529" s="107" t="str">
        <f t="shared" si="2"/>
        <v/>
      </c>
    </row>
    <row r="530">
      <c r="A530" s="102"/>
      <c r="B530" s="43" t="str">
        <f>IF(A530="", "", IFERROR(VLOOKUP(A530, Clasificaciones!A:B, 2, FALSE), "DATO NO CARGADO"))</f>
        <v/>
      </c>
      <c r="C530" s="51"/>
      <c r="D530" s="257"/>
      <c r="E530" s="102"/>
      <c r="F530" s="103"/>
      <c r="G530" s="258"/>
      <c r="I530" s="103"/>
      <c r="K530" s="71"/>
      <c r="L530" s="106" t="str">
        <f>IF(ISBLANK(J530), "", VLOOKUP(C530, 'Info Tipo de Cambio y REM'!$A$24:$B$35, 2, FALSE))</f>
        <v/>
      </c>
      <c r="M530" s="107" t="str">
        <f t="shared" si="2"/>
        <v/>
      </c>
    </row>
    <row r="531">
      <c r="A531" s="102"/>
      <c r="B531" s="43" t="str">
        <f>IF(A531="", "", IFERROR(VLOOKUP(A531, Clasificaciones!A:B, 2, FALSE), "DATO NO CARGADO"))</f>
        <v/>
      </c>
      <c r="C531" s="51"/>
      <c r="D531" s="257"/>
      <c r="E531" s="102"/>
      <c r="F531" s="103"/>
      <c r="G531" s="258"/>
      <c r="I531" s="103"/>
      <c r="K531" s="71"/>
      <c r="L531" s="106" t="str">
        <f>IF(ISBLANK(J531), "", VLOOKUP(C531, 'Info Tipo de Cambio y REM'!$A$24:$B$35, 2, FALSE))</f>
        <v/>
      </c>
      <c r="M531" s="107" t="str">
        <f t="shared" si="2"/>
        <v/>
      </c>
    </row>
    <row r="532">
      <c r="A532" s="102"/>
      <c r="B532" s="43" t="str">
        <f>IF(A532="", "", IFERROR(VLOOKUP(A532, Clasificaciones!A:B, 2, FALSE), "DATO NO CARGADO"))</f>
        <v/>
      </c>
      <c r="C532" s="51"/>
      <c r="D532" s="257"/>
      <c r="E532" s="102"/>
      <c r="F532" s="103"/>
      <c r="G532" s="258"/>
      <c r="I532" s="103"/>
      <c r="K532" s="71"/>
      <c r="L532" s="106" t="str">
        <f>IF(ISBLANK(J532), "", VLOOKUP(C532, 'Info Tipo de Cambio y REM'!$A$24:$B$35, 2, FALSE))</f>
        <v/>
      </c>
      <c r="M532" s="107" t="str">
        <f t="shared" si="2"/>
        <v/>
      </c>
    </row>
    <row r="533">
      <c r="A533" s="102"/>
      <c r="B533" s="43" t="str">
        <f>IF(A533="", "", IFERROR(VLOOKUP(A533, Clasificaciones!A:B, 2, FALSE), "DATO NO CARGADO"))</f>
        <v/>
      </c>
      <c r="C533" s="51"/>
      <c r="D533" s="257"/>
      <c r="E533" s="102"/>
      <c r="F533" s="103"/>
      <c r="G533" s="258"/>
      <c r="I533" s="103"/>
      <c r="K533" s="71"/>
      <c r="L533" s="106" t="str">
        <f>IF(ISBLANK(J533), "", VLOOKUP(C533, 'Info Tipo de Cambio y REM'!$A$24:$B$35, 2, FALSE))</f>
        <v/>
      </c>
      <c r="M533" s="107" t="str">
        <f t="shared" si="2"/>
        <v/>
      </c>
    </row>
    <row r="534">
      <c r="A534" s="102"/>
      <c r="B534" s="43" t="str">
        <f>IF(A534="", "", IFERROR(VLOOKUP(A534, Clasificaciones!A:B, 2, FALSE), "DATO NO CARGADO"))</f>
        <v/>
      </c>
      <c r="C534" s="51"/>
      <c r="D534" s="257"/>
      <c r="E534" s="102"/>
      <c r="F534" s="103"/>
      <c r="G534" s="258"/>
      <c r="I534" s="103"/>
      <c r="K534" s="71"/>
      <c r="L534" s="106" t="str">
        <f>IF(ISBLANK(J534), "", VLOOKUP(C534, 'Info Tipo de Cambio y REM'!$A$24:$B$35, 2, FALSE))</f>
        <v/>
      </c>
      <c r="M534" s="107" t="str">
        <f t="shared" si="2"/>
        <v/>
      </c>
    </row>
    <row r="535">
      <c r="A535" s="102"/>
      <c r="B535" s="43" t="str">
        <f>IF(A535="", "", IFERROR(VLOOKUP(A535, Clasificaciones!A:B, 2, FALSE), "DATO NO CARGADO"))</f>
        <v/>
      </c>
      <c r="C535" s="51"/>
      <c r="D535" s="257"/>
      <c r="E535" s="102"/>
      <c r="F535" s="103"/>
      <c r="G535" s="258"/>
      <c r="I535" s="103"/>
      <c r="K535" s="71"/>
      <c r="L535" s="106" t="str">
        <f>IF(ISBLANK(J535), "", VLOOKUP(C535, 'Info Tipo de Cambio y REM'!$A$24:$B$35, 2, FALSE))</f>
        <v/>
      </c>
      <c r="M535" s="107" t="str">
        <f t="shared" si="2"/>
        <v/>
      </c>
    </row>
    <row r="536">
      <c r="A536" s="102"/>
      <c r="B536" s="43" t="str">
        <f>IF(A536="", "", IFERROR(VLOOKUP(A536, Clasificaciones!A:B, 2, FALSE), "DATO NO CARGADO"))</f>
        <v/>
      </c>
      <c r="C536" s="51"/>
      <c r="D536" s="257"/>
      <c r="E536" s="102"/>
      <c r="F536" s="103"/>
      <c r="G536" s="258"/>
      <c r="I536" s="103"/>
      <c r="K536" s="71"/>
      <c r="L536" s="106" t="str">
        <f>IF(ISBLANK(J536), "", VLOOKUP(C536, 'Info Tipo de Cambio y REM'!$A$24:$B$35, 2, FALSE))</f>
        <v/>
      </c>
      <c r="M536" s="107" t="str">
        <f t="shared" si="2"/>
        <v/>
      </c>
    </row>
    <row r="537">
      <c r="A537" s="102"/>
      <c r="B537" s="43" t="str">
        <f>IF(A537="", "", IFERROR(VLOOKUP(A537, Clasificaciones!A:B, 2, FALSE), "DATO NO CARGADO"))</f>
        <v/>
      </c>
      <c r="C537" s="51"/>
      <c r="D537" s="257"/>
      <c r="E537" s="102"/>
      <c r="F537" s="103"/>
      <c r="G537" s="258"/>
      <c r="I537" s="103"/>
      <c r="K537" s="71"/>
      <c r="L537" s="106" t="str">
        <f>IF(ISBLANK(J537), "", VLOOKUP(C537, 'Info Tipo de Cambio y REM'!$A$24:$B$35, 2, FALSE))</f>
        <v/>
      </c>
      <c r="M537" s="107" t="str">
        <f t="shared" si="2"/>
        <v/>
      </c>
    </row>
    <row r="538">
      <c r="A538" s="102"/>
      <c r="B538" s="43" t="str">
        <f>IF(A538="", "", IFERROR(VLOOKUP(A538, Clasificaciones!A:B, 2, FALSE), "DATO NO CARGADO"))</f>
        <v/>
      </c>
      <c r="C538" s="51"/>
      <c r="D538" s="257"/>
      <c r="E538" s="102"/>
      <c r="F538" s="103"/>
      <c r="G538" s="258"/>
      <c r="I538" s="103"/>
      <c r="K538" s="71"/>
      <c r="L538" s="106" t="str">
        <f>IF(ISBLANK(J538), "", VLOOKUP(C538, 'Info Tipo de Cambio y REM'!$A$24:$B$35, 2, FALSE))</f>
        <v/>
      </c>
      <c r="M538" s="107" t="str">
        <f t="shared" si="2"/>
        <v/>
      </c>
    </row>
    <row r="539">
      <c r="A539" s="102"/>
      <c r="B539" s="43" t="str">
        <f>IF(A539="", "", IFERROR(VLOOKUP(A539, Clasificaciones!A:B, 2, FALSE), "DATO NO CARGADO"))</f>
        <v/>
      </c>
      <c r="C539" s="51"/>
      <c r="D539" s="257"/>
      <c r="E539" s="102"/>
      <c r="F539" s="103"/>
      <c r="G539" s="258"/>
      <c r="I539" s="103"/>
      <c r="K539" s="71"/>
      <c r="L539" s="106" t="str">
        <f>IF(ISBLANK(J539), "", VLOOKUP(C539, 'Info Tipo de Cambio y REM'!$A$24:$B$35, 2, FALSE))</f>
        <v/>
      </c>
      <c r="M539" s="107" t="str">
        <f t="shared" si="2"/>
        <v/>
      </c>
    </row>
    <row r="540">
      <c r="A540" s="102"/>
      <c r="B540" s="43" t="str">
        <f>IF(A540="", "", IFERROR(VLOOKUP(A540, Clasificaciones!A:B, 2, FALSE), "DATO NO CARGADO"))</f>
        <v/>
      </c>
      <c r="C540" s="51"/>
      <c r="D540" s="257"/>
      <c r="E540" s="102"/>
      <c r="F540" s="103"/>
      <c r="G540" s="258"/>
      <c r="I540" s="103"/>
      <c r="K540" s="71"/>
      <c r="L540" s="106" t="str">
        <f>IF(ISBLANK(J540), "", VLOOKUP(C540, 'Info Tipo de Cambio y REM'!$A$24:$B$35, 2, FALSE))</f>
        <v/>
      </c>
      <c r="M540" s="107" t="str">
        <f t="shared" si="2"/>
        <v/>
      </c>
    </row>
    <row r="541">
      <c r="A541" s="102"/>
      <c r="B541" s="43" t="str">
        <f>IF(A541="", "", IFERROR(VLOOKUP(A541, Clasificaciones!A:B, 2, FALSE), "DATO NO CARGADO"))</f>
        <v/>
      </c>
      <c r="C541" s="51"/>
      <c r="D541" s="257"/>
      <c r="E541" s="102"/>
      <c r="F541" s="103"/>
      <c r="G541" s="258"/>
      <c r="I541" s="103"/>
      <c r="K541" s="71"/>
      <c r="L541" s="106" t="str">
        <f>IF(ISBLANK(J541), "", VLOOKUP(C541, 'Info Tipo de Cambio y REM'!$A$24:$B$35, 2, FALSE))</f>
        <v/>
      </c>
      <c r="M541" s="107" t="str">
        <f t="shared" si="2"/>
        <v/>
      </c>
    </row>
    <row r="542">
      <c r="A542" s="102"/>
      <c r="B542" s="43" t="str">
        <f>IF(A542="", "", IFERROR(VLOOKUP(A542, Clasificaciones!A:B, 2, FALSE), "DATO NO CARGADO"))</f>
        <v/>
      </c>
      <c r="C542" s="51"/>
      <c r="D542" s="257"/>
      <c r="E542" s="102"/>
      <c r="F542" s="103"/>
      <c r="G542" s="258"/>
      <c r="I542" s="103"/>
      <c r="K542" s="71"/>
      <c r="L542" s="106" t="str">
        <f>IF(ISBLANK(J542), "", VLOOKUP(C542, 'Info Tipo de Cambio y REM'!$A$24:$B$35, 2, FALSE))</f>
        <v/>
      </c>
      <c r="M542" s="107" t="str">
        <f t="shared" si="2"/>
        <v/>
      </c>
    </row>
    <row r="543">
      <c r="A543" s="102"/>
      <c r="B543" s="43" t="str">
        <f>IF(A543="", "", IFERROR(VLOOKUP(A543, Clasificaciones!A:B, 2, FALSE), "DATO NO CARGADO"))</f>
        <v/>
      </c>
      <c r="C543" s="51"/>
      <c r="D543" s="257"/>
      <c r="E543" s="102"/>
      <c r="F543" s="103"/>
      <c r="G543" s="258"/>
      <c r="I543" s="103"/>
      <c r="K543" s="71"/>
      <c r="L543" s="106" t="str">
        <f>IF(ISBLANK(J543), "", VLOOKUP(C543, 'Info Tipo de Cambio y REM'!$A$24:$B$35, 2, FALSE))</f>
        <v/>
      </c>
      <c r="M543" s="107" t="str">
        <f t="shared" si="2"/>
        <v/>
      </c>
    </row>
    <row r="544">
      <c r="A544" s="102"/>
      <c r="B544" s="43" t="str">
        <f>IF(A544="", "", IFERROR(VLOOKUP(A544, Clasificaciones!A:B, 2, FALSE), "DATO NO CARGADO"))</f>
        <v/>
      </c>
      <c r="C544" s="51"/>
      <c r="D544" s="257"/>
      <c r="E544" s="102"/>
      <c r="F544" s="103"/>
      <c r="G544" s="258"/>
      <c r="I544" s="103"/>
      <c r="K544" s="71"/>
      <c r="L544" s="106" t="str">
        <f>IF(ISBLANK(J544), "", VLOOKUP(C544, 'Info Tipo de Cambio y REM'!$A$24:$B$35, 2, FALSE))</f>
        <v/>
      </c>
      <c r="M544" s="107" t="str">
        <f t="shared" si="2"/>
        <v/>
      </c>
    </row>
    <row r="545">
      <c r="A545" s="102"/>
      <c r="B545" s="43" t="str">
        <f>IF(A545="", "", IFERROR(VLOOKUP(A545, Clasificaciones!A:B, 2, FALSE), "DATO NO CARGADO"))</f>
        <v/>
      </c>
      <c r="C545" s="51"/>
      <c r="D545" s="257"/>
      <c r="E545" s="102"/>
      <c r="F545" s="103"/>
      <c r="G545" s="258"/>
      <c r="I545" s="103"/>
      <c r="K545" s="71"/>
      <c r="L545" s="106" t="str">
        <f>IF(ISBLANK(J545), "", VLOOKUP(C545, 'Info Tipo de Cambio y REM'!$A$24:$B$35, 2, FALSE))</f>
        <v/>
      </c>
      <c r="M545" s="107" t="str">
        <f t="shared" si="2"/>
        <v/>
      </c>
    </row>
    <row r="546">
      <c r="A546" s="102"/>
      <c r="B546" s="43" t="str">
        <f>IF(A546="", "", IFERROR(VLOOKUP(A546, Clasificaciones!A:B, 2, FALSE), "DATO NO CARGADO"))</f>
        <v/>
      </c>
      <c r="C546" s="51"/>
      <c r="D546" s="257"/>
      <c r="E546" s="102"/>
      <c r="F546" s="103"/>
      <c r="G546" s="258"/>
      <c r="I546" s="103"/>
      <c r="K546" s="71"/>
      <c r="L546" s="106" t="str">
        <f>IF(ISBLANK(J546), "", VLOOKUP(C546, 'Info Tipo de Cambio y REM'!$A$24:$B$35, 2, FALSE))</f>
        <v/>
      </c>
      <c r="M546" s="107" t="str">
        <f t="shared" si="2"/>
        <v/>
      </c>
    </row>
    <row r="547">
      <c r="A547" s="102"/>
      <c r="B547" s="43" t="str">
        <f>IF(A547="", "", IFERROR(VLOOKUP(A547, Clasificaciones!A:B, 2, FALSE), "DATO NO CARGADO"))</f>
        <v/>
      </c>
      <c r="C547" s="51"/>
      <c r="D547" s="257"/>
      <c r="E547" s="102"/>
      <c r="F547" s="103"/>
      <c r="G547" s="258"/>
      <c r="I547" s="103"/>
      <c r="K547" s="71"/>
      <c r="L547" s="106" t="str">
        <f>IF(ISBLANK(J547), "", VLOOKUP(C547, 'Info Tipo de Cambio y REM'!$A$24:$B$35, 2, FALSE))</f>
        <v/>
      </c>
      <c r="M547" s="107" t="str">
        <f t="shared" si="2"/>
        <v/>
      </c>
    </row>
    <row r="548">
      <c r="A548" s="102"/>
      <c r="B548" s="43" t="str">
        <f>IF(A548="", "", IFERROR(VLOOKUP(A548, Clasificaciones!A:B, 2, FALSE), "DATO NO CARGADO"))</f>
        <v/>
      </c>
      <c r="C548" s="51"/>
      <c r="D548" s="257"/>
      <c r="E548" s="102"/>
      <c r="F548" s="103"/>
      <c r="G548" s="258"/>
      <c r="I548" s="103"/>
      <c r="K548" s="71"/>
      <c r="L548" s="106" t="str">
        <f>IF(ISBLANK(J548), "", VLOOKUP(C548, 'Info Tipo de Cambio y REM'!$A$24:$B$35, 2, FALSE))</f>
        <v/>
      </c>
      <c r="M548" s="107" t="str">
        <f t="shared" si="2"/>
        <v/>
      </c>
    </row>
    <row r="549">
      <c r="A549" s="102"/>
      <c r="B549" s="43" t="str">
        <f>IF(A549="", "", IFERROR(VLOOKUP(A549, Clasificaciones!A:B, 2, FALSE), "DATO NO CARGADO"))</f>
        <v/>
      </c>
      <c r="C549" s="51"/>
      <c r="D549" s="257"/>
      <c r="E549" s="102"/>
      <c r="F549" s="103"/>
      <c r="G549" s="258"/>
      <c r="I549" s="103"/>
      <c r="K549" s="71"/>
      <c r="L549" s="106" t="str">
        <f>IF(ISBLANK(J549), "", VLOOKUP(C549, 'Info Tipo de Cambio y REM'!$A$24:$B$35, 2, FALSE))</f>
        <v/>
      </c>
      <c r="M549" s="107" t="str">
        <f t="shared" si="2"/>
        <v/>
      </c>
    </row>
    <row r="550">
      <c r="A550" s="102"/>
      <c r="B550" s="43" t="str">
        <f>IF(A550="", "", IFERROR(VLOOKUP(A550, Clasificaciones!A:B, 2, FALSE), "DATO NO CARGADO"))</f>
        <v/>
      </c>
      <c r="C550" s="51"/>
      <c r="D550" s="257"/>
      <c r="E550" s="102"/>
      <c r="F550" s="103"/>
      <c r="G550" s="258"/>
      <c r="I550" s="103"/>
      <c r="K550" s="71"/>
      <c r="L550" s="106" t="str">
        <f>IF(ISBLANK(J550), "", VLOOKUP(C550, 'Info Tipo de Cambio y REM'!$A$24:$B$35, 2, FALSE))</f>
        <v/>
      </c>
      <c r="M550" s="107" t="str">
        <f t="shared" si="2"/>
        <v/>
      </c>
    </row>
    <row r="551">
      <c r="A551" s="102"/>
      <c r="B551" s="43" t="str">
        <f>IF(A551="", "", IFERROR(VLOOKUP(A551, Clasificaciones!A:B, 2, FALSE), "DATO NO CARGADO"))</f>
        <v/>
      </c>
      <c r="C551" s="51"/>
      <c r="D551" s="257"/>
      <c r="E551" s="102"/>
      <c r="F551" s="103"/>
      <c r="G551" s="258"/>
      <c r="I551" s="103"/>
      <c r="K551" s="71"/>
      <c r="L551" s="106" t="str">
        <f>IF(ISBLANK(J551), "", VLOOKUP(C551, 'Info Tipo de Cambio y REM'!$A$24:$B$35, 2, FALSE))</f>
        <v/>
      </c>
      <c r="M551" s="107" t="str">
        <f t="shared" si="2"/>
        <v/>
      </c>
    </row>
    <row r="552">
      <c r="A552" s="102"/>
      <c r="B552" s="43" t="str">
        <f>IF(A552="", "", IFERROR(VLOOKUP(A552, Clasificaciones!A:B, 2, FALSE), "DATO NO CARGADO"))</f>
        <v/>
      </c>
      <c r="C552" s="51"/>
      <c r="D552" s="257"/>
      <c r="E552" s="102"/>
      <c r="F552" s="103"/>
      <c r="G552" s="258"/>
      <c r="I552" s="103"/>
      <c r="K552" s="71"/>
      <c r="L552" s="106" t="str">
        <f>IF(ISBLANK(J552), "", VLOOKUP(C552, 'Info Tipo de Cambio y REM'!$A$24:$B$35, 2, FALSE))</f>
        <v/>
      </c>
      <c r="M552" s="107" t="str">
        <f t="shared" si="2"/>
        <v/>
      </c>
    </row>
    <row r="553">
      <c r="A553" s="102"/>
      <c r="B553" s="43" t="str">
        <f>IF(A553="", "", IFERROR(VLOOKUP(A553, Clasificaciones!A:B, 2, FALSE), "DATO NO CARGADO"))</f>
        <v/>
      </c>
      <c r="C553" s="51"/>
      <c r="D553" s="257"/>
      <c r="E553" s="102"/>
      <c r="F553" s="103"/>
      <c r="G553" s="258"/>
      <c r="I553" s="103"/>
      <c r="K553" s="71"/>
      <c r="L553" s="106" t="str">
        <f>IF(ISBLANK(J553), "", VLOOKUP(C553, 'Info Tipo de Cambio y REM'!$A$24:$B$35, 2, FALSE))</f>
        <v/>
      </c>
      <c r="M553" s="107" t="str">
        <f t="shared" si="2"/>
        <v/>
      </c>
    </row>
    <row r="554">
      <c r="A554" s="102"/>
      <c r="B554" s="43" t="str">
        <f>IF(A554="", "", IFERROR(VLOOKUP(A554, Clasificaciones!A:B, 2, FALSE), "DATO NO CARGADO"))</f>
        <v/>
      </c>
      <c r="C554" s="51"/>
      <c r="D554" s="257"/>
      <c r="E554" s="102"/>
      <c r="F554" s="103"/>
      <c r="G554" s="258"/>
      <c r="I554" s="103"/>
      <c r="K554" s="71"/>
      <c r="L554" s="106" t="str">
        <f>IF(ISBLANK(J554), "", VLOOKUP(C554, 'Info Tipo de Cambio y REM'!$A$24:$B$35, 2, FALSE))</f>
        <v/>
      </c>
      <c r="M554" s="107" t="str">
        <f t="shared" si="2"/>
        <v/>
      </c>
    </row>
    <row r="555">
      <c r="A555" s="102"/>
      <c r="B555" s="43" t="str">
        <f>IF(A555="", "", IFERROR(VLOOKUP(A555, Clasificaciones!A:B, 2, FALSE), "DATO NO CARGADO"))</f>
        <v/>
      </c>
      <c r="C555" s="51"/>
      <c r="D555" s="257"/>
      <c r="E555" s="102"/>
      <c r="F555" s="103"/>
      <c r="G555" s="258"/>
      <c r="I555" s="103"/>
      <c r="K555" s="71"/>
      <c r="L555" s="106" t="str">
        <f>IF(ISBLANK(J555), "", VLOOKUP(C555, 'Info Tipo de Cambio y REM'!$A$24:$B$35, 2, FALSE))</f>
        <v/>
      </c>
      <c r="M555" s="107" t="str">
        <f t="shared" si="2"/>
        <v/>
      </c>
    </row>
    <row r="556">
      <c r="A556" s="102"/>
      <c r="B556" s="43" t="str">
        <f>IF(A556="", "", IFERROR(VLOOKUP(A556, Clasificaciones!A:B, 2, FALSE), "DATO NO CARGADO"))</f>
        <v/>
      </c>
      <c r="C556" s="51"/>
      <c r="D556" s="257"/>
      <c r="E556" s="102"/>
      <c r="F556" s="103"/>
      <c r="G556" s="258"/>
      <c r="I556" s="103"/>
      <c r="K556" s="71"/>
      <c r="L556" s="106" t="str">
        <f>IF(ISBLANK(J556), "", VLOOKUP(C556, 'Info Tipo de Cambio y REM'!$A$24:$B$35, 2, FALSE))</f>
        <v/>
      </c>
      <c r="M556" s="107" t="str">
        <f t="shared" si="2"/>
        <v/>
      </c>
    </row>
    <row r="557">
      <c r="A557" s="102"/>
      <c r="B557" s="43" t="str">
        <f>IF(A557="", "", IFERROR(VLOOKUP(A557, Clasificaciones!A:B, 2, FALSE), "DATO NO CARGADO"))</f>
        <v/>
      </c>
      <c r="C557" s="51"/>
      <c r="D557" s="257"/>
      <c r="E557" s="102"/>
      <c r="F557" s="103"/>
      <c r="G557" s="258"/>
      <c r="I557" s="103"/>
      <c r="K557" s="71"/>
      <c r="L557" s="106" t="str">
        <f>IF(ISBLANK(J557), "", VLOOKUP(C557, 'Info Tipo de Cambio y REM'!$A$24:$B$35, 2, FALSE))</f>
        <v/>
      </c>
      <c r="M557" s="107" t="str">
        <f t="shared" si="2"/>
        <v/>
      </c>
    </row>
    <row r="558">
      <c r="A558" s="102"/>
      <c r="B558" s="43" t="str">
        <f>IF(A558="", "", IFERROR(VLOOKUP(A558, Clasificaciones!A:B, 2, FALSE), "DATO NO CARGADO"))</f>
        <v/>
      </c>
      <c r="C558" s="51"/>
      <c r="D558" s="257"/>
      <c r="E558" s="102"/>
      <c r="F558" s="103"/>
      <c r="G558" s="258"/>
      <c r="I558" s="103"/>
      <c r="K558" s="71"/>
      <c r="L558" s="106" t="str">
        <f>IF(ISBLANK(J558), "", VLOOKUP(C558, 'Info Tipo de Cambio y REM'!$A$24:$B$35, 2, FALSE))</f>
        <v/>
      </c>
      <c r="M558" s="107" t="str">
        <f t="shared" si="2"/>
        <v/>
      </c>
    </row>
    <row r="559">
      <c r="A559" s="102"/>
      <c r="B559" s="43" t="str">
        <f>IF(A559="", "", IFERROR(VLOOKUP(A559, Clasificaciones!A:B, 2, FALSE), "DATO NO CARGADO"))</f>
        <v/>
      </c>
      <c r="C559" s="51"/>
      <c r="D559" s="257"/>
      <c r="E559" s="102"/>
      <c r="F559" s="103"/>
      <c r="G559" s="258"/>
      <c r="I559" s="103"/>
      <c r="K559" s="71"/>
      <c r="L559" s="106" t="str">
        <f>IF(ISBLANK(J559), "", VLOOKUP(C559, 'Info Tipo de Cambio y REM'!$A$24:$B$35, 2, FALSE))</f>
        <v/>
      </c>
      <c r="M559" s="107" t="str">
        <f t="shared" si="2"/>
        <v/>
      </c>
    </row>
    <row r="560">
      <c r="A560" s="102"/>
      <c r="B560" s="43" t="str">
        <f>IF(A560="", "", IFERROR(VLOOKUP(A560, Clasificaciones!A:B, 2, FALSE), "DATO NO CARGADO"))</f>
        <v/>
      </c>
      <c r="C560" s="51"/>
      <c r="D560" s="257"/>
      <c r="E560" s="102"/>
      <c r="F560" s="103"/>
      <c r="G560" s="258"/>
      <c r="I560" s="103"/>
      <c r="K560" s="71"/>
      <c r="L560" s="106" t="str">
        <f>IF(ISBLANK(J560), "", VLOOKUP(C560, 'Info Tipo de Cambio y REM'!$A$24:$B$35, 2, FALSE))</f>
        <v/>
      </c>
      <c r="M560" s="107" t="str">
        <f t="shared" si="2"/>
        <v/>
      </c>
    </row>
    <row r="561">
      <c r="A561" s="102"/>
      <c r="B561" s="43" t="str">
        <f>IF(A561="", "", IFERROR(VLOOKUP(A561, Clasificaciones!A:B, 2, FALSE), "DATO NO CARGADO"))</f>
        <v/>
      </c>
      <c r="C561" s="51"/>
      <c r="D561" s="257"/>
      <c r="E561" s="102"/>
      <c r="F561" s="103"/>
      <c r="G561" s="258"/>
      <c r="I561" s="103"/>
      <c r="K561" s="71"/>
      <c r="L561" s="106" t="str">
        <f>IF(ISBLANK(J561), "", VLOOKUP(C561, 'Info Tipo de Cambio y REM'!$A$24:$B$35, 2, FALSE))</f>
        <v/>
      </c>
      <c r="M561" s="107" t="str">
        <f t="shared" si="2"/>
        <v/>
      </c>
    </row>
    <row r="562">
      <c r="A562" s="102"/>
      <c r="B562" s="43" t="str">
        <f>IF(A562="", "", IFERROR(VLOOKUP(A562, Clasificaciones!A:B, 2, FALSE), "DATO NO CARGADO"))</f>
        <v/>
      </c>
      <c r="C562" s="51"/>
      <c r="D562" s="257"/>
      <c r="E562" s="102"/>
      <c r="F562" s="103"/>
      <c r="G562" s="258"/>
      <c r="I562" s="103"/>
      <c r="K562" s="71"/>
      <c r="L562" s="106" t="str">
        <f>IF(ISBLANK(J562), "", VLOOKUP(C562, 'Info Tipo de Cambio y REM'!$A$24:$B$35, 2, FALSE))</f>
        <v/>
      </c>
      <c r="M562" s="107" t="str">
        <f t="shared" si="2"/>
        <v/>
      </c>
    </row>
    <row r="563">
      <c r="A563" s="102"/>
      <c r="B563" s="43" t="str">
        <f>IF(A563="", "", IFERROR(VLOOKUP(A563, Clasificaciones!A:B, 2, FALSE), "DATO NO CARGADO"))</f>
        <v/>
      </c>
      <c r="C563" s="51"/>
      <c r="D563" s="257"/>
      <c r="E563" s="102"/>
      <c r="F563" s="103"/>
      <c r="G563" s="258"/>
      <c r="I563" s="103"/>
      <c r="K563" s="71"/>
      <c r="L563" s="106" t="str">
        <f>IF(ISBLANK(J563), "", VLOOKUP(C563, 'Info Tipo de Cambio y REM'!$A$24:$B$35, 2, FALSE))</f>
        <v/>
      </c>
      <c r="M563" s="107" t="str">
        <f t="shared" si="2"/>
        <v/>
      </c>
    </row>
    <row r="564">
      <c r="A564" s="102"/>
      <c r="B564" s="43" t="str">
        <f>IF(A564="", "", IFERROR(VLOOKUP(A564, Clasificaciones!A:B, 2, FALSE), "DATO NO CARGADO"))</f>
        <v/>
      </c>
      <c r="C564" s="51"/>
      <c r="D564" s="257"/>
      <c r="E564" s="102"/>
      <c r="F564" s="103"/>
      <c r="G564" s="258"/>
      <c r="I564" s="103"/>
      <c r="K564" s="71"/>
      <c r="L564" s="106" t="str">
        <f>IF(ISBLANK(J564), "", VLOOKUP(C564, 'Info Tipo de Cambio y REM'!$A$24:$B$35, 2, FALSE))</f>
        <v/>
      </c>
      <c r="M564" s="107" t="str">
        <f t="shared" si="2"/>
        <v/>
      </c>
    </row>
    <row r="565">
      <c r="A565" s="102"/>
      <c r="B565" s="43" t="str">
        <f>IF(A565="", "", IFERROR(VLOOKUP(A565, Clasificaciones!A:B, 2, FALSE), "DATO NO CARGADO"))</f>
        <v/>
      </c>
      <c r="C565" s="51"/>
      <c r="D565" s="257"/>
      <c r="E565" s="102"/>
      <c r="F565" s="103"/>
      <c r="G565" s="258"/>
      <c r="I565" s="103"/>
      <c r="K565" s="71"/>
      <c r="L565" s="106" t="str">
        <f>IF(ISBLANK(J565), "", VLOOKUP(C565, 'Info Tipo de Cambio y REM'!$A$24:$B$35, 2, FALSE))</f>
        <v/>
      </c>
      <c r="M565" s="107" t="str">
        <f t="shared" si="2"/>
        <v/>
      </c>
    </row>
    <row r="566">
      <c r="A566" s="102"/>
      <c r="B566" s="43" t="str">
        <f>IF(A566="", "", IFERROR(VLOOKUP(A566, Clasificaciones!A:B, 2, FALSE), "DATO NO CARGADO"))</f>
        <v/>
      </c>
      <c r="C566" s="51"/>
      <c r="D566" s="257"/>
      <c r="E566" s="102"/>
      <c r="F566" s="103"/>
      <c r="G566" s="258"/>
      <c r="I566" s="103"/>
      <c r="K566" s="71"/>
      <c r="L566" s="106" t="str">
        <f>IF(ISBLANK(J566), "", VLOOKUP(C566, 'Info Tipo de Cambio y REM'!$A$24:$B$35, 2, FALSE))</f>
        <v/>
      </c>
      <c r="M566" s="107" t="str">
        <f t="shared" si="2"/>
        <v/>
      </c>
    </row>
    <row r="567">
      <c r="A567" s="102"/>
      <c r="B567" s="43" t="str">
        <f>IF(A567="", "", IFERROR(VLOOKUP(A567, Clasificaciones!A:B, 2, FALSE), "DATO NO CARGADO"))</f>
        <v/>
      </c>
      <c r="C567" s="51"/>
      <c r="D567" s="257"/>
      <c r="E567" s="102"/>
      <c r="F567" s="103"/>
      <c r="G567" s="258"/>
      <c r="I567" s="103"/>
      <c r="K567" s="71"/>
      <c r="L567" s="106" t="str">
        <f>IF(ISBLANK(J567), "", VLOOKUP(C567, 'Info Tipo de Cambio y REM'!$A$24:$B$35, 2, FALSE))</f>
        <v/>
      </c>
      <c r="M567" s="107" t="str">
        <f t="shared" si="2"/>
        <v/>
      </c>
    </row>
    <row r="568">
      <c r="A568" s="102"/>
      <c r="B568" s="43" t="str">
        <f>IF(A568="", "", IFERROR(VLOOKUP(A568, Clasificaciones!A:B, 2, FALSE), "DATO NO CARGADO"))</f>
        <v/>
      </c>
      <c r="C568" s="51"/>
      <c r="D568" s="257"/>
      <c r="E568" s="102"/>
      <c r="F568" s="103"/>
      <c r="G568" s="258"/>
      <c r="I568" s="103"/>
      <c r="K568" s="71"/>
      <c r="L568" s="106" t="str">
        <f>IF(ISBLANK(J568), "", VLOOKUP(C568, 'Info Tipo de Cambio y REM'!$A$24:$B$35, 2, FALSE))</f>
        <v/>
      </c>
      <c r="M568" s="107" t="str">
        <f t="shared" si="2"/>
        <v/>
      </c>
    </row>
    <row r="569">
      <c r="A569" s="102"/>
      <c r="B569" s="43" t="str">
        <f>IF(A569="", "", IFERROR(VLOOKUP(A569, Clasificaciones!A:B, 2, FALSE), "DATO NO CARGADO"))</f>
        <v/>
      </c>
      <c r="C569" s="51"/>
      <c r="D569" s="257"/>
      <c r="E569" s="102"/>
      <c r="F569" s="103"/>
      <c r="G569" s="258"/>
      <c r="I569" s="103"/>
      <c r="K569" s="71"/>
      <c r="L569" s="106" t="str">
        <f>IF(ISBLANK(J569), "", VLOOKUP(C569, 'Info Tipo de Cambio y REM'!$A$24:$B$35, 2, FALSE))</f>
        <v/>
      </c>
      <c r="M569" s="107" t="str">
        <f t="shared" si="2"/>
        <v/>
      </c>
    </row>
    <row r="570">
      <c r="A570" s="102"/>
      <c r="B570" s="43" t="str">
        <f>IF(A570="", "", IFERROR(VLOOKUP(A570, Clasificaciones!A:B, 2, FALSE), "DATO NO CARGADO"))</f>
        <v/>
      </c>
      <c r="C570" s="51"/>
      <c r="D570" s="257"/>
      <c r="E570" s="102"/>
      <c r="F570" s="103"/>
      <c r="G570" s="258"/>
      <c r="I570" s="103"/>
      <c r="K570" s="71"/>
      <c r="L570" s="106" t="str">
        <f>IF(ISBLANK(J570), "", VLOOKUP(C570, 'Info Tipo de Cambio y REM'!$A$24:$B$35, 2, FALSE))</f>
        <v/>
      </c>
      <c r="M570" s="107" t="str">
        <f t="shared" si="2"/>
        <v/>
      </c>
    </row>
    <row r="571">
      <c r="A571" s="102"/>
      <c r="B571" s="43" t="str">
        <f>IF(A571="", "", IFERROR(VLOOKUP(A571, Clasificaciones!A:B, 2, FALSE), "DATO NO CARGADO"))</f>
        <v/>
      </c>
      <c r="C571" s="51"/>
      <c r="D571" s="257"/>
      <c r="E571" s="102"/>
      <c r="F571" s="103"/>
      <c r="G571" s="258"/>
      <c r="I571" s="103"/>
      <c r="K571" s="71"/>
      <c r="L571" s="106" t="str">
        <f>IF(ISBLANK(J571), "", VLOOKUP(C571, 'Info Tipo de Cambio y REM'!$A$24:$B$35, 2, FALSE))</f>
        <v/>
      </c>
      <c r="M571" s="107" t="str">
        <f t="shared" si="2"/>
        <v/>
      </c>
    </row>
    <row r="572">
      <c r="A572" s="102"/>
      <c r="B572" s="43" t="str">
        <f>IF(A572="", "", IFERROR(VLOOKUP(A572, Clasificaciones!A:B, 2, FALSE), "DATO NO CARGADO"))</f>
        <v/>
      </c>
      <c r="C572" s="51"/>
      <c r="D572" s="257"/>
      <c r="E572" s="102"/>
      <c r="F572" s="103"/>
      <c r="G572" s="258"/>
      <c r="I572" s="103"/>
      <c r="K572" s="71"/>
      <c r="L572" s="106" t="str">
        <f>IF(ISBLANK(J572), "", VLOOKUP(C572, 'Info Tipo de Cambio y REM'!$A$24:$B$35, 2, FALSE))</f>
        <v/>
      </c>
      <c r="M572" s="107" t="str">
        <f t="shared" si="2"/>
        <v/>
      </c>
    </row>
    <row r="573">
      <c r="A573" s="102"/>
      <c r="B573" s="43" t="str">
        <f>IF(A573="", "", IFERROR(VLOOKUP(A573, Clasificaciones!A:B, 2, FALSE), "DATO NO CARGADO"))</f>
        <v/>
      </c>
      <c r="C573" s="51"/>
      <c r="D573" s="257"/>
      <c r="E573" s="102"/>
      <c r="F573" s="103"/>
      <c r="G573" s="258"/>
      <c r="I573" s="103"/>
      <c r="K573" s="71"/>
      <c r="L573" s="106" t="str">
        <f>IF(ISBLANK(J573), "", VLOOKUP(C573, 'Info Tipo de Cambio y REM'!$A$24:$B$35, 2, FALSE))</f>
        <v/>
      </c>
      <c r="M573" s="107" t="str">
        <f t="shared" si="2"/>
        <v/>
      </c>
    </row>
    <row r="574">
      <c r="A574" s="102"/>
      <c r="B574" s="43" t="str">
        <f>IF(A574="", "", IFERROR(VLOOKUP(A574, Clasificaciones!A:B, 2, FALSE), "DATO NO CARGADO"))</f>
        <v/>
      </c>
      <c r="C574" s="51"/>
      <c r="D574" s="257"/>
      <c r="E574" s="102"/>
      <c r="F574" s="103"/>
      <c r="G574" s="258"/>
      <c r="I574" s="103"/>
      <c r="K574" s="71"/>
      <c r="L574" s="106" t="str">
        <f>IF(ISBLANK(J574), "", VLOOKUP(C574, 'Info Tipo de Cambio y REM'!$A$24:$B$35, 2, FALSE))</f>
        <v/>
      </c>
      <c r="M574" s="107" t="str">
        <f t="shared" si="2"/>
        <v/>
      </c>
    </row>
    <row r="575">
      <c r="A575" s="102"/>
      <c r="B575" s="43" t="str">
        <f>IF(A575="", "", IFERROR(VLOOKUP(A575, Clasificaciones!A:B, 2, FALSE), "DATO NO CARGADO"))</f>
        <v/>
      </c>
      <c r="C575" s="51"/>
      <c r="D575" s="257"/>
      <c r="E575" s="102"/>
      <c r="F575" s="103"/>
      <c r="G575" s="258"/>
      <c r="I575" s="103"/>
      <c r="K575" s="71"/>
      <c r="L575" s="106" t="str">
        <f>IF(ISBLANK(J575), "", VLOOKUP(C575, 'Info Tipo de Cambio y REM'!$A$24:$B$35, 2, FALSE))</f>
        <v/>
      </c>
      <c r="M575" s="107" t="str">
        <f t="shared" si="2"/>
        <v/>
      </c>
    </row>
    <row r="576">
      <c r="A576" s="102"/>
      <c r="B576" s="43" t="str">
        <f>IF(A576="", "", IFERROR(VLOOKUP(A576, Clasificaciones!A:B, 2, FALSE), "DATO NO CARGADO"))</f>
        <v/>
      </c>
      <c r="C576" s="51"/>
      <c r="D576" s="257"/>
      <c r="E576" s="102"/>
      <c r="F576" s="103"/>
      <c r="G576" s="258"/>
      <c r="I576" s="103"/>
      <c r="K576" s="71"/>
      <c r="L576" s="106" t="str">
        <f>IF(ISBLANK(J576), "", VLOOKUP(C576, 'Info Tipo de Cambio y REM'!$A$24:$B$35, 2, FALSE))</f>
        <v/>
      </c>
      <c r="M576" s="107" t="str">
        <f t="shared" si="2"/>
        <v/>
      </c>
    </row>
    <row r="577">
      <c r="A577" s="102"/>
      <c r="B577" s="43" t="str">
        <f>IF(A577="", "", IFERROR(VLOOKUP(A577, Clasificaciones!A:B, 2, FALSE), "DATO NO CARGADO"))</f>
        <v/>
      </c>
      <c r="C577" s="51"/>
      <c r="D577" s="257"/>
      <c r="E577" s="102"/>
      <c r="F577" s="103"/>
      <c r="G577" s="258"/>
      <c r="I577" s="103"/>
      <c r="K577" s="71"/>
      <c r="L577" s="106" t="str">
        <f>IF(ISBLANK(J577), "", VLOOKUP(C577, 'Info Tipo de Cambio y REM'!$A$24:$B$35, 2, FALSE))</f>
        <v/>
      </c>
      <c r="M577" s="107" t="str">
        <f t="shared" si="2"/>
        <v/>
      </c>
    </row>
    <row r="578">
      <c r="A578" s="102"/>
      <c r="B578" s="43" t="str">
        <f>IF(A578="", "", IFERROR(VLOOKUP(A578, Clasificaciones!A:B, 2, FALSE), "DATO NO CARGADO"))</f>
        <v/>
      </c>
      <c r="C578" s="51"/>
      <c r="D578" s="257"/>
      <c r="E578" s="102"/>
      <c r="F578" s="103"/>
      <c r="G578" s="258"/>
      <c r="I578" s="103"/>
      <c r="K578" s="71"/>
      <c r="L578" s="106" t="str">
        <f>IF(ISBLANK(J578), "", VLOOKUP(C578, 'Info Tipo de Cambio y REM'!$A$24:$B$35, 2, FALSE))</f>
        <v/>
      </c>
      <c r="M578" s="107" t="str">
        <f t="shared" si="2"/>
        <v/>
      </c>
    </row>
    <row r="579">
      <c r="A579" s="102"/>
      <c r="B579" s="43" t="str">
        <f>IF(A579="", "", IFERROR(VLOOKUP(A579, Clasificaciones!A:B, 2, FALSE), "DATO NO CARGADO"))</f>
        <v/>
      </c>
      <c r="C579" s="51"/>
      <c r="D579" s="257"/>
      <c r="E579" s="102"/>
      <c r="F579" s="103"/>
      <c r="G579" s="258"/>
      <c r="I579" s="103"/>
      <c r="K579" s="71"/>
      <c r="L579" s="106" t="str">
        <f>IF(ISBLANK(J579), "", VLOOKUP(C579, 'Info Tipo de Cambio y REM'!$A$24:$B$35, 2, FALSE))</f>
        <v/>
      </c>
      <c r="M579" s="107" t="str">
        <f t="shared" si="2"/>
        <v/>
      </c>
    </row>
    <row r="580">
      <c r="A580" s="102"/>
      <c r="B580" s="43" t="str">
        <f>IF(A580="", "", IFERROR(VLOOKUP(A580, Clasificaciones!A:B, 2, FALSE), "DATO NO CARGADO"))</f>
        <v/>
      </c>
      <c r="C580" s="51"/>
      <c r="D580" s="257"/>
      <c r="E580" s="102"/>
      <c r="F580" s="103"/>
      <c r="G580" s="258"/>
      <c r="I580" s="103"/>
      <c r="K580" s="71"/>
      <c r="L580" s="106" t="str">
        <f>IF(ISBLANK(J580), "", VLOOKUP(C580, 'Info Tipo de Cambio y REM'!$A$24:$B$35, 2, FALSE))</f>
        <v/>
      </c>
      <c r="M580" s="107" t="str">
        <f t="shared" si="2"/>
        <v/>
      </c>
    </row>
    <row r="581">
      <c r="A581" s="102"/>
      <c r="B581" s="43" t="str">
        <f>IF(A581="", "", IFERROR(VLOOKUP(A581, Clasificaciones!A:B, 2, FALSE), "DATO NO CARGADO"))</f>
        <v/>
      </c>
      <c r="C581" s="51"/>
      <c r="D581" s="257"/>
      <c r="E581" s="102"/>
      <c r="F581" s="103"/>
      <c r="G581" s="258"/>
      <c r="I581" s="103"/>
      <c r="K581" s="71"/>
      <c r="L581" s="106" t="str">
        <f>IF(ISBLANK(J581), "", VLOOKUP(C581, 'Info Tipo de Cambio y REM'!$A$24:$B$35, 2, FALSE))</f>
        <v/>
      </c>
      <c r="M581" s="107" t="str">
        <f t="shared" si="2"/>
        <v/>
      </c>
    </row>
    <row r="582">
      <c r="A582" s="102"/>
      <c r="B582" s="43" t="str">
        <f>IF(A582="", "", IFERROR(VLOOKUP(A582, Clasificaciones!A:B, 2, FALSE), "DATO NO CARGADO"))</f>
        <v/>
      </c>
      <c r="C582" s="51"/>
      <c r="D582" s="257"/>
      <c r="E582" s="102"/>
      <c r="F582" s="103"/>
      <c r="G582" s="258"/>
      <c r="I582" s="103"/>
      <c r="K582" s="71"/>
      <c r="L582" s="106" t="str">
        <f>IF(ISBLANK(J582), "", VLOOKUP(C582, 'Info Tipo de Cambio y REM'!$A$24:$B$35, 2, FALSE))</f>
        <v/>
      </c>
      <c r="M582" s="107" t="str">
        <f t="shared" si="2"/>
        <v/>
      </c>
    </row>
    <row r="583">
      <c r="A583" s="102"/>
      <c r="B583" s="43" t="str">
        <f>IF(A583="", "", IFERROR(VLOOKUP(A583, Clasificaciones!A:B, 2, FALSE), "DATO NO CARGADO"))</f>
        <v/>
      </c>
      <c r="C583" s="51"/>
      <c r="D583" s="257"/>
      <c r="E583" s="102"/>
      <c r="F583" s="103"/>
      <c r="G583" s="258"/>
      <c r="I583" s="103"/>
      <c r="K583" s="71"/>
      <c r="L583" s="106" t="str">
        <f>IF(ISBLANK(J583), "", VLOOKUP(C583, 'Info Tipo de Cambio y REM'!$A$24:$B$35, 2, FALSE))</f>
        <v/>
      </c>
      <c r="M583" s="107" t="str">
        <f t="shared" si="2"/>
        <v/>
      </c>
    </row>
    <row r="584">
      <c r="A584" s="102"/>
      <c r="B584" s="43" t="str">
        <f>IF(A584="", "", IFERROR(VLOOKUP(A584, Clasificaciones!A:B, 2, FALSE), "DATO NO CARGADO"))</f>
        <v/>
      </c>
      <c r="C584" s="51"/>
      <c r="D584" s="257"/>
      <c r="E584" s="102"/>
      <c r="F584" s="103"/>
      <c r="G584" s="258"/>
      <c r="I584" s="103"/>
      <c r="K584" s="71"/>
      <c r="L584" s="106" t="str">
        <f>IF(ISBLANK(J584), "", VLOOKUP(C584, 'Info Tipo de Cambio y REM'!$A$24:$B$35, 2, FALSE))</f>
        <v/>
      </c>
      <c r="M584" s="107" t="str">
        <f t="shared" si="2"/>
        <v/>
      </c>
    </row>
    <row r="585">
      <c r="A585" s="102"/>
      <c r="B585" s="43" t="str">
        <f>IF(A585="", "", IFERROR(VLOOKUP(A585, Clasificaciones!A:B, 2, FALSE), "DATO NO CARGADO"))</f>
        <v/>
      </c>
      <c r="C585" s="51"/>
      <c r="D585" s="257"/>
      <c r="E585" s="102"/>
      <c r="F585" s="103"/>
      <c r="G585" s="258"/>
      <c r="I585" s="103"/>
      <c r="K585" s="71"/>
      <c r="L585" s="106" t="str">
        <f>IF(ISBLANK(J585), "", VLOOKUP(C585, 'Info Tipo de Cambio y REM'!$A$24:$B$35, 2, FALSE))</f>
        <v/>
      </c>
      <c r="M585" s="107" t="str">
        <f t="shared" si="2"/>
        <v/>
      </c>
    </row>
    <row r="586">
      <c r="A586" s="102"/>
      <c r="B586" s="43" t="str">
        <f>IF(A586="", "", IFERROR(VLOOKUP(A586, Clasificaciones!A:B, 2, FALSE), "DATO NO CARGADO"))</f>
        <v/>
      </c>
      <c r="C586" s="51"/>
      <c r="D586" s="257"/>
      <c r="E586" s="102"/>
      <c r="F586" s="103"/>
      <c r="G586" s="258"/>
      <c r="I586" s="103"/>
      <c r="K586" s="71"/>
      <c r="L586" s="106" t="str">
        <f>IF(ISBLANK(J586), "", VLOOKUP(C586, 'Info Tipo de Cambio y REM'!$A$24:$B$35, 2, FALSE))</f>
        <v/>
      </c>
      <c r="M586" s="107" t="str">
        <f t="shared" si="2"/>
        <v/>
      </c>
    </row>
    <row r="587">
      <c r="A587" s="102"/>
      <c r="B587" s="43" t="str">
        <f>IF(A587="", "", IFERROR(VLOOKUP(A587, Clasificaciones!A:B, 2, FALSE), "DATO NO CARGADO"))</f>
        <v/>
      </c>
      <c r="C587" s="51"/>
      <c r="D587" s="257"/>
      <c r="E587" s="102"/>
      <c r="F587" s="103"/>
      <c r="G587" s="258"/>
      <c r="I587" s="103"/>
      <c r="K587" s="71"/>
      <c r="L587" s="106" t="str">
        <f>IF(ISBLANK(J587), "", VLOOKUP(C587, 'Info Tipo de Cambio y REM'!$A$24:$B$35, 2, FALSE))</f>
        <v/>
      </c>
      <c r="M587" s="107" t="str">
        <f t="shared" si="2"/>
        <v/>
      </c>
    </row>
    <row r="588">
      <c r="A588" s="102"/>
      <c r="B588" s="43" t="str">
        <f>IF(A588="", "", IFERROR(VLOOKUP(A588, Clasificaciones!A:B, 2, FALSE), "DATO NO CARGADO"))</f>
        <v/>
      </c>
      <c r="C588" s="51"/>
      <c r="D588" s="257"/>
      <c r="E588" s="102"/>
      <c r="F588" s="103"/>
      <c r="G588" s="258"/>
      <c r="I588" s="103"/>
      <c r="K588" s="71"/>
      <c r="L588" s="106" t="str">
        <f>IF(ISBLANK(J588), "", VLOOKUP(C588, 'Info Tipo de Cambio y REM'!$A$24:$B$35, 2, FALSE))</f>
        <v/>
      </c>
      <c r="M588" s="107" t="str">
        <f t="shared" si="2"/>
        <v/>
      </c>
    </row>
    <row r="589">
      <c r="A589" s="102"/>
      <c r="B589" s="43" t="str">
        <f>IF(A589="", "", IFERROR(VLOOKUP(A589, Clasificaciones!A:B, 2, FALSE), "DATO NO CARGADO"))</f>
        <v/>
      </c>
      <c r="C589" s="51"/>
      <c r="D589" s="257"/>
      <c r="E589" s="102"/>
      <c r="F589" s="103"/>
      <c r="G589" s="258"/>
      <c r="I589" s="103"/>
      <c r="K589" s="71"/>
      <c r="L589" s="106" t="str">
        <f>IF(ISBLANK(J589), "", VLOOKUP(C589, 'Info Tipo de Cambio y REM'!$A$24:$B$35, 2, FALSE))</f>
        <v/>
      </c>
      <c r="M589" s="107" t="str">
        <f t="shared" si="2"/>
        <v/>
      </c>
    </row>
    <row r="590">
      <c r="A590" s="102"/>
      <c r="B590" s="43" t="str">
        <f>IF(A590="", "", IFERROR(VLOOKUP(A590, Clasificaciones!A:B, 2, FALSE), "DATO NO CARGADO"))</f>
        <v/>
      </c>
      <c r="C590" s="51"/>
      <c r="D590" s="257"/>
      <c r="E590" s="102"/>
      <c r="F590" s="103"/>
      <c r="G590" s="258"/>
      <c r="I590" s="103"/>
      <c r="K590" s="71"/>
      <c r="L590" s="106" t="str">
        <f>IF(ISBLANK(J590), "", VLOOKUP(C590, 'Info Tipo de Cambio y REM'!$A$24:$B$35, 2, FALSE))</f>
        <v/>
      </c>
      <c r="M590" s="107" t="str">
        <f t="shared" si="2"/>
        <v/>
      </c>
    </row>
    <row r="591">
      <c r="A591" s="102"/>
      <c r="B591" s="43" t="str">
        <f>IF(A591="", "", IFERROR(VLOOKUP(A591, Clasificaciones!A:B, 2, FALSE), "DATO NO CARGADO"))</f>
        <v/>
      </c>
      <c r="C591" s="51"/>
      <c r="D591" s="257"/>
      <c r="E591" s="102"/>
      <c r="F591" s="103"/>
      <c r="G591" s="258"/>
      <c r="I591" s="103"/>
      <c r="K591" s="71"/>
      <c r="L591" s="106" t="str">
        <f>IF(ISBLANK(J591), "", VLOOKUP(C591, 'Info Tipo de Cambio y REM'!$A$24:$B$35, 2, FALSE))</f>
        <v/>
      </c>
      <c r="M591" s="107" t="str">
        <f t="shared" si="2"/>
        <v/>
      </c>
    </row>
    <row r="592">
      <c r="A592" s="102"/>
      <c r="B592" s="43" t="str">
        <f>IF(A592="", "", IFERROR(VLOOKUP(A592, Clasificaciones!A:B, 2, FALSE), "DATO NO CARGADO"))</f>
        <v/>
      </c>
      <c r="C592" s="51"/>
      <c r="D592" s="257"/>
      <c r="E592" s="102"/>
      <c r="F592" s="103"/>
      <c r="G592" s="258"/>
      <c r="I592" s="103"/>
      <c r="K592" s="71"/>
      <c r="L592" s="106" t="str">
        <f>IF(ISBLANK(J592), "", VLOOKUP(C592, 'Info Tipo de Cambio y REM'!$A$24:$B$35, 2, FALSE))</f>
        <v/>
      </c>
      <c r="M592" s="107" t="str">
        <f t="shared" si="2"/>
        <v/>
      </c>
    </row>
    <row r="593">
      <c r="A593" s="102"/>
      <c r="B593" s="43" t="str">
        <f>IF(A593="", "", IFERROR(VLOOKUP(A593, Clasificaciones!A:B, 2, FALSE), "DATO NO CARGADO"))</f>
        <v/>
      </c>
      <c r="C593" s="51"/>
      <c r="D593" s="257"/>
      <c r="E593" s="102"/>
      <c r="F593" s="103"/>
      <c r="G593" s="258"/>
      <c r="I593" s="103"/>
      <c r="K593" s="71"/>
      <c r="L593" s="106" t="str">
        <f>IF(ISBLANK(J593), "", VLOOKUP(C593, 'Info Tipo de Cambio y REM'!$A$24:$B$35, 2, FALSE))</f>
        <v/>
      </c>
      <c r="M593" s="107" t="str">
        <f t="shared" si="2"/>
        <v/>
      </c>
    </row>
    <row r="594">
      <c r="A594" s="102"/>
      <c r="B594" s="43" t="str">
        <f>IF(A594="", "", IFERROR(VLOOKUP(A594, Clasificaciones!A:B, 2, FALSE), "DATO NO CARGADO"))</f>
        <v/>
      </c>
      <c r="C594" s="51"/>
      <c r="D594" s="257"/>
      <c r="E594" s="102"/>
      <c r="F594" s="103"/>
      <c r="G594" s="258"/>
      <c r="I594" s="103"/>
      <c r="K594" s="71"/>
      <c r="L594" s="106" t="str">
        <f>IF(ISBLANK(J594), "", VLOOKUP(C594, 'Info Tipo de Cambio y REM'!$A$24:$B$35, 2, FALSE))</f>
        <v/>
      </c>
      <c r="M594" s="107" t="str">
        <f t="shared" si="2"/>
        <v/>
      </c>
    </row>
    <row r="595">
      <c r="A595" s="102"/>
      <c r="B595" s="43" t="str">
        <f>IF(A595="", "", IFERROR(VLOOKUP(A595, Clasificaciones!A:B, 2, FALSE), "DATO NO CARGADO"))</f>
        <v/>
      </c>
      <c r="C595" s="51"/>
      <c r="D595" s="257"/>
      <c r="E595" s="102"/>
      <c r="F595" s="103"/>
      <c r="G595" s="258"/>
      <c r="I595" s="103"/>
      <c r="K595" s="71"/>
      <c r="L595" s="106" t="str">
        <f>IF(ISBLANK(J595), "", VLOOKUP(C595, 'Info Tipo de Cambio y REM'!$A$24:$B$35, 2, FALSE))</f>
        <v/>
      </c>
      <c r="M595" s="107" t="str">
        <f t="shared" si="2"/>
        <v/>
      </c>
    </row>
    <row r="596">
      <c r="A596" s="102"/>
      <c r="B596" s="43" t="str">
        <f>IF(A596="", "", IFERROR(VLOOKUP(A596, Clasificaciones!A:B, 2, FALSE), "DATO NO CARGADO"))</f>
        <v/>
      </c>
      <c r="C596" s="51"/>
      <c r="D596" s="257"/>
      <c r="E596" s="102"/>
      <c r="F596" s="103"/>
      <c r="G596" s="258"/>
      <c r="I596" s="103"/>
      <c r="K596" s="71"/>
      <c r="L596" s="106" t="str">
        <f>IF(ISBLANK(J596), "", VLOOKUP(C596, 'Info Tipo de Cambio y REM'!$A$24:$B$35, 2, FALSE))</f>
        <v/>
      </c>
      <c r="M596" s="107" t="str">
        <f t="shared" si="2"/>
        <v/>
      </c>
    </row>
    <row r="597">
      <c r="A597" s="102"/>
      <c r="B597" s="43" t="str">
        <f>IF(A597="", "", IFERROR(VLOOKUP(A597, Clasificaciones!A:B, 2, FALSE), "DATO NO CARGADO"))</f>
        <v/>
      </c>
      <c r="C597" s="51"/>
      <c r="D597" s="257"/>
      <c r="E597" s="102"/>
      <c r="F597" s="103"/>
      <c r="G597" s="258"/>
      <c r="I597" s="103"/>
      <c r="K597" s="71"/>
      <c r="L597" s="106" t="str">
        <f>IF(ISBLANK(J597), "", VLOOKUP(C597, 'Info Tipo de Cambio y REM'!$A$24:$B$35, 2, FALSE))</f>
        <v/>
      </c>
      <c r="M597" s="107" t="str">
        <f t="shared" si="2"/>
        <v/>
      </c>
    </row>
    <row r="598">
      <c r="A598" s="102"/>
      <c r="B598" s="43" t="str">
        <f>IF(A598="", "", IFERROR(VLOOKUP(A598, Clasificaciones!A:B, 2, FALSE), "DATO NO CARGADO"))</f>
        <v/>
      </c>
      <c r="C598" s="51"/>
      <c r="D598" s="257"/>
      <c r="E598" s="102"/>
      <c r="F598" s="103"/>
      <c r="G598" s="258"/>
      <c r="I598" s="103"/>
      <c r="K598" s="71"/>
      <c r="L598" s="106" t="str">
        <f>IF(ISBLANK(J598), "", VLOOKUP(C598, 'Info Tipo de Cambio y REM'!$A$24:$B$35, 2, FALSE))</f>
        <v/>
      </c>
      <c r="M598" s="107" t="str">
        <f t="shared" si="2"/>
        <v/>
      </c>
    </row>
    <row r="599">
      <c r="A599" s="102"/>
      <c r="B599" s="43" t="str">
        <f>IF(A599="", "", IFERROR(VLOOKUP(A599, Clasificaciones!A:B, 2, FALSE), "DATO NO CARGADO"))</f>
        <v/>
      </c>
      <c r="C599" s="51"/>
      <c r="D599" s="257"/>
      <c r="E599" s="102"/>
      <c r="F599" s="103"/>
      <c r="G599" s="258"/>
      <c r="I599" s="103"/>
      <c r="K599" s="71"/>
      <c r="L599" s="106" t="str">
        <f>IF(ISBLANK(J599), "", VLOOKUP(C599, 'Info Tipo de Cambio y REM'!$A$24:$B$35, 2, FALSE))</f>
        <v/>
      </c>
      <c r="M599" s="107" t="str">
        <f t="shared" si="2"/>
        <v/>
      </c>
    </row>
    <row r="600">
      <c r="A600" s="102"/>
      <c r="B600" s="43" t="str">
        <f>IF(A600="", "", IFERROR(VLOOKUP(A600, Clasificaciones!A:B, 2, FALSE), "DATO NO CARGADO"))</f>
        <v/>
      </c>
      <c r="C600" s="51"/>
      <c r="D600" s="257"/>
      <c r="E600" s="102"/>
      <c r="F600" s="103"/>
      <c r="G600" s="258"/>
      <c r="I600" s="103"/>
      <c r="K600" s="71"/>
      <c r="L600" s="106" t="str">
        <f>IF(ISBLANK(J600), "", VLOOKUP(C600, 'Info Tipo de Cambio y REM'!$A$24:$B$35, 2, FALSE))</f>
        <v/>
      </c>
      <c r="M600" s="107" t="str">
        <f t="shared" si="2"/>
        <v/>
      </c>
    </row>
    <row r="601">
      <c r="A601" s="102"/>
      <c r="B601" s="43" t="str">
        <f>IF(A601="", "", IFERROR(VLOOKUP(A601, Clasificaciones!A:B, 2, FALSE), "DATO NO CARGADO"))</f>
        <v/>
      </c>
      <c r="C601" s="51"/>
      <c r="D601" s="257"/>
      <c r="E601" s="102"/>
      <c r="F601" s="103"/>
      <c r="G601" s="258"/>
      <c r="I601" s="103"/>
      <c r="K601" s="71"/>
      <c r="L601" s="106" t="str">
        <f>IF(ISBLANK(J601), "", VLOOKUP(C601, 'Info Tipo de Cambio y REM'!$A$24:$B$35, 2, FALSE))</f>
        <v/>
      </c>
      <c r="M601" s="107" t="str">
        <f t="shared" si="2"/>
        <v/>
      </c>
    </row>
    <row r="602">
      <c r="A602" s="102"/>
      <c r="B602" s="43" t="str">
        <f>IF(A602="", "", IFERROR(VLOOKUP(A602, Clasificaciones!A:B, 2, FALSE), "DATO NO CARGADO"))</f>
        <v/>
      </c>
      <c r="C602" s="51"/>
      <c r="D602" s="257"/>
      <c r="E602" s="102"/>
      <c r="F602" s="103"/>
      <c r="G602" s="258"/>
      <c r="I602" s="103"/>
      <c r="K602" s="71"/>
      <c r="L602" s="106" t="str">
        <f>IF(ISBLANK(J602), "", VLOOKUP(C602, 'Info Tipo de Cambio y REM'!$A$24:$B$35, 2, FALSE))</f>
        <v/>
      </c>
      <c r="M602" s="107" t="str">
        <f t="shared" si="2"/>
        <v/>
      </c>
    </row>
    <row r="603">
      <c r="A603" s="102"/>
      <c r="B603" s="43" t="str">
        <f>IF(A603="", "", IFERROR(VLOOKUP(A603, Clasificaciones!A:B, 2, FALSE), "DATO NO CARGADO"))</f>
        <v/>
      </c>
      <c r="C603" s="51"/>
      <c r="D603" s="257"/>
      <c r="E603" s="102"/>
      <c r="F603" s="103"/>
      <c r="G603" s="258"/>
      <c r="I603" s="103"/>
      <c r="K603" s="71"/>
      <c r="L603" s="106" t="str">
        <f>IF(ISBLANK(J603), "", VLOOKUP(C603, 'Info Tipo de Cambio y REM'!$A$24:$B$35, 2, FALSE))</f>
        <v/>
      </c>
      <c r="M603" s="107" t="str">
        <f t="shared" si="2"/>
        <v/>
      </c>
    </row>
    <row r="604">
      <c r="A604" s="102"/>
      <c r="B604" s="43" t="str">
        <f>IF(A604="", "", IFERROR(VLOOKUP(A604, Clasificaciones!A:B, 2, FALSE), "DATO NO CARGADO"))</f>
        <v/>
      </c>
      <c r="C604" s="51"/>
      <c r="D604" s="257"/>
      <c r="E604" s="102"/>
      <c r="F604" s="103"/>
      <c r="G604" s="258"/>
      <c r="I604" s="103"/>
      <c r="K604" s="71"/>
      <c r="L604" s="106" t="str">
        <f>IF(ISBLANK(J604), "", VLOOKUP(C604, 'Info Tipo de Cambio y REM'!$A$24:$B$35, 2, FALSE))</f>
        <v/>
      </c>
      <c r="M604" s="107" t="str">
        <f t="shared" si="2"/>
        <v/>
      </c>
    </row>
    <row r="605">
      <c r="A605" s="102"/>
      <c r="B605" s="43" t="str">
        <f>IF(A605="", "", IFERROR(VLOOKUP(A605, Clasificaciones!A:B, 2, FALSE), "DATO NO CARGADO"))</f>
        <v/>
      </c>
      <c r="C605" s="51"/>
      <c r="D605" s="257"/>
      <c r="E605" s="102"/>
      <c r="F605" s="103"/>
      <c r="G605" s="258"/>
      <c r="I605" s="103"/>
      <c r="K605" s="71"/>
      <c r="L605" s="106" t="str">
        <f>IF(ISBLANK(J605), "", VLOOKUP(C605, 'Info Tipo de Cambio y REM'!$A$24:$B$35, 2, FALSE))</f>
        <v/>
      </c>
      <c r="M605" s="107" t="str">
        <f t="shared" si="2"/>
        <v/>
      </c>
    </row>
    <row r="606">
      <c r="A606" s="102"/>
      <c r="B606" s="43" t="str">
        <f>IF(A606="", "", IFERROR(VLOOKUP(A606, Clasificaciones!A:B, 2, FALSE), "DATO NO CARGADO"))</f>
        <v/>
      </c>
      <c r="C606" s="51"/>
      <c r="D606" s="257"/>
      <c r="E606" s="102"/>
      <c r="F606" s="103"/>
      <c r="G606" s="258"/>
      <c r="I606" s="103"/>
      <c r="K606" s="71"/>
      <c r="L606" s="106" t="str">
        <f>IF(ISBLANK(J606), "", VLOOKUP(C606, 'Info Tipo de Cambio y REM'!$A$24:$B$35, 2, FALSE))</f>
        <v/>
      </c>
      <c r="M606" s="107" t="str">
        <f t="shared" si="2"/>
        <v/>
      </c>
    </row>
    <row r="607">
      <c r="A607" s="102"/>
      <c r="B607" s="43" t="str">
        <f>IF(A607="", "", IFERROR(VLOOKUP(A607, Clasificaciones!A:B, 2, FALSE), "DATO NO CARGADO"))</f>
        <v/>
      </c>
      <c r="C607" s="51"/>
      <c r="D607" s="257"/>
      <c r="E607" s="102"/>
      <c r="F607" s="103"/>
      <c r="G607" s="258"/>
      <c r="I607" s="103"/>
      <c r="K607" s="71"/>
      <c r="L607" s="106" t="str">
        <f>IF(ISBLANK(J607), "", VLOOKUP(C607, 'Info Tipo de Cambio y REM'!$A$24:$B$35, 2, FALSE))</f>
        <v/>
      </c>
      <c r="M607" s="107" t="str">
        <f t="shared" si="2"/>
        <v/>
      </c>
    </row>
    <row r="608">
      <c r="A608" s="102"/>
      <c r="B608" s="43" t="str">
        <f>IF(A608="", "", IFERROR(VLOOKUP(A608, Clasificaciones!A:B, 2, FALSE), "DATO NO CARGADO"))</f>
        <v/>
      </c>
      <c r="C608" s="51"/>
      <c r="D608" s="257"/>
      <c r="E608" s="102"/>
      <c r="F608" s="103"/>
      <c r="G608" s="258"/>
      <c r="I608" s="103"/>
      <c r="K608" s="71"/>
      <c r="L608" s="106" t="str">
        <f>IF(ISBLANK(J608), "", VLOOKUP(C608, 'Info Tipo de Cambio y REM'!$A$24:$B$35, 2, FALSE))</f>
        <v/>
      </c>
      <c r="M608" s="107" t="str">
        <f t="shared" si="2"/>
        <v/>
      </c>
    </row>
    <row r="609">
      <c r="A609" s="102"/>
      <c r="B609" s="43" t="str">
        <f>IF(A609="", "", IFERROR(VLOOKUP(A609, Clasificaciones!A:B, 2, FALSE), "DATO NO CARGADO"))</f>
        <v/>
      </c>
      <c r="C609" s="51"/>
      <c r="D609" s="257"/>
      <c r="E609" s="102"/>
      <c r="F609" s="103"/>
      <c r="G609" s="258"/>
      <c r="I609" s="103"/>
      <c r="K609" s="71"/>
      <c r="L609" s="106" t="str">
        <f>IF(ISBLANK(J609), "", VLOOKUP(C609, 'Info Tipo de Cambio y REM'!$A$24:$B$35, 2, FALSE))</f>
        <v/>
      </c>
      <c r="M609" s="107" t="str">
        <f t="shared" si="2"/>
        <v/>
      </c>
    </row>
    <row r="610">
      <c r="A610" s="102"/>
      <c r="B610" s="43" t="str">
        <f>IF(A610="", "", IFERROR(VLOOKUP(A610, Clasificaciones!A:B, 2, FALSE), "DATO NO CARGADO"))</f>
        <v/>
      </c>
      <c r="C610" s="51"/>
      <c r="D610" s="257"/>
      <c r="E610" s="102"/>
      <c r="F610" s="103"/>
      <c r="G610" s="258"/>
      <c r="I610" s="103"/>
      <c r="K610" s="71"/>
      <c r="L610" s="106" t="str">
        <f>IF(ISBLANK(J610), "", VLOOKUP(C610, 'Info Tipo de Cambio y REM'!$A$24:$B$35, 2, FALSE))</f>
        <v/>
      </c>
      <c r="M610" s="107" t="str">
        <f t="shared" si="2"/>
        <v/>
      </c>
    </row>
    <row r="611">
      <c r="A611" s="102"/>
      <c r="B611" s="43" t="str">
        <f>IF(A611="", "", IFERROR(VLOOKUP(A611, Clasificaciones!A:B, 2, FALSE), "DATO NO CARGADO"))</f>
        <v/>
      </c>
      <c r="C611" s="51"/>
      <c r="D611" s="257"/>
      <c r="E611" s="102"/>
      <c r="F611" s="103"/>
      <c r="G611" s="258"/>
      <c r="I611" s="103"/>
      <c r="K611" s="71"/>
      <c r="L611" s="106" t="str">
        <f>IF(ISBLANK(J611), "", VLOOKUP(C611, 'Info Tipo de Cambio y REM'!$A$24:$B$35, 2, FALSE))</f>
        <v/>
      </c>
      <c r="M611" s="107" t="str">
        <f t="shared" si="2"/>
        <v/>
      </c>
    </row>
    <row r="612">
      <c r="A612" s="102"/>
      <c r="B612" s="43" t="str">
        <f>IF(A612="", "", IFERROR(VLOOKUP(A612, Clasificaciones!A:B, 2, FALSE), "DATO NO CARGADO"))</f>
        <v/>
      </c>
      <c r="C612" s="51"/>
      <c r="D612" s="257"/>
      <c r="E612" s="102"/>
      <c r="F612" s="103"/>
      <c r="G612" s="258"/>
      <c r="I612" s="103"/>
      <c r="K612" s="71"/>
      <c r="L612" s="106" t="str">
        <f>IF(ISBLANK(J612), "", VLOOKUP(C612, 'Info Tipo de Cambio y REM'!$A$24:$B$35, 2, FALSE))</f>
        <v/>
      </c>
      <c r="M612" s="107" t="str">
        <f t="shared" si="2"/>
        <v/>
      </c>
    </row>
    <row r="613">
      <c r="A613" s="102"/>
      <c r="B613" s="43" t="str">
        <f>IF(A613="", "", IFERROR(VLOOKUP(A613, Clasificaciones!A:B, 2, FALSE), "DATO NO CARGADO"))</f>
        <v/>
      </c>
      <c r="C613" s="51"/>
      <c r="D613" s="257"/>
      <c r="E613" s="102"/>
      <c r="F613" s="103"/>
      <c r="G613" s="258"/>
      <c r="I613" s="103"/>
      <c r="K613" s="71"/>
      <c r="L613" s="106" t="str">
        <f>IF(ISBLANK(J613), "", VLOOKUP(C613, 'Info Tipo de Cambio y REM'!$A$24:$B$35, 2, FALSE))</f>
        <v/>
      </c>
      <c r="M613" s="107" t="str">
        <f t="shared" si="2"/>
        <v/>
      </c>
    </row>
    <row r="614">
      <c r="A614" s="102"/>
      <c r="B614" s="43" t="str">
        <f>IF(A614="", "", IFERROR(VLOOKUP(A614, Clasificaciones!A:B, 2, FALSE), "DATO NO CARGADO"))</f>
        <v/>
      </c>
      <c r="C614" s="51"/>
      <c r="D614" s="257"/>
      <c r="E614" s="102"/>
      <c r="F614" s="103"/>
      <c r="G614" s="258"/>
      <c r="I614" s="103"/>
      <c r="K614" s="71"/>
      <c r="L614" s="106" t="str">
        <f>IF(ISBLANK(J614), "", VLOOKUP(C614, 'Info Tipo de Cambio y REM'!$A$24:$B$35, 2, FALSE))</f>
        <v/>
      </c>
      <c r="M614" s="107" t="str">
        <f t="shared" si="2"/>
        <v/>
      </c>
    </row>
    <row r="615">
      <c r="A615" s="102"/>
      <c r="B615" s="43" t="str">
        <f>IF(A615="", "", IFERROR(VLOOKUP(A615, Clasificaciones!A:B, 2, FALSE), "DATO NO CARGADO"))</f>
        <v/>
      </c>
      <c r="C615" s="51"/>
      <c r="D615" s="257"/>
      <c r="E615" s="102"/>
      <c r="F615" s="103"/>
      <c r="G615" s="258"/>
      <c r="I615" s="103"/>
      <c r="K615" s="71"/>
      <c r="L615" s="106" t="str">
        <f>IF(ISBLANK(J615), "", VLOOKUP(C615, 'Info Tipo de Cambio y REM'!$A$24:$B$35, 2, FALSE))</f>
        <v/>
      </c>
      <c r="M615" s="107" t="str">
        <f t="shared" si="2"/>
        <v/>
      </c>
    </row>
    <row r="616">
      <c r="A616" s="102"/>
      <c r="B616" s="43" t="str">
        <f>IF(A616="", "", IFERROR(VLOOKUP(A616, Clasificaciones!A:B, 2, FALSE), "DATO NO CARGADO"))</f>
        <v/>
      </c>
      <c r="C616" s="51"/>
      <c r="D616" s="257"/>
      <c r="E616" s="102"/>
      <c r="F616" s="103"/>
      <c r="G616" s="258"/>
      <c r="I616" s="103"/>
      <c r="K616" s="71"/>
      <c r="L616" s="106" t="str">
        <f>IF(ISBLANK(J616), "", VLOOKUP(C616, 'Info Tipo de Cambio y REM'!$A$24:$B$35, 2, FALSE))</f>
        <v/>
      </c>
      <c r="M616" s="107" t="str">
        <f t="shared" si="2"/>
        <v/>
      </c>
    </row>
    <row r="617">
      <c r="A617" s="102"/>
      <c r="B617" s="43" t="str">
        <f>IF(A617="", "", IFERROR(VLOOKUP(A617, Clasificaciones!A:B, 2, FALSE), "DATO NO CARGADO"))</f>
        <v/>
      </c>
      <c r="C617" s="51"/>
      <c r="D617" s="257"/>
      <c r="E617" s="102"/>
      <c r="F617" s="103"/>
      <c r="G617" s="258"/>
      <c r="I617" s="103"/>
      <c r="K617" s="71"/>
      <c r="L617" s="106" t="str">
        <f>IF(ISBLANK(J617), "", VLOOKUP(C617, 'Info Tipo de Cambio y REM'!$A$24:$B$35, 2, FALSE))</f>
        <v/>
      </c>
      <c r="M617" s="107" t="str">
        <f t="shared" si="2"/>
        <v/>
      </c>
    </row>
    <row r="618">
      <c r="A618" s="102"/>
      <c r="B618" s="43" t="str">
        <f>IF(A618="", "", IFERROR(VLOOKUP(A618, Clasificaciones!A:B, 2, FALSE), "DATO NO CARGADO"))</f>
        <v/>
      </c>
      <c r="C618" s="51"/>
      <c r="D618" s="257"/>
      <c r="E618" s="102"/>
      <c r="F618" s="103"/>
      <c r="G618" s="258"/>
      <c r="I618" s="103"/>
      <c r="K618" s="71"/>
      <c r="L618" s="106" t="str">
        <f>IF(ISBLANK(J618), "", VLOOKUP(C618, 'Info Tipo de Cambio y REM'!$A$24:$B$35, 2, FALSE))</f>
        <v/>
      </c>
      <c r="M618" s="107" t="str">
        <f t="shared" si="2"/>
        <v/>
      </c>
    </row>
    <row r="619">
      <c r="A619" s="102"/>
      <c r="B619" s="43" t="str">
        <f>IF(A619="", "", IFERROR(VLOOKUP(A619, Clasificaciones!A:B, 2, FALSE), "DATO NO CARGADO"))</f>
        <v/>
      </c>
      <c r="C619" s="51"/>
      <c r="D619" s="257"/>
      <c r="E619" s="102"/>
      <c r="F619" s="103"/>
      <c r="G619" s="258"/>
      <c r="I619" s="103"/>
      <c r="K619" s="71"/>
      <c r="L619" s="106" t="str">
        <f>IF(ISBLANK(J619), "", VLOOKUP(C619, 'Info Tipo de Cambio y REM'!$A$24:$B$35, 2, FALSE))</f>
        <v/>
      </c>
      <c r="M619" s="107" t="str">
        <f t="shared" si="2"/>
        <v/>
      </c>
    </row>
    <row r="620">
      <c r="A620" s="102"/>
      <c r="B620" s="43" t="str">
        <f>IF(A620="", "", IFERROR(VLOOKUP(A620, Clasificaciones!A:B, 2, FALSE), "DATO NO CARGADO"))</f>
        <v/>
      </c>
      <c r="C620" s="51"/>
      <c r="D620" s="257"/>
      <c r="E620" s="102"/>
      <c r="F620" s="103"/>
      <c r="G620" s="258"/>
      <c r="I620" s="103"/>
      <c r="K620" s="71"/>
      <c r="L620" s="106" t="str">
        <f>IF(ISBLANK(J620), "", VLOOKUP(C620, 'Info Tipo de Cambio y REM'!$A$24:$B$35, 2, FALSE))</f>
        <v/>
      </c>
      <c r="M620" s="107" t="str">
        <f t="shared" si="2"/>
        <v/>
      </c>
    </row>
    <row r="621">
      <c r="A621" s="102"/>
      <c r="B621" s="43" t="str">
        <f>IF(A621="", "", IFERROR(VLOOKUP(A621, Clasificaciones!A:B, 2, FALSE), "DATO NO CARGADO"))</f>
        <v/>
      </c>
      <c r="C621" s="51"/>
      <c r="D621" s="257"/>
      <c r="E621" s="102"/>
      <c r="F621" s="103"/>
      <c r="G621" s="258"/>
      <c r="I621" s="103"/>
      <c r="K621" s="71"/>
      <c r="L621" s="106" t="str">
        <f>IF(ISBLANK(J621), "", VLOOKUP(C621, 'Info Tipo de Cambio y REM'!$A$24:$B$35, 2, FALSE))</f>
        <v/>
      </c>
      <c r="M621" s="107" t="str">
        <f t="shared" si="2"/>
        <v/>
      </c>
    </row>
    <row r="622">
      <c r="A622" s="102"/>
      <c r="B622" s="43" t="str">
        <f>IF(A622="", "", IFERROR(VLOOKUP(A622, Clasificaciones!A:B, 2, FALSE), "DATO NO CARGADO"))</f>
        <v/>
      </c>
      <c r="C622" s="51"/>
      <c r="D622" s="257"/>
      <c r="E622" s="102"/>
      <c r="F622" s="103"/>
      <c r="G622" s="258"/>
      <c r="I622" s="103"/>
      <c r="K622" s="71"/>
      <c r="L622" s="106" t="str">
        <f>IF(ISBLANK(J622), "", VLOOKUP(C622, 'Info Tipo de Cambio y REM'!$A$24:$B$35, 2, FALSE))</f>
        <v/>
      </c>
      <c r="M622" s="107" t="str">
        <f t="shared" si="2"/>
        <v/>
      </c>
    </row>
    <row r="623">
      <c r="A623" s="102"/>
      <c r="B623" s="43" t="str">
        <f>IF(A623="", "", IFERROR(VLOOKUP(A623, Clasificaciones!A:B, 2, FALSE), "DATO NO CARGADO"))</f>
        <v/>
      </c>
      <c r="C623" s="51"/>
      <c r="D623" s="257"/>
      <c r="E623" s="102"/>
      <c r="F623" s="103"/>
      <c r="G623" s="258"/>
      <c r="I623" s="103"/>
      <c r="K623" s="71"/>
      <c r="L623" s="106" t="str">
        <f>IF(ISBLANK(J623), "", VLOOKUP(C623, 'Info Tipo de Cambio y REM'!$A$24:$B$35, 2, FALSE))</f>
        <v/>
      </c>
      <c r="M623" s="107" t="str">
        <f t="shared" si="2"/>
        <v/>
      </c>
    </row>
    <row r="624">
      <c r="A624" s="102"/>
      <c r="B624" s="43" t="str">
        <f>IF(A624="", "", IFERROR(VLOOKUP(A624, Clasificaciones!A:B, 2, FALSE), "DATO NO CARGADO"))</f>
        <v/>
      </c>
      <c r="C624" s="51"/>
      <c r="D624" s="257"/>
      <c r="E624" s="102"/>
      <c r="F624" s="103"/>
      <c r="G624" s="258"/>
      <c r="I624" s="103"/>
      <c r="K624" s="71"/>
      <c r="L624" s="106" t="str">
        <f>IF(ISBLANK(J624), "", VLOOKUP(C624, 'Info Tipo de Cambio y REM'!$A$24:$B$35, 2, FALSE))</f>
        <v/>
      </c>
      <c r="M624" s="107" t="str">
        <f t="shared" si="2"/>
        <v/>
      </c>
    </row>
    <row r="625">
      <c r="A625" s="102"/>
      <c r="B625" s="43" t="str">
        <f>IF(A625="", "", IFERROR(VLOOKUP(A625, Clasificaciones!A:B, 2, FALSE), "DATO NO CARGADO"))</f>
        <v/>
      </c>
      <c r="C625" s="51"/>
      <c r="D625" s="257"/>
      <c r="E625" s="102"/>
      <c r="F625" s="103"/>
      <c r="G625" s="258"/>
      <c r="I625" s="103"/>
      <c r="K625" s="71"/>
      <c r="L625" s="106" t="str">
        <f>IF(ISBLANK(J625), "", VLOOKUP(C625, 'Info Tipo de Cambio y REM'!$A$24:$B$35, 2, FALSE))</f>
        <v/>
      </c>
      <c r="M625" s="107" t="str">
        <f t="shared" si="2"/>
        <v/>
      </c>
    </row>
    <row r="626">
      <c r="A626" s="102"/>
      <c r="B626" s="43" t="str">
        <f>IF(A626="", "", IFERROR(VLOOKUP(A626, Clasificaciones!A:B, 2, FALSE), "DATO NO CARGADO"))</f>
        <v/>
      </c>
      <c r="C626" s="51"/>
      <c r="D626" s="257"/>
      <c r="E626" s="102"/>
      <c r="F626" s="103"/>
      <c r="G626" s="258"/>
      <c r="I626" s="103"/>
      <c r="K626" s="71"/>
      <c r="L626" s="106" t="str">
        <f>IF(ISBLANK(J626), "", VLOOKUP(C626, 'Info Tipo de Cambio y REM'!$A$24:$B$35, 2, FALSE))</f>
        <v/>
      </c>
      <c r="M626" s="107" t="str">
        <f t="shared" si="2"/>
        <v/>
      </c>
    </row>
    <row r="627">
      <c r="A627" s="102"/>
      <c r="B627" s="43" t="str">
        <f>IF(A627="", "", IFERROR(VLOOKUP(A627, Clasificaciones!A:B, 2, FALSE), "DATO NO CARGADO"))</f>
        <v/>
      </c>
      <c r="C627" s="51"/>
      <c r="D627" s="257"/>
      <c r="E627" s="102"/>
      <c r="F627" s="103"/>
      <c r="G627" s="258"/>
      <c r="I627" s="103"/>
      <c r="K627" s="71"/>
      <c r="L627" s="106" t="str">
        <f>IF(ISBLANK(J627), "", VLOOKUP(C627, 'Info Tipo de Cambio y REM'!$A$24:$B$35, 2, FALSE))</f>
        <v/>
      </c>
      <c r="M627" s="107" t="str">
        <f t="shared" si="2"/>
        <v/>
      </c>
    </row>
    <row r="628">
      <c r="A628" s="102"/>
      <c r="B628" s="43" t="str">
        <f>IF(A628="", "", IFERROR(VLOOKUP(A628, Clasificaciones!A:B, 2, FALSE), "DATO NO CARGADO"))</f>
        <v/>
      </c>
      <c r="C628" s="51"/>
      <c r="D628" s="257"/>
      <c r="E628" s="102"/>
      <c r="F628" s="103"/>
      <c r="G628" s="258"/>
      <c r="I628" s="103"/>
      <c r="K628" s="71"/>
      <c r="L628" s="106" t="str">
        <f>IF(ISBLANK(J628), "", VLOOKUP(C628, 'Info Tipo de Cambio y REM'!$A$24:$B$35, 2, FALSE))</f>
        <v/>
      </c>
      <c r="M628" s="107" t="str">
        <f t="shared" si="2"/>
        <v/>
      </c>
    </row>
    <row r="629">
      <c r="A629" s="102"/>
      <c r="B629" s="43" t="str">
        <f>IF(A629="", "", IFERROR(VLOOKUP(A629, Clasificaciones!A:B, 2, FALSE), "DATO NO CARGADO"))</f>
        <v/>
      </c>
      <c r="C629" s="51"/>
      <c r="D629" s="257"/>
      <c r="E629" s="102"/>
      <c r="F629" s="103"/>
      <c r="G629" s="258"/>
      <c r="I629" s="103"/>
      <c r="K629" s="71"/>
      <c r="L629" s="106" t="str">
        <f>IF(ISBLANK(J629), "", VLOOKUP(C629, 'Info Tipo de Cambio y REM'!$A$24:$B$35, 2, FALSE))</f>
        <v/>
      </c>
      <c r="M629" s="107" t="str">
        <f t="shared" si="2"/>
        <v/>
      </c>
    </row>
    <row r="630">
      <c r="A630" s="102"/>
      <c r="B630" s="43" t="str">
        <f>IF(A630="", "", IFERROR(VLOOKUP(A630, Clasificaciones!A:B, 2, FALSE), "DATO NO CARGADO"))</f>
        <v/>
      </c>
      <c r="C630" s="51"/>
      <c r="D630" s="257"/>
      <c r="E630" s="102"/>
      <c r="F630" s="103"/>
      <c r="G630" s="258"/>
      <c r="I630" s="103"/>
      <c r="K630" s="71"/>
      <c r="L630" s="106" t="str">
        <f>IF(ISBLANK(J630), "", VLOOKUP(C630, 'Info Tipo de Cambio y REM'!$A$24:$B$35, 2, FALSE))</f>
        <v/>
      </c>
      <c r="M630" s="107" t="str">
        <f t="shared" si="2"/>
        <v/>
      </c>
    </row>
    <row r="631">
      <c r="A631" s="102"/>
      <c r="B631" s="43" t="str">
        <f>IF(A631="", "", IFERROR(VLOOKUP(A631, Clasificaciones!A:B, 2, FALSE), "DATO NO CARGADO"))</f>
        <v/>
      </c>
      <c r="C631" s="51"/>
      <c r="D631" s="257"/>
      <c r="E631" s="102"/>
      <c r="F631" s="103"/>
      <c r="G631" s="258"/>
      <c r="I631" s="103"/>
      <c r="K631" s="71"/>
      <c r="L631" s="106" t="str">
        <f>IF(ISBLANK(J631), "", VLOOKUP(C631, 'Info Tipo de Cambio y REM'!$A$24:$B$35, 2, FALSE))</f>
        <v/>
      </c>
      <c r="M631" s="107" t="str">
        <f t="shared" si="2"/>
        <v/>
      </c>
    </row>
    <row r="632">
      <c r="A632" s="102"/>
      <c r="B632" s="43" t="str">
        <f>IF(A632="", "", IFERROR(VLOOKUP(A632, Clasificaciones!A:B, 2, FALSE), "DATO NO CARGADO"))</f>
        <v/>
      </c>
      <c r="C632" s="51"/>
      <c r="D632" s="257"/>
      <c r="E632" s="102"/>
      <c r="F632" s="103"/>
      <c r="G632" s="258"/>
      <c r="I632" s="103"/>
      <c r="K632" s="71"/>
      <c r="L632" s="106" t="str">
        <f>IF(ISBLANK(J632), "", VLOOKUP(C632, 'Info Tipo de Cambio y REM'!$A$24:$B$35, 2, FALSE))</f>
        <v/>
      </c>
      <c r="M632" s="107" t="str">
        <f t="shared" si="2"/>
        <v/>
      </c>
    </row>
    <row r="633">
      <c r="A633" s="102"/>
      <c r="B633" s="43" t="str">
        <f>IF(A633="", "", IFERROR(VLOOKUP(A633, Clasificaciones!A:B, 2, FALSE), "DATO NO CARGADO"))</f>
        <v/>
      </c>
      <c r="C633" s="51"/>
      <c r="D633" s="257"/>
      <c r="E633" s="102"/>
      <c r="F633" s="103"/>
      <c r="G633" s="258"/>
      <c r="I633" s="103"/>
      <c r="K633" s="71"/>
      <c r="L633" s="106" t="str">
        <f>IF(ISBLANK(J633), "", VLOOKUP(C633, 'Info Tipo de Cambio y REM'!$A$24:$B$35, 2, FALSE))</f>
        <v/>
      </c>
      <c r="M633" s="107" t="str">
        <f t="shared" si="2"/>
        <v/>
      </c>
    </row>
    <row r="634">
      <c r="A634" s="102"/>
      <c r="B634" s="43" t="str">
        <f>IF(A634="", "", IFERROR(VLOOKUP(A634, Clasificaciones!A:B, 2, FALSE), "DATO NO CARGADO"))</f>
        <v/>
      </c>
      <c r="C634" s="51"/>
      <c r="D634" s="257"/>
      <c r="E634" s="102"/>
      <c r="F634" s="103"/>
      <c r="G634" s="258"/>
      <c r="I634" s="103"/>
      <c r="K634" s="71"/>
      <c r="L634" s="106" t="str">
        <f>IF(ISBLANK(J634), "", VLOOKUP(C634, 'Info Tipo de Cambio y REM'!$A$24:$B$35, 2, FALSE))</f>
        <v/>
      </c>
      <c r="M634" s="107" t="str">
        <f t="shared" si="2"/>
        <v/>
      </c>
    </row>
    <row r="635">
      <c r="A635" s="102"/>
      <c r="B635" s="43" t="str">
        <f>IF(A635="", "", IFERROR(VLOOKUP(A635, Clasificaciones!A:B, 2, FALSE), "DATO NO CARGADO"))</f>
        <v/>
      </c>
      <c r="C635" s="51"/>
      <c r="D635" s="257"/>
      <c r="E635" s="102"/>
      <c r="F635" s="103"/>
      <c r="G635" s="258"/>
      <c r="I635" s="103"/>
      <c r="K635" s="71"/>
      <c r="L635" s="106" t="str">
        <f>IF(ISBLANK(J635), "", VLOOKUP(C635, 'Info Tipo de Cambio y REM'!$A$24:$B$35, 2, FALSE))</f>
        <v/>
      </c>
      <c r="M635" s="107" t="str">
        <f t="shared" si="2"/>
        <v/>
      </c>
    </row>
    <row r="636">
      <c r="A636" s="102"/>
      <c r="B636" s="43" t="str">
        <f>IF(A636="", "", IFERROR(VLOOKUP(A636, Clasificaciones!A:B, 2, FALSE), "DATO NO CARGADO"))</f>
        <v/>
      </c>
      <c r="C636" s="51"/>
      <c r="D636" s="257"/>
      <c r="E636" s="102"/>
      <c r="F636" s="103"/>
      <c r="G636" s="258"/>
      <c r="I636" s="103"/>
      <c r="K636" s="71"/>
      <c r="L636" s="106" t="str">
        <f>IF(ISBLANK(J636), "", VLOOKUP(C636, 'Info Tipo de Cambio y REM'!$A$24:$B$35, 2, FALSE))</f>
        <v/>
      </c>
      <c r="M636" s="107" t="str">
        <f t="shared" si="2"/>
        <v/>
      </c>
    </row>
    <row r="637">
      <c r="A637" s="102"/>
      <c r="B637" s="43" t="str">
        <f>IF(A637="", "", IFERROR(VLOOKUP(A637, Clasificaciones!A:B, 2, FALSE), "DATO NO CARGADO"))</f>
        <v/>
      </c>
      <c r="C637" s="51"/>
      <c r="D637" s="257"/>
      <c r="E637" s="102"/>
      <c r="F637" s="103"/>
      <c r="G637" s="258"/>
      <c r="I637" s="103"/>
      <c r="K637" s="71"/>
      <c r="L637" s="106" t="str">
        <f>IF(ISBLANK(J637), "", VLOOKUP(C637, 'Info Tipo de Cambio y REM'!$A$24:$B$35, 2, FALSE))</f>
        <v/>
      </c>
      <c r="M637" s="107" t="str">
        <f t="shared" si="2"/>
        <v/>
      </c>
    </row>
    <row r="638">
      <c r="A638" s="102"/>
      <c r="B638" s="43" t="str">
        <f>IF(A638="", "", IFERROR(VLOOKUP(A638, Clasificaciones!A:B, 2, FALSE), "DATO NO CARGADO"))</f>
        <v/>
      </c>
      <c r="C638" s="51"/>
      <c r="D638" s="257"/>
      <c r="E638" s="102"/>
      <c r="F638" s="103"/>
      <c r="G638" s="258"/>
      <c r="I638" s="103"/>
      <c r="K638" s="71"/>
      <c r="L638" s="106" t="str">
        <f>IF(ISBLANK(J638), "", VLOOKUP(C638, 'Info Tipo de Cambio y REM'!$A$24:$B$35, 2, FALSE))</f>
        <v/>
      </c>
      <c r="M638" s="107" t="str">
        <f t="shared" si="2"/>
        <v/>
      </c>
    </row>
    <row r="639">
      <c r="A639" s="102"/>
      <c r="B639" s="43" t="str">
        <f>IF(A639="", "", IFERROR(VLOOKUP(A639, Clasificaciones!A:B, 2, FALSE), "DATO NO CARGADO"))</f>
        <v/>
      </c>
      <c r="C639" s="51"/>
      <c r="D639" s="257"/>
      <c r="E639" s="102"/>
      <c r="F639" s="103"/>
      <c r="G639" s="258"/>
      <c r="I639" s="103"/>
      <c r="K639" s="71"/>
      <c r="L639" s="106" t="str">
        <f>IF(ISBLANK(J639), "", VLOOKUP(C639, 'Info Tipo de Cambio y REM'!$A$24:$B$35, 2, FALSE))</f>
        <v/>
      </c>
      <c r="M639" s="107" t="str">
        <f t="shared" si="2"/>
        <v/>
      </c>
    </row>
    <row r="640">
      <c r="A640" s="102"/>
      <c r="B640" s="43" t="str">
        <f>IF(A640="", "", IFERROR(VLOOKUP(A640, Clasificaciones!A:B, 2, FALSE), "DATO NO CARGADO"))</f>
        <v/>
      </c>
      <c r="C640" s="51"/>
      <c r="D640" s="257"/>
      <c r="E640" s="102"/>
      <c r="F640" s="103"/>
      <c r="G640" s="258"/>
      <c r="I640" s="103"/>
      <c r="K640" s="71"/>
      <c r="L640" s="106" t="str">
        <f>IF(ISBLANK(J640), "", VLOOKUP(C640, 'Info Tipo de Cambio y REM'!$A$24:$B$35, 2, FALSE))</f>
        <v/>
      </c>
      <c r="M640" s="107" t="str">
        <f t="shared" si="2"/>
        <v/>
      </c>
    </row>
    <row r="641">
      <c r="A641" s="102"/>
      <c r="B641" s="43" t="str">
        <f>IF(A641="", "", IFERROR(VLOOKUP(A641, Clasificaciones!A:B, 2, FALSE), "DATO NO CARGADO"))</f>
        <v/>
      </c>
      <c r="C641" s="51"/>
      <c r="D641" s="257"/>
      <c r="E641" s="102"/>
      <c r="F641" s="103"/>
      <c r="G641" s="258"/>
      <c r="I641" s="103"/>
      <c r="K641" s="71"/>
      <c r="L641" s="106" t="str">
        <f>IF(ISBLANK(J641), "", VLOOKUP(C641, 'Info Tipo de Cambio y REM'!$A$24:$B$35, 2, FALSE))</f>
        <v/>
      </c>
      <c r="M641" s="107" t="str">
        <f t="shared" si="2"/>
        <v/>
      </c>
    </row>
    <row r="642">
      <c r="A642" s="102"/>
      <c r="B642" s="43" t="str">
        <f>IF(A642="", "", IFERROR(VLOOKUP(A642, Clasificaciones!A:B, 2, FALSE), "DATO NO CARGADO"))</f>
        <v/>
      </c>
      <c r="C642" s="51"/>
      <c r="D642" s="257"/>
      <c r="E642" s="102"/>
      <c r="F642" s="103"/>
      <c r="G642" s="258"/>
      <c r="I642" s="103"/>
      <c r="K642" s="71"/>
      <c r="L642" s="106" t="str">
        <f>IF(ISBLANK(J642), "", VLOOKUP(C642, 'Info Tipo de Cambio y REM'!$A$24:$B$35, 2, FALSE))</f>
        <v/>
      </c>
      <c r="M642" s="107" t="str">
        <f t="shared" si="2"/>
        <v/>
      </c>
    </row>
    <row r="643">
      <c r="A643" s="102"/>
      <c r="B643" s="43" t="str">
        <f>IF(A643="", "", IFERROR(VLOOKUP(A643, Clasificaciones!A:B, 2, FALSE), "DATO NO CARGADO"))</f>
        <v/>
      </c>
      <c r="C643" s="51"/>
      <c r="D643" s="257"/>
      <c r="E643" s="102"/>
      <c r="F643" s="103"/>
      <c r="G643" s="258"/>
      <c r="I643" s="103"/>
      <c r="K643" s="71"/>
      <c r="L643" s="106" t="str">
        <f>IF(ISBLANK(J643), "", VLOOKUP(C643, 'Info Tipo de Cambio y REM'!$A$24:$B$35, 2, FALSE))</f>
        <v/>
      </c>
      <c r="M643" s="107" t="str">
        <f t="shared" si="2"/>
        <v/>
      </c>
    </row>
    <row r="644">
      <c r="A644" s="102"/>
      <c r="B644" s="43" t="str">
        <f>IF(A644="", "", IFERROR(VLOOKUP(A644, Clasificaciones!A:B, 2, FALSE), "DATO NO CARGADO"))</f>
        <v/>
      </c>
      <c r="C644" s="51"/>
      <c r="D644" s="257"/>
      <c r="E644" s="102"/>
      <c r="F644" s="103"/>
      <c r="G644" s="258"/>
      <c r="I644" s="103"/>
      <c r="K644" s="71"/>
      <c r="L644" s="106" t="str">
        <f>IF(ISBLANK(J644), "", VLOOKUP(C644, 'Info Tipo de Cambio y REM'!$A$24:$B$35, 2, FALSE))</f>
        <v/>
      </c>
      <c r="M644" s="107" t="str">
        <f t="shared" si="2"/>
        <v/>
      </c>
    </row>
    <row r="645">
      <c r="A645" s="102"/>
      <c r="B645" s="43" t="str">
        <f>IF(A645="", "", IFERROR(VLOOKUP(A645, Clasificaciones!A:B, 2, FALSE), "DATO NO CARGADO"))</f>
        <v/>
      </c>
      <c r="C645" s="51"/>
      <c r="D645" s="257"/>
      <c r="E645" s="102"/>
      <c r="F645" s="103"/>
      <c r="G645" s="258"/>
      <c r="I645" s="103"/>
      <c r="K645" s="71"/>
      <c r="L645" s="106" t="str">
        <f>IF(ISBLANK(J645), "", VLOOKUP(C645, 'Info Tipo de Cambio y REM'!$A$24:$B$35, 2, FALSE))</f>
        <v/>
      </c>
      <c r="M645" s="107" t="str">
        <f t="shared" si="2"/>
        <v/>
      </c>
    </row>
    <row r="646">
      <c r="A646" s="102"/>
      <c r="B646" s="43" t="str">
        <f>IF(A646="", "", IFERROR(VLOOKUP(A646, Clasificaciones!A:B, 2, FALSE), "DATO NO CARGADO"))</f>
        <v/>
      </c>
      <c r="C646" s="51"/>
      <c r="D646" s="257"/>
      <c r="E646" s="102"/>
      <c r="F646" s="103"/>
      <c r="G646" s="258"/>
      <c r="I646" s="103"/>
      <c r="K646" s="71"/>
      <c r="L646" s="106" t="str">
        <f>IF(ISBLANK(J646), "", VLOOKUP(C646, 'Info Tipo de Cambio y REM'!$A$24:$B$35, 2, FALSE))</f>
        <v/>
      </c>
      <c r="M646" s="107" t="str">
        <f t="shared" si="2"/>
        <v/>
      </c>
    </row>
    <row r="647">
      <c r="A647" s="102"/>
      <c r="B647" s="43" t="str">
        <f>IF(A647="", "", IFERROR(VLOOKUP(A647, Clasificaciones!A:B, 2, FALSE), "DATO NO CARGADO"))</f>
        <v/>
      </c>
      <c r="C647" s="51"/>
      <c r="D647" s="257"/>
      <c r="E647" s="102"/>
      <c r="F647" s="103"/>
      <c r="G647" s="258"/>
      <c r="I647" s="103"/>
      <c r="K647" s="71"/>
      <c r="L647" s="106" t="str">
        <f>IF(ISBLANK(J647), "", VLOOKUP(C647, 'Info Tipo de Cambio y REM'!$A$24:$B$35, 2, FALSE))</f>
        <v/>
      </c>
      <c r="M647" s="107" t="str">
        <f t="shared" si="2"/>
        <v/>
      </c>
    </row>
    <row r="648">
      <c r="A648" s="102"/>
      <c r="B648" s="43" t="str">
        <f>IF(A648="", "", IFERROR(VLOOKUP(A648, Clasificaciones!A:B, 2, FALSE), "DATO NO CARGADO"))</f>
        <v/>
      </c>
      <c r="C648" s="51"/>
      <c r="D648" s="257"/>
      <c r="E648" s="102"/>
      <c r="F648" s="103"/>
      <c r="G648" s="258"/>
      <c r="I648" s="103"/>
      <c r="K648" s="71"/>
      <c r="L648" s="106" t="str">
        <f>IF(ISBLANK(J648), "", VLOOKUP(C648, 'Info Tipo de Cambio y REM'!$A$24:$B$35, 2, FALSE))</f>
        <v/>
      </c>
      <c r="M648" s="107" t="str">
        <f t="shared" si="2"/>
        <v/>
      </c>
    </row>
    <row r="649">
      <c r="A649" s="102"/>
      <c r="B649" s="43" t="str">
        <f>IF(A649="", "", IFERROR(VLOOKUP(A649, Clasificaciones!A:B, 2, FALSE), "DATO NO CARGADO"))</f>
        <v/>
      </c>
      <c r="C649" s="51"/>
      <c r="D649" s="257"/>
      <c r="E649" s="102"/>
      <c r="F649" s="103"/>
      <c r="G649" s="258"/>
      <c r="I649" s="103"/>
      <c r="K649" s="71"/>
      <c r="L649" s="106" t="str">
        <f>IF(ISBLANK(J649), "", VLOOKUP(C649, 'Info Tipo de Cambio y REM'!$A$24:$B$35, 2, FALSE))</f>
        <v/>
      </c>
      <c r="M649" s="107" t="str">
        <f t="shared" si="2"/>
        <v/>
      </c>
    </row>
    <row r="650">
      <c r="A650" s="102"/>
      <c r="B650" s="43" t="str">
        <f>IF(A650="", "", IFERROR(VLOOKUP(A650, Clasificaciones!A:B, 2, FALSE), "DATO NO CARGADO"))</f>
        <v/>
      </c>
      <c r="C650" s="51"/>
      <c r="D650" s="257"/>
      <c r="E650" s="102"/>
      <c r="F650" s="103"/>
      <c r="G650" s="258"/>
      <c r="I650" s="103"/>
      <c r="K650" s="71"/>
      <c r="L650" s="106" t="str">
        <f>IF(ISBLANK(J650), "", VLOOKUP(C650, 'Info Tipo de Cambio y REM'!$A$24:$B$35, 2, FALSE))</f>
        <v/>
      </c>
      <c r="M650" s="107" t="str">
        <f t="shared" si="2"/>
        <v/>
      </c>
    </row>
    <row r="651">
      <c r="A651" s="102"/>
      <c r="B651" s="43" t="str">
        <f>IF(A651="", "", IFERROR(VLOOKUP(A651, Clasificaciones!A:B, 2, FALSE), "DATO NO CARGADO"))</f>
        <v/>
      </c>
      <c r="C651" s="51"/>
      <c r="D651" s="257"/>
      <c r="E651" s="102"/>
      <c r="F651" s="103"/>
      <c r="G651" s="258"/>
      <c r="I651" s="103"/>
      <c r="K651" s="71"/>
      <c r="L651" s="106" t="str">
        <f>IF(ISBLANK(J651), "", VLOOKUP(C651, 'Info Tipo de Cambio y REM'!$A$24:$B$35, 2, FALSE))</f>
        <v/>
      </c>
      <c r="M651" s="107" t="str">
        <f t="shared" si="2"/>
        <v/>
      </c>
    </row>
    <row r="652">
      <c r="A652" s="102"/>
      <c r="B652" s="43" t="str">
        <f>IF(A652="", "", IFERROR(VLOOKUP(A652, Clasificaciones!A:B, 2, FALSE), "DATO NO CARGADO"))</f>
        <v/>
      </c>
      <c r="C652" s="51"/>
      <c r="D652" s="257"/>
      <c r="E652" s="102"/>
      <c r="F652" s="103"/>
      <c r="G652" s="258"/>
      <c r="I652" s="103"/>
      <c r="K652" s="71"/>
      <c r="L652" s="106" t="str">
        <f>IF(ISBLANK(J652), "", VLOOKUP(C652, 'Info Tipo de Cambio y REM'!$A$24:$B$35, 2, FALSE))</f>
        <v/>
      </c>
      <c r="M652" s="107" t="str">
        <f t="shared" si="2"/>
        <v/>
      </c>
    </row>
    <row r="653">
      <c r="A653" s="102"/>
      <c r="B653" s="43" t="str">
        <f>IF(A653="", "", IFERROR(VLOOKUP(A653, Clasificaciones!A:B, 2, FALSE), "DATO NO CARGADO"))</f>
        <v/>
      </c>
      <c r="C653" s="51"/>
      <c r="D653" s="257"/>
      <c r="E653" s="102"/>
      <c r="F653" s="103"/>
      <c r="G653" s="258"/>
      <c r="I653" s="103"/>
      <c r="K653" s="71"/>
      <c r="L653" s="106" t="str">
        <f>IF(ISBLANK(J653), "", VLOOKUP(C653, 'Info Tipo de Cambio y REM'!$A$24:$B$35, 2, FALSE))</f>
        <v/>
      </c>
      <c r="M653" s="107" t="str">
        <f t="shared" si="2"/>
        <v/>
      </c>
    </row>
    <row r="654">
      <c r="A654" s="102"/>
      <c r="B654" s="43" t="str">
        <f>IF(A654="", "", IFERROR(VLOOKUP(A654, Clasificaciones!A:B, 2, FALSE), "DATO NO CARGADO"))</f>
        <v/>
      </c>
      <c r="C654" s="51"/>
      <c r="D654" s="257"/>
      <c r="E654" s="102"/>
      <c r="F654" s="103"/>
      <c r="G654" s="258"/>
      <c r="I654" s="103"/>
      <c r="K654" s="71"/>
      <c r="L654" s="106" t="str">
        <f>IF(ISBLANK(J654), "", VLOOKUP(C654, 'Info Tipo de Cambio y REM'!$A$24:$B$35, 2, FALSE))</f>
        <v/>
      </c>
      <c r="M654" s="107" t="str">
        <f t="shared" si="2"/>
        <v/>
      </c>
    </row>
    <row r="655">
      <c r="A655" s="102"/>
      <c r="B655" s="43" t="str">
        <f>IF(A655="", "", IFERROR(VLOOKUP(A655, Clasificaciones!A:B, 2, FALSE), "DATO NO CARGADO"))</f>
        <v/>
      </c>
      <c r="C655" s="51"/>
      <c r="D655" s="257"/>
      <c r="E655" s="102"/>
      <c r="F655" s="103"/>
      <c r="G655" s="258"/>
      <c r="I655" s="103"/>
      <c r="K655" s="71"/>
      <c r="L655" s="106" t="str">
        <f>IF(ISBLANK(J655), "", VLOOKUP(C655, 'Info Tipo de Cambio y REM'!$A$24:$B$35, 2, FALSE))</f>
        <v/>
      </c>
      <c r="M655" s="107" t="str">
        <f t="shared" si="2"/>
        <v/>
      </c>
    </row>
    <row r="656">
      <c r="A656" s="102"/>
      <c r="B656" s="43" t="str">
        <f>IF(A656="", "", IFERROR(VLOOKUP(A656, Clasificaciones!A:B, 2, FALSE), "DATO NO CARGADO"))</f>
        <v/>
      </c>
      <c r="C656" s="51"/>
      <c r="D656" s="257"/>
      <c r="E656" s="102"/>
      <c r="F656" s="103"/>
      <c r="G656" s="258"/>
      <c r="I656" s="103"/>
      <c r="K656" s="71"/>
      <c r="L656" s="106" t="str">
        <f>IF(ISBLANK(J656), "", VLOOKUP(C656, 'Info Tipo de Cambio y REM'!$A$24:$B$35, 2, FALSE))</f>
        <v/>
      </c>
      <c r="M656" s="107" t="str">
        <f t="shared" si="2"/>
        <v/>
      </c>
    </row>
    <row r="657">
      <c r="A657" s="102"/>
      <c r="B657" s="43" t="str">
        <f>IF(A657="", "", IFERROR(VLOOKUP(A657, Clasificaciones!A:B, 2, FALSE), "DATO NO CARGADO"))</f>
        <v/>
      </c>
      <c r="C657" s="51"/>
      <c r="D657" s="257"/>
      <c r="E657" s="102"/>
      <c r="F657" s="103"/>
      <c r="G657" s="258"/>
      <c r="I657" s="103"/>
      <c r="K657" s="71"/>
      <c r="L657" s="106" t="str">
        <f>IF(ISBLANK(J657), "", VLOOKUP(C657, 'Info Tipo de Cambio y REM'!$A$24:$B$35, 2, FALSE))</f>
        <v/>
      </c>
      <c r="M657" s="107" t="str">
        <f t="shared" si="2"/>
        <v/>
      </c>
    </row>
    <row r="658">
      <c r="A658" s="102"/>
      <c r="B658" s="43" t="str">
        <f>IF(A658="", "", IFERROR(VLOOKUP(A658, Clasificaciones!A:B, 2, FALSE), "DATO NO CARGADO"))</f>
        <v/>
      </c>
      <c r="C658" s="51"/>
      <c r="D658" s="257"/>
      <c r="E658" s="102"/>
      <c r="F658" s="103"/>
      <c r="G658" s="258"/>
      <c r="I658" s="103"/>
      <c r="K658" s="71"/>
      <c r="L658" s="106" t="str">
        <f>IF(ISBLANK(J658), "", VLOOKUP(C658, 'Info Tipo de Cambio y REM'!$A$24:$B$35, 2, FALSE))</f>
        <v/>
      </c>
      <c r="M658" s="107" t="str">
        <f t="shared" si="2"/>
        <v/>
      </c>
    </row>
    <row r="659">
      <c r="A659" s="102"/>
      <c r="B659" s="43" t="str">
        <f>IF(A659="", "", IFERROR(VLOOKUP(A659, Clasificaciones!A:B, 2, FALSE), "DATO NO CARGADO"))</f>
        <v/>
      </c>
      <c r="C659" s="51"/>
      <c r="D659" s="257"/>
      <c r="E659" s="102"/>
      <c r="F659" s="103"/>
      <c r="G659" s="258"/>
      <c r="I659" s="103"/>
      <c r="K659" s="71"/>
      <c r="L659" s="106" t="str">
        <f>IF(ISBLANK(J659), "", VLOOKUP(C659, 'Info Tipo de Cambio y REM'!$A$24:$B$35, 2, FALSE))</f>
        <v/>
      </c>
      <c r="M659" s="107" t="str">
        <f t="shared" si="2"/>
        <v/>
      </c>
    </row>
    <row r="660">
      <c r="A660" s="102"/>
      <c r="B660" s="43" t="str">
        <f>IF(A660="", "", IFERROR(VLOOKUP(A660, Clasificaciones!A:B, 2, FALSE), "DATO NO CARGADO"))</f>
        <v/>
      </c>
      <c r="C660" s="51"/>
      <c r="D660" s="257"/>
      <c r="E660" s="102"/>
      <c r="F660" s="103"/>
      <c r="G660" s="258"/>
      <c r="I660" s="103"/>
      <c r="K660" s="71"/>
      <c r="L660" s="106" t="str">
        <f>IF(ISBLANK(J660), "", VLOOKUP(C660, 'Info Tipo de Cambio y REM'!$A$24:$B$35, 2, FALSE))</f>
        <v/>
      </c>
      <c r="M660" s="107" t="str">
        <f t="shared" si="2"/>
        <v/>
      </c>
    </row>
    <row r="661">
      <c r="A661" s="102"/>
      <c r="B661" s="43" t="str">
        <f>IF(A661="", "", IFERROR(VLOOKUP(A661, Clasificaciones!A:B, 2, FALSE), "DATO NO CARGADO"))</f>
        <v/>
      </c>
      <c r="C661" s="51"/>
      <c r="D661" s="257"/>
      <c r="E661" s="102"/>
      <c r="F661" s="103"/>
      <c r="G661" s="258"/>
      <c r="I661" s="103"/>
      <c r="K661" s="71"/>
      <c r="L661" s="106" t="str">
        <f>IF(ISBLANK(J661), "", VLOOKUP(C661, 'Info Tipo de Cambio y REM'!$A$24:$B$35, 2, FALSE))</f>
        <v/>
      </c>
      <c r="M661" s="107" t="str">
        <f t="shared" si="2"/>
        <v/>
      </c>
    </row>
    <row r="662">
      <c r="A662" s="102"/>
      <c r="B662" s="43" t="str">
        <f>IF(A662="", "", IFERROR(VLOOKUP(A662, Clasificaciones!A:B, 2, FALSE), "DATO NO CARGADO"))</f>
        <v/>
      </c>
      <c r="C662" s="51"/>
      <c r="D662" s="257"/>
      <c r="E662" s="102"/>
      <c r="F662" s="103"/>
      <c r="G662" s="258"/>
      <c r="I662" s="103"/>
      <c r="K662" s="71"/>
      <c r="L662" s="106" t="str">
        <f>IF(ISBLANK(J662), "", VLOOKUP(C662, 'Info Tipo de Cambio y REM'!$A$24:$B$35, 2, FALSE))</f>
        <v/>
      </c>
      <c r="M662" s="107" t="str">
        <f t="shared" si="2"/>
        <v/>
      </c>
    </row>
    <row r="663">
      <c r="A663" s="102"/>
      <c r="B663" s="43" t="str">
        <f>IF(A663="", "", IFERROR(VLOOKUP(A663, Clasificaciones!A:B, 2, FALSE), "DATO NO CARGADO"))</f>
        <v/>
      </c>
      <c r="C663" s="51"/>
      <c r="D663" s="257"/>
      <c r="E663" s="102"/>
      <c r="F663" s="103"/>
      <c r="G663" s="258"/>
      <c r="I663" s="103"/>
      <c r="K663" s="71"/>
      <c r="L663" s="106" t="str">
        <f>IF(ISBLANK(J663), "", VLOOKUP(C663, 'Info Tipo de Cambio y REM'!$A$24:$B$35, 2, FALSE))</f>
        <v/>
      </c>
      <c r="M663" s="107" t="str">
        <f t="shared" si="2"/>
        <v/>
      </c>
    </row>
    <row r="664">
      <c r="A664" s="102"/>
      <c r="B664" s="43" t="str">
        <f>IF(A664="", "", IFERROR(VLOOKUP(A664, Clasificaciones!A:B, 2, FALSE), "DATO NO CARGADO"))</f>
        <v/>
      </c>
      <c r="C664" s="51"/>
      <c r="D664" s="257"/>
      <c r="E664" s="102"/>
      <c r="F664" s="103"/>
      <c r="G664" s="258"/>
      <c r="I664" s="103"/>
      <c r="K664" s="71"/>
      <c r="L664" s="106" t="str">
        <f>IF(ISBLANK(J664), "", VLOOKUP(C664, 'Info Tipo de Cambio y REM'!$A$24:$B$35, 2, FALSE))</f>
        <v/>
      </c>
      <c r="M664" s="107" t="str">
        <f t="shared" si="2"/>
        <v/>
      </c>
    </row>
    <row r="665">
      <c r="A665" s="102"/>
      <c r="B665" s="43" t="str">
        <f>IF(A665="", "", IFERROR(VLOOKUP(A665, Clasificaciones!A:B, 2, FALSE), "DATO NO CARGADO"))</f>
        <v/>
      </c>
      <c r="C665" s="51"/>
      <c r="D665" s="257"/>
      <c r="E665" s="102"/>
      <c r="F665" s="103"/>
      <c r="G665" s="258"/>
      <c r="I665" s="103"/>
      <c r="K665" s="71"/>
      <c r="L665" s="106" t="str">
        <f>IF(ISBLANK(J665), "", VLOOKUP(C665, 'Info Tipo de Cambio y REM'!$A$24:$B$35, 2, FALSE))</f>
        <v/>
      </c>
      <c r="M665" s="107" t="str">
        <f t="shared" si="2"/>
        <v/>
      </c>
    </row>
    <row r="666">
      <c r="A666" s="102"/>
      <c r="B666" s="43" t="str">
        <f>IF(A666="", "", IFERROR(VLOOKUP(A666, Clasificaciones!A:B, 2, FALSE), "DATO NO CARGADO"))</f>
        <v/>
      </c>
      <c r="C666" s="51"/>
      <c r="D666" s="257"/>
      <c r="E666" s="102"/>
      <c r="F666" s="103"/>
      <c r="G666" s="258"/>
      <c r="I666" s="103"/>
      <c r="K666" s="71"/>
      <c r="L666" s="106" t="str">
        <f>IF(ISBLANK(J666), "", VLOOKUP(C666, 'Info Tipo de Cambio y REM'!$A$24:$B$35, 2, FALSE))</f>
        <v/>
      </c>
      <c r="M666" s="107" t="str">
        <f t="shared" si="2"/>
        <v/>
      </c>
    </row>
    <row r="667">
      <c r="A667" s="102"/>
      <c r="B667" s="43" t="str">
        <f>IF(A667="", "", IFERROR(VLOOKUP(A667, Clasificaciones!A:B, 2, FALSE), "DATO NO CARGADO"))</f>
        <v/>
      </c>
      <c r="C667" s="51"/>
      <c r="D667" s="257"/>
      <c r="E667" s="102"/>
      <c r="F667" s="103"/>
      <c r="G667" s="258"/>
      <c r="I667" s="103"/>
      <c r="K667" s="71"/>
      <c r="L667" s="106" t="str">
        <f>IF(ISBLANK(J667), "", VLOOKUP(C667, 'Info Tipo de Cambio y REM'!$A$24:$B$35, 2, FALSE))</f>
        <v/>
      </c>
      <c r="M667" s="107" t="str">
        <f t="shared" si="2"/>
        <v/>
      </c>
    </row>
    <row r="668">
      <c r="A668" s="102"/>
      <c r="B668" s="43" t="str">
        <f>IF(A668="", "", IFERROR(VLOOKUP(A668, Clasificaciones!A:B, 2, FALSE), "DATO NO CARGADO"))</f>
        <v/>
      </c>
      <c r="C668" s="51"/>
      <c r="D668" s="257"/>
      <c r="E668" s="102"/>
      <c r="F668" s="103"/>
      <c r="G668" s="258"/>
      <c r="I668" s="103"/>
      <c r="K668" s="71"/>
      <c r="L668" s="106" t="str">
        <f>IF(ISBLANK(J668), "", VLOOKUP(C668, 'Info Tipo de Cambio y REM'!$A$24:$B$35, 2, FALSE))</f>
        <v/>
      </c>
      <c r="M668" s="107" t="str">
        <f t="shared" si="2"/>
        <v/>
      </c>
    </row>
    <row r="669">
      <c r="A669" s="102"/>
      <c r="B669" s="43" t="str">
        <f>IF(A669="", "", IFERROR(VLOOKUP(A669, Clasificaciones!A:B, 2, FALSE), "DATO NO CARGADO"))</f>
        <v/>
      </c>
      <c r="C669" s="51"/>
      <c r="D669" s="257"/>
      <c r="E669" s="102"/>
      <c r="F669" s="103"/>
      <c r="G669" s="258"/>
      <c r="I669" s="103"/>
      <c r="K669" s="71"/>
      <c r="L669" s="106" t="str">
        <f>IF(ISBLANK(J669), "", VLOOKUP(C669, 'Info Tipo de Cambio y REM'!$A$24:$B$35, 2, FALSE))</f>
        <v/>
      </c>
      <c r="M669" s="107" t="str">
        <f t="shared" si="2"/>
        <v/>
      </c>
    </row>
    <row r="670">
      <c r="A670" s="102"/>
      <c r="B670" s="43" t="str">
        <f>IF(A670="", "", IFERROR(VLOOKUP(A670, Clasificaciones!A:B, 2, FALSE), "DATO NO CARGADO"))</f>
        <v/>
      </c>
      <c r="C670" s="51"/>
      <c r="D670" s="257"/>
      <c r="E670" s="102"/>
      <c r="F670" s="103"/>
      <c r="G670" s="258"/>
      <c r="I670" s="103"/>
      <c r="K670" s="71"/>
      <c r="L670" s="106" t="str">
        <f>IF(ISBLANK(J670), "", VLOOKUP(C670, 'Info Tipo de Cambio y REM'!$A$24:$B$35, 2, FALSE))</f>
        <v/>
      </c>
      <c r="M670" s="107" t="str">
        <f t="shared" si="2"/>
        <v/>
      </c>
    </row>
    <row r="671">
      <c r="A671" s="102"/>
      <c r="B671" s="43" t="str">
        <f>IF(A671="", "", IFERROR(VLOOKUP(A671, Clasificaciones!A:B, 2, FALSE), "DATO NO CARGADO"))</f>
        <v/>
      </c>
      <c r="C671" s="51"/>
      <c r="D671" s="257"/>
      <c r="E671" s="102"/>
      <c r="F671" s="103"/>
      <c r="G671" s="258"/>
      <c r="I671" s="103"/>
      <c r="K671" s="71"/>
      <c r="L671" s="106" t="str">
        <f>IF(ISBLANK(J671), "", VLOOKUP(C671, 'Info Tipo de Cambio y REM'!$A$24:$B$35, 2, FALSE))</f>
        <v/>
      </c>
      <c r="M671" s="107" t="str">
        <f t="shared" si="2"/>
        <v/>
      </c>
    </row>
    <row r="672">
      <c r="A672" s="102"/>
      <c r="B672" s="43" t="str">
        <f>IF(A672="", "", IFERROR(VLOOKUP(A672, Clasificaciones!A:B, 2, FALSE), "DATO NO CARGADO"))</f>
        <v/>
      </c>
      <c r="C672" s="51"/>
      <c r="D672" s="257"/>
      <c r="E672" s="102"/>
      <c r="F672" s="103"/>
      <c r="G672" s="258"/>
      <c r="I672" s="103"/>
      <c r="K672" s="71"/>
      <c r="L672" s="106" t="str">
        <f>IF(ISBLANK(J672), "", VLOOKUP(C672, 'Info Tipo de Cambio y REM'!$A$24:$B$35, 2, FALSE))</f>
        <v/>
      </c>
      <c r="M672" s="107" t="str">
        <f t="shared" si="2"/>
        <v/>
      </c>
    </row>
    <row r="673">
      <c r="A673" s="102"/>
      <c r="B673" s="43" t="str">
        <f>IF(A673="", "", IFERROR(VLOOKUP(A673, Clasificaciones!A:B, 2, FALSE), "DATO NO CARGADO"))</f>
        <v/>
      </c>
      <c r="C673" s="51"/>
      <c r="D673" s="257"/>
      <c r="E673" s="102"/>
      <c r="F673" s="103"/>
      <c r="G673" s="258"/>
      <c r="I673" s="103"/>
      <c r="K673" s="71"/>
      <c r="L673" s="106" t="str">
        <f>IF(ISBLANK(J673), "", VLOOKUP(C673, 'Info Tipo de Cambio y REM'!$A$24:$B$35, 2, FALSE))</f>
        <v/>
      </c>
      <c r="M673" s="107" t="str">
        <f t="shared" si="2"/>
        <v/>
      </c>
    </row>
    <row r="674">
      <c r="A674" s="102"/>
      <c r="B674" s="43" t="str">
        <f>IF(A674="", "", IFERROR(VLOOKUP(A674, Clasificaciones!A:B, 2, FALSE), "DATO NO CARGADO"))</f>
        <v/>
      </c>
      <c r="C674" s="51"/>
      <c r="D674" s="257"/>
      <c r="E674" s="102"/>
      <c r="F674" s="103"/>
      <c r="G674" s="258"/>
      <c r="I674" s="103"/>
      <c r="K674" s="71"/>
      <c r="L674" s="106" t="str">
        <f>IF(ISBLANK(J674), "", VLOOKUP(C674, 'Info Tipo de Cambio y REM'!$A$24:$B$35, 2, FALSE))</f>
        <v/>
      </c>
      <c r="M674" s="107" t="str">
        <f t="shared" si="2"/>
        <v/>
      </c>
    </row>
    <row r="675">
      <c r="A675" s="102"/>
      <c r="B675" s="43" t="str">
        <f>IF(A675="", "", IFERROR(VLOOKUP(A675, Clasificaciones!A:B, 2, FALSE), "DATO NO CARGADO"))</f>
        <v/>
      </c>
      <c r="C675" s="51"/>
      <c r="D675" s="257"/>
      <c r="E675" s="102"/>
      <c r="F675" s="103"/>
      <c r="G675" s="258"/>
      <c r="I675" s="103"/>
      <c r="K675" s="71"/>
      <c r="L675" s="106" t="str">
        <f>IF(ISBLANK(J675), "", VLOOKUP(C675, 'Info Tipo de Cambio y REM'!$A$24:$B$35, 2, FALSE))</f>
        <v/>
      </c>
      <c r="M675" s="107" t="str">
        <f t="shared" si="2"/>
        <v/>
      </c>
    </row>
    <row r="676">
      <c r="A676" s="102"/>
      <c r="B676" s="43" t="str">
        <f>IF(A676="", "", IFERROR(VLOOKUP(A676, Clasificaciones!A:B, 2, FALSE), "DATO NO CARGADO"))</f>
        <v/>
      </c>
      <c r="C676" s="51"/>
      <c r="D676" s="257"/>
      <c r="E676" s="102"/>
      <c r="F676" s="103"/>
      <c r="G676" s="258"/>
      <c r="I676" s="103"/>
      <c r="K676" s="71"/>
      <c r="L676" s="106" t="str">
        <f>IF(ISBLANK(J676), "", VLOOKUP(C676, 'Info Tipo de Cambio y REM'!$A$24:$B$35, 2, FALSE))</f>
        <v/>
      </c>
      <c r="M676" s="107" t="str">
        <f t="shared" si="2"/>
        <v/>
      </c>
    </row>
    <row r="677">
      <c r="A677" s="102"/>
      <c r="B677" s="43" t="str">
        <f>IF(A677="", "", IFERROR(VLOOKUP(A677, Clasificaciones!A:B, 2, FALSE), "DATO NO CARGADO"))</f>
        <v/>
      </c>
      <c r="C677" s="51"/>
      <c r="D677" s="257"/>
      <c r="E677" s="102"/>
      <c r="F677" s="103"/>
      <c r="G677" s="258"/>
      <c r="I677" s="103"/>
      <c r="K677" s="71"/>
      <c r="L677" s="106" t="str">
        <f>IF(ISBLANK(J677), "", VLOOKUP(C677, 'Info Tipo de Cambio y REM'!$A$24:$B$35, 2, FALSE))</f>
        <v/>
      </c>
      <c r="M677" s="107" t="str">
        <f t="shared" si="2"/>
        <v/>
      </c>
    </row>
    <row r="678">
      <c r="A678" s="102"/>
      <c r="B678" s="43" t="str">
        <f>IF(A678="", "", IFERROR(VLOOKUP(A678, Clasificaciones!A:B, 2, FALSE), "DATO NO CARGADO"))</f>
        <v/>
      </c>
      <c r="C678" s="51"/>
      <c r="D678" s="257"/>
      <c r="E678" s="102"/>
      <c r="F678" s="103"/>
      <c r="G678" s="258"/>
      <c r="I678" s="103"/>
      <c r="K678" s="71"/>
      <c r="L678" s="106" t="str">
        <f>IF(ISBLANK(J678), "", VLOOKUP(C678, 'Info Tipo de Cambio y REM'!$A$24:$B$35, 2, FALSE))</f>
        <v/>
      </c>
      <c r="M678" s="107" t="str">
        <f t="shared" si="2"/>
        <v/>
      </c>
    </row>
    <row r="679">
      <c r="A679" s="102"/>
      <c r="B679" s="43" t="str">
        <f>IF(A679="", "", IFERROR(VLOOKUP(A679, Clasificaciones!A:B, 2, FALSE), "DATO NO CARGADO"))</f>
        <v/>
      </c>
      <c r="C679" s="51"/>
      <c r="D679" s="257"/>
      <c r="E679" s="102"/>
      <c r="F679" s="103"/>
      <c r="G679" s="258"/>
      <c r="I679" s="103"/>
      <c r="K679" s="71"/>
      <c r="L679" s="106" t="str">
        <f>IF(ISBLANK(J679), "", VLOOKUP(C679, 'Info Tipo de Cambio y REM'!$A$24:$B$35, 2, FALSE))</f>
        <v/>
      </c>
      <c r="M679" s="107" t="str">
        <f t="shared" si="2"/>
        <v/>
      </c>
    </row>
    <row r="680">
      <c r="A680" s="102"/>
      <c r="B680" s="43" t="str">
        <f>IF(A680="", "", IFERROR(VLOOKUP(A680, Clasificaciones!A:B, 2, FALSE), "DATO NO CARGADO"))</f>
        <v/>
      </c>
      <c r="C680" s="51"/>
      <c r="D680" s="257"/>
      <c r="E680" s="102"/>
      <c r="F680" s="103"/>
      <c r="G680" s="258"/>
      <c r="I680" s="103"/>
      <c r="K680" s="71"/>
      <c r="L680" s="106" t="str">
        <f>IF(ISBLANK(J680), "", VLOOKUP(C680, 'Info Tipo de Cambio y REM'!$A$24:$B$35, 2, FALSE))</f>
        <v/>
      </c>
      <c r="M680" s="107" t="str">
        <f t="shared" si="2"/>
        <v/>
      </c>
    </row>
    <row r="681">
      <c r="A681" s="102"/>
      <c r="B681" s="43" t="str">
        <f>IF(A681="", "", IFERROR(VLOOKUP(A681, Clasificaciones!A:B, 2, FALSE), "DATO NO CARGADO"))</f>
        <v/>
      </c>
      <c r="C681" s="51"/>
      <c r="D681" s="257"/>
      <c r="E681" s="102"/>
      <c r="F681" s="103"/>
      <c r="G681" s="258"/>
      <c r="I681" s="103"/>
      <c r="K681" s="71"/>
      <c r="L681" s="106" t="str">
        <f>IF(ISBLANK(J681), "", VLOOKUP(C681, 'Info Tipo de Cambio y REM'!$A$24:$B$35, 2, FALSE))</f>
        <v/>
      </c>
      <c r="M681" s="107" t="str">
        <f t="shared" si="2"/>
        <v/>
      </c>
    </row>
    <row r="682">
      <c r="A682" s="102"/>
      <c r="B682" s="43" t="str">
        <f>IF(A682="", "", IFERROR(VLOOKUP(A682, Clasificaciones!A:B, 2, FALSE), "DATO NO CARGADO"))</f>
        <v/>
      </c>
      <c r="C682" s="51"/>
      <c r="D682" s="257"/>
      <c r="E682" s="102"/>
      <c r="F682" s="103"/>
      <c r="G682" s="258"/>
      <c r="I682" s="103"/>
      <c r="K682" s="71"/>
      <c r="L682" s="106" t="str">
        <f>IF(ISBLANK(J682), "", VLOOKUP(C682, 'Info Tipo de Cambio y REM'!$A$24:$B$35, 2, FALSE))</f>
        <v/>
      </c>
      <c r="M682" s="107" t="str">
        <f t="shared" si="2"/>
        <v/>
      </c>
    </row>
    <row r="683">
      <c r="A683" s="102"/>
      <c r="B683" s="43" t="str">
        <f>IF(A683="", "", IFERROR(VLOOKUP(A683, Clasificaciones!A:B, 2, FALSE), "DATO NO CARGADO"))</f>
        <v/>
      </c>
      <c r="C683" s="51"/>
      <c r="D683" s="257"/>
      <c r="E683" s="102"/>
      <c r="F683" s="103"/>
      <c r="G683" s="258"/>
      <c r="I683" s="103"/>
      <c r="K683" s="71"/>
      <c r="L683" s="106" t="str">
        <f>IF(ISBLANK(J683), "", VLOOKUP(C683, 'Info Tipo de Cambio y REM'!$A$24:$B$35, 2, FALSE))</f>
        <v/>
      </c>
      <c r="M683" s="107" t="str">
        <f t="shared" si="2"/>
        <v/>
      </c>
    </row>
    <row r="684">
      <c r="A684" s="102"/>
      <c r="B684" s="43" t="str">
        <f>IF(A684="", "", IFERROR(VLOOKUP(A684, Clasificaciones!A:B, 2, FALSE), "DATO NO CARGADO"))</f>
        <v/>
      </c>
      <c r="C684" s="51"/>
      <c r="D684" s="257"/>
      <c r="E684" s="102"/>
      <c r="F684" s="103"/>
      <c r="G684" s="258"/>
      <c r="I684" s="103"/>
      <c r="K684" s="71"/>
      <c r="L684" s="106" t="str">
        <f>IF(ISBLANK(J684), "", VLOOKUP(C684, 'Info Tipo de Cambio y REM'!$A$24:$B$35, 2, FALSE))</f>
        <v/>
      </c>
      <c r="M684" s="107" t="str">
        <f t="shared" si="2"/>
        <v/>
      </c>
    </row>
    <row r="685">
      <c r="A685" s="102"/>
      <c r="B685" s="43" t="str">
        <f>IF(A685="", "", IFERROR(VLOOKUP(A685, Clasificaciones!A:B, 2, FALSE), "DATO NO CARGADO"))</f>
        <v/>
      </c>
      <c r="C685" s="51"/>
      <c r="D685" s="257"/>
      <c r="E685" s="102"/>
      <c r="F685" s="103"/>
      <c r="G685" s="258"/>
      <c r="I685" s="103"/>
      <c r="K685" s="71"/>
      <c r="L685" s="106" t="str">
        <f>IF(ISBLANK(J685), "", VLOOKUP(C685, 'Info Tipo de Cambio y REM'!$A$24:$B$35, 2, FALSE))</f>
        <v/>
      </c>
      <c r="M685" s="107" t="str">
        <f t="shared" si="2"/>
        <v/>
      </c>
    </row>
    <row r="686">
      <c r="A686" s="102"/>
      <c r="B686" s="43" t="str">
        <f>IF(A686="", "", IFERROR(VLOOKUP(A686, Clasificaciones!A:B, 2, FALSE), "DATO NO CARGADO"))</f>
        <v/>
      </c>
      <c r="C686" s="51"/>
      <c r="D686" s="257"/>
      <c r="E686" s="102"/>
      <c r="F686" s="103"/>
      <c r="G686" s="258"/>
      <c r="I686" s="103"/>
      <c r="K686" s="71"/>
      <c r="L686" s="106" t="str">
        <f>IF(ISBLANK(J686), "", VLOOKUP(C686, 'Info Tipo de Cambio y REM'!$A$24:$B$35, 2, FALSE))</f>
        <v/>
      </c>
      <c r="M686" s="107" t="str">
        <f t="shared" si="2"/>
        <v/>
      </c>
    </row>
    <row r="687">
      <c r="A687" s="102"/>
      <c r="B687" s="43" t="str">
        <f>IF(A687="", "", IFERROR(VLOOKUP(A687, Clasificaciones!A:B, 2, FALSE), "DATO NO CARGADO"))</f>
        <v/>
      </c>
      <c r="C687" s="51"/>
      <c r="D687" s="257"/>
      <c r="E687" s="102"/>
      <c r="F687" s="103"/>
      <c r="G687" s="258"/>
      <c r="I687" s="103"/>
      <c r="K687" s="71"/>
      <c r="L687" s="106" t="str">
        <f>IF(ISBLANK(J687), "", VLOOKUP(C687, 'Info Tipo de Cambio y REM'!$A$24:$B$35, 2, FALSE))</f>
        <v/>
      </c>
      <c r="M687" s="107" t="str">
        <f t="shared" si="2"/>
        <v/>
      </c>
    </row>
    <row r="688">
      <c r="A688" s="102"/>
      <c r="B688" s="43" t="str">
        <f>IF(A688="", "", IFERROR(VLOOKUP(A688, Clasificaciones!A:B, 2, FALSE), "DATO NO CARGADO"))</f>
        <v/>
      </c>
      <c r="C688" s="51"/>
      <c r="D688" s="257"/>
      <c r="E688" s="102"/>
      <c r="F688" s="103"/>
      <c r="G688" s="258"/>
      <c r="I688" s="103"/>
      <c r="K688" s="71"/>
      <c r="L688" s="106" t="str">
        <f>IF(ISBLANK(J688), "", VLOOKUP(C688, 'Info Tipo de Cambio y REM'!$A$24:$B$35, 2, FALSE))</f>
        <v/>
      </c>
      <c r="M688" s="107" t="str">
        <f t="shared" si="2"/>
        <v/>
      </c>
    </row>
    <row r="689">
      <c r="A689" s="102"/>
      <c r="B689" s="43" t="str">
        <f>IF(A689="", "", IFERROR(VLOOKUP(A689, Clasificaciones!A:B, 2, FALSE), "DATO NO CARGADO"))</f>
        <v/>
      </c>
      <c r="C689" s="51"/>
      <c r="D689" s="257"/>
      <c r="E689" s="102"/>
      <c r="F689" s="103"/>
      <c r="G689" s="258"/>
      <c r="I689" s="103"/>
      <c r="K689" s="71"/>
      <c r="L689" s="106" t="str">
        <f>IF(ISBLANK(J689), "", VLOOKUP(C689, 'Info Tipo de Cambio y REM'!$A$24:$B$35, 2, FALSE))</f>
        <v/>
      </c>
      <c r="M689" s="107" t="str">
        <f t="shared" si="2"/>
        <v/>
      </c>
    </row>
    <row r="690">
      <c r="A690" s="102"/>
      <c r="B690" s="43" t="str">
        <f>IF(A690="", "", IFERROR(VLOOKUP(A690, Clasificaciones!A:B, 2, FALSE), "DATO NO CARGADO"))</f>
        <v/>
      </c>
      <c r="C690" s="51"/>
      <c r="D690" s="257"/>
      <c r="E690" s="102"/>
      <c r="F690" s="103"/>
      <c r="G690" s="258"/>
      <c r="I690" s="103"/>
      <c r="K690" s="71"/>
      <c r="L690" s="106" t="str">
        <f>IF(ISBLANK(J690), "", VLOOKUP(C690, 'Info Tipo de Cambio y REM'!$A$24:$B$35, 2, FALSE))</f>
        <v/>
      </c>
      <c r="M690" s="107" t="str">
        <f t="shared" si="2"/>
        <v/>
      </c>
    </row>
    <row r="691">
      <c r="A691" s="102"/>
      <c r="B691" s="43" t="str">
        <f>IF(A691="", "", IFERROR(VLOOKUP(A691, Clasificaciones!A:B, 2, FALSE), "DATO NO CARGADO"))</f>
        <v/>
      </c>
      <c r="C691" s="51"/>
      <c r="D691" s="257"/>
      <c r="E691" s="102"/>
      <c r="F691" s="103"/>
      <c r="G691" s="258"/>
      <c r="I691" s="103"/>
      <c r="K691" s="71"/>
      <c r="L691" s="106" t="str">
        <f>IF(ISBLANK(J691), "", VLOOKUP(C691, 'Info Tipo de Cambio y REM'!$A$24:$B$35, 2, FALSE))</f>
        <v/>
      </c>
      <c r="M691" s="107" t="str">
        <f t="shared" si="2"/>
        <v/>
      </c>
    </row>
    <row r="692">
      <c r="A692" s="102"/>
      <c r="B692" s="43" t="str">
        <f>IF(A692="", "", IFERROR(VLOOKUP(A692, Clasificaciones!A:B, 2, FALSE), "DATO NO CARGADO"))</f>
        <v/>
      </c>
      <c r="C692" s="51"/>
      <c r="D692" s="257"/>
      <c r="E692" s="102"/>
      <c r="F692" s="103"/>
      <c r="G692" s="258"/>
      <c r="I692" s="103"/>
      <c r="K692" s="71"/>
      <c r="L692" s="106" t="str">
        <f>IF(ISBLANK(J692), "", VLOOKUP(C692, 'Info Tipo de Cambio y REM'!$A$24:$B$35, 2, FALSE))</f>
        <v/>
      </c>
      <c r="M692" s="107" t="str">
        <f t="shared" si="2"/>
        <v/>
      </c>
    </row>
    <row r="693">
      <c r="A693" s="102"/>
      <c r="B693" s="43" t="str">
        <f>IF(A693="", "", IFERROR(VLOOKUP(A693, Clasificaciones!A:B, 2, FALSE), "DATO NO CARGADO"))</f>
        <v/>
      </c>
      <c r="C693" s="51"/>
      <c r="D693" s="257"/>
      <c r="E693" s="102"/>
      <c r="F693" s="103"/>
      <c r="G693" s="258"/>
      <c r="I693" s="103"/>
      <c r="K693" s="71"/>
      <c r="L693" s="106" t="str">
        <f>IF(ISBLANK(J693), "", VLOOKUP(C693, 'Info Tipo de Cambio y REM'!$A$24:$B$35, 2, FALSE))</f>
        <v/>
      </c>
      <c r="M693" s="107" t="str">
        <f t="shared" si="2"/>
        <v/>
      </c>
    </row>
    <row r="694">
      <c r="A694" s="102"/>
      <c r="B694" s="43" t="str">
        <f>IF(A694="", "", IFERROR(VLOOKUP(A694, Clasificaciones!A:B, 2, FALSE), "DATO NO CARGADO"))</f>
        <v/>
      </c>
      <c r="C694" s="51"/>
      <c r="D694" s="257"/>
      <c r="E694" s="102"/>
      <c r="F694" s="103"/>
      <c r="G694" s="258"/>
      <c r="I694" s="103"/>
      <c r="K694" s="71"/>
      <c r="L694" s="106" t="str">
        <f>IF(ISBLANK(J694), "", VLOOKUP(C694, 'Info Tipo de Cambio y REM'!$A$24:$B$35, 2, FALSE))</f>
        <v/>
      </c>
      <c r="M694" s="107" t="str">
        <f t="shared" si="2"/>
        <v/>
      </c>
    </row>
    <row r="695">
      <c r="A695" s="102"/>
      <c r="B695" s="43" t="str">
        <f>IF(A695="", "", IFERROR(VLOOKUP(A695, Clasificaciones!A:B, 2, FALSE), "DATO NO CARGADO"))</f>
        <v/>
      </c>
      <c r="C695" s="51"/>
      <c r="D695" s="257"/>
      <c r="E695" s="102"/>
      <c r="F695" s="103"/>
      <c r="G695" s="258"/>
      <c r="I695" s="103"/>
      <c r="K695" s="71"/>
      <c r="L695" s="106" t="str">
        <f>IF(ISBLANK(J695), "", VLOOKUP(C695, 'Info Tipo de Cambio y REM'!$A$24:$B$35, 2, FALSE))</f>
        <v/>
      </c>
      <c r="M695" s="107" t="str">
        <f t="shared" si="2"/>
        <v/>
      </c>
    </row>
    <row r="696">
      <c r="A696" s="102"/>
      <c r="B696" s="43" t="str">
        <f>IF(A696="", "", IFERROR(VLOOKUP(A696, Clasificaciones!A:B, 2, FALSE), "DATO NO CARGADO"))</f>
        <v/>
      </c>
      <c r="C696" s="51"/>
      <c r="D696" s="257"/>
      <c r="E696" s="102"/>
      <c r="F696" s="103"/>
      <c r="G696" s="258"/>
      <c r="I696" s="103"/>
      <c r="K696" s="71"/>
      <c r="L696" s="106" t="str">
        <f>IF(ISBLANK(J696), "", VLOOKUP(C696, 'Info Tipo de Cambio y REM'!$A$24:$B$35, 2, FALSE))</f>
        <v/>
      </c>
      <c r="M696" s="107" t="str">
        <f t="shared" si="2"/>
        <v/>
      </c>
    </row>
    <row r="697">
      <c r="A697" s="102"/>
      <c r="B697" s="43" t="str">
        <f>IF(A697="", "", IFERROR(VLOOKUP(A697, Clasificaciones!A:B, 2, FALSE), "DATO NO CARGADO"))</f>
        <v/>
      </c>
      <c r="C697" s="51"/>
      <c r="D697" s="257"/>
      <c r="E697" s="102"/>
      <c r="F697" s="103"/>
      <c r="G697" s="258"/>
      <c r="I697" s="103"/>
      <c r="K697" s="71"/>
      <c r="L697" s="106" t="str">
        <f>IF(ISBLANK(J697), "", VLOOKUP(C697, 'Info Tipo de Cambio y REM'!$A$24:$B$35, 2, FALSE))</f>
        <v/>
      </c>
      <c r="M697" s="107" t="str">
        <f t="shared" si="2"/>
        <v/>
      </c>
    </row>
    <row r="698">
      <c r="A698" s="102"/>
      <c r="B698" s="43" t="str">
        <f>IF(A698="", "", IFERROR(VLOOKUP(A698, Clasificaciones!A:B, 2, FALSE), "DATO NO CARGADO"))</f>
        <v/>
      </c>
      <c r="C698" s="51"/>
      <c r="D698" s="257"/>
      <c r="E698" s="102"/>
      <c r="F698" s="103"/>
      <c r="G698" s="258"/>
      <c r="I698" s="103"/>
      <c r="K698" s="71"/>
      <c r="L698" s="106" t="str">
        <f>IF(ISBLANK(J698), "", VLOOKUP(C698, 'Info Tipo de Cambio y REM'!$A$24:$B$35, 2, FALSE))</f>
        <v/>
      </c>
      <c r="M698" s="107" t="str">
        <f t="shared" si="2"/>
        <v/>
      </c>
    </row>
    <row r="699">
      <c r="A699" s="102"/>
      <c r="B699" s="43" t="str">
        <f>IF(A699="", "", IFERROR(VLOOKUP(A699, Clasificaciones!A:B, 2, FALSE), "DATO NO CARGADO"))</f>
        <v/>
      </c>
      <c r="C699" s="51"/>
      <c r="D699" s="257"/>
      <c r="E699" s="102"/>
      <c r="F699" s="103"/>
      <c r="G699" s="258"/>
      <c r="I699" s="103"/>
      <c r="K699" s="71"/>
      <c r="L699" s="106" t="str">
        <f>IF(ISBLANK(J699), "", VLOOKUP(C699, 'Info Tipo de Cambio y REM'!$A$24:$B$35, 2, FALSE))</f>
        <v/>
      </c>
      <c r="M699" s="107" t="str">
        <f t="shared" si="2"/>
        <v/>
      </c>
    </row>
    <row r="700">
      <c r="A700" s="102"/>
      <c r="B700" s="43" t="str">
        <f>IF(A700="", "", IFERROR(VLOOKUP(A700, Clasificaciones!A:B, 2, FALSE), "DATO NO CARGADO"))</f>
        <v/>
      </c>
      <c r="C700" s="51"/>
      <c r="D700" s="257"/>
      <c r="E700" s="102"/>
      <c r="F700" s="103"/>
      <c r="G700" s="258"/>
      <c r="I700" s="103"/>
      <c r="K700" s="71"/>
      <c r="L700" s="106" t="str">
        <f>IF(ISBLANK(J700), "", VLOOKUP(C700, 'Info Tipo de Cambio y REM'!$A$24:$B$35, 2, FALSE))</f>
        <v/>
      </c>
      <c r="M700" s="107" t="str">
        <f t="shared" si="2"/>
        <v/>
      </c>
    </row>
    <row r="701">
      <c r="A701" s="102"/>
      <c r="B701" s="43" t="str">
        <f>IF(A701="", "", IFERROR(VLOOKUP(A701, Clasificaciones!A:B, 2, FALSE), "DATO NO CARGADO"))</f>
        <v/>
      </c>
      <c r="C701" s="51"/>
      <c r="D701" s="257"/>
      <c r="E701" s="102"/>
      <c r="F701" s="103"/>
      <c r="G701" s="258"/>
      <c r="I701" s="103"/>
      <c r="K701" s="71"/>
      <c r="L701" s="106" t="str">
        <f>IF(ISBLANK(J701), "", VLOOKUP(C701, 'Info Tipo de Cambio y REM'!$A$24:$B$35, 2, FALSE))</f>
        <v/>
      </c>
      <c r="M701" s="107" t="str">
        <f t="shared" si="2"/>
        <v/>
      </c>
    </row>
    <row r="702">
      <c r="A702" s="102"/>
      <c r="B702" s="43" t="str">
        <f>IF(A702="", "", IFERROR(VLOOKUP(A702, Clasificaciones!A:B, 2, FALSE), "DATO NO CARGADO"))</f>
        <v/>
      </c>
      <c r="C702" s="51"/>
      <c r="D702" s="257"/>
      <c r="E702" s="102"/>
      <c r="F702" s="103"/>
      <c r="G702" s="258"/>
      <c r="I702" s="103"/>
      <c r="K702" s="71"/>
      <c r="L702" s="106" t="str">
        <f>IF(ISBLANK(J702), "", VLOOKUP(C702, 'Info Tipo de Cambio y REM'!$A$24:$B$35, 2, FALSE))</f>
        <v/>
      </c>
      <c r="M702" s="107" t="str">
        <f t="shared" si="2"/>
        <v/>
      </c>
    </row>
    <row r="703">
      <c r="A703" s="102"/>
      <c r="B703" s="43" t="str">
        <f>IF(A703="", "", IFERROR(VLOOKUP(A703, Clasificaciones!A:B, 2, FALSE), "DATO NO CARGADO"))</f>
        <v/>
      </c>
      <c r="C703" s="51"/>
      <c r="D703" s="257"/>
      <c r="E703" s="102"/>
      <c r="F703" s="103"/>
      <c r="G703" s="258"/>
      <c r="I703" s="103"/>
      <c r="K703" s="71"/>
      <c r="L703" s="106" t="str">
        <f>IF(ISBLANK(J703), "", VLOOKUP(C703, 'Info Tipo de Cambio y REM'!$A$24:$B$35, 2, FALSE))</f>
        <v/>
      </c>
      <c r="M703" s="107" t="str">
        <f t="shared" si="2"/>
        <v/>
      </c>
    </row>
    <row r="704">
      <c r="A704" s="102"/>
      <c r="B704" s="43" t="str">
        <f>IF(A704="", "", IFERROR(VLOOKUP(A704, Clasificaciones!A:B, 2, FALSE), "DATO NO CARGADO"))</f>
        <v/>
      </c>
      <c r="C704" s="51"/>
      <c r="D704" s="257"/>
      <c r="E704" s="102"/>
      <c r="F704" s="103"/>
      <c r="G704" s="258"/>
      <c r="I704" s="103"/>
      <c r="K704" s="71"/>
      <c r="L704" s="106" t="str">
        <f>IF(ISBLANK(J704), "", VLOOKUP(C704, 'Info Tipo de Cambio y REM'!$A$24:$B$35, 2, FALSE))</f>
        <v/>
      </c>
      <c r="M704" s="107" t="str">
        <f t="shared" si="2"/>
        <v/>
      </c>
    </row>
    <row r="705">
      <c r="A705" s="102"/>
      <c r="B705" s="43" t="str">
        <f>IF(A705="", "", IFERROR(VLOOKUP(A705, Clasificaciones!A:B, 2, FALSE), "DATO NO CARGADO"))</f>
        <v/>
      </c>
      <c r="C705" s="51"/>
      <c r="D705" s="257"/>
      <c r="E705" s="102"/>
      <c r="F705" s="103"/>
      <c r="G705" s="258"/>
      <c r="I705" s="103"/>
      <c r="K705" s="71"/>
      <c r="L705" s="106" t="str">
        <f>IF(ISBLANK(J705), "", VLOOKUP(C705, 'Info Tipo de Cambio y REM'!$A$24:$B$35, 2, FALSE))</f>
        <v/>
      </c>
      <c r="M705" s="107" t="str">
        <f t="shared" si="2"/>
        <v/>
      </c>
    </row>
    <row r="706">
      <c r="A706" s="102"/>
      <c r="B706" s="43" t="str">
        <f>IF(A706="", "", IFERROR(VLOOKUP(A706, Clasificaciones!A:B, 2, FALSE), "DATO NO CARGADO"))</f>
        <v/>
      </c>
      <c r="C706" s="51"/>
      <c r="D706" s="257"/>
      <c r="E706" s="102"/>
      <c r="F706" s="103"/>
      <c r="G706" s="258"/>
      <c r="I706" s="103"/>
      <c r="K706" s="71"/>
      <c r="L706" s="106" t="str">
        <f>IF(ISBLANK(J706), "", VLOOKUP(C706, 'Info Tipo de Cambio y REM'!$A$24:$B$35, 2, FALSE))</f>
        <v/>
      </c>
      <c r="M706" s="107" t="str">
        <f t="shared" si="2"/>
        <v/>
      </c>
    </row>
    <row r="707">
      <c r="A707" s="102"/>
      <c r="B707" s="43" t="str">
        <f>IF(A707="", "", IFERROR(VLOOKUP(A707, Clasificaciones!A:B, 2, FALSE), "DATO NO CARGADO"))</f>
        <v/>
      </c>
      <c r="C707" s="51"/>
      <c r="D707" s="257"/>
      <c r="E707" s="102"/>
      <c r="F707" s="103"/>
      <c r="G707" s="258"/>
      <c r="I707" s="103"/>
      <c r="K707" s="71"/>
      <c r="L707" s="106" t="str">
        <f>IF(ISBLANK(J707), "", VLOOKUP(C707, 'Info Tipo de Cambio y REM'!$A$24:$B$35, 2, FALSE))</f>
        <v/>
      </c>
      <c r="M707" s="107" t="str">
        <f t="shared" si="2"/>
        <v/>
      </c>
    </row>
    <row r="708">
      <c r="A708" s="102"/>
      <c r="B708" s="43" t="str">
        <f>IF(A708="", "", IFERROR(VLOOKUP(A708, Clasificaciones!A:B, 2, FALSE), "DATO NO CARGADO"))</f>
        <v/>
      </c>
      <c r="C708" s="51"/>
      <c r="D708" s="257"/>
      <c r="E708" s="102"/>
      <c r="F708" s="103"/>
      <c r="G708" s="258"/>
      <c r="I708" s="103"/>
      <c r="K708" s="71"/>
      <c r="L708" s="106" t="str">
        <f>IF(ISBLANK(J708), "", VLOOKUP(C708, 'Info Tipo de Cambio y REM'!$A$24:$B$35, 2, FALSE))</f>
        <v/>
      </c>
      <c r="M708" s="107" t="str">
        <f t="shared" si="2"/>
        <v/>
      </c>
    </row>
    <row r="709">
      <c r="A709" s="102"/>
      <c r="B709" s="43" t="str">
        <f>IF(A709="", "", IFERROR(VLOOKUP(A709, Clasificaciones!A:B, 2, FALSE), "DATO NO CARGADO"))</f>
        <v/>
      </c>
      <c r="C709" s="51"/>
      <c r="D709" s="257"/>
      <c r="E709" s="102"/>
      <c r="F709" s="103"/>
      <c r="G709" s="258"/>
      <c r="I709" s="103"/>
      <c r="K709" s="71"/>
      <c r="L709" s="106" t="str">
        <f>IF(ISBLANK(J709), "", VLOOKUP(C709, 'Info Tipo de Cambio y REM'!$A$24:$B$35, 2, FALSE))</f>
        <v/>
      </c>
      <c r="M709" s="107" t="str">
        <f t="shared" si="2"/>
        <v/>
      </c>
    </row>
    <row r="710">
      <c r="A710" s="102"/>
      <c r="B710" s="43" t="str">
        <f>IF(A710="", "", IFERROR(VLOOKUP(A710, Clasificaciones!A:B, 2, FALSE), "DATO NO CARGADO"))</f>
        <v/>
      </c>
      <c r="C710" s="51"/>
      <c r="D710" s="257"/>
      <c r="E710" s="102"/>
      <c r="F710" s="103"/>
      <c r="G710" s="258"/>
      <c r="I710" s="103"/>
      <c r="K710" s="71"/>
      <c r="L710" s="106" t="str">
        <f>IF(ISBLANK(J710), "", VLOOKUP(C710, 'Info Tipo de Cambio y REM'!$A$24:$B$35, 2, FALSE))</f>
        <v/>
      </c>
      <c r="M710" s="107" t="str">
        <f t="shared" si="2"/>
        <v/>
      </c>
    </row>
    <row r="711">
      <c r="A711" s="102"/>
      <c r="B711" s="43" t="str">
        <f>IF(A711="", "", IFERROR(VLOOKUP(A711, Clasificaciones!A:B, 2, FALSE), "DATO NO CARGADO"))</f>
        <v/>
      </c>
      <c r="C711" s="51"/>
      <c r="D711" s="257"/>
      <c r="E711" s="102"/>
      <c r="F711" s="103"/>
      <c r="G711" s="258"/>
      <c r="I711" s="103"/>
      <c r="K711" s="71"/>
      <c r="L711" s="106" t="str">
        <f>IF(ISBLANK(J711), "", VLOOKUP(C711, 'Info Tipo de Cambio y REM'!$A$24:$B$35, 2, FALSE))</f>
        <v/>
      </c>
      <c r="M711" s="107" t="str">
        <f t="shared" si="2"/>
        <v/>
      </c>
    </row>
    <row r="712">
      <c r="A712" s="102"/>
      <c r="B712" s="43" t="str">
        <f>IF(A712="", "", IFERROR(VLOOKUP(A712, Clasificaciones!A:B, 2, FALSE), "DATO NO CARGADO"))</f>
        <v/>
      </c>
      <c r="C712" s="51"/>
      <c r="D712" s="257"/>
      <c r="E712" s="102"/>
      <c r="F712" s="103"/>
      <c r="G712" s="258"/>
      <c r="I712" s="103"/>
      <c r="K712" s="71"/>
      <c r="L712" s="106" t="str">
        <f>IF(ISBLANK(J712), "", VLOOKUP(C712, 'Info Tipo de Cambio y REM'!$A$24:$B$35, 2, FALSE))</f>
        <v/>
      </c>
      <c r="M712" s="107" t="str">
        <f t="shared" si="2"/>
        <v/>
      </c>
    </row>
    <row r="713">
      <c r="A713" s="102"/>
      <c r="B713" s="43" t="str">
        <f>IF(A713="", "", IFERROR(VLOOKUP(A713, Clasificaciones!A:B, 2, FALSE), "DATO NO CARGADO"))</f>
        <v/>
      </c>
      <c r="C713" s="51"/>
      <c r="D713" s="257"/>
      <c r="E713" s="102"/>
      <c r="F713" s="103"/>
      <c r="G713" s="258"/>
      <c r="I713" s="103"/>
      <c r="K713" s="71"/>
      <c r="L713" s="106" t="str">
        <f>IF(ISBLANK(J713), "", VLOOKUP(C713, 'Info Tipo de Cambio y REM'!$A$24:$B$35, 2, FALSE))</f>
        <v/>
      </c>
      <c r="M713" s="107" t="str">
        <f t="shared" si="2"/>
        <v/>
      </c>
    </row>
    <row r="714">
      <c r="A714" s="102"/>
      <c r="B714" s="43" t="str">
        <f>IF(A714="", "", IFERROR(VLOOKUP(A714, Clasificaciones!A:B, 2, FALSE), "DATO NO CARGADO"))</f>
        <v/>
      </c>
      <c r="C714" s="51"/>
      <c r="D714" s="257"/>
      <c r="E714" s="102"/>
      <c r="F714" s="103"/>
      <c r="G714" s="258"/>
      <c r="I714" s="103"/>
      <c r="K714" s="71"/>
      <c r="L714" s="106" t="str">
        <f>IF(ISBLANK(J714), "", VLOOKUP(C714, 'Info Tipo de Cambio y REM'!$A$24:$B$35, 2, FALSE))</f>
        <v/>
      </c>
      <c r="M714" s="107" t="str">
        <f t="shared" si="2"/>
        <v/>
      </c>
    </row>
    <row r="715">
      <c r="A715" s="102"/>
      <c r="B715" s="43" t="str">
        <f>IF(A715="", "", IFERROR(VLOOKUP(A715, Clasificaciones!A:B, 2, FALSE), "DATO NO CARGADO"))</f>
        <v/>
      </c>
      <c r="C715" s="51"/>
      <c r="D715" s="257"/>
      <c r="E715" s="102"/>
      <c r="F715" s="103"/>
      <c r="G715" s="258"/>
      <c r="I715" s="103"/>
      <c r="K715" s="71"/>
      <c r="L715" s="106" t="str">
        <f>IF(ISBLANK(J715), "", VLOOKUP(C715, 'Info Tipo de Cambio y REM'!$A$24:$B$35, 2, FALSE))</f>
        <v/>
      </c>
      <c r="M715" s="107" t="str">
        <f t="shared" si="2"/>
        <v/>
      </c>
    </row>
    <row r="716">
      <c r="A716" s="102"/>
      <c r="B716" s="43" t="str">
        <f>IF(A716="", "", IFERROR(VLOOKUP(A716, Clasificaciones!A:B, 2, FALSE), "DATO NO CARGADO"))</f>
        <v/>
      </c>
      <c r="C716" s="51"/>
      <c r="D716" s="257"/>
      <c r="E716" s="102"/>
      <c r="F716" s="103"/>
      <c r="G716" s="258"/>
      <c r="I716" s="103"/>
      <c r="K716" s="71"/>
      <c r="L716" s="106" t="str">
        <f>IF(ISBLANK(J716), "", VLOOKUP(C716, 'Info Tipo de Cambio y REM'!$A$24:$B$35, 2, FALSE))</f>
        <v/>
      </c>
      <c r="M716" s="107" t="str">
        <f t="shared" si="2"/>
        <v/>
      </c>
    </row>
    <row r="717">
      <c r="A717" s="102"/>
      <c r="B717" s="43" t="str">
        <f>IF(A717="", "", IFERROR(VLOOKUP(A717, Clasificaciones!A:B, 2, FALSE), "DATO NO CARGADO"))</f>
        <v/>
      </c>
      <c r="C717" s="51"/>
      <c r="D717" s="257"/>
      <c r="E717" s="102"/>
      <c r="F717" s="103"/>
      <c r="G717" s="258"/>
      <c r="I717" s="103"/>
      <c r="K717" s="71"/>
      <c r="L717" s="106" t="str">
        <f>IF(ISBLANK(J717), "", VLOOKUP(C717, 'Info Tipo de Cambio y REM'!$A$24:$B$35, 2, FALSE))</f>
        <v/>
      </c>
      <c r="M717" s="107" t="str">
        <f t="shared" si="2"/>
        <v/>
      </c>
    </row>
    <row r="718">
      <c r="A718" s="102"/>
      <c r="B718" s="43" t="str">
        <f>IF(A718="", "", IFERROR(VLOOKUP(A718, Clasificaciones!A:B, 2, FALSE), "DATO NO CARGADO"))</f>
        <v/>
      </c>
      <c r="C718" s="51"/>
      <c r="D718" s="257"/>
      <c r="E718" s="102"/>
      <c r="F718" s="103"/>
      <c r="G718" s="258"/>
      <c r="I718" s="103"/>
      <c r="K718" s="71"/>
      <c r="L718" s="106" t="str">
        <f>IF(ISBLANK(J718), "", VLOOKUP(C718, 'Info Tipo de Cambio y REM'!$A$24:$B$35, 2, FALSE))</f>
        <v/>
      </c>
      <c r="M718" s="107" t="str">
        <f t="shared" si="2"/>
        <v/>
      </c>
    </row>
    <row r="719">
      <c r="A719" s="102"/>
      <c r="B719" s="43" t="str">
        <f>IF(A719="", "", IFERROR(VLOOKUP(A719, Clasificaciones!A:B, 2, FALSE), "DATO NO CARGADO"))</f>
        <v/>
      </c>
      <c r="C719" s="51"/>
      <c r="D719" s="257"/>
      <c r="E719" s="102"/>
      <c r="F719" s="103"/>
      <c r="G719" s="258"/>
      <c r="I719" s="103"/>
      <c r="K719" s="71"/>
      <c r="L719" s="106" t="str">
        <f>IF(ISBLANK(J719), "", VLOOKUP(C719, 'Info Tipo de Cambio y REM'!$A$24:$B$35, 2, FALSE))</f>
        <v/>
      </c>
      <c r="M719" s="107" t="str">
        <f t="shared" si="2"/>
        <v/>
      </c>
    </row>
    <row r="720">
      <c r="A720" s="102"/>
      <c r="B720" s="43" t="str">
        <f>IF(A720="", "", IFERROR(VLOOKUP(A720, Clasificaciones!A:B, 2, FALSE), "DATO NO CARGADO"))</f>
        <v/>
      </c>
      <c r="C720" s="51"/>
      <c r="D720" s="257"/>
      <c r="E720" s="102"/>
      <c r="F720" s="103"/>
      <c r="G720" s="258"/>
      <c r="I720" s="103"/>
      <c r="K720" s="71"/>
      <c r="L720" s="106" t="str">
        <f>IF(ISBLANK(J720), "", VLOOKUP(C720, 'Info Tipo de Cambio y REM'!$A$24:$B$35, 2, FALSE))</f>
        <v/>
      </c>
      <c r="M720" s="107" t="str">
        <f t="shared" si="2"/>
        <v/>
      </c>
    </row>
    <row r="721">
      <c r="A721" s="102"/>
      <c r="B721" s="43" t="str">
        <f>IF(A721="", "", IFERROR(VLOOKUP(A721, Clasificaciones!A:B, 2, FALSE), "DATO NO CARGADO"))</f>
        <v/>
      </c>
      <c r="C721" s="51"/>
      <c r="D721" s="257"/>
      <c r="E721" s="102"/>
      <c r="F721" s="103"/>
      <c r="G721" s="258"/>
      <c r="I721" s="103"/>
      <c r="K721" s="71"/>
      <c r="L721" s="106" t="str">
        <f>IF(ISBLANK(J721), "", VLOOKUP(C721, 'Info Tipo de Cambio y REM'!$A$24:$B$35, 2, FALSE))</f>
        <v/>
      </c>
      <c r="M721" s="107" t="str">
        <f t="shared" si="2"/>
        <v/>
      </c>
    </row>
    <row r="722">
      <c r="A722" s="102"/>
      <c r="B722" s="43" t="str">
        <f>IF(A722="", "", IFERROR(VLOOKUP(A722, Clasificaciones!A:B, 2, FALSE), "DATO NO CARGADO"))</f>
        <v/>
      </c>
      <c r="C722" s="51"/>
      <c r="D722" s="257"/>
      <c r="E722" s="102"/>
      <c r="F722" s="103"/>
      <c r="G722" s="258"/>
      <c r="I722" s="103"/>
      <c r="K722" s="71"/>
      <c r="L722" s="106" t="str">
        <f>IF(ISBLANK(J722), "", VLOOKUP(C722, 'Info Tipo de Cambio y REM'!$A$24:$B$35, 2, FALSE))</f>
        <v/>
      </c>
      <c r="M722" s="107" t="str">
        <f t="shared" si="2"/>
        <v/>
      </c>
    </row>
    <row r="723">
      <c r="A723" s="102"/>
      <c r="B723" s="43" t="str">
        <f>IF(A723="", "", IFERROR(VLOOKUP(A723, Clasificaciones!A:B, 2, FALSE), "DATO NO CARGADO"))</f>
        <v/>
      </c>
      <c r="C723" s="51"/>
      <c r="D723" s="257"/>
      <c r="E723" s="102"/>
      <c r="F723" s="103"/>
      <c r="G723" s="258"/>
      <c r="I723" s="103"/>
      <c r="K723" s="71"/>
      <c r="L723" s="106" t="str">
        <f>IF(ISBLANK(J723), "", VLOOKUP(C723, 'Info Tipo de Cambio y REM'!$A$24:$B$35, 2, FALSE))</f>
        <v/>
      </c>
      <c r="M723" s="107" t="str">
        <f t="shared" si="2"/>
        <v/>
      </c>
    </row>
    <row r="724">
      <c r="A724" s="102"/>
      <c r="B724" s="43" t="str">
        <f>IF(A724="", "", IFERROR(VLOOKUP(A724, Clasificaciones!A:B, 2, FALSE), "DATO NO CARGADO"))</f>
        <v/>
      </c>
      <c r="C724" s="51"/>
      <c r="D724" s="257"/>
      <c r="E724" s="102"/>
      <c r="F724" s="103"/>
      <c r="G724" s="258"/>
      <c r="I724" s="103"/>
      <c r="K724" s="71"/>
      <c r="L724" s="106" t="str">
        <f>IF(ISBLANK(J724), "", VLOOKUP(C724, 'Info Tipo de Cambio y REM'!$A$24:$B$35, 2, FALSE))</f>
        <v/>
      </c>
      <c r="M724" s="107" t="str">
        <f t="shared" si="2"/>
        <v/>
      </c>
    </row>
    <row r="725">
      <c r="A725" s="102"/>
      <c r="B725" s="43" t="str">
        <f>IF(A725="", "", IFERROR(VLOOKUP(A725, Clasificaciones!A:B, 2, FALSE), "DATO NO CARGADO"))</f>
        <v/>
      </c>
      <c r="C725" s="51"/>
      <c r="D725" s="257"/>
      <c r="E725" s="102"/>
      <c r="F725" s="103"/>
      <c r="G725" s="258"/>
      <c r="I725" s="103"/>
      <c r="K725" s="71"/>
      <c r="L725" s="106" t="str">
        <f>IF(ISBLANK(J725), "", VLOOKUP(C725, 'Info Tipo de Cambio y REM'!$A$24:$B$35, 2, FALSE))</f>
        <v/>
      </c>
      <c r="M725" s="107" t="str">
        <f t="shared" si="2"/>
        <v/>
      </c>
    </row>
    <row r="726">
      <c r="A726" s="102"/>
      <c r="B726" s="43" t="str">
        <f>IF(A726="", "", IFERROR(VLOOKUP(A726, Clasificaciones!A:B, 2, FALSE), "DATO NO CARGADO"))</f>
        <v/>
      </c>
      <c r="C726" s="51"/>
      <c r="D726" s="257"/>
      <c r="E726" s="102"/>
      <c r="F726" s="103"/>
      <c r="G726" s="258"/>
      <c r="I726" s="103"/>
      <c r="K726" s="71"/>
      <c r="L726" s="106" t="str">
        <f>IF(ISBLANK(J726), "", VLOOKUP(C726, 'Info Tipo de Cambio y REM'!$A$24:$B$35, 2, FALSE))</f>
        <v/>
      </c>
      <c r="M726" s="107" t="str">
        <f t="shared" si="2"/>
        <v/>
      </c>
    </row>
    <row r="727">
      <c r="A727" s="102"/>
      <c r="B727" s="43" t="str">
        <f>IF(A727="", "", IFERROR(VLOOKUP(A727, Clasificaciones!A:B, 2, FALSE), "DATO NO CARGADO"))</f>
        <v/>
      </c>
      <c r="C727" s="51"/>
      <c r="D727" s="257"/>
      <c r="E727" s="102"/>
      <c r="F727" s="103"/>
      <c r="G727" s="258"/>
      <c r="I727" s="103"/>
      <c r="K727" s="71"/>
      <c r="L727" s="106" t="str">
        <f>IF(ISBLANK(J727), "", VLOOKUP(C727, 'Info Tipo de Cambio y REM'!$A$24:$B$35, 2, FALSE))</f>
        <v/>
      </c>
      <c r="M727" s="107" t="str">
        <f t="shared" si="2"/>
        <v/>
      </c>
    </row>
    <row r="728">
      <c r="A728" s="102"/>
      <c r="B728" s="43" t="str">
        <f>IF(A728="", "", IFERROR(VLOOKUP(A728, Clasificaciones!A:B, 2, FALSE), "DATO NO CARGADO"))</f>
        <v/>
      </c>
      <c r="C728" s="51"/>
      <c r="D728" s="257"/>
      <c r="E728" s="102"/>
      <c r="F728" s="103"/>
      <c r="G728" s="258"/>
      <c r="I728" s="103"/>
      <c r="K728" s="71"/>
      <c r="L728" s="106" t="str">
        <f>IF(ISBLANK(J728), "", VLOOKUP(C728, 'Info Tipo de Cambio y REM'!$A$24:$B$35, 2, FALSE))</f>
        <v/>
      </c>
      <c r="M728" s="107" t="str">
        <f t="shared" si="2"/>
        <v/>
      </c>
    </row>
    <row r="729">
      <c r="A729" s="102"/>
      <c r="B729" s="43" t="str">
        <f>IF(A729="", "", IFERROR(VLOOKUP(A729, Clasificaciones!A:B, 2, FALSE), "DATO NO CARGADO"))</f>
        <v/>
      </c>
      <c r="C729" s="51"/>
      <c r="D729" s="257"/>
      <c r="E729" s="102"/>
      <c r="F729" s="103"/>
      <c r="G729" s="258"/>
      <c r="I729" s="103"/>
      <c r="K729" s="71"/>
      <c r="L729" s="106" t="str">
        <f>IF(ISBLANK(J729), "", VLOOKUP(C729, 'Info Tipo de Cambio y REM'!$A$24:$B$35, 2, FALSE))</f>
        <v/>
      </c>
      <c r="M729" s="107" t="str">
        <f t="shared" si="2"/>
        <v/>
      </c>
    </row>
    <row r="730">
      <c r="A730" s="102"/>
      <c r="B730" s="43" t="str">
        <f>IF(A730="", "", IFERROR(VLOOKUP(A730, Clasificaciones!A:B, 2, FALSE), "DATO NO CARGADO"))</f>
        <v/>
      </c>
      <c r="C730" s="51"/>
      <c r="D730" s="257"/>
      <c r="E730" s="102"/>
      <c r="F730" s="103"/>
      <c r="G730" s="258"/>
      <c r="I730" s="103"/>
      <c r="K730" s="71"/>
      <c r="L730" s="106" t="str">
        <f>IF(ISBLANK(J730), "", VLOOKUP(C730, 'Info Tipo de Cambio y REM'!$A$24:$B$35, 2, FALSE))</f>
        <v/>
      </c>
      <c r="M730" s="107" t="str">
        <f t="shared" si="2"/>
        <v/>
      </c>
    </row>
    <row r="731">
      <c r="A731" s="102"/>
      <c r="B731" s="43" t="str">
        <f>IF(A731="", "", IFERROR(VLOOKUP(A731, Clasificaciones!A:B, 2, FALSE), "DATO NO CARGADO"))</f>
        <v/>
      </c>
      <c r="C731" s="51"/>
      <c r="D731" s="257"/>
      <c r="E731" s="102"/>
      <c r="F731" s="103"/>
      <c r="G731" s="258"/>
      <c r="I731" s="103"/>
      <c r="K731" s="71"/>
      <c r="L731" s="106" t="str">
        <f>IF(ISBLANK(J731), "", VLOOKUP(C731, 'Info Tipo de Cambio y REM'!$A$24:$B$35, 2, FALSE))</f>
        <v/>
      </c>
      <c r="M731" s="107" t="str">
        <f t="shared" si="2"/>
        <v/>
      </c>
    </row>
    <row r="732">
      <c r="A732" s="102"/>
      <c r="B732" s="43" t="str">
        <f>IF(A732="", "", IFERROR(VLOOKUP(A732, Clasificaciones!A:B, 2, FALSE), "DATO NO CARGADO"))</f>
        <v/>
      </c>
      <c r="C732" s="51"/>
      <c r="D732" s="257"/>
      <c r="E732" s="102"/>
      <c r="F732" s="103"/>
      <c r="G732" s="258"/>
      <c r="I732" s="103"/>
      <c r="K732" s="71"/>
      <c r="L732" s="106" t="str">
        <f>IF(ISBLANK(J732), "", VLOOKUP(C732, 'Info Tipo de Cambio y REM'!$A$24:$B$35, 2, FALSE))</f>
        <v/>
      </c>
      <c r="M732" s="107" t="str">
        <f t="shared" si="2"/>
        <v/>
      </c>
    </row>
    <row r="733">
      <c r="A733" s="102"/>
      <c r="B733" s="43" t="str">
        <f>IF(A733="", "", IFERROR(VLOOKUP(A733, Clasificaciones!A:B, 2, FALSE), "DATO NO CARGADO"))</f>
        <v/>
      </c>
      <c r="C733" s="51"/>
      <c r="D733" s="257"/>
      <c r="E733" s="102"/>
      <c r="F733" s="103"/>
      <c r="G733" s="258"/>
      <c r="I733" s="103"/>
      <c r="K733" s="71"/>
      <c r="L733" s="106" t="str">
        <f>IF(ISBLANK(J733), "", VLOOKUP(C733, 'Info Tipo de Cambio y REM'!$A$24:$B$35, 2, FALSE))</f>
        <v/>
      </c>
      <c r="M733" s="107" t="str">
        <f t="shared" si="2"/>
        <v/>
      </c>
    </row>
    <row r="734">
      <c r="A734" s="102"/>
      <c r="B734" s="43" t="str">
        <f>IF(A734="", "", IFERROR(VLOOKUP(A734, Clasificaciones!A:B, 2, FALSE), "DATO NO CARGADO"))</f>
        <v/>
      </c>
      <c r="C734" s="51"/>
      <c r="D734" s="257"/>
      <c r="E734" s="102"/>
      <c r="F734" s="103"/>
      <c r="G734" s="258"/>
      <c r="I734" s="103"/>
      <c r="K734" s="71"/>
      <c r="L734" s="106" t="str">
        <f>IF(ISBLANK(J734), "", VLOOKUP(C734, 'Info Tipo de Cambio y REM'!$A$24:$B$35, 2, FALSE))</f>
        <v/>
      </c>
      <c r="M734" s="107" t="str">
        <f t="shared" si="2"/>
        <v/>
      </c>
    </row>
    <row r="735">
      <c r="A735" s="102"/>
      <c r="B735" s="43" t="str">
        <f>IF(A735="", "", IFERROR(VLOOKUP(A735, Clasificaciones!A:B, 2, FALSE), "DATO NO CARGADO"))</f>
        <v/>
      </c>
      <c r="C735" s="51"/>
      <c r="D735" s="257"/>
      <c r="E735" s="102"/>
      <c r="F735" s="103"/>
      <c r="G735" s="258"/>
      <c r="I735" s="103"/>
      <c r="K735" s="71"/>
      <c r="L735" s="106" t="str">
        <f>IF(ISBLANK(J735), "", VLOOKUP(C735, 'Info Tipo de Cambio y REM'!$A$24:$B$35, 2, FALSE))</f>
        <v/>
      </c>
      <c r="M735" s="107" t="str">
        <f t="shared" si="2"/>
        <v/>
      </c>
    </row>
    <row r="736">
      <c r="A736" s="102"/>
      <c r="B736" s="43" t="str">
        <f>IF(A736="", "", IFERROR(VLOOKUP(A736, Clasificaciones!A:B, 2, FALSE), "DATO NO CARGADO"))</f>
        <v/>
      </c>
      <c r="C736" s="51"/>
      <c r="D736" s="257"/>
      <c r="E736" s="102"/>
      <c r="F736" s="103"/>
      <c r="G736" s="258"/>
      <c r="I736" s="103"/>
      <c r="K736" s="71"/>
      <c r="L736" s="106" t="str">
        <f>IF(ISBLANK(J736), "", VLOOKUP(C736, 'Info Tipo de Cambio y REM'!$A$24:$B$35, 2, FALSE))</f>
        <v/>
      </c>
      <c r="M736" s="107" t="str">
        <f t="shared" si="2"/>
        <v/>
      </c>
    </row>
    <row r="737">
      <c r="A737" s="102"/>
      <c r="B737" s="43" t="str">
        <f>IF(A737="", "", IFERROR(VLOOKUP(A737, Clasificaciones!A:B, 2, FALSE), "DATO NO CARGADO"))</f>
        <v/>
      </c>
      <c r="C737" s="51"/>
      <c r="D737" s="257"/>
      <c r="E737" s="102"/>
      <c r="F737" s="103"/>
      <c r="G737" s="258"/>
      <c r="I737" s="103"/>
      <c r="K737" s="71"/>
      <c r="L737" s="106" t="str">
        <f>IF(ISBLANK(J737), "", VLOOKUP(C737, 'Info Tipo de Cambio y REM'!$A$24:$B$35, 2, FALSE))</f>
        <v/>
      </c>
      <c r="M737" s="107" t="str">
        <f t="shared" si="2"/>
        <v/>
      </c>
    </row>
    <row r="738">
      <c r="A738" s="102"/>
      <c r="B738" s="43" t="str">
        <f>IF(A738="", "", IFERROR(VLOOKUP(A738, Clasificaciones!A:B, 2, FALSE), "DATO NO CARGADO"))</f>
        <v/>
      </c>
      <c r="C738" s="51"/>
      <c r="D738" s="257"/>
      <c r="E738" s="102"/>
      <c r="F738" s="103"/>
      <c r="G738" s="258"/>
      <c r="I738" s="103"/>
      <c r="K738" s="71"/>
      <c r="L738" s="106" t="str">
        <f>IF(ISBLANK(J738), "", VLOOKUP(C738, 'Info Tipo de Cambio y REM'!$A$24:$B$35, 2, FALSE))</f>
        <v/>
      </c>
      <c r="M738" s="107" t="str">
        <f t="shared" si="2"/>
        <v/>
      </c>
    </row>
    <row r="739">
      <c r="A739" s="102"/>
      <c r="B739" s="43" t="str">
        <f>IF(A739="", "", IFERROR(VLOOKUP(A739, Clasificaciones!A:B, 2, FALSE), "DATO NO CARGADO"))</f>
        <v/>
      </c>
      <c r="C739" s="51"/>
      <c r="D739" s="257"/>
      <c r="E739" s="102"/>
      <c r="F739" s="103"/>
      <c r="G739" s="258"/>
      <c r="I739" s="103"/>
      <c r="K739" s="71"/>
      <c r="L739" s="106" t="str">
        <f>IF(ISBLANK(J739), "", VLOOKUP(C739, 'Info Tipo de Cambio y REM'!$A$24:$B$35, 2, FALSE))</f>
        <v/>
      </c>
      <c r="M739" s="107" t="str">
        <f t="shared" si="2"/>
        <v/>
      </c>
    </row>
    <row r="740">
      <c r="A740" s="102"/>
      <c r="B740" s="43" t="str">
        <f>IF(A740="", "", IFERROR(VLOOKUP(A740, Clasificaciones!A:B, 2, FALSE), "DATO NO CARGADO"))</f>
        <v/>
      </c>
      <c r="C740" s="51"/>
      <c r="D740" s="257"/>
      <c r="E740" s="102"/>
      <c r="F740" s="103"/>
      <c r="G740" s="258"/>
      <c r="I740" s="103"/>
      <c r="K740" s="71"/>
      <c r="L740" s="106" t="str">
        <f>IF(ISBLANK(J740), "", VLOOKUP(C740, 'Info Tipo de Cambio y REM'!$A$24:$B$35, 2, FALSE))</f>
        <v/>
      </c>
      <c r="M740" s="107" t="str">
        <f t="shared" si="2"/>
        <v/>
      </c>
    </row>
    <row r="741">
      <c r="A741" s="102"/>
      <c r="B741" s="43" t="str">
        <f>IF(A741="", "", IFERROR(VLOOKUP(A741, Clasificaciones!A:B, 2, FALSE), "DATO NO CARGADO"))</f>
        <v/>
      </c>
      <c r="C741" s="51"/>
      <c r="D741" s="257"/>
      <c r="E741" s="102"/>
      <c r="F741" s="103"/>
      <c r="G741" s="258"/>
      <c r="I741" s="103"/>
      <c r="K741" s="71"/>
      <c r="L741" s="106" t="str">
        <f>IF(ISBLANK(J741), "", VLOOKUP(C741, 'Info Tipo de Cambio y REM'!$A$24:$B$35, 2, FALSE))</f>
        <v/>
      </c>
      <c r="M741" s="107" t="str">
        <f t="shared" si="2"/>
        <v/>
      </c>
    </row>
    <row r="742">
      <c r="A742" s="102"/>
      <c r="B742" s="43" t="str">
        <f>IF(A742="", "", IFERROR(VLOOKUP(A742, Clasificaciones!A:B, 2, FALSE), "DATO NO CARGADO"))</f>
        <v/>
      </c>
      <c r="C742" s="51"/>
      <c r="D742" s="257"/>
      <c r="E742" s="102"/>
      <c r="F742" s="103"/>
      <c r="G742" s="258"/>
      <c r="I742" s="103"/>
      <c r="K742" s="71"/>
      <c r="L742" s="106" t="str">
        <f>IF(ISBLANK(J742), "", VLOOKUP(C742, 'Info Tipo de Cambio y REM'!$A$24:$B$35, 2, FALSE))</f>
        <v/>
      </c>
      <c r="M742" s="107" t="str">
        <f t="shared" si="2"/>
        <v/>
      </c>
    </row>
    <row r="743">
      <c r="A743" s="102"/>
      <c r="B743" s="43" t="str">
        <f>IF(A743="", "", IFERROR(VLOOKUP(A743, Clasificaciones!A:B, 2, FALSE), "DATO NO CARGADO"))</f>
        <v/>
      </c>
      <c r="C743" s="51"/>
      <c r="D743" s="257"/>
      <c r="E743" s="102"/>
      <c r="F743" s="103"/>
      <c r="G743" s="258"/>
      <c r="I743" s="103"/>
      <c r="K743" s="71"/>
      <c r="L743" s="106" t="str">
        <f>IF(ISBLANK(J743), "", VLOOKUP(C743, 'Info Tipo de Cambio y REM'!$A$24:$B$35, 2, FALSE))</f>
        <v/>
      </c>
      <c r="M743" s="107" t="str">
        <f t="shared" si="2"/>
        <v/>
      </c>
    </row>
    <row r="744">
      <c r="A744" s="102"/>
      <c r="B744" s="43" t="str">
        <f>IF(A744="", "", IFERROR(VLOOKUP(A744, Clasificaciones!A:B, 2, FALSE), "DATO NO CARGADO"))</f>
        <v/>
      </c>
      <c r="C744" s="51"/>
      <c r="D744" s="257"/>
      <c r="E744" s="102"/>
      <c r="F744" s="103"/>
      <c r="G744" s="258"/>
      <c r="I744" s="103"/>
      <c r="K744" s="71"/>
      <c r="L744" s="106" t="str">
        <f>IF(ISBLANK(J744), "", VLOOKUP(C744, 'Info Tipo de Cambio y REM'!$A$24:$B$35, 2, FALSE))</f>
        <v/>
      </c>
      <c r="M744" s="107" t="str">
        <f t="shared" si="2"/>
        <v/>
      </c>
    </row>
    <row r="745">
      <c r="A745" s="102"/>
      <c r="B745" s="43" t="str">
        <f>IF(A745="", "", IFERROR(VLOOKUP(A745, Clasificaciones!A:B, 2, FALSE), "DATO NO CARGADO"))</f>
        <v/>
      </c>
      <c r="C745" s="51"/>
      <c r="D745" s="257"/>
      <c r="E745" s="102"/>
      <c r="F745" s="103"/>
      <c r="G745" s="258"/>
      <c r="I745" s="103"/>
      <c r="K745" s="71"/>
      <c r="L745" s="106" t="str">
        <f>IF(ISBLANK(J745), "", VLOOKUP(C745, 'Info Tipo de Cambio y REM'!$A$24:$B$35, 2, FALSE))</f>
        <v/>
      </c>
      <c r="M745" s="107" t="str">
        <f t="shared" si="2"/>
        <v/>
      </c>
    </row>
    <row r="746">
      <c r="A746" s="102"/>
      <c r="B746" s="43" t="str">
        <f>IF(A746="", "", IFERROR(VLOOKUP(A746, Clasificaciones!A:B, 2, FALSE), "DATO NO CARGADO"))</f>
        <v/>
      </c>
      <c r="C746" s="51"/>
      <c r="D746" s="257"/>
      <c r="E746" s="102"/>
      <c r="F746" s="103"/>
      <c r="G746" s="258"/>
      <c r="I746" s="103"/>
      <c r="K746" s="71"/>
      <c r="L746" s="106" t="str">
        <f>IF(ISBLANK(J746), "", VLOOKUP(C746, 'Info Tipo de Cambio y REM'!$A$24:$B$35, 2, FALSE))</f>
        <v/>
      </c>
      <c r="M746" s="107" t="str">
        <f t="shared" si="2"/>
        <v/>
      </c>
    </row>
    <row r="747">
      <c r="A747" s="102"/>
      <c r="B747" s="43" t="str">
        <f>IF(A747="", "", IFERROR(VLOOKUP(A747, Clasificaciones!A:B, 2, FALSE), "DATO NO CARGADO"))</f>
        <v/>
      </c>
      <c r="C747" s="51"/>
      <c r="D747" s="257"/>
      <c r="E747" s="102"/>
      <c r="F747" s="103"/>
      <c r="G747" s="258"/>
      <c r="I747" s="103"/>
      <c r="K747" s="71"/>
      <c r="L747" s="106" t="str">
        <f>IF(ISBLANK(J747), "", VLOOKUP(C747, 'Info Tipo de Cambio y REM'!$A$24:$B$35, 2, FALSE))</f>
        <v/>
      </c>
      <c r="M747" s="107" t="str">
        <f t="shared" si="2"/>
        <v/>
      </c>
    </row>
    <row r="748">
      <c r="A748" s="102"/>
      <c r="B748" s="43" t="str">
        <f>IF(A748="", "", IFERROR(VLOOKUP(A748, Clasificaciones!A:B, 2, FALSE), "DATO NO CARGADO"))</f>
        <v/>
      </c>
      <c r="C748" s="51"/>
      <c r="D748" s="257"/>
      <c r="E748" s="102"/>
      <c r="F748" s="103"/>
      <c r="G748" s="258"/>
      <c r="I748" s="103"/>
      <c r="K748" s="71"/>
      <c r="L748" s="106" t="str">
        <f>IF(ISBLANK(J748), "", VLOOKUP(C748, 'Info Tipo de Cambio y REM'!$A$24:$B$35, 2, FALSE))</f>
        <v/>
      </c>
      <c r="M748" s="107" t="str">
        <f t="shared" si="2"/>
        <v/>
      </c>
    </row>
    <row r="749">
      <c r="A749" s="102"/>
      <c r="B749" s="43" t="str">
        <f>IF(A749="", "", IFERROR(VLOOKUP(A749, Clasificaciones!A:B, 2, FALSE), "DATO NO CARGADO"))</f>
        <v/>
      </c>
      <c r="C749" s="51"/>
      <c r="D749" s="257"/>
      <c r="E749" s="102"/>
      <c r="F749" s="103"/>
      <c r="G749" s="258"/>
      <c r="I749" s="103"/>
      <c r="K749" s="71"/>
      <c r="L749" s="106" t="str">
        <f>IF(ISBLANK(J749), "", VLOOKUP(C749, 'Info Tipo de Cambio y REM'!$A$24:$B$35, 2, FALSE))</f>
        <v/>
      </c>
      <c r="M749" s="107" t="str">
        <f t="shared" si="2"/>
        <v/>
      </c>
    </row>
    <row r="750">
      <c r="A750" s="102"/>
      <c r="B750" s="43" t="str">
        <f>IF(A750="", "", IFERROR(VLOOKUP(A750, Clasificaciones!A:B, 2, FALSE), "DATO NO CARGADO"))</f>
        <v/>
      </c>
      <c r="C750" s="51"/>
      <c r="D750" s="257"/>
      <c r="E750" s="102"/>
      <c r="F750" s="103"/>
      <c r="G750" s="258"/>
      <c r="I750" s="103"/>
      <c r="K750" s="71"/>
      <c r="L750" s="106" t="str">
        <f>IF(ISBLANK(J750), "", VLOOKUP(C750, 'Info Tipo de Cambio y REM'!$A$24:$B$35, 2, FALSE))</f>
        <v/>
      </c>
      <c r="M750" s="107" t="str">
        <f t="shared" si="2"/>
        <v/>
      </c>
    </row>
    <row r="751">
      <c r="A751" s="102"/>
      <c r="B751" s="43" t="str">
        <f>IF(A751="", "", IFERROR(VLOOKUP(A751, Clasificaciones!A:B, 2, FALSE), "DATO NO CARGADO"))</f>
        <v/>
      </c>
      <c r="C751" s="51"/>
      <c r="D751" s="257"/>
      <c r="E751" s="102"/>
      <c r="F751" s="103"/>
      <c r="G751" s="258"/>
      <c r="I751" s="103"/>
      <c r="K751" s="71"/>
      <c r="L751" s="106" t="str">
        <f>IF(ISBLANK(J751), "", VLOOKUP(C751, 'Info Tipo de Cambio y REM'!$A$24:$B$35, 2, FALSE))</f>
        <v/>
      </c>
      <c r="M751" s="107" t="str">
        <f t="shared" si="2"/>
        <v/>
      </c>
    </row>
    <row r="752">
      <c r="A752" s="102"/>
      <c r="B752" s="43" t="str">
        <f>IF(A752="", "", IFERROR(VLOOKUP(A752, Clasificaciones!A:B, 2, FALSE), "DATO NO CARGADO"))</f>
        <v/>
      </c>
      <c r="C752" s="51"/>
      <c r="D752" s="257"/>
      <c r="E752" s="102"/>
      <c r="F752" s="103"/>
      <c r="G752" s="258"/>
      <c r="I752" s="103"/>
      <c r="K752" s="71"/>
      <c r="L752" s="106" t="str">
        <f>IF(ISBLANK(J752), "", VLOOKUP(C752, 'Info Tipo de Cambio y REM'!$A$24:$B$35, 2, FALSE))</f>
        <v/>
      </c>
      <c r="M752" s="107" t="str">
        <f t="shared" si="2"/>
        <v/>
      </c>
    </row>
    <row r="753">
      <c r="A753" s="102"/>
      <c r="B753" s="43" t="str">
        <f>IF(A753="", "", IFERROR(VLOOKUP(A753, Clasificaciones!A:B, 2, FALSE), "DATO NO CARGADO"))</f>
        <v/>
      </c>
      <c r="C753" s="51"/>
      <c r="D753" s="257"/>
      <c r="E753" s="102"/>
      <c r="F753" s="103"/>
      <c r="G753" s="258"/>
      <c r="I753" s="103"/>
      <c r="K753" s="71"/>
      <c r="L753" s="106" t="str">
        <f>IF(ISBLANK(J753), "", VLOOKUP(C753, 'Info Tipo de Cambio y REM'!$A$24:$B$35, 2, FALSE))</f>
        <v/>
      </c>
      <c r="M753" s="107" t="str">
        <f t="shared" si="2"/>
        <v/>
      </c>
    </row>
    <row r="754">
      <c r="A754" s="102"/>
      <c r="B754" s="43" t="str">
        <f>IF(A754="", "", IFERROR(VLOOKUP(A754, Clasificaciones!A:B, 2, FALSE), "DATO NO CARGADO"))</f>
        <v/>
      </c>
      <c r="C754" s="51"/>
      <c r="D754" s="257"/>
      <c r="E754" s="102"/>
      <c r="F754" s="103"/>
      <c r="G754" s="258"/>
      <c r="I754" s="103"/>
      <c r="K754" s="71"/>
      <c r="L754" s="106" t="str">
        <f>IF(ISBLANK(J754), "", VLOOKUP(C754, 'Info Tipo de Cambio y REM'!$A$24:$B$35, 2, FALSE))</f>
        <v/>
      </c>
      <c r="M754" s="107" t="str">
        <f t="shared" si="2"/>
        <v/>
      </c>
    </row>
    <row r="755">
      <c r="A755" s="102"/>
      <c r="B755" s="43" t="str">
        <f>IF(A755="", "", IFERROR(VLOOKUP(A755, Clasificaciones!A:B, 2, FALSE), "DATO NO CARGADO"))</f>
        <v/>
      </c>
      <c r="C755" s="51"/>
      <c r="D755" s="257"/>
      <c r="E755" s="102"/>
      <c r="F755" s="103"/>
      <c r="G755" s="258"/>
      <c r="I755" s="103"/>
      <c r="K755" s="71"/>
      <c r="L755" s="106" t="str">
        <f>IF(ISBLANK(J755), "", VLOOKUP(C755, 'Info Tipo de Cambio y REM'!$A$24:$B$35, 2, FALSE))</f>
        <v/>
      </c>
      <c r="M755" s="107" t="str">
        <f t="shared" si="2"/>
        <v/>
      </c>
    </row>
    <row r="756">
      <c r="A756" s="102"/>
      <c r="B756" s="43" t="str">
        <f>IF(A756="", "", IFERROR(VLOOKUP(A756, Clasificaciones!A:B, 2, FALSE), "DATO NO CARGADO"))</f>
        <v/>
      </c>
      <c r="C756" s="51"/>
      <c r="D756" s="257"/>
      <c r="E756" s="102"/>
      <c r="F756" s="103"/>
      <c r="G756" s="258"/>
      <c r="I756" s="103"/>
      <c r="K756" s="71"/>
      <c r="L756" s="106" t="str">
        <f>IF(ISBLANK(J756), "", VLOOKUP(C756, 'Info Tipo de Cambio y REM'!$A$24:$B$35, 2, FALSE))</f>
        <v/>
      </c>
      <c r="M756" s="107" t="str">
        <f t="shared" si="2"/>
        <v/>
      </c>
    </row>
    <row r="757">
      <c r="A757" s="102"/>
      <c r="B757" s="43" t="str">
        <f>IF(A757="", "", IFERROR(VLOOKUP(A757, Clasificaciones!A:B, 2, FALSE), "DATO NO CARGADO"))</f>
        <v/>
      </c>
      <c r="C757" s="51"/>
      <c r="D757" s="257"/>
      <c r="E757" s="102"/>
      <c r="F757" s="103"/>
      <c r="G757" s="258"/>
      <c r="I757" s="103"/>
      <c r="K757" s="71"/>
      <c r="L757" s="106" t="str">
        <f>IF(ISBLANK(J757), "", VLOOKUP(C757, 'Info Tipo de Cambio y REM'!$A$24:$B$35, 2, FALSE))</f>
        <v/>
      </c>
      <c r="M757" s="107" t="str">
        <f t="shared" si="2"/>
        <v/>
      </c>
    </row>
    <row r="758">
      <c r="A758" s="102"/>
      <c r="B758" s="43" t="str">
        <f>IF(A758="", "", IFERROR(VLOOKUP(A758, Clasificaciones!A:B, 2, FALSE), "DATO NO CARGADO"))</f>
        <v/>
      </c>
      <c r="C758" s="51"/>
      <c r="D758" s="257"/>
      <c r="E758" s="102"/>
      <c r="F758" s="103"/>
      <c r="G758" s="258"/>
      <c r="I758" s="103"/>
      <c r="K758" s="71"/>
      <c r="L758" s="106" t="str">
        <f>IF(ISBLANK(J758), "", VLOOKUP(C758, 'Info Tipo de Cambio y REM'!$A$24:$B$35, 2, FALSE))</f>
        <v/>
      </c>
      <c r="M758" s="107" t="str">
        <f t="shared" si="2"/>
        <v/>
      </c>
    </row>
    <row r="759">
      <c r="A759" s="102"/>
      <c r="B759" s="43" t="str">
        <f>IF(A759="", "", IFERROR(VLOOKUP(A759, Clasificaciones!A:B, 2, FALSE), "DATO NO CARGADO"))</f>
        <v/>
      </c>
      <c r="C759" s="51"/>
      <c r="D759" s="257"/>
      <c r="E759" s="102"/>
      <c r="F759" s="103"/>
      <c r="G759" s="258"/>
      <c r="I759" s="103"/>
      <c r="K759" s="71"/>
      <c r="L759" s="106" t="str">
        <f>IF(ISBLANK(J759), "", VLOOKUP(C759, 'Info Tipo de Cambio y REM'!$A$24:$B$35, 2, FALSE))</f>
        <v/>
      </c>
      <c r="M759" s="107" t="str">
        <f t="shared" si="2"/>
        <v/>
      </c>
    </row>
    <row r="760">
      <c r="A760" s="102"/>
      <c r="B760" s="43" t="str">
        <f>IF(A760="", "", IFERROR(VLOOKUP(A760, Clasificaciones!A:B, 2, FALSE), "DATO NO CARGADO"))</f>
        <v/>
      </c>
      <c r="C760" s="51"/>
      <c r="D760" s="257"/>
      <c r="E760" s="102"/>
      <c r="F760" s="103"/>
      <c r="G760" s="258"/>
      <c r="I760" s="103"/>
      <c r="K760" s="71"/>
      <c r="L760" s="106" t="str">
        <f>IF(ISBLANK(J760), "", VLOOKUP(C760, 'Info Tipo de Cambio y REM'!$A$24:$B$35, 2, FALSE))</f>
        <v/>
      </c>
      <c r="M760" s="107" t="str">
        <f t="shared" si="2"/>
        <v/>
      </c>
    </row>
    <row r="761">
      <c r="A761" s="102"/>
      <c r="B761" s="43" t="str">
        <f>IF(A761="", "", IFERROR(VLOOKUP(A761, Clasificaciones!A:B, 2, FALSE), "DATO NO CARGADO"))</f>
        <v/>
      </c>
      <c r="C761" s="51"/>
      <c r="D761" s="257"/>
      <c r="E761" s="102"/>
      <c r="F761" s="103"/>
      <c r="G761" s="258"/>
      <c r="I761" s="103"/>
      <c r="K761" s="71"/>
      <c r="L761" s="106" t="str">
        <f>IF(ISBLANK(J761), "", VLOOKUP(C761, 'Info Tipo de Cambio y REM'!$A$24:$B$35, 2, FALSE))</f>
        <v/>
      </c>
      <c r="M761" s="107" t="str">
        <f t="shared" si="2"/>
        <v/>
      </c>
    </row>
    <row r="762">
      <c r="A762" s="102"/>
      <c r="B762" s="43" t="str">
        <f>IF(A762="", "", IFERROR(VLOOKUP(A762, Clasificaciones!A:B, 2, FALSE), "DATO NO CARGADO"))</f>
        <v/>
      </c>
      <c r="C762" s="51"/>
      <c r="D762" s="257"/>
      <c r="E762" s="102"/>
      <c r="F762" s="103"/>
      <c r="G762" s="258"/>
      <c r="I762" s="103"/>
      <c r="K762" s="71"/>
      <c r="L762" s="106" t="str">
        <f>IF(ISBLANK(J762), "", VLOOKUP(C762, 'Info Tipo de Cambio y REM'!$A$24:$B$35, 2, FALSE))</f>
        <v/>
      </c>
      <c r="M762" s="107" t="str">
        <f t="shared" si="2"/>
        <v/>
      </c>
    </row>
    <row r="763">
      <c r="A763" s="102"/>
      <c r="B763" s="43" t="str">
        <f>IF(A763="", "", IFERROR(VLOOKUP(A763, Clasificaciones!A:B, 2, FALSE), "DATO NO CARGADO"))</f>
        <v/>
      </c>
      <c r="C763" s="51"/>
      <c r="D763" s="257"/>
      <c r="E763" s="102"/>
      <c r="F763" s="103"/>
      <c r="G763" s="258"/>
      <c r="I763" s="103"/>
      <c r="K763" s="71"/>
      <c r="L763" s="106" t="str">
        <f>IF(ISBLANK(J763), "", VLOOKUP(C763, 'Info Tipo de Cambio y REM'!$A$24:$B$35, 2, FALSE))</f>
        <v/>
      </c>
      <c r="M763" s="107" t="str">
        <f t="shared" si="2"/>
        <v/>
      </c>
    </row>
    <row r="764">
      <c r="A764" s="102"/>
      <c r="B764" s="43" t="str">
        <f>IF(A764="", "", IFERROR(VLOOKUP(A764, Clasificaciones!A:B, 2, FALSE), "DATO NO CARGADO"))</f>
        <v/>
      </c>
      <c r="C764" s="51"/>
      <c r="D764" s="257"/>
      <c r="E764" s="102"/>
      <c r="F764" s="103"/>
      <c r="G764" s="258"/>
      <c r="I764" s="103"/>
      <c r="K764" s="71"/>
      <c r="L764" s="106" t="str">
        <f>IF(ISBLANK(J764), "", VLOOKUP(C764, 'Info Tipo de Cambio y REM'!$A$24:$B$35, 2, FALSE))</f>
        <v/>
      </c>
      <c r="M764" s="107" t="str">
        <f t="shared" si="2"/>
        <v/>
      </c>
    </row>
    <row r="765">
      <c r="A765" s="102"/>
      <c r="B765" s="43" t="str">
        <f>IF(A765="", "", IFERROR(VLOOKUP(A765, Clasificaciones!A:B, 2, FALSE), "DATO NO CARGADO"))</f>
        <v/>
      </c>
      <c r="C765" s="51"/>
      <c r="D765" s="257"/>
      <c r="E765" s="102"/>
      <c r="F765" s="103"/>
      <c r="G765" s="258"/>
      <c r="I765" s="103"/>
      <c r="K765" s="71"/>
      <c r="L765" s="106" t="str">
        <f>IF(ISBLANK(J765), "", VLOOKUP(C765, 'Info Tipo de Cambio y REM'!$A$24:$B$35, 2, FALSE))</f>
        <v/>
      </c>
      <c r="M765" s="107" t="str">
        <f t="shared" si="2"/>
        <v/>
      </c>
    </row>
    <row r="766">
      <c r="A766" s="102"/>
      <c r="B766" s="43" t="str">
        <f>IF(A766="", "", IFERROR(VLOOKUP(A766, Clasificaciones!A:B, 2, FALSE), "DATO NO CARGADO"))</f>
        <v/>
      </c>
      <c r="C766" s="51"/>
      <c r="D766" s="257"/>
      <c r="E766" s="102"/>
      <c r="F766" s="103"/>
      <c r="G766" s="258"/>
      <c r="I766" s="103"/>
      <c r="K766" s="71"/>
      <c r="L766" s="106" t="str">
        <f>IF(ISBLANK(J766), "", VLOOKUP(C766, 'Info Tipo de Cambio y REM'!$A$24:$B$35, 2, FALSE))</f>
        <v/>
      </c>
      <c r="M766" s="107" t="str">
        <f t="shared" si="2"/>
        <v/>
      </c>
    </row>
    <row r="767">
      <c r="A767" s="102"/>
      <c r="B767" s="43" t="str">
        <f>IF(A767="", "", IFERROR(VLOOKUP(A767, Clasificaciones!A:B, 2, FALSE), "DATO NO CARGADO"))</f>
        <v/>
      </c>
      <c r="C767" s="51"/>
      <c r="D767" s="257"/>
      <c r="E767" s="102"/>
      <c r="F767" s="103"/>
      <c r="G767" s="258"/>
      <c r="I767" s="103"/>
      <c r="K767" s="71"/>
      <c r="L767" s="106" t="str">
        <f>IF(ISBLANK(J767), "", VLOOKUP(C767, 'Info Tipo de Cambio y REM'!$A$24:$B$35, 2, FALSE))</f>
        <v/>
      </c>
      <c r="M767" s="107" t="str">
        <f t="shared" si="2"/>
        <v/>
      </c>
    </row>
    <row r="768">
      <c r="A768" s="102"/>
      <c r="B768" s="43" t="str">
        <f>IF(A768="", "", IFERROR(VLOOKUP(A768, Clasificaciones!A:B, 2, FALSE), "DATO NO CARGADO"))</f>
        <v/>
      </c>
      <c r="C768" s="51"/>
      <c r="D768" s="257"/>
      <c r="E768" s="102"/>
      <c r="F768" s="103"/>
      <c r="G768" s="258"/>
      <c r="I768" s="103"/>
      <c r="K768" s="71"/>
      <c r="L768" s="106" t="str">
        <f>IF(ISBLANK(J768), "", VLOOKUP(C768, 'Info Tipo de Cambio y REM'!$A$24:$B$35, 2, FALSE))</f>
        <v/>
      </c>
      <c r="M768" s="107" t="str">
        <f t="shared" si="2"/>
        <v/>
      </c>
    </row>
    <row r="769">
      <c r="A769" s="102"/>
      <c r="B769" s="43" t="str">
        <f>IF(A769="", "", IFERROR(VLOOKUP(A769, Clasificaciones!A:B, 2, FALSE), "DATO NO CARGADO"))</f>
        <v/>
      </c>
      <c r="C769" s="51"/>
      <c r="D769" s="257"/>
      <c r="E769" s="102"/>
      <c r="F769" s="103"/>
      <c r="G769" s="258"/>
      <c r="I769" s="103"/>
      <c r="K769" s="71"/>
      <c r="L769" s="106" t="str">
        <f>IF(ISBLANK(J769), "", VLOOKUP(C769, 'Info Tipo de Cambio y REM'!$A$24:$B$35, 2, FALSE))</f>
        <v/>
      </c>
      <c r="M769" s="107" t="str">
        <f t="shared" si="2"/>
        <v/>
      </c>
    </row>
    <row r="770">
      <c r="A770" s="102"/>
      <c r="B770" s="43" t="str">
        <f>IF(A770="", "", IFERROR(VLOOKUP(A770, Clasificaciones!A:B, 2, FALSE), "DATO NO CARGADO"))</f>
        <v/>
      </c>
      <c r="C770" s="51"/>
      <c r="D770" s="257"/>
      <c r="E770" s="102"/>
      <c r="F770" s="103"/>
      <c r="G770" s="258"/>
      <c r="I770" s="103"/>
      <c r="K770" s="71"/>
      <c r="L770" s="106" t="str">
        <f>IF(ISBLANK(J770), "", VLOOKUP(C770, 'Info Tipo de Cambio y REM'!$A$24:$B$35, 2, FALSE))</f>
        <v/>
      </c>
      <c r="M770" s="107" t="str">
        <f t="shared" si="2"/>
        <v/>
      </c>
    </row>
    <row r="771">
      <c r="A771" s="102"/>
      <c r="B771" s="43" t="str">
        <f>IF(A771="", "", IFERROR(VLOOKUP(A771, Clasificaciones!A:B, 2, FALSE), "DATO NO CARGADO"))</f>
        <v/>
      </c>
      <c r="C771" s="51"/>
      <c r="D771" s="257"/>
      <c r="E771" s="102"/>
      <c r="F771" s="103"/>
      <c r="G771" s="258"/>
      <c r="I771" s="103"/>
      <c r="K771" s="71"/>
      <c r="L771" s="106" t="str">
        <f>IF(ISBLANK(J771), "", VLOOKUP(C771, 'Info Tipo de Cambio y REM'!$A$24:$B$35, 2, FALSE))</f>
        <v/>
      </c>
      <c r="M771" s="107" t="str">
        <f t="shared" si="2"/>
        <v/>
      </c>
    </row>
    <row r="772">
      <c r="A772" s="102"/>
      <c r="B772" s="43" t="str">
        <f>IF(A772="", "", IFERROR(VLOOKUP(A772, Clasificaciones!A:B, 2, FALSE), "DATO NO CARGADO"))</f>
        <v/>
      </c>
      <c r="C772" s="51"/>
      <c r="D772" s="257"/>
      <c r="E772" s="102"/>
      <c r="F772" s="103"/>
      <c r="G772" s="258"/>
      <c r="I772" s="103"/>
      <c r="K772" s="71"/>
      <c r="L772" s="106" t="str">
        <f>IF(ISBLANK(J772), "", VLOOKUP(C772, 'Info Tipo de Cambio y REM'!$A$24:$B$35, 2, FALSE))</f>
        <v/>
      </c>
      <c r="M772" s="107" t="str">
        <f t="shared" si="2"/>
        <v/>
      </c>
    </row>
    <row r="773">
      <c r="A773" s="102"/>
      <c r="B773" s="43" t="str">
        <f>IF(A773="", "", IFERROR(VLOOKUP(A773, Clasificaciones!A:B, 2, FALSE), "DATO NO CARGADO"))</f>
        <v/>
      </c>
      <c r="C773" s="51"/>
      <c r="D773" s="257"/>
      <c r="E773" s="102"/>
      <c r="F773" s="103"/>
      <c r="G773" s="258"/>
      <c r="I773" s="103"/>
      <c r="K773" s="71"/>
      <c r="L773" s="106" t="str">
        <f>IF(ISBLANK(J773), "", VLOOKUP(C773, 'Info Tipo de Cambio y REM'!$A$24:$B$35, 2, FALSE))</f>
        <v/>
      </c>
      <c r="M773" s="107" t="str">
        <f t="shared" si="2"/>
        <v/>
      </c>
    </row>
    <row r="774">
      <c r="A774" s="102"/>
      <c r="B774" s="43" t="str">
        <f>IF(A774="", "", IFERROR(VLOOKUP(A774, Clasificaciones!A:B, 2, FALSE), "DATO NO CARGADO"))</f>
        <v/>
      </c>
      <c r="C774" s="51"/>
      <c r="D774" s="257"/>
      <c r="E774" s="102"/>
      <c r="F774" s="103"/>
      <c r="G774" s="258"/>
      <c r="I774" s="103"/>
      <c r="K774" s="71"/>
      <c r="L774" s="106" t="str">
        <f>IF(ISBLANK(J774), "", VLOOKUP(C774, 'Info Tipo de Cambio y REM'!$A$24:$B$35, 2, FALSE))</f>
        <v/>
      </c>
      <c r="M774" s="107" t="str">
        <f t="shared" si="2"/>
        <v/>
      </c>
    </row>
    <row r="775">
      <c r="A775" s="102"/>
      <c r="B775" s="43" t="str">
        <f>IF(A775="", "", IFERROR(VLOOKUP(A775, Clasificaciones!A:B, 2, FALSE), "DATO NO CARGADO"))</f>
        <v/>
      </c>
      <c r="C775" s="51"/>
      <c r="D775" s="257"/>
      <c r="E775" s="102"/>
      <c r="F775" s="103"/>
      <c r="G775" s="258"/>
      <c r="I775" s="103"/>
      <c r="K775" s="71"/>
      <c r="L775" s="106" t="str">
        <f>IF(ISBLANK(J775), "", VLOOKUP(C775, 'Info Tipo de Cambio y REM'!$A$24:$B$35, 2, FALSE))</f>
        <v/>
      </c>
      <c r="M775" s="107" t="str">
        <f t="shared" si="2"/>
        <v/>
      </c>
    </row>
    <row r="776">
      <c r="A776" s="102"/>
      <c r="B776" s="43" t="str">
        <f>IF(A776="", "", IFERROR(VLOOKUP(A776, Clasificaciones!A:B, 2, FALSE), "DATO NO CARGADO"))</f>
        <v/>
      </c>
      <c r="C776" s="51"/>
      <c r="D776" s="257"/>
      <c r="E776" s="102"/>
      <c r="F776" s="103"/>
      <c r="G776" s="258"/>
      <c r="I776" s="103"/>
      <c r="K776" s="71"/>
      <c r="L776" s="106" t="str">
        <f>IF(ISBLANK(J776), "", VLOOKUP(C776, 'Info Tipo de Cambio y REM'!$A$24:$B$35, 2, FALSE))</f>
        <v/>
      </c>
      <c r="M776" s="107" t="str">
        <f t="shared" si="2"/>
        <v/>
      </c>
    </row>
    <row r="777">
      <c r="A777" s="102"/>
      <c r="B777" s="43" t="str">
        <f>IF(A777="", "", IFERROR(VLOOKUP(A777, Clasificaciones!A:B, 2, FALSE), "DATO NO CARGADO"))</f>
        <v/>
      </c>
      <c r="C777" s="51"/>
      <c r="D777" s="257"/>
      <c r="E777" s="102"/>
      <c r="F777" s="103"/>
      <c r="G777" s="258"/>
      <c r="I777" s="103"/>
      <c r="K777" s="71"/>
      <c r="L777" s="106" t="str">
        <f>IF(ISBLANK(J777), "", VLOOKUP(C777, 'Info Tipo de Cambio y REM'!$A$24:$B$35, 2, FALSE))</f>
        <v/>
      </c>
      <c r="M777" s="107" t="str">
        <f t="shared" si="2"/>
        <v/>
      </c>
    </row>
    <row r="778">
      <c r="A778" s="102"/>
      <c r="B778" s="43" t="str">
        <f>IF(A778="", "", IFERROR(VLOOKUP(A778, Clasificaciones!A:B, 2, FALSE), "DATO NO CARGADO"))</f>
        <v/>
      </c>
      <c r="C778" s="51"/>
      <c r="D778" s="257"/>
      <c r="E778" s="102"/>
      <c r="F778" s="103"/>
      <c r="G778" s="258"/>
      <c r="I778" s="103"/>
      <c r="K778" s="71"/>
      <c r="L778" s="106" t="str">
        <f>IF(ISBLANK(J778), "", VLOOKUP(C778, 'Info Tipo de Cambio y REM'!$A$24:$B$35, 2, FALSE))</f>
        <v/>
      </c>
      <c r="M778" s="107" t="str">
        <f t="shared" si="2"/>
        <v/>
      </c>
    </row>
    <row r="779">
      <c r="A779" s="102"/>
      <c r="B779" s="43" t="str">
        <f>IF(A779="", "", IFERROR(VLOOKUP(A779, Clasificaciones!A:B, 2, FALSE), "DATO NO CARGADO"))</f>
        <v/>
      </c>
      <c r="C779" s="51"/>
      <c r="D779" s="257"/>
      <c r="E779" s="102"/>
      <c r="F779" s="103"/>
      <c r="G779" s="258"/>
      <c r="I779" s="103"/>
      <c r="K779" s="71"/>
      <c r="L779" s="106" t="str">
        <f>IF(ISBLANK(J779), "", VLOOKUP(C779, 'Info Tipo de Cambio y REM'!$A$24:$B$35, 2, FALSE))</f>
        <v/>
      </c>
      <c r="M779" s="107" t="str">
        <f t="shared" si="2"/>
        <v/>
      </c>
    </row>
    <row r="780">
      <c r="A780" s="102"/>
      <c r="B780" s="43" t="str">
        <f>IF(A780="", "", IFERROR(VLOOKUP(A780, Clasificaciones!A:B, 2, FALSE), "DATO NO CARGADO"))</f>
        <v/>
      </c>
      <c r="C780" s="51"/>
      <c r="D780" s="257"/>
      <c r="E780" s="102"/>
      <c r="F780" s="103"/>
      <c r="G780" s="258"/>
      <c r="I780" s="103"/>
      <c r="K780" s="71"/>
      <c r="L780" s="106" t="str">
        <f>IF(ISBLANK(J780), "", VLOOKUP(C780, 'Info Tipo de Cambio y REM'!$A$24:$B$35, 2, FALSE))</f>
        <v/>
      </c>
      <c r="M780" s="107" t="str">
        <f t="shared" si="2"/>
        <v/>
      </c>
    </row>
    <row r="781">
      <c r="A781" s="102"/>
      <c r="B781" s="43" t="str">
        <f>IF(A781="", "", IFERROR(VLOOKUP(A781, Clasificaciones!A:B, 2, FALSE), "DATO NO CARGADO"))</f>
        <v/>
      </c>
      <c r="C781" s="51"/>
      <c r="D781" s="257"/>
      <c r="E781" s="102"/>
      <c r="F781" s="103"/>
      <c r="G781" s="258"/>
      <c r="I781" s="103"/>
      <c r="K781" s="71"/>
      <c r="L781" s="106" t="str">
        <f>IF(ISBLANK(J781), "", VLOOKUP(C781, 'Info Tipo de Cambio y REM'!$A$24:$B$35, 2, FALSE))</f>
        <v/>
      </c>
      <c r="M781" s="107" t="str">
        <f t="shared" si="2"/>
        <v/>
      </c>
    </row>
    <row r="782">
      <c r="A782" s="102"/>
      <c r="B782" s="43" t="str">
        <f>IF(A782="", "", IFERROR(VLOOKUP(A782, Clasificaciones!A:B, 2, FALSE), "DATO NO CARGADO"))</f>
        <v/>
      </c>
      <c r="C782" s="51"/>
      <c r="D782" s="257"/>
      <c r="E782" s="102"/>
      <c r="F782" s="103"/>
      <c r="G782" s="258"/>
      <c r="I782" s="103"/>
      <c r="K782" s="71"/>
      <c r="L782" s="106" t="str">
        <f>IF(ISBLANK(J782), "", VLOOKUP(C782, 'Info Tipo de Cambio y REM'!$A$24:$B$35, 2, FALSE))</f>
        <v/>
      </c>
      <c r="M782" s="107" t="str">
        <f t="shared" si="2"/>
        <v/>
      </c>
    </row>
    <row r="783">
      <c r="A783" s="102"/>
      <c r="B783" s="43" t="str">
        <f>IF(A783="", "", IFERROR(VLOOKUP(A783, Clasificaciones!A:B, 2, FALSE), "DATO NO CARGADO"))</f>
        <v/>
      </c>
      <c r="C783" s="51"/>
      <c r="D783" s="257"/>
      <c r="E783" s="102"/>
      <c r="F783" s="103"/>
      <c r="G783" s="258"/>
      <c r="I783" s="103"/>
      <c r="K783" s="71"/>
      <c r="L783" s="106" t="str">
        <f>IF(ISBLANK(J783), "", VLOOKUP(C783, 'Info Tipo de Cambio y REM'!$A$24:$B$35, 2, FALSE))</f>
        <v/>
      </c>
      <c r="M783" s="107" t="str">
        <f t="shared" si="2"/>
        <v/>
      </c>
    </row>
    <row r="784">
      <c r="A784" s="102"/>
      <c r="B784" s="43" t="str">
        <f>IF(A784="", "", IFERROR(VLOOKUP(A784, Clasificaciones!A:B, 2, FALSE), "DATO NO CARGADO"))</f>
        <v/>
      </c>
      <c r="C784" s="51"/>
      <c r="D784" s="257"/>
      <c r="E784" s="102"/>
      <c r="F784" s="103"/>
      <c r="G784" s="258"/>
      <c r="I784" s="103"/>
      <c r="K784" s="71"/>
      <c r="L784" s="106" t="str">
        <f>IF(ISBLANK(J784), "", VLOOKUP(C784, 'Info Tipo de Cambio y REM'!$A$24:$B$35, 2, FALSE))</f>
        <v/>
      </c>
      <c r="M784" s="107" t="str">
        <f t="shared" si="2"/>
        <v/>
      </c>
    </row>
    <row r="785">
      <c r="A785" s="102"/>
      <c r="B785" s="43" t="str">
        <f>IF(A785="", "", IFERROR(VLOOKUP(A785, Clasificaciones!A:B, 2, FALSE), "DATO NO CARGADO"))</f>
        <v/>
      </c>
      <c r="C785" s="51"/>
      <c r="D785" s="257"/>
      <c r="E785" s="102"/>
      <c r="F785" s="103"/>
      <c r="G785" s="258"/>
      <c r="I785" s="103"/>
      <c r="K785" s="71"/>
      <c r="L785" s="106" t="str">
        <f>IF(ISBLANK(J785), "", VLOOKUP(C785, 'Info Tipo de Cambio y REM'!$A$24:$B$35, 2, FALSE))</f>
        <v/>
      </c>
      <c r="M785" s="107" t="str">
        <f t="shared" si="2"/>
        <v/>
      </c>
    </row>
    <row r="786">
      <c r="A786" s="102"/>
      <c r="B786" s="43" t="str">
        <f>IF(A786="", "", IFERROR(VLOOKUP(A786, Clasificaciones!A:B, 2, FALSE), "DATO NO CARGADO"))</f>
        <v/>
      </c>
      <c r="C786" s="51"/>
      <c r="D786" s="257"/>
      <c r="E786" s="102"/>
      <c r="F786" s="103"/>
      <c r="G786" s="258"/>
      <c r="I786" s="103"/>
      <c r="K786" s="71"/>
      <c r="L786" s="106" t="str">
        <f>IF(ISBLANK(J786), "", VLOOKUP(C786, 'Info Tipo de Cambio y REM'!$A$24:$B$35, 2, FALSE))</f>
        <v/>
      </c>
      <c r="M786" s="107" t="str">
        <f t="shared" si="2"/>
        <v/>
      </c>
    </row>
    <row r="787">
      <c r="A787" s="102"/>
      <c r="B787" s="43" t="str">
        <f>IF(A787="", "", IFERROR(VLOOKUP(A787, Clasificaciones!A:B, 2, FALSE), "DATO NO CARGADO"))</f>
        <v/>
      </c>
      <c r="C787" s="51"/>
      <c r="D787" s="257"/>
      <c r="E787" s="102"/>
      <c r="F787" s="103"/>
      <c r="G787" s="258"/>
      <c r="I787" s="103"/>
      <c r="K787" s="71"/>
      <c r="L787" s="106" t="str">
        <f>IF(ISBLANK(J787), "", VLOOKUP(C787, 'Info Tipo de Cambio y REM'!$A$24:$B$35, 2, FALSE))</f>
        <v/>
      </c>
      <c r="M787" s="107" t="str">
        <f t="shared" si="2"/>
        <v/>
      </c>
    </row>
    <row r="788">
      <c r="A788" s="102"/>
      <c r="B788" s="43" t="str">
        <f>IF(A788="", "", IFERROR(VLOOKUP(A788, Clasificaciones!A:B, 2, FALSE), "DATO NO CARGADO"))</f>
        <v/>
      </c>
      <c r="C788" s="51"/>
      <c r="D788" s="257"/>
      <c r="E788" s="102"/>
      <c r="F788" s="103"/>
      <c r="G788" s="258"/>
      <c r="I788" s="103"/>
      <c r="K788" s="71"/>
      <c r="L788" s="106" t="str">
        <f>IF(ISBLANK(J788), "", VLOOKUP(C788, 'Info Tipo de Cambio y REM'!$A$24:$B$35, 2, FALSE))</f>
        <v/>
      </c>
      <c r="M788" s="107" t="str">
        <f t="shared" si="2"/>
        <v/>
      </c>
    </row>
    <row r="789">
      <c r="A789" s="102"/>
      <c r="B789" s="43" t="str">
        <f>IF(A789="", "", IFERROR(VLOOKUP(A789, Clasificaciones!A:B, 2, FALSE), "DATO NO CARGADO"))</f>
        <v/>
      </c>
      <c r="C789" s="51"/>
      <c r="D789" s="257"/>
      <c r="E789" s="102"/>
      <c r="F789" s="103"/>
      <c r="G789" s="258"/>
      <c r="I789" s="103"/>
      <c r="K789" s="71"/>
      <c r="L789" s="106" t="str">
        <f>IF(ISBLANK(J789), "", VLOOKUP(C789, 'Info Tipo de Cambio y REM'!$A$24:$B$35, 2, FALSE))</f>
        <v/>
      </c>
      <c r="M789" s="107" t="str">
        <f t="shared" si="2"/>
        <v/>
      </c>
    </row>
    <row r="790">
      <c r="A790" s="102"/>
      <c r="B790" s="43" t="str">
        <f>IF(A790="", "", IFERROR(VLOOKUP(A790, Clasificaciones!A:B, 2, FALSE), "DATO NO CARGADO"))</f>
        <v/>
      </c>
      <c r="C790" s="51"/>
      <c r="D790" s="257"/>
      <c r="E790" s="102"/>
      <c r="F790" s="103"/>
      <c r="G790" s="258"/>
      <c r="I790" s="103"/>
      <c r="K790" s="71"/>
      <c r="L790" s="106" t="str">
        <f>IF(ISBLANK(J790), "", VLOOKUP(C790, 'Info Tipo de Cambio y REM'!$A$24:$B$35, 2, FALSE))</f>
        <v/>
      </c>
      <c r="M790" s="107" t="str">
        <f t="shared" si="2"/>
        <v/>
      </c>
    </row>
    <row r="791">
      <c r="A791" s="102"/>
      <c r="B791" s="43" t="str">
        <f>IF(A791="", "", IFERROR(VLOOKUP(A791, Clasificaciones!A:B, 2, FALSE), "DATO NO CARGADO"))</f>
        <v/>
      </c>
      <c r="C791" s="51"/>
      <c r="D791" s="257"/>
      <c r="E791" s="102"/>
      <c r="F791" s="103"/>
      <c r="G791" s="258"/>
      <c r="I791" s="103"/>
      <c r="K791" s="71"/>
      <c r="L791" s="106" t="str">
        <f>IF(ISBLANK(J791), "", VLOOKUP(C791, 'Info Tipo de Cambio y REM'!$A$24:$B$35, 2, FALSE))</f>
        <v/>
      </c>
      <c r="M791" s="107" t="str">
        <f t="shared" si="2"/>
        <v/>
      </c>
    </row>
    <row r="792">
      <c r="A792" s="102"/>
      <c r="B792" s="43" t="str">
        <f>IF(A792="", "", IFERROR(VLOOKUP(A792, Clasificaciones!A:B, 2, FALSE), "DATO NO CARGADO"))</f>
        <v/>
      </c>
      <c r="C792" s="51"/>
      <c r="D792" s="257"/>
      <c r="E792" s="102"/>
      <c r="F792" s="103"/>
      <c r="G792" s="258"/>
      <c r="I792" s="103"/>
      <c r="K792" s="71"/>
      <c r="L792" s="106" t="str">
        <f>IF(ISBLANK(J792), "", VLOOKUP(C792, 'Info Tipo de Cambio y REM'!$A$24:$B$35, 2, FALSE))</f>
        <v/>
      </c>
      <c r="M792" s="107" t="str">
        <f t="shared" si="2"/>
        <v/>
      </c>
    </row>
    <row r="793">
      <c r="A793" s="102"/>
      <c r="B793" s="43" t="str">
        <f>IF(A793="", "", IFERROR(VLOOKUP(A793, Clasificaciones!A:B, 2, FALSE), "DATO NO CARGADO"))</f>
        <v/>
      </c>
      <c r="C793" s="51"/>
      <c r="D793" s="257"/>
      <c r="E793" s="102"/>
      <c r="F793" s="103"/>
      <c r="G793" s="258"/>
      <c r="I793" s="103"/>
      <c r="K793" s="71"/>
      <c r="L793" s="106" t="str">
        <f>IF(ISBLANK(J793), "", VLOOKUP(C793, 'Info Tipo de Cambio y REM'!$A$24:$B$35, 2, FALSE))</f>
        <v/>
      </c>
      <c r="M793" s="107" t="str">
        <f t="shared" si="2"/>
        <v/>
      </c>
    </row>
    <row r="794">
      <c r="A794" s="102"/>
      <c r="B794" s="43" t="str">
        <f>IF(A794="", "", IFERROR(VLOOKUP(A794, Clasificaciones!A:B, 2, FALSE), "DATO NO CARGADO"))</f>
        <v/>
      </c>
      <c r="C794" s="51"/>
      <c r="D794" s="257"/>
      <c r="E794" s="102"/>
      <c r="F794" s="103"/>
      <c r="G794" s="258"/>
      <c r="I794" s="103"/>
      <c r="K794" s="71"/>
      <c r="L794" s="106" t="str">
        <f>IF(ISBLANK(J794), "", VLOOKUP(C794, 'Info Tipo de Cambio y REM'!$A$24:$B$35, 2, FALSE))</f>
        <v/>
      </c>
      <c r="M794" s="107" t="str">
        <f t="shared" si="2"/>
        <v/>
      </c>
    </row>
    <row r="795">
      <c r="A795" s="102"/>
      <c r="B795" s="43" t="str">
        <f>IF(A795="", "", IFERROR(VLOOKUP(A795, Clasificaciones!A:B, 2, FALSE), "DATO NO CARGADO"))</f>
        <v/>
      </c>
      <c r="C795" s="51"/>
      <c r="D795" s="257"/>
      <c r="E795" s="102"/>
      <c r="F795" s="103"/>
      <c r="G795" s="258"/>
      <c r="I795" s="103"/>
      <c r="K795" s="71"/>
      <c r="L795" s="106" t="str">
        <f>IF(ISBLANK(J795), "", VLOOKUP(C795, 'Info Tipo de Cambio y REM'!$A$24:$B$35, 2, FALSE))</f>
        <v/>
      </c>
      <c r="M795" s="107" t="str">
        <f t="shared" si="2"/>
        <v/>
      </c>
    </row>
    <row r="796">
      <c r="A796" s="102"/>
      <c r="B796" s="43" t="str">
        <f>IF(A796="", "", IFERROR(VLOOKUP(A796, Clasificaciones!A:B, 2, FALSE), "DATO NO CARGADO"))</f>
        <v/>
      </c>
      <c r="C796" s="51"/>
      <c r="D796" s="257"/>
      <c r="E796" s="102"/>
      <c r="F796" s="103"/>
      <c r="G796" s="258"/>
      <c r="I796" s="103"/>
      <c r="K796" s="71"/>
      <c r="L796" s="106" t="str">
        <f>IF(ISBLANK(J796), "", VLOOKUP(C796, 'Info Tipo de Cambio y REM'!$A$24:$B$35, 2, FALSE))</f>
        <v/>
      </c>
      <c r="M796" s="107" t="str">
        <f t="shared" si="2"/>
        <v/>
      </c>
    </row>
    <row r="797">
      <c r="A797" s="102"/>
      <c r="B797" s="43" t="str">
        <f>IF(A797="", "", IFERROR(VLOOKUP(A797, Clasificaciones!A:B, 2, FALSE), "DATO NO CARGADO"))</f>
        <v/>
      </c>
      <c r="C797" s="51"/>
      <c r="D797" s="257"/>
      <c r="E797" s="102"/>
      <c r="F797" s="103"/>
      <c r="G797" s="258"/>
      <c r="I797" s="103"/>
      <c r="K797" s="71"/>
      <c r="L797" s="106" t="str">
        <f>IF(ISBLANK(J797), "", VLOOKUP(C797, 'Info Tipo de Cambio y REM'!$A$24:$B$35, 2, FALSE))</f>
        <v/>
      </c>
      <c r="M797" s="107" t="str">
        <f t="shared" si="2"/>
        <v/>
      </c>
    </row>
    <row r="798">
      <c r="A798" s="102"/>
      <c r="B798" s="43" t="str">
        <f>IF(A798="", "", IFERROR(VLOOKUP(A798, Clasificaciones!A:B, 2, FALSE), "DATO NO CARGADO"))</f>
        <v/>
      </c>
      <c r="C798" s="51"/>
      <c r="D798" s="257"/>
      <c r="E798" s="102"/>
      <c r="F798" s="103"/>
      <c r="G798" s="258"/>
      <c r="I798" s="103"/>
      <c r="K798" s="71"/>
      <c r="L798" s="106" t="str">
        <f>IF(ISBLANK(J798), "", VLOOKUP(C798, 'Info Tipo de Cambio y REM'!$A$24:$B$35, 2, FALSE))</f>
        <v/>
      </c>
      <c r="M798" s="107" t="str">
        <f t="shared" si="2"/>
        <v/>
      </c>
    </row>
    <row r="799">
      <c r="A799" s="102"/>
      <c r="B799" s="43" t="str">
        <f>IF(A799="", "", IFERROR(VLOOKUP(A799, Clasificaciones!A:B, 2, FALSE), "DATO NO CARGADO"))</f>
        <v/>
      </c>
      <c r="C799" s="51"/>
      <c r="D799" s="257"/>
      <c r="E799" s="102"/>
      <c r="F799" s="103"/>
      <c r="G799" s="258"/>
      <c r="I799" s="103"/>
      <c r="K799" s="71"/>
      <c r="L799" s="106" t="str">
        <f>IF(ISBLANK(J799), "", VLOOKUP(C799, 'Info Tipo de Cambio y REM'!$A$24:$B$35, 2, FALSE))</f>
        <v/>
      </c>
      <c r="M799" s="107" t="str">
        <f t="shared" si="2"/>
        <v/>
      </c>
    </row>
    <row r="800">
      <c r="A800" s="102"/>
      <c r="B800" s="43" t="str">
        <f>IF(A800="", "", IFERROR(VLOOKUP(A800, Clasificaciones!A:B, 2, FALSE), "DATO NO CARGADO"))</f>
        <v/>
      </c>
      <c r="C800" s="51"/>
      <c r="D800" s="257"/>
      <c r="E800" s="102"/>
      <c r="F800" s="103"/>
      <c r="G800" s="258"/>
      <c r="I800" s="103"/>
      <c r="K800" s="71"/>
      <c r="L800" s="106" t="str">
        <f>IF(ISBLANK(J800), "", VLOOKUP(C800, 'Info Tipo de Cambio y REM'!$A$24:$B$35, 2, FALSE))</f>
        <v/>
      </c>
      <c r="M800" s="107" t="str">
        <f t="shared" si="2"/>
        <v/>
      </c>
    </row>
    <row r="801">
      <c r="A801" s="102"/>
      <c r="B801" s="43" t="str">
        <f>IF(A801="", "", IFERROR(VLOOKUP(A801, Clasificaciones!A:B, 2, FALSE), "DATO NO CARGADO"))</f>
        <v/>
      </c>
      <c r="C801" s="51"/>
      <c r="D801" s="257"/>
      <c r="E801" s="102"/>
      <c r="F801" s="103"/>
      <c r="G801" s="258"/>
      <c r="I801" s="103"/>
      <c r="K801" s="71"/>
      <c r="L801" s="106" t="str">
        <f>IF(ISBLANK(J801), "", VLOOKUP(C801, 'Info Tipo de Cambio y REM'!$A$24:$B$35, 2, FALSE))</f>
        <v/>
      </c>
      <c r="M801" s="107" t="str">
        <f t="shared" si="2"/>
        <v/>
      </c>
    </row>
    <row r="802">
      <c r="A802" s="102"/>
      <c r="B802" s="43" t="str">
        <f>IF(A802="", "", IFERROR(VLOOKUP(A802, Clasificaciones!A:B, 2, FALSE), "DATO NO CARGADO"))</f>
        <v/>
      </c>
      <c r="C802" s="51"/>
      <c r="D802" s="257"/>
      <c r="E802" s="102"/>
      <c r="F802" s="103"/>
      <c r="G802" s="258"/>
      <c r="I802" s="103"/>
      <c r="K802" s="71"/>
      <c r="L802" s="106" t="str">
        <f>IF(ISBLANK(J802), "", VLOOKUP(C802, 'Info Tipo de Cambio y REM'!$A$24:$B$35, 2, FALSE))</f>
        <v/>
      </c>
      <c r="M802" s="107" t="str">
        <f t="shared" si="2"/>
        <v/>
      </c>
    </row>
    <row r="803">
      <c r="A803" s="102"/>
      <c r="B803" s="43" t="str">
        <f>IF(A803="", "", IFERROR(VLOOKUP(A803, Clasificaciones!A:B, 2, FALSE), "DATO NO CARGADO"))</f>
        <v/>
      </c>
      <c r="C803" s="51"/>
      <c r="D803" s="257"/>
      <c r="E803" s="102"/>
      <c r="F803" s="103"/>
      <c r="G803" s="258"/>
      <c r="I803" s="103"/>
      <c r="K803" s="71"/>
      <c r="L803" s="106" t="str">
        <f>IF(ISBLANK(J803), "", VLOOKUP(C803, 'Info Tipo de Cambio y REM'!$A$24:$B$35, 2, FALSE))</f>
        <v/>
      </c>
      <c r="M803" s="107" t="str">
        <f t="shared" si="2"/>
        <v/>
      </c>
    </row>
    <row r="804">
      <c r="A804" s="102"/>
      <c r="B804" s="43" t="str">
        <f>IF(A804="", "", IFERROR(VLOOKUP(A804, Clasificaciones!A:B, 2, FALSE), "DATO NO CARGADO"))</f>
        <v/>
      </c>
      <c r="C804" s="51"/>
      <c r="D804" s="257"/>
      <c r="E804" s="102"/>
      <c r="F804" s="103"/>
      <c r="G804" s="258"/>
      <c r="I804" s="103"/>
      <c r="K804" s="71"/>
      <c r="L804" s="106" t="str">
        <f>IF(ISBLANK(J804), "", VLOOKUP(C804, 'Info Tipo de Cambio y REM'!$A$24:$B$35, 2, FALSE))</f>
        <v/>
      </c>
      <c r="M804" s="107" t="str">
        <f t="shared" si="2"/>
        <v/>
      </c>
    </row>
    <row r="805">
      <c r="A805" s="102"/>
      <c r="B805" s="43" t="str">
        <f>IF(A805="", "", IFERROR(VLOOKUP(A805, Clasificaciones!A:B, 2, FALSE), "DATO NO CARGADO"))</f>
        <v/>
      </c>
      <c r="C805" s="51"/>
      <c r="D805" s="257"/>
      <c r="E805" s="102"/>
      <c r="F805" s="103"/>
      <c r="G805" s="258"/>
      <c r="I805" s="103"/>
      <c r="K805" s="71"/>
      <c r="L805" s="106" t="str">
        <f>IF(ISBLANK(J805), "", VLOOKUP(C805, 'Info Tipo de Cambio y REM'!$A$24:$B$35, 2, FALSE))</f>
        <v/>
      </c>
      <c r="M805" s="107" t="str">
        <f t="shared" si="2"/>
        <v/>
      </c>
    </row>
    <row r="806">
      <c r="A806" s="102"/>
      <c r="B806" s="43" t="str">
        <f>IF(A806="", "", IFERROR(VLOOKUP(A806, Clasificaciones!A:B, 2, FALSE), "DATO NO CARGADO"))</f>
        <v/>
      </c>
      <c r="C806" s="51"/>
      <c r="D806" s="257"/>
      <c r="E806" s="102"/>
      <c r="F806" s="103"/>
      <c r="G806" s="258"/>
      <c r="I806" s="103"/>
      <c r="K806" s="71"/>
      <c r="L806" s="106" t="str">
        <f>IF(ISBLANK(J806), "", VLOOKUP(C806, 'Info Tipo de Cambio y REM'!$A$24:$B$35, 2, FALSE))</f>
        <v/>
      </c>
      <c r="M806" s="107" t="str">
        <f t="shared" si="2"/>
        <v/>
      </c>
    </row>
    <row r="807">
      <c r="A807" s="102"/>
      <c r="B807" s="43" t="str">
        <f>IF(A807="", "", IFERROR(VLOOKUP(A807, Clasificaciones!A:B, 2, FALSE), "DATO NO CARGADO"))</f>
        <v/>
      </c>
      <c r="C807" s="51"/>
      <c r="D807" s="257"/>
      <c r="E807" s="102"/>
      <c r="F807" s="103"/>
      <c r="G807" s="258"/>
      <c r="I807" s="103"/>
      <c r="K807" s="71"/>
      <c r="L807" s="106" t="str">
        <f>IF(ISBLANK(J807), "", VLOOKUP(C807, 'Info Tipo de Cambio y REM'!$A$24:$B$35, 2, FALSE))</f>
        <v/>
      </c>
      <c r="M807" s="107" t="str">
        <f t="shared" si="2"/>
        <v/>
      </c>
    </row>
    <row r="808">
      <c r="A808" s="102"/>
      <c r="B808" s="43" t="str">
        <f>IF(A808="", "", IFERROR(VLOOKUP(A808, Clasificaciones!A:B, 2, FALSE), "DATO NO CARGADO"))</f>
        <v/>
      </c>
      <c r="C808" s="51"/>
      <c r="D808" s="257"/>
      <c r="E808" s="102"/>
      <c r="F808" s="103"/>
      <c r="G808" s="258"/>
      <c r="I808" s="103"/>
      <c r="K808" s="71"/>
      <c r="L808" s="106" t="str">
        <f>IF(ISBLANK(J808), "", VLOOKUP(C808, 'Info Tipo de Cambio y REM'!$A$24:$B$35, 2, FALSE))</f>
        <v/>
      </c>
      <c r="M808" s="107" t="str">
        <f t="shared" si="2"/>
        <v/>
      </c>
    </row>
    <row r="809">
      <c r="A809" s="102"/>
      <c r="B809" s="43" t="str">
        <f>IF(A809="", "", IFERROR(VLOOKUP(A809, Clasificaciones!A:B, 2, FALSE), "DATO NO CARGADO"))</f>
        <v/>
      </c>
      <c r="C809" s="51"/>
      <c r="D809" s="257"/>
      <c r="E809" s="102"/>
      <c r="F809" s="103"/>
      <c r="G809" s="258"/>
      <c r="I809" s="103"/>
      <c r="K809" s="71"/>
      <c r="L809" s="106" t="str">
        <f>IF(ISBLANK(J809), "", VLOOKUP(C809, 'Info Tipo de Cambio y REM'!$A$24:$B$35, 2, FALSE))</f>
        <v/>
      </c>
      <c r="M809" s="107" t="str">
        <f t="shared" si="2"/>
        <v/>
      </c>
    </row>
    <row r="810">
      <c r="A810" s="102"/>
      <c r="B810" s="43" t="str">
        <f>IF(A810="", "", IFERROR(VLOOKUP(A810, Clasificaciones!A:B, 2, FALSE), "DATO NO CARGADO"))</f>
        <v/>
      </c>
      <c r="C810" s="51"/>
      <c r="D810" s="257"/>
      <c r="E810" s="102"/>
      <c r="F810" s="103"/>
      <c r="G810" s="258"/>
      <c r="I810" s="103"/>
      <c r="K810" s="71"/>
      <c r="L810" s="106" t="str">
        <f>IF(ISBLANK(J810), "", VLOOKUP(C810, 'Info Tipo de Cambio y REM'!$A$24:$B$35, 2, FALSE))</f>
        <v/>
      </c>
      <c r="M810" s="107" t="str">
        <f t="shared" si="2"/>
        <v/>
      </c>
    </row>
    <row r="811">
      <c r="A811" s="102"/>
      <c r="B811" s="43" t="str">
        <f>IF(A811="", "", IFERROR(VLOOKUP(A811, Clasificaciones!A:B, 2, FALSE), "DATO NO CARGADO"))</f>
        <v/>
      </c>
      <c r="C811" s="51"/>
      <c r="D811" s="257"/>
      <c r="E811" s="102"/>
      <c r="F811" s="103"/>
      <c r="G811" s="258"/>
      <c r="I811" s="103"/>
      <c r="K811" s="71"/>
      <c r="L811" s="106" t="str">
        <f>IF(ISBLANK(J811), "", VLOOKUP(C811, 'Info Tipo de Cambio y REM'!$A$24:$B$35, 2, FALSE))</f>
        <v/>
      </c>
      <c r="M811" s="107" t="str">
        <f t="shared" si="2"/>
        <v/>
      </c>
    </row>
    <row r="812">
      <c r="A812" s="102"/>
      <c r="B812" s="43" t="str">
        <f>IF(A812="", "", IFERROR(VLOOKUP(A812, Clasificaciones!A:B, 2, FALSE), "DATO NO CARGADO"))</f>
        <v/>
      </c>
      <c r="C812" s="51"/>
      <c r="D812" s="257"/>
      <c r="E812" s="102"/>
      <c r="F812" s="103"/>
      <c r="G812" s="258"/>
      <c r="I812" s="103"/>
      <c r="K812" s="71"/>
      <c r="L812" s="106" t="str">
        <f>IF(ISBLANK(J812), "", VLOOKUP(C812, 'Info Tipo de Cambio y REM'!$A$24:$B$35, 2, FALSE))</f>
        <v/>
      </c>
      <c r="M812" s="107" t="str">
        <f t="shared" si="2"/>
        <v/>
      </c>
    </row>
    <row r="813">
      <c r="A813" s="102"/>
      <c r="B813" s="43" t="str">
        <f>IF(A813="", "", IFERROR(VLOOKUP(A813, Clasificaciones!A:B, 2, FALSE), "DATO NO CARGADO"))</f>
        <v/>
      </c>
      <c r="C813" s="51"/>
      <c r="D813" s="257"/>
      <c r="E813" s="102"/>
      <c r="F813" s="103"/>
      <c r="G813" s="258"/>
      <c r="I813" s="103"/>
      <c r="K813" s="71"/>
      <c r="L813" s="106" t="str">
        <f>IF(ISBLANK(J813), "", VLOOKUP(C813, 'Info Tipo de Cambio y REM'!$A$24:$B$35, 2, FALSE))</f>
        <v/>
      </c>
      <c r="M813" s="107" t="str">
        <f t="shared" si="2"/>
        <v/>
      </c>
    </row>
    <row r="814">
      <c r="A814" s="102"/>
      <c r="B814" s="43" t="str">
        <f>IF(A814="", "", IFERROR(VLOOKUP(A814, Clasificaciones!A:B, 2, FALSE), "DATO NO CARGADO"))</f>
        <v/>
      </c>
      <c r="C814" s="51"/>
      <c r="D814" s="257"/>
      <c r="E814" s="102"/>
      <c r="F814" s="103"/>
      <c r="G814" s="258"/>
      <c r="I814" s="103"/>
      <c r="K814" s="71"/>
      <c r="L814" s="106" t="str">
        <f>IF(ISBLANK(J814), "", VLOOKUP(C814, 'Info Tipo de Cambio y REM'!$A$24:$B$35, 2, FALSE))</f>
        <v/>
      </c>
      <c r="M814" s="107" t="str">
        <f t="shared" si="2"/>
        <v/>
      </c>
    </row>
    <row r="815">
      <c r="A815" s="102"/>
      <c r="B815" s="43" t="str">
        <f>IF(A815="", "", IFERROR(VLOOKUP(A815, Clasificaciones!A:B, 2, FALSE), "DATO NO CARGADO"))</f>
        <v/>
      </c>
      <c r="C815" s="51"/>
      <c r="D815" s="257"/>
      <c r="E815" s="102"/>
      <c r="F815" s="103"/>
      <c r="G815" s="258"/>
      <c r="I815" s="103"/>
      <c r="K815" s="71"/>
      <c r="L815" s="106" t="str">
        <f>IF(ISBLANK(J815), "", VLOOKUP(C815, 'Info Tipo de Cambio y REM'!$A$24:$B$35, 2, FALSE))</f>
        <v/>
      </c>
      <c r="M815" s="107" t="str">
        <f t="shared" si="2"/>
        <v/>
      </c>
    </row>
    <row r="816">
      <c r="A816" s="102"/>
      <c r="B816" s="43" t="str">
        <f>IF(A816="", "", IFERROR(VLOOKUP(A816, Clasificaciones!A:B, 2, FALSE), "DATO NO CARGADO"))</f>
        <v/>
      </c>
      <c r="C816" s="51"/>
      <c r="D816" s="257"/>
      <c r="E816" s="102"/>
      <c r="F816" s="103"/>
      <c r="G816" s="258"/>
      <c r="I816" s="103"/>
      <c r="K816" s="71"/>
      <c r="L816" s="106" t="str">
        <f>IF(ISBLANK(J816), "", VLOOKUP(C816, 'Info Tipo de Cambio y REM'!$A$24:$B$35, 2, FALSE))</f>
        <v/>
      </c>
      <c r="M816" s="107" t="str">
        <f t="shared" si="2"/>
        <v/>
      </c>
    </row>
    <row r="817">
      <c r="A817" s="102"/>
      <c r="B817" s="43" t="str">
        <f>IF(A817="", "", IFERROR(VLOOKUP(A817, Clasificaciones!A:B, 2, FALSE), "DATO NO CARGADO"))</f>
        <v/>
      </c>
      <c r="C817" s="51"/>
      <c r="D817" s="257"/>
      <c r="E817" s="102"/>
      <c r="F817" s="103"/>
      <c r="G817" s="258"/>
      <c r="I817" s="103"/>
      <c r="K817" s="71"/>
      <c r="L817" s="106" t="str">
        <f>IF(ISBLANK(J817), "", VLOOKUP(C817, 'Info Tipo de Cambio y REM'!$A$24:$B$35, 2, FALSE))</f>
        <v/>
      </c>
      <c r="M817" s="107" t="str">
        <f t="shared" si="2"/>
        <v/>
      </c>
    </row>
    <row r="818">
      <c r="A818" s="102"/>
      <c r="B818" s="43" t="str">
        <f>IF(A818="", "", IFERROR(VLOOKUP(A818, Clasificaciones!A:B, 2, FALSE), "DATO NO CARGADO"))</f>
        <v/>
      </c>
      <c r="C818" s="51"/>
      <c r="D818" s="257"/>
      <c r="E818" s="102"/>
      <c r="F818" s="103"/>
      <c r="G818" s="258"/>
      <c r="I818" s="103"/>
      <c r="K818" s="71"/>
      <c r="L818" s="106" t="str">
        <f>IF(ISBLANK(J818), "", VLOOKUP(C818, 'Info Tipo de Cambio y REM'!$A$24:$B$35, 2, FALSE))</f>
        <v/>
      </c>
      <c r="M818" s="107" t="str">
        <f t="shared" si="2"/>
        <v/>
      </c>
    </row>
    <row r="819">
      <c r="A819" s="102"/>
      <c r="B819" s="43" t="str">
        <f>IF(A819="", "", IFERROR(VLOOKUP(A819, Clasificaciones!A:B, 2, FALSE), "DATO NO CARGADO"))</f>
        <v/>
      </c>
      <c r="C819" s="51"/>
      <c r="D819" s="257"/>
      <c r="E819" s="102"/>
      <c r="F819" s="103"/>
      <c r="G819" s="258"/>
      <c r="I819" s="103"/>
      <c r="K819" s="71"/>
      <c r="L819" s="106" t="str">
        <f>IF(ISBLANK(J819), "", VLOOKUP(C819, 'Info Tipo de Cambio y REM'!$A$24:$B$35, 2, FALSE))</f>
        <v/>
      </c>
      <c r="M819" s="107" t="str">
        <f t="shared" si="2"/>
        <v/>
      </c>
    </row>
    <row r="820">
      <c r="A820" s="102"/>
      <c r="B820" s="43" t="str">
        <f>IF(A820="", "", IFERROR(VLOOKUP(A820, Clasificaciones!A:B, 2, FALSE), "DATO NO CARGADO"))</f>
        <v/>
      </c>
      <c r="C820" s="51"/>
      <c r="D820" s="257"/>
      <c r="E820" s="102"/>
      <c r="F820" s="103"/>
      <c r="G820" s="258"/>
      <c r="I820" s="103"/>
      <c r="K820" s="71"/>
      <c r="L820" s="106" t="str">
        <f>IF(ISBLANK(J820), "", VLOOKUP(C820, 'Info Tipo de Cambio y REM'!$A$24:$B$35, 2, FALSE))</f>
        <v/>
      </c>
      <c r="M820" s="107" t="str">
        <f t="shared" si="2"/>
        <v/>
      </c>
    </row>
    <row r="821">
      <c r="A821" s="102"/>
      <c r="B821" s="43" t="str">
        <f>IF(A821="", "", IFERROR(VLOOKUP(A821, Clasificaciones!A:B, 2, FALSE), "DATO NO CARGADO"))</f>
        <v/>
      </c>
      <c r="C821" s="51"/>
      <c r="D821" s="257"/>
      <c r="E821" s="102"/>
      <c r="F821" s="103"/>
      <c r="G821" s="258"/>
      <c r="I821" s="103"/>
      <c r="K821" s="71"/>
      <c r="L821" s="106" t="str">
        <f>IF(ISBLANK(J821), "", VLOOKUP(C821, 'Info Tipo de Cambio y REM'!$A$24:$B$35, 2, FALSE))</f>
        <v/>
      </c>
      <c r="M821" s="107" t="str">
        <f t="shared" si="2"/>
        <v/>
      </c>
    </row>
    <row r="822">
      <c r="A822" s="102"/>
      <c r="B822" s="43" t="str">
        <f>IF(A822="", "", IFERROR(VLOOKUP(A822, Clasificaciones!A:B, 2, FALSE), "DATO NO CARGADO"))</f>
        <v/>
      </c>
      <c r="C822" s="51"/>
      <c r="D822" s="257"/>
      <c r="E822" s="102"/>
      <c r="F822" s="103"/>
      <c r="G822" s="258"/>
      <c r="I822" s="103"/>
      <c r="K822" s="71"/>
      <c r="L822" s="106" t="str">
        <f>IF(ISBLANK(J822), "", VLOOKUP(C822, 'Info Tipo de Cambio y REM'!$A$24:$B$35, 2, FALSE))</f>
        <v/>
      </c>
      <c r="M822" s="107" t="str">
        <f t="shared" si="2"/>
        <v/>
      </c>
    </row>
    <row r="823">
      <c r="A823" s="102"/>
      <c r="B823" s="43" t="str">
        <f>IF(A823="", "", IFERROR(VLOOKUP(A823, Clasificaciones!A:B, 2, FALSE), "DATO NO CARGADO"))</f>
        <v/>
      </c>
      <c r="C823" s="51"/>
      <c r="D823" s="257"/>
      <c r="E823" s="102"/>
      <c r="F823" s="103"/>
      <c r="G823" s="258"/>
      <c r="I823" s="103"/>
      <c r="K823" s="71"/>
      <c r="L823" s="106" t="str">
        <f>IF(ISBLANK(J823), "", VLOOKUP(C823, 'Info Tipo de Cambio y REM'!$A$24:$B$35, 2, FALSE))</f>
        <v/>
      </c>
      <c r="M823" s="107" t="str">
        <f t="shared" si="2"/>
        <v/>
      </c>
    </row>
    <row r="824">
      <c r="A824" s="102"/>
      <c r="B824" s="43" t="str">
        <f>IF(A824="", "", IFERROR(VLOOKUP(A824, Clasificaciones!A:B, 2, FALSE), "DATO NO CARGADO"))</f>
        <v/>
      </c>
      <c r="C824" s="51"/>
      <c r="D824" s="257"/>
      <c r="E824" s="102"/>
      <c r="F824" s="103"/>
      <c r="G824" s="258"/>
      <c r="I824" s="103"/>
      <c r="K824" s="71"/>
      <c r="L824" s="106" t="str">
        <f>IF(ISBLANK(J824), "", VLOOKUP(C824, 'Info Tipo de Cambio y REM'!$A$24:$B$35, 2, FALSE))</f>
        <v/>
      </c>
      <c r="M824" s="107" t="str">
        <f t="shared" si="2"/>
        <v/>
      </c>
    </row>
    <row r="825">
      <c r="A825" s="102"/>
      <c r="B825" s="43" t="str">
        <f>IF(A825="", "", IFERROR(VLOOKUP(A825, Clasificaciones!A:B, 2, FALSE), "DATO NO CARGADO"))</f>
        <v/>
      </c>
      <c r="C825" s="51"/>
      <c r="D825" s="257"/>
      <c r="E825" s="102"/>
      <c r="F825" s="103"/>
      <c r="G825" s="258"/>
      <c r="I825" s="103"/>
      <c r="K825" s="71"/>
      <c r="L825" s="106" t="str">
        <f>IF(ISBLANK(J825), "", VLOOKUP(C825, 'Info Tipo de Cambio y REM'!$A$24:$B$35, 2, FALSE))</f>
        <v/>
      </c>
      <c r="M825" s="107" t="str">
        <f t="shared" si="2"/>
        <v/>
      </c>
    </row>
    <row r="826">
      <c r="A826" s="102"/>
      <c r="B826" s="43" t="str">
        <f>IF(A826="", "", IFERROR(VLOOKUP(A826, Clasificaciones!A:B, 2, FALSE), "DATO NO CARGADO"))</f>
        <v/>
      </c>
      <c r="C826" s="51"/>
      <c r="D826" s="257"/>
      <c r="E826" s="102"/>
      <c r="F826" s="103"/>
      <c r="G826" s="258"/>
      <c r="I826" s="103"/>
      <c r="K826" s="71"/>
      <c r="L826" s="106" t="str">
        <f>IF(ISBLANK(J826), "", VLOOKUP(C826, 'Info Tipo de Cambio y REM'!$A$24:$B$35, 2, FALSE))</f>
        <v/>
      </c>
      <c r="M826" s="107" t="str">
        <f t="shared" si="2"/>
        <v/>
      </c>
    </row>
    <row r="827">
      <c r="A827" s="102"/>
      <c r="B827" s="43" t="str">
        <f>IF(A827="", "", IFERROR(VLOOKUP(A827, Clasificaciones!A:B, 2, FALSE), "DATO NO CARGADO"))</f>
        <v/>
      </c>
      <c r="C827" s="51"/>
      <c r="D827" s="257"/>
      <c r="E827" s="102"/>
      <c r="F827" s="103"/>
      <c r="G827" s="258"/>
      <c r="I827" s="103"/>
      <c r="K827" s="71"/>
      <c r="L827" s="106" t="str">
        <f>IF(ISBLANK(J827), "", VLOOKUP(C827, 'Info Tipo de Cambio y REM'!$A$24:$B$35, 2, FALSE))</f>
        <v/>
      </c>
      <c r="M827" s="107" t="str">
        <f t="shared" si="2"/>
        <v/>
      </c>
    </row>
    <row r="828">
      <c r="A828" s="102"/>
      <c r="B828" s="43" t="str">
        <f>IF(A828="", "", IFERROR(VLOOKUP(A828, Clasificaciones!A:B, 2, FALSE), "DATO NO CARGADO"))</f>
        <v/>
      </c>
      <c r="C828" s="51"/>
      <c r="D828" s="257"/>
      <c r="E828" s="102"/>
      <c r="F828" s="103"/>
      <c r="G828" s="258"/>
      <c r="I828" s="103"/>
      <c r="K828" s="71"/>
      <c r="L828" s="106" t="str">
        <f>IF(ISBLANK(J828), "", VLOOKUP(C828, 'Info Tipo de Cambio y REM'!$A$24:$B$35, 2, FALSE))</f>
        <v/>
      </c>
      <c r="M828" s="107" t="str">
        <f t="shared" si="2"/>
        <v/>
      </c>
    </row>
    <row r="829">
      <c r="A829" s="102"/>
      <c r="B829" s="43" t="str">
        <f>IF(A829="", "", IFERROR(VLOOKUP(A829, Clasificaciones!A:B, 2, FALSE), "DATO NO CARGADO"))</f>
        <v/>
      </c>
      <c r="C829" s="51"/>
      <c r="D829" s="257"/>
      <c r="E829" s="102"/>
      <c r="F829" s="103"/>
      <c r="G829" s="258"/>
      <c r="I829" s="103"/>
      <c r="K829" s="71"/>
      <c r="L829" s="106" t="str">
        <f>IF(ISBLANK(J829), "", VLOOKUP(C829, 'Info Tipo de Cambio y REM'!$A$24:$B$35, 2, FALSE))</f>
        <v/>
      </c>
      <c r="M829" s="107" t="str">
        <f t="shared" si="2"/>
        <v/>
      </c>
    </row>
    <row r="830">
      <c r="A830" s="102"/>
      <c r="B830" s="43" t="str">
        <f>IF(A830="", "", IFERROR(VLOOKUP(A830, Clasificaciones!A:B, 2, FALSE), "DATO NO CARGADO"))</f>
        <v/>
      </c>
      <c r="C830" s="51"/>
      <c r="D830" s="257"/>
      <c r="E830" s="102"/>
      <c r="F830" s="103"/>
      <c r="G830" s="258"/>
      <c r="I830" s="103"/>
      <c r="K830" s="71"/>
      <c r="L830" s="106" t="str">
        <f>IF(ISBLANK(J830), "", VLOOKUP(C830, 'Info Tipo de Cambio y REM'!$A$24:$B$35, 2, FALSE))</f>
        <v/>
      </c>
      <c r="M830" s="107" t="str">
        <f t="shared" si="2"/>
        <v/>
      </c>
    </row>
    <row r="831">
      <c r="A831" s="102"/>
      <c r="B831" s="43" t="str">
        <f>IF(A831="", "", IFERROR(VLOOKUP(A831, Clasificaciones!A:B, 2, FALSE), "DATO NO CARGADO"))</f>
        <v/>
      </c>
      <c r="C831" s="51"/>
      <c r="D831" s="257"/>
      <c r="E831" s="102"/>
      <c r="F831" s="103"/>
      <c r="G831" s="258"/>
      <c r="I831" s="103"/>
      <c r="K831" s="71"/>
      <c r="L831" s="106" t="str">
        <f>IF(ISBLANK(J831), "", VLOOKUP(C831, 'Info Tipo de Cambio y REM'!$A$24:$B$35, 2, FALSE))</f>
        <v/>
      </c>
      <c r="M831" s="107" t="str">
        <f t="shared" si="2"/>
        <v/>
      </c>
    </row>
    <row r="832">
      <c r="A832" s="102"/>
      <c r="B832" s="43" t="str">
        <f>IF(A832="", "", IFERROR(VLOOKUP(A832, Clasificaciones!A:B, 2, FALSE), "DATO NO CARGADO"))</f>
        <v/>
      </c>
      <c r="C832" s="51"/>
      <c r="D832" s="257"/>
      <c r="E832" s="102"/>
      <c r="F832" s="103"/>
      <c r="G832" s="258"/>
      <c r="I832" s="103"/>
      <c r="K832" s="71"/>
      <c r="L832" s="106" t="str">
        <f>IF(ISBLANK(J832), "", VLOOKUP(C832, 'Info Tipo de Cambio y REM'!$A$24:$B$35, 2, FALSE))</f>
        <v/>
      </c>
      <c r="M832" s="107" t="str">
        <f t="shared" si="2"/>
        <v/>
      </c>
    </row>
    <row r="833">
      <c r="A833" s="102"/>
      <c r="B833" s="43" t="str">
        <f>IF(A833="", "", IFERROR(VLOOKUP(A833, Clasificaciones!A:B, 2, FALSE), "DATO NO CARGADO"))</f>
        <v/>
      </c>
      <c r="C833" s="51"/>
      <c r="D833" s="257"/>
      <c r="E833" s="102"/>
      <c r="F833" s="103"/>
      <c r="G833" s="258"/>
      <c r="I833" s="103"/>
      <c r="K833" s="71"/>
      <c r="L833" s="106" t="str">
        <f>IF(ISBLANK(J833), "", VLOOKUP(C833, 'Info Tipo de Cambio y REM'!$A$24:$B$35, 2, FALSE))</f>
        <v/>
      </c>
      <c r="M833" s="107" t="str">
        <f t="shared" si="2"/>
        <v/>
      </c>
    </row>
    <row r="834">
      <c r="A834" s="102"/>
      <c r="B834" s="43" t="str">
        <f>IF(A834="", "", IFERROR(VLOOKUP(A834, Clasificaciones!A:B, 2, FALSE), "DATO NO CARGADO"))</f>
        <v/>
      </c>
      <c r="C834" s="51"/>
      <c r="D834" s="257"/>
      <c r="E834" s="102"/>
      <c r="F834" s="103"/>
      <c r="G834" s="258"/>
      <c r="I834" s="103"/>
      <c r="K834" s="71"/>
      <c r="L834" s="106" t="str">
        <f>IF(ISBLANK(J834), "", VLOOKUP(C834, 'Info Tipo de Cambio y REM'!$A$24:$B$35, 2, FALSE))</f>
        <v/>
      </c>
      <c r="M834" s="107" t="str">
        <f t="shared" si="2"/>
        <v/>
      </c>
    </row>
    <row r="835">
      <c r="A835" s="102"/>
      <c r="B835" s="43" t="str">
        <f>IF(A835="", "", IFERROR(VLOOKUP(A835, Clasificaciones!A:B, 2, FALSE), "DATO NO CARGADO"))</f>
        <v/>
      </c>
      <c r="C835" s="51"/>
      <c r="D835" s="257"/>
      <c r="E835" s="102"/>
      <c r="F835" s="103"/>
      <c r="G835" s="258"/>
      <c r="I835" s="103"/>
      <c r="K835" s="71"/>
      <c r="L835" s="106" t="str">
        <f>IF(ISBLANK(J835), "", VLOOKUP(C835, 'Info Tipo de Cambio y REM'!$A$24:$B$35, 2, FALSE))</f>
        <v/>
      </c>
      <c r="M835" s="107" t="str">
        <f t="shared" si="2"/>
        <v/>
      </c>
    </row>
    <row r="836">
      <c r="A836" s="102"/>
      <c r="B836" s="43" t="str">
        <f>IF(A836="", "", IFERROR(VLOOKUP(A836, Clasificaciones!A:B, 2, FALSE), "DATO NO CARGADO"))</f>
        <v/>
      </c>
      <c r="C836" s="51"/>
      <c r="D836" s="257"/>
      <c r="E836" s="102"/>
      <c r="F836" s="103"/>
      <c r="G836" s="258"/>
      <c r="I836" s="103"/>
      <c r="K836" s="71"/>
      <c r="L836" s="106" t="str">
        <f>IF(ISBLANK(J836), "", VLOOKUP(C836, 'Info Tipo de Cambio y REM'!$A$24:$B$35, 2, FALSE))</f>
        <v/>
      </c>
      <c r="M836" s="107" t="str">
        <f t="shared" si="2"/>
        <v/>
      </c>
    </row>
    <row r="837">
      <c r="A837" s="102"/>
      <c r="B837" s="43" t="str">
        <f>IF(A837="", "", IFERROR(VLOOKUP(A837, Clasificaciones!A:B, 2, FALSE), "DATO NO CARGADO"))</f>
        <v/>
      </c>
      <c r="C837" s="51"/>
      <c r="D837" s="257"/>
      <c r="E837" s="102"/>
      <c r="F837" s="103"/>
      <c r="G837" s="258"/>
      <c r="I837" s="103"/>
      <c r="K837" s="71"/>
      <c r="L837" s="106" t="str">
        <f>IF(ISBLANK(J837), "", VLOOKUP(C837, 'Info Tipo de Cambio y REM'!$A$24:$B$35, 2, FALSE))</f>
        <v/>
      </c>
      <c r="M837" s="107" t="str">
        <f t="shared" si="2"/>
        <v/>
      </c>
    </row>
    <row r="838">
      <c r="A838" s="102"/>
      <c r="B838" s="43" t="str">
        <f>IF(A838="", "", IFERROR(VLOOKUP(A838, Clasificaciones!A:B, 2, FALSE), "DATO NO CARGADO"))</f>
        <v/>
      </c>
      <c r="C838" s="51"/>
      <c r="D838" s="257"/>
      <c r="E838" s="102"/>
      <c r="F838" s="103"/>
      <c r="G838" s="258"/>
      <c r="I838" s="103"/>
      <c r="K838" s="71"/>
      <c r="L838" s="106" t="str">
        <f>IF(ISBLANK(J838), "", VLOOKUP(C838, 'Info Tipo de Cambio y REM'!$A$24:$B$35, 2, FALSE))</f>
        <v/>
      </c>
      <c r="M838" s="107" t="str">
        <f t="shared" si="2"/>
        <v/>
      </c>
    </row>
    <row r="839">
      <c r="A839" s="102"/>
      <c r="B839" s="43" t="str">
        <f>IF(A839="", "", IFERROR(VLOOKUP(A839, Clasificaciones!A:B, 2, FALSE), "DATO NO CARGADO"))</f>
        <v/>
      </c>
      <c r="C839" s="51"/>
      <c r="D839" s="257"/>
      <c r="E839" s="102"/>
      <c r="F839" s="103"/>
      <c r="G839" s="258"/>
      <c r="I839" s="103"/>
      <c r="K839" s="71"/>
      <c r="L839" s="106" t="str">
        <f>IF(ISBLANK(J839), "", VLOOKUP(C839, 'Info Tipo de Cambio y REM'!$A$24:$B$35, 2, FALSE))</f>
        <v/>
      </c>
      <c r="M839" s="107" t="str">
        <f t="shared" si="2"/>
        <v/>
      </c>
    </row>
    <row r="840">
      <c r="A840" s="102"/>
      <c r="B840" s="43" t="str">
        <f>IF(A840="", "", IFERROR(VLOOKUP(A840, Clasificaciones!A:B, 2, FALSE), "DATO NO CARGADO"))</f>
        <v/>
      </c>
      <c r="C840" s="51"/>
      <c r="D840" s="257"/>
      <c r="E840" s="102"/>
      <c r="F840" s="103"/>
      <c r="G840" s="258"/>
      <c r="I840" s="103"/>
      <c r="K840" s="71"/>
      <c r="L840" s="106" t="str">
        <f>IF(ISBLANK(J840), "", VLOOKUP(C840, 'Info Tipo de Cambio y REM'!$A$24:$B$35, 2, FALSE))</f>
        <v/>
      </c>
      <c r="M840" s="107" t="str">
        <f t="shared" si="2"/>
        <v/>
      </c>
    </row>
    <row r="841">
      <c r="A841" s="102"/>
      <c r="B841" s="43" t="str">
        <f>IF(A841="", "", IFERROR(VLOOKUP(A841, Clasificaciones!A:B, 2, FALSE), "DATO NO CARGADO"))</f>
        <v/>
      </c>
      <c r="C841" s="51"/>
      <c r="D841" s="257"/>
      <c r="E841" s="102"/>
      <c r="F841" s="103"/>
      <c r="G841" s="258"/>
      <c r="I841" s="103"/>
      <c r="K841" s="71"/>
      <c r="L841" s="106" t="str">
        <f>IF(ISBLANK(J841), "", VLOOKUP(C841, 'Info Tipo de Cambio y REM'!$A$24:$B$35, 2, FALSE))</f>
        <v/>
      </c>
      <c r="M841" s="107" t="str">
        <f t="shared" si="2"/>
        <v/>
      </c>
    </row>
    <row r="842">
      <c r="A842" s="102"/>
      <c r="B842" s="43" t="str">
        <f>IF(A842="", "", IFERROR(VLOOKUP(A842, Clasificaciones!A:B, 2, FALSE), "DATO NO CARGADO"))</f>
        <v/>
      </c>
      <c r="C842" s="51"/>
      <c r="D842" s="257"/>
      <c r="E842" s="102"/>
      <c r="F842" s="103"/>
      <c r="G842" s="258"/>
      <c r="I842" s="103"/>
      <c r="K842" s="71"/>
      <c r="L842" s="106" t="str">
        <f>IF(ISBLANK(J842), "", VLOOKUP(C842, 'Info Tipo de Cambio y REM'!$A$24:$B$35, 2, FALSE))</f>
        <v/>
      </c>
      <c r="M842" s="107" t="str">
        <f t="shared" si="2"/>
        <v/>
      </c>
    </row>
    <row r="843">
      <c r="A843" s="102"/>
      <c r="B843" s="43" t="str">
        <f>IF(A843="", "", IFERROR(VLOOKUP(A843, Clasificaciones!A:B, 2, FALSE), "DATO NO CARGADO"))</f>
        <v/>
      </c>
      <c r="C843" s="51"/>
      <c r="D843" s="257"/>
      <c r="E843" s="102"/>
      <c r="F843" s="103"/>
      <c r="G843" s="258"/>
      <c r="I843" s="103"/>
      <c r="K843" s="71"/>
      <c r="L843" s="106" t="str">
        <f>IF(ISBLANK(J843), "", VLOOKUP(C843, 'Info Tipo de Cambio y REM'!$A$24:$B$35, 2, FALSE))</f>
        <v/>
      </c>
      <c r="M843" s="107" t="str">
        <f t="shared" si="2"/>
        <v/>
      </c>
    </row>
    <row r="844">
      <c r="A844" s="102"/>
      <c r="B844" s="43" t="str">
        <f>IF(A844="", "", IFERROR(VLOOKUP(A844, Clasificaciones!A:B, 2, FALSE), "DATO NO CARGADO"))</f>
        <v/>
      </c>
      <c r="C844" s="51"/>
      <c r="D844" s="257"/>
      <c r="E844" s="102"/>
      <c r="F844" s="103"/>
      <c r="G844" s="258"/>
      <c r="I844" s="103"/>
      <c r="K844" s="71"/>
      <c r="L844" s="106" t="str">
        <f>IF(ISBLANK(J844), "", VLOOKUP(C844, 'Info Tipo de Cambio y REM'!$A$24:$B$35, 2, FALSE))</f>
        <v/>
      </c>
      <c r="M844" s="107" t="str">
        <f t="shared" si="2"/>
        <v/>
      </c>
    </row>
    <row r="845">
      <c r="A845" s="102"/>
      <c r="B845" s="43" t="str">
        <f>IF(A845="", "", IFERROR(VLOOKUP(A845, Clasificaciones!A:B, 2, FALSE), "DATO NO CARGADO"))</f>
        <v/>
      </c>
      <c r="C845" s="51"/>
      <c r="D845" s="257"/>
      <c r="E845" s="102"/>
      <c r="F845" s="103"/>
      <c r="G845" s="258"/>
      <c r="I845" s="103"/>
      <c r="K845" s="71"/>
      <c r="L845" s="106" t="str">
        <f>IF(ISBLANK(J845), "", VLOOKUP(C845, 'Info Tipo de Cambio y REM'!$A$24:$B$35, 2, FALSE))</f>
        <v/>
      </c>
      <c r="M845" s="107" t="str">
        <f t="shared" si="2"/>
        <v/>
      </c>
    </row>
    <row r="846">
      <c r="A846" s="102"/>
      <c r="B846" s="43" t="str">
        <f>IF(A846="", "", IFERROR(VLOOKUP(A846, Clasificaciones!A:B, 2, FALSE), "DATO NO CARGADO"))</f>
        <v/>
      </c>
      <c r="C846" s="51"/>
      <c r="D846" s="257"/>
      <c r="E846" s="102"/>
      <c r="F846" s="103"/>
      <c r="G846" s="258"/>
      <c r="I846" s="103"/>
      <c r="K846" s="71"/>
      <c r="L846" s="106" t="str">
        <f>IF(ISBLANK(J846), "", VLOOKUP(C846, 'Info Tipo de Cambio y REM'!$A$24:$B$35, 2, FALSE))</f>
        <v/>
      </c>
      <c r="M846" s="107" t="str">
        <f t="shared" si="2"/>
        <v/>
      </c>
    </row>
    <row r="847">
      <c r="A847" s="102"/>
      <c r="B847" s="43" t="str">
        <f>IF(A847="", "", IFERROR(VLOOKUP(A847, Clasificaciones!A:B, 2, FALSE), "DATO NO CARGADO"))</f>
        <v/>
      </c>
      <c r="C847" s="51"/>
      <c r="D847" s="257"/>
      <c r="E847" s="102"/>
      <c r="F847" s="103"/>
      <c r="G847" s="258"/>
      <c r="I847" s="103"/>
      <c r="K847" s="71"/>
      <c r="L847" s="106" t="str">
        <f>IF(ISBLANK(J847), "", VLOOKUP(C847, 'Info Tipo de Cambio y REM'!$A$24:$B$35, 2, FALSE))</f>
        <v/>
      </c>
      <c r="M847" s="107" t="str">
        <f t="shared" si="2"/>
        <v/>
      </c>
    </row>
    <row r="848">
      <c r="A848" s="102"/>
      <c r="B848" s="43" t="str">
        <f>IF(A848="", "", IFERROR(VLOOKUP(A848, Clasificaciones!A:B, 2, FALSE), "DATO NO CARGADO"))</f>
        <v/>
      </c>
      <c r="C848" s="51"/>
      <c r="D848" s="257"/>
      <c r="E848" s="102"/>
      <c r="F848" s="103"/>
      <c r="G848" s="258"/>
      <c r="I848" s="103"/>
      <c r="K848" s="71"/>
      <c r="L848" s="106" t="str">
        <f>IF(ISBLANK(J848), "", VLOOKUP(C848, 'Info Tipo de Cambio y REM'!$A$24:$B$35, 2, FALSE))</f>
        <v/>
      </c>
      <c r="M848" s="107" t="str">
        <f t="shared" si="2"/>
        <v/>
      </c>
    </row>
    <row r="849">
      <c r="A849" s="102"/>
      <c r="B849" s="43" t="str">
        <f>IF(A849="", "", IFERROR(VLOOKUP(A849, Clasificaciones!A:B, 2, FALSE), "DATO NO CARGADO"))</f>
        <v/>
      </c>
      <c r="C849" s="51"/>
      <c r="D849" s="257"/>
      <c r="E849" s="102"/>
      <c r="F849" s="103"/>
      <c r="G849" s="258"/>
      <c r="I849" s="103"/>
      <c r="K849" s="71"/>
      <c r="L849" s="106" t="str">
        <f>IF(ISBLANK(J849), "", VLOOKUP(C849, 'Info Tipo de Cambio y REM'!$A$24:$B$35, 2, FALSE))</f>
        <v/>
      </c>
      <c r="M849" s="107" t="str">
        <f t="shared" si="2"/>
        <v/>
      </c>
    </row>
    <row r="850">
      <c r="A850" s="102"/>
      <c r="B850" s="43" t="str">
        <f>IF(A850="", "", IFERROR(VLOOKUP(A850, Clasificaciones!A:B, 2, FALSE), "DATO NO CARGADO"))</f>
        <v/>
      </c>
      <c r="C850" s="51"/>
      <c r="D850" s="257"/>
      <c r="E850" s="102"/>
      <c r="F850" s="103"/>
      <c r="G850" s="258"/>
      <c r="I850" s="103"/>
      <c r="K850" s="71"/>
      <c r="L850" s="106" t="str">
        <f>IF(ISBLANK(J850), "", VLOOKUP(C850, 'Info Tipo de Cambio y REM'!$A$24:$B$35, 2, FALSE))</f>
        <v/>
      </c>
      <c r="M850" s="107" t="str">
        <f t="shared" si="2"/>
        <v/>
      </c>
    </row>
    <row r="851">
      <c r="A851" s="102"/>
      <c r="B851" s="43" t="str">
        <f>IF(A851="", "", IFERROR(VLOOKUP(A851, Clasificaciones!A:B, 2, FALSE), "DATO NO CARGADO"))</f>
        <v/>
      </c>
      <c r="C851" s="51"/>
      <c r="D851" s="257"/>
      <c r="E851" s="102"/>
      <c r="F851" s="103"/>
      <c r="G851" s="258"/>
      <c r="I851" s="103"/>
      <c r="K851" s="71"/>
      <c r="L851" s="106" t="str">
        <f>IF(ISBLANK(J851), "", VLOOKUP(C851, 'Info Tipo de Cambio y REM'!$A$24:$B$35, 2, FALSE))</f>
        <v/>
      </c>
      <c r="M851" s="107" t="str">
        <f t="shared" si="2"/>
        <v/>
      </c>
    </row>
    <row r="852">
      <c r="A852" s="102"/>
      <c r="B852" s="43" t="str">
        <f>IF(A852="", "", IFERROR(VLOOKUP(A852, Clasificaciones!A:B, 2, FALSE), "DATO NO CARGADO"))</f>
        <v/>
      </c>
      <c r="C852" s="51"/>
      <c r="D852" s="257"/>
      <c r="E852" s="102"/>
      <c r="F852" s="103"/>
      <c r="G852" s="258"/>
      <c r="I852" s="103"/>
      <c r="K852" s="71"/>
      <c r="L852" s="106" t="str">
        <f>IF(ISBLANK(J852), "", VLOOKUP(C852, 'Info Tipo de Cambio y REM'!$A$24:$B$35, 2, FALSE))</f>
        <v/>
      </c>
      <c r="M852" s="107" t="str">
        <f t="shared" si="2"/>
        <v/>
      </c>
    </row>
    <row r="853">
      <c r="A853" s="102"/>
      <c r="B853" s="43" t="str">
        <f>IF(A853="", "", IFERROR(VLOOKUP(A853, Clasificaciones!A:B, 2, FALSE), "DATO NO CARGADO"))</f>
        <v/>
      </c>
      <c r="C853" s="51"/>
      <c r="D853" s="257"/>
      <c r="E853" s="102"/>
      <c r="F853" s="103"/>
      <c r="G853" s="258"/>
      <c r="I853" s="103"/>
      <c r="K853" s="71"/>
      <c r="L853" s="106" t="str">
        <f>IF(ISBLANK(J853), "", VLOOKUP(C853, 'Info Tipo de Cambio y REM'!$A$24:$B$35, 2, FALSE))</f>
        <v/>
      </c>
      <c r="M853" s="107" t="str">
        <f t="shared" si="2"/>
        <v/>
      </c>
    </row>
    <row r="854">
      <c r="A854" s="102"/>
      <c r="B854" s="43" t="str">
        <f>IF(A854="", "", IFERROR(VLOOKUP(A854, Clasificaciones!A:B, 2, FALSE), "DATO NO CARGADO"))</f>
        <v/>
      </c>
      <c r="C854" s="51"/>
      <c r="D854" s="257"/>
      <c r="E854" s="102"/>
      <c r="F854" s="103"/>
      <c r="G854" s="258"/>
      <c r="I854" s="103"/>
      <c r="K854" s="71"/>
      <c r="L854" s="106" t="str">
        <f>IF(ISBLANK(J854), "", VLOOKUP(C854, 'Info Tipo de Cambio y REM'!$A$24:$B$35, 2, FALSE))</f>
        <v/>
      </c>
      <c r="M854" s="107" t="str">
        <f t="shared" si="2"/>
        <v/>
      </c>
    </row>
    <row r="855">
      <c r="A855" s="102"/>
      <c r="B855" s="43" t="str">
        <f>IF(A855="", "", IFERROR(VLOOKUP(A855, Clasificaciones!A:B, 2, FALSE), "DATO NO CARGADO"))</f>
        <v/>
      </c>
      <c r="C855" s="51"/>
      <c r="D855" s="257"/>
      <c r="E855" s="102"/>
      <c r="F855" s="103"/>
      <c r="G855" s="258"/>
      <c r="I855" s="103"/>
      <c r="K855" s="71"/>
      <c r="L855" s="106" t="str">
        <f>IF(ISBLANK(J855), "", VLOOKUP(C855, 'Info Tipo de Cambio y REM'!$A$24:$B$35, 2, FALSE))</f>
        <v/>
      </c>
      <c r="M855" s="107" t="str">
        <f t="shared" si="2"/>
        <v/>
      </c>
    </row>
    <row r="856">
      <c r="A856" s="102"/>
      <c r="B856" s="43" t="str">
        <f>IF(A856="", "", IFERROR(VLOOKUP(A856, Clasificaciones!A:B, 2, FALSE), "DATO NO CARGADO"))</f>
        <v/>
      </c>
      <c r="C856" s="51"/>
      <c r="D856" s="257"/>
      <c r="E856" s="102"/>
      <c r="F856" s="103"/>
      <c r="G856" s="258"/>
      <c r="I856" s="103"/>
      <c r="K856" s="71"/>
      <c r="L856" s="106" t="str">
        <f>IF(ISBLANK(J856), "", VLOOKUP(C856, 'Info Tipo de Cambio y REM'!$A$24:$B$35, 2, FALSE))</f>
        <v/>
      </c>
      <c r="M856" s="107" t="str">
        <f t="shared" si="2"/>
        <v/>
      </c>
    </row>
    <row r="857">
      <c r="A857" s="102"/>
      <c r="B857" s="43" t="str">
        <f>IF(A857="", "", IFERROR(VLOOKUP(A857, Clasificaciones!A:B, 2, FALSE), "DATO NO CARGADO"))</f>
        <v/>
      </c>
      <c r="C857" s="51"/>
      <c r="D857" s="257"/>
      <c r="E857" s="102"/>
      <c r="F857" s="103"/>
      <c r="G857" s="258"/>
      <c r="I857" s="103"/>
      <c r="K857" s="71"/>
      <c r="L857" s="106" t="str">
        <f>IF(ISBLANK(J857), "", VLOOKUP(C857, 'Info Tipo de Cambio y REM'!$A$24:$B$35, 2, FALSE))</f>
        <v/>
      </c>
      <c r="M857" s="107" t="str">
        <f t="shared" si="2"/>
        <v/>
      </c>
    </row>
    <row r="858">
      <c r="A858" s="102"/>
      <c r="B858" s="43" t="str">
        <f>IF(A858="", "", IFERROR(VLOOKUP(A858, Clasificaciones!A:B, 2, FALSE), "DATO NO CARGADO"))</f>
        <v/>
      </c>
      <c r="C858" s="51"/>
      <c r="D858" s="257"/>
      <c r="E858" s="102"/>
      <c r="F858" s="103"/>
      <c r="G858" s="258"/>
      <c r="I858" s="103"/>
      <c r="K858" s="71"/>
      <c r="L858" s="106" t="str">
        <f>IF(ISBLANK(J858), "", VLOOKUP(C858, 'Info Tipo de Cambio y REM'!$A$24:$B$35, 2, FALSE))</f>
        <v/>
      </c>
      <c r="M858" s="107" t="str">
        <f t="shared" si="2"/>
        <v/>
      </c>
    </row>
    <row r="859">
      <c r="A859" s="102"/>
      <c r="B859" s="43" t="str">
        <f>IF(A859="", "", IFERROR(VLOOKUP(A859, Clasificaciones!A:B, 2, FALSE), "DATO NO CARGADO"))</f>
        <v/>
      </c>
      <c r="C859" s="51"/>
      <c r="D859" s="257"/>
      <c r="E859" s="102"/>
      <c r="F859" s="103"/>
      <c r="G859" s="258"/>
      <c r="I859" s="103"/>
      <c r="K859" s="71"/>
      <c r="L859" s="106" t="str">
        <f>IF(ISBLANK(J859), "", VLOOKUP(C859, 'Info Tipo de Cambio y REM'!$A$24:$B$35, 2, FALSE))</f>
        <v/>
      </c>
      <c r="M859" s="107" t="str">
        <f t="shared" si="2"/>
        <v/>
      </c>
    </row>
    <row r="860">
      <c r="A860" s="102"/>
      <c r="B860" s="43" t="str">
        <f>IF(A860="", "", IFERROR(VLOOKUP(A860, Clasificaciones!A:B, 2, FALSE), "DATO NO CARGADO"))</f>
        <v/>
      </c>
      <c r="C860" s="51"/>
      <c r="D860" s="257"/>
      <c r="E860" s="102"/>
      <c r="F860" s="103"/>
      <c r="G860" s="258"/>
      <c r="I860" s="103"/>
      <c r="K860" s="71"/>
      <c r="L860" s="106" t="str">
        <f>IF(ISBLANK(J860), "", VLOOKUP(C860, 'Info Tipo de Cambio y REM'!$A$24:$B$35, 2, FALSE))</f>
        <v/>
      </c>
      <c r="M860" s="107" t="str">
        <f t="shared" si="2"/>
        <v/>
      </c>
    </row>
    <row r="861">
      <c r="A861" s="102"/>
      <c r="B861" s="43" t="str">
        <f>IF(A861="", "", IFERROR(VLOOKUP(A861, Clasificaciones!A:B, 2, FALSE), "DATO NO CARGADO"))</f>
        <v/>
      </c>
      <c r="C861" s="51"/>
      <c r="D861" s="257"/>
      <c r="E861" s="102"/>
      <c r="F861" s="103"/>
      <c r="G861" s="258"/>
      <c r="I861" s="103"/>
      <c r="K861" s="71"/>
      <c r="L861" s="106" t="str">
        <f>IF(ISBLANK(J861), "", VLOOKUP(C861, 'Info Tipo de Cambio y REM'!$A$24:$B$35, 2, FALSE))</f>
        <v/>
      </c>
      <c r="M861" s="107" t="str">
        <f t="shared" si="2"/>
        <v/>
      </c>
    </row>
    <row r="862">
      <c r="A862" s="102"/>
      <c r="B862" s="43" t="str">
        <f>IF(A862="", "", IFERROR(VLOOKUP(A862, Clasificaciones!A:B, 2, FALSE), "DATO NO CARGADO"))</f>
        <v/>
      </c>
      <c r="C862" s="51"/>
      <c r="D862" s="257"/>
      <c r="E862" s="102"/>
      <c r="F862" s="103"/>
      <c r="G862" s="258"/>
      <c r="I862" s="103"/>
      <c r="K862" s="71"/>
      <c r="L862" s="106" t="str">
        <f>IF(ISBLANK(J862), "", VLOOKUP(C862, 'Info Tipo de Cambio y REM'!$A$24:$B$35, 2, FALSE))</f>
        <v/>
      </c>
      <c r="M862" s="107" t="str">
        <f t="shared" si="2"/>
        <v/>
      </c>
    </row>
    <row r="863">
      <c r="A863" s="102"/>
      <c r="B863" s="43" t="str">
        <f>IF(A863="", "", IFERROR(VLOOKUP(A863, Clasificaciones!A:B, 2, FALSE), "DATO NO CARGADO"))</f>
        <v/>
      </c>
      <c r="C863" s="51"/>
      <c r="D863" s="257"/>
      <c r="E863" s="102"/>
      <c r="F863" s="103"/>
      <c r="G863" s="258"/>
      <c r="I863" s="103"/>
      <c r="K863" s="71"/>
      <c r="L863" s="106" t="str">
        <f>IF(ISBLANK(J863), "", VLOOKUP(C863, 'Info Tipo de Cambio y REM'!$A$24:$B$35, 2, FALSE))</f>
        <v/>
      </c>
      <c r="M863" s="107" t="str">
        <f t="shared" si="2"/>
        <v/>
      </c>
    </row>
    <row r="864">
      <c r="A864" s="102"/>
      <c r="B864" s="43" t="str">
        <f>IF(A864="", "", IFERROR(VLOOKUP(A864, Clasificaciones!A:B, 2, FALSE), "DATO NO CARGADO"))</f>
        <v/>
      </c>
      <c r="C864" s="51"/>
      <c r="D864" s="257"/>
      <c r="E864" s="102"/>
      <c r="F864" s="103"/>
      <c r="G864" s="258"/>
      <c r="I864" s="103"/>
      <c r="K864" s="71"/>
      <c r="L864" s="106" t="str">
        <f>IF(ISBLANK(J864), "", VLOOKUP(C864, 'Info Tipo de Cambio y REM'!$A$24:$B$35, 2, FALSE))</f>
        <v/>
      </c>
      <c r="M864" s="107" t="str">
        <f t="shared" si="2"/>
        <v/>
      </c>
    </row>
    <row r="865">
      <c r="A865" s="102"/>
      <c r="B865" s="43" t="str">
        <f>IF(A865="", "", IFERROR(VLOOKUP(A865, Clasificaciones!A:B, 2, FALSE), "DATO NO CARGADO"))</f>
        <v/>
      </c>
      <c r="C865" s="51"/>
      <c r="D865" s="257"/>
      <c r="E865" s="102"/>
      <c r="F865" s="103"/>
      <c r="G865" s="258"/>
      <c r="I865" s="103"/>
      <c r="K865" s="71"/>
      <c r="L865" s="106" t="str">
        <f>IF(ISBLANK(J865), "", VLOOKUP(C865, 'Info Tipo de Cambio y REM'!$A$24:$B$35, 2, FALSE))</f>
        <v/>
      </c>
      <c r="M865" s="107" t="str">
        <f t="shared" si="2"/>
        <v/>
      </c>
    </row>
    <row r="866">
      <c r="A866" s="102"/>
      <c r="B866" s="43" t="str">
        <f>IF(A866="", "", IFERROR(VLOOKUP(A866, Clasificaciones!A:B, 2, FALSE), "DATO NO CARGADO"))</f>
        <v/>
      </c>
      <c r="C866" s="51"/>
      <c r="D866" s="257"/>
      <c r="E866" s="102"/>
      <c r="F866" s="103"/>
      <c r="G866" s="258"/>
      <c r="I866" s="103"/>
      <c r="K866" s="71"/>
      <c r="L866" s="106" t="str">
        <f>IF(ISBLANK(J866), "", VLOOKUP(C866, 'Info Tipo de Cambio y REM'!$A$24:$B$35, 2, FALSE))</f>
        <v/>
      </c>
      <c r="M866" s="107" t="str">
        <f t="shared" si="2"/>
        <v/>
      </c>
    </row>
    <row r="867">
      <c r="A867" s="102"/>
      <c r="B867" s="43" t="str">
        <f>IF(A867="", "", IFERROR(VLOOKUP(A867, Clasificaciones!A:B, 2, FALSE), "DATO NO CARGADO"))</f>
        <v/>
      </c>
      <c r="C867" s="51"/>
      <c r="D867" s="257"/>
      <c r="E867" s="102"/>
      <c r="F867" s="103"/>
      <c r="G867" s="258"/>
      <c r="I867" s="103"/>
      <c r="K867" s="71"/>
      <c r="L867" s="106" t="str">
        <f>IF(ISBLANK(J867), "", VLOOKUP(C867, 'Info Tipo de Cambio y REM'!$A$24:$B$35, 2, FALSE))</f>
        <v/>
      </c>
      <c r="M867" s="107" t="str">
        <f t="shared" si="2"/>
        <v/>
      </c>
    </row>
    <row r="868">
      <c r="A868" s="102"/>
      <c r="B868" s="43" t="str">
        <f>IF(A868="", "", IFERROR(VLOOKUP(A868, Clasificaciones!A:B, 2, FALSE), "DATO NO CARGADO"))</f>
        <v/>
      </c>
      <c r="C868" s="51"/>
      <c r="D868" s="257"/>
      <c r="E868" s="102"/>
      <c r="F868" s="103"/>
      <c r="G868" s="258"/>
      <c r="I868" s="103"/>
      <c r="K868" s="71"/>
      <c r="L868" s="106" t="str">
        <f>IF(ISBLANK(J868), "", VLOOKUP(C868, 'Info Tipo de Cambio y REM'!$A$24:$B$35, 2, FALSE))</f>
        <v/>
      </c>
      <c r="M868" s="107" t="str">
        <f t="shared" si="2"/>
        <v/>
      </c>
    </row>
    <row r="869">
      <c r="A869" s="102"/>
      <c r="B869" s="43" t="str">
        <f>IF(A869="", "", IFERROR(VLOOKUP(A869, Clasificaciones!A:B, 2, FALSE), "DATO NO CARGADO"))</f>
        <v/>
      </c>
      <c r="C869" s="51"/>
      <c r="D869" s="257"/>
      <c r="E869" s="102"/>
      <c r="F869" s="103"/>
      <c r="G869" s="258"/>
      <c r="I869" s="103"/>
      <c r="K869" s="71"/>
      <c r="L869" s="106" t="str">
        <f>IF(ISBLANK(J869), "", VLOOKUP(C869, 'Info Tipo de Cambio y REM'!$A$24:$B$35, 2, FALSE))</f>
        <v/>
      </c>
      <c r="M869" s="107" t="str">
        <f t="shared" si="2"/>
        <v/>
      </c>
    </row>
    <row r="870">
      <c r="A870" s="102"/>
      <c r="B870" s="43" t="str">
        <f>IF(A870="", "", IFERROR(VLOOKUP(A870, Clasificaciones!A:B, 2, FALSE), "DATO NO CARGADO"))</f>
        <v/>
      </c>
      <c r="C870" s="51"/>
      <c r="D870" s="257"/>
      <c r="E870" s="102"/>
      <c r="F870" s="103"/>
      <c r="G870" s="258"/>
      <c r="I870" s="103"/>
      <c r="K870" s="71"/>
      <c r="L870" s="106" t="str">
        <f>IF(ISBLANK(J870), "", VLOOKUP(C870, 'Info Tipo de Cambio y REM'!$A$24:$B$35, 2, FALSE))</f>
        <v/>
      </c>
      <c r="M870" s="107" t="str">
        <f t="shared" si="2"/>
        <v/>
      </c>
    </row>
    <row r="871">
      <c r="A871" s="102"/>
      <c r="B871" s="43" t="str">
        <f>IF(A871="", "", IFERROR(VLOOKUP(A871, Clasificaciones!A:B, 2, FALSE), "DATO NO CARGADO"))</f>
        <v/>
      </c>
      <c r="C871" s="51"/>
      <c r="D871" s="257"/>
      <c r="E871" s="102"/>
      <c r="F871" s="103"/>
      <c r="G871" s="258"/>
      <c r="I871" s="103"/>
      <c r="K871" s="71"/>
      <c r="L871" s="106" t="str">
        <f>IF(ISBLANK(J871), "", VLOOKUP(C871, 'Info Tipo de Cambio y REM'!$A$24:$B$35, 2, FALSE))</f>
        <v/>
      </c>
      <c r="M871" s="107" t="str">
        <f t="shared" si="2"/>
        <v/>
      </c>
    </row>
    <row r="872">
      <c r="A872" s="102"/>
      <c r="B872" s="43" t="str">
        <f>IF(A872="", "", IFERROR(VLOOKUP(A872, Clasificaciones!A:B, 2, FALSE), "DATO NO CARGADO"))</f>
        <v/>
      </c>
      <c r="C872" s="51"/>
      <c r="D872" s="257"/>
      <c r="E872" s="102"/>
      <c r="F872" s="103"/>
      <c r="G872" s="258"/>
      <c r="I872" s="103"/>
      <c r="K872" s="71"/>
      <c r="L872" s="106" t="str">
        <f>IF(ISBLANK(J872), "", VLOOKUP(C872, 'Info Tipo de Cambio y REM'!$A$24:$B$35, 2, FALSE))</f>
        <v/>
      </c>
      <c r="M872" s="107" t="str">
        <f t="shared" si="2"/>
        <v/>
      </c>
    </row>
    <row r="873">
      <c r="A873" s="102"/>
      <c r="B873" s="43" t="str">
        <f>IF(A873="", "", IFERROR(VLOOKUP(A873, Clasificaciones!A:B, 2, FALSE), "DATO NO CARGADO"))</f>
        <v/>
      </c>
      <c r="C873" s="51"/>
      <c r="D873" s="257"/>
      <c r="E873" s="102"/>
      <c r="F873" s="103"/>
      <c r="G873" s="258"/>
      <c r="I873" s="103"/>
      <c r="K873" s="71"/>
      <c r="L873" s="106" t="str">
        <f>IF(ISBLANK(J873), "", VLOOKUP(C873, 'Info Tipo de Cambio y REM'!$A$24:$B$35, 2, FALSE))</f>
        <v/>
      </c>
      <c r="M873" s="107" t="str">
        <f t="shared" si="2"/>
        <v/>
      </c>
    </row>
    <row r="874">
      <c r="A874" s="102"/>
      <c r="B874" s="43" t="str">
        <f>IF(A874="", "", IFERROR(VLOOKUP(A874, Clasificaciones!A:B, 2, FALSE), "DATO NO CARGADO"))</f>
        <v/>
      </c>
      <c r="C874" s="51"/>
      <c r="D874" s="257"/>
      <c r="E874" s="102"/>
      <c r="F874" s="103"/>
      <c r="G874" s="258"/>
      <c r="I874" s="103"/>
      <c r="K874" s="71"/>
      <c r="L874" s="106" t="str">
        <f>IF(ISBLANK(J874), "", VLOOKUP(C874, 'Info Tipo de Cambio y REM'!$A$24:$B$35, 2, FALSE))</f>
        <v/>
      </c>
      <c r="M874" s="107" t="str">
        <f t="shared" si="2"/>
        <v/>
      </c>
    </row>
    <row r="875">
      <c r="A875" s="102"/>
      <c r="B875" s="43" t="str">
        <f>IF(A875="", "", IFERROR(VLOOKUP(A875, Clasificaciones!A:B, 2, FALSE), "DATO NO CARGADO"))</f>
        <v/>
      </c>
      <c r="C875" s="51"/>
      <c r="D875" s="257"/>
      <c r="E875" s="102"/>
      <c r="F875" s="103"/>
      <c r="G875" s="258"/>
      <c r="I875" s="103"/>
      <c r="K875" s="71"/>
      <c r="L875" s="106" t="str">
        <f>IF(ISBLANK(J875), "", VLOOKUP(C875, 'Info Tipo de Cambio y REM'!$A$24:$B$35, 2, FALSE))</f>
        <v/>
      </c>
      <c r="M875" s="107" t="str">
        <f t="shared" si="2"/>
        <v/>
      </c>
    </row>
    <row r="876">
      <c r="A876" s="102"/>
      <c r="B876" s="43" t="str">
        <f>IF(A876="", "", IFERROR(VLOOKUP(A876, Clasificaciones!A:B, 2, FALSE), "DATO NO CARGADO"))</f>
        <v/>
      </c>
      <c r="C876" s="51"/>
      <c r="D876" s="257"/>
      <c r="E876" s="102"/>
      <c r="F876" s="103"/>
      <c r="G876" s="258"/>
      <c r="I876" s="103"/>
      <c r="K876" s="71"/>
      <c r="L876" s="106" t="str">
        <f>IF(ISBLANK(J876), "", VLOOKUP(C876, 'Info Tipo de Cambio y REM'!$A$24:$B$35, 2, FALSE))</f>
        <v/>
      </c>
      <c r="M876" s="107" t="str">
        <f t="shared" si="2"/>
        <v/>
      </c>
    </row>
    <row r="877">
      <c r="A877" s="102"/>
      <c r="B877" s="43" t="str">
        <f>IF(A877="", "", IFERROR(VLOOKUP(A877, Clasificaciones!A:B, 2, FALSE), "DATO NO CARGADO"))</f>
        <v/>
      </c>
      <c r="C877" s="51"/>
      <c r="D877" s="257"/>
      <c r="E877" s="102"/>
      <c r="F877" s="103"/>
      <c r="G877" s="258"/>
      <c r="I877" s="103"/>
      <c r="K877" s="71"/>
      <c r="L877" s="106" t="str">
        <f>IF(ISBLANK(J877), "", VLOOKUP(C877, 'Info Tipo de Cambio y REM'!$A$24:$B$35, 2, FALSE))</f>
        <v/>
      </c>
      <c r="M877" s="107" t="str">
        <f t="shared" si="2"/>
        <v/>
      </c>
    </row>
    <row r="878">
      <c r="A878" s="102"/>
      <c r="B878" s="43" t="str">
        <f>IF(A878="", "", IFERROR(VLOOKUP(A878, Clasificaciones!A:B, 2, FALSE), "DATO NO CARGADO"))</f>
        <v/>
      </c>
      <c r="C878" s="51"/>
      <c r="D878" s="257"/>
      <c r="E878" s="102"/>
      <c r="F878" s="103"/>
      <c r="G878" s="258"/>
      <c r="I878" s="103"/>
      <c r="K878" s="71"/>
      <c r="L878" s="106" t="str">
        <f>IF(ISBLANK(J878), "", VLOOKUP(C878, 'Info Tipo de Cambio y REM'!$A$24:$B$35, 2, FALSE))</f>
        <v/>
      </c>
      <c r="M878" s="107" t="str">
        <f t="shared" si="2"/>
        <v/>
      </c>
    </row>
    <row r="879">
      <c r="A879" s="102"/>
      <c r="B879" s="43" t="str">
        <f>IF(A879="", "", IFERROR(VLOOKUP(A879, Clasificaciones!A:B, 2, FALSE), "DATO NO CARGADO"))</f>
        <v/>
      </c>
      <c r="C879" s="51"/>
      <c r="D879" s="257"/>
      <c r="E879" s="102"/>
      <c r="F879" s="103"/>
      <c r="G879" s="258"/>
      <c r="I879" s="103"/>
      <c r="K879" s="71"/>
      <c r="L879" s="106" t="str">
        <f>IF(ISBLANK(J879), "", VLOOKUP(C879, 'Info Tipo de Cambio y REM'!$A$24:$B$35, 2, FALSE))</f>
        <v/>
      </c>
      <c r="M879" s="107" t="str">
        <f t="shared" si="2"/>
        <v/>
      </c>
    </row>
    <row r="880">
      <c r="A880" s="102"/>
      <c r="B880" s="43" t="str">
        <f>IF(A880="", "", IFERROR(VLOOKUP(A880, Clasificaciones!A:B, 2, FALSE), "DATO NO CARGADO"))</f>
        <v/>
      </c>
      <c r="C880" s="51"/>
      <c r="D880" s="257"/>
      <c r="E880" s="102"/>
      <c r="F880" s="103"/>
      <c r="G880" s="258"/>
      <c r="I880" s="103"/>
      <c r="K880" s="71"/>
      <c r="L880" s="106" t="str">
        <f>IF(ISBLANK(J880), "", VLOOKUP(C880, 'Info Tipo de Cambio y REM'!$A$24:$B$35, 2, FALSE))</f>
        <v/>
      </c>
      <c r="M880" s="107" t="str">
        <f t="shared" si="2"/>
        <v/>
      </c>
    </row>
    <row r="881">
      <c r="A881" s="102"/>
      <c r="B881" s="43" t="str">
        <f>IF(A881="", "", IFERROR(VLOOKUP(A881, Clasificaciones!A:B, 2, FALSE), "DATO NO CARGADO"))</f>
        <v/>
      </c>
      <c r="C881" s="51"/>
      <c r="D881" s="257"/>
      <c r="E881" s="102"/>
      <c r="F881" s="103"/>
      <c r="G881" s="258"/>
      <c r="I881" s="103"/>
      <c r="K881" s="71"/>
      <c r="L881" s="106" t="str">
        <f>IF(ISBLANK(J881), "", VLOOKUP(C881, 'Info Tipo de Cambio y REM'!$A$24:$B$35, 2, FALSE))</f>
        <v/>
      </c>
      <c r="M881" s="107" t="str">
        <f t="shared" si="2"/>
        <v/>
      </c>
    </row>
    <row r="882">
      <c r="A882" s="102"/>
      <c r="B882" s="43" t="str">
        <f>IF(A882="", "", IFERROR(VLOOKUP(A882, Clasificaciones!A:B, 2, FALSE), "DATO NO CARGADO"))</f>
        <v/>
      </c>
      <c r="C882" s="51"/>
      <c r="D882" s="257"/>
      <c r="E882" s="102"/>
      <c r="F882" s="103"/>
      <c r="G882" s="258"/>
      <c r="I882" s="103"/>
      <c r="K882" s="71"/>
      <c r="L882" s="106" t="str">
        <f>IF(ISBLANK(J882), "", VLOOKUP(C882, 'Info Tipo de Cambio y REM'!$A$24:$B$35, 2, FALSE))</f>
        <v/>
      </c>
      <c r="M882" s="107" t="str">
        <f t="shared" si="2"/>
        <v/>
      </c>
    </row>
    <row r="883">
      <c r="A883" s="102"/>
      <c r="B883" s="43" t="str">
        <f>IF(A883="", "", IFERROR(VLOOKUP(A883, Clasificaciones!A:B, 2, FALSE), "DATO NO CARGADO"))</f>
        <v/>
      </c>
      <c r="C883" s="51"/>
      <c r="D883" s="257"/>
      <c r="E883" s="102"/>
      <c r="F883" s="103"/>
      <c r="G883" s="258"/>
      <c r="I883" s="103"/>
      <c r="K883" s="71"/>
      <c r="L883" s="106" t="str">
        <f>IF(ISBLANK(J883), "", VLOOKUP(C883, 'Info Tipo de Cambio y REM'!$A$24:$B$35, 2, FALSE))</f>
        <v/>
      </c>
      <c r="M883" s="107" t="str">
        <f t="shared" si="2"/>
        <v/>
      </c>
    </row>
    <row r="884">
      <c r="A884" s="102"/>
      <c r="B884" s="43" t="str">
        <f>IF(A884="", "", IFERROR(VLOOKUP(A884, Clasificaciones!A:B, 2, FALSE), "DATO NO CARGADO"))</f>
        <v/>
      </c>
      <c r="C884" s="51"/>
      <c r="D884" s="257"/>
      <c r="E884" s="102"/>
      <c r="F884" s="103"/>
      <c r="G884" s="258"/>
      <c r="I884" s="103"/>
      <c r="K884" s="71"/>
      <c r="L884" s="106" t="str">
        <f>IF(ISBLANK(J884), "", VLOOKUP(C884, 'Info Tipo de Cambio y REM'!$A$24:$B$35, 2, FALSE))</f>
        <v/>
      </c>
      <c r="M884" s="107" t="str">
        <f t="shared" si="2"/>
        <v/>
      </c>
    </row>
    <row r="885">
      <c r="A885" s="102"/>
      <c r="B885" s="43" t="str">
        <f>IF(A885="", "", IFERROR(VLOOKUP(A885, Clasificaciones!A:B, 2, FALSE), "DATO NO CARGADO"))</f>
        <v/>
      </c>
      <c r="C885" s="51"/>
      <c r="D885" s="257"/>
      <c r="E885" s="102"/>
      <c r="F885" s="103"/>
      <c r="G885" s="258"/>
      <c r="I885" s="103"/>
      <c r="K885" s="71"/>
      <c r="L885" s="106" t="str">
        <f>IF(ISBLANK(J885), "", VLOOKUP(C885, 'Info Tipo de Cambio y REM'!$A$24:$B$35, 2, FALSE))</f>
        <v/>
      </c>
      <c r="M885" s="107" t="str">
        <f t="shared" si="2"/>
        <v/>
      </c>
    </row>
    <row r="886">
      <c r="A886" s="102"/>
      <c r="B886" s="43" t="str">
        <f>IF(A886="", "", IFERROR(VLOOKUP(A886, Clasificaciones!A:B, 2, FALSE), "DATO NO CARGADO"))</f>
        <v/>
      </c>
      <c r="C886" s="51"/>
      <c r="D886" s="257"/>
      <c r="E886" s="102"/>
      <c r="F886" s="103"/>
      <c r="G886" s="258"/>
      <c r="I886" s="103"/>
      <c r="K886" s="71"/>
      <c r="L886" s="106" t="str">
        <f>IF(ISBLANK(J886), "", VLOOKUP(C886, 'Info Tipo de Cambio y REM'!$A$24:$B$35, 2, FALSE))</f>
        <v/>
      </c>
      <c r="M886" s="107" t="str">
        <f t="shared" si="2"/>
        <v/>
      </c>
    </row>
    <row r="887">
      <c r="A887" s="102"/>
      <c r="B887" s="43" t="str">
        <f>IF(A887="", "", IFERROR(VLOOKUP(A887, Clasificaciones!A:B, 2, FALSE), "DATO NO CARGADO"))</f>
        <v/>
      </c>
      <c r="C887" s="51"/>
      <c r="D887" s="257"/>
      <c r="E887" s="102"/>
      <c r="F887" s="103"/>
      <c r="G887" s="258"/>
      <c r="I887" s="103"/>
      <c r="K887" s="71"/>
      <c r="L887" s="106" t="str">
        <f>IF(ISBLANK(J887), "", VLOOKUP(C887, 'Info Tipo de Cambio y REM'!$A$24:$B$35, 2, FALSE))</f>
        <v/>
      </c>
      <c r="M887" s="107" t="str">
        <f t="shared" si="2"/>
        <v/>
      </c>
    </row>
    <row r="888">
      <c r="A888" s="102"/>
      <c r="B888" s="43" t="str">
        <f>IF(A888="", "", IFERROR(VLOOKUP(A888, Clasificaciones!A:B, 2, FALSE), "DATO NO CARGADO"))</f>
        <v/>
      </c>
      <c r="C888" s="51"/>
      <c r="D888" s="257"/>
      <c r="E888" s="102"/>
      <c r="F888" s="103"/>
      <c r="G888" s="258"/>
      <c r="I888" s="103"/>
      <c r="K888" s="71"/>
      <c r="L888" s="106" t="str">
        <f>IF(ISBLANK(J888), "", VLOOKUP(C888, 'Info Tipo de Cambio y REM'!$A$24:$B$35, 2, FALSE))</f>
        <v/>
      </c>
      <c r="M888" s="107" t="str">
        <f t="shared" si="2"/>
        <v/>
      </c>
    </row>
    <row r="889">
      <c r="A889" s="102"/>
      <c r="B889" s="43" t="str">
        <f>IF(A889="", "", IFERROR(VLOOKUP(A889, Clasificaciones!A:B, 2, FALSE), "DATO NO CARGADO"))</f>
        <v/>
      </c>
      <c r="C889" s="51"/>
      <c r="D889" s="257"/>
      <c r="E889" s="102"/>
      <c r="F889" s="103"/>
      <c r="G889" s="258"/>
      <c r="I889" s="103"/>
      <c r="K889" s="71"/>
      <c r="L889" s="106" t="str">
        <f>IF(ISBLANK(J889), "", VLOOKUP(C889, 'Info Tipo de Cambio y REM'!$A$24:$B$35, 2, FALSE))</f>
        <v/>
      </c>
      <c r="M889" s="107" t="str">
        <f t="shared" si="2"/>
        <v/>
      </c>
    </row>
    <row r="890">
      <c r="A890" s="102"/>
      <c r="B890" s="43" t="str">
        <f>IF(A890="", "", IFERROR(VLOOKUP(A890, Clasificaciones!A:B, 2, FALSE), "DATO NO CARGADO"))</f>
        <v/>
      </c>
      <c r="C890" s="51"/>
      <c r="D890" s="257"/>
      <c r="E890" s="102"/>
      <c r="F890" s="103"/>
      <c r="G890" s="258"/>
      <c r="I890" s="103"/>
      <c r="K890" s="71"/>
      <c r="L890" s="106" t="str">
        <f>IF(ISBLANK(J890), "", VLOOKUP(C890, 'Info Tipo de Cambio y REM'!$A$24:$B$35, 2, FALSE))</f>
        <v/>
      </c>
      <c r="M890" s="107" t="str">
        <f t="shared" si="2"/>
        <v/>
      </c>
    </row>
    <row r="891">
      <c r="A891" s="102"/>
      <c r="B891" s="43" t="str">
        <f>IF(A891="", "", IFERROR(VLOOKUP(A891, Clasificaciones!A:B, 2, FALSE), "DATO NO CARGADO"))</f>
        <v/>
      </c>
      <c r="C891" s="51"/>
      <c r="D891" s="257"/>
      <c r="E891" s="102"/>
      <c r="F891" s="103"/>
      <c r="G891" s="258"/>
      <c r="I891" s="103"/>
      <c r="K891" s="71"/>
      <c r="L891" s="106" t="str">
        <f>IF(ISBLANK(J891), "", VLOOKUP(C891, 'Info Tipo de Cambio y REM'!$A$24:$B$35, 2, FALSE))</f>
        <v/>
      </c>
      <c r="M891" s="107" t="str">
        <f t="shared" si="2"/>
        <v/>
      </c>
    </row>
    <row r="892">
      <c r="A892" s="102"/>
      <c r="B892" s="43" t="str">
        <f>IF(A892="", "", IFERROR(VLOOKUP(A892, Clasificaciones!A:B, 2, FALSE), "DATO NO CARGADO"))</f>
        <v/>
      </c>
      <c r="C892" s="51"/>
      <c r="D892" s="257"/>
      <c r="E892" s="102"/>
      <c r="F892" s="103"/>
      <c r="G892" s="258"/>
      <c r="I892" s="103"/>
      <c r="K892" s="71"/>
      <c r="L892" s="106" t="str">
        <f>IF(ISBLANK(J892), "", VLOOKUP(C892, 'Info Tipo de Cambio y REM'!$A$24:$B$35, 2, FALSE))</f>
        <v/>
      </c>
      <c r="M892" s="107" t="str">
        <f t="shared" si="2"/>
        <v/>
      </c>
    </row>
    <row r="893">
      <c r="A893" s="102"/>
      <c r="B893" s="43" t="str">
        <f>IF(A893="", "", IFERROR(VLOOKUP(A893, Clasificaciones!A:B, 2, FALSE), "DATO NO CARGADO"))</f>
        <v/>
      </c>
      <c r="C893" s="51"/>
      <c r="D893" s="257"/>
      <c r="E893" s="102"/>
      <c r="F893" s="103"/>
      <c r="G893" s="258"/>
      <c r="I893" s="103"/>
      <c r="K893" s="71"/>
      <c r="L893" s="106" t="str">
        <f>IF(ISBLANK(J893), "", VLOOKUP(C893, 'Info Tipo de Cambio y REM'!$A$24:$B$35, 2, FALSE))</f>
        <v/>
      </c>
      <c r="M893" s="107" t="str">
        <f t="shared" si="2"/>
        <v/>
      </c>
    </row>
    <row r="894">
      <c r="A894" s="102"/>
      <c r="B894" s="43" t="str">
        <f>IF(A894="", "", IFERROR(VLOOKUP(A894, Clasificaciones!A:B, 2, FALSE), "DATO NO CARGADO"))</f>
        <v/>
      </c>
      <c r="C894" s="51"/>
      <c r="D894" s="257"/>
      <c r="E894" s="102"/>
      <c r="F894" s="103"/>
      <c r="G894" s="258"/>
      <c r="I894" s="103"/>
      <c r="K894" s="71"/>
      <c r="L894" s="106" t="str">
        <f>IF(ISBLANK(J894), "", VLOOKUP(C894, 'Info Tipo de Cambio y REM'!$A$24:$B$35, 2, FALSE))</f>
        <v/>
      </c>
      <c r="M894" s="107" t="str">
        <f t="shared" si="2"/>
        <v/>
      </c>
    </row>
    <row r="895">
      <c r="A895" s="102"/>
      <c r="B895" s="43" t="str">
        <f>IF(A895="", "", IFERROR(VLOOKUP(A895, Clasificaciones!A:B, 2, FALSE), "DATO NO CARGADO"))</f>
        <v/>
      </c>
      <c r="C895" s="51"/>
      <c r="D895" s="257"/>
      <c r="E895" s="102"/>
      <c r="F895" s="103"/>
      <c r="G895" s="258"/>
      <c r="I895" s="103"/>
      <c r="K895" s="71"/>
      <c r="L895" s="106" t="str">
        <f>IF(ISBLANK(J895), "", VLOOKUP(C895, 'Info Tipo de Cambio y REM'!$A$24:$B$35, 2, FALSE))</f>
        <v/>
      </c>
      <c r="M895" s="107" t="str">
        <f t="shared" si="2"/>
        <v/>
      </c>
    </row>
    <row r="896">
      <c r="A896" s="102"/>
      <c r="B896" s="43" t="str">
        <f>IF(A896="", "", IFERROR(VLOOKUP(A896, Clasificaciones!A:B, 2, FALSE), "DATO NO CARGADO"))</f>
        <v/>
      </c>
      <c r="C896" s="51"/>
      <c r="D896" s="257"/>
      <c r="E896" s="102"/>
      <c r="F896" s="103"/>
      <c r="G896" s="258"/>
      <c r="I896" s="103"/>
      <c r="K896" s="71"/>
      <c r="L896" s="106" t="str">
        <f>IF(ISBLANK(J896), "", VLOOKUP(C896, 'Info Tipo de Cambio y REM'!$A$24:$B$35, 2, FALSE))</f>
        <v/>
      </c>
      <c r="M896" s="107" t="str">
        <f t="shared" si="2"/>
        <v/>
      </c>
    </row>
    <row r="897">
      <c r="A897" s="102"/>
      <c r="B897" s="43" t="str">
        <f>IF(A897="", "", IFERROR(VLOOKUP(A897, Clasificaciones!A:B, 2, FALSE), "DATO NO CARGADO"))</f>
        <v/>
      </c>
      <c r="C897" s="51"/>
      <c r="D897" s="257"/>
      <c r="E897" s="102"/>
      <c r="F897" s="103"/>
      <c r="G897" s="258"/>
      <c r="I897" s="103"/>
      <c r="K897" s="71"/>
      <c r="L897" s="106" t="str">
        <f>IF(ISBLANK(J897), "", VLOOKUP(C897, 'Info Tipo de Cambio y REM'!$A$24:$B$35, 2, FALSE))</f>
        <v/>
      </c>
      <c r="M897" s="107" t="str">
        <f t="shared" si="2"/>
        <v/>
      </c>
    </row>
    <row r="898">
      <c r="A898" s="102"/>
      <c r="B898" s="43" t="str">
        <f>IF(A898="", "", IFERROR(VLOOKUP(A898, Clasificaciones!A:B, 2, FALSE), "DATO NO CARGADO"))</f>
        <v/>
      </c>
      <c r="C898" s="51"/>
      <c r="D898" s="257"/>
      <c r="E898" s="102"/>
      <c r="F898" s="103"/>
      <c r="G898" s="258"/>
      <c r="I898" s="103"/>
      <c r="K898" s="71"/>
      <c r="L898" s="106" t="str">
        <f>IF(ISBLANK(J898), "", VLOOKUP(C898, 'Info Tipo de Cambio y REM'!$A$24:$B$35, 2, FALSE))</f>
        <v/>
      </c>
      <c r="M898" s="107" t="str">
        <f t="shared" si="2"/>
        <v/>
      </c>
    </row>
    <row r="899">
      <c r="A899" s="102"/>
      <c r="B899" s="43" t="str">
        <f>IF(A899="", "", IFERROR(VLOOKUP(A899, Clasificaciones!A:B, 2, FALSE), "DATO NO CARGADO"))</f>
        <v/>
      </c>
      <c r="C899" s="51"/>
      <c r="D899" s="257"/>
      <c r="E899" s="102"/>
      <c r="F899" s="103"/>
      <c r="G899" s="258"/>
      <c r="I899" s="103"/>
      <c r="K899" s="71"/>
      <c r="L899" s="106" t="str">
        <f>IF(ISBLANK(J899), "", VLOOKUP(C899, 'Info Tipo de Cambio y REM'!$A$24:$B$35, 2, FALSE))</f>
        <v/>
      </c>
      <c r="M899" s="107" t="str">
        <f t="shared" si="2"/>
        <v/>
      </c>
    </row>
    <row r="900">
      <c r="A900" s="102"/>
      <c r="B900" s="43" t="str">
        <f>IF(A900="", "", IFERROR(VLOOKUP(A900, Clasificaciones!A:B, 2, FALSE), "DATO NO CARGADO"))</f>
        <v/>
      </c>
      <c r="C900" s="51"/>
      <c r="D900" s="257"/>
      <c r="E900" s="102"/>
      <c r="F900" s="103"/>
      <c r="G900" s="258"/>
      <c r="I900" s="103"/>
      <c r="K900" s="71"/>
      <c r="L900" s="106" t="str">
        <f>IF(ISBLANK(J900), "", VLOOKUP(C900, 'Info Tipo de Cambio y REM'!$A$24:$B$35, 2, FALSE))</f>
        <v/>
      </c>
      <c r="M900" s="107" t="str">
        <f t="shared" si="2"/>
        <v/>
      </c>
    </row>
    <row r="901">
      <c r="A901" s="102"/>
      <c r="B901" s="43" t="str">
        <f>IF(A901="", "", IFERROR(VLOOKUP(A901, Clasificaciones!A:B, 2, FALSE), "DATO NO CARGADO"))</f>
        <v/>
      </c>
      <c r="C901" s="51"/>
      <c r="D901" s="257"/>
      <c r="E901" s="102"/>
      <c r="F901" s="103"/>
      <c r="G901" s="258"/>
      <c r="I901" s="103"/>
      <c r="K901" s="71"/>
      <c r="L901" s="106" t="str">
        <f>IF(ISBLANK(J901), "", VLOOKUP(C901, 'Info Tipo de Cambio y REM'!$A$24:$B$35, 2, FALSE))</f>
        <v/>
      </c>
      <c r="M901" s="107" t="str">
        <f t="shared" si="2"/>
        <v/>
      </c>
    </row>
    <row r="902">
      <c r="A902" s="102"/>
      <c r="B902" s="43" t="str">
        <f>IF(A902="", "", IFERROR(VLOOKUP(A902, Clasificaciones!A:B, 2, FALSE), "DATO NO CARGADO"))</f>
        <v/>
      </c>
      <c r="C902" s="51"/>
      <c r="D902" s="257"/>
      <c r="E902" s="102"/>
      <c r="F902" s="103"/>
      <c r="G902" s="258"/>
      <c r="I902" s="103"/>
      <c r="K902" s="71"/>
      <c r="L902" s="106" t="str">
        <f>IF(ISBLANK(J902), "", VLOOKUP(C902, 'Info Tipo de Cambio y REM'!$A$24:$B$35, 2, FALSE))</f>
        <v/>
      </c>
      <c r="M902" s="107" t="str">
        <f t="shared" si="2"/>
        <v/>
      </c>
    </row>
    <row r="903">
      <c r="A903" s="102"/>
      <c r="B903" s="43" t="str">
        <f>IF(A903="", "", IFERROR(VLOOKUP(A903, Clasificaciones!A:B, 2, FALSE), "DATO NO CARGADO"))</f>
        <v/>
      </c>
      <c r="C903" s="51"/>
      <c r="D903" s="257"/>
      <c r="E903" s="102"/>
      <c r="F903" s="103"/>
      <c r="G903" s="258"/>
      <c r="I903" s="103"/>
      <c r="K903" s="71"/>
      <c r="L903" s="106" t="str">
        <f>IF(ISBLANK(J903), "", VLOOKUP(C903, 'Info Tipo de Cambio y REM'!$A$24:$B$35, 2, FALSE))</f>
        <v/>
      </c>
      <c r="M903" s="107" t="str">
        <f t="shared" si="2"/>
        <v/>
      </c>
    </row>
    <row r="904">
      <c r="A904" s="102"/>
      <c r="B904" s="43" t="str">
        <f>IF(A904="", "", IFERROR(VLOOKUP(A904, Clasificaciones!A:B, 2, FALSE), "DATO NO CARGADO"))</f>
        <v/>
      </c>
      <c r="C904" s="51"/>
      <c r="D904" s="257"/>
      <c r="E904" s="102"/>
      <c r="F904" s="103"/>
      <c r="G904" s="258"/>
      <c r="I904" s="103"/>
      <c r="K904" s="71"/>
      <c r="L904" s="106" t="str">
        <f>IF(ISBLANK(J904), "", VLOOKUP(C904, 'Info Tipo de Cambio y REM'!$A$24:$B$35, 2, FALSE))</f>
        <v/>
      </c>
      <c r="M904" s="107" t="str">
        <f t="shared" si="2"/>
        <v/>
      </c>
    </row>
    <row r="905">
      <c r="A905" s="102"/>
      <c r="B905" s="43" t="str">
        <f>IF(A905="", "", IFERROR(VLOOKUP(A905, Clasificaciones!A:B, 2, FALSE), "DATO NO CARGADO"))</f>
        <v/>
      </c>
      <c r="C905" s="51"/>
      <c r="D905" s="257"/>
      <c r="E905" s="102"/>
      <c r="F905" s="103"/>
      <c r="G905" s="258"/>
      <c r="I905" s="103"/>
      <c r="K905" s="71"/>
      <c r="L905" s="106" t="str">
        <f>IF(ISBLANK(J905), "", VLOOKUP(C905, 'Info Tipo de Cambio y REM'!$A$24:$B$35, 2, FALSE))</f>
        <v/>
      </c>
      <c r="M905" s="107" t="str">
        <f t="shared" si="2"/>
        <v/>
      </c>
    </row>
    <row r="906">
      <c r="A906" s="102"/>
      <c r="B906" s="43" t="str">
        <f>IF(A906="", "", IFERROR(VLOOKUP(A906, Clasificaciones!A:B, 2, FALSE), "DATO NO CARGADO"))</f>
        <v/>
      </c>
      <c r="C906" s="51"/>
      <c r="D906" s="257"/>
      <c r="E906" s="102"/>
      <c r="F906" s="103"/>
      <c r="G906" s="258"/>
      <c r="I906" s="103"/>
      <c r="K906" s="71"/>
      <c r="L906" s="106" t="str">
        <f>IF(ISBLANK(J906), "", VLOOKUP(C906, 'Info Tipo de Cambio y REM'!$A$24:$B$35, 2, FALSE))</f>
        <v/>
      </c>
      <c r="M906" s="107" t="str">
        <f t="shared" si="2"/>
        <v/>
      </c>
    </row>
    <row r="907">
      <c r="A907" s="102"/>
      <c r="B907" s="43" t="str">
        <f>IF(A907="", "", IFERROR(VLOOKUP(A907, Clasificaciones!A:B, 2, FALSE), "DATO NO CARGADO"))</f>
        <v/>
      </c>
      <c r="C907" s="51"/>
      <c r="D907" s="257"/>
      <c r="E907" s="102"/>
      <c r="F907" s="103"/>
      <c r="G907" s="258"/>
      <c r="I907" s="103"/>
      <c r="K907" s="71"/>
      <c r="L907" s="106" t="str">
        <f>IF(ISBLANK(J907), "", VLOOKUP(C907, 'Info Tipo de Cambio y REM'!$A$24:$B$35, 2, FALSE))</f>
        <v/>
      </c>
      <c r="M907" s="107" t="str">
        <f t="shared" si="2"/>
        <v/>
      </c>
    </row>
    <row r="908">
      <c r="A908" s="102"/>
      <c r="B908" s="43" t="str">
        <f>IF(A908="", "", IFERROR(VLOOKUP(A908, Clasificaciones!A:B, 2, FALSE), "DATO NO CARGADO"))</f>
        <v/>
      </c>
      <c r="C908" s="51"/>
      <c r="D908" s="257"/>
      <c r="E908" s="102"/>
      <c r="F908" s="103"/>
      <c r="G908" s="258"/>
      <c r="I908" s="103"/>
      <c r="K908" s="71"/>
      <c r="L908" s="106" t="str">
        <f>IF(ISBLANK(J908), "", VLOOKUP(C908, 'Info Tipo de Cambio y REM'!$A$24:$B$35, 2, FALSE))</f>
        <v/>
      </c>
      <c r="M908" s="107" t="str">
        <f t="shared" si="2"/>
        <v/>
      </c>
    </row>
    <row r="909">
      <c r="A909" s="102"/>
      <c r="B909" s="43" t="str">
        <f>IF(A909="", "", IFERROR(VLOOKUP(A909, Clasificaciones!A:B, 2, FALSE), "DATO NO CARGADO"))</f>
        <v/>
      </c>
      <c r="C909" s="51"/>
      <c r="D909" s="257"/>
      <c r="E909" s="102"/>
      <c r="F909" s="103"/>
      <c r="G909" s="258"/>
      <c r="I909" s="103"/>
      <c r="K909" s="71"/>
      <c r="L909" s="106" t="str">
        <f>IF(ISBLANK(J909), "", VLOOKUP(C909, 'Info Tipo de Cambio y REM'!$A$24:$B$35, 2, FALSE))</f>
        <v/>
      </c>
      <c r="M909" s="107" t="str">
        <f t="shared" si="2"/>
        <v/>
      </c>
    </row>
    <row r="910">
      <c r="A910" s="102"/>
      <c r="B910" s="43" t="str">
        <f>IF(A910="", "", IFERROR(VLOOKUP(A910, Clasificaciones!A:B, 2, FALSE), "DATO NO CARGADO"))</f>
        <v/>
      </c>
      <c r="C910" s="51"/>
      <c r="D910" s="257"/>
      <c r="E910" s="102"/>
      <c r="F910" s="103"/>
      <c r="G910" s="258"/>
      <c r="I910" s="103"/>
      <c r="K910" s="71"/>
      <c r="L910" s="106" t="str">
        <f>IF(ISBLANK(J910), "", VLOOKUP(C910, 'Info Tipo de Cambio y REM'!$A$24:$B$35, 2, FALSE))</f>
        <v/>
      </c>
      <c r="M910" s="107" t="str">
        <f t="shared" si="2"/>
        <v/>
      </c>
    </row>
    <row r="911">
      <c r="A911" s="102"/>
      <c r="B911" s="43" t="str">
        <f>IF(A911="", "", IFERROR(VLOOKUP(A911, Clasificaciones!A:B, 2, FALSE), "DATO NO CARGADO"))</f>
        <v/>
      </c>
      <c r="C911" s="51"/>
      <c r="D911" s="257"/>
      <c r="E911" s="102"/>
      <c r="F911" s="103"/>
      <c r="G911" s="258"/>
      <c r="I911" s="103"/>
      <c r="K911" s="71"/>
      <c r="L911" s="106" t="str">
        <f>IF(ISBLANK(J911), "", VLOOKUP(C911, 'Info Tipo de Cambio y REM'!$A$24:$B$35, 2, FALSE))</f>
        <v/>
      </c>
      <c r="M911" s="107" t="str">
        <f t="shared" si="2"/>
        <v/>
      </c>
    </row>
    <row r="912">
      <c r="A912" s="102"/>
      <c r="B912" s="43" t="str">
        <f>IF(A912="", "", IFERROR(VLOOKUP(A912, Clasificaciones!A:B, 2, FALSE), "DATO NO CARGADO"))</f>
        <v/>
      </c>
      <c r="C912" s="51"/>
      <c r="D912" s="257"/>
      <c r="E912" s="102"/>
      <c r="F912" s="103"/>
      <c r="G912" s="258"/>
      <c r="I912" s="103"/>
      <c r="K912" s="71"/>
      <c r="L912" s="106" t="str">
        <f>IF(ISBLANK(J912), "", VLOOKUP(C912, 'Info Tipo de Cambio y REM'!$A$24:$B$35, 2, FALSE))</f>
        <v/>
      </c>
      <c r="M912" s="107" t="str">
        <f t="shared" si="2"/>
        <v/>
      </c>
    </row>
    <row r="913">
      <c r="A913" s="102"/>
      <c r="B913" s="43" t="str">
        <f>IF(A913="", "", IFERROR(VLOOKUP(A913, Clasificaciones!A:B, 2, FALSE), "DATO NO CARGADO"))</f>
        <v/>
      </c>
      <c r="C913" s="51"/>
      <c r="D913" s="257"/>
      <c r="E913" s="102"/>
      <c r="F913" s="103"/>
      <c r="G913" s="258"/>
      <c r="I913" s="103"/>
      <c r="K913" s="71"/>
      <c r="L913" s="106" t="str">
        <f>IF(ISBLANK(J913), "", VLOOKUP(C913, 'Info Tipo de Cambio y REM'!$A$24:$B$35, 2, FALSE))</f>
        <v/>
      </c>
      <c r="M913" s="107" t="str">
        <f t="shared" si="2"/>
        <v/>
      </c>
    </row>
    <row r="914">
      <c r="A914" s="102"/>
      <c r="B914" s="43" t="str">
        <f>IF(A914="", "", IFERROR(VLOOKUP(A914, Clasificaciones!A:B, 2, FALSE), "DATO NO CARGADO"))</f>
        <v/>
      </c>
      <c r="C914" s="51"/>
      <c r="D914" s="257"/>
      <c r="E914" s="102"/>
      <c r="F914" s="103"/>
      <c r="G914" s="258"/>
      <c r="I914" s="103"/>
      <c r="K914" s="71"/>
      <c r="L914" s="106" t="str">
        <f>IF(ISBLANK(J914), "", VLOOKUP(C914, 'Info Tipo de Cambio y REM'!$A$24:$B$35, 2, FALSE))</f>
        <v/>
      </c>
      <c r="M914" s="107" t="str">
        <f t="shared" si="2"/>
        <v/>
      </c>
    </row>
    <row r="915">
      <c r="A915" s="102"/>
      <c r="B915" s="43" t="str">
        <f>IF(A915="", "", IFERROR(VLOOKUP(A915, Clasificaciones!A:B, 2, FALSE), "DATO NO CARGADO"))</f>
        <v/>
      </c>
      <c r="C915" s="51"/>
      <c r="D915" s="257"/>
      <c r="E915" s="102"/>
      <c r="F915" s="103"/>
      <c r="G915" s="258"/>
      <c r="I915" s="103"/>
      <c r="K915" s="71"/>
      <c r="L915" s="106" t="str">
        <f>IF(ISBLANK(J915), "", VLOOKUP(C915, 'Info Tipo de Cambio y REM'!$A$24:$B$35, 2, FALSE))</f>
        <v/>
      </c>
      <c r="M915" s="107" t="str">
        <f t="shared" si="2"/>
        <v/>
      </c>
    </row>
    <row r="916">
      <c r="A916" s="102"/>
      <c r="B916" s="43" t="str">
        <f>IF(A916="", "", IFERROR(VLOOKUP(A916, Clasificaciones!A:B, 2, FALSE), "DATO NO CARGADO"))</f>
        <v/>
      </c>
      <c r="C916" s="51"/>
      <c r="D916" s="257"/>
      <c r="E916" s="102"/>
      <c r="F916" s="103"/>
      <c r="G916" s="258"/>
      <c r="I916" s="103"/>
      <c r="K916" s="71"/>
      <c r="L916" s="106" t="str">
        <f>IF(ISBLANK(J916), "", VLOOKUP(C916, 'Info Tipo de Cambio y REM'!$A$24:$B$35, 2, FALSE))</f>
        <v/>
      </c>
      <c r="M916" s="107" t="str">
        <f t="shared" si="2"/>
        <v/>
      </c>
    </row>
    <row r="917">
      <c r="A917" s="102"/>
      <c r="B917" s="43" t="str">
        <f>IF(A917="", "", IFERROR(VLOOKUP(A917, Clasificaciones!A:B, 2, FALSE), "DATO NO CARGADO"))</f>
        <v/>
      </c>
      <c r="C917" s="51"/>
      <c r="D917" s="257"/>
      <c r="E917" s="102"/>
      <c r="F917" s="103"/>
      <c r="G917" s="258"/>
      <c r="I917" s="103"/>
      <c r="K917" s="71"/>
      <c r="L917" s="106" t="str">
        <f>IF(ISBLANK(J917), "", VLOOKUP(C917, 'Info Tipo de Cambio y REM'!$A$24:$B$35, 2, FALSE))</f>
        <v/>
      </c>
      <c r="M917" s="107" t="str">
        <f t="shared" si="2"/>
        <v/>
      </c>
    </row>
    <row r="918">
      <c r="A918" s="102"/>
      <c r="B918" s="43" t="str">
        <f>IF(A918="", "", IFERROR(VLOOKUP(A918, Clasificaciones!A:B, 2, FALSE), "DATO NO CARGADO"))</f>
        <v/>
      </c>
      <c r="C918" s="51"/>
      <c r="D918" s="257"/>
      <c r="E918" s="102"/>
      <c r="F918" s="103"/>
      <c r="G918" s="258"/>
      <c r="I918" s="103"/>
      <c r="K918" s="71"/>
      <c r="L918" s="106" t="str">
        <f>IF(ISBLANK(J918), "", VLOOKUP(C918, 'Info Tipo de Cambio y REM'!$A$24:$B$35, 2, FALSE))</f>
        <v/>
      </c>
      <c r="M918" s="107" t="str">
        <f t="shared" si="2"/>
        <v/>
      </c>
    </row>
    <row r="919">
      <c r="A919" s="102"/>
      <c r="B919" s="43" t="str">
        <f>IF(A919="", "", IFERROR(VLOOKUP(A919, Clasificaciones!A:B, 2, FALSE), "DATO NO CARGADO"))</f>
        <v/>
      </c>
      <c r="C919" s="51"/>
      <c r="D919" s="257"/>
      <c r="E919" s="102"/>
      <c r="F919" s="103"/>
      <c r="G919" s="258"/>
      <c r="I919" s="103"/>
      <c r="K919" s="71"/>
      <c r="L919" s="106" t="str">
        <f>IF(ISBLANK(J919), "", VLOOKUP(C919, 'Info Tipo de Cambio y REM'!$A$24:$B$35, 2, FALSE))</f>
        <v/>
      </c>
      <c r="M919" s="107" t="str">
        <f t="shared" si="2"/>
        <v/>
      </c>
    </row>
    <row r="920">
      <c r="A920" s="102"/>
      <c r="B920" s="43" t="str">
        <f>IF(A920="", "", IFERROR(VLOOKUP(A920, Clasificaciones!A:B, 2, FALSE), "DATO NO CARGADO"))</f>
        <v/>
      </c>
      <c r="C920" s="51"/>
      <c r="D920" s="257"/>
      <c r="E920" s="102"/>
      <c r="F920" s="103"/>
      <c r="G920" s="258"/>
      <c r="I920" s="103"/>
      <c r="K920" s="71"/>
      <c r="L920" s="106" t="str">
        <f>IF(ISBLANK(J920), "", VLOOKUP(C920, 'Info Tipo de Cambio y REM'!$A$24:$B$35, 2, FALSE))</f>
        <v/>
      </c>
      <c r="M920" s="107" t="str">
        <f t="shared" si="2"/>
        <v/>
      </c>
    </row>
    <row r="921">
      <c r="A921" s="102"/>
      <c r="B921" s="43" t="str">
        <f>IF(A921="", "", IFERROR(VLOOKUP(A921, Clasificaciones!A:B, 2, FALSE), "DATO NO CARGADO"))</f>
        <v/>
      </c>
      <c r="C921" s="51"/>
      <c r="D921" s="257"/>
      <c r="E921" s="102"/>
      <c r="F921" s="103"/>
      <c r="G921" s="258"/>
      <c r="I921" s="103"/>
      <c r="K921" s="71"/>
      <c r="L921" s="106" t="str">
        <f>IF(ISBLANK(J921), "", VLOOKUP(C921, 'Info Tipo de Cambio y REM'!$A$24:$B$35, 2, FALSE))</f>
        <v/>
      </c>
      <c r="M921" s="107" t="str">
        <f t="shared" si="2"/>
        <v/>
      </c>
    </row>
    <row r="922">
      <c r="A922" s="102"/>
      <c r="B922" s="43" t="str">
        <f>IF(A922="", "", IFERROR(VLOOKUP(A922, Clasificaciones!A:B, 2, FALSE), "DATO NO CARGADO"))</f>
        <v/>
      </c>
      <c r="C922" s="51"/>
      <c r="D922" s="257"/>
      <c r="E922" s="102"/>
      <c r="F922" s="103"/>
      <c r="G922" s="258"/>
      <c r="I922" s="103"/>
      <c r="K922" s="71"/>
      <c r="L922" s="106" t="str">
        <f>IF(ISBLANK(J922), "", VLOOKUP(C922, 'Info Tipo de Cambio y REM'!$A$24:$B$35, 2, FALSE))</f>
        <v/>
      </c>
      <c r="M922" s="107" t="str">
        <f t="shared" si="2"/>
        <v/>
      </c>
    </row>
    <row r="923">
      <c r="A923" s="102"/>
      <c r="B923" s="43" t="str">
        <f>IF(A923="", "", IFERROR(VLOOKUP(A923, Clasificaciones!A:B, 2, FALSE), "DATO NO CARGADO"))</f>
        <v/>
      </c>
      <c r="C923" s="51"/>
      <c r="D923" s="257"/>
      <c r="E923" s="102"/>
      <c r="F923" s="103"/>
      <c r="G923" s="258"/>
      <c r="I923" s="103"/>
      <c r="K923" s="71"/>
      <c r="L923" s="106" t="str">
        <f>IF(ISBLANK(J923), "", VLOOKUP(C923, 'Info Tipo de Cambio y REM'!$A$24:$B$35, 2, FALSE))</f>
        <v/>
      </c>
      <c r="M923" s="107" t="str">
        <f t="shared" si="2"/>
        <v/>
      </c>
    </row>
    <row r="924">
      <c r="A924" s="102"/>
      <c r="B924" s="43" t="str">
        <f>IF(A924="", "", IFERROR(VLOOKUP(A924, Clasificaciones!A:B, 2, FALSE), "DATO NO CARGADO"))</f>
        <v/>
      </c>
      <c r="C924" s="51"/>
      <c r="D924" s="257"/>
      <c r="E924" s="102"/>
      <c r="F924" s="103"/>
      <c r="G924" s="258"/>
      <c r="I924" s="103"/>
      <c r="K924" s="71"/>
      <c r="L924" s="106" t="str">
        <f>IF(ISBLANK(J924), "", VLOOKUP(C924, 'Info Tipo de Cambio y REM'!$A$24:$B$35, 2, FALSE))</f>
        <v/>
      </c>
      <c r="M924" s="107" t="str">
        <f t="shared" si="2"/>
        <v/>
      </c>
    </row>
    <row r="925">
      <c r="A925" s="102"/>
      <c r="B925" s="43" t="str">
        <f>IF(A925="", "", IFERROR(VLOOKUP(A925, Clasificaciones!A:B, 2, FALSE), "DATO NO CARGADO"))</f>
        <v/>
      </c>
      <c r="C925" s="51"/>
      <c r="D925" s="257"/>
      <c r="E925" s="102"/>
      <c r="F925" s="103"/>
      <c r="G925" s="258"/>
      <c r="I925" s="103"/>
      <c r="K925" s="71"/>
      <c r="L925" s="106" t="str">
        <f>IF(ISBLANK(J925), "", VLOOKUP(C925, 'Info Tipo de Cambio y REM'!$A$24:$B$35, 2, FALSE))</f>
        <v/>
      </c>
      <c r="M925" s="107" t="str">
        <f t="shared" si="2"/>
        <v/>
      </c>
    </row>
    <row r="926">
      <c r="A926" s="102"/>
      <c r="B926" s="43" t="str">
        <f>IF(A926="", "", IFERROR(VLOOKUP(A926, Clasificaciones!A:B, 2, FALSE), "DATO NO CARGADO"))</f>
        <v/>
      </c>
      <c r="C926" s="51"/>
      <c r="D926" s="257"/>
      <c r="E926" s="102"/>
      <c r="F926" s="103"/>
      <c r="G926" s="258"/>
      <c r="I926" s="103"/>
      <c r="K926" s="71"/>
      <c r="L926" s="106" t="str">
        <f>IF(ISBLANK(J926), "", VLOOKUP(C926, 'Info Tipo de Cambio y REM'!$A$24:$B$35, 2, FALSE))</f>
        <v/>
      </c>
      <c r="M926" s="107" t="str">
        <f t="shared" si="2"/>
        <v/>
      </c>
    </row>
    <row r="927">
      <c r="A927" s="102"/>
      <c r="B927" s="43" t="str">
        <f>IF(A927="", "", IFERROR(VLOOKUP(A927, Clasificaciones!A:B, 2, FALSE), "DATO NO CARGADO"))</f>
        <v/>
      </c>
      <c r="C927" s="51"/>
      <c r="D927" s="257"/>
      <c r="E927" s="102"/>
      <c r="F927" s="103"/>
      <c r="G927" s="258"/>
      <c r="I927" s="103"/>
      <c r="K927" s="71"/>
      <c r="L927" s="106" t="str">
        <f>IF(ISBLANK(J927), "", VLOOKUP(C927, 'Info Tipo de Cambio y REM'!$A$24:$B$35, 2, FALSE))</f>
        <v/>
      </c>
      <c r="M927" s="107" t="str">
        <f t="shared" si="2"/>
        <v/>
      </c>
    </row>
    <row r="928">
      <c r="A928" s="102"/>
      <c r="B928" s="43" t="str">
        <f>IF(A928="", "", IFERROR(VLOOKUP(A928, Clasificaciones!A:B, 2, FALSE), "DATO NO CARGADO"))</f>
        <v/>
      </c>
      <c r="C928" s="51"/>
      <c r="D928" s="257"/>
      <c r="E928" s="102"/>
      <c r="F928" s="103"/>
      <c r="G928" s="258"/>
      <c r="I928" s="103"/>
      <c r="K928" s="71"/>
      <c r="L928" s="106" t="str">
        <f>IF(ISBLANK(J928), "", VLOOKUP(C928, 'Info Tipo de Cambio y REM'!$A$24:$B$35, 2, FALSE))</f>
        <v/>
      </c>
      <c r="M928" s="107" t="str">
        <f t="shared" si="2"/>
        <v/>
      </c>
    </row>
    <row r="929">
      <c r="A929" s="102"/>
      <c r="B929" s="43" t="str">
        <f>IF(A929="", "", IFERROR(VLOOKUP(A929, Clasificaciones!A:B, 2, FALSE), "DATO NO CARGADO"))</f>
        <v/>
      </c>
      <c r="C929" s="51"/>
      <c r="D929" s="257"/>
      <c r="E929" s="102"/>
      <c r="F929" s="103"/>
      <c r="G929" s="258"/>
      <c r="I929" s="103"/>
      <c r="K929" s="71"/>
      <c r="L929" s="106" t="str">
        <f>IF(ISBLANK(J929), "", VLOOKUP(C929, 'Info Tipo de Cambio y REM'!$A$24:$B$35, 2, FALSE))</f>
        <v/>
      </c>
      <c r="M929" s="107" t="str">
        <f t="shared" si="2"/>
        <v/>
      </c>
    </row>
    <row r="930">
      <c r="A930" s="102"/>
      <c r="B930" s="43" t="str">
        <f>IF(A930="", "", IFERROR(VLOOKUP(A930, Clasificaciones!A:B, 2, FALSE), "DATO NO CARGADO"))</f>
        <v/>
      </c>
      <c r="C930" s="51"/>
      <c r="D930" s="257"/>
      <c r="E930" s="102"/>
      <c r="F930" s="103"/>
      <c r="G930" s="258"/>
      <c r="I930" s="103"/>
      <c r="K930" s="71"/>
      <c r="L930" s="106" t="str">
        <f>IF(ISBLANK(J930), "", VLOOKUP(C930, 'Info Tipo de Cambio y REM'!$A$24:$B$35, 2, FALSE))</f>
        <v/>
      </c>
      <c r="M930" s="107" t="str">
        <f t="shared" si="2"/>
        <v/>
      </c>
    </row>
    <row r="931">
      <c r="A931" s="102"/>
      <c r="B931" s="43" t="str">
        <f>IF(A931="", "", IFERROR(VLOOKUP(A931, Clasificaciones!A:B, 2, FALSE), "DATO NO CARGADO"))</f>
        <v/>
      </c>
      <c r="C931" s="51"/>
      <c r="D931" s="257"/>
      <c r="E931" s="102"/>
      <c r="F931" s="103"/>
      <c r="G931" s="258"/>
      <c r="I931" s="103"/>
      <c r="K931" s="71"/>
      <c r="L931" s="106" t="str">
        <f>IF(ISBLANK(J931), "", VLOOKUP(C931, 'Info Tipo de Cambio y REM'!$A$24:$B$35, 2, FALSE))</f>
        <v/>
      </c>
      <c r="M931" s="107" t="str">
        <f t="shared" si="2"/>
        <v/>
      </c>
    </row>
    <row r="932">
      <c r="A932" s="102"/>
      <c r="B932" s="43" t="str">
        <f>IF(A932="", "", IFERROR(VLOOKUP(A932, Clasificaciones!A:B, 2, FALSE), "DATO NO CARGADO"))</f>
        <v/>
      </c>
      <c r="C932" s="51"/>
      <c r="D932" s="257"/>
      <c r="E932" s="102"/>
      <c r="F932" s="103"/>
      <c r="G932" s="258"/>
      <c r="I932" s="103"/>
      <c r="K932" s="71"/>
      <c r="L932" s="106" t="str">
        <f>IF(ISBLANK(J932), "", VLOOKUP(C932, 'Info Tipo de Cambio y REM'!$A$24:$B$35, 2, FALSE))</f>
        <v/>
      </c>
      <c r="M932" s="107" t="str">
        <f t="shared" si="2"/>
        <v/>
      </c>
    </row>
    <row r="933">
      <c r="A933" s="102"/>
      <c r="B933" s="43" t="str">
        <f>IF(A933="", "", IFERROR(VLOOKUP(A933, Clasificaciones!A:B, 2, FALSE), "DATO NO CARGADO"))</f>
        <v/>
      </c>
      <c r="C933" s="51"/>
      <c r="D933" s="257"/>
      <c r="E933" s="102"/>
      <c r="F933" s="103"/>
      <c r="G933" s="258"/>
      <c r="I933" s="103"/>
      <c r="K933" s="71"/>
      <c r="L933" s="106" t="str">
        <f>IF(ISBLANK(J933), "", VLOOKUP(C933, 'Info Tipo de Cambio y REM'!$A$24:$B$35, 2, FALSE))</f>
        <v/>
      </c>
      <c r="M933" s="107" t="str">
        <f t="shared" si="2"/>
        <v/>
      </c>
    </row>
    <row r="934">
      <c r="A934" s="102"/>
      <c r="B934" s="43" t="str">
        <f>IF(A934="", "", IFERROR(VLOOKUP(A934, Clasificaciones!A:B, 2, FALSE), "DATO NO CARGADO"))</f>
        <v/>
      </c>
      <c r="C934" s="51"/>
      <c r="D934" s="257"/>
      <c r="E934" s="102"/>
      <c r="F934" s="103"/>
      <c r="G934" s="258"/>
      <c r="I934" s="103"/>
      <c r="K934" s="71"/>
      <c r="L934" s="106" t="str">
        <f>IF(ISBLANK(J934), "", VLOOKUP(C934, 'Info Tipo de Cambio y REM'!$A$24:$B$35, 2, FALSE))</f>
        <v/>
      </c>
      <c r="M934" s="107" t="str">
        <f t="shared" si="2"/>
        <v/>
      </c>
    </row>
    <row r="935">
      <c r="A935" s="102"/>
      <c r="B935" s="43" t="str">
        <f>IF(A935="", "", IFERROR(VLOOKUP(A935, Clasificaciones!A:B, 2, FALSE), "DATO NO CARGADO"))</f>
        <v/>
      </c>
      <c r="C935" s="51"/>
      <c r="D935" s="257"/>
      <c r="E935" s="102"/>
      <c r="F935" s="103"/>
      <c r="G935" s="258"/>
      <c r="I935" s="103"/>
      <c r="K935" s="71"/>
      <c r="L935" s="106" t="str">
        <f>IF(ISBLANK(J935), "", VLOOKUP(C935, 'Info Tipo de Cambio y REM'!$A$24:$B$35, 2, FALSE))</f>
        <v/>
      </c>
      <c r="M935" s="107" t="str">
        <f t="shared" si="2"/>
        <v/>
      </c>
    </row>
    <row r="936">
      <c r="A936" s="102"/>
      <c r="B936" s="43" t="str">
        <f>IF(A936="", "", IFERROR(VLOOKUP(A936, Clasificaciones!A:B, 2, FALSE), "DATO NO CARGADO"))</f>
        <v/>
      </c>
      <c r="C936" s="51"/>
      <c r="D936" s="257"/>
      <c r="E936" s="102"/>
      <c r="F936" s="103"/>
      <c r="G936" s="258"/>
      <c r="I936" s="103"/>
      <c r="K936" s="71"/>
      <c r="L936" s="106" t="str">
        <f>IF(ISBLANK(J936), "", VLOOKUP(C936, 'Info Tipo de Cambio y REM'!$A$24:$B$35, 2, FALSE))</f>
        <v/>
      </c>
      <c r="M936" s="107" t="str">
        <f t="shared" si="2"/>
        <v/>
      </c>
    </row>
    <row r="937">
      <c r="A937" s="102"/>
      <c r="B937" s="43" t="str">
        <f>IF(A937="", "", IFERROR(VLOOKUP(A937, Clasificaciones!A:B, 2, FALSE), "DATO NO CARGADO"))</f>
        <v/>
      </c>
      <c r="C937" s="51"/>
      <c r="D937" s="257"/>
      <c r="E937" s="102"/>
      <c r="F937" s="103"/>
      <c r="G937" s="258"/>
      <c r="I937" s="103"/>
      <c r="K937" s="71"/>
      <c r="L937" s="106" t="str">
        <f>IF(ISBLANK(J937), "", VLOOKUP(C937, 'Info Tipo de Cambio y REM'!$A$24:$B$35, 2, FALSE))</f>
        <v/>
      </c>
      <c r="M937" s="107" t="str">
        <f t="shared" si="2"/>
        <v/>
      </c>
    </row>
    <row r="938">
      <c r="A938" s="102"/>
      <c r="B938" s="43" t="str">
        <f>IF(A938="", "", IFERROR(VLOOKUP(A938, Clasificaciones!A:B, 2, FALSE), "DATO NO CARGADO"))</f>
        <v/>
      </c>
      <c r="C938" s="51"/>
      <c r="D938" s="257"/>
      <c r="E938" s="102"/>
      <c r="F938" s="103"/>
      <c r="G938" s="258"/>
      <c r="I938" s="103"/>
      <c r="K938" s="71"/>
      <c r="L938" s="106" t="str">
        <f>IF(ISBLANK(J938), "", VLOOKUP(C938, 'Info Tipo de Cambio y REM'!$A$24:$B$35, 2, FALSE))</f>
        <v/>
      </c>
      <c r="M938" s="107" t="str">
        <f t="shared" si="2"/>
        <v/>
      </c>
    </row>
    <row r="939">
      <c r="A939" s="102"/>
      <c r="B939" s="43" t="str">
        <f>IF(A939="", "", IFERROR(VLOOKUP(A939, Clasificaciones!A:B, 2, FALSE), "DATO NO CARGADO"))</f>
        <v/>
      </c>
      <c r="C939" s="51"/>
      <c r="D939" s="257"/>
      <c r="E939" s="102"/>
      <c r="F939" s="103"/>
      <c r="G939" s="258"/>
      <c r="I939" s="103"/>
      <c r="K939" s="71"/>
      <c r="L939" s="106" t="str">
        <f>IF(ISBLANK(J939), "", VLOOKUP(C939, 'Info Tipo de Cambio y REM'!$A$24:$B$35, 2, FALSE))</f>
        <v/>
      </c>
      <c r="M939" s="107" t="str">
        <f t="shared" si="2"/>
        <v/>
      </c>
    </row>
    <row r="940">
      <c r="A940" s="102"/>
      <c r="B940" s="43" t="str">
        <f>IF(A940="", "", IFERROR(VLOOKUP(A940, Clasificaciones!A:B, 2, FALSE), "DATO NO CARGADO"))</f>
        <v/>
      </c>
      <c r="C940" s="51"/>
      <c r="D940" s="257"/>
      <c r="E940" s="102"/>
      <c r="F940" s="103"/>
      <c r="G940" s="258"/>
      <c r="I940" s="103"/>
      <c r="K940" s="71"/>
      <c r="L940" s="106" t="str">
        <f>IF(ISBLANK(J940), "", VLOOKUP(C940, 'Info Tipo de Cambio y REM'!$A$24:$B$35, 2, FALSE))</f>
        <v/>
      </c>
      <c r="M940" s="107" t="str">
        <f t="shared" si="2"/>
        <v/>
      </c>
    </row>
    <row r="941">
      <c r="A941" s="102"/>
      <c r="B941" s="43" t="str">
        <f>IF(A941="", "", IFERROR(VLOOKUP(A941, Clasificaciones!A:B, 2, FALSE), "DATO NO CARGADO"))</f>
        <v/>
      </c>
      <c r="C941" s="51"/>
      <c r="D941" s="257"/>
      <c r="E941" s="102"/>
      <c r="F941" s="103"/>
      <c r="G941" s="258"/>
      <c r="I941" s="103"/>
      <c r="K941" s="71"/>
      <c r="L941" s="106" t="str">
        <f>IF(ISBLANK(J941), "", VLOOKUP(C941, 'Info Tipo de Cambio y REM'!$A$24:$B$35, 2, FALSE))</f>
        <v/>
      </c>
      <c r="M941" s="107" t="str">
        <f t="shared" si="2"/>
        <v/>
      </c>
    </row>
    <row r="942">
      <c r="A942" s="102"/>
      <c r="B942" s="43" t="str">
        <f>IF(A942="", "", IFERROR(VLOOKUP(A942, Clasificaciones!A:B, 2, FALSE), "DATO NO CARGADO"))</f>
        <v/>
      </c>
      <c r="C942" s="51"/>
      <c r="D942" s="257"/>
      <c r="E942" s="102"/>
      <c r="F942" s="103"/>
      <c r="G942" s="258"/>
      <c r="I942" s="103"/>
      <c r="K942" s="71"/>
      <c r="L942" s="106" t="str">
        <f>IF(ISBLANK(J942), "", VLOOKUP(C942, 'Info Tipo de Cambio y REM'!$A$24:$B$35, 2, FALSE))</f>
        <v/>
      </c>
      <c r="M942" s="107" t="str">
        <f t="shared" si="2"/>
        <v/>
      </c>
    </row>
    <row r="943">
      <c r="A943" s="102"/>
      <c r="B943" s="43" t="str">
        <f>IF(A943="", "", IFERROR(VLOOKUP(A943, Clasificaciones!A:B, 2, FALSE), "DATO NO CARGADO"))</f>
        <v/>
      </c>
      <c r="C943" s="51"/>
      <c r="D943" s="257"/>
      <c r="E943" s="102"/>
      <c r="F943" s="103"/>
      <c r="G943" s="258"/>
      <c r="I943" s="103"/>
      <c r="K943" s="71"/>
      <c r="L943" s="106" t="str">
        <f>IF(ISBLANK(J943), "", VLOOKUP(C943, 'Info Tipo de Cambio y REM'!$A$24:$B$35, 2, FALSE))</f>
        <v/>
      </c>
      <c r="M943" s="107" t="str">
        <f t="shared" si="2"/>
        <v/>
      </c>
    </row>
    <row r="944">
      <c r="A944" s="102"/>
      <c r="B944" s="43" t="str">
        <f>IF(A944="", "", IFERROR(VLOOKUP(A944, Clasificaciones!A:B, 2, FALSE), "DATO NO CARGADO"))</f>
        <v/>
      </c>
      <c r="C944" s="51"/>
      <c r="D944" s="257"/>
      <c r="E944" s="102"/>
      <c r="F944" s="103"/>
      <c r="G944" s="258"/>
      <c r="I944" s="103"/>
      <c r="K944" s="71"/>
      <c r="L944" s="106" t="str">
        <f>IF(ISBLANK(J944), "", VLOOKUP(C944, 'Info Tipo de Cambio y REM'!$A$24:$B$35, 2, FALSE))</f>
        <v/>
      </c>
      <c r="M944" s="107" t="str">
        <f t="shared" si="2"/>
        <v/>
      </c>
    </row>
    <row r="945">
      <c r="A945" s="102"/>
      <c r="B945" s="43" t="str">
        <f>IF(A945="", "", IFERROR(VLOOKUP(A945, Clasificaciones!A:B, 2, FALSE), "DATO NO CARGADO"))</f>
        <v/>
      </c>
      <c r="C945" s="51"/>
      <c r="D945" s="257"/>
      <c r="E945" s="102"/>
      <c r="F945" s="103"/>
      <c r="G945" s="258"/>
      <c r="I945" s="103"/>
      <c r="K945" s="71"/>
      <c r="L945" s="106" t="str">
        <f>IF(ISBLANK(J945), "", VLOOKUP(C945, 'Info Tipo de Cambio y REM'!$A$24:$B$35, 2, FALSE))</f>
        <v/>
      </c>
      <c r="M945" s="107" t="str">
        <f t="shared" si="2"/>
        <v/>
      </c>
    </row>
    <row r="946">
      <c r="A946" s="102"/>
      <c r="B946" s="43" t="str">
        <f>IF(A946="", "", IFERROR(VLOOKUP(A946, Clasificaciones!A:B, 2, FALSE), "DATO NO CARGADO"))</f>
        <v/>
      </c>
      <c r="C946" s="51"/>
      <c r="D946" s="257"/>
      <c r="E946" s="102"/>
      <c r="F946" s="103"/>
      <c r="G946" s="258"/>
      <c r="I946" s="103"/>
      <c r="K946" s="71"/>
      <c r="L946" s="106" t="str">
        <f>IF(ISBLANK(J946), "", VLOOKUP(C946, 'Info Tipo de Cambio y REM'!$A$24:$B$35, 2, FALSE))</f>
        <v/>
      </c>
      <c r="M946" s="107" t="str">
        <f t="shared" si="2"/>
        <v/>
      </c>
    </row>
    <row r="947">
      <c r="A947" s="102"/>
      <c r="B947" s="43" t="str">
        <f>IF(A947="", "", IFERROR(VLOOKUP(A947, Clasificaciones!A:B, 2, FALSE), "DATO NO CARGADO"))</f>
        <v/>
      </c>
      <c r="C947" s="51"/>
      <c r="D947" s="257"/>
      <c r="E947" s="102"/>
      <c r="F947" s="103"/>
      <c r="G947" s="258"/>
      <c r="I947" s="103"/>
      <c r="K947" s="71"/>
      <c r="L947" s="106" t="str">
        <f>IF(ISBLANK(J947), "", VLOOKUP(C947, 'Info Tipo de Cambio y REM'!$A$24:$B$35, 2, FALSE))</f>
        <v/>
      </c>
      <c r="M947" s="107" t="str">
        <f t="shared" si="2"/>
        <v/>
      </c>
    </row>
    <row r="948">
      <c r="A948" s="102"/>
      <c r="B948" s="43" t="str">
        <f>IF(A948="", "", IFERROR(VLOOKUP(A948, Clasificaciones!A:B, 2, FALSE), "DATO NO CARGADO"))</f>
        <v/>
      </c>
      <c r="C948" s="51"/>
      <c r="D948" s="257"/>
      <c r="E948" s="102"/>
      <c r="F948" s="103"/>
      <c r="G948" s="258"/>
      <c r="I948" s="103"/>
      <c r="K948" s="71"/>
      <c r="L948" s="106" t="str">
        <f>IF(ISBLANK(J948), "", VLOOKUP(C948, 'Info Tipo de Cambio y REM'!$A$24:$B$35, 2, FALSE))</f>
        <v/>
      </c>
      <c r="M948" s="107" t="str">
        <f t="shared" si="2"/>
        <v/>
      </c>
    </row>
    <row r="949">
      <c r="A949" s="102"/>
      <c r="B949" s="43" t="str">
        <f>IF(A949="", "", IFERROR(VLOOKUP(A949, Clasificaciones!A:B, 2, FALSE), "DATO NO CARGADO"))</f>
        <v/>
      </c>
      <c r="C949" s="51"/>
      <c r="D949" s="257"/>
      <c r="E949" s="102"/>
      <c r="F949" s="103"/>
      <c r="G949" s="258"/>
      <c r="I949" s="103"/>
      <c r="K949" s="71"/>
      <c r="L949" s="106" t="str">
        <f>IF(ISBLANK(J949), "", VLOOKUP(C949, 'Info Tipo de Cambio y REM'!$A$24:$B$35, 2, FALSE))</f>
        <v/>
      </c>
      <c r="M949" s="107" t="str">
        <f t="shared" si="2"/>
        <v/>
      </c>
    </row>
    <row r="950">
      <c r="A950" s="102"/>
      <c r="B950" s="43" t="str">
        <f>IF(A950="", "", IFERROR(VLOOKUP(A950, Clasificaciones!A:B, 2, FALSE), "DATO NO CARGADO"))</f>
        <v/>
      </c>
      <c r="C950" s="51"/>
      <c r="D950" s="257"/>
      <c r="E950" s="102"/>
      <c r="F950" s="103"/>
      <c r="G950" s="258"/>
      <c r="I950" s="103"/>
      <c r="K950" s="71"/>
      <c r="L950" s="106" t="str">
        <f>IF(ISBLANK(J950), "", VLOOKUP(C950, 'Info Tipo de Cambio y REM'!$A$24:$B$35, 2, FALSE))</f>
        <v/>
      </c>
      <c r="M950" s="107" t="str">
        <f t="shared" si="2"/>
        <v/>
      </c>
    </row>
    <row r="951">
      <c r="A951" s="102"/>
      <c r="B951" s="43" t="str">
        <f>IF(A951="", "", IFERROR(VLOOKUP(A951, Clasificaciones!A:B, 2, FALSE), "DATO NO CARGADO"))</f>
        <v/>
      </c>
      <c r="C951" s="51"/>
      <c r="D951" s="257"/>
      <c r="E951" s="102"/>
      <c r="F951" s="103"/>
      <c r="G951" s="258"/>
      <c r="I951" s="103"/>
      <c r="K951" s="71"/>
      <c r="L951" s="106" t="str">
        <f>IF(ISBLANK(J951), "", VLOOKUP(C951, 'Info Tipo de Cambio y REM'!$A$24:$B$35, 2, FALSE))</f>
        <v/>
      </c>
      <c r="M951" s="107" t="str">
        <f t="shared" si="2"/>
        <v/>
      </c>
    </row>
    <row r="952">
      <c r="A952" s="102"/>
      <c r="B952" s="43" t="str">
        <f>IF(A952="", "", IFERROR(VLOOKUP(A952, Clasificaciones!A:B, 2, FALSE), "DATO NO CARGADO"))</f>
        <v/>
      </c>
      <c r="C952" s="51"/>
      <c r="D952" s="257"/>
      <c r="E952" s="102"/>
      <c r="F952" s="103"/>
      <c r="G952" s="258"/>
      <c r="I952" s="103"/>
      <c r="K952" s="71"/>
      <c r="L952" s="106" t="str">
        <f>IF(ISBLANK(J952), "", VLOOKUP(C952, 'Info Tipo de Cambio y REM'!$A$24:$B$35, 2, FALSE))</f>
        <v/>
      </c>
      <c r="M952" s="107" t="str">
        <f t="shared" si="2"/>
        <v/>
      </c>
    </row>
    <row r="953">
      <c r="A953" s="102"/>
      <c r="B953" s="43" t="str">
        <f>IF(A953="", "", IFERROR(VLOOKUP(A953, Clasificaciones!A:B, 2, FALSE), "DATO NO CARGADO"))</f>
        <v/>
      </c>
      <c r="C953" s="51"/>
      <c r="D953" s="257"/>
      <c r="E953" s="102"/>
      <c r="F953" s="103"/>
      <c r="G953" s="258"/>
      <c r="I953" s="103"/>
      <c r="K953" s="71"/>
      <c r="L953" s="106" t="str">
        <f>IF(ISBLANK(J953), "", VLOOKUP(C953, 'Info Tipo de Cambio y REM'!$A$24:$B$35, 2, FALSE))</f>
        <v/>
      </c>
      <c r="M953" s="107" t="str">
        <f t="shared" si="2"/>
        <v/>
      </c>
    </row>
    <row r="954">
      <c r="A954" s="102"/>
      <c r="B954" s="43" t="str">
        <f>IF(A954="", "", IFERROR(VLOOKUP(A954, Clasificaciones!A:B, 2, FALSE), "DATO NO CARGADO"))</f>
        <v/>
      </c>
      <c r="C954" s="51"/>
      <c r="D954" s="257"/>
      <c r="E954" s="102"/>
      <c r="F954" s="103"/>
      <c r="G954" s="258"/>
      <c r="I954" s="103"/>
      <c r="K954" s="71"/>
      <c r="L954" s="106" t="str">
        <f>IF(ISBLANK(J954), "", VLOOKUP(C954, 'Info Tipo de Cambio y REM'!$A$24:$B$35, 2, FALSE))</f>
        <v/>
      </c>
      <c r="M954" s="107" t="str">
        <f t="shared" si="2"/>
        <v/>
      </c>
    </row>
    <row r="955">
      <c r="A955" s="102"/>
      <c r="B955" s="43" t="str">
        <f>IF(A955="", "", IFERROR(VLOOKUP(A955, Clasificaciones!A:B, 2, FALSE), "DATO NO CARGADO"))</f>
        <v/>
      </c>
      <c r="C955" s="51"/>
      <c r="D955" s="257"/>
      <c r="E955" s="102"/>
      <c r="F955" s="103"/>
      <c r="G955" s="258"/>
      <c r="I955" s="103"/>
      <c r="K955" s="71"/>
      <c r="L955" s="106" t="str">
        <f>IF(ISBLANK(J955), "", VLOOKUP(C955, 'Info Tipo de Cambio y REM'!$A$24:$B$35, 2, FALSE))</f>
        <v/>
      </c>
      <c r="M955" s="107" t="str">
        <f t="shared" si="2"/>
        <v/>
      </c>
    </row>
    <row r="956">
      <c r="A956" s="102"/>
      <c r="B956" s="43" t="str">
        <f>IF(A956="", "", IFERROR(VLOOKUP(A956, Clasificaciones!A:B, 2, FALSE), "DATO NO CARGADO"))</f>
        <v/>
      </c>
      <c r="C956" s="51"/>
      <c r="D956" s="257"/>
      <c r="E956" s="102"/>
      <c r="F956" s="103"/>
      <c r="G956" s="258"/>
      <c r="I956" s="103"/>
      <c r="K956" s="71"/>
      <c r="L956" s="106" t="str">
        <f>IF(ISBLANK(J956), "", VLOOKUP(C956, 'Info Tipo de Cambio y REM'!$A$24:$B$35, 2, FALSE))</f>
        <v/>
      </c>
      <c r="M956" s="107" t="str">
        <f t="shared" si="2"/>
        <v/>
      </c>
    </row>
    <row r="957">
      <c r="A957" s="102"/>
      <c r="B957" s="43" t="str">
        <f>IF(A957="", "", IFERROR(VLOOKUP(A957, Clasificaciones!A:B, 2, FALSE), "DATO NO CARGADO"))</f>
        <v/>
      </c>
      <c r="C957" s="51"/>
      <c r="D957" s="257"/>
      <c r="E957" s="102"/>
      <c r="F957" s="103"/>
      <c r="G957" s="258"/>
      <c r="I957" s="103"/>
      <c r="K957" s="71"/>
      <c r="L957" s="106" t="str">
        <f>IF(ISBLANK(J957), "", VLOOKUP(C957, 'Info Tipo de Cambio y REM'!$A$24:$B$35, 2, FALSE))</f>
        <v/>
      </c>
      <c r="M957" s="107" t="str">
        <f t="shared" si="2"/>
        <v/>
      </c>
    </row>
    <row r="958">
      <c r="A958" s="102"/>
      <c r="B958" s="43" t="str">
        <f>IF(A958="", "", IFERROR(VLOOKUP(A958, Clasificaciones!A:B, 2, FALSE), "DATO NO CARGADO"))</f>
        <v/>
      </c>
      <c r="C958" s="51"/>
      <c r="D958" s="257"/>
      <c r="E958" s="102"/>
      <c r="F958" s="103"/>
      <c r="G958" s="258"/>
      <c r="I958" s="103"/>
      <c r="K958" s="71"/>
      <c r="L958" s="106" t="str">
        <f>IF(ISBLANK(J958), "", VLOOKUP(C958, 'Info Tipo de Cambio y REM'!$A$24:$B$35, 2, FALSE))</f>
        <v/>
      </c>
      <c r="M958" s="107" t="str">
        <f t="shared" si="2"/>
        <v/>
      </c>
    </row>
    <row r="959">
      <c r="A959" s="102"/>
      <c r="B959" s="43" t="str">
        <f>IF(A959="", "", IFERROR(VLOOKUP(A959, Clasificaciones!A:B, 2, FALSE), "DATO NO CARGADO"))</f>
        <v/>
      </c>
      <c r="C959" s="51"/>
      <c r="D959" s="257"/>
      <c r="E959" s="102"/>
      <c r="F959" s="103"/>
      <c r="G959" s="258"/>
      <c r="I959" s="103"/>
      <c r="K959" s="71"/>
      <c r="L959" s="106" t="str">
        <f>IF(ISBLANK(J959), "", VLOOKUP(C959, 'Info Tipo de Cambio y REM'!$A$24:$B$35, 2, FALSE))</f>
        <v/>
      </c>
      <c r="M959" s="107" t="str">
        <f t="shared" si="2"/>
        <v/>
      </c>
    </row>
    <row r="960">
      <c r="A960" s="102"/>
      <c r="B960" s="43" t="str">
        <f>IF(A960="", "", IFERROR(VLOOKUP(A960, Clasificaciones!A:B, 2, FALSE), "DATO NO CARGADO"))</f>
        <v/>
      </c>
      <c r="C960" s="51"/>
      <c r="D960" s="257"/>
      <c r="E960" s="102"/>
      <c r="F960" s="103"/>
      <c r="G960" s="258"/>
      <c r="I960" s="103"/>
      <c r="K960" s="71"/>
      <c r="L960" s="106" t="str">
        <f>IF(ISBLANK(J960), "", VLOOKUP(C960, 'Info Tipo de Cambio y REM'!$A$24:$B$35, 2, FALSE))</f>
        <v/>
      </c>
      <c r="M960" s="107" t="str">
        <f t="shared" si="2"/>
        <v/>
      </c>
    </row>
    <row r="961">
      <c r="A961" s="102"/>
      <c r="B961" s="43" t="str">
        <f>IF(A961="", "", IFERROR(VLOOKUP(A961, Clasificaciones!A:B, 2, FALSE), "DATO NO CARGADO"))</f>
        <v/>
      </c>
      <c r="C961" s="51"/>
      <c r="D961" s="257"/>
      <c r="E961" s="102"/>
      <c r="F961" s="103"/>
      <c r="G961" s="258"/>
      <c r="I961" s="103"/>
      <c r="K961" s="71"/>
      <c r="L961" s="106" t="str">
        <f>IF(ISBLANK(J961), "", VLOOKUP(C961, 'Info Tipo de Cambio y REM'!$A$24:$B$35, 2, FALSE))</f>
        <v/>
      </c>
      <c r="M961" s="107" t="str">
        <f t="shared" si="2"/>
        <v/>
      </c>
    </row>
    <row r="962">
      <c r="A962" s="102"/>
      <c r="B962" s="43" t="str">
        <f>IF(A962="", "", IFERROR(VLOOKUP(A962, Clasificaciones!A:B, 2, FALSE), "DATO NO CARGADO"))</f>
        <v/>
      </c>
      <c r="C962" s="51"/>
      <c r="D962" s="257"/>
      <c r="E962" s="102"/>
      <c r="F962" s="103"/>
      <c r="G962" s="258"/>
      <c r="I962" s="103"/>
      <c r="K962" s="71"/>
      <c r="L962" s="106" t="str">
        <f>IF(ISBLANK(J962), "", VLOOKUP(C962, 'Info Tipo de Cambio y REM'!$A$24:$B$35, 2, FALSE))</f>
        <v/>
      </c>
      <c r="M962" s="107" t="str">
        <f t="shared" si="2"/>
        <v/>
      </c>
    </row>
    <row r="963">
      <c r="A963" s="102"/>
      <c r="B963" s="43" t="str">
        <f>IF(A963="", "", IFERROR(VLOOKUP(A963, Clasificaciones!A:B, 2, FALSE), "DATO NO CARGADO"))</f>
        <v/>
      </c>
      <c r="C963" s="51"/>
      <c r="D963" s="257"/>
      <c r="E963" s="102"/>
      <c r="F963" s="103"/>
      <c r="G963" s="258"/>
      <c r="I963" s="103"/>
      <c r="K963" s="71"/>
      <c r="L963" s="106" t="str">
        <f>IF(ISBLANK(J963), "", VLOOKUP(C963, 'Info Tipo de Cambio y REM'!$A$24:$B$35, 2, FALSE))</f>
        <v/>
      </c>
      <c r="M963" s="107" t="str">
        <f t="shared" si="2"/>
        <v/>
      </c>
    </row>
    <row r="964">
      <c r="A964" s="102"/>
      <c r="B964" s="43" t="str">
        <f>IF(A964="", "", IFERROR(VLOOKUP(A964, Clasificaciones!A:B, 2, FALSE), "DATO NO CARGADO"))</f>
        <v/>
      </c>
      <c r="C964" s="51"/>
      <c r="D964" s="257"/>
      <c r="E964" s="102"/>
      <c r="F964" s="103"/>
      <c r="G964" s="258"/>
      <c r="I964" s="103"/>
      <c r="K964" s="71"/>
      <c r="L964" s="106" t="str">
        <f>IF(ISBLANK(J964), "", VLOOKUP(C964, 'Info Tipo de Cambio y REM'!$A$24:$B$35, 2, FALSE))</f>
        <v/>
      </c>
      <c r="M964" s="107" t="str">
        <f t="shared" si="2"/>
        <v/>
      </c>
    </row>
    <row r="965">
      <c r="A965" s="102"/>
      <c r="B965" s="43" t="str">
        <f>IF(A965="", "", IFERROR(VLOOKUP(A965, Clasificaciones!A:B, 2, FALSE), "DATO NO CARGADO"))</f>
        <v/>
      </c>
      <c r="C965" s="51"/>
      <c r="D965" s="257"/>
      <c r="E965" s="102"/>
      <c r="F965" s="103"/>
      <c r="G965" s="258"/>
      <c r="I965" s="103"/>
      <c r="K965" s="71"/>
      <c r="L965" s="106" t="str">
        <f>IF(ISBLANK(J965), "", VLOOKUP(C965, 'Info Tipo de Cambio y REM'!$A$24:$B$35, 2, FALSE))</f>
        <v/>
      </c>
      <c r="M965" s="107" t="str">
        <f t="shared" si="2"/>
        <v/>
      </c>
    </row>
    <row r="966">
      <c r="A966" s="102"/>
      <c r="B966" s="43" t="str">
        <f>IF(A966="", "", IFERROR(VLOOKUP(A966, Clasificaciones!A:B, 2, FALSE), "DATO NO CARGADO"))</f>
        <v/>
      </c>
      <c r="C966" s="51"/>
      <c r="D966" s="257"/>
      <c r="E966" s="102"/>
      <c r="F966" s="103"/>
      <c r="G966" s="258"/>
      <c r="I966" s="103"/>
      <c r="K966" s="71"/>
      <c r="L966" s="106" t="str">
        <f>IF(ISBLANK(J966), "", VLOOKUP(C966, 'Info Tipo de Cambio y REM'!$A$24:$B$35, 2, FALSE))</f>
        <v/>
      </c>
      <c r="M966" s="107" t="str">
        <f t="shared" si="2"/>
        <v/>
      </c>
    </row>
    <row r="967">
      <c r="A967" s="102"/>
      <c r="B967" s="43" t="str">
        <f>IF(A967="", "", IFERROR(VLOOKUP(A967, Clasificaciones!A:B, 2, FALSE), "DATO NO CARGADO"))</f>
        <v/>
      </c>
      <c r="C967" s="51"/>
      <c r="D967" s="257"/>
      <c r="E967" s="102"/>
      <c r="F967" s="103"/>
      <c r="G967" s="258"/>
      <c r="I967" s="103"/>
      <c r="K967" s="71"/>
      <c r="L967" s="106" t="str">
        <f>IF(ISBLANK(J967), "", VLOOKUP(C967, 'Info Tipo de Cambio y REM'!$A$24:$B$35, 2, FALSE))</f>
        <v/>
      </c>
      <c r="M967" s="107" t="str">
        <f t="shared" si="2"/>
        <v/>
      </c>
    </row>
    <row r="968">
      <c r="A968" s="102"/>
      <c r="B968" s="43" t="str">
        <f>IF(A968="", "", IFERROR(VLOOKUP(A968, Clasificaciones!A:B, 2, FALSE), "DATO NO CARGADO"))</f>
        <v/>
      </c>
      <c r="C968" s="51"/>
      <c r="D968" s="257"/>
      <c r="E968" s="102"/>
      <c r="F968" s="103"/>
      <c r="G968" s="258"/>
      <c r="I968" s="103"/>
      <c r="K968" s="71"/>
      <c r="L968" s="106" t="str">
        <f>IF(ISBLANK(J968), "", VLOOKUP(C968, 'Info Tipo de Cambio y REM'!$A$24:$B$35, 2, FALSE))</f>
        <v/>
      </c>
      <c r="M968" s="107" t="str">
        <f t="shared" si="2"/>
        <v/>
      </c>
    </row>
    <row r="969">
      <c r="A969" s="102"/>
      <c r="B969" s="43" t="str">
        <f>IF(A969="", "", IFERROR(VLOOKUP(A969, Clasificaciones!A:B, 2, FALSE), "DATO NO CARGADO"))</f>
        <v/>
      </c>
      <c r="C969" s="51"/>
      <c r="D969" s="257"/>
      <c r="E969" s="102"/>
      <c r="F969" s="103"/>
      <c r="G969" s="258"/>
      <c r="I969" s="103"/>
      <c r="K969" s="71"/>
      <c r="L969" s="106" t="str">
        <f>IF(ISBLANK(J969), "", VLOOKUP(C969, 'Info Tipo de Cambio y REM'!$A$24:$B$35, 2, FALSE))</f>
        <v/>
      </c>
      <c r="M969" s="107" t="str">
        <f t="shared" si="2"/>
        <v/>
      </c>
    </row>
    <row r="970">
      <c r="A970" s="102"/>
      <c r="B970" s="43" t="str">
        <f>IF(A970="", "", IFERROR(VLOOKUP(A970, Clasificaciones!A:B, 2, FALSE), "DATO NO CARGADO"))</f>
        <v/>
      </c>
      <c r="C970" s="51"/>
      <c r="D970" s="257"/>
      <c r="E970" s="102"/>
      <c r="F970" s="103"/>
      <c r="G970" s="258"/>
      <c r="I970" s="103"/>
      <c r="K970" s="71"/>
      <c r="L970" s="106" t="str">
        <f>IF(ISBLANK(J970), "", VLOOKUP(C970, 'Info Tipo de Cambio y REM'!$A$24:$B$35, 2, FALSE))</f>
        <v/>
      </c>
      <c r="M970" s="107" t="str">
        <f t="shared" si="2"/>
        <v/>
      </c>
    </row>
    <row r="971">
      <c r="A971" s="102"/>
      <c r="B971" s="43" t="str">
        <f>IF(A971="", "", IFERROR(VLOOKUP(A971, Clasificaciones!A:B, 2, FALSE), "DATO NO CARGADO"))</f>
        <v/>
      </c>
      <c r="C971" s="51"/>
      <c r="D971" s="257"/>
      <c r="E971" s="102"/>
      <c r="F971" s="103"/>
      <c r="G971" s="258"/>
      <c r="I971" s="103"/>
      <c r="K971" s="71"/>
      <c r="L971" s="106" t="str">
        <f>IF(ISBLANK(J971), "", VLOOKUP(C971, 'Info Tipo de Cambio y REM'!$A$24:$B$35, 2, FALSE))</f>
        <v/>
      </c>
      <c r="M971" s="107" t="str">
        <f t="shared" si="2"/>
        <v/>
      </c>
    </row>
    <row r="972">
      <c r="A972" s="102"/>
      <c r="B972" s="43" t="str">
        <f>IF(A972="", "", IFERROR(VLOOKUP(A972, Clasificaciones!A:B, 2, FALSE), "DATO NO CARGADO"))</f>
        <v/>
      </c>
      <c r="C972" s="51"/>
      <c r="D972" s="257"/>
      <c r="E972" s="102"/>
      <c r="F972" s="103"/>
      <c r="G972" s="258"/>
      <c r="I972" s="103"/>
      <c r="K972" s="71"/>
      <c r="L972" s="106" t="str">
        <f>IF(ISBLANK(J972), "", VLOOKUP(C972, 'Info Tipo de Cambio y REM'!$A$24:$B$35, 2, FALSE))</f>
        <v/>
      </c>
      <c r="M972" s="107" t="str">
        <f t="shared" si="2"/>
        <v/>
      </c>
    </row>
    <row r="973">
      <c r="A973" s="102"/>
      <c r="B973" s="43" t="str">
        <f>IF(A973="", "", IFERROR(VLOOKUP(A973, Clasificaciones!A:B, 2, FALSE), "DATO NO CARGADO"))</f>
        <v/>
      </c>
      <c r="C973" s="51"/>
      <c r="D973" s="257"/>
      <c r="E973" s="102"/>
      <c r="F973" s="103"/>
      <c r="G973" s="258"/>
      <c r="I973" s="103"/>
      <c r="K973" s="71"/>
      <c r="L973" s="106" t="str">
        <f>IF(ISBLANK(J973), "", VLOOKUP(C973, 'Info Tipo de Cambio y REM'!$A$24:$B$35, 2, FALSE))</f>
        <v/>
      </c>
      <c r="M973" s="107" t="str">
        <f t="shared" si="2"/>
        <v/>
      </c>
    </row>
    <row r="974">
      <c r="A974" s="102"/>
      <c r="B974" s="43" t="str">
        <f>IF(A974="", "", IFERROR(VLOOKUP(A974, Clasificaciones!A:B, 2, FALSE), "DATO NO CARGADO"))</f>
        <v/>
      </c>
      <c r="C974" s="51"/>
      <c r="D974" s="257"/>
      <c r="E974" s="102"/>
      <c r="F974" s="103"/>
      <c r="G974" s="258"/>
      <c r="I974" s="103"/>
      <c r="K974" s="71"/>
      <c r="L974" s="106" t="str">
        <f>IF(ISBLANK(J974), "", VLOOKUP(C974, 'Info Tipo de Cambio y REM'!$A$24:$B$35, 2, FALSE))</f>
        <v/>
      </c>
      <c r="M974" s="107" t="str">
        <f t="shared" si="2"/>
        <v/>
      </c>
    </row>
    <row r="975">
      <c r="A975" s="102"/>
      <c r="B975" s="43" t="str">
        <f>IF(A975="", "", IFERROR(VLOOKUP(A975, Clasificaciones!A:B, 2, FALSE), "DATO NO CARGADO"))</f>
        <v/>
      </c>
      <c r="C975" s="51"/>
      <c r="D975" s="257"/>
      <c r="E975" s="102"/>
      <c r="F975" s="103"/>
      <c r="G975" s="258"/>
      <c r="I975" s="103"/>
      <c r="K975" s="71"/>
      <c r="L975" s="106" t="str">
        <f>IF(ISBLANK(J975), "", VLOOKUP(C975, 'Info Tipo de Cambio y REM'!$A$24:$B$35, 2, FALSE))</f>
        <v/>
      </c>
      <c r="M975" s="107" t="str">
        <f t="shared" si="2"/>
        <v/>
      </c>
    </row>
    <row r="976">
      <c r="A976" s="102"/>
      <c r="B976" s="43" t="str">
        <f>IF(A976="", "", IFERROR(VLOOKUP(A976, Clasificaciones!A:B, 2, FALSE), "DATO NO CARGADO"))</f>
        <v/>
      </c>
      <c r="C976" s="51"/>
      <c r="D976" s="257"/>
      <c r="E976" s="102"/>
      <c r="F976" s="103"/>
      <c r="G976" s="258"/>
      <c r="I976" s="103"/>
      <c r="K976" s="71"/>
      <c r="L976" s="106" t="str">
        <f>IF(ISBLANK(J976), "", VLOOKUP(C976, 'Info Tipo de Cambio y REM'!$A$24:$B$35, 2, FALSE))</f>
        <v/>
      </c>
      <c r="M976" s="107" t="str">
        <f t="shared" si="2"/>
        <v/>
      </c>
    </row>
    <row r="977">
      <c r="A977" s="102"/>
      <c r="B977" s="43" t="str">
        <f>IF(A977="", "", IFERROR(VLOOKUP(A977, Clasificaciones!A:B, 2, FALSE), "DATO NO CARGADO"))</f>
        <v/>
      </c>
      <c r="C977" s="51"/>
      <c r="D977" s="257"/>
      <c r="E977" s="102"/>
      <c r="F977" s="103"/>
      <c r="G977" s="258"/>
      <c r="I977" s="103"/>
      <c r="K977" s="71"/>
      <c r="L977" s="106" t="str">
        <f>IF(ISBLANK(J977), "", VLOOKUP(C977, 'Info Tipo de Cambio y REM'!$A$24:$B$35, 2, FALSE))</f>
        <v/>
      </c>
      <c r="M977" s="107" t="str">
        <f t="shared" si="2"/>
        <v/>
      </c>
    </row>
    <row r="978">
      <c r="A978" s="102"/>
      <c r="B978" s="43" t="str">
        <f>IF(A978="", "", IFERROR(VLOOKUP(A978, Clasificaciones!A:B, 2, FALSE), "DATO NO CARGADO"))</f>
        <v/>
      </c>
      <c r="C978" s="51"/>
      <c r="D978" s="257"/>
      <c r="E978" s="102"/>
      <c r="F978" s="103"/>
      <c r="G978" s="258"/>
      <c r="I978" s="103"/>
      <c r="K978" s="71"/>
      <c r="L978" s="106" t="str">
        <f>IF(ISBLANK(J978), "", VLOOKUP(C978, 'Info Tipo de Cambio y REM'!$A$24:$B$35, 2, FALSE))</f>
        <v/>
      </c>
      <c r="M978" s="107" t="str">
        <f t="shared" si="2"/>
        <v/>
      </c>
    </row>
    <row r="979">
      <c r="A979" s="102"/>
      <c r="B979" s="43" t="str">
        <f>IF(A979="", "", IFERROR(VLOOKUP(A979, Clasificaciones!A:B, 2, FALSE), "DATO NO CARGADO"))</f>
        <v/>
      </c>
      <c r="C979" s="51"/>
      <c r="D979" s="257"/>
      <c r="E979" s="102"/>
      <c r="F979" s="103"/>
      <c r="G979" s="258"/>
      <c r="I979" s="103"/>
      <c r="K979" s="71"/>
      <c r="L979" s="106" t="str">
        <f>IF(ISBLANK(J979), "", VLOOKUP(C979, 'Info Tipo de Cambio y REM'!$A$24:$B$35, 2, FALSE))</f>
        <v/>
      </c>
      <c r="M979" s="107" t="str">
        <f t="shared" si="2"/>
        <v/>
      </c>
    </row>
    <row r="980">
      <c r="A980" s="102"/>
      <c r="B980" s="43" t="str">
        <f>IF(A980="", "", IFERROR(VLOOKUP(A980, Clasificaciones!A:B, 2, FALSE), "DATO NO CARGADO"))</f>
        <v/>
      </c>
      <c r="C980" s="51"/>
      <c r="D980" s="257"/>
      <c r="E980" s="102"/>
      <c r="F980" s="103"/>
      <c r="G980" s="258"/>
      <c r="I980" s="103"/>
      <c r="K980" s="71"/>
      <c r="L980" s="106" t="str">
        <f>IF(ISBLANK(J980), "", VLOOKUP(C980, 'Info Tipo de Cambio y REM'!$A$24:$B$35, 2, FALSE))</f>
        <v/>
      </c>
      <c r="M980" s="107" t="str">
        <f t="shared" si="2"/>
        <v/>
      </c>
    </row>
    <row r="981">
      <c r="A981" s="102"/>
      <c r="B981" s="43" t="str">
        <f>IF(A981="", "", IFERROR(VLOOKUP(A981, Clasificaciones!A:B, 2, FALSE), "DATO NO CARGADO"))</f>
        <v/>
      </c>
      <c r="C981" s="51"/>
      <c r="D981" s="257"/>
      <c r="E981" s="102"/>
      <c r="F981" s="103"/>
      <c r="G981" s="258"/>
      <c r="I981" s="103"/>
      <c r="K981" s="71"/>
      <c r="L981" s="106" t="str">
        <f>IF(ISBLANK(J981), "", VLOOKUP(C981, 'Info Tipo de Cambio y REM'!$A$24:$B$35, 2, FALSE))</f>
        <v/>
      </c>
      <c r="M981" s="107" t="str">
        <f t="shared" si="2"/>
        <v/>
      </c>
    </row>
    <row r="982">
      <c r="A982" s="102"/>
      <c r="B982" s="43" t="str">
        <f>IF(A982="", "", IFERROR(VLOOKUP(A982, Clasificaciones!A:B, 2, FALSE), "DATO NO CARGADO"))</f>
        <v/>
      </c>
      <c r="C982" s="51"/>
      <c r="D982" s="257"/>
      <c r="E982" s="102"/>
      <c r="F982" s="103"/>
      <c r="G982" s="258"/>
      <c r="I982" s="103"/>
      <c r="K982" s="71"/>
      <c r="L982" s="106" t="str">
        <f>IF(ISBLANK(J982), "", VLOOKUP(C982, 'Info Tipo de Cambio y REM'!$A$24:$B$35, 2, FALSE))</f>
        <v/>
      </c>
      <c r="M982" s="107" t="str">
        <f t="shared" si="2"/>
        <v/>
      </c>
    </row>
    <row r="983">
      <c r="A983" s="102"/>
      <c r="B983" s="43" t="str">
        <f>IF(A983="", "", IFERROR(VLOOKUP(A983, Clasificaciones!A:B, 2, FALSE), "DATO NO CARGADO"))</f>
        <v/>
      </c>
      <c r="C983" s="51"/>
      <c r="D983" s="257"/>
      <c r="E983" s="102"/>
      <c r="F983" s="103"/>
      <c r="G983" s="258"/>
      <c r="I983" s="103"/>
      <c r="K983" s="71"/>
      <c r="L983" s="106" t="str">
        <f>IF(ISBLANK(J983), "", VLOOKUP(C983, 'Info Tipo de Cambio y REM'!$A$24:$B$35, 2, FALSE))</f>
        <v/>
      </c>
      <c r="M983" s="107" t="str">
        <f t="shared" si="2"/>
        <v/>
      </c>
    </row>
    <row r="984">
      <c r="A984" s="102"/>
      <c r="B984" s="43" t="str">
        <f>IF(A984="", "", IFERROR(VLOOKUP(A984, Clasificaciones!A:B, 2, FALSE), "DATO NO CARGADO"))</f>
        <v/>
      </c>
      <c r="C984" s="51"/>
      <c r="D984" s="257"/>
      <c r="E984" s="102"/>
      <c r="F984" s="103"/>
      <c r="G984" s="258"/>
      <c r="I984" s="103"/>
      <c r="K984" s="71"/>
      <c r="L984" s="106" t="str">
        <f>IF(ISBLANK(J984), "", VLOOKUP(C984, 'Info Tipo de Cambio y REM'!$A$24:$B$35, 2, FALSE))</f>
        <v/>
      </c>
      <c r="M984" s="107" t="str">
        <f t="shared" si="2"/>
        <v/>
      </c>
    </row>
    <row r="985">
      <c r="A985" s="102"/>
      <c r="B985" s="43" t="str">
        <f>IF(A985="", "", IFERROR(VLOOKUP(A985, Clasificaciones!A:B, 2, FALSE), "DATO NO CARGADO"))</f>
        <v/>
      </c>
      <c r="C985" s="51"/>
      <c r="D985" s="257"/>
      <c r="E985" s="102"/>
      <c r="F985" s="103"/>
      <c r="G985" s="258"/>
      <c r="I985" s="103"/>
      <c r="K985" s="71"/>
      <c r="L985" s="106" t="str">
        <f>IF(ISBLANK(J985), "", VLOOKUP(C985, 'Info Tipo de Cambio y REM'!$A$24:$B$35, 2, FALSE))</f>
        <v/>
      </c>
      <c r="M985" s="107" t="str">
        <f t="shared" si="2"/>
        <v/>
      </c>
    </row>
    <row r="986">
      <c r="A986" s="102"/>
      <c r="B986" s="43" t="str">
        <f>IF(A986="", "", IFERROR(VLOOKUP(A986, Clasificaciones!A:B, 2, FALSE), "DATO NO CARGADO"))</f>
        <v/>
      </c>
      <c r="C986" s="51"/>
      <c r="D986" s="257"/>
      <c r="E986" s="102"/>
      <c r="F986" s="103"/>
      <c r="G986" s="258"/>
      <c r="I986" s="103"/>
      <c r="K986" s="71"/>
      <c r="L986" s="106" t="str">
        <f>IF(ISBLANK(J986), "", VLOOKUP(C986, 'Info Tipo de Cambio y REM'!$A$24:$B$35, 2, FALSE))</f>
        <v/>
      </c>
      <c r="M986" s="107" t="str">
        <f t="shared" si="2"/>
        <v/>
      </c>
    </row>
    <row r="987">
      <c r="A987" s="102"/>
      <c r="B987" s="43" t="str">
        <f>IF(A987="", "", IFERROR(VLOOKUP(A987, Clasificaciones!A:B, 2, FALSE), "DATO NO CARGADO"))</f>
        <v/>
      </c>
      <c r="C987" s="51"/>
      <c r="D987" s="257"/>
      <c r="E987" s="102"/>
      <c r="F987" s="103"/>
      <c r="G987" s="258"/>
      <c r="I987" s="103"/>
      <c r="K987" s="71"/>
      <c r="L987" s="106" t="str">
        <f>IF(ISBLANK(J987), "", VLOOKUP(C987, 'Info Tipo de Cambio y REM'!$A$24:$B$35, 2, FALSE))</f>
        <v/>
      </c>
      <c r="M987" s="107" t="str">
        <f t="shared" si="2"/>
        <v/>
      </c>
    </row>
    <row r="988">
      <c r="A988" s="102"/>
      <c r="B988" s="43" t="str">
        <f>IF(A988="", "", IFERROR(VLOOKUP(A988, Clasificaciones!A:B, 2, FALSE), "DATO NO CARGADO"))</f>
        <v/>
      </c>
      <c r="C988" s="51"/>
      <c r="D988" s="257"/>
      <c r="E988" s="102"/>
      <c r="F988" s="103"/>
      <c r="G988" s="258"/>
      <c r="I988" s="103"/>
      <c r="K988" s="71"/>
      <c r="L988" s="106" t="str">
        <f>IF(ISBLANK(J988), "", VLOOKUP(C988, 'Info Tipo de Cambio y REM'!$A$24:$B$35, 2, FALSE))</f>
        <v/>
      </c>
      <c r="M988" s="107" t="str">
        <f t="shared" si="2"/>
        <v/>
      </c>
    </row>
    <row r="989">
      <c r="A989" s="102"/>
      <c r="B989" s="43" t="str">
        <f>IF(A989="", "", IFERROR(VLOOKUP(A989, Clasificaciones!A:B, 2, FALSE), "DATO NO CARGADO"))</f>
        <v/>
      </c>
      <c r="C989" s="51"/>
      <c r="D989" s="257"/>
      <c r="E989" s="102"/>
      <c r="F989" s="103"/>
      <c r="G989" s="258"/>
      <c r="I989" s="103"/>
      <c r="K989" s="71"/>
      <c r="L989" s="106" t="str">
        <f>IF(ISBLANK(J989), "", VLOOKUP(C989, 'Info Tipo de Cambio y REM'!$A$24:$B$35, 2, FALSE))</f>
        <v/>
      </c>
      <c r="M989" s="107" t="str">
        <f t="shared" si="2"/>
        <v/>
      </c>
    </row>
    <row r="990">
      <c r="A990" s="102"/>
      <c r="B990" s="43" t="str">
        <f>IF(A990="", "", IFERROR(VLOOKUP(A990, Clasificaciones!A:B, 2, FALSE), "DATO NO CARGADO"))</f>
        <v/>
      </c>
      <c r="C990" s="51"/>
      <c r="D990" s="257"/>
      <c r="E990" s="102"/>
      <c r="F990" s="103"/>
      <c r="G990" s="258"/>
      <c r="I990" s="103"/>
      <c r="K990" s="71"/>
      <c r="L990" s="106" t="str">
        <f>IF(ISBLANK(J990), "", VLOOKUP(C990, 'Info Tipo de Cambio y REM'!$A$24:$B$35, 2, FALSE))</f>
        <v/>
      </c>
      <c r="M990" s="107" t="str">
        <f t="shared" si="2"/>
        <v/>
      </c>
    </row>
    <row r="991">
      <c r="A991" s="102"/>
      <c r="B991" s="43" t="str">
        <f>IF(A991="", "", IFERROR(VLOOKUP(A991, Clasificaciones!A:B, 2, FALSE), "DATO NO CARGADO"))</f>
        <v/>
      </c>
      <c r="C991" s="51"/>
      <c r="D991" s="257"/>
      <c r="E991" s="102"/>
      <c r="F991" s="103"/>
      <c r="G991" s="258"/>
      <c r="I991" s="103"/>
      <c r="K991" s="71"/>
      <c r="L991" s="106" t="str">
        <f>IF(ISBLANK(J991), "", VLOOKUP(C991, 'Info Tipo de Cambio y REM'!$A$24:$B$35, 2, FALSE))</f>
        <v/>
      </c>
      <c r="M991" s="107" t="str">
        <f t="shared" si="2"/>
        <v/>
      </c>
    </row>
    <row r="992">
      <c r="A992" s="102"/>
      <c r="B992" s="43" t="str">
        <f>IF(A992="", "", IFERROR(VLOOKUP(A992, Clasificaciones!A:B, 2, FALSE), "DATO NO CARGADO"))</f>
        <v/>
      </c>
      <c r="C992" s="51"/>
      <c r="D992" s="257"/>
      <c r="E992" s="102"/>
      <c r="F992" s="103"/>
      <c r="G992" s="258"/>
      <c r="I992" s="103"/>
      <c r="K992" s="71"/>
      <c r="L992" s="106" t="str">
        <f>IF(ISBLANK(J992), "", VLOOKUP(C992, 'Info Tipo de Cambio y REM'!$A$24:$B$35, 2, FALSE))</f>
        <v/>
      </c>
      <c r="M992" s="107" t="str">
        <f t="shared" si="2"/>
        <v/>
      </c>
    </row>
    <row r="993">
      <c r="A993" s="102"/>
      <c r="B993" s="43" t="str">
        <f>IF(A993="", "", IFERROR(VLOOKUP(A993, Clasificaciones!A:B, 2, FALSE), "DATO NO CARGADO"))</f>
        <v/>
      </c>
      <c r="C993" s="51"/>
      <c r="D993" s="257"/>
      <c r="E993" s="102"/>
      <c r="F993" s="103"/>
      <c r="G993" s="258"/>
      <c r="I993" s="103"/>
      <c r="K993" s="71"/>
      <c r="L993" s="106" t="str">
        <f>IF(ISBLANK(J993), "", VLOOKUP(C993, 'Info Tipo de Cambio y REM'!$A$24:$B$35, 2, FALSE))</f>
        <v/>
      </c>
      <c r="M993" s="107" t="str">
        <f t="shared" si="2"/>
        <v/>
      </c>
    </row>
    <row r="994">
      <c r="A994" s="102"/>
      <c r="B994" s="43" t="str">
        <f>IF(A994="", "", IFERROR(VLOOKUP(A994, Clasificaciones!A:B, 2, FALSE), "DATO NO CARGADO"))</f>
        <v/>
      </c>
      <c r="C994" s="51"/>
      <c r="D994" s="257"/>
      <c r="E994" s="102"/>
      <c r="F994" s="103"/>
      <c r="G994" s="258"/>
      <c r="I994" s="103"/>
      <c r="K994" s="71"/>
      <c r="L994" s="106" t="str">
        <f>IF(ISBLANK(J994), "", VLOOKUP(C994, 'Info Tipo de Cambio y REM'!$A$24:$B$35, 2, FALSE))</f>
        <v/>
      </c>
      <c r="M994" s="107" t="str">
        <f t="shared" si="2"/>
        <v/>
      </c>
    </row>
    <row r="995">
      <c r="A995" s="102"/>
      <c r="B995" s="43" t="str">
        <f>IF(A995="", "", IFERROR(VLOOKUP(A995, Clasificaciones!A:B, 2, FALSE), "DATO NO CARGADO"))</f>
        <v/>
      </c>
      <c r="C995" s="51"/>
      <c r="D995" s="257"/>
      <c r="E995" s="102"/>
      <c r="F995" s="103"/>
      <c r="G995" s="258"/>
      <c r="I995" s="103"/>
      <c r="K995" s="71"/>
      <c r="L995" s="106" t="str">
        <f>IF(ISBLANK(J995), "", VLOOKUP(C995, 'Info Tipo de Cambio y REM'!$A$24:$B$35, 2, FALSE))</f>
        <v/>
      </c>
      <c r="M995" s="107" t="str">
        <f t="shared" si="2"/>
        <v/>
      </c>
    </row>
    <row r="996">
      <c r="A996" s="102"/>
      <c r="B996" s="43" t="str">
        <f>IF(A996="", "", IFERROR(VLOOKUP(A996, Clasificaciones!A:B, 2, FALSE), "DATO NO CARGADO"))</f>
        <v/>
      </c>
      <c r="C996" s="51"/>
      <c r="D996" s="257"/>
      <c r="E996" s="102"/>
      <c r="F996" s="103"/>
      <c r="G996" s="258"/>
      <c r="I996" s="103"/>
      <c r="K996" s="71"/>
      <c r="L996" s="106" t="str">
        <f>IF(ISBLANK(J996), "", VLOOKUP(C996, 'Info Tipo de Cambio y REM'!$A$24:$B$35, 2, FALSE))</f>
        <v/>
      </c>
      <c r="M996" s="107" t="str">
        <f t="shared" si="2"/>
        <v/>
      </c>
    </row>
    <row r="997">
      <c r="A997" s="102"/>
      <c r="B997" s="43" t="str">
        <f>IF(A997="", "", IFERROR(VLOOKUP(A997, Clasificaciones!A:B, 2, FALSE), "DATO NO CARGADO"))</f>
        <v/>
      </c>
      <c r="C997" s="51"/>
      <c r="D997" s="257"/>
      <c r="E997" s="102"/>
      <c r="F997" s="103"/>
      <c r="G997" s="258"/>
      <c r="I997" s="103"/>
      <c r="K997" s="71"/>
      <c r="L997" s="106" t="str">
        <f>IF(ISBLANK(J997), "", VLOOKUP(C997, 'Info Tipo de Cambio y REM'!$A$24:$B$35, 2, FALSE))</f>
        <v/>
      </c>
      <c r="M997" s="107" t="str">
        <f t="shared" si="2"/>
        <v/>
      </c>
    </row>
    <row r="998">
      <c r="A998" s="102"/>
      <c r="B998" s="43" t="str">
        <f>IF(A998="", "", IFERROR(VLOOKUP(A998, Clasificaciones!A:B, 2, FALSE), "DATO NO CARGADO"))</f>
        <v/>
      </c>
      <c r="C998" s="51"/>
      <c r="D998" s="257"/>
      <c r="E998" s="102"/>
      <c r="F998" s="103"/>
      <c r="G998" s="258"/>
      <c r="I998" s="103"/>
      <c r="K998" s="71"/>
      <c r="L998" s="106" t="str">
        <f>IF(ISBLANK(J998), "", VLOOKUP(C998, 'Info Tipo de Cambio y REM'!$A$24:$B$35, 2, FALSE))</f>
        <v/>
      </c>
      <c r="M998" s="107" t="str">
        <f t="shared" si="2"/>
        <v/>
      </c>
    </row>
    <row r="999">
      <c r="A999" s="102"/>
      <c r="B999" s="43" t="str">
        <f>IF(A999="", "", IFERROR(VLOOKUP(A999, Clasificaciones!A:B, 2, FALSE), "DATO NO CARGADO"))</f>
        <v/>
      </c>
      <c r="C999" s="51"/>
      <c r="D999" s="257"/>
      <c r="E999" s="102"/>
      <c r="F999" s="103"/>
      <c r="G999" s="258"/>
      <c r="I999" s="103"/>
      <c r="K999" s="71"/>
      <c r="L999" s="106" t="str">
        <f>IF(ISBLANK(J999), "", VLOOKUP(C999, 'Info Tipo de Cambio y REM'!$A$24:$B$35, 2, FALSE))</f>
        <v/>
      </c>
      <c r="M999" s="107" t="str">
        <f t="shared" si="2"/>
        <v/>
      </c>
    </row>
    <row r="1000">
      <c r="A1000" s="102"/>
      <c r="B1000" s="43" t="str">
        <f>IF(A1000="", "", IFERROR(VLOOKUP(A1000, Clasificaciones!A:B, 2, FALSE), "DATO NO CARGADO"))</f>
        <v/>
      </c>
      <c r="C1000" s="51"/>
      <c r="D1000" s="257"/>
      <c r="E1000" s="102"/>
      <c r="F1000" s="103"/>
      <c r="G1000" s="258"/>
      <c r="I1000" s="103"/>
      <c r="K1000" s="71"/>
      <c r="L1000" s="106" t="str">
        <f>IF(ISBLANK(J1000), "", VLOOKUP(C1000, 'Info Tipo de Cambio y REM'!$A$24:$B$35, 2, FALSE))</f>
        <v/>
      </c>
      <c r="M1000" s="107" t="str">
        <f t="shared" si="2"/>
        <v/>
      </c>
    </row>
    <row r="1001">
      <c r="A1001" s="102"/>
      <c r="B1001" s="43" t="str">
        <f>IF(A1001="", "", IFERROR(VLOOKUP(A1001, Clasificaciones!A:B, 2, FALSE), "DATO NO CARGADO"))</f>
        <v/>
      </c>
      <c r="C1001" s="51"/>
      <c r="D1001" s="257"/>
      <c r="E1001" s="102"/>
      <c r="F1001" s="103"/>
      <c r="G1001" s="258"/>
      <c r="I1001" s="103"/>
      <c r="K1001" s="71"/>
      <c r="L1001" s="106" t="str">
        <f>IF(ISBLANK(J1001), "", VLOOKUP(C1001, 'Info Tipo de Cambio y REM'!$A$24:$B$35, 2, FALSE))</f>
        <v/>
      </c>
      <c r="M1001" s="107" t="str">
        <f t="shared" si="2"/>
        <v/>
      </c>
    </row>
    <row r="1002">
      <c r="A1002" s="102"/>
      <c r="B1002" s="43" t="str">
        <f>IF(A1002="", "", IFERROR(VLOOKUP(A1002, Clasificaciones!A:B, 2, FALSE), "DATO NO CARGADO"))</f>
        <v/>
      </c>
      <c r="C1002" s="51"/>
      <c r="D1002" s="257"/>
      <c r="E1002" s="102"/>
      <c r="F1002" s="103"/>
      <c r="G1002" s="258"/>
      <c r="I1002" s="103"/>
      <c r="K1002" s="71"/>
      <c r="L1002" s="106" t="str">
        <f>IF(ISBLANK(J1002), "", VLOOKUP(C1002, 'Info Tipo de Cambio y REM'!$A$24:$B$35, 2, FALSE))</f>
        <v/>
      </c>
      <c r="M1002" s="107" t="str">
        <f t="shared" si="2"/>
        <v/>
      </c>
    </row>
    <row r="1003">
      <c r="A1003" s="102"/>
      <c r="B1003" s="43" t="str">
        <f>IF(A1003="", "", IFERROR(VLOOKUP(A1003, Clasificaciones!A:B, 2, FALSE), "DATO NO CARGADO"))</f>
        <v/>
      </c>
      <c r="C1003" s="51"/>
      <c r="D1003" s="257"/>
      <c r="E1003" s="102"/>
      <c r="F1003" s="103"/>
      <c r="G1003" s="258"/>
      <c r="I1003" s="103"/>
      <c r="K1003" s="71"/>
      <c r="L1003" s="106" t="str">
        <f>IF(ISBLANK(J1003), "", VLOOKUP(C1003, 'Info Tipo de Cambio y REM'!$A$24:$B$35, 2, FALSE))</f>
        <v/>
      </c>
      <c r="M1003" s="107" t="str">
        <f t="shared" si="2"/>
        <v/>
      </c>
    </row>
    <row r="1004">
      <c r="A1004" s="102"/>
      <c r="B1004" s="43" t="str">
        <f>IF(A1004="", "", IFERROR(VLOOKUP(A1004, Clasificaciones!A:B, 2, FALSE), "DATO NO CARGADO"))</f>
        <v/>
      </c>
      <c r="C1004" s="51"/>
      <c r="D1004" s="257"/>
      <c r="E1004" s="102"/>
      <c r="F1004" s="103"/>
      <c r="G1004" s="258"/>
      <c r="I1004" s="103"/>
      <c r="K1004" s="71"/>
      <c r="L1004" s="106" t="str">
        <f>IF(ISBLANK(J1004), "", VLOOKUP(C1004, 'Info Tipo de Cambio y REM'!$A$24:$B$35, 2, FALSE))</f>
        <v/>
      </c>
      <c r="M1004" s="107" t="str">
        <f t="shared" si="2"/>
        <v/>
      </c>
    </row>
    <row r="1005">
      <c r="A1005" s="102"/>
      <c r="B1005" s="43" t="str">
        <f>IF(A1005="", "", IFERROR(VLOOKUP(A1005, Clasificaciones!A:B, 2, FALSE), "DATO NO CARGADO"))</f>
        <v/>
      </c>
      <c r="C1005" s="51"/>
      <c r="D1005" s="257"/>
      <c r="E1005" s="102"/>
      <c r="F1005" s="103"/>
      <c r="G1005" s="258"/>
      <c r="I1005" s="103"/>
      <c r="K1005" s="71"/>
      <c r="L1005" s="106" t="str">
        <f>IF(ISBLANK(J1005), "", VLOOKUP(C1005, 'Info Tipo de Cambio y REM'!$A$24:$B$35, 2, FALSE))</f>
        <v/>
      </c>
      <c r="M1005" s="107" t="str">
        <f t="shared" si="2"/>
        <v/>
      </c>
    </row>
    <row r="1006">
      <c r="A1006" s="102"/>
      <c r="B1006" s="43" t="str">
        <f>IF(A1006="", "", IFERROR(VLOOKUP(A1006, Clasificaciones!A:B, 2, FALSE), "DATO NO CARGADO"))</f>
        <v/>
      </c>
      <c r="C1006" s="51"/>
      <c r="D1006" s="257"/>
      <c r="E1006" s="102"/>
      <c r="F1006" s="103"/>
      <c r="G1006" s="258"/>
      <c r="I1006" s="103"/>
      <c r="K1006" s="71"/>
      <c r="L1006" s="106" t="str">
        <f>IF(ISBLANK(J1006), "", VLOOKUP(C1006, 'Info Tipo de Cambio y REM'!$A$24:$B$35, 2, FALSE))</f>
        <v/>
      </c>
      <c r="M1006" s="107" t="str">
        <f t="shared" si="2"/>
        <v/>
      </c>
    </row>
    <row r="1007">
      <c r="A1007" s="102"/>
      <c r="B1007" s="43" t="str">
        <f>IF(A1007="", "", IFERROR(VLOOKUP(A1007, Clasificaciones!A:B, 2, FALSE), "DATO NO CARGADO"))</f>
        <v/>
      </c>
      <c r="C1007" s="51"/>
      <c r="D1007" s="257"/>
      <c r="E1007" s="102"/>
      <c r="F1007" s="103"/>
      <c r="G1007" s="258"/>
      <c r="I1007" s="103"/>
      <c r="K1007" s="71"/>
      <c r="L1007" s="106" t="str">
        <f>IF(ISBLANK(J1007), "", VLOOKUP(C1007, 'Info Tipo de Cambio y REM'!$A$24:$B$35, 2, FALSE))</f>
        <v/>
      </c>
      <c r="M1007" s="107" t="str">
        <f t="shared" si="2"/>
        <v/>
      </c>
    </row>
    <row r="1008">
      <c r="A1008" s="102"/>
      <c r="B1008" s="43" t="str">
        <f>IF(A1008="", "", IFERROR(VLOOKUP(A1008, Clasificaciones!A:B, 2, FALSE), "DATO NO CARGADO"))</f>
        <v/>
      </c>
      <c r="C1008" s="51"/>
      <c r="D1008" s="257"/>
      <c r="E1008" s="102"/>
      <c r="F1008" s="103"/>
      <c r="G1008" s="258"/>
      <c r="I1008" s="103"/>
      <c r="K1008" s="71"/>
      <c r="L1008" s="106" t="str">
        <f>IF(ISBLANK(J1008), "", VLOOKUP(C1008, 'Info Tipo de Cambio y REM'!$A$24:$B$35, 2, FALSE))</f>
        <v/>
      </c>
      <c r="M1008" s="107" t="str">
        <f t="shared" si="2"/>
        <v/>
      </c>
    </row>
    <row r="1009">
      <c r="A1009" s="102"/>
      <c r="B1009" s="43" t="str">
        <f>IF(A1009="", "", IFERROR(VLOOKUP(A1009, Clasificaciones!A:B, 2, FALSE), "DATO NO CARGADO"))</f>
        <v/>
      </c>
      <c r="C1009" s="51"/>
      <c r="D1009" s="257"/>
      <c r="E1009" s="102"/>
      <c r="F1009" s="103"/>
      <c r="G1009" s="258"/>
      <c r="I1009" s="103"/>
      <c r="K1009" s="71"/>
      <c r="L1009" s="106" t="str">
        <f>IF(ISBLANK(J1009), "", VLOOKUP(C1009, 'Info Tipo de Cambio y REM'!$A$24:$B$35, 2, FALSE))</f>
        <v/>
      </c>
      <c r="M1009" s="107" t="str">
        <f t="shared" si="2"/>
        <v/>
      </c>
    </row>
    <row r="1010">
      <c r="A1010" s="102"/>
      <c r="B1010" s="43" t="str">
        <f>IF(A1010="", "", IFERROR(VLOOKUP(A1010, Clasificaciones!A:B, 2, FALSE), "DATO NO CARGADO"))</f>
        <v/>
      </c>
      <c r="C1010" s="51"/>
      <c r="D1010" s="257"/>
      <c r="E1010" s="102"/>
      <c r="F1010" s="103"/>
      <c r="G1010" s="258"/>
      <c r="I1010" s="103"/>
      <c r="K1010" s="71"/>
      <c r="L1010" s="106" t="str">
        <f>IF(ISBLANK(J1010), "", VLOOKUP(C1010, 'Info Tipo de Cambio y REM'!$A$24:$B$35, 2, FALSE))</f>
        <v/>
      </c>
      <c r="M1010" s="107" t="str">
        <f t="shared" si="2"/>
        <v/>
      </c>
    </row>
    <row r="1011">
      <c r="A1011" s="102"/>
      <c r="B1011" s="43" t="str">
        <f>IF(A1011="", "", IFERROR(VLOOKUP(A1011, Clasificaciones!A:B, 2, FALSE), "DATO NO CARGADO"))</f>
        <v/>
      </c>
      <c r="C1011" s="51"/>
      <c r="D1011" s="257"/>
      <c r="E1011" s="102"/>
      <c r="F1011" s="103"/>
      <c r="G1011" s="258"/>
      <c r="I1011" s="103"/>
      <c r="K1011" s="71"/>
      <c r="L1011" s="106" t="str">
        <f>IF(ISBLANK(J1011), "", VLOOKUP(C1011, 'Info Tipo de Cambio y REM'!$A$24:$B$35, 2, FALSE))</f>
        <v/>
      </c>
      <c r="M1011" s="107" t="str">
        <f t="shared" si="2"/>
        <v/>
      </c>
    </row>
    <row r="1012">
      <c r="A1012" s="102"/>
      <c r="B1012" s="43" t="str">
        <f>IF(A1012="", "", IFERROR(VLOOKUP(A1012, Clasificaciones!A:B, 2, FALSE), "DATO NO CARGADO"))</f>
        <v/>
      </c>
      <c r="C1012" s="51"/>
      <c r="D1012" s="257"/>
      <c r="E1012" s="102"/>
      <c r="F1012" s="103"/>
      <c r="G1012" s="258"/>
      <c r="I1012" s="103"/>
      <c r="K1012" s="71"/>
      <c r="L1012" s="106" t="str">
        <f>IF(ISBLANK(J1012), "", VLOOKUP(C1012, 'Info Tipo de Cambio y REM'!$A$24:$B$35, 2, FALSE))</f>
        <v/>
      </c>
      <c r="M1012" s="107" t="str">
        <f t="shared" si="2"/>
        <v/>
      </c>
    </row>
    <row r="1013">
      <c r="A1013" s="102"/>
      <c r="B1013" s="43" t="str">
        <f>IF(A1013="", "", IFERROR(VLOOKUP(A1013, Clasificaciones!A:B, 2, FALSE), "DATO NO CARGADO"))</f>
        <v/>
      </c>
      <c r="C1013" s="51"/>
      <c r="D1013" s="257"/>
      <c r="E1013" s="102"/>
      <c r="F1013" s="103"/>
      <c r="G1013" s="258"/>
      <c r="I1013" s="103"/>
      <c r="K1013" s="71"/>
      <c r="L1013" s="106" t="str">
        <f>IF(ISBLANK(J1013), "", VLOOKUP(C1013, 'Info Tipo de Cambio y REM'!$A$24:$B$35, 2, FALSE))</f>
        <v/>
      </c>
      <c r="M1013" s="107" t="str">
        <f t="shared" si="2"/>
        <v/>
      </c>
    </row>
    <row r="1014">
      <c r="A1014" s="102"/>
      <c r="B1014" s="43" t="str">
        <f>IF(A1014="", "", IFERROR(VLOOKUP(A1014, Clasificaciones!A:B, 2, FALSE), "DATO NO CARGADO"))</f>
        <v/>
      </c>
      <c r="C1014" s="51"/>
      <c r="D1014" s="257"/>
      <c r="E1014" s="102"/>
      <c r="F1014" s="103"/>
      <c r="G1014" s="258"/>
      <c r="I1014" s="103"/>
      <c r="K1014" s="71"/>
      <c r="L1014" s="106" t="str">
        <f>IF(ISBLANK(J1014), "", VLOOKUP(C1014, 'Info Tipo de Cambio y REM'!$A$24:$B$35, 2, FALSE))</f>
        <v/>
      </c>
      <c r="M1014" s="107" t="str">
        <f t="shared" si="2"/>
        <v/>
      </c>
    </row>
    <row r="1015">
      <c r="A1015" s="102"/>
      <c r="B1015" s="43" t="str">
        <f>IF(A1015="", "", IFERROR(VLOOKUP(A1015, Clasificaciones!A:B, 2, FALSE), "DATO NO CARGADO"))</f>
        <v/>
      </c>
      <c r="C1015" s="51"/>
      <c r="D1015" s="257"/>
      <c r="E1015" s="102"/>
      <c r="F1015" s="103"/>
      <c r="G1015" s="258"/>
      <c r="I1015" s="103"/>
      <c r="K1015" s="71"/>
      <c r="L1015" s="106" t="str">
        <f>IF(ISBLANK(J1015), "", VLOOKUP(C1015, 'Info Tipo de Cambio y REM'!$A$24:$B$35, 2, FALSE))</f>
        <v/>
      </c>
      <c r="M1015" s="107" t="str">
        <f t="shared" si="2"/>
        <v/>
      </c>
    </row>
    <row r="1016">
      <c r="A1016" s="102"/>
      <c r="B1016" s="43" t="str">
        <f>IF(A1016="", "", IFERROR(VLOOKUP(A1016, Clasificaciones!A:B, 2, FALSE), "DATO NO CARGADO"))</f>
        <v/>
      </c>
      <c r="C1016" s="51"/>
      <c r="D1016" s="257"/>
      <c r="E1016" s="102"/>
      <c r="F1016" s="103"/>
      <c r="G1016" s="258"/>
      <c r="I1016" s="103"/>
      <c r="K1016" s="71"/>
      <c r="L1016" s="106" t="str">
        <f>IF(ISBLANK(J1016), "", VLOOKUP(C1016, 'Info Tipo de Cambio y REM'!$A$24:$B$35, 2, FALSE))</f>
        <v/>
      </c>
      <c r="M1016" s="107" t="str">
        <f t="shared" si="2"/>
        <v/>
      </c>
    </row>
    <row r="1017">
      <c r="A1017" s="102"/>
      <c r="B1017" s="43" t="str">
        <f>IF(A1017="", "", IFERROR(VLOOKUP(A1017, Clasificaciones!A:B, 2, FALSE), "DATO NO CARGADO"))</f>
        <v/>
      </c>
      <c r="C1017" s="51"/>
      <c r="D1017" s="257"/>
      <c r="E1017" s="102"/>
      <c r="F1017" s="103"/>
      <c r="G1017" s="258"/>
      <c r="I1017" s="103"/>
      <c r="K1017" s="71"/>
      <c r="L1017" s="106" t="str">
        <f>IF(ISBLANK(J1017), "", VLOOKUP(C1017, 'Info Tipo de Cambio y REM'!$A$24:$B$35, 2, FALSE))</f>
        <v/>
      </c>
      <c r="M1017" s="107" t="str">
        <f t="shared" si="2"/>
        <v/>
      </c>
    </row>
    <row r="1018">
      <c r="A1018" s="102"/>
      <c r="B1018" s="43" t="str">
        <f>IF(A1018="", "", IFERROR(VLOOKUP(A1018, Clasificaciones!A:B, 2, FALSE), "DATO NO CARGADO"))</f>
        <v/>
      </c>
      <c r="C1018" s="51"/>
      <c r="D1018" s="257"/>
      <c r="E1018" s="102"/>
      <c r="F1018" s="103"/>
      <c r="G1018" s="258"/>
      <c r="I1018" s="103"/>
      <c r="K1018" s="71"/>
      <c r="L1018" s="106" t="str">
        <f>IF(ISBLANK(J1018), "", VLOOKUP(C1018, 'Info Tipo de Cambio y REM'!$A$24:$B$35, 2, FALSE))</f>
        <v/>
      </c>
      <c r="M1018" s="107" t="str">
        <f t="shared" si="2"/>
        <v/>
      </c>
    </row>
    <row r="1019">
      <c r="A1019" s="102"/>
      <c r="B1019" s="43" t="str">
        <f>IF(A1019="", "", IFERROR(VLOOKUP(A1019, Clasificaciones!A:B, 2, FALSE), "DATO NO CARGADO"))</f>
        <v/>
      </c>
      <c r="C1019" s="51"/>
      <c r="D1019" s="257"/>
      <c r="E1019" s="102"/>
      <c r="F1019" s="103"/>
      <c r="G1019" s="258"/>
      <c r="I1019" s="103"/>
      <c r="K1019" s="71"/>
      <c r="L1019" s="106" t="str">
        <f>IF(ISBLANK(J1019), "", VLOOKUP(C1019, 'Info Tipo de Cambio y REM'!$A$24:$B$35, 2, FALSE))</f>
        <v/>
      </c>
      <c r="M1019" s="107" t="str">
        <f t="shared" si="2"/>
        <v/>
      </c>
    </row>
    <row r="1020">
      <c r="A1020" s="102"/>
      <c r="B1020" s="43" t="str">
        <f>IF(A1020="", "", IFERROR(VLOOKUP(A1020, Clasificaciones!A:B, 2, FALSE), "DATO NO CARGADO"))</f>
        <v/>
      </c>
      <c r="C1020" s="51"/>
      <c r="D1020" s="257"/>
      <c r="E1020" s="102"/>
      <c r="F1020" s="103"/>
      <c r="G1020" s="258"/>
      <c r="I1020" s="103"/>
      <c r="K1020" s="71"/>
      <c r="L1020" s="106" t="str">
        <f>IF(ISBLANK(J1020), "", VLOOKUP(C1020, 'Info Tipo de Cambio y REM'!$A$24:$B$35, 2, FALSE))</f>
        <v/>
      </c>
      <c r="M1020" s="107" t="str">
        <f t="shared" si="2"/>
        <v/>
      </c>
    </row>
    <row r="1021">
      <c r="A1021" s="102"/>
      <c r="B1021" s="43" t="str">
        <f>IF(A1021="", "", IFERROR(VLOOKUP(A1021, Clasificaciones!A:B, 2, FALSE), "DATO NO CARGADO"))</f>
        <v/>
      </c>
      <c r="C1021" s="51"/>
      <c r="D1021" s="257"/>
      <c r="E1021" s="102"/>
      <c r="F1021" s="103"/>
      <c r="G1021" s="258"/>
      <c r="I1021" s="103"/>
      <c r="K1021" s="71"/>
      <c r="L1021" s="106" t="str">
        <f>IF(ISBLANK(J1021), "", VLOOKUP(C1021, 'Info Tipo de Cambio y REM'!$A$24:$B$35, 2, FALSE))</f>
        <v/>
      </c>
      <c r="M1021" s="107" t="str">
        <f t="shared" si="2"/>
        <v/>
      </c>
    </row>
    <row r="1022">
      <c r="A1022" s="102"/>
      <c r="B1022" s="43" t="str">
        <f>IF(A1022="", "", IFERROR(VLOOKUP(A1022, Clasificaciones!A:B, 2, FALSE), "DATO NO CARGADO"))</f>
        <v/>
      </c>
      <c r="C1022" s="51"/>
      <c r="D1022" s="257"/>
      <c r="E1022" s="102"/>
      <c r="F1022" s="103"/>
      <c r="G1022" s="258"/>
      <c r="I1022" s="103"/>
      <c r="K1022" s="71"/>
      <c r="L1022" s="106" t="str">
        <f>IF(ISBLANK(J1022), "", VLOOKUP(C1022, 'Info Tipo de Cambio y REM'!$A$24:$B$35, 2, FALSE))</f>
        <v/>
      </c>
      <c r="M1022" s="107" t="str">
        <f t="shared" si="2"/>
        <v/>
      </c>
    </row>
    <row r="1023">
      <c r="A1023" s="102"/>
      <c r="B1023" s="43" t="str">
        <f>IF(A1023="", "", IFERROR(VLOOKUP(A1023, Clasificaciones!A:B, 2, FALSE), "DATO NO CARGADO"))</f>
        <v/>
      </c>
      <c r="C1023" s="51"/>
      <c r="D1023" s="257"/>
      <c r="E1023" s="102"/>
      <c r="F1023" s="103"/>
      <c r="G1023" s="258"/>
      <c r="I1023" s="103"/>
      <c r="K1023" s="71"/>
      <c r="L1023" s="106" t="str">
        <f>IF(ISBLANK(J1023), "", VLOOKUP(C1023, 'Info Tipo de Cambio y REM'!$A$24:$B$35, 2, FALSE))</f>
        <v/>
      </c>
      <c r="M1023" s="107" t="str">
        <f t="shared" si="2"/>
        <v/>
      </c>
    </row>
    <row r="1024">
      <c r="A1024" s="102"/>
      <c r="B1024" s="43" t="str">
        <f>IF(A1024="", "", IFERROR(VLOOKUP(A1024, Clasificaciones!A:B, 2, FALSE), "DATO NO CARGADO"))</f>
        <v/>
      </c>
      <c r="C1024" s="51"/>
      <c r="D1024" s="257"/>
      <c r="E1024" s="102"/>
      <c r="F1024" s="103"/>
      <c r="G1024" s="258"/>
      <c r="I1024" s="103"/>
      <c r="K1024" s="71"/>
      <c r="L1024" s="106" t="str">
        <f>IF(ISBLANK(J1024), "", VLOOKUP(C1024, 'Info Tipo de Cambio y REM'!$A$24:$B$35, 2, FALSE))</f>
        <v/>
      </c>
      <c r="M1024" s="107" t="str">
        <f t="shared" si="2"/>
        <v/>
      </c>
    </row>
    <row r="1025">
      <c r="A1025" s="102"/>
      <c r="B1025" s="43" t="str">
        <f>IF(A1025="", "", IFERROR(VLOOKUP(A1025, Clasificaciones!A:B, 2, FALSE), "DATO NO CARGADO"))</f>
        <v/>
      </c>
      <c r="C1025" s="51"/>
      <c r="D1025" s="257"/>
      <c r="E1025" s="102"/>
      <c r="F1025" s="103"/>
      <c r="G1025" s="258"/>
      <c r="I1025" s="103"/>
      <c r="K1025" s="71"/>
      <c r="L1025" s="106" t="str">
        <f>IF(ISBLANK(J1025), "", VLOOKUP(C1025, 'Info Tipo de Cambio y REM'!$A$24:$B$35, 2, FALSE))</f>
        <v/>
      </c>
      <c r="M1025" s="107" t="str">
        <f t="shared" si="2"/>
        <v/>
      </c>
    </row>
    <row r="1026">
      <c r="A1026" s="102"/>
      <c r="B1026" s="43" t="str">
        <f>IF(A1026="", "", IFERROR(VLOOKUP(A1026, Clasificaciones!A:B, 2, FALSE), "DATO NO CARGADO"))</f>
        <v/>
      </c>
      <c r="C1026" s="51"/>
      <c r="D1026" s="257"/>
      <c r="E1026" s="102"/>
      <c r="F1026" s="103"/>
      <c r="G1026" s="258"/>
      <c r="I1026" s="103"/>
      <c r="K1026" s="71"/>
      <c r="L1026" s="106" t="str">
        <f>IF(ISBLANK(J1026), "", VLOOKUP(C1026, 'Info Tipo de Cambio y REM'!$A$24:$B$35, 2, FALSE))</f>
        <v/>
      </c>
      <c r="M1026" s="107" t="str">
        <f t="shared" si="2"/>
        <v/>
      </c>
    </row>
    <row r="1027">
      <c r="A1027" s="102"/>
      <c r="B1027" s="43" t="str">
        <f>IF(A1027="", "", IFERROR(VLOOKUP(A1027, Clasificaciones!A:B, 2, FALSE), "DATO NO CARGADO"))</f>
        <v/>
      </c>
      <c r="C1027" s="51"/>
      <c r="D1027" s="257"/>
      <c r="E1027" s="102"/>
      <c r="F1027" s="103"/>
      <c r="G1027" s="258"/>
      <c r="I1027" s="103"/>
      <c r="K1027" s="71"/>
      <c r="L1027" s="106" t="str">
        <f>IF(ISBLANK(J1027), "", VLOOKUP(C1027, 'Info Tipo de Cambio y REM'!$A$24:$B$35, 2, FALSE))</f>
        <v/>
      </c>
      <c r="M1027" s="107" t="str">
        <f t="shared" si="2"/>
        <v/>
      </c>
    </row>
    <row r="1028">
      <c r="A1028" s="102"/>
      <c r="B1028" s="43" t="str">
        <f>IF(A1028="", "", IFERROR(VLOOKUP(A1028, Clasificaciones!A:B, 2, FALSE), "DATO NO CARGADO"))</f>
        <v/>
      </c>
      <c r="C1028" s="51"/>
      <c r="D1028" s="257"/>
      <c r="E1028" s="102"/>
      <c r="F1028" s="103"/>
      <c r="G1028" s="258"/>
      <c r="I1028" s="103"/>
      <c r="K1028" s="71"/>
      <c r="L1028" s="106" t="str">
        <f>IF(ISBLANK(J1028), "", VLOOKUP(C1028, 'Info Tipo de Cambio y REM'!$A$24:$B$35, 2, FALSE))</f>
        <v/>
      </c>
      <c r="M1028" s="107" t="str">
        <f t="shared" si="2"/>
        <v/>
      </c>
    </row>
    <row r="1029">
      <c r="A1029" s="102"/>
      <c r="B1029" s="43" t="str">
        <f>IF(A1029="", "", IFERROR(VLOOKUP(A1029, Clasificaciones!A:B, 2, FALSE), "DATO NO CARGADO"))</f>
        <v/>
      </c>
      <c r="C1029" s="51"/>
      <c r="D1029" s="257"/>
      <c r="E1029" s="102"/>
      <c r="F1029" s="103"/>
      <c r="G1029" s="258"/>
      <c r="I1029" s="103"/>
      <c r="K1029" s="71"/>
      <c r="L1029" s="106" t="str">
        <f>IF(ISBLANK(J1029), "", VLOOKUP(C1029, 'Info Tipo de Cambio y REM'!$A$24:$B$35, 2, FALSE))</f>
        <v/>
      </c>
      <c r="M1029" s="107" t="str">
        <f t="shared" si="2"/>
        <v/>
      </c>
    </row>
    <row r="1030">
      <c r="A1030" s="102"/>
      <c r="B1030" s="43" t="str">
        <f>IF(A1030="", "", IFERROR(VLOOKUP(A1030, Clasificaciones!A:B, 2, FALSE), "DATO NO CARGADO"))</f>
        <v/>
      </c>
      <c r="C1030" s="51"/>
      <c r="D1030" s="257"/>
      <c r="E1030" s="102"/>
      <c r="F1030" s="103"/>
      <c r="G1030" s="258"/>
      <c r="I1030" s="103"/>
      <c r="K1030" s="71"/>
      <c r="L1030" s="106" t="str">
        <f>IF(ISBLANK(J1030), "", VLOOKUP(C1030, 'Info Tipo de Cambio y REM'!$A$24:$B$35, 2, FALSE))</f>
        <v/>
      </c>
      <c r="M1030" s="107" t="str">
        <f t="shared" si="2"/>
        <v/>
      </c>
    </row>
    <row r="1031">
      <c r="A1031" s="102"/>
      <c r="B1031" s="43" t="str">
        <f>IF(A1031="", "", IFERROR(VLOOKUP(A1031, Clasificaciones!A:B, 2, FALSE), "DATO NO CARGADO"))</f>
        <v/>
      </c>
      <c r="C1031" s="51"/>
      <c r="D1031" s="257"/>
      <c r="E1031" s="102"/>
      <c r="F1031" s="103"/>
      <c r="G1031" s="258"/>
      <c r="I1031" s="103"/>
      <c r="K1031" s="71"/>
      <c r="L1031" s="106" t="str">
        <f>IF(ISBLANK(J1031), "", VLOOKUP(C1031, 'Info Tipo de Cambio y REM'!$A$24:$B$35, 2, FALSE))</f>
        <v/>
      </c>
      <c r="M1031" s="107" t="str">
        <f t="shared" si="2"/>
        <v/>
      </c>
    </row>
    <row r="1032">
      <c r="A1032" s="102"/>
      <c r="B1032" s="43" t="str">
        <f>IF(A1032="", "", IFERROR(VLOOKUP(A1032, Clasificaciones!A:B, 2, FALSE), "DATO NO CARGADO"))</f>
        <v/>
      </c>
      <c r="C1032" s="51"/>
      <c r="D1032" s="257"/>
      <c r="E1032" s="102"/>
      <c r="F1032" s="103"/>
      <c r="G1032" s="258"/>
      <c r="I1032" s="103"/>
      <c r="K1032" s="71"/>
      <c r="L1032" s="106" t="str">
        <f>IF(ISBLANK(J1032), "", VLOOKUP(C1032, 'Info Tipo de Cambio y REM'!$A$24:$B$35, 2, FALSE))</f>
        <v/>
      </c>
      <c r="M1032" s="107" t="str">
        <f t="shared" si="2"/>
        <v/>
      </c>
    </row>
    <row r="1033">
      <c r="A1033" s="102"/>
      <c r="B1033" s="43" t="str">
        <f>IF(A1033="", "", IFERROR(VLOOKUP(A1033, Clasificaciones!A:B, 2, FALSE), "DATO NO CARGADO"))</f>
        <v/>
      </c>
      <c r="C1033" s="51"/>
      <c r="D1033" s="257"/>
      <c r="E1033" s="102"/>
      <c r="F1033" s="103"/>
      <c r="G1033" s="258"/>
      <c r="I1033" s="103"/>
      <c r="K1033" s="71"/>
      <c r="L1033" s="106" t="str">
        <f>IF(ISBLANK(J1033), "", VLOOKUP(C1033, 'Info Tipo de Cambio y REM'!$A$24:$B$35, 2, FALSE))</f>
        <v/>
      </c>
      <c r="M1033" s="107" t="str">
        <f t="shared" si="2"/>
        <v/>
      </c>
    </row>
    <row r="1034">
      <c r="A1034" s="102"/>
      <c r="B1034" s="43" t="str">
        <f>IF(A1034="", "", IFERROR(VLOOKUP(A1034, Clasificaciones!A:B, 2, FALSE), "DATO NO CARGADO"))</f>
        <v/>
      </c>
      <c r="C1034" s="51"/>
      <c r="D1034" s="257"/>
      <c r="E1034" s="102"/>
      <c r="F1034" s="103"/>
      <c r="G1034" s="258"/>
      <c r="I1034" s="103"/>
      <c r="K1034" s="71"/>
      <c r="L1034" s="106" t="str">
        <f>IF(ISBLANK(J1034), "", VLOOKUP(C1034, 'Info Tipo de Cambio y REM'!$A$24:$B$35, 2, FALSE))</f>
        <v/>
      </c>
      <c r="M1034" s="107" t="str">
        <f t="shared" si="2"/>
        <v/>
      </c>
    </row>
    <row r="1035">
      <c r="A1035" s="102"/>
      <c r="B1035" s="43" t="str">
        <f>IF(A1035="", "", IFERROR(VLOOKUP(A1035, Clasificaciones!A:B, 2, FALSE), "DATO NO CARGADO"))</f>
        <v/>
      </c>
      <c r="C1035" s="51"/>
      <c r="D1035" s="257"/>
      <c r="E1035" s="102"/>
      <c r="F1035" s="103"/>
      <c r="G1035" s="258"/>
      <c r="I1035" s="103"/>
      <c r="K1035" s="71"/>
      <c r="L1035" s="106" t="str">
        <f>IF(ISBLANK(J1035), "", VLOOKUP(C1035, 'Info Tipo de Cambio y REM'!$A$24:$B$35, 2, FALSE))</f>
        <v/>
      </c>
      <c r="M1035" s="107" t="str">
        <f t="shared" si="2"/>
        <v/>
      </c>
    </row>
    <row r="1036">
      <c r="A1036" s="102"/>
      <c r="B1036" s="43" t="str">
        <f>IF(A1036="", "", IFERROR(VLOOKUP(A1036, Clasificaciones!A:B, 2, FALSE), "DATO NO CARGADO"))</f>
        <v/>
      </c>
      <c r="C1036" s="51"/>
      <c r="D1036" s="257"/>
      <c r="E1036" s="102"/>
      <c r="F1036" s="103"/>
      <c r="G1036" s="258"/>
      <c r="I1036" s="103"/>
      <c r="K1036" s="71"/>
      <c r="L1036" s="106" t="str">
        <f>IF(ISBLANK(J1036), "", VLOOKUP(C1036, 'Info Tipo de Cambio y REM'!$A$24:$B$35, 2, FALSE))</f>
        <v/>
      </c>
      <c r="M1036" s="107" t="str">
        <f t="shared" si="2"/>
        <v/>
      </c>
    </row>
    <row r="1037">
      <c r="A1037" s="102"/>
      <c r="B1037" s="43" t="str">
        <f>IF(A1037="", "", IFERROR(VLOOKUP(A1037, Clasificaciones!A:B, 2, FALSE), "DATO NO CARGADO"))</f>
        <v/>
      </c>
      <c r="C1037" s="51"/>
      <c r="D1037" s="257"/>
      <c r="E1037" s="102"/>
      <c r="F1037" s="103"/>
      <c r="G1037" s="258"/>
      <c r="I1037" s="103"/>
      <c r="K1037" s="71"/>
      <c r="L1037" s="106" t="str">
        <f>IF(ISBLANK(J1037), "", VLOOKUP(C1037, 'Info Tipo de Cambio y REM'!$A$24:$B$35, 2, FALSE))</f>
        <v/>
      </c>
      <c r="M1037" s="107" t="str">
        <f t="shared" si="2"/>
        <v/>
      </c>
    </row>
    <row r="1038">
      <c r="A1038" s="102"/>
      <c r="B1038" s="43" t="str">
        <f>IF(A1038="", "", IFERROR(VLOOKUP(A1038, Clasificaciones!A:B, 2, FALSE), "DATO NO CARGADO"))</f>
        <v/>
      </c>
      <c r="C1038" s="51"/>
      <c r="D1038" s="257"/>
      <c r="E1038" s="102"/>
      <c r="F1038" s="103"/>
      <c r="G1038" s="258"/>
      <c r="I1038" s="103"/>
      <c r="K1038" s="71"/>
      <c r="L1038" s="106" t="str">
        <f>IF(ISBLANK(J1038), "", VLOOKUP(C1038, 'Info Tipo de Cambio y REM'!$A$24:$B$35, 2, FALSE))</f>
        <v/>
      </c>
      <c r="M1038" s="107" t="str">
        <f t="shared" si="2"/>
        <v/>
      </c>
    </row>
    <row r="1039">
      <c r="A1039" s="102"/>
      <c r="B1039" s="43" t="str">
        <f>IF(A1039="", "", IFERROR(VLOOKUP(A1039, Clasificaciones!A:B, 2, FALSE), "DATO NO CARGADO"))</f>
        <v/>
      </c>
      <c r="C1039" s="51"/>
      <c r="D1039" s="257"/>
      <c r="E1039" s="102"/>
      <c r="F1039" s="103"/>
      <c r="G1039" s="258"/>
      <c r="I1039" s="103"/>
      <c r="K1039" s="71"/>
      <c r="L1039" s="106" t="str">
        <f>IF(ISBLANK(J1039), "", VLOOKUP(C1039, 'Info Tipo de Cambio y REM'!$A$24:$B$35, 2, FALSE))</f>
        <v/>
      </c>
      <c r="M1039" s="107" t="str">
        <f t="shared" si="2"/>
        <v/>
      </c>
    </row>
    <row r="1040">
      <c r="A1040" s="102"/>
      <c r="B1040" s="43" t="str">
        <f>IF(A1040="", "", IFERROR(VLOOKUP(A1040, Clasificaciones!A:B, 2, FALSE), "DATO NO CARGADO"))</f>
        <v/>
      </c>
      <c r="C1040" s="51"/>
      <c r="D1040" s="257"/>
      <c r="E1040" s="102"/>
      <c r="F1040" s="103"/>
      <c r="G1040" s="258"/>
      <c r="I1040" s="103"/>
      <c r="K1040" s="71"/>
      <c r="L1040" s="106" t="str">
        <f>IF(ISBLANK(J1040), "", VLOOKUP(C1040, 'Info Tipo de Cambio y REM'!$A$24:$B$35, 2, FALSE))</f>
        <v/>
      </c>
      <c r="M1040" s="107" t="str">
        <f t="shared" si="2"/>
        <v/>
      </c>
    </row>
    <row r="1041">
      <c r="A1041" s="102"/>
      <c r="B1041" s="43" t="str">
        <f>IF(A1041="", "", IFERROR(VLOOKUP(A1041, Clasificaciones!A:B, 2, FALSE), "DATO NO CARGADO"))</f>
        <v/>
      </c>
      <c r="C1041" s="51"/>
      <c r="D1041" s="257"/>
      <c r="E1041" s="102"/>
      <c r="F1041" s="103"/>
      <c r="G1041" s="258"/>
      <c r="I1041" s="103"/>
      <c r="K1041" s="71"/>
      <c r="L1041" s="106" t="str">
        <f>IF(ISBLANK(J1041), "", VLOOKUP(C1041, 'Info Tipo de Cambio y REM'!$A$24:$B$35, 2, FALSE))</f>
        <v/>
      </c>
      <c r="M1041" s="107" t="str">
        <f t="shared" si="2"/>
        <v/>
      </c>
    </row>
    <row r="1042">
      <c r="A1042" s="102"/>
      <c r="B1042" s="43" t="str">
        <f>IF(A1042="", "", IFERROR(VLOOKUP(A1042, Clasificaciones!A:B, 2, FALSE), "DATO NO CARGADO"))</f>
        <v/>
      </c>
      <c r="C1042" s="51"/>
      <c r="D1042" s="257"/>
      <c r="E1042" s="102"/>
      <c r="F1042" s="103"/>
      <c r="G1042" s="258"/>
      <c r="I1042" s="103"/>
      <c r="K1042" s="71"/>
      <c r="L1042" s="106" t="str">
        <f>IF(ISBLANK(J1042), "", VLOOKUP(C1042, 'Info Tipo de Cambio y REM'!$A$24:$B$35, 2, FALSE))</f>
        <v/>
      </c>
      <c r="M1042" s="107" t="str">
        <f t="shared" si="2"/>
        <v/>
      </c>
    </row>
    <row r="1043">
      <c r="A1043" s="102"/>
      <c r="B1043" s="43" t="str">
        <f>IF(A1043="", "", IFERROR(VLOOKUP(A1043, Clasificaciones!A:B, 2, FALSE), "DATO NO CARGADO"))</f>
        <v/>
      </c>
      <c r="C1043" s="51"/>
      <c r="D1043" s="257"/>
      <c r="E1043" s="102"/>
      <c r="F1043" s="103"/>
      <c r="G1043" s="258"/>
      <c r="I1043" s="103"/>
      <c r="K1043" s="71"/>
      <c r="L1043" s="106" t="str">
        <f>IF(ISBLANK(J1043), "", VLOOKUP(C1043, 'Info Tipo de Cambio y REM'!$A$24:$B$35, 2, FALSE))</f>
        <v/>
      </c>
      <c r="M1043" s="107" t="str">
        <f t="shared" si="2"/>
        <v/>
      </c>
    </row>
    <row r="1044">
      <c r="A1044" s="102"/>
      <c r="B1044" s="43" t="str">
        <f>IF(A1044="", "", IFERROR(VLOOKUP(A1044, Clasificaciones!A:B, 2, FALSE), "DATO NO CARGADO"))</f>
        <v/>
      </c>
      <c r="C1044" s="51"/>
      <c r="D1044" s="257"/>
      <c r="E1044" s="102"/>
      <c r="F1044" s="103"/>
      <c r="G1044" s="258"/>
      <c r="I1044" s="103"/>
      <c r="K1044" s="71"/>
      <c r="L1044" s="106" t="str">
        <f>IF(ISBLANK(J1044), "", VLOOKUP(C1044, 'Info Tipo de Cambio y REM'!$A$24:$B$35, 2, FALSE))</f>
        <v/>
      </c>
      <c r="M1044" s="107" t="str">
        <f t="shared" si="2"/>
        <v/>
      </c>
    </row>
    <row r="1045">
      <c r="A1045" s="102"/>
      <c r="B1045" s="43" t="str">
        <f>IF(A1045="", "", IFERROR(VLOOKUP(A1045, Clasificaciones!A:B, 2, FALSE), "DATO NO CARGADO"))</f>
        <v/>
      </c>
      <c r="C1045" s="51"/>
      <c r="D1045" s="257"/>
      <c r="E1045" s="102"/>
      <c r="F1045" s="103"/>
      <c r="G1045" s="258"/>
      <c r="I1045" s="103"/>
      <c r="K1045" s="71"/>
      <c r="L1045" s="106" t="str">
        <f>IF(ISBLANK(J1045), "", VLOOKUP(C1045, 'Info Tipo de Cambio y REM'!$A$24:$B$35, 2, FALSE))</f>
        <v/>
      </c>
      <c r="M1045" s="107" t="str">
        <f t="shared" si="2"/>
        <v/>
      </c>
    </row>
    <row r="1046">
      <c r="A1046" s="102"/>
      <c r="B1046" s="43" t="str">
        <f>IF(A1046="", "", IFERROR(VLOOKUP(A1046, Clasificaciones!A:B, 2, FALSE), "DATO NO CARGADO"))</f>
        <v/>
      </c>
      <c r="C1046" s="51"/>
      <c r="D1046" s="257"/>
      <c r="E1046" s="102"/>
      <c r="F1046" s="103"/>
      <c r="G1046" s="258"/>
      <c r="I1046" s="103"/>
      <c r="K1046" s="71"/>
      <c r="L1046" s="106" t="str">
        <f>IF(ISBLANK(J1046), "", VLOOKUP(C1046, 'Info Tipo de Cambio y REM'!$A$24:$B$35, 2, FALSE))</f>
        <v/>
      </c>
      <c r="M1046" s="107" t="str">
        <f t="shared" si="2"/>
        <v/>
      </c>
    </row>
    <row r="1047">
      <c r="A1047" s="102"/>
      <c r="B1047" s="43" t="str">
        <f>IF(A1047="", "", IFERROR(VLOOKUP(A1047, Clasificaciones!A:B, 2, FALSE), "DATO NO CARGADO"))</f>
        <v/>
      </c>
      <c r="C1047" s="51"/>
      <c r="D1047" s="257"/>
      <c r="E1047" s="102"/>
      <c r="F1047" s="103"/>
      <c r="G1047" s="258"/>
      <c r="I1047" s="103"/>
      <c r="K1047" s="71"/>
      <c r="L1047" s="106" t="str">
        <f>IF(ISBLANK(J1047), "", VLOOKUP(C1047, 'Info Tipo de Cambio y REM'!$A$24:$B$35, 2, FALSE))</f>
        <v/>
      </c>
      <c r="M1047" s="107" t="str">
        <f t="shared" si="2"/>
        <v/>
      </c>
    </row>
    <row r="1048">
      <c r="A1048" s="102"/>
      <c r="B1048" s="43" t="str">
        <f>IF(A1048="", "", IFERROR(VLOOKUP(A1048, Clasificaciones!A:B, 2, FALSE), "DATO NO CARGADO"))</f>
        <v/>
      </c>
      <c r="C1048" s="51"/>
      <c r="D1048" s="257"/>
      <c r="E1048" s="102"/>
      <c r="F1048" s="103"/>
      <c r="G1048" s="258"/>
      <c r="I1048" s="103"/>
      <c r="K1048" s="71"/>
      <c r="L1048" s="106" t="str">
        <f>IF(ISBLANK(J1048), "", VLOOKUP(C1048, 'Info Tipo de Cambio y REM'!$A$24:$B$35, 2, FALSE))</f>
        <v/>
      </c>
      <c r="M1048" s="107" t="str">
        <f t="shared" si="2"/>
        <v/>
      </c>
    </row>
    <row r="1049">
      <c r="A1049" s="102"/>
      <c r="B1049" s="43" t="str">
        <f>IF(A1049="", "", IFERROR(VLOOKUP(A1049, Clasificaciones!A:B, 2, FALSE), "DATO NO CARGADO"))</f>
        <v/>
      </c>
      <c r="C1049" s="51"/>
      <c r="D1049" s="257"/>
      <c r="E1049" s="102"/>
      <c r="F1049" s="103"/>
      <c r="G1049" s="258"/>
      <c r="I1049" s="103"/>
      <c r="K1049" s="71"/>
      <c r="L1049" s="106" t="str">
        <f>IF(ISBLANK(J1049), "", VLOOKUP(C1049, 'Info Tipo de Cambio y REM'!$A$24:$B$35, 2, FALSE))</f>
        <v/>
      </c>
      <c r="M1049" s="107" t="str">
        <f t="shared" si="2"/>
        <v/>
      </c>
    </row>
    <row r="1050">
      <c r="A1050" s="102"/>
      <c r="B1050" s="43" t="str">
        <f>IF(A1050="", "", IFERROR(VLOOKUP(A1050, Clasificaciones!A:B, 2, FALSE), "DATO NO CARGADO"))</f>
        <v/>
      </c>
      <c r="C1050" s="51"/>
      <c r="D1050" s="257"/>
      <c r="E1050" s="102"/>
      <c r="F1050" s="103"/>
      <c r="G1050" s="258"/>
      <c r="I1050" s="103"/>
      <c r="K1050" s="71"/>
      <c r="L1050" s="106" t="str">
        <f>IF(ISBLANK(J1050), "", VLOOKUP(C1050, 'Info Tipo de Cambio y REM'!$A$24:$B$35, 2, FALSE))</f>
        <v/>
      </c>
      <c r="M1050" s="107" t="str">
        <f t="shared" si="2"/>
        <v/>
      </c>
    </row>
    <row r="1051">
      <c r="A1051" s="102"/>
      <c r="B1051" s="43" t="str">
        <f>IF(A1051="", "", IFERROR(VLOOKUP(A1051, Clasificaciones!A:B, 2, FALSE), "DATO NO CARGADO"))</f>
        <v/>
      </c>
      <c r="C1051" s="51"/>
      <c r="D1051" s="257"/>
      <c r="E1051" s="102"/>
      <c r="F1051" s="103"/>
      <c r="G1051" s="258"/>
      <c r="I1051" s="103"/>
      <c r="K1051" s="71"/>
      <c r="L1051" s="106" t="str">
        <f>IF(ISBLANK(J1051), "", VLOOKUP(C1051, 'Info Tipo de Cambio y REM'!$A$24:$B$35, 2, FALSE))</f>
        <v/>
      </c>
      <c r="M1051" s="107" t="str">
        <f t="shared" si="2"/>
        <v/>
      </c>
    </row>
    <row r="1052">
      <c r="A1052" s="102"/>
      <c r="B1052" s="43" t="str">
        <f>IF(A1052="", "", IFERROR(VLOOKUP(A1052, Clasificaciones!A:B, 2, FALSE), "DATO NO CARGADO"))</f>
        <v/>
      </c>
      <c r="C1052" s="51"/>
      <c r="D1052" s="257"/>
      <c r="E1052" s="102"/>
      <c r="F1052" s="103"/>
      <c r="G1052" s="258"/>
      <c r="I1052" s="103"/>
      <c r="K1052" s="71"/>
      <c r="L1052" s="106" t="str">
        <f>IF(ISBLANK(J1052), "", VLOOKUP(C1052, 'Info Tipo de Cambio y REM'!$A$24:$B$35, 2, FALSE))</f>
        <v/>
      </c>
      <c r="M1052" s="107" t="str">
        <f t="shared" si="2"/>
        <v/>
      </c>
    </row>
    <row r="1053">
      <c r="A1053" s="102"/>
      <c r="B1053" s="43" t="str">
        <f>IF(A1053="", "", IFERROR(VLOOKUP(A1053, Clasificaciones!A:B, 2, FALSE), "DATO NO CARGADO"))</f>
        <v/>
      </c>
      <c r="C1053" s="51"/>
      <c r="D1053" s="257"/>
      <c r="E1053" s="102"/>
      <c r="F1053" s="103"/>
      <c r="G1053" s="258"/>
      <c r="I1053" s="103"/>
      <c r="K1053" s="71"/>
      <c r="L1053" s="106" t="str">
        <f>IF(ISBLANK(J1053), "", VLOOKUP(C1053, 'Info Tipo de Cambio y REM'!$A$24:$B$35, 2, FALSE))</f>
        <v/>
      </c>
      <c r="M1053" s="107" t="str">
        <f t="shared" si="2"/>
        <v/>
      </c>
    </row>
    <row r="1054">
      <c r="A1054" s="102"/>
      <c r="B1054" s="43" t="str">
        <f>IF(A1054="", "", IFERROR(VLOOKUP(A1054, Clasificaciones!A:B, 2, FALSE), "DATO NO CARGADO"))</f>
        <v/>
      </c>
      <c r="C1054" s="51"/>
      <c r="D1054" s="257"/>
      <c r="E1054" s="102"/>
      <c r="F1054" s="103"/>
      <c r="G1054" s="258"/>
      <c r="I1054" s="103"/>
      <c r="K1054" s="71"/>
      <c r="L1054" s="106" t="str">
        <f>IF(ISBLANK(J1054), "", VLOOKUP(C1054, 'Info Tipo de Cambio y REM'!$A$24:$B$35, 2, FALSE))</f>
        <v/>
      </c>
      <c r="M1054" s="107" t="str">
        <f t="shared" si="2"/>
        <v/>
      </c>
    </row>
    <row r="1055">
      <c r="A1055" s="102"/>
      <c r="B1055" s="43" t="str">
        <f>IF(A1055="", "", IFERROR(VLOOKUP(A1055, Clasificaciones!A:B, 2, FALSE), "DATO NO CARGADO"))</f>
        <v/>
      </c>
      <c r="C1055" s="51"/>
      <c r="D1055" s="257"/>
      <c r="E1055" s="102"/>
      <c r="F1055" s="103"/>
      <c r="G1055" s="258"/>
      <c r="I1055" s="103"/>
      <c r="K1055" s="71"/>
      <c r="L1055" s="106" t="str">
        <f>IF(ISBLANK(J1055), "", VLOOKUP(C1055, 'Info Tipo de Cambio y REM'!$A$24:$B$35, 2, FALSE))</f>
        <v/>
      </c>
      <c r="M1055" s="107" t="str">
        <f t="shared" si="2"/>
        <v/>
      </c>
    </row>
    <row r="1056">
      <c r="A1056" s="102"/>
      <c r="B1056" s="43" t="str">
        <f>IF(A1056="", "", IFERROR(VLOOKUP(A1056, Clasificaciones!A:B, 2, FALSE), "DATO NO CARGADO"))</f>
        <v/>
      </c>
      <c r="C1056" s="51"/>
      <c r="D1056" s="257"/>
      <c r="E1056" s="102"/>
      <c r="F1056" s="103"/>
      <c r="G1056" s="258"/>
      <c r="I1056" s="103"/>
      <c r="K1056" s="71"/>
      <c r="L1056" s="106" t="str">
        <f>IF(ISBLANK(J1056), "", VLOOKUP(C1056, 'Info Tipo de Cambio y REM'!$A$24:$B$35, 2, FALSE))</f>
        <v/>
      </c>
      <c r="M1056" s="107" t="str">
        <f t="shared" si="2"/>
        <v/>
      </c>
    </row>
    <row r="1057">
      <c r="A1057" s="102"/>
      <c r="B1057" s="43" t="str">
        <f>IF(A1057="", "", IFERROR(VLOOKUP(A1057, Clasificaciones!A:B, 2, FALSE), "DATO NO CARGADO"))</f>
        <v/>
      </c>
      <c r="C1057" s="51"/>
      <c r="D1057" s="257"/>
      <c r="E1057" s="102"/>
      <c r="F1057" s="103"/>
      <c r="G1057" s="258"/>
      <c r="I1057" s="103"/>
      <c r="K1057" s="71"/>
      <c r="L1057" s="106" t="str">
        <f>IF(ISBLANK(J1057), "", VLOOKUP(C1057, 'Info Tipo de Cambio y REM'!$A$24:$B$35, 2, FALSE))</f>
        <v/>
      </c>
      <c r="M1057" s="107" t="str">
        <f t="shared" si="2"/>
        <v/>
      </c>
    </row>
    <row r="1058">
      <c r="A1058" s="102"/>
      <c r="B1058" s="43" t="str">
        <f>IF(A1058="", "", IFERROR(VLOOKUP(A1058, Clasificaciones!A:B, 2, FALSE), "DATO NO CARGADO"))</f>
        <v/>
      </c>
      <c r="C1058" s="51"/>
      <c r="D1058" s="257"/>
      <c r="E1058" s="102"/>
      <c r="F1058" s="103"/>
      <c r="G1058" s="258"/>
      <c r="I1058" s="103"/>
      <c r="K1058" s="71"/>
      <c r="L1058" s="106" t="str">
        <f>IF(ISBLANK(J1058), "", VLOOKUP(C1058, 'Info Tipo de Cambio y REM'!$A$24:$B$35, 2, FALSE))</f>
        <v/>
      </c>
      <c r="M1058" s="107" t="str">
        <f t="shared" si="2"/>
        <v/>
      </c>
    </row>
    <row r="1059">
      <c r="A1059" s="102"/>
      <c r="B1059" s="43" t="str">
        <f>IF(A1059="", "", IFERROR(VLOOKUP(A1059, Clasificaciones!A:B, 2, FALSE), "DATO NO CARGADO"))</f>
        <v/>
      </c>
      <c r="C1059" s="51"/>
      <c r="D1059" s="257"/>
      <c r="E1059" s="102"/>
      <c r="F1059" s="103"/>
      <c r="G1059" s="258"/>
      <c r="I1059" s="103"/>
      <c r="K1059" s="71"/>
      <c r="L1059" s="106" t="str">
        <f>IF(ISBLANK(J1059), "", VLOOKUP(C1059, 'Info Tipo de Cambio y REM'!$A$24:$B$35, 2, FALSE))</f>
        <v/>
      </c>
      <c r="M1059" s="107" t="str">
        <f t="shared" si="2"/>
        <v/>
      </c>
    </row>
    <row r="1060">
      <c r="A1060" s="102"/>
      <c r="B1060" s="43" t="str">
        <f>IF(A1060="", "", IFERROR(VLOOKUP(A1060, Clasificaciones!A:B, 2, FALSE), "DATO NO CARGADO"))</f>
        <v/>
      </c>
      <c r="C1060" s="51"/>
      <c r="D1060" s="257"/>
      <c r="E1060" s="102"/>
      <c r="F1060" s="103"/>
      <c r="G1060" s="258"/>
      <c r="I1060" s="103"/>
      <c r="K1060" s="71"/>
      <c r="L1060" s="106" t="str">
        <f>IF(ISBLANK(J1060), "", VLOOKUP(C1060, 'Info Tipo de Cambio y REM'!$A$24:$B$35, 2, FALSE))</f>
        <v/>
      </c>
      <c r="M1060" s="107" t="str">
        <f t="shared" si="2"/>
        <v/>
      </c>
    </row>
    <row r="1061">
      <c r="A1061" s="102"/>
      <c r="B1061" s="43" t="str">
        <f>IF(A1061="", "", IFERROR(VLOOKUP(A1061, Clasificaciones!A:B, 2, FALSE), "DATO NO CARGADO"))</f>
        <v/>
      </c>
      <c r="C1061" s="51"/>
      <c r="D1061" s="257"/>
      <c r="E1061" s="102"/>
      <c r="F1061" s="103"/>
      <c r="G1061" s="258"/>
      <c r="I1061" s="103"/>
      <c r="K1061" s="71"/>
      <c r="L1061" s="106" t="str">
        <f>IF(ISBLANK(J1061), "", VLOOKUP(C1061, 'Info Tipo de Cambio y REM'!$A$24:$B$35, 2, FALSE))</f>
        <v/>
      </c>
      <c r="M1061" s="107" t="str">
        <f t="shared" si="2"/>
        <v/>
      </c>
    </row>
    <row r="1062">
      <c r="A1062" s="102"/>
      <c r="B1062" s="43" t="str">
        <f>IF(A1062="", "", IFERROR(VLOOKUP(A1062, Clasificaciones!A:B, 2, FALSE), "DATO NO CARGADO"))</f>
        <v/>
      </c>
      <c r="C1062" s="51"/>
      <c r="D1062" s="257"/>
      <c r="E1062" s="102"/>
      <c r="F1062" s="103"/>
      <c r="G1062" s="258"/>
      <c r="I1062" s="103"/>
      <c r="K1062" s="71"/>
      <c r="L1062" s="106" t="str">
        <f>IF(ISBLANK(J1062), "", VLOOKUP(C1062, 'Info Tipo de Cambio y REM'!$A$24:$B$35, 2, FALSE))</f>
        <v/>
      </c>
      <c r="M1062" s="107" t="str">
        <f t="shared" si="2"/>
        <v/>
      </c>
    </row>
    <row r="1063">
      <c r="A1063" s="102"/>
      <c r="B1063" s="43" t="str">
        <f>IF(A1063="", "", IFERROR(VLOOKUP(A1063, Clasificaciones!A:B, 2, FALSE), "DATO NO CARGADO"))</f>
        <v/>
      </c>
      <c r="C1063" s="51"/>
      <c r="D1063" s="257"/>
      <c r="E1063" s="102"/>
      <c r="F1063" s="103"/>
      <c r="G1063" s="258"/>
      <c r="I1063" s="103"/>
      <c r="K1063" s="71"/>
      <c r="L1063" s="106" t="str">
        <f>IF(ISBLANK(J1063), "", VLOOKUP(C1063, 'Info Tipo de Cambio y REM'!$A$24:$B$35, 2, FALSE))</f>
        <v/>
      </c>
      <c r="M1063" s="107" t="str">
        <f t="shared" si="2"/>
        <v/>
      </c>
    </row>
    <row r="1064">
      <c r="A1064" s="102"/>
      <c r="B1064" s="43" t="str">
        <f>IF(A1064="", "", IFERROR(VLOOKUP(A1064, Clasificaciones!A:B, 2, FALSE), "DATO NO CARGADO"))</f>
        <v/>
      </c>
      <c r="C1064" s="51"/>
      <c r="D1064" s="257"/>
      <c r="E1064" s="102"/>
      <c r="F1064" s="103"/>
      <c r="G1064" s="258"/>
      <c r="I1064" s="103"/>
      <c r="K1064" s="71"/>
      <c r="L1064" s="106" t="str">
        <f>IF(ISBLANK(J1064), "", VLOOKUP(C1064, 'Info Tipo de Cambio y REM'!$A$24:$B$35, 2, FALSE))</f>
        <v/>
      </c>
      <c r="M1064" s="107" t="str">
        <f t="shared" si="2"/>
        <v/>
      </c>
    </row>
    <row r="1065">
      <c r="A1065" s="102"/>
      <c r="B1065" s="43" t="str">
        <f>IF(A1065="", "", IFERROR(VLOOKUP(A1065, Clasificaciones!A:B, 2, FALSE), "DATO NO CARGADO"))</f>
        <v/>
      </c>
      <c r="C1065" s="51"/>
      <c r="D1065" s="257"/>
      <c r="E1065" s="102"/>
      <c r="F1065" s="103"/>
      <c r="G1065" s="258"/>
      <c r="I1065" s="103"/>
      <c r="K1065" s="71"/>
      <c r="L1065" s="106" t="str">
        <f>IF(ISBLANK(J1065), "", VLOOKUP(C1065, 'Info Tipo de Cambio y REM'!$A$24:$B$35, 2, FALSE))</f>
        <v/>
      </c>
      <c r="M1065" s="107" t="str">
        <f t="shared" si="2"/>
        <v/>
      </c>
    </row>
    <row r="1066">
      <c r="A1066" s="102"/>
      <c r="B1066" s="43" t="str">
        <f>IF(A1066="", "", IFERROR(VLOOKUP(A1066, Clasificaciones!A:B, 2, FALSE), "DATO NO CARGADO"))</f>
        <v/>
      </c>
      <c r="C1066" s="51"/>
      <c r="D1066" s="257"/>
      <c r="E1066" s="102"/>
      <c r="F1066" s="103"/>
      <c r="G1066" s="258"/>
      <c r="I1066" s="103"/>
      <c r="K1066" s="71"/>
      <c r="L1066" s="106" t="str">
        <f>IF(ISBLANK(J1066), "", VLOOKUP(C1066, 'Info Tipo de Cambio y REM'!$A$24:$B$35, 2, FALSE))</f>
        <v/>
      </c>
      <c r="M1066" s="107" t="str">
        <f t="shared" si="2"/>
        <v/>
      </c>
    </row>
    <row r="1067">
      <c r="A1067" s="102"/>
      <c r="B1067" s="43" t="str">
        <f>IF(A1067="", "", IFERROR(VLOOKUP(A1067, Clasificaciones!A:B, 2, FALSE), "DATO NO CARGADO"))</f>
        <v/>
      </c>
      <c r="C1067" s="51"/>
      <c r="D1067" s="257"/>
      <c r="E1067" s="102"/>
      <c r="F1067" s="103"/>
      <c r="G1067" s="258"/>
      <c r="I1067" s="103"/>
      <c r="K1067" s="71"/>
      <c r="L1067" s="106" t="str">
        <f>IF(ISBLANK(J1067), "", VLOOKUP(C1067, 'Info Tipo de Cambio y REM'!$A$24:$B$35, 2, FALSE))</f>
        <v/>
      </c>
      <c r="M1067" s="107" t="str">
        <f t="shared" si="2"/>
        <v/>
      </c>
    </row>
    <row r="1068">
      <c r="A1068" s="102"/>
      <c r="B1068" s="43" t="str">
        <f>IF(A1068="", "", IFERROR(VLOOKUP(A1068, Clasificaciones!A:B, 2, FALSE), "DATO NO CARGADO"))</f>
        <v/>
      </c>
      <c r="C1068" s="51"/>
      <c r="D1068" s="257"/>
      <c r="E1068" s="102"/>
      <c r="F1068" s="103"/>
      <c r="G1068" s="258"/>
      <c r="I1068" s="103"/>
      <c r="K1068" s="71"/>
      <c r="L1068" s="106" t="str">
        <f>IF(ISBLANK(J1068), "", VLOOKUP(C1068, 'Info Tipo de Cambio y REM'!$A$24:$B$35, 2, FALSE))</f>
        <v/>
      </c>
      <c r="M1068" s="107" t="str">
        <f t="shared" si="2"/>
        <v/>
      </c>
    </row>
    <row r="1069">
      <c r="A1069" s="102"/>
      <c r="B1069" s="43" t="str">
        <f>IF(A1069="", "", IFERROR(VLOOKUP(A1069, Clasificaciones!A:B, 2, FALSE), "DATO NO CARGADO"))</f>
        <v/>
      </c>
      <c r="C1069" s="51"/>
      <c r="D1069" s="257"/>
      <c r="E1069" s="102"/>
      <c r="F1069" s="103"/>
      <c r="G1069" s="258"/>
      <c r="I1069" s="103"/>
      <c r="K1069" s="71"/>
      <c r="L1069" s="106" t="str">
        <f>IF(ISBLANK(J1069), "", VLOOKUP(C1069, 'Info Tipo de Cambio y REM'!$A$24:$B$35, 2, FALSE))</f>
        <v/>
      </c>
      <c r="M1069" s="107" t="str">
        <f t="shared" si="2"/>
        <v/>
      </c>
    </row>
    <row r="1070">
      <c r="A1070" s="102"/>
      <c r="B1070" s="43" t="str">
        <f>IF(A1070="", "", IFERROR(VLOOKUP(A1070, Clasificaciones!A:B, 2, FALSE), "DATO NO CARGADO"))</f>
        <v/>
      </c>
      <c r="C1070" s="51"/>
      <c r="D1070" s="257"/>
      <c r="E1070" s="102"/>
      <c r="F1070" s="103"/>
      <c r="G1070" s="258"/>
      <c r="I1070" s="103"/>
      <c r="K1070" s="71"/>
      <c r="L1070" s="106" t="str">
        <f>IF(ISBLANK(J1070), "", VLOOKUP(C1070, 'Info Tipo de Cambio y REM'!$A$24:$B$35, 2, FALSE))</f>
        <v/>
      </c>
      <c r="M1070" s="107" t="str">
        <f t="shared" si="2"/>
        <v/>
      </c>
    </row>
    <row r="1071">
      <c r="A1071" s="102"/>
      <c r="B1071" s="43" t="str">
        <f>IF(A1071="", "", IFERROR(VLOOKUP(A1071, Clasificaciones!A:B, 2, FALSE), "DATO NO CARGADO"))</f>
        <v/>
      </c>
      <c r="C1071" s="51"/>
      <c r="D1071" s="257"/>
      <c r="E1071" s="102"/>
      <c r="F1071" s="103"/>
      <c r="G1071" s="258"/>
      <c r="I1071" s="103"/>
      <c r="K1071" s="71"/>
      <c r="L1071" s="106" t="str">
        <f>IF(ISBLANK(J1071), "", VLOOKUP(C1071, 'Info Tipo de Cambio y REM'!$A$24:$B$35, 2, FALSE))</f>
        <v/>
      </c>
      <c r="M1071" s="107" t="str">
        <f t="shared" si="2"/>
        <v/>
      </c>
    </row>
    <row r="1072">
      <c r="A1072" s="102"/>
      <c r="B1072" s="43" t="str">
        <f>IF(A1072="", "", IFERROR(VLOOKUP(A1072, Clasificaciones!A:B, 2, FALSE), "DATO NO CARGADO"))</f>
        <v/>
      </c>
      <c r="C1072" s="51"/>
      <c r="D1072" s="257"/>
      <c r="E1072" s="102"/>
      <c r="F1072" s="103"/>
      <c r="G1072" s="258"/>
      <c r="I1072" s="103"/>
      <c r="K1072" s="71"/>
      <c r="L1072" s="106" t="str">
        <f>IF(ISBLANK(J1072), "", VLOOKUP(C1072, 'Info Tipo de Cambio y REM'!$A$24:$B$35, 2, FALSE))</f>
        <v/>
      </c>
      <c r="M1072" s="107" t="str">
        <f t="shared" si="2"/>
        <v/>
      </c>
    </row>
    <row r="1073">
      <c r="A1073" s="102"/>
      <c r="B1073" s="43" t="str">
        <f>IF(A1073="", "", IFERROR(VLOOKUP(A1073, Clasificaciones!A:B, 2, FALSE), "DATO NO CARGADO"))</f>
        <v/>
      </c>
      <c r="C1073" s="51"/>
      <c r="D1073" s="257"/>
      <c r="E1073" s="102"/>
      <c r="F1073" s="103"/>
      <c r="G1073" s="258"/>
      <c r="I1073" s="103"/>
      <c r="K1073" s="71"/>
      <c r="L1073" s="106" t="str">
        <f>IF(ISBLANK(J1073), "", VLOOKUP(C1073, 'Info Tipo de Cambio y REM'!$A$24:$B$35, 2, FALSE))</f>
        <v/>
      </c>
      <c r="M1073" s="107" t="str">
        <f t="shared" si="2"/>
        <v/>
      </c>
    </row>
    <row r="1074">
      <c r="A1074" s="102"/>
      <c r="B1074" s="43" t="str">
        <f>IF(A1074="", "", IFERROR(VLOOKUP(A1074, Clasificaciones!A:B, 2, FALSE), "DATO NO CARGADO"))</f>
        <v/>
      </c>
      <c r="C1074" s="51"/>
      <c r="D1074" s="257"/>
      <c r="E1074" s="102"/>
      <c r="F1074" s="103"/>
      <c r="G1074" s="258"/>
      <c r="I1074" s="103"/>
      <c r="K1074" s="71"/>
      <c r="L1074" s="106" t="str">
        <f>IF(ISBLANK(J1074), "", VLOOKUP(C1074, 'Info Tipo de Cambio y REM'!$A$24:$B$35, 2, FALSE))</f>
        <v/>
      </c>
      <c r="M1074" s="107" t="str">
        <f t="shared" si="2"/>
        <v/>
      </c>
    </row>
    <row r="1075">
      <c r="A1075" s="102"/>
      <c r="B1075" s="43" t="str">
        <f>IF(A1075="", "", IFERROR(VLOOKUP(A1075, Clasificaciones!A:B, 2, FALSE), "DATO NO CARGADO"))</f>
        <v/>
      </c>
      <c r="C1075" s="51"/>
      <c r="D1075" s="257"/>
      <c r="E1075" s="102"/>
      <c r="F1075" s="103"/>
      <c r="G1075" s="258"/>
      <c r="I1075" s="103"/>
      <c r="K1075" s="71"/>
      <c r="L1075" s="106" t="str">
        <f>IF(ISBLANK(J1075), "", VLOOKUP(C1075, 'Info Tipo de Cambio y REM'!$A$24:$B$35, 2, FALSE))</f>
        <v/>
      </c>
      <c r="M1075" s="107" t="str">
        <f t="shared" si="2"/>
        <v/>
      </c>
    </row>
    <row r="1076">
      <c r="A1076" s="102"/>
      <c r="B1076" s="43" t="str">
        <f>IF(A1076="", "", IFERROR(VLOOKUP(A1076, Clasificaciones!A:B, 2, FALSE), "DATO NO CARGADO"))</f>
        <v/>
      </c>
      <c r="C1076" s="51"/>
      <c r="D1076" s="257"/>
      <c r="E1076" s="102"/>
      <c r="F1076" s="103"/>
      <c r="G1076" s="258"/>
      <c r="I1076" s="103"/>
      <c r="K1076" s="71"/>
      <c r="L1076" s="106" t="str">
        <f>IF(ISBLANK(J1076), "", VLOOKUP(C1076, 'Info Tipo de Cambio y REM'!$A$24:$B$35, 2, FALSE))</f>
        <v/>
      </c>
      <c r="M1076" s="107" t="str">
        <f t="shared" si="2"/>
        <v/>
      </c>
    </row>
    <row r="1077">
      <c r="A1077" s="102"/>
      <c r="B1077" s="43" t="str">
        <f>IF(A1077="", "", IFERROR(VLOOKUP(A1077, Clasificaciones!A:B, 2, FALSE), "DATO NO CARGADO"))</f>
        <v/>
      </c>
      <c r="C1077" s="51"/>
      <c r="D1077" s="257"/>
      <c r="E1077" s="102"/>
      <c r="F1077" s="103"/>
      <c r="G1077" s="258"/>
      <c r="I1077" s="103"/>
      <c r="K1077" s="71"/>
      <c r="L1077" s="106" t="str">
        <f>IF(ISBLANK(J1077), "", VLOOKUP(C1077, 'Info Tipo de Cambio y REM'!$A$24:$B$35, 2, FALSE))</f>
        <v/>
      </c>
      <c r="M1077" s="107" t="str">
        <f t="shared" si="2"/>
        <v/>
      </c>
    </row>
    <row r="1078">
      <c r="A1078" s="102"/>
      <c r="B1078" s="43" t="str">
        <f>IF(A1078="", "", IFERROR(VLOOKUP(A1078, Clasificaciones!A:B, 2, FALSE), "DATO NO CARGADO"))</f>
        <v/>
      </c>
      <c r="C1078" s="51"/>
      <c r="D1078" s="257"/>
      <c r="E1078" s="102"/>
      <c r="F1078" s="103"/>
      <c r="G1078" s="258"/>
      <c r="I1078" s="103"/>
      <c r="K1078" s="71"/>
      <c r="L1078" s="106" t="str">
        <f>IF(ISBLANK(J1078), "", VLOOKUP(C1078, 'Info Tipo de Cambio y REM'!$A$24:$B$35, 2, FALSE))</f>
        <v/>
      </c>
      <c r="M1078" s="107" t="str">
        <f t="shared" si="2"/>
        <v/>
      </c>
    </row>
    <row r="1079">
      <c r="A1079" s="102"/>
      <c r="B1079" s="43" t="str">
        <f>IF(A1079="", "", IFERROR(VLOOKUP(A1079, Clasificaciones!A:B, 2, FALSE), "DATO NO CARGADO"))</f>
        <v/>
      </c>
      <c r="C1079" s="51"/>
      <c r="D1079" s="257"/>
      <c r="E1079" s="102"/>
      <c r="F1079" s="103"/>
      <c r="G1079" s="258"/>
      <c r="I1079" s="103"/>
      <c r="K1079" s="71"/>
      <c r="L1079" s="106" t="str">
        <f>IF(ISBLANK(J1079), "", VLOOKUP(C1079, 'Info Tipo de Cambio y REM'!$A$24:$B$35, 2, FALSE))</f>
        <v/>
      </c>
      <c r="M1079" s="107" t="str">
        <f t="shared" si="2"/>
        <v/>
      </c>
    </row>
    <row r="1080">
      <c r="A1080" s="102"/>
      <c r="B1080" s="43" t="str">
        <f>IF(A1080="", "", IFERROR(VLOOKUP(A1080, Clasificaciones!A:B, 2, FALSE), "DATO NO CARGADO"))</f>
        <v/>
      </c>
      <c r="C1080" s="51"/>
      <c r="D1080" s="257"/>
      <c r="E1080" s="102"/>
      <c r="F1080" s="103"/>
      <c r="G1080" s="258"/>
      <c r="I1080" s="103"/>
      <c r="K1080" s="71"/>
      <c r="L1080" s="106" t="str">
        <f>IF(ISBLANK(J1080), "", VLOOKUP(C1080, 'Info Tipo de Cambio y REM'!$A$24:$B$35, 2, FALSE))</f>
        <v/>
      </c>
      <c r="M1080" s="107" t="str">
        <f t="shared" si="2"/>
        <v/>
      </c>
    </row>
    <row r="1081">
      <c r="A1081" s="102"/>
      <c r="B1081" s="43" t="str">
        <f>IF(A1081="", "", IFERROR(VLOOKUP(A1081, Clasificaciones!A:B, 2, FALSE), "DATO NO CARGADO"))</f>
        <v/>
      </c>
      <c r="C1081" s="51"/>
      <c r="D1081" s="257"/>
      <c r="E1081" s="102"/>
      <c r="F1081" s="103"/>
      <c r="G1081" s="258"/>
      <c r="I1081" s="103"/>
      <c r="K1081" s="71"/>
      <c r="L1081" s="106" t="str">
        <f>IF(ISBLANK(J1081), "", VLOOKUP(C1081, 'Info Tipo de Cambio y REM'!$A$24:$B$35, 2, FALSE))</f>
        <v/>
      </c>
      <c r="M1081" s="107" t="str">
        <f t="shared" si="2"/>
        <v/>
      </c>
    </row>
    <row r="1082">
      <c r="A1082" s="102"/>
      <c r="B1082" s="43" t="str">
        <f>IF(A1082="", "", IFERROR(VLOOKUP(A1082, Clasificaciones!A:B, 2, FALSE), "DATO NO CARGADO"))</f>
        <v/>
      </c>
      <c r="C1082" s="51"/>
      <c r="D1082" s="257"/>
      <c r="E1082" s="102"/>
      <c r="F1082" s="103"/>
      <c r="G1082" s="258"/>
      <c r="I1082" s="103"/>
      <c r="K1082" s="71"/>
      <c r="L1082" s="106" t="str">
        <f>IF(ISBLANK(J1082), "", VLOOKUP(C1082, 'Info Tipo de Cambio y REM'!$A$24:$B$35, 2, FALSE))</f>
        <v/>
      </c>
      <c r="M1082" s="107" t="str">
        <f t="shared" si="2"/>
        <v/>
      </c>
    </row>
    <row r="1083">
      <c r="A1083" s="102"/>
      <c r="B1083" s="43" t="str">
        <f>IF(A1083="", "", IFERROR(VLOOKUP(A1083, Clasificaciones!A:B, 2, FALSE), "DATO NO CARGADO"))</f>
        <v/>
      </c>
      <c r="C1083" s="51"/>
      <c r="D1083" s="257"/>
      <c r="E1083" s="102"/>
      <c r="F1083" s="103"/>
      <c r="G1083" s="258"/>
      <c r="I1083" s="103"/>
      <c r="K1083" s="71"/>
      <c r="L1083" s="106" t="str">
        <f>IF(ISBLANK(J1083), "", VLOOKUP(C1083, 'Info Tipo de Cambio y REM'!$A$24:$B$35, 2, FALSE))</f>
        <v/>
      </c>
      <c r="M1083" s="107" t="str">
        <f t="shared" si="2"/>
        <v/>
      </c>
    </row>
    <row r="1084">
      <c r="A1084" s="102"/>
      <c r="B1084" s="43" t="str">
        <f>IF(A1084="", "", IFERROR(VLOOKUP(A1084, Clasificaciones!A:B, 2, FALSE), "DATO NO CARGADO"))</f>
        <v/>
      </c>
      <c r="C1084" s="51"/>
      <c r="D1084" s="257"/>
      <c r="E1084" s="102"/>
      <c r="F1084" s="103"/>
      <c r="G1084" s="258"/>
      <c r="I1084" s="103"/>
      <c r="K1084" s="71"/>
      <c r="L1084" s="106" t="str">
        <f>IF(ISBLANK(J1084), "", VLOOKUP(C1084, 'Info Tipo de Cambio y REM'!$A$24:$B$35, 2, FALSE))</f>
        <v/>
      </c>
      <c r="M1084" s="107" t="str">
        <f t="shared" si="2"/>
        <v/>
      </c>
    </row>
    <row r="1085">
      <c r="A1085" s="102"/>
      <c r="B1085" s="43" t="str">
        <f>IF(A1085="", "", IFERROR(VLOOKUP(A1085, Clasificaciones!A:B, 2, FALSE), "DATO NO CARGADO"))</f>
        <v/>
      </c>
      <c r="C1085" s="51"/>
      <c r="D1085" s="257"/>
      <c r="E1085" s="102"/>
      <c r="F1085" s="103"/>
      <c r="G1085" s="258"/>
      <c r="I1085" s="103"/>
      <c r="K1085" s="71"/>
      <c r="L1085" s="106" t="str">
        <f>IF(ISBLANK(J1085), "", VLOOKUP(C1085, 'Info Tipo de Cambio y REM'!$A$24:$B$35, 2, FALSE))</f>
        <v/>
      </c>
      <c r="M1085" s="107" t="str">
        <f t="shared" si="2"/>
        <v/>
      </c>
    </row>
    <row r="1086">
      <c r="A1086" s="102"/>
      <c r="B1086" s="43" t="str">
        <f>IF(A1086="", "", IFERROR(VLOOKUP(A1086, Clasificaciones!A:B, 2, FALSE), "DATO NO CARGADO"))</f>
        <v/>
      </c>
      <c r="C1086" s="51"/>
      <c r="D1086" s="257"/>
      <c r="E1086" s="102"/>
      <c r="F1086" s="103"/>
      <c r="G1086" s="258"/>
      <c r="I1086" s="103"/>
      <c r="K1086" s="71"/>
      <c r="L1086" s="106" t="str">
        <f>IF(ISBLANK(J1086), "", VLOOKUP(C1086, 'Info Tipo de Cambio y REM'!$A$24:$B$35, 2, FALSE))</f>
        <v/>
      </c>
      <c r="M1086" s="107" t="str">
        <f t="shared" si="2"/>
        <v/>
      </c>
    </row>
    <row r="1087">
      <c r="A1087" s="102"/>
      <c r="B1087" s="43" t="str">
        <f>IF(A1087="", "", IFERROR(VLOOKUP(A1087, Clasificaciones!A:B, 2, FALSE), "DATO NO CARGADO"))</f>
        <v/>
      </c>
      <c r="C1087" s="51"/>
      <c r="D1087" s="257"/>
      <c r="E1087" s="102"/>
      <c r="F1087" s="103"/>
      <c r="G1087" s="258"/>
      <c r="I1087" s="103"/>
      <c r="K1087" s="71"/>
      <c r="L1087" s="106" t="str">
        <f>IF(ISBLANK(J1087), "", VLOOKUP(C1087, 'Info Tipo de Cambio y REM'!$A$24:$B$35, 2, FALSE))</f>
        <v/>
      </c>
      <c r="M1087" s="107" t="str">
        <f t="shared" si="2"/>
        <v/>
      </c>
    </row>
    <row r="1088">
      <c r="A1088" s="102"/>
      <c r="B1088" s="43" t="str">
        <f>IF(A1088="", "", IFERROR(VLOOKUP(A1088, Clasificaciones!A:B, 2, FALSE), "DATO NO CARGADO"))</f>
        <v/>
      </c>
      <c r="C1088" s="51"/>
      <c r="D1088" s="257"/>
      <c r="E1088" s="102"/>
      <c r="F1088" s="103"/>
      <c r="G1088" s="258"/>
      <c r="I1088" s="103"/>
      <c r="K1088" s="71"/>
      <c r="L1088" s="106" t="str">
        <f>IF(ISBLANK(J1088), "", VLOOKUP(C1088, 'Info Tipo de Cambio y REM'!$A$24:$B$35, 2, FALSE))</f>
        <v/>
      </c>
      <c r="M1088" s="107" t="str">
        <f t="shared" si="2"/>
        <v/>
      </c>
    </row>
    <row r="1089">
      <c r="A1089" s="102"/>
      <c r="B1089" s="43" t="str">
        <f>IF(A1089="", "", IFERROR(VLOOKUP(A1089, Clasificaciones!A:B, 2, FALSE), "DATO NO CARGADO"))</f>
        <v/>
      </c>
      <c r="C1089" s="51"/>
      <c r="D1089" s="257"/>
      <c r="E1089" s="102"/>
      <c r="F1089" s="103"/>
      <c r="G1089" s="258"/>
      <c r="I1089" s="103"/>
      <c r="K1089" s="71"/>
      <c r="L1089" s="106" t="str">
        <f>IF(ISBLANK(J1089), "", VLOOKUP(C1089, 'Info Tipo de Cambio y REM'!$A$24:$B$35, 2, FALSE))</f>
        <v/>
      </c>
      <c r="M1089" s="107" t="str">
        <f t="shared" si="2"/>
        <v/>
      </c>
    </row>
    <row r="1090">
      <c r="A1090" s="102"/>
      <c r="B1090" s="43" t="str">
        <f>IF(A1090="", "", IFERROR(VLOOKUP(A1090, Clasificaciones!A:B, 2, FALSE), "DATO NO CARGADO"))</f>
        <v/>
      </c>
      <c r="C1090" s="51"/>
      <c r="D1090" s="257"/>
      <c r="E1090" s="102"/>
      <c r="F1090" s="103"/>
      <c r="G1090" s="258"/>
      <c r="I1090" s="103"/>
      <c r="K1090" s="71"/>
      <c r="L1090" s="106" t="str">
        <f>IF(ISBLANK(J1090), "", VLOOKUP(C1090, 'Info Tipo de Cambio y REM'!$A$24:$B$35, 2, FALSE))</f>
        <v/>
      </c>
      <c r="M1090" s="107" t="str">
        <f t="shared" si="2"/>
        <v/>
      </c>
    </row>
    <row r="1091">
      <c r="A1091" s="102"/>
      <c r="B1091" s="43" t="str">
        <f>IF(A1091="", "", IFERROR(VLOOKUP(A1091, Clasificaciones!A:B, 2, FALSE), "DATO NO CARGADO"))</f>
        <v/>
      </c>
      <c r="C1091" s="51"/>
      <c r="D1091" s="257"/>
      <c r="E1091" s="102"/>
      <c r="F1091" s="103"/>
      <c r="G1091" s="258"/>
      <c r="I1091" s="103"/>
      <c r="K1091" s="71"/>
      <c r="L1091" s="106" t="str">
        <f>IF(ISBLANK(J1091), "", VLOOKUP(C1091, 'Info Tipo de Cambio y REM'!$A$24:$B$35, 2, FALSE))</f>
        <v/>
      </c>
      <c r="M1091" s="107" t="str">
        <f t="shared" si="2"/>
        <v/>
      </c>
    </row>
    <row r="1092">
      <c r="A1092" s="102"/>
      <c r="B1092" s="43" t="str">
        <f>IF(A1092="", "", IFERROR(VLOOKUP(A1092, Clasificaciones!A:B, 2, FALSE), "DATO NO CARGADO"))</f>
        <v/>
      </c>
      <c r="C1092" s="51"/>
      <c r="D1092" s="257"/>
      <c r="E1092" s="102"/>
      <c r="F1092" s="103"/>
      <c r="G1092" s="258"/>
      <c r="I1092" s="103"/>
      <c r="K1092" s="71"/>
      <c r="L1092" s="106" t="str">
        <f>IF(ISBLANK(J1092), "", VLOOKUP(C1092, 'Info Tipo de Cambio y REM'!$A$24:$B$35, 2, FALSE))</f>
        <v/>
      </c>
      <c r="M1092" s="107" t="str">
        <f t="shared" si="2"/>
        <v/>
      </c>
    </row>
    <row r="1093">
      <c r="A1093" s="102"/>
      <c r="B1093" s="43" t="str">
        <f>IF(A1093="", "", IFERROR(VLOOKUP(A1093, Clasificaciones!A:B, 2, FALSE), "DATO NO CARGADO"))</f>
        <v/>
      </c>
      <c r="C1093" s="51"/>
      <c r="D1093" s="257"/>
      <c r="E1093" s="102"/>
      <c r="F1093" s="103"/>
      <c r="G1093" s="258"/>
      <c r="I1093" s="103"/>
      <c r="K1093" s="71"/>
      <c r="L1093" s="106" t="str">
        <f>IF(ISBLANK(J1093), "", VLOOKUP(C1093, 'Info Tipo de Cambio y REM'!$A$24:$B$35, 2, FALSE))</f>
        <v/>
      </c>
      <c r="M1093" s="107" t="str">
        <f t="shared" si="2"/>
        <v/>
      </c>
    </row>
    <row r="1094">
      <c r="A1094" s="102"/>
      <c r="B1094" s="43" t="str">
        <f>IF(A1094="", "", IFERROR(VLOOKUP(A1094, Clasificaciones!A:B, 2, FALSE), "DATO NO CARGADO"))</f>
        <v/>
      </c>
      <c r="C1094" s="51"/>
      <c r="D1094" s="257"/>
      <c r="E1094" s="102"/>
      <c r="F1094" s="103"/>
      <c r="G1094" s="258"/>
      <c r="I1094" s="103"/>
      <c r="K1094" s="71"/>
      <c r="L1094" s="106" t="str">
        <f>IF(ISBLANK(J1094), "", VLOOKUP(C1094, 'Info Tipo de Cambio y REM'!$A$24:$B$35, 2, FALSE))</f>
        <v/>
      </c>
      <c r="M1094" s="107" t="str">
        <f t="shared" si="2"/>
        <v/>
      </c>
    </row>
    <row r="1095">
      <c r="A1095" s="102"/>
      <c r="B1095" s="43" t="str">
        <f>IF(A1095="", "", IFERROR(VLOOKUP(A1095, Clasificaciones!A:B, 2, FALSE), "DATO NO CARGADO"))</f>
        <v/>
      </c>
      <c r="C1095" s="51"/>
      <c r="D1095" s="257"/>
      <c r="E1095" s="102"/>
      <c r="F1095" s="103"/>
      <c r="G1095" s="258"/>
      <c r="I1095" s="103"/>
      <c r="K1095" s="71"/>
      <c r="L1095" s="106" t="str">
        <f>IF(ISBLANK(J1095), "", VLOOKUP(C1095, 'Info Tipo de Cambio y REM'!$A$24:$B$35, 2, FALSE))</f>
        <v/>
      </c>
      <c r="M1095" s="107" t="str">
        <f t="shared" si="2"/>
        <v/>
      </c>
    </row>
  </sheetData>
  <autoFilter ref="$A$1:$M$63">
    <filterColumn colId="2">
      <filters>
        <filter val="07 jul"/>
      </filters>
    </filterColumn>
  </autoFilter>
  <conditionalFormatting sqref="F2:F147 I2:I147 I161:I164 F165:F170 H165:H169 I170:I209 F174:F209 H218:H219 I220:I286 F222:F286 H222:H224 F292:F1095 I292:I1095">
    <cfRule type="expression" dxfId="0" priority="1">
      <formula>AND(F2&lt;=TODAY(), F2&lt;&gt;"")</formula>
    </cfRule>
  </conditionalFormatting>
  <conditionalFormatting sqref="F2:F147 I2:I147 I161:I164 F165:F170 H165:H169 I170:I209 F174:F209 H218:H219 I220:I286 F222:F286 H222:H224 F292:F1095 I292:I1095">
    <cfRule type="expression" dxfId="1" priority="2">
      <formula>AND(F2&gt;TODAY(), F2&lt;&gt;"")</formula>
    </cfRule>
  </conditionalFormatting>
  <dataValidations>
    <dataValidation type="list" allowBlank="1" showErrorMessage="1" sqref="C2:C1095">
      <formula1>Listas!$H$3:$H$14</formula1>
    </dataValidation>
    <dataValidation type="list" allowBlank="1" showErrorMessage="1" sqref="E2:E1095">
      <formula1>"Pagado,Pagado Parcial,No Pagado"</formula1>
    </dataValidation>
    <dataValidation type="list" allowBlank="1" showErrorMessage="1" sqref="B2:B1095">
      <formula1>Listas!$E$3:$E$386</formula1>
    </dataValidation>
    <dataValidation type="list" allowBlank="1" showErrorMessage="1" sqref="D2:D1095">
      <formula1>"2025,2026,2027,2028"</formula1>
    </dataValidation>
    <dataValidation type="list" allowBlank="1" showErrorMessage="1" sqref="A2:A1095">
      <formula1>Listas!$D$3:$D$86</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3" max="3" width="24.13"/>
    <col customWidth="1" min="4" max="4" width="19.88"/>
    <col customWidth="1" min="5" max="5" width="15.75"/>
  </cols>
  <sheetData>
    <row r="1">
      <c r="A1" s="432" t="s">
        <v>116</v>
      </c>
      <c r="B1" s="433" t="s">
        <v>275</v>
      </c>
      <c r="C1" s="10" t="s">
        <v>109</v>
      </c>
      <c r="D1" s="434" t="s">
        <v>110</v>
      </c>
      <c r="E1" s="435" t="s">
        <v>286</v>
      </c>
    </row>
    <row r="2">
      <c r="A2" s="412" t="s">
        <v>123</v>
      </c>
      <c r="B2" s="414">
        <v>2025.0</v>
      </c>
      <c r="C2" s="414" t="s">
        <v>130</v>
      </c>
      <c r="D2" s="414" t="s">
        <v>118</v>
      </c>
      <c r="E2" s="436">
        <f>SUMIFS(Activo!Q:Q,Activo!D:D,A2,Activo!E:E,2025,Activo!A:A,C2)</f>
        <v>6735.748361</v>
      </c>
    </row>
    <row r="3">
      <c r="A3" s="412" t="s">
        <v>123</v>
      </c>
      <c r="B3" s="414">
        <v>2025.0</v>
      </c>
      <c r="C3" s="414" t="s">
        <v>144</v>
      </c>
      <c r="D3" s="414" t="s">
        <v>118</v>
      </c>
      <c r="E3" s="436">
        <f>SUMIFS(Activo!Q:Q,Activo!D:D,A3,Activo!E:E,2025,Activo!A:A,C3)</f>
        <v>-2840</v>
      </c>
    </row>
    <row r="4">
      <c r="A4" s="412" t="s">
        <v>123</v>
      </c>
      <c r="B4" s="414">
        <v>2025.0</v>
      </c>
      <c r="C4" s="414" t="s">
        <v>150</v>
      </c>
      <c r="D4" s="414" t="s">
        <v>118</v>
      </c>
      <c r="E4" s="436">
        <f>SUMIFS(Activo!Q:Q,Activo!D:D,A4,Activo!E:E,2025,Activo!A:A,C4)</f>
        <v>230</v>
      </c>
    </row>
    <row r="5">
      <c r="A5" s="437" t="s">
        <v>123</v>
      </c>
      <c r="B5" s="438">
        <v>2025.0</v>
      </c>
      <c r="C5" s="438" t="s">
        <v>167</v>
      </c>
      <c r="D5" s="438" t="s">
        <v>125</v>
      </c>
      <c r="E5" s="439">
        <f>SUMIFS(Activo!Q:Q,Activo!D:D,A5,Activo!E:E,2025,Activo!A:A,C5)</f>
        <v>9200</v>
      </c>
    </row>
    <row r="6">
      <c r="A6" s="392" t="s">
        <v>123</v>
      </c>
      <c r="B6" s="394">
        <v>2025.0</v>
      </c>
      <c r="C6" s="394" t="s">
        <v>131</v>
      </c>
      <c r="D6" s="394" t="s">
        <v>1106</v>
      </c>
      <c r="E6" s="440">
        <f>'Resumen Ejecutivo'!F2</f>
        <v>57493.58525</v>
      </c>
    </row>
    <row r="7">
      <c r="A7" s="412" t="s">
        <v>129</v>
      </c>
      <c r="B7" s="414">
        <v>2025.0</v>
      </c>
      <c r="C7" s="414" t="s">
        <v>130</v>
      </c>
      <c r="D7" s="414" t="s">
        <v>118</v>
      </c>
      <c r="E7" s="436">
        <f>SUMIFS(Activo!Q:Q,Activo!D:D,A7,Activo!E:E,2025,Activo!A:A,C7)</f>
        <v>23.87560976</v>
      </c>
    </row>
    <row r="8">
      <c r="A8" s="412" t="s">
        <v>129</v>
      </c>
      <c r="B8" s="414">
        <v>2025.0</v>
      </c>
      <c r="C8" s="414" t="s">
        <v>144</v>
      </c>
      <c r="D8" s="414" t="s">
        <v>118</v>
      </c>
      <c r="E8" s="436">
        <f>SUMIFS(Activo!Q:Q,Activo!D:D,A8,Activo!E:E,2025,Activo!A:A,C8)</f>
        <v>-7604</v>
      </c>
    </row>
    <row r="9">
      <c r="A9" s="412" t="s">
        <v>129</v>
      </c>
      <c r="B9" s="414">
        <v>2025.0</v>
      </c>
      <c r="C9" s="414" t="s">
        <v>150</v>
      </c>
      <c r="D9" s="414" t="s">
        <v>118</v>
      </c>
      <c r="E9" s="436">
        <f>SUMIFS(Activo!Q:Q,Activo!D:D,A9,Activo!E:E,2025,Activo!A:A,C9)</f>
        <v>230</v>
      </c>
    </row>
    <row r="10">
      <c r="A10" s="437" t="s">
        <v>129</v>
      </c>
      <c r="B10" s="438">
        <v>2025.0</v>
      </c>
      <c r="C10" s="438" t="s">
        <v>167</v>
      </c>
      <c r="D10" s="438" t="s">
        <v>125</v>
      </c>
      <c r="E10" s="439">
        <f>SUMIFS(Activo!Q:Q,Activo!D:D,A10,Activo!E:E,2025,Activo!A:A,C10)</f>
        <v>6983</v>
      </c>
    </row>
    <row r="11">
      <c r="A11" s="392" t="s">
        <v>129</v>
      </c>
      <c r="B11" s="394">
        <v>2025.0</v>
      </c>
      <c r="C11" s="394" t="s">
        <v>131</v>
      </c>
      <c r="D11" s="394" t="s">
        <v>1106</v>
      </c>
      <c r="E11" s="440">
        <f>'Resumen Ejecutivo'!F3</f>
        <v>49865.42602</v>
      </c>
    </row>
    <row r="12">
      <c r="A12" s="412" t="s">
        <v>136</v>
      </c>
      <c r="B12" s="414">
        <v>2025.0</v>
      </c>
      <c r="C12" s="414" t="s">
        <v>130</v>
      </c>
      <c r="D12" s="414" t="s">
        <v>118</v>
      </c>
      <c r="E12" s="436">
        <f>SUMIFS(Activo!Q:Q,Activo!D:D,A12,Activo!E:E,2025,Activo!A:A,C12)</f>
        <v>-324.5086792</v>
      </c>
    </row>
    <row r="13">
      <c r="A13" s="412" t="s">
        <v>136</v>
      </c>
      <c r="B13" s="414">
        <v>2025.0</v>
      </c>
      <c r="C13" s="414" t="s">
        <v>144</v>
      </c>
      <c r="D13" s="414" t="s">
        <v>118</v>
      </c>
      <c r="E13" s="436">
        <f>SUMIFS(Activo!Q:Q,Activo!D:D,A13,Activo!E:E,2025,Activo!A:A,C13)</f>
        <v>-26706</v>
      </c>
    </row>
    <row r="14">
      <c r="A14" s="412" t="s">
        <v>136</v>
      </c>
      <c r="B14" s="414">
        <v>2025.0</v>
      </c>
      <c r="C14" s="414" t="s">
        <v>150</v>
      </c>
      <c r="D14" s="414" t="s">
        <v>118</v>
      </c>
      <c r="E14" s="436">
        <f>SUMIFS(Activo!Q:Q,Activo!D:D,A14,Activo!E:E,2025,Activo!A:A,C14)</f>
        <v>230</v>
      </c>
    </row>
    <row r="15">
      <c r="A15" s="437" t="s">
        <v>136</v>
      </c>
      <c r="B15" s="438">
        <v>2025.0</v>
      </c>
      <c r="C15" s="438" t="s">
        <v>167</v>
      </c>
      <c r="D15" s="438" t="s">
        <v>125</v>
      </c>
      <c r="E15" s="439">
        <f>SUMIFS(Activo!Q:Q,Activo!D:D,A15,Activo!E:E,2025,Activo!A:A,C15)</f>
        <v>2499</v>
      </c>
    </row>
    <row r="16">
      <c r="A16" s="392" t="s">
        <v>136</v>
      </c>
      <c r="B16" s="394">
        <v>2025.0</v>
      </c>
      <c r="C16" s="394" t="s">
        <v>131</v>
      </c>
      <c r="D16" s="394" t="s">
        <v>131</v>
      </c>
      <c r="E16" s="440">
        <f>'Resumen Ejecutivo'!F4</f>
        <v>66425.15245</v>
      </c>
    </row>
    <row r="17">
      <c r="A17" s="412" t="s">
        <v>143</v>
      </c>
      <c r="B17" s="414">
        <v>2025.0</v>
      </c>
      <c r="C17" s="414" t="s">
        <v>130</v>
      </c>
      <c r="D17" s="414" t="s">
        <v>118</v>
      </c>
      <c r="E17" s="436">
        <f>SUMIFS(Activo!Q:Q,Activo!D:D,A17,Activo!E:E,2025,Activo!A:A,C17)</f>
        <v>4527.461603</v>
      </c>
    </row>
    <row r="18">
      <c r="A18" s="412" t="s">
        <v>143</v>
      </c>
      <c r="B18" s="414">
        <v>2025.0</v>
      </c>
      <c r="C18" s="414" t="s">
        <v>144</v>
      </c>
      <c r="D18" s="414" t="s">
        <v>118</v>
      </c>
      <c r="E18" s="436">
        <f>SUMIFS(Activo!Q:Q,Activo!D:D,A18,Activo!E:E,2025,Activo!A:A,C18)</f>
        <v>-27709</v>
      </c>
    </row>
    <row r="19">
      <c r="A19" s="412" t="s">
        <v>143</v>
      </c>
      <c r="B19" s="414">
        <v>2025.0</v>
      </c>
      <c r="C19" s="414" t="s">
        <v>150</v>
      </c>
      <c r="D19" s="414" t="s">
        <v>118</v>
      </c>
      <c r="E19" s="436">
        <f>SUMIFS(Activo!Q:Q,Activo!D:D,A19,Activo!E:E,2025,Activo!A:A,C19)</f>
        <v>230</v>
      </c>
    </row>
    <row r="20">
      <c r="A20" s="437" t="s">
        <v>143</v>
      </c>
      <c r="B20" s="438">
        <v>2025.0</v>
      </c>
      <c r="C20" s="438" t="s">
        <v>167</v>
      </c>
      <c r="D20" s="438" t="s">
        <v>125</v>
      </c>
      <c r="E20" s="439">
        <f>SUMIFS(Activo!Q:Q,Activo!D:D,A20,Activo!E:E,2025,Activo!A:A,C20)</f>
        <v>2517</v>
      </c>
    </row>
    <row r="21">
      <c r="A21" s="392" t="s">
        <v>143</v>
      </c>
      <c r="B21" s="394">
        <v>2025.0</v>
      </c>
      <c r="C21" s="394" t="s">
        <v>131</v>
      </c>
      <c r="D21" s="394" t="s">
        <v>131</v>
      </c>
      <c r="E21" s="440">
        <f>'Resumen Ejecutivo'!F5</f>
        <v>51546.26751</v>
      </c>
    </row>
    <row r="22">
      <c r="A22" s="412" t="s">
        <v>149</v>
      </c>
      <c r="B22" s="414">
        <v>2025.0</v>
      </c>
      <c r="C22" s="414" t="s">
        <v>130</v>
      </c>
      <c r="D22" s="414" t="s">
        <v>118</v>
      </c>
      <c r="E22" s="436">
        <f>SUMIFS(Activo!Q:Q,Activo!D:D,A22,Activo!E:E,2025,Activo!A:A,C22)</f>
        <v>6628.866102</v>
      </c>
    </row>
    <row r="23">
      <c r="A23" s="412" t="s">
        <v>149</v>
      </c>
      <c r="B23" s="414">
        <v>2025.0</v>
      </c>
      <c r="C23" s="414" t="s">
        <v>144</v>
      </c>
      <c r="D23" s="414" t="s">
        <v>118</v>
      </c>
      <c r="E23" s="436">
        <f>SUMIFS(Activo!Q:Q,Activo!D:D,A23,Activo!E:E,2025,Activo!A:A,C23)</f>
        <v>-49062</v>
      </c>
    </row>
    <row r="24">
      <c r="A24" s="412" t="s">
        <v>149</v>
      </c>
      <c r="B24" s="414">
        <v>2025.0</v>
      </c>
      <c r="C24" s="414" t="s">
        <v>150</v>
      </c>
      <c r="D24" s="414" t="s">
        <v>118</v>
      </c>
      <c r="E24" s="436">
        <f>SUMIFS(Activo!Q:Q,Activo!D:D,A24,Activo!E:E,2025,Activo!A:A,C24)</f>
        <v>0</v>
      </c>
    </row>
    <row r="25">
      <c r="A25" s="437" t="s">
        <v>149</v>
      </c>
      <c r="B25" s="438">
        <v>2025.0</v>
      </c>
      <c r="C25" s="438" t="s">
        <v>167</v>
      </c>
      <c r="D25" s="438" t="s">
        <v>125</v>
      </c>
      <c r="E25" s="439">
        <f>SUMIFS(Activo!Q:Q,Activo!D:D,A25,Activo!E:E,2025,Activo!A:A,C25)</f>
        <v>2682</v>
      </c>
    </row>
    <row r="26">
      <c r="A26" s="392" t="s">
        <v>149</v>
      </c>
      <c r="B26" s="394">
        <v>2025.0</v>
      </c>
      <c r="C26" s="394" t="s">
        <v>131</v>
      </c>
      <c r="D26" s="394" t="s">
        <v>131</v>
      </c>
      <c r="E26" s="440">
        <f>'Resumen Ejecutivo'!F6</f>
        <v>38336.03364</v>
      </c>
    </row>
    <row r="27">
      <c r="A27" s="412" t="s">
        <v>155</v>
      </c>
      <c r="B27" s="414">
        <v>2025.0</v>
      </c>
      <c r="C27" s="414" t="s">
        <v>130</v>
      </c>
      <c r="D27" s="414" t="s">
        <v>118</v>
      </c>
      <c r="E27" s="436">
        <f>SUMIFS(Activo!Q:Q,Activo!D:D,A27,Activo!E:E,2025,Activo!A:A,C27)</f>
        <v>2825.028807</v>
      </c>
    </row>
    <row r="28">
      <c r="A28" s="412" t="s">
        <v>155</v>
      </c>
      <c r="B28" s="414">
        <v>2025.0</v>
      </c>
      <c r="C28" s="414" t="s">
        <v>144</v>
      </c>
      <c r="D28" s="414" t="s">
        <v>118</v>
      </c>
      <c r="E28" s="436">
        <f>SUMIFS(Activo!Q:Q,Activo!D:D,A28,Activo!E:E,2025,Activo!A:A,C28)</f>
        <v>-91979</v>
      </c>
    </row>
    <row r="29">
      <c r="A29" s="412" t="s">
        <v>155</v>
      </c>
      <c r="B29" s="414">
        <v>2025.0</v>
      </c>
      <c r="C29" s="414" t="s">
        <v>150</v>
      </c>
      <c r="D29" s="414" t="s">
        <v>118</v>
      </c>
      <c r="E29" s="436">
        <f>SUMIFS(Activo!Q:Q,Activo!D:D,A29,Activo!E:E,2025,Activo!A:A,C29)</f>
        <v>230</v>
      </c>
    </row>
    <row r="30">
      <c r="A30" s="437" t="s">
        <v>155</v>
      </c>
      <c r="B30" s="438">
        <v>2025.0</v>
      </c>
      <c r="C30" s="438" t="s">
        <v>167</v>
      </c>
      <c r="D30" s="438" t="s">
        <v>125</v>
      </c>
      <c r="E30" s="439">
        <f>SUMIFS(Activo!Q:Q,Activo!D:D,A30,Activo!E:E,2025,Activo!A:A,C30)</f>
        <v>2682</v>
      </c>
    </row>
    <row r="31">
      <c r="A31" s="392" t="s">
        <v>155</v>
      </c>
      <c r="B31" s="394">
        <v>2025.0</v>
      </c>
      <c r="C31" s="394" t="s">
        <v>131</v>
      </c>
      <c r="D31" s="394" t="s">
        <v>131</v>
      </c>
      <c r="E31" s="440">
        <f>'Resumen Ejecutivo'!F7</f>
        <v>45945.78354</v>
      </c>
    </row>
    <row r="32">
      <c r="A32" s="412" t="s">
        <v>161</v>
      </c>
      <c r="B32" s="414">
        <v>2025.0</v>
      </c>
      <c r="C32" s="414" t="s">
        <v>130</v>
      </c>
      <c r="D32" s="414" t="s">
        <v>118</v>
      </c>
      <c r="E32" s="436">
        <f>SUMIFS(Activo!Q:Q,Activo!D:D,A32,Activo!E:E,2025,Activo!A:A,C32)</f>
        <v>-439.3810606</v>
      </c>
    </row>
    <row r="33">
      <c r="A33" s="412" t="s">
        <v>161</v>
      </c>
      <c r="B33" s="414">
        <v>2025.0</v>
      </c>
      <c r="C33" s="414" t="s">
        <v>144</v>
      </c>
      <c r="D33" s="414" t="s">
        <v>118</v>
      </c>
      <c r="E33" s="436">
        <f>SUMIFS(Activo!Q:Q,Activo!D:D,A33,Activo!E:E,2025,Activo!A:A,C33)</f>
        <v>-68302</v>
      </c>
    </row>
    <row r="34">
      <c r="A34" s="412" t="s">
        <v>161</v>
      </c>
      <c r="B34" s="414">
        <v>2025.0</v>
      </c>
      <c r="C34" s="414" t="s">
        <v>150</v>
      </c>
      <c r="D34" s="414" t="s">
        <v>118</v>
      </c>
      <c r="E34" s="436">
        <f>SUMIFS(Activo!Q:Q,Activo!D:D,A34,Activo!E:E,2025,Activo!A:A,C34)</f>
        <v>230</v>
      </c>
    </row>
    <row r="35">
      <c r="A35" s="437" t="s">
        <v>161</v>
      </c>
      <c r="B35" s="438">
        <v>2025.0</v>
      </c>
      <c r="C35" s="438" t="s">
        <v>167</v>
      </c>
      <c r="D35" s="438" t="s">
        <v>125</v>
      </c>
      <c r="E35" s="439">
        <f>SUMIFS(Activo!Q:Q,Activo!D:D,A35,Activo!E:E,2025,Activo!A:A,C35)</f>
        <v>2682</v>
      </c>
    </row>
    <row r="36">
      <c r="A36" s="392" t="s">
        <v>161</v>
      </c>
      <c r="B36" s="394">
        <v>2025.0</v>
      </c>
      <c r="C36" s="394" t="s">
        <v>131</v>
      </c>
      <c r="D36" s="394" t="s">
        <v>131</v>
      </c>
      <c r="E36" s="440">
        <f>'Resumen Ejecutivo'!F8</f>
        <v>26905.65303</v>
      </c>
    </row>
    <row r="37">
      <c r="A37" s="412" t="s">
        <v>166</v>
      </c>
      <c r="B37" s="414">
        <v>2025.0</v>
      </c>
      <c r="C37" s="414" t="s">
        <v>130</v>
      </c>
      <c r="D37" s="414" t="s">
        <v>118</v>
      </c>
      <c r="E37" s="436">
        <f>SUMIFS(Activo!Q:Q,Activo!D:D,A37,Activo!E:E,2025,Activo!A:A,C37)</f>
        <v>-5438.489963</v>
      </c>
    </row>
    <row r="38">
      <c r="A38" s="412" t="s">
        <v>166</v>
      </c>
      <c r="B38" s="414">
        <v>2025.0</v>
      </c>
      <c r="C38" s="414" t="s">
        <v>144</v>
      </c>
      <c r="D38" s="414" t="s">
        <v>118</v>
      </c>
      <c r="E38" s="436">
        <f>SUMIFS(Activo!Q:Q,Activo!D:D,A38,Activo!E:E,2025,Activo!A:A,C38)</f>
        <v>-42553</v>
      </c>
    </row>
    <row r="39">
      <c r="A39" s="412" t="s">
        <v>166</v>
      </c>
      <c r="B39" s="414">
        <v>2025.0</v>
      </c>
      <c r="C39" s="414" t="s">
        <v>150</v>
      </c>
      <c r="D39" s="414" t="s">
        <v>118</v>
      </c>
      <c r="E39" s="436">
        <f>SUMIFS(Activo!Q:Q,Activo!D:D,A39,Activo!E:E,2025,Activo!A:A,C39)</f>
        <v>230</v>
      </c>
    </row>
    <row r="40">
      <c r="A40" s="412" t="s">
        <v>166</v>
      </c>
      <c r="B40" s="438">
        <v>2025.0</v>
      </c>
      <c r="C40" s="438" t="s">
        <v>167</v>
      </c>
      <c r="D40" s="438" t="s">
        <v>125</v>
      </c>
      <c r="E40" s="439">
        <f>SUMIFS(Activo!Q:Q,Activo!D:D,A40,Activo!E:E,2025,Activo!A:A,C40)</f>
        <v>2417</v>
      </c>
    </row>
    <row r="41">
      <c r="A41" s="412" t="s">
        <v>166</v>
      </c>
      <c r="B41" s="394">
        <v>2025.0</v>
      </c>
      <c r="C41" s="394" t="s">
        <v>131</v>
      </c>
      <c r="D41" s="394" t="s">
        <v>131</v>
      </c>
      <c r="E41" s="440">
        <f>'Resumen Ejecutivo'!F9</f>
        <v>97572.48401</v>
      </c>
    </row>
    <row r="42">
      <c r="A42" s="412" t="s">
        <v>171</v>
      </c>
      <c r="B42" s="414">
        <v>2025.0</v>
      </c>
      <c r="C42" s="414" t="s">
        <v>130</v>
      </c>
      <c r="D42" s="414" t="s">
        <v>118</v>
      </c>
      <c r="E42" s="436">
        <f>SUMIFS(Activo!Q:Q,Activo!D:D,A42,Activo!E:E,2025,Activo!A:A,C42)</f>
        <v>278.8429066</v>
      </c>
    </row>
    <row r="43">
      <c r="A43" s="412" t="s">
        <v>171</v>
      </c>
      <c r="B43" s="414">
        <v>2025.0</v>
      </c>
      <c r="C43" s="414" t="s">
        <v>144</v>
      </c>
      <c r="D43" s="414" t="s">
        <v>118</v>
      </c>
      <c r="E43" s="436">
        <f>SUMIFS(Activo!Q:Q,Activo!D:D,A43,Activo!E:E,2025,Activo!A:A,C43)</f>
        <v>-74320</v>
      </c>
    </row>
    <row r="44">
      <c r="A44" s="412" t="s">
        <v>171</v>
      </c>
      <c r="B44" s="414">
        <v>2025.0</v>
      </c>
      <c r="C44" s="414" t="s">
        <v>150</v>
      </c>
      <c r="D44" s="414" t="s">
        <v>118</v>
      </c>
      <c r="E44" s="436">
        <f>SUMIFS(Activo!Q:Q,Activo!D:D,A44,Activo!E:E,2025,Activo!A:A,C44)</f>
        <v>230</v>
      </c>
    </row>
    <row r="45">
      <c r="A45" s="412" t="s">
        <v>171</v>
      </c>
      <c r="B45" s="438">
        <v>2025.0</v>
      </c>
      <c r="C45" s="438" t="s">
        <v>167</v>
      </c>
      <c r="D45" s="438" t="s">
        <v>125</v>
      </c>
      <c r="E45" s="436">
        <f>SUMIFS(Activo!Q:Q,Activo!D:D,A45,Activo!E:E,2025,Activo!A:A,C45)</f>
        <v>2344</v>
      </c>
    </row>
    <row r="46">
      <c r="A46" s="412" t="s">
        <v>171</v>
      </c>
      <c r="B46" s="394">
        <v>2025.0</v>
      </c>
      <c r="C46" s="394" t="s">
        <v>131</v>
      </c>
      <c r="D46" s="394" t="s">
        <v>131</v>
      </c>
      <c r="E46" s="441">
        <f>
  SUMIFS(Activo!Q:Q,Activo!B:B,"Clientes a cobrar",Activo!F:F,"No",Activo!D:D,$A$2,Activo!G:G,"")
 +SUMIFS(Activo!Q:Q,Activo!B:B,"Clientes a cobrar",Activo!F:F,"No",Activo!D:D,A7,Activo!G:G,"")
 +SUMIFS(Activo!Q:Q,Activo!B:B,"Clientes a cobrar",Activo!F:F,"No",Activo!D:D,A13,Activo!G:G,"")
 +SUMIFS(Activo!Q:Q,Activo!B:B,"Clientes a cobrar",Activo!F:F,"No",Activo!D:D,A17,Activo!G:G,"")
 +SUMIFS(Activo!Q:Q,Activo!B:B,"Clientes a cobrar",Activo!F:F,"No",Activo!D:D,A24,Activo!G:G,"")
 +SUMIFS(Activo!Q:Q,Activo!B:B,"Clientes a cobrar",Activo!F:F,"No",Activo!D:D,A28,Activo!G:G,"")
 +SUMIFS(Activo!Q:Q,Activo!B:B,"Clientes a cobrar",Activo!F:F,"No",Activo!D:D,A34,Activo!G:G,"")
 +SUMIFS(Activo!Q:Q,Activo!B:B,"Clientes a cobrar",Activo!F:F,"No",Activo!D:D,A39,Activo!G:G,"")
 +SUMIFS(Activo!Q:Q,Activo!B:B,"Clientes a cobrar",Activo!F:F,"No",Activo!D:D,A43,Activo!G:G,"")
 +SUMIFS(Activo!Q:Q,Activo!B:B,"Clientes a cobrar",Activo!F:F,"No",Activo!D:D,$A$2,Activo!G:G,"&gt;"&amp;EOMONTH(DATE(2025,9,1),0))
 +SUMIFS(Activo!Q:Q,Activo!B:B,"Clientes a cobrar",Activo!F:F,"No",Activo!D:D,A9,Activo!G:G,"&gt;"&amp;EOMONTH(DATE(2025,9,1),0))
 +SUMIFS(Activo!Q:Q,Activo!B:B,"Clientes a cobrar",Activo!F:F,"No",Activo!D:D,A13,Activo!G:G,"&gt;"&amp;EOMONTH(DATE(2025,9,1),0))
 +SUMIFS(Activo!Q:Q,Activo!B:B,"Clientes a cobrar",Activo!F:F,"No",Activo!D:D,A18,Activo!G:G,"&gt;"&amp;EOMONTH(DATE(2025,9,1),0))
 +SUMIFS(Activo!Q:Q,Activo!B:B,"Clientes a cobrar",Activo!F:F,"No",Activo!D:D,A24,Activo!G:G,"&gt;"&amp;EOMONTH(DATE(2025,9,1),0))
 +SUMIFS(Activo!Q:Q,Activo!B:B,"Clientes a cobrar",Activo!F:F,"No",Activo!D:D,A27,Activo!G:G,"&gt;"&amp;EOMONTH(DATE(2025,9,1),0))
 +SUMIFS(Activo!Q:Q,Activo!B:B,"Clientes a cobrar",Activo!F:F,"No",Activo!D:D,A34,Activo!G:G,"&gt;"&amp;EOMONTH(DATE(2025,9,1),0))
 +SUMIFS(Activo!Q:Q,Activo!B:B,"Clientes a cobrar",Activo!F:F,"No",Activo!D:D,A38,Activo!G:G,"&gt;"&amp;EOMONTH(DATE(2025,9,1),0))
 +SUMIFS(Activo!Q:Q,Activo!B:B,"Clientes a cobrar",Activo!F:F,"No",Activo!D:D,A43,Activo!G:G,"&gt;"&amp;EOMONTH(DATE(2025,9,1),0))</f>
        <v>196764.5102</v>
      </c>
    </row>
    <row r="47">
      <c r="A47" s="412" t="s">
        <v>175</v>
      </c>
      <c r="B47" s="414">
        <v>2025.0</v>
      </c>
      <c r="C47" s="414" t="s">
        <v>130</v>
      </c>
      <c r="D47" s="414" t="s">
        <v>118</v>
      </c>
      <c r="E47" s="436">
        <f>SUMIFS(Activo!Q:Q,Activo!D:D,A47,Activo!E:E,2025,Activo!A:A,C47)</f>
        <v>0</v>
      </c>
    </row>
    <row r="48">
      <c r="A48" s="412" t="s">
        <v>175</v>
      </c>
      <c r="B48" s="414">
        <v>2025.0</v>
      </c>
      <c r="C48" s="414" t="s">
        <v>144</v>
      </c>
      <c r="D48" s="414" t="s">
        <v>118</v>
      </c>
      <c r="E48" s="436">
        <f>SUMIFS(Activo!Q:Q,Activo!D:D,A48,Activo!E:E,2025,Activo!A:A,C48)</f>
        <v>0</v>
      </c>
    </row>
    <row r="49">
      <c r="A49" s="412" t="s">
        <v>175</v>
      </c>
      <c r="B49" s="414">
        <v>2025.0</v>
      </c>
      <c r="C49" s="414" t="s">
        <v>150</v>
      </c>
      <c r="D49" s="414" t="s">
        <v>118</v>
      </c>
      <c r="E49" s="436">
        <f>SUMIFS(Activo!Q:Q,Activo!D:D,A49,Activo!E:E,2025,Activo!A:A,C49)</f>
        <v>0</v>
      </c>
    </row>
    <row r="50">
      <c r="A50" s="412" t="s">
        <v>175</v>
      </c>
      <c r="B50" s="438">
        <v>2025.0</v>
      </c>
      <c r="C50" s="438" t="s">
        <v>167</v>
      </c>
      <c r="D50" s="438" t="s">
        <v>125</v>
      </c>
      <c r="E50" s="439" t="str">
        <f>'Resumen Ejecutivo'!F47</f>
        <v/>
      </c>
    </row>
    <row r="51">
      <c r="A51" s="412" t="s">
        <v>175</v>
      </c>
      <c r="B51" s="394">
        <v>2025.0</v>
      </c>
      <c r="C51" s="394" t="s">
        <v>131</v>
      </c>
      <c r="D51" s="394" t="s">
        <v>131</v>
      </c>
      <c r="E51" s="441"/>
    </row>
    <row r="52">
      <c r="A52" s="412" t="s">
        <v>179</v>
      </c>
      <c r="B52" s="414">
        <v>2025.0</v>
      </c>
      <c r="C52" s="414" t="s">
        <v>130</v>
      </c>
      <c r="D52" s="414" t="s">
        <v>118</v>
      </c>
      <c r="E52" s="436">
        <f>SUMIFS(Activo!Q:Q,Activo!D:D,A52,Activo!E:E,2025,Activo!A:A,C52)</f>
        <v>0</v>
      </c>
    </row>
    <row r="53">
      <c r="A53" s="412" t="s">
        <v>179</v>
      </c>
      <c r="B53" s="414">
        <v>2025.0</v>
      </c>
      <c r="C53" s="414" t="s">
        <v>144</v>
      </c>
      <c r="D53" s="414" t="s">
        <v>118</v>
      </c>
      <c r="E53" s="436">
        <f>SUMIFS(Activo!Q:Q,Activo!D:D,A53,Activo!E:E,2025,Activo!A:A,C53)</f>
        <v>0</v>
      </c>
    </row>
    <row r="54">
      <c r="A54" s="412" t="s">
        <v>179</v>
      </c>
      <c r="B54" s="414">
        <v>2025.0</v>
      </c>
      <c r="C54" s="414" t="s">
        <v>150</v>
      </c>
      <c r="D54" s="414" t="s">
        <v>118</v>
      </c>
      <c r="E54" s="436">
        <f>SUMIFS(Activo!Q:Q,Activo!D:D,A54,Activo!E:E,2025,Activo!A:A,C54)</f>
        <v>0</v>
      </c>
    </row>
    <row r="55">
      <c r="A55" s="412" t="s">
        <v>179</v>
      </c>
      <c r="B55" s="438">
        <v>2025.0</v>
      </c>
      <c r="C55" s="438" t="s">
        <v>167</v>
      </c>
      <c r="D55" s="438" t="s">
        <v>125</v>
      </c>
      <c r="E55" s="439" t="str">
        <f>'Resumen Ejecutivo'!F52</f>
        <v/>
      </c>
    </row>
    <row r="56">
      <c r="A56" s="412" t="s">
        <v>179</v>
      </c>
      <c r="B56" s="394">
        <v>2025.0</v>
      </c>
      <c r="C56" s="394" t="s">
        <v>131</v>
      </c>
      <c r="D56" s="394" t="s">
        <v>131</v>
      </c>
      <c r="E56" s="441"/>
    </row>
    <row r="57">
      <c r="A57" s="412" t="s">
        <v>182</v>
      </c>
      <c r="B57" s="414">
        <v>2025.0</v>
      </c>
      <c r="C57" s="414" t="s">
        <v>130</v>
      </c>
      <c r="D57" s="414" t="s">
        <v>118</v>
      </c>
      <c r="E57" s="436">
        <f>SUMIFS(Activo!Q:Q,Activo!D:D,A57,Activo!E:E,2025,Activo!A:A,C57)</f>
        <v>0</v>
      </c>
    </row>
    <row r="58">
      <c r="A58" s="412" t="s">
        <v>182</v>
      </c>
      <c r="B58" s="414">
        <v>2025.0</v>
      </c>
      <c r="C58" s="414" t="s">
        <v>144</v>
      </c>
      <c r="D58" s="414" t="s">
        <v>118</v>
      </c>
      <c r="E58" s="436">
        <f>SUMIFS(Activo!Q:Q,Activo!D:D,A58,Activo!E:E,2025,Activo!A:A,C58)</f>
        <v>0</v>
      </c>
    </row>
    <row r="59">
      <c r="A59" s="412" t="s">
        <v>182</v>
      </c>
      <c r="B59" s="414">
        <v>2025.0</v>
      </c>
      <c r="C59" s="414" t="s">
        <v>150</v>
      </c>
      <c r="D59" s="414" t="s">
        <v>118</v>
      </c>
      <c r="E59" s="436">
        <f>SUMIFS(Activo!Q:Q,Activo!D:D,A59,Activo!E:E,2025,Activo!A:A,C59)</f>
        <v>0</v>
      </c>
    </row>
    <row r="60">
      <c r="A60" s="412" t="s">
        <v>182</v>
      </c>
      <c r="B60" s="438">
        <v>2025.0</v>
      </c>
      <c r="C60" s="438" t="s">
        <v>167</v>
      </c>
      <c r="D60" s="438" t="s">
        <v>125</v>
      </c>
      <c r="E60" s="439" t="str">
        <f>'Resumen Ejecutivo'!F57</f>
        <v/>
      </c>
    </row>
    <row r="61">
      <c r="A61" s="412" t="s">
        <v>182</v>
      </c>
      <c r="B61" s="394">
        <v>2025.0</v>
      </c>
      <c r="C61" s="394" t="s">
        <v>131</v>
      </c>
      <c r="D61" s="394" t="s">
        <v>131</v>
      </c>
      <c r="E61" s="441"/>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row r="968">
      <c r="A968" s="44"/>
    </row>
    <row r="969">
      <c r="A969" s="44"/>
    </row>
    <row r="970">
      <c r="A970" s="44"/>
    </row>
    <row r="971">
      <c r="A971" s="44"/>
    </row>
    <row r="972">
      <c r="A972" s="44"/>
    </row>
    <row r="973">
      <c r="A973" s="44"/>
    </row>
    <row r="974">
      <c r="A974" s="44"/>
    </row>
  </sheetData>
  <autoFilter ref="$A$1:$E$61"/>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1.13"/>
    <col customWidth="1" min="3" max="3" width="16.0"/>
    <col customWidth="1" min="4" max="4" width="15.13"/>
    <col customWidth="1" min="5" max="5" width="19.13"/>
  </cols>
  <sheetData>
    <row r="1">
      <c r="A1" s="442" t="s">
        <v>116</v>
      </c>
      <c r="B1" s="96" t="s">
        <v>275</v>
      </c>
      <c r="C1" s="96" t="s">
        <v>1107</v>
      </c>
      <c r="D1" s="96" t="s">
        <v>1108</v>
      </c>
      <c r="E1" s="96" t="s">
        <v>1109</v>
      </c>
      <c r="F1" s="96" t="s">
        <v>1110</v>
      </c>
    </row>
    <row r="2">
      <c r="A2" s="51" t="s">
        <v>123</v>
      </c>
      <c r="B2" s="43">
        <v>2025.0</v>
      </c>
      <c r="C2" s="112">
        <f>SUMIFS('Proyectos confirmados y estimad'!R:R,'Proyectos confirmados y estimad'!A:A,A2,'Proyectos confirmados y estimad'!B:B,B2,'Proyectos confirmados y estimad'!V:V,"Real")</f>
        <v>28311.38888</v>
      </c>
      <c r="D2" s="102">
        <f>SUMIFS(
  'Costos directos e indirectos'!R:R,
  'Costos directos e indirectos'!C:C,A2,
  'Costos directos e indirectos'!D:D,B2,
  'Costos directos e indirectos'!A:A,"&lt;&gt;IVA"
)
</f>
        <v>29816.2912</v>
      </c>
      <c r="E2" s="43">
        <f>SUMIFS('Costos directos e indirectos'!R:R,'Costos directos e indirectos'!C:C,A2,'Costos directos e indirectos'!D:D,B2)
- SUMIFS('Costos directos e indirectos'!R:R,'Costos directos e indirectos'!C:C,A2,'Costos directos e indirectos'!D:D,B2,'Costos directos e indirectos'!A:A,"IVA")
- SUMIFS('Costos directos e indirectos'!R:R,'Costos directos e indirectos'!C:C,A2,'Costos directos e indirectos'!D:D,B2,'Costos directos e indirectos'!A:A,"IIBB")
- SUMIFS('Costos directos e indirectos'!R:R,'Costos directos e indirectos'!C:C,A2,'Costos directos e indirectos'!D:D,B2,'Costos directos e indirectos'!A:A,"Impuestos USA")
- SUMIFS('Costos directos e indirectos'!R:R,'Costos directos e indirectos'!C:C,A2,'Costos directos e indirectos'!D:D,B2,'Costos directos e indirectos'!A:A,"Intereses Oxean")
</f>
        <v>29341.36661</v>
      </c>
      <c r="F2" s="43" t="s">
        <v>1111</v>
      </c>
    </row>
    <row r="3">
      <c r="A3" s="51" t="s">
        <v>129</v>
      </c>
      <c r="B3" s="43">
        <v>2025.0</v>
      </c>
      <c r="C3" s="112">
        <f>SUMIFS('Proyectos confirmados y estimad'!R:R,'Proyectos confirmados y estimad'!A:A,A3,'Proyectos confirmados y estimad'!B:B,B3,'Proyectos confirmados y estimad'!V:V,"Real")</f>
        <v>22453.38049</v>
      </c>
      <c r="D3" s="102">
        <f>SUMIFS(
  'Costos directos e indirectos'!R:R,
  'Costos directos e indirectos'!C:C,A3,
  'Costos directos e indirectos'!D:D,B3,
  'Costos directos e indirectos'!A:A,"&lt;&gt;IVA"
)
</f>
        <v>30015.85165</v>
      </c>
      <c r="E3" s="43">
        <f>SUMIFS('Costos directos e indirectos'!R:R,'Costos directos e indirectos'!C:C,A3,'Costos directos e indirectos'!D:D,B3)
- SUMIFS('Costos directos e indirectos'!R:R,'Costos directos e indirectos'!C:C,A3,'Costos directos e indirectos'!D:D,B3,'Costos directos e indirectos'!A:A,"IVA")
- SUMIFS('Costos directos e indirectos'!R:R,'Costos directos e indirectos'!C:C,A3,'Costos directos e indirectos'!D:D,B3,'Costos directos e indirectos'!A:A,"IIBB")
- SUMIFS('Costos directos e indirectos'!R:R,'Costos directos e indirectos'!C:C,A3,'Costos directos e indirectos'!D:D,B3,'Costos directos e indirectos'!A:A,"Impuestos USA")
- SUMIFS('Costos directos e indirectos'!R:R,'Costos directos e indirectos'!C:C,A3,'Costos directos e indirectos'!D:D,B3,'Costos directos e indirectos'!A:A,"Intereses Oxean")
</f>
        <v>29766.73701</v>
      </c>
      <c r="F3" s="43" t="s">
        <v>1111</v>
      </c>
    </row>
    <row r="4">
      <c r="A4" s="51" t="s">
        <v>136</v>
      </c>
      <c r="B4" s="43">
        <v>2025.0</v>
      </c>
      <c r="C4" s="112">
        <f>SUMIFS('Proyectos confirmados y estimad'!R:R,'Proyectos confirmados y estimad'!A:A,A4,'Proyectos confirmados y estimad'!B:B,B4,'Proyectos confirmados y estimad'!V:V,"Real")</f>
        <v>25655.50943</v>
      </c>
      <c r="D4" s="102">
        <f>SUMIFS(
  'Costos directos e indirectos'!R:R,
  'Costos directos e indirectos'!C:C,A4,
  'Costos directos e indirectos'!D:D,B4,
  'Costos directos e indirectos'!A:A,"&lt;&gt;IVA"
)
</f>
        <v>30178.02941</v>
      </c>
      <c r="E4" s="43">
        <f>SUMIFS('Costos directos e indirectos'!R:R,'Costos directos e indirectos'!C:C,A4,'Costos directos e indirectos'!D:D,B4)
- SUMIFS('Costos directos e indirectos'!R:R,'Costos directos e indirectos'!C:C,A4,'Costos directos e indirectos'!D:D,B4,'Costos directos e indirectos'!A:A,"IVA")
- SUMIFS('Costos directos e indirectos'!R:R,'Costos directos e indirectos'!C:C,A4,'Costos directos e indirectos'!D:D,B4,'Costos directos e indirectos'!A:A,"IIBB")
- SUMIFS('Costos directos e indirectos'!R:R,'Costos directos e indirectos'!C:C,A4,'Costos directos e indirectos'!D:D,B4,'Costos directos e indirectos'!A:A,"Impuestos USA")
- SUMIFS('Costos directos e indirectos'!R:R,'Costos directos e indirectos'!C:C,A4,'Costos directos e indirectos'!D:D,B4,'Costos directos e indirectos'!A:A,"Intereses Oxean")
</f>
        <v>29825.8362</v>
      </c>
      <c r="F4" s="43" t="s">
        <v>1111</v>
      </c>
    </row>
    <row r="5">
      <c r="A5" s="51" t="s">
        <v>143</v>
      </c>
      <c r="B5" s="43">
        <v>2025.0</v>
      </c>
      <c r="C5" s="112">
        <f>SUMIFS('Proyectos confirmados y estimad'!R:R,'Proyectos confirmados y estimad'!A:A,A5,'Proyectos confirmados y estimad'!B:B,B5,'Proyectos confirmados y estimad'!V:V,"Real")</f>
        <v>28128.16878</v>
      </c>
      <c r="D5" s="102">
        <f>SUMIFS(
  'Costos directos e indirectos'!R:R,
  'Costos directos e indirectos'!C:C,A5,
  'Costos directos e indirectos'!D:D,B5,
  'Costos directos e indirectos'!A:A,"&lt;&gt;IVA"
)
</f>
        <v>35808.69734</v>
      </c>
      <c r="E5" s="43">
        <f>SUMIFS('Costos directos e indirectos'!R:R,'Costos directos e indirectos'!C:C,A5,'Costos directos e indirectos'!D:D,B5)
- SUMIFS('Costos directos e indirectos'!R:R,'Costos directos e indirectos'!C:C,A5,'Costos directos e indirectos'!D:D,B5,'Costos directos e indirectos'!A:A,"IVA")
- SUMIFS('Costos directos e indirectos'!R:R,'Costos directos e indirectos'!C:C,A5,'Costos directos e indirectos'!D:D,B5,'Costos directos e indirectos'!A:A,"IIBB")
- SUMIFS('Costos directos e indirectos'!R:R,'Costos directos e indirectos'!C:C,A5,'Costos directos e indirectos'!D:D,B5,'Costos directos e indirectos'!A:A,"Impuestos USA")
- SUMIFS('Costos directos e indirectos'!R:R,'Costos directos e indirectos'!C:C,A5,'Costos directos e indirectos'!D:D,B5,'Costos directos e indirectos'!A:A,"Intereses Oxean")
</f>
        <v>33031.98848</v>
      </c>
      <c r="F5" s="43" t="s">
        <v>1111</v>
      </c>
    </row>
    <row r="6">
      <c r="A6" s="51" t="s">
        <v>149</v>
      </c>
      <c r="B6" s="43">
        <v>2025.0</v>
      </c>
      <c r="C6" s="112">
        <f>SUMIFS('Proyectos confirmados y estimad'!R:R,'Proyectos confirmados y estimad'!A:A,A6,'Proyectos confirmados y estimad'!B:B,B6,'Proyectos confirmados y estimad'!V:V,"Real")</f>
        <v>38475.80508</v>
      </c>
      <c r="D6" s="102">
        <f>SUMIFS(
  'Costos directos e indirectos'!R:R,
  'Costos directos e indirectos'!C:C,A6,
  'Costos directos e indirectos'!D:D,B6,
  'Costos directos e indirectos'!A:A,"&lt;&gt;IVA"
)
</f>
        <v>35768.26277</v>
      </c>
      <c r="E6" s="43">
        <f>SUMIFS('Costos directos e indirectos'!R:R,'Costos directos e indirectos'!C:C,A6,'Costos directos e indirectos'!D:D,B6)
- SUMIFS('Costos directos e indirectos'!R:R,'Costos directos e indirectos'!C:C,A6,'Costos directos e indirectos'!D:D,B6,'Costos directos e indirectos'!A:A,"IVA")
- SUMIFS('Costos directos e indirectos'!R:R,'Costos directos e indirectos'!C:C,A6,'Costos directos e indirectos'!D:D,B6,'Costos directos e indirectos'!A:A,"IIBB")
- SUMIFS('Costos directos e indirectos'!R:R,'Costos directos e indirectos'!C:C,A6,'Costos directos e indirectos'!D:D,B6,'Costos directos e indirectos'!A:A,"Impuestos USA")
- SUMIFS('Costos directos e indirectos'!R:R,'Costos directos e indirectos'!C:C,A6,'Costos directos e indirectos'!D:D,B6,'Costos directos e indirectos'!A:A,"Intereses Oxean")
</f>
        <v>39630.46825</v>
      </c>
      <c r="F6" s="43" t="s">
        <v>1111</v>
      </c>
    </row>
    <row r="7">
      <c r="A7" s="51" t="s">
        <v>155</v>
      </c>
      <c r="B7" s="43">
        <v>2025.0</v>
      </c>
      <c r="C7" s="112">
        <f>SUMIFS('Proyectos confirmados y estimad'!R:R,'Proyectos confirmados y estimad'!A:A,A7,'Proyectos confirmados y estimad'!B:B,B7,'Proyectos confirmados y estimad'!V:V,"Real")</f>
        <v>46583.86091</v>
      </c>
      <c r="D7" s="102">
        <f>SUMIFS(
  'Costos directos e indirectos'!R:R,
  'Costos directos e indirectos'!C:C,A7,
  'Costos directos e indirectos'!D:D,B7,
  'Costos directos e indirectos'!A:A,"&lt;&gt;IVA"
)
</f>
        <v>33169.55547</v>
      </c>
      <c r="E7" s="43">
        <f>SUMIFS('Costos directos e indirectos'!R:R,'Costos directos e indirectos'!C:C,A7,'Costos directos e indirectos'!D:D,B7)
- SUMIFS('Costos directos e indirectos'!R:R,'Costos directos e indirectos'!C:C,A7,'Costos directos e indirectos'!D:D,B7,'Costos directos e indirectos'!A:A,"IVA")
- SUMIFS('Costos directos e indirectos'!R:R,'Costos directos e indirectos'!C:C,A7,'Costos directos e indirectos'!D:D,B7,'Costos directos e indirectos'!A:A,"IIBB")
- SUMIFS('Costos directos e indirectos'!R:R,'Costos directos e indirectos'!C:C,A7,'Costos directos e indirectos'!D:D,B7,'Costos directos e indirectos'!A:A,"Impuestos USA")
- SUMIFS('Costos directos e indirectos'!R:R,'Costos directos e indirectos'!C:C,A7,'Costos directos e indirectos'!D:D,B7,'Costos directos e indirectos'!A:A,"Intereses Oxean")
</f>
        <v>37096.93309</v>
      </c>
      <c r="F7" s="43" t="s">
        <v>1111</v>
      </c>
    </row>
    <row r="8">
      <c r="A8" s="51" t="s">
        <v>161</v>
      </c>
      <c r="B8" s="43">
        <v>2025.0</v>
      </c>
      <c r="C8" s="112">
        <f>SUMIFS('Proyectos confirmados y estimad'!R:R,'Proyectos confirmados y estimad'!A:A,A8,'Proyectos confirmados y estimad'!B:B,B8,'Proyectos confirmados y estimad'!V:V,"Real")</f>
        <v>46034.88026</v>
      </c>
      <c r="D8" s="102">
        <f>SUMIFS(
  'Costos directos e indirectos'!R:R,
  'Costos directos e indirectos'!C:C,A8,
  'Costos directos e indirectos'!D:D,B8,
  'Costos directos e indirectos'!A:A,"&lt;&gt;IVA"
)
</f>
        <v>42368.51693</v>
      </c>
      <c r="E8" s="43">
        <f>SUMIFS('Costos directos e indirectos'!R:R,'Costos directos e indirectos'!C:C,A8,'Costos directos e indirectos'!D:D,B8)
- SUMIFS('Costos directos e indirectos'!R:R,'Costos directos e indirectos'!C:C,A8,'Costos directos e indirectos'!D:D,B8,'Costos directos e indirectos'!A:A,"IVA")
- SUMIFS('Costos directos e indirectos'!R:R,'Costos directos e indirectos'!C:C,A8,'Costos directos e indirectos'!D:D,B8,'Costos directos e indirectos'!A:A,"IIBB")
- SUMIFS('Costos directos e indirectos'!R:R,'Costos directos e indirectos'!C:C,A8,'Costos directos e indirectos'!D:D,B8,'Costos directos e indirectos'!A:A,"Impuestos USA")
- SUMIFS('Costos directos e indirectos'!R:R,'Costos directos e indirectos'!C:C,A8,'Costos directos e indirectos'!D:D,B8,'Costos directos e indirectos'!A:A,"Intereses Oxean")
</f>
        <v>40443.44663</v>
      </c>
      <c r="F8" s="43" t="s">
        <v>1111</v>
      </c>
    </row>
    <row r="9">
      <c r="A9" s="51" t="s">
        <v>166</v>
      </c>
      <c r="B9" s="43">
        <v>2025.0</v>
      </c>
      <c r="C9" s="112">
        <f>SUMIFS('Proyectos confirmados y estimad'!R:R,'Proyectos confirmados y estimad'!A:A,A9,'Proyectos confirmados y estimad'!B:B,B9,'Proyectos confirmados y estimad'!V:V,"Real")</f>
        <v>53975.1613</v>
      </c>
      <c r="D9" s="102">
        <f>SUMIFS(
  'Costos directos e indirectos'!R:R,
  'Costos directos e indirectos'!C:C,A9,
  'Costos directos e indirectos'!D:D,B9,
  'Costos directos e indirectos'!A:A,"&lt;&gt;IVA"
)
</f>
        <v>56595.99828</v>
      </c>
      <c r="E9" s="43">
        <f>SUMIFS('Costos directos e indirectos'!R:R,'Costos directos e indirectos'!C:C,A9,'Costos directos e indirectos'!D:D,B9)
- SUMIFS('Costos directos e indirectos'!R:R,'Costos directos e indirectos'!C:C,A9,'Costos directos e indirectos'!D:D,B9,'Costos directos e indirectos'!A:A,"IVA")
- SUMIFS('Costos directos e indirectos'!R:R,'Costos directos e indirectos'!C:C,A9,'Costos directos e indirectos'!D:D,B9,'Costos directos e indirectos'!A:A,"IIBB")
- SUMIFS('Costos directos e indirectos'!R:R,'Costos directos e indirectos'!C:C,A9,'Costos directos e indirectos'!D:D,B9,'Costos directos e indirectos'!A:A,"Impuestos USA")
- SUMIFS('Costos directos e indirectos'!R:R,'Costos directos e indirectos'!C:C,A9,'Costos directos e indirectos'!D:D,B9,'Costos directos e indirectos'!A:A,"Intereses Oxean")
</f>
        <v>40004.4401</v>
      </c>
      <c r="F9" s="43" t="s">
        <v>1111</v>
      </c>
    </row>
    <row r="10">
      <c r="A10" s="51" t="s">
        <v>171</v>
      </c>
      <c r="B10" s="43">
        <v>2025.0</v>
      </c>
      <c r="C10" s="112">
        <f>SUMIFS('Proyectos confirmados y estimad'!R:R,'Proyectos confirmados y estimad'!A:A,A10,'Proyectos confirmados y estimad'!B:B,B10,'Proyectos confirmados y estimad'!V:V,"Real")</f>
        <v>108980.948</v>
      </c>
      <c r="D10" s="102">
        <f>SUMIFS(
  'Costos directos e indirectos'!R:R,
  'Costos directos e indirectos'!C:C,A10,
  'Costos directos e indirectos'!D:D,B10,
  'Costos directos e indirectos'!A:A,"&lt;&gt;IVA"
)
</f>
        <v>50066.68948</v>
      </c>
      <c r="E10" s="43">
        <f>SUMIFS('Costos directos e indirectos'!R:R,'Costos directos e indirectos'!C:C,A10,'Costos directos e indirectos'!D:D,B10)
- SUMIFS('Costos directos e indirectos'!R:R,'Costos directos e indirectos'!C:C,A10,'Costos directos e indirectos'!D:D,B10,'Costos directos e indirectos'!A:A,"IVA")
- SUMIFS('Costos directos e indirectos'!R:R,'Costos directos e indirectos'!C:C,A10,'Costos directos e indirectos'!D:D,B10,'Costos directos e indirectos'!A:A,"IIBB")
- SUMIFS('Costos directos e indirectos'!R:R,'Costos directos e indirectos'!C:C,A10,'Costos directos e indirectos'!D:D,B10,'Costos directos e indirectos'!A:A,"Impuestos USA")
- SUMIFS('Costos directos e indirectos'!R:R,'Costos directos e indirectos'!C:C,A10,'Costos directos e indirectos'!D:D,B10,'Costos directos e indirectos'!A:A,"Intereses Oxean")
</f>
        <v>38168.35591</v>
      </c>
      <c r="F10" s="43" t="s">
        <v>1111</v>
      </c>
    </row>
    <row r="11">
      <c r="A11" s="51" t="s">
        <v>171</v>
      </c>
      <c r="B11" s="43">
        <v>2025.0</v>
      </c>
      <c r="C11" s="112">
        <f>SUMIFS('Proyectos confirmados y estimad'!R:R,'Proyectos confirmados y estimad'!A:A,A11,'Proyectos confirmados y estimad'!B:B,B11,'Proyectos confirmados y estimad'!V:V,"Real")</f>
        <v>108980.948</v>
      </c>
      <c r="D11" s="102">
        <f>SUMIFS(
  'Costos directos e indirectos'!R:R,
  'Costos directos e indirectos'!C:C,A11,
  'Costos directos e indirectos'!D:D,B11,
  'Costos directos e indirectos'!A:A,"&lt;&gt;IVA"
)
</f>
        <v>50066.68948</v>
      </c>
      <c r="E11" s="43">
        <f>SUMIFS('Costos directos e indirectos'!R:R,'Costos directos e indirectos'!C:C,A11,'Costos directos e indirectos'!D:D,B11)
- SUMIFS('Costos directos e indirectos'!R:R,'Costos directos e indirectos'!C:C,A11,'Costos directos e indirectos'!D:D,B11,'Costos directos e indirectos'!A:A,"IVA")
- SUMIFS('Costos directos e indirectos'!R:R,'Costos directos e indirectos'!C:C,A11,'Costos directos e indirectos'!D:D,B11,'Costos directos e indirectos'!A:A,"IIBB")
- SUMIFS('Costos directos e indirectos'!R:R,'Costos directos e indirectos'!C:C,A11,'Costos directos e indirectos'!D:D,B11,'Costos directos e indirectos'!A:A,"Impuestos USA")
- SUMIFS('Costos directos e indirectos'!R:R,'Costos directos e indirectos'!C:C,A11,'Costos directos e indirectos'!D:D,B11,'Costos directos e indirectos'!A:A,"Intereses Oxean")
</f>
        <v>38168.35591</v>
      </c>
      <c r="F11" s="43" t="s">
        <v>1112</v>
      </c>
    </row>
    <row r="12">
      <c r="A12" s="51" t="s">
        <v>175</v>
      </c>
      <c r="B12" s="43">
        <v>2025.0</v>
      </c>
      <c r="C12" s="112">
        <f>SUMIFS('Proyectos confirmados y estimad'!R:R,'Proyectos confirmados y estimad'!A:A,A12,'Proyectos confirmados y estimad'!B:B,B12,'Proyectos confirmados y estimad'!V:V,"Proyección")</f>
        <v>82977.0068</v>
      </c>
      <c r="D12" s="102">
        <f>SUMIFS('Costos estimados'!L:L,'Costos estimados'!M:M,"Futuro",'Costos estimados'!A:A,A12,'Costos estimados'!B:B,B12,'Costos estimados'!C:C,"&lt;&gt;IVA")</f>
        <v>44691.67675</v>
      </c>
      <c r="E12" s="43">
        <f>SUMIFS('Costos estimados'!L:L,'Costos estimados'!A:A,A12,'Costos estimados'!B:B,B12) 
 -SUMIFS('Costos estimados'!L:L,'Costos estimados'!A:A,A12,'Costos estimados'!B:B,B12,'Costos estimados'!C:C,"IVA")
 -SUMIFS('Costos estimados'!L:L,'Costos estimados'!A:A,A12,'Costos estimados'!B:B,B12,'Costos estimados'!C:C,"IIBB")
 -SUMIFS('Costos estimados'!L:L,'Costos estimados'!A:A,A12,'Costos estimados'!B:B,B12,'Costos estimados'!C:C,"Impuestos USA")
 -SUMIFS('Costos estimados'!L:L,'Costos estimados'!A:A,A12,'Costos estimados'!B:B,B12,'Costos estimados'!C:C,"Intereses Oxean")
</f>
        <v>38366.12786</v>
      </c>
      <c r="F12" s="43" t="s">
        <v>1112</v>
      </c>
    </row>
    <row r="13">
      <c r="A13" s="51" t="s">
        <v>179</v>
      </c>
      <c r="B13" s="43">
        <v>2025.0</v>
      </c>
      <c r="C13" s="112">
        <f>SUMIFS('Proyectos confirmados y estimad'!R:R,'Proyectos confirmados y estimad'!A:A,A13,'Proyectos confirmados y estimad'!B:B,B13,'Proyectos confirmados y estimad'!V:V,"Proyección")</f>
        <v>43049.09793</v>
      </c>
      <c r="D13" s="102">
        <f>SUMIFS('Costos estimados'!L:L,'Costos estimados'!M:M,"Futuro",'Costos estimados'!A:A,A13,'Costos estimados'!B:B,B13,'Costos estimados'!C:C,"&lt;&gt;IVA")</f>
        <v>47644.04658</v>
      </c>
      <c r="E13" s="43">
        <f>SUMIFS('Costos estimados'!L:L,'Costos estimados'!A:A,A13,'Costos estimados'!B:B,B13) 
 -SUMIFS('Costos estimados'!L:L,'Costos estimados'!A:A,A13,'Costos estimados'!B:B,B13,'Costos estimados'!C:C,"IVA")
 -SUMIFS('Costos estimados'!L:L,'Costos estimados'!A:A,A13,'Costos estimados'!B:B,B13,'Costos estimados'!C:C,"IIBB")
 -SUMIFS('Costos estimados'!L:L,'Costos estimados'!A:A,A13,'Costos estimados'!B:B,B13,'Costos estimados'!C:C,"Impuestos USA")
 -SUMIFS('Costos estimados'!L:L,'Costos estimados'!A:A,A13,'Costos estimados'!B:B,B13,'Costos estimados'!C:C,"Intereses Oxean")
</f>
        <v>41416.11235</v>
      </c>
      <c r="F13" s="43" t="s">
        <v>1112</v>
      </c>
    </row>
    <row r="14">
      <c r="A14" s="51" t="s">
        <v>182</v>
      </c>
      <c r="B14" s="43">
        <v>2025.0</v>
      </c>
      <c r="C14" s="112">
        <f>SUMIFS('Proyectos confirmados y estimad'!R:R,'Proyectos confirmados y estimad'!A:A,A14,'Proyectos confirmados y estimad'!B:B,B14,'Proyectos confirmados y estimad'!V:V,"Proyección")</f>
        <v>45516.06714</v>
      </c>
      <c r="D14" s="102">
        <f>SUMIFS('Costos estimados'!L:L,'Costos estimados'!M:M,"Futuro",'Costos estimados'!A:A,A14,'Costos estimados'!B:B,B14,'Costos estimados'!C:C,"&lt;&gt;IVA")</f>
        <v>63982.89702</v>
      </c>
      <c r="E14" s="43">
        <f>SUMIFS('Costos estimados'!L:L,'Costos estimados'!A:A,A14,'Costos estimados'!B:B,B14) 
 -SUMIFS('Costos estimados'!L:L,'Costos estimados'!A:A,A14,'Costos estimados'!B:B,B14,'Costos estimados'!C:C,"IVA")
 -SUMIFS('Costos estimados'!L:L,'Costos estimados'!A:A,A14,'Costos estimados'!B:B,B14,'Costos estimados'!C:C,"IIBB")
 -SUMIFS('Costos estimados'!L:L,'Costos estimados'!A:A,A14,'Costos estimados'!B:B,B14,'Costos estimados'!C:C,"Impuestos USA")
 -SUMIFS('Costos estimados'!L:L,'Costos estimados'!A:A,A14,'Costos estimados'!B:B,B14,'Costos estimados'!C:C,"Intereses Oxean")
</f>
        <v>57661.6451</v>
      </c>
      <c r="F14" s="43" t="s">
        <v>1112</v>
      </c>
    </row>
    <row r="15">
      <c r="A15" s="44"/>
    </row>
    <row r="16">
      <c r="A16" s="44"/>
    </row>
    <row r="17">
      <c r="A17" s="44"/>
    </row>
    <row r="18">
      <c r="A18" s="44"/>
    </row>
    <row r="19">
      <c r="A19" s="44"/>
    </row>
    <row r="20">
      <c r="A20" s="44"/>
    </row>
    <row r="21">
      <c r="A21" s="44"/>
    </row>
    <row r="22">
      <c r="A22" s="44"/>
    </row>
    <row r="23">
      <c r="A23" s="44"/>
    </row>
    <row r="24">
      <c r="A24" s="44"/>
    </row>
    <row r="25">
      <c r="A25" s="44"/>
    </row>
    <row r="26">
      <c r="A26" s="44"/>
    </row>
    <row r="27">
      <c r="A27" s="44"/>
    </row>
    <row r="28">
      <c r="A28" s="44"/>
    </row>
    <row r="29">
      <c r="A29" s="44"/>
    </row>
    <row r="30">
      <c r="A30" s="44"/>
    </row>
    <row r="31">
      <c r="A31" s="44"/>
    </row>
    <row r="32">
      <c r="A32" s="44"/>
    </row>
    <row r="33">
      <c r="A33" s="44"/>
    </row>
    <row r="34">
      <c r="A34" s="44"/>
    </row>
    <row r="35">
      <c r="A35" s="44"/>
    </row>
    <row r="36">
      <c r="A36" s="44"/>
    </row>
    <row r="37">
      <c r="A37" s="44"/>
    </row>
    <row r="38">
      <c r="A38" s="44"/>
    </row>
    <row r="39">
      <c r="A39" s="44"/>
    </row>
    <row r="40">
      <c r="A40" s="44"/>
    </row>
    <row r="41">
      <c r="A41" s="44"/>
    </row>
    <row r="42">
      <c r="A42" s="44"/>
    </row>
    <row r="43">
      <c r="A43" s="44"/>
    </row>
    <row r="44">
      <c r="A44" s="44"/>
    </row>
    <row r="45">
      <c r="A45" s="44"/>
    </row>
    <row r="46">
      <c r="A46" s="44"/>
    </row>
    <row r="47">
      <c r="A47" s="44"/>
    </row>
    <row r="48">
      <c r="A48" s="44"/>
    </row>
    <row r="49">
      <c r="A49" s="44"/>
    </row>
    <row r="50">
      <c r="A50" s="44"/>
    </row>
    <row r="51">
      <c r="A51" s="44"/>
    </row>
    <row r="52">
      <c r="A52" s="44"/>
    </row>
    <row r="53">
      <c r="A53" s="44"/>
    </row>
    <row r="54">
      <c r="A54" s="44"/>
    </row>
    <row r="55">
      <c r="A55" s="44"/>
    </row>
    <row r="56">
      <c r="A56" s="44"/>
    </row>
    <row r="57">
      <c r="A57" s="44"/>
    </row>
    <row r="58">
      <c r="A58" s="44"/>
    </row>
    <row r="59">
      <c r="A59" s="44"/>
    </row>
    <row r="60">
      <c r="A60" s="44"/>
    </row>
    <row r="61">
      <c r="A61" s="44"/>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row r="968">
      <c r="A968" s="44"/>
    </row>
    <row r="969">
      <c r="A969" s="44"/>
    </row>
    <row r="970">
      <c r="A970" s="44"/>
    </row>
    <row r="971">
      <c r="A971" s="44"/>
    </row>
    <row r="972">
      <c r="A972" s="44"/>
    </row>
    <row r="973">
      <c r="A973" s="44"/>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63"/>
    <col customWidth="1" min="2" max="2" width="26.75"/>
    <col customWidth="1" min="3" max="3" width="11.38"/>
    <col customWidth="1" min="4" max="4" width="9.63"/>
    <col customWidth="1" min="5" max="5" width="12.25"/>
    <col customWidth="1" min="6" max="6" width="10.38"/>
    <col customWidth="1" min="7" max="7" width="12.63"/>
    <col customWidth="1" min="8" max="8" width="13.75"/>
    <col customWidth="1" min="9" max="9" width="28.38"/>
    <col customWidth="1" min="10" max="10" width="23.13"/>
    <col customWidth="1" min="11" max="11" width="25.5"/>
    <col customWidth="1" min="12" max="12" width="23.63"/>
    <col customWidth="1" min="13" max="13" width="29.13"/>
    <col customWidth="1" min="14" max="14" width="24.25"/>
    <col customWidth="1" min="15" max="15" width="26.88"/>
    <col customWidth="1" min="16" max="16" width="25.13"/>
    <col customWidth="1" min="17" max="17" width="18.75"/>
    <col customWidth="1" min="18" max="18" width="21.75"/>
    <col customWidth="1" min="22" max="40" width="20.13"/>
  </cols>
  <sheetData>
    <row r="1">
      <c r="A1" s="443" t="s">
        <v>112</v>
      </c>
      <c r="B1" s="93" t="s">
        <v>113</v>
      </c>
      <c r="C1" s="444" t="s">
        <v>116</v>
      </c>
      <c r="D1" s="10" t="s">
        <v>275</v>
      </c>
      <c r="E1" s="10" t="s">
        <v>1113</v>
      </c>
      <c r="F1" s="10" t="s">
        <v>1114</v>
      </c>
      <c r="G1" s="445" t="s">
        <v>1115</v>
      </c>
      <c r="H1" s="446" t="s">
        <v>1116</v>
      </c>
      <c r="I1" s="446" t="s">
        <v>1117</v>
      </c>
      <c r="J1" s="445" t="s">
        <v>111</v>
      </c>
      <c r="K1" s="446" t="s">
        <v>1118</v>
      </c>
      <c r="L1" s="446" t="s">
        <v>1119</v>
      </c>
      <c r="M1" s="446" t="s">
        <v>1120</v>
      </c>
      <c r="N1" s="447" t="s">
        <v>1121</v>
      </c>
      <c r="O1" s="448" t="s">
        <v>1122</v>
      </c>
      <c r="P1" s="99" t="s">
        <v>1123</v>
      </c>
      <c r="Q1" s="449" t="s">
        <v>285</v>
      </c>
      <c r="R1" s="101" t="s">
        <v>286</v>
      </c>
      <c r="S1" s="450"/>
      <c r="T1" s="450"/>
      <c r="U1" s="450"/>
      <c r="V1" s="450"/>
      <c r="W1" s="450"/>
      <c r="X1" s="450"/>
      <c r="Y1" s="450"/>
      <c r="Z1" s="450"/>
      <c r="AA1" s="450"/>
      <c r="AB1" s="450"/>
      <c r="AC1" s="450"/>
      <c r="AD1" s="450"/>
      <c r="AE1" s="450"/>
      <c r="AF1" s="450"/>
      <c r="AG1" s="450"/>
      <c r="AH1" s="450"/>
      <c r="AI1" s="450"/>
      <c r="AJ1" s="450"/>
      <c r="AK1" s="450"/>
      <c r="AL1" s="450"/>
      <c r="AM1" s="450"/>
      <c r="AN1" s="450"/>
    </row>
    <row r="2" hidden="1">
      <c r="A2" s="443" t="s">
        <v>120</v>
      </c>
      <c r="B2" s="43" t="str">
        <f>IF(A2="", "", IFERROR(VLOOKUP(A2, Clasificaciones!A:B, 2, FALSE), "DATO NO CARGADO"))
</f>
        <v>Equipo</v>
      </c>
      <c r="C2" s="51" t="s">
        <v>123</v>
      </c>
      <c r="D2" s="43">
        <v>2025.0</v>
      </c>
      <c r="E2" s="43" t="s">
        <v>1124</v>
      </c>
      <c r="F2" s="202"/>
      <c r="G2" s="202" t="s">
        <v>1125</v>
      </c>
      <c r="H2" s="43" t="s">
        <v>1126</v>
      </c>
      <c r="I2" s="43" t="s">
        <v>1127</v>
      </c>
      <c r="J2" s="43" t="s">
        <v>180</v>
      </c>
      <c r="K2" s="443">
        <v>5.0</v>
      </c>
      <c r="L2" s="451">
        <v>0.33</v>
      </c>
      <c r="M2" s="443">
        <v>0.3</v>
      </c>
      <c r="N2" s="452">
        <f t="array" ref="N2">IFERROR(
  INDEX(
    'Valor Hora Real y Estimada'!$A$4:$Z$78,
    MATCH(TRIM(CLEAN(A2)), 'Valor Hora Real y Estimada'!$A$4:$A$78, 0),
    MATCH(
      TEXT(C2,"dd mmm")&amp;" "&amp;D2,
      'Valor Hora Real y Estimada'!$A$3:$Z$3,
      0
    ) + 1
  ),
  0
)</f>
        <v>20833.33333</v>
      </c>
      <c r="O2" s="453">
        <f t="shared" ref="O2:O40" si="1">N2*M2</f>
        <v>6250</v>
      </c>
      <c r="P2" s="113"/>
      <c r="Q2" s="106">
        <f>IF(ISBLANK(O2), "", VLOOKUP(C2&amp;" "&amp;D2, 'Info Tipo de Cambio y REM'!$A$24:$B$35, 2, FALSE))</f>
        <v>1220</v>
      </c>
      <c r="R2" s="107">
        <f t="shared" ref="R2:R670" si="2">IFERROR(IF(NOT(ISBLANK(O2)), O2 / Q2, IF(NOT(ISBLANK(P2)), P2, "")), "")
</f>
        <v>5.12295082</v>
      </c>
    </row>
    <row r="3" hidden="1">
      <c r="A3" s="443" t="s">
        <v>197</v>
      </c>
      <c r="B3" s="43" t="str">
        <f>IF(A3="", "", IFERROR(VLOOKUP(A3, Clasificaciones!A:B, 2, FALSE), "DATO NO CARGADO"))
</f>
        <v>Equipo</v>
      </c>
      <c r="C3" s="51" t="s">
        <v>123</v>
      </c>
      <c r="D3" s="43">
        <v>2025.0</v>
      </c>
      <c r="E3" s="43" t="s">
        <v>1124</v>
      </c>
      <c r="F3" s="202"/>
      <c r="G3" s="202" t="s">
        <v>1125</v>
      </c>
      <c r="H3" s="43" t="s">
        <v>1126</v>
      </c>
      <c r="I3" s="43" t="s">
        <v>1127</v>
      </c>
      <c r="J3" s="43" t="s">
        <v>180</v>
      </c>
      <c r="K3" s="443">
        <v>45.0</v>
      </c>
      <c r="L3" s="451">
        <f>75+23</f>
        <v>98</v>
      </c>
      <c r="M3" s="443">
        <f>98+0.052</f>
        <v>98.052</v>
      </c>
      <c r="N3" s="452">
        <f t="array" ref="N3">IFERROR(
  INDEX(
    'Valor Hora Real y Estimada'!$A$4:$Z$78,
    MATCH(TRIM(CLEAN(A3)), 'Valor Hora Real y Estimada'!$A$4:$A$78, 0),
    MATCH(
      TEXT(C3,"dd mmm")&amp;" "&amp;D3,
      'Valor Hora Real y Estimada'!$A$3:$Z$3,
      0
    ) + 1
  ),
  0
)</f>
        <v>9049</v>
      </c>
      <c r="O3" s="453">
        <f t="shared" si="1"/>
        <v>887272.548</v>
      </c>
      <c r="P3" s="113"/>
      <c r="Q3" s="106">
        <f>IF(ISBLANK(O3), "", VLOOKUP(C3&amp;" "&amp;D3, 'Info Tipo de Cambio y REM'!$A$24:$B$35, 2, FALSE))</f>
        <v>1220</v>
      </c>
      <c r="R3" s="107">
        <f t="shared" si="2"/>
        <v>727.2725803</v>
      </c>
    </row>
    <row r="4" hidden="1">
      <c r="A4" s="443" t="s">
        <v>221</v>
      </c>
      <c r="B4" s="43" t="str">
        <f>IF(A4="", "", IFERROR(VLOOKUP(A4, Clasificaciones!A:B, 2, FALSE), "DATO NO CARGADO"))
</f>
        <v>Equipo</v>
      </c>
      <c r="C4" s="51" t="s">
        <v>123</v>
      </c>
      <c r="D4" s="43">
        <v>2025.0</v>
      </c>
      <c r="E4" s="43" t="s">
        <v>1124</v>
      </c>
      <c r="F4" s="202"/>
      <c r="G4" s="202" t="s">
        <v>1125</v>
      </c>
      <c r="H4" s="43" t="s">
        <v>1126</v>
      </c>
      <c r="I4" s="43" t="s">
        <v>1127</v>
      </c>
      <c r="J4" s="43" t="s">
        <v>180</v>
      </c>
      <c r="K4" s="443">
        <v>10.0</v>
      </c>
      <c r="L4" s="451">
        <v>19.0</v>
      </c>
      <c r="M4" s="443">
        <v>19.0</v>
      </c>
      <c r="N4" s="452">
        <f t="array" ref="N4">IFERROR(
  INDEX(
    'Valor Hora Real y Estimada'!$A$4:$Z$78,
    MATCH(TRIM(CLEAN(A4)), 'Valor Hora Real y Estimada'!$A$4:$A$78, 0),
    MATCH(
      TEXT(C4,"dd mmm")&amp;" "&amp;D4,
      'Valor Hora Real y Estimada'!$A$3:$Z$3,
      0
    ) + 1
  ),
  0
)</f>
        <v>8801</v>
      </c>
      <c r="O4" s="453">
        <f t="shared" si="1"/>
        <v>167219</v>
      </c>
      <c r="P4" s="113"/>
      <c r="Q4" s="106">
        <f>IF(ISBLANK(O4), "", VLOOKUP(C4&amp;" "&amp;D4, 'Info Tipo de Cambio y REM'!$A$24:$B$35, 2, FALSE))</f>
        <v>1220</v>
      </c>
      <c r="R4" s="107">
        <f t="shared" si="2"/>
        <v>137.0647541</v>
      </c>
    </row>
    <row r="5" hidden="1">
      <c r="A5" s="443" t="s">
        <v>203</v>
      </c>
      <c r="B5" s="43" t="str">
        <f>IF(A5="", "", IFERROR(VLOOKUP(A5, Clasificaciones!A:B, 2, FALSE), "DATO NO CARGADO"))
</f>
        <v>Equipo</v>
      </c>
      <c r="C5" s="51" t="s">
        <v>123</v>
      </c>
      <c r="D5" s="43">
        <v>2025.0</v>
      </c>
      <c r="E5" s="43" t="s">
        <v>1124</v>
      </c>
      <c r="F5" s="202"/>
      <c r="G5" s="202" t="s">
        <v>1125</v>
      </c>
      <c r="H5" s="43" t="s">
        <v>1126</v>
      </c>
      <c r="I5" s="43" t="s">
        <v>1127</v>
      </c>
      <c r="J5" s="43" t="s">
        <v>180</v>
      </c>
      <c r="K5" s="443">
        <v>40.0</v>
      </c>
      <c r="L5" s="451">
        <f>28.83+22</f>
        <v>50.83</v>
      </c>
      <c r="M5" s="443">
        <v>40.8</v>
      </c>
      <c r="N5" s="452">
        <f t="array" ref="N5">IFERROR(
  INDEX(
    'Valor Hora Real y Estimada'!$A$4:$Z$78,
    MATCH(TRIM(CLEAN(A5)), 'Valor Hora Real y Estimada'!$A$4:$A$78, 0),
    MATCH(
      TEXT(C5,"dd mmm")&amp;" "&amp;D5,
      'Valor Hora Real y Estimada'!$A$3:$Z$3,
      0
    ) + 1
  ),
  0
)</f>
        <v>8286</v>
      </c>
      <c r="O5" s="453">
        <f t="shared" si="1"/>
        <v>338068.8</v>
      </c>
      <c r="P5" s="113"/>
      <c r="Q5" s="106">
        <f>IF(ISBLANK(O5), "", VLOOKUP(C5&amp;" "&amp;D5, 'Info Tipo de Cambio y REM'!$A$24:$B$35, 2, FALSE))</f>
        <v>1220</v>
      </c>
      <c r="R5" s="107">
        <f t="shared" si="2"/>
        <v>277.1055738</v>
      </c>
    </row>
    <row r="6" hidden="1">
      <c r="A6" s="443" t="s">
        <v>210</v>
      </c>
      <c r="B6" s="43" t="str">
        <f>IF(A6="", "", IFERROR(VLOOKUP(A6, Clasificaciones!A:B, 2, FALSE), "DATO NO CARGADO"))
</f>
        <v>Equipo</v>
      </c>
      <c r="C6" s="51" t="s">
        <v>123</v>
      </c>
      <c r="D6" s="43">
        <v>2025.0</v>
      </c>
      <c r="E6" s="43" t="s">
        <v>1124</v>
      </c>
      <c r="F6" s="202"/>
      <c r="G6" s="202" t="s">
        <v>1125</v>
      </c>
      <c r="H6" s="43" t="s">
        <v>1126</v>
      </c>
      <c r="I6" s="43" t="s">
        <v>1127</v>
      </c>
      <c r="J6" s="43" t="s">
        <v>180</v>
      </c>
      <c r="K6" s="443">
        <v>6.0</v>
      </c>
      <c r="L6" s="451">
        <v>0.5</v>
      </c>
      <c r="M6" s="443">
        <v>0.5</v>
      </c>
      <c r="N6" s="452">
        <f t="array" ref="N6">IFERROR(
  INDEX(
    'Valor Hora Real y Estimada'!$A$4:$Z$78,
    MATCH(TRIM(CLEAN(A6)), 'Valor Hora Real y Estimada'!$A$4:$A$78, 0),
    MATCH(
      TEXT(C6,"dd mmm")&amp;" "&amp;D6,
      'Valor Hora Real y Estimada'!$A$3:$Z$3,
      0
    ) + 1
  ),
  0
)</f>
        <v>14717</v>
      </c>
      <c r="O6" s="453">
        <f t="shared" si="1"/>
        <v>7358.5</v>
      </c>
      <c r="P6" s="113"/>
      <c r="Q6" s="106">
        <f>IF(ISBLANK(O6), "", VLOOKUP(C6&amp;" "&amp;D6, 'Info Tipo de Cambio y REM'!$A$24:$B$35, 2, FALSE))</f>
        <v>1220</v>
      </c>
      <c r="R6" s="107">
        <f t="shared" si="2"/>
        <v>6.031557377</v>
      </c>
    </row>
    <row r="7">
      <c r="A7" s="443" t="s">
        <v>200</v>
      </c>
      <c r="B7" s="43" t="str">
        <f>IF(A7="", "", IFERROR(VLOOKUP(A7, Clasificaciones!A:B, 2, FALSE), "DATO NO CARGADO"))
</f>
        <v>Equipo</v>
      </c>
      <c r="C7" s="51" t="s">
        <v>123</v>
      </c>
      <c r="D7" s="454">
        <v>2025.0</v>
      </c>
      <c r="E7" s="319" t="s">
        <v>1124</v>
      </c>
      <c r="F7" s="202"/>
      <c r="G7" s="202" t="s">
        <v>1128</v>
      </c>
      <c r="H7" s="43" t="s">
        <v>1126</v>
      </c>
      <c r="I7" s="43" t="s">
        <v>1129</v>
      </c>
      <c r="J7" s="43" t="s">
        <v>183</v>
      </c>
      <c r="K7" s="443">
        <v>60.0</v>
      </c>
      <c r="L7" s="455">
        <f>89.5+43.07</f>
        <v>132.57</v>
      </c>
      <c r="M7" s="443">
        <v>133.1</v>
      </c>
      <c r="N7" s="452">
        <f t="array" ref="N7">IFERROR(
  INDEX(
    'Valor Hora Real y Estimada'!$A$4:$Z$78,
    MATCH(TRIM(CLEAN(A7)), 'Valor Hora Real y Estimada'!$A$4:$A$78, 0),
    MATCH(
      TEXT(C7,"dd mmm")&amp;" "&amp;D7,
      'Valor Hora Real y Estimada'!$A$3:$Z$3,
      0
    ) + 1
  ),
  0
)</f>
        <v>13704</v>
      </c>
      <c r="O7" s="453">
        <f t="shared" si="1"/>
        <v>1824002.4</v>
      </c>
      <c r="P7" s="113"/>
      <c r="Q7" s="106">
        <f>IF(ISBLANK(O7), "", VLOOKUP(C7&amp;" "&amp;D7, 'Info Tipo de Cambio y REM'!$A$24:$B$35, 2, FALSE))</f>
        <v>1220</v>
      </c>
      <c r="R7" s="107">
        <f t="shared" si="2"/>
        <v>1495.083934</v>
      </c>
    </row>
    <row r="8">
      <c r="A8" s="443" t="s">
        <v>218</v>
      </c>
      <c r="B8" s="43" t="str">
        <f>IF(A8="", "", IFERROR(VLOOKUP(A8, Clasificaciones!A:B, 2, FALSE), "DATO NO CARGADO"))
</f>
        <v>Equipo</v>
      </c>
      <c r="C8" s="51" t="s">
        <v>123</v>
      </c>
      <c r="D8" s="454">
        <v>2025.0</v>
      </c>
      <c r="E8" s="319" t="s">
        <v>1124</v>
      </c>
      <c r="F8" s="202"/>
      <c r="G8" s="202" t="s">
        <v>1128</v>
      </c>
      <c r="H8" s="43" t="s">
        <v>1126</v>
      </c>
      <c r="I8" s="43" t="s">
        <v>1129</v>
      </c>
      <c r="J8" s="43" t="s">
        <v>183</v>
      </c>
      <c r="K8" s="443">
        <v>32.0</v>
      </c>
      <c r="L8" s="455">
        <f>66.65+53.08</f>
        <v>119.73</v>
      </c>
      <c r="M8" s="443">
        <v>120.0</v>
      </c>
      <c r="N8" s="452">
        <f t="array" ref="N8">IFERROR(
  INDEX(
    'Valor Hora Real y Estimada'!$A$4:$Z$78,
    MATCH(TRIM(CLEAN(A8)), 'Valor Hora Real y Estimada'!$A$4:$A$78, 0),
    MATCH(
      TEXT(C8,"dd mmm")&amp;" "&amp;D8,
      'Valor Hora Real y Estimada'!$A$3:$Z$3,
      0
    ) + 1
  ),
  0
)</f>
        <v>18000</v>
      </c>
      <c r="O8" s="453">
        <f t="shared" si="1"/>
        <v>2160000</v>
      </c>
      <c r="P8" s="113"/>
      <c r="Q8" s="106">
        <f>IF(ISBLANK(O8), "", VLOOKUP(C8&amp;" "&amp;D8, 'Info Tipo de Cambio y REM'!$A$24:$B$35, 2, FALSE))</f>
        <v>1220</v>
      </c>
      <c r="R8" s="107">
        <f t="shared" si="2"/>
        <v>1770.491803</v>
      </c>
    </row>
    <row r="9" hidden="1">
      <c r="A9" s="443" t="s">
        <v>218</v>
      </c>
      <c r="B9" s="43" t="str">
        <f>IF(A9="", "", IFERROR(VLOOKUP(A9, Clasificaciones!A:B, 2, FALSE), "DATO NO CARGADO"))
</f>
        <v>Equipo</v>
      </c>
      <c r="C9" s="51" t="s">
        <v>123</v>
      </c>
      <c r="D9" s="454">
        <v>2025.0</v>
      </c>
      <c r="E9" s="321" t="s">
        <v>1130</v>
      </c>
      <c r="F9" s="202"/>
      <c r="G9" s="202" t="s">
        <v>1131</v>
      </c>
      <c r="H9" s="43" t="s">
        <v>208</v>
      </c>
      <c r="I9" s="43"/>
      <c r="J9" s="43" t="s">
        <v>208</v>
      </c>
      <c r="K9" s="443"/>
      <c r="L9" s="451">
        <v>1.5</v>
      </c>
      <c r="M9" s="443"/>
      <c r="N9" s="452">
        <f t="array" ref="N9">IFERROR(
  INDEX(
    'Valor Hora Real y Estimada'!$A$4:$Z$78,
    MATCH(TRIM(CLEAN(A9)), 'Valor Hora Real y Estimada'!$A$4:$A$78, 0),
    MATCH(
      TEXT(C9,"dd mmm")&amp;" "&amp;D9,
      'Valor Hora Real y Estimada'!$A$3:$Z$3,
      0
    ) + 1
  ),
  0
)</f>
        <v>18000</v>
      </c>
      <c r="O9" s="453">
        <f t="shared" si="1"/>
        <v>0</v>
      </c>
      <c r="P9" s="113"/>
      <c r="Q9" s="106">
        <f>IF(ISBLANK(O9), "", VLOOKUP(C9&amp;" "&amp;D9, 'Info Tipo de Cambio y REM'!$A$24:$B$35, 2, FALSE))</f>
        <v>1220</v>
      </c>
      <c r="R9" s="107">
        <f t="shared" si="2"/>
        <v>0</v>
      </c>
    </row>
    <row r="10">
      <c r="A10" s="443" t="s">
        <v>197</v>
      </c>
      <c r="B10" s="43" t="str">
        <f>IF(A10="", "", IFERROR(VLOOKUP(A10, Clasificaciones!A:B, 2, FALSE), "DATO NO CARGADO"))
</f>
        <v>Equipo</v>
      </c>
      <c r="C10" s="51" t="s">
        <v>123</v>
      </c>
      <c r="D10" s="454">
        <v>2025.0</v>
      </c>
      <c r="E10" s="319" t="s">
        <v>1124</v>
      </c>
      <c r="F10" s="202"/>
      <c r="G10" s="202" t="s">
        <v>1128</v>
      </c>
      <c r="H10" s="43" t="s">
        <v>1126</v>
      </c>
      <c r="I10" s="43" t="s">
        <v>1129</v>
      </c>
      <c r="J10" s="43" t="s">
        <v>183</v>
      </c>
      <c r="K10" s="443">
        <v>50.0</v>
      </c>
      <c r="L10" s="451">
        <v>16.0</v>
      </c>
      <c r="M10" s="443">
        <v>16.0</v>
      </c>
      <c r="N10" s="452">
        <f t="array" ref="N10">IFERROR(
  INDEX(
    'Valor Hora Real y Estimada'!$A$4:$Z$78,
    MATCH(TRIM(CLEAN(A10)), 'Valor Hora Real y Estimada'!$A$4:$A$78, 0),
    MATCH(
      TEXT(C10,"dd mmm")&amp;" "&amp;D10,
      'Valor Hora Real y Estimada'!$A$3:$Z$3,
      0
    ) + 1
  ),
  0
)</f>
        <v>9049</v>
      </c>
      <c r="O10" s="453">
        <f t="shared" si="1"/>
        <v>144784</v>
      </c>
      <c r="P10" s="113"/>
      <c r="Q10" s="106">
        <f>IF(ISBLANK(O10), "", VLOOKUP(C10&amp;" "&amp;D10, 'Info Tipo de Cambio y REM'!$A$24:$B$35, 2, FALSE))</f>
        <v>1220</v>
      </c>
      <c r="R10" s="107">
        <f t="shared" si="2"/>
        <v>118.6754098</v>
      </c>
    </row>
    <row r="11">
      <c r="A11" s="443" t="s">
        <v>221</v>
      </c>
      <c r="B11" s="43" t="str">
        <f>IF(A11="", "", IFERROR(VLOOKUP(A11, Clasificaciones!A:B, 2, FALSE), "DATO NO CARGADO"))
</f>
        <v>Equipo</v>
      </c>
      <c r="C11" s="51" t="s">
        <v>123</v>
      </c>
      <c r="D11" s="454">
        <v>2025.0</v>
      </c>
      <c r="E11" s="319" t="s">
        <v>1124</v>
      </c>
      <c r="F11" s="202"/>
      <c r="G11" s="202" t="s">
        <v>1128</v>
      </c>
      <c r="H11" s="43" t="s">
        <v>1126</v>
      </c>
      <c r="I11" s="43" t="s">
        <v>1129</v>
      </c>
      <c r="J11" s="43" t="s">
        <v>183</v>
      </c>
      <c r="K11" s="443">
        <v>60.0</v>
      </c>
      <c r="L11" s="451">
        <v>109.0</v>
      </c>
      <c r="M11" s="443">
        <v>109.0</v>
      </c>
      <c r="N11" s="452">
        <f t="array" ref="N11">IFERROR(
  INDEX(
    'Valor Hora Real y Estimada'!$A$4:$Z$78,
    MATCH(TRIM(CLEAN(A11)), 'Valor Hora Real y Estimada'!$A$4:$A$78, 0),
    MATCH(
      TEXT(C11,"dd mmm")&amp;" "&amp;D11,
      'Valor Hora Real y Estimada'!$A$3:$Z$3,
      0
    ) + 1
  ),
  0
)</f>
        <v>8801</v>
      </c>
      <c r="O11" s="453">
        <f t="shared" si="1"/>
        <v>959309</v>
      </c>
      <c r="P11" s="113"/>
      <c r="Q11" s="106">
        <f>IF(ISBLANK(O11), "", VLOOKUP(C11&amp;" "&amp;D11, 'Info Tipo de Cambio y REM'!$A$24:$B$35, 2, FALSE))</f>
        <v>1220</v>
      </c>
      <c r="R11" s="107">
        <f t="shared" si="2"/>
        <v>786.3188525</v>
      </c>
    </row>
    <row r="12">
      <c r="A12" s="443" t="s">
        <v>205</v>
      </c>
      <c r="B12" s="43" t="str">
        <f>IF(A12="", "", IFERROR(VLOOKUP(A12, Clasificaciones!A:B, 2, FALSE), "DATO NO CARGADO"))
</f>
        <v>Equipo</v>
      </c>
      <c r="C12" s="51" t="s">
        <v>123</v>
      </c>
      <c r="D12" s="454">
        <v>2025.0</v>
      </c>
      <c r="E12" s="319" t="s">
        <v>1124</v>
      </c>
      <c r="F12" s="202"/>
      <c r="G12" s="202" t="s">
        <v>1128</v>
      </c>
      <c r="H12" s="43" t="s">
        <v>1126</v>
      </c>
      <c r="I12" s="43" t="s">
        <v>1129</v>
      </c>
      <c r="J12" s="43" t="s">
        <v>183</v>
      </c>
      <c r="K12" s="443">
        <v>100.0</v>
      </c>
      <c r="L12" s="455">
        <f>64.02+14.67</f>
        <v>78.69</v>
      </c>
      <c r="M12" s="443">
        <v>79.0</v>
      </c>
      <c r="N12" s="452">
        <f t="array" ref="N12">IFERROR(
  INDEX(
    'Valor Hora Real y Estimada'!$A$4:$Z$78,
    MATCH(TRIM(CLEAN(A12)), 'Valor Hora Real y Estimada'!$A$4:$A$78, 0),
    MATCH(
      TEXT(C12,"dd mmm")&amp;" "&amp;D12,
      'Valor Hora Real y Estimada'!$A$3:$Z$3,
      0
    ) + 1
  ),
  0
)</f>
        <v>8157</v>
      </c>
      <c r="O12" s="453">
        <f t="shared" si="1"/>
        <v>644403</v>
      </c>
      <c r="P12" s="113"/>
      <c r="Q12" s="106">
        <f>IF(ISBLANK(O12), "", VLOOKUP(C12&amp;" "&amp;D12, 'Info Tipo de Cambio y REM'!$A$24:$B$35, 2, FALSE))</f>
        <v>1220</v>
      </c>
      <c r="R12" s="107">
        <f t="shared" si="2"/>
        <v>528.1991803</v>
      </c>
    </row>
    <row r="13" hidden="1">
      <c r="A13" s="443" t="s">
        <v>205</v>
      </c>
      <c r="B13" s="43" t="str">
        <f>IF(A13="", "", IFERROR(VLOOKUP(A13, Clasificaciones!A:B, 2, FALSE), "DATO NO CARGADO"))
</f>
        <v>Equipo</v>
      </c>
      <c r="C13" s="51" t="s">
        <v>123</v>
      </c>
      <c r="D13" s="454">
        <v>2025.0</v>
      </c>
      <c r="E13" s="321" t="s">
        <v>1130</v>
      </c>
      <c r="F13" s="202"/>
      <c r="G13" s="202" t="s">
        <v>1131</v>
      </c>
      <c r="H13" s="43" t="s">
        <v>208</v>
      </c>
      <c r="I13" s="43"/>
      <c r="J13" s="43" t="s">
        <v>208</v>
      </c>
      <c r="K13" s="443"/>
      <c r="L13" s="451">
        <v>1.5</v>
      </c>
      <c r="M13" s="443"/>
      <c r="N13" s="452">
        <f t="array" ref="N13">IFERROR(
  INDEX(
    'Valor Hora Real y Estimada'!$A$4:$Z$78,
    MATCH(TRIM(CLEAN(A13)), 'Valor Hora Real y Estimada'!$A$4:$A$78, 0),
    MATCH(
      TEXT(C13,"dd mmm")&amp;" "&amp;D13,
      'Valor Hora Real y Estimada'!$A$3:$Z$3,
      0
    ) + 1
  ),
  0
)</f>
        <v>8157</v>
      </c>
      <c r="O13" s="453">
        <f t="shared" si="1"/>
        <v>0</v>
      </c>
      <c r="P13" s="113"/>
      <c r="Q13" s="106">
        <f>IF(ISBLANK(O13), "", VLOOKUP(C13&amp;" "&amp;D13, 'Info Tipo de Cambio y REM'!$A$24:$B$35, 2, FALSE))</f>
        <v>1220</v>
      </c>
      <c r="R13" s="107">
        <f t="shared" si="2"/>
        <v>0</v>
      </c>
    </row>
    <row r="14">
      <c r="A14" s="443" t="s">
        <v>212</v>
      </c>
      <c r="B14" s="43" t="str">
        <f>IF(A14="", "", IFERROR(VLOOKUP(A14, Clasificaciones!A:B, 2, FALSE), "DATO NO CARGADO"))
</f>
        <v>Equipo</v>
      </c>
      <c r="C14" s="51" t="s">
        <v>123</v>
      </c>
      <c r="D14" s="454">
        <v>2025.0</v>
      </c>
      <c r="E14" s="319" t="s">
        <v>1124</v>
      </c>
      <c r="F14" s="202"/>
      <c r="G14" s="202" t="s">
        <v>1128</v>
      </c>
      <c r="H14" s="43" t="s">
        <v>1126</v>
      </c>
      <c r="I14" s="43" t="s">
        <v>1129</v>
      </c>
      <c r="J14" s="43" t="s">
        <v>183</v>
      </c>
      <c r="K14" s="443">
        <v>10.0</v>
      </c>
      <c r="L14" s="451">
        <v>31.0</v>
      </c>
      <c r="M14" s="443">
        <f>31.2+0.03-0.06</f>
        <v>31.17</v>
      </c>
      <c r="N14" s="452">
        <f t="array" ref="N14">IFERROR(
  INDEX(
    'Valor Hora Real y Estimada'!$A$4:$Z$78,
    MATCH(TRIM(CLEAN(A14)), 'Valor Hora Real y Estimada'!$A$4:$A$78, 0),
    MATCH(
      TEXT(C14,"dd mmm")&amp;" "&amp;D14,
      'Valor Hora Real y Estimada'!$A$3:$Z$3,
      0
    ) + 1
  ),
  0
)</f>
        <v>7000</v>
      </c>
      <c r="O14" s="453">
        <f t="shared" si="1"/>
        <v>218190</v>
      </c>
      <c r="P14" s="113"/>
      <c r="Q14" s="106">
        <f>IF(ISBLANK(O14), "", VLOOKUP(C14&amp;" "&amp;D14, 'Info Tipo de Cambio y REM'!$A$24:$B$35, 2, FALSE))</f>
        <v>1220</v>
      </c>
      <c r="R14" s="107">
        <f t="shared" si="2"/>
        <v>178.8442623</v>
      </c>
    </row>
    <row r="15">
      <c r="A15" s="443" t="s">
        <v>203</v>
      </c>
      <c r="B15" s="43" t="str">
        <f>IF(A15="", "", IFERROR(VLOOKUP(A15, Clasificaciones!A:B, 2, FALSE), "DATO NO CARGADO"))
</f>
        <v>Equipo</v>
      </c>
      <c r="C15" s="51" t="s">
        <v>123</v>
      </c>
      <c r="D15" s="454">
        <v>2025.0</v>
      </c>
      <c r="E15" s="319" t="s">
        <v>1124</v>
      </c>
      <c r="F15" s="202"/>
      <c r="G15" s="202" t="s">
        <v>1128</v>
      </c>
      <c r="H15" s="43" t="s">
        <v>1126</v>
      </c>
      <c r="I15" s="43" t="s">
        <v>1129</v>
      </c>
      <c r="J15" s="43" t="s">
        <v>183</v>
      </c>
      <c r="K15" s="443">
        <v>30.0</v>
      </c>
      <c r="L15" s="455">
        <f>37+27</f>
        <v>64</v>
      </c>
      <c r="M15" s="443">
        <f>52.4-0.07</f>
        <v>52.33</v>
      </c>
      <c r="N15" s="452">
        <f t="array" ref="N15">IFERROR(
  INDEX(
    'Valor Hora Real y Estimada'!$A$4:$Z$78,
    MATCH(TRIM(CLEAN(A15)), 'Valor Hora Real y Estimada'!$A$4:$A$78, 0),
    MATCH(
      TEXT(C15,"dd mmm")&amp;" "&amp;D15,
      'Valor Hora Real y Estimada'!$A$3:$Z$3,
      0
    ) + 1
  ),
  0
)</f>
        <v>8286</v>
      </c>
      <c r="O15" s="453">
        <f t="shared" si="1"/>
        <v>433606.38</v>
      </c>
      <c r="P15" s="113"/>
      <c r="Q15" s="106">
        <f>IF(ISBLANK(O15), "", VLOOKUP(C15&amp;" "&amp;D15, 'Info Tipo de Cambio y REM'!$A$24:$B$35, 2, FALSE))</f>
        <v>1220</v>
      </c>
      <c r="R15" s="107">
        <f t="shared" si="2"/>
        <v>355.4150656</v>
      </c>
    </row>
    <row r="16">
      <c r="A16" s="443" t="s">
        <v>194</v>
      </c>
      <c r="B16" s="43" t="str">
        <f>IF(A16="", "", IFERROR(VLOOKUP(A16, Clasificaciones!A:B, 2, FALSE), "DATO NO CARGADO"))
</f>
        <v>Equipo</v>
      </c>
      <c r="C16" s="51" t="s">
        <v>123</v>
      </c>
      <c r="D16" s="454">
        <v>2025.0</v>
      </c>
      <c r="E16" s="319" t="s">
        <v>1124</v>
      </c>
      <c r="F16" s="202"/>
      <c r="G16" s="202" t="s">
        <v>1128</v>
      </c>
      <c r="H16" s="43" t="s">
        <v>1126</v>
      </c>
      <c r="I16" s="43" t="s">
        <v>1129</v>
      </c>
      <c r="J16" s="43" t="s">
        <v>183</v>
      </c>
      <c r="K16" s="443">
        <v>150.0</v>
      </c>
      <c r="L16" s="455">
        <f>70.03+79.8</f>
        <v>149.83</v>
      </c>
      <c r="M16" s="443">
        <v>149.8</v>
      </c>
      <c r="N16" s="452">
        <f t="array" ref="N16">IFERROR(
  INDEX(
    'Valor Hora Real y Estimada'!$A$4:$Z$78,
    MATCH(TRIM(CLEAN(A16)), 'Valor Hora Real y Estimada'!$A$4:$A$78, 0),
    MATCH(
      TEXT(C16,"dd mmm")&amp;" "&amp;D16,
      'Valor Hora Real y Estimada'!$A$3:$Z$3,
      0
    ) + 1
  ),
  0
)</f>
        <v>9687.5</v>
      </c>
      <c r="O16" s="453">
        <f t="shared" si="1"/>
        <v>1451187.5</v>
      </c>
      <c r="P16" s="113"/>
      <c r="Q16" s="106">
        <f>IF(ISBLANK(O16), "", VLOOKUP(C16&amp;" "&amp;D16, 'Info Tipo de Cambio y REM'!$A$24:$B$35, 2, FALSE))</f>
        <v>1220</v>
      </c>
      <c r="R16" s="107">
        <f t="shared" si="2"/>
        <v>1189.497951</v>
      </c>
    </row>
    <row r="17">
      <c r="A17" s="443" t="s">
        <v>216</v>
      </c>
      <c r="B17" s="43" t="str">
        <f>IF(A17="", "", IFERROR(VLOOKUP(A17, Clasificaciones!A:B, 2, FALSE), "DATO NO CARGADO"))
</f>
        <v>Equipo</v>
      </c>
      <c r="C17" s="51" t="s">
        <v>123</v>
      </c>
      <c r="D17" s="454">
        <v>2025.0</v>
      </c>
      <c r="E17" s="319" t="s">
        <v>1124</v>
      </c>
      <c r="F17" s="202"/>
      <c r="G17" s="202" t="s">
        <v>1128</v>
      </c>
      <c r="H17" s="43" t="s">
        <v>1126</v>
      </c>
      <c r="I17" s="43" t="s">
        <v>1129</v>
      </c>
      <c r="J17" s="43" t="s">
        <v>183</v>
      </c>
      <c r="K17" s="443">
        <v>32.0</v>
      </c>
      <c r="L17" s="451">
        <v>6.68</v>
      </c>
      <c r="M17" s="443">
        <v>6.7</v>
      </c>
      <c r="N17" s="452">
        <f t="array" ref="N17">IFERROR(
  INDEX(
    'Valor Hora Real y Estimada'!$A$4:$Z$78,
    MATCH(TRIM(CLEAN(A17)), 'Valor Hora Real y Estimada'!$A$4:$A$78, 0),
    MATCH(
      TEXT(C17,"dd mmm")&amp;" "&amp;D17,
      'Valor Hora Real y Estimada'!$A$3:$Z$3,
      0
    ) + 1
  ),
  0
)</f>
        <v>12166</v>
      </c>
      <c r="O17" s="453">
        <f t="shared" si="1"/>
        <v>81512.2</v>
      </c>
      <c r="P17" s="113"/>
      <c r="Q17" s="106">
        <f>IF(ISBLANK(O17), "", VLOOKUP(C17&amp;" "&amp;D17, 'Info Tipo de Cambio y REM'!$A$24:$B$35, 2, FALSE))</f>
        <v>1220</v>
      </c>
      <c r="R17" s="107">
        <f t="shared" si="2"/>
        <v>66.81327869</v>
      </c>
    </row>
    <row r="18">
      <c r="A18" s="443" t="s">
        <v>228</v>
      </c>
      <c r="B18" s="43" t="str">
        <f>IF(A18="", "", IFERROR(VLOOKUP(A18, Clasificaciones!A:B, 2, FALSE), "DATO NO CARGADO"))
</f>
        <v>Equipo</v>
      </c>
      <c r="C18" s="51" t="s">
        <v>123</v>
      </c>
      <c r="D18" s="454">
        <v>2025.0</v>
      </c>
      <c r="E18" s="319" t="s">
        <v>1124</v>
      </c>
      <c r="F18" s="202"/>
      <c r="G18" s="202" t="s">
        <v>1128</v>
      </c>
      <c r="H18" s="43" t="s">
        <v>1126</v>
      </c>
      <c r="I18" s="43" t="s">
        <v>1129</v>
      </c>
      <c r="J18" s="43" t="s">
        <v>183</v>
      </c>
      <c r="K18" s="443">
        <v>32.0</v>
      </c>
      <c r="L18" s="451">
        <v>12.63</v>
      </c>
      <c r="M18" s="443">
        <v>12.6</v>
      </c>
      <c r="N18" s="452">
        <f t="array" ref="N18">IFERROR(
  INDEX(
    'Valor Hora Real y Estimada'!$A$4:$Z$78,
    MATCH(TRIM(CLEAN(A18)), 'Valor Hora Real y Estimada'!$A$4:$A$78, 0),
    MATCH(
      TEXT(C18,"dd mmm")&amp;" "&amp;D18,
      'Valor Hora Real y Estimada'!$A$3:$Z$3,
      0
    ) + 1
  ),
  0
)</f>
        <v>30000</v>
      </c>
      <c r="O18" s="453">
        <f t="shared" si="1"/>
        <v>378000</v>
      </c>
      <c r="P18" s="113"/>
      <c r="Q18" s="106">
        <f>IF(ISBLANK(O18), "", VLOOKUP(C18&amp;" "&amp;D18, 'Info Tipo de Cambio y REM'!$A$24:$B$35, 2, FALSE))</f>
        <v>1220</v>
      </c>
      <c r="R18" s="107">
        <f t="shared" si="2"/>
        <v>309.8360656</v>
      </c>
    </row>
    <row r="19">
      <c r="A19" s="443" t="s">
        <v>207</v>
      </c>
      <c r="B19" s="43" t="str">
        <f>IF(A19="", "", IFERROR(VLOOKUP(A19, Clasificaciones!A:B, 2, FALSE), "DATO NO CARGADO"))
</f>
        <v>Equipo</v>
      </c>
      <c r="C19" s="51" t="s">
        <v>123</v>
      </c>
      <c r="D19" s="454">
        <v>2025.0</v>
      </c>
      <c r="E19" s="319" t="s">
        <v>1124</v>
      </c>
      <c r="F19" s="202"/>
      <c r="G19" s="202" t="s">
        <v>1128</v>
      </c>
      <c r="H19" s="43" t="s">
        <v>1126</v>
      </c>
      <c r="I19" s="43" t="s">
        <v>1129</v>
      </c>
      <c r="J19" s="43" t="s">
        <v>183</v>
      </c>
      <c r="K19" s="443">
        <v>140.0</v>
      </c>
      <c r="L19" s="451">
        <f>50.13+5</f>
        <v>55.13</v>
      </c>
      <c r="M19" s="443">
        <v>55.0</v>
      </c>
      <c r="N19" s="452">
        <f t="array" ref="N19">IFERROR(
  INDEX(
    'Valor Hora Real y Estimada'!$A$4:$Z$78,
    MATCH(TRIM(CLEAN(A19)), 'Valor Hora Real y Estimada'!$A$4:$A$78, 0),
    MATCH(
      TEXT(C19,"dd mmm")&amp;" "&amp;D19,
      'Valor Hora Real y Estimada'!$A$3:$Z$3,
      0
    ) + 1
  ),
  0
)</f>
        <v>10000</v>
      </c>
      <c r="O19" s="453">
        <f t="shared" si="1"/>
        <v>550000</v>
      </c>
      <c r="P19" s="113"/>
      <c r="Q19" s="106">
        <f>IF(ISBLANK(O19), "", VLOOKUP(C19&amp;" "&amp;D19, 'Info Tipo de Cambio y REM'!$A$24:$B$35, 2, FALSE))</f>
        <v>1220</v>
      </c>
      <c r="R19" s="107">
        <f t="shared" si="2"/>
        <v>450.8196721</v>
      </c>
    </row>
    <row r="20">
      <c r="A20" s="443" t="s">
        <v>87</v>
      </c>
      <c r="B20" s="43" t="str">
        <f>IF(A20="", "", IFERROR(VLOOKUP(A20, Clasificaciones!A:B, 2, FALSE), "DATO NO CARGADO"))
</f>
        <v>Equipo</v>
      </c>
      <c r="C20" s="51" t="s">
        <v>123</v>
      </c>
      <c r="D20" s="454">
        <v>2025.0</v>
      </c>
      <c r="E20" s="319" t="s">
        <v>1124</v>
      </c>
      <c r="F20" s="202"/>
      <c r="G20" s="202" t="s">
        <v>1128</v>
      </c>
      <c r="H20" s="43" t="s">
        <v>1126</v>
      </c>
      <c r="I20" s="43" t="s">
        <v>1129</v>
      </c>
      <c r="J20" s="43" t="s">
        <v>183</v>
      </c>
      <c r="K20" s="443">
        <v>80.0</v>
      </c>
      <c r="L20" s="451">
        <v>5.5</v>
      </c>
      <c r="M20" s="443">
        <v>5.5</v>
      </c>
      <c r="N20" s="452">
        <f t="array" ref="N20">IFERROR(
  INDEX(
    'Valor Hora Real y Estimada'!$A$4:$Z$78,
    MATCH(TRIM(CLEAN(A20)), 'Valor Hora Real y Estimada'!$A$4:$A$78, 0),
    MATCH(
      TEXT(C20,"dd mmm")&amp;" "&amp;D20,
      'Valor Hora Real y Estimada'!$A$3:$Z$3,
      0
    ) + 1
  ),
  0
)</f>
        <v>6250</v>
      </c>
      <c r="O20" s="453">
        <f t="shared" si="1"/>
        <v>34375</v>
      </c>
      <c r="P20" s="113"/>
      <c r="Q20" s="106">
        <f>IF(ISBLANK(O20), "", VLOOKUP(C20&amp;" "&amp;D20, 'Info Tipo de Cambio y REM'!$A$24:$B$35, 2, FALSE))</f>
        <v>1220</v>
      </c>
      <c r="R20" s="107">
        <f t="shared" si="2"/>
        <v>28.17622951</v>
      </c>
    </row>
    <row r="21">
      <c r="A21" s="443" t="s">
        <v>233</v>
      </c>
      <c r="B21" s="43" t="str">
        <f>IF(A21="", "", IFERROR(VLOOKUP(A21, Clasificaciones!A:B, 2, FALSE), "DATO NO CARGADO"))
</f>
        <v>Equipo</v>
      </c>
      <c r="C21" s="51" t="s">
        <v>123</v>
      </c>
      <c r="D21" s="454">
        <v>2025.0</v>
      </c>
      <c r="E21" s="319" t="s">
        <v>1124</v>
      </c>
      <c r="F21" s="202"/>
      <c r="G21" s="202" t="s">
        <v>1128</v>
      </c>
      <c r="H21" s="43" t="s">
        <v>1126</v>
      </c>
      <c r="I21" s="43" t="s">
        <v>1129</v>
      </c>
      <c r="J21" s="43" t="s">
        <v>183</v>
      </c>
      <c r="K21" s="443">
        <v>0.0</v>
      </c>
      <c r="L21" s="455"/>
      <c r="M21" s="443">
        <v>34.0</v>
      </c>
      <c r="N21" s="452">
        <f t="array" ref="N21">IFERROR(
  INDEX(
    'Valor Hora Real y Estimada'!$A$4:$Z$78,
    MATCH(TRIM(CLEAN(A21)), 'Valor Hora Real y Estimada'!$A$4:$A$78, 0),
    MATCH(
      TEXT(C21,"dd mmm")&amp;" "&amp;D21,
      'Valor Hora Real y Estimada'!$A$3:$Z$3,
      0
    ) + 1
  ),
  0
)</f>
        <v>9000</v>
      </c>
      <c r="O21" s="453">
        <f t="shared" si="1"/>
        <v>306000</v>
      </c>
      <c r="P21" s="113"/>
      <c r="Q21" s="106">
        <f>IF(ISBLANK(O21), "", VLOOKUP(C21&amp;" "&amp;D21, 'Info Tipo de Cambio y REM'!$A$24:$B$35, 2, FALSE))</f>
        <v>1220</v>
      </c>
      <c r="R21" s="107">
        <f t="shared" si="2"/>
        <v>250.8196721</v>
      </c>
    </row>
    <row r="22">
      <c r="A22" s="443" t="s">
        <v>210</v>
      </c>
      <c r="B22" s="43" t="str">
        <f>IF(A22="", "", IFERROR(VLOOKUP(A22, Clasificaciones!A:B, 2, FALSE), "DATO NO CARGADO"))
</f>
        <v>Equipo</v>
      </c>
      <c r="C22" s="51" t="s">
        <v>123</v>
      </c>
      <c r="D22" s="454">
        <v>2025.0</v>
      </c>
      <c r="E22" s="319" t="s">
        <v>1124</v>
      </c>
      <c r="F22" s="202"/>
      <c r="G22" s="202" t="s">
        <v>1128</v>
      </c>
      <c r="H22" s="43" t="s">
        <v>1126</v>
      </c>
      <c r="I22" s="43" t="s">
        <v>1129</v>
      </c>
      <c r="J22" s="43" t="s">
        <v>183</v>
      </c>
      <c r="K22" s="443">
        <v>0.0</v>
      </c>
      <c r="L22" s="455">
        <f>7.72+3</f>
        <v>10.72</v>
      </c>
      <c r="M22" s="443">
        <v>10.5</v>
      </c>
      <c r="N22" s="452">
        <f t="array" ref="N22">IFERROR(
  INDEX(
    'Valor Hora Real y Estimada'!$A$4:$Z$78,
    MATCH(TRIM(CLEAN(A22)), 'Valor Hora Real y Estimada'!$A$4:$A$78, 0),
    MATCH(
      TEXT(C22,"dd mmm")&amp;" "&amp;D22,
      'Valor Hora Real y Estimada'!$A$3:$Z$3,
      0
    ) + 1
  ),
  0
)</f>
        <v>14717</v>
      </c>
      <c r="O22" s="453">
        <f t="shared" si="1"/>
        <v>154528.5</v>
      </c>
      <c r="P22" s="113"/>
      <c r="Q22" s="106">
        <f>IF(ISBLANK(O22), "", VLOOKUP(C22&amp;" "&amp;D22, 'Info Tipo de Cambio y REM'!$A$24:$B$35, 2, FALSE))</f>
        <v>1220</v>
      </c>
      <c r="R22" s="107">
        <f t="shared" si="2"/>
        <v>126.6627049</v>
      </c>
    </row>
    <row r="23" hidden="1">
      <c r="A23" s="443" t="s">
        <v>197</v>
      </c>
      <c r="B23" s="43" t="str">
        <f>IF(A23="", "", IFERROR(VLOOKUP(A23, Clasificaciones!A:B, 2, FALSE), "DATO NO CARGADO"))
</f>
        <v>Equipo</v>
      </c>
      <c r="C23" s="51" t="s">
        <v>123</v>
      </c>
      <c r="D23" s="454">
        <v>2025.0</v>
      </c>
      <c r="E23" s="319" t="s">
        <v>1124</v>
      </c>
      <c r="F23" s="202"/>
      <c r="G23" s="202" t="s">
        <v>1132</v>
      </c>
      <c r="H23" s="43" t="s">
        <v>1133</v>
      </c>
      <c r="I23" s="43" t="s">
        <v>1134</v>
      </c>
      <c r="J23" s="43" t="s">
        <v>199</v>
      </c>
      <c r="K23" s="443"/>
      <c r="L23" s="451">
        <v>1.0</v>
      </c>
      <c r="M23" s="443">
        <v>1.0</v>
      </c>
      <c r="N23" s="452">
        <f t="array" ref="N23">IFERROR(
  INDEX(
    'Valor Hora Real y Estimada'!$A$4:$Z$78,
    MATCH(TRIM(CLEAN(A23)), 'Valor Hora Real y Estimada'!$A$4:$A$78, 0),
    MATCH(
      TEXT(C23,"dd mmm")&amp;" "&amp;D23,
      'Valor Hora Real y Estimada'!$A$3:$Z$3,
      0
    ) + 1
  ),
  0
)</f>
        <v>9049</v>
      </c>
      <c r="O23" s="453">
        <f t="shared" si="1"/>
        <v>9049</v>
      </c>
      <c r="P23" s="113"/>
      <c r="Q23" s="106">
        <f>IF(ISBLANK(O23), "", VLOOKUP(C23&amp;" "&amp;D23, 'Info Tipo de Cambio y REM'!$A$24:$B$35, 2, FALSE))</f>
        <v>1220</v>
      </c>
      <c r="R23" s="107">
        <f t="shared" si="2"/>
        <v>7.417213115</v>
      </c>
    </row>
    <row r="24" hidden="1">
      <c r="A24" s="443" t="s">
        <v>221</v>
      </c>
      <c r="B24" s="43" t="str">
        <f>IF(A24="", "", IFERROR(VLOOKUP(A24, Clasificaciones!A:B, 2, FALSE), "DATO NO CARGADO"))
</f>
        <v>Equipo</v>
      </c>
      <c r="C24" s="51" t="s">
        <v>123</v>
      </c>
      <c r="D24" s="454">
        <v>2025.0</v>
      </c>
      <c r="E24" s="319" t="s">
        <v>1124</v>
      </c>
      <c r="F24" s="202"/>
      <c r="G24" s="202" t="s">
        <v>1132</v>
      </c>
      <c r="H24" s="43" t="s">
        <v>1133</v>
      </c>
      <c r="I24" s="43" t="s">
        <v>1134</v>
      </c>
      <c r="J24" s="43" t="s">
        <v>199</v>
      </c>
      <c r="K24" s="443"/>
      <c r="L24" s="451">
        <v>10.0</v>
      </c>
      <c r="M24" s="443">
        <v>10.0</v>
      </c>
      <c r="N24" s="452">
        <f t="array" ref="N24">IFERROR(
  INDEX(
    'Valor Hora Real y Estimada'!$A$4:$Z$78,
    MATCH(TRIM(CLEAN(A24)), 'Valor Hora Real y Estimada'!$A$4:$A$78, 0),
    MATCH(
      TEXT(C24,"dd mmm")&amp;" "&amp;D24,
      'Valor Hora Real y Estimada'!$A$3:$Z$3,
      0
    ) + 1
  ),
  0
)</f>
        <v>8801</v>
      </c>
      <c r="O24" s="453">
        <f t="shared" si="1"/>
        <v>88010</v>
      </c>
      <c r="P24" s="113"/>
      <c r="Q24" s="106">
        <f>IF(ISBLANK(O24), "", VLOOKUP(C24&amp;" "&amp;D24, 'Info Tipo de Cambio y REM'!$A$24:$B$35, 2, FALSE))</f>
        <v>1220</v>
      </c>
      <c r="R24" s="107">
        <f t="shared" si="2"/>
        <v>72.13934426</v>
      </c>
    </row>
    <row r="25" hidden="1">
      <c r="A25" s="443" t="s">
        <v>203</v>
      </c>
      <c r="B25" s="43" t="str">
        <f>IF(A25="", "", IFERROR(VLOOKUP(A25, Clasificaciones!A:B, 2, FALSE), "DATO NO CARGADO"))
</f>
        <v>Equipo</v>
      </c>
      <c r="C25" s="51" t="s">
        <v>123</v>
      </c>
      <c r="D25" s="454">
        <v>2025.0</v>
      </c>
      <c r="E25" s="319" t="s">
        <v>1124</v>
      </c>
      <c r="F25" s="202"/>
      <c r="G25" s="202" t="s">
        <v>1132</v>
      </c>
      <c r="H25" s="43" t="s">
        <v>1133</v>
      </c>
      <c r="I25" s="43" t="s">
        <v>1134</v>
      </c>
      <c r="J25" s="43" t="s">
        <v>199</v>
      </c>
      <c r="K25" s="443"/>
      <c r="L25" s="451">
        <v>1.0</v>
      </c>
      <c r="M25" s="443">
        <v>1.2</v>
      </c>
      <c r="N25" s="452">
        <f t="array" ref="N25">IFERROR(
  INDEX(
    'Valor Hora Real y Estimada'!$A$4:$Z$78,
    MATCH(TRIM(CLEAN(A25)), 'Valor Hora Real y Estimada'!$A$4:$A$78, 0),
    MATCH(
      TEXT(C25,"dd mmm")&amp;" "&amp;D25,
      'Valor Hora Real y Estimada'!$A$3:$Z$3,
      0
    ) + 1
  ),
  0
)</f>
        <v>8286</v>
      </c>
      <c r="O25" s="453">
        <f t="shared" si="1"/>
        <v>9943.2</v>
      </c>
      <c r="P25" s="113"/>
      <c r="Q25" s="106">
        <f>IF(ISBLANK(O25), "", VLOOKUP(C25&amp;" "&amp;D25, 'Info Tipo de Cambio y REM'!$A$24:$B$35, 2, FALSE))</f>
        <v>1220</v>
      </c>
      <c r="R25" s="107">
        <f t="shared" si="2"/>
        <v>8.150163934</v>
      </c>
    </row>
    <row r="26" hidden="1">
      <c r="A26" s="443" t="s">
        <v>120</v>
      </c>
      <c r="B26" s="43" t="str">
        <f>IF(A26="", "", IFERROR(VLOOKUP(A26, Clasificaciones!A:B, 2, FALSE), "DATO NO CARGADO"))
</f>
        <v>Equipo</v>
      </c>
      <c r="C26" s="51" t="s">
        <v>123</v>
      </c>
      <c r="D26" s="454">
        <v>2025.0</v>
      </c>
      <c r="E26" s="321" t="s">
        <v>1130</v>
      </c>
      <c r="F26" s="202"/>
      <c r="G26" s="202" t="s">
        <v>1135</v>
      </c>
      <c r="H26" s="43" t="s">
        <v>208</v>
      </c>
      <c r="I26" s="43" t="s">
        <v>1136</v>
      </c>
      <c r="J26" s="43" t="s">
        <v>208</v>
      </c>
      <c r="K26" s="443"/>
      <c r="L26" s="451">
        <v>49.02</v>
      </c>
      <c r="M26" s="443">
        <f>39+58.73</f>
        <v>97.73</v>
      </c>
      <c r="N26" s="452">
        <f t="array" ref="N26">IFERROR(
  INDEX(
    'Valor Hora Real y Estimada'!$A$4:$Z$78,
    MATCH(TRIM(CLEAN(A26)), 'Valor Hora Real y Estimada'!$A$4:$A$78, 0),
    MATCH(
      TEXT(C26,"dd mmm")&amp;" "&amp;D26,
      'Valor Hora Real y Estimada'!$A$3:$Z$3,
      0
    ) + 1
  ),
  0
)</f>
        <v>20833.33333</v>
      </c>
      <c r="O26" s="453">
        <f t="shared" si="1"/>
        <v>2036041.667</v>
      </c>
      <c r="P26" s="113"/>
      <c r="Q26" s="106">
        <f>IF(ISBLANK(O26), "", VLOOKUP(C26&amp;" "&amp;D26, 'Info Tipo de Cambio y REM'!$A$24:$B$35, 2, FALSE))</f>
        <v>1220</v>
      </c>
      <c r="R26" s="107">
        <f t="shared" si="2"/>
        <v>1668.886612</v>
      </c>
    </row>
    <row r="27" hidden="1">
      <c r="A27" s="443" t="s">
        <v>197</v>
      </c>
      <c r="B27" s="43" t="str">
        <f>IF(A27="", "", IFERROR(VLOOKUP(A27, Clasificaciones!A:B, 2, FALSE), "DATO NO CARGADO"))
</f>
        <v>Equipo</v>
      </c>
      <c r="C27" s="51" t="s">
        <v>123</v>
      </c>
      <c r="D27" s="454">
        <v>2025.0</v>
      </c>
      <c r="E27" s="321" t="s">
        <v>1130</v>
      </c>
      <c r="F27" s="202"/>
      <c r="G27" s="202" t="s">
        <v>1135</v>
      </c>
      <c r="H27" s="43" t="s">
        <v>208</v>
      </c>
      <c r="I27" s="43" t="s">
        <v>1136</v>
      </c>
      <c r="J27" s="43" t="s">
        <v>208</v>
      </c>
      <c r="K27" s="443"/>
      <c r="L27" s="455">
        <f>18+6</f>
        <v>24</v>
      </c>
      <c r="M27" s="443">
        <v>13.0</v>
      </c>
      <c r="N27" s="452">
        <f t="array" ref="N27">IFERROR(
  INDEX(
    'Valor Hora Real y Estimada'!$A$4:$Z$78,
    MATCH(TRIM(CLEAN(A27)), 'Valor Hora Real y Estimada'!$A$4:$A$78, 0),
    MATCH(
      TEXT(C27,"dd mmm")&amp;" "&amp;D27,
      'Valor Hora Real y Estimada'!$A$3:$Z$3,
      0
    ) + 1
  ),
  0
)</f>
        <v>9049</v>
      </c>
      <c r="O27" s="453">
        <f t="shared" si="1"/>
        <v>117637</v>
      </c>
      <c r="P27" s="113"/>
      <c r="Q27" s="106">
        <f>IF(ISBLANK(O27), "", VLOOKUP(C27&amp;" "&amp;D27, 'Info Tipo de Cambio y REM'!$A$24:$B$35, 2, FALSE))</f>
        <v>1220</v>
      </c>
      <c r="R27" s="107">
        <f t="shared" si="2"/>
        <v>96.42377049</v>
      </c>
    </row>
    <row r="28" hidden="1">
      <c r="A28" s="443" t="s">
        <v>200</v>
      </c>
      <c r="B28" s="43" t="str">
        <f>IF(A28="", "", IFERROR(VLOOKUP(A28, Clasificaciones!A:B, 2, FALSE), "DATO NO CARGADO"))
</f>
        <v>Equipo</v>
      </c>
      <c r="C28" s="51" t="s">
        <v>123</v>
      </c>
      <c r="D28" s="454">
        <v>2025.0</v>
      </c>
      <c r="E28" s="321" t="s">
        <v>1130</v>
      </c>
      <c r="F28" s="202"/>
      <c r="G28" s="202" t="s">
        <v>1135</v>
      </c>
      <c r="H28" s="43" t="s">
        <v>208</v>
      </c>
      <c r="I28" s="43" t="s">
        <v>1136</v>
      </c>
      <c r="J28" s="43" t="s">
        <v>208</v>
      </c>
      <c r="K28" s="443"/>
      <c r="L28" s="451">
        <v>4.0</v>
      </c>
      <c r="M28" s="443">
        <v>2.0</v>
      </c>
      <c r="N28" s="452">
        <f t="array" ref="N28">IFERROR(
  INDEX(
    'Valor Hora Real y Estimada'!$A$4:$Z$78,
    MATCH(TRIM(CLEAN(A28)), 'Valor Hora Real y Estimada'!$A$4:$A$78, 0),
    MATCH(
      TEXT(C28,"dd mmm")&amp;" "&amp;D28,
      'Valor Hora Real y Estimada'!$A$3:$Z$3,
      0
    ) + 1
  ),
  0
)</f>
        <v>13704</v>
      </c>
      <c r="O28" s="453">
        <f t="shared" si="1"/>
        <v>27408</v>
      </c>
      <c r="P28" s="113"/>
      <c r="Q28" s="106">
        <f>IF(ISBLANK(O28), "", VLOOKUP(C28&amp;" "&amp;D28, 'Info Tipo de Cambio y REM'!$A$24:$B$35, 2, FALSE))</f>
        <v>1220</v>
      </c>
      <c r="R28" s="107">
        <f t="shared" si="2"/>
        <v>22.46557377</v>
      </c>
    </row>
    <row r="29" hidden="1">
      <c r="A29" s="443" t="s">
        <v>221</v>
      </c>
      <c r="B29" s="43" t="str">
        <f>IF(A29="", "", IFERROR(VLOOKUP(A29, Clasificaciones!A:B, 2, FALSE), "DATO NO CARGADO"))
</f>
        <v>Equipo</v>
      </c>
      <c r="C29" s="51" t="s">
        <v>123</v>
      </c>
      <c r="D29" s="454">
        <v>2025.0</v>
      </c>
      <c r="E29" s="321" t="s">
        <v>1130</v>
      </c>
      <c r="F29" s="202"/>
      <c r="G29" s="202" t="s">
        <v>1135</v>
      </c>
      <c r="H29" s="43" t="s">
        <v>208</v>
      </c>
      <c r="I29" s="43" t="s">
        <v>1136</v>
      </c>
      <c r="J29" s="43" t="s">
        <v>208</v>
      </c>
      <c r="K29" s="443"/>
      <c r="L29" s="451">
        <v>0.0</v>
      </c>
      <c r="M29" s="443">
        <v>20.0</v>
      </c>
      <c r="N29" s="452">
        <f t="array" ref="N29">IFERROR(
  INDEX(
    'Valor Hora Real y Estimada'!$A$4:$Z$78,
    MATCH(TRIM(CLEAN(A29)), 'Valor Hora Real y Estimada'!$A$4:$A$78, 0),
    MATCH(
      TEXT(C29,"dd mmm")&amp;" "&amp;D29,
      'Valor Hora Real y Estimada'!$A$3:$Z$3,
      0
    ) + 1
  ),
  0
)</f>
        <v>8801</v>
      </c>
      <c r="O29" s="453">
        <f t="shared" si="1"/>
        <v>176020</v>
      </c>
      <c r="P29" s="113"/>
      <c r="Q29" s="106">
        <f>IF(ISBLANK(O29), "", VLOOKUP(C29&amp;" "&amp;D29, 'Info Tipo de Cambio y REM'!$A$24:$B$35, 2, FALSE))</f>
        <v>1220</v>
      </c>
      <c r="R29" s="107">
        <f t="shared" si="2"/>
        <v>144.2786885</v>
      </c>
    </row>
    <row r="30" hidden="1">
      <c r="A30" s="443" t="s">
        <v>220</v>
      </c>
      <c r="B30" s="43" t="str">
        <f>IF(A30="", "", IFERROR(VLOOKUP(A30, Clasificaciones!A:B, 2, FALSE), "DATO NO CARGADO"))
</f>
        <v>Equipo</v>
      </c>
      <c r="C30" s="51" t="s">
        <v>123</v>
      </c>
      <c r="D30" s="454">
        <v>2025.0</v>
      </c>
      <c r="E30" s="321" t="s">
        <v>1130</v>
      </c>
      <c r="F30" s="202"/>
      <c r="G30" s="202" t="s">
        <v>1135</v>
      </c>
      <c r="H30" s="43" t="s">
        <v>208</v>
      </c>
      <c r="I30" s="43" t="s">
        <v>1136</v>
      </c>
      <c r="J30" s="43" t="s">
        <v>208</v>
      </c>
      <c r="K30" s="443"/>
      <c r="L30" s="451">
        <v>0.75</v>
      </c>
      <c r="M30" s="443">
        <v>1.0</v>
      </c>
      <c r="N30" s="452">
        <f t="array" ref="N30">IFERROR(
  INDEX(
    'Valor Hora Real y Estimada'!$A$4:$Z$78,
    MATCH(TRIM(CLEAN(A30)), 'Valor Hora Real y Estimada'!$A$4:$A$78, 0),
    MATCH(
      TEXT(C30,"dd mmm")&amp;" "&amp;D30,
      'Valor Hora Real y Estimada'!$A$3:$Z$3,
      0
    ) + 1
  ),
  0
)</f>
        <v>20000</v>
      </c>
      <c r="O30" s="453">
        <f t="shared" si="1"/>
        <v>20000</v>
      </c>
      <c r="P30" s="113"/>
      <c r="Q30" s="106">
        <f>IF(ISBLANK(O30), "", VLOOKUP(C30&amp;" "&amp;D30, 'Info Tipo de Cambio y REM'!$A$24:$B$35, 2, FALSE))</f>
        <v>1220</v>
      </c>
      <c r="R30" s="107">
        <f t="shared" si="2"/>
        <v>16.39344262</v>
      </c>
    </row>
    <row r="31" hidden="1">
      <c r="A31" s="443" t="s">
        <v>194</v>
      </c>
      <c r="B31" s="43" t="str">
        <f>IF(A31="", "", IFERROR(VLOOKUP(A31, Clasificaciones!A:B, 2, FALSE), "DATO NO CARGADO"))
</f>
        <v>Equipo</v>
      </c>
      <c r="C31" s="51" t="s">
        <v>123</v>
      </c>
      <c r="D31" s="454">
        <v>2025.0</v>
      </c>
      <c r="E31" s="321" t="s">
        <v>1130</v>
      </c>
      <c r="F31" s="202"/>
      <c r="G31" s="202" t="s">
        <v>1135</v>
      </c>
      <c r="H31" s="43" t="s">
        <v>208</v>
      </c>
      <c r="I31" s="43" t="s">
        <v>1136</v>
      </c>
      <c r="J31" s="43" t="s">
        <v>208</v>
      </c>
      <c r="K31" s="443"/>
      <c r="L31" s="455">
        <f>14.3+4</f>
        <v>18.3</v>
      </c>
      <c r="M31" s="443">
        <f>10+0.23</f>
        <v>10.23</v>
      </c>
      <c r="N31" s="452">
        <f t="array" ref="N31">IFERROR(
  INDEX(
    'Valor Hora Real y Estimada'!$A$4:$Z$78,
    MATCH(TRIM(CLEAN(A31)), 'Valor Hora Real y Estimada'!$A$4:$A$78, 0),
    MATCH(
      TEXT(C31,"dd mmm")&amp;" "&amp;D31,
      'Valor Hora Real y Estimada'!$A$3:$Z$3,
      0
    ) + 1
  ),
  0
)</f>
        <v>9687.5</v>
      </c>
      <c r="O31" s="453">
        <f t="shared" si="1"/>
        <v>99103.125</v>
      </c>
      <c r="P31" s="113"/>
      <c r="Q31" s="106">
        <f>IF(ISBLANK(O31), "", VLOOKUP(C31&amp;" "&amp;D31, 'Info Tipo de Cambio y REM'!$A$24:$B$35, 2, FALSE))</f>
        <v>1220</v>
      </c>
      <c r="R31" s="107">
        <f t="shared" si="2"/>
        <v>81.23206967</v>
      </c>
    </row>
    <row r="32" hidden="1">
      <c r="A32" s="443" t="s">
        <v>87</v>
      </c>
      <c r="B32" s="43" t="str">
        <f>IF(A32="", "", IFERROR(VLOOKUP(A32, Clasificaciones!A:B, 2, FALSE), "DATO NO CARGADO"))
</f>
        <v>Equipo</v>
      </c>
      <c r="C32" s="51" t="s">
        <v>123</v>
      </c>
      <c r="D32" s="454">
        <v>2025.0</v>
      </c>
      <c r="E32" s="321" t="s">
        <v>1130</v>
      </c>
      <c r="F32" s="202"/>
      <c r="G32" s="202" t="s">
        <v>1135</v>
      </c>
      <c r="H32" s="43" t="s">
        <v>208</v>
      </c>
      <c r="I32" s="43" t="s">
        <v>1136</v>
      </c>
      <c r="J32" s="43" t="s">
        <v>208</v>
      </c>
      <c r="K32" s="443"/>
      <c r="L32" s="451">
        <v>55.53</v>
      </c>
      <c r="M32" s="443">
        <f>56-0.47</f>
        <v>55.53</v>
      </c>
      <c r="N32" s="452">
        <f t="array" ref="N32">IFERROR(
  INDEX(
    'Valor Hora Real y Estimada'!$A$4:$Z$78,
    MATCH(TRIM(CLEAN(A32)), 'Valor Hora Real y Estimada'!$A$4:$A$78, 0),
    MATCH(
      TEXT(C32,"dd mmm")&amp;" "&amp;D32,
      'Valor Hora Real y Estimada'!$A$3:$Z$3,
      0
    ) + 1
  ),
  0
)</f>
        <v>6250</v>
      </c>
      <c r="O32" s="453">
        <f t="shared" si="1"/>
        <v>347062.5</v>
      </c>
      <c r="P32" s="113"/>
      <c r="Q32" s="106">
        <f>IF(ISBLANK(O32), "", VLOOKUP(C32&amp;" "&amp;D32, 'Info Tipo de Cambio y REM'!$A$24:$B$35, 2, FALSE))</f>
        <v>1220</v>
      </c>
      <c r="R32" s="107">
        <f t="shared" si="2"/>
        <v>284.477459</v>
      </c>
    </row>
    <row r="33" hidden="1">
      <c r="A33" s="443" t="s">
        <v>120</v>
      </c>
      <c r="B33" s="43" t="str">
        <f>IF(A33="", "", IFERROR(VLOOKUP(A33, Clasificaciones!A:B, 2, FALSE), "DATO NO CARGADO"))
</f>
        <v>Equipo</v>
      </c>
      <c r="C33" s="51" t="s">
        <v>123</v>
      </c>
      <c r="D33" s="454">
        <v>2025.0</v>
      </c>
      <c r="E33" s="321" t="s">
        <v>1124</v>
      </c>
      <c r="F33" s="202"/>
      <c r="G33" s="202" t="s">
        <v>1137</v>
      </c>
      <c r="H33" s="43" t="s">
        <v>1133</v>
      </c>
      <c r="I33" s="43" t="s">
        <v>1138</v>
      </c>
      <c r="J33" s="43" t="s">
        <v>206</v>
      </c>
      <c r="K33" s="443">
        <v>10.0</v>
      </c>
      <c r="L33" s="451">
        <v>17.97</v>
      </c>
      <c r="M33" s="443">
        <v>17.97</v>
      </c>
      <c r="N33" s="452">
        <f t="array" ref="N33">IFERROR(
  INDEX(
    'Valor Hora Real y Estimada'!$A$4:$Z$78,
    MATCH(TRIM(CLEAN(A33)), 'Valor Hora Real y Estimada'!$A$4:$A$78, 0),
    MATCH(
      TEXT(C33,"dd mmm")&amp;" "&amp;D33,
      'Valor Hora Real y Estimada'!$A$3:$Z$3,
      0
    ) + 1
  ),
  0
)</f>
        <v>20833.33333</v>
      </c>
      <c r="O33" s="453">
        <f t="shared" si="1"/>
        <v>374375</v>
      </c>
      <c r="P33" s="113"/>
      <c r="Q33" s="106">
        <f>IF(ISBLANK(O33), "", VLOOKUP(C33&amp;" "&amp;D33, 'Info Tipo de Cambio y REM'!$A$24:$B$35, 2, FALSE))</f>
        <v>1220</v>
      </c>
      <c r="R33" s="107">
        <f t="shared" si="2"/>
        <v>306.8647541</v>
      </c>
    </row>
    <row r="34" hidden="1">
      <c r="A34" s="443" t="s">
        <v>228</v>
      </c>
      <c r="B34" s="43" t="str">
        <f>IF(A34="", "", IFERROR(VLOOKUP(A34, Clasificaciones!A:B, 2, FALSE), "DATO NO CARGADO"))
</f>
        <v>Equipo</v>
      </c>
      <c r="C34" s="51" t="s">
        <v>123</v>
      </c>
      <c r="D34" s="454">
        <v>2025.0</v>
      </c>
      <c r="E34" s="321" t="s">
        <v>1124</v>
      </c>
      <c r="F34" s="202"/>
      <c r="G34" s="202" t="s">
        <v>1137</v>
      </c>
      <c r="H34" s="43" t="s">
        <v>1133</v>
      </c>
      <c r="I34" s="43" t="s">
        <v>1138</v>
      </c>
      <c r="J34" s="43" t="s">
        <v>206</v>
      </c>
      <c r="K34" s="443">
        <v>18.0</v>
      </c>
      <c r="L34" s="451">
        <v>21.31</v>
      </c>
      <c r="M34" s="443">
        <f>17.9-3.481</f>
        <v>14.419</v>
      </c>
      <c r="N34" s="452">
        <f t="array" ref="N34">IFERROR(
  INDEX(
    'Valor Hora Real y Estimada'!$A$4:$Z$78,
    MATCH(TRIM(CLEAN(A34)), 'Valor Hora Real y Estimada'!$A$4:$A$78, 0),
    MATCH(
      TEXT(C34,"dd mmm")&amp;" "&amp;D34,
      'Valor Hora Real y Estimada'!$A$3:$Z$3,
      0
    ) + 1
  ),
  0
)</f>
        <v>30000</v>
      </c>
      <c r="O34" s="453">
        <f t="shared" si="1"/>
        <v>432570</v>
      </c>
      <c r="P34" s="113"/>
      <c r="Q34" s="106">
        <f>IF(ISBLANK(O34), "", VLOOKUP(C34&amp;" "&amp;D34, 'Info Tipo de Cambio y REM'!$A$24:$B$35, 2, FALSE))</f>
        <v>1220</v>
      </c>
      <c r="R34" s="107">
        <f t="shared" si="2"/>
        <v>354.5655738</v>
      </c>
    </row>
    <row r="35" hidden="1">
      <c r="A35" s="443" t="s">
        <v>221</v>
      </c>
      <c r="B35" s="43" t="str">
        <f>IF(A35="", "", IFERROR(VLOOKUP(A35, Clasificaciones!A:B, 2, FALSE), "DATO NO CARGADO"))
</f>
        <v>Equipo</v>
      </c>
      <c r="C35" s="51" t="s">
        <v>123</v>
      </c>
      <c r="D35" s="454">
        <v>2025.0</v>
      </c>
      <c r="E35" s="321" t="s">
        <v>1124</v>
      </c>
      <c r="F35" s="202"/>
      <c r="G35" s="202" t="s">
        <v>1137</v>
      </c>
      <c r="H35" s="43" t="s">
        <v>1133</v>
      </c>
      <c r="I35" s="43" t="s">
        <v>1138</v>
      </c>
      <c r="J35" s="43" t="s">
        <v>206</v>
      </c>
      <c r="K35" s="443">
        <v>25.0</v>
      </c>
      <c r="L35" s="451">
        <v>2.0</v>
      </c>
      <c r="M35" s="443">
        <v>2.0</v>
      </c>
      <c r="N35" s="452">
        <f t="array" ref="N35">IFERROR(
  INDEX(
    'Valor Hora Real y Estimada'!$A$4:$Z$78,
    MATCH(TRIM(CLEAN(A35)), 'Valor Hora Real y Estimada'!$A$4:$A$78, 0),
    MATCH(
      TEXT(C35,"dd mmm")&amp;" "&amp;D35,
      'Valor Hora Real y Estimada'!$A$3:$Z$3,
      0
    ) + 1
  ),
  0
)</f>
        <v>8801</v>
      </c>
      <c r="O35" s="453">
        <f t="shared" si="1"/>
        <v>17602</v>
      </c>
      <c r="P35" s="113"/>
      <c r="Q35" s="106">
        <f>IF(ISBLANK(O35), "", VLOOKUP(C35&amp;" "&amp;D35, 'Info Tipo de Cambio y REM'!$A$24:$B$35, 2, FALSE))</f>
        <v>1220</v>
      </c>
      <c r="R35" s="107">
        <f t="shared" si="2"/>
        <v>14.42786885</v>
      </c>
    </row>
    <row r="36" hidden="1">
      <c r="A36" s="443" t="s">
        <v>197</v>
      </c>
      <c r="B36" s="43" t="str">
        <f>IF(A36="", "", IFERROR(VLOOKUP(A36, Clasificaciones!A:B, 2, FALSE), "DATO NO CARGADO"))
</f>
        <v>Equipo</v>
      </c>
      <c r="C36" s="51" t="s">
        <v>123</v>
      </c>
      <c r="D36" s="454">
        <v>2025.0</v>
      </c>
      <c r="E36" s="321" t="s">
        <v>1124</v>
      </c>
      <c r="F36" s="202"/>
      <c r="G36" s="202" t="s">
        <v>1137</v>
      </c>
      <c r="H36" s="43" t="s">
        <v>1133</v>
      </c>
      <c r="I36" s="43" t="s">
        <v>1138</v>
      </c>
      <c r="J36" s="43" t="s">
        <v>206</v>
      </c>
      <c r="K36" s="443">
        <v>0.0</v>
      </c>
      <c r="L36" s="451">
        <v>7.95</v>
      </c>
      <c r="M36" s="443">
        <v>7.95</v>
      </c>
      <c r="N36" s="452">
        <f t="array" ref="N36">IFERROR(
  INDEX(
    'Valor Hora Real y Estimada'!$A$4:$Z$78,
    MATCH(TRIM(CLEAN(A36)), 'Valor Hora Real y Estimada'!$A$4:$A$78, 0),
    MATCH(
      TEXT(C36,"dd mmm")&amp;" "&amp;D36,
      'Valor Hora Real y Estimada'!$A$3:$Z$3,
      0
    ) + 1
  ),
  0
)</f>
        <v>9049</v>
      </c>
      <c r="O36" s="453">
        <f t="shared" si="1"/>
        <v>71939.55</v>
      </c>
      <c r="P36" s="113"/>
      <c r="Q36" s="106">
        <f>IF(ISBLANK(O36), "", VLOOKUP(C36&amp;" "&amp;D36, 'Info Tipo de Cambio y REM'!$A$24:$B$35, 2, FALSE))</f>
        <v>1220</v>
      </c>
      <c r="R36" s="107">
        <f t="shared" si="2"/>
        <v>58.96684426</v>
      </c>
    </row>
    <row r="37" hidden="1">
      <c r="A37" s="443" t="s">
        <v>203</v>
      </c>
      <c r="B37" s="43" t="str">
        <f>IF(A37="", "", IFERROR(VLOOKUP(A37, Clasificaciones!A:B, 2, FALSE), "DATO NO CARGADO"))
</f>
        <v>Equipo</v>
      </c>
      <c r="C37" s="51" t="s">
        <v>123</v>
      </c>
      <c r="D37" s="454">
        <v>2025.0</v>
      </c>
      <c r="E37" s="321" t="s">
        <v>1124</v>
      </c>
      <c r="F37" s="202"/>
      <c r="G37" s="202" t="s">
        <v>1137</v>
      </c>
      <c r="H37" s="43" t="s">
        <v>1133</v>
      </c>
      <c r="I37" s="43" t="s">
        <v>1138</v>
      </c>
      <c r="J37" s="43" t="s">
        <v>206</v>
      </c>
      <c r="K37" s="443">
        <v>0.0</v>
      </c>
      <c r="L37" s="451">
        <v>7.45</v>
      </c>
      <c r="M37" s="443">
        <v>5.82</v>
      </c>
      <c r="N37" s="452">
        <f t="array" ref="N37">IFERROR(
  INDEX(
    'Valor Hora Real y Estimada'!$A$4:$Z$78,
    MATCH(TRIM(CLEAN(A37)), 'Valor Hora Real y Estimada'!$A$4:$A$78, 0),
    MATCH(
      TEXT(C37,"dd mmm")&amp;" "&amp;D37,
      'Valor Hora Real y Estimada'!$A$3:$Z$3,
      0
    ) + 1
  ),
  0
)</f>
        <v>8286</v>
      </c>
      <c r="O37" s="453">
        <f t="shared" si="1"/>
        <v>48224.52</v>
      </c>
      <c r="P37" s="113"/>
      <c r="Q37" s="106">
        <f>IF(ISBLANK(O37), "", VLOOKUP(C37&amp;" "&amp;D37, 'Info Tipo de Cambio y REM'!$A$24:$B$35, 2, FALSE))</f>
        <v>1220</v>
      </c>
      <c r="R37" s="107">
        <f t="shared" si="2"/>
        <v>39.52829508</v>
      </c>
    </row>
    <row r="38" hidden="1">
      <c r="A38" s="443" t="s">
        <v>207</v>
      </c>
      <c r="B38" s="43" t="str">
        <f>IF(A38="", "", IFERROR(VLOOKUP(A38, Clasificaciones!A:B, 2, FALSE), "DATO NO CARGADO"))
</f>
        <v>Equipo</v>
      </c>
      <c r="C38" s="51" t="s">
        <v>123</v>
      </c>
      <c r="D38" s="454">
        <v>2025.0</v>
      </c>
      <c r="E38" s="321" t="s">
        <v>1124</v>
      </c>
      <c r="F38" s="202"/>
      <c r="G38" s="202" t="s">
        <v>1137</v>
      </c>
      <c r="H38" s="43" t="s">
        <v>1133</v>
      </c>
      <c r="I38" s="43" t="s">
        <v>1138</v>
      </c>
      <c r="J38" s="43" t="s">
        <v>206</v>
      </c>
      <c r="K38" s="443">
        <v>0.0</v>
      </c>
      <c r="L38" s="451">
        <v>5.6</v>
      </c>
      <c r="M38" s="443">
        <v>5.6</v>
      </c>
      <c r="N38" s="452">
        <f t="array" ref="N38">IFERROR(
  INDEX(
    'Valor Hora Real y Estimada'!$A$4:$Z$78,
    MATCH(TRIM(CLEAN(A38)), 'Valor Hora Real y Estimada'!$A$4:$A$78, 0),
    MATCH(
      TEXT(C38,"dd mmm")&amp;" "&amp;D38,
      'Valor Hora Real y Estimada'!$A$3:$Z$3,
      0
    ) + 1
  ),
  0
)</f>
        <v>10000</v>
      </c>
      <c r="O38" s="453">
        <f t="shared" si="1"/>
        <v>56000</v>
      </c>
      <c r="P38" s="113"/>
      <c r="Q38" s="106">
        <f>IF(ISBLANK(O38), "", VLOOKUP(C38&amp;" "&amp;D38, 'Info Tipo de Cambio y REM'!$A$24:$B$35, 2, FALSE))</f>
        <v>1220</v>
      </c>
      <c r="R38" s="107">
        <f t="shared" si="2"/>
        <v>45.90163934</v>
      </c>
    </row>
    <row r="39" hidden="1">
      <c r="A39" s="443" t="s">
        <v>216</v>
      </c>
      <c r="B39" s="43" t="str">
        <f>IF(A39="", "", IFERROR(VLOOKUP(A39, Clasificaciones!A:B, 2, FALSE), "DATO NO CARGADO"))
</f>
        <v>Equipo</v>
      </c>
      <c r="C39" s="51" t="s">
        <v>123</v>
      </c>
      <c r="D39" s="43">
        <v>2025.0</v>
      </c>
      <c r="E39" s="321" t="s">
        <v>1124</v>
      </c>
      <c r="F39" s="202"/>
      <c r="G39" s="202" t="s">
        <v>1139</v>
      </c>
      <c r="H39" s="43" t="s">
        <v>1126</v>
      </c>
      <c r="I39" s="43" t="s">
        <v>1127</v>
      </c>
      <c r="J39" s="43" t="s">
        <v>119</v>
      </c>
      <c r="K39" s="443">
        <v>2.0</v>
      </c>
      <c r="L39" s="451">
        <v>27.3</v>
      </c>
      <c r="M39" s="443">
        <f>27.3-0.02</f>
        <v>27.28</v>
      </c>
      <c r="N39" s="452">
        <f t="array" ref="N39">IFERROR(
  INDEX(
    'Valor Hora Real y Estimada'!$A$4:$Z$78,
    MATCH(TRIM(CLEAN(A39)), 'Valor Hora Real y Estimada'!$A$4:$A$78, 0),
    MATCH(
      TEXT(C39,"dd mmm")&amp;" "&amp;D39,
      'Valor Hora Real y Estimada'!$A$3:$Z$3,
      0
    ) + 1
  ),
  0
)</f>
        <v>12166</v>
      </c>
      <c r="O39" s="453">
        <f t="shared" si="1"/>
        <v>331888.48</v>
      </c>
      <c r="P39" s="113"/>
      <c r="Q39" s="106">
        <f>IF(ISBLANK(O39), "", VLOOKUP(C39&amp;" "&amp;D39, 'Info Tipo de Cambio y REM'!$A$24:$B$35, 2, FALSE))</f>
        <v>1220</v>
      </c>
      <c r="R39" s="107">
        <f t="shared" si="2"/>
        <v>272.0397377</v>
      </c>
    </row>
    <row r="40" hidden="1">
      <c r="A40" s="443" t="s">
        <v>228</v>
      </c>
      <c r="B40" s="43" t="str">
        <f>IF(A40="", "", IFERROR(VLOOKUP(A40, Clasificaciones!A:B, 2, FALSE), "DATO NO CARGADO"))
</f>
        <v>Equipo</v>
      </c>
      <c r="C40" s="51" t="s">
        <v>123</v>
      </c>
      <c r="D40" s="43">
        <v>2025.0</v>
      </c>
      <c r="E40" s="321" t="s">
        <v>1124</v>
      </c>
      <c r="F40" s="202"/>
      <c r="G40" s="202" t="s">
        <v>1139</v>
      </c>
      <c r="H40" s="43" t="s">
        <v>1126</v>
      </c>
      <c r="I40" s="43" t="s">
        <v>1127</v>
      </c>
      <c r="J40" s="43" t="s">
        <v>119</v>
      </c>
      <c r="K40" s="443">
        <v>27.0</v>
      </c>
      <c r="L40" s="451">
        <v>26.52</v>
      </c>
      <c r="M40" s="443">
        <v>30.0</v>
      </c>
      <c r="N40" s="452">
        <f t="array" ref="N40">IFERROR(
  INDEX(
    'Valor Hora Real y Estimada'!$A$4:$Z$78,
    MATCH(TRIM(CLEAN(A40)), 'Valor Hora Real y Estimada'!$A$4:$A$78, 0),
    MATCH(
      TEXT(C40,"dd mmm")&amp;" "&amp;D40,
      'Valor Hora Real y Estimada'!$A$3:$Z$3,
      0
    ) + 1
  ),
  0
)</f>
        <v>30000</v>
      </c>
      <c r="O40" s="453">
        <f t="shared" si="1"/>
        <v>900000</v>
      </c>
      <c r="P40" s="113"/>
      <c r="Q40" s="106">
        <f>IF(ISBLANK(O40), "", VLOOKUP(C40&amp;" "&amp;D40, 'Info Tipo de Cambio y REM'!$A$24:$B$35, 2, FALSE))</f>
        <v>1220</v>
      </c>
      <c r="R40" s="107">
        <f t="shared" si="2"/>
        <v>737.704918</v>
      </c>
    </row>
    <row r="41" hidden="1">
      <c r="A41" s="443" t="s">
        <v>127</v>
      </c>
      <c r="B41" s="43" t="str">
        <f>IF(A41="", "", IFERROR(VLOOKUP(A41, Clasificaciones!A:B, 2, FALSE), "DATO NO CARGADO"))
</f>
        <v>Board</v>
      </c>
      <c r="C41" s="51" t="s">
        <v>123</v>
      </c>
      <c r="D41" s="43">
        <v>2025.0</v>
      </c>
      <c r="E41" s="43" t="s">
        <v>1130</v>
      </c>
      <c r="F41" s="202"/>
      <c r="G41" s="202" t="s">
        <v>1135</v>
      </c>
      <c r="H41" s="43" t="s">
        <v>208</v>
      </c>
      <c r="I41" s="43" t="s">
        <v>1136</v>
      </c>
      <c r="J41" s="43" t="s">
        <v>208</v>
      </c>
      <c r="K41" s="443"/>
      <c r="L41" s="455"/>
      <c r="M41" s="443">
        <v>160.0</v>
      </c>
      <c r="N41" s="452">
        <f t="array" ref="N41">IFERROR(
  INDEX(
    'Valor Hora Real y Estimada'!$A$4:$Z$78,
    MATCH(TRIM(CLEAN(A41)), 'Valor Hora Real y Estimada'!$A$4:$A$78, 0),
    MATCH(
      TEXT(C41,"dd mmm")&amp;" "&amp;D41,
      'Valor Hora Real y Estimada'!$A$3:$Z$3,
      0
    ) + 1
  ),
  0
)</f>
        <v>18900</v>
      </c>
      <c r="O41" s="453">
        <f t="shared" ref="O41:O42" si="3">(N41*M41)+1000</f>
        <v>3025000</v>
      </c>
      <c r="P41" s="113"/>
      <c r="Q41" s="106">
        <f>IF(ISBLANK(O41), "", VLOOKUP(C41&amp;" "&amp;D41, 'Info Tipo de Cambio y REM'!$A$24:$B$35, 2, FALSE))</f>
        <v>1220</v>
      </c>
      <c r="R41" s="107">
        <f t="shared" si="2"/>
        <v>2479.508197</v>
      </c>
    </row>
    <row r="42" hidden="1">
      <c r="A42" s="443" t="s">
        <v>133</v>
      </c>
      <c r="B42" s="43" t="str">
        <f>IF(A42="", "", IFERROR(VLOOKUP(A42, Clasificaciones!A:B, 2, FALSE), "DATO NO CARGADO"))
</f>
        <v>Board</v>
      </c>
      <c r="C42" s="51" t="s">
        <v>123</v>
      </c>
      <c r="D42" s="43">
        <v>2025.0</v>
      </c>
      <c r="E42" s="43" t="s">
        <v>1130</v>
      </c>
      <c r="F42" s="202"/>
      <c r="G42" s="202" t="s">
        <v>1135</v>
      </c>
      <c r="H42" s="43" t="s">
        <v>208</v>
      </c>
      <c r="I42" s="43" t="s">
        <v>1136</v>
      </c>
      <c r="J42" s="43" t="s">
        <v>208</v>
      </c>
      <c r="K42" s="443"/>
      <c r="L42" s="455"/>
      <c r="M42" s="443">
        <v>160.0</v>
      </c>
      <c r="N42" s="452">
        <f t="array" ref="N42">IFERROR(
  INDEX(
    'Valor Hora Real y Estimada'!$A$4:$Z$78,
    MATCH(TRIM(CLEAN(A42)), 'Valor Hora Real y Estimada'!$A$4:$A$78, 0),
    MATCH(
      TEXT(C42,"dd mmm")&amp;" "&amp;D42,
      'Valor Hora Real y Estimada'!$A$3:$Z$3,
      0
    ) + 1
  ),
  0
)</f>
        <v>18900</v>
      </c>
      <c r="O42" s="453">
        <f t="shared" si="3"/>
        <v>3025000</v>
      </c>
      <c r="P42" s="113"/>
      <c r="Q42" s="106">
        <f>IF(ISBLANK(O42), "", VLOOKUP(C42&amp;" "&amp;D42, 'Info Tipo de Cambio y REM'!$A$24:$B$35, 2, FALSE))</f>
        <v>1220</v>
      </c>
      <c r="R42" s="107">
        <f t="shared" si="2"/>
        <v>2479.508197</v>
      </c>
    </row>
    <row r="43" hidden="1">
      <c r="A43" s="443" t="s">
        <v>120</v>
      </c>
      <c r="B43" s="43" t="str">
        <f>IF(A43="", "", IFERROR(VLOOKUP(A43, Clasificaciones!A:B, 2, FALSE), "DATO NO CARGADO"))
</f>
        <v>Equipo</v>
      </c>
      <c r="C43" s="51" t="s">
        <v>123</v>
      </c>
      <c r="D43" s="43">
        <v>2025.0</v>
      </c>
      <c r="E43" s="43" t="s">
        <v>1124</v>
      </c>
      <c r="F43" s="202"/>
      <c r="G43" s="202" t="s">
        <v>1140</v>
      </c>
      <c r="H43" s="43" t="s">
        <v>1126</v>
      </c>
      <c r="I43" s="43" t="s">
        <v>1141</v>
      </c>
      <c r="J43" s="43" t="s">
        <v>163</v>
      </c>
      <c r="K43" s="443"/>
      <c r="L43" s="451">
        <v>3.67</v>
      </c>
      <c r="M43" s="443">
        <v>4.0</v>
      </c>
      <c r="N43" s="452">
        <f t="array" ref="N43">IFERROR(
  INDEX(
    'Valor Hora Real y Estimada'!$A$4:$Z$78,
    MATCH(TRIM(CLEAN(A43)), 'Valor Hora Real y Estimada'!$A$4:$A$78, 0),
    MATCH(
      TEXT(C43,"dd mmm")&amp;" "&amp;D43,
      'Valor Hora Real y Estimada'!$A$3:$Z$3,
      0
    ) + 1
  ),
  0
)</f>
        <v>20833.33333</v>
      </c>
      <c r="O43" s="453">
        <f t="shared" ref="O43:O48" si="4">N43*M43</f>
        <v>83333.33333</v>
      </c>
      <c r="P43" s="113"/>
      <c r="Q43" s="106">
        <f>IF(ISBLANK(O43), "", VLOOKUP(C43&amp;" "&amp;D43, 'Info Tipo de Cambio y REM'!$A$24:$B$35, 2, FALSE))</f>
        <v>1220</v>
      </c>
      <c r="R43" s="107">
        <f t="shared" si="2"/>
        <v>68.30601093</v>
      </c>
    </row>
    <row r="44" hidden="1">
      <c r="A44" s="443" t="s">
        <v>220</v>
      </c>
      <c r="B44" s="43" t="str">
        <f>IF(A44="", "", IFERROR(VLOOKUP(A44, Clasificaciones!A:B, 2, FALSE), "DATO NO CARGADO"))
</f>
        <v>Equipo</v>
      </c>
      <c r="C44" s="51" t="s">
        <v>123</v>
      </c>
      <c r="D44" s="43">
        <v>2025.0</v>
      </c>
      <c r="E44" s="43" t="s">
        <v>1124</v>
      </c>
      <c r="F44" s="202"/>
      <c r="G44" s="202" t="s">
        <v>1140</v>
      </c>
      <c r="H44" s="43" t="s">
        <v>1126</v>
      </c>
      <c r="I44" s="43" t="s">
        <v>1141</v>
      </c>
      <c r="J44" s="43" t="s">
        <v>163</v>
      </c>
      <c r="K44" s="443"/>
      <c r="L44" s="451">
        <v>53.8</v>
      </c>
      <c r="M44" s="443">
        <f>55-0.33</f>
        <v>54.67</v>
      </c>
      <c r="N44" s="452">
        <f t="array" ref="N44">IFERROR(
  INDEX(
    'Valor Hora Real y Estimada'!$A$4:$Z$78,
    MATCH(TRIM(CLEAN(A44)), 'Valor Hora Real y Estimada'!$A$4:$A$78, 0),
    MATCH(
      TEXT(C44,"dd mmm")&amp;" "&amp;D44,
      'Valor Hora Real y Estimada'!$A$3:$Z$3,
      0
    ) + 1
  ),
  0
)</f>
        <v>20000</v>
      </c>
      <c r="O44" s="453">
        <f t="shared" si="4"/>
        <v>1093400</v>
      </c>
      <c r="P44" s="113"/>
      <c r="Q44" s="106">
        <f>IF(ISBLANK(O44), "", VLOOKUP(C44&amp;" "&amp;D44, 'Info Tipo de Cambio y REM'!$A$24:$B$35, 2, FALSE))</f>
        <v>1220</v>
      </c>
      <c r="R44" s="107">
        <f t="shared" si="2"/>
        <v>896.2295082</v>
      </c>
    </row>
    <row r="45" hidden="1">
      <c r="A45" s="443" t="s">
        <v>197</v>
      </c>
      <c r="B45" s="43" t="str">
        <f>IF(A45="", "", IFERROR(VLOOKUP(A45, Clasificaciones!A:B, 2, FALSE), "DATO NO CARGADO"))
</f>
        <v>Equipo</v>
      </c>
      <c r="C45" s="51" t="s">
        <v>123</v>
      </c>
      <c r="D45" s="43">
        <v>2025.0</v>
      </c>
      <c r="E45" s="43" t="s">
        <v>1124</v>
      </c>
      <c r="F45" s="202"/>
      <c r="G45" s="202" t="s">
        <v>1140</v>
      </c>
      <c r="H45" s="43" t="s">
        <v>1126</v>
      </c>
      <c r="I45" s="43" t="s">
        <v>1141</v>
      </c>
      <c r="J45" s="43" t="s">
        <v>163</v>
      </c>
      <c r="K45" s="443"/>
      <c r="L45" s="451">
        <v>23.67</v>
      </c>
      <c r="M45" s="443">
        <v>24.0</v>
      </c>
      <c r="N45" s="452">
        <f t="array" ref="N45">IFERROR(
  INDEX(
    'Valor Hora Real y Estimada'!$A$4:$Z$78,
    MATCH(TRIM(CLEAN(A45)), 'Valor Hora Real y Estimada'!$A$4:$A$78, 0),
    MATCH(
      TEXT(C45,"dd mmm")&amp;" "&amp;D45,
      'Valor Hora Real y Estimada'!$A$3:$Z$3,
      0
    ) + 1
  ),
  0
)</f>
        <v>9049</v>
      </c>
      <c r="O45" s="453">
        <f t="shared" si="4"/>
        <v>217176</v>
      </c>
      <c r="P45" s="113"/>
      <c r="Q45" s="106">
        <f>IF(ISBLANK(O45), "", VLOOKUP(C45&amp;" "&amp;D45, 'Info Tipo de Cambio y REM'!$A$24:$B$35, 2, FALSE))</f>
        <v>1220</v>
      </c>
      <c r="R45" s="107">
        <f t="shared" si="2"/>
        <v>178.0131148</v>
      </c>
    </row>
    <row r="46" hidden="1">
      <c r="A46" s="443" t="s">
        <v>203</v>
      </c>
      <c r="B46" s="43" t="str">
        <f>IF(A46="", "", IFERROR(VLOOKUP(A46, Clasificaciones!A:B, 2, FALSE), "DATO NO CARGADO"))
</f>
        <v>Equipo</v>
      </c>
      <c r="C46" s="51" t="s">
        <v>123</v>
      </c>
      <c r="D46" s="43">
        <v>2025.0</v>
      </c>
      <c r="E46" s="43" t="s">
        <v>1124</v>
      </c>
      <c r="F46" s="202"/>
      <c r="G46" s="202" t="s">
        <v>1140</v>
      </c>
      <c r="H46" s="43" t="s">
        <v>1126</v>
      </c>
      <c r="I46" s="43" t="s">
        <v>1141</v>
      </c>
      <c r="J46" s="43" t="s">
        <v>163</v>
      </c>
      <c r="K46" s="443"/>
      <c r="L46" s="451">
        <v>20.17</v>
      </c>
      <c r="M46" s="443">
        <v>16.3</v>
      </c>
      <c r="N46" s="452">
        <f t="array" ref="N46">IFERROR(
  INDEX(
    'Valor Hora Real y Estimada'!$A$4:$Z$78,
    MATCH(TRIM(CLEAN(A46)), 'Valor Hora Real y Estimada'!$A$4:$A$78, 0),
    MATCH(
      TEXT(C46,"dd mmm")&amp;" "&amp;D46,
      'Valor Hora Real y Estimada'!$A$3:$Z$3,
      0
    ) + 1
  ),
  0
)</f>
        <v>8286</v>
      </c>
      <c r="O46" s="453">
        <f t="shared" si="4"/>
        <v>135061.8</v>
      </c>
      <c r="P46" s="113"/>
      <c r="Q46" s="106">
        <f>IF(ISBLANK(O46), "", VLOOKUP(C46&amp;" "&amp;D46, 'Info Tipo de Cambio y REM'!$A$24:$B$35, 2, FALSE))</f>
        <v>1220</v>
      </c>
      <c r="R46" s="107">
        <f t="shared" si="2"/>
        <v>110.7063934</v>
      </c>
    </row>
    <row r="47" hidden="1">
      <c r="A47" s="443" t="s">
        <v>207</v>
      </c>
      <c r="B47" s="43" t="str">
        <f>IF(A47="", "", IFERROR(VLOOKUP(A47, Clasificaciones!A:B, 2, FALSE), "DATO NO CARGADO"))
</f>
        <v>Equipo</v>
      </c>
      <c r="C47" s="51" t="s">
        <v>123</v>
      </c>
      <c r="D47" s="43">
        <v>2025.0</v>
      </c>
      <c r="E47" s="43" t="s">
        <v>1124</v>
      </c>
      <c r="F47" s="202"/>
      <c r="G47" s="202" t="s">
        <v>1140</v>
      </c>
      <c r="H47" s="43" t="s">
        <v>1126</v>
      </c>
      <c r="I47" s="43" t="s">
        <v>1141</v>
      </c>
      <c r="J47" s="43" t="s">
        <v>163</v>
      </c>
      <c r="K47" s="443"/>
      <c r="L47" s="451">
        <v>18.25</v>
      </c>
      <c r="M47" s="443">
        <f>18+0.45-0.1</f>
        <v>18.35</v>
      </c>
      <c r="N47" s="452">
        <f t="array" ref="N47">IFERROR(
  INDEX(
    'Valor Hora Real y Estimada'!$A$4:$Z$78,
    MATCH(TRIM(CLEAN(A47)), 'Valor Hora Real y Estimada'!$A$4:$A$78, 0),
    MATCH(
      TEXT(C47,"dd mmm")&amp;" "&amp;D47,
      'Valor Hora Real y Estimada'!$A$3:$Z$3,
      0
    ) + 1
  ),
  0
)</f>
        <v>10000</v>
      </c>
      <c r="O47" s="453">
        <f t="shared" si="4"/>
        <v>183500</v>
      </c>
      <c r="P47" s="113"/>
      <c r="Q47" s="106">
        <f>IF(ISBLANK(O47), "", VLOOKUP(C47&amp;" "&amp;D47, 'Info Tipo de Cambio y REM'!$A$24:$B$35, 2, FALSE))</f>
        <v>1220</v>
      </c>
      <c r="R47" s="107">
        <f t="shared" si="2"/>
        <v>150.4098361</v>
      </c>
    </row>
    <row r="48" hidden="1">
      <c r="A48" s="443" t="s">
        <v>87</v>
      </c>
      <c r="B48" s="43" t="str">
        <f>IF(A48="", "", IFERROR(VLOOKUP(A48, Clasificaciones!A:B, 2, FALSE), "DATO NO CARGADO"))
</f>
        <v>Equipo</v>
      </c>
      <c r="C48" s="51" t="s">
        <v>123</v>
      </c>
      <c r="D48" s="43">
        <v>2025.0</v>
      </c>
      <c r="E48" s="43" t="s">
        <v>1124</v>
      </c>
      <c r="F48" s="202"/>
      <c r="G48" s="202" t="s">
        <v>1142</v>
      </c>
      <c r="H48" s="43" t="s">
        <v>1133</v>
      </c>
      <c r="I48" s="43" t="s">
        <v>1143</v>
      </c>
      <c r="J48" s="43" t="s">
        <v>126</v>
      </c>
      <c r="K48" s="443"/>
      <c r="L48" s="451">
        <v>8.58</v>
      </c>
      <c r="M48" s="456">
        <v>9.0</v>
      </c>
      <c r="N48" s="452">
        <f t="array" ref="N48">IFERROR(
  INDEX(
    'Valor Hora Real y Estimada'!$A$4:$Z$78,
    MATCH(TRIM(CLEAN(A48)), 'Valor Hora Real y Estimada'!$A$4:$A$78, 0),
    MATCH(
      TEXT(C48,"dd mmm")&amp;" "&amp;D48,
      'Valor Hora Real y Estimada'!$A$3:$Z$3,
      0
    ) + 1
  ),
  0
)</f>
        <v>6250</v>
      </c>
      <c r="O48" s="453">
        <f t="shared" si="4"/>
        <v>56250</v>
      </c>
      <c r="P48" s="113"/>
      <c r="Q48" s="106">
        <f>IF(ISBLANK(O48), "", VLOOKUP(C48&amp;" "&amp;D48, 'Info Tipo de Cambio y REM'!$A$24:$B$35, 2, FALSE))</f>
        <v>1220</v>
      </c>
      <c r="R48" s="107">
        <f t="shared" si="2"/>
        <v>46.10655738</v>
      </c>
    </row>
    <row r="49" hidden="1">
      <c r="A49" s="443" t="s">
        <v>236</v>
      </c>
      <c r="B49" s="43" t="str">
        <f>IF(A49="", "", IFERROR(VLOOKUP(A49, Clasificaciones!A:B, 2, FALSE), "DATO NO CARGADO"))
</f>
        <v>Otros Proveedores</v>
      </c>
      <c r="C49" s="51" t="s">
        <v>123</v>
      </c>
      <c r="D49" s="43">
        <v>2025.0</v>
      </c>
      <c r="E49" s="43" t="s">
        <v>1130</v>
      </c>
      <c r="F49" s="202"/>
      <c r="G49" s="202"/>
      <c r="H49" s="43"/>
      <c r="I49" s="43"/>
      <c r="J49" s="43"/>
      <c r="K49" s="443"/>
      <c r="L49" s="455"/>
      <c r="M49" s="159"/>
      <c r="N49" s="452">
        <f t="array" ref="N49">IFERROR(
  INDEX(
    'Valor Hora Real y Estimada'!$A$4:$Z$78,
    MATCH(TRIM(CLEAN(A49)), 'Valor Hora Real y Estimada'!$A$4:$A$78, 0),
    MATCH(
      TEXT(C49,"dd mmm")&amp;" "&amp;D49,
      'Valor Hora Real y Estimada'!$A$3:$Z$3,
      0
    ) + 1
  ),
  0
)</f>
        <v>0</v>
      </c>
      <c r="O49" s="457">
        <v>1827887.0</v>
      </c>
      <c r="P49" s="113"/>
      <c r="Q49" s="106">
        <f>IF(ISBLANK(O49), "", VLOOKUP(C49&amp;" "&amp;D49, 'Info Tipo de Cambio y REM'!$A$24:$B$35, 2, FALSE))</f>
        <v>1220</v>
      </c>
      <c r="R49" s="107">
        <f t="shared" si="2"/>
        <v>1498.268033</v>
      </c>
    </row>
    <row r="50" hidden="1">
      <c r="A50" s="443" t="s">
        <v>226</v>
      </c>
      <c r="B50" s="43" t="str">
        <f>IF(A50="", "", IFERROR(VLOOKUP(A50, Clasificaciones!A:B, 2, FALSE), "DATO NO CARGADO"))
</f>
        <v>Administración Finanzas</v>
      </c>
      <c r="C50" s="51" t="s">
        <v>123</v>
      </c>
      <c r="D50" s="43">
        <v>2025.0</v>
      </c>
      <c r="E50" s="43" t="s">
        <v>1130</v>
      </c>
      <c r="F50" s="202"/>
      <c r="G50" s="202"/>
      <c r="H50" s="43"/>
      <c r="I50" s="43"/>
      <c r="J50" s="43"/>
      <c r="K50" s="443"/>
      <c r="L50" s="455"/>
      <c r="M50" s="159"/>
      <c r="N50" s="452">
        <f t="array" ref="N50">IFERROR(
  INDEX(
    'Valor Hora Real y Estimada'!$A$4:$Z$78,
    MATCH(TRIM(CLEAN(A50)), 'Valor Hora Real y Estimada'!$A$4:$A$78, 0),
    MATCH(
      TEXT(C50,"dd mmm")&amp;" "&amp;D50,
      'Valor Hora Real y Estimada'!$A$3:$Z$3,
      0
    ) + 1
  ),
  0
)</f>
        <v>0</v>
      </c>
      <c r="O50" s="453">
        <v>537700.0</v>
      </c>
      <c r="P50" s="113"/>
      <c r="Q50" s="106">
        <f>IF(ISBLANK(O50), "", VLOOKUP(C50&amp;" "&amp;D50, 'Info Tipo de Cambio y REM'!$A$24:$B$35, 2, FALSE))</f>
        <v>1220</v>
      </c>
      <c r="R50" s="107">
        <f t="shared" si="2"/>
        <v>440.7377049</v>
      </c>
    </row>
    <row r="51" hidden="1">
      <c r="A51" s="443" t="s">
        <v>235</v>
      </c>
      <c r="B51" s="43" t="str">
        <f>IF(A51="", "", IFERROR(VLOOKUP(A51, Clasificaciones!A:B, 2, FALSE), "DATO NO CARGADO"))
</f>
        <v>Otros Proveedores</v>
      </c>
      <c r="C51" s="51" t="s">
        <v>123</v>
      </c>
      <c r="D51" s="43">
        <v>2025.0</v>
      </c>
      <c r="E51" s="43" t="s">
        <v>1130</v>
      </c>
      <c r="F51" s="202"/>
      <c r="G51" s="202"/>
      <c r="H51" s="43"/>
      <c r="I51" s="43"/>
      <c r="J51" s="43"/>
      <c r="K51" s="443"/>
      <c r="L51" s="455"/>
      <c r="M51" s="458"/>
      <c r="N51" s="452">
        <f t="array" ref="N51">IFERROR(
  INDEX(
    'Valor Hora Real y Estimada'!$A$4:$Z$78,
    MATCH(TRIM(CLEAN(A51)), 'Valor Hora Real y Estimada'!$A$4:$A$78, 0),
    MATCH(
      TEXT(C51,"dd mmm")&amp;" "&amp;D51,
      'Valor Hora Real y Estimada'!$A$3:$Z$3,
      0
    ) + 1
  ),
  0
)</f>
        <v>0</v>
      </c>
      <c r="O51" s="453">
        <v>1280000.0</v>
      </c>
      <c r="P51" s="113"/>
      <c r="Q51" s="106">
        <f>IF(ISBLANK(O51), "", VLOOKUP(C51&amp;" "&amp;D51, 'Info Tipo de Cambio y REM'!$A$24:$B$35, 2, FALSE))</f>
        <v>1220</v>
      </c>
      <c r="R51" s="107">
        <f t="shared" si="2"/>
        <v>1049.180328</v>
      </c>
    </row>
    <row r="52" hidden="1">
      <c r="A52" s="443" t="s">
        <v>219</v>
      </c>
      <c r="B52" s="43" t="str">
        <f>IF(A52="", "", IFERROR(VLOOKUP(A52, Clasificaciones!A:B, 2, FALSE), "DATO NO CARGADO"))
</f>
        <v>Gastos Varios</v>
      </c>
      <c r="C52" s="51" t="s">
        <v>123</v>
      </c>
      <c r="D52" s="43">
        <v>2025.0</v>
      </c>
      <c r="E52" s="43" t="s">
        <v>1124</v>
      </c>
      <c r="F52" s="202"/>
      <c r="G52" s="202"/>
      <c r="H52" s="43"/>
      <c r="I52" s="43"/>
      <c r="J52" s="43"/>
      <c r="K52" s="443"/>
      <c r="L52" s="455"/>
      <c r="M52" s="111"/>
      <c r="N52" s="452">
        <f t="array" ref="N52">IFERROR(
  INDEX(
    'Valor Hora Real y Estimada'!$A$4:$Z$78,
    MATCH(TRIM(CLEAN(A52)), 'Valor Hora Real y Estimada'!$A$4:$A$78, 0),
    MATCH(
      TEXT(C52,"dd mmm")&amp;" "&amp;D52,
      'Valor Hora Real y Estimada'!$A$3:$Z$3,
      0
    ) + 1
  ),
  0
)</f>
        <v>0</v>
      </c>
      <c r="O52" s="453">
        <v>291750.0</v>
      </c>
      <c r="P52" s="113"/>
      <c r="Q52" s="106">
        <f>IF(ISBLANK(O52), "", VLOOKUP(C52&amp;" "&amp;D52, 'Info Tipo de Cambio y REM'!$A$24:$B$35, 2, FALSE))</f>
        <v>1220</v>
      </c>
      <c r="R52" s="107">
        <f t="shared" si="2"/>
        <v>239.1393443</v>
      </c>
    </row>
    <row r="53" hidden="1">
      <c r="A53" s="443" t="s">
        <v>139</v>
      </c>
      <c r="B53" s="43" t="str">
        <f>IF(A53="", "", IFERROR(VLOOKUP(A53, Clasificaciones!A:B, 2, FALSE), "DATO NO CARGADO"))
</f>
        <v>People</v>
      </c>
      <c r="C53" s="51" t="s">
        <v>123</v>
      </c>
      <c r="D53" s="43">
        <v>2025.0</v>
      </c>
      <c r="E53" s="43" t="s">
        <v>1130</v>
      </c>
      <c r="F53" s="202"/>
      <c r="G53" s="202"/>
      <c r="H53" s="43"/>
      <c r="I53" s="43"/>
      <c r="J53" s="43"/>
      <c r="K53" s="443"/>
      <c r="L53" s="455"/>
      <c r="M53" s="459"/>
      <c r="N53" s="452">
        <f t="array" ref="N53">IFERROR(
  INDEX(
    'Valor Hora Real y Estimada'!$A$4:$Z$78,
    MATCH(TRIM(CLEAN(A53)), 'Valor Hora Real y Estimada'!$A$4:$A$78, 0),
    MATCH(
      TEXT(C53,"dd mmm")&amp;" "&amp;D53,
      'Valor Hora Real y Estimada'!$A$3:$Z$3,
      0
    ) + 1
  ),
  0
)</f>
        <v>0</v>
      </c>
      <c r="O53" s="453">
        <v>32400.0</v>
      </c>
      <c r="P53" s="113"/>
      <c r="Q53" s="106">
        <f>IF(ISBLANK(O53), "", VLOOKUP(C53&amp;" "&amp;D53, 'Info Tipo de Cambio y REM'!$A$24:$B$35, 2, FALSE))</f>
        <v>1220</v>
      </c>
      <c r="R53" s="107">
        <f t="shared" si="2"/>
        <v>26.55737705</v>
      </c>
    </row>
    <row r="54" hidden="1">
      <c r="A54" s="443" t="s">
        <v>139</v>
      </c>
      <c r="B54" s="43" t="str">
        <f>IF(A54="", "", IFERROR(VLOOKUP(A54, Clasificaciones!A:B, 2, FALSE), "DATO NO CARGADO"))
</f>
        <v>People</v>
      </c>
      <c r="C54" s="51" t="s">
        <v>123</v>
      </c>
      <c r="D54" s="43">
        <v>2025.0</v>
      </c>
      <c r="E54" s="43" t="s">
        <v>1130</v>
      </c>
      <c r="F54" s="202"/>
      <c r="G54" s="202"/>
      <c r="H54" s="43"/>
      <c r="I54" s="43"/>
      <c r="J54" s="43"/>
      <c r="K54" s="443"/>
      <c r="L54" s="455"/>
      <c r="M54" s="111"/>
      <c r="N54" s="452">
        <f t="array" ref="N54">IFERROR(
  INDEX(
    'Valor Hora Real y Estimada'!$A$4:$Z$78,
    MATCH(TRIM(CLEAN(A54)), 'Valor Hora Real y Estimada'!$A$4:$A$78, 0),
    MATCH(
      TEXT(C54,"dd mmm")&amp;" "&amp;D54,
      'Valor Hora Real y Estimada'!$A$3:$Z$3,
      0
    ) + 1
  ),
  0
)</f>
        <v>0</v>
      </c>
      <c r="O54" s="71">
        <v>178400.0</v>
      </c>
      <c r="P54" s="113"/>
      <c r="Q54" s="106">
        <f>IF(ISBLANK(O54), "", VLOOKUP(C54&amp;" "&amp;D54, 'Info Tipo de Cambio y REM'!$A$24:$B$35, 2, FALSE))</f>
        <v>1220</v>
      </c>
      <c r="R54" s="107">
        <f t="shared" si="2"/>
        <v>146.2295082</v>
      </c>
    </row>
    <row r="55" hidden="1">
      <c r="A55" s="443" t="s">
        <v>164</v>
      </c>
      <c r="B55" s="43" t="str">
        <f>IF(A55="", "", IFERROR(VLOOKUP(A55, Clasificaciones!A:B, 2, FALSE), "DATO NO CARGADO"))
</f>
        <v>Estudio Contable</v>
      </c>
      <c r="C55" s="51" t="s">
        <v>123</v>
      </c>
      <c r="D55" s="43">
        <v>2025.0</v>
      </c>
      <c r="E55" s="43" t="s">
        <v>1130</v>
      </c>
      <c r="F55" s="202"/>
      <c r="G55" s="202"/>
      <c r="H55" s="43"/>
      <c r="I55" s="43"/>
      <c r="J55" s="43"/>
      <c r="K55" s="443"/>
      <c r="L55" s="455"/>
      <c r="M55" s="459"/>
      <c r="N55" s="452">
        <f t="array" ref="N55">IFERROR(
  INDEX(
    'Valor Hora Real y Estimada'!$A$4:$Z$78,
    MATCH(TRIM(CLEAN(A55)), 'Valor Hora Real y Estimada'!$A$4:$A$78, 0),
    MATCH(
      TEXT(C55,"dd mmm")&amp;" "&amp;D55,
      'Valor Hora Real y Estimada'!$A$3:$Z$3,
      0
    ) + 1
  ),
  0
)</f>
        <v>0</v>
      </c>
      <c r="O55" s="71">
        <v>86677.0</v>
      </c>
      <c r="P55" s="113"/>
      <c r="Q55" s="106">
        <f>IF(ISBLANK(O55), "", VLOOKUP(C55&amp;" "&amp;D55, 'Info Tipo de Cambio y REM'!$A$24:$B$35, 2, FALSE))</f>
        <v>1220</v>
      </c>
      <c r="R55" s="107">
        <f t="shared" si="2"/>
        <v>71.04672131</v>
      </c>
    </row>
    <row r="56" hidden="1">
      <c r="A56" s="443" t="s">
        <v>158</v>
      </c>
      <c r="B56" s="43" t="str">
        <f>IF(A56="", "", IFERROR(VLOOKUP(A56, Clasificaciones!A:B, 2, FALSE), "DATO NO CARGADO"))
</f>
        <v>Tarjeta</v>
      </c>
      <c r="C56" s="51" t="s">
        <v>123</v>
      </c>
      <c r="D56" s="43">
        <v>2025.0</v>
      </c>
      <c r="E56" s="43" t="s">
        <v>1130</v>
      </c>
      <c r="F56" s="202"/>
      <c r="G56" s="202"/>
      <c r="H56" s="43"/>
      <c r="I56" s="43"/>
      <c r="J56" s="43"/>
      <c r="K56" s="443"/>
      <c r="L56" s="455"/>
      <c r="M56" s="460"/>
      <c r="N56" s="452">
        <f t="array" ref="N56">IFERROR(
  INDEX(
    'Valor Hora Real y Estimada'!$A$4:$Z$78,
    MATCH(TRIM(CLEAN(A56)), 'Valor Hora Real y Estimada'!$A$4:$A$78, 0),
    MATCH(
      TEXT(C56,"dd mmm")&amp;" "&amp;D56,
      'Valor Hora Real y Estimada'!$A$3:$Z$3,
      0
    ) + 1
  ),
  0
)</f>
        <v>0</v>
      </c>
      <c r="O56" s="71">
        <v>28405.0</v>
      </c>
      <c r="P56" s="113"/>
      <c r="Q56" s="106">
        <f>IF(ISBLANK(O56), "", VLOOKUP(C56&amp;" "&amp;D56, 'Info Tipo de Cambio y REM'!$A$24:$B$35, 2, FALSE))</f>
        <v>1220</v>
      </c>
      <c r="R56" s="107">
        <f t="shared" si="2"/>
        <v>23.28278689</v>
      </c>
    </row>
    <row r="57" hidden="1">
      <c r="A57" s="443" t="s">
        <v>146</v>
      </c>
      <c r="B57" s="43" t="str">
        <f>IF(A57="", "", IFERROR(VLOOKUP(A57, Clasificaciones!A:B, 2, FALSE), "DATO NO CARGADO"))
</f>
        <v>Impuestos ARG</v>
      </c>
      <c r="C57" s="51" t="s">
        <v>123</v>
      </c>
      <c r="D57" s="43">
        <v>2025.0</v>
      </c>
      <c r="E57" s="43" t="s">
        <v>1130</v>
      </c>
      <c r="F57" s="202"/>
      <c r="G57" s="202"/>
      <c r="H57" s="43"/>
      <c r="I57" s="43"/>
      <c r="J57" s="43"/>
      <c r="K57" s="443"/>
      <c r="L57" s="455"/>
      <c r="M57" s="460"/>
      <c r="N57" s="452">
        <f t="array" ref="N57">IFERROR(
  INDEX(
    'Valor Hora Real y Estimada'!$A$4:$Z$78,
    MATCH(TRIM(CLEAN(A57)), 'Valor Hora Real y Estimada'!$A$4:$A$78, 0),
    MATCH(
      TEXT(C57,"dd mmm")&amp;" "&amp;D57,
      'Valor Hora Real y Estimada'!$A$3:$Z$3,
      0
    ) + 1
  ),
  0
)</f>
        <v>0</v>
      </c>
      <c r="O57" s="89">
        <v>579408.0</v>
      </c>
      <c r="P57" s="113"/>
      <c r="Q57" s="106">
        <f>IF(ISBLANK(O57), "", VLOOKUP(C57&amp;" "&amp;D57, 'Info Tipo de Cambio y REM'!$A$24:$B$35, 2, FALSE))</f>
        <v>1220</v>
      </c>
      <c r="R57" s="107">
        <f t="shared" si="2"/>
        <v>474.9245902</v>
      </c>
    </row>
    <row r="58" hidden="1">
      <c r="A58" s="443" t="s">
        <v>152</v>
      </c>
      <c r="B58" s="43" t="str">
        <f>IF(A58="", "", IFERROR(VLOOKUP(A58, Clasificaciones!A:B, 2, FALSE), "DATO NO CARGADO"))
</f>
        <v>Impuestos ARG</v>
      </c>
      <c r="C58" s="51" t="s">
        <v>123</v>
      </c>
      <c r="D58" s="43">
        <v>2025.0</v>
      </c>
      <c r="E58" s="43" t="s">
        <v>1130</v>
      </c>
      <c r="F58" s="202"/>
      <c r="G58" s="202"/>
      <c r="H58" s="43"/>
      <c r="I58" s="43"/>
      <c r="J58" s="43"/>
      <c r="K58" s="443"/>
      <c r="L58" s="455"/>
      <c r="M58" s="460"/>
      <c r="N58" s="452">
        <f t="array" ref="N58">IFERROR(
  INDEX(
    'Valor Hora Real y Estimada'!$A$4:$Z$78,
    MATCH(TRIM(CLEAN(A58)), 'Valor Hora Real y Estimada'!$A$4:$A$78, 0),
    MATCH(
      TEXT(C58,"dd mmm")&amp;" "&amp;D58,
      'Valor Hora Real y Estimada'!$A$3:$Z$3,
      0
    ) + 1
  ),
  0
)</f>
        <v>0</v>
      </c>
      <c r="O58" s="89">
        <v>2689779.0</v>
      </c>
      <c r="P58" s="113"/>
      <c r="Q58" s="106">
        <f>IF(ISBLANK(O58), "", VLOOKUP(C58&amp;" "&amp;D58, 'Info Tipo de Cambio y REM'!$A$24:$B$35, 2, FALSE))</f>
        <v>1220</v>
      </c>
      <c r="R58" s="107">
        <f t="shared" si="2"/>
        <v>2204.736885</v>
      </c>
    </row>
    <row r="59" hidden="1">
      <c r="A59" s="443" t="s">
        <v>222</v>
      </c>
      <c r="B59" s="43" t="str">
        <f>IF(A59="", "", IFERROR(VLOOKUP(A59, Clasificaciones!A:B, 2, FALSE), "DATO NO CARGADO"))
</f>
        <v>Oxean</v>
      </c>
      <c r="C59" s="51" t="s">
        <v>123</v>
      </c>
      <c r="D59" s="43">
        <v>2025.0</v>
      </c>
      <c r="E59" s="43" t="s">
        <v>1130</v>
      </c>
      <c r="F59" s="202"/>
      <c r="G59" s="202"/>
      <c r="H59" s="43"/>
      <c r="I59" s="43"/>
      <c r="J59" s="43"/>
      <c r="K59" s="443"/>
      <c r="L59" s="455"/>
      <c r="M59" s="460"/>
      <c r="N59" s="452">
        <f t="array" ref="N59">IFERROR(
  INDEX(
    'Valor Hora Real y Estimada'!$A$4:$Z$78,
    MATCH(TRIM(CLEAN(A59)), 'Valor Hora Real y Estimada'!$A$4:$A$78, 0),
    MATCH(
      TEXT(C59,"dd mmm")&amp;" "&amp;D59,
      'Valor Hora Real y Estimada'!$A$3:$Z$3,
      0
    ) + 1
  ),
  0
)</f>
        <v>0</v>
      </c>
      <c r="O59" s="71">
        <v>3025000.0</v>
      </c>
      <c r="P59" s="113"/>
      <c r="Q59" s="106">
        <f>IF(ISBLANK(O59), "", VLOOKUP(C59&amp;" "&amp;D59, 'Info Tipo de Cambio y REM'!$A$24:$B$35, 2, FALSE))</f>
        <v>1220</v>
      </c>
      <c r="R59" s="107">
        <f t="shared" si="2"/>
        <v>2479.508197</v>
      </c>
    </row>
    <row r="60" hidden="1">
      <c r="A60" s="443" t="s">
        <v>169</v>
      </c>
      <c r="B60" s="43" t="str">
        <f>IF(A60="", "", IFERROR(VLOOKUP(A60, Clasificaciones!A:B, 2, FALSE), "DATO NO CARGADO"))
</f>
        <v>Suscripciones/Herramientas</v>
      </c>
      <c r="C60" s="51" t="s">
        <v>123</v>
      </c>
      <c r="D60" s="43">
        <v>2025.0</v>
      </c>
      <c r="E60" s="43" t="s">
        <v>1130</v>
      </c>
      <c r="F60" s="202"/>
      <c r="G60" s="202"/>
      <c r="H60" s="43"/>
      <c r="I60" s="43"/>
      <c r="J60" s="43"/>
      <c r="K60" s="124"/>
      <c r="L60" s="455"/>
      <c r="M60" s="460"/>
      <c r="N60" s="452">
        <f t="array" ref="N60">IFERROR(
  INDEX(
    'Valor Hora Real y Estimada'!$A$4:$Z$78,
    MATCH(TRIM(CLEAN(A60)), 'Valor Hora Real y Estimada'!$A$4:$A$78, 0),
    MATCH(
      TEXT(C60,"dd mmm")&amp;" "&amp;D60,
      'Valor Hora Real y Estimada'!$A$3:$Z$3,
      0
    ) + 1
  ),
  0
)</f>
        <v>0</v>
      </c>
      <c r="O60" s="71"/>
      <c r="P60" s="89">
        <v>0.0</v>
      </c>
      <c r="Q60" s="106" t="str">
        <f>IF(ISBLANK(O60), "", VLOOKUP(C60&amp;" "&amp;D60, 'Info Tipo de Cambio y REM'!$A$24:$B$35, 2, FALSE))</f>
        <v/>
      </c>
      <c r="R60" s="107">
        <f t="shared" si="2"/>
        <v>0</v>
      </c>
    </row>
    <row r="61" hidden="1">
      <c r="A61" s="443" t="s">
        <v>187</v>
      </c>
      <c r="B61" s="43" t="str">
        <f>IF(A61="", "", IFERROR(VLOOKUP(A61, Clasificaciones!A:B, 2, FALSE), "DATO NO CARGADO"))
</f>
        <v>Gastos Varios</v>
      </c>
      <c r="C61" s="51" t="s">
        <v>123</v>
      </c>
      <c r="D61" s="43">
        <v>2025.0</v>
      </c>
      <c r="E61" s="43" t="s">
        <v>1124</v>
      </c>
      <c r="F61" s="202"/>
      <c r="G61" s="202"/>
      <c r="H61" s="43"/>
      <c r="I61" s="43"/>
      <c r="J61" s="43"/>
      <c r="K61" s="124"/>
      <c r="L61" s="455"/>
      <c r="M61" s="443"/>
      <c r="N61" s="452"/>
      <c r="O61" s="453"/>
      <c r="P61" s="89">
        <v>600.0</v>
      </c>
      <c r="Q61" s="106" t="str">
        <f>IF(ISBLANK(O61), "", VLOOKUP(C61&amp;" "&amp;D61, 'Info Tipo de Cambio y REM'!$A$24:$B$35, 2, FALSE))</f>
        <v/>
      </c>
      <c r="R61" s="107">
        <f t="shared" si="2"/>
        <v>600</v>
      </c>
    </row>
    <row r="62" hidden="1">
      <c r="A62" s="443" t="s">
        <v>173</v>
      </c>
      <c r="B62" s="43" t="str">
        <f>IF(A62="", "", IFERROR(VLOOKUP(A62, Clasificaciones!A:B, 2, FALSE), "DATO NO CARGADO"))
</f>
        <v>Suscripciones/Herramientas</v>
      </c>
      <c r="C62" s="51" t="s">
        <v>123</v>
      </c>
      <c r="D62" s="43">
        <v>2025.0</v>
      </c>
      <c r="E62" s="43" t="s">
        <v>1130</v>
      </c>
      <c r="F62" s="202"/>
      <c r="G62" s="202"/>
      <c r="H62" s="43"/>
      <c r="I62" s="43"/>
      <c r="J62" s="43"/>
      <c r="K62" s="461"/>
      <c r="L62" s="455"/>
      <c r="M62" s="443"/>
      <c r="N62" s="452"/>
      <c r="O62" s="453"/>
      <c r="P62" s="107">
        <f t="shared" ref="P62:P68" si="5">7450/3</f>
        <v>2483.333333</v>
      </c>
      <c r="Q62" s="106" t="str">
        <f>IF(ISBLANK(O62), "", VLOOKUP(C62&amp;" "&amp;D62, 'Info Tipo de Cambio y REM'!$A$24:$B$35, 2, FALSE))</f>
        <v/>
      </c>
      <c r="R62" s="107">
        <f t="shared" si="2"/>
        <v>2483.333333</v>
      </c>
    </row>
    <row r="63" hidden="1">
      <c r="A63" s="443" t="s">
        <v>173</v>
      </c>
      <c r="B63" s="43" t="str">
        <f>IF(A63="", "", IFERROR(VLOOKUP(A63, Clasificaciones!A:B, 2, FALSE), "DATO NO CARGADO"))
</f>
        <v>Suscripciones/Herramientas</v>
      </c>
      <c r="C63" s="51" t="s">
        <v>129</v>
      </c>
      <c r="D63" s="43">
        <v>2025.0</v>
      </c>
      <c r="E63" s="43" t="s">
        <v>1130</v>
      </c>
      <c r="F63" s="202"/>
      <c r="G63" s="202"/>
      <c r="H63" s="43"/>
      <c r="I63" s="43"/>
      <c r="J63" s="43"/>
      <c r="K63" s="462"/>
      <c r="L63" s="455"/>
      <c r="M63" s="443"/>
      <c r="N63" s="452"/>
      <c r="O63" s="453"/>
      <c r="P63" s="107">
        <f t="shared" si="5"/>
        <v>2483.333333</v>
      </c>
      <c r="Q63" s="106" t="str">
        <f>IF(ISBLANK(O63), "", VLOOKUP(C63&amp;" "&amp;D63, 'Info Tipo de Cambio y REM'!$A$24:$B$35, 2, FALSE))</f>
        <v/>
      </c>
      <c r="R63" s="107">
        <f t="shared" si="2"/>
        <v>2483.333333</v>
      </c>
    </row>
    <row r="64" hidden="1">
      <c r="A64" s="443" t="s">
        <v>173</v>
      </c>
      <c r="B64" s="43" t="str">
        <f>IF(A64="", "", IFERROR(VLOOKUP(A64, Clasificaciones!A:B, 2, FALSE), "DATO NO CARGADO"))
</f>
        <v>Suscripciones/Herramientas</v>
      </c>
      <c r="C64" s="51" t="s">
        <v>136</v>
      </c>
      <c r="D64" s="43">
        <v>2025.0</v>
      </c>
      <c r="E64" s="43" t="s">
        <v>1130</v>
      </c>
      <c r="F64" s="202"/>
      <c r="G64" s="202"/>
      <c r="H64" s="43"/>
      <c r="I64" s="43"/>
      <c r="J64" s="43"/>
      <c r="K64" s="462"/>
      <c r="L64" s="455"/>
      <c r="M64" s="443"/>
      <c r="N64" s="452"/>
      <c r="O64" s="453"/>
      <c r="P64" s="107">
        <f t="shared" si="5"/>
        <v>2483.333333</v>
      </c>
      <c r="Q64" s="106" t="str">
        <f>IF(ISBLANK(O64), "", VLOOKUP(C64&amp;" "&amp;D64, 'Info Tipo de Cambio y REM'!$A$24:$B$35, 2, FALSE))</f>
        <v/>
      </c>
      <c r="R64" s="107">
        <f t="shared" si="2"/>
        <v>2483.333333</v>
      </c>
    </row>
    <row r="65" hidden="1">
      <c r="A65" s="443" t="s">
        <v>173</v>
      </c>
      <c r="B65" s="43" t="str">
        <f>IF(A65="", "", IFERROR(VLOOKUP(A65, Clasificaciones!A:B, 2, FALSE), "DATO NO CARGADO"))
</f>
        <v>Suscripciones/Herramientas</v>
      </c>
      <c r="C65" s="51" t="s">
        <v>143</v>
      </c>
      <c r="D65" s="43">
        <v>2025.0</v>
      </c>
      <c r="E65" s="43" t="s">
        <v>1130</v>
      </c>
      <c r="F65" s="202"/>
      <c r="G65" s="202"/>
      <c r="H65" s="43"/>
      <c r="I65" s="43"/>
      <c r="J65" s="43"/>
      <c r="K65" s="462"/>
      <c r="L65" s="455"/>
      <c r="M65" s="443"/>
      <c r="N65" s="452"/>
      <c r="O65" s="453"/>
      <c r="P65" s="107">
        <f t="shared" si="5"/>
        <v>2483.333333</v>
      </c>
      <c r="Q65" s="106" t="str">
        <f>IF(ISBLANK(O65), "", VLOOKUP(C65&amp;" "&amp;D65, 'Info Tipo de Cambio y REM'!$A$24:$B$35, 2, FALSE))</f>
        <v/>
      </c>
      <c r="R65" s="107">
        <f t="shared" si="2"/>
        <v>2483.333333</v>
      </c>
    </row>
    <row r="66" hidden="1">
      <c r="A66" s="443" t="s">
        <v>173</v>
      </c>
      <c r="B66" s="43" t="str">
        <f>IF(A66="", "", IFERROR(VLOOKUP(A66, Clasificaciones!A:B, 2, FALSE), "DATO NO CARGADO"))
</f>
        <v>Suscripciones/Herramientas</v>
      </c>
      <c r="C66" s="51" t="s">
        <v>149</v>
      </c>
      <c r="D66" s="43">
        <v>2025.0</v>
      </c>
      <c r="E66" s="43" t="s">
        <v>1130</v>
      </c>
      <c r="F66" s="202"/>
      <c r="G66" s="202"/>
      <c r="H66" s="43"/>
      <c r="I66" s="43"/>
      <c r="J66" s="43"/>
      <c r="K66" s="462"/>
      <c r="L66" s="455"/>
      <c r="M66" s="443"/>
      <c r="N66" s="452"/>
      <c r="O66" s="453"/>
      <c r="P66" s="107">
        <f t="shared" si="5"/>
        <v>2483.333333</v>
      </c>
      <c r="Q66" s="106" t="str">
        <f>IF(ISBLANK(O66), "", VLOOKUP(C66&amp;" "&amp;D66, 'Info Tipo de Cambio y REM'!$A$24:$B$35, 2, FALSE))</f>
        <v/>
      </c>
      <c r="R66" s="107">
        <f t="shared" si="2"/>
        <v>2483.333333</v>
      </c>
    </row>
    <row r="67" hidden="1">
      <c r="A67" s="443" t="s">
        <v>173</v>
      </c>
      <c r="B67" s="43" t="str">
        <f>IF(A67="", "", IFERROR(VLOOKUP(A67, Clasificaciones!A:B, 2, FALSE), "DATO NO CARGADO"))
</f>
        <v>Suscripciones/Herramientas</v>
      </c>
      <c r="C67" s="51" t="s">
        <v>155</v>
      </c>
      <c r="D67" s="43">
        <v>2025.0</v>
      </c>
      <c r="E67" s="43" t="s">
        <v>1130</v>
      </c>
      <c r="F67" s="202"/>
      <c r="G67" s="202"/>
      <c r="H67" s="43"/>
      <c r="I67" s="43"/>
      <c r="J67" s="43"/>
      <c r="K67" s="462"/>
      <c r="L67" s="455"/>
      <c r="M67" s="443"/>
      <c r="N67" s="452"/>
      <c r="O67" s="453"/>
      <c r="P67" s="107">
        <f t="shared" si="5"/>
        <v>2483.333333</v>
      </c>
      <c r="Q67" s="106" t="str">
        <f>IF(ISBLANK(O67), "", VLOOKUP(C67&amp;" "&amp;D67, 'Info Tipo de Cambio y REM'!$A$24:$B$35, 2, FALSE))</f>
        <v/>
      </c>
      <c r="R67" s="107">
        <f t="shared" si="2"/>
        <v>2483.333333</v>
      </c>
    </row>
    <row r="68" hidden="1">
      <c r="A68" s="443" t="s">
        <v>173</v>
      </c>
      <c r="B68" s="43" t="str">
        <f>IF(A68="", "", IFERROR(VLOOKUP(A68, Clasificaciones!A:B, 2, FALSE), "DATO NO CARGADO"))
</f>
        <v>Suscripciones/Herramientas</v>
      </c>
      <c r="C68" s="51" t="s">
        <v>161</v>
      </c>
      <c r="D68" s="43">
        <v>2025.0</v>
      </c>
      <c r="E68" s="43" t="s">
        <v>1130</v>
      </c>
      <c r="F68" s="202"/>
      <c r="G68" s="202"/>
      <c r="H68" s="43"/>
      <c r="I68" s="43"/>
      <c r="J68" s="43"/>
      <c r="K68" s="462"/>
      <c r="L68" s="455"/>
      <c r="M68" s="443"/>
      <c r="N68" s="452"/>
      <c r="O68" s="453"/>
      <c r="P68" s="107">
        <f t="shared" si="5"/>
        <v>2483.333333</v>
      </c>
      <c r="Q68" s="106" t="str">
        <f>IF(ISBLANK(O68), "", VLOOKUP(C68&amp;" "&amp;D68, 'Info Tipo de Cambio y REM'!$A$24:$B$35, 2, FALSE))</f>
        <v/>
      </c>
      <c r="R68" s="107">
        <f t="shared" si="2"/>
        <v>2483.333333</v>
      </c>
    </row>
    <row r="69" hidden="1">
      <c r="A69" s="443" t="s">
        <v>191</v>
      </c>
      <c r="B69" s="43" t="str">
        <f>IF(A69="", "", IFERROR(VLOOKUP(A69, Clasificaciones!A:B, 2, FALSE), "DATO NO CARGADO"))
</f>
        <v>Tarjeta</v>
      </c>
      <c r="C69" s="51" t="s">
        <v>123</v>
      </c>
      <c r="D69" s="43">
        <v>2025.0</v>
      </c>
      <c r="E69" s="43" t="s">
        <v>1130</v>
      </c>
      <c r="F69" s="202"/>
      <c r="G69" s="202"/>
      <c r="H69" s="43"/>
      <c r="I69" s="43"/>
      <c r="J69" s="43"/>
      <c r="K69" s="462"/>
      <c r="L69" s="455"/>
      <c r="M69" s="443"/>
      <c r="N69" s="452"/>
      <c r="O69" s="453"/>
      <c r="P69" s="89">
        <v>12.0</v>
      </c>
      <c r="Q69" s="106" t="str">
        <f>IF(ISBLANK(O69), "", VLOOKUP(C69&amp;" "&amp;D69, 'Info Tipo de Cambio y REM'!$A$24:$B$35, 2, FALSE))</f>
        <v/>
      </c>
      <c r="R69" s="107">
        <f t="shared" si="2"/>
        <v>12</v>
      </c>
    </row>
    <row r="70" hidden="1">
      <c r="A70" s="443" t="s">
        <v>191</v>
      </c>
      <c r="B70" s="43" t="str">
        <f>IF(A70="", "", IFERROR(VLOOKUP(A70, Clasificaciones!A:B, 2, FALSE), "DATO NO CARGADO"))
</f>
        <v>Tarjeta</v>
      </c>
      <c r="C70" s="51" t="s">
        <v>123</v>
      </c>
      <c r="D70" s="43">
        <v>2025.0</v>
      </c>
      <c r="E70" s="43" t="s">
        <v>1130</v>
      </c>
      <c r="F70" s="202"/>
      <c r="G70" s="202"/>
      <c r="H70" s="43"/>
      <c r="I70" s="43"/>
      <c r="J70" s="43"/>
      <c r="K70" s="463"/>
      <c r="L70" s="455"/>
      <c r="M70" s="443"/>
      <c r="N70" s="452"/>
      <c r="O70" s="453"/>
      <c r="P70" s="89">
        <v>450.0</v>
      </c>
      <c r="Q70" s="106" t="str">
        <f>IF(ISBLANK(O70), "", VLOOKUP(C70&amp;" "&amp;D70, 'Info Tipo de Cambio y REM'!$A$24:$B$35, 2, FALSE))</f>
        <v/>
      </c>
      <c r="R70" s="107">
        <f t="shared" si="2"/>
        <v>450</v>
      </c>
    </row>
    <row r="71" hidden="1">
      <c r="A71" s="443" t="s">
        <v>191</v>
      </c>
      <c r="B71" s="43" t="str">
        <f>IF(A71="", "", IFERROR(VLOOKUP(A71, Clasificaciones!A:B, 2, FALSE), "DATO NO CARGADO"))
</f>
        <v>Tarjeta</v>
      </c>
      <c r="C71" s="51" t="s">
        <v>123</v>
      </c>
      <c r="D71" s="43">
        <v>2025.0</v>
      </c>
      <c r="E71" s="43" t="s">
        <v>1130</v>
      </c>
      <c r="F71" s="202"/>
      <c r="G71" s="202"/>
      <c r="H71" s="43"/>
      <c r="I71" s="43"/>
      <c r="J71" s="43"/>
      <c r="K71" s="462"/>
      <c r="L71" s="455"/>
      <c r="M71" s="443"/>
      <c r="N71" s="452"/>
      <c r="O71" s="453"/>
      <c r="P71" s="89">
        <v>303.0</v>
      </c>
      <c r="Q71" s="106" t="str">
        <f>IF(ISBLANK(O71), "", VLOOKUP(C71&amp;" "&amp;D71, 'Info Tipo de Cambio y REM'!$A$24:$B$35, 2, FALSE))</f>
        <v/>
      </c>
      <c r="R71" s="107">
        <f t="shared" si="2"/>
        <v>303</v>
      </c>
    </row>
    <row r="72" hidden="1">
      <c r="A72" s="443" t="s">
        <v>191</v>
      </c>
      <c r="B72" s="43" t="str">
        <f>IF(A72="", "", IFERROR(VLOOKUP(A72, Clasificaciones!A:B, 2, FALSE), "DATO NO CARGADO"))
</f>
        <v>Tarjeta</v>
      </c>
      <c r="C72" s="51" t="s">
        <v>123</v>
      </c>
      <c r="D72" s="43">
        <v>2025.0</v>
      </c>
      <c r="E72" s="43" t="s">
        <v>1130</v>
      </c>
      <c r="F72" s="202"/>
      <c r="G72" s="202"/>
      <c r="H72" s="43"/>
      <c r="I72" s="43"/>
      <c r="J72" s="43"/>
      <c r="K72" s="463"/>
      <c r="L72" s="455"/>
      <c r="M72" s="443"/>
      <c r="N72" s="452"/>
      <c r="O72" s="453"/>
      <c r="P72" s="89">
        <v>8.0</v>
      </c>
      <c r="Q72" s="106" t="str">
        <f>IF(ISBLANK(O72), "", VLOOKUP(C72&amp;" "&amp;D72, 'Info Tipo de Cambio y REM'!$A$24:$B$35, 2, FALSE))</f>
        <v/>
      </c>
      <c r="R72" s="107">
        <f t="shared" si="2"/>
        <v>8</v>
      </c>
    </row>
    <row r="73" hidden="1">
      <c r="A73" s="443" t="s">
        <v>191</v>
      </c>
      <c r="B73" s="43" t="str">
        <f>IF(A73="", "", IFERROR(VLOOKUP(A73, Clasificaciones!A:B, 2, FALSE), "DATO NO CARGADO"))
</f>
        <v>Tarjeta</v>
      </c>
      <c r="C73" s="51" t="s">
        <v>123</v>
      </c>
      <c r="D73" s="43">
        <v>2025.0</v>
      </c>
      <c r="E73" s="43" t="s">
        <v>1130</v>
      </c>
      <c r="F73" s="202"/>
      <c r="G73" s="202"/>
      <c r="H73" s="43"/>
      <c r="I73" s="43"/>
      <c r="J73" s="43"/>
      <c r="K73" s="463"/>
      <c r="L73" s="455"/>
      <c r="M73" s="443"/>
      <c r="N73" s="452"/>
      <c r="O73" s="453"/>
      <c r="P73" s="89">
        <v>14.19</v>
      </c>
      <c r="Q73" s="106" t="str">
        <f>IF(ISBLANK(O73), "", VLOOKUP(C73&amp;" "&amp;D73, 'Info Tipo de Cambio y REM'!$A$24:$B$35, 2, FALSE))</f>
        <v/>
      </c>
      <c r="R73" s="107">
        <f t="shared" si="2"/>
        <v>14.19</v>
      </c>
    </row>
    <row r="74" hidden="1">
      <c r="A74" s="443" t="s">
        <v>191</v>
      </c>
      <c r="B74" s="43" t="str">
        <f>IF(A74="", "", IFERROR(VLOOKUP(A74, Clasificaciones!A:B, 2, FALSE), "DATO NO CARGADO"))
</f>
        <v>Tarjeta</v>
      </c>
      <c r="C74" s="51" t="s">
        <v>123</v>
      </c>
      <c r="D74" s="43">
        <v>2025.0</v>
      </c>
      <c r="E74" s="43" t="s">
        <v>1130</v>
      </c>
      <c r="F74" s="202"/>
      <c r="G74" s="202"/>
      <c r="H74" s="43"/>
      <c r="I74" s="43"/>
      <c r="J74" s="43"/>
      <c r="K74" s="463"/>
      <c r="L74" s="455"/>
      <c r="M74" s="443"/>
      <c r="N74" s="452"/>
      <c r="O74" s="453"/>
      <c r="P74" s="89">
        <v>22.99</v>
      </c>
      <c r="Q74" s="106" t="str">
        <f>IF(ISBLANK(O74), "", VLOOKUP(C74&amp;" "&amp;D74, 'Info Tipo de Cambio y REM'!$A$24:$B$35, 2, FALSE))</f>
        <v/>
      </c>
      <c r="R74" s="107">
        <f t="shared" si="2"/>
        <v>22.99</v>
      </c>
    </row>
    <row r="75" hidden="1">
      <c r="A75" s="443" t="s">
        <v>191</v>
      </c>
      <c r="B75" s="43" t="str">
        <f>IF(A75="", "", IFERROR(VLOOKUP(A75, Clasificaciones!A:B, 2, FALSE), "DATO NO CARGADO"))
</f>
        <v>Tarjeta</v>
      </c>
      <c r="C75" s="51" t="s">
        <v>123</v>
      </c>
      <c r="D75" s="43">
        <v>2025.0</v>
      </c>
      <c r="E75" s="43" t="s">
        <v>1130</v>
      </c>
      <c r="F75" s="202"/>
      <c r="G75" s="202"/>
      <c r="H75" s="43"/>
      <c r="I75" s="43"/>
      <c r="J75" s="43"/>
      <c r="K75" s="463"/>
      <c r="L75" s="455"/>
      <c r="M75" s="443"/>
      <c r="N75" s="452"/>
      <c r="O75" s="453"/>
      <c r="P75" s="89">
        <v>25.0</v>
      </c>
      <c r="Q75" s="106" t="str">
        <f>IF(ISBLANK(O75), "", VLOOKUP(C75&amp;" "&amp;D75, 'Info Tipo de Cambio y REM'!$A$24:$B$35, 2, FALSE))</f>
        <v/>
      </c>
      <c r="R75" s="107">
        <f t="shared" si="2"/>
        <v>25</v>
      </c>
    </row>
    <row r="76" hidden="1">
      <c r="A76" s="443" t="s">
        <v>120</v>
      </c>
      <c r="B76" s="43" t="str">
        <f>IF(A76="", "", IFERROR(VLOOKUP(A76, Clasificaciones!A:B, 2, FALSE), "DATO NO CARGADO"))
</f>
        <v>Equipo</v>
      </c>
      <c r="C76" s="51" t="s">
        <v>129</v>
      </c>
      <c r="D76" s="43">
        <v>2025.0</v>
      </c>
      <c r="E76" s="43" t="s">
        <v>1124</v>
      </c>
      <c r="F76" s="202"/>
      <c r="G76" s="202" t="s">
        <v>1144</v>
      </c>
      <c r="H76" s="43" t="s">
        <v>1126</v>
      </c>
      <c r="I76" s="43" t="s">
        <v>1127</v>
      </c>
      <c r="J76" s="43" t="s">
        <v>180</v>
      </c>
      <c r="K76" s="443">
        <v>5.0</v>
      </c>
      <c r="L76" s="455">
        <f>0.67+0.75</f>
        <v>1.42</v>
      </c>
      <c r="M76" s="443">
        <v>1.4</v>
      </c>
      <c r="N76" s="452">
        <f t="array" ref="N76">IFERROR(
  INDEX(
    'Valor Hora Real y Estimada'!$A$4:$Z$78,
    MATCH(TRIM(CLEAN(A76)), 'Valor Hora Real y Estimada'!$A$4:$A$78, 0),
    MATCH(
      TEXT(C76,"dd mmm")&amp;" "&amp;D76,
      'Valor Hora Real y Estimada'!$A$3:$Z$3,
      0
    ) + 1
  ),
  0
)</f>
        <v>20833.33333</v>
      </c>
      <c r="O76" s="453">
        <f t="shared" ref="O76:O123" si="6">N76*M76</f>
        <v>29166.66667</v>
      </c>
      <c r="P76" s="113"/>
      <c r="Q76" s="106">
        <f>IF(ISBLANK(O76), "", VLOOKUP(C76&amp;" "&amp;D76, 'Info Tipo de Cambio y REM'!$A$24:$B$35, 2, FALSE))</f>
        <v>1230</v>
      </c>
      <c r="R76" s="107">
        <f t="shared" si="2"/>
        <v>23.71273713</v>
      </c>
    </row>
    <row r="77" hidden="1">
      <c r="A77" s="443" t="s">
        <v>197</v>
      </c>
      <c r="B77" s="43" t="str">
        <f>IF(A77="", "", IFERROR(VLOOKUP(A77, Clasificaciones!A:B, 2, FALSE), "DATO NO CARGADO"))
</f>
        <v>Equipo</v>
      </c>
      <c r="C77" s="51" t="s">
        <v>129</v>
      </c>
      <c r="D77" s="43">
        <v>2025.0</v>
      </c>
      <c r="E77" s="43" t="s">
        <v>1124</v>
      </c>
      <c r="F77" s="202"/>
      <c r="G77" s="202" t="s">
        <v>1144</v>
      </c>
      <c r="H77" s="43" t="s">
        <v>1126</v>
      </c>
      <c r="I77" s="43" t="s">
        <v>1127</v>
      </c>
      <c r="J77" s="43" t="s">
        <v>180</v>
      </c>
      <c r="K77" s="443">
        <v>45.0</v>
      </c>
      <c r="L77" s="455">
        <f>31+31.67</f>
        <v>62.67</v>
      </c>
      <c r="M77" s="443">
        <v>62.7</v>
      </c>
      <c r="N77" s="452">
        <f t="array" ref="N77">IFERROR(
  INDEX(
    'Valor Hora Real y Estimada'!$A$4:$Z$78,
    MATCH(TRIM(CLEAN(A77)), 'Valor Hora Real y Estimada'!$A$4:$A$78, 0),
    MATCH(
      TEXT(C77,"dd mmm")&amp;" "&amp;D77,
      'Valor Hora Real y Estimada'!$A$3:$Z$3,
      0
    ) + 1
  ),
  0
)</f>
        <v>10045</v>
      </c>
      <c r="O77" s="453">
        <f t="shared" si="6"/>
        <v>629821.5</v>
      </c>
      <c r="P77" s="113"/>
      <c r="Q77" s="106">
        <f>IF(ISBLANK(O77), "", VLOOKUP(C77&amp;" "&amp;D77, 'Info Tipo de Cambio y REM'!$A$24:$B$35, 2, FALSE))</f>
        <v>1230</v>
      </c>
      <c r="R77" s="107">
        <f t="shared" si="2"/>
        <v>512.05</v>
      </c>
    </row>
    <row r="78" hidden="1">
      <c r="A78" s="443" t="s">
        <v>221</v>
      </c>
      <c r="B78" s="43" t="str">
        <f>IF(A78="", "", IFERROR(VLOOKUP(A78, Clasificaciones!A:B, 2, FALSE), "DATO NO CARGADO"))
</f>
        <v>Equipo</v>
      </c>
      <c r="C78" s="51" t="s">
        <v>129</v>
      </c>
      <c r="D78" s="43">
        <v>2025.0</v>
      </c>
      <c r="E78" s="43" t="s">
        <v>1124</v>
      </c>
      <c r="F78" s="202"/>
      <c r="G78" s="202" t="s">
        <v>1144</v>
      </c>
      <c r="H78" s="43" t="s">
        <v>1126</v>
      </c>
      <c r="I78" s="43" t="s">
        <v>1127</v>
      </c>
      <c r="J78" s="43" t="s">
        <v>180</v>
      </c>
      <c r="K78" s="443">
        <v>10.0</v>
      </c>
      <c r="L78" s="451">
        <v>5.0</v>
      </c>
      <c r="M78" s="443">
        <v>5.0</v>
      </c>
      <c r="N78" s="452">
        <f t="array" ref="N78">IFERROR(
  INDEX(
    'Valor Hora Real y Estimada'!$A$4:$Z$78,
    MATCH(TRIM(CLEAN(A78)), 'Valor Hora Real y Estimada'!$A$4:$A$78, 0),
    MATCH(
      TEXT(C78,"dd mmm")&amp;" "&amp;D78,
      'Valor Hora Real y Estimada'!$A$3:$Z$3,
      0
    ) + 1
  ),
  0
)</f>
        <v>10121</v>
      </c>
      <c r="O78" s="453">
        <f t="shared" si="6"/>
        <v>50605</v>
      </c>
      <c r="P78" s="113"/>
      <c r="Q78" s="106">
        <f>IF(ISBLANK(O78), "", VLOOKUP(C78&amp;" "&amp;D78, 'Info Tipo de Cambio y REM'!$A$24:$B$35, 2, FALSE))</f>
        <v>1230</v>
      </c>
      <c r="R78" s="107">
        <f t="shared" si="2"/>
        <v>41.14227642</v>
      </c>
    </row>
    <row r="79" hidden="1">
      <c r="A79" s="443" t="s">
        <v>203</v>
      </c>
      <c r="B79" s="43" t="str">
        <f>IF(A79="", "", IFERROR(VLOOKUP(A79, Clasificaciones!A:B, 2, FALSE), "DATO NO CARGADO"))
</f>
        <v>Equipo</v>
      </c>
      <c r="C79" s="51" t="s">
        <v>129</v>
      </c>
      <c r="D79" s="43">
        <v>2025.0</v>
      </c>
      <c r="E79" s="43" t="s">
        <v>1124</v>
      </c>
      <c r="F79" s="202"/>
      <c r="G79" s="202" t="s">
        <v>1144</v>
      </c>
      <c r="H79" s="43" t="s">
        <v>1126</v>
      </c>
      <c r="I79" s="43" t="s">
        <v>1127</v>
      </c>
      <c r="J79" s="43" t="s">
        <v>180</v>
      </c>
      <c r="K79" s="443">
        <v>40.0</v>
      </c>
      <c r="L79" s="455">
        <f>22.18+27.93</f>
        <v>50.11</v>
      </c>
      <c r="M79" s="443">
        <v>50.1</v>
      </c>
      <c r="N79" s="452">
        <f t="array" ref="N79">IFERROR(
  INDEX(
    'Valor Hora Real y Estimada'!$A$4:$Z$78,
    MATCH(TRIM(CLEAN(A79)), 'Valor Hora Real y Estimada'!$A$4:$A$78, 0),
    MATCH(
      TEXT(C79,"dd mmm")&amp;" "&amp;D79,
      'Valor Hora Real y Estimada'!$A$3:$Z$3,
      0
    ) + 1
  ),
  0
)</f>
        <v>9115</v>
      </c>
      <c r="O79" s="453">
        <f t="shared" si="6"/>
        <v>456661.5</v>
      </c>
      <c r="P79" s="113"/>
      <c r="Q79" s="106">
        <f>IF(ISBLANK(O79), "", VLOOKUP(C79&amp;" "&amp;D79, 'Info Tipo de Cambio y REM'!$A$24:$B$35, 2, FALSE))</f>
        <v>1230</v>
      </c>
      <c r="R79" s="107">
        <f t="shared" si="2"/>
        <v>371.2695122</v>
      </c>
    </row>
    <row r="80" hidden="1">
      <c r="A80" s="443" t="s">
        <v>210</v>
      </c>
      <c r="B80" s="43" t="str">
        <f>IF(A80="", "", IFERROR(VLOOKUP(A80, Clasificaciones!A:B, 2, FALSE), "DATO NO CARGADO"))
</f>
        <v>Equipo</v>
      </c>
      <c r="C80" s="51" t="s">
        <v>129</v>
      </c>
      <c r="D80" s="43">
        <v>2025.0</v>
      </c>
      <c r="E80" s="43" t="s">
        <v>1124</v>
      </c>
      <c r="F80" s="202"/>
      <c r="G80" s="202" t="s">
        <v>1144</v>
      </c>
      <c r="H80" s="43" t="s">
        <v>1126</v>
      </c>
      <c r="I80" s="43" t="s">
        <v>1127</v>
      </c>
      <c r="J80" s="43" t="s">
        <v>180</v>
      </c>
      <c r="K80" s="443">
        <v>6.0</v>
      </c>
      <c r="L80" s="451">
        <v>2.0</v>
      </c>
      <c r="M80" s="443">
        <v>2.0</v>
      </c>
      <c r="N80" s="452">
        <f t="array" ref="N80">IFERROR(
  INDEX(
    'Valor Hora Real y Estimada'!$A$4:$Z$78,
    MATCH(TRIM(CLEAN(A80)), 'Valor Hora Real y Estimada'!$A$4:$A$78, 0),
    MATCH(
      TEXT(C80,"dd mmm")&amp;" "&amp;D80,
      'Valor Hora Real y Estimada'!$A$3:$Z$3,
      0
    ) + 1
  ),
  0
)</f>
        <v>14717</v>
      </c>
      <c r="O80" s="453">
        <f t="shared" si="6"/>
        <v>29434</v>
      </c>
      <c r="P80" s="113"/>
      <c r="Q80" s="106">
        <f>IF(ISBLANK(O80), "", VLOOKUP(C80&amp;" "&amp;D80, 'Info Tipo de Cambio y REM'!$A$24:$B$35, 2, FALSE))</f>
        <v>1230</v>
      </c>
      <c r="R80" s="107">
        <f t="shared" si="2"/>
        <v>23.9300813</v>
      </c>
    </row>
    <row r="81">
      <c r="A81" s="443" t="s">
        <v>200</v>
      </c>
      <c r="B81" s="43" t="str">
        <f>IF(A81="", "", IFERROR(VLOOKUP(A81, Clasificaciones!A:B, 2, FALSE), "DATO NO CARGADO"))
</f>
        <v>Equipo</v>
      </c>
      <c r="C81" s="51" t="s">
        <v>129</v>
      </c>
      <c r="D81" s="454">
        <v>2025.0</v>
      </c>
      <c r="E81" s="319" t="s">
        <v>1124</v>
      </c>
      <c r="F81" s="202"/>
      <c r="G81" s="202" t="s">
        <v>1145</v>
      </c>
      <c r="H81" s="43" t="s">
        <v>1126</v>
      </c>
      <c r="I81" s="43" t="s">
        <v>1129</v>
      </c>
      <c r="J81" s="43" t="s">
        <v>183</v>
      </c>
      <c r="K81" s="443">
        <v>60.0</v>
      </c>
      <c r="L81" s="455">
        <f>105.08+39</f>
        <v>144.08</v>
      </c>
      <c r="M81" s="443">
        <f>144.1-0.021</f>
        <v>144.079</v>
      </c>
      <c r="N81" s="452">
        <f t="array" ref="N81">IFERROR(
  INDEX(
    'Valor Hora Real y Estimada'!$A$4:$Z$78,
    MATCH(TRIM(CLEAN(A81)), 'Valor Hora Real y Estimada'!$A$4:$A$78, 0),
    MATCH(
      TEXT(C81,"dd mmm")&amp;" "&amp;D81,
      'Valor Hora Real y Estimada'!$A$3:$Z$3,
      0
    ) + 1
  ),
  0
)</f>
        <v>16856</v>
      </c>
      <c r="O81" s="453">
        <f t="shared" si="6"/>
        <v>2428595.624</v>
      </c>
      <c r="P81" s="113"/>
      <c r="Q81" s="106">
        <f>IF(ISBLANK(O81), "", VLOOKUP(C81&amp;" "&amp;D81, 'Info Tipo de Cambio y REM'!$A$24:$B$35, 2, FALSE))</f>
        <v>1230</v>
      </c>
      <c r="R81" s="107">
        <f t="shared" si="2"/>
        <v>1974.467987</v>
      </c>
    </row>
    <row r="82">
      <c r="A82" s="443" t="s">
        <v>218</v>
      </c>
      <c r="B82" s="43" t="str">
        <f>IF(A82="", "", IFERROR(VLOOKUP(A82, Clasificaciones!A:B, 2, FALSE), "DATO NO CARGADO"))
</f>
        <v>Equipo</v>
      </c>
      <c r="C82" s="51" t="s">
        <v>129</v>
      </c>
      <c r="D82" s="454">
        <v>2025.0</v>
      </c>
      <c r="E82" s="319" t="s">
        <v>1124</v>
      </c>
      <c r="F82" s="202"/>
      <c r="G82" s="202" t="s">
        <v>1145</v>
      </c>
      <c r="H82" s="43" t="s">
        <v>1126</v>
      </c>
      <c r="I82" s="43" t="s">
        <v>1129</v>
      </c>
      <c r="J82" s="43" t="s">
        <v>183</v>
      </c>
      <c r="K82" s="443">
        <v>32.0</v>
      </c>
      <c r="L82" s="443">
        <v>33.5</v>
      </c>
      <c r="M82" s="443">
        <v>33.5</v>
      </c>
      <c r="N82" s="452">
        <f t="array" ref="N82">IFERROR(
  INDEX(
    'Valor Hora Real y Estimada'!$A$4:$Z$78,
    MATCH(TRIM(CLEAN(A82)), 'Valor Hora Real y Estimada'!$A$4:$A$78, 0),
    MATCH(
      TEXT(C82,"dd mmm")&amp;" "&amp;D82,
      'Valor Hora Real y Estimada'!$A$3:$Z$3,
      0
    ) + 1
  ),
  0
)</f>
        <v>18000</v>
      </c>
      <c r="O82" s="453">
        <f t="shared" si="6"/>
        <v>603000</v>
      </c>
      <c r="P82" s="113"/>
      <c r="Q82" s="106">
        <f>IF(ISBLANK(O82), "", VLOOKUP(C82&amp;" "&amp;D82, 'Info Tipo de Cambio y REM'!$A$24:$B$35, 2, FALSE))</f>
        <v>1230</v>
      </c>
      <c r="R82" s="107">
        <f t="shared" si="2"/>
        <v>490.2439024</v>
      </c>
    </row>
    <row r="83">
      <c r="A83" s="443" t="s">
        <v>197</v>
      </c>
      <c r="B83" s="43" t="str">
        <f>IF(A83="", "", IFERROR(VLOOKUP(A83, Clasificaciones!A:B, 2, FALSE), "DATO NO CARGADO"))
</f>
        <v>Equipo</v>
      </c>
      <c r="C83" s="51" t="s">
        <v>129</v>
      </c>
      <c r="D83" s="454">
        <v>2025.0</v>
      </c>
      <c r="E83" s="319" t="s">
        <v>1124</v>
      </c>
      <c r="F83" s="202"/>
      <c r="G83" s="202" t="s">
        <v>1145</v>
      </c>
      <c r="H83" s="43" t="s">
        <v>1126</v>
      </c>
      <c r="I83" s="43" t="s">
        <v>1129</v>
      </c>
      <c r="J83" s="43" t="s">
        <v>183</v>
      </c>
      <c r="K83" s="443">
        <v>50.0</v>
      </c>
      <c r="L83" s="455">
        <f>21+73.5</f>
        <v>94.5</v>
      </c>
      <c r="M83" s="443">
        <f>94.5-0.037</f>
        <v>94.463</v>
      </c>
      <c r="N83" s="452">
        <f t="array" ref="N83">IFERROR(
  INDEX(
    'Valor Hora Real y Estimada'!$A$4:$Z$78,
    MATCH(TRIM(CLEAN(A83)), 'Valor Hora Real y Estimada'!$A$4:$A$78, 0),
    MATCH(
      TEXT(C83,"dd mmm")&amp;" "&amp;D83,
      'Valor Hora Real y Estimada'!$A$3:$Z$3,
      0
    ) + 1
  ),
  0
)</f>
        <v>10045</v>
      </c>
      <c r="O83" s="453">
        <f t="shared" si="6"/>
        <v>948880.835</v>
      </c>
      <c r="P83" s="113"/>
      <c r="Q83" s="106">
        <f>IF(ISBLANK(O83), "", VLOOKUP(C83&amp;" "&amp;D83, 'Info Tipo de Cambio y REM'!$A$24:$B$35, 2, FALSE))</f>
        <v>1230</v>
      </c>
      <c r="R83" s="107">
        <f t="shared" si="2"/>
        <v>771.4478333</v>
      </c>
    </row>
    <row r="84">
      <c r="A84" s="443" t="s">
        <v>221</v>
      </c>
      <c r="B84" s="43" t="str">
        <f>IF(A84="", "", IFERROR(VLOOKUP(A84, Clasificaciones!A:B, 2, FALSE), "DATO NO CARGADO"))
</f>
        <v>Equipo</v>
      </c>
      <c r="C84" s="51" t="s">
        <v>129</v>
      </c>
      <c r="D84" s="454">
        <v>2025.0</v>
      </c>
      <c r="E84" s="319" t="s">
        <v>1124</v>
      </c>
      <c r="F84" s="202"/>
      <c r="G84" s="202" t="s">
        <v>1145</v>
      </c>
      <c r="H84" s="43" t="s">
        <v>1126</v>
      </c>
      <c r="I84" s="43" t="s">
        <v>1129</v>
      </c>
      <c r="J84" s="43" t="s">
        <v>183</v>
      </c>
      <c r="K84" s="443">
        <v>60.0</v>
      </c>
      <c r="L84" s="451">
        <v>100.0</v>
      </c>
      <c r="M84" s="443">
        <f>100-0.498</f>
        <v>99.502</v>
      </c>
      <c r="N84" s="452">
        <f t="array" ref="N84">IFERROR(
  INDEX(
    'Valor Hora Real y Estimada'!$A$4:$Z$78,
    MATCH(TRIM(CLEAN(A84)), 'Valor Hora Real y Estimada'!$A$4:$A$78, 0),
    MATCH(
      TEXT(C84,"dd mmm")&amp;" "&amp;D84,
      'Valor Hora Real y Estimada'!$A$3:$Z$3,
      0
    ) + 1
  ),
  0
)</f>
        <v>10121</v>
      </c>
      <c r="O84" s="453">
        <f t="shared" si="6"/>
        <v>1007059.742</v>
      </c>
      <c r="P84" s="113"/>
      <c r="Q84" s="106">
        <f>IF(ISBLANK(O84), "", VLOOKUP(C84&amp;" "&amp;D84, 'Info Tipo de Cambio y REM'!$A$24:$B$35, 2, FALSE))</f>
        <v>1230</v>
      </c>
      <c r="R84" s="107">
        <f t="shared" si="2"/>
        <v>818.7477577</v>
      </c>
    </row>
    <row r="85">
      <c r="A85" s="443" t="s">
        <v>205</v>
      </c>
      <c r="B85" s="43" t="str">
        <f>IF(A85="", "", IFERROR(VLOOKUP(A85, Clasificaciones!A:B, 2, FALSE), "DATO NO CARGADO"))
</f>
        <v>Equipo</v>
      </c>
      <c r="C85" s="51" t="s">
        <v>129</v>
      </c>
      <c r="D85" s="454">
        <v>2025.0</v>
      </c>
      <c r="E85" s="319" t="s">
        <v>1124</v>
      </c>
      <c r="F85" s="202"/>
      <c r="G85" s="202" t="s">
        <v>1145</v>
      </c>
      <c r="H85" s="43" t="s">
        <v>1126</v>
      </c>
      <c r="I85" s="43" t="s">
        <v>1129</v>
      </c>
      <c r="J85" s="43" t="s">
        <v>183</v>
      </c>
      <c r="K85" s="443">
        <v>100.0</v>
      </c>
      <c r="L85" s="455">
        <f>71.52+36.12</f>
        <v>107.64</v>
      </c>
      <c r="M85" s="443">
        <f>107.6+0.036</f>
        <v>107.636</v>
      </c>
      <c r="N85" s="452">
        <f t="array" ref="N85">IFERROR(
  INDEX(
    'Valor Hora Real y Estimada'!$A$4:$Z$78,
    MATCH(TRIM(CLEAN(A85)), 'Valor Hora Real y Estimada'!$A$4:$A$78, 0),
    MATCH(
      TEXT(C85,"dd mmm")&amp;" "&amp;D85,
      'Valor Hora Real y Estimada'!$A$3:$Z$3,
      0
    ) + 1
  ),
  0
)</f>
        <v>8973</v>
      </c>
      <c r="O85" s="453">
        <f t="shared" si="6"/>
        <v>965817.828</v>
      </c>
      <c r="P85" s="113"/>
      <c r="Q85" s="106">
        <f>IF(ISBLANK(O85), "", VLOOKUP(C85&amp;" "&amp;D85, 'Info Tipo de Cambio y REM'!$A$24:$B$35, 2, FALSE))</f>
        <v>1230</v>
      </c>
      <c r="R85" s="107">
        <f t="shared" si="2"/>
        <v>785.2177463</v>
      </c>
    </row>
    <row r="86">
      <c r="A86" s="443" t="s">
        <v>212</v>
      </c>
      <c r="B86" s="43" t="str">
        <f>IF(A86="", "", IFERROR(VLOOKUP(A86, Clasificaciones!A:B, 2, FALSE), "DATO NO CARGADO"))
</f>
        <v>Equipo</v>
      </c>
      <c r="C86" s="51" t="s">
        <v>129</v>
      </c>
      <c r="D86" s="454">
        <v>2025.0</v>
      </c>
      <c r="E86" s="319" t="s">
        <v>1124</v>
      </c>
      <c r="F86" s="202"/>
      <c r="G86" s="202" t="s">
        <v>1145</v>
      </c>
      <c r="H86" s="43" t="s">
        <v>1126</v>
      </c>
      <c r="I86" s="43" t="s">
        <v>1129</v>
      </c>
      <c r="J86" s="43" t="s">
        <v>183</v>
      </c>
      <c r="K86" s="443">
        <v>10.0</v>
      </c>
      <c r="L86" s="443">
        <f t="shared" ref="L86:M86" si="7">49.1+0.02</f>
        <v>49.12</v>
      </c>
      <c r="M86" s="443">
        <f t="shared" si="7"/>
        <v>49.12</v>
      </c>
      <c r="N86" s="452">
        <f t="array" ref="N86">IFERROR(
  INDEX(
    'Valor Hora Real y Estimada'!$A$4:$Z$78,
    MATCH(TRIM(CLEAN(A86)), 'Valor Hora Real y Estimada'!$A$4:$A$78, 0),
    MATCH(
      TEXT(C86,"dd mmm")&amp;" "&amp;D86,
      'Valor Hora Real y Estimada'!$A$3:$Z$3,
      0
    ) + 1
  ),
  0
)</f>
        <v>7000</v>
      </c>
      <c r="O86" s="453">
        <f t="shared" si="6"/>
        <v>343840</v>
      </c>
      <c r="P86" s="113"/>
      <c r="Q86" s="106">
        <f>IF(ISBLANK(O86), "", VLOOKUP(C86&amp;" "&amp;D86, 'Info Tipo de Cambio y REM'!$A$24:$B$35, 2, FALSE))</f>
        <v>1230</v>
      </c>
      <c r="R86" s="107">
        <f t="shared" si="2"/>
        <v>279.5447154</v>
      </c>
    </row>
    <row r="87">
      <c r="A87" s="443" t="s">
        <v>203</v>
      </c>
      <c r="B87" s="43" t="str">
        <f>IF(A87="", "", IFERROR(VLOOKUP(A87, Clasificaciones!A:B, 2, FALSE), "DATO NO CARGADO"))
</f>
        <v>Equipo</v>
      </c>
      <c r="C87" s="51" t="s">
        <v>129</v>
      </c>
      <c r="D87" s="454">
        <v>2025.0</v>
      </c>
      <c r="E87" s="319" t="s">
        <v>1124</v>
      </c>
      <c r="F87" s="202"/>
      <c r="G87" s="202" t="s">
        <v>1145</v>
      </c>
      <c r="H87" s="43" t="s">
        <v>1126</v>
      </c>
      <c r="I87" s="43" t="s">
        <v>1129</v>
      </c>
      <c r="J87" s="43" t="s">
        <v>183</v>
      </c>
      <c r="K87" s="443">
        <v>30.0</v>
      </c>
      <c r="L87" s="455">
        <f>68.3+17.5</f>
        <v>85.8</v>
      </c>
      <c r="M87" s="443">
        <f>85.8-0.016</f>
        <v>85.784</v>
      </c>
      <c r="N87" s="452">
        <f t="array" ref="N87">IFERROR(
  INDEX(
    'Valor Hora Real y Estimada'!$A$4:$Z$78,
    MATCH(TRIM(CLEAN(A87)), 'Valor Hora Real y Estimada'!$A$4:$A$78, 0),
    MATCH(
      TEXT(C87,"dd mmm")&amp;" "&amp;D87,
      'Valor Hora Real y Estimada'!$A$3:$Z$3,
      0
    ) + 1
  ),
  0
)</f>
        <v>9115</v>
      </c>
      <c r="O87" s="453">
        <f t="shared" si="6"/>
        <v>781921.16</v>
      </c>
      <c r="P87" s="113"/>
      <c r="Q87" s="106">
        <f>IF(ISBLANK(O87), "", VLOOKUP(C87&amp;" "&amp;D87, 'Info Tipo de Cambio y REM'!$A$24:$B$35, 2, FALSE))</f>
        <v>1230</v>
      </c>
      <c r="R87" s="107">
        <f t="shared" si="2"/>
        <v>635.7082602</v>
      </c>
    </row>
    <row r="88">
      <c r="A88" s="443" t="s">
        <v>194</v>
      </c>
      <c r="B88" s="43" t="str">
        <f>IF(A88="", "", IFERROR(VLOOKUP(A88, Clasificaciones!A:B, 2, FALSE), "DATO NO CARGADO"))
</f>
        <v>Equipo</v>
      </c>
      <c r="C88" s="51" t="s">
        <v>129</v>
      </c>
      <c r="D88" s="454">
        <v>2025.0</v>
      </c>
      <c r="E88" s="319" t="s">
        <v>1124</v>
      </c>
      <c r="F88" s="202"/>
      <c r="G88" s="202" t="s">
        <v>1145</v>
      </c>
      <c r="H88" s="43" t="s">
        <v>1126</v>
      </c>
      <c r="I88" s="43" t="s">
        <v>1129</v>
      </c>
      <c r="J88" s="43" t="s">
        <v>183</v>
      </c>
      <c r="K88" s="443">
        <v>150.0</v>
      </c>
      <c r="L88" s="455">
        <f>138.65+7.68</f>
        <v>146.33</v>
      </c>
      <c r="M88" s="443">
        <f>146.3+0.025</f>
        <v>146.325</v>
      </c>
      <c r="N88" s="452">
        <f t="array" ref="N88">IFERROR(
  INDEX(
    'Valor Hora Real y Estimada'!$A$4:$Z$78,
    MATCH(TRIM(CLEAN(A88)), 'Valor Hora Real y Estimada'!$A$4:$A$78, 0),
    MATCH(
      TEXT(C88,"dd mmm")&amp;" "&amp;D88,
      'Valor Hora Real y Estimada'!$A$3:$Z$3,
      0
    ) + 1
  ),
  0
)</f>
        <v>11141</v>
      </c>
      <c r="O88" s="453">
        <f t="shared" si="6"/>
        <v>1630206.825</v>
      </c>
      <c r="P88" s="113"/>
      <c r="Q88" s="106">
        <f>IF(ISBLANK(O88), "", VLOOKUP(C88&amp;" "&amp;D88, 'Info Tipo de Cambio y REM'!$A$24:$B$35, 2, FALSE))</f>
        <v>1230</v>
      </c>
      <c r="R88" s="107">
        <f t="shared" si="2"/>
        <v>1325.371402</v>
      </c>
    </row>
    <row r="89">
      <c r="A89" s="443" t="s">
        <v>216</v>
      </c>
      <c r="B89" s="43" t="str">
        <f>IF(A89="", "", IFERROR(VLOOKUP(A89, Clasificaciones!A:B, 2, FALSE), "DATO NO CARGADO"))
</f>
        <v>Equipo</v>
      </c>
      <c r="C89" s="51" t="s">
        <v>129</v>
      </c>
      <c r="D89" s="454">
        <v>2025.0</v>
      </c>
      <c r="E89" s="319" t="s">
        <v>1124</v>
      </c>
      <c r="F89" s="202"/>
      <c r="G89" s="202" t="s">
        <v>1145</v>
      </c>
      <c r="H89" s="43" t="s">
        <v>1126</v>
      </c>
      <c r="I89" s="43" t="s">
        <v>1129</v>
      </c>
      <c r="J89" s="43" t="s">
        <v>183</v>
      </c>
      <c r="K89" s="443">
        <v>32.0</v>
      </c>
      <c r="L89" s="451">
        <v>49.65</v>
      </c>
      <c r="M89" s="443">
        <f>49.7-0.049</f>
        <v>49.651</v>
      </c>
      <c r="N89" s="452">
        <f t="array" ref="N89">IFERROR(
  INDEX(
    'Valor Hora Real y Estimada'!$A$4:$Z$78,
    MATCH(TRIM(CLEAN(A89)), 'Valor Hora Real y Estimada'!$A$4:$A$78, 0),
    MATCH(
      TEXT(C89,"dd mmm")&amp;" "&amp;D89,
      'Valor Hora Real y Estimada'!$A$3:$Z$3,
      0
    ) + 1
  ),
  0
)</f>
        <v>13139</v>
      </c>
      <c r="O89" s="453">
        <f t="shared" si="6"/>
        <v>652364.489</v>
      </c>
      <c r="P89" s="113"/>
      <c r="Q89" s="106">
        <f>IF(ISBLANK(O89), "", VLOOKUP(C89&amp;" "&amp;D89, 'Info Tipo de Cambio y REM'!$A$24:$B$35, 2, FALSE))</f>
        <v>1230</v>
      </c>
      <c r="R89" s="107">
        <f t="shared" si="2"/>
        <v>530.3776333</v>
      </c>
    </row>
    <row r="90">
      <c r="A90" s="443" t="s">
        <v>228</v>
      </c>
      <c r="B90" s="43" t="str">
        <f>IF(A90="", "", IFERROR(VLOOKUP(A90, Clasificaciones!A:B, 2, FALSE), "DATO NO CARGADO"))
</f>
        <v>Equipo</v>
      </c>
      <c r="C90" s="51" t="s">
        <v>129</v>
      </c>
      <c r="D90" s="454">
        <v>2025.0</v>
      </c>
      <c r="E90" s="319" t="s">
        <v>1124</v>
      </c>
      <c r="F90" s="202"/>
      <c r="G90" s="202" t="s">
        <v>1145</v>
      </c>
      <c r="H90" s="43" t="s">
        <v>1126</v>
      </c>
      <c r="I90" s="43" t="s">
        <v>1129</v>
      </c>
      <c r="J90" s="43" t="s">
        <v>183</v>
      </c>
      <c r="K90" s="443">
        <v>32.0</v>
      </c>
      <c r="L90" s="451">
        <v>28.73</v>
      </c>
      <c r="M90" s="443">
        <f>28.7+0.03</f>
        <v>28.73</v>
      </c>
      <c r="N90" s="452">
        <f t="array" ref="N90">IFERROR(
  INDEX(
    'Valor Hora Real y Estimada'!$A$4:$Z$78,
    MATCH(TRIM(CLEAN(A90)), 'Valor Hora Real y Estimada'!$A$4:$A$78, 0),
    MATCH(
      TEXT(C90,"dd mmm")&amp;" "&amp;D90,
      'Valor Hora Real y Estimada'!$A$3:$Z$3,
      0
    ) + 1
  ),
  0
)</f>
        <v>18000</v>
      </c>
      <c r="O90" s="453">
        <f t="shared" si="6"/>
        <v>517140</v>
      </c>
      <c r="P90" s="113"/>
      <c r="Q90" s="106">
        <f>IF(ISBLANK(O90), "", VLOOKUP(C90&amp;" "&amp;D90, 'Info Tipo de Cambio y REM'!$A$24:$B$35, 2, FALSE))</f>
        <v>1230</v>
      </c>
      <c r="R90" s="107">
        <f t="shared" si="2"/>
        <v>420.4390244</v>
      </c>
    </row>
    <row r="91">
      <c r="A91" s="443" t="s">
        <v>214</v>
      </c>
      <c r="B91" s="43" t="str">
        <f>IF(A91="", "", IFERROR(VLOOKUP(A91, Clasificaciones!A:B, 2, FALSE), "DATO NO CARGADO"))
</f>
        <v>Equipo</v>
      </c>
      <c r="C91" s="51" t="s">
        <v>129</v>
      </c>
      <c r="D91" s="454">
        <v>2025.0</v>
      </c>
      <c r="E91" s="319" t="s">
        <v>1124</v>
      </c>
      <c r="F91" s="202"/>
      <c r="G91" s="202" t="s">
        <v>1145</v>
      </c>
      <c r="H91" s="43" t="s">
        <v>1126</v>
      </c>
      <c r="I91" s="43" t="s">
        <v>1129</v>
      </c>
      <c r="J91" s="43" t="s">
        <v>183</v>
      </c>
      <c r="K91" s="443">
        <v>140.0</v>
      </c>
      <c r="L91" s="451">
        <v>11.0</v>
      </c>
      <c r="M91" s="443">
        <v>11.0</v>
      </c>
      <c r="N91" s="452">
        <f t="array" ref="N91">IFERROR(
  INDEX(
    'Valor Hora Real y Estimada'!$A$4:$Z$78,
    MATCH(TRIM(CLEAN(A91)), 'Valor Hora Real y Estimada'!$A$4:$A$78, 0),
    MATCH(
      TEXT(C91,"dd mmm")&amp;" "&amp;D91,
      'Valor Hora Real y Estimada'!$A$3:$Z$3,
      0
    ) + 1
  ),
  0
)</f>
        <v>9000</v>
      </c>
      <c r="O91" s="453">
        <f t="shared" si="6"/>
        <v>99000</v>
      </c>
      <c r="P91" s="113"/>
      <c r="Q91" s="106">
        <f>IF(ISBLANK(O91), "", VLOOKUP(C91&amp;" "&amp;D91, 'Info Tipo de Cambio y REM'!$A$24:$B$35, 2, FALSE))</f>
        <v>1230</v>
      </c>
      <c r="R91" s="107">
        <f t="shared" si="2"/>
        <v>80.48780488</v>
      </c>
    </row>
    <row r="92">
      <c r="A92" s="443" t="s">
        <v>207</v>
      </c>
      <c r="B92" s="43" t="str">
        <f>IF(A92="", "", IFERROR(VLOOKUP(A92, Clasificaciones!A:B, 2, FALSE), "DATO NO CARGADO"))
</f>
        <v>Equipo</v>
      </c>
      <c r="C92" s="51" t="s">
        <v>129</v>
      </c>
      <c r="D92" s="454">
        <v>2025.0</v>
      </c>
      <c r="E92" s="319" t="s">
        <v>1124</v>
      </c>
      <c r="F92" s="202"/>
      <c r="G92" s="202" t="s">
        <v>1145</v>
      </c>
      <c r="H92" s="43" t="s">
        <v>1126</v>
      </c>
      <c r="I92" s="43" t="s">
        <v>1129</v>
      </c>
      <c r="J92" s="43" t="s">
        <v>183</v>
      </c>
      <c r="K92" s="443">
        <v>80.0</v>
      </c>
      <c r="L92" s="451">
        <v>80.28</v>
      </c>
      <c r="M92" s="443">
        <f>80.3-0.02</f>
        <v>80.28</v>
      </c>
      <c r="N92" s="452">
        <f t="array" ref="N92">IFERROR(
  INDEX(
    'Valor Hora Real y Estimada'!$A$4:$Z$78,
    MATCH(TRIM(CLEAN(A92)), 'Valor Hora Real y Estimada'!$A$4:$A$78, 0),
    MATCH(
      TEXT(C92,"dd mmm")&amp;" "&amp;D92,
      'Valor Hora Real y Estimada'!$A$3:$Z$3,
      0
    ) + 1
  ),
  0
)</f>
        <v>10000</v>
      </c>
      <c r="O92" s="453">
        <f t="shared" si="6"/>
        <v>802800</v>
      </c>
      <c r="P92" s="113"/>
      <c r="Q92" s="106">
        <f>IF(ISBLANK(O92), "", VLOOKUP(C92&amp;" "&amp;D92, 'Info Tipo de Cambio y REM'!$A$24:$B$35, 2, FALSE))</f>
        <v>1230</v>
      </c>
      <c r="R92" s="107">
        <f t="shared" si="2"/>
        <v>652.6829268</v>
      </c>
    </row>
    <row r="93">
      <c r="A93" s="443" t="s">
        <v>87</v>
      </c>
      <c r="B93" s="43" t="str">
        <f>IF(A93="", "", IFERROR(VLOOKUP(A93, Clasificaciones!A:B, 2, FALSE), "DATO NO CARGADO"))
</f>
        <v>Equipo</v>
      </c>
      <c r="C93" s="51" t="s">
        <v>129</v>
      </c>
      <c r="D93" s="454">
        <v>2025.0</v>
      </c>
      <c r="E93" s="319" t="s">
        <v>1124</v>
      </c>
      <c r="F93" s="202"/>
      <c r="G93" s="202" t="s">
        <v>1145</v>
      </c>
      <c r="H93" s="43" t="s">
        <v>1126</v>
      </c>
      <c r="I93" s="43" t="s">
        <v>1129</v>
      </c>
      <c r="J93" s="43" t="s">
        <v>183</v>
      </c>
      <c r="K93" s="443">
        <v>0.0</v>
      </c>
      <c r="L93" s="451">
        <v>11.48</v>
      </c>
      <c r="M93" s="443">
        <v>11.5</v>
      </c>
      <c r="N93" s="452">
        <f t="array" ref="N93">IFERROR(
  INDEX(
    'Valor Hora Real y Estimada'!$A$4:$Z$78,
    MATCH(TRIM(CLEAN(A93)), 'Valor Hora Real y Estimada'!$A$4:$A$78, 0),
    MATCH(
      TEXT(C93,"dd mmm")&amp;" "&amp;D93,
      'Valor Hora Real y Estimada'!$A$3:$Z$3,
      0
    ) + 1
  ),
  0
)</f>
        <v>9000</v>
      </c>
      <c r="O93" s="453">
        <f t="shared" si="6"/>
        <v>103500</v>
      </c>
      <c r="P93" s="113"/>
      <c r="Q93" s="106">
        <f>IF(ISBLANK(O93), "", VLOOKUP(C93&amp;" "&amp;D93, 'Info Tipo de Cambio y REM'!$A$24:$B$35, 2, FALSE))</f>
        <v>1230</v>
      </c>
      <c r="R93" s="107">
        <f t="shared" si="2"/>
        <v>84.14634146</v>
      </c>
    </row>
    <row r="94">
      <c r="A94" s="443" t="s">
        <v>210</v>
      </c>
      <c r="B94" s="43" t="str">
        <f>IF(A94="", "", IFERROR(VLOOKUP(A94, Clasificaciones!A:B, 2, FALSE), "DATO NO CARGADO"))
</f>
        <v>Equipo</v>
      </c>
      <c r="C94" s="51" t="s">
        <v>129</v>
      </c>
      <c r="D94" s="454">
        <v>2025.0</v>
      </c>
      <c r="E94" s="319" t="s">
        <v>1124</v>
      </c>
      <c r="F94" s="202"/>
      <c r="G94" s="202" t="s">
        <v>1145</v>
      </c>
      <c r="H94" s="43" t="s">
        <v>1126</v>
      </c>
      <c r="I94" s="43" t="s">
        <v>1129</v>
      </c>
      <c r="J94" s="43" t="s">
        <v>183</v>
      </c>
      <c r="K94" s="443">
        <v>0.0</v>
      </c>
      <c r="L94" s="451">
        <v>5.0</v>
      </c>
      <c r="M94" s="443">
        <v>5.0</v>
      </c>
      <c r="N94" s="452">
        <f t="array" ref="N94">IFERROR(
  INDEX(
    'Valor Hora Real y Estimada'!$A$4:$Z$78,
    MATCH(TRIM(CLEAN(A94)), 'Valor Hora Real y Estimada'!$A$4:$A$78, 0),
    MATCH(
      TEXT(C94,"dd mmm")&amp;" "&amp;D94,
      'Valor Hora Real y Estimada'!$A$3:$Z$3,
      0
    ) + 1
  ),
  0
)</f>
        <v>14717</v>
      </c>
      <c r="O94" s="453">
        <f t="shared" si="6"/>
        <v>73585</v>
      </c>
      <c r="P94" s="113"/>
      <c r="Q94" s="106">
        <f>IF(ISBLANK(O94), "", VLOOKUP(C94&amp;" "&amp;D94, 'Info Tipo de Cambio y REM'!$A$24:$B$35, 2, FALSE))</f>
        <v>1230</v>
      </c>
      <c r="R94" s="107">
        <f t="shared" si="2"/>
        <v>59.82520325</v>
      </c>
    </row>
    <row r="95" hidden="1">
      <c r="A95" s="443" t="s">
        <v>120</v>
      </c>
      <c r="B95" s="43" t="str">
        <f>IF(A95="", "", IFERROR(VLOOKUP(A95, Clasificaciones!A:B, 2, FALSE), "DATO NO CARGADO"))
</f>
        <v>Equipo</v>
      </c>
      <c r="C95" s="51" t="s">
        <v>129</v>
      </c>
      <c r="D95" s="454">
        <v>2025.0</v>
      </c>
      <c r="E95" s="321" t="s">
        <v>1130</v>
      </c>
      <c r="F95" s="202"/>
      <c r="G95" s="202" t="s">
        <v>1146</v>
      </c>
      <c r="H95" s="43" t="s">
        <v>208</v>
      </c>
      <c r="I95" s="43" t="s">
        <v>1136</v>
      </c>
      <c r="J95" s="43" t="s">
        <v>208</v>
      </c>
      <c r="K95" s="443"/>
      <c r="L95" s="455">
        <f>44.5+19.42</f>
        <v>63.92</v>
      </c>
      <c r="M95" s="443">
        <f>63.12-0.36</f>
        <v>62.76</v>
      </c>
      <c r="N95" s="452">
        <f t="array" ref="N95">IFERROR(
  INDEX(
    'Valor Hora Real y Estimada'!$A$4:$Z$78,
    MATCH(TRIM(CLEAN(A95)), 'Valor Hora Real y Estimada'!$A$4:$A$78, 0),
    MATCH(
      TEXT(C95,"dd mmm")&amp;" "&amp;D95,
      'Valor Hora Real y Estimada'!$A$3:$Z$3,
      0
    ) + 1
  ),
  0
)</f>
        <v>20833.33333</v>
      </c>
      <c r="O95" s="453">
        <f t="shared" si="6"/>
        <v>1307500</v>
      </c>
      <c r="P95" s="113"/>
      <c r="Q95" s="106">
        <f>IF(ISBLANK(O95), "", VLOOKUP(C95&amp;" "&amp;D95, 'Info Tipo de Cambio y REM'!$A$24:$B$35, 2, FALSE))</f>
        <v>1230</v>
      </c>
      <c r="R95" s="107">
        <f t="shared" si="2"/>
        <v>1063.00813</v>
      </c>
    </row>
    <row r="96" hidden="1">
      <c r="A96" s="443" t="s">
        <v>228</v>
      </c>
      <c r="B96" s="43" t="str">
        <f>IF(A96="", "", IFERROR(VLOOKUP(A96, Clasificaciones!A:B, 2, FALSE), "DATO NO CARGADO"))
</f>
        <v>Equipo</v>
      </c>
      <c r="C96" s="51" t="s">
        <v>129</v>
      </c>
      <c r="D96" s="454">
        <v>2025.0</v>
      </c>
      <c r="E96" s="321" t="s">
        <v>1130</v>
      </c>
      <c r="F96" s="202"/>
      <c r="G96" s="202" t="s">
        <v>1146</v>
      </c>
      <c r="H96" s="43" t="s">
        <v>208</v>
      </c>
      <c r="I96" s="43" t="s">
        <v>1136</v>
      </c>
      <c r="J96" s="43" t="s">
        <v>208</v>
      </c>
      <c r="K96" s="443"/>
      <c r="L96" s="451">
        <v>1.0</v>
      </c>
      <c r="M96" s="443">
        <v>0.87</v>
      </c>
      <c r="N96" s="452">
        <f t="array" ref="N96">IFERROR(
  INDEX(
    'Valor Hora Real y Estimada'!$A$4:$Z$78,
    MATCH(TRIM(CLEAN(A96)), 'Valor Hora Real y Estimada'!$A$4:$A$78, 0),
    MATCH(
      TEXT(C96,"dd mmm")&amp;" "&amp;D96,
      'Valor Hora Real y Estimada'!$A$3:$Z$3,
      0
    ) + 1
  ),
  0
)</f>
        <v>18000</v>
      </c>
      <c r="O96" s="453">
        <f t="shared" si="6"/>
        <v>15660</v>
      </c>
      <c r="P96" s="113"/>
      <c r="Q96" s="106">
        <f>IF(ISBLANK(O96), "", VLOOKUP(C96&amp;" "&amp;D96, 'Info Tipo de Cambio y REM'!$A$24:$B$35, 2, FALSE))</f>
        <v>1230</v>
      </c>
      <c r="R96" s="107">
        <f t="shared" si="2"/>
        <v>12.73170732</v>
      </c>
    </row>
    <row r="97" hidden="1">
      <c r="A97" s="443" t="s">
        <v>197</v>
      </c>
      <c r="B97" s="43" t="str">
        <f>IF(A97="", "", IFERROR(VLOOKUP(A97, Clasificaciones!A:B, 2, FALSE), "DATO NO CARGADO"))
</f>
        <v>Equipo</v>
      </c>
      <c r="C97" s="51" t="s">
        <v>129</v>
      </c>
      <c r="D97" s="454">
        <v>2025.0</v>
      </c>
      <c r="E97" s="321" t="s">
        <v>1130</v>
      </c>
      <c r="F97" s="202"/>
      <c r="G97" s="202" t="s">
        <v>1146</v>
      </c>
      <c r="H97" s="43" t="s">
        <v>208</v>
      </c>
      <c r="I97" s="43" t="s">
        <v>1136</v>
      </c>
      <c r="J97" s="43" t="s">
        <v>208</v>
      </c>
      <c r="K97" s="443"/>
      <c r="L97" s="451">
        <v>2.83</v>
      </c>
      <c r="M97" s="443">
        <v>2.83</v>
      </c>
      <c r="N97" s="452">
        <f t="array" ref="N97">IFERROR(
  INDEX(
    'Valor Hora Real y Estimada'!$A$4:$Z$78,
    MATCH(TRIM(CLEAN(A97)), 'Valor Hora Real y Estimada'!$A$4:$A$78, 0),
    MATCH(
      TEXT(C97,"dd mmm")&amp;" "&amp;D97,
      'Valor Hora Real y Estimada'!$A$3:$Z$3,
      0
    ) + 1
  ),
  0
)</f>
        <v>10045</v>
      </c>
      <c r="O97" s="453">
        <f t="shared" si="6"/>
        <v>28427.35</v>
      </c>
      <c r="P97" s="113"/>
      <c r="Q97" s="106">
        <f>IF(ISBLANK(O97), "", VLOOKUP(C97&amp;" "&amp;D97, 'Info Tipo de Cambio y REM'!$A$24:$B$35, 2, FALSE))</f>
        <v>1230</v>
      </c>
      <c r="R97" s="107">
        <f t="shared" si="2"/>
        <v>23.11166667</v>
      </c>
    </row>
    <row r="98" hidden="1">
      <c r="A98" s="443" t="s">
        <v>197</v>
      </c>
      <c r="B98" s="43" t="str">
        <f>IF(A98="", "", IFERROR(VLOOKUP(A98, Clasificaciones!A:B, 2, FALSE), "DATO NO CARGADO"))
</f>
        <v>Equipo</v>
      </c>
      <c r="C98" s="51" t="s">
        <v>129</v>
      </c>
      <c r="D98" s="454">
        <v>2025.0</v>
      </c>
      <c r="E98" s="321" t="s">
        <v>1124</v>
      </c>
      <c r="F98" s="202"/>
      <c r="G98" s="202" t="s">
        <v>1147</v>
      </c>
      <c r="H98" s="43" t="s">
        <v>1126</v>
      </c>
      <c r="I98" s="43" t="s">
        <v>1141</v>
      </c>
      <c r="J98" s="43" t="s">
        <v>163</v>
      </c>
      <c r="K98" s="443"/>
      <c r="L98" s="451">
        <v>0.42</v>
      </c>
      <c r="M98" s="443"/>
      <c r="N98" s="452">
        <f t="array" ref="N98">IFERROR(
  INDEX(
    'Valor Hora Real y Estimada'!$A$4:$Z$78,
    MATCH(TRIM(CLEAN(A98)), 'Valor Hora Real y Estimada'!$A$4:$A$78, 0),
    MATCH(
      TEXT(C98,"dd mmm")&amp;" "&amp;D98,
      'Valor Hora Real y Estimada'!$A$3:$Z$3,
      0
    ) + 1
  ),
  0
)</f>
        <v>10045</v>
      </c>
      <c r="O98" s="453">
        <f t="shared" si="6"/>
        <v>0</v>
      </c>
      <c r="P98" s="113"/>
      <c r="Q98" s="106">
        <f>IF(ISBLANK(O98), "", VLOOKUP(C98&amp;" "&amp;D98, 'Info Tipo de Cambio y REM'!$A$24:$B$35, 2, FALSE))</f>
        <v>1230</v>
      </c>
      <c r="R98" s="107">
        <f t="shared" si="2"/>
        <v>0</v>
      </c>
    </row>
    <row r="99" hidden="1">
      <c r="A99" s="443" t="s">
        <v>200</v>
      </c>
      <c r="B99" s="43" t="str">
        <f>IF(A99="", "", IFERROR(VLOOKUP(A99, Clasificaciones!A:B, 2, FALSE), "DATO NO CARGADO"))
</f>
        <v>Equipo</v>
      </c>
      <c r="C99" s="51" t="s">
        <v>129</v>
      </c>
      <c r="D99" s="454">
        <v>2025.0</v>
      </c>
      <c r="E99" s="321" t="s">
        <v>1130</v>
      </c>
      <c r="F99" s="202"/>
      <c r="G99" s="202" t="s">
        <v>1146</v>
      </c>
      <c r="H99" s="43" t="s">
        <v>208</v>
      </c>
      <c r="I99" s="43" t="s">
        <v>1136</v>
      </c>
      <c r="J99" s="43" t="s">
        <v>208</v>
      </c>
      <c r="K99" s="443"/>
      <c r="L99" s="451">
        <v>1.67</v>
      </c>
      <c r="M99" s="443">
        <v>1.92</v>
      </c>
      <c r="N99" s="452">
        <f t="array" ref="N99">IFERROR(
  INDEX(
    'Valor Hora Real y Estimada'!$A$4:$Z$78,
    MATCH(TRIM(CLEAN(A99)), 'Valor Hora Real y Estimada'!$A$4:$A$78, 0),
    MATCH(
      TEXT(C99,"dd mmm")&amp;" "&amp;D99,
      'Valor Hora Real y Estimada'!$A$3:$Z$3,
      0
    ) + 1
  ),
  0
)</f>
        <v>16856</v>
      </c>
      <c r="O99" s="453">
        <f t="shared" si="6"/>
        <v>32363.52</v>
      </c>
      <c r="P99" s="113"/>
      <c r="Q99" s="106">
        <f>IF(ISBLANK(O99), "", VLOOKUP(C99&amp;" "&amp;D99, 'Info Tipo de Cambio y REM'!$A$24:$B$35, 2, FALSE))</f>
        <v>1230</v>
      </c>
      <c r="R99" s="107">
        <f t="shared" si="2"/>
        <v>26.31180488</v>
      </c>
    </row>
    <row r="100" hidden="1">
      <c r="A100" s="443" t="s">
        <v>221</v>
      </c>
      <c r="B100" s="43" t="str">
        <f>IF(A100="", "", IFERROR(VLOOKUP(A100, Clasificaciones!A:B, 2, FALSE), "DATO NO CARGADO"))
</f>
        <v>Equipo</v>
      </c>
      <c r="C100" s="51" t="s">
        <v>129</v>
      </c>
      <c r="D100" s="454">
        <v>2025.0</v>
      </c>
      <c r="E100" s="321" t="s">
        <v>1130</v>
      </c>
      <c r="F100" s="202"/>
      <c r="G100" s="202" t="s">
        <v>1146</v>
      </c>
      <c r="H100" s="43" t="s">
        <v>208</v>
      </c>
      <c r="I100" s="43" t="s">
        <v>1136</v>
      </c>
      <c r="J100" s="43" t="s">
        <v>208</v>
      </c>
      <c r="K100" s="443"/>
      <c r="L100" s="451">
        <v>0.5</v>
      </c>
      <c r="M100" s="443">
        <v>51.5</v>
      </c>
      <c r="N100" s="452">
        <f t="array" ref="N100">IFERROR(
  INDEX(
    'Valor Hora Real y Estimada'!$A$4:$Z$78,
    MATCH(TRIM(CLEAN(A100)), 'Valor Hora Real y Estimada'!$A$4:$A$78, 0),
    MATCH(
      TEXT(C100,"dd mmm")&amp;" "&amp;D100,
      'Valor Hora Real y Estimada'!$A$3:$Z$3,
      0
    ) + 1
  ),
  0
)</f>
        <v>10121</v>
      </c>
      <c r="O100" s="453">
        <f t="shared" si="6"/>
        <v>521231.5</v>
      </c>
      <c r="P100" s="113"/>
      <c r="Q100" s="106">
        <f>IF(ISBLANK(O100), "", VLOOKUP(C100&amp;" "&amp;D100, 'Info Tipo de Cambio y REM'!$A$24:$B$35, 2, FALSE))</f>
        <v>1230</v>
      </c>
      <c r="R100" s="107">
        <f t="shared" si="2"/>
        <v>423.7654472</v>
      </c>
    </row>
    <row r="101" hidden="1">
      <c r="A101" s="443" t="s">
        <v>203</v>
      </c>
      <c r="B101" s="43" t="str">
        <f>IF(A101="", "", IFERROR(VLOOKUP(A101, Clasificaciones!A:B, 2, FALSE), "DATO NO CARGADO"))
</f>
        <v>Equipo</v>
      </c>
      <c r="C101" s="51" t="s">
        <v>129</v>
      </c>
      <c r="D101" s="454">
        <v>2025.0</v>
      </c>
      <c r="E101" s="321" t="s">
        <v>1130</v>
      </c>
      <c r="F101" s="202"/>
      <c r="G101" s="202" t="s">
        <v>1146</v>
      </c>
      <c r="H101" s="43" t="s">
        <v>208</v>
      </c>
      <c r="I101" s="43" t="s">
        <v>1136</v>
      </c>
      <c r="J101" s="43" t="s">
        <v>208</v>
      </c>
      <c r="K101" s="443"/>
      <c r="L101" s="451">
        <v>2.0</v>
      </c>
      <c r="M101" s="443">
        <v>2.0</v>
      </c>
      <c r="N101" s="452">
        <f t="array" ref="N101">IFERROR(
  INDEX(
    'Valor Hora Real y Estimada'!$A$4:$Z$78,
    MATCH(TRIM(CLEAN(A101)), 'Valor Hora Real y Estimada'!$A$4:$A$78, 0),
    MATCH(
      TEXT(C101,"dd mmm")&amp;" "&amp;D101,
      'Valor Hora Real y Estimada'!$A$3:$Z$3,
      0
    ) + 1
  ),
  0
)</f>
        <v>9115</v>
      </c>
      <c r="O101" s="453">
        <f t="shared" si="6"/>
        <v>18230</v>
      </c>
      <c r="P101" s="113"/>
      <c r="Q101" s="106">
        <f>IF(ISBLANK(O101), "", VLOOKUP(C101&amp;" "&amp;D101, 'Info Tipo de Cambio y REM'!$A$24:$B$35, 2, FALSE))</f>
        <v>1230</v>
      </c>
      <c r="R101" s="107">
        <f t="shared" si="2"/>
        <v>14.82113821</v>
      </c>
    </row>
    <row r="102" hidden="1">
      <c r="A102" s="443" t="s">
        <v>194</v>
      </c>
      <c r="B102" s="43" t="str">
        <f>IF(A102="", "", IFERROR(VLOOKUP(A102, Clasificaciones!A:B, 2, FALSE), "DATO NO CARGADO"))
</f>
        <v>Equipo</v>
      </c>
      <c r="C102" s="51" t="s">
        <v>129</v>
      </c>
      <c r="D102" s="454">
        <v>2025.0</v>
      </c>
      <c r="E102" s="321" t="s">
        <v>1130</v>
      </c>
      <c r="F102" s="202"/>
      <c r="G102" s="202" t="s">
        <v>1146</v>
      </c>
      <c r="H102" s="43" t="s">
        <v>208</v>
      </c>
      <c r="I102" s="43" t="s">
        <v>1136</v>
      </c>
      <c r="J102" s="43" t="s">
        <v>208</v>
      </c>
      <c r="K102" s="443"/>
      <c r="L102" s="455">
        <f>0.75+0.5</f>
        <v>1.25</v>
      </c>
      <c r="M102" s="443">
        <v>13.67</v>
      </c>
      <c r="N102" s="452">
        <f t="array" ref="N102">IFERROR(
  INDEX(
    'Valor Hora Real y Estimada'!$A$4:$Z$78,
    MATCH(TRIM(CLEAN(A102)), 'Valor Hora Real y Estimada'!$A$4:$A$78, 0),
    MATCH(
      TEXT(C102,"dd mmm")&amp;" "&amp;D102,
      'Valor Hora Real y Estimada'!$A$3:$Z$3,
      0
    ) + 1
  ),
  0
)</f>
        <v>11141</v>
      </c>
      <c r="O102" s="453">
        <f t="shared" si="6"/>
        <v>152297.47</v>
      </c>
      <c r="P102" s="113"/>
      <c r="Q102" s="106">
        <f>IF(ISBLANK(O102), "", VLOOKUP(C102&amp;" "&amp;D102, 'Info Tipo de Cambio y REM'!$A$24:$B$35, 2, FALSE))</f>
        <v>1230</v>
      </c>
      <c r="R102" s="107">
        <f t="shared" si="2"/>
        <v>123.8190813</v>
      </c>
    </row>
    <row r="103" hidden="1">
      <c r="A103" s="443" t="s">
        <v>205</v>
      </c>
      <c r="B103" s="43" t="str">
        <f>IF(A103="", "", IFERROR(VLOOKUP(A103, Clasificaciones!A:B, 2, FALSE), "DATO NO CARGADO"))
</f>
        <v>Equipo</v>
      </c>
      <c r="C103" s="51" t="s">
        <v>129</v>
      </c>
      <c r="D103" s="454">
        <v>2025.0</v>
      </c>
      <c r="E103" s="321" t="s">
        <v>1130</v>
      </c>
      <c r="F103" s="202"/>
      <c r="G103" s="202" t="s">
        <v>1146</v>
      </c>
      <c r="H103" s="43" t="s">
        <v>208</v>
      </c>
      <c r="I103" s="43" t="s">
        <v>1136</v>
      </c>
      <c r="J103" s="43" t="s">
        <v>208</v>
      </c>
      <c r="K103" s="443"/>
      <c r="L103" s="451">
        <v>0.75</v>
      </c>
      <c r="M103" s="443">
        <v>0.75</v>
      </c>
      <c r="N103" s="452">
        <f t="array" ref="N103">IFERROR(
  INDEX(
    'Valor Hora Real y Estimada'!$A$4:$Z$78,
    MATCH(TRIM(CLEAN(A103)), 'Valor Hora Real y Estimada'!$A$4:$A$78, 0),
    MATCH(
      TEXT(C103,"dd mmm")&amp;" "&amp;D103,
      'Valor Hora Real y Estimada'!$A$3:$Z$3,
      0
    ) + 1
  ),
  0
)</f>
        <v>8973</v>
      </c>
      <c r="O103" s="453">
        <f t="shared" si="6"/>
        <v>6729.75</v>
      </c>
      <c r="P103" s="113"/>
      <c r="Q103" s="106">
        <f>IF(ISBLANK(O103), "", VLOOKUP(C103&amp;" "&amp;D103, 'Info Tipo de Cambio y REM'!$A$24:$B$35, 2, FALSE))</f>
        <v>1230</v>
      </c>
      <c r="R103" s="107">
        <f t="shared" si="2"/>
        <v>5.471341463</v>
      </c>
    </row>
    <row r="104" hidden="1">
      <c r="A104" s="443" t="s">
        <v>214</v>
      </c>
      <c r="B104" s="43" t="str">
        <f>IF(A104="", "", IFERROR(VLOOKUP(A104, Clasificaciones!A:B, 2, FALSE), "DATO NO CARGADO"))
</f>
        <v>Equipo</v>
      </c>
      <c r="C104" s="51" t="s">
        <v>129</v>
      </c>
      <c r="D104" s="454">
        <v>2025.0</v>
      </c>
      <c r="E104" s="321" t="s">
        <v>1130</v>
      </c>
      <c r="F104" s="202"/>
      <c r="G104" s="202" t="s">
        <v>1146</v>
      </c>
      <c r="H104" s="43" t="s">
        <v>208</v>
      </c>
      <c r="I104" s="43" t="s">
        <v>1136</v>
      </c>
      <c r="J104" s="43" t="s">
        <v>208</v>
      </c>
      <c r="K104" s="443"/>
      <c r="L104" s="451">
        <v>3.5</v>
      </c>
      <c r="M104" s="443">
        <v>3.5</v>
      </c>
      <c r="N104" s="452">
        <f t="array" ref="N104">IFERROR(
  INDEX(
    'Valor Hora Real y Estimada'!$A$4:$Z$78,
    MATCH(TRIM(CLEAN(A104)), 'Valor Hora Real y Estimada'!$A$4:$A$78, 0),
    MATCH(
      TEXT(C104,"dd mmm")&amp;" "&amp;D104,
      'Valor Hora Real y Estimada'!$A$3:$Z$3,
      0
    ) + 1
  ),
  0
)</f>
        <v>9000</v>
      </c>
      <c r="O104" s="453">
        <f t="shared" si="6"/>
        <v>31500</v>
      </c>
      <c r="P104" s="113"/>
      <c r="Q104" s="106">
        <f>IF(ISBLANK(O104), "", VLOOKUP(C104&amp;" "&amp;D104, 'Info Tipo de Cambio y REM'!$A$24:$B$35, 2, FALSE))</f>
        <v>1230</v>
      </c>
      <c r="R104" s="107">
        <f t="shared" si="2"/>
        <v>25.6097561</v>
      </c>
    </row>
    <row r="105" hidden="1">
      <c r="A105" s="443" t="s">
        <v>207</v>
      </c>
      <c r="B105" s="43" t="str">
        <f>IF(A105="", "", IFERROR(VLOOKUP(A105, Clasificaciones!A:B, 2, FALSE), "DATO NO CARGADO"))
</f>
        <v>Equipo</v>
      </c>
      <c r="C105" s="51" t="s">
        <v>129</v>
      </c>
      <c r="D105" s="454">
        <v>2025.0</v>
      </c>
      <c r="E105" s="321" t="s">
        <v>1130</v>
      </c>
      <c r="F105" s="202"/>
      <c r="G105" s="202" t="s">
        <v>1146</v>
      </c>
      <c r="H105" s="43" t="s">
        <v>208</v>
      </c>
      <c r="I105" s="43" t="s">
        <v>1136</v>
      </c>
      <c r="J105" s="43" t="s">
        <v>208</v>
      </c>
      <c r="K105" s="443"/>
      <c r="L105" s="443">
        <v>0.75</v>
      </c>
      <c r="M105" s="443">
        <v>0.75</v>
      </c>
      <c r="N105" s="452">
        <f t="array" ref="N105">IFERROR(
  INDEX(
    'Valor Hora Real y Estimada'!$A$4:$Z$78,
    MATCH(TRIM(CLEAN(A105)), 'Valor Hora Real y Estimada'!$A$4:$A$78, 0),
    MATCH(
      TEXT(C105,"dd mmm")&amp;" "&amp;D105,
      'Valor Hora Real y Estimada'!$A$3:$Z$3,
      0
    ) + 1
  ),
  0
)</f>
        <v>10000</v>
      </c>
      <c r="O105" s="453">
        <f t="shared" si="6"/>
        <v>7500</v>
      </c>
      <c r="P105" s="113"/>
      <c r="Q105" s="106">
        <f>IF(ISBLANK(O105), "", VLOOKUP(C105&amp;" "&amp;D105, 'Info Tipo de Cambio y REM'!$A$24:$B$35, 2, FALSE))</f>
        <v>1230</v>
      </c>
      <c r="R105" s="107">
        <f t="shared" si="2"/>
        <v>6.097560976</v>
      </c>
    </row>
    <row r="106" hidden="1">
      <c r="A106" s="443" t="s">
        <v>87</v>
      </c>
      <c r="B106" s="43" t="str">
        <f>IF(A106="", "", IFERROR(VLOOKUP(A106, Clasificaciones!A:B, 2, FALSE), "DATO NO CARGADO"))
</f>
        <v>Equipo</v>
      </c>
      <c r="C106" s="51" t="s">
        <v>129</v>
      </c>
      <c r="D106" s="454">
        <v>2025.0</v>
      </c>
      <c r="E106" s="321" t="s">
        <v>1130</v>
      </c>
      <c r="F106" s="202"/>
      <c r="G106" s="202" t="s">
        <v>1146</v>
      </c>
      <c r="H106" s="43" t="s">
        <v>208</v>
      </c>
      <c r="I106" s="43" t="s">
        <v>1136</v>
      </c>
      <c r="J106" s="43" t="s">
        <v>208</v>
      </c>
      <c r="K106" s="443"/>
      <c r="L106" s="455">
        <f>44.03+11.32+0.25</f>
        <v>55.6</v>
      </c>
      <c r="M106" s="443">
        <f>55.57+0.11</f>
        <v>55.68</v>
      </c>
      <c r="N106" s="452">
        <f t="array" ref="N106">IFERROR(
  INDEX(
    'Valor Hora Real y Estimada'!$A$4:$Z$78,
    MATCH(TRIM(CLEAN(A106)), 'Valor Hora Real y Estimada'!$A$4:$A$78, 0),
    MATCH(
      TEXT(C106,"dd mmm")&amp;" "&amp;D106,
      'Valor Hora Real y Estimada'!$A$3:$Z$3,
      0
    ) + 1
  ),
  0
)</f>
        <v>9000</v>
      </c>
      <c r="O106" s="453">
        <f t="shared" si="6"/>
        <v>501120</v>
      </c>
      <c r="P106" s="113"/>
      <c r="Q106" s="106">
        <f>IF(ISBLANK(O106), "", VLOOKUP(C106&amp;" "&amp;D106, 'Info Tipo de Cambio y REM'!$A$24:$B$35, 2, FALSE))</f>
        <v>1230</v>
      </c>
      <c r="R106" s="107">
        <f t="shared" si="2"/>
        <v>407.4146341</v>
      </c>
    </row>
    <row r="107" hidden="1">
      <c r="A107" s="443" t="s">
        <v>210</v>
      </c>
      <c r="B107" s="43" t="str">
        <f>IF(A107="", "", IFERROR(VLOOKUP(A107, Clasificaciones!A:B, 2, FALSE), "DATO NO CARGADO"))
</f>
        <v>Equipo</v>
      </c>
      <c r="C107" s="51" t="s">
        <v>129</v>
      </c>
      <c r="D107" s="454">
        <v>2025.0</v>
      </c>
      <c r="E107" s="321" t="s">
        <v>1130</v>
      </c>
      <c r="F107" s="202"/>
      <c r="G107" s="202" t="s">
        <v>1146</v>
      </c>
      <c r="H107" s="43" t="s">
        <v>208</v>
      </c>
      <c r="I107" s="43" t="s">
        <v>1136</v>
      </c>
      <c r="J107" s="43" t="s">
        <v>208</v>
      </c>
      <c r="K107" s="443"/>
      <c r="L107" s="455">
        <f>8+2</f>
        <v>10</v>
      </c>
      <c r="M107" s="443">
        <v>10.45</v>
      </c>
      <c r="N107" s="452">
        <f t="array" ref="N107">IFERROR(
  INDEX(
    'Valor Hora Real y Estimada'!$A$4:$Z$78,
    MATCH(TRIM(CLEAN(A107)), 'Valor Hora Real y Estimada'!$A$4:$A$78, 0),
    MATCH(
      TEXT(C107,"dd mmm")&amp;" "&amp;D107,
      'Valor Hora Real y Estimada'!$A$3:$Z$3,
      0
    ) + 1
  ),
  0
)</f>
        <v>14717</v>
      </c>
      <c r="O107" s="453">
        <f t="shared" si="6"/>
        <v>153792.65</v>
      </c>
      <c r="P107" s="113"/>
      <c r="Q107" s="106">
        <f>IF(ISBLANK(O107), "", VLOOKUP(C107&amp;" "&amp;D107, 'Info Tipo de Cambio y REM'!$A$24:$B$35, 2, FALSE))</f>
        <v>1230</v>
      </c>
      <c r="R107" s="107">
        <f t="shared" si="2"/>
        <v>125.0346748</v>
      </c>
    </row>
    <row r="108" hidden="1">
      <c r="A108" s="443" t="s">
        <v>120</v>
      </c>
      <c r="B108" s="43" t="str">
        <f>IF(A108="", "", IFERROR(VLOOKUP(A108, Clasificaciones!A:B, 2, FALSE), "DATO NO CARGADO"))
</f>
        <v>Equipo</v>
      </c>
      <c r="C108" s="51" t="s">
        <v>129</v>
      </c>
      <c r="D108" s="454">
        <v>2025.0</v>
      </c>
      <c r="E108" s="321" t="s">
        <v>1124</v>
      </c>
      <c r="F108" s="202"/>
      <c r="G108" s="202" t="s">
        <v>1137</v>
      </c>
      <c r="H108" s="43" t="s">
        <v>1133</v>
      </c>
      <c r="I108" s="43" t="s">
        <v>1138</v>
      </c>
      <c r="J108" s="43" t="s">
        <v>206</v>
      </c>
      <c r="K108" s="443">
        <v>10.0</v>
      </c>
      <c r="L108" s="451">
        <v>21.9</v>
      </c>
      <c r="M108" s="443">
        <v>21.57</v>
      </c>
      <c r="N108" s="452">
        <f t="array" ref="N108">IFERROR(
  INDEX(
    'Valor Hora Real y Estimada'!$A$4:$Z$78,
    MATCH(TRIM(CLEAN(A108)), 'Valor Hora Real y Estimada'!$A$4:$A$78, 0),
    MATCH(
      TEXT(C108,"dd mmm")&amp;" "&amp;D108,
      'Valor Hora Real y Estimada'!$A$3:$Z$3,
      0
    ) + 1
  ),
  0
)</f>
        <v>20833.33333</v>
      </c>
      <c r="O108" s="453">
        <f t="shared" si="6"/>
        <v>449375</v>
      </c>
      <c r="P108" s="113"/>
      <c r="Q108" s="106">
        <f>IF(ISBLANK(O108), "", VLOOKUP(C108&amp;" "&amp;D108, 'Info Tipo de Cambio y REM'!$A$24:$B$35, 2, FALSE))</f>
        <v>1230</v>
      </c>
      <c r="R108" s="107">
        <f t="shared" si="2"/>
        <v>365.3455285</v>
      </c>
    </row>
    <row r="109" hidden="1">
      <c r="A109" s="443" t="s">
        <v>228</v>
      </c>
      <c r="B109" s="43" t="str">
        <f>IF(A109="", "", IFERROR(VLOOKUP(A109, Clasificaciones!A:B, 2, FALSE), "DATO NO CARGADO"))
</f>
        <v>Equipo</v>
      </c>
      <c r="C109" s="51" t="s">
        <v>129</v>
      </c>
      <c r="D109" s="454">
        <v>2025.0</v>
      </c>
      <c r="E109" s="321" t="s">
        <v>1124</v>
      </c>
      <c r="F109" s="202"/>
      <c r="G109" s="202" t="s">
        <v>1137</v>
      </c>
      <c r="H109" s="43" t="s">
        <v>1133</v>
      </c>
      <c r="I109" s="43" t="s">
        <v>1138</v>
      </c>
      <c r="J109" s="43" t="s">
        <v>206</v>
      </c>
      <c r="K109" s="443">
        <v>18.0</v>
      </c>
      <c r="L109" s="451">
        <v>33.43</v>
      </c>
      <c r="M109" s="443">
        <v>33.1</v>
      </c>
      <c r="N109" s="452">
        <f t="array" ref="N109">IFERROR(
  INDEX(
    'Valor Hora Real y Estimada'!$A$4:$Z$78,
    MATCH(TRIM(CLEAN(A109)), 'Valor Hora Real y Estimada'!$A$4:$A$78, 0),
    MATCH(
      TEXT(C109,"dd mmm")&amp;" "&amp;D109,
      'Valor Hora Real y Estimada'!$A$3:$Z$3,
      0
    ) + 1
  ),
  0
)</f>
        <v>18000</v>
      </c>
      <c r="O109" s="453">
        <f t="shared" si="6"/>
        <v>595800</v>
      </c>
      <c r="P109" s="113"/>
      <c r="Q109" s="106">
        <f>IF(ISBLANK(O109), "", VLOOKUP(C109&amp;" "&amp;D109, 'Info Tipo de Cambio y REM'!$A$24:$B$35, 2, FALSE))</f>
        <v>1230</v>
      </c>
      <c r="R109" s="107">
        <f t="shared" si="2"/>
        <v>484.3902439</v>
      </c>
    </row>
    <row r="110" hidden="1">
      <c r="A110" s="443" t="s">
        <v>212</v>
      </c>
      <c r="B110" s="43" t="str">
        <f>IF(A110="", "", IFERROR(VLOOKUP(A110, Clasificaciones!A:B, 2, FALSE), "DATO NO CARGADO"))
</f>
        <v>Equipo</v>
      </c>
      <c r="C110" s="51" t="s">
        <v>129</v>
      </c>
      <c r="D110" s="454">
        <v>2025.0</v>
      </c>
      <c r="E110" s="321" t="s">
        <v>1124</v>
      </c>
      <c r="F110" s="202"/>
      <c r="G110" s="202" t="s">
        <v>1137</v>
      </c>
      <c r="H110" s="43" t="s">
        <v>1133</v>
      </c>
      <c r="I110" s="43" t="s">
        <v>1138</v>
      </c>
      <c r="J110" s="43" t="s">
        <v>206</v>
      </c>
      <c r="K110" s="443">
        <v>30.0</v>
      </c>
      <c r="L110" s="443">
        <v>4.77</v>
      </c>
      <c r="M110" s="443">
        <v>4.77</v>
      </c>
      <c r="N110" s="452">
        <f t="array" ref="N110">IFERROR(
  INDEX(
    'Valor Hora Real y Estimada'!$A$4:$Z$78,
    MATCH(TRIM(CLEAN(A110)), 'Valor Hora Real y Estimada'!$A$4:$A$78, 0),
    MATCH(
      TEXT(C110,"dd mmm")&amp;" "&amp;D110,
      'Valor Hora Real y Estimada'!$A$3:$Z$3,
      0
    ) + 1
  ),
  0
)</f>
        <v>7000</v>
      </c>
      <c r="O110" s="453">
        <f t="shared" si="6"/>
        <v>33390</v>
      </c>
      <c r="P110" s="113"/>
      <c r="Q110" s="106">
        <f>IF(ISBLANK(O110), "", VLOOKUP(C110&amp;" "&amp;D110, 'Info Tipo de Cambio y REM'!$A$24:$B$35, 2, FALSE))</f>
        <v>1230</v>
      </c>
      <c r="R110" s="107">
        <f t="shared" si="2"/>
        <v>27.14634146</v>
      </c>
    </row>
    <row r="111" hidden="1">
      <c r="A111" s="443" t="s">
        <v>120</v>
      </c>
      <c r="B111" s="43" t="str">
        <f>IF(A111="", "", IFERROR(VLOOKUP(A111, Clasificaciones!A:B, 2, FALSE), "DATO NO CARGADO"))
</f>
        <v>Equipo</v>
      </c>
      <c r="C111" s="51" t="s">
        <v>129</v>
      </c>
      <c r="D111" s="43">
        <v>2025.0</v>
      </c>
      <c r="E111" s="321" t="s">
        <v>1124</v>
      </c>
      <c r="F111" s="202"/>
      <c r="G111" s="202" t="s">
        <v>1148</v>
      </c>
      <c r="H111" s="43" t="s">
        <v>1126</v>
      </c>
      <c r="I111" s="43" t="s">
        <v>1127</v>
      </c>
      <c r="J111" s="43" t="s">
        <v>119</v>
      </c>
      <c r="K111" s="443">
        <v>1.0</v>
      </c>
      <c r="L111" s="451">
        <v>9.27</v>
      </c>
      <c r="M111" s="443">
        <v>9.27</v>
      </c>
      <c r="N111" s="452">
        <f t="array" ref="N111">IFERROR(
  INDEX(
    'Valor Hora Real y Estimada'!$A$4:$Z$78,
    MATCH(TRIM(CLEAN(A111)), 'Valor Hora Real y Estimada'!$A$4:$A$78, 0),
    MATCH(
      TEXT(C111,"dd mmm")&amp;" "&amp;D111,
      'Valor Hora Real y Estimada'!$A$3:$Z$3,
      0
    ) + 1
  ),
  0
)</f>
        <v>20833.33333</v>
      </c>
      <c r="O111" s="453">
        <f t="shared" si="6"/>
        <v>193125</v>
      </c>
      <c r="P111" s="113"/>
      <c r="Q111" s="106">
        <f>IF(ISBLANK(O111), "", VLOOKUP(C111&amp;" "&amp;D111, 'Info Tipo de Cambio y REM'!$A$24:$B$35, 2, FALSE))</f>
        <v>1230</v>
      </c>
      <c r="R111" s="107">
        <f t="shared" si="2"/>
        <v>157.0121951</v>
      </c>
    </row>
    <row r="112" hidden="1">
      <c r="A112" s="443" t="s">
        <v>216</v>
      </c>
      <c r="B112" s="43" t="str">
        <f>IF(A112="", "", IFERROR(VLOOKUP(A112, Clasificaciones!A:B, 2, FALSE), "DATO NO CARGADO"))
</f>
        <v>Equipo</v>
      </c>
      <c r="C112" s="51" t="s">
        <v>129</v>
      </c>
      <c r="D112" s="43">
        <v>2025.0</v>
      </c>
      <c r="E112" s="321" t="s">
        <v>1124</v>
      </c>
      <c r="F112" s="202"/>
      <c r="G112" s="202" t="s">
        <v>1148</v>
      </c>
      <c r="H112" s="43" t="s">
        <v>1126</v>
      </c>
      <c r="I112" s="43" t="s">
        <v>1127</v>
      </c>
      <c r="J112" s="43" t="s">
        <v>119</v>
      </c>
      <c r="K112" s="443">
        <v>2.0</v>
      </c>
      <c r="L112" s="443">
        <v>13.48</v>
      </c>
      <c r="M112" s="443">
        <v>13.48</v>
      </c>
      <c r="N112" s="452">
        <f t="array" ref="N112">IFERROR(
  INDEX(
    'Valor Hora Real y Estimada'!$A$4:$Z$78,
    MATCH(TRIM(CLEAN(A112)), 'Valor Hora Real y Estimada'!$A$4:$A$78, 0),
    MATCH(
      TEXT(C112,"dd mmm")&amp;" "&amp;D112,
      'Valor Hora Real y Estimada'!$A$3:$Z$3,
      0
    ) + 1
  ),
  0
)</f>
        <v>13139</v>
      </c>
      <c r="O112" s="453">
        <f t="shared" si="6"/>
        <v>177113.72</v>
      </c>
      <c r="P112" s="113"/>
      <c r="Q112" s="106">
        <f>IF(ISBLANK(O112), "", VLOOKUP(C112&amp;" "&amp;D112, 'Info Tipo de Cambio y REM'!$A$24:$B$35, 2, FALSE))</f>
        <v>1230</v>
      </c>
      <c r="R112" s="107">
        <f t="shared" si="2"/>
        <v>143.9948943</v>
      </c>
    </row>
    <row r="113" hidden="1">
      <c r="A113" s="443" t="s">
        <v>228</v>
      </c>
      <c r="B113" s="43" t="str">
        <f>IF(A113="", "", IFERROR(VLOOKUP(A113, Clasificaciones!A:B, 2, FALSE), "DATO NO CARGADO"))
</f>
        <v>Equipo</v>
      </c>
      <c r="C113" s="51" t="s">
        <v>129</v>
      </c>
      <c r="D113" s="43">
        <v>2025.0</v>
      </c>
      <c r="E113" s="321" t="s">
        <v>1124</v>
      </c>
      <c r="F113" s="202"/>
      <c r="G113" s="202" t="s">
        <v>1148</v>
      </c>
      <c r="H113" s="43" t="s">
        <v>1126</v>
      </c>
      <c r="I113" s="43" t="s">
        <v>1127</v>
      </c>
      <c r="J113" s="43" t="s">
        <v>119</v>
      </c>
      <c r="K113" s="443">
        <v>27.0</v>
      </c>
      <c r="L113" s="451">
        <v>44.3</v>
      </c>
      <c r="M113" s="443">
        <v>44.3</v>
      </c>
      <c r="N113" s="452">
        <f t="array" ref="N113">IFERROR(
  INDEX(
    'Valor Hora Real y Estimada'!$A$4:$Z$78,
    MATCH(TRIM(CLEAN(A113)), 'Valor Hora Real y Estimada'!$A$4:$A$78, 0),
    MATCH(
      TEXT(C113,"dd mmm")&amp;" "&amp;D113,
      'Valor Hora Real y Estimada'!$A$3:$Z$3,
      0
    ) + 1
  ),
  0
)</f>
        <v>18000</v>
      </c>
      <c r="O113" s="453">
        <f t="shared" si="6"/>
        <v>797400</v>
      </c>
      <c r="P113" s="113"/>
      <c r="Q113" s="106">
        <f>IF(ISBLANK(O113), "", VLOOKUP(C113&amp;" "&amp;D113, 'Info Tipo de Cambio y REM'!$A$24:$B$35, 2, FALSE))</f>
        <v>1230</v>
      </c>
      <c r="R113" s="107">
        <f t="shared" si="2"/>
        <v>648.2926829</v>
      </c>
    </row>
    <row r="114" hidden="1">
      <c r="A114" s="443" t="s">
        <v>210</v>
      </c>
      <c r="B114" s="43" t="str">
        <f>IF(A114="", "", IFERROR(VLOOKUP(A114, Clasificaciones!A:B, 2, FALSE), "DATO NO CARGADO"))
</f>
        <v>Equipo</v>
      </c>
      <c r="C114" s="51" t="s">
        <v>129</v>
      </c>
      <c r="D114" s="43">
        <v>2025.0</v>
      </c>
      <c r="E114" s="321" t="s">
        <v>1124</v>
      </c>
      <c r="F114" s="202"/>
      <c r="G114" s="202" t="s">
        <v>1148</v>
      </c>
      <c r="H114" s="43" t="s">
        <v>1126</v>
      </c>
      <c r="I114" s="43" t="s">
        <v>1127</v>
      </c>
      <c r="J114" s="43" t="s">
        <v>119</v>
      </c>
      <c r="K114" s="443">
        <v>1.0</v>
      </c>
      <c r="L114" s="451">
        <v>3.5</v>
      </c>
      <c r="M114" s="443">
        <v>3.5</v>
      </c>
      <c r="N114" s="452">
        <f t="array" ref="N114">IFERROR(
  INDEX(
    'Valor Hora Real y Estimada'!$A$4:$Z$78,
    MATCH(TRIM(CLEAN(A114)), 'Valor Hora Real y Estimada'!$A$4:$A$78, 0),
    MATCH(
      TEXT(C114,"dd mmm")&amp;" "&amp;D114,
      'Valor Hora Real y Estimada'!$A$3:$Z$3,
      0
    ) + 1
  ),
  0
)</f>
        <v>14717</v>
      </c>
      <c r="O114" s="453">
        <f t="shared" si="6"/>
        <v>51509.5</v>
      </c>
      <c r="P114" s="113"/>
      <c r="Q114" s="106">
        <f>IF(ISBLANK(O114), "", VLOOKUP(C114&amp;" "&amp;D114, 'Info Tipo de Cambio y REM'!$A$24:$B$35, 2, FALSE))</f>
        <v>1230</v>
      </c>
      <c r="R114" s="107">
        <f t="shared" si="2"/>
        <v>41.87764228</v>
      </c>
    </row>
    <row r="115" hidden="1">
      <c r="A115" s="443" t="s">
        <v>120</v>
      </c>
      <c r="B115" s="43" t="str">
        <f>IF(A115="", "", IFERROR(VLOOKUP(A115, Clasificaciones!A:B, 2, FALSE), "DATO NO CARGADO"))
</f>
        <v>Equipo</v>
      </c>
      <c r="C115" s="51" t="s">
        <v>129</v>
      </c>
      <c r="D115" s="43">
        <v>2025.0</v>
      </c>
      <c r="E115" s="321" t="s">
        <v>1124</v>
      </c>
      <c r="F115" s="202"/>
      <c r="G115" s="202" t="s">
        <v>1149</v>
      </c>
      <c r="H115" s="43" t="s">
        <v>1133</v>
      </c>
      <c r="I115" s="43" t="s">
        <v>1150</v>
      </c>
      <c r="J115" s="43" t="s">
        <v>126</v>
      </c>
      <c r="K115" s="443">
        <v>25.0</v>
      </c>
      <c r="L115" s="451">
        <v>5.2</v>
      </c>
      <c r="M115" s="443">
        <v>5.0</v>
      </c>
      <c r="N115" s="452">
        <f t="array" ref="N115">IFERROR(
  INDEX(
    'Valor Hora Real y Estimada'!$A$4:$Z$78,
    MATCH(TRIM(CLEAN(A115)), 'Valor Hora Real y Estimada'!$A$4:$A$78, 0),
    MATCH(
      TEXT(C115,"dd mmm")&amp;" "&amp;D115,
      'Valor Hora Real y Estimada'!$A$3:$Z$3,
      0
    ) + 1
  ),
  0
)</f>
        <v>20833.33333</v>
      </c>
      <c r="O115" s="453">
        <f t="shared" si="6"/>
        <v>104166.6667</v>
      </c>
      <c r="P115" s="113"/>
      <c r="Q115" s="106">
        <f>IF(ISBLANK(O115), "", VLOOKUP(C115&amp;" "&amp;D115, 'Info Tipo de Cambio y REM'!$A$24:$B$35, 2, FALSE))</f>
        <v>1230</v>
      </c>
      <c r="R115" s="107">
        <f t="shared" si="2"/>
        <v>84.68834688</v>
      </c>
    </row>
    <row r="116" hidden="1">
      <c r="A116" s="443" t="s">
        <v>221</v>
      </c>
      <c r="B116" s="43" t="str">
        <f>IF(A116="", "", IFERROR(VLOOKUP(A116, Clasificaciones!A:B, 2, FALSE), "DATO NO CARGADO"))
</f>
        <v>Equipo</v>
      </c>
      <c r="C116" s="51" t="s">
        <v>129</v>
      </c>
      <c r="D116" s="43">
        <v>2025.0</v>
      </c>
      <c r="E116" s="321" t="s">
        <v>1124</v>
      </c>
      <c r="F116" s="202"/>
      <c r="G116" s="202" t="s">
        <v>1149</v>
      </c>
      <c r="H116" s="43" t="s">
        <v>1133</v>
      </c>
      <c r="I116" s="43" t="s">
        <v>1150</v>
      </c>
      <c r="J116" s="43" t="s">
        <v>126</v>
      </c>
      <c r="K116" s="443">
        <v>0.0</v>
      </c>
      <c r="L116" s="451">
        <v>2.5</v>
      </c>
      <c r="M116" s="443">
        <v>3.0</v>
      </c>
      <c r="N116" s="452">
        <f t="array" ref="N116">IFERROR(
  INDEX(
    'Valor Hora Real y Estimada'!$A$4:$Z$78,
    MATCH(TRIM(CLEAN(A116)), 'Valor Hora Real y Estimada'!$A$4:$A$78, 0),
    MATCH(
      TEXT(C116,"dd mmm")&amp;" "&amp;D116,
      'Valor Hora Real y Estimada'!$A$3:$Z$3,
      0
    ) + 1
  ),
  0
)</f>
        <v>10121</v>
      </c>
      <c r="O116" s="453">
        <f t="shared" si="6"/>
        <v>30363</v>
      </c>
      <c r="P116" s="113"/>
      <c r="Q116" s="106">
        <f>IF(ISBLANK(O116), "", VLOOKUP(C116&amp;" "&amp;D116, 'Info Tipo de Cambio y REM'!$A$24:$B$35, 2, FALSE))</f>
        <v>1230</v>
      </c>
      <c r="R116" s="107">
        <f t="shared" si="2"/>
        <v>24.68536585</v>
      </c>
    </row>
    <row r="117" hidden="1">
      <c r="A117" s="443" t="s">
        <v>87</v>
      </c>
      <c r="B117" s="43" t="str">
        <f>IF(A117="", "", IFERROR(VLOOKUP(A117, Clasificaciones!A:B, 2, FALSE), "DATO NO CARGADO"))
</f>
        <v>Equipo</v>
      </c>
      <c r="C117" s="51" t="s">
        <v>129</v>
      </c>
      <c r="D117" s="43">
        <v>2025.0</v>
      </c>
      <c r="E117" s="321" t="s">
        <v>1124</v>
      </c>
      <c r="F117" s="202"/>
      <c r="G117" s="202" t="s">
        <v>1149</v>
      </c>
      <c r="H117" s="43" t="s">
        <v>1133</v>
      </c>
      <c r="I117" s="43" t="s">
        <v>1150</v>
      </c>
      <c r="J117" s="43" t="s">
        <v>126</v>
      </c>
      <c r="K117" s="443">
        <v>25.0</v>
      </c>
      <c r="L117" s="451">
        <v>0.93</v>
      </c>
      <c r="M117" s="443">
        <v>1.0</v>
      </c>
      <c r="N117" s="452">
        <f t="array" ref="N117">IFERROR(
  INDEX(
    'Valor Hora Real y Estimada'!$A$4:$Z$78,
    MATCH(TRIM(CLEAN(A117)), 'Valor Hora Real y Estimada'!$A$4:$A$78, 0),
    MATCH(
      TEXT(C117,"dd mmm")&amp;" "&amp;D117,
      'Valor Hora Real y Estimada'!$A$3:$Z$3,
      0
    ) + 1
  ),
  0
)</f>
        <v>9000</v>
      </c>
      <c r="O117" s="453">
        <f t="shared" si="6"/>
        <v>9000</v>
      </c>
      <c r="P117" s="113"/>
      <c r="Q117" s="106">
        <f>IF(ISBLANK(O117), "", VLOOKUP(C117&amp;" "&amp;D117, 'Info Tipo de Cambio y REM'!$A$24:$B$35, 2, FALSE))</f>
        <v>1230</v>
      </c>
      <c r="R117" s="107">
        <f t="shared" si="2"/>
        <v>7.317073171</v>
      </c>
    </row>
    <row r="118" hidden="1">
      <c r="A118" s="443" t="s">
        <v>127</v>
      </c>
      <c r="B118" s="43" t="str">
        <f>IF(A118="", "", IFERROR(VLOOKUP(A118, Clasificaciones!A:B, 2, FALSE), "DATO NO CARGADO"))
</f>
        <v>Board</v>
      </c>
      <c r="C118" s="51" t="s">
        <v>129</v>
      </c>
      <c r="D118" s="43">
        <v>2025.0</v>
      </c>
      <c r="E118" s="43" t="s">
        <v>1130</v>
      </c>
      <c r="F118" s="202"/>
      <c r="G118" s="202" t="s">
        <v>1146</v>
      </c>
      <c r="H118" s="43" t="s">
        <v>208</v>
      </c>
      <c r="I118" s="43" t="s">
        <v>1136</v>
      </c>
      <c r="J118" s="43" t="s">
        <v>208</v>
      </c>
      <c r="K118" s="443"/>
      <c r="L118" s="455"/>
      <c r="M118" s="443">
        <f t="shared" ref="M118:M119" si="8">160+0.053</f>
        <v>160.053</v>
      </c>
      <c r="N118" s="452">
        <f t="array" ref="N118">IFERROR(
  INDEX(
    'Valor Hora Real y Estimada'!$A$4:$Z$78,
    MATCH(TRIM(CLEAN(A118)), 'Valor Hora Real y Estimada'!$A$4:$A$78, 0),
    MATCH(
      TEXT(C118,"dd mmm")&amp;" "&amp;D118,
      'Valor Hora Real y Estimada'!$A$3:$Z$3,
      0
    ) + 1
  ),
  0
)</f>
        <v>21357</v>
      </c>
      <c r="O118" s="453">
        <f t="shared" si="6"/>
        <v>3418251.921</v>
      </c>
      <c r="P118" s="113"/>
      <c r="Q118" s="106">
        <f>IF(ISBLANK(O118), "", VLOOKUP(C118&amp;" "&amp;D118, 'Info Tipo de Cambio y REM'!$A$24:$B$35, 2, FALSE))</f>
        <v>1230</v>
      </c>
      <c r="R118" s="107">
        <f t="shared" si="2"/>
        <v>2779.066602</v>
      </c>
    </row>
    <row r="119" hidden="1">
      <c r="A119" s="443" t="s">
        <v>133</v>
      </c>
      <c r="B119" s="43" t="str">
        <f>IF(A119="", "", IFERROR(VLOOKUP(A119, Clasificaciones!A:B, 2, FALSE), "DATO NO CARGADO"))
</f>
        <v>Board</v>
      </c>
      <c r="C119" s="51" t="s">
        <v>129</v>
      </c>
      <c r="D119" s="43">
        <v>2025.0</v>
      </c>
      <c r="E119" s="43" t="s">
        <v>1130</v>
      </c>
      <c r="F119" s="202"/>
      <c r="G119" s="202" t="s">
        <v>1146</v>
      </c>
      <c r="H119" s="43" t="s">
        <v>208</v>
      </c>
      <c r="I119" s="43" t="s">
        <v>1136</v>
      </c>
      <c r="J119" s="43" t="s">
        <v>208</v>
      </c>
      <c r="K119" s="443"/>
      <c r="L119" s="455"/>
      <c r="M119" s="443">
        <f t="shared" si="8"/>
        <v>160.053</v>
      </c>
      <c r="N119" s="452">
        <f t="array" ref="N119">IFERROR(
  INDEX(
    'Valor Hora Real y Estimada'!$A$4:$Z$78,
    MATCH(TRIM(CLEAN(A119)), 'Valor Hora Real y Estimada'!$A$4:$A$78, 0),
    MATCH(
      TEXT(C119,"dd mmm")&amp;" "&amp;D119,
      'Valor Hora Real y Estimada'!$A$3:$Z$3,
      0
    ) + 1
  ),
  0
)</f>
        <v>22680</v>
      </c>
      <c r="O119" s="453">
        <f t="shared" si="6"/>
        <v>3630002.04</v>
      </c>
      <c r="P119" s="113"/>
      <c r="Q119" s="106">
        <f>IF(ISBLANK(O119), "", VLOOKUP(C119&amp;" "&amp;D119, 'Info Tipo de Cambio y REM'!$A$24:$B$35, 2, FALSE))</f>
        <v>1230</v>
      </c>
      <c r="R119" s="107">
        <f t="shared" si="2"/>
        <v>2951.221171</v>
      </c>
    </row>
    <row r="120" hidden="1">
      <c r="A120" s="443" t="s">
        <v>120</v>
      </c>
      <c r="B120" s="43" t="str">
        <f>IF(A120="", "", IFERROR(VLOOKUP(A120, Clasificaciones!A:B, 2, FALSE), "DATO NO CARGADO"))
</f>
        <v>Equipo</v>
      </c>
      <c r="C120" s="51" t="s">
        <v>129</v>
      </c>
      <c r="D120" s="43">
        <v>2025.0</v>
      </c>
      <c r="E120" s="43" t="s">
        <v>1124</v>
      </c>
      <c r="F120" s="202"/>
      <c r="G120" s="202" t="s">
        <v>1147</v>
      </c>
      <c r="H120" s="43" t="s">
        <v>1126</v>
      </c>
      <c r="I120" s="43" t="s">
        <v>1141</v>
      </c>
      <c r="J120" s="43" t="s">
        <v>163</v>
      </c>
      <c r="K120" s="443"/>
      <c r="L120" s="451">
        <v>20.35</v>
      </c>
      <c r="M120" s="443">
        <v>20.0</v>
      </c>
      <c r="N120" s="452">
        <f t="array" ref="N120">IFERROR(
  INDEX(
    'Valor Hora Real y Estimada'!$A$4:$Z$78,
    MATCH(TRIM(CLEAN(A120)), 'Valor Hora Real y Estimada'!$A$4:$A$78, 0),
    MATCH(
      TEXT(C120,"dd mmm")&amp;" "&amp;D120,
      'Valor Hora Real y Estimada'!$A$3:$Z$3,
      0
    ) + 1
  ),
  0
)</f>
        <v>20833.33333</v>
      </c>
      <c r="O120" s="453">
        <f t="shared" si="6"/>
        <v>416666.6667</v>
      </c>
      <c r="P120" s="113"/>
      <c r="Q120" s="106">
        <f>IF(ISBLANK(O120), "", VLOOKUP(C120&amp;" "&amp;D120, 'Info Tipo de Cambio y REM'!$A$24:$B$35, 2, FALSE))</f>
        <v>1230</v>
      </c>
      <c r="R120" s="107">
        <f t="shared" si="2"/>
        <v>338.7533875</v>
      </c>
    </row>
    <row r="121" hidden="1">
      <c r="A121" s="443" t="s">
        <v>221</v>
      </c>
      <c r="B121" s="43" t="str">
        <f>IF(A121="", "", IFERROR(VLOOKUP(A121, Clasificaciones!A:B, 2, FALSE), "DATO NO CARGADO"))
</f>
        <v>Equipo</v>
      </c>
      <c r="C121" s="51" t="s">
        <v>129</v>
      </c>
      <c r="D121" s="43">
        <v>2025.0</v>
      </c>
      <c r="E121" s="43" t="s">
        <v>1124</v>
      </c>
      <c r="F121" s="202"/>
      <c r="G121" s="202" t="s">
        <v>1147</v>
      </c>
      <c r="H121" s="43" t="s">
        <v>1126</v>
      </c>
      <c r="I121" s="43" t="s">
        <v>1141</v>
      </c>
      <c r="J121" s="43" t="s">
        <v>163</v>
      </c>
      <c r="K121" s="443"/>
      <c r="L121" s="451">
        <v>0.5</v>
      </c>
      <c r="M121" s="443">
        <v>1.0</v>
      </c>
      <c r="N121" s="452">
        <f t="array" ref="N121">IFERROR(
  INDEX(
    'Valor Hora Real y Estimada'!$A$4:$Z$78,
    MATCH(TRIM(CLEAN(A121)), 'Valor Hora Real y Estimada'!$A$4:$A$78, 0),
    MATCH(
      TEXT(C121,"dd mmm")&amp;" "&amp;D121,
      'Valor Hora Real y Estimada'!$A$3:$Z$3,
      0
    ) + 1
  ),
  0
)</f>
        <v>10121</v>
      </c>
      <c r="O121" s="453">
        <f t="shared" si="6"/>
        <v>10121</v>
      </c>
      <c r="P121" s="113"/>
      <c r="Q121" s="106">
        <f>IF(ISBLANK(O121), "", VLOOKUP(C121&amp;" "&amp;D121, 'Info Tipo de Cambio y REM'!$A$24:$B$35, 2, FALSE))</f>
        <v>1230</v>
      </c>
      <c r="R121" s="107">
        <f t="shared" si="2"/>
        <v>8.228455285</v>
      </c>
    </row>
    <row r="122" hidden="1">
      <c r="A122" s="443" t="s">
        <v>203</v>
      </c>
      <c r="B122" s="43" t="str">
        <f>IF(A122="", "", IFERROR(VLOOKUP(A122, Clasificaciones!A:B, 2, FALSE), "DATO NO CARGADO"))
</f>
        <v>Equipo</v>
      </c>
      <c r="C122" s="51" t="s">
        <v>129</v>
      </c>
      <c r="D122" s="43">
        <v>2025.0</v>
      </c>
      <c r="E122" s="43" t="s">
        <v>1124</v>
      </c>
      <c r="F122" s="202"/>
      <c r="G122" s="202" t="s">
        <v>1147</v>
      </c>
      <c r="H122" s="43" t="s">
        <v>1126</v>
      </c>
      <c r="I122" s="43" t="s">
        <v>1141</v>
      </c>
      <c r="J122" s="43" t="s">
        <v>163</v>
      </c>
      <c r="K122" s="443"/>
      <c r="L122" s="451">
        <v>0.42</v>
      </c>
      <c r="M122" s="443">
        <v>0.5</v>
      </c>
      <c r="N122" s="452">
        <f t="array" ref="N122">IFERROR(
  INDEX(
    'Valor Hora Real y Estimada'!$A$4:$Z$78,
    MATCH(TRIM(CLEAN(A122)), 'Valor Hora Real y Estimada'!$A$4:$A$78, 0),
    MATCH(
      TEXT(C122,"dd mmm")&amp;" "&amp;D122,
      'Valor Hora Real y Estimada'!$A$3:$Z$3,
      0
    ) + 1
  ),
  0
)</f>
        <v>9115</v>
      </c>
      <c r="O122" s="453">
        <f t="shared" si="6"/>
        <v>4557.5</v>
      </c>
      <c r="P122" s="113"/>
      <c r="Q122" s="106">
        <f>IF(ISBLANK(O122), "", VLOOKUP(C122&amp;" "&amp;D122, 'Info Tipo de Cambio y REM'!$A$24:$B$35, 2, FALSE))</f>
        <v>1230</v>
      </c>
      <c r="R122" s="107">
        <f t="shared" si="2"/>
        <v>3.705284553</v>
      </c>
    </row>
    <row r="123" hidden="1">
      <c r="A123" s="443" t="s">
        <v>87</v>
      </c>
      <c r="B123" s="43" t="str">
        <f>IF(A123="", "", IFERROR(VLOOKUP(A123, Clasificaciones!A:B, 2, FALSE), "DATO NO CARGADO"))
</f>
        <v>Equipo</v>
      </c>
      <c r="C123" s="51" t="s">
        <v>129</v>
      </c>
      <c r="D123" s="43">
        <v>2025.0</v>
      </c>
      <c r="E123" s="43" t="s">
        <v>1124</v>
      </c>
      <c r="F123" s="202"/>
      <c r="G123" s="202" t="s">
        <v>1147</v>
      </c>
      <c r="H123" s="43" t="s">
        <v>1126</v>
      </c>
      <c r="I123" s="43" t="s">
        <v>1141</v>
      </c>
      <c r="J123" s="43" t="s">
        <v>163</v>
      </c>
      <c r="K123" s="443"/>
      <c r="L123" s="451">
        <v>15.7</v>
      </c>
      <c r="M123" s="443">
        <v>16.0</v>
      </c>
      <c r="N123" s="452">
        <f t="array" ref="N123">IFERROR(
  INDEX(
    'Valor Hora Real y Estimada'!$A$4:$Z$78,
    MATCH(TRIM(CLEAN(A123)), 'Valor Hora Real y Estimada'!$A$4:$A$78, 0),
    MATCH(
      TEXT(C123,"dd mmm")&amp;" "&amp;D123,
      'Valor Hora Real y Estimada'!$A$3:$Z$3,
      0
    ) + 1
  ),
  0
)</f>
        <v>9000</v>
      </c>
      <c r="O123" s="453">
        <f t="shared" si="6"/>
        <v>144000</v>
      </c>
      <c r="P123" s="113"/>
      <c r="Q123" s="106">
        <f>IF(ISBLANK(O123), "", VLOOKUP(C123&amp;" "&amp;D123, 'Info Tipo de Cambio y REM'!$A$24:$B$35, 2, FALSE))</f>
        <v>1230</v>
      </c>
      <c r="R123" s="107">
        <f t="shared" si="2"/>
        <v>117.0731707</v>
      </c>
    </row>
    <row r="124" hidden="1">
      <c r="A124" s="443" t="s">
        <v>236</v>
      </c>
      <c r="B124" s="43" t="str">
        <f>IF(A124="", "", IFERROR(VLOOKUP(A124, Clasificaciones!A:B, 2, FALSE), "DATO NO CARGADO"))
</f>
        <v>Otros Proveedores</v>
      </c>
      <c r="C124" s="51" t="s">
        <v>129</v>
      </c>
      <c r="D124" s="43">
        <v>2025.0</v>
      </c>
      <c r="E124" s="43" t="s">
        <v>1130</v>
      </c>
      <c r="F124" s="202"/>
      <c r="G124" s="202"/>
      <c r="H124" s="43"/>
      <c r="I124" s="43"/>
      <c r="J124" s="43"/>
      <c r="K124" s="443"/>
      <c r="L124" s="455"/>
      <c r="M124" s="443"/>
      <c r="N124" s="452"/>
      <c r="O124" s="457">
        <v>1763636.0</v>
      </c>
      <c r="P124" s="113"/>
      <c r="Q124" s="106">
        <f>IF(ISBLANK(O124), "", VLOOKUP(C124&amp;" "&amp;D124, 'Info Tipo de Cambio y REM'!$A$24:$B$35, 2, FALSE))</f>
        <v>1230</v>
      </c>
      <c r="R124" s="107">
        <f t="shared" si="2"/>
        <v>1433.850407</v>
      </c>
    </row>
    <row r="125" hidden="1">
      <c r="A125" s="443" t="s">
        <v>226</v>
      </c>
      <c r="B125" s="43" t="str">
        <f>IF(A125="", "", IFERROR(VLOOKUP(A125, Clasificaciones!A:B, 2, FALSE), "DATO NO CARGADO"))
</f>
        <v>Administración Finanzas</v>
      </c>
      <c r="C125" s="51" t="s">
        <v>129</v>
      </c>
      <c r="D125" s="43">
        <v>2025.0</v>
      </c>
      <c r="E125" s="43" t="s">
        <v>1130</v>
      </c>
      <c r="F125" s="202"/>
      <c r="G125" s="202"/>
      <c r="H125" s="43"/>
      <c r="I125" s="43"/>
      <c r="J125" s="43"/>
      <c r="K125" s="443"/>
      <c r="L125" s="455"/>
      <c r="M125" s="443"/>
      <c r="N125" s="452"/>
      <c r="O125" s="453">
        <v>537700.0</v>
      </c>
      <c r="P125" s="113"/>
      <c r="Q125" s="106">
        <f>IF(ISBLANK(O125), "", VLOOKUP(C125&amp;" "&amp;D125, 'Info Tipo de Cambio y REM'!$A$24:$B$35, 2, FALSE))</f>
        <v>1230</v>
      </c>
      <c r="R125" s="107">
        <f t="shared" si="2"/>
        <v>437.1544715</v>
      </c>
    </row>
    <row r="126" hidden="1">
      <c r="A126" s="443" t="s">
        <v>139</v>
      </c>
      <c r="B126" s="43" t="str">
        <f>IF(A126="", "", IFERROR(VLOOKUP(A126, Clasificaciones!A:B, 2, FALSE), "DATO NO CARGADO"))
</f>
        <v>People</v>
      </c>
      <c r="C126" s="51" t="s">
        <v>129</v>
      </c>
      <c r="D126" s="43">
        <v>2025.0</v>
      </c>
      <c r="E126" s="43" t="s">
        <v>1130</v>
      </c>
      <c r="F126" s="202"/>
      <c r="G126" s="202"/>
      <c r="H126" s="43"/>
      <c r="I126" s="43"/>
      <c r="J126" s="43"/>
      <c r="K126" s="443"/>
      <c r="L126" s="464"/>
      <c r="M126" s="443"/>
      <c r="N126" s="452"/>
      <c r="O126" s="453">
        <v>48399.0</v>
      </c>
      <c r="P126" s="113"/>
      <c r="Q126" s="106">
        <f>IF(ISBLANK(O126), "", VLOOKUP(C126&amp;" "&amp;D126, 'Info Tipo de Cambio y REM'!$A$24:$B$35, 2, FALSE))</f>
        <v>1230</v>
      </c>
      <c r="R126" s="107">
        <f t="shared" si="2"/>
        <v>39.34878049</v>
      </c>
    </row>
    <row r="127" hidden="1">
      <c r="A127" s="443" t="s">
        <v>235</v>
      </c>
      <c r="B127" s="43" t="str">
        <f>IF(A127="", "", IFERROR(VLOOKUP(A127, Clasificaciones!A:B, 2, FALSE), "DATO NO CARGADO"))
</f>
        <v>Otros Proveedores</v>
      </c>
      <c r="C127" s="51" t="s">
        <v>129</v>
      </c>
      <c r="D127" s="43">
        <v>2025.0</v>
      </c>
      <c r="E127" s="43" t="s">
        <v>1130</v>
      </c>
      <c r="F127" s="202"/>
      <c r="G127" s="202"/>
      <c r="H127" s="43"/>
      <c r="I127" s="43"/>
      <c r="J127" s="43"/>
      <c r="K127" s="443"/>
      <c r="L127" s="465"/>
      <c r="M127" s="443"/>
      <c r="N127" s="452"/>
      <c r="O127" s="453">
        <v>845000.0</v>
      </c>
      <c r="P127" s="113"/>
      <c r="Q127" s="106">
        <f>IF(ISBLANK(O127), "", VLOOKUP(C127&amp;" "&amp;D127, 'Info Tipo de Cambio y REM'!$A$24:$B$35, 2, FALSE))</f>
        <v>1230</v>
      </c>
      <c r="R127" s="107">
        <f t="shared" si="2"/>
        <v>686.9918699</v>
      </c>
    </row>
    <row r="128" hidden="1">
      <c r="A128" s="443" t="s">
        <v>164</v>
      </c>
      <c r="B128" s="43" t="str">
        <f>IF(A128="", "", IFERROR(VLOOKUP(A128, Clasificaciones!A:B, 2, FALSE), "DATO NO CARGADO"))
</f>
        <v>Estudio Contable</v>
      </c>
      <c r="C128" s="51" t="s">
        <v>129</v>
      </c>
      <c r="D128" s="43">
        <v>2025.0</v>
      </c>
      <c r="E128" s="43" t="s">
        <v>1130</v>
      </c>
      <c r="F128" s="202"/>
      <c r="G128" s="202"/>
      <c r="H128" s="43"/>
      <c r="I128" s="43"/>
      <c r="J128" s="43"/>
      <c r="K128" s="443"/>
      <c r="L128" s="465"/>
      <c r="M128" s="443"/>
      <c r="N128" s="452"/>
      <c r="O128" s="71">
        <v>45838.0</v>
      </c>
      <c r="P128" s="113"/>
      <c r="Q128" s="106">
        <f>IF(ISBLANK(O128), "", VLOOKUP(C128&amp;" "&amp;D128, 'Info Tipo de Cambio y REM'!$A$24:$B$35, 2, FALSE))</f>
        <v>1230</v>
      </c>
      <c r="R128" s="107">
        <f t="shared" si="2"/>
        <v>37.26666667</v>
      </c>
    </row>
    <row r="129" hidden="1">
      <c r="A129" s="443" t="s">
        <v>158</v>
      </c>
      <c r="B129" s="43" t="str">
        <f>IF(A129="", "", IFERROR(VLOOKUP(A129, Clasificaciones!A:B, 2, FALSE), "DATO NO CARGADO"))
</f>
        <v>Tarjeta</v>
      </c>
      <c r="C129" s="51" t="s">
        <v>129</v>
      </c>
      <c r="D129" s="43">
        <v>2025.0</v>
      </c>
      <c r="E129" s="43" t="s">
        <v>1130</v>
      </c>
      <c r="F129" s="202"/>
      <c r="G129" s="202"/>
      <c r="H129" s="43"/>
      <c r="I129" s="43"/>
      <c r="J129" s="43"/>
      <c r="K129" s="443"/>
      <c r="L129" s="465"/>
      <c r="M129" s="443"/>
      <c r="N129" s="452"/>
      <c r="O129" s="71">
        <v>86405.0</v>
      </c>
      <c r="P129" s="113"/>
      <c r="Q129" s="106">
        <f>IF(ISBLANK(O129), "", VLOOKUP(C129&amp;" "&amp;D129, 'Info Tipo de Cambio y REM'!$A$24:$B$35, 2, FALSE))</f>
        <v>1230</v>
      </c>
      <c r="R129" s="107">
        <f t="shared" si="2"/>
        <v>70.24796748</v>
      </c>
    </row>
    <row r="130" hidden="1">
      <c r="A130" s="443" t="s">
        <v>146</v>
      </c>
      <c r="B130" s="43" t="str">
        <f>IF(A130="", "", IFERROR(VLOOKUP(A130, Clasificaciones!A:B, 2, FALSE), "DATO NO CARGADO"))
</f>
        <v>Impuestos ARG</v>
      </c>
      <c r="C130" s="51" t="s">
        <v>129</v>
      </c>
      <c r="D130" s="43">
        <v>2025.0</v>
      </c>
      <c r="E130" s="43" t="s">
        <v>1130</v>
      </c>
      <c r="F130" s="202"/>
      <c r="G130" s="202"/>
      <c r="H130" s="43"/>
      <c r="I130" s="43"/>
      <c r="J130" s="43"/>
      <c r="K130" s="443"/>
      <c r="L130" s="465"/>
      <c r="M130" s="443"/>
      <c r="N130" s="452"/>
      <c r="O130" s="89">
        <v>306411.0</v>
      </c>
      <c r="P130" s="113"/>
      <c r="Q130" s="106">
        <f>IF(ISBLANK(O130), "", VLOOKUP(C130&amp;" "&amp;D130, 'Info Tipo de Cambio y REM'!$A$24:$B$35, 2, FALSE))</f>
        <v>1230</v>
      </c>
      <c r="R130" s="107">
        <f t="shared" si="2"/>
        <v>249.1146341</v>
      </c>
    </row>
    <row r="131" hidden="1">
      <c r="A131" s="443" t="s">
        <v>152</v>
      </c>
      <c r="B131" s="43" t="str">
        <f>IF(A131="", "", IFERROR(VLOOKUP(A131, Clasificaciones!A:B, 2, FALSE), "DATO NO CARGADO"))
</f>
        <v>Impuestos ARG</v>
      </c>
      <c r="C131" s="51" t="s">
        <v>129</v>
      </c>
      <c r="D131" s="43">
        <v>2025.0</v>
      </c>
      <c r="E131" s="43" t="s">
        <v>1130</v>
      </c>
      <c r="F131" s="202"/>
      <c r="G131" s="202"/>
      <c r="H131" s="43"/>
      <c r="I131" s="43"/>
      <c r="J131" s="43"/>
      <c r="K131" s="443"/>
      <c r="L131" s="465"/>
      <c r="M131" s="443"/>
      <c r="N131" s="452"/>
      <c r="O131" s="89">
        <v>1256673.0</v>
      </c>
      <c r="P131" s="113"/>
      <c r="Q131" s="106">
        <f>IF(ISBLANK(O131), "", VLOOKUP(C131&amp;" "&amp;D131, 'Info Tipo de Cambio y REM'!$A$24:$B$35, 2, FALSE))</f>
        <v>1230</v>
      </c>
      <c r="R131" s="107">
        <f t="shared" si="2"/>
        <v>1021.685366</v>
      </c>
    </row>
    <row r="132" hidden="1">
      <c r="A132" s="443" t="s">
        <v>222</v>
      </c>
      <c r="B132" s="43" t="str">
        <f>IF(A132="", "", IFERROR(VLOOKUP(A132, Clasificaciones!A:B, 2, FALSE), "DATO NO CARGADO"))
</f>
        <v>Oxean</v>
      </c>
      <c r="C132" s="51" t="s">
        <v>129</v>
      </c>
      <c r="D132" s="43">
        <v>2025.0</v>
      </c>
      <c r="E132" s="43" t="s">
        <v>1130</v>
      </c>
      <c r="F132" s="202"/>
      <c r="G132" s="202"/>
      <c r="H132" s="43"/>
      <c r="I132" s="43"/>
      <c r="J132" s="43"/>
      <c r="K132" s="443"/>
      <c r="L132" s="455"/>
      <c r="M132" s="443"/>
      <c r="N132" s="452"/>
      <c r="O132" s="71">
        <v>3418250.0</v>
      </c>
      <c r="P132" s="113"/>
      <c r="Q132" s="106">
        <f>IF(ISBLANK(O132), "", VLOOKUP(C132&amp;" "&amp;D132, 'Info Tipo de Cambio y REM'!$A$24:$B$35, 2, FALSE))</f>
        <v>1230</v>
      </c>
      <c r="R132" s="107">
        <f t="shared" si="2"/>
        <v>2779.065041</v>
      </c>
    </row>
    <row r="133" hidden="1">
      <c r="A133" s="443" t="s">
        <v>169</v>
      </c>
      <c r="B133" s="43" t="str">
        <f>IF(A133="", "", IFERROR(VLOOKUP(A133, Clasificaciones!A:B, 2, FALSE), "DATO NO CARGADO"))
</f>
        <v>Suscripciones/Herramientas</v>
      </c>
      <c r="C133" s="51" t="s">
        <v>129</v>
      </c>
      <c r="D133" s="43">
        <v>2025.0</v>
      </c>
      <c r="E133" s="43" t="s">
        <v>1130</v>
      </c>
      <c r="F133" s="202"/>
      <c r="G133" s="202"/>
      <c r="H133" s="43"/>
      <c r="I133" s="43"/>
      <c r="J133" s="43"/>
      <c r="K133" s="443"/>
      <c r="L133" s="465"/>
      <c r="M133" s="443"/>
      <c r="N133" s="466">
        <v>0.0</v>
      </c>
      <c r="O133" s="71"/>
      <c r="P133" s="89">
        <v>0.0</v>
      </c>
      <c r="Q133" s="106" t="str">
        <f>IF(ISBLANK(O133), "", VLOOKUP(C133&amp;" "&amp;D133, 'Info Tipo de Cambio y REM'!$A$24:$B$35, 2, FALSE))</f>
        <v/>
      </c>
      <c r="R133" s="107">
        <f t="shared" si="2"/>
        <v>0</v>
      </c>
    </row>
    <row r="134" hidden="1">
      <c r="A134" s="443" t="s">
        <v>187</v>
      </c>
      <c r="B134" s="43" t="str">
        <f>IF(A134="", "", IFERROR(VLOOKUP(A134, Clasificaciones!A:B, 2, FALSE), "DATO NO CARGADO"))
</f>
        <v>Gastos Varios</v>
      </c>
      <c r="C134" s="51" t="s">
        <v>129</v>
      </c>
      <c r="D134" s="43">
        <v>2025.0</v>
      </c>
      <c r="E134" s="43" t="s">
        <v>1124</v>
      </c>
      <c r="F134" s="202"/>
      <c r="G134" s="202"/>
      <c r="H134" s="43"/>
      <c r="I134" s="43"/>
      <c r="J134" s="43"/>
      <c r="K134" s="443"/>
      <c r="L134" s="465"/>
      <c r="M134" s="443"/>
      <c r="N134" s="452"/>
      <c r="O134" s="453"/>
      <c r="P134" s="71">
        <v>600.0</v>
      </c>
      <c r="Q134" s="106" t="str">
        <f>IF(ISBLANK(O134), "", VLOOKUP(C134&amp;" "&amp;D134, 'Info Tipo de Cambio y REM'!$A$24:$B$35, 2, FALSE))</f>
        <v/>
      </c>
      <c r="R134" s="107">
        <f t="shared" si="2"/>
        <v>600</v>
      </c>
    </row>
    <row r="135" hidden="1">
      <c r="A135" s="443" t="s">
        <v>191</v>
      </c>
      <c r="B135" s="43" t="str">
        <f>IF(A135="", "", IFERROR(VLOOKUP(A135, Clasificaciones!A:B, 2, FALSE), "DATO NO CARGADO"))
</f>
        <v>Tarjeta</v>
      </c>
      <c r="C135" s="51" t="s">
        <v>129</v>
      </c>
      <c r="D135" s="43">
        <v>2025.0</v>
      </c>
      <c r="E135" s="43" t="s">
        <v>1130</v>
      </c>
      <c r="F135" s="202"/>
      <c r="G135" s="202"/>
      <c r="H135" s="43"/>
      <c r="I135" s="43"/>
      <c r="J135" s="43"/>
      <c r="K135" s="443"/>
      <c r="L135" s="455"/>
      <c r="M135" s="443"/>
      <c r="N135" s="452"/>
      <c r="O135" s="453"/>
      <c r="P135" s="71">
        <v>12.0</v>
      </c>
      <c r="Q135" s="106" t="str">
        <f>IF(ISBLANK(O135), "", VLOOKUP(C135&amp;" "&amp;D135, 'Info Tipo de Cambio y REM'!$A$24:$B$35, 2, FALSE))</f>
        <v/>
      </c>
      <c r="R135" s="107">
        <f t="shared" si="2"/>
        <v>12</v>
      </c>
    </row>
    <row r="136" hidden="1">
      <c r="A136" s="443" t="s">
        <v>191</v>
      </c>
      <c r="B136" s="43" t="str">
        <f>IF(A136="", "", IFERROR(VLOOKUP(A136, Clasificaciones!A:B, 2, FALSE), "DATO NO CARGADO"))
</f>
        <v>Tarjeta</v>
      </c>
      <c r="C136" s="51" t="s">
        <v>129</v>
      </c>
      <c r="D136" s="43">
        <v>2025.0</v>
      </c>
      <c r="E136" s="43" t="s">
        <v>1130</v>
      </c>
      <c r="F136" s="202"/>
      <c r="G136" s="202"/>
      <c r="H136" s="43"/>
      <c r="I136" s="43"/>
      <c r="J136" s="43"/>
      <c r="K136" s="443"/>
      <c r="L136" s="455"/>
      <c r="M136" s="443"/>
      <c r="N136" s="452"/>
      <c r="O136" s="453"/>
      <c r="P136" s="71">
        <v>466.0</v>
      </c>
      <c r="Q136" s="106" t="str">
        <f>IF(ISBLANK(O136), "", VLOOKUP(C136&amp;" "&amp;D136, 'Info Tipo de Cambio y REM'!$A$24:$B$35, 2, FALSE))</f>
        <v/>
      </c>
      <c r="R136" s="107">
        <f t="shared" si="2"/>
        <v>466</v>
      </c>
    </row>
    <row r="137" hidden="1">
      <c r="A137" s="443" t="s">
        <v>191</v>
      </c>
      <c r="B137" s="43" t="str">
        <f>IF(A137="", "", IFERROR(VLOOKUP(A137, Clasificaciones!A:B, 2, FALSE), "DATO NO CARGADO"))
</f>
        <v>Tarjeta</v>
      </c>
      <c r="C137" s="51" t="s">
        <v>129</v>
      </c>
      <c r="D137" s="43">
        <v>2025.0</v>
      </c>
      <c r="E137" s="43" t="s">
        <v>1130</v>
      </c>
      <c r="F137" s="202"/>
      <c r="G137" s="202"/>
      <c r="H137" s="43"/>
      <c r="I137" s="43"/>
      <c r="J137" s="43"/>
      <c r="K137" s="443"/>
      <c r="L137" s="455"/>
      <c r="M137" s="443"/>
      <c r="N137" s="452"/>
      <c r="O137" s="453"/>
      <c r="P137" s="71">
        <v>304.0</v>
      </c>
      <c r="Q137" s="106" t="str">
        <f>IF(ISBLANK(O137), "", VLOOKUP(C137&amp;" "&amp;D137, 'Info Tipo de Cambio y REM'!$A$24:$B$35, 2, FALSE))</f>
        <v/>
      </c>
      <c r="R137" s="107">
        <f t="shared" si="2"/>
        <v>304</v>
      </c>
    </row>
    <row r="138" hidden="1">
      <c r="A138" s="443" t="s">
        <v>191</v>
      </c>
      <c r="B138" s="43" t="str">
        <f>IF(A138="", "", IFERROR(VLOOKUP(A138, Clasificaciones!A:B, 2, FALSE), "DATO NO CARGADO"))
</f>
        <v>Tarjeta</v>
      </c>
      <c r="C138" s="51" t="s">
        <v>129</v>
      </c>
      <c r="D138" s="43">
        <v>2025.0</v>
      </c>
      <c r="E138" s="43" t="s">
        <v>1130</v>
      </c>
      <c r="F138" s="202"/>
      <c r="G138" s="202"/>
      <c r="H138" s="43"/>
      <c r="I138" s="43"/>
      <c r="J138" s="43"/>
      <c r="K138" s="443"/>
      <c r="L138" s="455"/>
      <c r="M138" s="443"/>
      <c r="N138" s="452"/>
      <c r="O138" s="453"/>
      <c r="P138" s="370">
        <v>8.0</v>
      </c>
      <c r="Q138" s="106" t="str">
        <f>IF(ISBLANK(O138), "", VLOOKUP(C138&amp;" "&amp;D138, 'Info Tipo de Cambio y REM'!$A$24:$B$35, 2, FALSE))</f>
        <v/>
      </c>
      <c r="R138" s="107">
        <f t="shared" si="2"/>
        <v>8</v>
      </c>
    </row>
    <row r="139" hidden="1">
      <c r="A139" s="443" t="s">
        <v>191</v>
      </c>
      <c r="B139" s="43" t="str">
        <f>IF(A139="", "", IFERROR(VLOOKUP(A139, Clasificaciones!A:B, 2, FALSE), "DATO NO CARGADO"))
</f>
        <v>Tarjeta</v>
      </c>
      <c r="C139" s="51" t="s">
        <v>129</v>
      </c>
      <c r="D139" s="43">
        <v>2025.0</v>
      </c>
      <c r="E139" s="43" t="s">
        <v>1130</v>
      </c>
      <c r="F139" s="202"/>
      <c r="G139" s="202"/>
      <c r="H139" s="43"/>
      <c r="I139" s="43"/>
      <c r="J139" s="43"/>
      <c r="K139" s="443"/>
      <c r="L139" s="455"/>
      <c r="M139" s="443"/>
      <c r="N139" s="452"/>
      <c r="O139" s="453"/>
      <c r="P139" s="370">
        <v>14.19</v>
      </c>
      <c r="Q139" s="106" t="str">
        <f>IF(ISBLANK(O139), "", VLOOKUP(C139&amp;" "&amp;D139, 'Info Tipo de Cambio y REM'!$A$24:$B$35, 2, FALSE))</f>
        <v/>
      </c>
      <c r="R139" s="107">
        <f t="shared" si="2"/>
        <v>14.19</v>
      </c>
    </row>
    <row r="140" hidden="1">
      <c r="A140" s="443" t="s">
        <v>191</v>
      </c>
      <c r="B140" s="43" t="str">
        <f>IF(A140="", "", IFERROR(VLOOKUP(A140, Clasificaciones!A:B, 2, FALSE), "DATO NO CARGADO"))
</f>
        <v>Tarjeta</v>
      </c>
      <c r="C140" s="51" t="s">
        <v>129</v>
      </c>
      <c r="D140" s="43">
        <v>2025.0</v>
      </c>
      <c r="E140" s="43" t="s">
        <v>1130</v>
      </c>
      <c r="F140" s="202"/>
      <c r="G140" s="202"/>
      <c r="H140" s="43"/>
      <c r="I140" s="43"/>
      <c r="J140" s="43"/>
      <c r="K140" s="443"/>
      <c r="L140" s="455"/>
      <c r="M140" s="443"/>
      <c r="N140" s="452"/>
      <c r="O140" s="453"/>
      <c r="P140" s="370">
        <v>22.99</v>
      </c>
      <c r="Q140" s="106" t="str">
        <f>IF(ISBLANK(O140), "", VLOOKUP(C140&amp;" "&amp;D140, 'Info Tipo de Cambio y REM'!$A$24:$B$35, 2, FALSE))</f>
        <v/>
      </c>
      <c r="R140" s="107">
        <f t="shared" si="2"/>
        <v>22.99</v>
      </c>
    </row>
    <row r="141" hidden="1">
      <c r="A141" s="443" t="s">
        <v>191</v>
      </c>
      <c r="B141" s="43" t="str">
        <f>IF(A141="", "", IFERROR(VLOOKUP(A141, Clasificaciones!A:B, 2, FALSE), "DATO NO CARGADO"))
</f>
        <v>Tarjeta</v>
      </c>
      <c r="C141" s="51" t="s">
        <v>129</v>
      </c>
      <c r="D141" s="43">
        <v>2025.0</v>
      </c>
      <c r="E141" s="43" t="s">
        <v>1130</v>
      </c>
      <c r="F141" s="202"/>
      <c r="G141" s="202"/>
      <c r="H141" s="43"/>
      <c r="I141" s="43"/>
      <c r="J141" s="43"/>
      <c r="K141" s="443"/>
      <c r="L141" s="455"/>
      <c r="M141" s="443"/>
      <c r="N141" s="452"/>
      <c r="O141" s="453"/>
      <c r="P141" s="370">
        <v>25.0</v>
      </c>
      <c r="Q141" s="106" t="str">
        <f>IF(ISBLANK(O141), "", VLOOKUP(C141&amp;" "&amp;D141, 'Info Tipo de Cambio y REM'!$A$24:$B$35, 2, FALSE))</f>
        <v/>
      </c>
      <c r="R141" s="107">
        <f t="shared" si="2"/>
        <v>25</v>
      </c>
    </row>
    <row r="142" hidden="1">
      <c r="A142" s="443" t="s">
        <v>191</v>
      </c>
      <c r="B142" s="43" t="str">
        <f>IF(A142="", "", IFERROR(VLOOKUP(A142, Clasificaciones!A:B, 2, FALSE), "DATO NO CARGADO"))
</f>
        <v>Tarjeta</v>
      </c>
      <c r="C142" s="51" t="s">
        <v>129</v>
      </c>
      <c r="D142" s="43">
        <v>2025.0</v>
      </c>
      <c r="E142" s="43" t="s">
        <v>1130</v>
      </c>
      <c r="F142" s="202"/>
      <c r="G142" s="202"/>
      <c r="H142" s="43"/>
      <c r="I142" s="43"/>
      <c r="J142" s="43"/>
      <c r="K142" s="443"/>
      <c r="L142" s="455"/>
      <c r="M142" s="443"/>
      <c r="N142" s="452"/>
      <c r="O142" s="453"/>
      <c r="P142" s="113">
        <v>20.0</v>
      </c>
      <c r="Q142" s="106" t="str">
        <f>IF(ISBLANK(O142), "", VLOOKUP(C142&amp;" "&amp;D142, 'Info Tipo de Cambio y REM'!$A$24:$B$35, 2, FALSE))</f>
        <v/>
      </c>
      <c r="R142" s="107">
        <f t="shared" si="2"/>
        <v>20</v>
      </c>
    </row>
    <row r="143" hidden="1">
      <c r="A143" s="443" t="s">
        <v>191</v>
      </c>
      <c r="B143" s="43" t="str">
        <f>IF(A143="", "", IFERROR(VLOOKUP(A143, Clasificaciones!A:B, 2, FALSE), "DATO NO CARGADO"))
</f>
        <v>Tarjeta</v>
      </c>
      <c r="C143" s="51" t="s">
        <v>129</v>
      </c>
      <c r="D143" s="43">
        <v>2025.0</v>
      </c>
      <c r="E143" s="43" t="s">
        <v>1130</v>
      </c>
      <c r="F143" s="202"/>
      <c r="G143" s="202"/>
      <c r="H143" s="43"/>
      <c r="I143" s="43"/>
      <c r="J143" s="43"/>
      <c r="K143" s="443"/>
      <c r="L143" s="455"/>
      <c r="M143" s="443"/>
      <c r="N143" s="452"/>
      <c r="O143" s="453"/>
      <c r="P143" s="113">
        <v>6.49</v>
      </c>
      <c r="Q143" s="106" t="str">
        <f>IF(ISBLANK(O143), "", VLOOKUP(C143&amp;" "&amp;D143, 'Info Tipo de Cambio y REM'!$A$24:$B$35, 2, FALSE))</f>
        <v/>
      </c>
      <c r="R143" s="107">
        <f t="shared" si="2"/>
        <v>6.49</v>
      </c>
    </row>
    <row r="144" hidden="1">
      <c r="A144" s="443" t="s">
        <v>197</v>
      </c>
      <c r="B144" s="43" t="str">
        <f>IF(A144="", "", IFERROR(VLOOKUP(A144, Clasificaciones!A:B, 2, FALSE), "DATO NO CARGADO"))
</f>
        <v>Equipo</v>
      </c>
      <c r="C144" s="467" t="s">
        <v>136</v>
      </c>
      <c r="D144" s="454">
        <v>2025.0</v>
      </c>
      <c r="E144" s="319" t="s">
        <v>1124</v>
      </c>
      <c r="F144" s="202"/>
      <c r="G144" s="202" t="s">
        <v>1151</v>
      </c>
      <c r="H144" s="319" t="s">
        <v>1126</v>
      </c>
      <c r="I144" s="43" t="s">
        <v>1127</v>
      </c>
      <c r="J144" s="319" t="s">
        <v>180</v>
      </c>
      <c r="K144" s="443">
        <v>45.0</v>
      </c>
      <c r="L144" s="455">
        <f>38.67+44</f>
        <v>82.67</v>
      </c>
      <c r="M144" s="443">
        <f>82.7+0.001</f>
        <v>82.701</v>
      </c>
      <c r="N144" s="452">
        <f t="array" ref="N144">IFERROR(
  INDEX(
    'Valor Hora Real y Estimada'!$A$4:$Z$78,
    MATCH(TRIM(CLEAN(A144)), 'Valor Hora Real y Estimada'!$A$4:$A$78, 0),
    MATCH(
      TEXT(C144,"dd mmm")&amp;" "&amp;D144,
      'Valor Hora Real y Estimada'!$A$3:$Z$3,
      0
    ) + 1
  ),
  0
)</f>
        <v>10283</v>
      </c>
      <c r="O144" s="453">
        <f t="shared" ref="O144:O175" si="9">N144*M144</f>
        <v>850414.383</v>
      </c>
      <c r="P144" s="113"/>
      <c r="Q144" s="106">
        <f>IF(ISBLANK(O144), "", VLOOKUP(C144&amp;" "&amp;D144, 'Info Tipo de Cambio y REM'!$A$24:$B$35, 2, FALSE))</f>
        <v>1325</v>
      </c>
      <c r="R144" s="107">
        <f t="shared" si="2"/>
        <v>641.8221758</v>
      </c>
    </row>
    <row r="145" hidden="1">
      <c r="A145" s="443" t="s">
        <v>203</v>
      </c>
      <c r="B145" s="43" t="str">
        <f>IF(A145="", "", IFERROR(VLOOKUP(A145, Clasificaciones!A:B, 2, FALSE), "DATO NO CARGADO"))
</f>
        <v>Equipo</v>
      </c>
      <c r="C145" s="467" t="s">
        <v>136</v>
      </c>
      <c r="D145" s="454">
        <v>2025.0</v>
      </c>
      <c r="E145" s="319" t="s">
        <v>1124</v>
      </c>
      <c r="F145" s="202"/>
      <c r="G145" s="202" t="s">
        <v>1151</v>
      </c>
      <c r="H145" s="319" t="s">
        <v>1126</v>
      </c>
      <c r="I145" s="43" t="s">
        <v>1127</v>
      </c>
      <c r="J145" s="319" t="s">
        <v>180</v>
      </c>
      <c r="K145" s="443">
        <v>40.0</v>
      </c>
      <c r="L145" s="455">
        <f>30+24.67</f>
        <v>54.67</v>
      </c>
      <c r="M145" s="443">
        <f>54.7-0.136</f>
        <v>54.564</v>
      </c>
      <c r="N145" s="452">
        <f t="array" ref="N145">IFERROR(
  INDEX(
    'Valor Hora Real y Estimada'!$A$4:$Z$78,
    MATCH(TRIM(CLEAN(A145)), 'Valor Hora Real y Estimada'!$A$4:$A$78, 0),
    MATCH(
      TEXT(C145,"dd mmm")&amp;" "&amp;D145,
      'Valor Hora Real y Estimada'!$A$3:$Z$3,
      0
    ) + 1
  ),
  0
)</f>
        <v>9115</v>
      </c>
      <c r="O145" s="453">
        <f t="shared" si="9"/>
        <v>497350.86</v>
      </c>
      <c r="P145" s="113"/>
      <c r="Q145" s="106">
        <f>IF(ISBLANK(O145), "", VLOOKUP(C145&amp;" "&amp;D145, 'Info Tipo de Cambio y REM'!$A$24:$B$35, 2, FALSE))</f>
        <v>1325</v>
      </c>
      <c r="R145" s="107">
        <f t="shared" si="2"/>
        <v>375.3591396</v>
      </c>
    </row>
    <row r="146">
      <c r="A146" s="443" t="s">
        <v>120</v>
      </c>
      <c r="B146" s="43" t="str">
        <f>IF(A146="", "", IFERROR(VLOOKUP(A146, Clasificaciones!A:B, 2, FALSE), "DATO NO CARGADO"))
</f>
        <v>Equipo</v>
      </c>
      <c r="C146" s="467" t="s">
        <v>136</v>
      </c>
      <c r="D146" s="454">
        <v>2025.0</v>
      </c>
      <c r="E146" s="319" t="s">
        <v>1124</v>
      </c>
      <c r="F146" s="202"/>
      <c r="G146" s="202" t="s">
        <v>1152</v>
      </c>
      <c r="H146" s="43" t="s">
        <v>1126</v>
      </c>
      <c r="I146" s="43" t="s">
        <v>1129</v>
      </c>
      <c r="J146" s="43" t="s">
        <v>183</v>
      </c>
      <c r="K146" s="443">
        <v>20.0</v>
      </c>
      <c r="L146" s="443">
        <f>16.7+3.47</f>
        <v>20.17</v>
      </c>
      <c r="M146" s="443">
        <v>20.2</v>
      </c>
      <c r="N146" s="452">
        <f t="array" ref="N146">IFERROR(
  INDEX(
    'Valor Hora Real y Estimada'!$A$4:$Z$78,
    MATCH(TRIM(CLEAN(A146)), 'Valor Hora Real y Estimada'!$A$4:$A$78, 0),
    MATCH(
      TEXT(C146,"dd mmm")&amp;" "&amp;D146,
      'Valor Hora Real y Estimada'!$A$3:$Z$3,
      0
    ) + 1
  ),
  0
)</f>
        <v>20833.33333</v>
      </c>
      <c r="O146" s="453">
        <f t="shared" si="9"/>
        <v>420833.3333</v>
      </c>
      <c r="P146" s="113"/>
      <c r="Q146" s="106">
        <f>IF(ISBLANK(O146), "", VLOOKUP(C146&amp;" "&amp;D146, 'Info Tipo de Cambio y REM'!$A$24:$B$35, 2, FALSE))</f>
        <v>1325</v>
      </c>
      <c r="R146" s="107">
        <f t="shared" si="2"/>
        <v>317.6100629</v>
      </c>
    </row>
    <row r="147">
      <c r="A147" s="443" t="s">
        <v>200</v>
      </c>
      <c r="B147" s="43" t="str">
        <f>IF(A147="", "", IFERROR(VLOOKUP(A147, Clasificaciones!A:B, 2, FALSE), "DATO NO CARGADO"))
</f>
        <v>Equipo</v>
      </c>
      <c r="C147" s="467" t="s">
        <v>136</v>
      </c>
      <c r="D147" s="454">
        <v>2025.0</v>
      </c>
      <c r="E147" s="319" t="s">
        <v>1124</v>
      </c>
      <c r="F147" s="202"/>
      <c r="G147" s="202" t="s">
        <v>1152</v>
      </c>
      <c r="H147" s="43" t="s">
        <v>1126</v>
      </c>
      <c r="I147" s="43" t="s">
        <v>1129</v>
      </c>
      <c r="J147" s="43" t="s">
        <v>183</v>
      </c>
      <c r="K147" s="443">
        <v>60.0</v>
      </c>
      <c r="L147" s="455">
        <f>41.5+11.67</f>
        <v>53.17</v>
      </c>
      <c r="M147" s="443">
        <v>53.2</v>
      </c>
      <c r="N147" s="452">
        <f t="array" ref="N147">IFERROR(
  INDEX(
    'Valor Hora Real y Estimada'!$A$4:$Z$78,
    MATCH(TRIM(CLEAN(A147)), 'Valor Hora Real y Estimada'!$A$4:$A$78, 0),
    MATCH(
      TEXT(C147,"dd mmm")&amp;" "&amp;D147,
      'Valor Hora Real y Estimada'!$A$3:$Z$3,
      0
    ) + 1
  ),
  0
)</f>
        <v>16856</v>
      </c>
      <c r="O147" s="453">
        <f t="shared" si="9"/>
        <v>896739.2</v>
      </c>
      <c r="P147" s="113"/>
      <c r="Q147" s="106">
        <f>IF(ISBLANK(O147), "", VLOOKUP(C147&amp;" "&amp;D147, 'Info Tipo de Cambio y REM'!$A$24:$B$35, 2, FALSE))</f>
        <v>1325</v>
      </c>
      <c r="R147" s="107">
        <f t="shared" si="2"/>
        <v>676.7843019</v>
      </c>
    </row>
    <row r="148">
      <c r="A148" s="443" t="s">
        <v>218</v>
      </c>
      <c r="B148" s="43" t="str">
        <f>IF(A148="", "", IFERROR(VLOOKUP(A148, Clasificaciones!A:B, 2, FALSE), "DATO NO CARGADO"))
</f>
        <v>Equipo</v>
      </c>
      <c r="C148" s="467" t="s">
        <v>136</v>
      </c>
      <c r="D148" s="454">
        <v>2025.0</v>
      </c>
      <c r="E148" s="319" t="s">
        <v>1124</v>
      </c>
      <c r="F148" s="202"/>
      <c r="G148" s="202" t="s">
        <v>1152</v>
      </c>
      <c r="H148" s="43" t="s">
        <v>1126</v>
      </c>
      <c r="I148" s="43" t="s">
        <v>1129</v>
      </c>
      <c r="J148" s="43" t="s">
        <v>183</v>
      </c>
      <c r="K148" s="443">
        <v>32.0</v>
      </c>
      <c r="L148" s="451">
        <v>71.58</v>
      </c>
      <c r="M148" s="443">
        <v>72.0</v>
      </c>
      <c r="N148" s="452">
        <f t="array" ref="N148">IFERROR(
  INDEX(
    'Valor Hora Real y Estimada'!$A$4:$Z$78,
    MATCH(TRIM(CLEAN(A148)), 'Valor Hora Real y Estimada'!$A$4:$A$78, 0),
    MATCH(
      TEXT(C148,"dd mmm")&amp;" "&amp;D148,
      'Valor Hora Real y Estimada'!$A$3:$Z$3,
      0
    ) + 1
  ),
  0
)</f>
        <v>19000</v>
      </c>
      <c r="O148" s="453">
        <f t="shared" si="9"/>
        <v>1368000</v>
      </c>
      <c r="P148" s="113"/>
      <c r="Q148" s="106">
        <f>IF(ISBLANK(O148), "", VLOOKUP(C148&amp;" "&amp;D148, 'Info Tipo de Cambio y REM'!$A$24:$B$35, 2, FALSE))</f>
        <v>1325</v>
      </c>
      <c r="R148" s="107">
        <f t="shared" si="2"/>
        <v>1032.45283</v>
      </c>
    </row>
    <row r="149">
      <c r="A149" s="443" t="s">
        <v>197</v>
      </c>
      <c r="B149" s="43" t="str">
        <f>IF(A149="", "", IFERROR(VLOOKUP(A149, Clasificaciones!A:B, 2, FALSE), "DATO NO CARGADO"))
</f>
        <v>Equipo</v>
      </c>
      <c r="C149" s="467" t="s">
        <v>136</v>
      </c>
      <c r="D149" s="454">
        <v>2025.0</v>
      </c>
      <c r="E149" s="319" t="s">
        <v>1124</v>
      </c>
      <c r="F149" s="202"/>
      <c r="G149" s="202" t="s">
        <v>1152</v>
      </c>
      <c r="H149" s="43" t="s">
        <v>1126</v>
      </c>
      <c r="I149" s="43" t="s">
        <v>1129</v>
      </c>
      <c r="J149" s="43" t="s">
        <v>183</v>
      </c>
      <c r="K149" s="443">
        <v>50.0</v>
      </c>
      <c r="L149" s="451">
        <v>57.58</v>
      </c>
      <c r="M149" s="443">
        <v>42.3</v>
      </c>
      <c r="N149" s="452">
        <f t="array" ref="N149">IFERROR(
  INDEX(
    'Valor Hora Real y Estimada'!$A$4:$Z$78,
    MATCH(TRIM(CLEAN(A149)), 'Valor Hora Real y Estimada'!$A$4:$A$78, 0),
    MATCH(
      TEXT(C149,"dd mmm")&amp;" "&amp;D149,
      'Valor Hora Real y Estimada'!$A$3:$Z$3,
      0
    ) + 1
  ),
  0
)</f>
        <v>10283</v>
      </c>
      <c r="O149" s="453">
        <f t="shared" si="9"/>
        <v>434970.9</v>
      </c>
      <c r="P149" s="113"/>
      <c r="Q149" s="106">
        <f>IF(ISBLANK(O149), "", VLOOKUP(C149&amp;" "&amp;D149, 'Info Tipo de Cambio y REM'!$A$24:$B$35, 2, FALSE))</f>
        <v>1325</v>
      </c>
      <c r="R149" s="107">
        <f t="shared" si="2"/>
        <v>328.2799245</v>
      </c>
    </row>
    <row r="150">
      <c r="A150" s="443" t="s">
        <v>221</v>
      </c>
      <c r="B150" s="43" t="str">
        <f>IF(A150="", "", IFERROR(VLOOKUP(A150, Clasificaciones!A:B, 2, FALSE), "DATO NO CARGADO"))
</f>
        <v>Equipo</v>
      </c>
      <c r="C150" s="467" t="s">
        <v>136</v>
      </c>
      <c r="D150" s="454">
        <v>2025.0</v>
      </c>
      <c r="E150" s="319" t="s">
        <v>1124</v>
      </c>
      <c r="F150" s="202"/>
      <c r="G150" s="202" t="s">
        <v>1152</v>
      </c>
      <c r="H150" s="43" t="s">
        <v>1126</v>
      </c>
      <c r="I150" s="43" t="s">
        <v>1129</v>
      </c>
      <c r="J150" s="43" t="s">
        <v>183</v>
      </c>
      <c r="K150" s="443">
        <v>60.0</v>
      </c>
      <c r="L150" s="451">
        <v>95.67</v>
      </c>
      <c r="M150" s="443">
        <v>100.0</v>
      </c>
      <c r="N150" s="452">
        <f t="array" ref="N150">IFERROR(
  INDEX(
    'Valor Hora Real y Estimada'!$A$4:$Z$78,
    MATCH(TRIM(CLEAN(A150)), 'Valor Hora Real y Estimada'!$A$4:$A$78, 0),
    MATCH(
      TEXT(C150,"dd mmm")&amp;" "&amp;D150,
      'Valor Hora Real y Estimada'!$A$3:$Z$3,
      0
    ) + 1
  ),
  0
)</f>
        <v>10121</v>
      </c>
      <c r="O150" s="453">
        <f t="shared" si="9"/>
        <v>1012100</v>
      </c>
      <c r="P150" s="113"/>
      <c r="Q150" s="106">
        <f>IF(ISBLANK(O150), "", VLOOKUP(C150&amp;" "&amp;D150, 'Info Tipo de Cambio y REM'!$A$24:$B$35, 2, FALSE))</f>
        <v>1325</v>
      </c>
      <c r="R150" s="107">
        <f t="shared" si="2"/>
        <v>763.8490566</v>
      </c>
    </row>
    <row r="151">
      <c r="A151" s="443" t="s">
        <v>205</v>
      </c>
      <c r="B151" s="43" t="str">
        <f>IF(A151="", "", IFERROR(VLOOKUP(A151, Clasificaciones!A:B, 2, FALSE), "DATO NO CARGADO"))
</f>
        <v>Equipo</v>
      </c>
      <c r="C151" s="467" t="s">
        <v>136</v>
      </c>
      <c r="D151" s="454">
        <v>2025.0</v>
      </c>
      <c r="E151" s="319" t="s">
        <v>1124</v>
      </c>
      <c r="F151" s="202"/>
      <c r="G151" s="202" t="s">
        <v>1152</v>
      </c>
      <c r="H151" s="43" t="s">
        <v>1126</v>
      </c>
      <c r="I151" s="43" t="s">
        <v>1129</v>
      </c>
      <c r="J151" s="43" t="s">
        <v>183</v>
      </c>
      <c r="K151" s="443">
        <v>100.0</v>
      </c>
      <c r="L151" s="455">
        <f>86.93+13.6</f>
        <v>100.53</v>
      </c>
      <c r="M151" s="443">
        <f>100.6+0.026</f>
        <v>100.626</v>
      </c>
      <c r="N151" s="452">
        <f t="array" ref="N151">IFERROR(
  INDEX(
    'Valor Hora Real y Estimada'!$A$4:$Z$78,
    MATCH(TRIM(CLEAN(A151)), 'Valor Hora Real y Estimada'!$A$4:$A$78, 0),
    MATCH(
      TEXT(C151,"dd mmm")&amp;" "&amp;D151,
      'Valor Hora Real y Estimada'!$A$3:$Z$3,
      0
    ) + 1
  ),
  0
)</f>
        <v>8973</v>
      </c>
      <c r="O151" s="453">
        <f t="shared" si="9"/>
        <v>902917.098</v>
      </c>
      <c r="P151" s="113"/>
      <c r="Q151" s="106">
        <f>IF(ISBLANK(O151), "", VLOOKUP(C151&amp;" "&amp;D151, 'Info Tipo de Cambio y REM'!$A$24:$B$35, 2, FALSE))</f>
        <v>1325</v>
      </c>
      <c r="R151" s="107">
        <f t="shared" si="2"/>
        <v>681.4468664</v>
      </c>
    </row>
    <row r="152">
      <c r="A152" s="443" t="s">
        <v>212</v>
      </c>
      <c r="B152" s="43" t="str">
        <f>IF(A152="", "", IFERROR(VLOOKUP(A152, Clasificaciones!A:B, 2, FALSE), "DATO NO CARGADO"))
</f>
        <v>Equipo</v>
      </c>
      <c r="C152" s="467" t="s">
        <v>136</v>
      </c>
      <c r="D152" s="454">
        <v>2025.0</v>
      </c>
      <c r="E152" s="319" t="s">
        <v>1124</v>
      </c>
      <c r="F152" s="202"/>
      <c r="G152" s="202" t="s">
        <v>1152</v>
      </c>
      <c r="H152" s="43" t="s">
        <v>1126</v>
      </c>
      <c r="I152" s="43" t="s">
        <v>1129</v>
      </c>
      <c r="J152" s="43" t="s">
        <v>183</v>
      </c>
      <c r="K152" s="443">
        <v>10.0</v>
      </c>
      <c r="L152" s="451">
        <v>3.5</v>
      </c>
      <c r="M152" s="443">
        <v>3.5</v>
      </c>
      <c r="N152" s="452">
        <f t="array" ref="N152">IFERROR(
  INDEX(
    'Valor Hora Real y Estimada'!$A$4:$Z$78,
    MATCH(TRIM(CLEAN(A152)), 'Valor Hora Real y Estimada'!$A$4:$A$78, 0),
    MATCH(
      TEXT(C152,"dd mmm")&amp;" "&amp;D152,
      'Valor Hora Real y Estimada'!$A$3:$Z$3,
      0
    ) + 1
  ),
  0
)</f>
        <v>8500</v>
      </c>
      <c r="O152" s="453">
        <f t="shared" si="9"/>
        <v>29750</v>
      </c>
      <c r="P152" s="113"/>
      <c r="Q152" s="106">
        <f>IF(ISBLANK(O152), "", VLOOKUP(C152&amp;" "&amp;D152, 'Info Tipo de Cambio y REM'!$A$24:$B$35, 2, FALSE))</f>
        <v>1325</v>
      </c>
      <c r="R152" s="107">
        <f t="shared" si="2"/>
        <v>22.45283019</v>
      </c>
    </row>
    <row r="153">
      <c r="A153" s="443" t="s">
        <v>203</v>
      </c>
      <c r="B153" s="43" t="str">
        <f>IF(A153="", "", IFERROR(VLOOKUP(A153, Clasificaciones!A:B, 2, FALSE), "DATO NO CARGADO"))
</f>
        <v>Equipo</v>
      </c>
      <c r="C153" s="467" t="s">
        <v>136</v>
      </c>
      <c r="D153" s="454">
        <v>2025.0</v>
      </c>
      <c r="E153" s="319" t="s">
        <v>1124</v>
      </c>
      <c r="F153" s="202"/>
      <c r="G153" s="202" t="s">
        <v>1152</v>
      </c>
      <c r="H153" s="43" t="s">
        <v>1126</v>
      </c>
      <c r="I153" s="43" t="s">
        <v>1129</v>
      </c>
      <c r="J153" s="43" t="s">
        <v>183</v>
      </c>
      <c r="K153" s="443">
        <v>30.0</v>
      </c>
      <c r="L153" s="455">
        <f>22.35+3.5</f>
        <v>25.85</v>
      </c>
      <c r="M153" s="443">
        <v>25.9</v>
      </c>
      <c r="N153" s="452">
        <f t="array" ref="N153">IFERROR(
  INDEX(
    'Valor Hora Real y Estimada'!$A$4:$Z$78,
    MATCH(TRIM(CLEAN(A153)), 'Valor Hora Real y Estimada'!$A$4:$A$78, 0),
    MATCH(
      TEXT(C153,"dd mmm")&amp;" "&amp;D153,
      'Valor Hora Real y Estimada'!$A$3:$Z$3,
      0
    ) + 1
  ),
  0
)</f>
        <v>9115</v>
      </c>
      <c r="O153" s="453">
        <f t="shared" si="9"/>
        <v>236078.5</v>
      </c>
      <c r="P153" s="113"/>
      <c r="Q153" s="106">
        <f>IF(ISBLANK(O153), "", VLOOKUP(C153&amp;" "&amp;D153, 'Info Tipo de Cambio y REM'!$A$24:$B$35, 2, FALSE))</f>
        <v>1325</v>
      </c>
      <c r="R153" s="107">
        <f t="shared" si="2"/>
        <v>178.1724528</v>
      </c>
    </row>
    <row r="154">
      <c r="A154" s="443" t="s">
        <v>194</v>
      </c>
      <c r="B154" s="43" t="str">
        <f>IF(A154="", "", IFERROR(VLOOKUP(A154, Clasificaciones!A:B, 2, FALSE), "DATO NO CARGADO"))
</f>
        <v>Equipo</v>
      </c>
      <c r="C154" s="467" t="s">
        <v>136</v>
      </c>
      <c r="D154" s="454">
        <v>2025.0</v>
      </c>
      <c r="E154" s="319" t="s">
        <v>1124</v>
      </c>
      <c r="F154" s="202"/>
      <c r="G154" s="202" t="s">
        <v>1152</v>
      </c>
      <c r="H154" s="43" t="s">
        <v>1126</v>
      </c>
      <c r="I154" s="43" t="s">
        <v>1129</v>
      </c>
      <c r="J154" s="43" t="s">
        <v>183</v>
      </c>
      <c r="K154" s="443">
        <v>150.0</v>
      </c>
      <c r="L154" s="455">
        <f>119.17+6.32</f>
        <v>125.49</v>
      </c>
      <c r="M154" s="443">
        <f>125.5-0.005</f>
        <v>125.495</v>
      </c>
      <c r="N154" s="452">
        <f t="array" ref="N154">IFERROR(
  INDEX(
    'Valor Hora Real y Estimada'!$A$4:$Z$78,
    MATCH(TRIM(CLEAN(A154)), 'Valor Hora Real y Estimada'!$A$4:$A$78, 0),
    MATCH(
      TEXT(C154,"dd mmm")&amp;" "&amp;D154,
      'Valor Hora Real y Estimada'!$A$3:$Z$3,
      0
    ) + 1
  ),
  0
)</f>
        <v>11141</v>
      </c>
      <c r="O154" s="453">
        <f t="shared" si="9"/>
        <v>1398139.795</v>
      </c>
      <c r="P154" s="113"/>
      <c r="Q154" s="106">
        <f>IF(ISBLANK(O154), "", VLOOKUP(C154&amp;" "&amp;D154, 'Info Tipo de Cambio y REM'!$A$24:$B$35, 2, FALSE))</f>
        <v>1325</v>
      </c>
      <c r="R154" s="107">
        <f t="shared" si="2"/>
        <v>1055.199845</v>
      </c>
    </row>
    <row r="155">
      <c r="A155" s="443" t="s">
        <v>216</v>
      </c>
      <c r="B155" s="43" t="str">
        <f>IF(A155="", "", IFERROR(VLOOKUP(A155, Clasificaciones!A:B, 2, FALSE), "DATO NO CARGADO"))
</f>
        <v>Equipo</v>
      </c>
      <c r="C155" s="467" t="s">
        <v>136</v>
      </c>
      <c r="D155" s="454">
        <v>2025.0</v>
      </c>
      <c r="E155" s="319" t="s">
        <v>1124</v>
      </c>
      <c r="F155" s="202"/>
      <c r="G155" s="202" t="s">
        <v>1152</v>
      </c>
      <c r="H155" s="43" t="s">
        <v>1126</v>
      </c>
      <c r="I155" s="43" t="s">
        <v>1129</v>
      </c>
      <c r="J155" s="43" t="s">
        <v>183</v>
      </c>
      <c r="K155" s="443">
        <v>32.0</v>
      </c>
      <c r="L155" s="451">
        <v>37.7</v>
      </c>
      <c r="M155" s="443">
        <f>37.7+0.071</f>
        <v>37.771</v>
      </c>
      <c r="N155" s="452">
        <f t="array" ref="N155">IFERROR(
  INDEX(
    'Valor Hora Real y Estimada'!$A$4:$Z$78,
    MATCH(TRIM(CLEAN(A155)), 'Valor Hora Real y Estimada'!$A$4:$A$78, 0),
    MATCH(
      TEXT(C155,"dd mmm")&amp;" "&amp;D155,
      'Valor Hora Real y Estimada'!$A$3:$Z$3,
      0
    ) + 1
  ),
  0
)</f>
        <v>13139</v>
      </c>
      <c r="O155" s="453">
        <f t="shared" si="9"/>
        <v>496273.169</v>
      </c>
      <c r="P155" s="113"/>
      <c r="Q155" s="106">
        <f>IF(ISBLANK(O155), "", VLOOKUP(C155&amp;" "&amp;D155, 'Info Tipo de Cambio y REM'!$A$24:$B$35, 2, FALSE))</f>
        <v>1325</v>
      </c>
      <c r="R155" s="107">
        <f t="shared" si="2"/>
        <v>374.5457879</v>
      </c>
    </row>
    <row r="156">
      <c r="A156" s="443" t="s">
        <v>228</v>
      </c>
      <c r="B156" s="43" t="str">
        <f>IF(A156="", "", IFERROR(VLOOKUP(A156, Clasificaciones!A:B, 2, FALSE), "DATO NO CARGADO"))
</f>
        <v>Equipo</v>
      </c>
      <c r="C156" s="467" t="s">
        <v>136</v>
      </c>
      <c r="D156" s="454">
        <v>2025.0</v>
      </c>
      <c r="E156" s="319" t="s">
        <v>1124</v>
      </c>
      <c r="F156" s="202"/>
      <c r="G156" s="202" t="s">
        <v>1152</v>
      </c>
      <c r="H156" s="43" t="s">
        <v>1126</v>
      </c>
      <c r="I156" s="43" t="s">
        <v>1129</v>
      </c>
      <c r="J156" s="43" t="s">
        <v>183</v>
      </c>
      <c r="K156" s="443">
        <v>32.0</v>
      </c>
      <c r="L156" s="451">
        <v>22.87</v>
      </c>
      <c r="M156" s="443">
        <v>23.0</v>
      </c>
      <c r="N156" s="452">
        <f t="array" ref="N156">IFERROR(
  INDEX(
    'Valor Hora Real y Estimada'!$A$4:$Z$78,
    MATCH(TRIM(CLEAN(A156)), 'Valor Hora Real y Estimada'!$A$4:$A$78, 0),
    MATCH(
      TEXT(C156,"dd mmm")&amp;" "&amp;D156,
      'Valor Hora Real y Estimada'!$A$3:$Z$3,
      0
    ) + 1
  ),
  0
)</f>
        <v>18000</v>
      </c>
      <c r="O156" s="453">
        <f t="shared" si="9"/>
        <v>414000</v>
      </c>
      <c r="P156" s="113"/>
      <c r="Q156" s="106">
        <f>IF(ISBLANK(O156), "", VLOOKUP(C156&amp;" "&amp;D156, 'Info Tipo de Cambio y REM'!$A$24:$B$35, 2, FALSE))</f>
        <v>1325</v>
      </c>
      <c r="R156" s="107">
        <f t="shared" si="2"/>
        <v>312.4528302</v>
      </c>
    </row>
    <row r="157">
      <c r="A157" s="443" t="s">
        <v>214</v>
      </c>
      <c r="B157" s="43" t="str">
        <f>IF(A157="", "", IFERROR(VLOOKUP(A157, Clasificaciones!A:B, 2, FALSE), "DATO NO CARGADO"))
</f>
        <v>Equipo</v>
      </c>
      <c r="C157" s="467" t="s">
        <v>136</v>
      </c>
      <c r="D157" s="454">
        <v>2025.0</v>
      </c>
      <c r="E157" s="319" t="s">
        <v>1124</v>
      </c>
      <c r="F157" s="202"/>
      <c r="G157" s="202" t="s">
        <v>1152</v>
      </c>
      <c r="H157" s="43" t="s">
        <v>1126</v>
      </c>
      <c r="I157" s="43" t="s">
        <v>1129</v>
      </c>
      <c r="J157" s="43" t="s">
        <v>183</v>
      </c>
      <c r="K157" s="443">
        <v>140.0</v>
      </c>
      <c r="L157" s="451">
        <v>128.62</v>
      </c>
      <c r="M157" s="443">
        <v>128.6</v>
      </c>
      <c r="N157" s="452">
        <f t="array" ref="N157">IFERROR(
  INDEX(
    'Valor Hora Real y Estimada'!$A$4:$Z$78,
    MATCH(TRIM(CLEAN(A157)), 'Valor Hora Real y Estimada'!$A$4:$A$78, 0),
    MATCH(
      TEXT(C157,"dd mmm")&amp;" "&amp;D157,
      'Valor Hora Real y Estimada'!$A$3:$Z$3,
      0
    ) + 1
  ),
  0
)</f>
        <v>9375</v>
      </c>
      <c r="O157" s="453">
        <f t="shared" si="9"/>
        <v>1205625</v>
      </c>
      <c r="P157" s="113"/>
      <c r="Q157" s="106">
        <f>IF(ISBLANK(O157), "", VLOOKUP(C157&amp;" "&amp;D157, 'Info Tipo de Cambio y REM'!$A$24:$B$35, 2, FALSE))</f>
        <v>1325</v>
      </c>
      <c r="R157" s="107">
        <f t="shared" si="2"/>
        <v>909.9056604</v>
      </c>
    </row>
    <row r="158">
      <c r="A158" s="443" t="s">
        <v>207</v>
      </c>
      <c r="B158" s="43" t="str">
        <f>IF(A158="", "", IFERROR(VLOOKUP(A158, Clasificaciones!A:B, 2, FALSE), "DATO NO CARGADO"))
</f>
        <v>Equipo</v>
      </c>
      <c r="C158" s="467" t="s">
        <v>136</v>
      </c>
      <c r="D158" s="454">
        <v>2025.0</v>
      </c>
      <c r="E158" s="319" t="s">
        <v>1124</v>
      </c>
      <c r="F158" s="202"/>
      <c r="G158" s="202" t="s">
        <v>1152</v>
      </c>
      <c r="H158" s="43" t="s">
        <v>1126</v>
      </c>
      <c r="I158" s="43" t="s">
        <v>1129</v>
      </c>
      <c r="J158" s="43" t="s">
        <v>183</v>
      </c>
      <c r="K158" s="443">
        <v>80.0</v>
      </c>
      <c r="L158" s="451">
        <v>80.73</v>
      </c>
      <c r="M158" s="443">
        <v>82.0</v>
      </c>
      <c r="N158" s="452">
        <f t="array" ref="N158">IFERROR(
  INDEX(
    'Valor Hora Real y Estimada'!$A$4:$Z$78,
    MATCH(TRIM(CLEAN(A158)), 'Valor Hora Real y Estimada'!$A$4:$A$78, 0),
    MATCH(
      TEXT(C158,"dd mmm")&amp;" "&amp;D158,
      'Valor Hora Real y Estimada'!$A$3:$Z$3,
      0
    ) + 1
  ),
  0
)</f>
        <v>10000</v>
      </c>
      <c r="O158" s="453">
        <f t="shared" si="9"/>
        <v>820000</v>
      </c>
      <c r="P158" s="113"/>
      <c r="Q158" s="106">
        <f>IF(ISBLANK(O158), "", VLOOKUP(C158&amp;" "&amp;D158, 'Info Tipo de Cambio y REM'!$A$24:$B$35, 2, FALSE))</f>
        <v>1325</v>
      </c>
      <c r="R158" s="107">
        <f t="shared" si="2"/>
        <v>618.8679245</v>
      </c>
    </row>
    <row r="159">
      <c r="A159" s="443" t="s">
        <v>87</v>
      </c>
      <c r="B159" s="43" t="str">
        <f>IF(A159="", "", IFERROR(VLOOKUP(A159, Clasificaciones!A:B, 2, FALSE), "DATO NO CARGADO"))
</f>
        <v>Equipo</v>
      </c>
      <c r="C159" s="467" t="s">
        <v>136</v>
      </c>
      <c r="D159" s="454">
        <v>2025.0</v>
      </c>
      <c r="E159" s="319" t="s">
        <v>1124</v>
      </c>
      <c r="F159" s="202"/>
      <c r="G159" s="202" t="s">
        <v>1152</v>
      </c>
      <c r="H159" s="43" t="s">
        <v>1126</v>
      </c>
      <c r="I159" s="43" t="s">
        <v>1129</v>
      </c>
      <c r="J159" s="43" t="s">
        <v>183</v>
      </c>
      <c r="K159" s="443">
        <v>0.0</v>
      </c>
      <c r="L159" s="451">
        <v>3.33</v>
      </c>
      <c r="M159" s="443">
        <v>3.3</v>
      </c>
      <c r="N159" s="452">
        <f t="array" ref="N159">IFERROR(
  INDEX(
    'Valor Hora Real y Estimada'!$A$4:$Z$78,
    MATCH(TRIM(CLEAN(A159)), 'Valor Hora Real y Estimada'!$A$4:$A$78, 0),
    MATCH(
      TEXT(C159,"dd mmm")&amp;" "&amp;D159,
      'Valor Hora Real y Estimada'!$A$3:$Z$3,
      0
    ) + 1
  ),
  0
)</f>
        <v>10000</v>
      </c>
      <c r="O159" s="453">
        <f t="shared" si="9"/>
        <v>33000</v>
      </c>
      <c r="P159" s="113"/>
      <c r="Q159" s="106">
        <f>IF(ISBLANK(O159), "", VLOOKUP(C159&amp;" "&amp;D159, 'Info Tipo de Cambio y REM'!$A$24:$B$35, 2, FALSE))</f>
        <v>1325</v>
      </c>
      <c r="R159" s="107">
        <f t="shared" si="2"/>
        <v>24.90566038</v>
      </c>
    </row>
    <row r="160" hidden="1">
      <c r="A160" s="443" t="s">
        <v>120</v>
      </c>
      <c r="B160" s="43" t="str">
        <f>IF(A160="", "", IFERROR(VLOOKUP(A160, Clasificaciones!A:B, 2, FALSE), "DATO NO CARGADO"))
</f>
        <v>Equipo</v>
      </c>
      <c r="C160" s="467" t="s">
        <v>136</v>
      </c>
      <c r="D160" s="454">
        <v>2025.0</v>
      </c>
      <c r="E160" s="321" t="s">
        <v>1130</v>
      </c>
      <c r="F160" s="202"/>
      <c r="G160" s="202" t="s">
        <v>1153</v>
      </c>
      <c r="H160" s="43" t="s">
        <v>208</v>
      </c>
      <c r="I160" s="43" t="s">
        <v>1136</v>
      </c>
      <c r="J160" s="43" t="s">
        <v>208</v>
      </c>
      <c r="K160" s="443"/>
      <c r="L160" s="443">
        <f>18.83+10.53+3.08</f>
        <v>32.44</v>
      </c>
      <c r="M160" s="443">
        <v>36.14</v>
      </c>
      <c r="N160" s="452">
        <f t="array" ref="N160">IFERROR(
  INDEX(
    'Valor Hora Real y Estimada'!$A$4:$Z$78,
    MATCH(TRIM(CLEAN(A160)), 'Valor Hora Real y Estimada'!$A$4:$A$78, 0),
    MATCH(
      TEXT(C160,"dd mmm")&amp;" "&amp;D160,
      'Valor Hora Real y Estimada'!$A$3:$Z$3,
      0
    ) + 1
  ),
  0
)</f>
        <v>20833.33333</v>
      </c>
      <c r="O160" s="453">
        <f t="shared" si="9"/>
        <v>752916.6667</v>
      </c>
      <c r="P160" s="113"/>
      <c r="Q160" s="106">
        <f>IF(ISBLANK(O160), "", VLOOKUP(C160&amp;" "&amp;D160, 'Info Tipo de Cambio y REM'!$A$24:$B$35, 2, FALSE))</f>
        <v>1325</v>
      </c>
      <c r="R160" s="107">
        <f t="shared" si="2"/>
        <v>568.2389937</v>
      </c>
    </row>
    <row r="161" hidden="1">
      <c r="A161" s="443" t="s">
        <v>228</v>
      </c>
      <c r="B161" s="43" t="str">
        <f>IF(A161="", "", IFERROR(VLOOKUP(A161, Clasificaciones!A:B, 2, FALSE), "DATO NO CARGADO"))
</f>
        <v>Equipo</v>
      </c>
      <c r="C161" s="467" t="s">
        <v>136</v>
      </c>
      <c r="D161" s="454">
        <v>2025.0</v>
      </c>
      <c r="E161" s="321" t="s">
        <v>1130</v>
      </c>
      <c r="F161" s="202"/>
      <c r="G161" s="202" t="s">
        <v>1153</v>
      </c>
      <c r="H161" s="43" t="s">
        <v>208</v>
      </c>
      <c r="I161" s="43" t="s">
        <v>1136</v>
      </c>
      <c r="J161" s="43" t="s">
        <v>208</v>
      </c>
      <c r="K161" s="443"/>
      <c r="L161" s="451">
        <v>2.5</v>
      </c>
      <c r="M161" s="443">
        <v>2.0</v>
      </c>
      <c r="N161" s="452">
        <f t="array" ref="N161">IFERROR(
  INDEX(
    'Valor Hora Real y Estimada'!$A$4:$Z$78,
    MATCH(TRIM(CLEAN(A161)), 'Valor Hora Real y Estimada'!$A$4:$A$78, 0),
    MATCH(
      TEXT(C161,"dd mmm")&amp;" "&amp;D161,
      'Valor Hora Real y Estimada'!$A$3:$Z$3,
      0
    ) + 1
  ),
  0
)</f>
        <v>18000</v>
      </c>
      <c r="O161" s="453">
        <f t="shared" si="9"/>
        <v>36000</v>
      </c>
      <c r="P161" s="113"/>
      <c r="Q161" s="106">
        <f>IF(ISBLANK(O161), "", VLOOKUP(C161&amp;" "&amp;D161, 'Info Tipo de Cambio y REM'!$A$24:$B$35, 2, FALSE))</f>
        <v>1325</v>
      </c>
      <c r="R161" s="107">
        <f t="shared" si="2"/>
        <v>27.16981132</v>
      </c>
    </row>
    <row r="162" hidden="1">
      <c r="A162" s="443" t="s">
        <v>200</v>
      </c>
      <c r="B162" s="43" t="str">
        <f>IF(A162="", "", IFERROR(VLOOKUP(A162, Clasificaciones!A:B, 2, FALSE), "DATO NO CARGADO"))
</f>
        <v>Equipo</v>
      </c>
      <c r="C162" s="467" t="s">
        <v>136</v>
      </c>
      <c r="D162" s="454">
        <v>2025.0</v>
      </c>
      <c r="E162" s="321" t="s">
        <v>1130</v>
      </c>
      <c r="F162" s="202"/>
      <c r="G162" s="202" t="s">
        <v>1153</v>
      </c>
      <c r="H162" s="43" t="s">
        <v>208</v>
      </c>
      <c r="I162" s="43" t="s">
        <v>1136</v>
      </c>
      <c r="J162" s="43" t="s">
        <v>208</v>
      </c>
      <c r="K162" s="443"/>
      <c r="L162" s="455">
        <f>2.5+67.17</f>
        <v>69.67</v>
      </c>
      <c r="M162" s="443">
        <f>66.83-0.03</f>
        <v>66.8</v>
      </c>
      <c r="N162" s="452">
        <f t="array" ref="N162">IFERROR(
  INDEX(
    'Valor Hora Real y Estimada'!$A$4:$Z$78,
    MATCH(TRIM(CLEAN(A162)), 'Valor Hora Real y Estimada'!$A$4:$A$78, 0),
    MATCH(
      TEXT(C162,"dd mmm")&amp;" "&amp;D162,
      'Valor Hora Real y Estimada'!$A$3:$Z$3,
      0
    ) + 1
  ),
  0
)</f>
        <v>16856</v>
      </c>
      <c r="O162" s="453">
        <f t="shared" si="9"/>
        <v>1125980.8</v>
      </c>
      <c r="P162" s="113"/>
      <c r="Q162" s="106">
        <f>IF(ISBLANK(O162), "", VLOOKUP(C162&amp;" "&amp;D162, 'Info Tipo de Cambio y REM'!$A$24:$B$35, 2, FALSE))</f>
        <v>1325</v>
      </c>
      <c r="R162" s="107">
        <f t="shared" si="2"/>
        <v>849.7968302</v>
      </c>
    </row>
    <row r="163" hidden="1">
      <c r="A163" s="443" t="s">
        <v>221</v>
      </c>
      <c r="B163" s="43" t="str">
        <f>IF(A163="", "", IFERROR(VLOOKUP(A163, Clasificaciones!A:B, 2, FALSE), "DATO NO CARGADO"))
</f>
        <v>Equipo</v>
      </c>
      <c r="C163" s="467" t="s">
        <v>136</v>
      </c>
      <c r="D163" s="454">
        <v>2025.0</v>
      </c>
      <c r="E163" s="321" t="s">
        <v>1130</v>
      </c>
      <c r="F163" s="202"/>
      <c r="G163" s="202" t="s">
        <v>1153</v>
      </c>
      <c r="H163" s="43" t="s">
        <v>208</v>
      </c>
      <c r="I163" s="43" t="s">
        <v>1136</v>
      </c>
      <c r="J163" s="43" t="s">
        <v>208</v>
      </c>
      <c r="K163" s="443"/>
      <c r="L163" s="451">
        <v>0.0</v>
      </c>
      <c r="M163" s="443">
        <f>44.7+0.002</f>
        <v>44.702</v>
      </c>
      <c r="N163" s="452">
        <f t="array" ref="N163">IFERROR(
  INDEX(
    'Valor Hora Real y Estimada'!$A$4:$Z$78,
    MATCH(TRIM(CLEAN(A163)), 'Valor Hora Real y Estimada'!$A$4:$A$78, 0),
    MATCH(
      TEXT(C163,"dd mmm")&amp;" "&amp;D163,
      'Valor Hora Real y Estimada'!$A$3:$Z$3,
      0
    ) + 1
  ),
  0
)</f>
        <v>10121</v>
      </c>
      <c r="O163" s="453">
        <f t="shared" si="9"/>
        <v>452428.942</v>
      </c>
      <c r="P163" s="113"/>
      <c r="Q163" s="106">
        <f>IF(ISBLANK(O163), "", VLOOKUP(C163&amp;" "&amp;D163, 'Info Tipo de Cambio y REM'!$A$24:$B$35, 2, FALSE))</f>
        <v>1325</v>
      </c>
      <c r="R163" s="107">
        <f t="shared" si="2"/>
        <v>341.4558053</v>
      </c>
    </row>
    <row r="164" hidden="1">
      <c r="A164" s="443" t="s">
        <v>203</v>
      </c>
      <c r="B164" s="43" t="str">
        <f>IF(A164="", "", IFERROR(VLOOKUP(A164, Clasificaciones!A:B, 2, FALSE), "DATO NO CARGADO"))
</f>
        <v>Equipo</v>
      </c>
      <c r="C164" s="467" t="s">
        <v>136</v>
      </c>
      <c r="D164" s="454">
        <v>2025.0</v>
      </c>
      <c r="E164" s="321" t="s">
        <v>1130</v>
      </c>
      <c r="F164" s="202"/>
      <c r="G164" s="202" t="s">
        <v>1153</v>
      </c>
      <c r="H164" s="43" t="s">
        <v>208</v>
      </c>
      <c r="I164" s="43" t="s">
        <v>1136</v>
      </c>
      <c r="J164" s="43" t="s">
        <v>208</v>
      </c>
      <c r="K164" s="443"/>
      <c r="L164" s="451">
        <v>9.0</v>
      </c>
      <c r="M164" s="443">
        <v>9.0</v>
      </c>
      <c r="N164" s="452">
        <f t="array" ref="N164">IFERROR(
  INDEX(
    'Valor Hora Real y Estimada'!$A$4:$Z$78,
    MATCH(TRIM(CLEAN(A164)), 'Valor Hora Real y Estimada'!$A$4:$A$78, 0),
    MATCH(
      TEXT(C164,"dd mmm")&amp;" "&amp;D164,
      'Valor Hora Real y Estimada'!$A$3:$Z$3,
      0
    ) + 1
  ),
  0
)</f>
        <v>9115</v>
      </c>
      <c r="O164" s="453">
        <f t="shared" si="9"/>
        <v>82035</v>
      </c>
      <c r="P164" s="113"/>
      <c r="Q164" s="106">
        <f>IF(ISBLANK(O164), "", VLOOKUP(C164&amp;" "&amp;D164, 'Info Tipo de Cambio y REM'!$A$24:$B$35, 2, FALSE))</f>
        <v>1325</v>
      </c>
      <c r="R164" s="107">
        <f t="shared" si="2"/>
        <v>61.91320755</v>
      </c>
    </row>
    <row r="165" hidden="1">
      <c r="A165" s="443" t="s">
        <v>194</v>
      </c>
      <c r="B165" s="43" t="str">
        <f>IF(A165="", "", IFERROR(VLOOKUP(A165, Clasificaciones!A:B, 2, FALSE), "DATO NO CARGADO"))
</f>
        <v>Equipo</v>
      </c>
      <c r="C165" s="467" t="s">
        <v>136</v>
      </c>
      <c r="D165" s="454">
        <v>2025.0</v>
      </c>
      <c r="E165" s="321" t="s">
        <v>1130</v>
      </c>
      <c r="F165" s="202"/>
      <c r="G165" s="202" t="s">
        <v>1153</v>
      </c>
      <c r="H165" s="43" t="s">
        <v>208</v>
      </c>
      <c r="I165" s="43" t="s">
        <v>1136</v>
      </c>
      <c r="J165" s="43" t="s">
        <v>208</v>
      </c>
      <c r="K165" s="443"/>
      <c r="L165" s="451">
        <v>1.5</v>
      </c>
      <c r="M165" s="443">
        <v>34.5</v>
      </c>
      <c r="N165" s="452">
        <f t="array" ref="N165">IFERROR(
  INDEX(
    'Valor Hora Real y Estimada'!$A$4:$Z$78,
    MATCH(TRIM(CLEAN(A165)), 'Valor Hora Real y Estimada'!$A$4:$A$78, 0),
    MATCH(
      TEXT(C165,"dd mmm")&amp;" "&amp;D165,
      'Valor Hora Real y Estimada'!$A$3:$Z$3,
      0
    ) + 1
  ),
  0
)</f>
        <v>11141</v>
      </c>
      <c r="O165" s="453">
        <f t="shared" si="9"/>
        <v>384364.5</v>
      </c>
      <c r="P165" s="113"/>
      <c r="Q165" s="106">
        <f>IF(ISBLANK(O165), "", VLOOKUP(C165&amp;" "&amp;D165, 'Info Tipo de Cambio y REM'!$A$24:$B$35, 2, FALSE))</f>
        <v>1325</v>
      </c>
      <c r="R165" s="107">
        <f t="shared" si="2"/>
        <v>290.0864151</v>
      </c>
    </row>
    <row r="166" hidden="1">
      <c r="A166" s="443" t="s">
        <v>205</v>
      </c>
      <c r="B166" s="43" t="str">
        <f>IF(A166="", "", IFERROR(VLOOKUP(A166, Clasificaciones!A:B, 2, FALSE), "DATO NO CARGADO"))
</f>
        <v>Equipo</v>
      </c>
      <c r="C166" s="467" t="s">
        <v>136</v>
      </c>
      <c r="D166" s="454">
        <v>2025.0</v>
      </c>
      <c r="E166" s="321" t="s">
        <v>1130</v>
      </c>
      <c r="F166" s="202"/>
      <c r="G166" s="202" t="s">
        <v>1153</v>
      </c>
      <c r="H166" s="43" t="s">
        <v>208</v>
      </c>
      <c r="I166" s="43" t="s">
        <v>1136</v>
      </c>
      <c r="J166" s="43" t="s">
        <v>208</v>
      </c>
      <c r="K166" s="443"/>
      <c r="L166" s="451">
        <v>1.25</v>
      </c>
      <c r="M166" s="443">
        <v>1.0</v>
      </c>
      <c r="N166" s="452">
        <f t="array" ref="N166">IFERROR(
  INDEX(
    'Valor Hora Real y Estimada'!$A$4:$Z$78,
    MATCH(TRIM(CLEAN(A166)), 'Valor Hora Real y Estimada'!$A$4:$A$78, 0),
    MATCH(
      TEXT(C166,"dd mmm")&amp;" "&amp;D166,
      'Valor Hora Real y Estimada'!$A$3:$Z$3,
      0
    ) + 1
  ),
  0
)</f>
        <v>8973</v>
      </c>
      <c r="O166" s="453">
        <f t="shared" si="9"/>
        <v>8973</v>
      </c>
      <c r="P166" s="113"/>
      <c r="Q166" s="106">
        <f>IF(ISBLANK(O166), "", VLOOKUP(C166&amp;" "&amp;D166, 'Info Tipo de Cambio y REM'!$A$24:$B$35, 2, FALSE))</f>
        <v>1325</v>
      </c>
      <c r="R166" s="107">
        <f t="shared" si="2"/>
        <v>6.772075472</v>
      </c>
    </row>
    <row r="167" hidden="1">
      <c r="A167" s="443" t="s">
        <v>214</v>
      </c>
      <c r="B167" s="43" t="str">
        <f>IF(A167="", "", IFERROR(VLOOKUP(A167, Clasificaciones!A:B, 2, FALSE), "DATO NO CARGADO"))
</f>
        <v>Equipo</v>
      </c>
      <c r="C167" s="467" t="s">
        <v>136</v>
      </c>
      <c r="D167" s="454">
        <v>2025.0</v>
      </c>
      <c r="E167" s="321" t="s">
        <v>1130</v>
      </c>
      <c r="F167" s="202"/>
      <c r="G167" s="202" t="s">
        <v>1153</v>
      </c>
      <c r="H167" s="43" t="s">
        <v>208</v>
      </c>
      <c r="I167" s="43" t="s">
        <v>1136</v>
      </c>
      <c r="J167" s="43" t="s">
        <v>208</v>
      </c>
      <c r="K167" s="443"/>
      <c r="L167" s="451">
        <v>0.67</v>
      </c>
      <c r="M167" s="443">
        <v>31.4</v>
      </c>
      <c r="N167" s="452">
        <f t="array" ref="N167">IFERROR(
  INDEX(
    'Valor Hora Real y Estimada'!$A$4:$Z$78,
    MATCH(TRIM(CLEAN(A167)), 'Valor Hora Real y Estimada'!$A$4:$A$78, 0),
    MATCH(
      TEXT(C167,"dd mmm")&amp;" "&amp;D167,
      'Valor Hora Real y Estimada'!$A$3:$Z$3,
      0
    ) + 1
  ),
  0
)</f>
        <v>9375</v>
      </c>
      <c r="O167" s="453">
        <f t="shared" si="9"/>
        <v>294375</v>
      </c>
      <c r="P167" s="113"/>
      <c r="Q167" s="106">
        <f>IF(ISBLANK(O167), "", VLOOKUP(C167&amp;" "&amp;D167, 'Info Tipo de Cambio y REM'!$A$24:$B$35, 2, FALSE))</f>
        <v>1325</v>
      </c>
      <c r="R167" s="107">
        <f t="shared" si="2"/>
        <v>222.1698113</v>
      </c>
    </row>
    <row r="168" hidden="1">
      <c r="A168" s="443" t="s">
        <v>207</v>
      </c>
      <c r="B168" s="43" t="str">
        <f>IF(A168="", "", IFERROR(VLOOKUP(A168, Clasificaciones!A:B, 2, FALSE), "DATO NO CARGADO"))
</f>
        <v>Equipo</v>
      </c>
      <c r="C168" s="467" t="s">
        <v>136</v>
      </c>
      <c r="D168" s="454">
        <v>2025.0</v>
      </c>
      <c r="E168" s="321" t="s">
        <v>1130</v>
      </c>
      <c r="F168" s="202"/>
      <c r="G168" s="202" t="s">
        <v>1153</v>
      </c>
      <c r="H168" s="43" t="s">
        <v>208</v>
      </c>
      <c r="I168" s="43" t="s">
        <v>1136</v>
      </c>
      <c r="J168" s="43" t="s">
        <v>208</v>
      </c>
      <c r="K168" s="443"/>
      <c r="L168" s="451">
        <v>1.0</v>
      </c>
      <c r="M168" s="443">
        <v>1.0</v>
      </c>
      <c r="N168" s="452">
        <f t="array" ref="N168">IFERROR(
  INDEX(
    'Valor Hora Real y Estimada'!$A$4:$Z$78,
    MATCH(TRIM(CLEAN(A168)), 'Valor Hora Real y Estimada'!$A$4:$A$78, 0),
    MATCH(
      TEXT(C168,"dd mmm")&amp;" "&amp;D168,
      'Valor Hora Real y Estimada'!$A$3:$Z$3,
      0
    ) + 1
  ),
  0
)</f>
        <v>10000</v>
      </c>
      <c r="O168" s="453">
        <f t="shared" si="9"/>
        <v>10000</v>
      </c>
      <c r="P168" s="113"/>
      <c r="Q168" s="106">
        <f>IF(ISBLANK(O168), "", VLOOKUP(C168&amp;" "&amp;D168, 'Info Tipo de Cambio y REM'!$A$24:$B$35, 2, FALSE))</f>
        <v>1325</v>
      </c>
      <c r="R168" s="107">
        <f t="shared" si="2"/>
        <v>7.547169811</v>
      </c>
    </row>
    <row r="169" hidden="1">
      <c r="A169" s="443" t="s">
        <v>87</v>
      </c>
      <c r="B169" s="43" t="str">
        <f>IF(A169="", "", IFERROR(VLOOKUP(A169, Clasificaciones!A:B, 2, FALSE), "DATO NO CARGADO"))
</f>
        <v>Equipo</v>
      </c>
      <c r="C169" s="467" t="s">
        <v>136</v>
      </c>
      <c r="D169" s="454">
        <v>2025.0</v>
      </c>
      <c r="E169" s="321" t="s">
        <v>1130</v>
      </c>
      <c r="F169" s="202"/>
      <c r="G169" s="202" t="s">
        <v>1153</v>
      </c>
      <c r="H169" s="43" t="s">
        <v>208</v>
      </c>
      <c r="I169" s="43" t="s">
        <v>1136</v>
      </c>
      <c r="J169" s="43" t="s">
        <v>208</v>
      </c>
      <c r="K169" s="443"/>
      <c r="L169" s="451">
        <v>36.03</v>
      </c>
      <c r="M169" s="443">
        <f>36+0.03</f>
        <v>36.03</v>
      </c>
      <c r="N169" s="452">
        <f t="array" ref="N169">IFERROR(
  INDEX(
    'Valor Hora Real y Estimada'!$A$4:$Z$78,
    MATCH(TRIM(CLEAN(A169)), 'Valor Hora Real y Estimada'!$A$4:$A$78, 0),
    MATCH(
      TEXT(C169,"dd mmm")&amp;" "&amp;D169,
      'Valor Hora Real y Estimada'!$A$3:$Z$3,
      0
    ) + 1
  ),
  0
)</f>
        <v>10000</v>
      </c>
      <c r="O169" s="453">
        <f t="shared" si="9"/>
        <v>360300</v>
      </c>
      <c r="P169" s="113"/>
      <c r="Q169" s="106">
        <f>IF(ISBLANK(O169), "", VLOOKUP(C169&amp;" "&amp;D169, 'Info Tipo de Cambio y REM'!$A$24:$B$35, 2, FALSE))</f>
        <v>1325</v>
      </c>
      <c r="R169" s="107">
        <f t="shared" si="2"/>
        <v>271.9245283</v>
      </c>
    </row>
    <row r="170" hidden="1">
      <c r="A170" s="443" t="s">
        <v>210</v>
      </c>
      <c r="B170" s="43" t="str">
        <f>IF(A170="", "", IFERROR(VLOOKUP(A170, Clasificaciones!A:B, 2, FALSE), "DATO NO CARGADO"))
</f>
        <v>Equipo</v>
      </c>
      <c r="C170" s="467" t="s">
        <v>136</v>
      </c>
      <c r="D170" s="454">
        <v>2025.0</v>
      </c>
      <c r="E170" s="321" t="s">
        <v>1130</v>
      </c>
      <c r="F170" s="202"/>
      <c r="G170" s="202" t="s">
        <v>1153</v>
      </c>
      <c r="H170" s="43" t="s">
        <v>208</v>
      </c>
      <c r="I170" s="43" t="s">
        <v>1136</v>
      </c>
      <c r="J170" s="43" t="s">
        <v>208</v>
      </c>
      <c r="K170" s="443"/>
      <c r="L170" s="455">
        <f>12.5+4</f>
        <v>16.5</v>
      </c>
      <c r="M170" s="443">
        <v>16.5</v>
      </c>
      <c r="N170" s="452">
        <f t="array" ref="N170">IFERROR(
  INDEX(
    'Valor Hora Real y Estimada'!$A$4:$Z$78,
    MATCH(TRIM(CLEAN(A170)), 'Valor Hora Real y Estimada'!$A$4:$A$78, 0),
    MATCH(
      TEXT(C170,"dd mmm")&amp;" "&amp;D170,
      'Valor Hora Real y Estimada'!$A$3:$Z$3,
      0
    ) + 1
  ),
  0
)</f>
        <v>14717</v>
      </c>
      <c r="O170" s="453">
        <f t="shared" si="9"/>
        <v>242830.5</v>
      </c>
      <c r="P170" s="113"/>
      <c r="Q170" s="106">
        <f>IF(ISBLANK(O170), "", VLOOKUP(C170&amp;" "&amp;D170, 'Info Tipo de Cambio y REM'!$A$24:$B$35, 2, FALSE))</f>
        <v>1325</v>
      </c>
      <c r="R170" s="107">
        <f t="shared" si="2"/>
        <v>183.2683019</v>
      </c>
    </row>
    <row r="171" hidden="1">
      <c r="A171" s="443" t="s">
        <v>228</v>
      </c>
      <c r="B171" s="43" t="str">
        <f>IF(A171="", "", IFERROR(VLOOKUP(A171, Clasificaciones!A:B, 2, FALSE), "DATO NO CARGADO"))
</f>
        <v>Equipo</v>
      </c>
      <c r="C171" s="467" t="s">
        <v>136</v>
      </c>
      <c r="D171" s="454">
        <v>2025.0</v>
      </c>
      <c r="E171" s="321" t="s">
        <v>1124</v>
      </c>
      <c r="F171" s="202"/>
      <c r="G171" s="202" t="s">
        <v>1137</v>
      </c>
      <c r="H171" s="43" t="s">
        <v>1133</v>
      </c>
      <c r="I171" s="43" t="s">
        <v>1138</v>
      </c>
      <c r="J171" s="43" t="s">
        <v>206</v>
      </c>
      <c r="K171" s="443">
        <v>18.0</v>
      </c>
      <c r="L171" s="451">
        <v>21.85</v>
      </c>
      <c r="M171" s="443">
        <f>27.27-0.2</f>
        <v>27.07</v>
      </c>
      <c r="N171" s="452">
        <f t="array" ref="N171">IFERROR(
  INDEX(
    'Valor Hora Real y Estimada'!$A$4:$Z$78,
    MATCH(TRIM(CLEAN(A171)), 'Valor Hora Real y Estimada'!$A$4:$A$78, 0),
    MATCH(
      TEXT(C171,"dd mmm")&amp;" "&amp;D171,
      'Valor Hora Real y Estimada'!$A$3:$Z$3,
      0
    ) + 1
  ),
  0
)</f>
        <v>18000</v>
      </c>
      <c r="O171" s="453">
        <f t="shared" si="9"/>
        <v>487260</v>
      </c>
      <c r="P171" s="113"/>
      <c r="Q171" s="106">
        <f>IF(ISBLANK(O171), "", VLOOKUP(C171&amp;" "&amp;D171, 'Info Tipo de Cambio y REM'!$A$24:$B$35, 2, FALSE))</f>
        <v>1325</v>
      </c>
      <c r="R171" s="107">
        <f t="shared" si="2"/>
        <v>367.7433962</v>
      </c>
    </row>
    <row r="172" hidden="1">
      <c r="A172" s="443" t="s">
        <v>212</v>
      </c>
      <c r="B172" s="43" t="str">
        <f>IF(A172="", "", IFERROR(VLOOKUP(A172, Clasificaciones!A:B, 2, FALSE), "DATO NO CARGADO"))
</f>
        <v>Equipo</v>
      </c>
      <c r="C172" s="467" t="s">
        <v>136</v>
      </c>
      <c r="D172" s="454">
        <v>2025.0</v>
      </c>
      <c r="E172" s="321" t="s">
        <v>1124</v>
      </c>
      <c r="F172" s="202"/>
      <c r="G172" s="202" t="s">
        <v>1137</v>
      </c>
      <c r="H172" s="43" t="s">
        <v>1133</v>
      </c>
      <c r="I172" s="43" t="s">
        <v>1138</v>
      </c>
      <c r="J172" s="43" t="s">
        <v>206</v>
      </c>
      <c r="K172" s="443">
        <v>30.0</v>
      </c>
      <c r="L172" s="451">
        <v>4.98</v>
      </c>
      <c r="M172" s="443">
        <v>5.4</v>
      </c>
      <c r="N172" s="452">
        <f t="array" ref="N172">IFERROR(
  INDEX(
    'Valor Hora Real y Estimada'!$A$4:$Z$78,
    MATCH(TRIM(CLEAN(A172)), 'Valor Hora Real y Estimada'!$A$4:$A$78, 0),
    MATCH(
      TEXT(C172,"dd mmm")&amp;" "&amp;D172,
      'Valor Hora Real y Estimada'!$A$3:$Z$3,
      0
    ) + 1
  ),
  0
)</f>
        <v>8500</v>
      </c>
      <c r="O172" s="453">
        <f t="shared" si="9"/>
        <v>45900</v>
      </c>
      <c r="P172" s="113"/>
      <c r="Q172" s="106">
        <f>IF(ISBLANK(O172), "", VLOOKUP(C172&amp;" "&amp;D172, 'Info Tipo de Cambio y REM'!$A$24:$B$35, 2, FALSE))</f>
        <v>1325</v>
      </c>
      <c r="R172" s="107">
        <f t="shared" si="2"/>
        <v>34.64150943</v>
      </c>
    </row>
    <row r="173" hidden="1">
      <c r="A173" s="443" t="s">
        <v>228</v>
      </c>
      <c r="B173" s="43" t="str">
        <f>IF(A173="", "", IFERROR(VLOOKUP(A173, Clasificaciones!A:B, 2, FALSE), "DATO NO CARGADO"))
</f>
        <v>Equipo</v>
      </c>
      <c r="C173" s="467" t="s">
        <v>136</v>
      </c>
      <c r="D173" s="43">
        <v>2025.0</v>
      </c>
      <c r="E173" s="321" t="s">
        <v>1124</v>
      </c>
      <c r="F173" s="202"/>
      <c r="G173" s="202" t="s">
        <v>1154</v>
      </c>
      <c r="H173" s="43" t="s">
        <v>1126</v>
      </c>
      <c r="I173" s="43" t="s">
        <v>1127</v>
      </c>
      <c r="J173" s="43" t="s">
        <v>119</v>
      </c>
      <c r="K173" s="443">
        <v>27.0</v>
      </c>
      <c r="L173" s="451">
        <v>30.72</v>
      </c>
      <c r="M173" s="443">
        <v>31.0</v>
      </c>
      <c r="N173" s="452">
        <f t="array" ref="N173">IFERROR(
  INDEX(
    'Valor Hora Real y Estimada'!$A$4:$Z$78,
    MATCH(TRIM(CLEAN(A173)), 'Valor Hora Real y Estimada'!$A$4:$A$78, 0),
    MATCH(
      TEXT(C173,"dd mmm")&amp;" "&amp;D173,
      'Valor Hora Real y Estimada'!$A$3:$Z$3,
      0
    ) + 1
  ),
  0
)</f>
        <v>18000</v>
      </c>
      <c r="O173" s="453">
        <f t="shared" si="9"/>
        <v>558000</v>
      </c>
      <c r="P173" s="113"/>
      <c r="Q173" s="106">
        <f>IF(ISBLANK(O173), "", VLOOKUP(C173&amp;" "&amp;D173, 'Info Tipo de Cambio y REM'!$A$24:$B$35, 2, FALSE))</f>
        <v>1325</v>
      </c>
      <c r="R173" s="107">
        <f t="shared" si="2"/>
        <v>421.1320755</v>
      </c>
    </row>
    <row r="174" hidden="1">
      <c r="A174" s="443" t="s">
        <v>120</v>
      </c>
      <c r="B174" s="43" t="str">
        <f>IF(A174="", "", IFERROR(VLOOKUP(A174, Clasificaciones!A:B, 2, FALSE), "DATO NO CARGADO"))
</f>
        <v>Equipo</v>
      </c>
      <c r="C174" s="467" t="s">
        <v>136</v>
      </c>
      <c r="D174" s="43">
        <v>2025.0</v>
      </c>
      <c r="E174" s="321" t="s">
        <v>1124</v>
      </c>
      <c r="F174" s="202"/>
      <c r="G174" s="202" t="s">
        <v>1149</v>
      </c>
      <c r="H174" s="43" t="s">
        <v>1133</v>
      </c>
      <c r="I174" s="43" t="s">
        <v>1150</v>
      </c>
      <c r="J174" s="43" t="s">
        <v>126</v>
      </c>
      <c r="K174" s="443">
        <v>25.0</v>
      </c>
      <c r="L174" s="443">
        <v>48.6</v>
      </c>
      <c r="M174" s="443">
        <f>48.6-9.24</f>
        <v>39.36</v>
      </c>
      <c r="N174" s="452">
        <f t="array" ref="N174">IFERROR(
  INDEX(
    'Valor Hora Real y Estimada'!$A$4:$Z$78,
    MATCH(TRIM(CLEAN(A174)), 'Valor Hora Real y Estimada'!$A$4:$A$78, 0),
    MATCH(
      TEXT(C174,"dd mmm")&amp;" "&amp;D174,
      'Valor Hora Real y Estimada'!$A$3:$Z$3,
      0
    ) + 1
  ),
  0
)</f>
        <v>20833.33333</v>
      </c>
      <c r="O174" s="453">
        <f t="shared" si="9"/>
        <v>820000</v>
      </c>
      <c r="P174" s="113"/>
      <c r="Q174" s="106">
        <f>IF(ISBLANK(O174), "", VLOOKUP(C174&amp;" "&amp;D174, 'Info Tipo de Cambio y REM'!$A$24:$B$35, 2, FALSE))</f>
        <v>1325</v>
      </c>
      <c r="R174" s="107">
        <f t="shared" si="2"/>
        <v>618.8679245</v>
      </c>
    </row>
    <row r="175" hidden="1">
      <c r="A175" s="443" t="s">
        <v>87</v>
      </c>
      <c r="B175" s="43" t="str">
        <f>IF(A175="", "", IFERROR(VLOOKUP(A175, Clasificaciones!A:B, 2, FALSE), "DATO NO CARGADO"))
</f>
        <v>Equipo</v>
      </c>
      <c r="C175" s="467" t="s">
        <v>136</v>
      </c>
      <c r="D175" s="43">
        <v>2025.0</v>
      </c>
      <c r="E175" s="321" t="s">
        <v>1124</v>
      </c>
      <c r="F175" s="202"/>
      <c r="G175" s="202" t="s">
        <v>1149</v>
      </c>
      <c r="H175" s="43" t="s">
        <v>1133</v>
      </c>
      <c r="I175" s="43" t="s">
        <v>1150</v>
      </c>
      <c r="J175" s="43" t="s">
        <v>126</v>
      </c>
      <c r="K175" s="443">
        <v>25.0</v>
      </c>
      <c r="L175" s="451">
        <v>17.87</v>
      </c>
      <c r="M175" s="443">
        <v>17.87</v>
      </c>
      <c r="N175" s="452">
        <f t="array" ref="N175">IFERROR(
  INDEX(
    'Valor Hora Real y Estimada'!$A$4:$Z$78,
    MATCH(TRIM(CLEAN(A175)), 'Valor Hora Real y Estimada'!$A$4:$A$78, 0),
    MATCH(
      TEXT(C175,"dd mmm")&amp;" "&amp;D175,
      'Valor Hora Real y Estimada'!$A$3:$Z$3,
      0
    ) + 1
  ),
  0
)</f>
        <v>10000</v>
      </c>
      <c r="O175" s="453">
        <f t="shared" si="9"/>
        <v>178700</v>
      </c>
      <c r="P175" s="113"/>
      <c r="Q175" s="106">
        <f>IF(ISBLANK(O175), "", VLOOKUP(C175&amp;" "&amp;D175, 'Info Tipo de Cambio y REM'!$A$24:$B$35, 2, FALSE))</f>
        <v>1325</v>
      </c>
      <c r="R175" s="107">
        <f t="shared" si="2"/>
        <v>134.8679245</v>
      </c>
    </row>
    <row r="176" hidden="1">
      <c r="A176" s="443" t="s">
        <v>234</v>
      </c>
      <c r="B176" s="43" t="str">
        <f>IF(A176="", "", IFERROR(VLOOKUP(A176, Clasificaciones!A:B, 2, FALSE), "DATO NO CARGADO"))
</f>
        <v>Equipo</v>
      </c>
      <c r="C176" s="467" t="s">
        <v>136</v>
      </c>
      <c r="D176" s="43">
        <v>2025.0</v>
      </c>
      <c r="E176" s="321" t="s">
        <v>1124</v>
      </c>
      <c r="F176" s="202"/>
      <c r="G176" s="202" t="s">
        <v>1149</v>
      </c>
      <c r="H176" s="43" t="s">
        <v>1133</v>
      </c>
      <c r="I176" s="43" t="s">
        <v>1150</v>
      </c>
      <c r="J176" s="43" t="s">
        <v>126</v>
      </c>
      <c r="K176" s="443">
        <v>58.0</v>
      </c>
      <c r="L176" s="451">
        <v>74.1</v>
      </c>
      <c r="M176" s="443">
        <v>69.66</v>
      </c>
      <c r="N176" s="452">
        <f t="array" ref="N176">IFERROR(
  INDEX(
    'Valor Hora Real y Estimada'!$A$4:$Z$78,
    MATCH(TRIM(CLEAN(A176)), 'Valor Hora Real y Estimada'!$A$4:$A$78, 0),
    MATCH(
      TEXT(C176,"dd mmm")&amp;" "&amp;D176,
      'Valor Hora Real y Estimada'!$A$3:$Z$3,
      0
    ) + 1
  ),
  0
)</f>
        <v>11485</v>
      </c>
      <c r="O176" s="468">
        <v>800000.0</v>
      </c>
      <c r="P176" s="113"/>
      <c r="Q176" s="106">
        <f>IF(ISBLANK(O176), "", VLOOKUP(C176&amp;" "&amp;D176, 'Info Tipo de Cambio y REM'!$A$24:$B$35, 2, FALSE))</f>
        <v>1325</v>
      </c>
      <c r="R176" s="107">
        <f t="shared" si="2"/>
        <v>603.7735849</v>
      </c>
    </row>
    <row r="177" hidden="1">
      <c r="A177" s="443" t="s">
        <v>210</v>
      </c>
      <c r="B177" s="43" t="str">
        <f>IF(A177="", "", IFERROR(VLOOKUP(A177, Clasificaciones!A:B, 2, FALSE), "DATO NO CARGADO"))
</f>
        <v>Equipo</v>
      </c>
      <c r="C177" s="467" t="s">
        <v>136</v>
      </c>
      <c r="D177" s="43">
        <v>2025.0</v>
      </c>
      <c r="E177" s="321" t="s">
        <v>1124</v>
      </c>
      <c r="F177" s="202"/>
      <c r="G177" s="202" t="s">
        <v>1149</v>
      </c>
      <c r="H177" s="43" t="s">
        <v>1133</v>
      </c>
      <c r="I177" s="43" t="s">
        <v>1150</v>
      </c>
      <c r="J177" s="43" t="s">
        <v>126</v>
      </c>
      <c r="K177" s="443">
        <v>6.0</v>
      </c>
      <c r="L177" s="451">
        <v>4.0</v>
      </c>
      <c r="M177" s="443">
        <v>4.0</v>
      </c>
      <c r="N177" s="452">
        <f t="array" ref="N177">IFERROR(
  INDEX(
    'Valor Hora Real y Estimada'!$A$4:$Z$78,
    MATCH(TRIM(CLEAN(A177)), 'Valor Hora Real y Estimada'!$A$4:$A$78, 0),
    MATCH(
      TEXT(C177,"dd mmm")&amp;" "&amp;D177,
      'Valor Hora Real y Estimada'!$A$3:$Z$3,
      0
    ) + 1
  ),
  0
)</f>
        <v>14717</v>
      </c>
      <c r="O177" s="453">
        <f t="shared" ref="O177:O193" si="10">N177*M177</f>
        <v>58868</v>
      </c>
      <c r="P177" s="113"/>
      <c r="Q177" s="106">
        <f>IF(ISBLANK(O177), "", VLOOKUP(C177&amp;" "&amp;D177, 'Info Tipo de Cambio y REM'!$A$24:$B$35, 2, FALSE))</f>
        <v>1325</v>
      </c>
      <c r="R177" s="107">
        <f t="shared" si="2"/>
        <v>44.42867925</v>
      </c>
    </row>
    <row r="178" hidden="1">
      <c r="A178" s="443" t="s">
        <v>127</v>
      </c>
      <c r="B178" s="43" t="str">
        <f>IF(A178="", "", IFERROR(VLOOKUP(A178, Clasificaciones!A:B, 2, FALSE), "DATO NO CARGADO"))
</f>
        <v>Board</v>
      </c>
      <c r="C178" s="467" t="s">
        <v>136</v>
      </c>
      <c r="D178" s="43">
        <v>2025.0</v>
      </c>
      <c r="E178" s="43" t="s">
        <v>1130</v>
      </c>
      <c r="F178" s="202"/>
      <c r="G178" s="202" t="s">
        <v>1153</v>
      </c>
      <c r="H178" s="43" t="s">
        <v>208</v>
      </c>
      <c r="I178" s="43" t="s">
        <v>1136</v>
      </c>
      <c r="J178" s="43" t="s">
        <v>208</v>
      </c>
      <c r="K178" s="443"/>
      <c r="L178" s="455"/>
      <c r="M178" s="443">
        <f>160+0.05</f>
        <v>160.05</v>
      </c>
      <c r="N178" s="452">
        <f t="array" ref="N178">IFERROR(
  INDEX(
    'Valor Hora Real y Estimada'!$A$4:$Z$78,
    MATCH(TRIM(CLEAN(A178)), 'Valor Hora Real y Estimada'!$A$4:$A$78, 0),
    MATCH(
      TEXT(C178,"dd mmm")&amp;" "&amp;D178,
      'Valor Hora Real y Estimada'!$A$3:$Z$3,
      0
    ) + 1
  ),
  0
)</f>
        <v>23066</v>
      </c>
      <c r="O178" s="453">
        <f t="shared" si="10"/>
        <v>3691713.3</v>
      </c>
      <c r="P178" s="113"/>
      <c r="Q178" s="106">
        <f>IF(ISBLANK(O178), "", VLOOKUP(C178&amp;" "&amp;D178, 'Info Tipo de Cambio y REM'!$A$24:$B$35, 2, FALSE))</f>
        <v>1325</v>
      </c>
      <c r="R178" s="107">
        <f t="shared" si="2"/>
        <v>2786.198717</v>
      </c>
    </row>
    <row r="179" hidden="1">
      <c r="A179" s="443" t="s">
        <v>133</v>
      </c>
      <c r="B179" s="43" t="str">
        <f>IF(A179="", "", IFERROR(VLOOKUP(A179, Clasificaciones!A:B, 2, FALSE), "DATO NO CARGADO"))
</f>
        <v>Board</v>
      </c>
      <c r="C179" s="467" t="s">
        <v>136</v>
      </c>
      <c r="D179" s="43">
        <v>2025.0</v>
      </c>
      <c r="E179" s="43" t="s">
        <v>1130</v>
      </c>
      <c r="F179" s="202"/>
      <c r="G179" s="202" t="s">
        <v>1153</v>
      </c>
      <c r="H179" s="43" t="s">
        <v>208</v>
      </c>
      <c r="I179" s="43" t="s">
        <v>1136</v>
      </c>
      <c r="J179" s="43" t="s">
        <v>208</v>
      </c>
      <c r="K179" s="443"/>
      <c r="L179" s="455"/>
      <c r="M179" s="443">
        <v>160.0</v>
      </c>
      <c r="N179" s="452">
        <f t="array" ref="N179">IFERROR(
  INDEX(
    'Valor Hora Real y Estimada'!$A$4:$Z$78,
    MATCH(TRIM(CLEAN(A179)), 'Valor Hora Real y Estimada'!$A$4:$A$78, 0),
    MATCH(
      TEXT(C179,"dd mmm")&amp;" "&amp;D179,
      'Valor Hora Real y Estimada'!$A$3:$Z$3,
      0
    ) + 1
  ),
  0
)</f>
        <v>28125</v>
      </c>
      <c r="O179" s="453">
        <f t="shared" si="10"/>
        <v>4500000</v>
      </c>
      <c r="P179" s="113"/>
      <c r="Q179" s="106">
        <f>IF(ISBLANK(O179), "", VLOOKUP(C179&amp;" "&amp;D179, 'Info Tipo de Cambio y REM'!$A$24:$B$35, 2, FALSE))</f>
        <v>1325</v>
      </c>
      <c r="R179" s="107">
        <f t="shared" si="2"/>
        <v>3396.226415</v>
      </c>
    </row>
    <row r="180" hidden="1">
      <c r="A180" s="443" t="s">
        <v>120</v>
      </c>
      <c r="B180" s="43" t="str">
        <f>IF(A180="", "", IFERROR(VLOOKUP(A180, Clasificaciones!A:B, 2, FALSE), "DATO NO CARGADO"))
</f>
        <v>Equipo</v>
      </c>
      <c r="C180" s="467" t="s">
        <v>136</v>
      </c>
      <c r="D180" s="43">
        <v>2025.0</v>
      </c>
      <c r="E180" s="43" t="s">
        <v>1124</v>
      </c>
      <c r="F180" s="202"/>
      <c r="G180" s="202" t="s">
        <v>1147</v>
      </c>
      <c r="H180" s="43" t="s">
        <v>1126</v>
      </c>
      <c r="I180" s="43" t="s">
        <v>1141</v>
      </c>
      <c r="J180" s="43" t="s">
        <v>163</v>
      </c>
      <c r="K180" s="443"/>
      <c r="L180" s="443">
        <v>18.8</v>
      </c>
      <c r="M180" s="443">
        <v>19.0</v>
      </c>
      <c r="N180" s="452">
        <f t="array" ref="N180">IFERROR(
  INDEX(
    'Valor Hora Real y Estimada'!$A$4:$Z$78,
    MATCH(TRIM(CLEAN(A180)), 'Valor Hora Real y Estimada'!$A$4:$A$78, 0),
    MATCH(
      TEXT(C180,"dd mmm")&amp;" "&amp;D180,
      'Valor Hora Real y Estimada'!$A$3:$Z$3,
      0
    ) + 1
  ),
  0
)</f>
        <v>20833.33333</v>
      </c>
      <c r="O180" s="453">
        <f t="shared" si="10"/>
        <v>395833.3333</v>
      </c>
      <c r="P180" s="113"/>
      <c r="Q180" s="106">
        <f>IF(ISBLANK(O180), "", VLOOKUP(C180&amp;" "&amp;D180, 'Info Tipo de Cambio y REM'!$A$24:$B$35, 2, FALSE))</f>
        <v>1325</v>
      </c>
      <c r="R180" s="107">
        <f t="shared" si="2"/>
        <v>298.7421384</v>
      </c>
    </row>
    <row r="181" hidden="1">
      <c r="A181" s="443" t="s">
        <v>197</v>
      </c>
      <c r="B181" s="43" t="str">
        <f>IF(A181="", "", IFERROR(VLOOKUP(A181, Clasificaciones!A:B, 2, FALSE), "DATO NO CARGADO"))
</f>
        <v>Equipo</v>
      </c>
      <c r="C181" s="467" t="s">
        <v>136</v>
      </c>
      <c r="D181" s="43">
        <v>2025.0</v>
      </c>
      <c r="E181" s="43" t="s">
        <v>1124</v>
      </c>
      <c r="F181" s="202"/>
      <c r="G181" s="202" t="s">
        <v>1147</v>
      </c>
      <c r="H181" s="43" t="s">
        <v>1126</v>
      </c>
      <c r="I181" s="43" t="s">
        <v>1141</v>
      </c>
      <c r="J181" s="43" t="s">
        <v>163</v>
      </c>
      <c r="K181" s="443"/>
      <c r="L181" s="451">
        <v>22.0</v>
      </c>
      <c r="M181" s="443">
        <v>22.0</v>
      </c>
      <c r="N181" s="452">
        <f t="array" ref="N181">IFERROR(
  INDEX(
    'Valor Hora Real y Estimada'!$A$4:$Z$78,
    MATCH(TRIM(CLEAN(A181)), 'Valor Hora Real y Estimada'!$A$4:$A$78, 0),
    MATCH(
      TEXT(C181,"dd mmm")&amp;" "&amp;D181,
      'Valor Hora Real y Estimada'!$A$3:$Z$3,
      0
    ) + 1
  ),
  0
)</f>
        <v>10283</v>
      </c>
      <c r="O181" s="453">
        <f t="shared" si="10"/>
        <v>226226</v>
      </c>
      <c r="P181" s="113"/>
      <c r="Q181" s="106">
        <f>IF(ISBLANK(O181), "", VLOOKUP(C181&amp;" "&amp;D181, 'Info Tipo de Cambio y REM'!$A$24:$B$35, 2, FALSE))</f>
        <v>1325</v>
      </c>
      <c r="R181" s="107">
        <f t="shared" si="2"/>
        <v>170.7366038</v>
      </c>
    </row>
    <row r="182" hidden="1">
      <c r="A182" s="443" t="s">
        <v>203</v>
      </c>
      <c r="B182" s="43" t="str">
        <f>IF(A182="", "", IFERROR(VLOOKUP(A182, Clasificaciones!A:B, 2, FALSE), "DATO NO CARGADO"))
</f>
        <v>Equipo</v>
      </c>
      <c r="C182" s="467" t="s">
        <v>136</v>
      </c>
      <c r="D182" s="43">
        <v>2025.0</v>
      </c>
      <c r="E182" s="43" t="s">
        <v>1124</v>
      </c>
      <c r="F182" s="202"/>
      <c r="G182" s="202" t="s">
        <v>1147</v>
      </c>
      <c r="H182" s="43" t="s">
        <v>1126</v>
      </c>
      <c r="I182" s="43" t="s">
        <v>1141</v>
      </c>
      <c r="J182" s="43" t="s">
        <v>163</v>
      </c>
      <c r="K182" s="443"/>
      <c r="L182" s="451">
        <v>18.0</v>
      </c>
      <c r="M182" s="443">
        <v>18.0</v>
      </c>
      <c r="N182" s="452">
        <f t="array" ref="N182">IFERROR(
  INDEX(
    'Valor Hora Real y Estimada'!$A$4:$Z$78,
    MATCH(TRIM(CLEAN(A182)), 'Valor Hora Real y Estimada'!$A$4:$A$78, 0),
    MATCH(
      TEXT(C182,"dd mmm")&amp;" "&amp;D182,
      'Valor Hora Real y Estimada'!$A$3:$Z$3,
      0
    ) + 1
  ),
  0
)</f>
        <v>9115</v>
      </c>
      <c r="O182" s="453">
        <f t="shared" si="10"/>
        <v>164070</v>
      </c>
      <c r="P182" s="113"/>
      <c r="Q182" s="106">
        <f>IF(ISBLANK(O182), "", VLOOKUP(C182&amp;" "&amp;D182, 'Info Tipo de Cambio y REM'!$A$24:$B$35, 2, FALSE))</f>
        <v>1325</v>
      </c>
      <c r="R182" s="107">
        <f t="shared" si="2"/>
        <v>123.8264151</v>
      </c>
    </row>
    <row r="183" hidden="1">
      <c r="A183" s="443" t="s">
        <v>216</v>
      </c>
      <c r="B183" s="43" t="str">
        <f>IF(A183="", "", IFERROR(VLOOKUP(A183, Clasificaciones!A:B, 2, FALSE), "DATO NO CARGADO"))
</f>
        <v>Equipo</v>
      </c>
      <c r="C183" s="467" t="s">
        <v>136</v>
      </c>
      <c r="D183" s="43">
        <v>2025.0</v>
      </c>
      <c r="E183" s="43" t="s">
        <v>1124</v>
      </c>
      <c r="F183" s="202"/>
      <c r="G183" s="202" t="s">
        <v>1147</v>
      </c>
      <c r="H183" s="43" t="s">
        <v>1126</v>
      </c>
      <c r="I183" s="43" t="s">
        <v>1141</v>
      </c>
      <c r="J183" s="43" t="s">
        <v>163</v>
      </c>
      <c r="K183" s="443"/>
      <c r="L183" s="451">
        <v>9.07</v>
      </c>
      <c r="M183" s="443">
        <v>9.0</v>
      </c>
      <c r="N183" s="452">
        <f t="array" ref="N183">IFERROR(
  INDEX(
    'Valor Hora Real y Estimada'!$A$4:$Z$78,
    MATCH(TRIM(CLEAN(A183)), 'Valor Hora Real y Estimada'!$A$4:$A$78, 0),
    MATCH(
      TEXT(C183,"dd mmm")&amp;" "&amp;D183,
      'Valor Hora Real y Estimada'!$A$3:$Z$3,
      0
    ) + 1
  ),
  0
)</f>
        <v>13139</v>
      </c>
      <c r="O183" s="453">
        <f t="shared" si="10"/>
        <v>118251</v>
      </c>
      <c r="P183" s="113"/>
      <c r="Q183" s="106">
        <f>IF(ISBLANK(O183), "", VLOOKUP(C183&amp;" "&amp;D183, 'Info Tipo de Cambio y REM'!$A$24:$B$35, 2, FALSE))</f>
        <v>1325</v>
      </c>
      <c r="R183" s="107">
        <f t="shared" si="2"/>
        <v>89.24603774</v>
      </c>
    </row>
    <row r="184" hidden="1">
      <c r="A184" s="443" t="s">
        <v>228</v>
      </c>
      <c r="B184" s="43" t="str">
        <f>IF(A184="", "", IFERROR(VLOOKUP(A184, Clasificaciones!A:B, 2, FALSE), "DATO NO CARGADO"))
</f>
        <v>Equipo</v>
      </c>
      <c r="C184" s="467" t="s">
        <v>136</v>
      </c>
      <c r="D184" s="43">
        <v>2025.0</v>
      </c>
      <c r="E184" s="43" t="s">
        <v>1124</v>
      </c>
      <c r="F184" s="202"/>
      <c r="G184" s="202" t="s">
        <v>1147</v>
      </c>
      <c r="H184" s="43" t="s">
        <v>1126</v>
      </c>
      <c r="I184" s="43" t="s">
        <v>1141</v>
      </c>
      <c r="J184" s="43" t="s">
        <v>163</v>
      </c>
      <c r="K184" s="443"/>
      <c r="L184" s="451">
        <v>12.28</v>
      </c>
      <c r="M184" s="443">
        <v>14.0</v>
      </c>
      <c r="N184" s="452">
        <f t="array" ref="N184">IFERROR(
  INDEX(
    'Valor Hora Real y Estimada'!$A$4:$Z$78,
    MATCH(TRIM(CLEAN(A184)), 'Valor Hora Real y Estimada'!$A$4:$A$78, 0),
    MATCH(
      TEXT(C184,"dd mmm")&amp;" "&amp;D184,
      'Valor Hora Real y Estimada'!$A$3:$Z$3,
      0
    ) + 1
  ),
  0
)</f>
        <v>18000</v>
      </c>
      <c r="O184" s="453">
        <f t="shared" si="10"/>
        <v>252000</v>
      </c>
      <c r="P184" s="113"/>
      <c r="Q184" s="106">
        <f>IF(ISBLANK(O184), "", VLOOKUP(C184&amp;" "&amp;D184, 'Info Tipo de Cambio y REM'!$A$24:$B$35, 2, FALSE))</f>
        <v>1325</v>
      </c>
      <c r="R184" s="107">
        <f t="shared" si="2"/>
        <v>190.1886792</v>
      </c>
    </row>
    <row r="185" hidden="1">
      <c r="A185" s="443" t="s">
        <v>210</v>
      </c>
      <c r="B185" s="43" t="str">
        <f>IF(A185="", "", IFERROR(VLOOKUP(A185, Clasificaciones!A:B, 2, FALSE), "DATO NO CARGADO"))
</f>
        <v>Equipo</v>
      </c>
      <c r="C185" s="467" t="s">
        <v>136</v>
      </c>
      <c r="D185" s="43">
        <v>2025.0</v>
      </c>
      <c r="E185" s="43" t="s">
        <v>1124</v>
      </c>
      <c r="F185" s="202"/>
      <c r="G185" s="202" t="s">
        <v>1147</v>
      </c>
      <c r="H185" s="43" t="s">
        <v>1126</v>
      </c>
      <c r="I185" s="43" t="s">
        <v>1141</v>
      </c>
      <c r="J185" s="43" t="s">
        <v>163</v>
      </c>
      <c r="K185" s="443"/>
      <c r="L185" s="451">
        <v>2.0</v>
      </c>
      <c r="M185" s="443">
        <v>2.0</v>
      </c>
      <c r="N185" s="452">
        <f t="array" ref="N185">IFERROR(
  INDEX(
    'Valor Hora Real y Estimada'!$A$4:$Z$78,
    MATCH(TRIM(CLEAN(A185)), 'Valor Hora Real y Estimada'!$A$4:$A$78, 0),
    MATCH(
      TEXT(C185,"dd mmm")&amp;" "&amp;D185,
      'Valor Hora Real y Estimada'!$A$3:$Z$3,
      0
    ) + 1
  ),
  0
)</f>
        <v>14717</v>
      </c>
      <c r="O185" s="453">
        <f t="shared" si="10"/>
        <v>29434</v>
      </c>
      <c r="P185" s="113"/>
      <c r="Q185" s="106">
        <f>IF(ISBLANK(O185), "", VLOOKUP(C185&amp;" "&amp;D185, 'Info Tipo de Cambio y REM'!$A$24:$B$35, 2, FALSE))</f>
        <v>1325</v>
      </c>
      <c r="R185" s="107">
        <f t="shared" si="2"/>
        <v>22.21433962</v>
      </c>
    </row>
    <row r="186" hidden="1">
      <c r="A186" s="443" t="s">
        <v>120</v>
      </c>
      <c r="B186" s="43" t="str">
        <f>IF(A186="", "", IFERROR(VLOOKUP(A186, Clasificaciones!A:B, 2, FALSE), "DATO NO CARGADO"))
</f>
        <v>Equipo</v>
      </c>
      <c r="C186" s="467" t="s">
        <v>136</v>
      </c>
      <c r="D186" s="43">
        <v>2025.0</v>
      </c>
      <c r="E186" s="43" t="s">
        <v>1124</v>
      </c>
      <c r="F186" s="202"/>
      <c r="G186" s="202" t="s">
        <v>1155</v>
      </c>
      <c r="H186" s="43" t="s">
        <v>1133</v>
      </c>
      <c r="I186" s="43" t="s">
        <v>1156</v>
      </c>
      <c r="J186" s="43" t="s">
        <v>202</v>
      </c>
      <c r="K186" s="443">
        <v>40.0</v>
      </c>
      <c r="L186" s="443">
        <v>7.63</v>
      </c>
      <c r="M186" s="443">
        <v>5.3</v>
      </c>
      <c r="N186" s="452">
        <f t="array" ref="N186">IFERROR(
  INDEX(
    'Valor Hora Real y Estimada'!$A$4:$Z$78,
    MATCH(TRIM(CLEAN(A186)), 'Valor Hora Real y Estimada'!$A$4:$A$78, 0),
    MATCH(
      TEXT(C186,"dd mmm")&amp;" "&amp;D186,
      'Valor Hora Real y Estimada'!$A$3:$Z$3,
      0
    ) + 1
  ),
  0
)</f>
        <v>20833.33333</v>
      </c>
      <c r="O186" s="453">
        <f t="shared" si="10"/>
        <v>110416.6667</v>
      </c>
      <c r="P186" s="113"/>
      <c r="Q186" s="106">
        <f>IF(ISBLANK(O186), "", VLOOKUP(C186&amp;" "&amp;D186, 'Info Tipo de Cambio y REM'!$A$24:$B$35, 2, FALSE))</f>
        <v>1325</v>
      </c>
      <c r="R186" s="107">
        <f t="shared" si="2"/>
        <v>83.33333333</v>
      </c>
    </row>
    <row r="187" hidden="1">
      <c r="A187" s="443" t="s">
        <v>197</v>
      </c>
      <c r="B187" s="43" t="str">
        <f>IF(A187="", "", IFERROR(VLOOKUP(A187, Clasificaciones!A:B, 2, FALSE), "DATO NO CARGADO"))
</f>
        <v>Equipo</v>
      </c>
      <c r="C187" s="467" t="s">
        <v>136</v>
      </c>
      <c r="D187" s="43">
        <v>2025.0</v>
      </c>
      <c r="E187" s="43" t="s">
        <v>1124</v>
      </c>
      <c r="F187" s="202"/>
      <c r="G187" s="202" t="s">
        <v>1155</v>
      </c>
      <c r="H187" s="43" t="s">
        <v>1133</v>
      </c>
      <c r="I187" s="43" t="s">
        <v>1156</v>
      </c>
      <c r="J187" s="43" t="s">
        <v>202</v>
      </c>
      <c r="K187" s="443">
        <v>80.0</v>
      </c>
      <c r="L187" s="451">
        <v>13.0</v>
      </c>
      <c r="M187" s="443">
        <v>13.0</v>
      </c>
      <c r="N187" s="452">
        <f t="array" ref="N187">IFERROR(
  INDEX(
    'Valor Hora Real y Estimada'!$A$4:$Z$78,
    MATCH(TRIM(CLEAN(A187)), 'Valor Hora Real y Estimada'!$A$4:$A$78, 0),
    MATCH(
      TEXT(C187,"dd mmm")&amp;" "&amp;D187,
      'Valor Hora Real y Estimada'!$A$3:$Z$3,
      0
    ) + 1
  ),
  0
)</f>
        <v>10283</v>
      </c>
      <c r="O187" s="453">
        <f t="shared" si="10"/>
        <v>133679</v>
      </c>
      <c r="P187" s="113"/>
      <c r="Q187" s="106">
        <f>IF(ISBLANK(O187), "", VLOOKUP(C187&amp;" "&amp;D187, 'Info Tipo de Cambio y REM'!$A$24:$B$35, 2, FALSE))</f>
        <v>1325</v>
      </c>
      <c r="R187" s="107">
        <f t="shared" si="2"/>
        <v>100.8898113</v>
      </c>
    </row>
    <row r="188" hidden="1">
      <c r="A188" s="443" t="s">
        <v>197</v>
      </c>
      <c r="B188" s="43" t="str">
        <f>IF(A188="", "", IFERROR(VLOOKUP(A188, Clasificaciones!A:B, 2, FALSE), "DATO NO CARGADO"))
</f>
        <v>Equipo</v>
      </c>
      <c r="C188" s="467" t="s">
        <v>136</v>
      </c>
      <c r="D188" s="43">
        <v>2025.0</v>
      </c>
      <c r="E188" s="43" t="s">
        <v>1130</v>
      </c>
      <c r="F188" s="202"/>
      <c r="G188" s="202" t="s">
        <v>1131</v>
      </c>
      <c r="H188" s="43" t="s">
        <v>208</v>
      </c>
      <c r="I188" s="43"/>
      <c r="J188" s="43" t="s">
        <v>208</v>
      </c>
      <c r="K188" s="443"/>
      <c r="L188" s="451">
        <v>1.67</v>
      </c>
      <c r="M188" s="443"/>
      <c r="N188" s="452">
        <f t="array" ref="N188">IFERROR(
  INDEX(
    'Valor Hora Real y Estimada'!$A$4:$Z$78,
    MATCH(TRIM(CLEAN(A188)), 'Valor Hora Real y Estimada'!$A$4:$A$78, 0),
    MATCH(
      TEXT(C188,"dd mmm")&amp;" "&amp;D188,
      'Valor Hora Real y Estimada'!$A$3:$Z$3,
      0
    ) + 1
  ),
  0
)</f>
        <v>10283</v>
      </c>
      <c r="O188" s="453">
        <f t="shared" si="10"/>
        <v>0</v>
      </c>
      <c r="P188" s="113"/>
      <c r="Q188" s="106">
        <f>IF(ISBLANK(O188), "", VLOOKUP(C188&amp;" "&amp;D188, 'Info Tipo de Cambio y REM'!$A$24:$B$35, 2, FALSE))</f>
        <v>1325</v>
      </c>
      <c r="R188" s="107">
        <f t="shared" si="2"/>
        <v>0</v>
      </c>
    </row>
    <row r="189" hidden="1">
      <c r="A189" s="443" t="s">
        <v>221</v>
      </c>
      <c r="B189" s="43" t="str">
        <f>IF(A189="", "", IFERROR(VLOOKUP(A189, Clasificaciones!A:B, 2, FALSE), "DATO NO CARGADO"))
</f>
        <v>Equipo</v>
      </c>
      <c r="C189" s="467" t="s">
        <v>136</v>
      </c>
      <c r="D189" s="43">
        <v>2025.0</v>
      </c>
      <c r="E189" s="43" t="s">
        <v>1124</v>
      </c>
      <c r="F189" s="202"/>
      <c r="G189" s="202" t="s">
        <v>1155</v>
      </c>
      <c r="H189" s="43" t="s">
        <v>1133</v>
      </c>
      <c r="I189" s="43" t="s">
        <v>1156</v>
      </c>
      <c r="J189" s="43" t="s">
        <v>202</v>
      </c>
      <c r="K189" s="443">
        <v>20.0</v>
      </c>
      <c r="L189" s="451">
        <v>15.33</v>
      </c>
      <c r="M189" s="443">
        <v>15.3</v>
      </c>
      <c r="N189" s="452">
        <f t="array" ref="N189">IFERROR(
  INDEX(
    'Valor Hora Real y Estimada'!$A$4:$Z$78,
    MATCH(TRIM(CLEAN(A189)), 'Valor Hora Real y Estimada'!$A$4:$A$78, 0),
    MATCH(
      TEXT(C189,"dd mmm")&amp;" "&amp;D189,
      'Valor Hora Real y Estimada'!$A$3:$Z$3,
      0
    ) + 1
  ),
  0
)</f>
        <v>10121</v>
      </c>
      <c r="O189" s="453">
        <f t="shared" si="10"/>
        <v>154851.3</v>
      </c>
      <c r="P189" s="113"/>
      <c r="Q189" s="106">
        <f>IF(ISBLANK(O189), "", VLOOKUP(C189&amp;" "&amp;D189, 'Info Tipo de Cambio y REM'!$A$24:$B$35, 2, FALSE))</f>
        <v>1325</v>
      </c>
      <c r="R189" s="107">
        <f t="shared" si="2"/>
        <v>116.8689057</v>
      </c>
    </row>
    <row r="190" hidden="1">
      <c r="A190" s="443" t="s">
        <v>203</v>
      </c>
      <c r="B190" s="43" t="str">
        <f>IF(A190="", "", IFERROR(VLOOKUP(A190, Clasificaciones!A:B, 2, FALSE), "DATO NO CARGADO"))
</f>
        <v>Equipo</v>
      </c>
      <c r="C190" s="467" t="s">
        <v>136</v>
      </c>
      <c r="D190" s="43">
        <v>2025.0</v>
      </c>
      <c r="E190" s="43" t="s">
        <v>1124</v>
      </c>
      <c r="F190" s="202"/>
      <c r="G190" s="202" t="s">
        <v>1155</v>
      </c>
      <c r="H190" s="43" t="s">
        <v>1133</v>
      </c>
      <c r="I190" s="43" t="s">
        <v>1156</v>
      </c>
      <c r="J190" s="43" t="s">
        <v>202</v>
      </c>
      <c r="K190" s="443">
        <v>80.0</v>
      </c>
      <c r="L190" s="451">
        <v>18.33</v>
      </c>
      <c r="M190" s="443">
        <v>18.5</v>
      </c>
      <c r="N190" s="452">
        <f t="array" ref="N190">IFERROR(
  INDEX(
    'Valor Hora Real y Estimada'!$A$4:$Z$78,
    MATCH(TRIM(CLEAN(A190)), 'Valor Hora Real y Estimada'!$A$4:$A$78, 0),
    MATCH(
      TEXT(C190,"dd mmm")&amp;" "&amp;D190,
      'Valor Hora Real y Estimada'!$A$3:$Z$3,
      0
    ) + 1
  ),
  0
)</f>
        <v>9115</v>
      </c>
      <c r="O190" s="453">
        <f t="shared" si="10"/>
        <v>168627.5</v>
      </c>
      <c r="P190" s="113"/>
      <c r="Q190" s="106">
        <f>IF(ISBLANK(O190), "", VLOOKUP(C190&amp;" "&amp;D190, 'Info Tipo de Cambio y REM'!$A$24:$B$35, 2, FALSE))</f>
        <v>1325</v>
      </c>
      <c r="R190" s="107">
        <f t="shared" si="2"/>
        <v>127.2660377</v>
      </c>
    </row>
    <row r="191" hidden="1">
      <c r="A191" s="443" t="s">
        <v>205</v>
      </c>
      <c r="B191" s="43" t="str">
        <f>IF(A191="", "", IFERROR(VLOOKUP(A191, Clasificaciones!A:B, 2, FALSE), "DATO NO CARGADO"))
</f>
        <v>Equipo</v>
      </c>
      <c r="C191" s="467" t="s">
        <v>136</v>
      </c>
      <c r="D191" s="43">
        <v>2025.0</v>
      </c>
      <c r="E191" s="43" t="s">
        <v>1124</v>
      </c>
      <c r="F191" s="202"/>
      <c r="G191" s="202" t="s">
        <v>1155</v>
      </c>
      <c r="H191" s="43" t="s">
        <v>1133</v>
      </c>
      <c r="I191" s="43" t="s">
        <v>1156</v>
      </c>
      <c r="J191" s="43" t="s">
        <v>202</v>
      </c>
      <c r="K191" s="443">
        <v>28.0</v>
      </c>
      <c r="L191" s="451">
        <v>19.63</v>
      </c>
      <c r="M191" s="443">
        <v>19.6</v>
      </c>
      <c r="N191" s="452">
        <f t="array" ref="N191">IFERROR(
  INDEX(
    'Valor Hora Real y Estimada'!$A$4:$Z$78,
    MATCH(TRIM(CLEAN(A191)), 'Valor Hora Real y Estimada'!$A$4:$A$78, 0),
    MATCH(
      TEXT(C191,"dd mmm")&amp;" "&amp;D191,
      'Valor Hora Real y Estimada'!$A$3:$Z$3,
      0
    ) + 1
  ),
  0
)</f>
        <v>8973</v>
      </c>
      <c r="O191" s="453">
        <f t="shared" si="10"/>
        <v>175870.8</v>
      </c>
      <c r="P191" s="113"/>
      <c r="Q191" s="106">
        <f>IF(ISBLANK(O191), "", VLOOKUP(C191&amp;" "&amp;D191, 'Info Tipo de Cambio y REM'!$A$24:$B$35, 2, FALSE))</f>
        <v>1325</v>
      </c>
      <c r="R191" s="107">
        <f t="shared" si="2"/>
        <v>132.7326792</v>
      </c>
    </row>
    <row r="192" hidden="1">
      <c r="A192" s="443" t="s">
        <v>212</v>
      </c>
      <c r="B192" s="43" t="str">
        <f>IF(A192="", "", IFERROR(VLOOKUP(A192, Clasificaciones!A:B, 2, FALSE), "DATO NO CARGADO"))
</f>
        <v>Equipo</v>
      </c>
      <c r="C192" s="467" t="s">
        <v>136</v>
      </c>
      <c r="D192" s="43">
        <v>2025.0</v>
      </c>
      <c r="E192" s="43" t="s">
        <v>1124</v>
      </c>
      <c r="F192" s="202"/>
      <c r="G192" s="202" t="s">
        <v>1155</v>
      </c>
      <c r="H192" s="43" t="s">
        <v>1133</v>
      </c>
      <c r="I192" s="43" t="s">
        <v>1156</v>
      </c>
      <c r="J192" s="43" t="s">
        <v>202</v>
      </c>
      <c r="K192" s="443">
        <v>0.0</v>
      </c>
      <c r="L192" s="451">
        <v>13.05</v>
      </c>
      <c r="M192" s="443">
        <f>13.1-0.05</f>
        <v>13.05</v>
      </c>
      <c r="N192" s="452">
        <f t="array" ref="N192">IFERROR(
  INDEX(
    'Valor Hora Real y Estimada'!$A$4:$Z$78,
    MATCH(TRIM(CLEAN(A192)), 'Valor Hora Real y Estimada'!$A$4:$A$78, 0),
    MATCH(
      TEXT(C192,"dd mmm")&amp;" "&amp;D192,
      'Valor Hora Real y Estimada'!$A$3:$Z$3,
      0
    ) + 1
  ),
  0
)</f>
        <v>8500</v>
      </c>
      <c r="O192" s="453">
        <f t="shared" si="10"/>
        <v>110925</v>
      </c>
      <c r="P192" s="113"/>
      <c r="Q192" s="106">
        <f>IF(ISBLANK(O192), "", VLOOKUP(C192&amp;" "&amp;D192, 'Info Tipo de Cambio y REM'!$A$24:$B$35, 2, FALSE))</f>
        <v>1325</v>
      </c>
      <c r="R192" s="107">
        <f t="shared" si="2"/>
        <v>83.71698113</v>
      </c>
    </row>
    <row r="193" hidden="1">
      <c r="A193" s="443" t="s">
        <v>210</v>
      </c>
      <c r="B193" s="43" t="str">
        <f>IF(A193="", "", IFERROR(VLOOKUP(A193, Clasificaciones!A:B, 2, FALSE), "DATO NO CARGADO"))
</f>
        <v>Equipo</v>
      </c>
      <c r="C193" s="467" t="s">
        <v>136</v>
      </c>
      <c r="D193" s="43">
        <v>2025.0</v>
      </c>
      <c r="E193" s="43" t="s">
        <v>1124</v>
      </c>
      <c r="F193" s="202"/>
      <c r="G193" s="202" t="s">
        <v>1155</v>
      </c>
      <c r="H193" s="43" t="s">
        <v>1133</v>
      </c>
      <c r="I193" s="43" t="s">
        <v>1156</v>
      </c>
      <c r="J193" s="43" t="s">
        <v>202</v>
      </c>
      <c r="K193" s="443">
        <v>8.0</v>
      </c>
      <c r="L193" s="451">
        <v>4.0</v>
      </c>
      <c r="M193" s="443">
        <v>4.0</v>
      </c>
      <c r="N193" s="452">
        <f t="array" ref="N193">IFERROR(
  INDEX(
    'Valor Hora Real y Estimada'!$A$4:$Z$78,
    MATCH(TRIM(CLEAN(A193)), 'Valor Hora Real y Estimada'!$A$4:$A$78, 0),
    MATCH(
      TEXT(C193,"dd mmm")&amp;" "&amp;D193,
      'Valor Hora Real y Estimada'!$A$3:$Z$3,
      0
    ) + 1
  ),
  0
)</f>
        <v>14717</v>
      </c>
      <c r="O193" s="453">
        <f t="shared" si="10"/>
        <v>58868</v>
      </c>
      <c r="P193" s="113"/>
      <c r="Q193" s="106">
        <f>IF(ISBLANK(O193), "", VLOOKUP(C193&amp;" "&amp;D193, 'Info Tipo de Cambio y REM'!$A$24:$B$35, 2, FALSE))</f>
        <v>1325</v>
      </c>
      <c r="R193" s="107">
        <f t="shared" si="2"/>
        <v>44.42867925</v>
      </c>
    </row>
    <row r="194" hidden="1">
      <c r="A194" s="443" t="s">
        <v>226</v>
      </c>
      <c r="B194" s="43" t="str">
        <f>IF(A194="", "", IFERROR(VLOOKUP(A194, Clasificaciones!A:B, 2, FALSE), "DATO NO CARGADO"))
</f>
        <v>Administración Finanzas</v>
      </c>
      <c r="C194" s="467" t="s">
        <v>136</v>
      </c>
      <c r="D194" s="43">
        <v>2025.0</v>
      </c>
      <c r="E194" s="43" t="s">
        <v>1130</v>
      </c>
      <c r="F194" s="202"/>
      <c r="G194" s="202"/>
      <c r="H194" s="43"/>
      <c r="I194" s="43"/>
      <c r="J194" s="43"/>
      <c r="K194" s="443"/>
      <c r="L194" s="455"/>
      <c r="M194" s="443"/>
      <c r="N194" s="452">
        <f t="array" ref="N194">IFERROR(
  INDEX(
    'Valor Hora Real y Estimada'!$A$4:$Z$78,
    MATCH(TRIM(CLEAN(A194)), 'Valor Hora Real y Estimada'!$A$4:$A$78, 0),
    MATCH(
      TEXT(C194,"dd mmm")&amp;" "&amp;D194,
      'Valor Hora Real y Estimada'!$A$3:$Z$3,
      0
    ) + 1
  ),
  0
)</f>
        <v>0</v>
      </c>
      <c r="O194" s="453">
        <v>537700.0</v>
      </c>
      <c r="P194" s="113"/>
      <c r="Q194" s="106">
        <f>IF(ISBLANK(O194), "", VLOOKUP(C194&amp;" "&amp;D194, 'Info Tipo de Cambio y REM'!$A$24:$B$35, 2, FALSE))</f>
        <v>1325</v>
      </c>
      <c r="R194" s="107">
        <f t="shared" si="2"/>
        <v>405.8113208</v>
      </c>
    </row>
    <row r="195" hidden="1">
      <c r="A195" s="443" t="s">
        <v>235</v>
      </c>
      <c r="B195" s="43" t="str">
        <f>IF(A195="", "", IFERROR(VLOOKUP(A195, Clasificaciones!A:B, 2, FALSE), "DATO NO CARGADO"))
</f>
        <v>Otros Proveedores</v>
      </c>
      <c r="C195" s="467" t="s">
        <v>136</v>
      </c>
      <c r="D195" s="43">
        <v>2025.0</v>
      </c>
      <c r="E195" s="43" t="s">
        <v>1130</v>
      </c>
      <c r="F195" s="202"/>
      <c r="G195" s="202"/>
      <c r="H195" s="43"/>
      <c r="I195" s="43"/>
      <c r="J195" s="43"/>
      <c r="K195" s="443"/>
      <c r="L195" s="455"/>
      <c r="M195" s="443"/>
      <c r="N195" s="452">
        <f t="array" ref="N195">IFERROR(
  INDEX(
    'Valor Hora Real y Estimada'!$A$4:$Z$78,
    MATCH(TRIM(CLEAN(A195)), 'Valor Hora Real y Estimada'!$A$4:$A$78, 0),
    MATCH(
      TEXT(C195,"dd mmm")&amp;" "&amp;D195,
      'Valor Hora Real y Estimada'!$A$3:$Z$3,
      0
    ) + 1
  ),
  0
)</f>
        <v>0</v>
      </c>
      <c r="O195" s="453">
        <v>845000.0</v>
      </c>
      <c r="P195" s="113"/>
      <c r="Q195" s="106">
        <f>IF(ISBLANK(O195), "", VLOOKUP(C195&amp;" "&amp;D195, 'Info Tipo de Cambio y REM'!$A$24:$B$35, 2, FALSE))</f>
        <v>1325</v>
      </c>
      <c r="R195" s="107">
        <f t="shared" si="2"/>
        <v>637.7358491</v>
      </c>
    </row>
    <row r="196" hidden="1">
      <c r="A196" s="443" t="s">
        <v>219</v>
      </c>
      <c r="B196" s="43" t="str">
        <f>IF(A196="", "", IFERROR(VLOOKUP(A196, Clasificaciones!A:B, 2, FALSE), "DATO NO CARGADO"))
</f>
        <v>Gastos Varios</v>
      </c>
      <c r="C196" s="467" t="s">
        <v>136</v>
      </c>
      <c r="D196" s="43">
        <v>2025.0</v>
      </c>
      <c r="E196" s="43" t="s">
        <v>1124</v>
      </c>
      <c r="F196" s="202"/>
      <c r="G196" s="202"/>
      <c r="H196" s="43"/>
      <c r="I196" s="43"/>
      <c r="J196" s="43"/>
      <c r="K196" s="443"/>
      <c r="L196" s="455"/>
      <c r="M196" s="443"/>
      <c r="N196" s="452">
        <f t="array" ref="N196">IFERROR(
  INDEX(
    'Valor Hora Real y Estimada'!$A$4:$Z$78,
    MATCH(TRIM(CLEAN(A196)), 'Valor Hora Real y Estimada'!$A$4:$A$78, 0),
    MATCH(
      TEXT(C196,"dd mmm")&amp;" "&amp;D196,
      'Valor Hora Real y Estimada'!$A$3:$Z$3,
      0
    ) + 1
  ),
  0
)</f>
        <v>0</v>
      </c>
      <c r="O196" s="453">
        <v>495998.0</v>
      </c>
      <c r="P196" s="113"/>
      <c r="Q196" s="106">
        <f>IF(ISBLANK(O196), "", VLOOKUP(C196&amp;" "&amp;D196, 'Info Tipo de Cambio y REM'!$A$24:$B$35, 2, FALSE))</f>
        <v>1325</v>
      </c>
      <c r="R196" s="107">
        <f t="shared" si="2"/>
        <v>374.3381132</v>
      </c>
    </row>
    <row r="197" hidden="1">
      <c r="A197" s="443" t="s">
        <v>169</v>
      </c>
      <c r="B197" s="43" t="str">
        <f>IF(A197="", "", IFERROR(VLOOKUP(A197, Clasificaciones!A:B, 2, FALSE), "DATO NO CARGADO"))
</f>
        <v>Suscripciones/Herramientas</v>
      </c>
      <c r="C197" s="467" t="s">
        <v>136</v>
      </c>
      <c r="D197" s="43">
        <v>2025.0</v>
      </c>
      <c r="E197" s="43" t="s">
        <v>1130</v>
      </c>
      <c r="F197" s="202"/>
      <c r="G197" s="202"/>
      <c r="H197" s="43"/>
      <c r="I197" s="43"/>
      <c r="J197" s="43"/>
      <c r="K197" s="443"/>
      <c r="L197" s="455"/>
      <c r="M197" s="443"/>
      <c r="N197" s="452">
        <f t="array" ref="N197">IFERROR(
  INDEX(
    'Valor Hora Real y Estimada'!$A$4:$Z$78,
    MATCH(TRIM(CLEAN(A197)), 'Valor Hora Real y Estimada'!$A$4:$A$78, 0),
    MATCH(
      TEXT(C197,"dd mmm")&amp;" "&amp;D197,
      'Valor Hora Real y Estimada'!$A$3:$Z$3,
      0
    ) + 1
  ),
  0
)</f>
        <v>0</v>
      </c>
      <c r="O197" s="89"/>
      <c r="P197" s="112">
        <v>0.0</v>
      </c>
      <c r="Q197" s="106" t="str">
        <f>IF(ISBLANK(O197), "", VLOOKUP(C197&amp;" "&amp;D197, 'Info Tipo de Cambio y REM'!$A$24:$B$35, 2, FALSE))</f>
        <v/>
      </c>
      <c r="R197" s="107">
        <f t="shared" si="2"/>
        <v>0</v>
      </c>
    </row>
    <row r="198" hidden="1">
      <c r="A198" s="443" t="s">
        <v>187</v>
      </c>
      <c r="B198" s="43" t="str">
        <f>IF(A198="", "", IFERROR(VLOOKUP(A198, Clasificaciones!A:B, 2, FALSE), "DATO NO CARGADO"))
</f>
        <v>Gastos Varios</v>
      </c>
      <c r="C198" s="467" t="s">
        <v>136</v>
      </c>
      <c r="D198" s="43">
        <v>2025.0</v>
      </c>
      <c r="E198" s="43" t="s">
        <v>1124</v>
      </c>
      <c r="F198" s="202"/>
      <c r="G198" s="202"/>
      <c r="H198" s="43"/>
      <c r="I198" s="43"/>
      <c r="J198" s="43"/>
      <c r="K198" s="443"/>
      <c r="L198" s="455"/>
      <c r="M198" s="443"/>
      <c r="N198" s="452">
        <f t="array" ref="N198">IFERROR(
  INDEX(
    'Valor Hora Real y Estimada'!$A$4:$Z$78,
    MATCH(TRIM(CLEAN(A198)), 'Valor Hora Real y Estimada'!$A$4:$A$78, 0),
    MATCH(
      TEXT(C198,"dd mmm")&amp;" "&amp;D198,
      'Valor Hora Real y Estimada'!$A$3:$Z$3,
      0
    ) + 1
  ),
  0
)</f>
        <v>0</v>
      </c>
      <c r="O198" s="71"/>
      <c r="P198" s="112">
        <v>600.0</v>
      </c>
      <c r="Q198" s="106" t="str">
        <f>IF(ISBLANK(O198), "", VLOOKUP(C198&amp;" "&amp;D198, 'Info Tipo de Cambio y REM'!$A$24:$B$35, 2, FALSE))</f>
        <v/>
      </c>
      <c r="R198" s="107">
        <f t="shared" si="2"/>
        <v>600</v>
      </c>
    </row>
    <row r="199" hidden="1">
      <c r="A199" s="443" t="s">
        <v>164</v>
      </c>
      <c r="B199" s="43" t="str">
        <f>IF(A199="", "", IFERROR(VLOOKUP(A199, Clasificaciones!A:B, 2, FALSE), "DATO NO CARGADO"))
</f>
        <v>Estudio Contable</v>
      </c>
      <c r="C199" s="467" t="s">
        <v>136</v>
      </c>
      <c r="D199" s="43">
        <v>2025.0</v>
      </c>
      <c r="E199" s="43" t="s">
        <v>1130</v>
      </c>
      <c r="F199" s="202"/>
      <c r="G199" s="202"/>
      <c r="H199" s="43"/>
      <c r="I199" s="43"/>
      <c r="J199" s="43"/>
      <c r="K199" s="443"/>
      <c r="L199" s="455"/>
      <c r="M199" s="443"/>
      <c r="N199" s="452">
        <f t="array" ref="N199">IFERROR(
  INDEX(
    'Valor Hora Real y Estimada'!$A$4:$Z$78,
    MATCH(TRIM(CLEAN(A199)), 'Valor Hora Real y Estimada'!$A$4:$A$78, 0),
    MATCH(
      TEXT(C199,"dd mmm")&amp;" "&amp;D199,
      'Valor Hora Real y Estimada'!$A$3:$Z$3,
      0
    ) + 1
  ),
  0
)</f>
        <v>0</v>
      </c>
      <c r="O199" s="71">
        <v>69810.0</v>
      </c>
      <c r="P199" s="113"/>
      <c r="Q199" s="106">
        <f>IF(ISBLANK(O199), "", VLOOKUP(C199&amp;" "&amp;D199, 'Info Tipo de Cambio y REM'!$A$24:$B$35, 2, FALSE))</f>
        <v>1325</v>
      </c>
      <c r="R199" s="107">
        <f t="shared" si="2"/>
        <v>52.68679245</v>
      </c>
    </row>
    <row r="200" hidden="1">
      <c r="A200" s="443" t="s">
        <v>146</v>
      </c>
      <c r="B200" s="43" t="str">
        <f>IF(A200="", "", IFERROR(VLOOKUP(A200, Clasificaciones!A:B, 2, FALSE), "DATO NO CARGADO"))
</f>
        <v>Impuestos ARG</v>
      </c>
      <c r="C200" s="467" t="s">
        <v>136</v>
      </c>
      <c r="D200" s="43">
        <v>2025.0</v>
      </c>
      <c r="E200" s="43" t="s">
        <v>1130</v>
      </c>
      <c r="F200" s="202"/>
      <c r="G200" s="202"/>
      <c r="H200" s="43"/>
      <c r="I200" s="43"/>
      <c r="J200" s="43"/>
      <c r="K200" s="443"/>
      <c r="L200" s="455"/>
      <c r="M200" s="443"/>
      <c r="N200" s="452">
        <f t="array" ref="N200">IFERROR(
  INDEX(
    'Valor Hora Real y Estimada'!$A$4:$Z$78,
    MATCH(TRIM(CLEAN(A200)), 'Valor Hora Real y Estimada'!$A$4:$A$78, 0),
    MATCH(
      TEXT(C200,"dd mmm")&amp;" "&amp;D200,
      'Valor Hora Real y Estimada'!$A$3:$Z$3,
      0
    ) + 1
  ),
  0
)</f>
        <v>0</v>
      </c>
      <c r="O200" s="89">
        <v>466656.0</v>
      </c>
      <c r="P200" s="113"/>
      <c r="Q200" s="106">
        <f>IF(ISBLANK(O200), "", VLOOKUP(C200&amp;" "&amp;D200, 'Info Tipo de Cambio y REM'!$A$24:$B$35, 2, FALSE))</f>
        <v>1325</v>
      </c>
      <c r="R200" s="107">
        <f t="shared" si="2"/>
        <v>352.1932075</v>
      </c>
    </row>
    <row r="201" hidden="1">
      <c r="A201" s="443" t="s">
        <v>152</v>
      </c>
      <c r="B201" s="43" t="str">
        <f>IF(A201="", "", IFERROR(VLOOKUP(A201, Clasificaciones!A:B, 2, FALSE), "DATO NO CARGADO"))
</f>
        <v>Impuestos ARG</v>
      </c>
      <c r="C201" s="467" t="s">
        <v>136</v>
      </c>
      <c r="D201" s="43">
        <v>2025.0</v>
      </c>
      <c r="E201" s="43" t="s">
        <v>1130</v>
      </c>
      <c r="F201" s="202"/>
      <c r="G201" s="202"/>
      <c r="H201" s="43"/>
      <c r="I201" s="43"/>
      <c r="J201" s="43"/>
      <c r="K201" s="443"/>
      <c r="L201" s="455"/>
      <c r="M201" s="443"/>
      <c r="N201" s="452">
        <f t="array" ref="N201">IFERROR(
  INDEX(
    'Valor Hora Real y Estimada'!$A$4:$Z$78,
    MATCH(TRIM(CLEAN(A201)), 'Valor Hora Real y Estimada'!$A$4:$A$78, 0),
    MATCH(
      TEXT(C201,"dd mmm")&amp;" "&amp;D201,
      'Valor Hora Real y Estimada'!$A$3:$Z$3,
      0
    ) + 1
  ),
  0
)</f>
        <v>0</v>
      </c>
      <c r="O201" s="89">
        <v>2420141.0</v>
      </c>
      <c r="P201" s="113"/>
      <c r="Q201" s="106">
        <f>IF(ISBLANK(O201), "", VLOOKUP(C201&amp;" "&amp;D201, 'Info Tipo de Cambio y REM'!$A$24:$B$35, 2, FALSE))</f>
        <v>1325</v>
      </c>
      <c r="R201" s="107">
        <f t="shared" si="2"/>
        <v>1826.521509</v>
      </c>
    </row>
    <row r="202" hidden="1">
      <c r="A202" s="443" t="s">
        <v>222</v>
      </c>
      <c r="B202" s="43" t="str">
        <f>IF(A202="", "", IFERROR(VLOOKUP(A202, Clasificaciones!A:B, 2, FALSE), "DATO NO CARGADO"))
</f>
        <v>Oxean</v>
      </c>
      <c r="C202" s="467" t="s">
        <v>136</v>
      </c>
      <c r="D202" s="43">
        <v>2025.0</v>
      </c>
      <c r="E202" s="43" t="s">
        <v>1130</v>
      </c>
      <c r="F202" s="202"/>
      <c r="G202" s="202"/>
      <c r="H202" s="43"/>
      <c r="I202" s="43"/>
      <c r="J202" s="43"/>
      <c r="K202" s="443"/>
      <c r="L202" s="455"/>
      <c r="M202" s="443"/>
      <c r="N202" s="452">
        <f t="array" ref="N202">IFERROR(
  INDEX(
    'Valor Hora Real y Estimada'!$A$4:$Z$78,
    MATCH(TRIM(CLEAN(A202)), 'Valor Hora Real y Estimada'!$A$4:$A$78, 0),
    MATCH(
      TEXT(C202,"dd mmm")&amp;" "&amp;D202,
      'Valor Hora Real y Estimada'!$A$3:$Z$3,
      0
    ) + 1
  ),
  0
)</f>
        <v>0</v>
      </c>
      <c r="O202" s="71">
        <v>4500000.0</v>
      </c>
      <c r="P202" s="113"/>
      <c r="Q202" s="106">
        <f>IF(ISBLANK(O202), "", VLOOKUP(C202&amp;" "&amp;D202, 'Info Tipo de Cambio y REM'!$A$24:$B$35, 2, FALSE))</f>
        <v>1325</v>
      </c>
      <c r="R202" s="107">
        <f t="shared" si="2"/>
        <v>3396.226415</v>
      </c>
    </row>
    <row r="203" hidden="1">
      <c r="A203" s="443" t="s">
        <v>191</v>
      </c>
      <c r="B203" s="43" t="str">
        <f>IF(A203="", "", IFERROR(VLOOKUP(A203, Clasificaciones!A:B, 2, FALSE), "DATO NO CARGADO"))
</f>
        <v>Tarjeta</v>
      </c>
      <c r="C203" s="467" t="s">
        <v>136</v>
      </c>
      <c r="D203" s="43">
        <v>2025.0</v>
      </c>
      <c r="E203" s="43" t="s">
        <v>1130</v>
      </c>
      <c r="F203" s="202"/>
      <c r="G203" s="202"/>
      <c r="H203" s="43"/>
      <c r="I203" s="43"/>
      <c r="J203" s="43"/>
      <c r="K203" s="443"/>
      <c r="L203" s="455"/>
      <c r="M203" s="443"/>
      <c r="N203" s="452">
        <f t="array" ref="N203">IFERROR(
  INDEX(
    'Valor Hora Real y Estimada'!$A$4:$Z$78,
    MATCH(TRIM(CLEAN(A203)), 'Valor Hora Real y Estimada'!$A$4:$A$78, 0),
    MATCH(
      TEXT(C203,"dd mmm")&amp;" "&amp;D203,
      'Valor Hora Real y Estimada'!$A$3:$Z$3,
      0
    ) + 1
  ),
  0
)</f>
        <v>0</v>
      </c>
      <c r="O203" s="453"/>
      <c r="P203" s="112">
        <v>12.0</v>
      </c>
      <c r="Q203" s="106" t="str">
        <f>IF(ISBLANK(O203), "", VLOOKUP(C203&amp;" "&amp;D203, 'Info Tipo de Cambio y REM'!$A$24:$B$35, 2, FALSE))</f>
        <v/>
      </c>
      <c r="R203" s="107">
        <f t="shared" si="2"/>
        <v>12</v>
      </c>
    </row>
    <row r="204" hidden="1">
      <c r="A204" s="443" t="s">
        <v>191</v>
      </c>
      <c r="B204" s="43" t="str">
        <f>IF(A204="", "", IFERROR(VLOOKUP(A204, Clasificaciones!A:B, 2, FALSE), "DATO NO CARGADO"))
</f>
        <v>Tarjeta</v>
      </c>
      <c r="C204" s="467" t="s">
        <v>136</v>
      </c>
      <c r="D204" s="43">
        <v>2025.0</v>
      </c>
      <c r="E204" s="43" t="s">
        <v>1130</v>
      </c>
      <c r="F204" s="202"/>
      <c r="G204" s="202"/>
      <c r="H204" s="43"/>
      <c r="I204" s="43"/>
      <c r="J204" s="43"/>
      <c r="K204" s="443"/>
      <c r="L204" s="455"/>
      <c r="M204" s="443"/>
      <c r="N204" s="452">
        <f t="array" ref="N204">IFERROR(
  INDEX(
    'Valor Hora Real y Estimada'!$A$4:$Z$78,
    MATCH(TRIM(CLEAN(A204)), 'Valor Hora Real y Estimada'!$A$4:$A$78, 0),
    MATCH(
      TEXT(C204,"dd mmm")&amp;" "&amp;D204,
      'Valor Hora Real y Estimada'!$A$3:$Z$3,
      0
    ) + 1
  ),
  0
)</f>
        <v>0</v>
      </c>
      <c r="O204" s="453"/>
      <c r="P204" s="112">
        <v>515.0</v>
      </c>
      <c r="Q204" s="106" t="str">
        <f>IF(ISBLANK(O204), "", VLOOKUP(C204&amp;" "&amp;D204, 'Info Tipo de Cambio y REM'!$A$24:$B$35, 2, FALSE))</f>
        <v/>
      </c>
      <c r="R204" s="107">
        <f t="shared" si="2"/>
        <v>515</v>
      </c>
    </row>
    <row r="205" hidden="1">
      <c r="A205" s="443" t="s">
        <v>191</v>
      </c>
      <c r="B205" s="43" t="str">
        <f>IF(A205="", "", IFERROR(VLOOKUP(A205, Clasificaciones!A:B, 2, FALSE), "DATO NO CARGADO"))
</f>
        <v>Tarjeta</v>
      </c>
      <c r="C205" s="467" t="s">
        <v>136</v>
      </c>
      <c r="D205" s="43">
        <v>2025.0</v>
      </c>
      <c r="E205" s="43" t="s">
        <v>1130</v>
      </c>
      <c r="F205" s="202"/>
      <c r="G205" s="202"/>
      <c r="H205" s="43"/>
      <c r="I205" s="43"/>
      <c r="J205" s="43"/>
      <c r="K205" s="443"/>
      <c r="L205" s="455"/>
      <c r="M205" s="443"/>
      <c r="N205" s="452">
        <f t="array" ref="N205">IFERROR(
  INDEX(
    'Valor Hora Real y Estimada'!$A$4:$Z$78,
    MATCH(TRIM(CLEAN(A205)), 'Valor Hora Real y Estimada'!$A$4:$A$78, 0),
    MATCH(
      TEXT(C205,"dd mmm")&amp;" "&amp;D205,
      'Valor Hora Real y Estimada'!$A$3:$Z$3,
      0
    ) + 1
  ),
  0
)</f>
        <v>0</v>
      </c>
      <c r="O205" s="453"/>
      <c r="P205" s="112">
        <v>112.0</v>
      </c>
      <c r="Q205" s="106" t="str">
        <f>IF(ISBLANK(O205), "", VLOOKUP(C205&amp;" "&amp;D205, 'Info Tipo de Cambio y REM'!$A$24:$B$35, 2, FALSE))</f>
        <v/>
      </c>
      <c r="R205" s="107">
        <f t="shared" si="2"/>
        <v>112</v>
      </c>
    </row>
    <row r="206" hidden="1">
      <c r="A206" s="443" t="s">
        <v>191</v>
      </c>
      <c r="B206" s="43" t="str">
        <f>IF(A206="", "", IFERROR(VLOOKUP(A206, Clasificaciones!A:B, 2, FALSE), "DATO NO CARGADO"))
</f>
        <v>Tarjeta</v>
      </c>
      <c r="C206" s="467" t="s">
        <v>136</v>
      </c>
      <c r="D206" s="43">
        <v>2025.0</v>
      </c>
      <c r="E206" s="43" t="s">
        <v>1130</v>
      </c>
      <c r="F206" s="202"/>
      <c r="G206" s="202"/>
      <c r="H206" s="43"/>
      <c r="I206" s="43"/>
      <c r="J206" s="43"/>
      <c r="K206" s="443"/>
      <c r="L206" s="455"/>
      <c r="M206" s="443"/>
      <c r="N206" s="452">
        <f t="array" ref="N206">IFERROR(
  INDEX(
    'Valor Hora Real y Estimada'!$A$4:$Z$78,
    MATCH(TRIM(CLEAN(A206)), 'Valor Hora Real y Estimada'!$A$4:$A$78, 0),
    MATCH(
      TEXT(C206,"dd mmm")&amp;" "&amp;D206,
      'Valor Hora Real y Estimada'!$A$3:$Z$3,
      0
    ) + 1
  ),
  0
)</f>
        <v>0</v>
      </c>
      <c r="O206" s="453"/>
      <c r="P206" s="112">
        <v>7.72</v>
      </c>
      <c r="Q206" s="106" t="str">
        <f>IF(ISBLANK(O206), "", VLOOKUP(C206&amp;" "&amp;D206, 'Info Tipo de Cambio y REM'!$A$24:$B$35, 2, FALSE))</f>
        <v/>
      </c>
      <c r="R206" s="107">
        <f t="shared" si="2"/>
        <v>7.72</v>
      </c>
    </row>
    <row r="207" hidden="1">
      <c r="A207" s="443" t="s">
        <v>191</v>
      </c>
      <c r="B207" s="43" t="str">
        <f>IF(A207="", "", IFERROR(VLOOKUP(A207, Clasificaciones!A:B, 2, FALSE), "DATO NO CARGADO"))
</f>
        <v>Tarjeta</v>
      </c>
      <c r="C207" s="467" t="s">
        <v>136</v>
      </c>
      <c r="D207" s="43">
        <v>2025.0</v>
      </c>
      <c r="E207" s="43" t="s">
        <v>1130</v>
      </c>
      <c r="F207" s="202"/>
      <c r="G207" s="202"/>
      <c r="H207" s="43"/>
      <c r="I207" s="43"/>
      <c r="J207" s="43"/>
      <c r="K207" s="443"/>
      <c r="L207" s="455"/>
      <c r="M207" s="443"/>
      <c r="N207" s="452">
        <f t="array" ref="N207">IFERROR(
  INDEX(
    'Valor Hora Real y Estimada'!$A$4:$Z$78,
    MATCH(TRIM(CLEAN(A207)), 'Valor Hora Real y Estimada'!$A$4:$A$78, 0),
    MATCH(
      TEXT(C207,"dd mmm")&amp;" "&amp;D207,
      'Valor Hora Real y Estimada'!$A$3:$Z$3,
      0
    ) + 1
  ),
  0
)</f>
        <v>0</v>
      </c>
      <c r="O207" s="453"/>
      <c r="P207" s="112">
        <v>14.19</v>
      </c>
      <c r="Q207" s="106" t="str">
        <f>IF(ISBLANK(O207), "", VLOOKUP(C207&amp;" "&amp;D207, 'Info Tipo de Cambio y REM'!$A$24:$B$35, 2, FALSE))</f>
        <v/>
      </c>
      <c r="R207" s="107">
        <f t="shared" si="2"/>
        <v>14.19</v>
      </c>
    </row>
    <row r="208" hidden="1">
      <c r="A208" s="443" t="s">
        <v>139</v>
      </c>
      <c r="B208" s="43" t="str">
        <f>IF(A208="", "", IFERROR(VLOOKUP(A208, Clasificaciones!A:B, 2, FALSE), "DATO NO CARGADO"))
</f>
        <v>People</v>
      </c>
      <c r="C208" s="467" t="s">
        <v>136</v>
      </c>
      <c r="D208" s="43">
        <v>2025.0</v>
      </c>
      <c r="E208" s="43" t="s">
        <v>1130</v>
      </c>
      <c r="F208" s="202"/>
      <c r="G208" s="202"/>
      <c r="H208" s="43"/>
      <c r="I208" s="43"/>
      <c r="J208" s="43"/>
      <c r="K208" s="443"/>
      <c r="L208" s="455"/>
      <c r="M208" s="443"/>
      <c r="N208" s="452">
        <f t="array" ref="N208">IFERROR(
  INDEX(
    'Valor Hora Real y Estimada'!$A$4:$Z$78,
    MATCH(TRIM(CLEAN(A208)), 'Valor Hora Real y Estimada'!$A$4:$A$78, 0),
    MATCH(
      TEXT(C208,"dd mmm")&amp;" "&amp;D208,
      'Valor Hora Real y Estimada'!$A$3:$Z$3,
      0
    ) + 1
  ),
  0
)</f>
        <v>0</v>
      </c>
      <c r="O208" s="468">
        <v>103712.0</v>
      </c>
      <c r="P208" s="113"/>
      <c r="Q208" s="106">
        <f>IF(ISBLANK(O208), "", VLOOKUP(C208&amp;" "&amp;D208, 'Info Tipo de Cambio y REM'!$A$24:$B$35, 2, FALSE))</f>
        <v>1325</v>
      </c>
      <c r="R208" s="107">
        <f t="shared" si="2"/>
        <v>78.27320755</v>
      </c>
    </row>
    <row r="209">
      <c r="A209" s="443" t="s">
        <v>120</v>
      </c>
      <c r="B209" s="43" t="str">
        <f>IF(A209="", "", IFERROR(VLOOKUP(A209, Clasificaciones!A:B, 2, FALSE), "DATO NO CARGADO"))
</f>
        <v>Equipo</v>
      </c>
      <c r="C209" s="51" t="s">
        <v>143</v>
      </c>
      <c r="D209" s="43">
        <v>2025.0</v>
      </c>
      <c r="E209" s="43" t="s">
        <v>1124</v>
      </c>
      <c r="F209" s="202"/>
      <c r="G209" s="202" t="s">
        <v>1157</v>
      </c>
      <c r="H209" s="43" t="s">
        <v>1126</v>
      </c>
      <c r="I209" s="43" t="s">
        <v>1129</v>
      </c>
      <c r="J209" s="43" t="s">
        <v>183</v>
      </c>
      <c r="K209" s="443">
        <v>5.0</v>
      </c>
      <c r="L209" s="451">
        <v>11.62</v>
      </c>
      <c r="M209" s="443">
        <v>7.1</v>
      </c>
      <c r="N209" s="452">
        <f t="array" ref="N209">IFERROR(
  INDEX(
    'Valor Hora Real y Estimada'!$A$4:$Z$78,
    MATCH(TRIM(CLEAN(A209)), 'Valor Hora Real y Estimada'!$A$4:$A$78, 0),
    MATCH(
      TEXT(C209,"dd mmm")&amp;" "&amp;D209,
      'Valor Hora Real y Estimada'!$A$3:$Z$3,
      0
    ) + 1
  ),
  0
)</f>
        <v>24166.66667</v>
      </c>
      <c r="O209" s="453">
        <f t="shared" ref="O209:O260" si="11">N209*M209</f>
        <v>171583.3333</v>
      </c>
      <c r="P209" s="113"/>
      <c r="Q209" s="106">
        <f>IF(ISBLANK(O209), "", VLOOKUP(C209&amp;" "&amp;D209, 'Info Tipo de Cambio y REM'!$A$24:$B$35, 2, FALSE))</f>
        <v>1185</v>
      </c>
      <c r="R209" s="107">
        <f t="shared" si="2"/>
        <v>144.7960619</v>
      </c>
    </row>
    <row r="210">
      <c r="A210" s="443" t="s">
        <v>200</v>
      </c>
      <c r="B210" s="43" t="str">
        <f>IF(A210="", "", IFERROR(VLOOKUP(A210, Clasificaciones!A:B, 2, FALSE), "DATO NO CARGADO"))
</f>
        <v>Equipo</v>
      </c>
      <c r="C210" s="51" t="s">
        <v>143</v>
      </c>
      <c r="D210" s="43">
        <v>2025.0</v>
      </c>
      <c r="E210" s="43" t="s">
        <v>1124</v>
      </c>
      <c r="F210" s="202"/>
      <c r="G210" s="202" t="s">
        <v>1157</v>
      </c>
      <c r="H210" s="43" t="s">
        <v>1126</v>
      </c>
      <c r="I210" s="43" t="s">
        <v>1129</v>
      </c>
      <c r="J210" s="43" t="s">
        <v>183</v>
      </c>
      <c r="K210" s="443">
        <v>60.0</v>
      </c>
      <c r="L210" s="455">
        <f>37.33+29.48+9.5+1.25</f>
        <v>77.56</v>
      </c>
      <c r="M210" s="443">
        <v>72.0</v>
      </c>
      <c r="N210" s="452">
        <f t="array" ref="N210">IFERROR(
  INDEX(
    'Valor Hora Real y Estimada'!$A$4:$Z$78,
    MATCH(TRIM(CLEAN(A210)), 'Valor Hora Real y Estimada'!$A$4:$A$78, 0),
    MATCH(
      TEXT(C210,"dd mmm")&amp;" "&amp;D210,
      'Valor Hora Real y Estimada'!$A$3:$Z$3,
      0
    ) + 1
  ),
  0
)</f>
        <v>16856</v>
      </c>
      <c r="O210" s="453">
        <f t="shared" si="11"/>
        <v>1213632</v>
      </c>
      <c r="P210" s="113"/>
      <c r="Q210" s="106">
        <f>IF(ISBLANK(O210), "", VLOOKUP(C210&amp;" "&amp;D210, 'Info Tipo de Cambio y REM'!$A$24:$B$35, 2, FALSE))</f>
        <v>1185</v>
      </c>
      <c r="R210" s="107">
        <f t="shared" si="2"/>
        <v>1024.162025</v>
      </c>
    </row>
    <row r="211">
      <c r="A211" s="443" t="s">
        <v>218</v>
      </c>
      <c r="B211" s="43" t="str">
        <f>IF(A211="", "", IFERROR(VLOOKUP(A211, Clasificaciones!A:B, 2, FALSE), "DATO NO CARGADO"))
</f>
        <v>Equipo</v>
      </c>
      <c r="C211" s="51" t="s">
        <v>143</v>
      </c>
      <c r="D211" s="43">
        <v>2025.0</v>
      </c>
      <c r="E211" s="43" t="s">
        <v>1124</v>
      </c>
      <c r="F211" s="202"/>
      <c r="G211" s="202" t="s">
        <v>1157</v>
      </c>
      <c r="H211" s="43" t="s">
        <v>1126</v>
      </c>
      <c r="I211" s="43" t="s">
        <v>1129</v>
      </c>
      <c r="J211" s="43" t="s">
        <v>183</v>
      </c>
      <c r="K211" s="443">
        <v>32.0</v>
      </c>
      <c r="L211" s="451">
        <v>35.12</v>
      </c>
      <c r="M211" s="443">
        <f>35.1+0.19</f>
        <v>35.29</v>
      </c>
      <c r="N211" s="452">
        <f t="array" ref="N211">IFERROR(
  INDEX(
    'Valor Hora Real y Estimada'!$A$4:$Z$78,
    MATCH(TRIM(CLEAN(A211)), 'Valor Hora Real y Estimada'!$A$4:$A$78, 0),
    MATCH(
      TEXT(C211,"dd mmm")&amp;" "&amp;D211,
      'Valor Hora Real y Estimada'!$A$3:$Z$3,
      0
    ) + 1
  ),
  0
)</f>
        <v>19000</v>
      </c>
      <c r="O211" s="453">
        <f t="shared" si="11"/>
        <v>670510</v>
      </c>
      <c r="P211" s="113"/>
      <c r="Q211" s="106">
        <f>IF(ISBLANK(O211), "", VLOOKUP(C211&amp;" "&amp;D211, 'Info Tipo de Cambio y REM'!$A$24:$B$35, 2, FALSE))</f>
        <v>1185</v>
      </c>
      <c r="R211" s="107">
        <f t="shared" si="2"/>
        <v>565.8312236</v>
      </c>
    </row>
    <row r="212">
      <c r="A212" s="443" t="s">
        <v>197</v>
      </c>
      <c r="B212" s="43" t="str">
        <f>IF(A212="", "", IFERROR(VLOOKUP(A212, Clasificaciones!A:B, 2, FALSE), "DATO NO CARGADO"))
</f>
        <v>Equipo</v>
      </c>
      <c r="C212" s="51" t="s">
        <v>143</v>
      </c>
      <c r="D212" s="43">
        <v>2025.0</v>
      </c>
      <c r="E212" s="43" t="s">
        <v>1124</v>
      </c>
      <c r="F212" s="202"/>
      <c r="G212" s="202" t="s">
        <v>1157</v>
      </c>
      <c r="H212" s="43" t="s">
        <v>1126</v>
      </c>
      <c r="I212" s="43" t="s">
        <v>1129</v>
      </c>
      <c r="J212" s="43" t="s">
        <v>183</v>
      </c>
      <c r="K212" s="443">
        <v>5.0</v>
      </c>
      <c r="L212" s="451">
        <f>60.5+1.75</f>
        <v>62.25</v>
      </c>
      <c r="M212" s="443">
        <v>60.5</v>
      </c>
      <c r="N212" s="452">
        <f t="array" ref="N212">IFERROR(
  INDEX(
    'Valor Hora Real y Estimada'!$A$4:$Z$78,
    MATCH(TRIM(CLEAN(A212)), 'Valor Hora Real y Estimada'!$A$4:$A$78, 0),
    MATCH(
      TEXT(C212,"dd mmm")&amp;" "&amp;D212,
      'Valor Hora Real y Estimada'!$A$3:$Z$3,
      0
    ) + 1
  ),
  0
)</f>
        <v>11081</v>
      </c>
      <c r="O212" s="453">
        <f t="shared" si="11"/>
        <v>670400.5</v>
      </c>
      <c r="P212" s="113"/>
      <c r="Q212" s="106">
        <f>IF(ISBLANK(O212), "", VLOOKUP(C212&amp;" "&amp;D212, 'Info Tipo de Cambio y REM'!$A$24:$B$35, 2, FALSE))</f>
        <v>1185</v>
      </c>
      <c r="R212" s="107">
        <f t="shared" si="2"/>
        <v>565.7388186</v>
      </c>
    </row>
    <row r="213">
      <c r="A213" s="443" t="s">
        <v>221</v>
      </c>
      <c r="B213" s="43" t="str">
        <f>IF(A213="", "", IFERROR(VLOOKUP(A213, Clasificaciones!A:B, 2, FALSE), "DATO NO CARGADO"))
</f>
        <v>Equipo</v>
      </c>
      <c r="C213" s="51" t="s">
        <v>143</v>
      </c>
      <c r="D213" s="43">
        <v>2025.0</v>
      </c>
      <c r="E213" s="43" t="s">
        <v>1124</v>
      </c>
      <c r="F213" s="202"/>
      <c r="G213" s="202" t="s">
        <v>1157</v>
      </c>
      <c r="H213" s="43" t="s">
        <v>1126</v>
      </c>
      <c r="I213" s="43" t="s">
        <v>1129</v>
      </c>
      <c r="J213" s="43" t="s">
        <v>183</v>
      </c>
      <c r="K213" s="443">
        <v>60.0</v>
      </c>
      <c r="L213" s="455">
        <f>38+0.67</f>
        <v>38.67</v>
      </c>
      <c r="M213" s="443">
        <v>38.0</v>
      </c>
      <c r="N213" s="452">
        <f t="array" ref="N213">IFERROR(
  INDEX(
    'Valor Hora Real y Estimada'!$A$4:$Z$78,
    MATCH(TRIM(CLEAN(A213)), 'Valor Hora Real y Estimada'!$A$4:$A$78, 0),
    MATCH(
      TEXT(C213,"dd mmm")&amp;" "&amp;D213,
      'Valor Hora Real y Estimada'!$A$3:$Z$3,
      0
    ) + 1
  ),
  0
)</f>
        <v>10121</v>
      </c>
      <c r="O213" s="453">
        <f t="shared" si="11"/>
        <v>384598</v>
      </c>
      <c r="P213" s="113"/>
      <c r="Q213" s="106">
        <f>IF(ISBLANK(O213), "", VLOOKUP(C213&amp;" "&amp;D213, 'Info Tipo de Cambio y REM'!$A$24:$B$35, 2, FALSE))</f>
        <v>1185</v>
      </c>
      <c r="R213" s="107">
        <f t="shared" si="2"/>
        <v>324.5552743</v>
      </c>
    </row>
    <row r="214">
      <c r="A214" s="443" t="s">
        <v>205</v>
      </c>
      <c r="B214" s="43" t="str">
        <f>IF(A214="", "", IFERROR(VLOOKUP(A214, Clasificaciones!A:B, 2, FALSE), "DATO NO CARGADO"))
</f>
        <v>Equipo</v>
      </c>
      <c r="C214" s="51" t="s">
        <v>143</v>
      </c>
      <c r="D214" s="43">
        <v>2025.0</v>
      </c>
      <c r="E214" s="43" t="s">
        <v>1124</v>
      </c>
      <c r="F214" s="202"/>
      <c r="G214" s="202" t="s">
        <v>1157</v>
      </c>
      <c r="H214" s="43" t="s">
        <v>1126</v>
      </c>
      <c r="I214" s="43" t="s">
        <v>1129</v>
      </c>
      <c r="J214" s="43" t="s">
        <v>183</v>
      </c>
      <c r="K214" s="443">
        <v>100.0</v>
      </c>
      <c r="L214" s="455">
        <f>82.05+4</f>
        <v>86.05</v>
      </c>
      <c r="M214" s="443">
        <v>86.1</v>
      </c>
      <c r="N214" s="452">
        <f t="array" ref="N214">IFERROR(
  INDEX(
    'Valor Hora Real y Estimada'!$A$4:$Z$78,
    MATCH(TRIM(CLEAN(A214)), 'Valor Hora Real y Estimada'!$A$4:$A$78, 0),
    MATCH(
      TEXT(C214,"dd mmm")&amp;" "&amp;D214,
      'Valor Hora Real y Estimada'!$A$3:$Z$3,
      0
    ) + 1
  ),
  0
)</f>
        <v>10000</v>
      </c>
      <c r="O214" s="453">
        <f t="shared" si="11"/>
        <v>861000</v>
      </c>
      <c r="P214" s="113"/>
      <c r="Q214" s="106">
        <f>IF(ISBLANK(O214), "", VLOOKUP(C214&amp;" "&amp;D214, 'Info Tipo de Cambio y REM'!$A$24:$B$35, 2, FALSE))</f>
        <v>1185</v>
      </c>
      <c r="R214" s="107">
        <f t="shared" si="2"/>
        <v>726.5822785</v>
      </c>
    </row>
    <row r="215">
      <c r="A215" s="443" t="s">
        <v>212</v>
      </c>
      <c r="B215" s="43" t="str">
        <f>IF(A215="", "", IFERROR(VLOOKUP(A215, Clasificaciones!A:B, 2, FALSE), "DATO NO CARGADO"))
</f>
        <v>Equipo</v>
      </c>
      <c r="C215" s="51" t="s">
        <v>143</v>
      </c>
      <c r="D215" s="43">
        <v>2025.0</v>
      </c>
      <c r="E215" s="43" t="s">
        <v>1124</v>
      </c>
      <c r="F215" s="202"/>
      <c r="G215" s="202" t="s">
        <v>1157</v>
      </c>
      <c r="H215" s="43" t="s">
        <v>1126</v>
      </c>
      <c r="I215" s="43" t="s">
        <v>1129</v>
      </c>
      <c r="J215" s="43" t="s">
        <v>183</v>
      </c>
      <c r="K215" s="443">
        <v>10.0</v>
      </c>
      <c r="L215" s="455">
        <f>23.78+8.48</f>
        <v>32.26</v>
      </c>
      <c r="M215" s="443">
        <v>32.3</v>
      </c>
      <c r="N215" s="452">
        <f t="array" ref="N215">IFERROR(
  INDEX(
    'Valor Hora Real y Estimada'!$A$4:$Z$78,
    MATCH(TRIM(CLEAN(A215)), 'Valor Hora Real y Estimada'!$A$4:$A$78, 0),
    MATCH(
      TEXT(C215,"dd mmm")&amp;" "&amp;D215,
      'Valor Hora Real y Estimada'!$A$3:$Z$3,
      0
    ) + 1
  ),
  0
)</f>
        <v>8500</v>
      </c>
      <c r="O215" s="453">
        <f t="shared" si="11"/>
        <v>274550</v>
      </c>
      <c r="P215" s="113"/>
      <c r="Q215" s="106">
        <f>IF(ISBLANK(O215), "", VLOOKUP(C215&amp;" "&amp;D215, 'Info Tipo de Cambio y REM'!$A$24:$B$35, 2, FALSE))</f>
        <v>1185</v>
      </c>
      <c r="R215" s="107">
        <f t="shared" si="2"/>
        <v>231.6877637</v>
      </c>
    </row>
    <row r="216">
      <c r="A216" s="443" t="s">
        <v>203</v>
      </c>
      <c r="B216" s="43" t="str">
        <f>IF(A216="", "", IFERROR(VLOOKUP(A216, Clasificaciones!A:B, 2, FALSE), "DATO NO CARGADO"))
</f>
        <v>Equipo</v>
      </c>
      <c r="C216" s="51" t="s">
        <v>143</v>
      </c>
      <c r="D216" s="43">
        <v>2025.0</v>
      </c>
      <c r="E216" s="43" t="s">
        <v>1124</v>
      </c>
      <c r="F216" s="202"/>
      <c r="G216" s="202" t="s">
        <v>1157</v>
      </c>
      <c r="H216" s="43" t="s">
        <v>1126</v>
      </c>
      <c r="I216" s="43" t="s">
        <v>1129</v>
      </c>
      <c r="J216" s="43" t="s">
        <v>183</v>
      </c>
      <c r="K216" s="443">
        <v>0.0</v>
      </c>
      <c r="L216" s="455">
        <f>56.5+1.75</f>
        <v>58.25</v>
      </c>
      <c r="M216" s="443">
        <f>56.5-0.09528250137</f>
        <v>56.4047175</v>
      </c>
      <c r="N216" s="452">
        <f t="array" ref="N216">IFERROR(
  INDEX(
    'Valor Hora Real y Estimada'!$A$4:$Z$78,
    MATCH(TRIM(CLEAN(A216)), 'Valor Hora Real y Estimada'!$A$4:$A$78, 0),
    MATCH(
      TEXT(C216,"dd mmm")&amp;" "&amp;D216,
      'Valor Hora Real y Estimada'!$A$3:$Z$3,
      0
    ) + 1
  ),
  0
)</f>
        <v>9115</v>
      </c>
      <c r="O216" s="453">
        <f t="shared" si="11"/>
        <v>514129</v>
      </c>
      <c r="P216" s="113"/>
      <c r="Q216" s="106">
        <f>IF(ISBLANK(O216), "", VLOOKUP(C216&amp;" "&amp;D216, 'Info Tipo de Cambio y REM'!$A$24:$B$35, 2, FALSE))</f>
        <v>1185</v>
      </c>
      <c r="R216" s="107">
        <f t="shared" si="2"/>
        <v>433.864135</v>
      </c>
    </row>
    <row r="217">
      <c r="A217" s="443" t="s">
        <v>194</v>
      </c>
      <c r="B217" s="43" t="str">
        <f>IF(A217="", "", IFERROR(VLOOKUP(A217, Clasificaciones!A:B, 2, FALSE), "DATO NO CARGADO"))
</f>
        <v>Equipo</v>
      </c>
      <c r="C217" s="51" t="s">
        <v>143</v>
      </c>
      <c r="D217" s="43">
        <v>2025.0</v>
      </c>
      <c r="E217" s="43" t="s">
        <v>1124</v>
      </c>
      <c r="F217" s="202"/>
      <c r="G217" s="202" t="s">
        <v>1157</v>
      </c>
      <c r="H217" s="43" t="s">
        <v>1126</v>
      </c>
      <c r="I217" s="43" t="s">
        <v>1129</v>
      </c>
      <c r="J217" s="43" t="s">
        <v>183</v>
      </c>
      <c r="K217" s="443">
        <v>150.0</v>
      </c>
      <c r="L217" s="455">
        <f>67.33+18.28+11.83+1.25</f>
        <v>98.69</v>
      </c>
      <c r="M217" s="443">
        <v>148.0</v>
      </c>
      <c r="N217" s="452">
        <f t="array" ref="N217">IFERROR(
  INDEX(
    'Valor Hora Real y Estimada'!$A$4:$Z$78,
    MATCH(TRIM(CLEAN(A217)), 'Valor Hora Real y Estimada'!$A$4:$A$78, 0),
    MATCH(
      TEXT(C217,"dd mmm")&amp;" "&amp;D217,
      'Valor Hora Real y Estimada'!$A$3:$Z$3,
      0
    ) + 1
  ),
  0
)</f>
        <v>11141</v>
      </c>
      <c r="O217" s="453">
        <f t="shared" si="11"/>
        <v>1648868</v>
      </c>
      <c r="P217" s="113"/>
      <c r="Q217" s="106">
        <f>IF(ISBLANK(O217), "", VLOOKUP(C217&amp;" "&amp;D217, 'Info Tipo de Cambio y REM'!$A$24:$B$35, 2, FALSE))</f>
        <v>1185</v>
      </c>
      <c r="R217" s="107">
        <f t="shared" si="2"/>
        <v>1391.449789</v>
      </c>
    </row>
    <row r="218">
      <c r="A218" s="443" t="s">
        <v>228</v>
      </c>
      <c r="B218" s="43" t="str">
        <f>IF(A218="", "", IFERROR(VLOOKUP(A218, Clasificaciones!A:B, 2, FALSE), "DATO NO CARGADO"))
</f>
        <v>Equipo</v>
      </c>
      <c r="C218" s="51" t="s">
        <v>143</v>
      </c>
      <c r="D218" s="43">
        <v>2025.0</v>
      </c>
      <c r="E218" s="43" t="s">
        <v>1124</v>
      </c>
      <c r="F218" s="202"/>
      <c r="G218" s="202" t="s">
        <v>1157</v>
      </c>
      <c r="H218" s="43" t="s">
        <v>1126</v>
      </c>
      <c r="I218" s="43" t="s">
        <v>1129</v>
      </c>
      <c r="J218" s="43" t="s">
        <v>183</v>
      </c>
      <c r="K218" s="443">
        <v>32.0</v>
      </c>
      <c r="L218" s="455">
        <f>43.55+1.75</f>
        <v>45.3</v>
      </c>
      <c r="M218" s="443">
        <v>42.9</v>
      </c>
      <c r="N218" s="452">
        <f t="array" ref="N218">IFERROR(
  INDEX(
    'Valor Hora Real y Estimada'!$A$4:$Z$78,
    MATCH(TRIM(CLEAN(A218)), 'Valor Hora Real y Estimada'!$A$4:$A$78, 0),
    MATCH(
      TEXT(C218,"dd mmm")&amp;" "&amp;D218,
      'Valor Hora Real y Estimada'!$A$3:$Z$3,
      0
    ) + 1
  ),
  0
)</f>
        <v>18000</v>
      </c>
      <c r="O218" s="453">
        <f t="shared" si="11"/>
        <v>772200</v>
      </c>
      <c r="P218" s="113"/>
      <c r="Q218" s="106">
        <f>IF(ISBLANK(O218), "", VLOOKUP(C218&amp;" "&amp;D218, 'Info Tipo de Cambio y REM'!$A$24:$B$35, 2, FALSE))</f>
        <v>1185</v>
      </c>
      <c r="R218" s="107">
        <f t="shared" si="2"/>
        <v>651.6455696</v>
      </c>
    </row>
    <row r="219">
      <c r="A219" s="443" t="s">
        <v>214</v>
      </c>
      <c r="B219" s="43" t="str">
        <f>IF(A219="", "", IFERROR(VLOOKUP(A219, Clasificaciones!A:B, 2, FALSE), "DATO NO CARGADO"))
</f>
        <v>Equipo</v>
      </c>
      <c r="C219" s="51" t="s">
        <v>143</v>
      </c>
      <c r="D219" s="43">
        <v>2025.0</v>
      </c>
      <c r="E219" s="43" t="s">
        <v>1124</v>
      </c>
      <c r="F219" s="202"/>
      <c r="G219" s="202" t="s">
        <v>1157</v>
      </c>
      <c r="H219" s="43" t="s">
        <v>1126</v>
      </c>
      <c r="I219" s="43" t="s">
        <v>1129</v>
      </c>
      <c r="J219" s="43" t="s">
        <v>183</v>
      </c>
      <c r="K219" s="443">
        <v>160.0</v>
      </c>
      <c r="L219" s="455">
        <f>76.5+27.5+1.75+0.67</f>
        <v>106.42</v>
      </c>
      <c r="M219" s="443">
        <v>104.0</v>
      </c>
      <c r="N219" s="452">
        <f t="array" ref="N219">IFERROR(
  INDEX(
    'Valor Hora Real y Estimada'!$A$4:$Z$78,
    MATCH(TRIM(CLEAN(A219)), 'Valor Hora Real y Estimada'!$A$4:$A$78, 0),
    MATCH(
      TEXT(C219,"dd mmm")&amp;" "&amp;D219,
      'Valor Hora Real y Estimada'!$A$3:$Z$3,
      0
    ) + 1
  ),
  0
)</f>
        <v>9688</v>
      </c>
      <c r="O219" s="453">
        <f t="shared" si="11"/>
        <v>1007552</v>
      </c>
      <c r="P219" s="113"/>
      <c r="Q219" s="106">
        <f>IF(ISBLANK(O219), "", VLOOKUP(C219&amp;" "&amp;D219, 'Info Tipo de Cambio y REM'!$A$24:$B$35, 2, FALSE))</f>
        <v>1185</v>
      </c>
      <c r="R219" s="107">
        <f t="shared" si="2"/>
        <v>850.2548523</v>
      </c>
    </row>
    <row r="220">
      <c r="A220" s="443" t="s">
        <v>207</v>
      </c>
      <c r="B220" s="43" t="str">
        <f>IF(A220="", "", IFERROR(VLOOKUP(A220, Clasificaciones!A:B, 2, FALSE), "DATO NO CARGADO"))
</f>
        <v>Equipo</v>
      </c>
      <c r="C220" s="51" t="s">
        <v>143</v>
      </c>
      <c r="D220" s="43">
        <v>2025.0</v>
      </c>
      <c r="E220" s="43" t="s">
        <v>1124</v>
      </c>
      <c r="F220" s="202"/>
      <c r="G220" s="202" t="s">
        <v>1157</v>
      </c>
      <c r="H220" s="43" t="s">
        <v>1126</v>
      </c>
      <c r="I220" s="43" t="s">
        <v>1129</v>
      </c>
      <c r="J220" s="43" t="s">
        <v>183</v>
      </c>
      <c r="K220" s="443">
        <v>80.0</v>
      </c>
      <c r="L220" s="455">
        <f>0.67+78.85</f>
        <v>79.52</v>
      </c>
      <c r="M220" s="443">
        <v>80.0</v>
      </c>
      <c r="N220" s="452">
        <f t="array" ref="N220">IFERROR(
  INDEX(
    'Valor Hora Real y Estimada'!$A$4:$Z$78,
    MATCH(TRIM(CLEAN(A220)), 'Valor Hora Real y Estimada'!$A$4:$A$78, 0),
    MATCH(
      TEXT(C220,"dd mmm")&amp;" "&amp;D220,
      'Valor Hora Real y Estimada'!$A$3:$Z$3,
      0
    ) + 1
  ),
  0
)</f>
        <v>11000</v>
      </c>
      <c r="O220" s="453">
        <f t="shared" si="11"/>
        <v>880000</v>
      </c>
      <c r="P220" s="113"/>
      <c r="Q220" s="106">
        <f>IF(ISBLANK(O220), "", VLOOKUP(C220&amp;" "&amp;D220, 'Info Tipo de Cambio y REM'!$A$24:$B$35, 2, FALSE))</f>
        <v>1185</v>
      </c>
      <c r="R220" s="107">
        <f t="shared" si="2"/>
        <v>742.6160338</v>
      </c>
    </row>
    <row r="221" hidden="1">
      <c r="A221" s="443" t="s">
        <v>207</v>
      </c>
      <c r="B221" s="43" t="str">
        <f>IF(A221="", "", IFERROR(VLOOKUP(A221, Clasificaciones!A:B, 2, FALSE), "DATO NO CARGADO"))
</f>
        <v>Equipo</v>
      </c>
      <c r="C221" s="51" t="s">
        <v>143</v>
      </c>
      <c r="D221" s="43">
        <v>2025.0</v>
      </c>
      <c r="E221" s="43" t="s">
        <v>1130</v>
      </c>
      <c r="F221" s="202"/>
      <c r="G221" s="202" t="s">
        <v>1131</v>
      </c>
      <c r="H221" s="43" t="s">
        <v>208</v>
      </c>
      <c r="I221" s="43"/>
      <c r="J221" s="43" t="s">
        <v>208</v>
      </c>
      <c r="K221" s="443"/>
      <c r="L221" s="451">
        <v>1.25</v>
      </c>
      <c r="M221" s="443"/>
      <c r="N221" s="452">
        <f t="array" ref="N221">IFERROR(
  INDEX(
    'Valor Hora Real y Estimada'!$A$4:$Z$78,
    MATCH(TRIM(CLEAN(A221)), 'Valor Hora Real y Estimada'!$A$4:$A$78, 0),
    MATCH(
      TEXT(C221,"dd mmm")&amp;" "&amp;D221,
      'Valor Hora Real y Estimada'!$A$3:$Z$3,
      0
    ) + 1
  ),
  0
)</f>
        <v>11000</v>
      </c>
      <c r="O221" s="453">
        <f t="shared" si="11"/>
        <v>0</v>
      </c>
      <c r="P221" s="113"/>
      <c r="Q221" s="106">
        <f>IF(ISBLANK(O221), "", VLOOKUP(C221&amp;" "&amp;D221, 'Info Tipo de Cambio y REM'!$A$24:$B$35, 2, FALSE))</f>
        <v>1185</v>
      </c>
      <c r="R221" s="107">
        <f t="shared" si="2"/>
        <v>0</v>
      </c>
    </row>
    <row r="222">
      <c r="A222" s="443" t="s">
        <v>87</v>
      </c>
      <c r="B222" s="43" t="str">
        <f>IF(A222="", "", IFERROR(VLOOKUP(A222, Clasificaciones!A:B, 2, FALSE), "DATO NO CARGADO"))
</f>
        <v>Equipo</v>
      </c>
      <c r="C222" s="51" t="s">
        <v>143</v>
      </c>
      <c r="D222" s="43">
        <v>2025.0</v>
      </c>
      <c r="E222" s="43" t="s">
        <v>1124</v>
      </c>
      <c r="F222" s="202"/>
      <c r="G222" s="202" t="s">
        <v>1157</v>
      </c>
      <c r="H222" s="43" t="s">
        <v>1126</v>
      </c>
      <c r="I222" s="43" t="s">
        <v>1129</v>
      </c>
      <c r="J222" s="43" t="s">
        <v>183</v>
      </c>
      <c r="K222" s="443">
        <v>20.0</v>
      </c>
      <c r="L222" s="455">
        <f>17.78+2.23+0.42</f>
        <v>20.43</v>
      </c>
      <c r="M222" s="443">
        <v>19.0</v>
      </c>
      <c r="N222" s="452">
        <f t="array" ref="N222">IFERROR(
  INDEX(
    'Valor Hora Real y Estimada'!$A$4:$Z$78,
    MATCH(TRIM(CLEAN(A222)), 'Valor Hora Real y Estimada'!$A$4:$A$78, 0),
    MATCH(
      TEXT(C222,"dd mmm")&amp;" "&amp;D222,
      'Valor Hora Real y Estimada'!$A$3:$Z$3,
      0
    ) + 1
  ),
  0
)</f>
        <v>10000</v>
      </c>
      <c r="O222" s="453">
        <f t="shared" si="11"/>
        <v>190000</v>
      </c>
      <c r="P222" s="113"/>
      <c r="Q222" s="106">
        <f>IF(ISBLANK(O222), "", VLOOKUP(C222&amp;" "&amp;D222, 'Info Tipo de Cambio y REM'!$A$24:$B$35, 2, FALSE))</f>
        <v>1185</v>
      </c>
      <c r="R222" s="107">
        <f t="shared" si="2"/>
        <v>160.3375527</v>
      </c>
    </row>
    <row r="223">
      <c r="A223" s="443" t="s">
        <v>210</v>
      </c>
      <c r="B223" s="43" t="str">
        <f>IF(A223="", "", IFERROR(VLOOKUP(A223, Clasificaciones!A:B, 2, FALSE), "DATO NO CARGADO"))
</f>
        <v>Equipo</v>
      </c>
      <c r="C223" s="51" t="s">
        <v>143</v>
      </c>
      <c r="D223" s="43">
        <v>2025.0</v>
      </c>
      <c r="E223" s="43" t="s">
        <v>1124</v>
      </c>
      <c r="F223" s="202"/>
      <c r="G223" s="202" t="s">
        <v>1157</v>
      </c>
      <c r="H223" s="43" t="s">
        <v>1126</v>
      </c>
      <c r="I223" s="43" t="s">
        <v>1129</v>
      </c>
      <c r="J223" s="43" t="s">
        <v>183</v>
      </c>
      <c r="K223" s="443">
        <v>0.0</v>
      </c>
      <c r="L223" s="451">
        <v>2.0</v>
      </c>
      <c r="M223" s="443">
        <v>2.0</v>
      </c>
      <c r="N223" s="452">
        <f t="array" ref="N223">IFERROR(
  INDEX(
    'Valor Hora Real y Estimada'!$A$4:$Z$78,
    MATCH(TRIM(CLEAN(A223)), 'Valor Hora Real y Estimada'!$A$4:$A$78, 0),
    MATCH(
      TEXT(C223,"dd mmm")&amp;" "&amp;D223,
      'Valor Hora Real y Estimada'!$A$3:$Z$3,
      0
    ) + 1
  ),
  0
)</f>
        <v>14717</v>
      </c>
      <c r="O223" s="453">
        <f t="shared" si="11"/>
        <v>29434</v>
      </c>
      <c r="P223" s="113"/>
      <c r="Q223" s="106">
        <f>IF(ISBLANK(O223), "", VLOOKUP(C223&amp;" "&amp;D223, 'Info Tipo de Cambio y REM'!$A$24:$B$35, 2, FALSE))</f>
        <v>1185</v>
      </c>
      <c r="R223" s="107">
        <f t="shared" si="2"/>
        <v>24.83881857</v>
      </c>
    </row>
    <row r="224" hidden="1">
      <c r="A224" s="443" t="s">
        <v>203</v>
      </c>
      <c r="B224" s="43" t="str">
        <f>IF(A224="", "", IFERROR(VLOOKUP(A224, Clasificaciones!A:B, 2, FALSE), "DATO NO CARGADO"))
</f>
        <v>Equipo</v>
      </c>
      <c r="C224" s="51" t="s">
        <v>143</v>
      </c>
      <c r="D224" s="43">
        <v>2025.0</v>
      </c>
      <c r="E224" s="43" t="s">
        <v>1124</v>
      </c>
      <c r="F224" s="202"/>
      <c r="G224" s="202" t="s">
        <v>1158</v>
      </c>
      <c r="H224" s="43" t="s">
        <v>1126</v>
      </c>
      <c r="I224" s="43" t="s">
        <v>1127</v>
      </c>
      <c r="J224" s="43" t="s">
        <v>180</v>
      </c>
      <c r="K224" s="443">
        <v>40.0</v>
      </c>
      <c r="L224" s="455">
        <f>5+4+2.87</f>
        <v>11.87</v>
      </c>
      <c r="M224" s="443">
        <v>11.9</v>
      </c>
      <c r="N224" s="452">
        <f t="array" ref="N224">IFERROR(
  INDEX(
    'Valor Hora Real y Estimada'!$A$4:$Z$78,
    MATCH(TRIM(CLEAN(A224)), 'Valor Hora Real y Estimada'!$A$4:$A$78, 0),
    MATCH(
      TEXT(C224,"dd mmm")&amp;" "&amp;D224,
      'Valor Hora Real y Estimada'!$A$3:$Z$3,
      0
    ) + 1
  ),
  0
)</f>
        <v>9115</v>
      </c>
      <c r="O224" s="453">
        <f t="shared" si="11"/>
        <v>108468.5</v>
      </c>
      <c r="P224" s="113"/>
      <c r="Q224" s="106">
        <f>IF(ISBLANK(O224), "", VLOOKUP(C224&amp;" "&amp;D224, 'Info Tipo de Cambio y REM'!$A$24:$B$35, 2, FALSE))</f>
        <v>1185</v>
      </c>
      <c r="R224" s="107">
        <f t="shared" si="2"/>
        <v>91.53459916</v>
      </c>
    </row>
    <row r="225" hidden="1">
      <c r="A225" s="443" t="s">
        <v>120</v>
      </c>
      <c r="B225" s="43" t="str">
        <f>IF(A225="", "", IFERROR(VLOOKUP(A225, Clasificaciones!A:B, 2, FALSE), "DATO NO CARGADO"))
</f>
        <v>Equipo</v>
      </c>
      <c r="C225" s="51" t="s">
        <v>143</v>
      </c>
      <c r="D225" s="43">
        <v>2025.0</v>
      </c>
      <c r="E225" s="43" t="s">
        <v>1124</v>
      </c>
      <c r="F225" s="202"/>
      <c r="G225" s="202" t="s">
        <v>1155</v>
      </c>
      <c r="H225" s="43" t="s">
        <v>1133</v>
      </c>
      <c r="I225" s="43" t="s">
        <v>1156</v>
      </c>
      <c r="J225" s="43" t="s">
        <v>202</v>
      </c>
      <c r="K225" s="443">
        <v>40.0</v>
      </c>
      <c r="L225" s="451">
        <v>44.1</v>
      </c>
      <c r="M225" s="443">
        <v>44.1</v>
      </c>
      <c r="N225" s="452">
        <f t="array" ref="N225">IFERROR(
  INDEX(
    'Valor Hora Real y Estimada'!$A$4:$Z$78,
    MATCH(TRIM(CLEAN(A225)), 'Valor Hora Real y Estimada'!$A$4:$A$78, 0),
    MATCH(
      TEXT(C225,"dd mmm")&amp;" "&amp;D225,
      'Valor Hora Real y Estimada'!$A$3:$Z$3,
      0
    ) + 1
  ),
  0
)</f>
        <v>24166.66667</v>
      </c>
      <c r="O225" s="453">
        <f t="shared" si="11"/>
        <v>1065750</v>
      </c>
      <c r="P225" s="113"/>
      <c r="Q225" s="106">
        <f>IF(ISBLANK(O225), "", VLOOKUP(C225&amp;" "&amp;D225, 'Info Tipo de Cambio y REM'!$A$24:$B$35, 2, FALSE))</f>
        <v>1185</v>
      </c>
      <c r="R225" s="107">
        <f t="shared" si="2"/>
        <v>899.3670886</v>
      </c>
    </row>
    <row r="226" hidden="1">
      <c r="A226" s="443" t="s">
        <v>197</v>
      </c>
      <c r="B226" s="43" t="str">
        <f>IF(A226="", "", IFERROR(VLOOKUP(A226, Clasificaciones!A:B, 2, FALSE), "DATO NO CARGADO"))
</f>
        <v>Equipo</v>
      </c>
      <c r="C226" s="51" t="s">
        <v>143</v>
      </c>
      <c r="D226" s="43">
        <v>2025.0</v>
      </c>
      <c r="E226" s="43" t="s">
        <v>1124</v>
      </c>
      <c r="F226" s="202"/>
      <c r="G226" s="202" t="s">
        <v>1155</v>
      </c>
      <c r="H226" s="43" t="s">
        <v>1133</v>
      </c>
      <c r="I226" s="43" t="s">
        <v>1156</v>
      </c>
      <c r="J226" s="43" t="s">
        <v>202</v>
      </c>
      <c r="K226" s="443">
        <v>80.0</v>
      </c>
      <c r="L226" s="451">
        <v>26.33</v>
      </c>
      <c r="M226" s="443">
        <v>26.3</v>
      </c>
      <c r="N226" s="452">
        <f t="array" ref="N226">IFERROR(
  INDEX(
    'Valor Hora Real y Estimada'!$A$4:$Z$78,
    MATCH(TRIM(CLEAN(A226)), 'Valor Hora Real y Estimada'!$A$4:$A$78, 0),
    MATCH(
      TEXT(C226,"dd mmm")&amp;" "&amp;D226,
      'Valor Hora Real y Estimada'!$A$3:$Z$3,
      0
    ) + 1
  ),
  0
)</f>
        <v>11081</v>
      </c>
      <c r="O226" s="453">
        <f t="shared" si="11"/>
        <v>291430.3</v>
      </c>
      <c r="P226" s="113"/>
      <c r="Q226" s="106">
        <f>IF(ISBLANK(O226), "", VLOOKUP(C226&amp;" "&amp;D226, 'Info Tipo de Cambio y REM'!$A$24:$B$35, 2, FALSE))</f>
        <v>1185</v>
      </c>
      <c r="R226" s="107">
        <f t="shared" si="2"/>
        <v>245.9327426</v>
      </c>
    </row>
    <row r="227" hidden="1">
      <c r="A227" s="443" t="s">
        <v>203</v>
      </c>
      <c r="B227" s="43" t="str">
        <f>IF(A227="", "", IFERROR(VLOOKUP(A227, Clasificaciones!A:B, 2, FALSE), "DATO NO CARGADO"))
</f>
        <v>Equipo</v>
      </c>
      <c r="C227" s="51" t="s">
        <v>143</v>
      </c>
      <c r="D227" s="43">
        <v>2025.0</v>
      </c>
      <c r="E227" s="43" t="s">
        <v>1124</v>
      </c>
      <c r="F227" s="202"/>
      <c r="G227" s="202" t="s">
        <v>1155</v>
      </c>
      <c r="H227" s="43" t="s">
        <v>1133</v>
      </c>
      <c r="I227" s="43" t="s">
        <v>1156</v>
      </c>
      <c r="J227" s="43" t="s">
        <v>202</v>
      </c>
      <c r="K227" s="443">
        <v>80.0</v>
      </c>
      <c r="L227" s="451">
        <v>22.67</v>
      </c>
      <c r="M227" s="443">
        <v>22.7</v>
      </c>
      <c r="N227" s="452">
        <f t="array" ref="N227">IFERROR(
  INDEX(
    'Valor Hora Real y Estimada'!$A$4:$Z$78,
    MATCH(TRIM(CLEAN(A227)), 'Valor Hora Real y Estimada'!$A$4:$A$78, 0),
    MATCH(
      TEXT(C227,"dd mmm")&amp;" "&amp;D227,
      'Valor Hora Real y Estimada'!$A$3:$Z$3,
      0
    ) + 1
  ),
  0
)</f>
        <v>9115</v>
      </c>
      <c r="O227" s="453">
        <f t="shared" si="11"/>
        <v>206910.5</v>
      </c>
      <c r="P227" s="113"/>
      <c r="Q227" s="106">
        <f>IF(ISBLANK(O227), "", VLOOKUP(C227&amp;" "&amp;D227, 'Info Tipo de Cambio y REM'!$A$24:$B$35, 2, FALSE))</f>
        <v>1185</v>
      </c>
      <c r="R227" s="107">
        <f t="shared" si="2"/>
        <v>174.6080169</v>
      </c>
    </row>
    <row r="228" hidden="1">
      <c r="A228" s="443" t="s">
        <v>217</v>
      </c>
      <c r="B228" s="43" t="str">
        <f>IF(A228="", "", IFERROR(VLOOKUP(A228, Clasificaciones!A:B, 2, FALSE), "DATO NO CARGADO"))
</f>
        <v>Equipo</v>
      </c>
      <c r="C228" s="51" t="s">
        <v>143</v>
      </c>
      <c r="D228" s="43">
        <v>2025.0</v>
      </c>
      <c r="E228" s="43" t="s">
        <v>1124</v>
      </c>
      <c r="F228" s="202"/>
      <c r="G228" s="202" t="s">
        <v>1155</v>
      </c>
      <c r="H228" s="43" t="s">
        <v>1133</v>
      </c>
      <c r="I228" s="43" t="s">
        <v>1156</v>
      </c>
      <c r="J228" s="43" t="s">
        <v>202</v>
      </c>
      <c r="K228" s="443">
        <v>0.0</v>
      </c>
      <c r="L228" s="451">
        <v>13.08</v>
      </c>
      <c r="M228" s="443">
        <v>6.6</v>
      </c>
      <c r="N228" s="452">
        <f t="array" ref="N228">IFERROR(
  INDEX(
    'Valor Hora Real y Estimada'!$A$4:$Z$78,
    MATCH(TRIM(CLEAN(A228)), 'Valor Hora Real y Estimada'!$A$4:$A$78, 0),
    MATCH(
      TEXT(C228,"dd mmm")&amp;" "&amp;D228,
      'Valor Hora Real y Estimada'!$A$3:$Z$3,
      0
    ) + 1
  ),
  0
)</f>
        <v>9688</v>
      </c>
      <c r="O228" s="453">
        <f t="shared" si="11"/>
        <v>63940.8</v>
      </c>
      <c r="P228" s="113"/>
      <c r="Q228" s="106">
        <f>IF(ISBLANK(O228), "", VLOOKUP(C228&amp;" "&amp;D228, 'Info Tipo de Cambio y REM'!$A$24:$B$35, 2, FALSE))</f>
        <v>1185</v>
      </c>
      <c r="R228" s="107">
        <f t="shared" si="2"/>
        <v>53.95848101</v>
      </c>
    </row>
    <row r="229" hidden="1">
      <c r="A229" s="443" t="s">
        <v>228</v>
      </c>
      <c r="B229" s="43" t="str">
        <f>IF(A229="", "", IFERROR(VLOOKUP(A229, Clasificaciones!A:B, 2, FALSE), "DATO NO CARGADO"))
</f>
        <v>Equipo</v>
      </c>
      <c r="C229" s="51" t="s">
        <v>143</v>
      </c>
      <c r="D229" s="43">
        <v>2025.0</v>
      </c>
      <c r="E229" s="43" t="s">
        <v>1124</v>
      </c>
      <c r="F229" s="202"/>
      <c r="G229" s="202" t="s">
        <v>1155</v>
      </c>
      <c r="H229" s="43" t="s">
        <v>1133</v>
      </c>
      <c r="I229" s="43" t="s">
        <v>1156</v>
      </c>
      <c r="J229" s="43" t="s">
        <v>202</v>
      </c>
      <c r="K229" s="443">
        <v>0.0</v>
      </c>
      <c r="L229" s="451">
        <v>4.63</v>
      </c>
      <c r="M229" s="443">
        <v>4.7</v>
      </c>
      <c r="N229" s="452">
        <f t="array" ref="N229">IFERROR(
  INDEX(
    'Valor Hora Real y Estimada'!$A$4:$Z$78,
    MATCH(TRIM(CLEAN(A229)), 'Valor Hora Real y Estimada'!$A$4:$A$78, 0),
    MATCH(
      TEXT(C229,"dd mmm")&amp;" "&amp;D229,
      'Valor Hora Real y Estimada'!$A$3:$Z$3,
      0
    ) + 1
  ),
  0
)</f>
        <v>18000</v>
      </c>
      <c r="O229" s="453">
        <f t="shared" si="11"/>
        <v>84600</v>
      </c>
      <c r="P229" s="113"/>
      <c r="Q229" s="106">
        <f>IF(ISBLANK(O229), "", VLOOKUP(C229&amp;" "&amp;D229, 'Info Tipo de Cambio y REM'!$A$24:$B$35, 2, FALSE))</f>
        <v>1185</v>
      </c>
      <c r="R229" s="107">
        <f t="shared" si="2"/>
        <v>71.39240506</v>
      </c>
    </row>
    <row r="230" hidden="1">
      <c r="A230" s="443" t="s">
        <v>205</v>
      </c>
      <c r="B230" s="43" t="str">
        <f>IF(A230="", "", IFERROR(VLOOKUP(A230, Clasificaciones!A:B, 2, FALSE), "DATO NO CARGADO"))
</f>
        <v>Equipo</v>
      </c>
      <c r="C230" s="51" t="s">
        <v>143</v>
      </c>
      <c r="D230" s="43">
        <v>2025.0</v>
      </c>
      <c r="E230" s="43" t="s">
        <v>1124</v>
      </c>
      <c r="F230" s="202"/>
      <c r="G230" s="202" t="s">
        <v>1155</v>
      </c>
      <c r="H230" s="43" t="s">
        <v>1133</v>
      </c>
      <c r="I230" s="43" t="s">
        <v>1156</v>
      </c>
      <c r="J230" s="43" t="s">
        <v>202</v>
      </c>
      <c r="K230" s="443">
        <v>28.0</v>
      </c>
      <c r="L230" s="451">
        <v>14.82</v>
      </c>
      <c r="M230" s="443">
        <v>14.54</v>
      </c>
      <c r="N230" s="452">
        <f t="array" ref="N230">IFERROR(
  INDEX(
    'Valor Hora Real y Estimada'!$A$4:$Z$78,
    MATCH(TRIM(CLEAN(A230)), 'Valor Hora Real y Estimada'!$A$4:$A$78, 0),
    MATCH(
      TEXT(C230,"dd mmm")&amp;" "&amp;D230,
      'Valor Hora Real y Estimada'!$A$3:$Z$3,
      0
    ) + 1
  ),
  0
)</f>
        <v>10000</v>
      </c>
      <c r="O230" s="453">
        <f t="shared" si="11"/>
        <v>145400</v>
      </c>
      <c r="P230" s="113"/>
      <c r="Q230" s="106">
        <f>IF(ISBLANK(O230), "", VLOOKUP(C230&amp;" "&amp;D230, 'Info Tipo de Cambio y REM'!$A$24:$B$35, 2, FALSE))</f>
        <v>1185</v>
      </c>
      <c r="R230" s="107">
        <f t="shared" si="2"/>
        <v>122.7004219</v>
      </c>
    </row>
    <row r="231" hidden="1">
      <c r="A231" s="443" t="s">
        <v>212</v>
      </c>
      <c r="B231" s="43" t="str">
        <f>IF(A231="", "", IFERROR(VLOOKUP(A231, Clasificaciones!A:B, 2, FALSE), "DATO NO CARGADO"))
</f>
        <v>Equipo</v>
      </c>
      <c r="C231" s="51" t="s">
        <v>143</v>
      </c>
      <c r="D231" s="43">
        <v>2025.0</v>
      </c>
      <c r="E231" s="43" t="s">
        <v>1124</v>
      </c>
      <c r="F231" s="202"/>
      <c r="G231" s="202" t="s">
        <v>1155</v>
      </c>
      <c r="H231" s="43" t="s">
        <v>1133</v>
      </c>
      <c r="I231" s="43" t="s">
        <v>1156</v>
      </c>
      <c r="J231" s="43" t="s">
        <v>202</v>
      </c>
      <c r="K231" s="443">
        <v>0.0</v>
      </c>
      <c r="L231" s="451">
        <v>12.13</v>
      </c>
      <c r="M231" s="443">
        <v>12.26</v>
      </c>
      <c r="N231" s="452">
        <f t="array" ref="N231">IFERROR(
  INDEX(
    'Valor Hora Real y Estimada'!$A$4:$Z$78,
    MATCH(TRIM(CLEAN(A231)), 'Valor Hora Real y Estimada'!$A$4:$A$78, 0),
    MATCH(
      TEXT(C231,"dd mmm")&amp;" "&amp;D231,
      'Valor Hora Real y Estimada'!$A$3:$Z$3,
      0
    ) + 1
  ),
  0
)</f>
        <v>8500</v>
      </c>
      <c r="O231" s="453">
        <f t="shared" si="11"/>
        <v>104210</v>
      </c>
      <c r="P231" s="113"/>
      <c r="Q231" s="106">
        <f>IF(ISBLANK(O231), "", VLOOKUP(C231&amp;" "&amp;D231, 'Info Tipo de Cambio y REM'!$A$24:$B$35, 2, FALSE))</f>
        <v>1185</v>
      </c>
      <c r="R231" s="107">
        <f t="shared" si="2"/>
        <v>87.94092827</v>
      </c>
    </row>
    <row r="232" hidden="1">
      <c r="A232" s="443" t="s">
        <v>87</v>
      </c>
      <c r="B232" s="43" t="str">
        <f>IF(A232="", "", IFERROR(VLOOKUP(A232, Clasificaciones!A:B, 2, FALSE), "DATO NO CARGADO"))
</f>
        <v>Equipo</v>
      </c>
      <c r="C232" s="51" t="s">
        <v>143</v>
      </c>
      <c r="D232" s="43">
        <v>2025.0</v>
      </c>
      <c r="E232" s="43" t="s">
        <v>1124</v>
      </c>
      <c r="F232" s="202"/>
      <c r="G232" s="202" t="s">
        <v>1155</v>
      </c>
      <c r="H232" s="43" t="s">
        <v>1133</v>
      </c>
      <c r="I232" s="43" t="s">
        <v>1156</v>
      </c>
      <c r="J232" s="43" t="s">
        <v>202</v>
      </c>
      <c r="K232" s="443">
        <v>0.0</v>
      </c>
      <c r="L232" s="451">
        <v>1.15</v>
      </c>
      <c r="M232" s="443">
        <v>1.5</v>
      </c>
      <c r="N232" s="452">
        <f t="array" ref="N232">IFERROR(
  INDEX(
    'Valor Hora Real y Estimada'!$A$4:$Z$78,
    MATCH(TRIM(CLEAN(A232)), 'Valor Hora Real y Estimada'!$A$4:$A$78, 0),
    MATCH(
      TEXT(C232,"dd mmm")&amp;" "&amp;D232,
      'Valor Hora Real y Estimada'!$A$3:$Z$3,
      0
    ) + 1
  ),
  0
)</f>
        <v>10000</v>
      </c>
      <c r="O232" s="453">
        <f t="shared" si="11"/>
        <v>15000</v>
      </c>
      <c r="P232" s="113"/>
      <c r="Q232" s="106">
        <f>IF(ISBLANK(O232), "", VLOOKUP(C232&amp;" "&amp;D232, 'Info Tipo de Cambio y REM'!$A$24:$B$35, 2, FALSE))</f>
        <v>1185</v>
      </c>
      <c r="R232" s="107">
        <f t="shared" si="2"/>
        <v>12.65822785</v>
      </c>
    </row>
    <row r="233" hidden="1">
      <c r="A233" s="443" t="s">
        <v>210</v>
      </c>
      <c r="B233" s="43" t="str">
        <f>IF(A233="", "", IFERROR(VLOOKUP(A233, Clasificaciones!A:B, 2, FALSE), "DATO NO CARGADO"))
</f>
        <v>Equipo</v>
      </c>
      <c r="C233" s="51" t="s">
        <v>143</v>
      </c>
      <c r="D233" s="43">
        <v>2025.0</v>
      </c>
      <c r="E233" s="43" t="s">
        <v>1124</v>
      </c>
      <c r="F233" s="202"/>
      <c r="G233" s="202" t="s">
        <v>1155</v>
      </c>
      <c r="H233" s="43" t="s">
        <v>1133</v>
      </c>
      <c r="I233" s="43" t="s">
        <v>1156</v>
      </c>
      <c r="J233" s="43" t="s">
        <v>202</v>
      </c>
      <c r="K233" s="443">
        <v>8.0</v>
      </c>
      <c r="L233" s="451">
        <v>1.0</v>
      </c>
      <c r="M233" s="443">
        <v>1.0</v>
      </c>
      <c r="N233" s="452">
        <f t="array" ref="N233">IFERROR(
  INDEX(
    'Valor Hora Real y Estimada'!$A$4:$Z$78,
    MATCH(TRIM(CLEAN(A233)), 'Valor Hora Real y Estimada'!$A$4:$A$78, 0),
    MATCH(
      TEXT(C233,"dd mmm")&amp;" "&amp;D233,
      'Valor Hora Real y Estimada'!$A$3:$Z$3,
      0
    ) + 1
  ),
  0
)</f>
        <v>14717</v>
      </c>
      <c r="O233" s="453">
        <f t="shared" si="11"/>
        <v>14717</v>
      </c>
      <c r="P233" s="113"/>
      <c r="Q233" s="106">
        <f>IF(ISBLANK(O233), "", VLOOKUP(C233&amp;" "&amp;D233, 'Info Tipo de Cambio y REM'!$A$24:$B$35, 2, FALSE))</f>
        <v>1185</v>
      </c>
      <c r="R233" s="107">
        <f t="shared" si="2"/>
        <v>12.41940928</v>
      </c>
    </row>
    <row r="234" hidden="1">
      <c r="A234" s="443" t="s">
        <v>120</v>
      </c>
      <c r="B234" s="43" t="str">
        <f>IF(A234="", "", IFERROR(VLOOKUP(A234, Clasificaciones!A:B, 2, FALSE), "DATO NO CARGADO"))
</f>
        <v>Equipo</v>
      </c>
      <c r="C234" s="51" t="s">
        <v>143</v>
      </c>
      <c r="D234" s="43">
        <v>2025.0</v>
      </c>
      <c r="E234" s="43" t="s">
        <v>1124</v>
      </c>
      <c r="F234" s="202"/>
      <c r="G234" s="202" t="s">
        <v>1159</v>
      </c>
      <c r="H234" s="43" t="s">
        <v>1160</v>
      </c>
      <c r="I234" s="43" t="s">
        <v>1161</v>
      </c>
      <c r="J234" s="43" t="s">
        <v>199</v>
      </c>
      <c r="K234" s="443"/>
      <c r="L234" s="455">
        <f>3.67+0.67</f>
        <v>4.34</v>
      </c>
      <c r="M234" s="443">
        <v>4.0</v>
      </c>
      <c r="N234" s="452">
        <f t="array" ref="N234">IFERROR(
  INDEX(
    'Valor Hora Real y Estimada'!$A$4:$Z$78,
    MATCH(TRIM(CLEAN(A234)), 'Valor Hora Real y Estimada'!$A$4:$A$78, 0),
    MATCH(
      TEXT(C234,"dd mmm")&amp;" "&amp;D234,
      'Valor Hora Real y Estimada'!$A$3:$Z$3,
      0
    ) + 1
  ),
  0
)</f>
        <v>24166.66667</v>
      </c>
      <c r="O234" s="453">
        <f t="shared" si="11"/>
        <v>96666.66667</v>
      </c>
      <c r="P234" s="113"/>
      <c r="Q234" s="106">
        <f>IF(ISBLANK(O234), "", VLOOKUP(C234&amp;" "&amp;D234, 'Info Tipo de Cambio y REM'!$A$24:$B$35, 2, FALSE))</f>
        <v>1185</v>
      </c>
      <c r="R234" s="107">
        <f t="shared" si="2"/>
        <v>81.57524613</v>
      </c>
    </row>
    <row r="235" hidden="1">
      <c r="A235" s="443" t="s">
        <v>197</v>
      </c>
      <c r="B235" s="43" t="str">
        <f>IF(A235="", "", IFERROR(VLOOKUP(A235, Clasificaciones!A:B, 2, FALSE), "DATO NO CARGADO"))
</f>
        <v>Equipo</v>
      </c>
      <c r="C235" s="51" t="s">
        <v>143</v>
      </c>
      <c r="D235" s="43">
        <v>2025.0</v>
      </c>
      <c r="E235" s="43" t="s">
        <v>1124</v>
      </c>
      <c r="F235" s="202"/>
      <c r="G235" s="202" t="s">
        <v>1159</v>
      </c>
      <c r="H235" s="43" t="s">
        <v>1160</v>
      </c>
      <c r="I235" s="43" t="s">
        <v>1161</v>
      </c>
      <c r="J235" s="43" t="s">
        <v>199</v>
      </c>
      <c r="K235" s="443"/>
      <c r="L235" s="451">
        <v>18.17</v>
      </c>
      <c r="M235" s="443">
        <v>18.0</v>
      </c>
      <c r="N235" s="452">
        <f t="array" ref="N235">IFERROR(
  INDEX(
    'Valor Hora Real y Estimada'!$A$4:$Z$78,
    MATCH(TRIM(CLEAN(A235)), 'Valor Hora Real y Estimada'!$A$4:$A$78, 0),
    MATCH(
      TEXT(C235,"dd mmm")&amp;" "&amp;D235,
      'Valor Hora Real y Estimada'!$A$3:$Z$3,
      0
    ) + 1
  ),
  0
)</f>
        <v>11081</v>
      </c>
      <c r="O235" s="453">
        <f t="shared" si="11"/>
        <v>199458</v>
      </c>
      <c r="P235" s="113"/>
      <c r="Q235" s="106">
        <f>IF(ISBLANK(O235), "", VLOOKUP(C235&amp;" "&amp;D235, 'Info Tipo de Cambio y REM'!$A$24:$B$35, 2, FALSE))</f>
        <v>1185</v>
      </c>
      <c r="R235" s="107">
        <f t="shared" si="2"/>
        <v>168.3189873</v>
      </c>
    </row>
    <row r="236" hidden="1">
      <c r="A236" s="443" t="s">
        <v>203</v>
      </c>
      <c r="B236" s="43" t="str">
        <f>IF(A236="", "", IFERROR(VLOOKUP(A236, Clasificaciones!A:B, 2, FALSE), "DATO NO CARGADO"))
</f>
        <v>Equipo</v>
      </c>
      <c r="C236" s="51" t="s">
        <v>143</v>
      </c>
      <c r="D236" s="43">
        <v>2025.0</v>
      </c>
      <c r="E236" s="43" t="s">
        <v>1124</v>
      </c>
      <c r="F236" s="202"/>
      <c r="G236" s="202" t="s">
        <v>1159</v>
      </c>
      <c r="H236" s="43" t="s">
        <v>1160</v>
      </c>
      <c r="I236" s="43" t="s">
        <v>1161</v>
      </c>
      <c r="J236" s="43" t="s">
        <v>199</v>
      </c>
      <c r="K236" s="443"/>
      <c r="L236" s="451">
        <v>20.17</v>
      </c>
      <c r="M236" s="443">
        <v>20.2</v>
      </c>
      <c r="N236" s="452">
        <f t="array" ref="N236">IFERROR(
  INDEX(
    'Valor Hora Real y Estimada'!$A$4:$Z$78,
    MATCH(TRIM(CLEAN(A236)), 'Valor Hora Real y Estimada'!$A$4:$A$78, 0),
    MATCH(
      TEXT(C236,"dd mmm")&amp;" "&amp;D236,
      'Valor Hora Real y Estimada'!$A$3:$Z$3,
      0
    ) + 1
  ),
  0
)</f>
        <v>9115</v>
      </c>
      <c r="O236" s="453">
        <f t="shared" si="11"/>
        <v>184123</v>
      </c>
      <c r="P236" s="113"/>
      <c r="Q236" s="106">
        <f>IF(ISBLANK(O236), "", VLOOKUP(C236&amp;" "&amp;D236, 'Info Tipo de Cambio y REM'!$A$24:$B$35, 2, FALSE))</f>
        <v>1185</v>
      </c>
      <c r="R236" s="107">
        <f t="shared" si="2"/>
        <v>155.3780591</v>
      </c>
    </row>
    <row r="237" hidden="1">
      <c r="A237" s="443" t="s">
        <v>217</v>
      </c>
      <c r="B237" s="43" t="str">
        <f>IF(A237="", "", IFERROR(VLOOKUP(A237, Clasificaciones!A:B, 2, FALSE), "DATO NO CARGADO"))
</f>
        <v>Equipo</v>
      </c>
      <c r="C237" s="51" t="s">
        <v>143</v>
      </c>
      <c r="D237" s="43">
        <v>2025.0</v>
      </c>
      <c r="E237" s="43" t="s">
        <v>1124</v>
      </c>
      <c r="F237" s="202"/>
      <c r="G237" s="202" t="s">
        <v>1159</v>
      </c>
      <c r="H237" s="43" t="s">
        <v>1160</v>
      </c>
      <c r="I237" s="43" t="s">
        <v>1161</v>
      </c>
      <c r="J237" s="43" t="s">
        <v>199</v>
      </c>
      <c r="K237" s="443"/>
      <c r="L237" s="451">
        <v>28.17</v>
      </c>
      <c r="M237" s="443">
        <v>28.2</v>
      </c>
      <c r="N237" s="452">
        <f t="array" ref="N237">IFERROR(
  INDEX(
    'Valor Hora Real y Estimada'!$A$4:$Z$78,
    MATCH(TRIM(CLEAN(A237)), 'Valor Hora Real y Estimada'!$A$4:$A$78, 0),
    MATCH(
      TEXT(C237,"dd mmm")&amp;" "&amp;D237,
      'Valor Hora Real y Estimada'!$A$3:$Z$3,
      0
    ) + 1
  ),
  0
)</f>
        <v>9688</v>
      </c>
      <c r="O237" s="453">
        <f t="shared" si="11"/>
        <v>273201.6</v>
      </c>
      <c r="P237" s="113"/>
      <c r="Q237" s="106">
        <f>IF(ISBLANK(O237), "", VLOOKUP(C237&amp;" "&amp;D237, 'Info Tipo de Cambio y REM'!$A$24:$B$35, 2, FALSE))</f>
        <v>1185</v>
      </c>
      <c r="R237" s="107">
        <f t="shared" si="2"/>
        <v>230.5498734</v>
      </c>
    </row>
    <row r="238" hidden="1">
      <c r="A238" s="443" t="s">
        <v>205</v>
      </c>
      <c r="B238" s="43" t="str">
        <f>IF(A238="", "", IFERROR(VLOOKUP(A238, Clasificaciones!A:B, 2, FALSE), "DATO NO CARGADO"))
</f>
        <v>Equipo</v>
      </c>
      <c r="C238" s="51" t="s">
        <v>143</v>
      </c>
      <c r="D238" s="43">
        <v>2025.0</v>
      </c>
      <c r="E238" s="43" t="s">
        <v>1124</v>
      </c>
      <c r="F238" s="202"/>
      <c r="G238" s="202" t="s">
        <v>1159</v>
      </c>
      <c r="H238" s="43" t="s">
        <v>1160</v>
      </c>
      <c r="I238" s="43" t="s">
        <v>1161</v>
      </c>
      <c r="J238" s="43" t="s">
        <v>199</v>
      </c>
      <c r="K238" s="443"/>
      <c r="L238" s="451">
        <v>16.82</v>
      </c>
      <c r="M238" s="443">
        <v>16.8</v>
      </c>
      <c r="N238" s="452">
        <f t="array" ref="N238">IFERROR(
  INDEX(
    'Valor Hora Real y Estimada'!$A$4:$Z$78,
    MATCH(TRIM(CLEAN(A238)), 'Valor Hora Real y Estimada'!$A$4:$A$78, 0),
    MATCH(
      TEXT(C238,"dd mmm")&amp;" "&amp;D238,
      'Valor Hora Real y Estimada'!$A$3:$Z$3,
      0
    ) + 1
  ),
  0
)</f>
        <v>10000</v>
      </c>
      <c r="O238" s="453">
        <f t="shared" si="11"/>
        <v>168000</v>
      </c>
      <c r="P238" s="113"/>
      <c r="Q238" s="106">
        <f>IF(ISBLANK(O238), "", VLOOKUP(C238&amp;" "&amp;D238, 'Info Tipo de Cambio y REM'!$A$24:$B$35, 2, FALSE))</f>
        <v>1185</v>
      </c>
      <c r="R238" s="107">
        <f t="shared" si="2"/>
        <v>141.7721519</v>
      </c>
    </row>
    <row r="239" hidden="1">
      <c r="A239" s="443" t="s">
        <v>87</v>
      </c>
      <c r="B239" s="43" t="str">
        <f>IF(A239="", "", IFERROR(VLOOKUP(A239, Clasificaciones!A:B, 2, FALSE), "DATO NO CARGADO"))
</f>
        <v>Equipo</v>
      </c>
      <c r="C239" s="51" t="s">
        <v>143</v>
      </c>
      <c r="D239" s="43">
        <v>2025.0</v>
      </c>
      <c r="E239" s="43" t="s">
        <v>1124</v>
      </c>
      <c r="F239" s="202"/>
      <c r="G239" s="202" t="s">
        <v>1159</v>
      </c>
      <c r="H239" s="43" t="s">
        <v>1160</v>
      </c>
      <c r="I239" s="43" t="s">
        <v>1161</v>
      </c>
      <c r="J239" s="43" t="s">
        <v>199</v>
      </c>
      <c r="K239" s="443"/>
      <c r="L239" s="451">
        <v>17.5</v>
      </c>
      <c r="M239" s="443">
        <v>18.0</v>
      </c>
      <c r="N239" s="452">
        <f t="array" ref="N239">IFERROR(
  INDEX(
    'Valor Hora Real y Estimada'!$A$4:$Z$78,
    MATCH(TRIM(CLEAN(A239)), 'Valor Hora Real y Estimada'!$A$4:$A$78, 0),
    MATCH(
      TEXT(C239,"dd mmm")&amp;" "&amp;D239,
      'Valor Hora Real y Estimada'!$A$3:$Z$3,
      0
    ) + 1
  ),
  0
)</f>
        <v>10000</v>
      </c>
      <c r="O239" s="453">
        <f t="shared" si="11"/>
        <v>180000</v>
      </c>
      <c r="P239" s="113"/>
      <c r="Q239" s="106">
        <f>IF(ISBLANK(O239), "", VLOOKUP(C239&amp;" "&amp;D239, 'Info Tipo de Cambio y REM'!$A$24:$B$35, 2, FALSE))</f>
        <v>1185</v>
      </c>
      <c r="R239" s="107">
        <f t="shared" si="2"/>
        <v>151.8987342</v>
      </c>
    </row>
    <row r="240" hidden="1">
      <c r="A240" s="443" t="s">
        <v>210</v>
      </c>
      <c r="B240" s="43" t="str">
        <f>IF(A240="", "", IFERROR(VLOOKUP(A240, Clasificaciones!A:B, 2, FALSE), "DATO NO CARGADO"))
</f>
        <v>Equipo</v>
      </c>
      <c r="C240" s="51" t="s">
        <v>143</v>
      </c>
      <c r="D240" s="43">
        <v>2025.0</v>
      </c>
      <c r="E240" s="43" t="s">
        <v>1124</v>
      </c>
      <c r="F240" s="202"/>
      <c r="G240" s="202" t="s">
        <v>1159</v>
      </c>
      <c r="H240" s="43" t="s">
        <v>1160</v>
      </c>
      <c r="I240" s="43" t="s">
        <v>1161</v>
      </c>
      <c r="J240" s="43" t="s">
        <v>199</v>
      </c>
      <c r="K240" s="443"/>
      <c r="L240" s="451">
        <v>2.0</v>
      </c>
      <c r="M240" s="443">
        <v>2.0</v>
      </c>
      <c r="N240" s="452">
        <f t="array" ref="N240">IFERROR(
  INDEX(
    'Valor Hora Real y Estimada'!$A$4:$Z$78,
    MATCH(TRIM(CLEAN(A240)), 'Valor Hora Real y Estimada'!$A$4:$A$78, 0),
    MATCH(
      TEXT(C240,"dd mmm")&amp;" "&amp;D240,
      'Valor Hora Real y Estimada'!$A$3:$Z$3,
      0
    ) + 1
  ),
  0
)</f>
        <v>14717</v>
      </c>
      <c r="O240" s="453">
        <f t="shared" si="11"/>
        <v>29434</v>
      </c>
      <c r="P240" s="113"/>
      <c r="Q240" s="106">
        <f>IF(ISBLANK(O240), "", VLOOKUP(C240&amp;" "&amp;D240, 'Info Tipo de Cambio y REM'!$A$24:$B$35, 2, FALSE))</f>
        <v>1185</v>
      </c>
      <c r="R240" s="107">
        <f t="shared" si="2"/>
        <v>24.83881857</v>
      </c>
    </row>
    <row r="241" hidden="1">
      <c r="A241" s="443" t="s">
        <v>228</v>
      </c>
      <c r="B241" s="43" t="str">
        <f>IF(A241="", "", IFERROR(VLOOKUP(A241, Clasificaciones!A:B, 2, FALSE), "DATO NO CARGADO"))
</f>
        <v>Equipo</v>
      </c>
      <c r="C241" s="51" t="s">
        <v>143</v>
      </c>
      <c r="D241" s="43">
        <v>2025.0</v>
      </c>
      <c r="E241" s="43" t="s">
        <v>1124</v>
      </c>
      <c r="F241" s="202"/>
      <c r="G241" s="202" t="s">
        <v>1162</v>
      </c>
      <c r="H241" s="43" t="s">
        <v>1126</v>
      </c>
      <c r="I241" s="43" t="s">
        <v>1127</v>
      </c>
      <c r="J241" s="43" t="s">
        <v>119</v>
      </c>
      <c r="K241" s="443">
        <v>27.0</v>
      </c>
      <c r="L241" s="451">
        <v>28.48</v>
      </c>
      <c r="M241" s="443">
        <v>27.7</v>
      </c>
      <c r="N241" s="452">
        <f t="array" ref="N241">IFERROR(
  INDEX(
    'Valor Hora Real y Estimada'!$A$4:$Z$78,
    MATCH(TRIM(CLEAN(A241)), 'Valor Hora Real y Estimada'!$A$4:$A$78, 0),
    MATCH(
      TEXT(C241,"dd mmm")&amp;" "&amp;D241,
      'Valor Hora Real y Estimada'!$A$3:$Z$3,
      0
    ) + 1
  ),
  0
)</f>
        <v>18000</v>
      </c>
      <c r="O241" s="453">
        <f t="shared" si="11"/>
        <v>498600</v>
      </c>
      <c r="P241" s="113"/>
      <c r="Q241" s="106">
        <f>IF(ISBLANK(O241), "", VLOOKUP(C241&amp;" "&amp;D241, 'Info Tipo de Cambio y REM'!$A$24:$B$35, 2, FALSE))</f>
        <v>1185</v>
      </c>
      <c r="R241" s="107">
        <f t="shared" si="2"/>
        <v>420.7594937</v>
      </c>
    </row>
    <row r="242" hidden="1">
      <c r="A242" s="443" t="s">
        <v>120</v>
      </c>
      <c r="B242" s="43" t="str">
        <f>IF(A242="", "", IFERROR(VLOOKUP(A242, Clasificaciones!A:B, 2, FALSE), "DATO NO CARGADO"))
</f>
        <v>Equipo</v>
      </c>
      <c r="C242" s="51" t="s">
        <v>143</v>
      </c>
      <c r="D242" s="43">
        <v>2025.0</v>
      </c>
      <c r="E242" s="43" t="s">
        <v>1130</v>
      </c>
      <c r="F242" s="202"/>
      <c r="G242" s="202" t="s">
        <v>1163</v>
      </c>
      <c r="H242" s="43" t="s">
        <v>208</v>
      </c>
      <c r="I242" s="43" t="s">
        <v>1136</v>
      </c>
      <c r="J242" s="43" t="s">
        <v>208</v>
      </c>
      <c r="K242" s="443"/>
      <c r="L242" s="455">
        <f>0.67+33.52+27.92+1.25</f>
        <v>63.36</v>
      </c>
      <c r="M242" s="443">
        <v>64.8</v>
      </c>
      <c r="N242" s="452">
        <f t="array" ref="N242">IFERROR(
  INDEX(
    'Valor Hora Real y Estimada'!$A$4:$Z$78,
    MATCH(TRIM(CLEAN(A242)), 'Valor Hora Real y Estimada'!$A$4:$A$78, 0),
    MATCH(
      TEXT(C242,"dd mmm")&amp;" "&amp;D242,
      'Valor Hora Real y Estimada'!$A$3:$Z$3,
      0
    ) + 1
  ),
  0
)</f>
        <v>24166.66667</v>
      </c>
      <c r="O242" s="453">
        <f t="shared" si="11"/>
        <v>1566000</v>
      </c>
      <c r="P242" s="113"/>
      <c r="Q242" s="106">
        <f>IF(ISBLANK(O242), "", VLOOKUP(C242&amp;" "&amp;D242, 'Info Tipo de Cambio y REM'!$A$24:$B$35, 2, FALSE))</f>
        <v>1185</v>
      </c>
      <c r="R242" s="107">
        <f t="shared" si="2"/>
        <v>1321.518987</v>
      </c>
    </row>
    <row r="243" hidden="1">
      <c r="A243" s="443" t="s">
        <v>228</v>
      </c>
      <c r="B243" s="43" t="str">
        <f>IF(A243="", "", IFERROR(VLOOKUP(A243, Clasificaciones!A:B, 2, FALSE), "DATO NO CARGADO"))
</f>
        <v>Equipo</v>
      </c>
      <c r="C243" s="51" t="s">
        <v>143</v>
      </c>
      <c r="D243" s="43">
        <v>2025.0</v>
      </c>
      <c r="E243" s="43" t="s">
        <v>1130</v>
      </c>
      <c r="F243" s="202"/>
      <c r="G243" s="202" t="s">
        <v>1163</v>
      </c>
      <c r="H243" s="43" t="s">
        <v>208</v>
      </c>
      <c r="I243" s="43" t="s">
        <v>1136</v>
      </c>
      <c r="J243" s="43" t="s">
        <v>208</v>
      </c>
      <c r="K243" s="469"/>
      <c r="L243" s="451">
        <f>2.48+1.17+5.27+2</f>
        <v>10.92</v>
      </c>
      <c r="M243" s="469">
        <f>16.499+0.05272222222</f>
        <v>16.55172222</v>
      </c>
      <c r="N243" s="452">
        <f t="array" ref="N243">IFERROR(
  INDEX(
    'Valor Hora Real y Estimada'!$A$4:$Z$78,
    MATCH(TRIM(CLEAN(A243)), 'Valor Hora Real y Estimada'!$A$4:$A$78, 0),
    MATCH(
      TEXT(C243,"dd mmm")&amp;" "&amp;D243,
      'Valor Hora Real y Estimada'!$A$3:$Z$3,
      0
    ) + 1
  ),
  0
)</f>
        <v>18000</v>
      </c>
      <c r="O243" s="453">
        <f t="shared" si="11"/>
        <v>297931</v>
      </c>
      <c r="P243" s="113"/>
      <c r="Q243" s="106">
        <f>IF(ISBLANK(O243), "", VLOOKUP(C243&amp;" "&amp;D243, 'Info Tipo de Cambio y REM'!$A$24:$B$35, 2, FALSE))</f>
        <v>1185</v>
      </c>
      <c r="R243" s="107">
        <f t="shared" si="2"/>
        <v>251.4185654</v>
      </c>
    </row>
    <row r="244" hidden="1">
      <c r="A244" s="443" t="s">
        <v>218</v>
      </c>
      <c r="B244" s="43" t="str">
        <f>IF(A244="", "", IFERROR(VLOOKUP(A244, Clasificaciones!A:B, 2, FALSE), "DATO NO CARGADO"))
</f>
        <v>Equipo</v>
      </c>
      <c r="C244" s="51" t="s">
        <v>143</v>
      </c>
      <c r="D244" s="43">
        <v>2025.0</v>
      </c>
      <c r="E244" s="43" t="s">
        <v>1130</v>
      </c>
      <c r="F244" s="202"/>
      <c r="G244" s="202" t="s">
        <v>1163</v>
      </c>
      <c r="H244" s="43" t="s">
        <v>208</v>
      </c>
      <c r="I244" s="43" t="s">
        <v>1136</v>
      </c>
      <c r="J244" s="43" t="s">
        <v>208</v>
      </c>
      <c r="K244" s="443"/>
      <c r="L244" s="451">
        <v>2.17</v>
      </c>
      <c r="M244" s="443">
        <v>2.0</v>
      </c>
      <c r="N244" s="452">
        <f t="array" ref="N244">IFERROR(
  INDEX(
    'Valor Hora Real y Estimada'!$A$4:$Z$78,
    MATCH(TRIM(CLEAN(A244)), 'Valor Hora Real y Estimada'!$A$4:$A$78, 0),
    MATCH(
      TEXT(C244,"dd mmm")&amp;" "&amp;D244,
      'Valor Hora Real y Estimada'!$A$3:$Z$3,
      0
    ) + 1
  ),
  0
)</f>
        <v>19000</v>
      </c>
      <c r="O244" s="453">
        <f t="shared" si="11"/>
        <v>38000</v>
      </c>
      <c r="P244" s="113"/>
      <c r="Q244" s="106">
        <f>IF(ISBLANK(O244), "", VLOOKUP(C244&amp;" "&amp;D244, 'Info Tipo de Cambio y REM'!$A$24:$B$35, 2, FALSE))</f>
        <v>1185</v>
      </c>
      <c r="R244" s="107">
        <f t="shared" si="2"/>
        <v>32.06751055</v>
      </c>
    </row>
    <row r="245" hidden="1">
      <c r="A245" s="443" t="s">
        <v>197</v>
      </c>
      <c r="B245" s="43" t="str">
        <f>IF(A245="", "", IFERROR(VLOOKUP(A245, Clasificaciones!A:B, 2, FALSE), "DATO NO CARGADO"))
</f>
        <v>Equipo</v>
      </c>
      <c r="C245" s="51" t="s">
        <v>143</v>
      </c>
      <c r="D245" s="43">
        <v>2025.0</v>
      </c>
      <c r="E245" s="43" t="s">
        <v>1130</v>
      </c>
      <c r="F245" s="202"/>
      <c r="G245" s="202" t="s">
        <v>1163</v>
      </c>
      <c r="H245" s="43" t="s">
        <v>208</v>
      </c>
      <c r="I245" s="43" t="s">
        <v>1136</v>
      </c>
      <c r="J245" s="43" t="s">
        <v>208</v>
      </c>
      <c r="K245" s="443"/>
      <c r="L245" s="451">
        <v>48.08</v>
      </c>
      <c r="M245" s="443">
        <f>55+0.2023463586</f>
        <v>55.20234636</v>
      </c>
      <c r="N245" s="452">
        <f t="array" ref="N245">IFERROR(
  INDEX(
    'Valor Hora Real y Estimada'!$A$4:$Z$78,
    MATCH(TRIM(CLEAN(A245)), 'Valor Hora Real y Estimada'!$A$4:$A$78, 0),
    MATCH(
      TEXT(C245,"dd mmm")&amp;" "&amp;D245,
      'Valor Hora Real y Estimada'!$A$3:$Z$3,
      0
    ) + 1
  ),
  0
)</f>
        <v>11081</v>
      </c>
      <c r="O245" s="453">
        <f t="shared" si="11"/>
        <v>611697.2</v>
      </c>
      <c r="P245" s="113"/>
      <c r="Q245" s="106">
        <f>IF(ISBLANK(O245), "", VLOOKUP(C245&amp;" "&amp;D245, 'Info Tipo de Cambio y REM'!$A$24:$B$35, 2, FALSE))</f>
        <v>1185</v>
      </c>
      <c r="R245" s="107">
        <f t="shared" si="2"/>
        <v>516.2001688</v>
      </c>
    </row>
    <row r="246" hidden="1">
      <c r="A246" s="443" t="s">
        <v>197</v>
      </c>
      <c r="B246" s="43" t="str">
        <f>IF(A246="", "", IFERROR(VLOOKUP(A246, Clasificaciones!A:B, 2, FALSE), "DATO NO CARGADO"))
</f>
        <v>Equipo</v>
      </c>
      <c r="C246" s="51" t="s">
        <v>143</v>
      </c>
      <c r="D246" s="43">
        <v>2025.0</v>
      </c>
      <c r="E246" s="43" t="s">
        <v>1124</v>
      </c>
      <c r="F246" s="202"/>
      <c r="G246" s="202" t="s">
        <v>1131</v>
      </c>
      <c r="H246" s="43" t="s">
        <v>1126</v>
      </c>
      <c r="I246" s="43" t="s">
        <v>1164</v>
      </c>
      <c r="J246" s="43" t="s">
        <v>180</v>
      </c>
      <c r="K246" s="443">
        <v>45.0</v>
      </c>
      <c r="L246" s="451">
        <v>3.5</v>
      </c>
      <c r="M246" s="443"/>
      <c r="N246" s="452">
        <f t="array" ref="N246">IFERROR(
  INDEX(
    'Valor Hora Real y Estimada'!$A$4:$Z$78,
    MATCH(TRIM(CLEAN(A246)), 'Valor Hora Real y Estimada'!$A$4:$A$78, 0),
    MATCH(
      TEXT(C246,"dd mmm")&amp;" "&amp;D246,
      'Valor Hora Real y Estimada'!$A$3:$Z$3,
      0
    ) + 1
  ),
  0
)</f>
        <v>11081</v>
      </c>
      <c r="O246" s="453">
        <f t="shared" si="11"/>
        <v>0</v>
      </c>
      <c r="P246" s="113"/>
      <c r="Q246" s="106">
        <f>IF(ISBLANK(O246), "", VLOOKUP(C246&amp;" "&amp;D246, 'Info Tipo de Cambio y REM'!$A$24:$B$35, 2, FALSE))</f>
        <v>1185</v>
      </c>
      <c r="R246" s="107">
        <f t="shared" si="2"/>
        <v>0</v>
      </c>
    </row>
    <row r="247" hidden="1">
      <c r="A247" s="443" t="s">
        <v>197</v>
      </c>
      <c r="B247" s="43" t="str">
        <f>IF(A247="", "", IFERROR(VLOOKUP(A247, Clasificaciones!A:B, 2, FALSE), "DATO NO CARGADO"))
</f>
        <v>Equipo</v>
      </c>
      <c r="C247" s="51" t="s">
        <v>143</v>
      </c>
      <c r="D247" s="43">
        <v>2025.0</v>
      </c>
      <c r="E247" s="43" t="s">
        <v>1124</v>
      </c>
      <c r="F247" s="202"/>
      <c r="G247" s="202" t="s">
        <v>1131</v>
      </c>
      <c r="H247" s="43" t="s">
        <v>1133</v>
      </c>
      <c r="I247" s="43" t="s">
        <v>1165</v>
      </c>
      <c r="J247" s="43" t="s">
        <v>199</v>
      </c>
      <c r="K247" s="443">
        <v>50.0</v>
      </c>
      <c r="L247" s="451">
        <v>1.33</v>
      </c>
      <c r="M247" s="443"/>
      <c r="N247" s="452">
        <f t="array" ref="N247">IFERROR(
  INDEX(
    'Valor Hora Real y Estimada'!$A$4:$Z$78,
    MATCH(TRIM(CLEAN(A247)), 'Valor Hora Real y Estimada'!$A$4:$A$78, 0),
    MATCH(
      TEXT(C247,"dd mmm")&amp;" "&amp;D247,
      'Valor Hora Real y Estimada'!$A$3:$Z$3,
      0
    ) + 1
  ),
  0
)</f>
        <v>11081</v>
      </c>
      <c r="O247" s="453">
        <f t="shared" si="11"/>
        <v>0</v>
      </c>
      <c r="P247" s="113"/>
      <c r="Q247" s="106">
        <f>IF(ISBLANK(O247), "", VLOOKUP(C247&amp;" "&amp;D247, 'Info Tipo de Cambio y REM'!$A$24:$B$35, 2, FALSE))</f>
        <v>1185</v>
      </c>
      <c r="R247" s="107">
        <f t="shared" si="2"/>
        <v>0</v>
      </c>
    </row>
    <row r="248" hidden="1">
      <c r="A248" s="443" t="s">
        <v>197</v>
      </c>
      <c r="B248" s="43" t="str">
        <f>IF(A248="", "", IFERROR(VLOOKUP(A248, Clasificaciones!A:B, 2, FALSE), "DATO NO CARGADO"))
</f>
        <v>Equipo</v>
      </c>
      <c r="C248" s="51" t="s">
        <v>143</v>
      </c>
      <c r="D248" s="43">
        <v>2025.0</v>
      </c>
      <c r="E248" s="43" t="s">
        <v>1124</v>
      </c>
      <c r="F248" s="202"/>
      <c r="G248" s="202" t="s">
        <v>1131</v>
      </c>
      <c r="H248" s="43" t="s">
        <v>1126</v>
      </c>
      <c r="I248" s="43" t="s">
        <v>1141</v>
      </c>
      <c r="J248" s="43" t="s">
        <v>163</v>
      </c>
      <c r="K248" s="443"/>
      <c r="L248" s="451">
        <v>1.0</v>
      </c>
      <c r="M248" s="443"/>
      <c r="N248" s="452">
        <f t="array" ref="N248">IFERROR(
  INDEX(
    'Valor Hora Real y Estimada'!$A$4:$Z$78,
    MATCH(TRIM(CLEAN(A248)), 'Valor Hora Real y Estimada'!$A$4:$A$78, 0),
    MATCH(
      TEXT(C248,"dd mmm")&amp;" "&amp;D248,
      'Valor Hora Real y Estimada'!$A$3:$Z$3,
      0
    ) + 1
  ),
  0
)</f>
        <v>11081</v>
      </c>
      <c r="O248" s="453">
        <f t="shared" si="11"/>
        <v>0</v>
      </c>
      <c r="P248" s="113"/>
      <c r="Q248" s="106">
        <f>IF(ISBLANK(O248), "", VLOOKUP(C248&amp;" "&amp;D248, 'Info Tipo de Cambio y REM'!$A$24:$B$35, 2, FALSE))</f>
        <v>1185</v>
      </c>
      <c r="R248" s="107">
        <f t="shared" si="2"/>
        <v>0</v>
      </c>
    </row>
    <row r="249" hidden="1">
      <c r="A249" s="443" t="s">
        <v>200</v>
      </c>
      <c r="B249" s="43" t="str">
        <f>IF(A249="", "", IFERROR(VLOOKUP(A249, Clasificaciones!A:B, 2, FALSE), "DATO NO CARGADO"))
</f>
        <v>Equipo</v>
      </c>
      <c r="C249" s="51" t="s">
        <v>143</v>
      </c>
      <c r="D249" s="43">
        <v>2025.0</v>
      </c>
      <c r="E249" s="43" t="s">
        <v>1130</v>
      </c>
      <c r="F249" s="202"/>
      <c r="G249" s="202" t="s">
        <v>1163</v>
      </c>
      <c r="H249" s="43" t="s">
        <v>208</v>
      </c>
      <c r="I249" s="43" t="s">
        <v>1136</v>
      </c>
      <c r="J249" s="43" t="s">
        <v>208</v>
      </c>
      <c r="K249" s="443"/>
      <c r="L249" s="455">
        <f>44+4</f>
        <v>48</v>
      </c>
      <c r="M249" s="443">
        <v>48.0</v>
      </c>
      <c r="N249" s="452">
        <f t="array" ref="N249">IFERROR(
  INDEX(
    'Valor Hora Real y Estimada'!$A$4:$Z$78,
    MATCH(TRIM(CLEAN(A249)), 'Valor Hora Real y Estimada'!$A$4:$A$78, 0),
    MATCH(
      TEXT(C249,"dd mmm")&amp;" "&amp;D249,
      'Valor Hora Real y Estimada'!$A$3:$Z$3,
      0
    ) + 1
  ),
  0
)</f>
        <v>16856</v>
      </c>
      <c r="O249" s="453">
        <f t="shared" si="11"/>
        <v>809088</v>
      </c>
      <c r="P249" s="113"/>
      <c r="Q249" s="106">
        <f>IF(ISBLANK(O249), "", VLOOKUP(C249&amp;" "&amp;D249, 'Info Tipo de Cambio y REM'!$A$24:$B$35, 2, FALSE))</f>
        <v>1185</v>
      </c>
      <c r="R249" s="107">
        <f t="shared" si="2"/>
        <v>682.7746835</v>
      </c>
    </row>
    <row r="250" hidden="1">
      <c r="A250" s="443" t="s">
        <v>221</v>
      </c>
      <c r="B250" s="43" t="str">
        <f>IF(A250="", "", IFERROR(VLOOKUP(A250, Clasificaciones!A:B, 2, FALSE), "DATO NO CARGADO"))
</f>
        <v>Equipo</v>
      </c>
      <c r="C250" s="51" t="s">
        <v>143</v>
      </c>
      <c r="D250" s="43">
        <v>2025.0</v>
      </c>
      <c r="E250" s="43" t="s">
        <v>1130</v>
      </c>
      <c r="F250" s="202"/>
      <c r="G250" s="202" t="s">
        <v>1163</v>
      </c>
      <c r="H250" s="43" t="s">
        <v>208</v>
      </c>
      <c r="I250" s="43" t="s">
        <v>1136</v>
      </c>
      <c r="J250" s="43" t="s">
        <v>208</v>
      </c>
      <c r="K250" s="443"/>
      <c r="L250" s="451">
        <v>1.0</v>
      </c>
      <c r="M250" s="443">
        <f>122+0.002371307183</f>
        <v>122.0023713</v>
      </c>
      <c r="N250" s="452">
        <f t="array" ref="N250">IFERROR(
  INDEX(
    'Valor Hora Real y Estimada'!$A$4:$Z$78,
    MATCH(TRIM(CLEAN(A250)), 'Valor Hora Real y Estimada'!$A$4:$A$78, 0),
    MATCH(
      TEXT(C250,"dd mmm")&amp;" "&amp;D250,
      'Valor Hora Real y Estimada'!$A$3:$Z$3,
      0
    ) + 1
  ),
  0
)</f>
        <v>10121</v>
      </c>
      <c r="O250" s="453">
        <f t="shared" si="11"/>
        <v>1234786</v>
      </c>
      <c r="P250" s="113"/>
      <c r="Q250" s="106">
        <f>IF(ISBLANK(O250), "", VLOOKUP(C250&amp;" "&amp;D250, 'Info Tipo de Cambio y REM'!$A$24:$B$35, 2, FALSE))</f>
        <v>1185</v>
      </c>
      <c r="R250" s="107">
        <f t="shared" si="2"/>
        <v>1042.013502</v>
      </c>
    </row>
    <row r="251" hidden="1">
      <c r="A251" s="443" t="s">
        <v>221</v>
      </c>
      <c r="B251" s="43" t="str">
        <f>IF(A251="", "", IFERROR(VLOOKUP(A251, Clasificaciones!A:B, 2, FALSE), "DATO NO CARGADO"))
</f>
        <v>Equipo</v>
      </c>
      <c r="C251" s="51" t="s">
        <v>143</v>
      </c>
      <c r="D251" s="43">
        <v>2025.0</v>
      </c>
      <c r="E251" s="43" t="s">
        <v>1130</v>
      </c>
      <c r="F251" s="202"/>
      <c r="G251" s="202" t="s">
        <v>1131</v>
      </c>
      <c r="H251" s="43" t="s">
        <v>1160</v>
      </c>
      <c r="I251" s="43" t="s">
        <v>1161</v>
      </c>
      <c r="J251" s="43" t="s">
        <v>199</v>
      </c>
      <c r="K251" s="443"/>
      <c r="L251" s="451">
        <v>0.5</v>
      </c>
      <c r="M251" s="443"/>
      <c r="N251" s="452">
        <f t="array" ref="N251">IFERROR(
  INDEX(
    'Valor Hora Real y Estimada'!$A$4:$Z$78,
    MATCH(TRIM(CLEAN(A251)), 'Valor Hora Real y Estimada'!$A$4:$A$78, 0),
    MATCH(
      TEXT(C251,"dd mmm")&amp;" "&amp;D251,
      'Valor Hora Real y Estimada'!$A$3:$Z$3,
      0
    ) + 1
  ),
  0
)</f>
        <v>10121</v>
      </c>
      <c r="O251" s="453">
        <f t="shared" si="11"/>
        <v>0</v>
      </c>
      <c r="P251" s="113"/>
      <c r="Q251" s="106">
        <f>IF(ISBLANK(O251), "", VLOOKUP(C251&amp;" "&amp;D251, 'Info Tipo de Cambio y REM'!$A$24:$B$35, 2, FALSE))</f>
        <v>1185</v>
      </c>
      <c r="R251" s="107">
        <f t="shared" si="2"/>
        <v>0</v>
      </c>
    </row>
    <row r="252" hidden="1">
      <c r="A252" s="443" t="s">
        <v>203</v>
      </c>
      <c r="B252" s="43" t="str">
        <f>IF(A252="", "", IFERROR(VLOOKUP(A252, Clasificaciones!A:B, 2, FALSE), "DATO NO CARGADO"))
</f>
        <v>Equipo</v>
      </c>
      <c r="C252" s="51" t="s">
        <v>143</v>
      </c>
      <c r="D252" s="43">
        <v>2025.0</v>
      </c>
      <c r="E252" s="43" t="s">
        <v>1130</v>
      </c>
      <c r="F252" s="202"/>
      <c r="G252" s="202" t="s">
        <v>1163</v>
      </c>
      <c r="H252" s="43" t="s">
        <v>208</v>
      </c>
      <c r="I252" s="43" t="s">
        <v>1136</v>
      </c>
      <c r="J252" s="43" t="s">
        <v>208</v>
      </c>
      <c r="K252" s="443"/>
      <c r="L252" s="451">
        <v>1.0</v>
      </c>
      <c r="M252" s="443">
        <v>10.0</v>
      </c>
      <c r="N252" s="452">
        <f t="array" ref="N252">IFERROR(
  INDEX(
    'Valor Hora Real y Estimada'!$A$4:$Z$78,
    MATCH(TRIM(CLEAN(A252)), 'Valor Hora Real y Estimada'!$A$4:$A$78, 0),
    MATCH(
      TEXT(C252,"dd mmm")&amp;" "&amp;D252,
      'Valor Hora Real y Estimada'!$A$3:$Z$3,
      0
    ) + 1
  ),
  0
)</f>
        <v>9115</v>
      </c>
      <c r="O252" s="453">
        <f t="shared" si="11"/>
        <v>91150</v>
      </c>
      <c r="P252" s="113"/>
      <c r="Q252" s="106">
        <f>IF(ISBLANK(O252), "", VLOOKUP(C252&amp;" "&amp;D252, 'Info Tipo de Cambio y REM'!$A$24:$B$35, 2, FALSE))</f>
        <v>1185</v>
      </c>
      <c r="R252" s="107">
        <f t="shared" si="2"/>
        <v>76.91983122</v>
      </c>
    </row>
    <row r="253" hidden="1">
      <c r="A253" s="443" t="s">
        <v>217</v>
      </c>
      <c r="B253" s="43" t="str">
        <f>IF(A253="", "", IFERROR(VLOOKUP(A253, Clasificaciones!A:B, 2, FALSE), "DATO NO CARGADO"))
</f>
        <v>Equipo</v>
      </c>
      <c r="C253" s="51" t="s">
        <v>143</v>
      </c>
      <c r="D253" s="43">
        <v>2025.0</v>
      </c>
      <c r="E253" s="43" t="s">
        <v>1130</v>
      </c>
      <c r="F253" s="202"/>
      <c r="G253" s="202" t="s">
        <v>1163</v>
      </c>
      <c r="H253" s="43" t="s">
        <v>208</v>
      </c>
      <c r="I253" s="43" t="s">
        <v>1136</v>
      </c>
      <c r="J253" s="43" t="s">
        <v>208</v>
      </c>
      <c r="K253" s="443"/>
      <c r="L253" s="455">
        <f>23.5+16.33</f>
        <v>39.83</v>
      </c>
      <c r="M253" s="443">
        <f>56-0.1380470685</f>
        <v>55.86195293</v>
      </c>
      <c r="N253" s="452">
        <f t="array" ref="N253">IFERROR(
  INDEX(
    'Valor Hora Real y Estimada'!$A$4:$Z$78,
    MATCH(TRIM(CLEAN(A253)), 'Valor Hora Real y Estimada'!$A$4:$A$78, 0),
    MATCH(
      TEXT(C253,"dd mmm")&amp;" "&amp;D253,
      'Valor Hora Real y Estimada'!$A$3:$Z$3,
      0
    ) + 1
  ),
  0
)</f>
        <v>9688</v>
      </c>
      <c r="O253" s="453">
        <f t="shared" si="11"/>
        <v>541190.6</v>
      </c>
      <c r="P253" s="113"/>
      <c r="Q253" s="106">
        <f>IF(ISBLANK(O253), "", VLOOKUP(C253&amp;" "&amp;D253, 'Info Tipo de Cambio y REM'!$A$24:$B$35, 2, FALSE))</f>
        <v>1185</v>
      </c>
      <c r="R253" s="107">
        <f t="shared" si="2"/>
        <v>456.7009283</v>
      </c>
    </row>
    <row r="254" hidden="1">
      <c r="A254" s="443" t="s">
        <v>194</v>
      </c>
      <c r="B254" s="43" t="str">
        <f>IF(A254="", "", IFERROR(VLOOKUP(A254, Clasificaciones!A:B, 2, FALSE), "DATO NO CARGADO"))
</f>
        <v>Equipo</v>
      </c>
      <c r="C254" s="51" t="s">
        <v>143</v>
      </c>
      <c r="D254" s="43">
        <v>2025.0</v>
      </c>
      <c r="E254" s="43" t="s">
        <v>1130</v>
      </c>
      <c r="F254" s="202"/>
      <c r="G254" s="202" t="s">
        <v>1163</v>
      </c>
      <c r="H254" s="43" t="s">
        <v>208</v>
      </c>
      <c r="I254" s="43" t="s">
        <v>1136</v>
      </c>
      <c r="J254" s="43" t="s">
        <v>208</v>
      </c>
      <c r="K254" s="469"/>
      <c r="L254" s="455">
        <f>14.63+2.83</f>
        <v>17.46</v>
      </c>
      <c r="M254" s="469">
        <f>12-0.00538551297</f>
        <v>11.99461449</v>
      </c>
      <c r="N254" s="452">
        <f t="array" ref="N254">IFERROR(
  INDEX(
    'Valor Hora Real y Estimada'!$A$4:$Z$78,
    MATCH(TRIM(CLEAN(A254)), 'Valor Hora Real y Estimada'!$A$4:$A$78, 0),
    MATCH(
      TEXT(C254,"dd mmm")&amp;" "&amp;D254,
      'Valor Hora Real y Estimada'!$A$3:$Z$3,
      0
    ) + 1
  ),
  0
)</f>
        <v>11141</v>
      </c>
      <c r="O254" s="453">
        <f t="shared" si="11"/>
        <v>133632</v>
      </c>
      <c r="P254" s="113"/>
      <c r="Q254" s="106">
        <f>IF(ISBLANK(O254), "", VLOOKUP(C254&amp;" "&amp;D254, 'Info Tipo de Cambio y REM'!$A$24:$B$35, 2, FALSE))</f>
        <v>1185</v>
      </c>
      <c r="R254" s="107">
        <f t="shared" si="2"/>
        <v>112.7696203</v>
      </c>
    </row>
    <row r="255" hidden="1">
      <c r="A255" s="443" t="s">
        <v>205</v>
      </c>
      <c r="B255" s="43" t="str">
        <f>IF(A255="", "", IFERROR(VLOOKUP(A255, Clasificaciones!A:B, 2, FALSE), "DATO NO CARGADO"))
</f>
        <v>Equipo</v>
      </c>
      <c r="C255" s="51" t="s">
        <v>143</v>
      </c>
      <c r="D255" s="43">
        <v>2025.0</v>
      </c>
      <c r="E255" s="43" t="s">
        <v>1130</v>
      </c>
      <c r="F255" s="202"/>
      <c r="G255" s="202" t="s">
        <v>1163</v>
      </c>
      <c r="H255" s="43" t="s">
        <v>208</v>
      </c>
      <c r="I255" s="43" t="s">
        <v>1136</v>
      </c>
      <c r="J255" s="43" t="s">
        <v>208</v>
      </c>
      <c r="K255" s="443"/>
      <c r="L255" s="455">
        <f>15.5+2.25</f>
        <v>17.75</v>
      </c>
      <c r="M255" s="443">
        <v>18.0</v>
      </c>
      <c r="N255" s="452">
        <f t="array" ref="N255">IFERROR(
  INDEX(
    'Valor Hora Real y Estimada'!$A$4:$Z$78,
    MATCH(TRIM(CLEAN(A255)), 'Valor Hora Real y Estimada'!$A$4:$A$78, 0),
    MATCH(
      TEXT(C255,"dd mmm")&amp;" "&amp;D255,
      'Valor Hora Real y Estimada'!$A$3:$Z$3,
      0
    ) + 1
  ),
  0
)</f>
        <v>10000</v>
      </c>
      <c r="O255" s="453">
        <f t="shared" si="11"/>
        <v>180000</v>
      </c>
      <c r="P255" s="113"/>
      <c r="Q255" s="106">
        <f>IF(ISBLANK(O255), "", VLOOKUP(C255&amp;" "&amp;D255, 'Info Tipo de Cambio y REM'!$A$24:$B$35, 2, FALSE))</f>
        <v>1185</v>
      </c>
      <c r="R255" s="107">
        <f t="shared" si="2"/>
        <v>151.8987342</v>
      </c>
    </row>
    <row r="256" hidden="1">
      <c r="A256" s="443" t="s">
        <v>214</v>
      </c>
      <c r="B256" s="43" t="str">
        <f>IF(A256="", "", IFERROR(VLOOKUP(A256, Clasificaciones!A:B, 2, FALSE), "DATO NO CARGADO"))
</f>
        <v>Equipo</v>
      </c>
      <c r="C256" s="51" t="s">
        <v>143</v>
      </c>
      <c r="D256" s="43">
        <v>2025.0</v>
      </c>
      <c r="E256" s="43" t="s">
        <v>1130</v>
      </c>
      <c r="F256" s="202"/>
      <c r="G256" s="202" t="s">
        <v>1163</v>
      </c>
      <c r="H256" s="43" t="s">
        <v>208</v>
      </c>
      <c r="I256" s="43" t="s">
        <v>1136</v>
      </c>
      <c r="J256" s="43" t="s">
        <v>208</v>
      </c>
      <c r="K256" s="470"/>
      <c r="L256" s="455">
        <f>20+1.92</f>
        <v>21.92</v>
      </c>
      <c r="M256" s="470">
        <f>56-0.008257638315</f>
        <v>55.99174236</v>
      </c>
      <c r="N256" s="452">
        <f t="array" ref="N256">IFERROR(
  INDEX(
    'Valor Hora Real y Estimada'!$A$4:$Z$78,
    MATCH(TRIM(CLEAN(A256)), 'Valor Hora Real y Estimada'!$A$4:$A$78, 0),
    MATCH(
      TEXT(C256,"dd mmm")&amp;" "&amp;D256,
      'Valor Hora Real y Estimada'!$A$3:$Z$3,
      0
    ) + 1
  ),
  0
)</f>
        <v>9688</v>
      </c>
      <c r="O256" s="453">
        <f t="shared" si="11"/>
        <v>542448</v>
      </c>
      <c r="P256" s="113"/>
      <c r="Q256" s="106">
        <f>IF(ISBLANK(O256), "", VLOOKUP(C256&amp;" "&amp;D256, 'Info Tipo de Cambio y REM'!$A$24:$B$35, 2, FALSE))</f>
        <v>1185</v>
      </c>
      <c r="R256" s="107">
        <f t="shared" si="2"/>
        <v>457.7620253</v>
      </c>
    </row>
    <row r="257" hidden="1">
      <c r="A257" s="443" t="s">
        <v>212</v>
      </c>
      <c r="B257" s="43" t="str">
        <f>IF(A257="", "", IFERROR(VLOOKUP(A257, Clasificaciones!A:B, 2, FALSE), "DATO NO CARGADO"))
</f>
        <v>Equipo</v>
      </c>
      <c r="C257" s="51" t="s">
        <v>143</v>
      </c>
      <c r="D257" s="43">
        <v>2025.0</v>
      </c>
      <c r="E257" s="43" t="s">
        <v>1130</v>
      </c>
      <c r="F257" s="202"/>
      <c r="G257" s="202" t="s">
        <v>1163</v>
      </c>
      <c r="H257" s="43" t="s">
        <v>208</v>
      </c>
      <c r="I257" s="43" t="s">
        <v>1136</v>
      </c>
      <c r="J257" s="43" t="s">
        <v>208</v>
      </c>
      <c r="K257" s="443"/>
      <c r="L257" s="451">
        <v>0.92</v>
      </c>
      <c r="M257" s="443">
        <v>1.0</v>
      </c>
      <c r="N257" s="452">
        <f t="array" ref="N257">IFERROR(
  INDEX(
    'Valor Hora Real y Estimada'!$A$4:$Z$78,
    MATCH(TRIM(CLEAN(A257)), 'Valor Hora Real y Estimada'!$A$4:$A$78, 0),
    MATCH(
      TEXT(C257,"dd mmm")&amp;" "&amp;D257,
      'Valor Hora Real y Estimada'!$A$3:$Z$3,
      0
    ) + 1
  ),
  0
)</f>
        <v>8500</v>
      </c>
      <c r="O257" s="453">
        <f t="shared" si="11"/>
        <v>8500</v>
      </c>
      <c r="P257" s="113"/>
      <c r="Q257" s="106">
        <f>IF(ISBLANK(O257), "", VLOOKUP(C257&amp;" "&amp;D257, 'Info Tipo de Cambio y REM'!$A$24:$B$35, 2, FALSE))</f>
        <v>1185</v>
      </c>
      <c r="R257" s="107">
        <f t="shared" si="2"/>
        <v>7.172995781</v>
      </c>
    </row>
    <row r="258" hidden="1">
      <c r="A258" s="443" t="s">
        <v>87</v>
      </c>
      <c r="B258" s="43" t="str">
        <f>IF(A258="", "", IFERROR(VLOOKUP(A258, Clasificaciones!A:B, 2, FALSE), "DATO NO CARGADO"))
</f>
        <v>Equipo</v>
      </c>
      <c r="C258" s="51" t="s">
        <v>143</v>
      </c>
      <c r="D258" s="43">
        <v>2025.0</v>
      </c>
      <c r="E258" s="43" t="s">
        <v>1130</v>
      </c>
      <c r="F258" s="202"/>
      <c r="G258" s="202" t="s">
        <v>1163</v>
      </c>
      <c r="H258" s="43" t="s">
        <v>208</v>
      </c>
      <c r="I258" s="43" t="s">
        <v>1136</v>
      </c>
      <c r="J258" s="43" t="s">
        <v>208</v>
      </c>
      <c r="K258" s="443"/>
      <c r="L258" s="455">
        <f>72.53+0.92</f>
        <v>73.45</v>
      </c>
      <c r="M258" s="443">
        <v>71.45</v>
      </c>
      <c r="N258" s="452">
        <f t="array" ref="N258">IFERROR(
  INDEX(
    'Valor Hora Real y Estimada'!$A$4:$Z$78,
    MATCH(TRIM(CLEAN(A258)), 'Valor Hora Real y Estimada'!$A$4:$A$78, 0),
    MATCH(
      TEXT(C258,"dd mmm")&amp;" "&amp;D258,
      'Valor Hora Real y Estimada'!$A$3:$Z$3,
      0
    ) + 1
  ),
  0
)</f>
        <v>10000</v>
      </c>
      <c r="O258" s="453">
        <f t="shared" si="11"/>
        <v>714500</v>
      </c>
      <c r="P258" s="113"/>
      <c r="Q258" s="106">
        <f>IF(ISBLANK(O258), "", VLOOKUP(C258&amp;" "&amp;D258, 'Info Tipo de Cambio y REM'!$A$24:$B$35, 2, FALSE))</f>
        <v>1185</v>
      </c>
      <c r="R258" s="107">
        <f t="shared" si="2"/>
        <v>602.9535865</v>
      </c>
    </row>
    <row r="259" hidden="1">
      <c r="A259" s="443" t="s">
        <v>210</v>
      </c>
      <c r="B259" s="43" t="str">
        <f>IF(A259="", "", IFERROR(VLOOKUP(A259, Clasificaciones!A:B, 2, FALSE), "DATO NO CARGADO"))
</f>
        <v>Equipo</v>
      </c>
      <c r="C259" s="51" t="s">
        <v>143</v>
      </c>
      <c r="D259" s="43">
        <v>2025.0</v>
      </c>
      <c r="E259" s="43" t="s">
        <v>1130</v>
      </c>
      <c r="F259" s="202"/>
      <c r="G259" s="202" t="s">
        <v>1163</v>
      </c>
      <c r="H259" s="43" t="s">
        <v>208</v>
      </c>
      <c r="I259" s="43" t="s">
        <v>1136</v>
      </c>
      <c r="J259" s="43" t="s">
        <v>208</v>
      </c>
      <c r="K259" s="443"/>
      <c r="L259" s="451">
        <v>26.0</v>
      </c>
      <c r="M259" s="443">
        <v>26.0</v>
      </c>
      <c r="N259" s="452">
        <f t="array" ref="N259">IFERROR(
  INDEX(
    'Valor Hora Real y Estimada'!$A$4:$Z$78,
    MATCH(TRIM(CLEAN(A259)), 'Valor Hora Real y Estimada'!$A$4:$A$78, 0),
    MATCH(
      TEXT(C259,"dd mmm")&amp;" "&amp;D259,
      'Valor Hora Real y Estimada'!$A$3:$Z$3,
      0
    ) + 1
  ),
  0
)</f>
        <v>14717</v>
      </c>
      <c r="O259" s="453">
        <f t="shared" si="11"/>
        <v>382642</v>
      </c>
      <c r="P259" s="113"/>
      <c r="Q259" s="106">
        <f>IF(ISBLANK(O259), "", VLOOKUP(C259&amp;" "&amp;D259, 'Info Tipo de Cambio y REM'!$A$24:$B$35, 2, FALSE))</f>
        <v>1185</v>
      </c>
      <c r="R259" s="107">
        <f t="shared" si="2"/>
        <v>322.9046414</v>
      </c>
    </row>
    <row r="260" hidden="1">
      <c r="A260" s="443" t="s">
        <v>229</v>
      </c>
      <c r="B260" s="43" t="str">
        <f>IF(A260="", "", IFERROR(VLOOKUP(A260, Clasificaciones!A:B, 2, FALSE), "DATO NO CARGADO"))
</f>
        <v>Equipo</v>
      </c>
      <c r="C260" s="51" t="s">
        <v>143</v>
      </c>
      <c r="D260" s="43">
        <v>2025.0</v>
      </c>
      <c r="E260" s="43" t="s">
        <v>1130</v>
      </c>
      <c r="F260" s="202"/>
      <c r="G260" s="202" t="s">
        <v>1163</v>
      </c>
      <c r="H260" s="43" t="s">
        <v>208</v>
      </c>
      <c r="I260" s="43" t="s">
        <v>1136</v>
      </c>
      <c r="J260" s="43" t="s">
        <v>208</v>
      </c>
      <c r="K260" s="443"/>
      <c r="L260" s="455"/>
      <c r="M260" s="443">
        <v>17.5</v>
      </c>
      <c r="N260" s="452">
        <f t="array" ref="N260">IFERROR(
  INDEX(
    'Valor Hora Real y Estimada'!$A$4:$Z$78,
    MATCH(TRIM(CLEAN(A260)), 'Valor Hora Real y Estimada'!$A$4:$A$78, 0),
    MATCH(
      TEXT(C260,"dd mmm")&amp;" "&amp;D260,
      'Valor Hora Real y Estimada'!$A$3:$Z$3,
      0
    ) + 1
  ),
  0
)</f>
        <v>7500</v>
      </c>
      <c r="O260" s="453">
        <f t="shared" si="11"/>
        <v>131250</v>
      </c>
      <c r="P260" s="113"/>
      <c r="Q260" s="106">
        <f>IF(ISBLANK(O260), "", VLOOKUP(C260&amp;" "&amp;D260, 'Info Tipo de Cambio y REM'!$A$24:$B$35, 2, FALSE))</f>
        <v>1185</v>
      </c>
      <c r="R260" s="107">
        <f t="shared" si="2"/>
        <v>110.7594937</v>
      </c>
    </row>
    <row r="261" hidden="1">
      <c r="A261" s="443" t="s">
        <v>133</v>
      </c>
      <c r="B261" s="43" t="str">
        <f>IF(A261="", "", IFERROR(VLOOKUP(A261, Clasificaciones!A:B, 2, FALSE), "DATO NO CARGADO"))
</f>
        <v>Board</v>
      </c>
      <c r="C261" s="51" t="s">
        <v>143</v>
      </c>
      <c r="D261" s="43">
        <v>2025.0</v>
      </c>
      <c r="E261" s="43" t="s">
        <v>1130</v>
      </c>
      <c r="F261" s="202"/>
      <c r="G261" s="202" t="s">
        <v>1163</v>
      </c>
      <c r="H261" s="43" t="s">
        <v>208</v>
      </c>
      <c r="I261" s="43" t="s">
        <v>1136</v>
      </c>
      <c r="J261" s="43" t="s">
        <v>208</v>
      </c>
      <c r="K261" s="443"/>
      <c r="L261" s="455"/>
      <c r="M261" s="443"/>
      <c r="N261" s="452">
        <f t="array" ref="N261">IFERROR(
  INDEX(
    'Valor Hora Real y Estimada'!$A$4:$Z$78,
    MATCH(TRIM(CLEAN(A261)), 'Valor Hora Real y Estimada'!$A$4:$A$78, 0),
    MATCH(
      TEXT(C261,"dd mmm")&amp;" "&amp;D261,
      'Valor Hora Real y Estimada'!$A$3:$Z$3,
      0
    ) + 1
  ),
  0
)</f>
        <v>30688</v>
      </c>
      <c r="O261" s="468">
        <v>4910000.0</v>
      </c>
      <c r="P261" s="113"/>
      <c r="Q261" s="106">
        <f>IF(ISBLANK(O261), "", VLOOKUP(C261&amp;" "&amp;D261, 'Info Tipo de Cambio y REM'!$A$24:$B$35, 2, FALSE))</f>
        <v>1185</v>
      </c>
      <c r="R261" s="107">
        <f t="shared" si="2"/>
        <v>4143.459916</v>
      </c>
    </row>
    <row r="262" hidden="1">
      <c r="A262" s="443" t="s">
        <v>127</v>
      </c>
      <c r="B262" s="43" t="str">
        <f>IF(A262="", "", IFERROR(VLOOKUP(A262, Clasificaciones!A:B, 2, FALSE), "DATO NO CARGADO"))
</f>
        <v>Board</v>
      </c>
      <c r="C262" s="51" t="s">
        <v>143</v>
      </c>
      <c r="D262" s="43">
        <v>2025.0</v>
      </c>
      <c r="E262" s="43" t="s">
        <v>1130</v>
      </c>
      <c r="F262" s="202"/>
      <c r="G262" s="202" t="s">
        <v>1163</v>
      </c>
      <c r="H262" s="43" t="s">
        <v>208</v>
      </c>
      <c r="I262" s="43" t="s">
        <v>1136</v>
      </c>
      <c r="J262" s="43" t="s">
        <v>208</v>
      </c>
      <c r="K262" s="443"/>
      <c r="L262" s="455"/>
      <c r="M262" s="443"/>
      <c r="N262" s="452">
        <f t="array" ref="N262">IFERROR(
  INDEX(
    'Valor Hora Real y Estimada'!$A$4:$Z$78,
    MATCH(TRIM(CLEAN(A262)), 'Valor Hora Real y Estimada'!$A$4:$A$78, 0),
    MATCH(
      TEXT(C262,"dd mmm")&amp;" "&amp;D262,
      'Valor Hora Real y Estimada'!$A$3:$Z$3,
      0
    ) + 1
  ),
  0
)</f>
        <v>24911</v>
      </c>
      <c r="O262" s="468">
        <v>3931000.0</v>
      </c>
      <c r="P262" s="113"/>
      <c r="Q262" s="106">
        <f>IF(ISBLANK(O262), "", VLOOKUP(C262&amp;" "&amp;D262, 'Info Tipo de Cambio y REM'!$A$24:$B$35, 2, FALSE))</f>
        <v>1185</v>
      </c>
      <c r="R262" s="107">
        <f t="shared" si="2"/>
        <v>3317.299578</v>
      </c>
    </row>
    <row r="263" hidden="1">
      <c r="A263" s="443" t="s">
        <v>226</v>
      </c>
      <c r="B263" s="43" t="str">
        <f>IF(A263="", "", IFERROR(VLOOKUP(A263, Clasificaciones!A:B, 2, FALSE), "DATO NO CARGADO"))
</f>
        <v>Administración Finanzas</v>
      </c>
      <c r="C263" s="51" t="s">
        <v>143</v>
      </c>
      <c r="D263" s="156">
        <v>2025.0</v>
      </c>
      <c r="E263" s="43" t="s">
        <v>1130</v>
      </c>
      <c r="H263" s="102"/>
      <c r="J263" s="102"/>
      <c r="K263" s="450"/>
      <c r="L263" s="455"/>
      <c r="M263" s="450"/>
      <c r="N263" s="452">
        <f t="array" ref="N263">IFERROR(
  INDEX(
    'Valor Hora Real y Estimada'!$A$4:$Z$78,
    MATCH(TRIM(CLEAN(A263)), 'Valor Hora Real y Estimada'!$A$4:$A$78, 0),
    MATCH(
      TEXT(C263,"dd mmm")&amp;" "&amp;D263,
      'Valor Hora Real y Estimada'!$A$3:$Z$3,
      0
    ) + 1
  ),
  0
)</f>
        <v>0</v>
      </c>
      <c r="O263" s="89">
        <v>537700.0</v>
      </c>
      <c r="P263" s="113"/>
      <c r="Q263" s="106">
        <f>IF(ISBLANK(O263), "", VLOOKUP(C263&amp;" "&amp;D263, 'Info Tipo de Cambio y REM'!$A$24:$B$35, 2, FALSE))</f>
        <v>1185</v>
      </c>
      <c r="R263" s="107">
        <f t="shared" si="2"/>
        <v>453.7552743</v>
      </c>
    </row>
    <row r="264" hidden="1">
      <c r="A264" s="443" t="s">
        <v>219</v>
      </c>
      <c r="B264" s="43" t="str">
        <f>IF(A264="", "", IFERROR(VLOOKUP(A264, Clasificaciones!A:B, 2, FALSE), "DATO NO CARGADO"))
</f>
        <v>Gastos Varios</v>
      </c>
      <c r="C264" s="51" t="s">
        <v>143</v>
      </c>
      <c r="D264" s="156">
        <v>2025.0</v>
      </c>
      <c r="E264" s="43" t="s">
        <v>1124</v>
      </c>
      <c r="F264" s="202"/>
      <c r="G264" s="202"/>
      <c r="H264" s="102"/>
      <c r="J264" s="102"/>
      <c r="K264" s="450"/>
      <c r="L264" s="455"/>
      <c r="M264" s="450"/>
      <c r="N264" s="452">
        <f t="array" ref="N264">IFERROR(
  INDEX(
    'Valor Hora Real y Estimada'!$A$4:$Z$78,
    MATCH(TRIM(CLEAN(A264)), 'Valor Hora Real y Estimada'!$A$4:$A$78, 0),
    MATCH(
      TEXT(C264,"dd mmm")&amp;" "&amp;D264,
      'Valor Hora Real y Estimada'!$A$3:$Z$3,
      0
    ) + 1
  ),
  0
)</f>
        <v>0</v>
      </c>
      <c r="O264" s="89">
        <v>374498.0</v>
      </c>
      <c r="P264" s="113"/>
      <c r="Q264" s="106">
        <f>IF(ISBLANK(O264), "", VLOOKUP(C264&amp;" "&amp;D264, 'Info Tipo de Cambio y REM'!$A$24:$B$35, 2, FALSE))</f>
        <v>1185</v>
      </c>
      <c r="R264" s="107">
        <f t="shared" si="2"/>
        <v>316.0320675</v>
      </c>
    </row>
    <row r="265" hidden="1">
      <c r="A265" s="443" t="s">
        <v>139</v>
      </c>
      <c r="B265" s="43" t="str">
        <f>IF(A265="", "", IFERROR(VLOOKUP(A265, Clasificaciones!A:B, 2, FALSE), "DATO NO CARGADO"))
</f>
        <v>People</v>
      </c>
      <c r="C265" s="51" t="s">
        <v>143</v>
      </c>
      <c r="D265" s="156">
        <v>2025.0</v>
      </c>
      <c r="E265" s="43" t="s">
        <v>1130</v>
      </c>
      <c r="H265" s="102"/>
      <c r="J265" s="102"/>
      <c r="K265" s="450"/>
      <c r="L265" s="455"/>
      <c r="M265" s="450"/>
      <c r="N265" s="452">
        <f t="array" ref="N265">IFERROR(
  INDEX(
    'Valor Hora Real y Estimada'!$A$4:$Z$78,
    MATCH(TRIM(CLEAN(A265)), 'Valor Hora Real y Estimada'!$A$4:$A$78, 0),
    MATCH(
      TEXT(C265,"dd mmm")&amp;" "&amp;D265,
      'Valor Hora Real y Estimada'!$A$3:$Z$3,
      0
    ) + 1
  ),
  0
)</f>
        <v>0</v>
      </c>
      <c r="O265" s="89">
        <v>48399.0</v>
      </c>
      <c r="P265" s="113"/>
      <c r="Q265" s="106">
        <f>IF(ISBLANK(O265), "", VLOOKUP(C265&amp;" "&amp;D265, 'Info Tipo de Cambio y REM'!$A$24:$B$35, 2, FALSE))</f>
        <v>1185</v>
      </c>
      <c r="R265" s="107">
        <f t="shared" si="2"/>
        <v>40.84303797</v>
      </c>
    </row>
    <row r="266" hidden="1">
      <c r="A266" s="443" t="s">
        <v>169</v>
      </c>
      <c r="B266" s="43" t="str">
        <f>IF(A266="", "", IFERROR(VLOOKUP(A266, Clasificaciones!A:B, 2, FALSE), "DATO NO CARGADO"))
</f>
        <v>Suscripciones/Herramientas</v>
      </c>
      <c r="C266" s="51" t="s">
        <v>143</v>
      </c>
      <c r="D266" s="156">
        <v>2025.0</v>
      </c>
      <c r="E266" s="43" t="s">
        <v>1130</v>
      </c>
      <c r="H266" s="102"/>
      <c r="J266" s="102"/>
      <c r="K266" s="450"/>
      <c r="L266" s="455"/>
      <c r="M266" s="450"/>
      <c r="N266" s="452">
        <f t="array" ref="N266">IFERROR(
  INDEX(
    'Valor Hora Real y Estimada'!$A$4:$Z$78,
    MATCH(TRIM(CLEAN(A266)), 'Valor Hora Real y Estimada'!$A$4:$A$78, 0),
    MATCH(
      TEXT(C266,"dd mmm")&amp;" "&amp;D266,
      'Valor Hora Real y Estimada'!$A$3:$Z$3,
      0
    ) + 1
  ),
  0
)</f>
        <v>0</v>
      </c>
      <c r="P266" s="112">
        <v>0.0</v>
      </c>
      <c r="Q266" s="106" t="str">
        <f>IF(ISBLANK(O266), "", VLOOKUP(C266&amp;" "&amp;D266, 'Info Tipo de Cambio y REM'!$A$24:$B$35, 2, FALSE))</f>
        <v/>
      </c>
      <c r="R266" s="107">
        <f t="shared" si="2"/>
        <v>0</v>
      </c>
    </row>
    <row r="267" hidden="1">
      <c r="A267" s="443" t="s">
        <v>187</v>
      </c>
      <c r="B267" s="43" t="str">
        <f>IF(A267="", "", IFERROR(VLOOKUP(A267, Clasificaciones!A:B, 2, FALSE), "DATO NO CARGADO"))
</f>
        <v>Gastos Varios</v>
      </c>
      <c r="C267" s="51" t="s">
        <v>143</v>
      </c>
      <c r="D267" s="156">
        <v>2025.0</v>
      </c>
      <c r="E267" s="43" t="s">
        <v>1124</v>
      </c>
      <c r="F267" s="202"/>
      <c r="G267" s="202"/>
      <c r="H267" s="102"/>
      <c r="J267" s="102"/>
      <c r="K267" s="450"/>
      <c r="L267" s="455"/>
      <c r="M267" s="450"/>
      <c r="N267" s="452">
        <f t="array" ref="N267">IFERROR(
  INDEX(
    'Valor Hora Real y Estimada'!$A$4:$Z$78,
    MATCH(TRIM(CLEAN(A267)), 'Valor Hora Real y Estimada'!$A$4:$A$78, 0),
    MATCH(
      TEXT(C267,"dd mmm")&amp;" "&amp;D267,
      'Valor Hora Real y Estimada'!$A$3:$Z$3,
      0
    ) + 1
  ),
  0
)</f>
        <v>0</v>
      </c>
      <c r="P267" s="112">
        <v>600.0</v>
      </c>
      <c r="Q267" s="106" t="str">
        <f>IF(ISBLANK(O267), "", VLOOKUP(C267&amp;" "&amp;D267, 'Info Tipo de Cambio y REM'!$A$24:$B$35, 2, FALSE))</f>
        <v/>
      </c>
      <c r="R267" s="107">
        <f t="shared" si="2"/>
        <v>600</v>
      </c>
    </row>
    <row r="268" hidden="1">
      <c r="A268" s="443" t="s">
        <v>164</v>
      </c>
      <c r="B268" s="43" t="str">
        <f>IF(A268="", "", IFERROR(VLOOKUP(A268, Clasificaciones!A:B, 2, FALSE), "DATO NO CARGADO"))
</f>
        <v>Estudio Contable</v>
      </c>
      <c r="C268" s="51" t="s">
        <v>143</v>
      </c>
      <c r="D268" s="156">
        <v>2025.0</v>
      </c>
      <c r="E268" s="43" t="s">
        <v>1130</v>
      </c>
      <c r="H268" s="102"/>
      <c r="J268" s="102"/>
      <c r="K268" s="450"/>
      <c r="L268" s="455"/>
      <c r="M268" s="450"/>
      <c r="N268" s="452">
        <f t="array" ref="N268">IFERROR(
  INDEX(
    'Valor Hora Real y Estimada'!$A$4:$Z$78,
    MATCH(TRIM(CLEAN(A268)), 'Valor Hora Real y Estimada'!$A$4:$A$78, 0),
    MATCH(
      TEXT(C268,"dd mmm")&amp;" "&amp;D268,
      'Valor Hora Real y Estimada'!$A$3:$Z$3,
      0
    ) + 1
  ),
  0
)</f>
        <v>0</v>
      </c>
      <c r="O268" s="89">
        <v>49230.0</v>
      </c>
      <c r="P268" s="113"/>
      <c r="Q268" s="106">
        <f>IF(ISBLANK(O268), "", VLOOKUP(C268&amp;" "&amp;D268, 'Info Tipo de Cambio y REM'!$A$24:$B$35, 2, FALSE))</f>
        <v>1185</v>
      </c>
      <c r="R268" s="107">
        <f t="shared" si="2"/>
        <v>41.5443038</v>
      </c>
    </row>
    <row r="269" hidden="1">
      <c r="A269" s="443" t="s">
        <v>158</v>
      </c>
      <c r="B269" s="43" t="str">
        <f>IF(A269="", "", IFERROR(VLOOKUP(A269, Clasificaciones!A:B, 2, FALSE), "DATO NO CARGADO"))
</f>
        <v>Tarjeta</v>
      </c>
      <c r="C269" s="51" t="s">
        <v>143</v>
      </c>
      <c r="D269" s="156">
        <v>2025.0</v>
      </c>
      <c r="E269" s="43" t="s">
        <v>1130</v>
      </c>
      <c r="H269" s="102"/>
      <c r="J269" s="102"/>
      <c r="N269" s="452">
        <f t="array" ref="N269">IFERROR(
  INDEX(
    'Valor Hora Real y Estimada'!$A$4:$Z$78,
    MATCH(TRIM(CLEAN(A269)), 'Valor Hora Real y Estimada'!$A$4:$A$78, 0),
    MATCH(
      TEXT(C269,"dd mmm")&amp;" "&amp;D269,
      'Valor Hora Real y Estimada'!$A$3:$Z$3,
      0
    ) + 1
  ),
  0
)</f>
        <v>0</v>
      </c>
      <c r="O269" s="89">
        <v>53969.0</v>
      </c>
      <c r="P269" s="113"/>
      <c r="Q269" s="106">
        <f>IF(ISBLANK(O269), "", VLOOKUP(C269&amp;" "&amp;D269, 'Info Tipo de Cambio y REM'!$A$24:$B$35, 2, FALSE))</f>
        <v>1185</v>
      </c>
      <c r="R269" s="107">
        <f t="shared" si="2"/>
        <v>45.54345992</v>
      </c>
    </row>
    <row r="270" hidden="1">
      <c r="A270" s="443" t="s">
        <v>146</v>
      </c>
      <c r="B270" s="43" t="str">
        <f>IF(A270="", "", IFERROR(VLOOKUP(A270, Clasificaciones!A:B, 2, FALSE), "DATO NO CARGADO"))
</f>
        <v>Impuestos ARG</v>
      </c>
      <c r="C270" s="51" t="s">
        <v>143</v>
      </c>
      <c r="D270" s="156">
        <v>2025.0</v>
      </c>
      <c r="E270" s="43" t="s">
        <v>1130</v>
      </c>
      <c r="H270" s="102"/>
      <c r="J270" s="102"/>
      <c r="K270" s="450"/>
      <c r="L270" s="455"/>
      <c r="M270" s="450"/>
      <c r="N270" s="452">
        <f t="array" ref="N270">IFERROR(
  INDEX(
    'Valor Hora Real y Estimada'!$A$4:$Z$78,
    MATCH(TRIM(CLEAN(A270)), 'Valor Hora Real y Estimada'!$A$4:$A$78, 0),
    MATCH(
      TEXT(C270,"dd mmm")&amp;" "&amp;D270,
      'Valor Hora Real y Estimada'!$A$3:$Z$3,
      0
    ) + 1
  ),
  0
)</f>
        <v>0</v>
      </c>
      <c r="O270" s="89">
        <v>329085.0</v>
      </c>
      <c r="P270" s="113"/>
      <c r="Q270" s="106">
        <f>IF(ISBLANK(O270), "", VLOOKUP(C270&amp;" "&amp;D270, 'Info Tipo de Cambio y REM'!$A$24:$B$35, 2, FALSE))</f>
        <v>1185</v>
      </c>
      <c r="R270" s="107">
        <f t="shared" si="2"/>
        <v>277.7088608</v>
      </c>
    </row>
    <row r="271" hidden="1">
      <c r="A271" s="443" t="s">
        <v>152</v>
      </c>
      <c r="B271" s="43" t="str">
        <f>IF(A271="", "", IFERROR(VLOOKUP(A271, Clasificaciones!A:B, 2, FALSE), "DATO NO CARGADO"))
</f>
        <v>Impuestos ARG</v>
      </c>
      <c r="C271" s="51" t="s">
        <v>143</v>
      </c>
      <c r="D271" s="156">
        <v>2025.0</v>
      </c>
      <c r="E271" s="43" t="s">
        <v>1130</v>
      </c>
      <c r="H271" s="102"/>
      <c r="J271" s="102"/>
      <c r="K271" s="450"/>
      <c r="L271" s="455"/>
      <c r="M271" s="450"/>
      <c r="N271" s="452">
        <f t="array" ref="N271">IFERROR(
  INDEX(
    'Valor Hora Real y Estimada'!$A$4:$Z$78,
    MATCH(TRIM(CLEAN(A271)), 'Valor Hora Real y Estimada'!$A$4:$A$78, 0),
    MATCH(
      TEXT(C271,"dd mmm")&amp;" "&amp;D271,
      'Valor Hora Real y Estimada'!$A$3:$Z$3,
      0
    ) + 1
  ),
  0
)</f>
        <v>0</v>
      </c>
      <c r="O271" s="89">
        <v>1694577.0</v>
      </c>
      <c r="P271" s="113"/>
      <c r="Q271" s="106">
        <f>IF(ISBLANK(O271), "", VLOOKUP(C271&amp;" "&amp;D271, 'Info Tipo de Cambio y REM'!$A$24:$B$35, 2, FALSE))</f>
        <v>1185</v>
      </c>
      <c r="R271" s="107">
        <f t="shared" si="2"/>
        <v>1430.022785</v>
      </c>
    </row>
    <row r="272" hidden="1">
      <c r="A272" s="443" t="s">
        <v>222</v>
      </c>
      <c r="B272" s="43" t="str">
        <f>IF(A272="", "", IFERROR(VLOOKUP(A272, Clasificaciones!A:B, 2, FALSE), "DATO NO CARGADO"))
</f>
        <v>Oxean</v>
      </c>
      <c r="C272" s="51" t="s">
        <v>143</v>
      </c>
      <c r="D272" s="156">
        <v>2025.0</v>
      </c>
      <c r="E272" s="43" t="s">
        <v>1130</v>
      </c>
      <c r="H272" s="102"/>
      <c r="J272" s="102"/>
      <c r="K272" s="450"/>
      <c r="L272" s="455"/>
      <c r="M272" s="450"/>
      <c r="N272" s="452">
        <f t="array" ref="N272">IFERROR(
  INDEX(
    'Valor Hora Real y Estimada'!$A$4:$Z$78,
    MATCH(TRIM(CLEAN(A272)), 'Valor Hora Real y Estimada'!$A$4:$A$78, 0),
    MATCH(
      TEXT(C272,"dd mmm")&amp;" "&amp;D272,
      'Valor Hora Real y Estimada'!$A$3:$Z$3,
      0
    ) + 1
  ),
  0
)</f>
        <v>0</v>
      </c>
      <c r="O272" s="89">
        <v>4500000.0</v>
      </c>
      <c r="P272" s="113"/>
      <c r="Q272" s="106">
        <f>IF(ISBLANK(O272), "", VLOOKUP(C272&amp;" "&amp;D272, 'Info Tipo de Cambio y REM'!$A$24:$B$35, 2, FALSE))</f>
        <v>1185</v>
      </c>
      <c r="R272" s="107">
        <f t="shared" si="2"/>
        <v>3797.468354</v>
      </c>
    </row>
    <row r="273" hidden="1">
      <c r="A273" s="443" t="s">
        <v>191</v>
      </c>
      <c r="B273" s="43" t="str">
        <f>IF(A273="", "", IFERROR(VLOOKUP(A273, Clasificaciones!A:B, 2, FALSE), "DATO NO CARGADO"))
</f>
        <v>Tarjeta</v>
      </c>
      <c r="C273" s="51" t="s">
        <v>143</v>
      </c>
      <c r="D273" s="156">
        <v>2025.0</v>
      </c>
      <c r="E273" s="43" t="s">
        <v>1130</v>
      </c>
      <c r="H273" s="102"/>
      <c r="J273" s="102"/>
      <c r="K273" s="450"/>
      <c r="L273" s="455"/>
      <c r="M273" s="450"/>
      <c r="N273" s="452">
        <f t="array" ref="N273">IFERROR(
  INDEX(
    'Valor Hora Real y Estimada'!$A$4:$Z$78,
    MATCH(TRIM(CLEAN(A273)), 'Valor Hora Real y Estimada'!$A$4:$A$78, 0),
    MATCH(
      TEXT(C273,"dd mmm")&amp;" "&amp;D273,
      'Valor Hora Real y Estimada'!$A$3:$Z$3,
      0
    ) + 1
  ),
  0
)</f>
        <v>0</v>
      </c>
      <c r="P273" s="112">
        <v>12.0</v>
      </c>
      <c r="Q273" s="106" t="str">
        <f>IF(ISBLANK(O273), "", VLOOKUP(C273&amp;" "&amp;D273, 'Info Tipo de Cambio y REM'!$A$24:$B$35, 2, FALSE))</f>
        <v/>
      </c>
      <c r="R273" s="107">
        <f t="shared" si="2"/>
        <v>12</v>
      </c>
    </row>
    <row r="274" hidden="1">
      <c r="A274" s="443" t="s">
        <v>191</v>
      </c>
      <c r="B274" s="43" t="str">
        <f>IF(A274="", "", IFERROR(VLOOKUP(A274, Clasificaciones!A:B, 2, FALSE), "DATO NO CARGADO"))
</f>
        <v>Tarjeta</v>
      </c>
      <c r="C274" s="51" t="s">
        <v>143</v>
      </c>
      <c r="D274" s="156">
        <v>2025.0</v>
      </c>
      <c r="E274" s="43" t="s">
        <v>1130</v>
      </c>
      <c r="H274" s="102"/>
      <c r="J274" s="102"/>
      <c r="K274" s="450"/>
      <c r="L274" s="455"/>
      <c r="M274" s="450"/>
      <c r="N274" s="452">
        <f t="array" ref="N274">IFERROR(
  INDEX(
    'Valor Hora Real y Estimada'!$A$4:$Z$78,
    MATCH(TRIM(CLEAN(A274)), 'Valor Hora Real y Estimada'!$A$4:$A$78, 0),
    MATCH(
      TEXT(C274,"dd mmm")&amp;" "&amp;D274,
      'Valor Hora Real y Estimada'!$A$3:$Z$3,
      0
    ) + 1
  ),
  0
)</f>
        <v>0</v>
      </c>
      <c r="P274" s="112">
        <v>515.0</v>
      </c>
      <c r="Q274" s="106" t="str">
        <f>IF(ISBLANK(O274), "", VLOOKUP(C274&amp;" "&amp;D274, 'Info Tipo de Cambio y REM'!$A$24:$B$35, 2, FALSE))</f>
        <v/>
      </c>
      <c r="R274" s="107">
        <f t="shared" si="2"/>
        <v>515</v>
      </c>
    </row>
    <row r="275" hidden="1">
      <c r="A275" s="443" t="s">
        <v>191</v>
      </c>
      <c r="B275" s="43" t="str">
        <f>IF(A275="", "", IFERROR(VLOOKUP(A275, Clasificaciones!A:B, 2, FALSE), "DATO NO CARGADO"))
</f>
        <v>Tarjeta</v>
      </c>
      <c r="C275" s="51" t="s">
        <v>143</v>
      </c>
      <c r="D275" s="156">
        <v>2025.0</v>
      </c>
      <c r="E275" s="43" t="s">
        <v>1130</v>
      </c>
      <c r="H275" s="102"/>
      <c r="J275" s="102"/>
      <c r="K275" s="450"/>
      <c r="L275" s="455"/>
      <c r="M275" s="450"/>
      <c r="N275" s="452">
        <f t="array" ref="N275">IFERROR(
  INDEX(
    'Valor Hora Real y Estimada'!$A$4:$Z$78,
    MATCH(TRIM(CLEAN(A275)), 'Valor Hora Real y Estimada'!$A$4:$A$78, 0),
    MATCH(
      TEXT(C275,"dd mmm")&amp;" "&amp;D275,
      'Valor Hora Real y Estimada'!$A$3:$Z$3,
      0
    ) + 1
  ),
  0
)</f>
        <v>0</v>
      </c>
      <c r="P275" s="112">
        <v>112.0</v>
      </c>
      <c r="Q275" s="106" t="str">
        <f>IF(ISBLANK(O275), "", VLOOKUP(C275&amp;" "&amp;D275, 'Info Tipo de Cambio y REM'!$A$24:$B$35, 2, FALSE))</f>
        <v/>
      </c>
      <c r="R275" s="107">
        <f t="shared" si="2"/>
        <v>112</v>
      </c>
    </row>
    <row r="276" hidden="1">
      <c r="A276" s="443" t="s">
        <v>191</v>
      </c>
      <c r="B276" s="43" t="str">
        <f>IF(A276="", "", IFERROR(VLOOKUP(A276, Clasificaciones!A:B, 2, FALSE), "DATO NO CARGADO"))
</f>
        <v>Tarjeta</v>
      </c>
      <c r="C276" s="51" t="s">
        <v>143</v>
      </c>
      <c r="D276" s="156">
        <v>2025.0</v>
      </c>
      <c r="E276" s="43" t="s">
        <v>1130</v>
      </c>
      <c r="H276" s="102"/>
      <c r="J276" s="102"/>
      <c r="K276" s="450"/>
      <c r="L276" s="455"/>
      <c r="M276" s="450"/>
      <c r="N276" s="452">
        <f t="array" ref="N276">IFERROR(
  INDEX(
    'Valor Hora Real y Estimada'!$A$4:$Z$78,
    MATCH(TRIM(CLEAN(A276)), 'Valor Hora Real y Estimada'!$A$4:$A$78, 0),
    MATCH(
      TEXT(C276,"dd mmm")&amp;" "&amp;D276,
      'Valor Hora Real y Estimada'!$A$3:$Z$3,
      0
    ) + 1
  ),
  0
)</f>
        <v>0</v>
      </c>
      <c r="P276" s="112">
        <v>7.72</v>
      </c>
      <c r="Q276" s="106" t="str">
        <f>IF(ISBLANK(O276), "", VLOOKUP(C276&amp;" "&amp;D276, 'Info Tipo de Cambio y REM'!$A$24:$B$35, 2, FALSE))</f>
        <v/>
      </c>
      <c r="R276" s="107">
        <f t="shared" si="2"/>
        <v>7.72</v>
      </c>
    </row>
    <row r="277" hidden="1">
      <c r="A277" s="443" t="s">
        <v>191</v>
      </c>
      <c r="B277" s="43" t="str">
        <f>IF(A277="", "", IFERROR(VLOOKUP(A277, Clasificaciones!A:B, 2, FALSE), "DATO NO CARGADO"))
</f>
        <v>Tarjeta</v>
      </c>
      <c r="C277" s="51" t="s">
        <v>143</v>
      </c>
      <c r="D277" s="156">
        <v>2025.0</v>
      </c>
      <c r="E277" s="43" t="s">
        <v>1130</v>
      </c>
      <c r="H277" s="102"/>
      <c r="J277" s="102"/>
      <c r="N277" s="452">
        <f t="array" ref="N277">IFERROR(
  INDEX(
    'Valor Hora Real y Estimada'!$A$4:$Z$78,
    MATCH(TRIM(CLEAN(A277)), 'Valor Hora Real y Estimada'!$A$4:$A$78, 0),
    MATCH(
      TEXT(C277,"dd mmm")&amp;" "&amp;D277,
      'Valor Hora Real y Estimada'!$A$3:$Z$3,
      0
    ) + 1
  ),
  0
)</f>
        <v>0</v>
      </c>
      <c r="P277" s="112">
        <v>14.19</v>
      </c>
      <c r="Q277" s="106" t="str">
        <f>IF(ISBLANK(O277), "", VLOOKUP(C277&amp;" "&amp;D277, 'Info Tipo de Cambio y REM'!$A$24:$B$35, 2, FALSE))</f>
        <v/>
      </c>
      <c r="R277" s="107">
        <f t="shared" si="2"/>
        <v>14.19</v>
      </c>
    </row>
    <row r="278" hidden="1">
      <c r="A278" s="443" t="s">
        <v>153</v>
      </c>
      <c r="B278" s="43" t="str">
        <f>IF(A278="", "", IFERROR(VLOOKUP(A278, Clasificaciones!A:B, 2, FALSE), "DATO NO CARGADO"))
</f>
        <v>Impuestos USA</v>
      </c>
      <c r="C278" s="51" t="s">
        <v>143</v>
      </c>
      <c r="D278" s="156">
        <v>2025.0</v>
      </c>
      <c r="E278" s="43" t="s">
        <v>1130</v>
      </c>
      <c r="H278" s="102"/>
      <c r="J278" s="102"/>
      <c r="N278" s="452">
        <f t="array" ref="N278">IFERROR(
  INDEX(
    'Valor Hora Real y Estimada'!$A$4:$Z$78,
    MATCH(TRIM(CLEAN(A278)), 'Valor Hora Real y Estimada'!$A$4:$A$78, 0),
    MATCH(
      TEXT(C278,"dd mmm")&amp;" "&amp;D278,
      'Valor Hora Real y Estimada'!$A$3:$Z$3,
      0
    ) + 1
  ),
  0
)</f>
        <v>0</v>
      </c>
      <c r="P278" s="112">
        <v>117.0</v>
      </c>
      <c r="Q278" s="106" t="str">
        <f>IF(ISBLANK(O278), "", VLOOKUP(C278&amp;" "&amp;D278, 'Info Tipo de Cambio y REM'!$A$24:$B$35, 2, FALSE))</f>
        <v/>
      </c>
      <c r="R278" s="107">
        <f t="shared" si="2"/>
        <v>117</v>
      </c>
    </row>
    <row r="279" hidden="1">
      <c r="A279" s="443" t="s">
        <v>153</v>
      </c>
      <c r="B279" s="43" t="str">
        <f>IF(A279="", "", IFERROR(VLOOKUP(A279, Clasificaciones!A:B, 2, FALSE), "DATO NO CARGADO"))
</f>
        <v>Impuestos USA</v>
      </c>
      <c r="C279" s="51" t="s">
        <v>143</v>
      </c>
      <c r="D279" s="156">
        <v>2025.0</v>
      </c>
      <c r="E279" s="43" t="s">
        <v>1130</v>
      </c>
      <c r="H279" s="102"/>
      <c r="J279" s="102"/>
      <c r="N279" s="452">
        <f t="array" ref="N279">IFERROR(
  INDEX(
    'Valor Hora Real y Estimada'!$A$4:$Z$78,
    MATCH(TRIM(CLEAN(A279)), 'Valor Hora Real y Estimada'!$A$4:$A$78, 0),
    MATCH(
      TEXT(C279,"dd mmm")&amp;" "&amp;D279,
      'Valor Hora Real y Estimada'!$A$3:$Z$3,
      0
    ) + 1
  ),
  0
)</f>
        <v>0</v>
      </c>
      <c r="P279" s="112">
        <v>222.0</v>
      </c>
      <c r="Q279" s="106" t="str">
        <f>IF(ISBLANK(O279), "", VLOOKUP(C279&amp;" "&amp;D279, 'Info Tipo de Cambio y REM'!$A$24:$B$35, 2, FALSE))</f>
        <v/>
      </c>
      <c r="R279" s="107">
        <f t="shared" si="2"/>
        <v>222</v>
      </c>
    </row>
    <row r="280" hidden="1">
      <c r="A280" s="443" t="s">
        <v>153</v>
      </c>
      <c r="B280" s="43" t="str">
        <f>IF(A280="", "", IFERROR(VLOOKUP(A280, Clasificaciones!A:B, 2, FALSE), "DATO NO CARGADO"))
</f>
        <v>Impuestos USA</v>
      </c>
      <c r="C280" s="51" t="s">
        <v>143</v>
      </c>
      <c r="D280" s="156">
        <v>2025.0</v>
      </c>
      <c r="E280" s="43" t="s">
        <v>1130</v>
      </c>
      <c r="H280" s="102"/>
      <c r="J280" s="102"/>
      <c r="N280" s="452">
        <f t="array" ref="N280">IFERROR(
  INDEX(
    'Valor Hora Real y Estimada'!$A$4:$Z$78,
    MATCH(TRIM(CLEAN(A280)), 'Valor Hora Real y Estimada'!$A$4:$A$78, 0),
    MATCH(
      TEXT(C280,"dd mmm")&amp;" "&amp;D280,
      'Valor Hora Real y Estimada'!$A$3:$Z$3,
      0
    ) + 1
  ),
  0
)</f>
        <v>0</v>
      </c>
      <c r="P280" s="112">
        <v>974.0</v>
      </c>
      <c r="Q280" s="106" t="str">
        <f>IF(ISBLANK(O280), "", VLOOKUP(C280&amp;" "&amp;D280, 'Info Tipo de Cambio y REM'!$A$24:$B$35, 2, FALSE))</f>
        <v/>
      </c>
      <c r="R280" s="107">
        <f t="shared" si="2"/>
        <v>974</v>
      </c>
    </row>
    <row r="281" hidden="1">
      <c r="A281" s="443" t="s">
        <v>153</v>
      </c>
      <c r="B281" s="43" t="str">
        <f>IF(A281="", "", IFERROR(VLOOKUP(A281, Clasificaciones!A:B, 2, FALSE), "DATO NO CARGADO"))
</f>
        <v>Impuestos USA</v>
      </c>
      <c r="C281" s="51" t="s">
        <v>143</v>
      </c>
      <c r="D281" s="156">
        <v>2025.0</v>
      </c>
      <c r="E281" s="43" t="s">
        <v>1130</v>
      </c>
      <c r="H281" s="102"/>
      <c r="J281" s="102"/>
      <c r="N281" s="452">
        <f t="array" ref="N281">IFERROR(
  INDEX(
    'Valor Hora Real y Estimada'!$A$4:$Z$78,
    MATCH(TRIM(CLEAN(A281)), 'Valor Hora Real y Estimada'!$A$4:$A$78, 0),
    MATCH(
      TEXT(C281,"dd mmm")&amp;" "&amp;D281,
      'Valor Hora Real y Estimada'!$A$3:$Z$3,
      0
    ) + 1
  ),
  0
)</f>
        <v>0</v>
      </c>
      <c r="P281" s="112">
        <v>1186.0</v>
      </c>
      <c r="Q281" s="106" t="str">
        <f>IF(ISBLANK(O281), "", VLOOKUP(C281&amp;" "&amp;D281, 'Info Tipo de Cambio y REM'!$A$24:$B$35, 2, FALSE))</f>
        <v/>
      </c>
      <c r="R281" s="107">
        <f t="shared" si="2"/>
        <v>1186</v>
      </c>
    </row>
    <row r="282">
      <c r="A282" s="443" t="s">
        <v>120</v>
      </c>
      <c r="B282" s="43" t="str">
        <f>IF(A282="", "", IFERROR(VLOOKUP(A282, Clasificaciones!A:B, 2, FALSE), "DATO NO CARGADO"))
</f>
        <v>Equipo</v>
      </c>
      <c r="C282" s="51" t="s">
        <v>149</v>
      </c>
      <c r="D282" s="43">
        <v>2025.0</v>
      </c>
      <c r="E282" s="43" t="s">
        <v>1124</v>
      </c>
      <c r="F282" s="43"/>
      <c r="G282" s="43" t="s">
        <v>1166</v>
      </c>
      <c r="H282" s="43" t="s">
        <v>1126</v>
      </c>
      <c r="I282" s="43" t="s">
        <v>1129</v>
      </c>
      <c r="J282" s="43" t="s">
        <v>183</v>
      </c>
      <c r="K282" s="443">
        <v>5.0</v>
      </c>
      <c r="L282" s="451">
        <v>1.67</v>
      </c>
      <c r="M282" s="443">
        <v>1.7</v>
      </c>
      <c r="N282" s="452">
        <f t="array" ref="N282">IFERROR(
  INDEX(
    'Valor Hora Real y Estimada'!$A$4:$Z$78,
    MATCH(TRIM(CLEAN(A282)), 'Valor Hora Real y Estimada'!$A$4:$A$78, 0),
    MATCH(
      TEXT(C282,"dd mmm")&amp;" "&amp;D282,
      'Valor Hora Real y Estimada'!$A$3:$Z$3,
      0
    ) + 1
  ),
  0
)</f>
        <v>24166.66667</v>
      </c>
      <c r="O282" s="453">
        <f t="shared" ref="O282:O340" si="12">N282*M282</f>
        <v>41083.33333</v>
      </c>
      <c r="P282" s="113"/>
      <c r="Q282" s="106">
        <f>IF(ISBLANK(O282), "", VLOOKUP(C282&amp;" "&amp;D282, 'Info Tipo de Cambio y REM'!$A$24:$B$35, 2, FALSE))</f>
        <v>1180</v>
      </c>
      <c r="R282" s="107">
        <f t="shared" si="2"/>
        <v>34.81638418</v>
      </c>
    </row>
    <row r="283">
      <c r="A283" s="443" t="s">
        <v>200</v>
      </c>
      <c r="B283" s="43" t="str">
        <f>IF(A283="", "", IFERROR(VLOOKUP(A283, Clasificaciones!A:B, 2, FALSE), "DATO NO CARGADO"))
</f>
        <v>Equipo</v>
      </c>
      <c r="C283" s="51" t="s">
        <v>149</v>
      </c>
      <c r="D283" s="43">
        <v>2025.0</v>
      </c>
      <c r="E283" s="43" t="s">
        <v>1124</v>
      </c>
      <c r="F283" s="43"/>
      <c r="G283" s="43" t="s">
        <v>1166</v>
      </c>
      <c r="H283" s="43" t="s">
        <v>1126</v>
      </c>
      <c r="I283" s="43" t="s">
        <v>1129</v>
      </c>
      <c r="J283" s="43" t="s">
        <v>183</v>
      </c>
      <c r="K283" s="443">
        <v>120.0</v>
      </c>
      <c r="L283" s="451">
        <f>113.83+50.27</f>
        <v>164.1</v>
      </c>
      <c r="M283" s="443">
        <f>162.8-0.02997626958</f>
        <v>162.7700237</v>
      </c>
      <c r="N283" s="452">
        <f t="array" ref="N283">IFERROR(
  INDEX(
    'Valor Hora Real y Estimada'!$A$4:$Z$78,
    MATCH(TRIM(CLEAN(A283)), 'Valor Hora Real y Estimada'!$A$4:$A$78, 0),
    MATCH(
      TEXT(C283,"dd mmm")&amp;" "&amp;D283,
      'Valor Hora Real y Estimada'!$A$3:$Z$3,
      0
    ) + 1
  ),
  0
)</f>
        <v>16856</v>
      </c>
      <c r="O283" s="453">
        <f t="shared" si="12"/>
        <v>2743651.52</v>
      </c>
      <c r="P283" s="113"/>
      <c r="Q283" s="106">
        <f>IF(ISBLANK(O283), "", VLOOKUP(C283&amp;" "&amp;D283, 'Info Tipo de Cambio y REM'!$A$24:$B$35, 2, FALSE))</f>
        <v>1180</v>
      </c>
      <c r="R283" s="107">
        <f t="shared" si="2"/>
        <v>2325.128407</v>
      </c>
    </row>
    <row r="284">
      <c r="A284" s="443" t="s">
        <v>218</v>
      </c>
      <c r="B284" s="43" t="str">
        <f>IF(A284="", "", IFERROR(VLOOKUP(A284, Clasificaciones!A:B, 2, FALSE), "DATO NO CARGADO"))
</f>
        <v>Equipo</v>
      </c>
      <c r="C284" s="51" t="s">
        <v>149</v>
      </c>
      <c r="D284" s="43">
        <v>2025.0</v>
      </c>
      <c r="E284" s="43" t="s">
        <v>1124</v>
      </c>
      <c r="F284" s="43"/>
      <c r="G284" s="43" t="s">
        <v>1166</v>
      </c>
      <c r="H284" s="43" t="s">
        <v>1126</v>
      </c>
      <c r="I284" s="43" t="s">
        <v>1129</v>
      </c>
      <c r="J284" s="43" t="s">
        <v>183</v>
      </c>
      <c r="K284" s="443">
        <v>32.0</v>
      </c>
      <c r="L284" s="451">
        <v>37.25</v>
      </c>
      <c r="M284" s="443">
        <f>33.3-0.05</f>
        <v>33.25</v>
      </c>
      <c r="N284" s="452">
        <f t="array" ref="N284">IFERROR(
  INDEX(
    'Valor Hora Real y Estimada'!$A$4:$Z$78,
    MATCH(TRIM(CLEAN(A284)), 'Valor Hora Real y Estimada'!$A$4:$A$78, 0),
    MATCH(
      TEXT(C284,"dd mmm")&amp;" "&amp;D284,
      'Valor Hora Real y Estimada'!$A$3:$Z$3,
      0
    ) + 1
  ),
  0
)</f>
        <v>19000</v>
      </c>
      <c r="O284" s="453">
        <f t="shared" si="12"/>
        <v>631750</v>
      </c>
      <c r="P284" s="113"/>
      <c r="Q284" s="106">
        <f>IF(ISBLANK(O284), "", VLOOKUP(C284&amp;" "&amp;D284, 'Info Tipo de Cambio y REM'!$A$24:$B$35, 2, FALSE))</f>
        <v>1180</v>
      </c>
      <c r="R284" s="107">
        <f t="shared" si="2"/>
        <v>535.3813559</v>
      </c>
    </row>
    <row r="285">
      <c r="A285" s="443" t="s">
        <v>197</v>
      </c>
      <c r="B285" s="43" t="str">
        <f>IF(A285="", "", IFERROR(VLOOKUP(A285, Clasificaciones!A:B, 2, FALSE), "DATO NO CARGADO"))
</f>
        <v>Equipo</v>
      </c>
      <c r="C285" s="51" t="s">
        <v>149</v>
      </c>
      <c r="D285" s="43">
        <v>2025.0</v>
      </c>
      <c r="E285" s="43" t="s">
        <v>1124</v>
      </c>
      <c r="F285" s="43"/>
      <c r="G285" s="43" t="s">
        <v>1166</v>
      </c>
      <c r="H285" s="43" t="s">
        <v>1126</v>
      </c>
      <c r="I285" s="43" t="s">
        <v>1129</v>
      </c>
      <c r="J285" s="43" t="s">
        <v>183</v>
      </c>
      <c r="K285" s="443">
        <v>5.0</v>
      </c>
      <c r="L285" s="451">
        <v>5.0</v>
      </c>
      <c r="M285" s="443">
        <v>5.0</v>
      </c>
      <c r="N285" s="452">
        <f t="array" ref="N285">IFERROR(
  INDEX(
    'Valor Hora Real y Estimada'!$A$4:$Z$78,
    MATCH(TRIM(CLEAN(A285)), 'Valor Hora Real y Estimada'!$A$4:$A$78, 0),
    MATCH(
      TEXT(C285,"dd mmm")&amp;" "&amp;D285,
      'Valor Hora Real y Estimada'!$A$3:$Z$3,
      0
    ) + 1
  ),
  0
)</f>
        <v>12743</v>
      </c>
      <c r="O285" s="453">
        <f t="shared" si="12"/>
        <v>63715</v>
      </c>
      <c r="P285" s="113"/>
      <c r="Q285" s="106">
        <f>IF(ISBLANK(O285), "", VLOOKUP(C285&amp;" "&amp;D285, 'Info Tipo de Cambio y REM'!$A$24:$B$35, 2, FALSE))</f>
        <v>1180</v>
      </c>
      <c r="R285" s="107">
        <f t="shared" si="2"/>
        <v>53.99576271</v>
      </c>
    </row>
    <row r="286">
      <c r="A286" s="443" t="s">
        <v>221</v>
      </c>
      <c r="B286" s="43" t="str">
        <f>IF(A286="", "", IFERROR(VLOOKUP(A286, Clasificaciones!A:B, 2, FALSE), "DATO NO CARGADO"))
</f>
        <v>Equipo</v>
      </c>
      <c r="C286" s="51" t="s">
        <v>149</v>
      </c>
      <c r="D286" s="43">
        <v>2025.0</v>
      </c>
      <c r="E286" s="43" t="s">
        <v>1124</v>
      </c>
      <c r="F286" s="43"/>
      <c r="G286" s="43" t="s">
        <v>1166</v>
      </c>
      <c r="H286" s="43" t="s">
        <v>1126</v>
      </c>
      <c r="I286" s="43" t="s">
        <v>1129</v>
      </c>
      <c r="J286" s="43" t="s">
        <v>183</v>
      </c>
      <c r="K286" s="443">
        <v>70.0</v>
      </c>
      <c r="L286" s="451">
        <f>74.05+3.75</f>
        <v>77.8</v>
      </c>
      <c r="M286" s="443">
        <v>77.8</v>
      </c>
      <c r="N286" s="452">
        <f t="array" ref="N286">IFERROR(
  INDEX(
    'Valor Hora Real y Estimada'!$A$4:$Z$78,
    MATCH(TRIM(CLEAN(A286)), 'Valor Hora Real y Estimada'!$A$4:$A$78, 0),
    MATCH(
      TEXT(C286,"dd mmm")&amp;" "&amp;D286,
      'Valor Hora Real y Estimada'!$A$3:$Z$3,
      0
    ) + 1
  ),
  0
)</f>
        <v>10981</v>
      </c>
      <c r="O286" s="453">
        <f t="shared" si="12"/>
        <v>854321.8</v>
      </c>
      <c r="P286" s="113"/>
      <c r="Q286" s="106">
        <f>IF(ISBLANK(O286), "", VLOOKUP(C286&amp;" "&amp;D286, 'Info Tipo de Cambio y REM'!$A$24:$B$35, 2, FALSE))</f>
        <v>1180</v>
      </c>
      <c r="R286" s="107">
        <f t="shared" si="2"/>
        <v>724.0015254</v>
      </c>
    </row>
    <row r="287">
      <c r="A287" s="443" t="s">
        <v>205</v>
      </c>
      <c r="B287" s="43" t="str">
        <f>IF(A287="", "", IFERROR(VLOOKUP(A287, Clasificaciones!A:B, 2, FALSE), "DATO NO CARGADO"))
</f>
        <v>Equipo</v>
      </c>
      <c r="C287" s="51" t="s">
        <v>149</v>
      </c>
      <c r="D287" s="43">
        <v>2025.0</v>
      </c>
      <c r="E287" s="43" t="s">
        <v>1124</v>
      </c>
      <c r="F287" s="43"/>
      <c r="G287" s="43" t="s">
        <v>1166</v>
      </c>
      <c r="H287" s="43" t="s">
        <v>1126</v>
      </c>
      <c r="I287" s="43" t="s">
        <v>1129</v>
      </c>
      <c r="J287" s="43" t="s">
        <v>183</v>
      </c>
      <c r="K287" s="443">
        <v>100.0</v>
      </c>
      <c r="L287" s="451">
        <f>98.98+6.13</f>
        <v>105.11</v>
      </c>
      <c r="M287" s="443">
        <f>104.9-0.05</f>
        <v>104.85</v>
      </c>
      <c r="N287" s="452">
        <f t="array" ref="N287">IFERROR(
  INDEX(
    'Valor Hora Real y Estimada'!$A$4:$Z$78,
    MATCH(TRIM(CLEAN(A287)), 'Valor Hora Real y Estimada'!$A$4:$A$78, 0),
    MATCH(
      TEXT(C287,"dd mmm")&amp;" "&amp;D287,
      'Valor Hora Real y Estimada'!$A$3:$Z$3,
      0
    ) + 1
  ),
  0
)</f>
        <v>10000</v>
      </c>
      <c r="O287" s="453">
        <f t="shared" si="12"/>
        <v>1048500</v>
      </c>
      <c r="P287" s="113"/>
      <c r="Q287" s="106">
        <f>IF(ISBLANK(O287), "", VLOOKUP(C287&amp;" "&amp;D287, 'Info Tipo de Cambio y REM'!$A$24:$B$35, 2, FALSE))</f>
        <v>1180</v>
      </c>
      <c r="R287" s="107">
        <f t="shared" si="2"/>
        <v>888.559322</v>
      </c>
    </row>
    <row r="288">
      <c r="A288" s="443" t="s">
        <v>212</v>
      </c>
      <c r="B288" s="43" t="str">
        <f>IF(A288="", "", IFERROR(VLOOKUP(A288, Clasificaciones!A:B, 2, FALSE), "DATO NO CARGADO"))
</f>
        <v>Equipo</v>
      </c>
      <c r="C288" s="51" t="s">
        <v>149</v>
      </c>
      <c r="D288" s="43">
        <v>2025.0</v>
      </c>
      <c r="E288" s="43" t="s">
        <v>1124</v>
      </c>
      <c r="F288" s="43"/>
      <c r="G288" s="43" t="s">
        <v>1166</v>
      </c>
      <c r="H288" s="43" t="s">
        <v>1126</v>
      </c>
      <c r="I288" s="43" t="s">
        <v>1129</v>
      </c>
      <c r="J288" s="43" t="s">
        <v>183</v>
      </c>
      <c r="K288" s="443">
        <v>0.0</v>
      </c>
      <c r="L288" s="451">
        <v>54.0</v>
      </c>
      <c r="M288" s="443">
        <v>54.0</v>
      </c>
      <c r="N288" s="452">
        <f t="array" ref="N288">IFERROR(
  INDEX(
    'Valor Hora Real y Estimada'!$A$4:$Z$78,
    MATCH(TRIM(CLEAN(A288)), 'Valor Hora Real y Estimada'!$A$4:$A$78, 0),
    MATCH(
      TEXT(C288,"dd mmm")&amp;" "&amp;D288,
      'Valor Hora Real y Estimada'!$A$3:$Z$3,
      0
    ) + 1
  ),
  0
)</f>
        <v>8500</v>
      </c>
      <c r="O288" s="453">
        <f t="shared" si="12"/>
        <v>459000</v>
      </c>
      <c r="P288" s="113"/>
      <c r="Q288" s="106">
        <f>IF(ISBLANK(O288), "", VLOOKUP(C288&amp;" "&amp;D288, 'Info Tipo de Cambio y REM'!$A$24:$B$35, 2, FALSE))</f>
        <v>1180</v>
      </c>
      <c r="R288" s="107">
        <f t="shared" si="2"/>
        <v>388.9830508</v>
      </c>
    </row>
    <row r="289">
      <c r="A289" s="443" t="s">
        <v>203</v>
      </c>
      <c r="B289" s="43" t="str">
        <f>IF(A289="", "", IFERROR(VLOOKUP(A289, Clasificaciones!A:B, 2, FALSE), "DATO NO CARGADO"))
</f>
        <v>Equipo</v>
      </c>
      <c r="C289" s="51" t="s">
        <v>149</v>
      </c>
      <c r="D289" s="43">
        <v>2025.0</v>
      </c>
      <c r="E289" s="43" t="s">
        <v>1124</v>
      </c>
      <c r="F289" s="43"/>
      <c r="G289" s="43" t="s">
        <v>1166</v>
      </c>
      <c r="H289" s="43" t="s">
        <v>1126</v>
      </c>
      <c r="I289" s="43" t="s">
        <v>1129</v>
      </c>
      <c r="J289" s="43" t="s">
        <v>183</v>
      </c>
      <c r="K289" s="443">
        <v>0.0</v>
      </c>
      <c r="L289" s="451">
        <v>30.0</v>
      </c>
      <c r="M289" s="443">
        <v>30.0</v>
      </c>
      <c r="N289" s="452">
        <f t="array" ref="N289">IFERROR(
  INDEX(
    'Valor Hora Real y Estimada'!$A$4:$Z$78,
    MATCH(TRIM(CLEAN(A289)), 'Valor Hora Real y Estimada'!$A$4:$A$78, 0),
    MATCH(
      TEXT(C289,"dd mmm")&amp;" "&amp;D289,
      'Valor Hora Real y Estimada'!$A$3:$Z$3,
      0
    ) + 1
  ),
  0
)</f>
        <v>9867</v>
      </c>
      <c r="O289" s="453">
        <f t="shared" si="12"/>
        <v>296010</v>
      </c>
      <c r="P289" s="113"/>
      <c r="Q289" s="106">
        <f>IF(ISBLANK(O289), "", VLOOKUP(C289&amp;" "&amp;D289, 'Info Tipo de Cambio y REM'!$A$24:$B$35, 2, FALSE))</f>
        <v>1180</v>
      </c>
      <c r="R289" s="107">
        <f t="shared" si="2"/>
        <v>250.8559322</v>
      </c>
    </row>
    <row r="290">
      <c r="A290" s="443" t="s">
        <v>194</v>
      </c>
      <c r="B290" s="43" t="str">
        <f>IF(A290="", "", IFERROR(VLOOKUP(A290, Clasificaciones!A:B, 2, FALSE), "DATO NO CARGADO"))
</f>
        <v>Equipo</v>
      </c>
      <c r="C290" s="51" t="s">
        <v>149</v>
      </c>
      <c r="D290" s="43">
        <v>2025.0</v>
      </c>
      <c r="E290" s="43" t="s">
        <v>1124</v>
      </c>
      <c r="F290" s="43"/>
      <c r="G290" s="43" t="s">
        <v>1166</v>
      </c>
      <c r="H290" s="43" t="s">
        <v>1126</v>
      </c>
      <c r="I290" s="43" t="s">
        <v>1129</v>
      </c>
      <c r="J290" s="43" t="s">
        <v>183</v>
      </c>
      <c r="K290" s="443">
        <v>150.0</v>
      </c>
      <c r="L290" s="451">
        <f>93.45+13.15</f>
        <v>106.6</v>
      </c>
      <c r="M290" s="443">
        <v>109.4</v>
      </c>
      <c r="N290" s="452">
        <f t="array" ref="N290">IFERROR(
  INDEX(
    'Valor Hora Real y Estimada'!$A$4:$Z$78,
    MATCH(TRIM(CLEAN(A290)), 'Valor Hora Real y Estimada'!$A$4:$A$78, 0),
    MATCH(
      TEXT(C290,"dd mmm")&amp;" "&amp;D290,
      'Valor Hora Real y Estimada'!$A$3:$Z$3,
      0
    ) + 1
  ),
  0
)</f>
        <v>12088</v>
      </c>
      <c r="O290" s="453">
        <f t="shared" si="12"/>
        <v>1322427.2</v>
      </c>
      <c r="P290" s="113"/>
      <c r="Q290" s="106">
        <f>IF(ISBLANK(O290), "", VLOOKUP(C290&amp;" "&amp;D290, 'Info Tipo de Cambio y REM'!$A$24:$B$35, 2, FALSE))</f>
        <v>1180</v>
      </c>
      <c r="R290" s="107">
        <f t="shared" si="2"/>
        <v>1120.701017</v>
      </c>
    </row>
    <row r="291">
      <c r="A291" s="443" t="s">
        <v>216</v>
      </c>
      <c r="B291" s="43" t="str">
        <f>IF(A291="", "", IFERROR(VLOOKUP(A291, Clasificaciones!A:B, 2, FALSE), "DATO NO CARGADO"))
</f>
        <v>Equipo</v>
      </c>
      <c r="C291" s="51" t="s">
        <v>149</v>
      </c>
      <c r="D291" s="43">
        <v>2025.0</v>
      </c>
      <c r="E291" s="43" t="s">
        <v>1124</v>
      </c>
      <c r="F291" s="43"/>
      <c r="G291" s="43" t="s">
        <v>1166</v>
      </c>
      <c r="H291" s="43" t="s">
        <v>1126</v>
      </c>
      <c r="I291" s="43" t="s">
        <v>1129</v>
      </c>
      <c r="J291" s="43" t="s">
        <v>183</v>
      </c>
      <c r="K291" s="443">
        <v>40.0</v>
      </c>
      <c r="L291" s="451">
        <f>26.63+49.45</f>
        <v>76.08</v>
      </c>
      <c r="M291" s="443">
        <f>76+0.001598295152</f>
        <v>76.0015983</v>
      </c>
      <c r="N291" s="452">
        <f t="array" ref="N291">IFERROR(
  INDEX(
    'Valor Hora Real y Estimada'!$A$4:$Z$78,
    MATCH(TRIM(CLEAN(A291)), 'Valor Hora Real y Estimada'!$A$4:$A$78, 0),
    MATCH(
      TEXT(C291,"dd mmm")&amp;" "&amp;D291,
      'Valor Hora Real y Estimada'!$A$3:$Z$3,
      0
    ) + 1
  ),
  0
)</f>
        <v>13139</v>
      </c>
      <c r="O291" s="453">
        <f t="shared" si="12"/>
        <v>998585</v>
      </c>
      <c r="P291" s="113"/>
      <c r="Q291" s="106">
        <f>IF(ISBLANK(O291), "", VLOOKUP(C291&amp;" "&amp;D291, 'Info Tipo de Cambio y REM'!$A$24:$B$35, 2, FALSE))</f>
        <v>1180</v>
      </c>
      <c r="R291" s="107">
        <f t="shared" si="2"/>
        <v>846.2584746</v>
      </c>
    </row>
    <row r="292">
      <c r="A292" s="443" t="s">
        <v>228</v>
      </c>
      <c r="B292" s="43" t="str">
        <f>IF(A292="", "", IFERROR(VLOOKUP(A292, Clasificaciones!A:B, 2, FALSE), "DATO NO CARGADO"))
</f>
        <v>Equipo</v>
      </c>
      <c r="C292" s="51" t="s">
        <v>149</v>
      </c>
      <c r="D292" s="43">
        <v>2025.0</v>
      </c>
      <c r="E292" s="43" t="s">
        <v>1124</v>
      </c>
      <c r="F292" s="43"/>
      <c r="G292" s="43" t="s">
        <v>1166</v>
      </c>
      <c r="H292" s="43" t="s">
        <v>1126</v>
      </c>
      <c r="I292" s="43" t="s">
        <v>1129</v>
      </c>
      <c r="J292" s="43" t="s">
        <v>183</v>
      </c>
      <c r="K292" s="443">
        <v>40.0</v>
      </c>
      <c r="L292" s="451">
        <f>20+46.57+0.5</f>
        <v>67.07</v>
      </c>
      <c r="M292" s="443">
        <f>67.1-0.009983675135</f>
        <v>67.09001632</v>
      </c>
      <c r="N292" s="452">
        <f t="array" ref="N292">IFERROR(
  INDEX(
    'Valor Hora Real y Estimada'!$A$4:$Z$78,
    MATCH(TRIM(CLEAN(A292)), 'Valor Hora Real y Estimada'!$A$4:$A$78, 0),
    MATCH(
      TEXT(C292,"dd mmm")&amp;" "&amp;D292,
      'Valor Hora Real y Estimada'!$A$3:$Z$3,
      0
    ) + 1
  ),
  0
)</f>
        <v>19602</v>
      </c>
      <c r="O292" s="453">
        <f t="shared" si="12"/>
        <v>1315098.5</v>
      </c>
      <c r="P292" s="113"/>
      <c r="Q292" s="106">
        <f>IF(ISBLANK(O292), "", VLOOKUP(C292&amp;" "&amp;D292, 'Info Tipo de Cambio y REM'!$A$24:$B$35, 2, FALSE))</f>
        <v>1180</v>
      </c>
      <c r="R292" s="107">
        <f t="shared" si="2"/>
        <v>1114.490254</v>
      </c>
    </row>
    <row r="293">
      <c r="A293" s="443" t="s">
        <v>214</v>
      </c>
      <c r="B293" s="43" t="str">
        <f>IF(A293="", "", IFERROR(VLOOKUP(A293, Clasificaciones!A:B, 2, FALSE), "DATO NO CARGADO"))
</f>
        <v>Equipo</v>
      </c>
      <c r="C293" s="51" t="s">
        <v>149</v>
      </c>
      <c r="D293" s="43">
        <v>2025.0</v>
      </c>
      <c r="E293" s="43" t="s">
        <v>1124</v>
      </c>
      <c r="F293" s="43"/>
      <c r="G293" s="43" t="s">
        <v>1166</v>
      </c>
      <c r="H293" s="43" t="s">
        <v>1126</v>
      </c>
      <c r="I293" s="43" t="s">
        <v>1129</v>
      </c>
      <c r="J293" s="43" t="s">
        <v>183</v>
      </c>
      <c r="K293" s="443">
        <v>160.0</v>
      </c>
      <c r="L293" s="451">
        <f>126.75+42+2</f>
        <v>170.75</v>
      </c>
      <c r="M293" s="443">
        <v>160.0</v>
      </c>
      <c r="N293" s="452">
        <f t="array" ref="N293">IFERROR(
  INDEX(
    'Valor Hora Real y Estimada'!$A$4:$Z$78,
    MATCH(TRIM(CLEAN(A293)), 'Valor Hora Real y Estimada'!$A$4:$A$78, 0),
    MATCH(
      TEXT(C293,"dd mmm")&amp;" "&amp;D293,
      'Valor Hora Real y Estimada'!$A$3:$Z$3,
      0
    ) + 1
  ),
  0
)</f>
        <v>10000</v>
      </c>
      <c r="O293" s="453">
        <f t="shared" si="12"/>
        <v>1600000</v>
      </c>
      <c r="P293" s="113"/>
      <c r="Q293" s="106">
        <f>IF(ISBLANK(O293), "", VLOOKUP(C293&amp;" "&amp;D293, 'Info Tipo de Cambio y REM'!$A$24:$B$35, 2, FALSE))</f>
        <v>1180</v>
      </c>
      <c r="R293" s="107">
        <f t="shared" si="2"/>
        <v>1355.932203</v>
      </c>
    </row>
    <row r="294" hidden="1">
      <c r="A294" s="443" t="s">
        <v>214</v>
      </c>
      <c r="B294" s="43" t="str">
        <f>IF(A294="", "", IFERROR(VLOOKUP(A294, Clasificaciones!A:B, 2, FALSE), "DATO NO CARGADO"))
</f>
        <v>Equipo</v>
      </c>
      <c r="C294" s="51" t="s">
        <v>149</v>
      </c>
      <c r="D294" s="43">
        <v>2025.0</v>
      </c>
      <c r="E294" s="43" t="s">
        <v>1130</v>
      </c>
      <c r="F294" s="202"/>
      <c r="G294" s="202" t="s">
        <v>1131</v>
      </c>
      <c r="H294" s="43" t="s">
        <v>208</v>
      </c>
      <c r="I294" s="43"/>
      <c r="J294" s="43" t="s">
        <v>208</v>
      </c>
      <c r="K294" s="443"/>
      <c r="L294" s="451">
        <v>4.75</v>
      </c>
      <c r="M294" s="443"/>
      <c r="N294" s="452">
        <f t="array" ref="N294">IFERROR(
  INDEX(
    'Valor Hora Real y Estimada'!$A$4:$Z$78,
    MATCH(TRIM(CLEAN(A294)), 'Valor Hora Real y Estimada'!$A$4:$A$78, 0),
    MATCH(
      TEXT(C294,"dd mmm")&amp;" "&amp;D294,
      'Valor Hora Real y Estimada'!$A$3:$Z$3,
      0
    ) + 1
  ),
  0
)</f>
        <v>10000</v>
      </c>
      <c r="O294" s="453">
        <f t="shared" si="12"/>
        <v>0</v>
      </c>
      <c r="P294" s="113"/>
      <c r="Q294" s="106">
        <f>IF(ISBLANK(O294), "", VLOOKUP(C294&amp;" "&amp;D294, 'Info Tipo de Cambio y REM'!$A$24:$B$35, 2, FALSE))</f>
        <v>1180</v>
      </c>
      <c r="R294" s="107">
        <f t="shared" si="2"/>
        <v>0</v>
      </c>
    </row>
    <row r="295">
      <c r="A295" s="443" t="s">
        <v>207</v>
      </c>
      <c r="B295" s="43" t="str">
        <f>IF(A295="", "", IFERROR(VLOOKUP(A295, Clasificaciones!A:B, 2, FALSE), "DATO NO CARGADO"))
</f>
        <v>Equipo</v>
      </c>
      <c r="C295" s="51" t="s">
        <v>149</v>
      </c>
      <c r="D295" s="43">
        <v>2025.0</v>
      </c>
      <c r="E295" s="43" t="s">
        <v>1124</v>
      </c>
      <c r="F295" s="43"/>
      <c r="G295" s="43" t="s">
        <v>1166</v>
      </c>
      <c r="H295" s="43" t="s">
        <v>1126</v>
      </c>
      <c r="I295" s="43" t="s">
        <v>1129</v>
      </c>
      <c r="J295" s="43" t="s">
        <v>183</v>
      </c>
      <c r="K295" s="443">
        <v>90.0</v>
      </c>
      <c r="L295" s="451">
        <v>87.13</v>
      </c>
      <c r="M295" s="443">
        <f>87.1+0.03</f>
        <v>87.13</v>
      </c>
      <c r="N295" s="452">
        <f t="array" ref="N295">IFERROR(
  INDEX(
    'Valor Hora Real y Estimada'!$A$4:$Z$78,
    MATCH(TRIM(CLEAN(A295)), 'Valor Hora Real y Estimada'!$A$4:$A$78, 0),
    MATCH(
      TEXT(C295,"dd mmm")&amp;" "&amp;D295,
      'Valor Hora Real y Estimada'!$A$3:$Z$3,
      0
    ) + 1
  ),
  0
)</f>
        <v>11000</v>
      </c>
      <c r="O295" s="453">
        <f t="shared" si="12"/>
        <v>958430</v>
      </c>
      <c r="P295" s="113"/>
      <c r="Q295" s="106">
        <f>IF(ISBLANK(O295), "", VLOOKUP(C295&amp;" "&amp;D295, 'Info Tipo de Cambio y REM'!$A$24:$B$35, 2, FALSE))</f>
        <v>1180</v>
      </c>
      <c r="R295" s="107">
        <f t="shared" si="2"/>
        <v>812.2288136</v>
      </c>
    </row>
    <row r="296">
      <c r="A296" s="443" t="s">
        <v>87</v>
      </c>
      <c r="B296" s="43" t="str">
        <f>IF(A296="", "", IFERROR(VLOOKUP(A296, Clasificaciones!A:B, 2, FALSE), "DATO NO CARGADO"))
</f>
        <v>Equipo</v>
      </c>
      <c r="C296" s="51" t="s">
        <v>149</v>
      </c>
      <c r="D296" s="43">
        <v>2025.0</v>
      </c>
      <c r="E296" s="43" t="s">
        <v>1124</v>
      </c>
      <c r="F296" s="43"/>
      <c r="G296" s="43" t="s">
        <v>1166</v>
      </c>
      <c r="H296" s="43" t="s">
        <v>1126</v>
      </c>
      <c r="I296" s="43" t="s">
        <v>1129</v>
      </c>
      <c r="J296" s="43" t="s">
        <v>183</v>
      </c>
      <c r="K296" s="443">
        <v>20.0</v>
      </c>
      <c r="L296" s="451">
        <f>15.1+12.58</f>
        <v>27.68</v>
      </c>
      <c r="M296" s="443">
        <v>26.68</v>
      </c>
      <c r="N296" s="452">
        <f t="array" ref="N296">IFERROR(
  INDEX(
    'Valor Hora Real y Estimada'!$A$4:$Z$78,
    MATCH(TRIM(CLEAN(A296)), 'Valor Hora Real y Estimada'!$A$4:$A$78, 0),
    MATCH(
      TEXT(C296,"dd mmm")&amp;" "&amp;D296,
      'Valor Hora Real y Estimada'!$A$3:$Z$3,
      0
    ) + 1
  ),
  0
)</f>
        <v>11000</v>
      </c>
      <c r="O296" s="453">
        <f t="shared" si="12"/>
        <v>293480</v>
      </c>
      <c r="P296" s="113"/>
      <c r="Q296" s="106">
        <f>IF(ISBLANK(O296), "", VLOOKUP(C296&amp;" "&amp;D296, 'Info Tipo de Cambio y REM'!$A$24:$B$35, 2, FALSE))</f>
        <v>1180</v>
      </c>
      <c r="R296" s="107">
        <f t="shared" si="2"/>
        <v>248.7118644</v>
      </c>
    </row>
    <row r="297">
      <c r="A297" s="443" t="s">
        <v>230</v>
      </c>
      <c r="B297" s="43" t="str">
        <f>IF(A297="", "", IFERROR(VLOOKUP(A297, Clasificaciones!A:B, 2, FALSE), "DATO NO CARGADO"))
</f>
        <v>Equipo</v>
      </c>
      <c r="C297" s="51" t="s">
        <v>149</v>
      </c>
      <c r="D297" s="43">
        <v>2025.0</v>
      </c>
      <c r="E297" s="43" t="s">
        <v>1124</v>
      </c>
      <c r="F297" s="43"/>
      <c r="G297" s="43" t="s">
        <v>1166</v>
      </c>
      <c r="H297" s="43" t="s">
        <v>1126</v>
      </c>
      <c r="I297" s="43" t="s">
        <v>1129</v>
      </c>
      <c r="J297" s="43" t="s">
        <v>183</v>
      </c>
      <c r="K297" s="443">
        <v>160.0</v>
      </c>
      <c r="L297" s="451">
        <v>85.0</v>
      </c>
      <c r="M297" s="443">
        <v>80.5</v>
      </c>
      <c r="N297" s="452">
        <f t="array" ref="N297">IFERROR(
  INDEX(
    'Valor Hora Real y Estimada'!$A$4:$Z$78,
    MATCH(TRIM(CLEAN(A297)), 'Valor Hora Real y Estimada'!$A$4:$A$78, 0),
    MATCH(
      TEXT(C297,"dd mmm")&amp;" "&amp;D297,
      'Valor Hora Real y Estimada'!$A$3:$Z$3,
      0
    ) + 1
  ),
  0
)</f>
        <v>10625</v>
      </c>
      <c r="O297" s="453">
        <f t="shared" si="12"/>
        <v>855312.5</v>
      </c>
      <c r="P297" s="113"/>
      <c r="Q297" s="106">
        <f>IF(ISBLANK(O297), "", VLOOKUP(C297&amp;" "&amp;D297, 'Info Tipo de Cambio y REM'!$A$24:$B$35, 2, FALSE))</f>
        <v>1180</v>
      </c>
      <c r="R297" s="107">
        <f t="shared" si="2"/>
        <v>724.8411017</v>
      </c>
    </row>
    <row r="298" hidden="1">
      <c r="A298" s="443" t="s">
        <v>120</v>
      </c>
      <c r="B298" s="43" t="str">
        <f>IF(A298="", "", IFERROR(VLOOKUP(A298, Clasificaciones!A:B, 2, FALSE), "DATO NO CARGADO"))
</f>
        <v>Equipo</v>
      </c>
      <c r="C298" s="51" t="s">
        <v>149</v>
      </c>
      <c r="D298" s="43">
        <v>2025.0</v>
      </c>
      <c r="E298" s="43" t="s">
        <v>1124</v>
      </c>
      <c r="F298" s="43"/>
      <c r="G298" s="43" t="s">
        <v>1167</v>
      </c>
      <c r="H298" s="43" t="s">
        <v>1126</v>
      </c>
      <c r="I298" s="43" t="s">
        <v>1168</v>
      </c>
      <c r="J298" s="43" t="s">
        <v>204</v>
      </c>
      <c r="K298" s="443">
        <v>10.0</v>
      </c>
      <c r="L298" s="451" t="s">
        <v>1169</v>
      </c>
      <c r="M298" s="443">
        <v>6.3</v>
      </c>
      <c r="N298" s="452">
        <f t="array" ref="N298">IFERROR(
  INDEX(
    'Valor Hora Real y Estimada'!$A$4:$Z$78,
    MATCH(TRIM(CLEAN(A298)), 'Valor Hora Real y Estimada'!$A$4:$A$78, 0),
    MATCH(
      TEXT(C298,"dd mmm")&amp;" "&amp;D298,
      'Valor Hora Real y Estimada'!$A$3:$Z$3,
      0
    ) + 1
  ),
  0
)</f>
        <v>24166.66667</v>
      </c>
      <c r="O298" s="453">
        <f t="shared" si="12"/>
        <v>152250</v>
      </c>
      <c r="P298" s="113"/>
      <c r="Q298" s="106">
        <f>IF(ISBLANK(O298), "", VLOOKUP(C298&amp;" "&amp;D298, 'Info Tipo de Cambio y REM'!$A$24:$B$35, 2, FALSE))</f>
        <v>1180</v>
      </c>
      <c r="R298" s="107">
        <f t="shared" si="2"/>
        <v>129.0254237</v>
      </c>
    </row>
    <row r="299" hidden="1">
      <c r="A299" s="443" t="s">
        <v>197</v>
      </c>
      <c r="B299" s="43" t="str">
        <f>IF(A299="", "", IFERROR(VLOOKUP(A299, Clasificaciones!A:B, 2, FALSE), "DATO NO CARGADO"))
</f>
        <v>Equipo</v>
      </c>
      <c r="C299" s="51" t="s">
        <v>149</v>
      </c>
      <c r="D299" s="43">
        <v>2025.0</v>
      </c>
      <c r="E299" s="43" t="s">
        <v>1124</v>
      </c>
      <c r="F299" s="43"/>
      <c r="G299" s="43" t="s">
        <v>1167</v>
      </c>
      <c r="H299" s="43" t="s">
        <v>1126</v>
      </c>
      <c r="I299" s="43" t="s">
        <v>1168</v>
      </c>
      <c r="J299" s="43" t="s">
        <v>204</v>
      </c>
      <c r="K299" s="443">
        <v>40.0</v>
      </c>
      <c r="L299" s="451">
        <v>8.83</v>
      </c>
      <c r="M299" s="443">
        <v>8.8</v>
      </c>
      <c r="N299" s="452">
        <f t="array" ref="N299">IFERROR(
  INDEX(
    'Valor Hora Real y Estimada'!$A$4:$Z$78,
    MATCH(TRIM(CLEAN(A299)), 'Valor Hora Real y Estimada'!$A$4:$A$78, 0),
    MATCH(
      TEXT(C299,"dd mmm")&amp;" "&amp;D299,
      'Valor Hora Real y Estimada'!$A$3:$Z$3,
      0
    ) + 1
  ),
  0
)</f>
        <v>12743</v>
      </c>
      <c r="O299" s="453">
        <f t="shared" si="12"/>
        <v>112138.4</v>
      </c>
      <c r="P299" s="113"/>
      <c r="Q299" s="106">
        <f>IF(ISBLANK(O299), "", VLOOKUP(C299&amp;" "&amp;D299, 'Info Tipo de Cambio y REM'!$A$24:$B$35, 2, FALSE))</f>
        <v>1180</v>
      </c>
      <c r="R299" s="107">
        <f t="shared" si="2"/>
        <v>95.03254237</v>
      </c>
    </row>
    <row r="300" hidden="1">
      <c r="A300" s="443" t="s">
        <v>205</v>
      </c>
      <c r="B300" s="43" t="str">
        <f>IF(A300="", "", IFERROR(VLOOKUP(A300, Clasificaciones!A:B, 2, FALSE), "DATO NO CARGADO"))
</f>
        <v>Equipo</v>
      </c>
      <c r="C300" s="51" t="s">
        <v>149</v>
      </c>
      <c r="D300" s="43">
        <v>2025.0</v>
      </c>
      <c r="E300" s="43" t="s">
        <v>1124</v>
      </c>
      <c r="F300" s="43"/>
      <c r="G300" s="43" t="s">
        <v>1167</v>
      </c>
      <c r="H300" s="43" t="s">
        <v>1126</v>
      </c>
      <c r="I300" s="43" t="s">
        <v>1168</v>
      </c>
      <c r="J300" s="43" t="s">
        <v>204</v>
      </c>
      <c r="K300" s="443">
        <v>70.0</v>
      </c>
      <c r="L300" s="451">
        <v>6.0</v>
      </c>
      <c r="M300" s="443">
        <v>6.0</v>
      </c>
      <c r="N300" s="452">
        <f t="array" ref="N300">IFERROR(
  INDEX(
    'Valor Hora Real y Estimada'!$A$4:$Z$78,
    MATCH(TRIM(CLEAN(A300)), 'Valor Hora Real y Estimada'!$A$4:$A$78, 0),
    MATCH(
      TEXT(C300,"dd mmm")&amp;" "&amp;D300,
      'Valor Hora Real y Estimada'!$A$3:$Z$3,
      0
    ) + 1
  ),
  0
)</f>
        <v>10000</v>
      </c>
      <c r="O300" s="453">
        <f t="shared" si="12"/>
        <v>60000</v>
      </c>
      <c r="P300" s="113"/>
      <c r="Q300" s="106">
        <f>IF(ISBLANK(O300), "", VLOOKUP(C300&amp;" "&amp;D300, 'Info Tipo de Cambio y REM'!$A$24:$B$35, 2, FALSE))</f>
        <v>1180</v>
      </c>
      <c r="R300" s="107">
        <f t="shared" si="2"/>
        <v>50.84745763</v>
      </c>
    </row>
    <row r="301" hidden="1">
      <c r="A301" s="443" t="s">
        <v>203</v>
      </c>
      <c r="B301" s="43" t="str">
        <f>IF(A301="", "", IFERROR(VLOOKUP(A301, Clasificaciones!A:B, 2, FALSE), "DATO NO CARGADO"))
</f>
        <v>Equipo</v>
      </c>
      <c r="C301" s="51" t="s">
        <v>149</v>
      </c>
      <c r="D301" s="43">
        <v>2025.0</v>
      </c>
      <c r="E301" s="43" t="s">
        <v>1124</v>
      </c>
      <c r="F301" s="43"/>
      <c r="G301" s="43" t="s">
        <v>1167</v>
      </c>
      <c r="H301" s="43" t="s">
        <v>1126</v>
      </c>
      <c r="I301" s="43" t="s">
        <v>1168</v>
      </c>
      <c r="J301" s="43" t="s">
        <v>204</v>
      </c>
      <c r="K301" s="443">
        <v>100.0</v>
      </c>
      <c r="L301" s="451">
        <v>6.0</v>
      </c>
      <c r="M301" s="443">
        <v>6.0</v>
      </c>
      <c r="N301" s="452">
        <f t="array" ref="N301">IFERROR(
  INDEX(
    'Valor Hora Real y Estimada'!$A$4:$Z$78,
    MATCH(TRIM(CLEAN(A301)), 'Valor Hora Real y Estimada'!$A$4:$A$78, 0),
    MATCH(
      TEXT(C301,"dd mmm")&amp;" "&amp;D301,
      'Valor Hora Real y Estimada'!$A$3:$Z$3,
      0
    ) + 1
  ),
  0
)</f>
        <v>9867</v>
      </c>
      <c r="O301" s="453">
        <f t="shared" si="12"/>
        <v>59202</v>
      </c>
      <c r="P301" s="113"/>
      <c r="Q301" s="106">
        <f>IF(ISBLANK(O301), "", VLOOKUP(C301&amp;" "&amp;D301, 'Info Tipo de Cambio y REM'!$A$24:$B$35, 2, FALSE))</f>
        <v>1180</v>
      </c>
      <c r="R301" s="107">
        <f t="shared" si="2"/>
        <v>50.17118644</v>
      </c>
    </row>
    <row r="302" hidden="1">
      <c r="A302" s="443" t="s">
        <v>217</v>
      </c>
      <c r="B302" s="43" t="str">
        <f>IF(A302="", "", IFERROR(VLOOKUP(A302, Clasificaciones!A:B, 2, FALSE), "DATO NO CARGADO"))
</f>
        <v>Equipo</v>
      </c>
      <c r="C302" s="51" t="s">
        <v>149</v>
      </c>
      <c r="D302" s="43">
        <v>2025.0</v>
      </c>
      <c r="E302" s="43" t="s">
        <v>1124</v>
      </c>
      <c r="F302" s="43"/>
      <c r="G302" s="43" t="s">
        <v>1167</v>
      </c>
      <c r="H302" s="43" t="s">
        <v>1126</v>
      </c>
      <c r="I302" s="43" t="s">
        <v>1168</v>
      </c>
      <c r="J302" s="43" t="s">
        <v>204</v>
      </c>
      <c r="K302" s="443">
        <v>100.0</v>
      </c>
      <c r="L302" s="451">
        <v>8.5</v>
      </c>
      <c r="M302" s="443">
        <v>8.5</v>
      </c>
      <c r="N302" s="452">
        <f t="array" ref="N302">IFERROR(
  INDEX(
    'Valor Hora Real y Estimada'!$A$4:$Z$78,
    MATCH(TRIM(CLEAN(A302)), 'Valor Hora Real y Estimada'!$A$4:$A$78, 0),
    MATCH(
      TEXT(C302,"dd mmm")&amp;" "&amp;D302,
      'Valor Hora Real y Estimada'!$A$3:$Z$3,
      0
    ) + 1
  ),
  0
)</f>
        <v>9688</v>
      </c>
      <c r="O302" s="453">
        <f t="shared" si="12"/>
        <v>82348</v>
      </c>
      <c r="P302" s="113"/>
      <c r="Q302" s="106">
        <f>IF(ISBLANK(O302), "", VLOOKUP(C302&amp;" "&amp;D302, 'Info Tipo de Cambio y REM'!$A$24:$B$35, 2, FALSE))</f>
        <v>1180</v>
      </c>
      <c r="R302" s="107">
        <f t="shared" si="2"/>
        <v>69.78644068</v>
      </c>
    </row>
    <row r="303" hidden="1">
      <c r="A303" s="443" t="s">
        <v>120</v>
      </c>
      <c r="B303" s="43" t="str">
        <f>IF(A303="", "", IFERROR(VLOOKUP(A303, Clasificaciones!A:B, 2, FALSE), "DATO NO CARGADO"))
</f>
        <v>Equipo</v>
      </c>
      <c r="C303" s="51" t="s">
        <v>149</v>
      </c>
      <c r="D303" s="43">
        <v>2025.0</v>
      </c>
      <c r="E303" s="43" t="s">
        <v>1124</v>
      </c>
      <c r="F303" s="43"/>
      <c r="G303" s="43" t="s">
        <v>1170</v>
      </c>
      <c r="H303" s="43" t="s">
        <v>1126</v>
      </c>
      <c r="I303" s="43" t="s">
        <v>1127</v>
      </c>
      <c r="J303" s="43" t="s">
        <v>180</v>
      </c>
      <c r="K303" s="443">
        <v>5.0</v>
      </c>
      <c r="L303" s="451">
        <v>4.17</v>
      </c>
      <c r="M303" s="443">
        <v>4.2</v>
      </c>
      <c r="N303" s="452">
        <f t="array" ref="N303">IFERROR(
  INDEX(
    'Valor Hora Real y Estimada'!$A$4:$Z$78,
    MATCH(TRIM(CLEAN(A303)), 'Valor Hora Real y Estimada'!$A$4:$A$78, 0),
    MATCH(
      TEXT(C303,"dd mmm")&amp;" "&amp;D303,
      'Valor Hora Real y Estimada'!$A$3:$Z$3,
      0
    ) + 1
  ),
  0
)</f>
        <v>24166.66667</v>
      </c>
      <c r="O303" s="453">
        <f t="shared" si="12"/>
        <v>101500</v>
      </c>
      <c r="P303" s="113"/>
      <c r="Q303" s="106">
        <f>IF(ISBLANK(O303), "", VLOOKUP(C303&amp;" "&amp;D303, 'Info Tipo de Cambio y REM'!$A$24:$B$35, 2, FALSE))</f>
        <v>1180</v>
      </c>
      <c r="R303" s="107">
        <f t="shared" si="2"/>
        <v>86.01694915</v>
      </c>
    </row>
    <row r="304" hidden="1">
      <c r="A304" s="443" t="s">
        <v>197</v>
      </c>
      <c r="B304" s="43" t="str">
        <f>IF(A304="", "", IFERROR(VLOOKUP(A304, Clasificaciones!A:B, 2, FALSE), "DATO NO CARGADO"))
</f>
        <v>Equipo</v>
      </c>
      <c r="C304" s="51" t="s">
        <v>149</v>
      </c>
      <c r="D304" s="43">
        <v>2025.0</v>
      </c>
      <c r="E304" s="43" t="s">
        <v>1124</v>
      </c>
      <c r="F304" s="43"/>
      <c r="G304" s="43" t="s">
        <v>1170</v>
      </c>
      <c r="H304" s="43" t="s">
        <v>1126</v>
      </c>
      <c r="I304" s="43" t="s">
        <v>1127</v>
      </c>
      <c r="J304" s="43" t="s">
        <v>180</v>
      </c>
      <c r="K304" s="443">
        <v>45.0</v>
      </c>
      <c r="L304" s="451">
        <f>6.17+5</f>
        <v>11.17</v>
      </c>
      <c r="M304" s="443">
        <v>11.2</v>
      </c>
      <c r="N304" s="452">
        <f t="array" ref="N304">IFERROR(
  INDEX(
    'Valor Hora Real y Estimada'!$A$4:$Z$78,
    MATCH(TRIM(CLEAN(A304)), 'Valor Hora Real y Estimada'!$A$4:$A$78, 0),
    MATCH(
      TEXT(C304,"dd mmm")&amp;" "&amp;D304,
      'Valor Hora Real y Estimada'!$A$3:$Z$3,
      0
    ) + 1
  ),
  0
)</f>
        <v>12743</v>
      </c>
      <c r="O304" s="453">
        <f t="shared" si="12"/>
        <v>142721.6</v>
      </c>
      <c r="P304" s="113"/>
      <c r="Q304" s="106">
        <f>IF(ISBLANK(O304), "", VLOOKUP(C304&amp;" "&amp;D304, 'Info Tipo de Cambio y REM'!$A$24:$B$35, 2, FALSE))</f>
        <v>1180</v>
      </c>
      <c r="R304" s="107">
        <f t="shared" si="2"/>
        <v>120.9505085</v>
      </c>
    </row>
    <row r="305" hidden="1">
      <c r="A305" s="443" t="s">
        <v>221</v>
      </c>
      <c r="B305" s="43" t="str">
        <f>IF(A305="", "", IFERROR(VLOOKUP(A305, Clasificaciones!A:B, 2, FALSE), "DATO NO CARGADO"))
</f>
        <v>Equipo</v>
      </c>
      <c r="C305" s="51" t="s">
        <v>149</v>
      </c>
      <c r="D305" s="43">
        <v>2025.0</v>
      </c>
      <c r="E305" s="43" t="s">
        <v>1124</v>
      </c>
      <c r="F305" s="43"/>
      <c r="G305" s="43" t="s">
        <v>1170</v>
      </c>
      <c r="H305" s="43" t="s">
        <v>1126</v>
      </c>
      <c r="I305" s="43" t="s">
        <v>1127</v>
      </c>
      <c r="J305" s="43" t="s">
        <v>180</v>
      </c>
      <c r="K305" s="443">
        <v>10.0</v>
      </c>
      <c r="L305" s="451">
        <v>0.17</v>
      </c>
      <c r="M305" s="443">
        <v>0.2</v>
      </c>
      <c r="N305" s="452">
        <f t="array" ref="N305">IFERROR(
  INDEX(
    'Valor Hora Real y Estimada'!$A$4:$Z$78,
    MATCH(TRIM(CLEAN(A305)), 'Valor Hora Real y Estimada'!$A$4:$A$78, 0),
    MATCH(
      TEXT(C305,"dd mmm")&amp;" "&amp;D305,
      'Valor Hora Real y Estimada'!$A$3:$Z$3,
      0
    ) + 1
  ),
  0
)</f>
        <v>10981</v>
      </c>
      <c r="O305" s="453">
        <f t="shared" si="12"/>
        <v>2196.2</v>
      </c>
      <c r="P305" s="113"/>
      <c r="Q305" s="106">
        <f>IF(ISBLANK(O305), "", VLOOKUP(C305&amp;" "&amp;D305, 'Info Tipo de Cambio y REM'!$A$24:$B$35, 2, FALSE))</f>
        <v>1180</v>
      </c>
      <c r="R305" s="107">
        <f t="shared" si="2"/>
        <v>1.861186441</v>
      </c>
    </row>
    <row r="306" hidden="1">
      <c r="A306" s="443" t="s">
        <v>203</v>
      </c>
      <c r="B306" s="43" t="str">
        <f>IF(A306="", "", IFERROR(VLOOKUP(A306, Clasificaciones!A:B, 2, FALSE), "DATO NO CARGADO"))
</f>
        <v>Equipo</v>
      </c>
      <c r="C306" s="51" t="s">
        <v>149</v>
      </c>
      <c r="D306" s="43">
        <v>2025.0</v>
      </c>
      <c r="E306" s="43" t="s">
        <v>1124</v>
      </c>
      <c r="F306" s="43"/>
      <c r="G306" s="43" t="s">
        <v>1170</v>
      </c>
      <c r="H306" s="43" t="s">
        <v>1126</v>
      </c>
      <c r="I306" s="43" t="s">
        <v>1127</v>
      </c>
      <c r="J306" s="43" t="s">
        <v>180</v>
      </c>
      <c r="K306" s="443">
        <v>40.0</v>
      </c>
      <c r="L306" s="451">
        <v>55.5</v>
      </c>
      <c r="M306" s="443">
        <f>55.5+0.02494679234</f>
        <v>55.52494679</v>
      </c>
      <c r="N306" s="452">
        <f t="array" ref="N306">IFERROR(
  INDEX(
    'Valor Hora Real y Estimada'!$A$4:$Z$78,
    MATCH(TRIM(CLEAN(A306)), 'Valor Hora Real y Estimada'!$A$4:$A$78, 0),
    MATCH(
      TEXT(C306,"dd mmm")&amp;" "&amp;D306,
      'Valor Hora Real y Estimada'!$A$3:$Z$3,
      0
    ) + 1
  ),
  0
)</f>
        <v>9867</v>
      </c>
      <c r="O306" s="453">
        <f t="shared" si="12"/>
        <v>547864.65</v>
      </c>
      <c r="P306" s="113"/>
      <c r="Q306" s="106">
        <f>IF(ISBLANK(O306), "", VLOOKUP(C306&amp;" "&amp;D306, 'Info Tipo de Cambio y REM'!$A$24:$B$35, 2, FALSE))</f>
        <v>1180</v>
      </c>
      <c r="R306" s="107">
        <f t="shared" si="2"/>
        <v>464.2920763</v>
      </c>
    </row>
    <row r="307" hidden="1">
      <c r="A307" s="443" t="s">
        <v>87</v>
      </c>
      <c r="B307" s="43" t="str">
        <f>IF(A307="", "", IFERROR(VLOOKUP(A307, Clasificaciones!A:B, 2, FALSE), "DATO NO CARGADO"))
</f>
        <v>Equipo</v>
      </c>
      <c r="C307" s="51" t="s">
        <v>149</v>
      </c>
      <c r="D307" s="43">
        <v>2025.0</v>
      </c>
      <c r="E307" s="43" t="s">
        <v>1124</v>
      </c>
      <c r="F307" s="43"/>
      <c r="G307" s="43" t="s">
        <v>1170</v>
      </c>
      <c r="H307" s="43" t="s">
        <v>1126</v>
      </c>
      <c r="I307" s="43" t="s">
        <v>1127</v>
      </c>
      <c r="J307" s="43" t="s">
        <v>180</v>
      </c>
      <c r="K307" s="443">
        <v>10.0</v>
      </c>
      <c r="L307" s="451">
        <v>1.93</v>
      </c>
      <c r="M307" s="443">
        <v>1.93</v>
      </c>
      <c r="N307" s="452">
        <f t="array" ref="N307">IFERROR(
  INDEX(
    'Valor Hora Real y Estimada'!$A$4:$Z$78,
    MATCH(TRIM(CLEAN(A307)), 'Valor Hora Real y Estimada'!$A$4:$A$78, 0),
    MATCH(
      TEXT(C307,"dd mmm")&amp;" "&amp;D307,
      'Valor Hora Real y Estimada'!$A$3:$Z$3,
      0
    ) + 1
  ),
  0
)</f>
        <v>11000</v>
      </c>
      <c r="O307" s="453">
        <f t="shared" si="12"/>
        <v>21230</v>
      </c>
      <c r="P307" s="113"/>
      <c r="Q307" s="106">
        <f>IF(ISBLANK(O307), "", VLOOKUP(C307&amp;" "&amp;D307, 'Info Tipo de Cambio y REM'!$A$24:$B$35, 2, FALSE))</f>
        <v>1180</v>
      </c>
      <c r="R307" s="107">
        <f t="shared" si="2"/>
        <v>17.99152542</v>
      </c>
    </row>
    <row r="308" hidden="1">
      <c r="A308" s="443" t="s">
        <v>217</v>
      </c>
      <c r="B308" s="43" t="str">
        <f>IF(A308="", "", IFERROR(VLOOKUP(A308, Clasificaciones!A:B, 2, FALSE), "DATO NO CARGADO"))
</f>
        <v>Equipo</v>
      </c>
      <c r="C308" s="51" t="s">
        <v>149</v>
      </c>
      <c r="D308" s="43">
        <v>2025.0</v>
      </c>
      <c r="E308" s="43" t="s">
        <v>1124</v>
      </c>
      <c r="F308" s="43"/>
      <c r="G308" s="43" t="s">
        <v>1170</v>
      </c>
      <c r="H308" s="43" t="s">
        <v>1126</v>
      </c>
      <c r="I308" s="43" t="s">
        <v>1127</v>
      </c>
      <c r="J308" s="43" t="s">
        <v>180</v>
      </c>
      <c r="K308" s="443">
        <v>0.0</v>
      </c>
      <c r="L308" s="451">
        <v>20.83</v>
      </c>
      <c r="M308" s="443">
        <v>20.8</v>
      </c>
      <c r="N308" s="452">
        <f t="array" ref="N308">IFERROR(
  INDEX(
    'Valor Hora Real y Estimada'!$A$4:$Z$78,
    MATCH(TRIM(CLEAN(A308)), 'Valor Hora Real y Estimada'!$A$4:$A$78, 0),
    MATCH(
      TEXT(C308,"dd mmm")&amp;" "&amp;D308,
      'Valor Hora Real y Estimada'!$A$3:$Z$3,
      0
    ) + 1
  ),
  0
)</f>
        <v>9688</v>
      </c>
      <c r="O308" s="453">
        <f t="shared" si="12"/>
        <v>201510.4</v>
      </c>
      <c r="P308" s="113"/>
      <c r="Q308" s="106">
        <f>IF(ISBLANK(O308), "", VLOOKUP(C308&amp;" "&amp;D308, 'Info Tipo de Cambio y REM'!$A$24:$B$35, 2, FALSE))</f>
        <v>1180</v>
      </c>
      <c r="R308" s="107">
        <f t="shared" si="2"/>
        <v>170.7715254</v>
      </c>
    </row>
    <row r="309" hidden="1">
      <c r="A309" s="443" t="s">
        <v>120</v>
      </c>
      <c r="B309" s="43" t="str">
        <f>IF(A309="", "", IFERROR(VLOOKUP(A309, Clasificaciones!A:B, 2, FALSE), "DATO NO CARGADO"))
</f>
        <v>Equipo</v>
      </c>
      <c r="C309" s="51" t="s">
        <v>149</v>
      </c>
      <c r="D309" s="43">
        <v>2025.0</v>
      </c>
      <c r="E309" s="43" t="s">
        <v>1124</v>
      </c>
      <c r="F309" s="43"/>
      <c r="G309" s="43" t="s">
        <v>1155</v>
      </c>
      <c r="H309" s="43" t="s">
        <v>1133</v>
      </c>
      <c r="I309" s="43" t="s">
        <v>1156</v>
      </c>
      <c r="J309" s="43" t="s">
        <v>202</v>
      </c>
      <c r="K309" s="443">
        <v>40.0</v>
      </c>
      <c r="L309" s="451">
        <v>8.17</v>
      </c>
      <c r="M309" s="443">
        <v>8.2</v>
      </c>
      <c r="N309" s="452">
        <f t="array" ref="N309">IFERROR(
  INDEX(
    'Valor Hora Real y Estimada'!$A$4:$Z$78,
    MATCH(TRIM(CLEAN(A309)), 'Valor Hora Real y Estimada'!$A$4:$A$78, 0),
    MATCH(
      TEXT(C309,"dd mmm")&amp;" "&amp;D309,
      'Valor Hora Real y Estimada'!$A$3:$Z$3,
      0
    ) + 1
  ),
  0
)</f>
        <v>24166.66667</v>
      </c>
      <c r="O309" s="453">
        <f t="shared" si="12"/>
        <v>198166.6667</v>
      </c>
      <c r="P309" s="113"/>
      <c r="Q309" s="106">
        <f>IF(ISBLANK(O309), "", VLOOKUP(C309&amp;" "&amp;D309, 'Info Tipo de Cambio y REM'!$A$24:$B$35, 2, FALSE))</f>
        <v>1180</v>
      </c>
      <c r="R309" s="107">
        <f t="shared" si="2"/>
        <v>167.9378531</v>
      </c>
    </row>
    <row r="310" hidden="1">
      <c r="A310" s="443" t="s">
        <v>197</v>
      </c>
      <c r="B310" s="43" t="str">
        <f>IF(A310="", "", IFERROR(VLOOKUP(A310, Clasificaciones!A:B, 2, FALSE), "DATO NO CARGADO"))
</f>
        <v>Equipo</v>
      </c>
      <c r="C310" s="51" t="s">
        <v>149</v>
      </c>
      <c r="D310" s="43">
        <v>2025.0</v>
      </c>
      <c r="E310" s="43" t="s">
        <v>1124</v>
      </c>
      <c r="F310" s="43"/>
      <c r="G310" s="43" t="s">
        <v>1155</v>
      </c>
      <c r="H310" s="43" t="s">
        <v>1133</v>
      </c>
      <c r="I310" s="43" t="s">
        <v>1156</v>
      </c>
      <c r="J310" s="43" t="s">
        <v>202</v>
      </c>
      <c r="K310" s="443">
        <v>80.0</v>
      </c>
      <c r="L310" s="451">
        <v>4.92</v>
      </c>
      <c r="M310" s="443">
        <v>4.9</v>
      </c>
      <c r="N310" s="452">
        <f t="array" ref="N310">IFERROR(
  INDEX(
    'Valor Hora Real y Estimada'!$A$4:$Z$78,
    MATCH(TRIM(CLEAN(A310)), 'Valor Hora Real y Estimada'!$A$4:$A$78, 0),
    MATCH(
      TEXT(C310,"dd mmm")&amp;" "&amp;D310,
      'Valor Hora Real y Estimada'!$A$3:$Z$3,
      0
    ) + 1
  ),
  0
)</f>
        <v>12743</v>
      </c>
      <c r="O310" s="453">
        <f t="shared" si="12"/>
        <v>62440.7</v>
      </c>
      <c r="P310" s="113"/>
      <c r="Q310" s="106">
        <f>IF(ISBLANK(O310), "", VLOOKUP(C310&amp;" "&amp;D310, 'Info Tipo de Cambio y REM'!$A$24:$B$35, 2, FALSE))</f>
        <v>1180</v>
      </c>
      <c r="R310" s="107">
        <f t="shared" si="2"/>
        <v>52.91584746</v>
      </c>
    </row>
    <row r="311" hidden="1">
      <c r="A311" s="443" t="s">
        <v>203</v>
      </c>
      <c r="B311" s="43" t="str">
        <f>IF(A311="", "", IFERROR(VLOOKUP(A311, Clasificaciones!A:B, 2, FALSE), "DATO NO CARGADO"))
</f>
        <v>Equipo</v>
      </c>
      <c r="C311" s="51" t="s">
        <v>149</v>
      </c>
      <c r="D311" s="43">
        <v>2025.0</v>
      </c>
      <c r="E311" s="43" t="s">
        <v>1124</v>
      </c>
      <c r="F311" s="43"/>
      <c r="G311" s="43" t="s">
        <v>1155</v>
      </c>
      <c r="H311" s="43" t="s">
        <v>1133</v>
      </c>
      <c r="I311" s="43" t="s">
        <v>1156</v>
      </c>
      <c r="J311" s="43" t="s">
        <v>202</v>
      </c>
      <c r="K311" s="443">
        <v>80.0</v>
      </c>
      <c r="L311" s="451">
        <v>15.33</v>
      </c>
      <c r="M311" s="443">
        <v>15.3</v>
      </c>
      <c r="N311" s="452">
        <f t="array" ref="N311">IFERROR(
  INDEX(
    'Valor Hora Real y Estimada'!$A$4:$Z$78,
    MATCH(TRIM(CLEAN(A311)), 'Valor Hora Real y Estimada'!$A$4:$A$78, 0),
    MATCH(
      TEXT(C311,"dd mmm")&amp;" "&amp;D311,
      'Valor Hora Real y Estimada'!$A$3:$Z$3,
      0
    ) + 1
  ),
  0
)</f>
        <v>9867</v>
      </c>
      <c r="O311" s="453">
        <f t="shared" si="12"/>
        <v>150965.1</v>
      </c>
      <c r="P311" s="113"/>
      <c r="Q311" s="106">
        <f>IF(ISBLANK(O311), "", VLOOKUP(C311&amp;" "&amp;D311, 'Info Tipo de Cambio y REM'!$A$24:$B$35, 2, FALSE))</f>
        <v>1180</v>
      </c>
      <c r="R311" s="107">
        <f t="shared" si="2"/>
        <v>127.9365254</v>
      </c>
    </row>
    <row r="312" hidden="1">
      <c r="A312" s="443" t="s">
        <v>205</v>
      </c>
      <c r="B312" s="43" t="str">
        <f>IF(A312="", "", IFERROR(VLOOKUP(A312, Clasificaciones!A:B, 2, FALSE), "DATO NO CARGADO"))
</f>
        <v>Equipo</v>
      </c>
      <c r="C312" s="51" t="s">
        <v>149</v>
      </c>
      <c r="D312" s="43">
        <v>2025.0</v>
      </c>
      <c r="E312" s="43" t="s">
        <v>1124</v>
      </c>
      <c r="F312" s="43"/>
      <c r="G312" s="43" t="s">
        <v>1155</v>
      </c>
      <c r="H312" s="43" t="s">
        <v>1133</v>
      </c>
      <c r="I312" s="43" t="s">
        <v>1156</v>
      </c>
      <c r="J312" s="43" t="s">
        <v>202</v>
      </c>
      <c r="K312" s="443">
        <v>28.0</v>
      </c>
      <c r="L312" s="451">
        <v>1.27</v>
      </c>
      <c r="M312" s="443">
        <v>1.3</v>
      </c>
      <c r="N312" s="452">
        <f t="array" ref="N312">IFERROR(
  INDEX(
    'Valor Hora Real y Estimada'!$A$4:$Z$78,
    MATCH(TRIM(CLEAN(A312)), 'Valor Hora Real y Estimada'!$A$4:$A$78, 0),
    MATCH(
      TEXT(C312,"dd mmm")&amp;" "&amp;D312,
      'Valor Hora Real y Estimada'!$A$3:$Z$3,
      0
    ) + 1
  ),
  0
)</f>
        <v>10000</v>
      </c>
      <c r="O312" s="453">
        <f t="shared" si="12"/>
        <v>13000</v>
      </c>
      <c r="P312" s="113"/>
      <c r="Q312" s="106">
        <f>IF(ISBLANK(O312), "", VLOOKUP(C312&amp;" "&amp;D312, 'Info Tipo de Cambio y REM'!$A$24:$B$35, 2, FALSE))</f>
        <v>1180</v>
      </c>
      <c r="R312" s="107">
        <f t="shared" si="2"/>
        <v>11.01694915</v>
      </c>
    </row>
    <row r="313" hidden="1">
      <c r="A313" s="443" t="s">
        <v>217</v>
      </c>
      <c r="B313" s="43" t="str">
        <f>IF(A313="", "", IFERROR(VLOOKUP(A313, Clasificaciones!A:B, 2, FALSE), "DATO NO CARGADO"))
</f>
        <v>Equipo</v>
      </c>
      <c r="C313" s="51" t="s">
        <v>149</v>
      </c>
      <c r="D313" s="43">
        <v>2025.0</v>
      </c>
      <c r="E313" s="43" t="s">
        <v>1124</v>
      </c>
      <c r="F313" s="43"/>
      <c r="G313" s="43" t="s">
        <v>1155</v>
      </c>
      <c r="H313" s="43" t="s">
        <v>1133</v>
      </c>
      <c r="I313" s="43" t="s">
        <v>1156</v>
      </c>
      <c r="J313" s="43" t="s">
        <v>202</v>
      </c>
      <c r="K313" s="443">
        <v>0.0</v>
      </c>
      <c r="L313" s="451">
        <v>20.25</v>
      </c>
      <c r="M313" s="443">
        <v>20.0</v>
      </c>
      <c r="N313" s="452">
        <f t="array" ref="N313">IFERROR(
  INDEX(
    'Valor Hora Real y Estimada'!$A$4:$Z$78,
    MATCH(TRIM(CLEAN(A313)), 'Valor Hora Real y Estimada'!$A$4:$A$78, 0),
    MATCH(
      TEXT(C313,"dd mmm")&amp;" "&amp;D313,
      'Valor Hora Real y Estimada'!$A$3:$Z$3,
      0
    ) + 1
  ),
  0
)</f>
        <v>9688</v>
      </c>
      <c r="O313" s="453">
        <f t="shared" si="12"/>
        <v>193760</v>
      </c>
      <c r="P313" s="113"/>
      <c r="Q313" s="106">
        <f>IF(ISBLANK(O313), "", VLOOKUP(C313&amp;" "&amp;D313, 'Info Tipo de Cambio y REM'!$A$24:$B$35, 2, FALSE))</f>
        <v>1180</v>
      </c>
      <c r="R313" s="107">
        <f t="shared" si="2"/>
        <v>164.2033898</v>
      </c>
    </row>
    <row r="314" hidden="1">
      <c r="A314" s="443" t="s">
        <v>120</v>
      </c>
      <c r="B314" s="43" t="str">
        <f>IF(A314="", "", IFERROR(VLOOKUP(A314, Clasificaciones!A:B, 2, FALSE), "DATO NO CARGADO"))
</f>
        <v>Equipo</v>
      </c>
      <c r="C314" s="51" t="s">
        <v>149</v>
      </c>
      <c r="D314" s="43">
        <v>2025.0</v>
      </c>
      <c r="E314" s="43" t="s">
        <v>1130</v>
      </c>
      <c r="F314" s="202"/>
      <c r="G314" s="202" t="s">
        <v>1159</v>
      </c>
      <c r="H314" s="43" t="s">
        <v>1160</v>
      </c>
      <c r="I314" s="43" t="s">
        <v>1161</v>
      </c>
      <c r="J314" s="43" t="s">
        <v>199</v>
      </c>
      <c r="K314" s="443"/>
      <c r="L314" s="451">
        <v>1.83</v>
      </c>
      <c r="M314" s="443">
        <v>2.0</v>
      </c>
      <c r="N314" s="452">
        <f t="array" ref="N314">IFERROR(
  INDEX(
    'Valor Hora Real y Estimada'!$A$4:$Z$78,
    MATCH(TRIM(CLEAN(A314)), 'Valor Hora Real y Estimada'!$A$4:$A$78, 0),
    MATCH(
      TEXT(C314,"dd mmm")&amp;" "&amp;D314,
      'Valor Hora Real y Estimada'!$A$3:$Z$3,
      0
    ) + 1
  ),
  0
)</f>
        <v>24166.66667</v>
      </c>
      <c r="O314" s="453">
        <f t="shared" si="12"/>
        <v>48333.33333</v>
      </c>
      <c r="P314" s="113"/>
      <c r="Q314" s="106">
        <f>IF(ISBLANK(O314), "", VLOOKUP(C314&amp;" "&amp;D314, 'Info Tipo de Cambio y REM'!$A$24:$B$35, 2, FALSE))</f>
        <v>1180</v>
      </c>
      <c r="R314" s="107">
        <f t="shared" si="2"/>
        <v>40.96045198</v>
      </c>
    </row>
    <row r="315" hidden="1">
      <c r="A315" s="443" t="s">
        <v>197</v>
      </c>
      <c r="B315" s="43" t="str">
        <f>IF(A315="", "", IFERROR(VLOOKUP(A315, Clasificaciones!A:B, 2, FALSE), "DATO NO CARGADO"))
</f>
        <v>Equipo</v>
      </c>
      <c r="C315" s="51" t="s">
        <v>149</v>
      </c>
      <c r="D315" s="43">
        <v>2025.0</v>
      </c>
      <c r="E315" s="43" t="s">
        <v>1130</v>
      </c>
      <c r="F315" s="202"/>
      <c r="G315" s="202" t="s">
        <v>1159</v>
      </c>
      <c r="H315" s="43" t="s">
        <v>1160</v>
      </c>
      <c r="I315" s="43" t="s">
        <v>1161</v>
      </c>
      <c r="J315" s="43" t="s">
        <v>199</v>
      </c>
      <c r="K315" s="443"/>
      <c r="L315" s="451">
        <v>5.83</v>
      </c>
      <c r="M315" s="443">
        <v>6.0</v>
      </c>
      <c r="N315" s="452">
        <f t="array" ref="N315">IFERROR(
  INDEX(
    'Valor Hora Real y Estimada'!$A$4:$Z$78,
    MATCH(TRIM(CLEAN(A315)), 'Valor Hora Real y Estimada'!$A$4:$A$78, 0),
    MATCH(
      TEXT(C315,"dd mmm")&amp;" "&amp;D315,
      'Valor Hora Real y Estimada'!$A$3:$Z$3,
      0
    ) + 1
  ),
  0
)</f>
        <v>12743</v>
      </c>
      <c r="O315" s="453">
        <f t="shared" si="12"/>
        <v>76458</v>
      </c>
      <c r="P315" s="113"/>
      <c r="Q315" s="106">
        <f>IF(ISBLANK(O315), "", VLOOKUP(C315&amp;" "&amp;D315, 'Info Tipo de Cambio y REM'!$A$24:$B$35, 2, FALSE))</f>
        <v>1180</v>
      </c>
      <c r="R315" s="107">
        <f t="shared" si="2"/>
        <v>64.79491525</v>
      </c>
    </row>
    <row r="316" hidden="1">
      <c r="A316" s="443" t="s">
        <v>120</v>
      </c>
      <c r="B316" s="43" t="str">
        <f>IF(A316="", "", IFERROR(VLOOKUP(A316, Clasificaciones!A:B, 2, FALSE), "DATO NO CARGADO"))
</f>
        <v>Equipo</v>
      </c>
      <c r="C316" s="51" t="s">
        <v>149</v>
      </c>
      <c r="D316" s="43">
        <v>2025.0</v>
      </c>
      <c r="E316" s="43" t="s">
        <v>1124</v>
      </c>
      <c r="F316" s="43"/>
      <c r="G316" s="43" t="s">
        <v>1171</v>
      </c>
      <c r="H316" s="43" t="s">
        <v>1133</v>
      </c>
      <c r="I316" s="43" t="s">
        <v>1165</v>
      </c>
      <c r="J316" s="43" t="s">
        <v>199</v>
      </c>
      <c r="K316" s="443">
        <v>5.0</v>
      </c>
      <c r="L316" s="451">
        <v>1.67</v>
      </c>
      <c r="M316" s="443">
        <v>2.0</v>
      </c>
      <c r="N316" s="452">
        <f t="array" ref="N316">IFERROR(
  INDEX(
    'Valor Hora Real y Estimada'!$A$4:$Z$78,
    MATCH(TRIM(CLEAN(A316)), 'Valor Hora Real y Estimada'!$A$4:$A$78, 0),
    MATCH(
      TEXT(C316,"dd mmm")&amp;" "&amp;D316,
      'Valor Hora Real y Estimada'!$A$3:$Z$3,
      0
    ) + 1
  ),
  0
)</f>
        <v>24166.66667</v>
      </c>
      <c r="O316" s="453">
        <f t="shared" si="12"/>
        <v>48333.33333</v>
      </c>
      <c r="P316" s="113"/>
      <c r="Q316" s="106">
        <f>IF(ISBLANK(O316), "", VLOOKUP(C316&amp;" "&amp;D316, 'Info Tipo de Cambio y REM'!$A$24:$B$35, 2, FALSE))</f>
        <v>1180</v>
      </c>
      <c r="R316" s="107">
        <f t="shared" si="2"/>
        <v>40.96045198</v>
      </c>
    </row>
    <row r="317" hidden="1">
      <c r="A317" s="443" t="s">
        <v>197</v>
      </c>
      <c r="B317" s="43" t="str">
        <f>IF(A317="", "", IFERROR(VLOOKUP(A317, Clasificaciones!A:B, 2, FALSE), "DATO NO CARGADO"))
</f>
        <v>Equipo</v>
      </c>
      <c r="C317" s="51" t="s">
        <v>149</v>
      </c>
      <c r="D317" s="43">
        <v>2025.0</v>
      </c>
      <c r="E317" s="43" t="s">
        <v>1124</v>
      </c>
      <c r="F317" s="43"/>
      <c r="G317" s="43" t="s">
        <v>1171</v>
      </c>
      <c r="H317" s="43" t="s">
        <v>1133</v>
      </c>
      <c r="I317" s="43" t="s">
        <v>1165</v>
      </c>
      <c r="J317" s="43" t="s">
        <v>199</v>
      </c>
      <c r="K317" s="443">
        <v>50.0</v>
      </c>
      <c r="L317" s="451">
        <v>7.42</v>
      </c>
      <c r="M317" s="443">
        <v>7.0</v>
      </c>
      <c r="N317" s="452">
        <f t="array" ref="N317">IFERROR(
  INDEX(
    'Valor Hora Real y Estimada'!$A$4:$Z$78,
    MATCH(TRIM(CLEAN(A317)), 'Valor Hora Real y Estimada'!$A$4:$A$78, 0),
    MATCH(
      TEXT(C317,"dd mmm")&amp;" "&amp;D317,
      'Valor Hora Real y Estimada'!$A$3:$Z$3,
      0
    ) + 1
  ),
  0
)</f>
        <v>12743</v>
      </c>
      <c r="O317" s="453">
        <f t="shared" si="12"/>
        <v>89201</v>
      </c>
      <c r="P317" s="113"/>
      <c r="Q317" s="106">
        <f>IF(ISBLANK(O317), "", VLOOKUP(C317&amp;" "&amp;D317, 'Info Tipo de Cambio y REM'!$A$24:$B$35, 2, FALSE))</f>
        <v>1180</v>
      </c>
      <c r="R317" s="107">
        <f t="shared" si="2"/>
        <v>75.5940678</v>
      </c>
    </row>
    <row r="318" hidden="1">
      <c r="A318" s="443" t="s">
        <v>87</v>
      </c>
      <c r="B318" s="43" t="str">
        <f>IF(A318="", "", IFERROR(VLOOKUP(A318, Clasificaciones!A:B, 2, FALSE), "DATO NO CARGADO"))
</f>
        <v>Equipo</v>
      </c>
      <c r="C318" s="51" t="s">
        <v>149</v>
      </c>
      <c r="D318" s="43">
        <v>2025.0</v>
      </c>
      <c r="E318" s="43" t="s">
        <v>1124</v>
      </c>
      <c r="F318" s="43"/>
      <c r="G318" s="43" t="s">
        <v>1171</v>
      </c>
      <c r="H318" s="43" t="s">
        <v>1133</v>
      </c>
      <c r="I318" s="43" t="s">
        <v>1165</v>
      </c>
      <c r="J318" s="43" t="s">
        <v>199</v>
      </c>
      <c r="K318" s="443">
        <v>10.0</v>
      </c>
      <c r="L318" s="451">
        <v>4.65</v>
      </c>
      <c r="M318" s="443">
        <v>5.0</v>
      </c>
      <c r="N318" s="452">
        <f t="array" ref="N318">IFERROR(
  INDEX(
    'Valor Hora Real y Estimada'!$A$4:$Z$78,
    MATCH(TRIM(CLEAN(A318)), 'Valor Hora Real y Estimada'!$A$4:$A$78, 0),
    MATCH(
      TEXT(C318,"dd mmm")&amp;" "&amp;D318,
      'Valor Hora Real y Estimada'!$A$3:$Z$3,
      0
    ) + 1
  ),
  0
)</f>
        <v>11000</v>
      </c>
      <c r="O318" s="453">
        <f t="shared" si="12"/>
        <v>55000</v>
      </c>
      <c r="P318" s="113"/>
      <c r="Q318" s="106">
        <f>IF(ISBLANK(O318), "", VLOOKUP(C318&amp;" "&amp;D318, 'Info Tipo de Cambio y REM'!$A$24:$B$35, 2, FALSE))</f>
        <v>1180</v>
      </c>
      <c r="R318" s="107">
        <f t="shared" si="2"/>
        <v>46.61016949</v>
      </c>
    </row>
    <row r="319" hidden="1">
      <c r="A319" s="443" t="s">
        <v>120</v>
      </c>
      <c r="B319" s="43" t="str">
        <f>IF(A319="", "", IFERROR(VLOOKUP(A319, Clasificaciones!A:B, 2, FALSE), "DATO NO CARGADO"))
</f>
        <v>Equipo</v>
      </c>
      <c r="C319" s="51" t="s">
        <v>149</v>
      </c>
      <c r="D319" s="43">
        <v>2025.0</v>
      </c>
      <c r="E319" s="43" t="s">
        <v>1130</v>
      </c>
      <c r="F319" s="202"/>
      <c r="G319" s="202" t="s">
        <v>1172</v>
      </c>
      <c r="H319" s="43" t="s">
        <v>208</v>
      </c>
      <c r="I319" s="43" t="s">
        <v>1136</v>
      </c>
      <c r="J319" s="43" t="s">
        <v>208</v>
      </c>
      <c r="K319" s="443"/>
      <c r="L319" s="451">
        <f>47.18+25.77+13.23+6.8</f>
        <v>92.98</v>
      </c>
      <c r="M319" s="443">
        <v>91.8</v>
      </c>
      <c r="N319" s="452">
        <f t="array" ref="N319">IFERROR(
  INDEX(
    'Valor Hora Real y Estimada'!$A$4:$Z$78,
    MATCH(TRIM(CLEAN(A319)), 'Valor Hora Real y Estimada'!$A$4:$A$78, 0),
    MATCH(
      TEXT(C319,"dd mmm")&amp;" "&amp;D319,
      'Valor Hora Real y Estimada'!$A$3:$Z$3,
      0
    ) + 1
  ),
  0
)</f>
        <v>24166.66667</v>
      </c>
      <c r="O319" s="453">
        <f t="shared" si="12"/>
        <v>2218500</v>
      </c>
      <c r="P319" s="113"/>
      <c r="Q319" s="106">
        <f>IF(ISBLANK(O319), "", VLOOKUP(C319&amp;" "&amp;D319, 'Info Tipo de Cambio y REM'!$A$24:$B$35, 2, FALSE))</f>
        <v>1180</v>
      </c>
      <c r="R319" s="107">
        <f t="shared" si="2"/>
        <v>1880.084746</v>
      </c>
    </row>
    <row r="320" hidden="1">
      <c r="A320" s="443" t="s">
        <v>228</v>
      </c>
      <c r="B320" s="43" t="str">
        <f>IF(A320="", "", IFERROR(VLOOKUP(A320, Clasificaciones!A:B, 2, FALSE), "DATO NO CARGADO"))
</f>
        <v>Equipo</v>
      </c>
      <c r="C320" s="51" t="s">
        <v>149</v>
      </c>
      <c r="D320" s="43">
        <v>2025.0</v>
      </c>
      <c r="E320" s="43" t="s">
        <v>1130</v>
      </c>
      <c r="F320" s="202"/>
      <c r="G320" s="202" t="s">
        <v>1172</v>
      </c>
      <c r="H320" s="43" t="s">
        <v>208</v>
      </c>
      <c r="I320" s="43" t="s">
        <v>1136</v>
      </c>
      <c r="J320" s="43" t="s">
        <v>208</v>
      </c>
      <c r="K320" s="443"/>
      <c r="L320" s="451">
        <v>5.25</v>
      </c>
      <c r="M320" s="443">
        <v>5.25</v>
      </c>
      <c r="N320" s="452">
        <f t="array" ref="N320">IFERROR(
  INDEX(
    'Valor Hora Real y Estimada'!$A$4:$Z$78,
    MATCH(TRIM(CLEAN(A320)), 'Valor Hora Real y Estimada'!$A$4:$A$78, 0),
    MATCH(
      TEXT(C320,"dd mmm")&amp;" "&amp;D320,
      'Valor Hora Real y Estimada'!$A$3:$Z$3,
      0
    ) + 1
  ),
  0
)</f>
        <v>19602</v>
      </c>
      <c r="O320" s="453">
        <f t="shared" si="12"/>
        <v>102910.5</v>
      </c>
      <c r="P320" s="113"/>
      <c r="Q320" s="106">
        <f>IF(ISBLANK(O320), "", VLOOKUP(C320&amp;" "&amp;D320, 'Info Tipo de Cambio y REM'!$A$24:$B$35, 2, FALSE))</f>
        <v>1180</v>
      </c>
      <c r="R320" s="107">
        <f t="shared" si="2"/>
        <v>87.21228814</v>
      </c>
    </row>
    <row r="321" hidden="1">
      <c r="A321" s="443" t="s">
        <v>218</v>
      </c>
      <c r="B321" s="43" t="str">
        <f>IF(A321="", "", IFERROR(VLOOKUP(A321, Clasificaciones!A:B, 2, FALSE), "DATO NO CARGADO"))
</f>
        <v>Equipo</v>
      </c>
      <c r="C321" s="51" t="s">
        <v>149</v>
      </c>
      <c r="D321" s="43">
        <v>2025.0</v>
      </c>
      <c r="E321" s="43" t="s">
        <v>1130</v>
      </c>
      <c r="F321" s="202"/>
      <c r="G321" s="202" t="s">
        <v>1172</v>
      </c>
      <c r="H321" s="43" t="s">
        <v>208</v>
      </c>
      <c r="I321" s="43" t="s">
        <v>1136</v>
      </c>
      <c r="J321" s="43" t="s">
        <v>208</v>
      </c>
      <c r="K321" s="443"/>
      <c r="L321" s="451">
        <v>2.42</v>
      </c>
      <c r="M321" s="443">
        <v>2.42</v>
      </c>
      <c r="N321" s="452">
        <f t="array" ref="N321">IFERROR(
  INDEX(
    'Valor Hora Real y Estimada'!$A$4:$Z$78,
    MATCH(TRIM(CLEAN(A321)), 'Valor Hora Real y Estimada'!$A$4:$A$78, 0),
    MATCH(
      TEXT(C321,"dd mmm")&amp;" "&amp;D321,
      'Valor Hora Real y Estimada'!$A$3:$Z$3,
      0
    ) + 1
  ),
  0
)</f>
        <v>19000</v>
      </c>
      <c r="O321" s="453">
        <f t="shared" si="12"/>
        <v>45980</v>
      </c>
      <c r="P321" s="113"/>
      <c r="Q321" s="106">
        <f>IF(ISBLANK(O321), "", VLOOKUP(C321&amp;" "&amp;D321, 'Info Tipo de Cambio y REM'!$A$24:$B$35, 2, FALSE))</f>
        <v>1180</v>
      </c>
      <c r="R321" s="107">
        <f t="shared" si="2"/>
        <v>38.96610169</v>
      </c>
    </row>
    <row r="322" hidden="1">
      <c r="A322" s="443" t="s">
        <v>197</v>
      </c>
      <c r="B322" s="43" t="str">
        <f>IF(A322="", "", IFERROR(VLOOKUP(A322, Clasificaciones!A:B, 2, FALSE), "DATO NO CARGADO"))
</f>
        <v>Equipo</v>
      </c>
      <c r="C322" s="51" t="s">
        <v>149</v>
      </c>
      <c r="D322" s="43">
        <v>2025.0</v>
      </c>
      <c r="E322" s="43" t="s">
        <v>1130</v>
      </c>
      <c r="F322" s="202"/>
      <c r="G322" s="202" t="s">
        <v>1172</v>
      </c>
      <c r="H322" s="43" t="s">
        <v>208</v>
      </c>
      <c r="I322" s="43" t="s">
        <v>1136</v>
      </c>
      <c r="J322" s="43" t="s">
        <v>208</v>
      </c>
      <c r="K322" s="443"/>
      <c r="L322" s="451">
        <f>119.17</f>
        <v>119.17</v>
      </c>
      <c r="M322" s="443">
        <f>114.83+0.2742376207</f>
        <v>115.1042376</v>
      </c>
      <c r="N322" s="452">
        <f t="array" ref="N322">IFERROR(
  INDEX(
    'Valor Hora Real y Estimada'!$A$4:$Z$78,
    MATCH(TRIM(CLEAN(A322)), 'Valor Hora Real y Estimada'!$A$4:$A$78, 0),
    MATCH(
      TEXT(C322,"dd mmm")&amp;" "&amp;D322,
      'Valor Hora Real y Estimada'!$A$3:$Z$3,
      0
    ) + 1
  ),
  0
)</f>
        <v>12743</v>
      </c>
      <c r="O322" s="453">
        <f t="shared" si="12"/>
        <v>1466773.3</v>
      </c>
      <c r="P322" s="113"/>
      <c r="Q322" s="106">
        <f>IF(ISBLANK(O322), "", VLOOKUP(C322&amp;" "&amp;D322, 'Info Tipo de Cambio y REM'!$A$24:$B$35, 2, FALSE))</f>
        <v>1180</v>
      </c>
      <c r="R322" s="107">
        <f t="shared" si="2"/>
        <v>1243.02822</v>
      </c>
    </row>
    <row r="323" hidden="1">
      <c r="A323" s="443" t="s">
        <v>200</v>
      </c>
      <c r="B323" s="43" t="str">
        <f>IF(A323="", "", IFERROR(VLOOKUP(A323, Clasificaciones!A:B, 2, FALSE), "DATO NO CARGADO"))
</f>
        <v>Equipo</v>
      </c>
      <c r="C323" s="51" t="s">
        <v>149</v>
      </c>
      <c r="D323" s="43">
        <v>2025.0</v>
      </c>
      <c r="E323" s="43" t="s">
        <v>1130</v>
      </c>
      <c r="F323" s="202"/>
      <c r="G323" s="202" t="s">
        <v>1172</v>
      </c>
      <c r="H323" s="43" t="s">
        <v>208</v>
      </c>
      <c r="I323" s="43" t="s">
        <v>1136</v>
      </c>
      <c r="J323" s="43" t="s">
        <v>208</v>
      </c>
      <c r="K323" s="443"/>
      <c r="L323" s="451">
        <v>5.08</v>
      </c>
      <c r="M323" s="443">
        <v>5.08</v>
      </c>
      <c r="N323" s="452">
        <f t="array" ref="N323">IFERROR(
  INDEX(
    'Valor Hora Real y Estimada'!$A$4:$Z$78,
    MATCH(TRIM(CLEAN(A323)), 'Valor Hora Real y Estimada'!$A$4:$A$78, 0),
    MATCH(
      TEXT(C323,"dd mmm")&amp;" "&amp;D323,
      'Valor Hora Real y Estimada'!$A$3:$Z$3,
      0
    ) + 1
  ),
  0
)</f>
        <v>16856</v>
      </c>
      <c r="O323" s="453">
        <f t="shared" si="12"/>
        <v>85628.48</v>
      </c>
      <c r="P323" s="113"/>
      <c r="Q323" s="106">
        <f>IF(ISBLANK(O323), "", VLOOKUP(C323&amp;" "&amp;D323, 'Info Tipo de Cambio y REM'!$A$24:$B$35, 2, FALSE))</f>
        <v>1180</v>
      </c>
      <c r="R323" s="107">
        <f t="shared" si="2"/>
        <v>72.56650847</v>
      </c>
    </row>
    <row r="324" hidden="1">
      <c r="A324" s="443" t="s">
        <v>221</v>
      </c>
      <c r="B324" s="43" t="str">
        <f>IF(A324="", "", IFERROR(VLOOKUP(A324, Clasificaciones!A:B, 2, FALSE), "DATO NO CARGADO"))
</f>
        <v>Equipo</v>
      </c>
      <c r="C324" s="51" t="s">
        <v>149</v>
      </c>
      <c r="D324" s="43">
        <v>2025.0</v>
      </c>
      <c r="E324" s="43" t="s">
        <v>1130</v>
      </c>
      <c r="F324" s="202"/>
      <c r="G324" s="202" t="s">
        <v>1172</v>
      </c>
      <c r="H324" s="43" t="s">
        <v>208</v>
      </c>
      <c r="I324" s="43" t="s">
        <v>1136</v>
      </c>
      <c r="J324" s="43" t="s">
        <v>208</v>
      </c>
      <c r="K324" s="443"/>
      <c r="L324" s="451">
        <v>82.0</v>
      </c>
      <c r="M324" s="443">
        <f>82.03-0.02344322011</f>
        <v>82.00655678</v>
      </c>
      <c r="N324" s="452">
        <f t="array" ref="N324">IFERROR(
  INDEX(
    'Valor Hora Real y Estimada'!$A$4:$Z$78,
    MATCH(TRIM(CLEAN(A324)), 'Valor Hora Real y Estimada'!$A$4:$A$78, 0),
    MATCH(
      TEXT(C324,"dd mmm")&amp;" "&amp;D324,
      'Valor Hora Real y Estimada'!$A$3:$Z$3,
      0
    ) + 1
  ),
  0
)</f>
        <v>10981</v>
      </c>
      <c r="O324" s="453">
        <f t="shared" si="12"/>
        <v>900514</v>
      </c>
      <c r="P324" s="113"/>
      <c r="Q324" s="106">
        <f>IF(ISBLANK(O324), "", VLOOKUP(C324&amp;" "&amp;D324, 'Info Tipo de Cambio y REM'!$A$24:$B$35, 2, FALSE))</f>
        <v>1180</v>
      </c>
      <c r="R324" s="107">
        <f t="shared" si="2"/>
        <v>763.1474576</v>
      </c>
    </row>
    <row r="325" hidden="1">
      <c r="A325" s="443" t="s">
        <v>203</v>
      </c>
      <c r="B325" s="43" t="str">
        <f>IF(A325="", "", IFERROR(VLOOKUP(A325, Clasificaciones!A:B, 2, FALSE), "DATO NO CARGADO"))
</f>
        <v>Equipo</v>
      </c>
      <c r="C325" s="51" t="s">
        <v>149</v>
      </c>
      <c r="D325" s="43">
        <v>2025.0</v>
      </c>
      <c r="E325" s="43" t="s">
        <v>1130</v>
      </c>
      <c r="F325" s="202"/>
      <c r="G325" s="202" t="s">
        <v>1172</v>
      </c>
      <c r="H325" s="43" t="s">
        <v>208</v>
      </c>
      <c r="I325" s="43" t="s">
        <v>1136</v>
      </c>
      <c r="J325" s="43" t="s">
        <v>208</v>
      </c>
      <c r="K325" s="443"/>
      <c r="L325" s="451">
        <v>4.75</v>
      </c>
      <c r="M325" s="443">
        <v>4.75</v>
      </c>
      <c r="N325" s="452">
        <f t="array" ref="N325">IFERROR(
  INDEX(
    'Valor Hora Real y Estimada'!$A$4:$Z$78,
    MATCH(TRIM(CLEAN(A325)), 'Valor Hora Real y Estimada'!$A$4:$A$78, 0),
    MATCH(
      TEXT(C325,"dd mmm")&amp;" "&amp;D325,
      'Valor Hora Real y Estimada'!$A$3:$Z$3,
      0
    ) + 1
  ),
  0
)</f>
        <v>9867</v>
      </c>
      <c r="O325" s="453">
        <f t="shared" si="12"/>
        <v>46868.25</v>
      </c>
      <c r="P325" s="113"/>
      <c r="Q325" s="106">
        <f>IF(ISBLANK(O325), "", VLOOKUP(C325&amp;" "&amp;D325, 'Info Tipo de Cambio y REM'!$A$24:$B$35, 2, FALSE))</f>
        <v>1180</v>
      </c>
      <c r="R325" s="107">
        <f t="shared" si="2"/>
        <v>39.71885593</v>
      </c>
    </row>
    <row r="326" hidden="1">
      <c r="A326" s="443" t="s">
        <v>217</v>
      </c>
      <c r="B326" s="43" t="str">
        <f>IF(A326="", "", IFERROR(VLOOKUP(A326, Clasificaciones!A:B, 2, FALSE), "DATO NO CARGADO"))
</f>
        <v>Equipo</v>
      </c>
      <c r="C326" s="51" t="s">
        <v>149</v>
      </c>
      <c r="D326" s="43">
        <v>2025.0</v>
      </c>
      <c r="E326" s="43" t="s">
        <v>1130</v>
      </c>
      <c r="F326" s="202"/>
      <c r="G326" s="202" t="s">
        <v>1172</v>
      </c>
      <c r="H326" s="43" t="s">
        <v>208</v>
      </c>
      <c r="I326" s="43" t="s">
        <v>1136</v>
      </c>
      <c r="J326" s="43" t="s">
        <v>208</v>
      </c>
      <c r="K326" s="443"/>
      <c r="L326" s="451">
        <f>72.77+6.42</f>
        <v>79.19</v>
      </c>
      <c r="M326" s="443">
        <v>79.92</v>
      </c>
      <c r="N326" s="452">
        <f t="array" ref="N326">IFERROR(
  INDEX(
    'Valor Hora Real y Estimada'!$A$4:$Z$78,
    MATCH(TRIM(CLEAN(A326)), 'Valor Hora Real y Estimada'!$A$4:$A$78, 0),
    MATCH(
      TEXT(C326,"dd mmm")&amp;" "&amp;D326,
      'Valor Hora Real y Estimada'!$A$3:$Z$3,
      0
    ) + 1
  ),
  0
)</f>
        <v>9688</v>
      </c>
      <c r="O326" s="453">
        <f t="shared" si="12"/>
        <v>774264.96</v>
      </c>
      <c r="P326" s="113"/>
      <c r="Q326" s="106">
        <f>IF(ISBLANK(O326), "", VLOOKUP(C326&amp;" "&amp;D326, 'Info Tipo de Cambio y REM'!$A$24:$B$35, 2, FALSE))</f>
        <v>1180</v>
      </c>
      <c r="R326" s="107">
        <f t="shared" si="2"/>
        <v>656.1567458</v>
      </c>
    </row>
    <row r="327" hidden="1">
      <c r="A327" s="443" t="s">
        <v>194</v>
      </c>
      <c r="B327" s="43" t="str">
        <f>IF(A327="", "", IFERROR(VLOOKUP(A327, Clasificaciones!A:B, 2, FALSE), "DATO NO CARGADO"))
</f>
        <v>Equipo</v>
      </c>
      <c r="C327" s="51" t="s">
        <v>149</v>
      </c>
      <c r="D327" s="43">
        <v>2025.0</v>
      </c>
      <c r="E327" s="43" t="s">
        <v>1130</v>
      </c>
      <c r="F327" s="202"/>
      <c r="G327" s="202" t="s">
        <v>1172</v>
      </c>
      <c r="H327" s="43" t="s">
        <v>208</v>
      </c>
      <c r="I327" s="43" t="s">
        <v>1136</v>
      </c>
      <c r="J327" s="43" t="s">
        <v>208</v>
      </c>
      <c r="K327" s="443"/>
      <c r="L327" s="451">
        <f>17.8+12.87</f>
        <v>30.67</v>
      </c>
      <c r="M327" s="443">
        <f>50.29-0.06425545996</f>
        <v>50.22574454</v>
      </c>
      <c r="N327" s="452">
        <f t="array" ref="N327">IFERROR(
  INDEX(
    'Valor Hora Real y Estimada'!$A$4:$Z$78,
    MATCH(TRIM(CLEAN(A327)), 'Valor Hora Real y Estimada'!$A$4:$A$78, 0),
    MATCH(
      TEXT(C327,"dd mmm")&amp;" "&amp;D327,
      'Valor Hora Real y Estimada'!$A$3:$Z$3,
      0
    ) + 1
  ),
  0
)</f>
        <v>12088</v>
      </c>
      <c r="O327" s="453">
        <f t="shared" si="12"/>
        <v>607128.8</v>
      </c>
      <c r="P327" s="113"/>
      <c r="Q327" s="106">
        <f>IF(ISBLANK(O327), "", VLOOKUP(C327&amp;" "&amp;D327, 'Info Tipo de Cambio y REM'!$A$24:$B$35, 2, FALSE))</f>
        <v>1180</v>
      </c>
      <c r="R327" s="107">
        <f t="shared" si="2"/>
        <v>514.5159322</v>
      </c>
    </row>
    <row r="328" hidden="1">
      <c r="A328" s="443" t="s">
        <v>205</v>
      </c>
      <c r="B328" s="43" t="str">
        <f>IF(A328="", "", IFERROR(VLOOKUP(A328, Clasificaciones!A:B, 2, FALSE), "DATO NO CARGADO"))
</f>
        <v>Equipo</v>
      </c>
      <c r="C328" s="51" t="s">
        <v>149</v>
      </c>
      <c r="D328" s="43">
        <v>2025.0</v>
      </c>
      <c r="E328" s="43" t="s">
        <v>1130</v>
      </c>
      <c r="F328" s="202"/>
      <c r="G328" s="202" t="s">
        <v>1172</v>
      </c>
      <c r="H328" s="43" t="s">
        <v>208</v>
      </c>
      <c r="I328" s="43" t="s">
        <v>1136</v>
      </c>
      <c r="J328" s="43" t="s">
        <v>208</v>
      </c>
      <c r="K328" s="443"/>
      <c r="L328" s="451">
        <v>5.17</v>
      </c>
      <c r="M328" s="443">
        <v>5.17</v>
      </c>
      <c r="N328" s="452">
        <f t="array" ref="N328">IFERROR(
  INDEX(
    'Valor Hora Real y Estimada'!$A$4:$Z$78,
    MATCH(TRIM(CLEAN(A328)), 'Valor Hora Real y Estimada'!$A$4:$A$78, 0),
    MATCH(
      TEXT(C328,"dd mmm")&amp;" "&amp;D328,
      'Valor Hora Real y Estimada'!$A$3:$Z$3,
      0
    ) + 1
  ),
  0
)</f>
        <v>10000</v>
      </c>
      <c r="O328" s="453">
        <f t="shared" si="12"/>
        <v>51700</v>
      </c>
      <c r="P328" s="113"/>
      <c r="Q328" s="106">
        <f>IF(ISBLANK(O328), "", VLOOKUP(C328&amp;" "&amp;D328, 'Info Tipo de Cambio y REM'!$A$24:$B$35, 2, FALSE))</f>
        <v>1180</v>
      </c>
      <c r="R328" s="107">
        <f t="shared" si="2"/>
        <v>43.81355932</v>
      </c>
    </row>
    <row r="329" hidden="1">
      <c r="A329" s="443" t="s">
        <v>212</v>
      </c>
      <c r="B329" s="43" t="str">
        <f>IF(A329="", "", IFERROR(VLOOKUP(A329, Clasificaciones!A:B, 2, FALSE), "DATO NO CARGADO"))
</f>
        <v>Equipo</v>
      </c>
      <c r="C329" s="51" t="s">
        <v>149</v>
      </c>
      <c r="D329" s="43">
        <v>2025.0</v>
      </c>
      <c r="E329" s="43" t="s">
        <v>1130</v>
      </c>
      <c r="F329" s="202"/>
      <c r="G329" s="202" t="s">
        <v>1172</v>
      </c>
      <c r="H329" s="43" t="s">
        <v>208</v>
      </c>
      <c r="I329" s="43" t="s">
        <v>1136</v>
      </c>
      <c r="J329" s="43" t="s">
        <v>208</v>
      </c>
      <c r="K329" s="443"/>
      <c r="L329" s="443">
        <v>2.92</v>
      </c>
      <c r="M329" s="443">
        <v>2.92</v>
      </c>
      <c r="N329" s="452">
        <f t="array" ref="N329">IFERROR(
  INDEX(
    'Valor Hora Real y Estimada'!$A$4:$Z$78,
    MATCH(TRIM(CLEAN(A329)), 'Valor Hora Real y Estimada'!$A$4:$A$78, 0),
    MATCH(
      TEXT(C329,"dd mmm")&amp;" "&amp;D329,
      'Valor Hora Real y Estimada'!$A$3:$Z$3,
      0
    ) + 1
  ),
  0
)</f>
        <v>8500</v>
      </c>
      <c r="O329" s="453">
        <f t="shared" si="12"/>
        <v>24820</v>
      </c>
      <c r="P329" s="113"/>
      <c r="Q329" s="106">
        <f>IF(ISBLANK(O329), "", VLOOKUP(C329&amp;" "&amp;D329, 'Info Tipo de Cambio y REM'!$A$24:$B$35, 2, FALSE))</f>
        <v>1180</v>
      </c>
      <c r="R329" s="107">
        <f t="shared" si="2"/>
        <v>21.03389831</v>
      </c>
    </row>
    <row r="330" hidden="1">
      <c r="A330" s="443" t="s">
        <v>207</v>
      </c>
      <c r="B330" s="43" t="str">
        <f>IF(A330="", "", IFERROR(VLOOKUP(A330, Clasificaciones!A:B, 2, FALSE), "DATO NO CARGADO"))
</f>
        <v>Equipo</v>
      </c>
      <c r="C330" s="51" t="s">
        <v>149</v>
      </c>
      <c r="D330" s="43">
        <v>2025.0</v>
      </c>
      <c r="E330" s="43" t="s">
        <v>1130</v>
      </c>
      <c r="F330" s="202"/>
      <c r="G330" s="202" t="s">
        <v>1172</v>
      </c>
      <c r="H330" s="43" t="s">
        <v>208</v>
      </c>
      <c r="I330" s="43" t="s">
        <v>1136</v>
      </c>
      <c r="J330" s="43" t="s">
        <v>208</v>
      </c>
      <c r="K330" s="443"/>
      <c r="L330" s="451">
        <v>5.17</v>
      </c>
      <c r="M330" s="443">
        <v>5.17</v>
      </c>
      <c r="N330" s="452">
        <f t="array" ref="N330">IFERROR(
  INDEX(
    'Valor Hora Real y Estimada'!$A$4:$Z$78,
    MATCH(TRIM(CLEAN(A330)), 'Valor Hora Real y Estimada'!$A$4:$A$78, 0),
    MATCH(
      TEXT(C330,"dd mmm")&amp;" "&amp;D330,
      'Valor Hora Real y Estimada'!$A$3:$Z$3,
      0
    ) + 1
  ),
  0
)</f>
        <v>11000</v>
      </c>
      <c r="O330" s="453">
        <f t="shared" si="12"/>
        <v>56870</v>
      </c>
      <c r="P330" s="113"/>
      <c r="Q330" s="106">
        <f>IF(ISBLANK(O330), "", VLOOKUP(C330&amp;" "&amp;D330, 'Info Tipo de Cambio y REM'!$A$24:$B$35, 2, FALSE))</f>
        <v>1180</v>
      </c>
      <c r="R330" s="107">
        <f t="shared" si="2"/>
        <v>48.19491525</v>
      </c>
    </row>
    <row r="331" hidden="1">
      <c r="A331" s="443" t="s">
        <v>87</v>
      </c>
      <c r="B331" s="43" t="str">
        <f>IF(A331="", "", IFERROR(VLOOKUP(A331, Clasificaciones!A:B, 2, FALSE), "DATO NO CARGADO"))
</f>
        <v>Equipo</v>
      </c>
      <c r="C331" s="51" t="s">
        <v>149</v>
      </c>
      <c r="D331" s="43">
        <v>2025.0</v>
      </c>
      <c r="E331" s="43" t="s">
        <v>1130</v>
      </c>
      <c r="F331" s="202"/>
      <c r="G331" s="202" t="s">
        <v>1172</v>
      </c>
      <c r="H331" s="43" t="s">
        <v>208</v>
      </c>
      <c r="I331" s="43" t="s">
        <v>1136</v>
      </c>
      <c r="J331" s="43" t="s">
        <v>208</v>
      </c>
      <c r="K331" s="443"/>
      <c r="L331" s="451">
        <f>31.35+2.5</f>
        <v>33.85</v>
      </c>
      <c r="M331" s="443">
        <f>30.5-0.35</f>
        <v>30.15</v>
      </c>
      <c r="N331" s="452">
        <f t="array" ref="N331">IFERROR(
  INDEX(
    'Valor Hora Real y Estimada'!$A$4:$Z$78,
    MATCH(TRIM(CLEAN(A331)), 'Valor Hora Real y Estimada'!$A$4:$A$78, 0),
    MATCH(
      TEXT(C331,"dd mmm")&amp;" "&amp;D331,
      'Valor Hora Real y Estimada'!$A$3:$Z$3,
      0
    ) + 1
  ),
  0
)</f>
        <v>11000</v>
      </c>
      <c r="O331" s="453">
        <f t="shared" si="12"/>
        <v>331650</v>
      </c>
      <c r="P331" s="113"/>
      <c r="Q331" s="106">
        <f>IF(ISBLANK(O331), "", VLOOKUP(C331&amp;" "&amp;D331, 'Info Tipo de Cambio y REM'!$A$24:$B$35, 2, FALSE))</f>
        <v>1180</v>
      </c>
      <c r="R331" s="107">
        <f t="shared" si="2"/>
        <v>281.059322</v>
      </c>
    </row>
    <row r="332" hidden="1">
      <c r="A332" s="443" t="s">
        <v>230</v>
      </c>
      <c r="B332" s="43" t="str">
        <f>IF(A332="", "", IFERROR(VLOOKUP(A332, Clasificaciones!A:B, 2, FALSE), "DATO NO CARGADO"))
</f>
        <v>Equipo</v>
      </c>
      <c r="C332" s="51" t="s">
        <v>149</v>
      </c>
      <c r="D332" s="43">
        <v>2025.0</v>
      </c>
      <c r="E332" s="43" t="s">
        <v>1130</v>
      </c>
      <c r="F332" s="202"/>
      <c r="G332" s="202" t="s">
        <v>1172</v>
      </c>
      <c r="H332" s="43" t="s">
        <v>208</v>
      </c>
      <c r="I332" s="43" t="s">
        <v>1136</v>
      </c>
      <c r="J332" s="43" t="s">
        <v>208</v>
      </c>
      <c r="K332" s="443"/>
      <c r="L332" s="451">
        <v>79.83</v>
      </c>
      <c r="M332" s="443">
        <v>79.5</v>
      </c>
      <c r="N332" s="452">
        <f t="array" ref="N332">IFERROR(
  INDEX(
    'Valor Hora Real y Estimada'!$A$4:$Z$78,
    MATCH(TRIM(CLEAN(A332)), 'Valor Hora Real y Estimada'!$A$4:$A$78, 0),
    MATCH(
      TEXT(C332,"dd mmm")&amp;" "&amp;D332,
      'Valor Hora Real y Estimada'!$A$3:$Z$3,
      0
    ) + 1
  ),
  0
)</f>
        <v>10625</v>
      </c>
      <c r="O332" s="453">
        <f t="shared" si="12"/>
        <v>844687.5</v>
      </c>
      <c r="P332" s="113"/>
      <c r="Q332" s="106">
        <f>IF(ISBLANK(O332), "", VLOOKUP(C332&amp;" "&amp;D332, 'Info Tipo de Cambio y REM'!$A$24:$B$35, 2, FALSE))</f>
        <v>1180</v>
      </c>
      <c r="R332" s="107">
        <f t="shared" si="2"/>
        <v>715.8368644</v>
      </c>
    </row>
    <row r="333" hidden="1">
      <c r="A333" s="443" t="s">
        <v>229</v>
      </c>
      <c r="B333" s="43" t="str">
        <f>IF(A333="", "", IFERROR(VLOOKUP(A333, Clasificaciones!A:B, 2, FALSE), "DATO NO CARGADO"))
</f>
        <v>Equipo</v>
      </c>
      <c r="C333" s="51" t="s">
        <v>149</v>
      </c>
      <c r="D333" s="43">
        <v>2025.0</v>
      </c>
      <c r="E333" s="43" t="s">
        <v>1130</v>
      </c>
      <c r="F333" s="202"/>
      <c r="G333" s="202" t="s">
        <v>1172</v>
      </c>
      <c r="H333" s="43" t="s">
        <v>208</v>
      </c>
      <c r="I333" s="43" t="s">
        <v>1136</v>
      </c>
      <c r="J333" s="43" t="s">
        <v>208</v>
      </c>
      <c r="K333" s="443"/>
      <c r="L333" s="451">
        <v>59.42</v>
      </c>
      <c r="M333" s="443">
        <v>59.0</v>
      </c>
      <c r="N333" s="452">
        <f t="array" ref="N333">IFERROR(
  INDEX(
    'Valor Hora Real y Estimada'!$A$4:$Z$78,
    MATCH(TRIM(CLEAN(A333)), 'Valor Hora Real y Estimada'!$A$4:$A$78, 0),
    MATCH(
      TEXT(C333,"dd mmm")&amp;" "&amp;D333,
      'Valor Hora Real y Estimada'!$A$3:$Z$3,
      0
    ) + 1
  ),
  0
)</f>
        <v>7500</v>
      </c>
      <c r="O333" s="453">
        <f t="shared" si="12"/>
        <v>442500</v>
      </c>
      <c r="P333" s="113"/>
      <c r="Q333" s="106">
        <f>IF(ISBLANK(O333), "", VLOOKUP(C333&amp;" "&amp;D333, 'Info Tipo de Cambio y REM'!$A$24:$B$35, 2, FALSE))</f>
        <v>1180</v>
      </c>
      <c r="R333" s="107">
        <f t="shared" si="2"/>
        <v>375</v>
      </c>
    </row>
    <row r="334" hidden="1">
      <c r="A334" s="443" t="s">
        <v>210</v>
      </c>
      <c r="B334" s="43" t="str">
        <f>IF(A334="", "", IFERROR(VLOOKUP(A334, Clasificaciones!A:B, 2, FALSE), "DATO NO CARGADO"))
</f>
        <v>Equipo</v>
      </c>
      <c r="C334" s="51" t="s">
        <v>149</v>
      </c>
      <c r="D334" s="43">
        <v>2025.0</v>
      </c>
      <c r="E334" s="43" t="s">
        <v>1130</v>
      </c>
      <c r="F334" s="202"/>
      <c r="G334" s="202" t="s">
        <v>1172</v>
      </c>
      <c r="H334" s="43" t="s">
        <v>208</v>
      </c>
      <c r="I334" s="43" t="s">
        <v>1136</v>
      </c>
      <c r="J334" s="43" t="s">
        <v>208</v>
      </c>
      <c r="K334" s="443"/>
      <c r="L334" s="451">
        <v>6.92</v>
      </c>
      <c r="M334" s="443">
        <v>7.0</v>
      </c>
      <c r="N334" s="452">
        <f t="array" ref="N334">IFERROR(
  INDEX(
    'Valor Hora Real y Estimada'!$A$4:$Z$78,
    MATCH(TRIM(CLEAN(A334)), 'Valor Hora Real y Estimada'!$A$4:$A$78, 0),
    MATCH(
      TEXT(C334,"dd mmm")&amp;" "&amp;D334,
      'Valor Hora Real y Estimada'!$A$3:$Z$3,
      0
    ) + 1
  ),
  0
)</f>
        <v>16760</v>
      </c>
      <c r="O334" s="453">
        <f t="shared" si="12"/>
        <v>117320</v>
      </c>
      <c r="P334" s="113"/>
      <c r="Q334" s="106">
        <f>IF(ISBLANK(O334), "", VLOOKUP(C334&amp;" "&amp;D334, 'Info Tipo de Cambio y REM'!$A$24:$B$35, 2, FALSE))</f>
        <v>1180</v>
      </c>
      <c r="R334" s="107">
        <f t="shared" si="2"/>
        <v>99.42372881</v>
      </c>
    </row>
    <row r="335" hidden="1">
      <c r="A335" s="443" t="s">
        <v>120</v>
      </c>
      <c r="B335" s="43" t="str">
        <f>IF(A335="", "", IFERROR(VLOOKUP(A335, Clasificaciones!A:B, 2, FALSE), "DATO NO CARGADO"))
</f>
        <v>Equipo</v>
      </c>
      <c r="C335" s="51" t="s">
        <v>149</v>
      </c>
      <c r="D335" s="43">
        <v>2025.0</v>
      </c>
      <c r="E335" s="43" t="s">
        <v>1124</v>
      </c>
      <c r="F335" s="43"/>
      <c r="G335" s="43" t="s">
        <v>1173</v>
      </c>
      <c r="H335" s="43" t="s">
        <v>1126</v>
      </c>
      <c r="I335" s="43" t="s">
        <v>1127</v>
      </c>
      <c r="J335" s="43" t="s">
        <v>119</v>
      </c>
      <c r="K335" s="443">
        <v>1.0</v>
      </c>
      <c r="L335" s="451">
        <v>2.25</v>
      </c>
      <c r="M335" s="443">
        <v>2.3</v>
      </c>
      <c r="N335" s="452">
        <f t="array" ref="N335">IFERROR(
  INDEX(
    'Valor Hora Real y Estimada'!$A$4:$Z$78,
    MATCH(TRIM(CLEAN(A335)), 'Valor Hora Real y Estimada'!$A$4:$A$78, 0),
    MATCH(
      TEXT(C335,"dd mmm")&amp;" "&amp;D335,
      'Valor Hora Real y Estimada'!$A$3:$Z$3,
      0
    ) + 1
  ),
  0
)</f>
        <v>24166.66667</v>
      </c>
      <c r="O335" s="453">
        <f t="shared" si="12"/>
        <v>55583.33333</v>
      </c>
      <c r="P335" s="113"/>
      <c r="Q335" s="106">
        <f>IF(ISBLANK(O335), "", VLOOKUP(C335&amp;" "&amp;D335, 'Info Tipo de Cambio y REM'!$A$24:$B$35, 2, FALSE))</f>
        <v>1180</v>
      </c>
      <c r="R335" s="107">
        <f t="shared" si="2"/>
        <v>47.10451977</v>
      </c>
    </row>
    <row r="336" hidden="1">
      <c r="A336" s="443" t="s">
        <v>228</v>
      </c>
      <c r="B336" s="43" t="str">
        <f>IF(A336="", "", IFERROR(VLOOKUP(A336, Clasificaciones!A:B, 2, FALSE), "DATO NO CARGADO"))
</f>
        <v>Equipo</v>
      </c>
      <c r="C336" s="51" t="s">
        <v>149</v>
      </c>
      <c r="D336" s="43">
        <v>2025.0</v>
      </c>
      <c r="E336" s="43" t="s">
        <v>1124</v>
      </c>
      <c r="F336" s="43"/>
      <c r="G336" s="43" t="s">
        <v>1173</v>
      </c>
      <c r="H336" s="43" t="s">
        <v>1126</v>
      </c>
      <c r="I336" s="43" t="s">
        <v>1127</v>
      </c>
      <c r="J336" s="43" t="s">
        <v>119</v>
      </c>
      <c r="K336" s="443">
        <v>27.0</v>
      </c>
      <c r="L336" s="451">
        <v>22.52</v>
      </c>
      <c r="M336" s="443">
        <v>22.5</v>
      </c>
      <c r="N336" s="452">
        <f t="array" ref="N336">IFERROR(
  INDEX(
    'Valor Hora Real y Estimada'!$A$4:$Z$78,
    MATCH(TRIM(CLEAN(A336)), 'Valor Hora Real y Estimada'!$A$4:$A$78, 0),
    MATCH(
      TEXT(C336,"dd mmm")&amp;" "&amp;D336,
      'Valor Hora Real y Estimada'!$A$3:$Z$3,
      0
    ) + 1
  ),
  0
)</f>
        <v>19602</v>
      </c>
      <c r="O336" s="453">
        <f t="shared" si="12"/>
        <v>441045</v>
      </c>
      <c r="P336" s="113"/>
      <c r="Q336" s="106">
        <f>IF(ISBLANK(O336), "", VLOOKUP(C336&amp;" "&amp;D336, 'Info Tipo de Cambio y REM'!$A$24:$B$35, 2, FALSE))</f>
        <v>1180</v>
      </c>
      <c r="R336" s="107">
        <f t="shared" si="2"/>
        <v>373.7669492</v>
      </c>
    </row>
    <row r="337" hidden="1">
      <c r="A337" s="443" t="s">
        <v>217</v>
      </c>
      <c r="B337" s="43" t="str">
        <f>IF(A337="", "", IFERROR(VLOOKUP(A337, Clasificaciones!A:B, 2, FALSE), "DATO NO CARGADO"))
</f>
        <v>Equipo</v>
      </c>
      <c r="C337" s="51" t="s">
        <v>149</v>
      </c>
      <c r="D337" s="43">
        <v>2025.0</v>
      </c>
      <c r="E337" s="43" t="s">
        <v>1124</v>
      </c>
      <c r="F337" s="43"/>
      <c r="G337" s="43" t="s">
        <v>1173</v>
      </c>
      <c r="H337" s="43" t="s">
        <v>1126</v>
      </c>
      <c r="I337" s="43" t="s">
        <v>1127</v>
      </c>
      <c r="J337" s="43" t="s">
        <v>119</v>
      </c>
      <c r="K337" s="443">
        <v>27.0</v>
      </c>
      <c r="L337" s="451">
        <v>31.25</v>
      </c>
      <c r="M337" s="443">
        <f>30.5+0.2717423617</f>
        <v>30.77174236</v>
      </c>
      <c r="N337" s="452">
        <f t="array" ref="N337">IFERROR(
  INDEX(
    'Valor Hora Real y Estimada'!$A$4:$Z$78,
    MATCH(TRIM(CLEAN(A337)), 'Valor Hora Real y Estimada'!$A$4:$A$78, 0),
    MATCH(
      TEXT(C337,"dd mmm")&amp;" "&amp;D337,
      'Valor Hora Real y Estimada'!$A$3:$Z$3,
      0
    ) + 1
  ),
  0
)</f>
        <v>9688</v>
      </c>
      <c r="O337" s="453">
        <f t="shared" si="12"/>
        <v>298116.64</v>
      </c>
      <c r="P337" s="113"/>
      <c r="Q337" s="106">
        <f>IF(ISBLANK(O337), "", VLOOKUP(C337&amp;" "&amp;D337, 'Info Tipo de Cambio y REM'!$A$24:$B$35, 2, FALSE))</f>
        <v>1180</v>
      </c>
      <c r="R337" s="107">
        <f t="shared" si="2"/>
        <v>252.6412203</v>
      </c>
    </row>
    <row r="338" hidden="1">
      <c r="A338" s="443" t="s">
        <v>197</v>
      </c>
      <c r="B338" s="43" t="str">
        <f>IF(A338="", "", IFERROR(VLOOKUP(A338, Clasificaciones!A:B, 2, FALSE), "DATO NO CARGADO"))
</f>
        <v>Equipo</v>
      </c>
      <c r="C338" s="51" t="s">
        <v>149</v>
      </c>
      <c r="D338" s="43">
        <v>2025.0</v>
      </c>
      <c r="E338" s="43" t="s">
        <v>1124</v>
      </c>
      <c r="F338" s="43"/>
      <c r="G338" s="43" t="s">
        <v>1173</v>
      </c>
      <c r="H338" s="43" t="s">
        <v>1126</v>
      </c>
      <c r="I338" s="43" t="s">
        <v>1127</v>
      </c>
      <c r="J338" s="43" t="s">
        <v>119</v>
      </c>
      <c r="K338" s="443">
        <v>0.0</v>
      </c>
      <c r="L338" s="451">
        <v>1.5</v>
      </c>
      <c r="M338" s="443">
        <v>1.5</v>
      </c>
      <c r="N338" s="452">
        <f t="array" ref="N338">IFERROR(
  INDEX(
    'Valor Hora Real y Estimada'!$A$4:$Z$78,
    MATCH(TRIM(CLEAN(A338)), 'Valor Hora Real y Estimada'!$A$4:$A$78, 0),
    MATCH(
      TEXT(C338,"dd mmm")&amp;" "&amp;D338,
      'Valor Hora Real y Estimada'!$A$3:$Z$3,
      0
    ) + 1
  ),
  0
)</f>
        <v>12743</v>
      </c>
      <c r="O338" s="453">
        <f t="shared" si="12"/>
        <v>19114.5</v>
      </c>
      <c r="P338" s="113"/>
      <c r="Q338" s="106">
        <f>IF(ISBLANK(O338), "", VLOOKUP(C338&amp;" "&amp;D338, 'Info Tipo de Cambio y REM'!$A$24:$B$35, 2, FALSE))</f>
        <v>1180</v>
      </c>
      <c r="R338" s="107">
        <f t="shared" si="2"/>
        <v>16.19872881</v>
      </c>
    </row>
    <row r="339" hidden="1">
      <c r="A339" s="443" t="s">
        <v>120</v>
      </c>
      <c r="B339" s="43" t="str">
        <f>IF(A339="", "", IFERROR(VLOOKUP(A339, Clasificaciones!A:B, 2, FALSE), "DATO NO CARGADO"))
</f>
        <v>Equipo</v>
      </c>
      <c r="C339" s="51" t="s">
        <v>149</v>
      </c>
      <c r="D339" s="43">
        <v>2025.0</v>
      </c>
      <c r="E339" s="43" t="s">
        <v>1124</v>
      </c>
      <c r="F339" s="43"/>
      <c r="G339" s="43" t="s">
        <v>1174</v>
      </c>
      <c r="H339" s="43" t="s">
        <v>1133</v>
      </c>
      <c r="I339" s="43" t="s">
        <v>1175</v>
      </c>
      <c r="J339" s="43" t="s">
        <v>209</v>
      </c>
      <c r="K339" s="443">
        <v>5.0</v>
      </c>
      <c r="L339" s="451">
        <v>1.5</v>
      </c>
      <c r="M339" s="443">
        <v>1.5</v>
      </c>
      <c r="N339" s="452">
        <f t="array" ref="N339">IFERROR(
  INDEX(
    'Valor Hora Real y Estimada'!$A$4:$Z$78,
    MATCH(TRIM(CLEAN(A339)), 'Valor Hora Real y Estimada'!$A$4:$A$78, 0),
    MATCH(
      TEXT(C339,"dd mmm")&amp;" "&amp;D339,
      'Valor Hora Real y Estimada'!$A$3:$Z$3,
      0
    ) + 1
  ),
  0
)</f>
        <v>24166.66667</v>
      </c>
      <c r="O339" s="453">
        <f t="shared" si="12"/>
        <v>36250</v>
      </c>
      <c r="P339" s="113"/>
      <c r="Q339" s="106">
        <f>IF(ISBLANK(O339), "", VLOOKUP(C339&amp;" "&amp;D339, 'Info Tipo de Cambio y REM'!$A$24:$B$35, 2, FALSE))</f>
        <v>1180</v>
      </c>
      <c r="R339" s="107">
        <f t="shared" si="2"/>
        <v>30.72033898</v>
      </c>
    </row>
    <row r="340" hidden="1">
      <c r="A340" s="443" t="s">
        <v>197</v>
      </c>
      <c r="B340" s="43" t="str">
        <f>IF(A340="", "", IFERROR(VLOOKUP(A340, Clasificaciones!A:B, 2, FALSE), "DATO NO CARGADO"))
</f>
        <v>Equipo</v>
      </c>
      <c r="C340" s="51" t="s">
        <v>149</v>
      </c>
      <c r="D340" s="43">
        <v>2025.0</v>
      </c>
      <c r="E340" s="43" t="s">
        <v>1124</v>
      </c>
      <c r="F340" s="43"/>
      <c r="G340" s="43" t="s">
        <v>1174</v>
      </c>
      <c r="H340" s="43" t="s">
        <v>1133</v>
      </c>
      <c r="I340" s="43" t="s">
        <v>1175</v>
      </c>
      <c r="J340" s="43" t="s">
        <v>209</v>
      </c>
      <c r="K340" s="443">
        <v>10.0</v>
      </c>
      <c r="L340" s="451">
        <v>0.5</v>
      </c>
      <c r="M340" s="443">
        <v>0.5</v>
      </c>
      <c r="N340" s="452">
        <f t="array" ref="N340">IFERROR(
  INDEX(
    'Valor Hora Real y Estimada'!$A$4:$Z$78,
    MATCH(TRIM(CLEAN(A340)), 'Valor Hora Real y Estimada'!$A$4:$A$78, 0),
    MATCH(
      TEXT(C340,"dd mmm")&amp;" "&amp;D340,
      'Valor Hora Real y Estimada'!$A$3:$Z$3,
      0
    ) + 1
  ),
  0
)</f>
        <v>12743</v>
      </c>
      <c r="O340" s="453">
        <f t="shared" si="12"/>
        <v>6371.5</v>
      </c>
      <c r="P340" s="113"/>
      <c r="Q340" s="106">
        <f>IF(ISBLANK(O340), "", VLOOKUP(C340&amp;" "&amp;D340, 'Info Tipo de Cambio y REM'!$A$24:$B$35, 2, FALSE))</f>
        <v>1180</v>
      </c>
      <c r="R340" s="107">
        <f t="shared" si="2"/>
        <v>5.399576271</v>
      </c>
    </row>
    <row r="341" hidden="1">
      <c r="A341" s="443" t="s">
        <v>127</v>
      </c>
      <c r="B341" s="43" t="str">
        <f>IF(A341="", "", IFERROR(VLOOKUP(A341, Clasificaciones!A:B, 2, FALSE), "DATO NO CARGADO"))
</f>
        <v>Board</v>
      </c>
      <c r="C341" s="51" t="s">
        <v>149</v>
      </c>
      <c r="D341" s="156">
        <v>2025.0</v>
      </c>
      <c r="E341" s="43" t="s">
        <v>1130</v>
      </c>
      <c r="F341" s="202"/>
      <c r="G341" s="202" t="s">
        <v>1172</v>
      </c>
      <c r="H341" s="43" t="s">
        <v>208</v>
      </c>
      <c r="I341" s="43" t="s">
        <v>1136</v>
      </c>
      <c r="J341" s="43" t="s">
        <v>208</v>
      </c>
      <c r="K341" s="443"/>
      <c r="L341" s="455"/>
      <c r="M341" s="443"/>
      <c r="N341" s="452">
        <f t="array" ref="N341">IFERROR(
  INDEX(
    'Valor Hora Real y Estimada'!$A$4:$Z$78,
    MATCH(TRIM(CLEAN(A341)), 'Valor Hora Real y Estimada'!$A$4:$A$78, 0),
    MATCH(
      TEXT(C341,"dd mmm")&amp;" "&amp;D341,
      'Valor Hora Real y Estimada'!$A$3:$Z$3,
      0
    ) + 1
  ),
  0
)</f>
        <v>24911</v>
      </c>
      <c r="O341" s="89">
        <v>3931000.0</v>
      </c>
      <c r="P341" s="113"/>
      <c r="Q341" s="106">
        <f>IF(ISBLANK(O341), "", VLOOKUP(C341&amp;" "&amp;D341, 'Info Tipo de Cambio y REM'!$A$24:$B$35, 2, FALSE))</f>
        <v>1180</v>
      </c>
      <c r="R341" s="107">
        <f t="shared" si="2"/>
        <v>3331.355932</v>
      </c>
    </row>
    <row r="342" hidden="1">
      <c r="A342" s="443" t="s">
        <v>133</v>
      </c>
      <c r="B342" s="43" t="str">
        <f>IF(A342="", "", IFERROR(VLOOKUP(A342, Clasificaciones!A:B, 2, FALSE), "DATO NO CARGADO"))
</f>
        <v>Board</v>
      </c>
      <c r="C342" s="51" t="s">
        <v>149</v>
      </c>
      <c r="D342" s="156">
        <v>2025.0</v>
      </c>
      <c r="E342" s="43" t="s">
        <v>1130</v>
      </c>
      <c r="F342" s="202"/>
      <c r="G342" s="202" t="s">
        <v>1172</v>
      </c>
      <c r="H342" s="43" t="s">
        <v>208</v>
      </c>
      <c r="I342" s="43" t="s">
        <v>1136</v>
      </c>
      <c r="J342" s="43" t="s">
        <v>208</v>
      </c>
      <c r="K342" s="443"/>
      <c r="L342" s="455"/>
      <c r="M342" s="443"/>
      <c r="N342" s="452">
        <f t="array" ref="N342">IFERROR(
  INDEX(
    'Valor Hora Real y Estimada'!$A$4:$Z$78,
    MATCH(TRIM(CLEAN(A342)), 'Valor Hora Real y Estimada'!$A$4:$A$78, 0),
    MATCH(
      TEXT(C342,"dd mmm")&amp;" "&amp;D342,
      'Valor Hora Real y Estimada'!$A$3:$Z$3,
      0
    ) + 1
  ),
  0
)</f>
        <v>30688</v>
      </c>
      <c r="O342" s="468">
        <v>4910000.0</v>
      </c>
      <c r="P342" s="113"/>
      <c r="Q342" s="106">
        <f>IF(ISBLANK(O342), "", VLOOKUP(C342&amp;" "&amp;D342, 'Info Tipo de Cambio y REM'!$A$24:$B$35, 2, FALSE))</f>
        <v>1180</v>
      </c>
      <c r="R342" s="107">
        <f t="shared" si="2"/>
        <v>4161.016949</v>
      </c>
    </row>
    <row r="343" hidden="1">
      <c r="A343" s="443" t="s">
        <v>185</v>
      </c>
      <c r="B343" s="43" t="str">
        <f>IF(A343="", "", IFERROR(VLOOKUP(A343, Clasificaciones!A:B, 2, FALSE), "DATO NO CARGADO"))
</f>
        <v>Comisiones Bancarias</v>
      </c>
      <c r="C343" s="51" t="s">
        <v>149</v>
      </c>
      <c r="D343" s="156">
        <v>2025.0</v>
      </c>
      <c r="E343" s="43" t="s">
        <v>1130</v>
      </c>
      <c r="H343" s="102"/>
      <c r="J343" s="102"/>
      <c r="K343" s="450"/>
      <c r="L343" s="455"/>
      <c r="M343" s="450"/>
      <c r="N343" s="452">
        <f t="array" ref="N343">IFERROR(
  INDEX(
    'Valor Hora Real y Estimada'!$A$4:$Z$78,
    MATCH(TRIM(CLEAN(A343)), 'Valor Hora Real y Estimada'!$A$4:$A$78, 0),
    MATCH(
      TEXT(C343,"dd mmm")&amp;" "&amp;D343,
      'Valor Hora Real y Estimada'!$A$3:$Z$3,
      0
    ) + 1
  ),
  0
)</f>
        <v>0</v>
      </c>
      <c r="O343" s="89">
        <v>45600.0</v>
      </c>
      <c r="P343" s="113"/>
      <c r="Q343" s="106">
        <f>IF(ISBLANK(O343), "", VLOOKUP(C343&amp;" "&amp;D343, 'Info Tipo de Cambio y REM'!$A$24:$B$35, 2, FALSE))</f>
        <v>1180</v>
      </c>
      <c r="R343" s="107">
        <f t="shared" si="2"/>
        <v>38.6440678</v>
      </c>
    </row>
    <row r="344" hidden="1">
      <c r="A344" s="443" t="s">
        <v>223</v>
      </c>
      <c r="B344" s="43" t="str">
        <f>IF(A344="", "", IFERROR(VLOOKUP(A344, Clasificaciones!A:B, 2, FALSE), "DATO NO CARGADO"))
</f>
        <v>Otros Proveedores</v>
      </c>
      <c r="C344" s="51" t="s">
        <v>149</v>
      </c>
      <c r="D344" s="156">
        <v>2025.0</v>
      </c>
      <c r="E344" s="43" t="s">
        <v>1130</v>
      </c>
      <c r="H344" s="102"/>
      <c r="J344" s="102"/>
      <c r="K344" s="450"/>
      <c r="L344" s="455"/>
      <c r="M344" s="450"/>
      <c r="N344" s="452">
        <f t="array" ref="N344">IFERROR(
  INDEX(
    'Valor Hora Real y Estimada'!$A$4:$Z$78,
    MATCH(TRIM(CLEAN(A344)), 'Valor Hora Real y Estimada'!$A$4:$A$78, 0),
    MATCH(
      TEXT(C344,"dd mmm")&amp;" "&amp;D344,
      'Valor Hora Real y Estimada'!$A$3:$Z$3,
      0
    ) + 1
  ),
  0
)</f>
        <v>0</v>
      </c>
      <c r="O344" s="89">
        <f>133705/1.21</f>
        <v>110500</v>
      </c>
      <c r="P344" s="113"/>
      <c r="Q344" s="106">
        <f>IF(ISBLANK(O344), "", VLOOKUP(C344&amp;" "&amp;D344, 'Info Tipo de Cambio y REM'!$A$24:$B$35, 2, FALSE))</f>
        <v>1180</v>
      </c>
      <c r="R344" s="107">
        <f t="shared" si="2"/>
        <v>93.6440678</v>
      </c>
    </row>
    <row r="345" hidden="1">
      <c r="A345" s="443" t="s">
        <v>191</v>
      </c>
      <c r="B345" s="43" t="str">
        <f>IF(A345="", "", IFERROR(VLOOKUP(A345, Clasificaciones!A:B, 2, FALSE), "DATO NO CARGADO"))
</f>
        <v>Tarjeta</v>
      </c>
      <c r="C345" s="51" t="s">
        <v>149</v>
      </c>
      <c r="D345" s="156">
        <v>2025.0</v>
      </c>
      <c r="E345" s="43" t="s">
        <v>1130</v>
      </c>
      <c r="H345" s="102"/>
      <c r="J345" s="102"/>
      <c r="K345" s="450"/>
      <c r="L345" s="455"/>
      <c r="M345" s="450"/>
      <c r="N345" s="452">
        <f t="array" ref="N345">IFERROR(
  INDEX(
    'Valor Hora Real y Estimada'!$A$4:$Z$78,
    MATCH(TRIM(CLEAN(A345)), 'Valor Hora Real y Estimada'!$A$4:$A$78, 0),
    MATCH(
      TEXT(C345,"dd mmm")&amp;" "&amp;D345,
      'Valor Hora Real y Estimada'!$A$3:$Z$3,
      0
    ) + 1
  ),
  0
)</f>
        <v>0</v>
      </c>
      <c r="P345" s="112">
        <v>50.03</v>
      </c>
      <c r="Q345" s="106" t="str">
        <f>IF(ISBLANK(O345), "", VLOOKUP(C345&amp;" "&amp;D345, 'Info Tipo de Cambio y REM'!$A$24:$B$35, 2, FALSE))</f>
        <v/>
      </c>
      <c r="R345" s="107">
        <f t="shared" si="2"/>
        <v>50.03</v>
      </c>
    </row>
    <row r="346" hidden="1">
      <c r="A346" s="443" t="s">
        <v>191</v>
      </c>
      <c r="B346" s="43" t="str">
        <f>IF(A346="", "", IFERROR(VLOOKUP(A346, Clasificaciones!A:B, 2, FALSE), "DATO NO CARGADO"))
</f>
        <v>Tarjeta</v>
      </c>
      <c r="C346" s="51" t="s">
        <v>149</v>
      </c>
      <c r="D346" s="156">
        <v>2025.0</v>
      </c>
      <c r="E346" s="43" t="s">
        <v>1130</v>
      </c>
      <c r="H346" s="102"/>
      <c r="J346" s="102"/>
      <c r="K346" s="450"/>
      <c r="L346" s="455"/>
      <c r="M346" s="450"/>
      <c r="N346" s="452">
        <f t="array" ref="N346">IFERROR(
  INDEX(
    'Valor Hora Real y Estimada'!$A$4:$Z$78,
    MATCH(TRIM(CLEAN(A346)), 'Valor Hora Real y Estimada'!$A$4:$A$78, 0),
    MATCH(
      TEXT(C346,"dd mmm")&amp;" "&amp;D346,
      'Valor Hora Real y Estimada'!$A$3:$Z$3,
      0
    ) + 1
  ),
  0
)</f>
        <v>0</v>
      </c>
      <c r="P346" s="112">
        <v>3.08</v>
      </c>
      <c r="Q346" s="106" t="str">
        <f>IF(ISBLANK(O346), "", VLOOKUP(C346&amp;" "&amp;D346, 'Info Tipo de Cambio y REM'!$A$24:$B$35, 2, FALSE))</f>
        <v/>
      </c>
      <c r="R346" s="107">
        <f t="shared" si="2"/>
        <v>3.08</v>
      </c>
    </row>
    <row r="347" hidden="1">
      <c r="A347" s="443" t="s">
        <v>191</v>
      </c>
      <c r="B347" s="43" t="str">
        <f>IF(A347="", "", IFERROR(VLOOKUP(A347, Clasificaciones!A:B, 2, FALSE), "DATO NO CARGADO"))
</f>
        <v>Tarjeta</v>
      </c>
      <c r="C347" s="51" t="s">
        <v>149</v>
      </c>
      <c r="D347" s="156">
        <v>2025.0</v>
      </c>
      <c r="E347" s="43" t="s">
        <v>1130</v>
      </c>
      <c r="H347" s="102"/>
      <c r="J347" s="102"/>
      <c r="K347" s="450"/>
      <c r="L347" s="455"/>
      <c r="M347" s="450"/>
      <c r="N347" s="452">
        <f t="array" ref="N347">IFERROR(
  INDEX(
    'Valor Hora Real y Estimada'!$A$4:$Z$78,
    MATCH(TRIM(CLEAN(A347)), 'Valor Hora Real y Estimada'!$A$4:$A$78, 0),
    MATCH(
      TEXT(C347,"dd mmm")&amp;" "&amp;D347,
      'Valor Hora Real y Estimada'!$A$3:$Z$3,
      0
    ) + 1
  ),
  0
)</f>
        <v>0</v>
      </c>
      <c r="P347" s="471">
        <v>22.99</v>
      </c>
      <c r="Q347" s="106" t="str">
        <f>IF(ISBLANK(O347), "", VLOOKUP(C347&amp;" "&amp;D347, 'Info Tipo de Cambio y REM'!$A$24:$B$35, 2, FALSE))</f>
        <v/>
      </c>
      <c r="R347" s="107">
        <f t="shared" si="2"/>
        <v>22.99</v>
      </c>
    </row>
    <row r="348" hidden="1">
      <c r="A348" s="443" t="s">
        <v>191</v>
      </c>
      <c r="B348" s="43" t="str">
        <f>IF(A348="", "", IFERROR(VLOOKUP(A348, Clasificaciones!A:B, 2, FALSE), "DATO NO CARGADO"))
</f>
        <v>Tarjeta</v>
      </c>
      <c r="C348" s="51" t="s">
        <v>149</v>
      </c>
      <c r="D348" s="156">
        <v>2025.0</v>
      </c>
      <c r="E348" s="43" t="s">
        <v>1130</v>
      </c>
      <c r="H348" s="102"/>
      <c r="J348" s="102"/>
      <c r="K348" s="450"/>
      <c r="L348" s="455"/>
      <c r="M348" s="450"/>
      <c r="N348" s="452">
        <f t="array" ref="N348">IFERROR(
  INDEX(
    'Valor Hora Real y Estimada'!$A$4:$Z$78,
    MATCH(TRIM(CLEAN(A348)), 'Valor Hora Real y Estimada'!$A$4:$A$78, 0),
    MATCH(
      TEXT(C348,"dd mmm")&amp;" "&amp;D348,
      'Valor Hora Real y Estimada'!$A$3:$Z$3,
      0
    ) + 1
  ),
  0
)</f>
        <v>0</v>
      </c>
      <c r="P348" s="471">
        <v>46.41</v>
      </c>
      <c r="Q348" s="106" t="str">
        <f>IF(ISBLANK(O348), "", VLOOKUP(C348&amp;" "&amp;D348, 'Info Tipo de Cambio y REM'!$A$24:$B$35, 2, FALSE))</f>
        <v/>
      </c>
      <c r="R348" s="107">
        <f t="shared" si="2"/>
        <v>46.41</v>
      </c>
    </row>
    <row r="349" hidden="1">
      <c r="A349" s="443" t="s">
        <v>191</v>
      </c>
      <c r="B349" s="43" t="str">
        <f>IF(A349="", "", IFERROR(VLOOKUP(A349, Clasificaciones!A:B, 2, FALSE), "DATO NO CARGADO"))
</f>
        <v>Tarjeta</v>
      </c>
      <c r="C349" s="51" t="s">
        <v>149</v>
      </c>
      <c r="D349" s="156">
        <v>2025.0</v>
      </c>
      <c r="E349" s="43" t="s">
        <v>1130</v>
      </c>
      <c r="H349" s="102"/>
      <c r="J349" s="102"/>
      <c r="K349" s="450"/>
      <c r="L349" s="455"/>
      <c r="M349" s="450"/>
      <c r="N349" s="452">
        <f t="array" ref="N349">IFERROR(
  INDEX(
    'Valor Hora Real y Estimada'!$A$4:$Z$78,
    MATCH(TRIM(CLEAN(A349)), 'Valor Hora Real y Estimada'!$A$4:$A$78, 0),
    MATCH(
      TEXT(C349,"dd mmm")&amp;" "&amp;D349,
      'Valor Hora Real y Estimada'!$A$3:$Z$3,
      0
    ) + 1
  ),
  0
)</f>
        <v>0</v>
      </c>
      <c r="P349" s="471">
        <v>500.47</v>
      </c>
      <c r="Q349" s="106" t="str">
        <f>IF(ISBLANK(O349), "", VLOOKUP(C349&amp;" "&amp;D349, 'Info Tipo de Cambio y REM'!$A$24:$B$35, 2, FALSE))</f>
        <v/>
      </c>
      <c r="R349" s="107">
        <f t="shared" si="2"/>
        <v>500.47</v>
      </c>
    </row>
    <row r="350" hidden="1">
      <c r="A350" s="443" t="s">
        <v>191</v>
      </c>
      <c r="B350" s="43" t="str">
        <f>IF(A350="", "", IFERROR(VLOOKUP(A350, Clasificaciones!A:B, 2, FALSE), "DATO NO CARGADO"))
</f>
        <v>Tarjeta</v>
      </c>
      <c r="C350" s="51" t="s">
        <v>149</v>
      </c>
      <c r="D350" s="156">
        <v>2025.0</v>
      </c>
      <c r="E350" s="43" t="s">
        <v>1130</v>
      </c>
      <c r="H350" s="102"/>
      <c r="J350" s="102"/>
      <c r="K350" s="450"/>
      <c r="L350" s="455"/>
      <c r="M350" s="450"/>
      <c r="N350" s="452">
        <f t="array" ref="N350">IFERROR(
  INDEX(
    'Valor Hora Real y Estimada'!$A$4:$Z$78,
    MATCH(TRIM(CLEAN(A350)), 'Valor Hora Real y Estimada'!$A$4:$A$78, 0),
    MATCH(
      TEXT(C350,"dd mmm")&amp;" "&amp;D350,
      'Valor Hora Real y Estimada'!$A$3:$Z$3,
      0
    ) + 1
  ),
  0
)</f>
        <v>0</v>
      </c>
      <c r="P350" s="471">
        <v>20.0</v>
      </c>
      <c r="Q350" s="106" t="str">
        <f>IF(ISBLANK(O350), "", VLOOKUP(C350&amp;" "&amp;D350, 'Info Tipo de Cambio y REM'!$A$24:$B$35, 2, FALSE))</f>
        <v/>
      </c>
      <c r="R350" s="107">
        <f t="shared" si="2"/>
        <v>20</v>
      </c>
    </row>
    <row r="351" hidden="1">
      <c r="A351" s="443" t="s">
        <v>191</v>
      </c>
      <c r="B351" s="43" t="str">
        <f>IF(A351="", "", IFERROR(VLOOKUP(A351, Clasificaciones!A:B, 2, FALSE), "DATO NO CARGADO"))
</f>
        <v>Tarjeta</v>
      </c>
      <c r="C351" s="51" t="s">
        <v>149</v>
      </c>
      <c r="D351" s="156">
        <v>2025.0</v>
      </c>
      <c r="E351" s="43" t="s">
        <v>1130</v>
      </c>
      <c r="H351" s="102"/>
      <c r="J351" s="102"/>
      <c r="K351" s="450"/>
      <c r="L351" s="455"/>
      <c r="M351" s="450"/>
      <c r="N351" s="452">
        <f t="array" ref="N351">IFERROR(
  INDEX(
    'Valor Hora Real y Estimada'!$A$4:$Z$78,
    MATCH(TRIM(CLEAN(A351)), 'Valor Hora Real y Estimada'!$A$4:$A$78, 0),
    MATCH(
      TEXT(C351,"dd mmm")&amp;" "&amp;D351,
      'Valor Hora Real y Estimada'!$A$3:$Z$3,
      0
    ) + 1
  ),
  0
)</f>
        <v>0</v>
      </c>
      <c r="P351" s="471">
        <v>6.49</v>
      </c>
      <c r="Q351" s="106" t="str">
        <f>IF(ISBLANK(O351), "", VLOOKUP(C351&amp;" "&amp;D351, 'Info Tipo de Cambio y REM'!$A$24:$B$35, 2, FALSE))</f>
        <v/>
      </c>
      <c r="R351" s="107">
        <f t="shared" si="2"/>
        <v>6.49</v>
      </c>
    </row>
    <row r="352" hidden="1">
      <c r="A352" s="443" t="s">
        <v>191</v>
      </c>
      <c r="B352" s="43" t="str">
        <f>IF(A352="", "", IFERROR(VLOOKUP(A352, Clasificaciones!A:B, 2, FALSE), "DATO NO CARGADO"))
</f>
        <v>Tarjeta</v>
      </c>
      <c r="C352" s="51" t="s">
        <v>149</v>
      </c>
      <c r="D352" s="156">
        <v>2025.0</v>
      </c>
      <c r="E352" s="43" t="s">
        <v>1130</v>
      </c>
      <c r="H352" s="102"/>
      <c r="J352" s="102"/>
      <c r="K352" s="450"/>
      <c r="L352" s="455"/>
      <c r="M352" s="450"/>
      <c r="N352" s="452">
        <f t="array" ref="N352">IFERROR(
  INDEX(
    'Valor Hora Real y Estimada'!$A$4:$Z$78,
    MATCH(TRIM(CLEAN(A352)), 'Valor Hora Real y Estimada'!$A$4:$A$78, 0),
    MATCH(
      TEXT(C352,"dd mmm")&amp;" "&amp;D352,
      'Valor Hora Real y Estimada'!$A$3:$Z$3,
      0
    ) + 1
  ),
  0
)</f>
        <v>0</v>
      </c>
      <c r="P352" s="471">
        <v>29.0</v>
      </c>
      <c r="Q352" s="106" t="str">
        <f>IF(ISBLANK(O352), "", VLOOKUP(C352&amp;" "&amp;D352, 'Info Tipo de Cambio y REM'!$A$24:$B$35, 2, FALSE))</f>
        <v/>
      </c>
      <c r="R352" s="107">
        <f t="shared" si="2"/>
        <v>29</v>
      </c>
    </row>
    <row r="353" hidden="1">
      <c r="A353" s="443" t="s">
        <v>191</v>
      </c>
      <c r="B353" s="43" t="str">
        <f>IF(A353="", "", IFERROR(VLOOKUP(A353, Clasificaciones!A:B, 2, FALSE), "DATO NO CARGADO"))
</f>
        <v>Tarjeta</v>
      </c>
      <c r="C353" s="51" t="s">
        <v>149</v>
      </c>
      <c r="D353" s="156">
        <v>2025.0</v>
      </c>
      <c r="E353" s="43" t="s">
        <v>1130</v>
      </c>
      <c r="H353" s="102"/>
      <c r="J353" s="102"/>
      <c r="K353" s="450"/>
      <c r="L353" s="455"/>
      <c r="M353" s="450"/>
      <c r="N353" s="452">
        <f t="array" ref="N353">IFERROR(
  INDEX(
    'Valor Hora Real y Estimada'!$A$4:$Z$78,
    MATCH(TRIM(CLEAN(A353)), 'Valor Hora Real y Estimada'!$A$4:$A$78, 0),
    MATCH(
      TEXT(C353,"dd mmm")&amp;" "&amp;D353,
      'Valor Hora Real y Estimada'!$A$3:$Z$3,
      0
    ) + 1
  ),
  0
)</f>
        <v>0</v>
      </c>
      <c r="P353" s="471">
        <v>192.0</v>
      </c>
      <c r="Q353" s="106" t="str">
        <f>IF(ISBLANK(O353), "", VLOOKUP(C353&amp;" "&amp;D353, 'Info Tipo de Cambio y REM'!$A$24:$B$35, 2, FALSE))</f>
        <v/>
      </c>
      <c r="R353" s="107">
        <f t="shared" si="2"/>
        <v>192</v>
      </c>
    </row>
    <row r="354" hidden="1">
      <c r="A354" s="443" t="s">
        <v>191</v>
      </c>
      <c r="B354" s="43" t="str">
        <f>IF(A354="", "", IFERROR(VLOOKUP(A354, Clasificaciones!A:B, 2, FALSE), "DATO NO CARGADO"))
</f>
        <v>Tarjeta</v>
      </c>
      <c r="C354" s="51" t="s">
        <v>149</v>
      </c>
      <c r="D354" s="156">
        <v>2025.0</v>
      </c>
      <c r="E354" s="43" t="s">
        <v>1130</v>
      </c>
      <c r="H354" s="102"/>
      <c r="J354" s="102"/>
      <c r="K354" s="450"/>
      <c r="L354" s="455"/>
      <c r="M354" s="450"/>
      <c r="N354" s="452">
        <f t="array" ref="N354">IFERROR(
  INDEX(
    'Valor Hora Real y Estimada'!$A$4:$Z$78,
    MATCH(TRIM(CLEAN(A354)), 'Valor Hora Real y Estimada'!$A$4:$A$78, 0),
    MATCH(
      TEXT(C354,"dd mmm")&amp;" "&amp;D354,
      'Valor Hora Real y Estimada'!$A$3:$Z$3,
      0
    ) + 1
  ),
  0
)</f>
        <v>0</v>
      </c>
      <c r="P354" s="471">
        <v>20.0</v>
      </c>
      <c r="Q354" s="106" t="str">
        <f>IF(ISBLANK(O354), "", VLOOKUP(C354&amp;" "&amp;D354, 'Info Tipo de Cambio y REM'!$A$24:$B$35, 2, FALSE))</f>
        <v/>
      </c>
      <c r="R354" s="107">
        <f t="shared" si="2"/>
        <v>20</v>
      </c>
    </row>
    <row r="355" hidden="1">
      <c r="A355" s="443" t="s">
        <v>191</v>
      </c>
      <c r="B355" s="43" t="str">
        <f>IF(A355="", "", IFERROR(VLOOKUP(A355, Clasificaciones!A:B, 2, FALSE), "DATO NO CARGADO"))
</f>
        <v>Tarjeta</v>
      </c>
      <c r="C355" s="51" t="s">
        <v>149</v>
      </c>
      <c r="D355" s="156">
        <v>2025.0</v>
      </c>
      <c r="E355" s="43" t="s">
        <v>1130</v>
      </c>
      <c r="H355" s="102"/>
      <c r="J355" s="102"/>
      <c r="K355" s="450"/>
      <c r="L355" s="455"/>
      <c r="M355" s="450"/>
      <c r="N355" s="452">
        <f t="array" ref="N355">IFERROR(
  INDEX(
    'Valor Hora Real y Estimada'!$A$4:$Z$78,
    MATCH(TRIM(CLEAN(A355)), 'Valor Hora Real y Estimada'!$A$4:$A$78, 0),
    MATCH(
      TEXT(C355,"dd mmm")&amp;" "&amp;D355,
      'Valor Hora Real y Estimada'!$A$3:$Z$3,
      0
    ) + 1
  ),
  0
)</f>
        <v>0</v>
      </c>
      <c r="P355" s="471">
        <v>8.0</v>
      </c>
      <c r="Q355" s="106" t="str">
        <f>IF(ISBLANK(O355), "", VLOOKUP(C355&amp;" "&amp;D355, 'Info Tipo de Cambio y REM'!$A$24:$B$35, 2, FALSE))</f>
        <v/>
      </c>
      <c r="R355" s="107">
        <f t="shared" si="2"/>
        <v>8</v>
      </c>
    </row>
    <row r="356" hidden="1">
      <c r="A356" s="443" t="s">
        <v>191</v>
      </c>
      <c r="B356" s="43" t="str">
        <f>IF(A356="", "", IFERROR(VLOOKUP(A356, Clasificaciones!A:B, 2, FALSE), "DATO NO CARGADO"))
</f>
        <v>Tarjeta</v>
      </c>
      <c r="C356" s="51" t="s">
        <v>149</v>
      </c>
      <c r="D356" s="156">
        <v>2025.0</v>
      </c>
      <c r="E356" s="43" t="s">
        <v>1130</v>
      </c>
      <c r="H356" s="102"/>
      <c r="J356" s="102"/>
      <c r="K356" s="450"/>
      <c r="L356" s="455"/>
      <c r="M356" s="450"/>
      <c r="N356" s="452">
        <f t="array" ref="N356">IFERROR(
  INDEX(
    'Valor Hora Real y Estimada'!$A$4:$Z$78,
    MATCH(TRIM(CLEAN(A356)), 'Valor Hora Real y Estimada'!$A$4:$A$78, 0),
    MATCH(
      TEXT(C356,"dd mmm")&amp;" "&amp;D356,
      'Valor Hora Real y Estimada'!$A$3:$Z$3,
      0
    ) + 1
  ),
  0
)</f>
        <v>0</v>
      </c>
      <c r="P356" s="471">
        <v>25.3</v>
      </c>
      <c r="Q356" s="106" t="str">
        <f>IF(ISBLANK(O356), "", VLOOKUP(C356&amp;" "&amp;D356, 'Info Tipo de Cambio y REM'!$A$24:$B$35, 2, FALSE))</f>
        <v/>
      </c>
      <c r="R356" s="107">
        <f t="shared" si="2"/>
        <v>25.3</v>
      </c>
    </row>
    <row r="357" hidden="1">
      <c r="A357" s="443" t="s">
        <v>185</v>
      </c>
      <c r="B357" s="43" t="str">
        <f>IF(A357="", "", IFERROR(VLOOKUP(A357, Clasificaciones!A:B, 2, FALSE), "DATO NO CARGADO"))
</f>
        <v>Comisiones Bancarias</v>
      </c>
      <c r="C357" s="51" t="s">
        <v>149</v>
      </c>
      <c r="D357" s="156">
        <v>2025.0</v>
      </c>
      <c r="E357" s="43" t="s">
        <v>1130</v>
      </c>
      <c r="H357" s="102"/>
      <c r="J357" s="102"/>
      <c r="K357" s="450"/>
      <c r="L357" s="455"/>
      <c r="M357" s="450"/>
      <c r="N357" s="452">
        <f t="array" ref="N357">IFERROR(
  INDEX(
    'Valor Hora Real y Estimada'!$A$4:$Z$78,
    MATCH(TRIM(CLEAN(A357)), 'Valor Hora Real y Estimada'!$A$4:$A$78, 0),
    MATCH(
      TEXT(C357,"dd mmm")&amp;" "&amp;D357,
      'Valor Hora Real y Estimada'!$A$3:$Z$3,
      0
    ) + 1
  ),
  0
)</f>
        <v>0</v>
      </c>
      <c r="P357" s="471">
        <v>45.0</v>
      </c>
      <c r="Q357" s="106" t="str">
        <f>IF(ISBLANK(O357), "", VLOOKUP(C357&amp;" "&amp;D357, 'Info Tipo de Cambio y REM'!$A$24:$B$35, 2, FALSE))</f>
        <v/>
      </c>
      <c r="R357" s="107">
        <f t="shared" si="2"/>
        <v>45</v>
      </c>
    </row>
    <row r="358" hidden="1">
      <c r="A358" s="443" t="s">
        <v>187</v>
      </c>
      <c r="B358" s="43" t="str">
        <f>IF(A358="", "", IFERROR(VLOOKUP(A358, Clasificaciones!A:B, 2, FALSE), "DATO NO CARGADO"))
</f>
        <v>Gastos Varios</v>
      </c>
      <c r="C358" s="51" t="s">
        <v>149</v>
      </c>
      <c r="D358" s="156">
        <v>2025.0</v>
      </c>
      <c r="E358" s="43" t="s">
        <v>1124</v>
      </c>
      <c r="H358" s="102"/>
      <c r="J358" s="102"/>
      <c r="K358" s="450"/>
      <c r="L358" s="455"/>
      <c r="M358" s="450"/>
      <c r="N358" s="452">
        <f t="array" ref="N358">IFERROR(
  INDEX(
    'Valor Hora Real y Estimada'!$A$4:$Z$78,
    MATCH(TRIM(CLEAN(A358)), 'Valor Hora Real y Estimada'!$A$4:$A$78, 0),
    MATCH(
      TEXT(C358,"dd mmm")&amp;" "&amp;D358,
      'Valor Hora Real y Estimada'!$A$3:$Z$3,
      0
    ) + 1
  ),
  0
)</f>
        <v>0</v>
      </c>
      <c r="P358" s="471">
        <v>600.0</v>
      </c>
      <c r="Q358" s="106" t="str">
        <f>IF(ISBLANK(O358), "", VLOOKUP(C358&amp;" "&amp;D358, 'Info Tipo de Cambio y REM'!$A$24:$B$35, 2, FALSE))</f>
        <v/>
      </c>
      <c r="R358" s="107">
        <f t="shared" si="2"/>
        <v>600</v>
      </c>
    </row>
    <row r="359" hidden="1">
      <c r="A359" s="443" t="s">
        <v>191</v>
      </c>
      <c r="B359" s="43" t="str">
        <f>IF(A359="", "", IFERROR(VLOOKUP(A359, Clasificaciones!A:B, 2, FALSE), "DATO NO CARGADO"))
</f>
        <v>Tarjeta</v>
      </c>
      <c r="C359" s="51" t="s">
        <v>149</v>
      </c>
      <c r="D359" s="156">
        <v>2025.0</v>
      </c>
      <c r="E359" s="43" t="s">
        <v>1130</v>
      </c>
      <c r="H359" s="102"/>
      <c r="J359" s="102"/>
      <c r="K359" s="450"/>
      <c r="L359" s="455"/>
      <c r="M359" s="450"/>
      <c r="N359" s="452">
        <f t="array" ref="N359">IFERROR(
  INDEX(
    'Valor Hora Real y Estimada'!$A$4:$Z$78,
    MATCH(TRIM(CLEAN(A359)), 'Valor Hora Real y Estimada'!$A$4:$A$78, 0),
    MATCH(
      TEXT(C359,"dd mmm")&amp;" "&amp;D359,
      'Valor Hora Real y Estimada'!$A$3:$Z$3,
      0
    ) + 1
  ),
  0
)</f>
        <v>0</v>
      </c>
      <c r="P359" s="471">
        <v>29.99</v>
      </c>
      <c r="Q359" s="106" t="str">
        <f>IF(ISBLANK(O359), "", VLOOKUP(C359&amp;" "&amp;D359, 'Info Tipo de Cambio y REM'!$A$24:$B$35, 2, FALSE))</f>
        <v/>
      </c>
      <c r="R359" s="107">
        <f t="shared" si="2"/>
        <v>29.99</v>
      </c>
    </row>
    <row r="360" hidden="1">
      <c r="A360" s="443" t="s">
        <v>191</v>
      </c>
      <c r="B360" s="43" t="str">
        <f>IF(A360="", "", IFERROR(VLOOKUP(A360, Clasificaciones!A:B, 2, FALSE), "DATO NO CARGADO"))
</f>
        <v>Tarjeta</v>
      </c>
      <c r="C360" s="51" t="s">
        <v>149</v>
      </c>
      <c r="D360" s="156">
        <v>2025.0</v>
      </c>
      <c r="E360" s="43" t="s">
        <v>1130</v>
      </c>
      <c r="H360" s="102"/>
      <c r="J360" s="102"/>
      <c r="K360" s="450"/>
      <c r="L360" s="455"/>
      <c r="M360" s="450"/>
      <c r="N360" s="452">
        <f t="array" ref="N360">IFERROR(
  INDEX(
    'Valor Hora Real y Estimada'!$A$4:$Z$78,
    MATCH(TRIM(CLEAN(A360)), 'Valor Hora Real y Estimada'!$A$4:$A$78, 0),
    MATCH(
      TEXT(C360,"dd mmm")&amp;" "&amp;D360,
      'Valor Hora Real y Estimada'!$A$3:$Z$3,
      0
    ) + 1
  ),
  0
)</f>
        <v>0</v>
      </c>
      <c r="P360" s="471">
        <v>588.0</v>
      </c>
      <c r="Q360" s="106" t="str">
        <f>IF(ISBLANK(O360), "", VLOOKUP(C360&amp;" "&amp;D360, 'Info Tipo de Cambio y REM'!$A$24:$B$35, 2, FALSE))</f>
        <v/>
      </c>
      <c r="R360" s="107">
        <f t="shared" si="2"/>
        <v>588</v>
      </c>
    </row>
    <row r="361" hidden="1">
      <c r="A361" s="443" t="s">
        <v>191</v>
      </c>
      <c r="B361" s="43" t="str">
        <f>IF(A361="", "", IFERROR(VLOOKUP(A361, Clasificaciones!A:B, 2, FALSE), "DATO NO CARGADO"))
</f>
        <v>Tarjeta</v>
      </c>
      <c r="C361" s="51" t="s">
        <v>149</v>
      </c>
      <c r="D361" s="156">
        <v>2025.0</v>
      </c>
      <c r="E361" s="43" t="s">
        <v>1130</v>
      </c>
      <c r="H361" s="102"/>
      <c r="J361" s="102"/>
      <c r="K361" s="450"/>
      <c r="L361" s="455"/>
      <c r="M361" s="450"/>
      <c r="N361" s="452">
        <f t="array" ref="N361">IFERROR(
  INDEX(
    'Valor Hora Real y Estimada'!$A$4:$Z$78,
    MATCH(TRIM(CLEAN(A361)), 'Valor Hora Real y Estimada'!$A$4:$A$78, 0),
    MATCH(
      TEXT(C361,"dd mmm")&amp;" "&amp;D361,
      'Valor Hora Real y Estimada'!$A$3:$Z$3,
      0
    ) + 1
  ),
  0
)</f>
        <v>0</v>
      </c>
      <c r="P361" s="471">
        <v>609.8</v>
      </c>
      <c r="Q361" s="106" t="str">
        <f>IF(ISBLANK(O361), "", VLOOKUP(C361&amp;" "&amp;D361, 'Info Tipo de Cambio y REM'!$A$24:$B$35, 2, FALSE))</f>
        <v/>
      </c>
      <c r="R361" s="107">
        <f t="shared" si="2"/>
        <v>609.8</v>
      </c>
    </row>
    <row r="362" hidden="1">
      <c r="A362" s="443" t="s">
        <v>191</v>
      </c>
      <c r="B362" s="43" t="str">
        <f>IF(A362="", "", IFERROR(VLOOKUP(A362, Clasificaciones!A:B, 2, FALSE), "DATO NO CARGADO"))
</f>
        <v>Tarjeta</v>
      </c>
      <c r="C362" s="51" t="s">
        <v>149</v>
      </c>
      <c r="D362" s="156">
        <v>2025.0</v>
      </c>
      <c r="E362" s="43" t="s">
        <v>1130</v>
      </c>
      <c r="H362" s="102"/>
      <c r="J362" s="102"/>
      <c r="K362" s="450"/>
      <c r="L362" s="455"/>
      <c r="M362" s="450"/>
      <c r="N362" s="452">
        <f t="array" ref="N362">IFERROR(
  INDEX(
    'Valor Hora Real y Estimada'!$A$4:$Z$78,
    MATCH(TRIM(CLEAN(A362)), 'Valor Hora Real y Estimada'!$A$4:$A$78, 0),
    MATCH(
      TEXT(C362,"dd mmm")&amp;" "&amp;D362,
      'Valor Hora Real y Estimada'!$A$3:$Z$3,
      0
    ) + 1
  ),
  0
)</f>
        <v>0</v>
      </c>
      <c r="P362" s="471">
        <v>500.46</v>
      </c>
      <c r="Q362" s="106" t="str">
        <f>IF(ISBLANK(O362), "", VLOOKUP(C362&amp;" "&amp;D362, 'Info Tipo de Cambio y REM'!$A$24:$B$35, 2, FALSE))</f>
        <v/>
      </c>
      <c r="R362" s="107">
        <f t="shared" si="2"/>
        <v>500.46</v>
      </c>
    </row>
    <row r="363" hidden="1">
      <c r="A363" s="443" t="s">
        <v>191</v>
      </c>
      <c r="B363" s="43" t="str">
        <f>IF(A363="", "", IFERROR(VLOOKUP(A363, Clasificaciones!A:B, 2, FALSE), "DATO NO CARGADO"))
</f>
        <v>Tarjeta</v>
      </c>
      <c r="C363" s="51" t="s">
        <v>149</v>
      </c>
      <c r="D363" s="156">
        <v>2025.0</v>
      </c>
      <c r="E363" s="43" t="s">
        <v>1130</v>
      </c>
      <c r="H363" s="102"/>
      <c r="J363" s="102"/>
      <c r="K363" s="450"/>
      <c r="L363" s="455"/>
      <c r="M363" s="450"/>
      <c r="N363" s="452">
        <f t="array" ref="N363">IFERROR(
  INDEX(
    'Valor Hora Real y Estimada'!$A$4:$Z$78,
    MATCH(TRIM(CLEAN(A363)), 'Valor Hora Real y Estimada'!$A$4:$A$78, 0),
    MATCH(
      TEXT(C363,"dd mmm")&amp;" "&amp;D363,
      'Valor Hora Real y Estimada'!$A$3:$Z$3,
      0
    ) + 1
  ),
  0
)</f>
        <v>0</v>
      </c>
      <c r="P363" s="471">
        <v>6.15</v>
      </c>
      <c r="Q363" s="106" t="str">
        <f>IF(ISBLANK(O363), "", VLOOKUP(C363&amp;" "&amp;D363, 'Info Tipo de Cambio y REM'!$A$24:$B$35, 2, FALSE))</f>
        <v/>
      </c>
      <c r="R363" s="107">
        <f t="shared" si="2"/>
        <v>6.15</v>
      </c>
    </row>
    <row r="364" hidden="1">
      <c r="A364" s="443" t="s">
        <v>187</v>
      </c>
      <c r="B364" s="43" t="str">
        <f>IF(A364="", "", IFERROR(VLOOKUP(A364, Clasificaciones!A:B, 2, FALSE), "DATO NO CARGADO"))
</f>
        <v>Gastos Varios</v>
      </c>
      <c r="C364" s="51" t="s">
        <v>149</v>
      </c>
      <c r="D364" s="156">
        <v>2025.0</v>
      </c>
      <c r="E364" s="43" t="s">
        <v>1124</v>
      </c>
      <c r="H364" s="102"/>
      <c r="J364" s="102"/>
      <c r="K364" s="450"/>
      <c r="L364" s="455"/>
      <c r="M364" s="450"/>
      <c r="N364" s="452">
        <f t="array" ref="N364">IFERROR(
  INDEX(
    'Valor Hora Real y Estimada'!$A$4:$Z$78,
    MATCH(TRIM(CLEAN(A364)), 'Valor Hora Real y Estimada'!$A$4:$A$78, 0),
    MATCH(
      TEXT(C364,"dd mmm")&amp;" "&amp;D364,
      'Valor Hora Real y Estimada'!$A$3:$Z$3,
      0
    ) + 1
  ),
  0
)</f>
        <v>0</v>
      </c>
      <c r="P364" s="112">
        <v>600.0</v>
      </c>
      <c r="Q364" s="106" t="str">
        <f>IF(ISBLANK(O364), "", VLOOKUP(C364&amp;" "&amp;D364, 'Info Tipo de Cambio y REM'!$A$24:$B$35, 2, FALSE))</f>
        <v/>
      </c>
      <c r="R364" s="107">
        <f t="shared" si="2"/>
        <v>600</v>
      </c>
    </row>
    <row r="365" hidden="1">
      <c r="A365" s="443" t="s">
        <v>152</v>
      </c>
      <c r="B365" s="43" t="str">
        <f>IF(A365="", "", IFERROR(VLOOKUP(A365, Clasificaciones!A:B, 2, FALSE), "DATO NO CARGADO"))
</f>
        <v>Impuestos ARG</v>
      </c>
      <c r="C365" s="51" t="s">
        <v>149</v>
      </c>
      <c r="D365" s="156">
        <v>2025.0</v>
      </c>
      <c r="E365" s="43" t="s">
        <v>1130</v>
      </c>
      <c r="H365" s="102"/>
      <c r="J365" s="102"/>
      <c r="K365" s="450"/>
      <c r="L365" s="455"/>
      <c r="M365" s="450"/>
      <c r="N365" s="452">
        <f t="array" ref="N365">IFERROR(
  INDEX(
    'Valor Hora Real y Estimada'!$A$4:$Z$78,
    MATCH(TRIM(CLEAN(A365)), 'Valor Hora Real y Estimada'!$A$4:$A$78, 0),
    MATCH(
      TEXT(C365,"dd mmm")&amp;" "&amp;D365,
      'Valor Hora Real y Estimada'!$A$3:$Z$3,
      0
    ) + 1
  ),
  0
)</f>
        <v>0</v>
      </c>
      <c r="O365" s="175">
        <v>1673785.0</v>
      </c>
      <c r="P365" s="113"/>
      <c r="Q365" s="106">
        <f>IF(ISBLANK(O365), "", VLOOKUP(C365&amp;" "&amp;D365, 'Info Tipo de Cambio y REM'!$A$24:$B$35, 2, FALSE))</f>
        <v>1180</v>
      </c>
      <c r="R365" s="107">
        <f t="shared" si="2"/>
        <v>1418.461864</v>
      </c>
    </row>
    <row r="366" hidden="1">
      <c r="A366" s="443" t="s">
        <v>146</v>
      </c>
      <c r="B366" s="43" t="str">
        <f>IF(A366="", "", IFERROR(VLOOKUP(A366, Clasificaciones!A:B, 2, FALSE), "DATO NO CARGADO"))
</f>
        <v>Impuestos ARG</v>
      </c>
      <c r="C366" s="51" t="s">
        <v>149</v>
      </c>
      <c r="D366" s="156">
        <v>2025.0</v>
      </c>
      <c r="E366" s="43" t="s">
        <v>1130</v>
      </c>
      <c r="H366" s="102"/>
      <c r="J366" s="102"/>
      <c r="K366" s="450"/>
      <c r="L366" s="455"/>
      <c r="M366" s="450"/>
      <c r="N366" s="452">
        <f t="array" ref="N366">IFERROR(
  INDEX(
    'Valor Hora Real y Estimada'!$A$4:$Z$78,
    MATCH(TRIM(CLEAN(A366)), 'Valor Hora Real y Estimada'!$A$4:$A$78, 0),
    MATCH(
      TEXT(C366,"dd mmm")&amp;" "&amp;D366,
      'Valor Hora Real y Estimada'!$A$3:$Z$3,
      0
    ) + 1
  ),
  0
)</f>
        <v>0</v>
      </c>
      <c r="O366" s="176">
        <v>308917.53465000005</v>
      </c>
      <c r="P366" s="113"/>
      <c r="Q366" s="106">
        <f>IF(ISBLANK(O366), "", VLOOKUP(C366&amp;" "&amp;D366, 'Info Tipo de Cambio y REM'!$A$24:$B$35, 2, FALSE))</f>
        <v>1180</v>
      </c>
      <c r="R366" s="107">
        <f t="shared" si="2"/>
        <v>261.7945209</v>
      </c>
    </row>
    <row r="367" hidden="1">
      <c r="A367" s="443" t="s">
        <v>164</v>
      </c>
      <c r="B367" s="43" t="str">
        <f>IF(A367="", "", IFERROR(VLOOKUP(A367, Clasificaciones!A:B, 2, FALSE), "DATO NO CARGADO"))
</f>
        <v>Estudio Contable</v>
      </c>
      <c r="C367" s="51" t="s">
        <v>149</v>
      </c>
      <c r="D367" s="156">
        <v>2025.0</v>
      </c>
      <c r="E367" s="43" t="s">
        <v>1130</v>
      </c>
      <c r="H367" s="102"/>
      <c r="J367" s="102"/>
      <c r="K367" s="450"/>
      <c r="L367" s="455"/>
      <c r="M367" s="450"/>
      <c r="N367" s="452">
        <f t="array" ref="N367">IFERROR(
  INDEX(
    'Valor Hora Real y Estimada'!$A$4:$Z$78,
    MATCH(TRIM(CLEAN(A367)), 'Valor Hora Real y Estimada'!$A$4:$A$78, 0),
    MATCH(
      TEXT(C367,"dd mmm")&amp;" "&amp;D367,
      'Valor Hora Real y Estimada'!$A$3:$Z$3,
      0
    ) + 1
  ),
  0
)</f>
        <v>0</v>
      </c>
      <c r="O367" s="176">
        <v>49229.886</v>
      </c>
      <c r="P367" s="113"/>
      <c r="Q367" s="106">
        <f>IF(ISBLANK(O367), "", VLOOKUP(C367&amp;" "&amp;D367, 'Info Tipo de Cambio y REM'!$A$24:$B$35, 2, FALSE))</f>
        <v>1180</v>
      </c>
      <c r="R367" s="107">
        <f t="shared" si="2"/>
        <v>41.72024237</v>
      </c>
    </row>
    <row r="368" hidden="1">
      <c r="A368" s="443" t="s">
        <v>153</v>
      </c>
      <c r="B368" s="43" t="str">
        <f>IF(A368="", "", IFERROR(VLOOKUP(A368, Clasificaciones!A:B, 2, FALSE), "DATO NO CARGADO"))
</f>
        <v>Impuestos USA</v>
      </c>
      <c r="C368" s="51" t="s">
        <v>149</v>
      </c>
      <c r="D368" s="92">
        <v>2025.0</v>
      </c>
      <c r="E368" s="43" t="s">
        <v>1130</v>
      </c>
      <c r="H368" s="102"/>
      <c r="J368" s="102"/>
      <c r="K368" s="450"/>
      <c r="L368" s="455"/>
      <c r="M368" s="450"/>
      <c r="N368" s="452">
        <f t="array" ref="N368">IFERROR(
  INDEX(
    'Valor Hora Real y Estimada'!$A$4:$Z$78,
    MATCH(TRIM(CLEAN(A368)), 'Valor Hora Real y Estimada'!$A$4:$A$78, 0),
    MATCH(
      TEXT(C368,"dd mmm")&amp;" "&amp;D368,
      'Valor Hora Real y Estimada'!$A$3:$Z$3,
      0
    ) + 1
  ),
  0
)</f>
        <v>0</v>
      </c>
      <c r="O368" s="179"/>
      <c r="P368" s="380">
        <v>-4124.0</v>
      </c>
      <c r="Q368" s="106" t="str">
        <f>IF(ISBLANK(O368), "", VLOOKUP(C368&amp;" "&amp;D368, 'Info Tipo de Cambio y REM'!$A$24:$B$35, 2, FALSE))</f>
        <v/>
      </c>
      <c r="R368" s="107">
        <f t="shared" si="2"/>
        <v>-4124</v>
      </c>
    </row>
    <row r="369" hidden="1">
      <c r="A369" s="443" t="s">
        <v>222</v>
      </c>
      <c r="B369" s="43" t="str">
        <f>IF(A369="", "", IFERROR(VLOOKUP(A369, Clasificaciones!A:B, 2, FALSE), "DATO NO CARGADO"))
</f>
        <v>Oxean</v>
      </c>
      <c r="C369" s="51" t="s">
        <v>149</v>
      </c>
      <c r="D369" s="156">
        <v>2025.0</v>
      </c>
      <c r="E369" s="43" t="s">
        <v>1130</v>
      </c>
      <c r="H369" s="102"/>
      <c r="J369" s="102"/>
      <c r="K369" s="450"/>
      <c r="L369" s="455"/>
      <c r="M369" s="450"/>
      <c r="N369" s="452">
        <f t="array" ref="N369">IFERROR(
  INDEX(
    'Valor Hora Real y Estimada'!$A$4:$Z$78,
    MATCH(TRIM(CLEAN(A369)), 'Valor Hora Real y Estimada'!$A$4:$A$78, 0),
    MATCH(
      TEXT(C369,"dd mmm")&amp;" "&amp;D369,
      'Valor Hora Real y Estimada'!$A$3:$Z$3,
      0
    ) + 1
  ),
  0
)</f>
        <v>0</v>
      </c>
      <c r="O369" s="89">
        <v>4500000.0</v>
      </c>
      <c r="P369" s="113"/>
      <c r="Q369" s="106">
        <f>IF(ISBLANK(O369), "", VLOOKUP(C369&amp;" "&amp;D369, 'Info Tipo de Cambio y REM'!$A$24:$B$35, 2, FALSE))</f>
        <v>1180</v>
      </c>
      <c r="R369" s="107">
        <f t="shared" si="2"/>
        <v>3813.559322</v>
      </c>
    </row>
    <row r="370" hidden="1">
      <c r="A370" s="443" t="s">
        <v>158</v>
      </c>
      <c r="B370" s="43" t="str">
        <f>IF(A370="", "", IFERROR(VLOOKUP(A370, Clasificaciones!A:B, 2, FALSE), "DATO NO CARGADO"))
</f>
        <v>Tarjeta</v>
      </c>
      <c r="C370" s="51" t="s">
        <v>149</v>
      </c>
      <c r="D370" s="156">
        <v>2025.0</v>
      </c>
      <c r="E370" s="43" t="s">
        <v>1130</v>
      </c>
      <c r="H370" s="102"/>
      <c r="J370" s="102"/>
      <c r="K370" s="450"/>
      <c r="L370" s="455"/>
      <c r="M370" s="450"/>
      <c r="N370" s="452">
        <f t="array" ref="N370">IFERROR(
  INDEX(
    'Valor Hora Real y Estimada'!$A$4:$Z$78,
    MATCH(TRIM(CLEAN(A370)), 'Valor Hora Real y Estimada'!$A$4:$A$78, 0),
    MATCH(
      TEXT(C370,"dd mmm")&amp;" "&amp;D370,
      'Valor Hora Real y Estimada'!$A$3:$Z$3,
      0
    ) + 1
  ),
  0
)</f>
        <v>0</v>
      </c>
      <c r="O370" s="89">
        <v>223609.31</v>
      </c>
      <c r="P370" s="113"/>
      <c r="Q370" s="106">
        <f>IF(ISBLANK(O370), "", VLOOKUP(C370&amp;" "&amp;D370, 'Info Tipo de Cambio y REM'!$A$24:$B$35, 2, FALSE))</f>
        <v>1180</v>
      </c>
      <c r="R370" s="107">
        <f t="shared" si="2"/>
        <v>189.4994153</v>
      </c>
    </row>
    <row r="371" hidden="1">
      <c r="A371" s="443" t="s">
        <v>222</v>
      </c>
      <c r="B371" s="43" t="str">
        <f>IF(A371="", "", IFERROR(VLOOKUP(A371, Clasificaciones!A:B, 2, FALSE), "DATO NO CARGADO"))
</f>
        <v>Oxean</v>
      </c>
      <c r="C371" s="51" t="s">
        <v>149</v>
      </c>
      <c r="D371" s="156">
        <v>2025.0</v>
      </c>
      <c r="E371" s="43" t="s">
        <v>1130</v>
      </c>
      <c r="H371" s="102"/>
      <c r="J371" s="102"/>
      <c r="K371" s="450"/>
      <c r="L371" s="455"/>
      <c r="M371" s="450"/>
      <c r="N371" s="452">
        <f t="array" ref="N371">IFERROR(
  INDEX(
    'Valor Hora Real y Estimada'!$A$4:$Z$78,
    MATCH(TRIM(CLEAN(A371)), 'Valor Hora Real y Estimada'!$A$4:$A$78, 0),
    MATCH(
      TEXT(C371,"dd mmm")&amp;" "&amp;D371,
      'Valor Hora Real y Estimada'!$A$3:$Z$3,
      0
    ) + 1
  ),
  0
)</f>
        <v>0</v>
      </c>
      <c r="O371" s="188">
        <v>45658.4</v>
      </c>
      <c r="P371" s="113"/>
      <c r="Q371" s="106">
        <f>IF(ISBLANK(O371), "", VLOOKUP(C371&amp;" "&amp;D371, 'Info Tipo de Cambio y REM'!$A$24:$B$35, 2, FALSE))</f>
        <v>1180</v>
      </c>
      <c r="R371" s="107">
        <f t="shared" si="2"/>
        <v>38.69355932</v>
      </c>
    </row>
    <row r="372" hidden="1">
      <c r="A372" s="443" t="s">
        <v>226</v>
      </c>
      <c r="B372" s="43" t="s">
        <v>174</v>
      </c>
      <c r="C372" s="51" t="s">
        <v>149</v>
      </c>
      <c r="D372" s="156">
        <v>2025.0</v>
      </c>
      <c r="E372" s="43" t="s">
        <v>1130</v>
      </c>
      <c r="F372" s="43"/>
      <c r="G372" s="43"/>
      <c r="H372" s="43"/>
      <c r="I372" s="43"/>
      <c r="J372" s="43"/>
      <c r="K372" s="443"/>
      <c r="L372" s="451"/>
      <c r="M372" s="443"/>
      <c r="N372" s="452"/>
      <c r="O372" s="112">
        <v>537700.0</v>
      </c>
      <c r="P372" s="113"/>
      <c r="Q372" s="106">
        <f>IF(ISBLANK(O372), "", VLOOKUP(C372&amp;" "&amp;D372, 'Info Tipo de Cambio y REM'!$A$24:$B$35, 2, FALSE))</f>
        <v>1180</v>
      </c>
      <c r="R372" s="107">
        <f t="shared" si="2"/>
        <v>455.6779661</v>
      </c>
    </row>
    <row r="373">
      <c r="A373" s="443" t="s">
        <v>120</v>
      </c>
      <c r="B373" s="43" t="str">
        <f>IF(A373="", "", IFERROR(VLOOKUP(A373, Clasificaciones!A:B, 2, FALSE), "DATO NO CARGADO"))
</f>
        <v>Equipo</v>
      </c>
      <c r="C373" s="51" t="s">
        <v>155</v>
      </c>
      <c r="D373" s="43">
        <v>2025.0</v>
      </c>
      <c r="E373" s="43" t="s">
        <v>1124</v>
      </c>
      <c r="F373" s="43"/>
      <c r="G373" s="43" t="s">
        <v>1176</v>
      </c>
      <c r="H373" s="43" t="s">
        <v>1126</v>
      </c>
      <c r="I373" s="43" t="s">
        <v>1129</v>
      </c>
      <c r="J373" s="43" t="s">
        <v>183</v>
      </c>
      <c r="K373" s="443">
        <v>5.0</v>
      </c>
      <c r="L373" s="451">
        <v>6.0</v>
      </c>
      <c r="M373" s="443">
        <v>6.0</v>
      </c>
      <c r="N373" s="452">
        <f t="array" ref="N373">IFERROR(
  INDEX(
    'Valor Hora Real y Estimada'!$A$4:$Z$78,
    MATCH(TRIM(CLEAN(A373)), 'Valor Hora Real y Estimada'!$A$4:$A$78, 0),
    MATCH(
      TEXT(C373,"dd mmm")&amp;" "&amp;D373,
      'Valor Hora Real y Estimada'!$A$3:$Z$3,
      0
    ) + 1
  ),
  0
)</f>
        <v>24166.66667</v>
      </c>
      <c r="O373" s="453">
        <f t="shared" ref="O373:O425" si="13">N373*M373</f>
        <v>145000</v>
      </c>
      <c r="P373" s="113"/>
      <c r="Q373" s="106">
        <f>IF(ISBLANK(O373), "", VLOOKUP(C373&amp;" "&amp;D373, 'Info Tipo de Cambio y REM'!$A$24:$B$35, 2, FALSE))</f>
        <v>1215</v>
      </c>
      <c r="R373" s="107">
        <f t="shared" si="2"/>
        <v>119.3415638</v>
      </c>
    </row>
    <row r="374">
      <c r="A374" s="443" t="s">
        <v>200</v>
      </c>
      <c r="B374" s="43" t="str">
        <f>IF(A374="", "", IFERROR(VLOOKUP(A374, Clasificaciones!A:B, 2, FALSE), "DATO NO CARGADO"))
</f>
        <v>Equipo</v>
      </c>
      <c r="C374" s="51" t="s">
        <v>155</v>
      </c>
      <c r="D374" s="43">
        <v>2025.0</v>
      </c>
      <c r="E374" s="43" t="s">
        <v>1124</v>
      </c>
      <c r="F374" s="43"/>
      <c r="G374" s="43" t="s">
        <v>1176</v>
      </c>
      <c r="H374" s="43" t="s">
        <v>1126</v>
      </c>
      <c r="I374" s="43" t="s">
        <v>1129</v>
      </c>
      <c r="J374" s="43" t="s">
        <v>183</v>
      </c>
      <c r="K374" s="443">
        <v>120.0</v>
      </c>
      <c r="L374" s="451">
        <f>87.08+20.42</f>
        <v>107.5</v>
      </c>
      <c r="M374" s="443">
        <v>117.7</v>
      </c>
      <c r="N374" s="452">
        <f t="array" ref="N374">IFERROR(
  INDEX(
    'Valor Hora Real y Estimada'!$A$4:$Z$78,
    MATCH(TRIM(CLEAN(A374)), 'Valor Hora Real y Estimada'!$A$4:$A$78, 0),
    MATCH(
      TEXT(C374,"dd mmm")&amp;" "&amp;D374,
      'Valor Hora Real y Estimada'!$A$3:$Z$3,
      0
    ) + 1
  ),
  0
)</f>
        <v>16856</v>
      </c>
      <c r="O374" s="453">
        <f t="shared" si="13"/>
        <v>1983951.2</v>
      </c>
      <c r="P374" s="113"/>
      <c r="Q374" s="106">
        <f>IF(ISBLANK(O374), "", VLOOKUP(C374&amp;" "&amp;D374, 'Info Tipo de Cambio y REM'!$A$24:$B$35, 2, FALSE))</f>
        <v>1215</v>
      </c>
      <c r="R374" s="107">
        <f t="shared" si="2"/>
        <v>1632.881646</v>
      </c>
    </row>
    <row r="375">
      <c r="A375" s="443" t="s">
        <v>218</v>
      </c>
      <c r="B375" s="43" t="str">
        <f>IF(A375="", "", IFERROR(VLOOKUP(A375, Clasificaciones!A:B, 2, FALSE), "DATO NO CARGADO"))
</f>
        <v>Equipo</v>
      </c>
      <c r="C375" s="51" t="s">
        <v>155</v>
      </c>
      <c r="D375" s="43">
        <v>2025.0</v>
      </c>
      <c r="E375" s="43" t="s">
        <v>1124</v>
      </c>
      <c r="F375" s="43"/>
      <c r="G375" s="43" t="s">
        <v>1176</v>
      </c>
      <c r="H375" s="43" t="s">
        <v>1126</v>
      </c>
      <c r="I375" s="43" t="s">
        <v>1129</v>
      </c>
      <c r="J375" s="43" t="s">
        <v>183</v>
      </c>
      <c r="K375" s="443">
        <v>32.0</v>
      </c>
      <c r="L375" s="451">
        <v>43.75</v>
      </c>
      <c r="M375" s="443">
        <v>35.0</v>
      </c>
      <c r="N375" s="452">
        <f t="array" ref="N375">IFERROR(
  INDEX(
    'Valor Hora Real y Estimada'!$A$4:$Z$78,
    MATCH(TRIM(CLEAN(A375)), 'Valor Hora Real y Estimada'!$A$4:$A$78, 0),
    MATCH(
      TEXT(C375,"dd mmm")&amp;" "&amp;D375,
      'Valor Hora Real y Estimada'!$A$3:$Z$3,
      0
    ) + 1
  ),
  0
)</f>
        <v>19000</v>
      </c>
      <c r="O375" s="453">
        <f t="shared" si="13"/>
        <v>665000</v>
      </c>
      <c r="P375" s="113"/>
      <c r="Q375" s="106">
        <f>IF(ISBLANK(O375), "", VLOOKUP(C375&amp;" "&amp;D375, 'Info Tipo de Cambio y REM'!$A$24:$B$35, 2, FALSE))</f>
        <v>1215</v>
      </c>
      <c r="R375" s="107">
        <f t="shared" si="2"/>
        <v>547.3251029</v>
      </c>
    </row>
    <row r="376">
      <c r="A376" s="443" t="s">
        <v>221</v>
      </c>
      <c r="B376" s="43" t="str">
        <f>IF(A376="", "", IFERROR(VLOOKUP(A376, Clasificaciones!A:B, 2, FALSE), "DATO NO CARGADO"))
</f>
        <v>Equipo</v>
      </c>
      <c r="C376" s="51" t="s">
        <v>155</v>
      </c>
      <c r="D376" s="43">
        <v>2025.0</v>
      </c>
      <c r="E376" s="43" t="s">
        <v>1124</v>
      </c>
      <c r="F376" s="43"/>
      <c r="G376" s="43" t="s">
        <v>1176</v>
      </c>
      <c r="H376" s="43" t="s">
        <v>1126</v>
      </c>
      <c r="I376" s="43" t="s">
        <v>1129</v>
      </c>
      <c r="J376" s="43" t="s">
        <v>183</v>
      </c>
      <c r="K376" s="443">
        <v>70.0</v>
      </c>
      <c r="L376" s="451">
        <f>65</f>
        <v>65</v>
      </c>
      <c r="M376" s="443">
        <v>53.0</v>
      </c>
      <c r="N376" s="452">
        <f t="array" ref="N376">IFERROR(
  INDEX(
    'Valor Hora Real y Estimada'!$A$4:$Z$78,
    MATCH(TRIM(CLEAN(A376)), 'Valor Hora Real y Estimada'!$A$4:$A$78, 0),
    MATCH(
      TEXT(C376,"dd mmm")&amp;" "&amp;D376,
      'Valor Hora Real y Estimada'!$A$3:$Z$3,
      0
    ) + 1
  ),
  0
)</f>
        <v>10981</v>
      </c>
      <c r="O376" s="453">
        <f t="shared" si="13"/>
        <v>581993</v>
      </c>
      <c r="P376" s="113"/>
      <c r="Q376" s="106">
        <f>IF(ISBLANK(O376), "", VLOOKUP(C376&amp;" "&amp;D376, 'Info Tipo de Cambio y REM'!$A$24:$B$35, 2, FALSE))</f>
        <v>1215</v>
      </c>
      <c r="R376" s="107">
        <f t="shared" si="2"/>
        <v>479.0065844</v>
      </c>
    </row>
    <row r="377">
      <c r="A377" s="443" t="s">
        <v>205</v>
      </c>
      <c r="B377" s="43" t="str">
        <f>IF(A377="", "", IFERROR(VLOOKUP(A377, Clasificaciones!A:B, 2, FALSE), "DATO NO CARGADO"))
</f>
        <v>Equipo</v>
      </c>
      <c r="C377" s="51" t="s">
        <v>155</v>
      </c>
      <c r="D377" s="43">
        <v>2025.0</v>
      </c>
      <c r="E377" s="43" t="s">
        <v>1124</v>
      </c>
      <c r="F377" s="43"/>
      <c r="G377" s="43" t="s">
        <v>1176</v>
      </c>
      <c r="H377" s="43" t="s">
        <v>1126</v>
      </c>
      <c r="I377" s="43" t="s">
        <v>1129</v>
      </c>
      <c r="J377" s="43" t="s">
        <v>183</v>
      </c>
      <c r="K377" s="443">
        <v>100.0</v>
      </c>
      <c r="L377" s="451">
        <f>96.98+8.43</f>
        <v>105.41</v>
      </c>
      <c r="M377" s="443">
        <v>105.4</v>
      </c>
      <c r="N377" s="452">
        <f t="array" ref="N377">IFERROR(
  INDEX(
    'Valor Hora Real y Estimada'!$A$4:$Z$78,
    MATCH(TRIM(CLEAN(A377)), 'Valor Hora Real y Estimada'!$A$4:$A$78, 0),
    MATCH(
      TEXT(C377,"dd mmm")&amp;" "&amp;D377,
      'Valor Hora Real y Estimada'!$A$3:$Z$3,
      0
    ) + 1
  ),
  0
)</f>
        <v>10000</v>
      </c>
      <c r="O377" s="453">
        <f t="shared" si="13"/>
        <v>1054000</v>
      </c>
      <c r="P377" s="113"/>
      <c r="Q377" s="106">
        <f>IF(ISBLANK(O377), "", VLOOKUP(C377&amp;" "&amp;D377, 'Info Tipo de Cambio y REM'!$A$24:$B$35, 2, FALSE))</f>
        <v>1215</v>
      </c>
      <c r="R377" s="107">
        <f t="shared" si="2"/>
        <v>867.4897119</v>
      </c>
    </row>
    <row r="378">
      <c r="A378" s="443" t="s">
        <v>212</v>
      </c>
      <c r="B378" s="43" t="str">
        <f>IF(A378="", "", IFERROR(VLOOKUP(A378, Clasificaciones!A:B, 2, FALSE), "DATO NO CARGADO"))
</f>
        <v>Equipo</v>
      </c>
      <c r="C378" s="51" t="s">
        <v>155</v>
      </c>
      <c r="D378" s="43">
        <v>2025.0</v>
      </c>
      <c r="E378" s="43" t="s">
        <v>1124</v>
      </c>
      <c r="F378" s="43"/>
      <c r="G378" s="43" t="s">
        <v>1176</v>
      </c>
      <c r="H378" s="43" t="s">
        <v>1126</v>
      </c>
      <c r="I378" s="43" t="s">
        <v>1129</v>
      </c>
      <c r="J378" s="43" t="s">
        <v>183</v>
      </c>
      <c r="K378" s="443">
        <v>0.0</v>
      </c>
      <c r="L378" s="451">
        <v>33.0</v>
      </c>
      <c r="M378" s="443">
        <v>33.0</v>
      </c>
      <c r="N378" s="452">
        <f t="array" ref="N378">IFERROR(
  INDEX(
    'Valor Hora Real y Estimada'!$A$4:$Z$78,
    MATCH(TRIM(CLEAN(A378)), 'Valor Hora Real y Estimada'!$A$4:$A$78, 0),
    MATCH(
      TEXT(C378,"dd mmm")&amp;" "&amp;D378,
      'Valor Hora Real y Estimada'!$A$3:$Z$3,
      0
    ) + 1
  ),
  0
)</f>
        <v>8500</v>
      </c>
      <c r="O378" s="453">
        <f t="shared" si="13"/>
        <v>280500</v>
      </c>
      <c r="P378" s="113"/>
      <c r="Q378" s="106">
        <f>IF(ISBLANK(O378), "", VLOOKUP(C378&amp;" "&amp;D378, 'Info Tipo de Cambio y REM'!$A$24:$B$35, 2, FALSE))</f>
        <v>1215</v>
      </c>
      <c r="R378" s="107">
        <f t="shared" si="2"/>
        <v>230.8641975</v>
      </c>
    </row>
    <row r="379">
      <c r="A379" s="443" t="s">
        <v>194</v>
      </c>
      <c r="B379" s="43" t="str">
        <f>IF(A379="", "", IFERROR(VLOOKUP(A379, Clasificaciones!A:B, 2, FALSE), "DATO NO CARGADO"))
</f>
        <v>Equipo</v>
      </c>
      <c r="C379" s="51" t="s">
        <v>155</v>
      </c>
      <c r="D379" s="43">
        <v>2025.0</v>
      </c>
      <c r="E379" s="43" t="s">
        <v>1124</v>
      </c>
      <c r="F379" s="43"/>
      <c r="G379" s="43" t="s">
        <v>1176</v>
      </c>
      <c r="H379" s="43" t="s">
        <v>1126</v>
      </c>
      <c r="I379" s="43" t="s">
        <v>1129</v>
      </c>
      <c r="J379" s="43" t="s">
        <v>183</v>
      </c>
      <c r="K379" s="443">
        <v>150.0</v>
      </c>
      <c r="L379" s="451">
        <f>91.18+37.58</f>
        <v>128.76</v>
      </c>
      <c r="M379" s="443">
        <f>156.1-0.37425546</f>
        <v>155.7257445</v>
      </c>
      <c r="N379" s="452">
        <f t="array" ref="N379">IFERROR(
  INDEX(
    'Valor Hora Real y Estimada'!$A$4:$Z$78,
    MATCH(TRIM(CLEAN(A379)), 'Valor Hora Real y Estimada'!$A$4:$A$78, 0),
    MATCH(
      TEXT(C379,"dd mmm")&amp;" "&amp;D379,
      'Valor Hora Real y Estimada'!$A$3:$Z$3,
      0
    ) + 1
  ),
  0
)</f>
        <v>12088</v>
      </c>
      <c r="O379" s="453">
        <f t="shared" si="13"/>
        <v>1882412.8</v>
      </c>
      <c r="P379" s="113"/>
      <c r="Q379" s="106">
        <f>IF(ISBLANK(O379), "", VLOOKUP(C379&amp;" "&amp;D379, 'Info Tipo de Cambio y REM'!$A$24:$B$35, 2, FALSE))</f>
        <v>1215</v>
      </c>
      <c r="R379" s="107">
        <f t="shared" si="2"/>
        <v>1549.310947</v>
      </c>
    </row>
    <row r="380">
      <c r="A380" s="443" t="s">
        <v>216</v>
      </c>
      <c r="B380" s="43" t="str">
        <f>IF(A380="", "", IFERROR(VLOOKUP(A380, Clasificaciones!A:B, 2, FALSE), "DATO NO CARGADO"))
</f>
        <v>Equipo</v>
      </c>
      <c r="C380" s="51" t="s">
        <v>155</v>
      </c>
      <c r="D380" s="43">
        <v>2025.0</v>
      </c>
      <c r="E380" s="43" t="s">
        <v>1124</v>
      </c>
      <c r="F380" s="43"/>
      <c r="G380" s="43" t="s">
        <v>1176</v>
      </c>
      <c r="H380" s="43" t="s">
        <v>1126</v>
      </c>
      <c r="I380" s="43" t="s">
        <v>1129</v>
      </c>
      <c r="J380" s="43" t="s">
        <v>183</v>
      </c>
      <c r="K380" s="443">
        <v>40.0</v>
      </c>
      <c r="L380" s="451">
        <v>30.02</v>
      </c>
      <c r="M380" s="443">
        <f>30+0.0006088743436</f>
        <v>30.00060887</v>
      </c>
      <c r="N380" s="452">
        <f t="array" ref="N380">IFERROR(
  INDEX(
    'Valor Hora Real y Estimada'!$A$4:$Z$78,
    MATCH(TRIM(CLEAN(A380)), 'Valor Hora Real y Estimada'!$A$4:$A$78, 0),
    MATCH(
      TEXT(C380,"dd mmm")&amp;" "&amp;D380,
      'Valor Hora Real y Estimada'!$A$3:$Z$3,
      0
    ) + 1
  ),
  0
)</f>
        <v>13139</v>
      </c>
      <c r="O380" s="453">
        <f t="shared" si="13"/>
        <v>394178</v>
      </c>
      <c r="P380" s="113"/>
      <c r="Q380" s="106">
        <f>IF(ISBLANK(O380), "", VLOOKUP(C380&amp;" "&amp;D380, 'Info Tipo de Cambio y REM'!$A$24:$B$35, 2, FALSE))</f>
        <v>1215</v>
      </c>
      <c r="R380" s="107">
        <f t="shared" si="2"/>
        <v>324.4263374</v>
      </c>
    </row>
    <row r="381">
      <c r="A381" s="443" t="s">
        <v>228</v>
      </c>
      <c r="B381" s="43" t="str">
        <f>IF(A381="", "", IFERROR(VLOOKUP(A381, Clasificaciones!A:B, 2, FALSE), "DATO NO CARGADO"))
</f>
        <v>Equipo</v>
      </c>
      <c r="C381" s="51" t="s">
        <v>155</v>
      </c>
      <c r="D381" s="43">
        <v>2025.0</v>
      </c>
      <c r="E381" s="43" t="s">
        <v>1124</v>
      </c>
      <c r="F381" s="43"/>
      <c r="G381" s="43" t="s">
        <v>1176</v>
      </c>
      <c r="H381" s="43" t="s">
        <v>1126</v>
      </c>
      <c r="I381" s="43" t="s">
        <v>1129</v>
      </c>
      <c r="J381" s="43" t="s">
        <v>183</v>
      </c>
      <c r="K381" s="443">
        <v>40.0</v>
      </c>
      <c r="L381" s="451">
        <f>38.98+21.7</f>
        <v>60.68</v>
      </c>
      <c r="M381" s="443">
        <f>59.7-0.00000306091215</f>
        <v>59.69999694</v>
      </c>
      <c r="N381" s="452">
        <f t="array" ref="N381">IFERROR(
  INDEX(
    'Valor Hora Real y Estimada'!$A$4:$Z$78,
    MATCH(TRIM(CLEAN(A381)), 'Valor Hora Real y Estimada'!$A$4:$A$78, 0),
    MATCH(
      TEXT(C381,"dd mmm")&amp;" "&amp;D381,
      'Valor Hora Real y Estimada'!$A$3:$Z$3,
      0
    ) + 1
  ),
  0
)</f>
        <v>19602</v>
      </c>
      <c r="O381" s="453">
        <f t="shared" si="13"/>
        <v>1170239.34</v>
      </c>
      <c r="P381" s="113"/>
      <c r="Q381" s="106">
        <f>IF(ISBLANK(O381), "", VLOOKUP(C381&amp;" "&amp;D381, 'Info Tipo de Cambio y REM'!$A$24:$B$35, 2, FALSE))</f>
        <v>1215</v>
      </c>
      <c r="R381" s="107">
        <f t="shared" si="2"/>
        <v>963.1599506</v>
      </c>
    </row>
    <row r="382">
      <c r="A382" s="443" t="s">
        <v>214</v>
      </c>
      <c r="B382" s="43" t="str">
        <f>IF(A382="", "", IFERROR(VLOOKUP(A382, Clasificaciones!A:B, 2, FALSE), "DATO NO CARGADO"))
</f>
        <v>Equipo</v>
      </c>
      <c r="C382" s="51" t="s">
        <v>155</v>
      </c>
      <c r="D382" s="43">
        <v>2025.0</v>
      </c>
      <c r="E382" s="43" t="s">
        <v>1124</v>
      </c>
      <c r="F382" s="43"/>
      <c r="G382" s="43" t="s">
        <v>1176</v>
      </c>
      <c r="H382" s="43" t="s">
        <v>1126</v>
      </c>
      <c r="I382" s="43" t="s">
        <v>1129</v>
      </c>
      <c r="J382" s="43" t="s">
        <v>183</v>
      </c>
      <c r="K382" s="443">
        <v>160.0</v>
      </c>
      <c r="L382" s="451">
        <f>82.5+13.58+0.5</f>
        <v>96.58</v>
      </c>
      <c r="M382" s="443">
        <v>159.5</v>
      </c>
      <c r="N382" s="452">
        <f t="array" ref="N382">IFERROR(
  INDEX(
    'Valor Hora Real y Estimada'!$A$4:$Z$78,
    MATCH(TRIM(CLEAN(A382)), 'Valor Hora Real y Estimada'!$A$4:$A$78, 0),
    MATCH(
      TEXT(C382,"dd mmm")&amp;" "&amp;D382,
      'Valor Hora Real y Estimada'!$A$3:$Z$3,
      0
    ) + 1
  ),
  0
)</f>
        <v>10000</v>
      </c>
      <c r="O382" s="453">
        <f t="shared" si="13"/>
        <v>1595000</v>
      </c>
      <c r="P382" s="113"/>
      <c r="Q382" s="106">
        <f>IF(ISBLANK(O382), "", VLOOKUP(C382&amp;" "&amp;D382, 'Info Tipo de Cambio y REM'!$A$24:$B$35, 2, FALSE))</f>
        <v>1215</v>
      </c>
      <c r="R382" s="107">
        <f t="shared" si="2"/>
        <v>1312.757202</v>
      </c>
    </row>
    <row r="383">
      <c r="A383" s="443" t="s">
        <v>207</v>
      </c>
      <c r="B383" s="43" t="str">
        <f>IF(A383="", "", IFERROR(VLOOKUP(A383, Clasificaciones!A:B, 2, FALSE), "DATO NO CARGADO"))
</f>
        <v>Equipo</v>
      </c>
      <c r="C383" s="51" t="s">
        <v>155</v>
      </c>
      <c r="D383" s="43">
        <v>2025.0</v>
      </c>
      <c r="E383" s="43" t="s">
        <v>1124</v>
      </c>
      <c r="F383" s="43"/>
      <c r="G383" s="43" t="s">
        <v>1176</v>
      </c>
      <c r="H383" s="43" t="s">
        <v>1126</v>
      </c>
      <c r="I383" s="43" t="s">
        <v>1129</v>
      </c>
      <c r="J383" s="43" t="s">
        <v>183</v>
      </c>
      <c r="K383" s="443">
        <v>90.0</v>
      </c>
      <c r="L383" s="451">
        <v>86.82</v>
      </c>
      <c r="M383" s="443">
        <v>84.5</v>
      </c>
      <c r="N383" s="452">
        <f t="array" ref="N383">IFERROR(
  INDEX(
    'Valor Hora Real y Estimada'!$A$4:$Z$78,
    MATCH(TRIM(CLEAN(A383)), 'Valor Hora Real y Estimada'!$A$4:$A$78, 0),
    MATCH(
      TEXT(C383,"dd mmm")&amp;" "&amp;D383,
      'Valor Hora Real y Estimada'!$A$3:$Z$3,
      0
    ) + 1
  ),
  0
)</f>
        <v>11000</v>
      </c>
      <c r="O383" s="453">
        <f t="shared" si="13"/>
        <v>929500</v>
      </c>
      <c r="P383" s="113"/>
      <c r="Q383" s="106">
        <f>IF(ISBLANK(O383), "", VLOOKUP(C383&amp;" "&amp;D383, 'Info Tipo de Cambio y REM'!$A$24:$B$35, 2, FALSE))</f>
        <v>1215</v>
      </c>
      <c r="R383" s="107">
        <f t="shared" si="2"/>
        <v>765.0205761</v>
      </c>
    </row>
    <row r="384">
      <c r="A384" s="443" t="s">
        <v>87</v>
      </c>
      <c r="B384" s="43" t="str">
        <f>IF(A384="", "", IFERROR(VLOOKUP(A384, Clasificaciones!A:B, 2, FALSE), "DATO NO CARGADO"))
</f>
        <v>Equipo</v>
      </c>
      <c r="C384" s="51" t="s">
        <v>155</v>
      </c>
      <c r="D384" s="43">
        <v>2025.0</v>
      </c>
      <c r="E384" s="43" t="s">
        <v>1124</v>
      </c>
      <c r="F384" s="43"/>
      <c r="G384" s="43" t="s">
        <v>1176</v>
      </c>
      <c r="H384" s="43" t="s">
        <v>1126</v>
      </c>
      <c r="I384" s="43" t="s">
        <v>1129</v>
      </c>
      <c r="J384" s="43" t="s">
        <v>183</v>
      </c>
      <c r="K384" s="443">
        <v>20.0</v>
      </c>
      <c r="L384" s="451">
        <v>8.2</v>
      </c>
      <c r="M384" s="443">
        <v>8.2</v>
      </c>
      <c r="N384" s="452">
        <f t="array" ref="N384">IFERROR(
  INDEX(
    'Valor Hora Real y Estimada'!$A$4:$Z$78,
    MATCH(TRIM(CLEAN(A384)), 'Valor Hora Real y Estimada'!$A$4:$A$78, 0),
    MATCH(
      TEXT(C384,"dd mmm")&amp;" "&amp;D384,
      'Valor Hora Real y Estimada'!$A$3:$Z$3,
      0
    ) + 1
  ),
  0
)</f>
        <v>11000</v>
      </c>
      <c r="O384" s="453">
        <f t="shared" si="13"/>
        <v>90200</v>
      </c>
      <c r="P384" s="113"/>
      <c r="Q384" s="106">
        <f>IF(ISBLANK(O384), "", VLOOKUP(C384&amp;" "&amp;D384, 'Info Tipo de Cambio y REM'!$A$24:$B$35, 2, FALSE))</f>
        <v>1215</v>
      </c>
      <c r="R384" s="107">
        <f t="shared" si="2"/>
        <v>74.23868313</v>
      </c>
    </row>
    <row r="385">
      <c r="A385" s="443" t="s">
        <v>230</v>
      </c>
      <c r="B385" s="43" t="str">
        <f>IF(A385="", "", IFERROR(VLOOKUP(A385, Clasificaciones!A:B, 2, FALSE), "DATO NO CARGADO"))
</f>
        <v>Equipo</v>
      </c>
      <c r="C385" s="51" t="s">
        <v>155</v>
      </c>
      <c r="D385" s="43">
        <v>2025.0</v>
      </c>
      <c r="E385" s="43" t="s">
        <v>1124</v>
      </c>
      <c r="F385" s="43"/>
      <c r="G385" s="43" t="s">
        <v>1176</v>
      </c>
      <c r="H385" s="43" t="s">
        <v>1126</v>
      </c>
      <c r="I385" s="43" t="s">
        <v>1129</v>
      </c>
      <c r="J385" s="43" t="s">
        <v>183</v>
      </c>
      <c r="K385" s="443">
        <v>160.0</v>
      </c>
      <c r="L385" s="451">
        <f>97.17+12.92</f>
        <v>110.09</v>
      </c>
      <c r="M385" s="443">
        <f>155.3-0.05</f>
        <v>155.25</v>
      </c>
      <c r="N385" s="452">
        <f t="array" ref="N385">IFERROR(
  INDEX(
    'Valor Hora Real y Estimada'!$A$4:$Z$78,
    MATCH(TRIM(CLEAN(A385)), 'Valor Hora Real y Estimada'!$A$4:$A$78, 0),
    MATCH(
      TEXT(C385,"dd mmm")&amp;" "&amp;D385,
      'Valor Hora Real y Estimada'!$A$3:$Z$3,
      0
    ) + 1
  ),
  0
)</f>
        <v>11900</v>
      </c>
      <c r="O385" s="453">
        <f t="shared" si="13"/>
        <v>1847475</v>
      </c>
      <c r="P385" s="113"/>
      <c r="Q385" s="106">
        <f>IF(ISBLANK(O385), "", VLOOKUP(C385&amp;" "&amp;D385, 'Info Tipo de Cambio y REM'!$A$24:$B$35, 2, FALSE))</f>
        <v>1215</v>
      </c>
      <c r="R385" s="107">
        <f t="shared" si="2"/>
        <v>1520.555556</v>
      </c>
    </row>
    <row r="386" hidden="1">
      <c r="A386" s="443" t="s">
        <v>120</v>
      </c>
      <c r="B386" s="43" t="str">
        <f>IF(A386="", "", IFERROR(VLOOKUP(A386, Clasificaciones!A:B, 2, FALSE), "DATO NO CARGADO"))
</f>
        <v>Equipo</v>
      </c>
      <c r="C386" s="51" t="s">
        <v>155</v>
      </c>
      <c r="D386" s="43">
        <v>2025.0</v>
      </c>
      <c r="E386" s="43" t="s">
        <v>1124</v>
      </c>
      <c r="F386" s="43"/>
      <c r="G386" s="43" t="s">
        <v>1177</v>
      </c>
      <c r="H386" s="43" t="s">
        <v>1126</v>
      </c>
      <c r="I386" s="43" t="s">
        <v>1168</v>
      </c>
      <c r="J386" s="43" t="s">
        <v>204</v>
      </c>
      <c r="K386" s="443">
        <v>10.0</v>
      </c>
      <c r="L386" s="451">
        <v>26.93</v>
      </c>
      <c r="M386" s="443">
        <v>26.9</v>
      </c>
      <c r="N386" s="452">
        <f t="array" ref="N386">IFERROR(
  INDEX(
    'Valor Hora Real y Estimada'!$A$4:$Z$78,
    MATCH(TRIM(CLEAN(A386)), 'Valor Hora Real y Estimada'!$A$4:$A$78, 0),
    MATCH(
      TEXT(C386,"dd mmm")&amp;" "&amp;D386,
      'Valor Hora Real y Estimada'!$A$3:$Z$3,
      0
    ) + 1
  ),
  0
)</f>
        <v>24166.66667</v>
      </c>
      <c r="O386" s="453">
        <f t="shared" si="13"/>
        <v>650083.3333</v>
      </c>
      <c r="P386" s="113"/>
      <c r="Q386" s="106">
        <f>IF(ISBLANK(O386), "", VLOOKUP(C386&amp;" "&amp;D386, 'Info Tipo de Cambio y REM'!$A$24:$B$35, 2, FALSE))</f>
        <v>1215</v>
      </c>
      <c r="R386" s="107">
        <f t="shared" si="2"/>
        <v>535.048011</v>
      </c>
    </row>
    <row r="387" hidden="1">
      <c r="A387" s="443" t="s">
        <v>197</v>
      </c>
      <c r="B387" s="43" t="str">
        <f>IF(A387="", "", IFERROR(VLOOKUP(A387, Clasificaciones!A:B, 2, FALSE), "DATO NO CARGADO"))
</f>
        <v>Equipo</v>
      </c>
      <c r="C387" s="51" t="s">
        <v>155</v>
      </c>
      <c r="D387" s="43">
        <v>2025.0</v>
      </c>
      <c r="E387" s="43" t="s">
        <v>1124</v>
      </c>
      <c r="F387" s="43"/>
      <c r="G387" s="43" t="s">
        <v>1177</v>
      </c>
      <c r="H387" s="43" t="s">
        <v>1126</v>
      </c>
      <c r="I387" s="43" t="s">
        <v>1168</v>
      </c>
      <c r="J387" s="43" t="s">
        <v>204</v>
      </c>
      <c r="K387" s="443">
        <v>40.0</v>
      </c>
      <c r="L387" s="451">
        <v>19.67</v>
      </c>
      <c r="M387" s="443">
        <v>20.0</v>
      </c>
      <c r="N387" s="452">
        <f t="array" ref="N387">IFERROR(
  INDEX(
    'Valor Hora Real y Estimada'!$A$4:$Z$78,
    MATCH(TRIM(CLEAN(A387)), 'Valor Hora Real y Estimada'!$A$4:$A$78, 0),
    MATCH(
      TEXT(C387,"dd mmm")&amp;" "&amp;D387,
      'Valor Hora Real y Estimada'!$A$3:$Z$3,
      0
    ) + 1
  ),
  0
)</f>
        <v>12743</v>
      </c>
      <c r="O387" s="453">
        <f t="shared" si="13"/>
        <v>254860</v>
      </c>
      <c r="P387" s="113"/>
      <c r="Q387" s="106">
        <f>IF(ISBLANK(O387), "", VLOOKUP(C387&amp;" "&amp;D387, 'Info Tipo de Cambio y REM'!$A$24:$B$35, 2, FALSE))</f>
        <v>1215</v>
      </c>
      <c r="R387" s="107">
        <f t="shared" si="2"/>
        <v>209.7613169</v>
      </c>
    </row>
    <row r="388" hidden="1">
      <c r="A388" s="443" t="s">
        <v>221</v>
      </c>
      <c r="B388" s="43" t="str">
        <f>IF(A388="", "", IFERROR(VLOOKUP(A388, Clasificaciones!A:B, 2, FALSE), "DATO NO CARGADO"))
</f>
        <v>Equipo</v>
      </c>
      <c r="C388" s="51" t="s">
        <v>155</v>
      </c>
      <c r="D388" s="43">
        <v>2025.0</v>
      </c>
      <c r="E388" s="43" t="s">
        <v>1124</v>
      </c>
      <c r="F388" s="43"/>
      <c r="G388" s="43" t="s">
        <v>1177</v>
      </c>
      <c r="H388" s="43" t="s">
        <v>1126</v>
      </c>
      <c r="I388" s="43" t="s">
        <v>1168</v>
      </c>
      <c r="J388" s="43" t="s">
        <v>204</v>
      </c>
      <c r="K388" s="443">
        <v>0.0</v>
      </c>
      <c r="L388" s="451">
        <v>0.83</v>
      </c>
      <c r="M388" s="443">
        <v>0.8</v>
      </c>
      <c r="N388" s="452">
        <f t="array" ref="N388">IFERROR(
  INDEX(
    'Valor Hora Real y Estimada'!$A$4:$Z$78,
    MATCH(TRIM(CLEAN(A388)), 'Valor Hora Real y Estimada'!$A$4:$A$78, 0),
    MATCH(
      TEXT(C388,"dd mmm")&amp;" "&amp;D388,
      'Valor Hora Real y Estimada'!$A$3:$Z$3,
      0
    ) + 1
  ),
  0
)</f>
        <v>10981</v>
      </c>
      <c r="O388" s="453">
        <f t="shared" si="13"/>
        <v>8784.8</v>
      </c>
      <c r="P388" s="113"/>
      <c r="Q388" s="106">
        <f>IF(ISBLANK(O388), "", VLOOKUP(C388&amp;" "&amp;D388, 'Info Tipo de Cambio y REM'!$A$24:$B$35, 2, FALSE))</f>
        <v>1215</v>
      </c>
      <c r="R388" s="107">
        <f t="shared" si="2"/>
        <v>7.230288066</v>
      </c>
    </row>
    <row r="389" hidden="1">
      <c r="A389" s="443" t="s">
        <v>205</v>
      </c>
      <c r="B389" s="43" t="str">
        <f>IF(A389="", "", IFERROR(VLOOKUP(A389, Clasificaciones!A:B, 2, FALSE), "DATO NO CARGADO"))
</f>
        <v>Equipo</v>
      </c>
      <c r="C389" s="51" t="s">
        <v>155</v>
      </c>
      <c r="D389" s="43">
        <v>2025.0</v>
      </c>
      <c r="E389" s="43" t="s">
        <v>1124</v>
      </c>
      <c r="F389" s="43"/>
      <c r="G389" s="43" t="s">
        <v>1177</v>
      </c>
      <c r="H389" s="43" t="s">
        <v>1126</v>
      </c>
      <c r="I389" s="43" t="s">
        <v>1168</v>
      </c>
      <c r="J389" s="43" t="s">
        <v>204</v>
      </c>
      <c r="K389" s="443">
        <v>70.0</v>
      </c>
      <c r="L389" s="451">
        <v>9.32</v>
      </c>
      <c r="M389" s="443">
        <v>9.3</v>
      </c>
      <c r="N389" s="452">
        <f t="array" ref="N389">IFERROR(
  INDEX(
    'Valor Hora Real y Estimada'!$A$4:$Z$78,
    MATCH(TRIM(CLEAN(A389)), 'Valor Hora Real y Estimada'!$A$4:$A$78, 0),
    MATCH(
      TEXT(C389,"dd mmm")&amp;" "&amp;D389,
      'Valor Hora Real y Estimada'!$A$3:$Z$3,
      0
    ) + 1
  ),
  0
)</f>
        <v>10000</v>
      </c>
      <c r="O389" s="453">
        <f t="shared" si="13"/>
        <v>93000</v>
      </c>
      <c r="P389" s="113"/>
      <c r="Q389" s="106">
        <f>IF(ISBLANK(O389), "", VLOOKUP(C389&amp;" "&amp;D389, 'Info Tipo de Cambio y REM'!$A$24:$B$35, 2, FALSE))</f>
        <v>1215</v>
      </c>
      <c r="R389" s="107">
        <f t="shared" si="2"/>
        <v>76.54320988</v>
      </c>
    </row>
    <row r="390" hidden="1">
      <c r="A390" s="443" t="s">
        <v>203</v>
      </c>
      <c r="B390" s="43" t="str">
        <f>IF(A390="", "", IFERROR(VLOOKUP(A390, Clasificaciones!A:B, 2, FALSE), "DATO NO CARGADO"))
</f>
        <v>Equipo</v>
      </c>
      <c r="C390" s="51" t="s">
        <v>155</v>
      </c>
      <c r="D390" s="43">
        <v>2025.0</v>
      </c>
      <c r="E390" s="43" t="s">
        <v>1124</v>
      </c>
      <c r="F390" s="43"/>
      <c r="G390" s="43" t="s">
        <v>1177</v>
      </c>
      <c r="H390" s="43" t="s">
        <v>1126</v>
      </c>
      <c r="I390" s="43" t="s">
        <v>1168</v>
      </c>
      <c r="J390" s="43" t="s">
        <v>204</v>
      </c>
      <c r="K390" s="443">
        <v>100.0</v>
      </c>
      <c r="L390" s="451">
        <v>7.33</v>
      </c>
      <c r="M390" s="443">
        <v>7.3</v>
      </c>
      <c r="N390" s="452">
        <f t="array" ref="N390">IFERROR(
  INDEX(
    'Valor Hora Real y Estimada'!$A$4:$Z$78,
    MATCH(TRIM(CLEAN(A390)), 'Valor Hora Real y Estimada'!$A$4:$A$78, 0),
    MATCH(
      TEXT(C390,"dd mmm")&amp;" "&amp;D390,
      'Valor Hora Real y Estimada'!$A$3:$Z$3,
      0
    ) + 1
  ),
  0
)</f>
        <v>9867</v>
      </c>
      <c r="O390" s="453">
        <f t="shared" si="13"/>
        <v>72029.1</v>
      </c>
      <c r="P390" s="113"/>
      <c r="Q390" s="106">
        <f>IF(ISBLANK(O390), "", VLOOKUP(C390&amp;" "&amp;D390, 'Info Tipo de Cambio y REM'!$A$24:$B$35, 2, FALSE))</f>
        <v>1215</v>
      </c>
      <c r="R390" s="107">
        <f t="shared" si="2"/>
        <v>59.28320988</v>
      </c>
    </row>
    <row r="391" hidden="1">
      <c r="A391" s="443" t="s">
        <v>87</v>
      </c>
      <c r="B391" s="43" t="str">
        <f>IF(A391="", "", IFERROR(VLOOKUP(A391, Clasificaciones!A:B, 2, FALSE), "DATO NO CARGADO"))
</f>
        <v>Equipo</v>
      </c>
      <c r="C391" s="51" t="s">
        <v>155</v>
      </c>
      <c r="D391" s="43">
        <v>2025.0</v>
      </c>
      <c r="E391" s="43" t="s">
        <v>1124</v>
      </c>
      <c r="F391" s="43"/>
      <c r="G391" s="43" t="s">
        <v>1177</v>
      </c>
      <c r="H391" s="43" t="s">
        <v>1126</v>
      </c>
      <c r="I391" s="43" t="s">
        <v>1168</v>
      </c>
      <c r="J391" s="43" t="s">
        <v>204</v>
      </c>
      <c r="K391" s="443">
        <v>13.0</v>
      </c>
      <c r="L391" s="451">
        <v>3.25</v>
      </c>
      <c r="M391" s="443">
        <v>3.3</v>
      </c>
      <c r="N391" s="452">
        <f t="array" ref="N391">IFERROR(
  INDEX(
    'Valor Hora Real y Estimada'!$A$4:$Z$78,
    MATCH(TRIM(CLEAN(A391)), 'Valor Hora Real y Estimada'!$A$4:$A$78, 0),
    MATCH(
      TEXT(C391,"dd mmm")&amp;" "&amp;D391,
      'Valor Hora Real y Estimada'!$A$3:$Z$3,
      0
    ) + 1
  ),
  0
)</f>
        <v>11000</v>
      </c>
      <c r="O391" s="453">
        <f t="shared" si="13"/>
        <v>36300</v>
      </c>
      <c r="P391" s="113"/>
      <c r="Q391" s="106">
        <f>IF(ISBLANK(O391), "", VLOOKUP(C391&amp;" "&amp;D391, 'Info Tipo de Cambio y REM'!$A$24:$B$35, 2, FALSE))</f>
        <v>1215</v>
      </c>
      <c r="R391" s="107">
        <f t="shared" si="2"/>
        <v>29.87654321</v>
      </c>
    </row>
    <row r="392" hidden="1">
      <c r="A392" s="443" t="s">
        <v>217</v>
      </c>
      <c r="B392" s="43" t="str">
        <f>IF(A392="", "", IFERROR(VLOOKUP(A392, Clasificaciones!A:B, 2, FALSE), "DATO NO CARGADO"))
</f>
        <v>Equipo</v>
      </c>
      <c r="C392" s="51" t="s">
        <v>155</v>
      </c>
      <c r="D392" s="43">
        <v>2025.0</v>
      </c>
      <c r="E392" s="43" t="s">
        <v>1124</v>
      </c>
      <c r="F392" s="43"/>
      <c r="G392" s="43" t="s">
        <v>1177</v>
      </c>
      <c r="H392" s="43" t="s">
        <v>1126</v>
      </c>
      <c r="I392" s="43" t="s">
        <v>1168</v>
      </c>
      <c r="J392" s="43" t="s">
        <v>204</v>
      </c>
      <c r="K392" s="443">
        <v>100.0</v>
      </c>
      <c r="L392" s="451">
        <v>10.08</v>
      </c>
      <c r="M392" s="443">
        <v>10.1</v>
      </c>
      <c r="N392" s="452">
        <f t="array" ref="N392">IFERROR(
  INDEX(
    'Valor Hora Real y Estimada'!$A$4:$Z$78,
    MATCH(TRIM(CLEAN(A392)), 'Valor Hora Real y Estimada'!$A$4:$A$78, 0),
    MATCH(
      TEXT(C392,"dd mmm")&amp;" "&amp;D392,
      'Valor Hora Real y Estimada'!$A$3:$Z$3,
      0
    ) + 1
  ),
  0
)</f>
        <v>9688</v>
      </c>
      <c r="O392" s="453">
        <f t="shared" si="13"/>
        <v>97848.8</v>
      </c>
      <c r="P392" s="113"/>
      <c r="Q392" s="106">
        <f>IF(ISBLANK(O392), "", VLOOKUP(C392&amp;" "&amp;D392, 'Info Tipo de Cambio y REM'!$A$24:$B$35, 2, FALSE))</f>
        <v>1215</v>
      </c>
      <c r="R392" s="107">
        <f t="shared" si="2"/>
        <v>80.53399177</v>
      </c>
    </row>
    <row r="393" hidden="1">
      <c r="A393" s="443" t="s">
        <v>210</v>
      </c>
      <c r="B393" s="43" t="str">
        <f>IF(A393="", "", IFERROR(VLOOKUP(A393, Clasificaciones!A:B, 2, FALSE), "DATO NO CARGADO"))
</f>
        <v>Equipo</v>
      </c>
      <c r="C393" s="51" t="s">
        <v>155</v>
      </c>
      <c r="D393" s="43">
        <v>2025.0</v>
      </c>
      <c r="E393" s="43" t="s">
        <v>1124</v>
      </c>
      <c r="F393" s="43"/>
      <c r="G393" s="43" t="s">
        <v>1177</v>
      </c>
      <c r="H393" s="43" t="s">
        <v>1126</v>
      </c>
      <c r="I393" s="43" t="s">
        <v>1168</v>
      </c>
      <c r="J393" s="43" t="s">
        <v>204</v>
      </c>
      <c r="K393" s="443">
        <v>4.0</v>
      </c>
      <c r="L393" s="451">
        <v>3.5</v>
      </c>
      <c r="M393" s="443">
        <v>3.5</v>
      </c>
      <c r="N393" s="452">
        <f t="array" ref="N393">IFERROR(
  INDEX(
    'Valor Hora Real y Estimada'!$A$4:$Z$78,
    MATCH(TRIM(CLEAN(A393)), 'Valor Hora Real y Estimada'!$A$4:$A$78, 0),
    MATCH(
      TEXT(C393,"dd mmm")&amp;" "&amp;D393,
      'Valor Hora Real y Estimada'!$A$3:$Z$3,
      0
    ) + 1
  ),
  0
)</f>
        <v>16760</v>
      </c>
      <c r="O393" s="453">
        <f t="shared" si="13"/>
        <v>58660</v>
      </c>
      <c r="P393" s="113"/>
      <c r="Q393" s="106">
        <f>IF(ISBLANK(O393), "", VLOOKUP(C393&amp;" "&amp;D393, 'Info Tipo de Cambio y REM'!$A$24:$B$35, 2, FALSE))</f>
        <v>1215</v>
      </c>
      <c r="R393" s="107">
        <f t="shared" si="2"/>
        <v>48.27983539</v>
      </c>
    </row>
    <row r="394" hidden="1">
      <c r="A394" s="443" t="s">
        <v>120</v>
      </c>
      <c r="B394" s="43" t="str">
        <f>IF(A394="", "", IFERROR(VLOOKUP(A394, Clasificaciones!A:B, 2, FALSE), "DATO NO CARGADO"))
</f>
        <v>Equipo</v>
      </c>
      <c r="C394" s="51" t="s">
        <v>155</v>
      </c>
      <c r="D394" s="43">
        <v>2025.0</v>
      </c>
      <c r="E394" s="43" t="s">
        <v>1124</v>
      </c>
      <c r="F394" s="43"/>
      <c r="G394" s="43" t="s">
        <v>1178</v>
      </c>
      <c r="H394" s="43" t="s">
        <v>1126</v>
      </c>
      <c r="I394" s="43" t="s">
        <v>1127</v>
      </c>
      <c r="J394" s="43" t="s">
        <v>180</v>
      </c>
      <c r="K394" s="443">
        <v>5.0</v>
      </c>
      <c r="L394" s="451">
        <v>9.33</v>
      </c>
      <c r="M394" s="443">
        <v>2.0</v>
      </c>
      <c r="N394" s="452">
        <f t="array" ref="N394">IFERROR(
  INDEX(
    'Valor Hora Real y Estimada'!$A$4:$Z$78,
    MATCH(TRIM(CLEAN(A394)), 'Valor Hora Real y Estimada'!$A$4:$A$78, 0),
    MATCH(
      TEXT(C394,"dd mmm")&amp;" "&amp;D394,
      'Valor Hora Real y Estimada'!$A$3:$Z$3,
      0
    ) + 1
  ),
  0
)</f>
        <v>24166.66667</v>
      </c>
      <c r="O394" s="453">
        <f t="shared" si="13"/>
        <v>48333.33333</v>
      </c>
      <c r="P394" s="113"/>
      <c r="Q394" s="106">
        <f>IF(ISBLANK(O394), "", VLOOKUP(C394&amp;" "&amp;D394, 'Info Tipo de Cambio y REM'!$A$24:$B$35, 2, FALSE))</f>
        <v>1215</v>
      </c>
      <c r="R394" s="107">
        <f t="shared" si="2"/>
        <v>39.78052126</v>
      </c>
    </row>
    <row r="395" hidden="1">
      <c r="A395" s="443" t="s">
        <v>197</v>
      </c>
      <c r="B395" s="43" t="str">
        <f>IF(A395="", "", IFERROR(VLOOKUP(A395, Clasificaciones!A:B, 2, FALSE), "DATO NO CARGADO"))
</f>
        <v>Equipo</v>
      </c>
      <c r="C395" s="51" t="s">
        <v>155</v>
      </c>
      <c r="D395" s="43">
        <v>2025.0</v>
      </c>
      <c r="E395" s="43" t="s">
        <v>1124</v>
      </c>
      <c r="F395" s="43"/>
      <c r="G395" s="43" t="s">
        <v>1178</v>
      </c>
      <c r="H395" s="43" t="s">
        <v>1126</v>
      </c>
      <c r="I395" s="43" t="s">
        <v>1127</v>
      </c>
      <c r="J395" s="43" t="s">
        <v>180</v>
      </c>
      <c r="K395" s="443">
        <v>45.0</v>
      </c>
      <c r="L395" s="451">
        <v>50.58</v>
      </c>
      <c r="M395" s="443">
        <v>45.0</v>
      </c>
      <c r="N395" s="452">
        <f t="array" ref="N395">IFERROR(
  INDEX(
    'Valor Hora Real y Estimada'!$A$4:$Z$78,
    MATCH(TRIM(CLEAN(A395)), 'Valor Hora Real y Estimada'!$A$4:$A$78, 0),
    MATCH(
      TEXT(C395,"dd mmm")&amp;" "&amp;D395,
      'Valor Hora Real y Estimada'!$A$3:$Z$3,
      0
    ) + 1
  ),
  0
)</f>
        <v>12743</v>
      </c>
      <c r="O395" s="453">
        <f t="shared" si="13"/>
        <v>573435</v>
      </c>
      <c r="P395" s="113"/>
      <c r="Q395" s="106">
        <f>IF(ISBLANK(O395), "", VLOOKUP(C395&amp;" "&amp;D395, 'Info Tipo de Cambio y REM'!$A$24:$B$35, 2, FALSE))</f>
        <v>1215</v>
      </c>
      <c r="R395" s="107">
        <f t="shared" si="2"/>
        <v>471.962963</v>
      </c>
    </row>
    <row r="396" hidden="1">
      <c r="A396" s="443" t="s">
        <v>203</v>
      </c>
      <c r="B396" s="43" t="str">
        <f>IF(A396="", "", IFERROR(VLOOKUP(A396, Clasificaciones!A:B, 2, FALSE), "DATO NO CARGADO"))
</f>
        <v>Equipo</v>
      </c>
      <c r="C396" s="51" t="s">
        <v>155</v>
      </c>
      <c r="D396" s="43">
        <v>2025.0</v>
      </c>
      <c r="E396" s="43" t="s">
        <v>1124</v>
      </c>
      <c r="F396" s="43"/>
      <c r="G396" s="43" t="s">
        <v>1178</v>
      </c>
      <c r="H396" s="43" t="s">
        <v>1126</v>
      </c>
      <c r="I396" s="43" t="s">
        <v>1127</v>
      </c>
      <c r="J396" s="43" t="s">
        <v>180</v>
      </c>
      <c r="K396" s="443">
        <v>40.0</v>
      </c>
      <c r="L396" s="451">
        <f>62.67+5.22</f>
        <v>67.89</v>
      </c>
      <c r="M396" s="443">
        <f>67.9+0.01651971217</f>
        <v>67.91651971</v>
      </c>
      <c r="N396" s="452">
        <f t="array" ref="N396">IFERROR(
  INDEX(
    'Valor Hora Real y Estimada'!$A$4:$Z$78,
    MATCH(TRIM(CLEAN(A396)), 'Valor Hora Real y Estimada'!$A$4:$A$78, 0),
    MATCH(
      TEXT(C396,"dd mmm")&amp;" "&amp;D396,
      'Valor Hora Real y Estimada'!$A$3:$Z$3,
      0
    ) + 1
  ),
  0
)</f>
        <v>9867</v>
      </c>
      <c r="O396" s="453">
        <f t="shared" si="13"/>
        <v>670132.3</v>
      </c>
      <c r="P396" s="113"/>
      <c r="Q396" s="106">
        <f>IF(ISBLANK(O396), "", VLOOKUP(C396&amp;" "&amp;D396, 'Info Tipo de Cambio y REM'!$A$24:$B$35, 2, FALSE))</f>
        <v>1215</v>
      </c>
      <c r="R396" s="107">
        <f t="shared" si="2"/>
        <v>551.5492181</v>
      </c>
    </row>
    <row r="397" hidden="1">
      <c r="A397" s="443" t="s">
        <v>87</v>
      </c>
      <c r="B397" s="43" t="str">
        <f>IF(A397="", "", IFERROR(VLOOKUP(A397, Clasificaciones!A:B, 2, FALSE), "DATO NO CARGADO"))
</f>
        <v>Equipo</v>
      </c>
      <c r="C397" s="51" t="s">
        <v>155</v>
      </c>
      <c r="D397" s="43">
        <v>2025.0</v>
      </c>
      <c r="E397" s="43" t="s">
        <v>1124</v>
      </c>
      <c r="F397" s="43"/>
      <c r="G397" s="43" t="s">
        <v>1178</v>
      </c>
      <c r="H397" s="43" t="s">
        <v>1126</v>
      </c>
      <c r="I397" s="43" t="s">
        <v>1127</v>
      </c>
      <c r="J397" s="43" t="s">
        <v>180</v>
      </c>
      <c r="K397" s="443">
        <v>10.0</v>
      </c>
      <c r="L397" s="451">
        <v>12.9</v>
      </c>
      <c r="M397" s="443">
        <v>12.9</v>
      </c>
      <c r="N397" s="452">
        <f t="array" ref="N397">IFERROR(
  INDEX(
    'Valor Hora Real y Estimada'!$A$4:$Z$78,
    MATCH(TRIM(CLEAN(A397)), 'Valor Hora Real y Estimada'!$A$4:$A$78, 0),
    MATCH(
      TEXT(C397,"dd mmm")&amp;" "&amp;D397,
      'Valor Hora Real y Estimada'!$A$3:$Z$3,
      0
    ) + 1
  ),
  0
)</f>
        <v>11000</v>
      </c>
      <c r="O397" s="453">
        <f t="shared" si="13"/>
        <v>141900</v>
      </c>
      <c r="P397" s="113"/>
      <c r="Q397" s="106">
        <f>IF(ISBLANK(O397), "", VLOOKUP(C397&amp;" "&amp;D397, 'Info Tipo de Cambio y REM'!$A$24:$B$35, 2, FALSE))</f>
        <v>1215</v>
      </c>
      <c r="R397" s="107">
        <f t="shared" si="2"/>
        <v>116.7901235</v>
      </c>
    </row>
    <row r="398" hidden="1">
      <c r="A398" s="443" t="s">
        <v>210</v>
      </c>
      <c r="B398" s="43" t="str">
        <f>IF(A398="", "", IFERROR(VLOOKUP(A398, Clasificaciones!A:B, 2, FALSE), "DATO NO CARGADO"))
</f>
        <v>Equipo</v>
      </c>
      <c r="C398" s="51" t="s">
        <v>155</v>
      </c>
      <c r="D398" s="43">
        <v>2025.0</v>
      </c>
      <c r="E398" s="43" t="s">
        <v>1124</v>
      </c>
      <c r="F398" s="43"/>
      <c r="G398" s="43" t="s">
        <v>1178</v>
      </c>
      <c r="H398" s="43" t="s">
        <v>1126</v>
      </c>
      <c r="I398" s="43" t="s">
        <v>1127</v>
      </c>
      <c r="J398" s="43" t="s">
        <v>180</v>
      </c>
      <c r="K398" s="443">
        <v>6.0</v>
      </c>
      <c r="L398" s="451">
        <f>3.5+3</f>
        <v>6.5</v>
      </c>
      <c r="M398" s="443">
        <v>6.5</v>
      </c>
      <c r="N398" s="452">
        <f t="array" ref="N398">IFERROR(
  INDEX(
    'Valor Hora Real y Estimada'!$A$4:$Z$78,
    MATCH(TRIM(CLEAN(A398)), 'Valor Hora Real y Estimada'!$A$4:$A$78, 0),
    MATCH(
      TEXT(C398,"dd mmm")&amp;" "&amp;D398,
      'Valor Hora Real y Estimada'!$A$3:$Z$3,
      0
    ) + 1
  ),
  0
)</f>
        <v>16760</v>
      </c>
      <c r="O398" s="453">
        <f t="shared" si="13"/>
        <v>108940</v>
      </c>
      <c r="P398" s="113"/>
      <c r="Q398" s="106">
        <f>IF(ISBLANK(O398), "", VLOOKUP(C398&amp;" "&amp;D398, 'Info Tipo de Cambio y REM'!$A$24:$B$35, 2, FALSE))</f>
        <v>1215</v>
      </c>
      <c r="R398" s="107">
        <f t="shared" si="2"/>
        <v>89.66255144</v>
      </c>
    </row>
    <row r="399" hidden="1">
      <c r="A399" s="443" t="s">
        <v>120</v>
      </c>
      <c r="B399" s="43" t="str">
        <f>IF(A399="", "", IFERROR(VLOOKUP(A399, Clasificaciones!A:B, 2, FALSE), "DATO NO CARGADO"))
</f>
        <v>Equipo</v>
      </c>
      <c r="C399" s="51" t="s">
        <v>155</v>
      </c>
      <c r="D399" s="43">
        <v>2025.0</v>
      </c>
      <c r="E399" s="43" t="s">
        <v>1124</v>
      </c>
      <c r="F399" s="43"/>
      <c r="G399" s="43" t="s">
        <v>1171</v>
      </c>
      <c r="H399" s="43" t="s">
        <v>1133</v>
      </c>
      <c r="I399" s="43" t="s">
        <v>1165</v>
      </c>
      <c r="J399" s="43" t="s">
        <v>199</v>
      </c>
      <c r="K399" s="443">
        <v>5.0</v>
      </c>
      <c r="L399" s="451">
        <v>1.33</v>
      </c>
      <c r="M399" s="443">
        <v>1.0</v>
      </c>
      <c r="N399" s="452">
        <f t="array" ref="N399">IFERROR(
  INDEX(
    'Valor Hora Real y Estimada'!$A$4:$Z$78,
    MATCH(TRIM(CLEAN(A399)), 'Valor Hora Real y Estimada'!$A$4:$A$78, 0),
    MATCH(
      TEXT(C399,"dd mmm")&amp;" "&amp;D399,
      'Valor Hora Real y Estimada'!$A$3:$Z$3,
      0
    ) + 1
  ),
  0
)</f>
        <v>24166.66667</v>
      </c>
      <c r="O399" s="453">
        <f t="shared" si="13"/>
        <v>24166.66667</v>
      </c>
      <c r="P399" s="113"/>
      <c r="Q399" s="106">
        <f>IF(ISBLANK(O399), "", VLOOKUP(C399&amp;" "&amp;D399, 'Info Tipo de Cambio y REM'!$A$24:$B$35, 2, FALSE))</f>
        <v>1215</v>
      </c>
      <c r="R399" s="107">
        <f t="shared" si="2"/>
        <v>19.89026063</v>
      </c>
    </row>
    <row r="400" hidden="1">
      <c r="A400" s="443" t="s">
        <v>197</v>
      </c>
      <c r="B400" s="43" t="str">
        <f>IF(A400="", "", IFERROR(VLOOKUP(A400, Clasificaciones!A:B, 2, FALSE), "DATO NO CARGADO"))
</f>
        <v>Equipo</v>
      </c>
      <c r="C400" s="51" t="s">
        <v>155</v>
      </c>
      <c r="D400" s="43">
        <v>2025.0</v>
      </c>
      <c r="E400" s="43" t="s">
        <v>1124</v>
      </c>
      <c r="F400" s="43"/>
      <c r="G400" s="43" t="s">
        <v>1171</v>
      </c>
      <c r="H400" s="43" t="s">
        <v>1133</v>
      </c>
      <c r="I400" s="43" t="s">
        <v>1165</v>
      </c>
      <c r="J400" s="43" t="s">
        <v>199</v>
      </c>
      <c r="K400" s="443">
        <v>50.0</v>
      </c>
      <c r="L400" s="451">
        <v>1.5</v>
      </c>
      <c r="M400" s="443">
        <v>1.5</v>
      </c>
      <c r="N400" s="452">
        <f t="array" ref="N400">IFERROR(
  INDEX(
    'Valor Hora Real y Estimada'!$A$4:$Z$78,
    MATCH(TRIM(CLEAN(A400)), 'Valor Hora Real y Estimada'!$A$4:$A$78, 0),
    MATCH(
      TEXT(C400,"dd mmm")&amp;" "&amp;D400,
      'Valor Hora Real y Estimada'!$A$3:$Z$3,
      0
    ) + 1
  ),
  0
)</f>
        <v>12743</v>
      </c>
      <c r="O400" s="453">
        <f t="shared" si="13"/>
        <v>19114.5</v>
      </c>
      <c r="P400" s="113"/>
      <c r="Q400" s="106">
        <f>IF(ISBLANK(O400), "", VLOOKUP(C400&amp;" "&amp;D400, 'Info Tipo de Cambio y REM'!$A$24:$B$35, 2, FALSE))</f>
        <v>1215</v>
      </c>
      <c r="R400" s="107">
        <f t="shared" si="2"/>
        <v>15.73209877</v>
      </c>
    </row>
    <row r="401" hidden="1">
      <c r="A401" s="443" t="s">
        <v>217</v>
      </c>
      <c r="B401" s="43" t="str">
        <f>IF(A401="", "", IFERROR(VLOOKUP(A401, Clasificaciones!A:B, 2, FALSE), "DATO NO CARGADO"))
</f>
        <v>Equipo</v>
      </c>
      <c r="C401" s="51" t="s">
        <v>155</v>
      </c>
      <c r="D401" s="43">
        <v>2025.0</v>
      </c>
      <c r="E401" s="43" t="s">
        <v>1124</v>
      </c>
      <c r="F401" s="43"/>
      <c r="G401" s="43" t="s">
        <v>1171</v>
      </c>
      <c r="H401" s="43" t="s">
        <v>1133</v>
      </c>
      <c r="I401" s="43" t="s">
        <v>1165</v>
      </c>
      <c r="J401" s="43" t="s">
        <v>199</v>
      </c>
      <c r="K401" s="443">
        <v>70.0</v>
      </c>
      <c r="L401" s="451">
        <v>26.33</v>
      </c>
      <c r="M401" s="443">
        <v>18.3</v>
      </c>
      <c r="N401" s="452">
        <f t="array" ref="N401">IFERROR(
  INDEX(
    'Valor Hora Real y Estimada'!$A$4:$Z$78,
    MATCH(TRIM(CLEAN(A401)), 'Valor Hora Real y Estimada'!$A$4:$A$78, 0),
    MATCH(
      TEXT(C401,"dd mmm")&amp;" "&amp;D401,
      'Valor Hora Real y Estimada'!$A$3:$Z$3,
      0
    ) + 1
  ),
  0
)</f>
        <v>9688</v>
      </c>
      <c r="O401" s="453">
        <f t="shared" si="13"/>
        <v>177290.4</v>
      </c>
      <c r="P401" s="113"/>
      <c r="Q401" s="106">
        <f>IF(ISBLANK(O401), "", VLOOKUP(C401&amp;" "&amp;D401, 'Info Tipo de Cambio y REM'!$A$24:$B$35, 2, FALSE))</f>
        <v>1215</v>
      </c>
      <c r="R401" s="107">
        <f t="shared" si="2"/>
        <v>145.9180247</v>
      </c>
    </row>
    <row r="402" hidden="1">
      <c r="A402" s="443" t="s">
        <v>205</v>
      </c>
      <c r="B402" s="43" t="str">
        <f>IF(A402="", "", IFERROR(VLOOKUP(A402, Clasificaciones!A:B, 2, FALSE), "DATO NO CARGADO"))
</f>
        <v>Equipo</v>
      </c>
      <c r="C402" s="51" t="s">
        <v>155</v>
      </c>
      <c r="D402" s="43">
        <v>2025.0</v>
      </c>
      <c r="E402" s="43" t="s">
        <v>1124</v>
      </c>
      <c r="F402" s="43"/>
      <c r="G402" s="43" t="s">
        <v>1171</v>
      </c>
      <c r="H402" s="43" t="s">
        <v>1133</v>
      </c>
      <c r="I402" s="43" t="s">
        <v>1165</v>
      </c>
      <c r="J402" s="43" t="s">
        <v>199</v>
      </c>
      <c r="K402" s="443">
        <v>40.0</v>
      </c>
      <c r="L402" s="451">
        <v>23.37</v>
      </c>
      <c r="M402" s="443">
        <v>23.4</v>
      </c>
      <c r="N402" s="452">
        <f t="array" ref="N402">IFERROR(
  INDEX(
    'Valor Hora Real y Estimada'!$A$4:$Z$78,
    MATCH(TRIM(CLEAN(A402)), 'Valor Hora Real y Estimada'!$A$4:$A$78, 0),
    MATCH(
      TEXT(C402,"dd mmm")&amp;" "&amp;D402,
      'Valor Hora Real y Estimada'!$A$3:$Z$3,
      0
    ) + 1
  ),
  0
)</f>
        <v>10000</v>
      </c>
      <c r="O402" s="453">
        <f t="shared" si="13"/>
        <v>234000</v>
      </c>
      <c r="P402" s="113"/>
      <c r="Q402" s="106">
        <f>IF(ISBLANK(O402), "", VLOOKUP(C402&amp;" "&amp;D402, 'Info Tipo de Cambio y REM'!$A$24:$B$35, 2, FALSE))</f>
        <v>1215</v>
      </c>
      <c r="R402" s="107">
        <f t="shared" si="2"/>
        <v>192.5925926</v>
      </c>
    </row>
    <row r="403" hidden="1">
      <c r="A403" s="443" t="s">
        <v>87</v>
      </c>
      <c r="B403" s="43" t="str">
        <f>IF(A403="", "", IFERROR(VLOOKUP(A403, Clasificaciones!A:B, 2, FALSE), "DATO NO CARGADO"))
</f>
        <v>Equipo</v>
      </c>
      <c r="C403" s="51" t="s">
        <v>155</v>
      </c>
      <c r="D403" s="43">
        <v>2025.0</v>
      </c>
      <c r="E403" s="43" t="s">
        <v>1124</v>
      </c>
      <c r="F403" s="43"/>
      <c r="G403" s="43" t="s">
        <v>1171</v>
      </c>
      <c r="H403" s="43" t="s">
        <v>1133</v>
      </c>
      <c r="I403" s="43" t="s">
        <v>1165</v>
      </c>
      <c r="J403" s="43" t="s">
        <v>199</v>
      </c>
      <c r="K403" s="443">
        <v>10.0</v>
      </c>
      <c r="L403" s="451">
        <v>2.95</v>
      </c>
      <c r="M403" s="443">
        <v>2.95</v>
      </c>
      <c r="N403" s="452">
        <f t="array" ref="N403">IFERROR(
  INDEX(
    'Valor Hora Real y Estimada'!$A$4:$Z$78,
    MATCH(TRIM(CLEAN(A403)), 'Valor Hora Real y Estimada'!$A$4:$A$78, 0),
    MATCH(
      TEXT(C403,"dd mmm")&amp;" "&amp;D403,
      'Valor Hora Real y Estimada'!$A$3:$Z$3,
      0
    ) + 1
  ),
  0
)</f>
        <v>11000</v>
      </c>
      <c r="O403" s="453">
        <f t="shared" si="13"/>
        <v>32450</v>
      </c>
      <c r="P403" s="113"/>
      <c r="Q403" s="106">
        <f>IF(ISBLANK(O403), "", VLOOKUP(C403&amp;" "&amp;D403, 'Info Tipo de Cambio y REM'!$A$24:$B$35, 2, FALSE))</f>
        <v>1215</v>
      </c>
      <c r="R403" s="107">
        <f t="shared" si="2"/>
        <v>26.70781893</v>
      </c>
    </row>
    <row r="404" hidden="1">
      <c r="A404" s="443" t="s">
        <v>210</v>
      </c>
      <c r="B404" s="43" t="str">
        <f>IF(A404="", "", IFERROR(VLOOKUP(A404, Clasificaciones!A:B, 2, FALSE), "DATO NO CARGADO"))
</f>
        <v>Equipo</v>
      </c>
      <c r="C404" s="51" t="s">
        <v>155</v>
      </c>
      <c r="D404" s="43">
        <v>2025.0</v>
      </c>
      <c r="E404" s="43" t="s">
        <v>1124</v>
      </c>
      <c r="F404" s="43"/>
      <c r="G404" s="43" t="s">
        <v>1171</v>
      </c>
      <c r="H404" s="43" t="s">
        <v>1133</v>
      </c>
      <c r="I404" s="43" t="s">
        <v>1165</v>
      </c>
      <c r="J404" s="43" t="s">
        <v>199</v>
      </c>
      <c r="K404" s="443">
        <v>5.0</v>
      </c>
      <c r="L404" s="451">
        <v>2.0</v>
      </c>
      <c r="M404" s="443">
        <v>2.0</v>
      </c>
      <c r="N404" s="452">
        <f t="array" ref="N404">IFERROR(
  INDEX(
    'Valor Hora Real y Estimada'!$A$4:$Z$78,
    MATCH(TRIM(CLEAN(A404)), 'Valor Hora Real y Estimada'!$A$4:$A$78, 0),
    MATCH(
      TEXT(C404,"dd mmm")&amp;" "&amp;D404,
      'Valor Hora Real y Estimada'!$A$3:$Z$3,
      0
    ) + 1
  ),
  0
)</f>
        <v>16760</v>
      </c>
      <c r="O404" s="453">
        <f t="shared" si="13"/>
        <v>33520</v>
      </c>
      <c r="P404" s="113"/>
      <c r="Q404" s="106">
        <f>IF(ISBLANK(O404), "", VLOOKUP(C404&amp;" "&amp;D404, 'Info Tipo de Cambio y REM'!$A$24:$B$35, 2, FALSE))</f>
        <v>1215</v>
      </c>
      <c r="R404" s="107">
        <f t="shared" si="2"/>
        <v>27.58847737</v>
      </c>
    </row>
    <row r="405" hidden="1">
      <c r="A405" s="443" t="s">
        <v>228</v>
      </c>
      <c r="B405" s="43" t="str">
        <f>IF(A405="", "", IFERROR(VLOOKUP(A405, Clasificaciones!A:B, 2, FALSE), "DATO NO CARGADO"))
</f>
        <v>Equipo</v>
      </c>
      <c r="C405" s="51" t="s">
        <v>155</v>
      </c>
      <c r="D405" s="43">
        <v>2025.0</v>
      </c>
      <c r="E405" s="43" t="s">
        <v>1124</v>
      </c>
      <c r="F405" s="43"/>
      <c r="G405" s="43" t="s">
        <v>1179</v>
      </c>
      <c r="H405" s="43" t="s">
        <v>1126</v>
      </c>
      <c r="I405" s="43" t="s">
        <v>1127</v>
      </c>
      <c r="J405" s="43" t="s">
        <v>119</v>
      </c>
      <c r="K405" s="443">
        <v>27.0</v>
      </c>
      <c r="L405" s="451">
        <v>25.38</v>
      </c>
      <c r="M405" s="443">
        <v>25.0</v>
      </c>
      <c r="N405" s="452">
        <f t="array" ref="N405">IFERROR(
  INDEX(
    'Valor Hora Real y Estimada'!$A$4:$Z$78,
    MATCH(TRIM(CLEAN(A405)), 'Valor Hora Real y Estimada'!$A$4:$A$78, 0),
    MATCH(
      TEXT(C405,"dd mmm")&amp;" "&amp;D405,
      'Valor Hora Real y Estimada'!$A$3:$Z$3,
      0
    ) + 1
  ),
  0
)</f>
        <v>19602</v>
      </c>
      <c r="O405" s="453">
        <f t="shared" si="13"/>
        <v>490050</v>
      </c>
      <c r="P405" s="113"/>
      <c r="Q405" s="106">
        <f>IF(ISBLANK(O405), "", VLOOKUP(C405&amp;" "&amp;D405, 'Info Tipo de Cambio y REM'!$A$24:$B$35, 2, FALSE))</f>
        <v>1215</v>
      </c>
      <c r="R405" s="107">
        <f t="shared" si="2"/>
        <v>403.3333333</v>
      </c>
    </row>
    <row r="406" hidden="1">
      <c r="A406" s="443" t="s">
        <v>217</v>
      </c>
      <c r="B406" s="43" t="str">
        <f>IF(A406="", "", IFERROR(VLOOKUP(A406, Clasificaciones!A:B, 2, FALSE), "DATO NO CARGADO"))
</f>
        <v>Equipo</v>
      </c>
      <c r="C406" s="51" t="s">
        <v>155</v>
      </c>
      <c r="D406" s="43">
        <v>2025.0</v>
      </c>
      <c r="E406" s="43" t="s">
        <v>1124</v>
      </c>
      <c r="F406" s="43"/>
      <c r="G406" s="43" t="s">
        <v>1179</v>
      </c>
      <c r="H406" s="43" t="s">
        <v>1126</v>
      </c>
      <c r="I406" s="43" t="s">
        <v>1127</v>
      </c>
      <c r="J406" s="43" t="s">
        <v>119</v>
      </c>
      <c r="K406" s="443">
        <v>27.0</v>
      </c>
      <c r="L406" s="451">
        <v>36.17</v>
      </c>
      <c r="M406" s="443">
        <v>36.2</v>
      </c>
      <c r="N406" s="452">
        <f t="array" ref="N406">IFERROR(
  INDEX(
    'Valor Hora Real y Estimada'!$A$4:$Z$78,
    MATCH(TRIM(CLEAN(A406)), 'Valor Hora Real y Estimada'!$A$4:$A$78, 0),
    MATCH(
      TEXT(C406,"dd mmm")&amp;" "&amp;D406,
      'Valor Hora Real y Estimada'!$A$3:$Z$3,
      0
    ) + 1
  ),
  0
)</f>
        <v>9688</v>
      </c>
      <c r="O406" s="453">
        <f t="shared" si="13"/>
        <v>350705.6</v>
      </c>
      <c r="P406" s="113"/>
      <c r="Q406" s="106">
        <f>IF(ISBLANK(O406), "", VLOOKUP(C406&amp;" "&amp;D406, 'Info Tipo de Cambio y REM'!$A$24:$B$35, 2, FALSE))</f>
        <v>1215</v>
      </c>
      <c r="R406" s="107">
        <f t="shared" si="2"/>
        <v>288.6465844</v>
      </c>
    </row>
    <row r="407" hidden="1">
      <c r="A407" s="443" t="s">
        <v>120</v>
      </c>
      <c r="B407" s="43" t="str">
        <f>IF(A407="", "", IFERROR(VLOOKUP(A407, Clasificaciones!A:B, 2, FALSE), "DATO NO CARGADO"))
</f>
        <v>Equipo</v>
      </c>
      <c r="C407" s="51" t="s">
        <v>155</v>
      </c>
      <c r="D407" s="43">
        <v>2025.0</v>
      </c>
      <c r="E407" s="43" t="s">
        <v>1124</v>
      </c>
      <c r="F407" s="43"/>
      <c r="G407" s="43" t="s">
        <v>1174</v>
      </c>
      <c r="H407" s="43" t="s">
        <v>1133</v>
      </c>
      <c r="I407" s="43" t="s">
        <v>1175</v>
      </c>
      <c r="J407" s="43" t="s">
        <v>209</v>
      </c>
      <c r="K407" s="443">
        <v>5.0</v>
      </c>
      <c r="L407" s="451">
        <v>3.75</v>
      </c>
      <c r="M407" s="443">
        <v>3.8</v>
      </c>
      <c r="N407" s="452">
        <f t="array" ref="N407">IFERROR(
  INDEX(
    'Valor Hora Real y Estimada'!$A$4:$Z$78,
    MATCH(TRIM(CLEAN(A407)), 'Valor Hora Real y Estimada'!$A$4:$A$78, 0),
    MATCH(
      TEXT(C407,"dd mmm")&amp;" "&amp;D407,
      'Valor Hora Real y Estimada'!$A$3:$Z$3,
      0
    ) + 1
  ),
  0
)</f>
        <v>24166.66667</v>
      </c>
      <c r="O407" s="453">
        <f t="shared" si="13"/>
        <v>91833.33333</v>
      </c>
      <c r="P407" s="113"/>
      <c r="Q407" s="106">
        <f>IF(ISBLANK(O407), "", VLOOKUP(C407&amp;" "&amp;D407, 'Info Tipo de Cambio y REM'!$A$24:$B$35, 2, FALSE))</f>
        <v>1215</v>
      </c>
      <c r="R407" s="107">
        <f t="shared" si="2"/>
        <v>75.5829904</v>
      </c>
    </row>
    <row r="408" hidden="1">
      <c r="A408" s="443" t="s">
        <v>197</v>
      </c>
      <c r="B408" s="43" t="str">
        <f>IF(A408="", "", IFERROR(VLOOKUP(A408, Clasificaciones!A:B, 2, FALSE), "DATO NO CARGADO"))
</f>
        <v>Equipo</v>
      </c>
      <c r="C408" s="51" t="s">
        <v>155</v>
      </c>
      <c r="D408" s="43">
        <v>2025.0</v>
      </c>
      <c r="E408" s="43" t="s">
        <v>1124</v>
      </c>
      <c r="F408" s="43"/>
      <c r="G408" s="43" t="s">
        <v>1174</v>
      </c>
      <c r="H408" s="43" t="s">
        <v>1133</v>
      </c>
      <c r="I408" s="43" t="s">
        <v>1175</v>
      </c>
      <c r="J408" s="43" t="s">
        <v>209</v>
      </c>
      <c r="K408" s="443">
        <v>10.0</v>
      </c>
      <c r="L408" s="451">
        <v>12.0</v>
      </c>
      <c r="M408" s="443">
        <v>12.0</v>
      </c>
      <c r="N408" s="452">
        <f t="array" ref="N408">IFERROR(
  INDEX(
    'Valor Hora Real y Estimada'!$A$4:$Z$78,
    MATCH(TRIM(CLEAN(A408)), 'Valor Hora Real y Estimada'!$A$4:$A$78, 0),
    MATCH(
      TEXT(C408,"dd mmm")&amp;" "&amp;D408,
      'Valor Hora Real y Estimada'!$A$3:$Z$3,
      0
    ) + 1
  ),
  0
)</f>
        <v>12743</v>
      </c>
      <c r="O408" s="453">
        <f t="shared" si="13"/>
        <v>152916</v>
      </c>
      <c r="P408" s="113"/>
      <c r="Q408" s="106">
        <f>IF(ISBLANK(O408), "", VLOOKUP(C408&amp;" "&amp;D408, 'Info Tipo de Cambio y REM'!$A$24:$B$35, 2, FALSE))</f>
        <v>1215</v>
      </c>
      <c r="R408" s="107">
        <f t="shared" si="2"/>
        <v>125.8567901</v>
      </c>
    </row>
    <row r="409" hidden="1">
      <c r="A409" s="443" t="s">
        <v>217</v>
      </c>
      <c r="B409" s="43" t="str">
        <f>IF(A409="", "", IFERROR(VLOOKUP(A409, Clasificaciones!A:B, 2, FALSE), "DATO NO CARGADO"))
</f>
        <v>Equipo</v>
      </c>
      <c r="C409" s="51" t="s">
        <v>155</v>
      </c>
      <c r="D409" s="43">
        <v>2025.0</v>
      </c>
      <c r="E409" s="43" t="s">
        <v>1124</v>
      </c>
      <c r="F409" s="43"/>
      <c r="G409" s="43" t="s">
        <v>1174</v>
      </c>
      <c r="H409" s="43" t="s">
        <v>1133</v>
      </c>
      <c r="I409" s="43" t="s">
        <v>1175</v>
      </c>
      <c r="J409" s="43" t="s">
        <v>209</v>
      </c>
      <c r="K409" s="443">
        <v>60.0</v>
      </c>
      <c r="L409" s="451">
        <v>52.75</v>
      </c>
      <c r="M409" s="443">
        <f>52.5-0.02825763832</f>
        <v>52.47174236</v>
      </c>
      <c r="N409" s="452">
        <f t="array" ref="N409">IFERROR(
  INDEX(
    'Valor Hora Real y Estimada'!$A$4:$Z$78,
    MATCH(TRIM(CLEAN(A409)), 'Valor Hora Real y Estimada'!$A$4:$A$78, 0),
    MATCH(
      TEXT(C409,"dd mmm")&amp;" "&amp;D409,
      'Valor Hora Real y Estimada'!$A$3:$Z$3,
      0
    ) + 1
  ),
  0
)</f>
        <v>9688</v>
      </c>
      <c r="O409" s="453">
        <f t="shared" si="13"/>
        <v>508346.24</v>
      </c>
      <c r="P409" s="113"/>
      <c r="Q409" s="106">
        <f>IF(ISBLANK(O409), "", VLOOKUP(C409&amp;" "&amp;D409, 'Info Tipo de Cambio y REM'!$A$24:$B$35, 2, FALSE))</f>
        <v>1215</v>
      </c>
      <c r="R409" s="107">
        <f t="shared" si="2"/>
        <v>418.3919671</v>
      </c>
    </row>
    <row r="410" hidden="1">
      <c r="A410" s="443" t="s">
        <v>120</v>
      </c>
      <c r="B410" s="43" t="str">
        <f>IF(A410="", "", IFERROR(VLOOKUP(A410, Clasificaciones!A:B, 2, FALSE), "DATO NO CARGADO"))
</f>
        <v>Equipo</v>
      </c>
      <c r="C410" s="51" t="s">
        <v>155</v>
      </c>
      <c r="D410" s="43">
        <v>2025.0</v>
      </c>
      <c r="E410" s="43" t="s">
        <v>1130</v>
      </c>
      <c r="F410" s="43"/>
      <c r="G410" s="43" t="s">
        <v>1180</v>
      </c>
      <c r="H410" s="43" t="s">
        <v>208</v>
      </c>
      <c r="I410" s="43" t="s">
        <v>1136</v>
      </c>
      <c r="J410" s="43" t="s">
        <v>208</v>
      </c>
      <c r="K410" s="443"/>
      <c r="L410" s="451">
        <f>49.75+21.78+9.3</f>
        <v>80.83</v>
      </c>
      <c r="M410" s="443">
        <f>80+0.3100137931</f>
        <v>80.31001379</v>
      </c>
      <c r="N410" s="452">
        <f t="array" ref="N410">IFERROR(
  INDEX(
    'Valor Hora Real y Estimada'!$A$4:$Z$78,
    MATCH(TRIM(CLEAN(A410)), 'Valor Hora Real y Estimada'!$A$4:$A$78, 0),
    MATCH(
      TEXT(C410,"dd mmm")&amp;" "&amp;D410,
      'Valor Hora Real y Estimada'!$A$3:$Z$3,
      0
    ) + 1
  ),
  0
)</f>
        <v>24166.66667</v>
      </c>
      <c r="O410" s="453">
        <f t="shared" si="13"/>
        <v>1940825.333</v>
      </c>
      <c r="P410" s="113"/>
      <c r="Q410" s="106">
        <f>IF(ISBLANK(O410), "", VLOOKUP(C410&amp;" "&amp;D410, 'Info Tipo de Cambio y REM'!$A$24:$B$35, 2, FALSE))</f>
        <v>1215</v>
      </c>
      <c r="R410" s="107">
        <f t="shared" si="2"/>
        <v>1597.387106</v>
      </c>
    </row>
    <row r="411" hidden="1">
      <c r="A411" s="443" t="s">
        <v>228</v>
      </c>
      <c r="B411" s="43" t="str">
        <f>IF(A411="", "", IFERROR(VLOOKUP(A411, Clasificaciones!A:B, 2, FALSE), "DATO NO CARGADO"))
</f>
        <v>Equipo</v>
      </c>
      <c r="C411" s="51" t="s">
        <v>155</v>
      </c>
      <c r="D411" s="43">
        <v>2025.0</v>
      </c>
      <c r="E411" s="43" t="s">
        <v>1130</v>
      </c>
      <c r="F411" s="43"/>
      <c r="G411" s="43" t="s">
        <v>1180</v>
      </c>
      <c r="H411" s="43" t="s">
        <v>208</v>
      </c>
      <c r="I411" s="43" t="s">
        <v>1136</v>
      </c>
      <c r="J411" s="43" t="s">
        <v>208</v>
      </c>
      <c r="K411" s="443"/>
      <c r="L411" s="451">
        <v>2.83</v>
      </c>
      <c r="M411" s="443">
        <v>2.83</v>
      </c>
      <c r="N411" s="452">
        <f t="array" ref="N411">IFERROR(
  INDEX(
    'Valor Hora Real y Estimada'!$A$4:$Z$78,
    MATCH(TRIM(CLEAN(A411)), 'Valor Hora Real y Estimada'!$A$4:$A$78, 0),
    MATCH(
      TEXT(C411,"dd mmm")&amp;" "&amp;D411,
      'Valor Hora Real y Estimada'!$A$3:$Z$3,
      0
    ) + 1
  ),
  0
)</f>
        <v>19602</v>
      </c>
      <c r="O411" s="453">
        <f t="shared" si="13"/>
        <v>55473.66</v>
      </c>
      <c r="P411" s="113"/>
      <c r="Q411" s="106">
        <f>IF(ISBLANK(O411), "", VLOOKUP(C411&amp;" "&amp;D411, 'Info Tipo de Cambio y REM'!$A$24:$B$35, 2, FALSE))</f>
        <v>1215</v>
      </c>
      <c r="R411" s="107">
        <f t="shared" si="2"/>
        <v>45.65733333</v>
      </c>
    </row>
    <row r="412" hidden="1">
      <c r="A412" s="443" t="s">
        <v>218</v>
      </c>
      <c r="B412" s="43" t="str">
        <f>IF(A412="", "", IFERROR(VLOOKUP(A412, Clasificaciones!A:B, 2, FALSE), "DATO NO CARGADO"))
</f>
        <v>Equipo</v>
      </c>
      <c r="C412" s="51" t="s">
        <v>155</v>
      </c>
      <c r="D412" s="43">
        <v>2025.0</v>
      </c>
      <c r="E412" s="43" t="s">
        <v>1130</v>
      </c>
      <c r="F412" s="43"/>
      <c r="G412" s="43" t="s">
        <v>1180</v>
      </c>
      <c r="H412" s="43" t="s">
        <v>208</v>
      </c>
      <c r="I412" s="43" t="s">
        <v>1136</v>
      </c>
      <c r="J412" s="43" t="s">
        <v>208</v>
      </c>
      <c r="K412" s="443"/>
      <c r="L412" s="451">
        <v>0.5</v>
      </c>
      <c r="M412" s="443">
        <v>0.5</v>
      </c>
      <c r="N412" s="452">
        <f t="array" ref="N412">IFERROR(
  INDEX(
    'Valor Hora Real y Estimada'!$A$4:$Z$78,
    MATCH(TRIM(CLEAN(A412)), 'Valor Hora Real y Estimada'!$A$4:$A$78, 0),
    MATCH(
      TEXT(C412,"dd mmm")&amp;" "&amp;D412,
      'Valor Hora Real y Estimada'!$A$3:$Z$3,
      0
    ) + 1
  ),
  0
)</f>
        <v>19000</v>
      </c>
      <c r="O412" s="453">
        <f t="shared" si="13"/>
        <v>9500</v>
      </c>
      <c r="P412" s="113"/>
      <c r="Q412" s="106">
        <f>IF(ISBLANK(O412), "", VLOOKUP(C412&amp;" "&amp;D412, 'Info Tipo de Cambio y REM'!$A$24:$B$35, 2, FALSE))</f>
        <v>1215</v>
      </c>
      <c r="R412" s="107">
        <f t="shared" si="2"/>
        <v>7.818930041</v>
      </c>
    </row>
    <row r="413" hidden="1">
      <c r="A413" s="443" t="s">
        <v>197</v>
      </c>
      <c r="B413" s="43" t="str">
        <f>IF(A413="", "", IFERROR(VLOOKUP(A413, Clasificaciones!A:B, 2, FALSE), "DATO NO CARGADO"))
</f>
        <v>Equipo</v>
      </c>
      <c r="C413" s="51" t="s">
        <v>155</v>
      </c>
      <c r="D413" s="43">
        <v>2025.0</v>
      </c>
      <c r="E413" s="43" t="s">
        <v>1130</v>
      </c>
      <c r="F413" s="43"/>
      <c r="G413" s="43" t="s">
        <v>1180</v>
      </c>
      <c r="H413" s="43" t="s">
        <v>208</v>
      </c>
      <c r="I413" s="43" t="s">
        <v>1136</v>
      </c>
      <c r="J413" s="43" t="s">
        <v>208</v>
      </c>
      <c r="K413" s="443"/>
      <c r="L413" s="451">
        <v>81.75</v>
      </c>
      <c r="M413" s="443">
        <f>81.54-0.03576237935</f>
        <v>81.50423762</v>
      </c>
      <c r="N413" s="452">
        <f t="array" ref="N413">IFERROR(
  INDEX(
    'Valor Hora Real y Estimada'!$A$4:$Z$78,
    MATCH(TRIM(CLEAN(A413)), 'Valor Hora Real y Estimada'!$A$4:$A$78, 0),
    MATCH(
      TEXT(C413,"dd mmm")&amp;" "&amp;D413,
      'Valor Hora Real y Estimada'!$A$3:$Z$3,
      0
    ) + 1
  ),
  0
)</f>
        <v>12743</v>
      </c>
      <c r="O413" s="453">
        <f t="shared" si="13"/>
        <v>1038608.5</v>
      </c>
      <c r="P413" s="113"/>
      <c r="Q413" s="106">
        <f>IF(ISBLANK(O413), "", VLOOKUP(C413&amp;" "&amp;D413, 'Info Tipo de Cambio y REM'!$A$24:$B$35, 2, FALSE))</f>
        <v>1215</v>
      </c>
      <c r="R413" s="107">
        <f t="shared" si="2"/>
        <v>854.8218107</v>
      </c>
    </row>
    <row r="414" hidden="1">
      <c r="A414" s="443" t="s">
        <v>200</v>
      </c>
      <c r="B414" s="43" t="str">
        <f>IF(A414="", "", IFERROR(VLOOKUP(A414, Clasificaciones!A:B, 2, FALSE), "DATO NO CARGADO"))
</f>
        <v>Equipo</v>
      </c>
      <c r="C414" s="51" t="s">
        <v>155</v>
      </c>
      <c r="D414" s="43">
        <v>2025.0</v>
      </c>
      <c r="E414" s="43" t="s">
        <v>1130</v>
      </c>
      <c r="F414" s="43"/>
      <c r="G414" s="43" t="s">
        <v>1180</v>
      </c>
      <c r="H414" s="43" t="s">
        <v>208</v>
      </c>
      <c r="I414" s="43" t="s">
        <v>1136</v>
      </c>
      <c r="J414" s="43" t="s">
        <v>208</v>
      </c>
      <c r="K414" s="443"/>
      <c r="L414" s="451">
        <v>7.67</v>
      </c>
      <c r="M414" s="443">
        <f>2.33-0.03</f>
        <v>2.3</v>
      </c>
      <c r="N414" s="452">
        <f t="array" ref="N414">IFERROR(
  INDEX(
    'Valor Hora Real y Estimada'!$A$4:$Z$78,
    MATCH(TRIM(CLEAN(A414)), 'Valor Hora Real y Estimada'!$A$4:$A$78, 0),
    MATCH(
      TEXT(C414,"dd mmm")&amp;" "&amp;D414,
      'Valor Hora Real y Estimada'!$A$3:$Z$3,
      0
    ) + 1
  ),
  0
)</f>
        <v>16856</v>
      </c>
      <c r="O414" s="453">
        <f t="shared" si="13"/>
        <v>38768.8</v>
      </c>
      <c r="P414" s="113"/>
      <c r="Q414" s="106">
        <f>IF(ISBLANK(O414), "", VLOOKUP(C414&amp;" "&amp;D414, 'Info Tipo de Cambio y REM'!$A$24:$B$35, 2, FALSE))</f>
        <v>1215</v>
      </c>
      <c r="R414" s="107">
        <f t="shared" si="2"/>
        <v>31.90847737</v>
      </c>
    </row>
    <row r="415" hidden="1">
      <c r="A415" s="443" t="s">
        <v>221</v>
      </c>
      <c r="B415" s="43" t="str">
        <f>IF(A415="", "", IFERROR(VLOOKUP(A415, Clasificaciones!A:B, 2, FALSE), "DATO NO CARGADO"))
</f>
        <v>Equipo</v>
      </c>
      <c r="C415" s="51" t="s">
        <v>155</v>
      </c>
      <c r="D415" s="43">
        <v>2025.0</v>
      </c>
      <c r="E415" s="43" t="s">
        <v>1130</v>
      </c>
      <c r="F415" s="43"/>
      <c r="G415" s="43" t="s">
        <v>1180</v>
      </c>
      <c r="H415" s="43" t="s">
        <v>208</v>
      </c>
      <c r="I415" s="43" t="s">
        <v>1136</v>
      </c>
      <c r="J415" s="43" t="s">
        <v>208</v>
      </c>
      <c r="K415" s="443"/>
      <c r="L415" s="451">
        <v>1.58</v>
      </c>
      <c r="M415" s="443">
        <f>106.17+0.03655677989</f>
        <v>106.2065568</v>
      </c>
      <c r="N415" s="452">
        <f t="array" ref="N415">IFERROR(
  INDEX(
    'Valor Hora Real y Estimada'!$A$4:$Z$78,
    MATCH(TRIM(CLEAN(A415)), 'Valor Hora Real y Estimada'!$A$4:$A$78, 0),
    MATCH(
      TEXT(C415,"dd mmm")&amp;" "&amp;D415,
      'Valor Hora Real y Estimada'!$A$3:$Z$3,
      0
    ) + 1
  ),
  0
)</f>
        <v>10981</v>
      </c>
      <c r="O415" s="453">
        <f t="shared" si="13"/>
        <v>1166254.2</v>
      </c>
      <c r="P415" s="113"/>
      <c r="Q415" s="106">
        <f>IF(ISBLANK(O415), "", VLOOKUP(C415&amp;" "&amp;D415, 'Info Tipo de Cambio y REM'!$A$24:$B$35, 2, FALSE))</f>
        <v>1215</v>
      </c>
      <c r="R415" s="107">
        <f t="shared" si="2"/>
        <v>959.88</v>
      </c>
    </row>
    <row r="416" hidden="1">
      <c r="A416" s="443" t="s">
        <v>203</v>
      </c>
      <c r="B416" s="43" t="str">
        <f>IF(A416="", "", IFERROR(VLOOKUP(A416, Clasificaciones!A:B, 2, FALSE), "DATO NO CARGADO"))
</f>
        <v>Equipo</v>
      </c>
      <c r="C416" s="51" t="s">
        <v>155</v>
      </c>
      <c r="D416" s="43">
        <v>2025.0</v>
      </c>
      <c r="E416" s="43" t="s">
        <v>1130</v>
      </c>
      <c r="F416" s="43"/>
      <c r="G416" s="43" t="s">
        <v>1180</v>
      </c>
      <c r="H416" s="43" t="s">
        <v>208</v>
      </c>
      <c r="I416" s="43" t="s">
        <v>1136</v>
      </c>
      <c r="J416" s="43" t="s">
        <v>208</v>
      </c>
      <c r="K416" s="443"/>
      <c r="L416" s="451">
        <v>0.5</v>
      </c>
      <c r="M416" s="443">
        <v>0.8</v>
      </c>
      <c r="N416" s="452">
        <f t="array" ref="N416">IFERROR(
  INDEX(
    'Valor Hora Real y Estimada'!$A$4:$Z$78,
    MATCH(TRIM(CLEAN(A416)), 'Valor Hora Real y Estimada'!$A$4:$A$78, 0),
    MATCH(
      TEXT(C416,"dd mmm")&amp;" "&amp;D416,
      'Valor Hora Real y Estimada'!$A$3:$Z$3,
      0
    ) + 1
  ),
  0
)</f>
        <v>9867</v>
      </c>
      <c r="O416" s="453">
        <f t="shared" si="13"/>
        <v>7893.6</v>
      </c>
      <c r="P416" s="113"/>
      <c r="Q416" s="106">
        <f>IF(ISBLANK(O416), "", VLOOKUP(C416&amp;" "&amp;D416, 'Info Tipo de Cambio y REM'!$A$24:$B$35, 2, FALSE))</f>
        <v>1215</v>
      </c>
      <c r="R416" s="107">
        <f t="shared" si="2"/>
        <v>6.496790123</v>
      </c>
    </row>
    <row r="417" hidden="1">
      <c r="A417" s="443" t="s">
        <v>217</v>
      </c>
      <c r="B417" s="43" t="str">
        <f>IF(A417="", "", IFERROR(VLOOKUP(A417, Clasificaciones!A:B, 2, FALSE), "DATO NO CARGADO"))
</f>
        <v>Equipo</v>
      </c>
      <c r="C417" s="51" t="s">
        <v>155</v>
      </c>
      <c r="D417" s="43">
        <v>2025.0</v>
      </c>
      <c r="E417" s="43" t="s">
        <v>1130</v>
      </c>
      <c r="F417" s="43"/>
      <c r="G417" s="43" t="s">
        <v>1180</v>
      </c>
      <c r="H417" s="43" t="s">
        <v>208</v>
      </c>
      <c r="I417" s="43" t="s">
        <v>1136</v>
      </c>
      <c r="J417" s="43" t="s">
        <v>208</v>
      </c>
      <c r="K417" s="443"/>
      <c r="L417" s="451">
        <v>6.25</v>
      </c>
      <c r="M417" s="443">
        <v>42.92</v>
      </c>
      <c r="N417" s="452">
        <f t="array" ref="N417">IFERROR(
  INDEX(
    'Valor Hora Real y Estimada'!$A$4:$Z$78,
    MATCH(TRIM(CLEAN(A417)), 'Valor Hora Real y Estimada'!$A$4:$A$78, 0),
    MATCH(
      TEXT(C417,"dd mmm")&amp;" "&amp;D417,
      'Valor Hora Real y Estimada'!$A$3:$Z$3,
      0
    ) + 1
  ),
  0
)</f>
        <v>9688</v>
      </c>
      <c r="O417" s="453">
        <f t="shared" si="13"/>
        <v>415808.96</v>
      </c>
      <c r="P417" s="113"/>
      <c r="Q417" s="106">
        <f>IF(ISBLANK(O417), "", VLOOKUP(C417&amp;" "&amp;D417, 'Info Tipo de Cambio y REM'!$A$24:$B$35, 2, FALSE))</f>
        <v>1215</v>
      </c>
      <c r="R417" s="107">
        <f t="shared" si="2"/>
        <v>342.2295967</v>
      </c>
    </row>
    <row r="418" hidden="1">
      <c r="A418" s="443" t="s">
        <v>194</v>
      </c>
      <c r="B418" s="43" t="str">
        <f>IF(A418="", "", IFERROR(VLOOKUP(A418, Clasificaciones!A:B, 2, FALSE), "DATO NO CARGADO"))
</f>
        <v>Equipo</v>
      </c>
      <c r="C418" s="51" t="s">
        <v>155</v>
      </c>
      <c r="D418" s="43">
        <v>2025.0</v>
      </c>
      <c r="E418" s="43" t="s">
        <v>1130</v>
      </c>
      <c r="F418" s="43"/>
      <c r="G418" s="43" t="s">
        <v>1180</v>
      </c>
      <c r="H418" s="43" t="s">
        <v>208</v>
      </c>
      <c r="I418" s="43" t="s">
        <v>1136</v>
      </c>
      <c r="J418" s="43" t="s">
        <v>208</v>
      </c>
      <c r="K418" s="443"/>
      <c r="L418" s="451">
        <v>3.9</v>
      </c>
      <c r="M418" s="443">
        <v>3.9</v>
      </c>
      <c r="N418" s="452">
        <f t="array" ref="N418">IFERROR(
  INDEX(
    'Valor Hora Real y Estimada'!$A$4:$Z$78,
    MATCH(TRIM(CLEAN(A418)), 'Valor Hora Real y Estimada'!$A$4:$A$78, 0),
    MATCH(
      TEXT(C418,"dd mmm")&amp;" "&amp;D418,
      'Valor Hora Real y Estimada'!$A$3:$Z$3,
      0
    ) + 1
  ),
  0
)</f>
        <v>12088</v>
      </c>
      <c r="O418" s="453">
        <f t="shared" si="13"/>
        <v>47143.2</v>
      </c>
      <c r="P418" s="113"/>
      <c r="Q418" s="106">
        <f>IF(ISBLANK(O418), "", VLOOKUP(C418&amp;" "&amp;D418, 'Info Tipo de Cambio y REM'!$A$24:$B$35, 2, FALSE))</f>
        <v>1215</v>
      </c>
      <c r="R418" s="107">
        <f t="shared" si="2"/>
        <v>38.80098765</v>
      </c>
    </row>
    <row r="419" hidden="1">
      <c r="A419" s="443" t="s">
        <v>205</v>
      </c>
      <c r="B419" s="43" t="str">
        <f>IF(A419="", "", IFERROR(VLOOKUP(A419, Clasificaciones!A:B, 2, FALSE), "DATO NO CARGADO"))
</f>
        <v>Equipo</v>
      </c>
      <c r="C419" s="51" t="s">
        <v>155</v>
      </c>
      <c r="D419" s="43">
        <v>2025.0</v>
      </c>
      <c r="E419" s="43" t="s">
        <v>1130</v>
      </c>
      <c r="F419" s="43"/>
      <c r="G419" s="43" t="s">
        <v>1180</v>
      </c>
      <c r="H419" s="43" t="s">
        <v>208</v>
      </c>
      <c r="I419" s="43" t="s">
        <v>1136</v>
      </c>
      <c r="J419" s="43" t="s">
        <v>208</v>
      </c>
      <c r="K419" s="443"/>
      <c r="L419" s="451">
        <v>0.5</v>
      </c>
      <c r="M419" s="443">
        <v>0.9</v>
      </c>
      <c r="N419" s="452">
        <f t="array" ref="N419">IFERROR(
  INDEX(
    'Valor Hora Real y Estimada'!$A$4:$Z$78,
    MATCH(TRIM(CLEAN(A419)), 'Valor Hora Real y Estimada'!$A$4:$A$78, 0),
    MATCH(
      TEXT(C419,"dd mmm")&amp;" "&amp;D419,
      'Valor Hora Real y Estimada'!$A$3:$Z$3,
      0
    ) + 1
  ),
  0
)</f>
        <v>10000</v>
      </c>
      <c r="O419" s="453">
        <f t="shared" si="13"/>
        <v>9000</v>
      </c>
      <c r="P419" s="113"/>
      <c r="Q419" s="106">
        <f>IF(ISBLANK(O419), "", VLOOKUP(C419&amp;" "&amp;D419, 'Info Tipo de Cambio y REM'!$A$24:$B$35, 2, FALSE))</f>
        <v>1215</v>
      </c>
      <c r="R419" s="107">
        <f t="shared" si="2"/>
        <v>7.407407407</v>
      </c>
    </row>
    <row r="420" hidden="1">
      <c r="A420" s="443" t="s">
        <v>214</v>
      </c>
      <c r="B420" s="43" t="str">
        <f>IF(A420="", "", IFERROR(VLOOKUP(A420, Clasificaciones!A:B, 2, FALSE), "DATO NO CARGADO"))
</f>
        <v>Equipo</v>
      </c>
      <c r="C420" s="51" t="s">
        <v>155</v>
      </c>
      <c r="D420" s="43">
        <v>2025.0</v>
      </c>
      <c r="E420" s="43" t="s">
        <v>1130</v>
      </c>
      <c r="F420" s="43"/>
      <c r="G420" s="43" t="s">
        <v>1180</v>
      </c>
      <c r="H420" s="43" t="s">
        <v>208</v>
      </c>
      <c r="I420" s="43" t="s">
        <v>1136</v>
      </c>
      <c r="J420" s="43" t="s">
        <v>208</v>
      </c>
      <c r="K420" s="443"/>
      <c r="L420" s="451">
        <v>0.5</v>
      </c>
      <c r="M420" s="443">
        <v>0.5</v>
      </c>
      <c r="N420" s="452">
        <f t="array" ref="N420">IFERROR(
  INDEX(
    'Valor Hora Real y Estimada'!$A$4:$Z$78,
    MATCH(TRIM(CLEAN(A420)), 'Valor Hora Real y Estimada'!$A$4:$A$78, 0),
    MATCH(
      TEXT(C420,"dd mmm")&amp;" "&amp;D420,
      'Valor Hora Real y Estimada'!$A$3:$Z$3,
      0
    ) + 1
  ),
  0
)</f>
        <v>10000</v>
      </c>
      <c r="O420" s="453">
        <f t="shared" si="13"/>
        <v>5000</v>
      </c>
      <c r="P420" s="113"/>
      <c r="Q420" s="106">
        <f>IF(ISBLANK(O420), "", VLOOKUP(C420&amp;" "&amp;D420, 'Info Tipo de Cambio y REM'!$A$24:$B$35, 2, FALSE))</f>
        <v>1215</v>
      </c>
      <c r="R420" s="107">
        <f t="shared" si="2"/>
        <v>4.115226337</v>
      </c>
    </row>
    <row r="421" hidden="1">
      <c r="A421" s="443" t="s">
        <v>212</v>
      </c>
      <c r="B421" s="43" t="str">
        <f>IF(A421="", "", IFERROR(VLOOKUP(A421, Clasificaciones!A:B, 2, FALSE), "DATO NO CARGADO"))
</f>
        <v>Equipo</v>
      </c>
      <c r="C421" s="51" t="s">
        <v>155</v>
      </c>
      <c r="D421" s="43">
        <v>2025.0</v>
      </c>
      <c r="E421" s="43" t="s">
        <v>1130</v>
      </c>
      <c r="F421" s="43"/>
      <c r="G421" s="43" t="s">
        <v>1180</v>
      </c>
      <c r="H421" s="43" t="s">
        <v>208</v>
      </c>
      <c r="I421" s="43" t="s">
        <v>1136</v>
      </c>
      <c r="J421" s="43" t="s">
        <v>208</v>
      </c>
      <c r="K421" s="443"/>
      <c r="L421" s="451">
        <v>0.5</v>
      </c>
      <c r="M421" s="443">
        <v>0.5</v>
      </c>
      <c r="N421" s="452">
        <f t="array" ref="N421">IFERROR(
  INDEX(
    'Valor Hora Real y Estimada'!$A$4:$Z$78,
    MATCH(TRIM(CLEAN(A421)), 'Valor Hora Real y Estimada'!$A$4:$A$78, 0),
    MATCH(
      TEXT(C421,"dd mmm")&amp;" "&amp;D421,
      'Valor Hora Real y Estimada'!$A$3:$Z$3,
      0
    ) + 1
  ),
  0
)</f>
        <v>8500</v>
      </c>
      <c r="O421" s="453">
        <f t="shared" si="13"/>
        <v>4250</v>
      </c>
      <c r="P421" s="113"/>
      <c r="Q421" s="106">
        <f>IF(ISBLANK(O421), "", VLOOKUP(C421&amp;" "&amp;D421, 'Info Tipo de Cambio y REM'!$A$24:$B$35, 2, FALSE))</f>
        <v>1215</v>
      </c>
      <c r="R421" s="107">
        <f t="shared" si="2"/>
        <v>3.497942387</v>
      </c>
    </row>
    <row r="422" hidden="1">
      <c r="A422" s="443" t="s">
        <v>207</v>
      </c>
      <c r="B422" s="43" t="str">
        <f>IF(A422="", "", IFERROR(VLOOKUP(A422, Clasificaciones!A:B, 2, FALSE), "DATO NO CARGADO"))
</f>
        <v>Equipo</v>
      </c>
      <c r="C422" s="51" t="s">
        <v>155</v>
      </c>
      <c r="D422" s="43">
        <v>2025.0</v>
      </c>
      <c r="E422" s="43" t="s">
        <v>1130</v>
      </c>
      <c r="F422" s="43"/>
      <c r="G422" s="43" t="s">
        <v>1180</v>
      </c>
      <c r="H422" s="43" t="s">
        <v>208</v>
      </c>
      <c r="I422" s="43" t="s">
        <v>1136</v>
      </c>
      <c r="J422" s="43" t="s">
        <v>208</v>
      </c>
      <c r="K422" s="443"/>
      <c r="L422" s="451">
        <v>0.5</v>
      </c>
      <c r="M422" s="443">
        <v>0.5</v>
      </c>
      <c r="N422" s="452">
        <f t="array" ref="N422">IFERROR(
  INDEX(
    'Valor Hora Real y Estimada'!$A$4:$Z$78,
    MATCH(TRIM(CLEAN(A422)), 'Valor Hora Real y Estimada'!$A$4:$A$78, 0),
    MATCH(
      TEXT(C422,"dd mmm")&amp;" "&amp;D422,
      'Valor Hora Real y Estimada'!$A$3:$Z$3,
      0
    ) + 1
  ),
  0
)</f>
        <v>11000</v>
      </c>
      <c r="O422" s="453">
        <f t="shared" si="13"/>
        <v>5500</v>
      </c>
      <c r="P422" s="113"/>
      <c r="Q422" s="106">
        <f>IF(ISBLANK(O422), "", VLOOKUP(C422&amp;" "&amp;D422, 'Info Tipo de Cambio y REM'!$A$24:$B$35, 2, FALSE))</f>
        <v>1215</v>
      </c>
      <c r="R422" s="107">
        <f t="shared" si="2"/>
        <v>4.526748971</v>
      </c>
    </row>
    <row r="423" hidden="1">
      <c r="A423" s="443" t="s">
        <v>87</v>
      </c>
      <c r="B423" s="43" t="str">
        <f>IF(A423="", "", IFERROR(VLOOKUP(A423, Clasificaciones!A:B, 2, FALSE), "DATO NO CARGADO"))
</f>
        <v>Equipo</v>
      </c>
      <c r="C423" s="51" t="s">
        <v>155</v>
      </c>
      <c r="D423" s="43">
        <v>2025.0</v>
      </c>
      <c r="E423" s="43" t="s">
        <v>1130</v>
      </c>
      <c r="F423" s="43"/>
      <c r="G423" s="43" t="s">
        <v>1180</v>
      </c>
      <c r="H423" s="43" t="s">
        <v>208</v>
      </c>
      <c r="I423" s="43" t="s">
        <v>1136</v>
      </c>
      <c r="J423" s="43" t="s">
        <v>208</v>
      </c>
      <c r="K423" s="443"/>
      <c r="L423" s="451">
        <f>32.2+1.83</f>
        <v>34.03</v>
      </c>
      <c r="M423" s="443">
        <f>33.78-0.05</f>
        <v>33.73</v>
      </c>
      <c r="N423" s="452">
        <f t="array" ref="N423">IFERROR(
  INDEX(
    'Valor Hora Real y Estimada'!$A$4:$Z$78,
    MATCH(TRIM(CLEAN(A423)), 'Valor Hora Real y Estimada'!$A$4:$A$78, 0),
    MATCH(
      TEXT(C423,"dd mmm")&amp;" "&amp;D423,
      'Valor Hora Real y Estimada'!$A$3:$Z$3,
      0
    ) + 1
  ),
  0
)</f>
        <v>11000</v>
      </c>
      <c r="O423" s="453">
        <f t="shared" si="13"/>
        <v>371030</v>
      </c>
      <c r="P423" s="113"/>
      <c r="Q423" s="106">
        <f>IF(ISBLANK(O423), "", VLOOKUP(C423&amp;" "&amp;D423, 'Info Tipo de Cambio y REM'!$A$24:$B$35, 2, FALSE))</f>
        <v>1215</v>
      </c>
      <c r="R423" s="107">
        <f t="shared" si="2"/>
        <v>305.3744856</v>
      </c>
    </row>
    <row r="424" hidden="1">
      <c r="A424" s="443" t="s">
        <v>230</v>
      </c>
      <c r="B424" s="43" t="str">
        <f>IF(A424="", "", IFERROR(VLOOKUP(A424, Clasificaciones!A:B, 2, FALSE), "DATO NO CARGADO"))
</f>
        <v>Equipo</v>
      </c>
      <c r="C424" s="51" t="s">
        <v>155</v>
      </c>
      <c r="D424" s="43">
        <v>2025.0</v>
      </c>
      <c r="E424" s="43" t="s">
        <v>1130</v>
      </c>
      <c r="F424" s="43"/>
      <c r="G424" s="43" t="s">
        <v>1180</v>
      </c>
      <c r="H424" s="43" t="s">
        <v>208</v>
      </c>
      <c r="I424" s="43" t="s">
        <v>1136</v>
      </c>
      <c r="J424" s="43" t="s">
        <v>208</v>
      </c>
      <c r="K424" s="443"/>
      <c r="L424" s="451">
        <v>3.5</v>
      </c>
      <c r="M424" s="443">
        <v>4.75</v>
      </c>
      <c r="N424" s="452">
        <f t="array" ref="N424">IFERROR(
  INDEX(
    'Valor Hora Real y Estimada'!$A$4:$Z$78,
    MATCH(TRIM(CLEAN(A424)), 'Valor Hora Real y Estimada'!$A$4:$A$78, 0),
    MATCH(
      TEXT(C424,"dd mmm")&amp;" "&amp;D424,
      'Valor Hora Real y Estimada'!$A$3:$Z$3,
      0
    ) + 1
  ),
  0
)</f>
        <v>11900</v>
      </c>
      <c r="O424" s="453">
        <f t="shared" si="13"/>
        <v>56525</v>
      </c>
      <c r="P424" s="113"/>
      <c r="Q424" s="106">
        <f>IF(ISBLANK(O424), "", VLOOKUP(C424&amp;" "&amp;D424, 'Info Tipo de Cambio y REM'!$A$24:$B$35, 2, FALSE))</f>
        <v>1215</v>
      </c>
      <c r="R424" s="107">
        <f t="shared" si="2"/>
        <v>46.52263374</v>
      </c>
    </row>
    <row r="425" hidden="1">
      <c r="A425" s="443" t="s">
        <v>229</v>
      </c>
      <c r="B425" s="43" t="str">
        <f>IF(A425="", "", IFERROR(VLOOKUP(A425, Clasificaciones!A:B, 2, FALSE), "DATO NO CARGADO"))
</f>
        <v>Equipo</v>
      </c>
      <c r="C425" s="51" t="s">
        <v>155</v>
      </c>
      <c r="D425" s="43">
        <v>2025.0</v>
      </c>
      <c r="E425" s="43" t="s">
        <v>1130</v>
      </c>
      <c r="F425" s="43"/>
      <c r="G425" s="43" t="s">
        <v>1180</v>
      </c>
      <c r="H425" s="43" t="s">
        <v>208</v>
      </c>
      <c r="I425" s="43" t="s">
        <v>1136</v>
      </c>
      <c r="J425" s="43" t="s">
        <v>208</v>
      </c>
      <c r="K425" s="443"/>
      <c r="L425" s="451">
        <v>54.75</v>
      </c>
      <c r="M425" s="443">
        <v>54.45</v>
      </c>
      <c r="N425" s="452">
        <f t="array" ref="N425">IFERROR(
  INDEX(
    'Valor Hora Real y Estimada'!$A$4:$Z$78,
    MATCH(TRIM(CLEAN(A425)), 'Valor Hora Real y Estimada'!$A$4:$A$78, 0),
    MATCH(
      TEXT(C425,"dd mmm")&amp;" "&amp;D425,
      'Valor Hora Real y Estimada'!$A$3:$Z$3,
      0
    ) + 1
  ),
  0
)</f>
        <v>7500</v>
      </c>
      <c r="O425" s="453">
        <f t="shared" si="13"/>
        <v>408375</v>
      </c>
      <c r="P425" s="113"/>
      <c r="Q425" s="106">
        <f>IF(ISBLANK(O425), "", VLOOKUP(C425&amp;" "&amp;D425, 'Info Tipo de Cambio y REM'!$A$24:$B$35, 2, FALSE))</f>
        <v>1215</v>
      </c>
      <c r="R425" s="107">
        <f t="shared" si="2"/>
        <v>336.1111111</v>
      </c>
    </row>
    <row r="426" hidden="1">
      <c r="A426" s="443" t="s">
        <v>127</v>
      </c>
      <c r="B426" s="43" t="str">
        <f>IF(A426="", "", IFERROR(VLOOKUP(A426, Clasificaciones!A:B, 2, FALSE), "DATO NO CARGADO"))
</f>
        <v>Board</v>
      </c>
      <c r="C426" s="51" t="s">
        <v>155</v>
      </c>
      <c r="D426" s="43">
        <v>2025.0</v>
      </c>
      <c r="E426" s="43" t="s">
        <v>1130</v>
      </c>
      <c r="F426" s="43"/>
      <c r="G426" s="43" t="s">
        <v>1180</v>
      </c>
      <c r="H426" s="43" t="s">
        <v>208</v>
      </c>
      <c r="I426" s="43" t="s">
        <v>1136</v>
      </c>
      <c r="J426" s="43" t="s">
        <v>208</v>
      </c>
      <c r="K426" s="450"/>
      <c r="L426" s="455"/>
      <c r="M426" s="450"/>
      <c r="N426" s="452">
        <f t="array" ref="N426">IFERROR(
  INDEX(
    'Valor Hora Real y Estimada'!$A$4:$Z$78,
    MATCH(TRIM(CLEAN(A426)), 'Valor Hora Real y Estimada'!$A$4:$A$78, 0),
    MATCH(
      TEXT(C426,"dd mmm")&amp;" "&amp;D426,
      'Valor Hora Real y Estimada'!$A$3:$Z$3,
      0
    ) + 1
  ),
  0
)</f>
        <v>24911</v>
      </c>
      <c r="O426" s="89">
        <v>3931000.0</v>
      </c>
      <c r="P426" s="113"/>
      <c r="Q426" s="106">
        <f>IF(ISBLANK(O426), "", VLOOKUP(C426&amp;" "&amp;D426, 'Info Tipo de Cambio y REM'!$A$24:$B$35, 2, FALSE))</f>
        <v>1215</v>
      </c>
      <c r="R426" s="107">
        <f t="shared" si="2"/>
        <v>3235.390947</v>
      </c>
    </row>
    <row r="427" hidden="1">
      <c r="A427" s="443" t="s">
        <v>133</v>
      </c>
      <c r="B427" s="43" t="str">
        <f>IF(A427="", "", IFERROR(VLOOKUP(A427, Clasificaciones!A:B, 2, FALSE), "DATO NO CARGADO"))
</f>
        <v>Board</v>
      </c>
      <c r="C427" s="51" t="s">
        <v>155</v>
      </c>
      <c r="D427" s="43">
        <v>2025.0</v>
      </c>
      <c r="E427" s="43" t="s">
        <v>1130</v>
      </c>
      <c r="F427" s="43"/>
      <c r="G427" s="43" t="s">
        <v>1180</v>
      </c>
      <c r="H427" s="43" t="s">
        <v>208</v>
      </c>
      <c r="I427" s="43" t="s">
        <v>1136</v>
      </c>
      <c r="J427" s="43" t="s">
        <v>208</v>
      </c>
      <c r="K427" s="450"/>
      <c r="L427" s="455"/>
      <c r="M427" s="450"/>
      <c r="N427" s="452">
        <f t="array" ref="N427">IFERROR(
  INDEX(
    'Valor Hora Real y Estimada'!$A$4:$Z$78,
    MATCH(TRIM(CLEAN(A427)), 'Valor Hora Real y Estimada'!$A$4:$A$78, 0),
    MATCH(
      TEXT(C427,"dd mmm")&amp;" "&amp;D427,
      'Valor Hora Real y Estimada'!$A$3:$Z$3,
      0
    ) + 1
  ),
  0
)</f>
        <v>30688</v>
      </c>
      <c r="O427" s="468">
        <v>4910000.0</v>
      </c>
      <c r="P427" s="113"/>
      <c r="Q427" s="106">
        <f>IF(ISBLANK(O427), "", VLOOKUP(C427&amp;" "&amp;D427, 'Info Tipo de Cambio y REM'!$A$24:$B$35, 2, FALSE))</f>
        <v>1215</v>
      </c>
      <c r="R427" s="107">
        <f t="shared" si="2"/>
        <v>4041.152263</v>
      </c>
    </row>
    <row r="428" hidden="1">
      <c r="A428" s="443" t="s">
        <v>223</v>
      </c>
      <c r="B428" s="43" t="str">
        <f>IF(A428="", "", IFERROR(VLOOKUP(A428, Clasificaciones!A:B, 2, FALSE), "DATO NO CARGADO"))
</f>
        <v>Otros Proveedores</v>
      </c>
      <c r="C428" s="51" t="s">
        <v>155</v>
      </c>
      <c r="D428" s="156">
        <v>2025.0</v>
      </c>
      <c r="E428" s="43" t="s">
        <v>1130</v>
      </c>
      <c r="H428" s="102"/>
      <c r="J428" s="102"/>
      <c r="K428" s="450"/>
      <c r="L428" s="455"/>
      <c r="M428" s="450"/>
      <c r="N428" s="452">
        <f t="array" ref="N428">IFERROR(
  INDEX(
    'Valor Hora Real y Estimada'!$A$4:$Z$78,
    MATCH(TRIM(CLEAN(A428)), 'Valor Hora Real y Estimada'!$A$4:$A$78, 0),
    MATCH(
      TEXT(C428,"dd mmm")&amp;" "&amp;D428,
      'Valor Hora Real y Estimada'!$A$3:$Z$3,
      0
    ) + 1
  ),
  0
)</f>
        <v>0</v>
      </c>
      <c r="O428" s="112">
        <f>143990/1.21</f>
        <v>119000</v>
      </c>
      <c r="P428" s="113"/>
      <c r="Q428" s="106">
        <f>IF(ISBLANK(O428), "", VLOOKUP(C428&amp;" "&amp;D428, 'Info Tipo de Cambio y REM'!$A$24:$B$35, 2, FALSE))</f>
        <v>1215</v>
      </c>
      <c r="R428" s="107">
        <f t="shared" si="2"/>
        <v>97.94238683</v>
      </c>
    </row>
    <row r="429" hidden="1">
      <c r="A429" s="443" t="s">
        <v>191</v>
      </c>
      <c r="B429" s="43" t="str">
        <f>IF(A429="", "", IFERROR(VLOOKUP(A429, Clasificaciones!A:B, 2, FALSE), "DATO NO CARGADO"))
</f>
        <v>Tarjeta</v>
      </c>
      <c r="C429" s="51" t="s">
        <v>155</v>
      </c>
      <c r="D429" s="156">
        <v>2025.0</v>
      </c>
      <c r="E429" s="43" t="s">
        <v>1130</v>
      </c>
      <c r="H429" s="102"/>
      <c r="J429" s="102"/>
      <c r="K429" s="450"/>
      <c r="L429" s="455"/>
      <c r="M429" s="450"/>
      <c r="N429" s="452">
        <f t="array" ref="N429">IFERROR(
  INDEX(
    'Valor Hora Real y Estimada'!$A$4:$Z$78,
    MATCH(TRIM(CLEAN(A429)), 'Valor Hora Real y Estimada'!$A$4:$A$78, 0),
    MATCH(
      TEXT(C429,"dd mmm")&amp;" "&amp;D429,
      'Valor Hora Real y Estimada'!$A$3:$Z$3,
      0
    ) + 1
  ),
  0
)</f>
        <v>0</v>
      </c>
      <c r="O429" s="113"/>
      <c r="P429" s="113">
        <v>12.0</v>
      </c>
      <c r="Q429" s="106" t="str">
        <f>IF(ISBLANK(O429), "", VLOOKUP(C429&amp;" "&amp;D429, 'Info Tipo de Cambio y REM'!$A$24:$B$35, 2, FALSE))</f>
        <v/>
      </c>
      <c r="R429" s="107">
        <f t="shared" si="2"/>
        <v>12</v>
      </c>
    </row>
    <row r="430" hidden="1">
      <c r="A430" s="443" t="s">
        <v>191</v>
      </c>
      <c r="B430" s="43" t="str">
        <f>IF(A430="", "", IFERROR(VLOOKUP(A430, Clasificaciones!A:B, 2, FALSE), "DATO NO CARGADO"))
</f>
        <v>Tarjeta</v>
      </c>
      <c r="C430" s="51" t="s">
        <v>155</v>
      </c>
      <c r="D430" s="156">
        <v>2025.0</v>
      </c>
      <c r="E430" s="43" t="s">
        <v>1130</v>
      </c>
      <c r="H430" s="102"/>
      <c r="J430" s="102"/>
      <c r="K430" s="450"/>
      <c r="L430" s="455"/>
      <c r="M430" s="450"/>
      <c r="N430" s="452">
        <f t="array" ref="N430">IFERROR(
  INDEX(
    'Valor Hora Real y Estimada'!$A$4:$Z$78,
    MATCH(TRIM(CLEAN(A430)), 'Valor Hora Real y Estimada'!$A$4:$A$78, 0),
    MATCH(
      TEXT(C430,"dd mmm")&amp;" "&amp;D430,
      'Valor Hora Real y Estimada'!$A$3:$Z$3,
      0
    ) + 1
  ),
  0
)</f>
        <v>0</v>
      </c>
      <c r="O430" s="113"/>
      <c r="P430" s="113">
        <v>633.6</v>
      </c>
      <c r="Q430" s="106" t="str">
        <f>IF(ISBLANK(O430), "", VLOOKUP(C430&amp;" "&amp;D430, 'Info Tipo de Cambio y REM'!$A$24:$B$35, 2, FALSE))</f>
        <v/>
      </c>
      <c r="R430" s="107">
        <f t="shared" si="2"/>
        <v>633.6</v>
      </c>
    </row>
    <row r="431" hidden="1">
      <c r="A431" s="443" t="s">
        <v>191</v>
      </c>
      <c r="B431" s="43" t="str">
        <f>IF(A431="", "", IFERROR(VLOOKUP(A431, Clasificaciones!A:B, 2, FALSE), "DATO NO CARGADO"))
</f>
        <v>Tarjeta</v>
      </c>
      <c r="C431" s="51" t="s">
        <v>155</v>
      </c>
      <c r="D431" s="156">
        <v>2025.0</v>
      </c>
      <c r="E431" s="43" t="s">
        <v>1130</v>
      </c>
      <c r="H431" s="102"/>
      <c r="J431" s="102"/>
      <c r="K431" s="450"/>
      <c r="L431" s="455"/>
      <c r="M431" s="450"/>
      <c r="N431" s="452">
        <f t="array" ref="N431">IFERROR(
  INDEX(
    'Valor Hora Real y Estimada'!$A$4:$Z$78,
    MATCH(TRIM(CLEAN(A431)), 'Valor Hora Real y Estimada'!$A$4:$A$78, 0),
    MATCH(
      TEXT(C431,"dd mmm")&amp;" "&amp;D431,
      'Valor Hora Real y Estimada'!$A$3:$Z$3,
      0
    ) + 1
  ),
  0
)</f>
        <v>0</v>
      </c>
      <c r="O431" s="113"/>
      <c r="P431" s="113">
        <v>8.0</v>
      </c>
      <c r="Q431" s="106" t="str">
        <f>IF(ISBLANK(O431), "", VLOOKUP(C431&amp;" "&amp;D431, 'Info Tipo de Cambio y REM'!$A$24:$B$35, 2, FALSE))</f>
        <v/>
      </c>
      <c r="R431" s="107">
        <f t="shared" si="2"/>
        <v>8</v>
      </c>
    </row>
    <row r="432" hidden="1">
      <c r="A432" s="443" t="s">
        <v>191</v>
      </c>
      <c r="B432" s="43" t="str">
        <f>IF(A432="", "", IFERROR(VLOOKUP(A432, Clasificaciones!A:B, 2, FALSE), "DATO NO CARGADO"))
</f>
        <v>Tarjeta</v>
      </c>
      <c r="C432" s="51" t="s">
        <v>155</v>
      </c>
      <c r="D432" s="156">
        <v>2025.0</v>
      </c>
      <c r="E432" s="43" t="s">
        <v>1130</v>
      </c>
      <c r="H432" s="102"/>
      <c r="J432" s="102"/>
      <c r="K432" s="450"/>
      <c r="L432" s="455"/>
      <c r="M432" s="450"/>
      <c r="N432" s="452">
        <f t="array" ref="N432">IFERROR(
  INDEX(
    'Valor Hora Real y Estimada'!$A$4:$Z$78,
    MATCH(TRIM(CLEAN(A432)), 'Valor Hora Real y Estimada'!$A$4:$A$78, 0),
    MATCH(
      TEXT(C432,"dd mmm")&amp;" "&amp;D432,
      'Valor Hora Real y Estimada'!$A$3:$Z$3,
      0
    ) + 1
  ),
  0
)</f>
        <v>0</v>
      </c>
      <c r="O432" s="113"/>
      <c r="P432" s="113">
        <v>6.91</v>
      </c>
      <c r="Q432" s="106" t="str">
        <f>IF(ISBLANK(O432), "", VLOOKUP(C432&amp;" "&amp;D432, 'Info Tipo de Cambio y REM'!$A$24:$B$35, 2, FALSE))</f>
        <v/>
      </c>
      <c r="R432" s="107">
        <f t="shared" si="2"/>
        <v>6.91</v>
      </c>
    </row>
    <row r="433" hidden="1">
      <c r="A433" s="443" t="s">
        <v>191</v>
      </c>
      <c r="B433" s="43" t="str">
        <f>IF(A433="", "", IFERROR(VLOOKUP(A433, Clasificaciones!A:B, 2, FALSE), "DATO NO CARGADO"))
</f>
        <v>Tarjeta</v>
      </c>
      <c r="C433" s="51" t="s">
        <v>155</v>
      </c>
      <c r="D433" s="156">
        <v>2025.0</v>
      </c>
      <c r="E433" s="43" t="s">
        <v>1130</v>
      </c>
      <c r="H433" s="102"/>
      <c r="J433" s="102"/>
      <c r="K433" s="450"/>
      <c r="L433" s="455"/>
      <c r="M433" s="450"/>
      <c r="N433" s="452">
        <f t="array" ref="N433">IFERROR(
  INDEX(
    'Valor Hora Real y Estimada'!$A$4:$Z$78,
    MATCH(TRIM(CLEAN(A433)), 'Valor Hora Real y Estimada'!$A$4:$A$78, 0),
    MATCH(
      TEXT(C433,"dd mmm")&amp;" "&amp;D433,
      'Valor Hora Real y Estimada'!$A$3:$Z$3,
      0
    ) + 1
  ),
  0
)</f>
        <v>0</v>
      </c>
      <c r="O433" s="113"/>
      <c r="P433" s="113">
        <v>14.19</v>
      </c>
      <c r="Q433" s="106" t="str">
        <f>IF(ISBLANK(O433), "", VLOOKUP(C433&amp;" "&amp;D433, 'Info Tipo de Cambio y REM'!$A$24:$B$35, 2, FALSE))</f>
        <v/>
      </c>
      <c r="R433" s="107">
        <f t="shared" si="2"/>
        <v>14.19</v>
      </c>
    </row>
    <row r="434" hidden="1">
      <c r="A434" s="443" t="s">
        <v>191</v>
      </c>
      <c r="B434" s="43" t="str">
        <f>IF(A434="", "", IFERROR(VLOOKUP(A434, Clasificaciones!A:B, 2, FALSE), "DATO NO CARGADO"))
</f>
        <v>Tarjeta</v>
      </c>
      <c r="C434" s="51" t="s">
        <v>155</v>
      </c>
      <c r="D434" s="156">
        <v>2025.0</v>
      </c>
      <c r="E434" s="43" t="s">
        <v>1130</v>
      </c>
      <c r="H434" s="102"/>
      <c r="J434" s="102"/>
      <c r="K434" s="450"/>
      <c r="L434" s="455"/>
      <c r="M434" s="450"/>
      <c r="N434" s="452">
        <f t="array" ref="N434">IFERROR(
  INDEX(
    'Valor Hora Real y Estimada'!$A$4:$Z$78,
    MATCH(TRIM(CLEAN(A434)), 'Valor Hora Real y Estimada'!$A$4:$A$78, 0),
    MATCH(
      TEXT(C434,"dd mmm")&amp;" "&amp;D434,
      'Valor Hora Real y Estimada'!$A$3:$Z$3,
      0
    ) + 1
  ),
  0
)</f>
        <v>0</v>
      </c>
      <c r="O434" s="113"/>
      <c r="P434" s="113">
        <v>22.99</v>
      </c>
      <c r="Q434" s="106" t="str">
        <f>IF(ISBLANK(O434), "", VLOOKUP(C434&amp;" "&amp;D434, 'Info Tipo de Cambio y REM'!$A$24:$B$35, 2, FALSE))</f>
        <v/>
      </c>
      <c r="R434" s="107">
        <f t="shared" si="2"/>
        <v>22.99</v>
      </c>
    </row>
    <row r="435" hidden="1">
      <c r="A435" s="443" t="s">
        <v>191</v>
      </c>
      <c r="B435" s="43" t="str">
        <f>IF(A435="", "", IFERROR(VLOOKUP(A435, Clasificaciones!A:B, 2, FALSE), "DATO NO CARGADO"))
</f>
        <v>Tarjeta</v>
      </c>
      <c r="C435" s="51" t="s">
        <v>155</v>
      </c>
      <c r="D435" s="156">
        <v>2025.0</v>
      </c>
      <c r="E435" s="43" t="s">
        <v>1130</v>
      </c>
      <c r="H435" s="102"/>
      <c r="J435" s="102"/>
      <c r="K435" s="450"/>
      <c r="L435" s="455"/>
      <c r="M435" s="450"/>
      <c r="N435" s="452">
        <f t="array" ref="N435">IFERROR(
  INDEX(
    'Valor Hora Real y Estimada'!$A$4:$Z$78,
    MATCH(TRIM(CLEAN(A435)), 'Valor Hora Real y Estimada'!$A$4:$A$78, 0),
    MATCH(
      TEXT(C435,"dd mmm")&amp;" "&amp;D435,
      'Valor Hora Real y Estimada'!$A$3:$Z$3,
      0
    ) + 1
  ),
  0
)</f>
        <v>0</v>
      </c>
      <c r="O435" s="113"/>
      <c r="P435" s="113">
        <v>20.0</v>
      </c>
      <c r="Q435" s="106" t="str">
        <f>IF(ISBLANK(O435), "", VLOOKUP(C435&amp;" "&amp;D435, 'Info Tipo de Cambio y REM'!$A$24:$B$35, 2, FALSE))</f>
        <v/>
      </c>
      <c r="R435" s="107">
        <f t="shared" si="2"/>
        <v>20</v>
      </c>
    </row>
    <row r="436" hidden="1">
      <c r="A436" s="443" t="s">
        <v>191</v>
      </c>
      <c r="B436" s="43" t="str">
        <f>IF(A436="", "", IFERROR(VLOOKUP(A436, Clasificaciones!A:B, 2, FALSE), "DATO NO CARGADO"))
</f>
        <v>Tarjeta</v>
      </c>
      <c r="C436" s="51" t="s">
        <v>155</v>
      </c>
      <c r="D436" s="156">
        <v>2025.0</v>
      </c>
      <c r="E436" s="43" t="s">
        <v>1130</v>
      </c>
      <c r="H436" s="102"/>
      <c r="J436" s="102"/>
      <c r="K436" s="450"/>
      <c r="L436" s="455"/>
      <c r="M436" s="450"/>
      <c r="N436" s="452">
        <f t="array" ref="N436">IFERROR(
  INDEX(
    'Valor Hora Real y Estimada'!$A$4:$Z$78,
    MATCH(TRIM(CLEAN(A436)), 'Valor Hora Real y Estimada'!$A$4:$A$78, 0),
    MATCH(
      TEXT(C436,"dd mmm")&amp;" "&amp;D436,
      'Valor Hora Real y Estimada'!$A$3:$Z$3,
      0
    ) + 1
  ),
  0
)</f>
        <v>0</v>
      </c>
      <c r="O436" s="113"/>
      <c r="P436" s="113">
        <v>6.49</v>
      </c>
      <c r="Q436" s="106" t="str">
        <f>IF(ISBLANK(O436), "", VLOOKUP(C436&amp;" "&amp;D436, 'Info Tipo de Cambio y REM'!$A$24:$B$35, 2, FALSE))</f>
        <v/>
      </c>
      <c r="R436" s="107">
        <f t="shared" si="2"/>
        <v>6.49</v>
      </c>
    </row>
    <row r="437" hidden="1">
      <c r="A437" s="443" t="s">
        <v>191</v>
      </c>
      <c r="B437" s="43" t="str">
        <f>IF(A437="", "", IFERROR(VLOOKUP(A437, Clasificaciones!A:B, 2, FALSE), "DATO NO CARGADO"))
</f>
        <v>Tarjeta</v>
      </c>
      <c r="C437" s="51" t="s">
        <v>155</v>
      </c>
      <c r="D437" s="156">
        <v>2025.0</v>
      </c>
      <c r="E437" s="43" t="s">
        <v>1130</v>
      </c>
      <c r="H437" s="102"/>
      <c r="J437" s="102"/>
      <c r="K437" s="450"/>
      <c r="L437" s="455"/>
      <c r="M437" s="450"/>
      <c r="N437" s="452">
        <f t="array" ref="N437">IFERROR(
  INDEX(
    'Valor Hora Real y Estimada'!$A$4:$Z$78,
    MATCH(TRIM(CLEAN(A437)), 'Valor Hora Real y Estimada'!$A$4:$A$78, 0),
    MATCH(
      TEXT(C437,"dd mmm")&amp;" "&amp;D437,
      'Valor Hora Real y Estimada'!$A$3:$Z$3,
      0
    ) + 1
  ),
  0
)</f>
        <v>0</v>
      </c>
      <c r="O437" s="113"/>
      <c r="P437" s="113">
        <v>29.0</v>
      </c>
      <c r="Q437" s="106" t="str">
        <f>IF(ISBLANK(O437), "", VLOOKUP(C437&amp;" "&amp;D437, 'Info Tipo de Cambio y REM'!$A$24:$B$35, 2, FALSE))</f>
        <v/>
      </c>
      <c r="R437" s="107">
        <f t="shared" si="2"/>
        <v>29</v>
      </c>
    </row>
    <row r="438" hidden="1">
      <c r="A438" s="443" t="s">
        <v>191</v>
      </c>
      <c r="B438" s="43" t="str">
        <f>IF(A438="", "", IFERROR(VLOOKUP(A438, Clasificaciones!A:B, 2, FALSE), "DATO NO CARGADO"))
</f>
        <v>Tarjeta</v>
      </c>
      <c r="C438" s="51" t="s">
        <v>155</v>
      </c>
      <c r="D438" s="156">
        <v>2025.0</v>
      </c>
      <c r="E438" s="43" t="s">
        <v>1130</v>
      </c>
      <c r="H438" s="102"/>
      <c r="J438" s="102"/>
      <c r="K438" s="450"/>
      <c r="L438" s="455"/>
      <c r="M438" s="450"/>
      <c r="N438" s="452">
        <f t="array" ref="N438">IFERROR(
  INDEX(
    'Valor Hora Real y Estimada'!$A$4:$Z$78,
    MATCH(TRIM(CLEAN(A438)), 'Valor Hora Real y Estimada'!$A$4:$A$78, 0),
    MATCH(
      TEXT(C438,"dd mmm")&amp;" "&amp;D438,
      'Valor Hora Real y Estimada'!$A$3:$Z$3,
      0
    ) + 1
  ),
  0
)</f>
        <v>0</v>
      </c>
      <c r="O438" s="113"/>
      <c r="P438" s="113">
        <v>59.88</v>
      </c>
      <c r="Q438" s="106" t="str">
        <f>IF(ISBLANK(O438), "", VLOOKUP(C438&amp;" "&amp;D438, 'Info Tipo de Cambio y REM'!$A$24:$B$35, 2, FALSE))</f>
        <v/>
      </c>
      <c r="R438" s="107">
        <f t="shared" si="2"/>
        <v>59.88</v>
      </c>
    </row>
    <row r="439" hidden="1">
      <c r="A439" s="443" t="s">
        <v>191</v>
      </c>
      <c r="B439" s="43" t="str">
        <f>IF(A439="", "", IFERROR(VLOOKUP(A439, Clasificaciones!A:B, 2, FALSE), "DATO NO CARGADO"))
</f>
        <v>Tarjeta</v>
      </c>
      <c r="C439" s="51" t="s">
        <v>155</v>
      </c>
      <c r="D439" s="156">
        <v>2025.0</v>
      </c>
      <c r="E439" s="43" t="s">
        <v>1130</v>
      </c>
      <c r="H439" s="102"/>
      <c r="J439" s="102"/>
      <c r="K439" s="450"/>
      <c r="L439" s="455"/>
      <c r="M439" s="450"/>
      <c r="N439" s="452">
        <f t="array" ref="N439">IFERROR(
  INDEX(
    'Valor Hora Real y Estimada'!$A$4:$Z$78,
    MATCH(TRIM(CLEAN(A439)), 'Valor Hora Real y Estimada'!$A$4:$A$78, 0),
    MATCH(
      TEXT(C439,"dd mmm")&amp;" "&amp;D439,
      'Valor Hora Real y Estimada'!$A$3:$Z$3,
      0
    ) + 1
  ),
  0
)</f>
        <v>0</v>
      </c>
      <c r="O439" s="113"/>
      <c r="P439" s="113">
        <v>22.17</v>
      </c>
      <c r="Q439" s="106" t="str">
        <f>IF(ISBLANK(O439), "", VLOOKUP(C439&amp;" "&amp;D439, 'Info Tipo de Cambio y REM'!$A$24:$B$35, 2, FALSE))</f>
        <v/>
      </c>
      <c r="R439" s="107">
        <f t="shared" si="2"/>
        <v>22.17</v>
      </c>
    </row>
    <row r="440" hidden="1">
      <c r="A440" s="443" t="s">
        <v>191</v>
      </c>
      <c r="B440" s="43" t="str">
        <f>IF(A440="", "", IFERROR(VLOOKUP(A440, Clasificaciones!A:B, 2, FALSE), "DATO NO CARGADO"))
</f>
        <v>Tarjeta</v>
      </c>
      <c r="C440" s="51" t="s">
        <v>155</v>
      </c>
      <c r="D440" s="156">
        <v>2025.0</v>
      </c>
      <c r="E440" s="43" t="s">
        <v>1130</v>
      </c>
      <c r="H440" s="102"/>
      <c r="J440" s="102"/>
      <c r="K440" s="450"/>
      <c r="L440" s="455"/>
      <c r="M440" s="450"/>
      <c r="N440" s="452">
        <f t="array" ref="N440">IFERROR(
  INDEX(
    'Valor Hora Real y Estimada'!$A$4:$Z$78,
    MATCH(TRIM(CLEAN(A440)), 'Valor Hora Real y Estimada'!$A$4:$A$78, 0),
    MATCH(
      TEXT(C440,"dd mmm")&amp;" "&amp;D440,
      'Valor Hora Real y Estimada'!$A$3:$Z$3,
      0
    ) + 1
  ),
  0
)</f>
        <v>0</v>
      </c>
      <c r="O440" s="113"/>
      <c r="P440" s="113">
        <v>383.56</v>
      </c>
      <c r="Q440" s="106" t="str">
        <f>IF(ISBLANK(O440), "", VLOOKUP(C440&amp;" "&amp;D440, 'Info Tipo de Cambio y REM'!$A$24:$B$35, 2, FALSE))</f>
        <v/>
      </c>
      <c r="R440" s="107">
        <f t="shared" si="2"/>
        <v>383.56</v>
      </c>
    </row>
    <row r="441" hidden="1">
      <c r="A441" s="443" t="s">
        <v>191</v>
      </c>
      <c r="B441" s="43" t="str">
        <f>IF(A441="", "", IFERROR(VLOOKUP(A441, Clasificaciones!A:B, 2, FALSE), "DATO NO CARGADO"))
</f>
        <v>Tarjeta</v>
      </c>
      <c r="C441" s="51" t="s">
        <v>155</v>
      </c>
      <c r="D441" s="156">
        <v>2025.0</v>
      </c>
      <c r="E441" s="43" t="s">
        <v>1130</v>
      </c>
      <c r="H441" s="102"/>
      <c r="J441" s="102"/>
      <c r="K441" s="450"/>
      <c r="L441" s="455"/>
      <c r="M441" s="450"/>
      <c r="N441" s="452">
        <f t="array" ref="N441">IFERROR(
  INDEX(
    'Valor Hora Real y Estimada'!$A$4:$Z$78,
    MATCH(TRIM(CLEAN(A441)), 'Valor Hora Real y Estimada'!$A$4:$A$78, 0),
    MATCH(
      TEXT(C441,"dd mmm")&amp;" "&amp;D441,
      'Valor Hora Real y Estimada'!$A$3:$Z$3,
      0
    ) + 1
  ),
  0
)</f>
        <v>0</v>
      </c>
      <c r="O441" s="113"/>
      <c r="P441" s="113">
        <v>6.11</v>
      </c>
      <c r="Q441" s="106" t="str">
        <f>IF(ISBLANK(O441), "", VLOOKUP(C441&amp;" "&amp;D441, 'Info Tipo de Cambio y REM'!$A$24:$B$35, 2, FALSE))</f>
        <v/>
      </c>
      <c r="R441" s="107">
        <f t="shared" si="2"/>
        <v>6.11</v>
      </c>
    </row>
    <row r="442" hidden="1">
      <c r="A442" s="443" t="s">
        <v>191</v>
      </c>
      <c r="B442" s="43" t="str">
        <f>IF(A442="", "", IFERROR(VLOOKUP(A442, Clasificaciones!A:B, 2, FALSE), "DATO NO CARGADO"))
</f>
        <v>Tarjeta</v>
      </c>
      <c r="C442" s="51" t="s">
        <v>155</v>
      </c>
      <c r="D442" s="156">
        <v>2025.0</v>
      </c>
      <c r="E442" s="43" t="s">
        <v>1130</v>
      </c>
      <c r="H442" s="102"/>
      <c r="J442" s="102"/>
      <c r="K442" s="450"/>
      <c r="L442" s="455"/>
      <c r="M442" s="450"/>
      <c r="N442" s="452">
        <f t="array" ref="N442">IFERROR(
  INDEX(
    'Valor Hora Real y Estimada'!$A$4:$Z$78,
    MATCH(TRIM(CLEAN(A442)), 'Valor Hora Real y Estimada'!$A$4:$A$78, 0),
    MATCH(
      TEXT(C442,"dd mmm")&amp;" "&amp;D442,
      'Valor Hora Real y Estimada'!$A$3:$Z$3,
      0
    ) + 1
  ),
  0
)</f>
        <v>0</v>
      </c>
      <c r="O442" s="113"/>
      <c r="P442" s="113">
        <v>20.0</v>
      </c>
      <c r="Q442" s="106" t="str">
        <f>IF(ISBLANK(O442), "", VLOOKUP(C442&amp;" "&amp;D442, 'Info Tipo de Cambio y REM'!$A$24:$B$35, 2, FALSE))</f>
        <v/>
      </c>
      <c r="R442" s="107">
        <f t="shared" si="2"/>
        <v>20</v>
      </c>
    </row>
    <row r="443" hidden="1">
      <c r="A443" s="443" t="s">
        <v>191</v>
      </c>
      <c r="B443" s="43" t="str">
        <f>IF(A443="", "", IFERROR(VLOOKUP(A443, Clasificaciones!A:B, 2, FALSE), "DATO NO CARGADO"))
</f>
        <v>Tarjeta</v>
      </c>
      <c r="C443" s="51" t="s">
        <v>155</v>
      </c>
      <c r="D443" s="156">
        <v>2025.0</v>
      </c>
      <c r="E443" s="43" t="s">
        <v>1130</v>
      </c>
      <c r="H443" s="102"/>
      <c r="J443" s="102"/>
      <c r="K443" s="450"/>
      <c r="L443" s="455"/>
      <c r="M443" s="450"/>
      <c r="N443" s="452">
        <f t="array" ref="N443">IFERROR(
  INDEX(
    'Valor Hora Real y Estimada'!$A$4:$Z$78,
    MATCH(TRIM(CLEAN(A443)), 'Valor Hora Real y Estimada'!$A$4:$A$78, 0),
    MATCH(
      TEXT(C443,"dd mmm")&amp;" "&amp;D443,
      'Valor Hora Real y Estimada'!$A$3:$Z$3,
      0
    ) + 1
  ),
  0
)</f>
        <v>0</v>
      </c>
      <c r="O443" s="113"/>
      <c r="P443" s="113">
        <v>8.0</v>
      </c>
      <c r="Q443" s="106" t="str">
        <f>IF(ISBLANK(O443), "", VLOOKUP(C443&amp;" "&amp;D443, 'Info Tipo de Cambio y REM'!$A$24:$B$35, 2, FALSE))</f>
        <v/>
      </c>
      <c r="R443" s="107">
        <f t="shared" si="2"/>
        <v>8</v>
      </c>
    </row>
    <row r="444" hidden="1">
      <c r="A444" s="443" t="s">
        <v>191</v>
      </c>
      <c r="B444" s="43" t="str">
        <f>IF(A444="", "", IFERROR(VLOOKUP(A444, Clasificaciones!A:B, 2, FALSE), "DATO NO CARGADO"))
</f>
        <v>Tarjeta</v>
      </c>
      <c r="C444" s="51" t="s">
        <v>155</v>
      </c>
      <c r="D444" s="156">
        <v>2025.0</v>
      </c>
      <c r="E444" s="43" t="s">
        <v>1130</v>
      </c>
      <c r="H444" s="102"/>
      <c r="J444" s="102"/>
      <c r="K444" s="450"/>
      <c r="L444" s="455"/>
      <c r="M444" s="450"/>
      <c r="N444" s="452">
        <f t="array" ref="N444">IFERROR(
  INDEX(
    'Valor Hora Real y Estimada'!$A$4:$Z$78,
    MATCH(TRIM(CLEAN(A444)), 'Valor Hora Real y Estimada'!$A$4:$A$78, 0),
    MATCH(
      TEXT(C444,"dd mmm")&amp;" "&amp;D444,
      'Valor Hora Real y Estimada'!$A$3:$Z$3,
      0
    ) + 1
  ),
  0
)</f>
        <v>0</v>
      </c>
      <c r="O444" s="113"/>
      <c r="P444" s="113">
        <v>25.19</v>
      </c>
      <c r="Q444" s="106" t="str">
        <f>IF(ISBLANK(O444), "", VLOOKUP(C444&amp;" "&amp;D444, 'Info Tipo de Cambio y REM'!$A$24:$B$35, 2, FALSE))</f>
        <v/>
      </c>
      <c r="R444" s="107">
        <f t="shared" si="2"/>
        <v>25.19</v>
      </c>
    </row>
    <row r="445" hidden="1">
      <c r="A445" s="443" t="s">
        <v>191</v>
      </c>
      <c r="B445" s="43" t="str">
        <f>IF(A445="", "", IFERROR(VLOOKUP(A445, Clasificaciones!A:B, 2, FALSE), "DATO NO CARGADO"))
</f>
        <v>Tarjeta</v>
      </c>
      <c r="C445" s="51" t="s">
        <v>155</v>
      </c>
      <c r="D445" s="156">
        <v>2025.0</v>
      </c>
      <c r="E445" s="43" t="s">
        <v>1130</v>
      </c>
      <c r="H445" s="102"/>
      <c r="J445" s="102"/>
      <c r="K445" s="450"/>
      <c r="L445" s="455"/>
      <c r="M445" s="450"/>
      <c r="N445" s="452">
        <f t="array" ref="N445">IFERROR(
  INDEX(
    'Valor Hora Real y Estimada'!$A$4:$Z$78,
    MATCH(TRIM(CLEAN(A445)), 'Valor Hora Real y Estimada'!$A$4:$A$78, 0),
    MATCH(
      TEXT(C445,"dd mmm")&amp;" "&amp;D445,
      'Valor Hora Real y Estimada'!$A$3:$Z$3,
      0
    ) + 1
  ),
  0
)</f>
        <v>0</v>
      </c>
      <c r="P445" s="112">
        <v>45.0</v>
      </c>
      <c r="Q445" s="106" t="str">
        <f>IF(ISBLANK(O445), "", VLOOKUP(C445&amp;" "&amp;D445, 'Info Tipo de Cambio y REM'!$A$24:$B$35, 2, FALSE))</f>
        <v/>
      </c>
      <c r="R445" s="107">
        <f t="shared" si="2"/>
        <v>45</v>
      </c>
    </row>
    <row r="446" hidden="1">
      <c r="A446" s="443" t="s">
        <v>191</v>
      </c>
      <c r="B446" s="43" t="str">
        <f>IF(A446="", "", IFERROR(VLOOKUP(A446, Clasificaciones!A:B, 2, FALSE), "DATO NO CARGADO"))
</f>
        <v>Tarjeta</v>
      </c>
      <c r="C446" s="51" t="s">
        <v>155</v>
      </c>
      <c r="D446" s="156">
        <v>2025.0</v>
      </c>
      <c r="E446" s="43" t="s">
        <v>1130</v>
      </c>
      <c r="H446" s="102"/>
      <c r="J446" s="102"/>
      <c r="K446" s="450"/>
      <c r="L446" s="455"/>
      <c r="M446" s="450"/>
      <c r="N446" s="452">
        <f t="array" ref="N446">IFERROR(
  INDEX(
    'Valor Hora Real y Estimada'!$A$4:$Z$78,
    MATCH(TRIM(CLEAN(A446)), 'Valor Hora Real y Estimada'!$A$4:$A$78, 0),
    MATCH(
      TEXT(C446,"dd mmm")&amp;" "&amp;D446,
      'Valor Hora Real y Estimada'!$A$3:$Z$3,
      0
    ) + 1
  ),
  0
)</f>
        <v>0</v>
      </c>
      <c r="P446" s="112">
        <v>29.99</v>
      </c>
      <c r="Q446" s="106" t="str">
        <f>IF(ISBLANK(O446), "", VLOOKUP(C446&amp;" "&amp;D446, 'Info Tipo de Cambio y REM'!$A$24:$B$35, 2, FALSE))</f>
        <v/>
      </c>
      <c r="R446" s="107">
        <f t="shared" si="2"/>
        <v>29.99</v>
      </c>
    </row>
    <row r="447" hidden="1">
      <c r="A447" s="443" t="s">
        <v>191</v>
      </c>
      <c r="B447" s="43" t="str">
        <f>IF(A447="", "", IFERROR(VLOOKUP(A447, Clasificaciones!A:B, 2, FALSE), "DATO NO CARGADO"))
</f>
        <v>Tarjeta</v>
      </c>
      <c r="C447" s="51" t="s">
        <v>155</v>
      </c>
      <c r="D447" s="156">
        <v>2025.0</v>
      </c>
      <c r="E447" s="43" t="s">
        <v>1130</v>
      </c>
      <c r="H447" s="102"/>
      <c r="J447" s="102"/>
      <c r="K447" s="450"/>
      <c r="L447" s="455"/>
      <c r="M447" s="450"/>
      <c r="N447" s="452">
        <f t="array" ref="N447">IFERROR(
  INDEX(
    'Valor Hora Real y Estimada'!$A$4:$Z$78,
    MATCH(TRIM(CLEAN(A447)), 'Valor Hora Real y Estimada'!$A$4:$A$78, 0),
    MATCH(
      TEXT(C447,"dd mmm")&amp;" "&amp;D447,
      'Valor Hora Real y Estimada'!$A$3:$Z$3,
      0
    ) + 1
  ),
  0
)</f>
        <v>0</v>
      </c>
      <c r="P447" s="112">
        <v>609.8</v>
      </c>
      <c r="Q447" s="106" t="str">
        <f>IF(ISBLANK(O447), "", VLOOKUP(C447&amp;" "&amp;D447, 'Info Tipo de Cambio y REM'!$A$24:$B$35, 2, FALSE))</f>
        <v/>
      </c>
      <c r="R447" s="107">
        <f t="shared" si="2"/>
        <v>609.8</v>
      </c>
    </row>
    <row r="448" hidden="1">
      <c r="A448" s="443" t="s">
        <v>187</v>
      </c>
      <c r="B448" s="43" t="str">
        <f>IF(A448="", "", IFERROR(VLOOKUP(A448, Clasificaciones!A:B, 2, FALSE), "DATO NO CARGADO"))
</f>
        <v>Gastos Varios</v>
      </c>
      <c r="C448" s="51" t="s">
        <v>155</v>
      </c>
      <c r="D448" s="156">
        <v>2025.0</v>
      </c>
      <c r="E448" s="43" t="s">
        <v>1124</v>
      </c>
      <c r="H448" s="102"/>
      <c r="J448" s="102"/>
      <c r="K448" s="450"/>
      <c r="L448" s="455"/>
      <c r="M448" s="450"/>
      <c r="N448" s="452">
        <f t="array" ref="N448">IFERROR(
  INDEX(
    'Valor Hora Real y Estimada'!$A$4:$Z$78,
    MATCH(TRIM(CLEAN(A448)), 'Valor Hora Real y Estimada'!$A$4:$A$78, 0),
    MATCH(
      TEXT(C448,"dd mmm")&amp;" "&amp;D448,
      'Valor Hora Real y Estimada'!$A$3:$Z$3,
      0
    ) + 1
  ),
  0
)</f>
        <v>0</v>
      </c>
      <c r="P448" s="112">
        <v>600.0</v>
      </c>
      <c r="Q448" s="106" t="str">
        <f>IF(ISBLANK(O448), "", VLOOKUP(C448&amp;" "&amp;D448, 'Info Tipo de Cambio y REM'!$A$24:$B$35, 2, FALSE))</f>
        <v/>
      </c>
      <c r="R448" s="107">
        <f t="shared" si="2"/>
        <v>600</v>
      </c>
    </row>
    <row r="449" hidden="1">
      <c r="A449" s="443" t="s">
        <v>152</v>
      </c>
      <c r="B449" s="43" t="str">
        <f>IF(A449="", "", IFERROR(VLOOKUP(A449, Clasificaciones!A:B, 2, FALSE), "DATO NO CARGADO"))
</f>
        <v>Impuestos ARG</v>
      </c>
      <c r="C449" s="51" t="s">
        <v>155</v>
      </c>
      <c r="D449" s="156">
        <v>2025.0</v>
      </c>
      <c r="E449" s="43" t="s">
        <v>1130</v>
      </c>
      <c r="H449" s="102"/>
      <c r="J449" s="102"/>
      <c r="K449" s="450"/>
      <c r="L449" s="455"/>
      <c r="M449" s="450"/>
      <c r="N449" s="452">
        <f t="array" ref="N449">IFERROR(
  INDEX(
    'Valor Hora Real y Estimada'!$A$4:$Z$78,
    MATCH(TRIM(CLEAN(A449)), 'Valor Hora Real y Estimada'!$A$4:$A$78, 0),
    MATCH(
      TEXT(C449,"dd mmm")&amp;" "&amp;D449,
      'Valor Hora Real y Estimada'!$A$3:$Z$3,
      0
    ) + 1
  ),
  0
)</f>
        <v>0</v>
      </c>
      <c r="O449" s="89">
        <v>1835920.0</v>
      </c>
      <c r="P449" s="113"/>
      <c r="Q449" s="106">
        <f>IF(ISBLANK(O449), "", VLOOKUP(C449&amp;" "&amp;D449, 'Info Tipo de Cambio y REM'!$A$24:$B$35, 2, FALSE))</f>
        <v>1215</v>
      </c>
      <c r="R449" s="107">
        <f t="shared" si="2"/>
        <v>1511.045267</v>
      </c>
    </row>
    <row r="450" hidden="1">
      <c r="A450" s="443" t="s">
        <v>146</v>
      </c>
      <c r="B450" s="43" t="str">
        <f>IF(A450="", "", IFERROR(VLOOKUP(A450, Clasificaciones!A:B, 2, FALSE), "DATO NO CARGADO"))
</f>
        <v>Impuestos ARG</v>
      </c>
      <c r="C450" s="51" t="s">
        <v>155</v>
      </c>
      <c r="D450" s="156">
        <v>2025.0</v>
      </c>
      <c r="E450" s="43" t="s">
        <v>1130</v>
      </c>
      <c r="H450" s="102"/>
      <c r="J450" s="102"/>
      <c r="K450" s="450"/>
      <c r="L450" s="455"/>
      <c r="M450" s="450"/>
      <c r="N450" s="452">
        <f t="array" ref="N450">IFERROR(
  INDEX(
    'Valor Hora Real y Estimada'!$A$4:$Z$78,
    MATCH(TRIM(CLEAN(A450)), 'Valor Hora Real y Estimada'!$A$4:$A$78, 0),
    MATCH(
      TEXT(C450,"dd mmm")&amp;" "&amp;D450,
      'Valor Hora Real y Estimada'!$A$3:$Z$3,
      0
    ) + 1
  ),
  0
)</f>
        <v>0</v>
      </c>
      <c r="O450" s="89">
        <v>337214.0</v>
      </c>
      <c r="P450" s="113"/>
      <c r="Q450" s="106">
        <f>IF(ISBLANK(O450), "", VLOOKUP(C450&amp;" "&amp;D450, 'Info Tipo de Cambio y REM'!$A$24:$B$35, 2, FALSE))</f>
        <v>1215</v>
      </c>
      <c r="R450" s="107">
        <f t="shared" si="2"/>
        <v>277.5423868</v>
      </c>
    </row>
    <row r="451" hidden="1">
      <c r="A451" s="443" t="s">
        <v>164</v>
      </c>
      <c r="B451" s="43" t="str">
        <f>IF(A451="", "", IFERROR(VLOOKUP(A451, Clasificaciones!A:B, 2, FALSE), "DATO NO CARGADO"))
</f>
        <v>Estudio Contable</v>
      </c>
      <c r="C451" s="51" t="s">
        <v>155</v>
      </c>
      <c r="D451" s="156">
        <v>2025.0</v>
      </c>
      <c r="E451" s="43" t="s">
        <v>1130</v>
      </c>
      <c r="H451" s="102"/>
      <c r="J451" s="102"/>
      <c r="K451" s="450"/>
      <c r="L451" s="455"/>
      <c r="M451" s="450"/>
      <c r="N451" s="452">
        <f t="array" ref="N451">IFERROR(
  INDEX(
    'Valor Hora Real y Estimada'!$A$4:$Z$78,
    MATCH(TRIM(CLEAN(A451)), 'Valor Hora Real y Estimada'!$A$4:$A$78, 0),
    MATCH(
      TEXT(C451,"dd mmm")&amp;" "&amp;D451,
      'Valor Hora Real y Estimada'!$A$3:$Z$3,
      0
    ) + 1
  ),
  0
)</f>
        <v>0</v>
      </c>
      <c r="O451" s="89">
        <v>59568.3</v>
      </c>
      <c r="P451" s="113"/>
      <c r="Q451" s="106">
        <f>IF(ISBLANK(O451), "", VLOOKUP(C451&amp;" "&amp;D451, 'Info Tipo de Cambio y REM'!$A$24:$B$35, 2, FALSE))</f>
        <v>1215</v>
      </c>
      <c r="R451" s="107">
        <f t="shared" si="2"/>
        <v>49.02740741</v>
      </c>
    </row>
    <row r="452" hidden="1">
      <c r="A452" s="443" t="s">
        <v>153</v>
      </c>
      <c r="B452" s="43" t="str">
        <f>IF(A452="", "", IFERROR(VLOOKUP(A452, Clasificaciones!A:B, 2, FALSE), "DATO NO CARGADO"))
</f>
        <v>Impuestos USA</v>
      </c>
      <c r="C452" s="51" t="s">
        <v>155</v>
      </c>
      <c r="D452" s="197">
        <v>2025.0</v>
      </c>
      <c r="E452" s="92" t="s">
        <v>1130</v>
      </c>
      <c r="F452" s="182"/>
      <c r="G452" s="182"/>
      <c r="H452" s="182"/>
      <c r="I452" s="182"/>
      <c r="J452" s="182"/>
      <c r="K452" s="472"/>
      <c r="L452" s="473"/>
      <c r="M452" s="472"/>
      <c r="N452" s="452">
        <f t="array" ref="N452">IFERROR(
  INDEX(
    'Valor Hora Real y Estimada'!$A$4:$Z$78,
    MATCH(TRIM(CLEAN(A452)), 'Valor Hora Real y Estimada'!$A$4:$A$78, 0),
    MATCH(
      TEXT(C452,"dd mmm")&amp;" "&amp;D452,
      'Valor Hora Real y Estimada'!$A$3:$Z$3,
      0
    ) + 1
  ),
  0
)</f>
        <v>0</v>
      </c>
      <c r="O452" s="182"/>
      <c r="P452" s="474">
        <v>-4204.92</v>
      </c>
      <c r="Q452" s="106" t="str">
        <f>IF(ISBLANK(O452), "", VLOOKUP(C452&amp;" "&amp;D452, 'Info Tipo de Cambio y REM'!$A$24:$B$35, 2, FALSE))</f>
        <v/>
      </c>
      <c r="R452" s="107">
        <f t="shared" si="2"/>
        <v>-4204.92</v>
      </c>
    </row>
    <row r="453" hidden="1">
      <c r="A453" s="443" t="s">
        <v>222</v>
      </c>
      <c r="B453" s="43" t="str">
        <f>IF(A453="", "", IFERROR(VLOOKUP(A453, Clasificaciones!A:B, 2, FALSE), "DATO NO CARGADO"))
</f>
        <v>Oxean</v>
      </c>
      <c r="C453" s="51" t="s">
        <v>155</v>
      </c>
      <c r="D453" s="156">
        <v>2025.0</v>
      </c>
      <c r="E453" s="43" t="s">
        <v>1130</v>
      </c>
      <c r="H453" s="102"/>
      <c r="J453" s="102"/>
      <c r="K453" s="450"/>
      <c r="L453" s="455"/>
      <c r="M453" s="450"/>
      <c r="N453" s="452">
        <f t="array" ref="N453">IFERROR(
  INDEX(
    'Valor Hora Real y Estimada'!$A$4:$Z$78,
    MATCH(TRIM(CLEAN(A453)), 'Valor Hora Real y Estimada'!$A$4:$A$78, 0),
    MATCH(
      TEXT(C453,"dd mmm")&amp;" "&amp;D453,
      'Valor Hora Real y Estimada'!$A$3:$Z$3,
      0
    ) + 1
  ),
  0
)</f>
        <v>0</v>
      </c>
      <c r="O453" s="89">
        <v>4910000.0</v>
      </c>
      <c r="P453" s="113"/>
      <c r="Q453" s="106">
        <f>IF(ISBLANK(O453), "", VLOOKUP(C453&amp;" "&amp;D453, 'Info Tipo de Cambio y REM'!$A$24:$B$35, 2, FALSE))</f>
        <v>1215</v>
      </c>
      <c r="R453" s="107">
        <f t="shared" si="2"/>
        <v>4041.152263</v>
      </c>
    </row>
    <row r="454" hidden="1">
      <c r="A454" s="443" t="s">
        <v>158</v>
      </c>
      <c r="B454" s="43" t="str">
        <f>IF(A454="", "", IFERROR(VLOOKUP(A454, Clasificaciones!A:B, 2, FALSE), "DATO NO CARGADO"))
</f>
        <v>Tarjeta</v>
      </c>
      <c r="C454" s="51" t="s">
        <v>155</v>
      </c>
      <c r="D454" s="156">
        <v>2025.0</v>
      </c>
      <c r="E454" s="43" t="s">
        <v>1130</v>
      </c>
      <c r="H454" s="102"/>
      <c r="J454" s="102"/>
      <c r="K454" s="450"/>
      <c r="L454" s="455"/>
      <c r="M454" s="450"/>
      <c r="N454" s="452">
        <f t="array" ref="N454">IFERROR(
  INDEX(
    'Valor Hora Real y Estimada'!$A$4:$Z$78,
    MATCH(TRIM(CLEAN(A454)), 'Valor Hora Real y Estimada'!$A$4:$A$78, 0),
    MATCH(
      TEXT(C454,"dd mmm")&amp;" "&amp;D454,
      'Valor Hora Real y Estimada'!$A$3:$Z$3,
      0
    ) + 1
  ),
  0
)</f>
        <v>0</v>
      </c>
      <c r="O454" s="201">
        <v>111382.0</v>
      </c>
      <c r="P454" s="113"/>
      <c r="Q454" s="106">
        <f>IF(ISBLANK(O454), "", VLOOKUP(C454&amp;" "&amp;D454, 'Info Tipo de Cambio y REM'!$A$24:$B$35, 2, FALSE))</f>
        <v>1215</v>
      </c>
      <c r="R454" s="107">
        <f t="shared" si="2"/>
        <v>91.67242798</v>
      </c>
    </row>
    <row r="455" hidden="1">
      <c r="A455" s="443" t="s">
        <v>222</v>
      </c>
      <c r="B455" s="43" t="str">
        <f>IF(A455="", "", IFERROR(VLOOKUP(A455, Clasificaciones!A:B, 2, FALSE), "DATO NO CARGADO"))
</f>
        <v>Oxean</v>
      </c>
      <c r="C455" s="51" t="s">
        <v>155</v>
      </c>
      <c r="D455" s="156">
        <v>2025.0</v>
      </c>
      <c r="E455" s="43" t="s">
        <v>1130</v>
      </c>
      <c r="H455" s="102"/>
      <c r="J455" s="102"/>
      <c r="K455" s="450"/>
      <c r="L455" s="455"/>
      <c r="M455" s="450"/>
      <c r="N455" s="452">
        <f t="array" ref="N455">IFERROR(
  INDEX(
    'Valor Hora Real y Estimada'!$A$4:$Z$78,
    MATCH(TRIM(CLEAN(A455)), 'Valor Hora Real y Estimada'!$A$4:$A$78, 0),
    MATCH(
      TEXT(C455,"dd mmm")&amp;" "&amp;D455,
      'Valor Hora Real y Estimada'!$A$3:$Z$3,
      0
    ) + 1
  ),
  0
)</f>
        <v>0</v>
      </c>
      <c r="O455" s="89">
        <v>410000.0</v>
      </c>
      <c r="P455" s="113"/>
      <c r="Q455" s="106">
        <f>IF(ISBLANK(O455), "", VLOOKUP(C455&amp;" "&amp;D455, 'Info Tipo de Cambio y REM'!$A$24:$B$35, 2, FALSE))</f>
        <v>1215</v>
      </c>
      <c r="R455" s="107">
        <f t="shared" si="2"/>
        <v>337.4485597</v>
      </c>
    </row>
    <row r="456" hidden="1">
      <c r="A456" s="443" t="s">
        <v>226</v>
      </c>
      <c r="B456" s="43" t="str">
        <f>IF(A456="", "", IFERROR(VLOOKUP(A456, Clasificaciones!A:B, 2, FALSE), "DATO NO CARGADO"))
</f>
        <v>Administración Finanzas</v>
      </c>
      <c r="C456" s="51" t="s">
        <v>155</v>
      </c>
      <c r="D456" s="156">
        <v>2025.0</v>
      </c>
      <c r="E456" s="43" t="s">
        <v>1130</v>
      </c>
      <c r="H456" s="102"/>
      <c r="J456" s="102"/>
      <c r="K456" s="450"/>
      <c r="L456" s="455"/>
      <c r="M456" s="450"/>
      <c r="N456" s="452">
        <f t="array" ref="N456">IFERROR(
  INDEX(
    'Valor Hora Real y Estimada'!$A$4:$Z$78,
    MATCH(TRIM(CLEAN(A456)), 'Valor Hora Real y Estimada'!$A$4:$A$78, 0),
    MATCH(
      TEXT(C456,"dd mmm")&amp;" "&amp;D456,
      'Valor Hora Real y Estimada'!$A$3:$Z$3,
      0
    ) + 1
  ),
  0
)</f>
        <v>0</v>
      </c>
      <c r="O456" s="112">
        <v>537700.0</v>
      </c>
      <c r="P456" s="113"/>
      <c r="Q456" s="106">
        <f>IF(ISBLANK(O456), "", VLOOKUP(C456&amp;" "&amp;D456, 'Info Tipo de Cambio y REM'!$A$24:$B$35, 2, FALSE))</f>
        <v>1215</v>
      </c>
      <c r="R456" s="107">
        <f t="shared" si="2"/>
        <v>442.5514403</v>
      </c>
    </row>
    <row r="457" hidden="1">
      <c r="A457" s="443" t="s">
        <v>139</v>
      </c>
      <c r="B457" s="43" t="str">
        <f>IF(A457="", "", IFERROR(VLOOKUP(A457, Clasificaciones!A:B, 2, FALSE), "DATO NO CARGADO"))
</f>
        <v>People</v>
      </c>
      <c r="C457" s="51" t="s">
        <v>155</v>
      </c>
      <c r="D457" s="156">
        <v>2025.0</v>
      </c>
      <c r="E457" s="43" t="s">
        <v>1130</v>
      </c>
      <c r="H457" s="102"/>
      <c r="J457" s="102"/>
      <c r="K457" s="450"/>
      <c r="L457" s="455"/>
      <c r="M457" s="450"/>
      <c r="N457" s="452">
        <f t="array" ref="N457">IFERROR(
  INDEX(
    'Valor Hora Real y Estimada'!$A$4:$Z$78,
    MATCH(TRIM(CLEAN(A457)), 'Valor Hora Real y Estimada'!$A$4:$A$78, 0),
    MATCH(
      TEXT(C457,"dd mmm")&amp;" "&amp;D457,
      'Valor Hora Real y Estimada'!$A$3:$Z$3,
      0
    ) + 1
  ),
  0
)</f>
        <v>0</v>
      </c>
      <c r="O457" s="112">
        <v>22829.2</v>
      </c>
      <c r="P457" s="113"/>
      <c r="Q457" s="106">
        <f>IF(ISBLANK(O457), "", VLOOKUP(C457&amp;" "&amp;D457, 'Info Tipo de Cambio y REM'!$A$24:$B$35, 2, FALSE))</f>
        <v>1215</v>
      </c>
      <c r="R457" s="107">
        <f t="shared" si="2"/>
        <v>18.78946502</v>
      </c>
    </row>
    <row r="458" hidden="1">
      <c r="A458" s="443" t="s">
        <v>219</v>
      </c>
      <c r="B458" s="43" t="str">
        <f>IF(A458="", "", IFERROR(VLOOKUP(A458, Clasificaciones!A:B, 2, FALSE), "DATO NO CARGADO"))
</f>
        <v>Gastos Varios</v>
      </c>
      <c r="C458" s="51" t="s">
        <v>155</v>
      </c>
      <c r="D458" s="92">
        <v>2025.0</v>
      </c>
      <c r="E458" s="43" t="s">
        <v>1124</v>
      </c>
      <c r="H458" s="102"/>
      <c r="J458" s="102"/>
      <c r="K458" s="450"/>
      <c r="L458" s="455"/>
      <c r="M458" s="450"/>
      <c r="N458" s="452">
        <f t="array" ref="N458">IFERROR(
  INDEX(
    'Valor Hora Real y Estimada'!$A$4:$Z$78,
    MATCH(TRIM(CLEAN(A458)), 'Valor Hora Real y Estimada'!$A$4:$A$78, 0),
    MATCH(
      TEXT(C458,"dd mmm")&amp;" "&amp;D458,
      'Valor Hora Real y Estimada'!$A$3:$Z$3,
      0
    ) + 1
  ),
  0
)</f>
        <v>0</v>
      </c>
      <c r="O458" s="112">
        <v>802040.0</v>
      </c>
      <c r="P458" s="113"/>
      <c r="Q458" s="106">
        <f>IF(ISBLANK(O458), "", VLOOKUP(C458&amp;" "&amp;D458, 'Info Tipo de Cambio y REM'!$A$24:$B$35, 2, FALSE))</f>
        <v>1215</v>
      </c>
      <c r="R458" s="107">
        <f t="shared" si="2"/>
        <v>660.1152263</v>
      </c>
    </row>
    <row r="459">
      <c r="A459" s="443" t="s">
        <v>218</v>
      </c>
      <c r="B459" s="43" t="str">
        <f>IF(A459="", "", IFERROR(VLOOKUP(A459, Clasificaciones!A:B, 2, FALSE), "DATO NO CARGADO"))
</f>
        <v>Equipo</v>
      </c>
      <c r="C459" s="51" t="s">
        <v>161</v>
      </c>
      <c r="D459" s="43">
        <v>2025.0</v>
      </c>
      <c r="E459" s="43" t="s">
        <v>1124</v>
      </c>
      <c r="F459" s="43"/>
      <c r="G459" s="43" t="s">
        <v>1181</v>
      </c>
      <c r="H459" s="43" t="s">
        <v>1126</v>
      </c>
      <c r="I459" s="43" t="s">
        <v>1129</v>
      </c>
      <c r="J459" s="43" t="s">
        <v>183</v>
      </c>
      <c r="K459" s="443">
        <v>32.0</v>
      </c>
      <c r="L459" s="451">
        <v>46.0</v>
      </c>
      <c r="M459" s="443">
        <v>46.0</v>
      </c>
      <c r="N459" s="452">
        <f t="array" ref="N459">IFERROR(
  INDEX(
    'Valor Hora Real y Estimada'!$A$4:$Z$78,
    MATCH(TRIM(CLEAN(A459)), 'Valor Hora Real y Estimada'!$A$4:$A$78, 0),
    MATCH(
      TEXT(C459,"dd mmm")&amp;" "&amp;D459,
      'Valor Hora Real y Estimada'!$A$3:$Z$3,
      0
    ) + 1
  ),
  0
)</f>
        <v>19000</v>
      </c>
      <c r="O459" s="453">
        <f t="shared" ref="O459:O516" si="14">N459*M459</f>
        <v>874000</v>
      </c>
      <c r="P459" s="113"/>
      <c r="Q459" s="106">
        <f>IF(ISBLANK(O459), "", VLOOKUP(C459&amp;" "&amp;D459, 'Info Tipo de Cambio y REM'!$A$24:$B$35, 2, FALSE))</f>
        <v>1320</v>
      </c>
      <c r="R459" s="107">
        <f t="shared" si="2"/>
        <v>662.1212121</v>
      </c>
    </row>
    <row r="460" hidden="1">
      <c r="A460" s="443" t="s">
        <v>218</v>
      </c>
      <c r="B460" s="43" t="str">
        <f>IF(A460="", "", IFERROR(VLOOKUP(A460, Clasificaciones!A:B, 2, FALSE), "DATO NO CARGADO"))
</f>
        <v>Equipo</v>
      </c>
      <c r="C460" s="51" t="s">
        <v>161</v>
      </c>
      <c r="D460" s="43">
        <v>2025.0</v>
      </c>
      <c r="E460" s="43" t="s">
        <v>1130</v>
      </c>
      <c r="F460" s="43"/>
      <c r="G460" s="43" t="s">
        <v>1182</v>
      </c>
      <c r="H460" s="43" t="s">
        <v>208</v>
      </c>
      <c r="I460" s="43" t="s">
        <v>1136</v>
      </c>
      <c r="J460" s="43" t="s">
        <v>208</v>
      </c>
      <c r="K460" s="450"/>
      <c r="L460" s="451">
        <f>1.5+0.5</f>
        <v>2</v>
      </c>
      <c r="M460" s="443">
        <v>2.0</v>
      </c>
      <c r="N460" s="452">
        <f t="array" ref="N460">IFERROR(
  INDEX(
    'Valor Hora Real y Estimada'!$A$4:$Z$78,
    MATCH(TRIM(CLEAN(A460)), 'Valor Hora Real y Estimada'!$A$4:$A$78, 0),
    MATCH(
      TEXT(C460,"dd mmm")&amp;" "&amp;D460,
      'Valor Hora Real y Estimada'!$A$3:$Z$3,
      0
    ) + 1
  ),
  0
)</f>
        <v>19000</v>
      </c>
      <c r="O460" s="453">
        <f t="shared" si="14"/>
        <v>38000</v>
      </c>
      <c r="P460" s="113"/>
      <c r="Q460" s="106">
        <f>IF(ISBLANK(O460), "", VLOOKUP(C460&amp;" "&amp;D460, 'Info Tipo de Cambio y REM'!$A$24:$B$35, 2, FALSE))</f>
        <v>1320</v>
      </c>
      <c r="R460" s="107">
        <f t="shared" si="2"/>
        <v>28.78787879</v>
      </c>
    </row>
    <row r="461">
      <c r="A461" s="443" t="s">
        <v>194</v>
      </c>
      <c r="B461" s="43" t="str">
        <f>IF(A461="", "", IFERROR(VLOOKUP(A461, Clasificaciones!A:B, 2, FALSE), "DATO NO CARGADO"))
</f>
        <v>Equipo</v>
      </c>
      <c r="C461" s="51" t="s">
        <v>161</v>
      </c>
      <c r="D461" s="43">
        <v>2025.0</v>
      </c>
      <c r="E461" s="43" t="s">
        <v>1124</v>
      </c>
      <c r="F461" s="43"/>
      <c r="G461" s="43" t="s">
        <v>1181</v>
      </c>
      <c r="H461" s="43" t="s">
        <v>1126</v>
      </c>
      <c r="I461" s="43" t="s">
        <v>1129</v>
      </c>
      <c r="J461" s="43" t="s">
        <v>183</v>
      </c>
      <c r="K461" s="443">
        <v>150.0</v>
      </c>
      <c r="L461" s="450">
        <f>75.93+53.35</f>
        <v>129.28</v>
      </c>
      <c r="M461" s="450">
        <f>75.93+53.35-10-4.2242555</f>
        <v>115.0557445</v>
      </c>
      <c r="N461" s="452">
        <f t="array" ref="N461">IFERROR(
  INDEX(
    'Valor Hora Real y Estimada'!$A$4:$Z$78,
    MATCH(TRIM(CLEAN(A461)), 'Valor Hora Real y Estimada'!$A$4:$A$78, 0),
    MATCH(
      TEXT(C461,"dd mmm")&amp;" "&amp;D461,
      'Valor Hora Real y Estimada'!$A$3:$Z$3,
      0
    ) + 1
  ),
  0
)</f>
        <v>12088</v>
      </c>
      <c r="O461" s="453">
        <f t="shared" si="14"/>
        <v>1390793.84</v>
      </c>
      <c r="P461" s="113"/>
      <c r="Q461" s="106">
        <f>IF(ISBLANK(O461), "", VLOOKUP(C461&amp;" "&amp;D461, 'Info Tipo de Cambio y REM'!$A$24:$B$35, 2, FALSE))</f>
        <v>1320</v>
      </c>
      <c r="R461" s="107">
        <f t="shared" si="2"/>
        <v>1053.631697</v>
      </c>
    </row>
    <row r="462" hidden="1">
      <c r="A462" s="443" t="s">
        <v>194</v>
      </c>
      <c r="B462" s="43" t="str">
        <f>IF(A462="", "", IFERROR(VLOOKUP(A462, Clasificaciones!A:B, 2, FALSE), "DATO NO CARGADO"))
</f>
        <v>Equipo</v>
      </c>
      <c r="C462" s="51" t="s">
        <v>161</v>
      </c>
      <c r="D462" s="43">
        <v>2025.0</v>
      </c>
      <c r="E462" s="43" t="s">
        <v>1124</v>
      </c>
      <c r="H462" s="43" t="s">
        <v>1133</v>
      </c>
      <c r="I462" s="43" t="s">
        <v>1183</v>
      </c>
      <c r="J462" s="43" t="s">
        <v>211</v>
      </c>
      <c r="K462" s="443">
        <v>30.0</v>
      </c>
      <c r="L462" s="443">
        <v>44.57</v>
      </c>
      <c r="M462" s="443">
        <v>44.57</v>
      </c>
      <c r="N462" s="452">
        <f t="array" ref="N462">IFERROR(
  INDEX(
    'Valor Hora Real y Estimada'!$A$4:$Z$78,
    MATCH(TRIM(CLEAN(A462)), 'Valor Hora Real y Estimada'!$A$4:$A$78, 0),
    MATCH(
      TEXT(C462,"dd mmm")&amp;" "&amp;D462,
      'Valor Hora Real y Estimada'!$A$3:$Z$3,
      0
    ) + 1
  ),
  0
)</f>
        <v>12088</v>
      </c>
      <c r="O462" s="453">
        <f t="shared" si="14"/>
        <v>538762.16</v>
      </c>
      <c r="P462" s="113"/>
      <c r="Q462" s="106">
        <f>IF(ISBLANK(O462), "", VLOOKUP(C462&amp;" "&amp;D462, 'Info Tipo de Cambio y REM'!$A$24:$B$35, 2, FALSE))</f>
        <v>1320</v>
      </c>
      <c r="R462" s="107">
        <f t="shared" si="2"/>
        <v>408.1531515</v>
      </c>
    </row>
    <row r="463" hidden="1">
      <c r="A463" s="443" t="s">
        <v>194</v>
      </c>
      <c r="B463" s="43" t="str">
        <f>IF(A463="", "", IFERROR(VLOOKUP(A463, Clasificaciones!A:B, 2, FALSE), "DATO NO CARGADO"))
</f>
        <v>Equipo</v>
      </c>
      <c r="C463" s="51" t="s">
        <v>161</v>
      </c>
      <c r="D463" s="43">
        <v>2025.0</v>
      </c>
      <c r="E463" s="43" t="s">
        <v>1130</v>
      </c>
      <c r="F463" s="202"/>
      <c r="G463" s="202" t="s">
        <v>1131</v>
      </c>
      <c r="H463" s="43" t="s">
        <v>208</v>
      </c>
      <c r="I463" s="43" t="s">
        <v>1136</v>
      </c>
      <c r="J463" s="43" t="s">
        <v>208</v>
      </c>
      <c r="K463" s="450"/>
      <c r="L463" s="451">
        <v>0.88</v>
      </c>
      <c r="M463" s="450"/>
      <c r="N463" s="452">
        <f t="array" ref="N463">IFERROR(
  INDEX(
    'Valor Hora Real y Estimada'!$A$4:$Z$78,
    MATCH(TRIM(CLEAN(A463)), 'Valor Hora Real y Estimada'!$A$4:$A$78, 0),
    MATCH(
      TEXT(C463,"dd mmm")&amp;" "&amp;D463,
      'Valor Hora Real y Estimada'!$A$3:$Z$3,
      0
    ) + 1
  ),
  0
)</f>
        <v>12088</v>
      </c>
      <c r="O463" s="453">
        <f t="shared" si="14"/>
        <v>0</v>
      </c>
      <c r="P463" s="113"/>
      <c r="Q463" s="106">
        <f>IF(ISBLANK(O463), "", VLOOKUP(C463&amp;" "&amp;D463, 'Info Tipo de Cambio y REM'!$A$24:$B$35, 2, FALSE))</f>
        <v>1320</v>
      </c>
      <c r="R463" s="107">
        <f t="shared" si="2"/>
        <v>0</v>
      </c>
    </row>
    <row r="464">
      <c r="A464" s="443" t="s">
        <v>214</v>
      </c>
      <c r="B464" s="43" t="str">
        <f>IF(A464="", "", IFERROR(VLOOKUP(A464, Clasificaciones!A:B, 2, FALSE), "DATO NO CARGADO"))
</f>
        <v>Equipo</v>
      </c>
      <c r="C464" s="51" t="s">
        <v>161</v>
      </c>
      <c r="D464" s="43">
        <v>2025.0</v>
      </c>
      <c r="E464" s="43" t="s">
        <v>1124</v>
      </c>
      <c r="F464" s="43"/>
      <c r="G464" s="43" t="s">
        <v>1181</v>
      </c>
      <c r="H464" s="43" t="s">
        <v>1126</v>
      </c>
      <c r="I464" s="43" t="s">
        <v>1129</v>
      </c>
      <c r="J464" s="43" t="s">
        <v>183</v>
      </c>
      <c r="K464" s="443">
        <v>160.0</v>
      </c>
      <c r="L464" s="443">
        <v>104.5</v>
      </c>
      <c r="M464" s="450">
        <f>68+35.75-0.67</f>
        <v>103.08</v>
      </c>
      <c r="N464" s="452">
        <f t="array" ref="N464">IFERROR(
  INDEX(
    'Valor Hora Real y Estimada'!$A$4:$Z$78,
    MATCH(TRIM(CLEAN(A464)), 'Valor Hora Real y Estimada'!$A$4:$A$78, 0),
    MATCH(
      TEXT(C464,"dd mmm")&amp;" "&amp;D464,
      'Valor Hora Real y Estimada'!$A$3:$Z$3,
      0
    ) + 1
  ),
  0
)</f>
        <v>10000</v>
      </c>
      <c r="O464" s="453">
        <f t="shared" si="14"/>
        <v>1030800</v>
      </c>
      <c r="P464" s="113"/>
      <c r="Q464" s="106">
        <f>IF(ISBLANK(O464), "", VLOOKUP(C464&amp;" "&amp;D464, 'Info Tipo de Cambio y REM'!$A$24:$B$35, 2, FALSE))</f>
        <v>1320</v>
      </c>
      <c r="R464" s="107">
        <f t="shared" si="2"/>
        <v>780.9090909</v>
      </c>
    </row>
    <row r="465" hidden="1">
      <c r="A465" s="443" t="s">
        <v>214</v>
      </c>
      <c r="B465" s="43" t="str">
        <f>IF(A465="", "", IFERROR(VLOOKUP(A465, Clasificaciones!A:B, 2, FALSE), "DATO NO CARGADO"))
</f>
        <v>Equipo</v>
      </c>
      <c r="C465" s="51" t="s">
        <v>161</v>
      </c>
      <c r="D465" s="43">
        <v>2025.0</v>
      </c>
      <c r="E465" s="43" t="s">
        <v>1124</v>
      </c>
      <c r="H465" s="43" t="s">
        <v>1133</v>
      </c>
      <c r="I465" s="43" t="s">
        <v>1183</v>
      </c>
      <c r="J465" s="43" t="s">
        <v>211</v>
      </c>
      <c r="K465" s="443">
        <v>30.0</v>
      </c>
      <c r="L465" s="443">
        <v>64.92</v>
      </c>
      <c r="M465" s="443">
        <v>48.92</v>
      </c>
      <c r="N465" s="452">
        <f t="array" ref="N465">IFERROR(
  INDEX(
    'Valor Hora Real y Estimada'!$A$4:$Z$78,
    MATCH(TRIM(CLEAN(A465)), 'Valor Hora Real y Estimada'!$A$4:$A$78, 0),
    MATCH(
      TEXT(C465,"dd mmm")&amp;" "&amp;D465,
      'Valor Hora Real y Estimada'!$A$3:$Z$3,
      0
    ) + 1
  ),
  0
)</f>
        <v>10000</v>
      </c>
      <c r="O465" s="453">
        <f t="shared" si="14"/>
        <v>489200</v>
      </c>
      <c r="P465" s="113"/>
      <c r="Q465" s="106">
        <f>IF(ISBLANK(O465), "", VLOOKUP(C465&amp;" "&amp;D465, 'Info Tipo de Cambio y REM'!$A$24:$B$35, 2, FALSE))</f>
        <v>1320</v>
      </c>
      <c r="R465" s="107">
        <f t="shared" si="2"/>
        <v>370.6060606</v>
      </c>
    </row>
    <row r="466" hidden="1">
      <c r="A466" s="443" t="s">
        <v>214</v>
      </c>
      <c r="B466" s="43" t="str">
        <f>IF(A466="", "", IFERROR(VLOOKUP(A466, Clasificaciones!A:B, 2, FALSE), "DATO NO CARGADO"))
</f>
        <v>Equipo</v>
      </c>
      <c r="C466" s="51" t="s">
        <v>161</v>
      </c>
      <c r="D466" s="43">
        <v>2025.0</v>
      </c>
      <c r="E466" s="43" t="s">
        <v>1130</v>
      </c>
      <c r="F466" s="43"/>
      <c r="G466" s="43" t="s">
        <v>1182</v>
      </c>
      <c r="H466" s="43" t="s">
        <v>208</v>
      </c>
      <c r="I466" s="43" t="s">
        <v>1136</v>
      </c>
      <c r="J466" s="43" t="s">
        <v>208</v>
      </c>
      <c r="K466" s="450"/>
      <c r="L466" s="451">
        <v>16.0</v>
      </c>
      <c r="M466" s="443">
        <v>8.0</v>
      </c>
      <c r="N466" s="452">
        <f t="array" ref="N466">IFERROR(
  INDEX(
    'Valor Hora Real y Estimada'!$A$4:$Z$78,
    MATCH(TRIM(CLEAN(A466)), 'Valor Hora Real y Estimada'!$A$4:$A$78, 0),
    MATCH(
      TEXT(C466,"dd mmm")&amp;" "&amp;D466,
      'Valor Hora Real y Estimada'!$A$3:$Z$3,
      0
    ) + 1
  ),
  0
)</f>
        <v>10000</v>
      </c>
      <c r="O466" s="453">
        <f t="shared" si="14"/>
        <v>80000</v>
      </c>
      <c r="P466" s="113"/>
      <c r="Q466" s="106">
        <f>IF(ISBLANK(O466), "", VLOOKUP(C466&amp;" "&amp;D466, 'Info Tipo de Cambio y REM'!$A$24:$B$35, 2, FALSE))</f>
        <v>1320</v>
      </c>
      <c r="R466" s="107">
        <f t="shared" si="2"/>
        <v>60.60606061</v>
      </c>
    </row>
    <row r="467">
      <c r="A467" s="443" t="s">
        <v>228</v>
      </c>
      <c r="B467" s="43" t="str">
        <f>IF(A467="", "", IFERROR(VLOOKUP(A467, Clasificaciones!A:B, 2, FALSE), "DATO NO CARGADO"))
</f>
        <v>Equipo</v>
      </c>
      <c r="C467" s="51" t="s">
        <v>161</v>
      </c>
      <c r="D467" s="43">
        <v>2025.0</v>
      </c>
      <c r="E467" s="43" t="s">
        <v>1124</v>
      </c>
      <c r="F467" s="43"/>
      <c r="G467" s="43" t="s">
        <v>1181</v>
      </c>
      <c r="H467" s="43" t="s">
        <v>1126</v>
      </c>
      <c r="I467" s="43" t="s">
        <v>1129</v>
      </c>
      <c r="J467" s="43" t="s">
        <v>183</v>
      </c>
      <c r="K467" s="443">
        <v>40.0</v>
      </c>
      <c r="L467" s="450">
        <f t="shared" ref="L467:M467" si="15">40.78+14.23</f>
        <v>55.01</v>
      </c>
      <c r="M467" s="450">
        <f t="shared" si="15"/>
        <v>55.01</v>
      </c>
      <c r="N467" s="452">
        <f t="array" ref="N467">IFERROR(
  INDEX(
    'Valor Hora Real y Estimada'!$A$4:$Z$78,
    MATCH(TRIM(CLEAN(A467)), 'Valor Hora Real y Estimada'!$A$4:$A$78, 0),
    MATCH(
      TEXT(C467,"dd mmm")&amp;" "&amp;D467,
      'Valor Hora Real y Estimada'!$A$3:$Z$3,
      0
    ) + 1
  ),
  0
)</f>
        <v>19602</v>
      </c>
      <c r="O467" s="453">
        <f t="shared" si="14"/>
        <v>1078306.02</v>
      </c>
      <c r="P467" s="113"/>
      <c r="Q467" s="106">
        <f>IF(ISBLANK(O467), "", VLOOKUP(C467&amp;" "&amp;D467, 'Info Tipo de Cambio y REM'!$A$24:$B$35, 2, FALSE))</f>
        <v>1320</v>
      </c>
      <c r="R467" s="107">
        <f t="shared" si="2"/>
        <v>816.8985</v>
      </c>
    </row>
    <row r="468" hidden="1">
      <c r="A468" s="443" t="s">
        <v>228</v>
      </c>
      <c r="B468" s="43" t="str">
        <f>IF(A468="", "", IFERROR(VLOOKUP(A468, Clasificaciones!A:B, 2, FALSE), "DATO NO CARGADO"))
</f>
        <v>Equipo</v>
      </c>
      <c r="C468" s="51" t="s">
        <v>161</v>
      </c>
      <c r="D468" s="43">
        <v>2025.0</v>
      </c>
      <c r="E468" s="43" t="s">
        <v>1124</v>
      </c>
      <c r="F468" s="43"/>
      <c r="G468" s="43" t="s">
        <v>1184</v>
      </c>
      <c r="H468" s="43" t="s">
        <v>1126</v>
      </c>
      <c r="I468" s="43" t="s">
        <v>1164</v>
      </c>
      <c r="J468" s="43" t="s">
        <v>119</v>
      </c>
      <c r="K468" s="443">
        <v>27.0</v>
      </c>
      <c r="L468" s="443">
        <v>22.83</v>
      </c>
      <c r="M468" s="443">
        <v>22.83</v>
      </c>
      <c r="N468" s="452">
        <f t="array" ref="N468">IFERROR(
  INDEX(
    'Valor Hora Real y Estimada'!$A$4:$Z$78,
    MATCH(TRIM(CLEAN(A468)), 'Valor Hora Real y Estimada'!$A$4:$A$78, 0),
    MATCH(
      TEXT(C468,"dd mmm")&amp;" "&amp;D468,
      'Valor Hora Real y Estimada'!$A$3:$Z$3,
      0
    ) + 1
  ),
  0
)</f>
        <v>19602</v>
      </c>
      <c r="O468" s="453">
        <f t="shared" si="14"/>
        <v>447513.66</v>
      </c>
      <c r="P468" s="113"/>
      <c r="Q468" s="106">
        <f>IF(ISBLANK(O468), "", VLOOKUP(C468&amp;" "&amp;D468, 'Info Tipo de Cambio y REM'!$A$24:$B$35, 2, FALSE))</f>
        <v>1320</v>
      </c>
      <c r="R468" s="107">
        <f t="shared" si="2"/>
        <v>339.0255</v>
      </c>
    </row>
    <row r="469" hidden="1">
      <c r="A469" s="443" t="s">
        <v>228</v>
      </c>
      <c r="B469" s="43" t="str">
        <f>IF(A469="", "", IFERROR(VLOOKUP(A469, Clasificaciones!A:B, 2, FALSE), "DATO NO CARGADO"))
</f>
        <v>Equipo</v>
      </c>
      <c r="C469" s="51" t="s">
        <v>161</v>
      </c>
      <c r="D469" s="43">
        <v>2025.0</v>
      </c>
      <c r="E469" s="43" t="s">
        <v>1124</v>
      </c>
      <c r="H469" s="43" t="s">
        <v>1133</v>
      </c>
      <c r="I469" s="43" t="s">
        <v>1185</v>
      </c>
      <c r="J469" s="43" t="s">
        <v>206</v>
      </c>
      <c r="K469" s="443">
        <v>25.0</v>
      </c>
      <c r="L469" s="443">
        <v>12.2</v>
      </c>
      <c r="M469" s="443">
        <v>12.2</v>
      </c>
      <c r="N469" s="452">
        <f t="array" ref="N469">IFERROR(
  INDEX(
    'Valor Hora Real y Estimada'!$A$4:$Z$78,
    MATCH(TRIM(CLEAN(A469)), 'Valor Hora Real y Estimada'!$A$4:$A$78, 0),
    MATCH(
      TEXT(C469,"dd mmm")&amp;" "&amp;D469,
      'Valor Hora Real y Estimada'!$A$3:$Z$3,
      0
    ) + 1
  ),
  0
)</f>
        <v>19602</v>
      </c>
      <c r="O469" s="453">
        <f t="shared" si="14"/>
        <v>239144.4</v>
      </c>
      <c r="P469" s="113"/>
      <c r="Q469" s="106">
        <f>IF(ISBLANK(O469), "", VLOOKUP(C469&amp;" "&amp;D469, 'Info Tipo de Cambio y REM'!$A$24:$B$35, 2, FALSE))</f>
        <v>1320</v>
      </c>
      <c r="R469" s="107">
        <f t="shared" si="2"/>
        <v>181.17</v>
      </c>
    </row>
    <row r="470" hidden="1">
      <c r="A470" s="443" t="s">
        <v>228</v>
      </c>
      <c r="B470" s="43" t="str">
        <f>IF(A470="", "", IFERROR(VLOOKUP(A470, Clasificaciones!A:B, 2, FALSE), "DATO NO CARGADO"))
</f>
        <v>Equipo</v>
      </c>
      <c r="C470" s="51" t="s">
        <v>161</v>
      </c>
      <c r="D470" s="43">
        <v>2025.0</v>
      </c>
      <c r="E470" s="43" t="s">
        <v>1130</v>
      </c>
      <c r="F470" s="43"/>
      <c r="G470" s="43" t="s">
        <v>1182</v>
      </c>
      <c r="H470" s="43" t="s">
        <v>208</v>
      </c>
      <c r="I470" s="43" t="s">
        <v>1136</v>
      </c>
      <c r="J470" s="43" t="s">
        <v>208</v>
      </c>
      <c r="K470" s="450"/>
      <c r="L470" s="443">
        <v>0.83</v>
      </c>
      <c r="M470" s="443">
        <v>0.83</v>
      </c>
      <c r="N470" s="452">
        <f t="array" ref="N470">IFERROR(
  INDEX(
    'Valor Hora Real y Estimada'!$A$4:$Z$78,
    MATCH(TRIM(CLEAN(A470)), 'Valor Hora Real y Estimada'!$A$4:$A$78, 0),
    MATCH(
      TEXT(C470,"dd mmm")&amp;" "&amp;D470,
      'Valor Hora Real y Estimada'!$A$3:$Z$3,
      0
    ) + 1
  ),
  0
)</f>
        <v>19602</v>
      </c>
      <c r="O470" s="453">
        <f t="shared" si="14"/>
        <v>16269.66</v>
      </c>
      <c r="P470" s="113"/>
      <c r="Q470" s="106">
        <f>IF(ISBLANK(O470), "", VLOOKUP(C470&amp;" "&amp;D470, 'Info Tipo de Cambio y REM'!$A$24:$B$35, 2, FALSE))</f>
        <v>1320</v>
      </c>
      <c r="R470" s="107">
        <f t="shared" si="2"/>
        <v>12.3255</v>
      </c>
    </row>
    <row r="471">
      <c r="A471" s="443" t="s">
        <v>216</v>
      </c>
      <c r="B471" s="43" t="str">
        <f>IF(A471="", "", IFERROR(VLOOKUP(A471, Clasificaciones!A:B, 2, FALSE), "DATO NO CARGADO"))
</f>
        <v>Equipo</v>
      </c>
      <c r="C471" s="51" t="s">
        <v>161</v>
      </c>
      <c r="D471" s="43">
        <v>2025.0</v>
      </c>
      <c r="E471" s="43" t="s">
        <v>1124</v>
      </c>
      <c r="F471" s="43"/>
      <c r="G471" s="43" t="s">
        <v>1181</v>
      </c>
      <c r="H471" s="43" t="s">
        <v>1126</v>
      </c>
      <c r="I471" s="43" t="s">
        <v>1129</v>
      </c>
      <c r="J471" s="43" t="s">
        <v>183</v>
      </c>
      <c r="K471" s="443">
        <v>40.0</v>
      </c>
      <c r="L471" s="450">
        <f>43.18+24.13</f>
        <v>67.31</v>
      </c>
      <c r="M471" s="450">
        <f>42.68+24.13</f>
        <v>66.81</v>
      </c>
      <c r="N471" s="452">
        <f t="array" ref="N471">IFERROR(
  INDEX(
    'Valor Hora Real y Estimada'!$A$4:$Z$78,
    MATCH(TRIM(CLEAN(A471)), 'Valor Hora Real y Estimada'!$A$4:$A$78, 0),
    MATCH(
      TEXT(C471,"dd mmm")&amp;" "&amp;D471,
      'Valor Hora Real y Estimada'!$A$3:$Z$3,
      0
    ) + 1
  ),
  0
)</f>
        <v>13139</v>
      </c>
      <c r="O471" s="453">
        <f t="shared" si="14"/>
        <v>877816.59</v>
      </c>
      <c r="P471" s="113"/>
      <c r="Q471" s="106">
        <f>IF(ISBLANK(O471), "", VLOOKUP(C471&amp;" "&amp;D471, 'Info Tipo de Cambio y REM'!$A$24:$B$35, 2, FALSE))</f>
        <v>1320</v>
      </c>
      <c r="R471" s="107">
        <f t="shared" si="2"/>
        <v>665.0125682</v>
      </c>
    </row>
    <row r="472" hidden="1">
      <c r="A472" s="443" t="s">
        <v>216</v>
      </c>
      <c r="B472" s="43" t="str">
        <f>IF(A472="", "", IFERROR(VLOOKUP(A472, Clasificaciones!A:B, 2, FALSE), "DATO NO CARGADO"))
</f>
        <v>Equipo</v>
      </c>
      <c r="C472" s="51" t="s">
        <v>161</v>
      </c>
      <c r="D472" s="43">
        <v>2025.0</v>
      </c>
      <c r="E472" s="43" t="s">
        <v>1130</v>
      </c>
      <c r="F472" s="43"/>
      <c r="G472" s="43" t="s">
        <v>1182</v>
      </c>
      <c r="H472" s="43" t="s">
        <v>208</v>
      </c>
      <c r="I472" s="43" t="s">
        <v>1136</v>
      </c>
      <c r="J472" s="43" t="s">
        <v>208</v>
      </c>
      <c r="K472" s="450"/>
      <c r="L472" s="443">
        <v>1.0</v>
      </c>
      <c r="M472" s="443">
        <v>1.0</v>
      </c>
      <c r="N472" s="452">
        <f t="array" ref="N472">IFERROR(
  INDEX(
    'Valor Hora Real y Estimada'!$A$4:$Z$78,
    MATCH(TRIM(CLEAN(A472)), 'Valor Hora Real y Estimada'!$A$4:$A$78, 0),
    MATCH(
      TEXT(C472,"dd mmm")&amp;" "&amp;D472,
      'Valor Hora Real y Estimada'!$A$3:$Z$3,
      0
    ) + 1
  ),
  0
)</f>
        <v>13139</v>
      </c>
      <c r="O472" s="453">
        <f t="shared" si="14"/>
        <v>13139</v>
      </c>
      <c r="P472" s="113"/>
      <c r="Q472" s="106">
        <f>IF(ISBLANK(O472), "", VLOOKUP(C472&amp;" "&amp;D472, 'Info Tipo de Cambio y REM'!$A$24:$B$35, 2, FALSE))</f>
        <v>1320</v>
      </c>
      <c r="R472" s="107">
        <f t="shared" si="2"/>
        <v>9.953787879</v>
      </c>
    </row>
    <row r="473">
      <c r="A473" s="443" t="s">
        <v>205</v>
      </c>
      <c r="B473" s="43" t="str">
        <f>IF(A473="", "", IFERROR(VLOOKUP(A473, Clasificaciones!A:B, 2, FALSE), "DATO NO CARGADO"))
</f>
        <v>Equipo</v>
      </c>
      <c r="C473" s="51" t="s">
        <v>161</v>
      </c>
      <c r="D473" s="43">
        <v>2025.0</v>
      </c>
      <c r="E473" s="43" t="s">
        <v>1124</v>
      </c>
      <c r="F473" s="43"/>
      <c r="G473" s="43" t="s">
        <v>1181</v>
      </c>
      <c r="H473" s="43" t="s">
        <v>1126</v>
      </c>
      <c r="I473" s="43" t="s">
        <v>1129</v>
      </c>
      <c r="J473" s="43" t="s">
        <v>183</v>
      </c>
      <c r="K473" s="443">
        <v>100.0</v>
      </c>
      <c r="L473" s="450">
        <f>74.72+6</f>
        <v>80.72</v>
      </c>
      <c r="M473" s="450">
        <f>74.22+6</f>
        <v>80.22</v>
      </c>
      <c r="N473" s="452">
        <f t="array" ref="N473">IFERROR(
  INDEX(
    'Valor Hora Real y Estimada'!$A$4:$Z$78,
    MATCH(TRIM(CLEAN(A473)), 'Valor Hora Real y Estimada'!$A$4:$A$78, 0),
    MATCH(
      TEXT(C473,"dd mmm")&amp;" "&amp;D473,
      'Valor Hora Real y Estimada'!$A$3:$Z$3,
      0
    ) + 1
  ),
  0
)</f>
        <v>10000</v>
      </c>
      <c r="O473" s="453">
        <f t="shared" si="14"/>
        <v>802200</v>
      </c>
      <c r="P473" s="113"/>
      <c r="Q473" s="106">
        <f>IF(ISBLANK(O473), "", VLOOKUP(C473&amp;" "&amp;D473, 'Info Tipo de Cambio y REM'!$A$24:$B$35, 2, FALSE))</f>
        <v>1320</v>
      </c>
      <c r="R473" s="107">
        <f t="shared" si="2"/>
        <v>607.7272727</v>
      </c>
    </row>
    <row r="474" hidden="1">
      <c r="A474" s="443" t="s">
        <v>205</v>
      </c>
      <c r="B474" s="43" t="str">
        <f>IF(A474="", "", IFERROR(VLOOKUP(A474, Clasificaciones!A:B, 2, FALSE), "DATO NO CARGADO"))
</f>
        <v>Equipo</v>
      </c>
      <c r="C474" s="51" t="s">
        <v>161</v>
      </c>
      <c r="D474" s="43">
        <v>2025.0</v>
      </c>
      <c r="E474" s="43" t="s">
        <v>1124</v>
      </c>
      <c r="F474" s="43"/>
      <c r="G474" s="43" t="s">
        <v>1186</v>
      </c>
      <c r="H474" s="43" t="s">
        <v>1133</v>
      </c>
      <c r="I474" s="43" t="s">
        <v>1165</v>
      </c>
      <c r="J474" s="43" t="s">
        <v>199</v>
      </c>
      <c r="K474" s="443">
        <v>40.0</v>
      </c>
      <c r="L474" s="443">
        <v>24.25</v>
      </c>
      <c r="M474" s="443">
        <v>24.25</v>
      </c>
      <c r="N474" s="452">
        <f t="array" ref="N474">IFERROR(
  INDEX(
    'Valor Hora Real y Estimada'!$A$4:$Z$78,
    MATCH(TRIM(CLEAN(A474)), 'Valor Hora Real y Estimada'!$A$4:$A$78, 0),
    MATCH(
      TEXT(C474,"dd mmm")&amp;" "&amp;D474,
      'Valor Hora Real y Estimada'!$A$3:$Z$3,
      0
    ) + 1
  ),
  0
)</f>
        <v>10000</v>
      </c>
      <c r="O474" s="453">
        <f t="shared" si="14"/>
        <v>242500</v>
      </c>
      <c r="P474" s="113"/>
      <c r="Q474" s="106">
        <f>IF(ISBLANK(O474), "", VLOOKUP(C474&amp;" "&amp;D474, 'Info Tipo de Cambio y REM'!$A$24:$B$35, 2, FALSE))</f>
        <v>1320</v>
      </c>
      <c r="R474" s="107">
        <f t="shared" si="2"/>
        <v>183.7121212</v>
      </c>
    </row>
    <row r="475" hidden="1">
      <c r="A475" s="443" t="s">
        <v>205</v>
      </c>
      <c r="B475" s="43" t="str">
        <f>IF(A475="", "", IFERROR(VLOOKUP(A475, Clasificaciones!A:B, 2, FALSE), "DATO NO CARGADO"))
</f>
        <v>Equipo</v>
      </c>
      <c r="C475" s="51" t="s">
        <v>161</v>
      </c>
      <c r="D475" s="43">
        <v>2025.0</v>
      </c>
      <c r="E475" s="43" t="s">
        <v>1124</v>
      </c>
      <c r="F475" s="43"/>
      <c r="G475" s="43" t="s">
        <v>1187</v>
      </c>
      <c r="H475" s="43" t="s">
        <v>1126</v>
      </c>
      <c r="I475" s="43" t="s">
        <v>1168</v>
      </c>
      <c r="J475" s="43" t="s">
        <v>204</v>
      </c>
      <c r="K475" s="443">
        <v>70.0</v>
      </c>
      <c r="L475" s="443">
        <v>63.52</v>
      </c>
      <c r="M475" s="443">
        <f>63.52-7.99</f>
        <v>55.53</v>
      </c>
      <c r="N475" s="452">
        <f t="array" ref="N475">IFERROR(
  INDEX(
    'Valor Hora Real y Estimada'!$A$4:$Z$78,
    MATCH(TRIM(CLEAN(A475)), 'Valor Hora Real y Estimada'!$A$4:$A$78, 0),
    MATCH(
      TEXT(C475,"dd mmm")&amp;" "&amp;D475,
      'Valor Hora Real y Estimada'!$A$3:$Z$3,
      0
    ) + 1
  ),
  0
)</f>
        <v>10000</v>
      </c>
      <c r="O475" s="453">
        <f t="shared" si="14"/>
        <v>555300</v>
      </c>
      <c r="P475" s="113"/>
      <c r="Q475" s="106">
        <f>IF(ISBLANK(O475), "", VLOOKUP(C475&amp;" "&amp;D475, 'Info Tipo de Cambio y REM'!$A$24:$B$35, 2, FALSE))</f>
        <v>1320</v>
      </c>
      <c r="R475" s="107">
        <f t="shared" si="2"/>
        <v>420.6818182</v>
      </c>
    </row>
    <row r="476">
      <c r="A476" s="443" t="s">
        <v>207</v>
      </c>
      <c r="B476" s="43" t="str">
        <f>IF(A476="", "", IFERROR(VLOOKUP(A476, Clasificaciones!A:B, 2, FALSE), "DATO NO CARGADO"))
</f>
        <v>Equipo</v>
      </c>
      <c r="C476" s="51" t="s">
        <v>161</v>
      </c>
      <c r="D476" s="43">
        <v>2025.0</v>
      </c>
      <c r="E476" s="43" t="s">
        <v>1124</v>
      </c>
      <c r="F476" s="43"/>
      <c r="G476" s="43" t="s">
        <v>1181</v>
      </c>
      <c r="H476" s="43" t="s">
        <v>1126</v>
      </c>
      <c r="I476" s="43" t="s">
        <v>1129</v>
      </c>
      <c r="J476" s="43" t="s">
        <v>183</v>
      </c>
      <c r="K476" s="443">
        <v>90.0</v>
      </c>
      <c r="L476" s="450">
        <f t="shared" ref="L476:M476" si="16">62.4+10.48</f>
        <v>72.88</v>
      </c>
      <c r="M476" s="450">
        <f t="shared" si="16"/>
        <v>72.88</v>
      </c>
      <c r="N476" s="452">
        <f t="array" ref="N476">IFERROR(
  INDEX(
    'Valor Hora Real y Estimada'!$A$4:$Z$78,
    MATCH(TRIM(CLEAN(A476)), 'Valor Hora Real y Estimada'!$A$4:$A$78, 0),
    MATCH(
      TEXT(C476,"dd mmm")&amp;" "&amp;D476,
      'Valor Hora Real y Estimada'!$A$3:$Z$3,
      0
    ) + 1
  ),
  0
)</f>
        <v>11000</v>
      </c>
      <c r="O476" s="453">
        <f t="shared" si="14"/>
        <v>801680</v>
      </c>
      <c r="P476" s="113"/>
      <c r="Q476" s="106">
        <f>IF(ISBLANK(O476), "", VLOOKUP(C476&amp;" "&amp;D476, 'Info Tipo de Cambio y REM'!$A$24:$B$35, 2, FALSE))</f>
        <v>1320</v>
      </c>
      <c r="R476" s="107">
        <f t="shared" si="2"/>
        <v>607.3333333</v>
      </c>
    </row>
    <row r="477" hidden="1">
      <c r="A477" s="443" t="s">
        <v>207</v>
      </c>
      <c r="B477" s="43" t="str">
        <f>IF(A477="", "", IFERROR(VLOOKUP(A477, Clasificaciones!A:B, 2, FALSE), "DATO NO CARGADO"))
</f>
        <v>Equipo</v>
      </c>
      <c r="C477" s="51" t="s">
        <v>161</v>
      </c>
      <c r="D477" s="43">
        <v>2025.0</v>
      </c>
      <c r="E477" s="43" t="s">
        <v>1124</v>
      </c>
      <c r="F477" s="43"/>
      <c r="G477" s="43" t="s">
        <v>1188</v>
      </c>
      <c r="H477" s="43" t="s">
        <v>1133</v>
      </c>
      <c r="I477" s="43" t="s">
        <v>1189</v>
      </c>
      <c r="J477" s="43" t="s">
        <v>132</v>
      </c>
      <c r="K477" s="443">
        <v>0.0</v>
      </c>
      <c r="L477" s="443">
        <v>3.17</v>
      </c>
      <c r="M477" s="443">
        <v>3.17</v>
      </c>
      <c r="N477" s="452">
        <f t="array" ref="N477">IFERROR(
  INDEX(
    'Valor Hora Real y Estimada'!$A$4:$Z$78,
    MATCH(TRIM(CLEAN(A477)), 'Valor Hora Real y Estimada'!$A$4:$A$78, 0),
    MATCH(
      TEXT(C477,"dd mmm")&amp;" "&amp;D477,
      'Valor Hora Real y Estimada'!$A$3:$Z$3,
      0
    ) + 1
  ),
  0
)</f>
        <v>11000</v>
      </c>
      <c r="O477" s="453">
        <f t="shared" si="14"/>
        <v>34870</v>
      </c>
      <c r="P477" s="113"/>
      <c r="Q477" s="106">
        <f>IF(ISBLANK(O477), "", VLOOKUP(C477&amp;" "&amp;D477, 'Info Tipo de Cambio y REM'!$A$24:$B$35, 2, FALSE))</f>
        <v>1320</v>
      </c>
      <c r="R477" s="107">
        <f t="shared" si="2"/>
        <v>26.41666667</v>
      </c>
    </row>
    <row r="478">
      <c r="A478" s="443" t="s">
        <v>230</v>
      </c>
      <c r="B478" s="43" t="str">
        <f>IF(A478="", "", IFERROR(VLOOKUP(A478, Clasificaciones!A:B, 2, FALSE), "DATO NO CARGADO"))
</f>
        <v>Equipo</v>
      </c>
      <c r="C478" s="51" t="s">
        <v>161</v>
      </c>
      <c r="D478" s="43">
        <v>2025.0</v>
      </c>
      <c r="E478" s="43" t="s">
        <v>1124</v>
      </c>
      <c r="F478" s="43"/>
      <c r="G478" s="43" t="s">
        <v>1181</v>
      </c>
      <c r="H478" s="43" t="s">
        <v>1126</v>
      </c>
      <c r="I478" s="43" t="s">
        <v>1129</v>
      </c>
      <c r="J478" s="43" t="s">
        <v>183</v>
      </c>
      <c r="K478" s="443">
        <v>160.0</v>
      </c>
      <c r="L478" s="443">
        <f>118.67+32.08</f>
        <v>150.75</v>
      </c>
      <c r="M478" s="443">
        <f>118.42+32.08</f>
        <v>150.5</v>
      </c>
      <c r="N478" s="452">
        <f t="array" ref="N478">IFERROR(
  INDEX(
    'Valor Hora Real y Estimada'!$A$4:$Z$78,
    MATCH(TRIM(CLEAN(A478)), 'Valor Hora Real y Estimada'!$A$4:$A$78, 0),
    MATCH(
      TEXT(C478,"dd mmm")&amp;" "&amp;D478,
      'Valor Hora Real y Estimada'!$A$3:$Z$3,
      0
    ) + 1
  ),
  0
)</f>
        <v>11900</v>
      </c>
      <c r="O478" s="453">
        <f t="shared" si="14"/>
        <v>1790950</v>
      </c>
      <c r="P478" s="113"/>
      <c r="Q478" s="106">
        <f>IF(ISBLANK(O478), "", VLOOKUP(C478&amp;" "&amp;D478, 'Info Tipo de Cambio y REM'!$A$24:$B$35, 2, FALSE))</f>
        <v>1320</v>
      </c>
      <c r="R478" s="107">
        <f t="shared" si="2"/>
        <v>1356.780303</v>
      </c>
    </row>
    <row r="479" hidden="1">
      <c r="A479" s="443" t="s">
        <v>230</v>
      </c>
      <c r="B479" s="43" t="str">
        <f>IF(A479="", "", IFERROR(VLOOKUP(A479, Clasificaciones!A:B, 2, FALSE), "DATO NO CARGADO"))
</f>
        <v>Equipo</v>
      </c>
      <c r="C479" s="51" t="s">
        <v>161</v>
      </c>
      <c r="D479" s="43">
        <v>2025.0</v>
      </c>
      <c r="E479" s="43" t="s">
        <v>1130</v>
      </c>
      <c r="F479" s="43"/>
      <c r="G479" s="43" t="s">
        <v>1182</v>
      </c>
      <c r="H479" s="43" t="s">
        <v>208</v>
      </c>
      <c r="I479" s="43" t="s">
        <v>1136</v>
      </c>
      <c r="J479" s="43" t="s">
        <v>208</v>
      </c>
      <c r="K479" s="450"/>
      <c r="L479" s="451">
        <v>2.83</v>
      </c>
      <c r="M479" s="443">
        <f>2.58+(160-150.5-2.58)</f>
        <v>9.5</v>
      </c>
      <c r="N479" s="452">
        <f t="array" ref="N479">IFERROR(
  INDEX(
    'Valor Hora Real y Estimada'!$A$4:$Z$78,
    MATCH(TRIM(CLEAN(A479)), 'Valor Hora Real y Estimada'!$A$4:$A$78, 0),
    MATCH(
      TEXT(C479,"dd mmm")&amp;" "&amp;D479,
      'Valor Hora Real y Estimada'!$A$3:$Z$3,
      0
    ) + 1
  ),
  0
)</f>
        <v>11900</v>
      </c>
      <c r="O479" s="453">
        <f t="shared" si="14"/>
        <v>113050</v>
      </c>
      <c r="P479" s="113"/>
      <c r="Q479" s="106">
        <f>IF(ISBLANK(O479), "", VLOOKUP(C479&amp;" "&amp;D479, 'Info Tipo de Cambio y REM'!$A$24:$B$35, 2, FALSE))</f>
        <v>1320</v>
      </c>
      <c r="R479" s="107">
        <f t="shared" si="2"/>
        <v>85.64393939</v>
      </c>
    </row>
    <row r="480" hidden="1">
      <c r="A480" s="443" t="s">
        <v>217</v>
      </c>
      <c r="B480" s="43" t="str">
        <f>IF(A480="", "", IFERROR(VLOOKUP(A480, Clasificaciones!A:B, 2, FALSE), "DATO NO CARGADO"))
</f>
        <v>Equipo</v>
      </c>
      <c r="C480" s="51" t="s">
        <v>161</v>
      </c>
      <c r="D480" s="43">
        <v>2025.0</v>
      </c>
      <c r="E480" s="43" t="s">
        <v>1124</v>
      </c>
      <c r="F480" s="43"/>
      <c r="G480" s="43" t="s">
        <v>1187</v>
      </c>
      <c r="H480" s="43" t="s">
        <v>1126</v>
      </c>
      <c r="I480" s="43" t="s">
        <v>1168</v>
      </c>
      <c r="J480" s="43" t="s">
        <v>204</v>
      </c>
      <c r="K480" s="443">
        <v>100.0</v>
      </c>
      <c r="L480" s="443">
        <v>121.67</v>
      </c>
      <c r="M480" s="443">
        <f>121.67-0.169981</f>
        <v>121.500019</v>
      </c>
      <c r="N480" s="452">
        <f t="array" ref="N480">IFERROR(
  INDEX(
    'Valor Hora Real y Estimada'!$A$4:$Z$78,
    MATCH(TRIM(CLEAN(A480)), 'Valor Hora Real y Estimada'!$A$4:$A$78, 0),
    MATCH(
      TEXT(C480,"dd mmm")&amp;" "&amp;D480,
      'Valor Hora Real y Estimada'!$A$3:$Z$3,
      0
    ) + 1
  ),
  0
)</f>
        <v>10270.2488</v>
      </c>
      <c r="O480" s="453">
        <f t="shared" si="14"/>
        <v>1247835.424</v>
      </c>
      <c r="P480" s="113"/>
      <c r="Q480" s="106">
        <f>IF(ISBLANK(O480), "", VLOOKUP(C480&amp;" "&amp;D480, 'Info Tipo de Cambio y REM'!$A$24:$B$35, 2, FALSE))</f>
        <v>1320</v>
      </c>
      <c r="R480" s="107">
        <f t="shared" si="2"/>
        <v>945.3298669</v>
      </c>
    </row>
    <row r="481" hidden="1">
      <c r="A481" s="443" t="s">
        <v>217</v>
      </c>
      <c r="B481" s="43" t="str">
        <f>IF(A481="", "", IFERROR(VLOOKUP(A481, Clasificaciones!A:B, 2, FALSE), "DATO NO CARGADO"))
</f>
        <v>Equipo</v>
      </c>
      <c r="C481" s="51" t="s">
        <v>161</v>
      </c>
      <c r="D481" s="43">
        <v>2025.0</v>
      </c>
      <c r="E481" s="43" t="s">
        <v>1124</v>
      </c>
      <c r="F481" s="43"/>
      <c r="G481" s="43" t="s">
        <v>1186</v>
      </c>
      <c r="H481" s="43" t="s">
        <v>1133</v>
      </c>
      <c r="I481" s="43" t="s">
        <v>1165</v>
      </c>
      <c r="J481" s="43" t="s">
        <v>199</v>
      </c>
      <c r="K481" s="443">
        <v>70.0</v>
      </c>
      <c r="L481" s="443">
        <v>28.5</v>
      </c>
      <c r="M481" s="443">
        <v>28.5</v>
      </c>
      <c r="N481" s="452">
        <f t="array" ref="N481">IFERROR(
  INDEX(
    'Valor Hora Real y Estimada'!$A$4:$Z$78,
    MATCH(TRIM(CLEAN(A481)), 'Valor Hora Real y Estimada'!$A$4:$A$78, 0),
    MATCH(
      TEXT(C481,"dd mmm")&amp;" "&amp;D481,
      'Valor Hora Real y Estimada'!$A$3:$Z$3,
      0
    ) + 1
  ),
  0
)</f>
        <v>10270.2488</v>
      </c>
      <c r="O481" s="453">
        <f t="shared" si="14"/>
        <v>292702.0908</v>
      </c>
      <c r="P481" s="113"/>
      <c r="Q481" s="106">
        <f>IF(ISBLANK(O481), "", VLOOKUP(C481&amp;" "&amp;D481, 'Info Tipo de Cambio y REM'!$A$24:$B$35, 2, FALSE))</f>
        <v>1320</v>
      </c>
      <c r="R481" s="107">
        <f t="shared" si="2"/>
        <v>221.7440082</v>
      </c>
    </row>
    <row r="482" hidden="1">
      <c r="A482" s="443" t="s">
        <v>217</v>
      </c>
      <c r="B482" s="43" t="str">
        <f>IF(A482="", "", IFERROR(VLOOKUP(A482, Clasificaciones!A:B, 2, FALSE), "DATO NO CARGADO"))
</f>
        <v>Equipo</v>
      </c>
      <c r="C482" s="51" t="s">
        <v>161</v>
      </c>
      <c r="D482" s="43">
        <v>2025.0</v>
      </c>
      <c r="E482" s="43" t="s">
        <v>1124</v>
      </c>
      <c r="F482" s="43"/>
      <c r="G482" s="43" t="s">
        <v>1184</v>
      </c>
      <c r="H482" s="43" t="s">
        <v>1126</v>
      </c>
      <c r="I482" s="43" t="s">
        <v>1164</v>
      </c>
      <c r="J482" s="43" t="s">
        <v>119</v>
      </c>
      <c r="K482" s="443">
        <v>27.0</v>
      </c>
      <c r="L482" s="443">
        <v>8.0</v>
      </c>
      <c r="M482" s="443">
        <v>8.0</v>
      </c>
      <c r="N482" s="452">
        <f t="array" ref="N482">IFERROR(
  INDEX(
    'Valor Hora Real y Estimada'!$A$4:$Z$78,
    MATCH(TRIM(CLEAN(A482)), 'Valor Hora Real y Estimada'!$A$4:$A$78, 0),
    MATCH(
      TEXT(C482,"dd mmm")&amp;" "&amp;D482,
      'Valor Hora Real y Estimada'!$A$3:$Z$3,
      0
    ) + 1
  ),
  0
)</f>
        <v>10270.2488</v>
      </c>
      <c r="O482" s="453">
        <f t="shared" si="14"/>
        <v>82161.9904</v>
      </c>
      <c r="P482" s="113"/>
      <c r="Q482" s="106">
        <f>IF(ISBLANK(O482), "", VLOOKUP(C482&amp;" "&amp;D482, 'Info Tipo de Cambio y REM'!$A$24:$B$35, 2, FALSE))</f>
        <v>1320</v>
      </c>
      <c r="R482" s="107">
        <f t="shared" si="2"/>
        <v>62.24393212</v>
      </c>
    </row>
    <row r="483" hidden="1">
      <c r="A483" s="443" t="s">
        <v>217</v>
      </c>
      <c r="B483" s="43" t="str">
        <f>IF(A483="", "", IFERROR(VLOOKUP(A483, Clasificaciones!A:B, 2, FALSE), "DATO NO CARGADO"))
</f>
        <v>Equipo</v>
      </c>
      <c r="C483" s="51" t="s">
        <v>161</v>
      </c>
      <c r="D483" s="43">
        <v>2025.0</v>
      </c>
      <c r="E483" s="43" t="s">
        <v>1130</v>
      </c>
      <c r="F483" s="43"/>
      <c r="G483" s="43" t="s">
        <v>1182</v>
      </c>
      <c r="H483" s="43" t="s">
        <v>208</v>
      </c>
      <c r="I483" s="43" t="s">
        <v>1136</v>
      </c>
      <c r="J483" s="43" t="s">
        <v>208</v>
      </c>
      <c r="K483" s="450"/>
      <c r="L483" s="443">
        <v>2.0</v>
      </c>
      <c r="M483" s="443">
        <v>2.0</v>
      </c>
      <c r="N483" s="452">
        <f t="array" ref="N483">IFERROR(
  INDEX(
    'Valor Hora Real y Estimada'!$A$4:$Z$78,
    MATCH(TRIM(CLEAN(A483)), 'Valor Hora Real y Estimada'!$A$4:$A$78, 0),
    MATCH(
      TEXT(C483,"dd mmm")&amp;" "&amp;D483,
      'Valor Hora Real y Estimada'!$A$3:$Z$3,
      0
    ) + 1
  ),
  0
)</f>
        <v>10270.2488</v>
      </c>
      <c r="O483" s="453">
        <f t="shared" si="14"/>
        <v>20540.4976</v>
      </c>
      <c r="P483" s="113"/>
      <c r="Q483" s="106">
        <f>IF(ISBLANK(O483), "", VLOOKUP(C483&amp;" "&amp;D483, 'Info Tipo de Cambio y REM'!$A$24:$B$35, 2, FALSE))</f>
        <v>1320</v>
      </c>
      <c r="R483" s="107">
        <f t="shared" si="2"/>
        <v>15.56098303</v>
      </c>
    </row>
    <row r="484" hidden="1">
      <c r="A484" s="443" t="s">
        <v>203</v>
      </c>
      <c r="B484" s="43" t="str">
        <f>IF(A484="", "", IFERROR(VLOOKUP(A484, Clasificaciones!A:B, 2, FALSE), "DATO NO CARGADO"))
</f>
        <v>Equipo</v>
      </c>
      <c r="C484" s="51" t="s">
        <v>161</v>
      </c>
      <c r="D484" s="43">
        <v>2025.0</v>
      </c>
      <c r="E484" s="43" t="s">
        <v>1124</v>
      </c>
      <c r="F484" s="43"/>
      <c r="G484" s="43" t="s">
        <v>1187</v>
      </c>
      <c r="H484" s="43" t="s">
        <v>1126</v>
      </c>
      <c r="I484" s="43" t="s">
        <v>1168</v>
      </c>
      <c r="J484" s="43" t="s">
        <v>204</v>
      </c>
      <c r="K484" s="443">
        <v>100.0</v>
      </c>
      <c r="L484" s="443">
        <v>62.43</v>
      </c>
      <c r="M484" s="443">
        <v>61.35</v>
      </c>
      <c r="N484" s="452">
        <f t="array" ref="N484">IFERROR(
  INDEX(
    'Valor Hora Real y Estimada'!$A$4:$Z$78,
    MATCH(TRIM(CLEAN(A484)), 'Valor Hora Real y Estimada'!$A$4:$A$78, 0),
    MATCH(
      TEXT(C484,"dd mmm")&amp;" "&amp;D484,
      'Valor Hora Real y Estimada'!$A$3:$Z$3,
      0
    ) + 1
  ),
  0
)</f>
        <v>9867</v>
      </c>
      <c r="O484" s="453">
        <f t="shared" si="14"/>
        <v>605340.45</v>
      </c>
      <c r="P484" s="113"/>
      <c r="Q484" s="106">
        <f>IF(ISBLANK(O484), "", VLOOKUP(C484&amp;" "&amp;D484, 'Info Tipo de Cambio y REM'!$A$24:$B$35, 2, FALSE))</f>
        <v>1320</v>
      </c>
      <c r="R484" s="107">
        <f t="shared" si="2"/>
        <v>458.59125</v>
      </c>
    </row>
    <row r="485" hidden="1">
      <c r="A485" s="443" t="s">
        <v>203</v>
      </c>
      <c r="B485" s="43" t="str">
        <f>IF(A485="", "", IFERROR(VLOOKUP(A485, Clasificaciones!A:B, 2, FALSE), "DATO NO CARGADO"))
</f>
        <v>Equipo</v>
      </c>
      <c r="C485" s="51" t="s">
        <v>161</v>
      </c>
      <c r="D485" s="43">
        <v>2025.0</v>
      </c>
      <c r="E485" s="43" t="s">
        <v>1124</v>
      </c>
      <c r="F485" s="43"/>
      <c r="G485" s="43" t="s">
        <v>1190</v>
      </c>
      <c r="H485" s="43" t="s">
        <v>1126</v>
      </c>
      <c r="I485" s="43" t="s">
        <v>1164</v>
      </c>
      <c r="J485" s="43" t="s">
        <v>180</v>
      </c>
      <c r="K485" s="443">
        <v>40.0</v>
      </c>
      <c r="L485" s="443">
        <f t="shared" ref="L485:M485" si="17">19.67+1</f>
        <v>20.67</v>
      </c>
      <c r="M485" s="443">
        <f t="shared" si="17"/>
        <v>20.67</v>
      </c>
      <c r="N485" s="452">
        <f t="array" ref="N485">IFERROR(
  INDEX(
    'Valor Hora Real y Estimada'!$A$4:$Z$78,
    MATCH(TRIM(CLEAN(A485)), 'Valor Hora Real y Estimada'!$A$4:$A$78, 0),
    MATCH(
      TEXT(C485,"dd mmm")&amp;" "&amp;D485,
      'Valor Hora Real y Estimada'!$A$3:$Z$3,
      0
    ) + 1
  ),
  0
)</f>
        <v>9867</v>
      </c>
      <c r="O485" s="453">
        <f t="shared" si="14"/>
        <v>203950.89</v>
      </c>
      <c r="P485" s="113"/>
      <c r="Q485" s="106">
        <f>IF(ISBLANK(O485), "", VLOOKUP(C485&amp;" "&amp;D485, 'Info Tipo de Cambio y REM'!$A$24:$B$35, 2, FALSE))</f>
        <v>1320</v>
      </c>
      <c r="R485" s="107">
        <f t="shared" si="2"/>
        <v>154.50825</v>
      </c>
    </row>
    <row r="486" hidden="1">
      <c r="A486" s="443" t="s">
        <v>203</v>
      </c>
      <c r="B486" s="43" t="str">
        <f>IF(A486="", "", IFERROR(VLOOKUP(A486, Clasificaciones!A:B, 2, FALSE), "DATO NO CARGADO"))
</f>
        <v>Equipo</v>
      </c>
      <c r="C486" s="51" t="s">
        <v>161</v>
      </c>
      <c r="D486" s="43">
        <v>2025.0</v>
      </c>
      <c r="E486" s="43" t="s">
        <v>1124</v>
      </c>
      <c r="F486" s="43"/>
      <c r="G486" s="43" t="s">
        <v>1188</v>
      </c>
      <c r="H486" s="43" t="s">
        <v>1133</v>
      </c>
      <c r="I486" s="43" t="s">
        <v>1189</v>
      </c>
      <c r="J486" s="43" t="s">
        <v>132</v>
      </c>
      <c r="K486" s="443">
        <v>11.0</v>
      </c>
      <c r="L486" s="443">
        <v>5.73</v>
      </c>
      <c r="M486" s="443">
        <v>5.73</v>
      </c>
      <c r="N486" s="452">
        <f t="array" ref="N486">IFERROR(
  INDEX(
    'Valor Hora Real y Estimada'!$A$4:$Z$78,
    MATCH(TRIM(CLEAN(A486)), 'Valor Hora Real y Estimada'!$A$4:$A$78, 0),
    MATCH(
      TEXT(C486,"dd mmm")&amp;" "&amp;D486,
      'Valor Hora Real y Estimada'!$A$3:$Z$3,
      0
    ) + 1
  ),
  0
)</f>
        <v>9867</v>
      </c>
      <c r="O486" s="453">
        <f t="shared" si="14"/>
        <v>56537.91</v>
      </c>
      <c r="P486" s="113"/>
      <c r="Q486" s="106">
        <f>IF(ISBLANK(O486), "", VLOOKUP(C486&amp;" "&amp;D486, 'Info Tipo de Cambio y REM'!$A$24:$B$35, 2, FALSE))</f>
        <v>1320</v>
      </c>
      <c r="R486" s="107">
        <f t="shared" si="2"/>
        <v>42.83175</v>
      </c>
    </row>
    <row r="487" hidden="1">
      <c r="A487" s="443" t="s">
        <v>203</v>
      </c>
      <c r="B487" s="43" t="str">
        <f>IF(A487="", "", IFERROR(VLOOKUP(A487, Clasificaciones!A:B, 2, FALSE), "DATO NO CARGADO"))
</f>
        <v>Equipo</v>
      </c>
      <c r="C487" s="51" t="s">
        <v>161</v>
      </c>
      <c r="D487" s="43">
        <v>2025.0</v>
      </c>
      <c r="E487" s="43" t="s">
        <v>1124</v>
      </c>
      <c r="F487" s="43"/>
      <c r="G487" s="43" t="s">
        <v>1191</v>
      </c>
      <c r="H487" s="43" t="s">
        <v>1133</v>
      </c>
      <c r="I487" s="43" t="s">
        <v>1183</v>
      </c>
      <c r="J487" s="43" t="s">
        <v>211</v>
      </c>
      <c r="K487" s="443">
        <v>4.0</v>
      </c>
      <c r="L487" s="443">
        <v>0.75</v>
      </c>
      <c r="M487" s="443">
        <v>0.75</v>
      </c>
      <c r="N487" s="452">
        <f t="array" ref="N487">IFERROR(
  INDEX(
    'Valor Hora Real y Estimada'!$A$4:$Z$78,
    MATCH(TRIM(CLEAN(A487)), 'Valor Hora Real y Estimada'!$A$4:$A$78, 0),
    MATCH(
      TEXT(C487,"dd mmm")&amp;" "&amp;D487,
      'Valor Hora Real y Estimada'!$A$3:$Z$3,
      0
    ) + 1
  ),
  0
)</f>
        <v>9867</v>
      </c>
      <c r="O487" s="453">
        <f t="shared" si="14"/>
        <v>7400.25</v>
      </c>
      <c r="P487" s="113"/>
      <c r="Q487" s="106">
        <f>IF(ISBLANK(O487), "", VLOOKUP(C487&amp;" "&amp;D487, 'Info Tipo de Cambio y REM'!$A$24:$B$35, 2, FALSE))</f>
        <v>1320</v>
      </c>
      <c r="R487" s="107">
        <f t="shared" si="2"/>
        <v>5.60625</v>
      </c>
    </row>
    <row r="488" hidden="1">
      <c r="A488" s="443" t="s">
        <v>197</v>
      </c>
      <c r="B488" s="43" t="str">
        <f>IF(A488="", "", IFERROR(VLOOKUP(A488, Clasificaciones!A:B, 2, FALSE), "DATO NO CARGADO"))
</f>
        <v>Equipo</v>
      </c>
      <c r="C488" s="51" t="s">
        <v>161</v>
      </c>
      <c r="D488" s="43">
        <v>2025.0</v>
      </c>
      <c r="E488" s="43" t="s">
        <v>1124</v>
      </c>
      <c r="F488" s="43"/>
      <c r="G488" s="43" t="s">
        <v>1187</v>
      </c>
      <c r="H488" s="43" t="s">
        <v>1126</v>
      </c>
      <c r="I488" s="43" t="s">
        <v>1168</v>
      </c>
      <c r="J488" s="43" t="s">
        <v>204</v>
      </c>
      <c r="K488" s="443">
        <v>40.0</v>
      </c>
      <c r="L488" s="443">
        <v>69.92</v>
      </c>
      <c r="M488" s="443">
        <f>68.83-0.5</f>
        <v>68.33</v>
      </c>
      <c r="N488" s="452">
        <f t="array" ref="N488">IFERROR(
  INDEX(
    'Valor Hora Real y Estimada'!$A$4:$Z$78,
    MATCH(TRIM(CLEAN(A488)), 'Valor Hora Real y Estimada'!$A$4:$A$78, 0),
    MATCH(
      TEXT(C488,"dd mmm")&amp;" "&amp;D488,
      'Valor Hora Real y Estimada'!$A$3:$Z$3,
      0
    ) + 1
  ),
  0
)</f>
        <v>12743</v>
      </c>
      <c r="O488" s="453">
        <f t="shared" si="14"/>
        <v>870729.19</v>
      </c>
      <c r="P488" s="113"/>
      <c r="Q488" s="106">
        <f>IF(ISBLANK(O488), "", VLOOKUP(C488&amp;" "&amp;D488, 'Info Tipo de Cambio y REM'!$A$24:$B$35, 2, FALSE))</f>
        <v>1320</v>
      </c>
      <c r="R488" s="107">
        <f t="shared" si="2"/>
        <v>659.6433258</v>
      </c>
    </row>
    <row r="489" hidden="1">
      <c r="A489" s="443" t="s">
        <v>197</v>
      </c>
      <c r="B489" s="43" t="str">
        <f>IF(A489="", "", IFERROR(VLOOKUP(A489, Clasificaciones!A:B, 2, FALSE), "DATO NO CARGADO"))
</f>
        <v>Equipo</v>
      </c>
      <c r="C489" s="51" t="s">
        <v>161</v>
      </c>
      <c r="D489" s="43">
        <v>2025.0</v>
      </c>
      <c r="E489" s="43" t="s">
        <v>1124</v>
      </c>
      <c r="F489" s="43"/>
      <c r="G489" s="43" t="s">
        <v>1192</v>
      </c>
      <c r="H489" s="43" t="s">
        <v>1133</v>
      </c>
      <c r="I489" s="43" t="s">
        <v>1175</v>
      </c>
      <c r="J489" s="43" t="s">
        <v>209</v>
      </c>
      <c r="K489" s="443">
        <v>10.0</v>
      </c>
      <c r="L489" s="443">
        <v>30.67</v>
      </c>
      <c r="M489" s="443">
        <v>30.67</v>
      </c>
      <c r="N489" s="452">
        <f t="array" ref="N489">IFERROR(
  INDEX(
    'Valor Hora Real y Estimada'!$A$4:$Z$78,
    MATCH(TRIM(CLEAN(A489)), 'Valor Hora Real y Estimada'!$A$4:$A$78, 0),
    MATCH(
      TEXT(C489,"dd mmm")&amp;" "&amp;D489,
      'Valor Hora Real y Estimada'!$A$3:$Z$3,
      0
    ) + 1
  ),
  0
)</f>
        <v>12743</v>
      </c>
      <c r="O489" s="453">
        <f t="shared" si="14"/>
        <v>390827.81</v>
      </c>
      <c r="P489" s="113"/>
      <c r="Q489" s="106">
        <f>IF(ISBLANK(O489), "", VLOOKUP(C489&amp;" "&amp;D489, 'Info Tipo de Cambio y REM'!$A$24:$B$35, 2, FALSE))</f>
        <v>1320</v>
      </c>
      <c r="R489" s="107">
        <f t="shared" si="2"/>
        <v>296.0816742</v>
      </c>
    </row>
    <row r="490" hidden="1">
      <c r="A490" s="443" t="s">
        <v>197</v>
      </c>
      <c r="B490" s="43" t="str">
        <f>IF(A490="", "", IFERROR(VLOOKUP(A490, Clasificaciones!A:B, 2, FALSE), "DATO NO CARGADO"))
</f>
        <v>Equipo</v>
      </c>
      <c r="C490" s="51" t="s">
        <v>161</v>
      </c>
      <c r="D490" s="43">
        <v>2025.0</v>
      </c>
      <c r="E490" s="43" t="s">
        <v>1130</v>
      </c>
      <c r="F490" s="43"/>
      <c r="G490" s="43" t="s">
        <v>1182</v>
      </c>
      <c r="H490" s="43" t="s">
        <v>208</v>
      </c>
      <c r="I490" s="43" t="s">
        <v>1136</v>
      </c>
      <c r="J490" s="43" t="s">
        <v>208</v>
      </c>
      <c r="K490" s="450"/>
      <c r="L490" s="443">
        <v>33.83</v>
      </c>
      <c r="M490" s="443">
        <f>33.83-0.2+0.0042376</f>
        <v>33.6342376</v>
      </c>
      <c r="N490" s="452">
        <f t="array" ref="N490">IFERROR(
  INDEX(
    'Valor Hora Real y Estimada'!$A$4:$Z$78,
    MATCH(TRIM(CLEAN(A490)), 'Valor Hora Real y Estimada'!$A$4:$A$78, 0),
    MATCH(
      TEXT(C490,"dd mmm")&amp;" "&amp;D490,
      'Valor Hora Real y Estimada'!$A$3:$Z$3,
      0
    ) + 1
  ),
  0
)</f>
        <v>12743</v>
      </c>
      <c r="O490" s="453">
        <f t="shared" si="14"/>
        <v>428601.0897</v>
      </c>
      <c r="P490" s="113"/>
      <c r="Q490" s="106">
        <f>IF(ISBLANK(O490), "", VLOOKUP(C490&amp;" "&amp;D490, 'Info Tipo de Cambio y REM'!$A$24:$B$35, 2, FALSE))</f>
        <v>1320</v>
      </c>
      <c r="R490" s="107">
        <f t="shared" si="2"/>
        <v>324.6977953</v>
      </c>
    </row>
    <row r="491" hidden="1">
      <c r="A491" s="443" t="s">
        <v>197</v>
      </c>
      <c r="B491" s="43" t="str">
        <f>IF(A491="", "", IFERROR(VLOOKUP(A491, Clasificaciones!A:B, 2, FALSE), "DATO NO CARGADO"))
</f>
        <v>Equipo</v>
      </c>
      <c r="C491" s="51" t="s">
        <v>161</v>
      </c>
      <c r="D491" s="43">
        <v>2025.0</v>
      </c>
      <c r="E491" s="43" t="s">
        <v>1124</v>
      </c>
      <c r="F491" s="43"/>
      <c r="G491" s="43" t="s">
        <v>1186</v>
      </c>
      <c r="H491" s="43" t="s">
        <v>1133</v>
      </c>
      <c r="I491" s="43" t="s">
        <v>1165</v>
      </c>
      <c r="J491" s="43" t="s">
        <v>199</v>
      </c>
      <c r="K491" s="443">
        <v>50.0</v>
      </c>
      <c r="L491" s="443">
        <v>14.0</v>
      </c>
      <c r="M491" s="443">
        <v>14.0</v>
      </c>
      <c r="N491" s="452">
        <f t="array" ref="N491">IFERROR(
  INDEX(
    'Valor Hora Real y Estimada'!$A$4:$Z$78,
    MATCH(TRIM(CLEAN(A491)), 'Valor Hora Real y Estimada'!$A$4:$A$78, 0),
    MATCH(
      TEXT(C491,"dd mmm")&amp;" "&amp;D491,
      'Valor Hora Real y Estimada'!$A$3:$Z$3,
      0
    ) + 1
  ),
  0
)</f>
        <v>12743</v>
      </c>
      <c r="O491" s="453">
        <f t="shared" si="14"/>
        <v>178402</v>
      </c>
      <c r="P491" s="113"/>
      <c r="Q491" s="106">
        <f>IF(ISBLANK(O491), "", VLOOKUP(C491&amp;" "&amp;D491, 'Info Tipo de Cambio y REM'!$A$24:$B$35, 2, FALSE))</f>
        <v>1320</v>
      </c>
      <c r="R491" s="107">
        <f t="shared" si="2"/>
        <v>135.1530303</v>
      </c>
    </row>
    <row r="492" hidden="1">
      <c r="A492" s="443" t="s">
        <v>197</v>
      </c>
      <c r="B492" s="43" t="str">
        <f>IF(A492="", "", IFERROR(VLOOKUP(A492, Clasificaciones!A:B, 2, FALSE), "DATO NO CARGADO"))
</f>
        <v>Equipo</v>
      </c>
      <c r="C492" s="51" t="s">
        <v>161</v>
      </c>
      <c r="D492" s="43">
        <v>2025.0</v>
      </c>
      <c r="E492" s="43" t="s">
        <v>1124</v>
      </c>
      <c r="F492" s="43"/>
      <c r="G492" s="43" t="s">
        <v>1190</v>
      </c>
      <c r="H492" s="43" t="s">
        <v>1126</v>
      </c>
      <c r="I492" s="43" t="s">
        <v>1164</v>
      </c>
      <c r="J492" s="43" t="s">
        <v>180</v>
      </c>
      <c r="K492" s="443">
        <v>45.0</v>
      </c>
      <c r="L492" s="443">
        <v>8.92</v>
      </c>
      <c r="M492" s="443">
        <v>8.92</v>
      </c>
      <c r="N492" s="452">
        <f t="array" ref="N492">IFERROR(
  INDEX(
    'Valor Hora Real y Estimada'!$A$4:$Z$78,
    MATCH(TRIM(CLEAN(A492)), 'Valor Hora Real y Estimada'!$A$4:$A$78, 0),
    MATCH(
      TEXT(C492,"dd mmm")&amp;" "&amp;D492,
      'Valor Hora Real y Estimada'!$A$3:$Z$3,
      0
    ) + 1
  ),
  0
)</f>
        <v>12743</v>
      </c>
      <c r="O492" s="453">
        <f t="shared" si="14"/>
        <v>113667.56</v>
      </c>
      <c r="P492" s="113"/>
      <c r="Q492" s="106">
        <f>IF(ISBLANK(O492), "", VLOOKUP(C492&amp;" "&amp;D492, 'Info Tipo de Cambio y REM'!$A$24:$B$35, 2, FALSE))</f>
        <v>1320</v>
      </c>
      <c r="R492" s="107">
        <f t="shared" si="2"/>
        <v>86.11178788</v>
      </c>
    </row>
    <row r="493" hidden="1">
      <c r="A493" s="443" t="s">
        <v>197</v>
      </c>
      <c r="B493" s="43" t="str">
        <f>IF(A493="", "", IFERROR(VLOOKUP(A493, Clasificaciones!A:B, 2, FALSE), "DATO NO CARGADO"))
</f>
        <v>Equipo</v>
      </c>
      <c r="C493" s="51" t="s">
        <v>161</v>
      </c>
      <c r="D493" s="43">
        <v>2025.0</v>
      </c>
      <c r="E493" s="43" t="s">
        <v>1124</v>
      </c>
      <c r="F493" s="43"/>
      <c r="G493" s="43" t="s">
        <v>1188</v>
      </c>
      <c r="H493" s="43" t="s">
        <v>1133</v>
      </c>
      <c r="I493" s="43" t="s">
        <v>1189</v>
      </c>
      <c r="J493" s="43" t="s">
        <v>132</v>
      </c>
      <c r="K493" s="443">
        <v>2.0</v>
      </c>
      <c r="L493" s="443">
        <v>3.7</v>
      </c>
      <c r="M493" s="443">
        <v>3.7</v>
      </c>
      <c r="N493" s="452">
        <f t="array" ref="N493">IFERROR(
  INDEX(
    'Valor Hora Real y Estimada'!$A$4:$Z$78,
    MATCH(TRIM(CLEAN(A493)), 'Valor Hora Real y Estimada'!$A$4:$A$78, 0),
    MATCH(
      TEXT(C493,"dd mmm")&amp;" "&amp;D493,
      'Valor Hora Real y Estimada'!$A$3:$Z$3,
      0
    ) + 1
  ),
  0
)</f>
        <v>12743</v>
      </c>
      <c r="O493" s="453">
        <f t="shared" si="14"/>
        <v>47149.1</v>
      </c>
      <c r="P493" s="113"/>
      <c r="Q493" s="106">
        <f>IF(ISBLANK(O493), "", VLOOKUP(C493&amp;" "&amp;D493, 'Info Tipo de Cambio y REM'!$A$24:$B$35, 2, FALSE))</f>
        <v>1320</v>
      </c>
      <c r="R493" s="107">
        <f t="shared" si="2"/>
        <v>35.71901515</v>
      </c>
    </row>
    <row r="494" hidden="1">
      <c r="A494" s="443" t="s">
        <v>197</v>
      </c>
      <c r="B494" s="43" t="str">
        <f>IF(A494="", "", IFERROR(VLOOKUP(A494, Clasificaciones!A:B, 2, FALSE), "DATO NO CARGADO"))
</f>
        <v>Equipo</v>
      </c>
      <c r="C494" s="51" t="s">
        <v>161</v>
      </c>
      <c r="D494" s="43">
        <v>2025.0</v>
      </c>
      <c r="E494" s="43" t="s">
        <v>1124</v>
      </c>
      <c r="F494" s="43"/>
      <c r="G494" s="43" t="s">
        <v>1191</v>
      </c>
      <c r="H494" s="43" t="s">
        <v>1133</v>
      </c>
      <c r="I494" s="43" t="s">
        <v>1183</v>
      </c>
      <c r="J494" s="43" t="s">
        <v>211</v>
      </c>
      <c r="K494" s="443">
        <v>3.0</v>
      </c>
      <c r="L494" s="443">
        <v>0.75</v>
      </c>
      <c r="M494" s="443">
        <v>0.75</v>
      </c>
      <c r="N494" s="452">
        <f t="array" ref="N494">IFERROR(
  INDEX(
    'Valor Hora Real y Estimada'!$A$4:$Z$78,
    MATCH(TRIM(CLEAN(A494)), 'Valor Hora Real y Estimada'!$A$4:$A$78, 0),
    MATCH(
      TEXT(C494,"dd mmm")&amp;" "&amp;D494,
      'Valor Hora Real y Estimada'!$A$3:$Z$3,
      0
    ) + 1
  ),
  0
)</f>
        <v>12743</v>
      </c>
      <c r="O494" s="453">
        <f t="shared" si="14"/>
        <v>9557.25</v>
      </c>
      <c r="P494" s="113"/>
      <c r="Q494" s="106">
        <f>IF(ISBLANK(O494), "", VLOOKUP(C494&amp;" "&amp;D494, 'Info Tipo de Cambio y REM'!$A$24:$B$35, 2, FALSE))</f>
        <v>1320</v>
      </c>
      <c r="R494" s="107">
        <f t="shared" si="2"/>
        <v>7.240340909</v>
      </c>
    </row>
    <row r="495" hidden="1">
      <c r="A495" s="443" t="s">
        <v>120</v>
      </c>
      <c r="B495" s="43" t="str">
        <f>IF(A495="", "", IFERROR(VLOOKUP(A495, Clasificaciones!A:B, 2, FALSE), "DATO NO CARGADO"))
</f>
        <v>Equipo</v>
      </c>
      <c r="C495" s="51" t="s">
        <v>161</v>
      </c>
      <c r="D495" s="43">
        <v>2025.0</v>
      </c>
      <c r="E495" s="43" t="s">
        <v>1130</v>
      </c>
      <c r="F495" s="43"/>
      <c r="G495" s="43" t="s">
        <v>1182</v>
      </c>
      <c r="H495" s="43" t="s">
        <v>208</v>
      </c>
      <c r="I495" s="43" t="s">
        <v>1136</v>
      </c>
      <c r="J495" s="43" t="s">
        <v>208</v>
      </c>
      <c r="K495" s="450"/>
      <c r="L495" s="443">
        <v>103.38</v>
      </c>
      <c r="M495" s="450">
        <f>52.5+31+3.3+5.9-5.61</f>
        <v>87.09</v>
      </c>
      <c r="N495" s="452">
        <f t="array" ref="N495">IFERROR(
  INDEX(
    'Valor Hora Real y Estimada'!$A$4:$Z$78,
    MATCH(TRIM(CLEAN(A495)), 'Valor Hora Real y Estimada'!$A$4:$A$78, 0),
    MATCH(
      TEXT(C495,"dd mmm")&amp;" "&amp;D495,
      'Valor Hora Real y Estimada'!$A$3:$Z$3,
      0
    ) + 1
  ),
  0
)</f>
        <v>24166.66667</v>
      </c>
      <c r="O495" s="453">
        <f t="shared" si="14"/>
        <v>2104675</v>
      </c>
      <c r="P495" s="113"/>
      <c r="Q495" s="106">
        <f>IF(ISBLANK(O495), "", VLOOKUP(C495&amp;" "&amp;D495, 'Info Tipo de Cambio y REM'!$A$24:$B$35, 2, FALSE))</f>
        <v>1320</v>
      </c>
      <c r="R495" s="107">
        <f t="shared" si="2"/>
        <v>1594.450758</v>
      </c>
    </row>
    <row r="496" hidden="1">
      <c r="A496" s="443" t="s">
        <v>120</v>
      </c>
      <c r="B496" s="43" t="str">
        <f>IF(A496="", "", IFERROR(VLOOKUP(A496, Clasificaciones!A:B, 2, FALSE), "DATO NO CARGADO"))
</f>
        <v>Equipo</v>
      </c>
      <c r="C496" s="51" t="s">
        <v>161</v>
      </c>
      <c r="D496" s="43">
        <v>2025.0</v>
      </c>
      <c r="E496" s="43" t="s">
        <v>1124</v>
      </c>
      <c r="F496" s="43"/>
      <c r="G496" s="43" t="s">
        <v>1187</v>
      </c>
      <c r="H496" s="43" t="s">
        <v>1126</v>
      </c>
      <c r="I496" s="43" t="s">
        <v>1168</v>
      </c>
      <c r="J496" s="43" t="s">
        <v>204</v>
      </c>
      <c r="K496" s="443">
        <v>10.0</v>
      </c>
      <c r="L496" s="443">
        <v>15.75</v>
      </c>
      <c r="M496" s="443">
        <v>14.67</v>
      </c>
      <c r="N496" s="452">
        <f t="array" ref="N496">IFERROR(
  INDEX(
    'Valor Hora Real y Estimada'!$A$4:$Z$78,
    MATCH(TRIM(CLEAN(A496)), 'Valor Hora Real y Estimada'!$A$4:$A$78, 0),
    MATCH(
      TEXT(C496,"dd mmm")&amp;" "&amp;D496,
      'Valor Hora Real y Estimada'!$A$3:$Z$3,
      0
    ) + 1
  ),
  0
)</f>
        <v>24166.66667</v>
      </c>
      <c r="O496" s="453">
        <f t="shared" si="14"/>
        <v>354525</v>
      </c>
      <c r="P496" s="113"/>
      <c r="Q496" s="106">
        <f>IF(ISBLANK(O496), "", VLOOKUP(C496&amp;" "&amp;D496, 'Info Tipo de Cambio y REM'!$A$24:$B$35, 2, FALSE))</f>
        <v>1320</v>
      </c>
      <c r="R496" s="107">
        <f t="shared" si="2"/>
        <v>268.5795455</v>
      </c>
    </row>
    <row r="497" hidden="1">
      <c r="A497" s="443" t="s">
        <v>120</v>
      </c>
      <c r="B497" s="43" t="str">
        <f>IF(A497="", "", IFERROR(VLOOKUP(A497, Clasificaciones!A:B, 2, FALSE), "DATO NO CARGADO"))
</f>
        <v>Equipo</v>
      </c>
      <c r="C497" s="51" t="s">
        <v>161</v>
      </c>
      <c r="D497" s="43">
        <v>2025.0</v>
      </c>
      <c r="E497" s="43" t="s">
        <v>1124</v>
      </c>
      <c r="F497" s="43"/>
      <c r="G497" s="43" t="s">
        <v>1191</v>
      </c>
      <c r="H497" s="43" t="s">
        <v>1133</v>
      </c>
      <c r="I497" s="43" t="s">
        <v>1183</v>
      </c>
      <c r="J497" s="43" t="s">
        <v>211</v>
      </c>
      <c r="K497" s="443">
        <v>4.0</v>
      </c>
      <c r="L497" s="443">
        <v>7.92</v>
      </c>
      <c r="M497" s="443">
        <v>7.92</v>
      </c>
      <c r="N497" s="452">
        <f t="array" ref="N497">IFERROR(
  INDEX(
    'Valor Hora Real y Estimada'!$A$4:$Z$78,
    MATCH(TRIM(CLEAN(A497)), 'Valor Hora Real y Estimada'!$A$4:$A$78, 0),
    MATCH(
      TEXT(C497,"dd mmm")&amp;" "&amp;D497,
      'Valor Hora Real y Estimada'!$A$3:$Z$3,
      0
    ) + 1
  ),
  0
)</f>
        <v>24166.66667</v>
      </c>
      <c r="O497" s="453">
        <f t="shared" si="14"/>
        <v>191400</v>
      </c>
      <c r="P497" s="113"/>
      <c r="Q497" s="106">
        <f>IF(ISBLANK(O497), "", VLOOKUP(C497&amp;" "&amp;D497, 'Info Tipo de Cambio y REM'!$A$24:$B$35, 2, FALSE))</f>
        <v>1320</v>
      </c>
      <c r="R497" s="107">
        <f t="shared" si="2"/>
        <v>145</v>
      </c>
    </row>
    <row r="498" hidden="1">
      <c r="A498" s="443" t="s">
        <v>120</v>
      </c>
      <c r="B498" s="43" t="str">
        <f>IF(A498="", "", IFERROR(VLOOKUP(A498, Clasificaciones!A:B, 2, FALSE), "DATO NO CARGADO"))
</f>
        <v>Equipo</v>
      </c>
      <c r="C498" s="51" t="s">
        <v>161</v>
      </c>
      <c r="D498" s="43">
        <v>2025.0</v>
      </c>
      <c r="E498" s="43" t="s">
        <v>1124</v>
      </c>
      <c r="F498" s="43"/>
      <c r="G498" s="43" t="s">
        <v>1193</v>
      </c>
      <c r="H498" s="43" t="s">
        <v>1133</v>
      </c>
      <c r="I498" s="43" t="s">
        <v>1185</v>
      </c>
      <c r="J498" s="43" t="s">
        <v>206</v>
      </c>
      <c r="K498" s="443">
        <v>1.0</v>
      </c>
      <c r="L498" s="443">
        <v>6.9</v>
      </c>
      <c r="M498" s="443">
        <v>6.9</v>
      </c>
      <c r="N498" s="452">
        <f t="array" ref="N498">IFERROR(
  INDEX(
    'Valor Hora Real y Estimada'!$A$4:$Z$78,
    MATCH(TRIM(CLEAN(A498)), 'Valor Hora Real y Estimada'!$A$4:$A$78, 0),
    MATCH(
      TEXT(C498,"dd mmm")&amp;" "&amp;D498,
      'Valor Hora Real y Estimada'!$A$3:$Z$3,
      0
    ) + 1
  ),
  0
)</f>
        <v>24166.66667</v>
      </c>
      <c r="O498" s="453">
        <f t="shared" si="14"/>
        <v>166750</v>
      </c>
      <c r="P498" s="113"/>
      <c r="Q498" s="106">
        <f>IF(ISBLANK(O498), "", VLOOKUP(C498&amp;" "&amp;D498, 'Info Tipo de Cambio y REM'!$A$24:$B$35, 2, FALSE))</f>
        <v>1320</v>
      </c>
      <c r="R498" s="107">
        <f t="shared" si="2"/>
        <v>126.3257576</v>
      </c>
    </row>
    <row r="499" hidden="1">
      <c r="A499" s="443" t="s">
        <v>120</v>
      </c>
      <c r="B499" s="43" t="str">
        <f>IF(A499="", "", IFERROR(VLOOKUP(A499, Clasificaciones!A:B, 2, FALSE), "DATO NO CARGADO"))
</f>
        <v>Equipo</v>
      </c>
      <c r="C499" s="51" t="s">
        <v>161</v>
      </c>
      <c r="D499" s="43">
        <v>2025.0</v>
      </c>
      <c r="E499" s="43" t="s">
        <v>1124</v>
      </c>
      <c r="F499" s="43"/>
      <c r="G499" s="43" t="s">
        <v>1186</v>
      </c>
      <c r="H499" s="43" t="s">
        <v>1133</v>
      </c>
      <c r="I499" s="43" t="s">
        <v>1165</v>
      </c>
      <c r="J499" s="43" t="s">
        <v>199</v>
      </c>
      <c r="K499" s="443">
        <v>5.0</v>
      </c>
      <c r="L499" s="443">
        <v>3.42</v>
      </c>
      <c r="M499" s="443">
        <v>3.42</v>
      </c>
      <c r="N499" s="452">
        <f t="array" ref="N499">IFERROR(
  INDEX(
    'Valor Hora Real y Estimada'!$A$4:$Z$78,
    MATCH(TRIM(CLEAN(A499)), 'Valor Hora Real y Estimada'!$A$4:$A$78, 0),
    MATCH(
      TEXT(C499,"dd mmm")&amp;" "&amp;D499,
      'Valor Hora Real y Estimada'!$A$3:$Z$3,
      0
    ) + 1
  ),
  0
)</f>
        <v>24166.66667</v>
      </c>
      <c r="O499" s="453">
        <f t="shared" si="14"/>
        <v>82650</v>
      </c>
      <c r="P499" s="113"/>
      <c r="Q499" s="106">
        <f>IF(ISBLANK(O499), "", VLOOKUP(C499&amp;" "&amp;D499, 'Info Tipo de Cambio y REM'!$A$24:$B$35, 2, FALSE))</f>
        <v>1320</v>
      </c>
      <c r="R499" s="107">
        <f t="shared" si="2"/>
        <v>62.61363636</v>
      </c>
    </row>
    <row r="500" hidden="1">
      <c r="A500" s="443" t="s">
        <v>87</v>
      </c>
      <c r="B500" s="43" t="str">
        <f>IF(A500="", "", IFERROR(VLOOKUP(A500, Clasificaciones!A:B, 2, FALSE), "DATO NO CARGADO"))
</f>
        <v>Equipo</v>
      </c>
      <c r="C500" s="51" t="s">
        <v>161</v>
      </c>
      <c r="D500" s="43">
        <v>2025.0</v>
      </c>
      <c r="E500" s="43" t="s">
        <v>1130</v>
      </c>
      <c r="F500" s="43"/>
      <c r="G500" s="43" t="s">
        <v>1182</v>
      </c>
      <c r="H500" s="43" t="s">
        <v>208</v>
      </c>
      <c r="I500" s="43" t="s">
        <v>1136</v>
      </c>
      <c r="J500" s="43" t="s">
        <v>208</v>
      </c>
      <c r="K500" s="450"/>
      <c r="L500" s="443">
        <f t="shared" ref="L500:M500" si="18">48.1+0.5</f>
        <v>48.6</v>
      </c>
      <c r="M500" s="443">
        <f t="shared" si="18"/>
        <v>48.6</v>
      </c>
      <c r="N500" s="452">
        <f t="array" ref="N500">IFERROR(
  INDEX(
    'Valor Hora Real y Estimada'!$A$4:$Z$78,
    MATCH(TRIM(CLEAN(A500)), 'Valor Hora Real y Estimada'!$A$4:$A$78, 0),
    MATCH(
      TEXT(C500,"dd mmm")&amp;" "&amp;D500,
      'Valor Hora Real y Estimada'!$A$3:$Z$3,
      0
    ) + 1
  ),
  0
)</f>
        <v>11000</v>
      </c>
      <c r="O500" s="453">
        <f t="shared" si="14"/>
        <v>534600</v>
      </c>
      <c r="P500" s="113"/>
      <c r="Q500" s="106">
        <f>IF(ISBLANK(O500), "", VLOOKUP(C500&amp;" "&amp;D500, 'Info Tipo de Cambio y REM'!$A$24:$B$35, 2, FALSE))</f>
        <v>1320</v>
      </c>
      <c r="R500" s="107">
        <f t="shared" si="2"/>
        <v>405</v>
      </c>
    </row>
    <row r="501" hidden="1">
      <c r="A501" s="443" t="s">
        <v>87</v>
      </c>
      <c r="B501" s="43" t="str">
        <f>IF(A501="", "", IFERROR(VLOOKUP(A501, Clasificaciones!A:B, 2, FALSE), "DATO NO CARGADO"))
</f>
        <v>Equipo</v>
      </c>
      <c r="C501" s="51" t="s">
        <v>161</v>
      </c>
      <c r="D501" s="43">
        <v>2025.0</v>
      </c>
      <c r="E501" s="43" t="s">
        <v>1124</v>
      </c>
      <c r="F501" s="43"/>
      <c r="G501" s="43" t="s">
        <v>1191</v>
      </c>
      <c r="H501" s="43" t="s">
        <v>1133</v>
      </c>
      <c r="I501" s="43" t="s">
        <v>1183</v>
      </c>
      <c r="J501" s="43" t="s">
        <v>211</v>
      </c>
      <c r="K501" s="443">
        <v>0.0</v>
      </c>
      <c r="L501" s="443">
        <v>23.95</v>
      </c>
      <c r="M501" s="443">
        <v>23.95</v>
      </c>
      <c r="N501" s="452">
        <f t="array" ref="N501">IFERROR(
  INDEX(
    'Valor Hora Real y Estimada'!$A$4:$Z$78,
    MATCH(TRIM(CLEAN(A501)), 'Valor Hora Real y Estimada'!$A$4:$A$78, 0),
    MATCH(
      TEXT(C501,"dd mmm")&amp;" "&amp;D501,
      'Valor Hora Real y Estimada'!$A$3:$Z$3,
      0
    ) + 1
  ),
  0
)</f>
        <v>11000</v>
      </c>
      <c r="O501" s="453">
        <f t="shared" si="14"/>
        <v>263450</v>
      </c>
      <c r="P501" s="113"/>
      <c r="Q501" s="106">
        <f>IF(ISBLANK(O501), "", VLOOKUP(C501&amp;" "&amp;D501, 'Info Tipo de Cambio y REM'!$A$24:$B$35, 2, FALSE))</f>
        <v>1320</v>
      </c>
      <c r="R501" s="107">
        <f t="shared" si="2"/>
        <v>199.5833333</v>
      </c>
    </row>
    <row r="502">
      <c r="A502" s="443" t="s">
        <v>87</v>
      </c>
      <c r="B502" s="43" t="str">
        <f>IF(A502="", "", IFERROR(VLOOKUP(A502, Clasificaciones!A:B, 2, FALSE), "DATO NO CARGADO"))
</f>
        <v>Equipo</v>
      </c>
      <c r="C502" s="51" t="s">
        <v>161</v>
      </c>
      <c r="D502" s="43">
        <v>2025.0</v>
      </c>
      <c r="E502" s="43" t="s">
        <v>1124</v>
      </c>
      <c r="F502" s="43"/>
      <c r="G502" s="43" t="s">
        <v>1181</v>
      </c>
      <c r="H502" s="43" t="s">
        <v>1126</v>
      </c>
      <c r="I502" s="43" t="s">
        <v>1129</v>
      </c>
      <c r="J502" s="43" t="s">
        <v>183</v>
      </c>
      <c r="K502" s="443">
        <v>20.0</v>
      </c>
      <c r="L502" s="443">
        <v>13.33</v>
      </c>
      <c r="M502" s="443">
        <v>13.08</v>
      </c>
      <c r="N502" s="452">
        <f t="array" ref="N502">IFERROR(
  INDEX(
    'Valor Hora Real y Estimada'!$A$4:$Z$78,
    MATCH(TRIM(CLEAN(A502)), 'Valor Hora Real y Estimada'!$A$4:$A$78, 0),
    MATCH(
      TEXT(C502,"dd mmm")&amp;" "&amp;D502,
      'Valor Hora Real y Estimada'!$A$3:$Z$3,
      0
    ) + 1
  ),
  0
)</f>
        <v>11000</v>
      </c>
      <c r="O502" s="453">
        <f t="shared" si="14"/>
        <v>143880</v>
      </c>
      <c r="P502" s="113"/>
      <c r="Q502" s="106">
        <f>IF(ISBLANK(O502), "", VLOOKUP(C502&amp;" "&amp;D502, 'Info Tipo de Cambio y REM'!$A$24:$B$35, 2, FALSE))</f>
        <v>1320</v>
      </c>
      <c r="R502" s="107">
        <f t="shared" si="2"/>
        <v>109</v>
      </c>
    </row>
    <row r="503" hidden="1">
      <c r="A503" s="443" t="s">
        <v>87</v>
      </c>
      <c r="B503" s="43" t="str">
        <f>IF(A503="", "", IFERROR(VLOOKUP(A503, Clasificaciones!A:B, 2, FALSE), "DATO NO CARGADO"))
</f>
        <v>Equipo</v>
      </c>
      <c r="C503" s="51" t="s">
        <v>161</v>
      </c>
      <c r="D503" s="43">
        <v>2025.0</v>
      </c>
      <c r="E503" s="43" t="s">
        <v>1124</v>
      </c>
      <c r="F503" s="43"/>
      <c r="G503" s="43" t="s">
        <v>1193</v>
      </c>
      <c r="H503" s="43" t="s">
        <v>1133</v>
      </c>
      <c r="I503" s="43" t="s">
        <v>1185</v>
      </c>
      <c r="J503" s="43" t="s">
        <v>206</v>
      </c>
      <c r="K503" s="443">
        <v>0.0</v>
      </c>
      <c r="L503" s="443">
        <v>1.92</v>
      </c>
      <c r="M503" s="443">
        <v>1.92</v>
      </c>
      <c r="N503" s="452">
        <f t="array" ref="N503">IFERROR(
  INDEX(
    'Valor Hora Real y Estimada'!$A$4:$Z$78,
    MATCH(TRIM(CLEAN(A503)), 'Valor Hora Real y Estimada'!$A$4:$A$78, 0),
    MATCH(
      TEXT(C503,"dd mmm")&amp;" "&amp;D503,
      'Valor Hora Real y Estimada'!$A$3:$Z$3,
      0
    ) + 1
  ),
  0
)</f>
        <v>11000</v>
      </c>
      <c r="O503" s="453">
        <f t="shared" si="14"/>
        <v>21120</v>
      </c>
      <c r="P503" s="113"/>
      <c r="Q503" s="106">
        <f>IF(ISBLANK(O503), "", VLOOKUP(C503&amp;" "&amp;D503, 'Info Tipo de Cambio y REM'!$A$24:$B$35, 2, FALSE))</f>
        <v>1320</v>
      </c>
      <c r="R503" s="107">
        <f t="shared" si="2"/>
        <v>16</v>
      </c>
    </row>
    <row r="504" hidden="1">
      <c r="A504" s="443" t="s">
        <v>87</v>
      </c>
      <c r="B504" s="43" t="str">
        <f>IF(A504="", "", IFERROR(VLOOKUP(A504, Clasificaciones!A:B, 2, FALSE), "DATO NO CARGADO"))
</f>
        <v>Equipo</v>
      </c>
      <c r="C504" s="51" t="s">
        <v>161</v>
      </c>
      <c r="D504" s="43">
        <v>2025.0</v>
      </c>
      <c r="E504" s="43" t="s">
        <v>1124</v>
      </c>
      <c r="F504" s="43"/>
      <c r="G504" s="43" t="s">
        <v>1194</v>
      </c>
      <c r="H504" s="43" t="s">
        <v>1133</v>
      </c>
      <c r="I504" s="43" t="s">
        <v>1195</v>
      </c>
      <c r="J504" s="43" t="s">
        <v>132</v>
      </c>
      <c r="K504" s="443">
        <v>25.0</v>
      </c>
      <c r="L504" s="443">
        <v>5.38</v>
      </c>
      <c r="M504" s="443">
        <v>5.05</v>
      </c>
      <c r="N504" s="452">
        <f t="array" ref="N504">IFERROR(
  INDEX(
    'Valor Hora Real y Estimada'!$A$4:$Z$78,
    MATCH(TRIM(CLEAN(A504)), 'Valor Hora Real y Estimada'!$A$4:$A$78, 0),
    MATCH(
      TEXT(C504,"dd mmm")&amp;" "&amp;D504,
      'Valor Hora Real y Estimada'!$A$3:$Z$3,
      0
    ) + 1
  ),
  0
)</f>
        <v>11000</v>
      </c>
      <c r="O504" s="453">
        <f t="shared" si="14"/>
        <v>55550</v>
      </c>
      <c r="P504" s="113"/>
      <c r="Q504" s="106">
        <f>IF(ISBLANK(O504), "", VLOOKUP(C504&amp;" "&amp;D504, 'Info Tipo de Cambio y REM'!$A$24:$B$35, 2, FALSE))</f>
        <v>1320</v>
      </c>
      <c r="R504" s="107">
        <f t="shared" si="2"/>
        <v>42.08333333</v>
      </c>
    </row>
    <row r="505" hidden="1">
      <c r="A505" s="443" t="s">
        <v>221</v>
      </c>
      <c r="B505" s="43" t="str">
        <f>IF(A505="", "", IFERROR(VLOOKUP(A505, Clasificaciones!A:B, 2, FALSE), "DATO NO CARGADO"))
</f>
        <v>Equipo</v>
      </c>
      <c r="C505" s="51" t="s">
        <v>161</v>
      </c>
      <c r="D505" s="43">
        <v>2025.0</v>
      </c>
      <c r="E505" s="43" t="s">
        <v>1130</v>
      </c>
      <c r="F505" s="43"/>
      <c r="G505" s="43" t="s">
        <v>1182</v>
      </c>
      <c r="H505" s="43" t="s">
        <v>208</v>
      </c>
      <c r="I505" s="43" t="s">
        <v>1136</v>
      </c>
      <c r="J505" s="43" t="s">
        <v>208</v>
      </c>
      <c r="K505" s="450"/>
      <c r="L505" s="443">
        <f>8.5+1.42</f>
        <v>9.92</v>
      </c>
      <c r="M505" s="443">
        <f>8.5+1.42+(160-73.67)+0.00656</f>
        <v>96.25656</v>
      </c>
      <c r="N505" s="452">
        <f t="array" ref="N505">IFERROR(
  INDEX(
    'Valor Hora Real y Estimada'!$A$4:$Z$78,
    MATCH(TRIM(CLEAN(A505)), 'Valor Hora Real y Estimada'!$A$4:$A$78, 0),
    MATCH(
      TEXT(C505,"dd mmm")&amp;" "&amp;D505,
      'Valor Hora Real y Estimada'!$A$3:$Z$3,
      0
    ) + 1
  ),
  0
)</f>
        <v>10981</v>
      </c>
      <c r="O505" s="453">
        <f t="shared" si="14"/>
        <v>1056993.285</v>
      </c>
      <c r="P505" s="113"/>
      <c r="Q505" s="106">
        <f>IF(ISBLANK(O505), "", VLOOKUP(C505&amp;" "&amp;D505, 'Info Tipo de Cambio y REM'!$A$24:$B$35, 2, FALSE))</f>
        <v>1320</v>
      </c>
      <c r="R505" s="107">
        <f t="shared" si="2"/>
        <v>800.7524889</v>
      </c>
    </row>
    <row r="506">
      <c r="A506" s="443" t="s">
        <v>221</v>
      </c>
      <c r="B506" s="43" t="str">
        <f>IF(A506="", "", IFERROR(VLOOKUP(A506, Clasificaciones!A:B, 2, FALSE), "DATO NO CARGADO"))
</f>
        <v>Equipo</v>
      </c>
      <c r="C506" s="51" t="s">
        <v>161</v>
      </c>
      <c r="D506" s="43">
        <v>2025.0</v>
      </c>
      <c r="E506" s="43" t="s">
        <v>1124</v>
      </c>
      <c r="F506" s="43"/>
      <c r="G506" s="43" t="s">
        <v>1181</v>
      </c>
      <c r="H506" s="43" t="s">
        <v>1126</v>
      </c>
      <c r="I506" s="43" t="s">
        <v>1129</v>
      </c>
      <c r="J506" s="43" t="s">
        <v>183</v>
      </c>
      <c r="K506" s="443">
        <v>70.0</v>
      </c>
      <c r="L506" s="443">
        <v>62.67</v>
      </c>
      <c r="M506" s="443">
        <v>62.17</v>
      </c>
      <c r="N506" s="452">
        <f t="array" ref="N506">IFERROR(
  INDEX(
    'Valor Hora Real y Estimada'!$A$4:$Z$78,
    MATCH(TRIM(CLEAN(A506)), 'Valor Hora Real y Estimada'!$A$4:$A$78, 0),
    MATCH(
      TEXT(C506,"dd mmm")&amp;" "&amp;D506,
      'Valor Hora Real y Estimada'!$A$3:$Z$3,
      0
    ) + 1
  ),
  0
)</f>
        <v>10981</v>
      </c>
      <c r="O506" s="453">
        <f t="shared" si="14"/>
        <v>682688.77</v>
      </c>
      <c r="P506" s="113"/>
      <c r="Q506" s="106">
        <f>IF(ISBLANK(O506), "", VLOOKUP(C506&amp;" "&amp;D506, 'Info Tipo de Cambio y REM'!$A$24:$B$35, 2, FALSE))</f>
        <v>1320</v>
      </c>
      <c r="R506" s="107">
        <f t="shared" si="2"/>
        <v>517.1884621</v>
      </c>
    </row>
    <row r="507" hidden="1">
      <c r="A507" s="443" t="s">
        <v>221</v>
      </c>
      <c r="B507" s="43" t="str">
        <f>IF(A507="", "", IFERROR(VLOOKUP(A507, Clasificaciones!A:B, 2, FALSE), "DATO NO CARGADO"))
</f>
        <v>Equipo</v>
      </c>
      <c r="C507" s="51" t="s">
        <v>161</v>
      </c>
      <c r="D507" s="43">
        <v>2025.0</v>
      </c>
      <c r="E507" s="43" t="s">
        <v>1124</v>
      </c>
      <c r="F507" s="43"/>
      <c r="G507" s="43" t="s">
        <v>1187</v>
      </c>
      <c r="H507" s="43" t="s">
        <v>1126</v>
      </c>
      <c r="I507" s="43" t="s">
        <v>1168</v>
      </c>
      <c r="J507" s="43" t="s">
        <v>204</v>
      </c>
      <c r="K507" s="443">
        <v>0.0</v>
      </c>
      <c r="L507" s="443">
        <v>0.83</v>
      </c>
      <c r="M507" s="443">
        <v>0.83</v>
      </c>
      <c r="N507" s="452">
        <f t="array" ref="N507">IFERROR(
  INDEX(
    'Valor Hora Real y Estimada'!$A$4:$Z$78,
    MATCH(TRIM(CLEAN(A507)), 'Valor Hora Real y Estimada'!$A$4:$A$78, 0),
    MATCH(
      TEXT(C507,"dd mmm")&amp;" "&amp;D507,
      'Valor Hora Real y Estimada'!$A$3:$Z$3,
      0
    ) + 1
  ),
  0
)</f>
        <v>10981</v>
      </c>
      <c r="O507" s="453">
        <f t="shared" si="14"/>
        <v>9114.23</v>
      </c>
      <c r="P507" s="113"/>
      <c r="Q507" s="106">
        <f>IF(ISBLANK(O507), "", VLOOKUP(C507&amp;" "&amp;D507, 'Info Tipo de Cambio y REM'!$A$24:$B$35, 2, FALSE))</f>
        <v>1320</v>
      </c>
      <c r="R507" s="107">
        <f t="shared" si="2"/>
        <v>6.904719697</v>
      </c>
    </row>
    <row r="508" hidden="1">
      <c r="A508" s="443" t="s">
        <v>221</v>
      </c>
      <c r="B508" s="43" t="str">
        <f>IF(A508="", "", IFERROR(VLOOKUP(A508, Clasificaciones!A:B, 2, FALSE), "DATO NO CARGADO"))
</f>
        <v>Equipo</v>
      </c>
      <c r="C508" s="51" t="s">
        <v>161</v>
      </c>
      <c r="D508" s="43">
        <v>2025.0</v>
      </c>
      <c r="E508" s="43" t="s">
        <v>1124</v>
      </c>
      <c r="F508" s="43"/>
      <c r="G508" s="43" t="s">
        <v>1191</v>
      </c>
      <c r="H508" s="43" t="s">
        <v>1133</v>
      </c>
      <c r="I508" s="43" t="s">
        <v>1183</v>
      </c>
      <c r="J508" s="43" t="s">
        <v>211</v>
      </c>
      <c r="K508" s="443">
        <v>15.0</v>
      </c>
      <c r="L508" s="443">
        <v>0.75</v>
      </c>
      <c r="M508" s="443">
        <v>0.75</v>
      </c>
      <c r="N508" s="452">
        <f t="array" ref="N508">IFERROR(
  INDEX(
    'Valor Hora Real y Estimada'!$A$4:$Z$78,
    MATCH(TRIM(CLEAN(A508)), 'Valor Hora Real y Estimada'!$A$4:$A$78, 0),
    MATCH(
      TEXT(C508,"dd mmm")&amp;" "&amp;D508,
      'Valor Hora Real y Estimada'!$A$3:$Z$3,
      0
    ) + 1
  ),
  0
)</f>
        <v>10981</v>
      </c>
      <c r="O508" s="453">
        <f t="shared" si="14"/>
        <v>8235.75</v>
      </c>
      <c r="P508" s="113"/>
      <c r="Q508" s="106">
        <f>IF(ISBLANK(O508), "", VLOOKUP(C508&amp;" "&amp;D508, 'Info Tipo de Cambio y REM'!$A$24:$B$35, 2, FALSE))</f>
        <v>1320</v>
      </c>
      <c r="R508" s="107">
        <f t="shared" si="2"/>
        <v>6.239204545</v>
      </c>
    </row>
    <row r="509" hidden="1">
      <c r="A509" s="443" t="s">
        <v>210</v>
      </c>
      <c r="B509" s="43" t="str">
        <f>IF(A509="", "", IFERROR(VLOOKUP(A509, Clasificaciones!A:B, 2, FALSE), "DATO NO CARGADO"))
</f>
        <v>Equipo</v>
      </c>
      <c r="C509" s="51" t="s">
        <v>161</v>
      </c>
      <c r="D509" s="43">
        <v>2025.0</v>
      </c>
      <c r="E509" s="43" t="s">
        <v>1124</v>
      </c>
      <c r="F509" s="43"/>
      <c r="G509" s="43" t="s">
        <v>1191</v>
      </c>
      <c r="H509" s="43" t="s">
        <v>1133</v>
      </c>
      <c r="I509" s="43" t="s">
        <v>1183</v>
      </c>
      <c r="J509" s="43" t="s">
        <v>211</v>
      </c>
      <c r="K509" s="443">
        <v>4.0</v>
      </c>
      <c r="L509" s="443">
        <v>6.0</v>
      </c>
      <c r="M509" s="443">
        <v>6.0</v>
      </c>
      <c r="N509" s="452">
        <f t="array" ref="N509">IFERROR(
  INDEX(
    'Valor Hora Real y Estimada'!$A$4:$Z$78,
    MATCH(TRIM(CLEAN(A509)), 'Valor Hora Real y Estimada'!$A$4:$A$78, 0),
    MATCH(
      TEXT(C509,"dd mmm")&amp;" "&amp;D509,
      'Valor Hora Real y Estimada'!$A$3:$Z$3,
      0
    ) + 1
  ),
  0
)</f>
        <v>16760</v>
      </c>
      <c r="O509" s="453">
        <f t="shared" si="14"/>
        <v>100560</v>
      </c>
      <c r="P509" s="113"/>
      <c r="Q509" s="106">
        <f>IF(ISBLANK(O509), "", VLOOKUP(C509&amp;" "&amp;D509, 'Info Tipo de Cambio y REM'!$A$24:$B$35, 2, FALSE))</f>
        <v>1320</v>
      </c>
      <c r="R509" s="107">
        <f t="shared" si="2"/>
        <v>76.18181818</v>
      </c>
    </row>
    <row r="510">
      <c r="A510" s="443" t="s">
        <v>210</v>
      </c>
      <c r="B510" s="43" t="str">
        <f>IF(A510="", "", IFERROR(VLOOKUP(A510, Clasificaciones!A:B, 2, FALSE), "DATO NO CARGADO"))
</f>
        <v>Equipo</v>
      </c>
      <c r="C510" s="51" t="s">
        <v>161</v>
      </c>
      <c r="D510" s="43">
        <v>2025.0</v>
      </c>
      <c r="E510" s="43" t="s">
        <v>1124</v>
      </c>
      <c r="F510" s="43"/>
      <c r="G510" s="43" t="s">
        <v>1181</v>
      </c>
      <c r="H510" s="43" t="s">
        <v>1126</v>
      </c>
      <c r="I510" s="43" t="s">
        <v>1129</v>
      </c>
      <c r="J510" s="43" t="s">
        <v>183</v>
      </c>
      <c r="K510" s="443">
        <v>3.0</v>
      </c>
      <c r="L510" s="451">
        <v>6.0</v>
      </c>
      <c r="M510" s="443">
        <v>6.0</v>
      </c>
      <c r="N510" s="452">
        <f t="array" ref="N510">IFERROR(
  INDEX(
    'Valor Hora Real y Estimada'!$A$4:$Z$78,
    MATCH(TRIM(CLEAN(A510)), 'Valor Hora Real y Estimada'!$A$4:$A$78, 0),
    MATCH(
      TEXT(C510,"dd mmm")&amp;" "&amp;D510,
      'Valor Hora Real y Estimada'!$A$3:$Z$3,
      0
    ) + 1
  ),
  0
)</f>
        <v>16760</v>
      </c>
      <c r="O510" s="453">
        <f t="shared" si="14"/>
        <v>100560</v>
      </c>
      <c r="P510" s="113"/>
      <c r="Q510" s="106">
        <f>IF(ISBLANK(O510), "", VLOOKUP(C510&amp;" "&amp;D510, 'Info Tipo de Cambio y REM'!$A$24:$B$35, 2, FALSE))</f>
        <v>1320</v>
      </c>
      <c r="R510" s="107">
        <f t="shared" si="2"/>
        <v>76.18181818</v>
      </c>
    </row>
    <row r="511" hidden="1">
      <c r="A511" s="443" t="s">
        <v>210</v>
      </c>
      <c r="B511" s="43" t="str">
        <f>IF(A511="", "", IFERROR(VLOOKUP(A511, Clasificaciones!A:B, 2, FALSE), "DATO NO CARGADO"))
</f>
        <v>Equipo</v>
      </c>
      <c r="C511" s="51" t="s">
        <v>161</v>
      </c>
      <c r="D511" s="43">
        <v>2025.0</v>
      </c>
      <c r="E511" s="43" t="s">
        <v>1124</v>
      </c>
      <c r="F511" s="43"/>
      <c r="G511" s="43" t="s">
        <v>1192</v>
      </c>
      <c r="H511" s="43" t="s">
        <v>1133</v>
      </c>
      <c r="I511" s="43" t="s">
        <v>1175</v>
      </c>
      <c r="J511" s="43" t="s">
        <v>209</v>
      </c>
      <c r="K511" s="443">
        <v>0.0</v>
      </c>
      <c r="L511" s="451">
        <v>5.0</v>
      </c>
      <c r="M511" s="443">
        <v>5.0</v>
      </c>
      <c r="N511" s="452">
        <f t="array" ref="N511">IFERROR(
  INDEX(
    'Valor Hora Real y Estimada'!$A$4:$Z$78,
    MATCH(TRIM(CLEAN(A511)), 'Valor Hora Real y Estimada'!$A$4:$A$78, 0),
    MATCH(
      TEXT(C511,"dd mmm")&amp;" "&amp;D511,
      'Valor Hora Real y Estimada'!$A$3:$Z$3,
      0
    ) + 1
  ),
  0
)</f>
        <v>16760</v>
      </c>
      <c r="O511" s="453">
        <f t="shared" si="14"/>
        <v>83800</v>
      </c>
      <c r="P511" s="113"/>
      <c r="Q511" s="106">
        <f>IF(ISBLANK(O511), "", VLOOKUP(C511&amp;" "&amp;D511, 'Info Tipo de Cambio y REM'!$A$24:$B$35, 2, FALSE))</f>
        <v>1320</v>
      </c>
      <c r="R511" s="107">
        <f t="shared" si="2"/>
        <v>63.48484848</v>
      </c>
    </row>
    <row r="512" hidden="1">
      <c r="A512" s="443" t="s">
        <v>210</v>
      </c>
      <c r="B512" s="43" t="str">
        <f>IF(A512="", "", IFERROR(VLOOKUP(A512, Clasificaciones!A:B, 2, FALSE), "DATO NO CARGADO"))
</f>
        <v>Equipo</v>
      </c>
      <c r="C512" s="51" t="s">
        <v>161</v>
      </c>
      <c r="D512" s="43">
        <v>2025.0</v>
      </c>
      <c r="E512" s="43" t="s">
        <v>1130</v>
      </c>
      <c r="F512" s="43"/>
      <c r="G512" s="43" t="s">
        <v>1182</v>
      </c>
      <c r="H512" s="43" t="s">
        <v>208</v>
      </c>
      <c r="I512" s="43" t="s">
        <v>1136</v>
      </c>
      <c r="J512" s="43" t="s">
        <v>208</v>
      </c>
      <c r="K512" s="450"/>
      <c r="L512" s="443">
        <v>2.5</v>
      </c>
      <c r="M512" s="443">
        <v>2.5</v>
      </c>
      <c r="N512" s="452">
        <f t="array" ref="N512">IFERROR(
  INDEX(
    'Valor Hora Real y Estimada'!$A$4:$Z$78,
    MATCH(TRIM(CLEAN(A512)), 'Valor Hora Real y Estimada'!$A$4:$A$78, 0),
    MATCH(
      TEXT(C512,"dd mmm")&amp;" "&amp;D512,
      'Valor Hora Real y Estimada'!$A$3:$Z$3,
      0
    ) + 1
  ),
  0
)</f>
        <v>16760</v>
      </c>
      <c r="O512" s="453">
        <f t="shared" si="14"/>
        <v>41900</v>
      </c>
      <c r="P512" s="113"/>
      <c r="Q512" s="106">
        <f>IF(ISBLANK(O512), "", VLOOKUP(C512&amp;" "&amp;D512, 'Info Tipo de Cambio y REM'!$A$24:$B$35, 2, FALSE))</f>
        <v>1320</v>
      </c>
      <c r="R512" s="107">
        <f t="shared" si="2"/>
        <v>31.74242424</v>
      </c>
    </row>
    <row r="513" hidden="1">
      <c r="A513" s="443" t="s">
        <v>229</v>
      </c>
      <c r="B513" s="43" t="str">
        <f>IF(A513="", "", IFERROR(VLOOKUP(A513, Clasificaciones!A:B, 2, FALSE), "DATO NO CARGADO"))
</f>
        <v>Equipo</v>
      </c>
      <c r="C513" s="51" t="s">
        <v>161</v>
      </c>
      <c r="D513" s="43">
        <v>2025.0</v>
      </c>
      <c r="E513" s="43" t="s">
        <v>1130</v>
      </c>
      <c r="F513" s="43"/>
      <c r="G513" s="43" t="s">
        <v>1182</v>
      </c>
      <c r="H513" s="43" t="s">
        <v>208</v>
      </c>
      <c r="I513" s="43" t="s">
        <v>1136</v>
      </c>
      <c r="J513" s="43" t="s">
        <v>208</v>
      </c>
      <c r="K513" s="450"/>
      <c r="L513" s="443">
        <v>58.25</v>
      </c>
      <c r="M513" s="443">
        <v>58.25</v>
      </c>
      <c r="N513" s="452">
        <f t="array" ref="N513">IFERROR(
  INDEX(
    'Valor Hora Real y Estimada'!$A$4:$Z$78,
    MATCH(TRIM(CLEAN(A513)), 'Valor Hora Real y Estimada'!$A$4:$A$78, 0),
    MATCH(
      TEXT(C513,"dd mmm")&amp;" "&amp;D513,
      'Valor Hora Real y Estimada'!$A$3:$Z$3,
      0
    ) + 1
  ),
  0
)</f>
        <v>7500</v>
      </c>
      <c r="O513" s="453">
        <f t="shared" si="14"/>
        <v>436875</v>
      </c>
      <c r="P513" s="113"/>
      <c r="Q513" s="106">
        <f>IF(ISBLANK(O513), "", VLOOKUP(C513&amp;" "&amp;D513, 'Info Tipo de Cambio y REM'!$A$24:$B$35, 2, FALSE))</f>
        <v>1320</v>
      </c>
      <c r="R513" s="107">
        <f t="shared" si="2"/>
        <v>330.9659091</v>
      </c>
    </row>
    <row r="514">
      <c r="A514" s="443" t="s">
        <v>200</v>
      </c>
      <c r="B514" s="43" t="str">
        <f>IF(A514="", "", IFERROR(VLOOKUP(A514, Clasificaciones!A:B, 2, FALSE), "DATO NO CARGADO"))
</f>
        <v>Equipo</v>
      </c>
      <c r="C514" s="51" t="s">
        <v>161</v>
      </c>
      <c r="D514" s="43">
        <v>2025.0</v>
      </c>
      <c r="E514" s="43" t="s">
        <v>1124</v>
      </c>
      <c r="F514" s="43"/>
      <c r="G514" s="43" t="s">
        <v>1181</v>
      </c>
      <c r="H514" s="43" t="s">
        <v>1126</v>
      </c>
      <c r="I514" s="43" t="s">
        <v>1129</v>
      </c>
      <c r="J514" s="43" t="s">
        <v>183</v>
      </c>
      <c r="K514" s="443">
        <v>120.0</v>
      </c>
      <c r="L514" s="443">
        <f>96.58+17.75</f>
        <v>114.33</v>
      </c>
      <c r="M514" s="443">
        <f>95.83+17.75</f>
        <v>113.58</v>
      </c>
      <c r="N514" s="452">
        <f t="array" ref="N514">IFERROR(
  INDEX(
    'Valor Hora Real y Estimada'!$A$4:$Z$78,
    MATCH(TRIM(CLEAN(A514)), 'Valor Hora Real y Estimada'!$A$4:$A$78, 0),
    MATCH(
      TEXT(C514,"dd mmm")&amp;" "&amp;D514,
      'Valor Hora Real y Estimada'!$A$3:$Z$3,
      0
    ) + 1
  ),
  0
)</f>
        <v>18880</v>
      </c>
      <c r="O514" s="453">
        <f t="shared" si="14"/>
        <v>2144390.4</v>
      </c>
      <c r="P514" s="113"/>
      <c r="Q514" s="106">
        <f>IF(ISBLANK(O514), "", VLOOKUP(C514&amp;" "&amp;D514, 'Info Tipo de Cambio y REM'!$A$24:$B$35, 2, FALSE))</f>
        <v>1320</v>
      </c>
      <c r="R514" s="107">
        <f t="shared" si="2"/>
        <v>1624.538182</v>
      </c>
    </row>
    <row r="515" hidden="1">
      <c r="A515" s="443" t="s">
        <v>200</v>
      </c>
      <c r="B515" s="43" t="str">
        <f>IF(A515="", "", IFERROR(VLOOKUP(A515, Clasificaciones!A:B, 2, FALSE), "DATO NO CARGADO"))
</f>
        <v>Equipo</v>
      </c>
      <c r="C515" s="51" t="s">
        <v>161</v>
      </c>
      <c r="D515" s="43">
        <v>2025.0</v>
      </c>
      <c r="E515" s="43" t="s">
        <v>1124</v>
      </c>
      <c r="F515" s="43"/>
      <c r="G515" s="43" t="s">
        <v>1191</v>
      </c>
      <c r="H515" s="43" t="s">
        <v>1133</v>
      </c>
      <c r="I515" s="43" t="s">
        <v>1183</v>
      </c>
      <c r="J515" s="43" t="s">
        <v>211</v>
      </c>
      <c r="K515" s="443">
        <v>20.0</v>
      </c>
      <c r="L515" s="443">
        <v>6.92</v>
      </c>
      <c r="M515" s="443">
        <v>6.92</v>
      </c>
      <c r="N515" s="452">
        <f t="array" ref="N515">IFERROR(
  INDEX(
    'Valor Hora Real y Estimada'!$A$4:$Z$78,
    MATCH(TRIM(CLEAN(A515)), 'Valor Hora Real y Estimada'!$A$4:$A$78, 0),
    MATCH(
      TEXT(C515,"dd mmm")&amp;" "&amp;D515,
      'Valor Hora Real y Estimada'!$A$3:$Z$3,
      0
    ) + 1
  ),
  0
)</f>
        <v>18880</v>
      </c>
      <c r="O515" s="453">
        <f t="shared" si="14"/>
        <v>130649.6</v>
      </c>
      <c r="P515" s="113"/>
      <c r="Q515" s="106">
        <f>IF(ISBLANK(O515), "", VLOOKUP(C515&amp;" "&amp;D515, 'Info Tipo de Cambio y REM'!$A$24:$B$35, 2, FALSE))</f>
        <v>1320</v>
      </c>
      <c r="R515" s="107">
        <f t="shared" si="2"/>
        <v>98.9769697</v>
      </c>
    </row>
    <row r="516" hidden="1">
      <c r="A516" s="443" t="s">
        <v>200</v>
      </c>
      <c r="B516" s="43" t="str">
        <f>IF(A516="", "", IFERROR(VLOOKUP(A516, Clasificaciones!A:B, 2, FALSE), "DATO NO CARGADO"))
</f>
        <v>Equipo</v>
      </c>
      <c r="C516" s="51" t="s">
        <v>161</v>
      </c>
      <c r="D516" s="43">
        <v>2025.0</v>
      </c>
      <c r="E516" s="43" t="s">
        <v>1130</v>
      </c>
      <c r="F516" s="43"/>
      <c r="G516" s="43" t="s">
        <v>1182</v>
      </c>
      <c r="H516" s="43" t="s">
        <v>208</v>
      </c>
      <c r="I516" s="43" t="s">
        <v>1136</v>
      </c>
      <c r="J516" s="43" t="s">
        <v>208</v>
      </c>
      <c r="K516" s="450"/>
      <c r="L516" s="443">
        <f>3.58+1</f>
        <v>4.58</v>
      </c>
      <c r="M516" s="443">
        <f>2.83+1</f>
        <v>3.83</v>
      </c>
      <c r="N516" s="452">
        <f t="array" ref="N516">IFERROR(
  INDEX(
    'Valor Hora Real y Estimada'!$A$4:$Z$78,
    MATCH(TRIM(CLEAN(A516)), 'Valor Hora Real y Estimada'!$A$4:$A$78, 0),
    MATCH(
      TEXT(C516,"dd mmm")&amp;" "&amp;D516,
      'Valor Hora Real y Estimada'!$A$3:$Z$3,
      0
    ) + 1
  ),
  0
)</f>
        <v>18880</v>
      </c>
      <c r="O516" s="453">
        <f t="shared" si="14"/>
        <v>72310.4</v>
      </c>
      <c r="P516" s="113"/>
      <c r="Q516" s="106">
        <f>IF(ISBLANK(O516), "", VLOOKUP(C516&amp;" "&amp;D516, 'Info Tipo de Cambio y REM'!$A$24:$B$35, 2, FALSE))</f>
        <v>1320</v>
      </c>
      <c r="R516" s="107">
        <f t="shared" si="2"/>
        <v>54.78060606</v>
      </c>
    </row>
    <row r="517" hidden="1">
      <c r="A517" s="443" t="s">
        <v>133</v>
      </c>
      <c r="B517" s="43" t="str">
        <f>IF(A517="", "", IFERROR(VLOOKUP(A517, Clasificaciones!A:B, 2, FALSE), "DATO NO CARGADO"))
</f>
        <v>Board</v>
      </c>
      <c r="C517" s="51" t="s">
        <v>161</v>
      </c>
      <c r="D517" s="43">
        <v>2025.0</v>
      </c>
      <c r="E517" s="43" t="s">
        <v>1130</v>
      </c>
      <c r="F517" s="43"/>
      <c r="G517" s="43" t="s">
        <v>1182</v>
      </c>
      <c r="H517" s="43" t="s">
        <v>208</v>
      </c>
      <c r="I517" s="43" t="s">
        <v>1136</v>
      </c>
      <c r="J517" s="43" t="s">
        <v>208</v>
      </c>
      <c r="K517" s="450"/>
      <c r="L517" s="455"/>
      <c r="M517" s="443"/>
      <c r="N517" s="452">
        <f t="array" ref="N517">IFERROR(
  INDEX(
    'Valor Hora Real y Estimada'!$A$4:$Z$78,
    MATCH(TRIM(CLEAN(A517)), 'Valor Hora Real y Estimada'!$A$4:$A$78, 0),
    MATCH(
      TEXT(C517,"dd mmm")&amp;" "&amp;D517,
      'Valor Hora Real y Estimada'!$A$3:$Z$3,
      0
    ) + 1
  ),
  0
)</f>
        <v>30688</v>
      </c>
      <c r="O517" s="468">
        <v>4910000.0</v>
      </c>
      <c r="P517" s="113"/>
      <c r="Q517" s="106">
        <f>IF(ISBLANK(O517), "", VLOOKUP(C517&amp;" "&amp;D517, 'Info Tipo de Cambio y REM'!$A$24:$B$35, 2, FALSE))</f>
        <v>1320</v>
      </c>
      <c r="R517" s="107">
        <f t="shared" si="2"/>
        <v>3719.69697</v>
      </c>
    </row>
    <row r="518" hidden="1">
      <c r="A518" s="443" t="s">
        <v>127</v>
      </c>
      <c r="B518" s="43" t="str">
        <f>IF(A518="", "", IFERROR(VLOOKUP(A518, Clasificaciones!A:B, 2, FALSE), "DATO NO CARGADO"))
</f>
        <v>Board</v>
      </c>
      <c r="C518" s="51" t="s">
        <v>161</v>
      </c>
      <c r="D518" s="43">
        <v>2025.0</v>
      </c>
      <c r="E518" s="43" t="s">
        <v>1130</v>
      </c>
      <c r="F518" s="43"/>
      <c r="G518" s="43" t="s">
        <v>1182</v>
      </c>
      <c r="H518" s="43" t="s">
        <v>208</v>
      </c>
      <c r="I518" s="43" t="s">
        <v>1136</v>
      </c>
      <c r="J518" s="43" t="s">
        <v>208</v>
      </c>
      <c r="K518" s="450"/>
      <c r="L518" s="455"/>
      <c r="M518" s="443"/>
      <c r="N518" s="452">
        <f t="array" ref="N518">IFERROR(
  INDEX(
    'Valor Hora Real y Estimada'!$A$4:$Z$78,
    MATCH(TRIM(CLEAN(A518)), 'Valor Hora Real y Estimada'!$A$4:$A$78, 0),
    MATCH(
      TEXT(C518,"dd mmm")&amp;" "&amp;D518,
      'Valor Hora Real y Estimada'!$A$3:$Z$3,
      0
    ) + 1
  ),
  0
)</f>
        <v>24911</v>
      </c>
      <c r="O518" s="89">
        <v>3931000.0</v>
      </c>
      <c r="P518" s="113"/>
      <c r="Q518" s="106">
        <f>IF(ISBLANK(O518), "", VLOOKUP(C518&amp;" "&amp;D518, 'Info Tipo de Cambio y REM'!$A$24:$B$35, 2, FALSE))</f>
        <v>1320</v>
      </c>
      <c r="R518" s="107">
        <f t="shared" si="2"/>
        <v>2978.030303</v>
      </c>
    </row>
    <row r="519" hidden="1">
      <c r="A519" s="443" t="s">
        <v>120</v>
      </c>
      <c r="B519" s="43" t="s">
        <v>188</v>
      </c>
      <c r="C519" s="51" t="s">
        <v>161</v>
      </c>
      <c r="D519" s="43">
        <v>2025.0</v>
      </c>
      <c r="E519" s="43" t="s">
        <v>1130</v>
      </c>
      <c r="F519" s="43"/>
      <c r="G519" s="43" t="s">
        <v>1196</v>
      </c>
      <c r="H519" s="43" t="s">
        <v>208</v>
      </c>
      <c r="I519" s="43" t="s">
        <v>1197</v>
      </c>
      <c r="J519" s="43" t="s">
        <v>208</v>
      </c>
      <c r="K519" s="450"/>
      <c r="L519" s="455"/>
      <c r="M519" s="450"/>
      <c r="N519" s="452"/>
      <c r="O519" s="453"/>
      <c r="P519" s="106">
        <v>500.0</v>
      </c>
      <c r="Q519" s="106" t="str">
        <f>IF(ISBLANK(O519), "", VLOOKUP(C519&amp;" "&amp;D519, 'Info Tipo de Cambio y REM'!$A$24:$B$35, 2, FALSE))</f>
        <v/>
      </c>
      <c r="R519" s="107">
        <f t="shared" si="2"/>
        <v>500</v>
      </c>
    </row>
    <row r="520" hidden="1">
      <c r="A520" s="443" t="s">
        <v>200</v>
      </c>
      <c r="B520" s="43" t="s">
        <v>188</v>
      </c>
      <c r="C520" s="51" t="s">
        <v>161</v>
      </c>
      <c r="D520" s="43">
        <v>2025.0</v>
      </c>
      <c r="E520" s="43" t="s">
        <v>1130</v>
      </c>
      <c r="F520" s="43"/>
      <c r="G520" s="43" t="s">
        <v>1196</v>
      </c>
      <c r="H520" s="43" t="s">
        <v>208</v>
      </c>
      <c r="I520" s="43" t="s">
        <v>1197</v>
      </c>
      <c r="J520" s="43" t="s">
        <v>208</v>
      </c>
      <c r="K520" s="450"/>
      <c r="L520" s="89"/>
      <c r="M520" s="450"/>
      <c r="N520" s="452"/>
      <c r="O520" s="453"/>
      <c r="P520" s="106">
        <v>340.0</v>
      </c>
      <c r="Q520" s="106" t="str">
        <f>IF(ISBLANK(O520), "", VLOOKUP(C520&amp;" "&amp;D520, 'Info Tipo de Cambio y REM'!$A$24:$B$35, 2, FALSE))</f>
        <v/>
      </c>
      <c r="R520" s="107">
        <f t="shared" si="2"/>
        <v>340</v>
      </c>
    </row>
    <row r="521" hidden="1">
      <c r="A521" s="443" t="s">
        <v>197</v>
      </c>
      <c r="B521" s="43" t="s">
        <v>188</v>
      </c>
      <c r="C521" s="51" t="s">
        <v>161</v>
      </c>
      <c r="D521" s="43">
        <v>2025.0</v>
      </c>
      <c r="E521" s="43" t="s">
        <v>1130</v>
      </c>
      <c r="F521" s="43"/>
      <c r="G521" s="43" t="s">
        <v>1196</v>
      </c>
      <c r="H521" s="43" t="s">
        <v>208</v>
      </c>
      <c r="I521" s="43" t="s">
        <v>1197</v>
      </c>
      <c r="J521" s="43" t="s">
        <v>208</v>
      </c>
      <c r="K521" s="450"/>
      <c r="L521" s="468"/>
      <c r="M521" s="450"/>
      <c r="N521" s="452"/>
      <c r="O521" s="453"/>
      <c r="P521" s="106">
        <v>340.0</v>
      </c>
      <c r="Q521" s="106" t="str">
        <f>IF(ISBLANK(O521), "", VLOOKUP(C521&amp;" "&amp;D521, 'Info Tipo de Cambio y REM'!$A$24:$B$35, 2, FALSE))</f>
        <v/>
      </c>
      <c r="R521" s="107">
        <f t="shared" si="2"/>
        <v>340</v>
      </c>
    </row>
    <row r="522" hidden="1">
      <c r="A522" s="443" t="s">
        <v>221</v>
      </c>
      <c r="B522" s="43" t="s">
        <v>188</v>
      </c>
      <c r="C522" s="51" t="s">
        <v>161</v>
      </c>
      <c r="D522" s="43">
        <v>2025.0</v>
      </c>
      <c r="E522" s="43" t="s">
        <v>1130</v>
      </c>
      <c r="F522" s="43"/>
      <c r="G522" s="43" t="s">
        <v>1196</v>
      </c>
      <c r="H522" s="43" t="s">
        <v>208</v>
      </c>
      <c r="I522" s="43" t="s">
        <v>1197</v>
      </c>
      <c r="J522" s="43" t="s">
        <v>208</v>
      </c>
      <c r="K522" s="450"/>
      <c r="L522" s="455"/>
      <c r="M522" s="450"/>
      <c r="N522" s="452"/>
      <c r="O522" s="453"/>
      <c r="P522" s="106">
        <v>300.0</v>
      </c>
      <c r="Q522" s="106" t="str">
        <f>IF(ISBLANK(O522), "", VLOOKUP(C522&amp;" "&amp;D522, 'Info Tipo de Cambio y REM'!$A$24:$B$35, 2, FALSE))</f>
        <v/>
      </c>
      <c r="R522" s="107">
        <f t="shared" si="2"/>
        <v>300</v>
      </c>
    </row>
    <row r="523" hidden="1">
      <c r="A523" s="443" t="s">
        <v>205</v>
      </c>
      <c r="B523" s="43" t="s">
        <v>188</v>
      </c>
      <c r="C523" s="51" t="s">
        <v>161</v>
      </c>
      <c r="D523" s="43">
        <v>2025.0</v>
      </c>
      <c r="E523" s="43" t="s">
        <v>1130</v>
      </c>
      <c r="F523" s="43"/>
      <c r="G523" s="43" t="s">
        <v>1196</v>
      </c>
      <c r="H523" s="43" t="s">
        <v>208</v>
      </c>
      <c r="I523" s="43" t="s">
        <v>1197</v>
      </c>
      <c r="J523" s="43" t="s">
        <v>208</v>
      </c>
      <c r="K523" s="450"/>
      <c r="L523" s="455"/>
      <c r="M523" s="450"/>
      <c r="N523" s="452"/>
      <c r="O523" s="453"/>
      <c r="P523" s="106">
        <v>200.0</v>
      </c>
      <c r="Q523" s="106" t="str">
        <f>IF(ISBLANK(O523), "", VLOOKUP(C523&amp;" "&amp;D523, 'Info Tipo de Cambio y REM'!$A$24:$B$35, 2, FALSE))</f>
        <v/>
      </c>
      <c r="R523" s="107">
        <f t="shared" si="2"/>
        <v>200</v>
      </c>
    </row>
    <row r="524" hidden="1">
      <c r="A524" s="443" t="s">
        <v>203</v>
      </c>
      <c r="B524" s="43" t="s">
        <v>188</v>
      </c>
      <c r="C524" s="51" t="s">
        <v>161</v>
      </c>
      <c r="D524" s="43">
        <v>2025.0</v>
      </c>
      <c r="E524" s="43" t="s">
        <v>1130</v>
      </c>
      <c r="F524" s="43"/>
      <c r="G524" s="43" t="s">
        <v>1198</v>
      </c>
      <c r="H524" s="43" t="s">
        <v>208</v>
      </c>
      <c r="I524" s="43" t="s">
        <v>1197</v>
      </c>
      <c r="J524" s="43" t="s">
        <v>208</v>
      </c>
      <c r="K524" s="450"/>
      <c r="L524" s="455"/>
      <c r="M524" s="450"/>
      <c r="N524" s="452"/>
      <c r="O524" s="453">
        <f>200*1320</f>
        <v>264000</v>
      </c>
      <c r="P524" s="106"/>
      <c r="Q524" s="106">
        <f>IF(ISBLANK(O524), "", VLOOKUP(C524&amp;" "&amp;D524, 'Info Tipo de Cambio y REM'!$A$24:$B$35, 2, FALSE))</f>
        <v>1320</v>
      </c>
      <c r="R524" s="107">
        <f t="shared" si="2"/>
        <v>200</v>
      </c>
    </row>
    <row r="525" hidden="1">
      <c r="A525" s="443" t="s">
        <v>194</v>
      </c>
      <c r="B525" s="43" t="s">
        <v>188</v>
      </c>
      <c r="C525" s="51" t="s">
        <v>161</v>
      </c>
      <c r="D525" s="43">
        <v>2025.0</v>
      </c>
      <c r="E525" s="43" t="s">
        <v>1130</v>
      </c>
      <c r="F525" s="43"/>
      <c r="G525" s="43" t="s">
        <v>1198</v>
      </c>
      <c r="H525" s="43" t="s">
        <v>208</v>
      </c>
      <c r="I525" s="43" t="s">
        <v>1197</v>
      </c>
      <c r="J525" s="43" t="s">
        <v>208</v>
      </c>
      <c r="K525" s="450"/>
      <c r="L525" s="455"/>
      <c r="M525" s="450"/>
      <c r="N525" s="452"/>
      <c r="O525" s="453">
        <f>330*1320</f>
        <v>435600</v>
      </c>
      <c r="P525" s="106"/>
      <c r="Q525" s="106">
        <f>IF(ISBLANK(O525), "", VLOOKUP(C525&amp;" "&amp;D525, 'Info Tipo de Cambio y REM'!$A$24:$B$35, 2, FALSE))</f>
        <v>1320</v>
      </c>
      <c r="R525" s="107">
        <f t="shared" si="2"/>
        <v>330</v>
      </c>
    </row>
    <row r="526" hidden="1">
      <c r="A526" s="443" t="s">
        <v>228</v>
      </c>
      <c r="B526" s="43" t="s">
        <v>188</v>
      </c>
      <c r="C526" s="51" t="s">
        <v>161</v>
      </c>
      <c r="D526" s="43">
        <v>2025.0</v>
      </c>
      <c r="E526" s="43" t="s">
        <v>1130</v>
      </c>
      <c r="F526" s="43"/>
      <c r="G526" s="43" t="s">
        <v>1196</v>
      </c>
      <c r="H526" s="43" t="s">
        <v>208</v>
      </c>
      <c r="I526" s="43" t="s">
        <v>1197</v>
      </c>
      <c r="J526" s="43" t="s">
        <v>208</v>
      </c>
      <c r="K526" s="450"/>
      <c r="L526" s="455"/>
      <c r="M526" s="450"/>
      <c r="N526" s="452"/>
      <c r="O526" s="453"/>
      <c r="P526" s="106">
        <v>300.0</v>
      </c>
      <c r="Q526" s="106" t="str">
        <f>IF(ISBLANK(O526), "", VLOOKUP(C526&amp;" "&amp;D526, 'Info Tipo de Cambio y REM'!$A$24:$B$35, 2, FALSE))</f>
        <v/>
      </c>
      <c r="R526" s="107">
        <f t="shared" si="2"/>
        <v>300</v>
      </c>
    </row>
    <row r="527" hidden="1">
      <c r="A527" s="443" t="s">
        <v>214</v>
      </c>
      <c r="B527" s="43" t="s">
        <v>188</v>
      </c>
      <c r="C527" s="467" t="s">
        <v>161</v>
      </c>
      <c r="D527" s="43">
        <v>2025.0</v>
      </c>
      <c r="E527" s="43" t="s">
        <v>1130</v>
      </c>
      <c r="F527" s="43"/>
      <c r="G527" s="43" t="s">
        <v>1196</v>
      </c>
      <c r="H527" s="43" t="s">
        <v>208</v>
      </c>
      <c r="I527" s="43" t="s">
        <v>1197</v>
      </c>
      <c r="J527" s="43" t="s">
        <v>208</v>
      </c>
      <c r="K527" s="450"/>
      <c r="L527" s="455"/>
      <c r="M527" s="450"/>
      <c r="N527" s="452"/>
      <c r="O527" s="453"/>
      <c r="P527" s="106">
        <v>180.0</v>
      </c>
      <c r="Q527" s="106" t="str">
        <f>IF(ISBLANK(O527), "", VLOOKUP(C527&amp;" "&amp;D527, 'Info Tipo de Cambio y REM'!$A$24:$B$35, 2, FALSE))</f>
        <v/>
      </c>
      <c r="R527" s="107">
        <f t="shared" si="2"/>
        <v>180</v>
      </c>
    </row>
    <row r="528" hidden="1">
      <c r="A528" s="443" t="s">
        <v>87</v>
      </c>
      <c r="B528" s="43" t="s">
        <v>188</v>
      </c>
      <c r="C528" s="467" t="s">
        <v>161</v>
      </c>
      <c r="D528" s="43">
        <v>2025.0</v>
      </c>
      <c r="E528" s="43" t="s">
        <v>1130</v>
      </c>
      <c r="F528" s="43"/>
      <c r="G528" s="43" t="s">
        <v>1198</v>
      </c>
      <c r="H528" s="43" t="s">
        <v>208</v>
      </c>
      <c r="I528" s="43" t="s">
        <v>1197</v>
      </c>
      <c r="J528" s="43" t="s">
        <v>208</v>
      </c>
      <c r="K528" s="450"/>
      <c r="L528" s="455"/>
      <c r="M528" s="450"/>
      <c r="N528" s="452"/>
      <c r="O528" s="453">
        <f>100*1320</f>
        <v>132000</v>
      </c>
      <c r="P528" s="106"/>
      <c r="Q528" s="106">
        <f>IF(ISBLANK(O528), "", VLOOKUP(C528&amp;" "&amp;D528, 'Info Tipo de Cambio y REM'!$A$24:$B$35, 2, FALSE))</f>
        <v>1320</v>
      </c>
      <c r="R528" s="107">
        <f t="shared" si="2"/>
        <v>100</v>
      </c>
    </row>
    <row r="529" hidden="1">
      <c r="A529" s="443" t="s">
        <v>216</v>
      </c>
      <c r="B529" s="43" t="s">
        <v>188</v>
      </c>
      <c r="C529" s="467" t="s">
        <v>161</v>
      </c>
      <c r="D529" s="43">
        <v>2025.0</v>
      </c>
      <c r="E529" s="43" t="s">
        <v>1130</v>
      </c>
      <c r="F529" s="43"/>
      <c r="G529" s="43" t="s">
        <v>1198</v>
      </c>
      <c r="H529" s="43" t="s">
        <v>208</v>
      </c>
      <c r="I529" s="43" t="s">
        <v>1197</v>
      </c>
      <c r="J529" s="43" t="s">
        <v>208</v>
      </c>
      <c r="K529" s="450"/>
      <c r="L529" s="455"/>
      <c r="M529" s="450"/>
      <c r="N529" s="452"/>
      <c r="O529" s="453">
        <f>120*1320</f>
        <v>158400</v>
      </c>
      <c r="P529" s="106"/>
      <c r="Q529" s="106">
        <f>IF(ISBLANK(O529), "", VLOOKUP(C529&amp;" "&amp;D529, 'Info Tipo de Cambio y REM'!$A$24:$B$35, 2, FALSE))</f>
        <v>1320</v>
      </c>
      <c r="R529" s="107">
        <f t="shared" si="2"/>
        <v>120</v>
      </c>
    </row>
    <row r="530" hidden="1">
      <c r="A530" s="443" t="s">
        <v>217</v>
      </c>
      <c r="B530" s="43" t="s">
        <v>188</v>
      </c>
      <c r="C530" s="467" t="s">
        <v>161</v>
      </c>
      <c r="D530" s="43">
        <v>2025.0</v>
      </c>
      <c r="E530" s="43" t="s">
        <v>1130</v>
      </c>
      <c r="F530" s="43"/>
      <c r="G530" s="43" t="s">
        <v>1196</v>
      </c>
      <c r="H530" s="43" t="s">
        <v>208</v>
      </c>
      <c r="I530" s="43" t="s">
        <v>1197</v>
      </c>
      <c r="J530" s="43" t="s">
        <v>208</v>
      </c>
      <c r="K530" s="450"/>
      <c r="L530" s="455"/>
      <c r="M530" s="450"/>
      <c r="N530" s="452"/>
      <c r="O530" s="453"/>
      <c r="P530" s="106">
        <v>130.0</v>
      </c>
      <c r="Q530" s="106" t="str">
        <f>IF(ISBLANK(O530), "", VLOOKUP(C530&amp;" "&amp;D530, 'Info Tipo de Cambio y REM'!$A$24:$B$35, 2, FALSE))</f>
        <v/>
      </c>
      <c r="R530" s="107">
        <f t="shared" si="2"/>
        <v>130</v>
      </c>
    </row>
    <row r="531" hidden="1">
      <c r="A531" s="443" t="s">
        <v>230</v>
      </c>
      <c r="B531" s="43" t="s">
        <v>188</v>
      </c>
      <c r="C531" s="467" t="s">
        <v>161</v>
      </c>
      <c r="D531" s="43">
        <v>2025.0</v>
      </c>
      <c r="E531" s="43" t="s">
        <v>1130</v>
      </c>
      <c r="F531" s="43"/>
      <c r="G531" s="43" t="s">
        <v>1196</v>
      </c>
      <c r="H531" s="43" t="s">
        <v>208</v>
      </c>
      <c r="I531" s="43" t="s">
        <v>1197</v>
      </c>
      <c r="J531" s="43" t="s">
        <v>208</v>
      </c>
      <c r="K531" s="450"/>
      <c r="L531" s="455"/>
      <c r="M531" s="450"/>
      <c r="N531" s="452"/>
      <c r="O531" s="453"/>
      <c r="P531" s="106">
        <v>150.0</v>
      </c>
      <c r="Q531" s="106" t="str">
        <f>IF(ISBLANK(O531), "", VLOOKUP(C531&amp;" "&amp;D531, 'Info Tipo de Cambio y REM'!$A$24:$B$35, 2, FALSE))</f>
        <v/>
      </c>
      <c r="R531" s="107">
        <f t="shared" si="2"/>
        <v>150</v>
      </c>
    </row>
    <row r="532" hidden="1">
      <c r="A532" s="443" t="s">
        <v>127</v>
      </c>
      <c r="B532" s="43" t="s">
        <v>192</v>
      </c>
      <c r="C532" s="467" t="s">
        <v>161</v>
      </c>
      <c r="D532" s="43">
        <v>2025.0</v>
      </c>
      <c r="E532" s="43" t="s">
        <v>1130</v>
      </c>
      <c r="F532" s="43"/>
      <c r="G532" s="43" t="s">
        <v>1196</v>
      </c>
      <c r="H532" s="43" t="s">
        <v>208</v>
      </c>
      <c r="I532" s="43" t="s">
        <v>1197</v>
      </c>
      <c r="J532" s="43" t="s">
        <v>208</v>
      </c>
      <c r="K532" s="450"/>
      <c r="L532" s="455"/>
      <c r="M532" s="450"/>
      <c r="N532" s="452"/>
      <c r="O532" s="453"/>
      <c r="P532" s="106">
        <v>655.0</v>
      </c>
      <c r="Q532" s="106" t="str">
        <f>IF(ISBLANK(O532), "", VLOOKUP(C532&amp;" "&amp;D532, 'Info Tipo de Cambio y REM'!$A$24:$B$35, 2, FALSE))</f>
        <v/>
      </c>
      <c r="R532" s="107">
        <f t="shared" si="2"/>
        <v>655</v>
      </c>
    </row>
    <row r="533" hidden="1">
      <c r="A533" s="443" t="s">
        <v>133</v>
      </c>
      <c r="B533" s="43" t="s">
        <v>192</v>
      </c>
      <c r="C533" s="467" t="s">
        <v>161</v>
      </c>
      <c r="D533" s="43">
        <v>2025.0</v>
      </c>
      <c r="E533" s="43" t="s">
        <v>1130</v>
      </c>
      <c r="F533" s="43"/>
      <c r="G533" s="43" t="s">
        <v>1196</v>
      </c>
      <c r="H533" s="43" t="s">
        <v>208</v>
      </c>
      <c r="I533" s="43" t="s">
        <v>1197</v>
      </c>
      <c r="J533" s="43" t="s">
        <v>208</v>
      </c>
      <c r="K533" s="450"/>
      <c r="L533" s="455"/>
      <c r="M533" s="450"/>
      <c r="N533" s="452"/>
      <c r="O533" s="453"/>
      <c r="P533" s="106">
        <v>820.0</v>
      </c>
      <c r="Q533" s="106" t="str">
        <f>IF(ISBLANK(O533), "", VLOOKUP(C533&amp;" "&amp;D533, 'Info Tipo de Cambio y REM'!$A$24:$B$35, 2, FALSE))</f>
        <v/>
      </c>
      <c r="R533" s="107">
        <f t="shared" si="2"/>
        <v>820</v>
      </c>
    </row>
    <row r="534" hidden="1">
      <c r="A534" s="443" t="s">
        <v>226</v>
      </c>
      <c r="B534" s="43" t="s">
        <v>198</v>
      </c>
      <c r="C534" s="467" t="s">
        <v>161</v>
      </c>
      <c r="D534" s="43">
        <v>2025.0</v>
      </c>
      <c r="E534" s="43" t="s">
        <v>1130</v>
      </c>
      <c r="H534" s="102"/>
      <c r="J534" s="102"/>
      <c r="K534" s="450"/>
      <c r="L534" s="455"/>
      <c r="M534" s="450"/>
      <c r="N534" s="452"/>
      <c r="O534" s="453">
        <f>100*1320</f>
        <v>132000</v>
      </c>
      <c r="P534" s="106"/>
      <c r="Q534" s="106">
        <f>IF(ISBLANK(O534), "", VLOOKUP(C534&amp;" "&amp;D534, 'Info Tipo de Cambio y REM'!$A$24:$B$35, 2, FALSE))</f>
        <v>1320</v>
      </c>
      <c r="R534" s="107">
        <f t="shared" si="2"/>
        <v>100</v>
      </c>
    </row>
    <row r="535" hidden="1">
      <c r="A535" s="443" t="s">
        <v>201</v>
      </c>
      <c r="B535" s="43" t="str">
        <f>IF(A535="", "", IFERROR(VLOOKUP(A535, Clasificaciones!A:B, 2, FALSE), "DATO NO CARGADO"))
</f>
        <v>Intereses Oxean</v>
      </c>
      <c r="C535" s="467" t="s">
        <v>161</v>
      </c>
      <c r="D535" s="43">
        <v>2025.0</v>
      </c>
      <c r="E535" s="43" t="s">
        <v>1130</v>
      </c>
      <c r="H535" s="102"/>
      <c r="J535" s="102"/>
      <c r="K535" s="450"/>
      <c r="L535" s="455"/>
      <c r="M535" s="450"/>
      <c r="N535" s="452">
        <f t="array" ref="N535">IFERROR(
  INDEX(
    'Valor Hora Real y Estimada'!$A$4:$Z$78,
    MATCH(TRIM(CLEAN(A535)), 'Valor Hora Real y Estimada'!$A$4:$A$78, 0),
    MATCH(
      TEXT(C535,"dd mmm")&amp;" "&amp;D535,
      'Valor Hora Real y Estimada'!$A$3:$Z$3,
      0
    ) + 1
  ),
  0
)</f>
        <v>0</v>
      </c>
      <c r="P535" s="89">
        <v>919.79</v>
      </c>
      <c r="Q535" s="106" t="str">
        <f>IF(ISBLANK(O535), "", VLOOKUP(C535&amp;" "&amp;D535, 'Info Tipo de Cambio y REM'!$A$24:$B$35, 2, FALSE))</f>
        <v/>
      </c>
      <c r="R535" s="107">
        <f t="shared" si="2"/>
        <v>919.79</v>
      </c>
      <c r="W535" s="51"/>
      <c r="AC535" s="104"/>
      <c r="AD535" s="112"/>
      <c r="AE535" s="89"/>
      <c r="AF535" s="112"/>
      <c r="AG535" s="114"/>
    </row>
    <row r="536" hidden="1">
      <c r="A536" s="443" t="s">
        <v>191</v>
      </c>
      <c r="B536" s="43" t="str">
        <f>IF(A536="", "", IFERROR(VLOOKUP(A536, Clasificaciones!A:B, 2, FALSE), "DATO NO CARGADO"))
</f>
        <v>Tarjeta</v>
      </c>
      <c r="C536" s="467" t="s">
        <v>161</v>
      </c>
      <c r="D536" s="43">
        <v>2025.0</v>
      </c>
      <c r="E536" s="43" t="s">
        <v>1130</v>
      </c>
      <c r="F536" s="165" t="s">
        <v>649</v>
      </c>
      <c r="H536" s="102"/>
      <c r="J536" s="102"/>
      <c r="K536" s="450"/>
      <c r="L536" s="455"/>
      <c r="M536" s="450"/>
      <c r="N536" s="452">
        <f t="array" ref="N536">IFERROR(
  INDEX(
    'Valor Hora Real y Estimada'!$A$4:$Z$78,
    MATCH(TRIM(CLEAN(A536)), 'Valor Hora Real y Estimada'!$A$4:$A$78, 0),
    MATCH(
      TEXT(C536,"dd mmm")&amp;" "&amp;D536,
      'Valor Hora Real y Estimada'!$A$3:$Z$3,
      0
    ) + 1
  ),
  0
)</f>
        <v>0</v>
      </c>
      <c r="P536" s="89">
        <v>14.82</v>
      </c>
      <c r="Q536" s="106" t="str">
        <f>IF(ISBLANK(O536), "", VLOOKUP(C536&amp;" "&amp;D536, 'Info Tipo de Cambio y REM'!$A$24:$B$35, 2, FALSE))</f>
        <v/>
      </c>
      <c r="R536" s="107">
        <f t="shared" si="2"/>
        <v>14.82</v>
      </c>
      <c r="W536" s="51"/>
      <c r="Z536" s="104"/>
      <c r="AC536" s="104"/>
      <c r="AE536" s="89"/>
      <c r="AF536" s="106"/>
      <c r="AG536" s="107"/>
    </row>
    <row r="537" hidden="1">
      <c r="A537" s="443" t="s">
        <v>191</v>
      </c>
      <c r="B537" s="43" t="str">
        <f>IF(A537="", "", IFERROR(VLOOKUP(A537, Clasificaciones!A:B, 2, FALSE), "DATO NO CARGADO"))
</f>
        <v>Tarjeta</v>
      </c>
      <c r="C537" s="467" t="s">
        <v>161</v>
      </c>
      <c r="D537" s="43">
        <v>2025.0</v>
      </c>
      <c r="E537" s="43" t="s">
        <v>1130</v>
      </c>
      <c r="F537" s="165" t="s">
        <v>649</v>
      </c>
      <c r="H537" s="102"/>
      <c r="J537" s="102"/>
      <c r="K537" s="450"/>
      <c r="L537" s="455"/>
      <c r="M537" s="450"/>
      <c r="N537" s="452">
        <f t="array" ref="N537">IFERROR(
  INDEX(
    'Valor Hora Real y Estimada'!$A$4:$Z$78,
    MATCH(TRIM(CLEAN(A537)), 'Valor Hora Real y Estimada'!$A$4:$A$78, 0),
    MATCH(
      TEXT(C537,"dd mmm")&amp;" "&amp;D537,
      'Valor Hora Real y Estimada'!$A$3:$Z$3,
      0
    ) + 1
  ),
  0
)</f>
        <v>0</v>
      </c>
      <c r="P537" s="89">
        <v>633.6</v>
      </c>
      <c r="Q537" s="106" t="str">
        <f>IF(ISBLANK(O537), "", VLOOKUP(C537&amp;" "&amp;D537, 'Info Tipo de Cambio y REM'!$A$24:$B$35, 2, FALSE))</f>
        <v/>
      </c>
      <c r="R537" s="107">
        <f t="shared" si="2"/>
        <v>633.6</v>
      </c>
      <c r="W537" s="51"/>
      <c r="Z537" s="104"/>
      <c r="AC537" s="104"/>
      <c r="AE537" s="89"/>
      <c r="AF537" s="106"/>
      <c r="AG537" s="107"/>
    </row>
    <row r="538" hidden="1">
      <c r="A538" s="443" t="s">
        <v>191</v>
      </c>
      <c r="B538" s="43" t="str">
        <f>IF(A538="", "", IFERROR(VLOOKUP(A538, Clasificaciones!A:B, 2, FALSE), "DATO NO CARGADO"))
</f>
        <v>Tarjeta</v>
      </c>
      <c r="C538" s="467" t="s">
        <v>161</v>
      </c>
      <c r="D538" s="43">
        <v>2025.0</v>
      </c>
      <c r="E538" s="43" t="s">
        <v>1130</v>
      </c>
      <c r="F538" s="165" t="s">
        <v>649</v>
      </c>
      <c r="H538" s="102"/>
      <c r="J538" s="102"/>
      <c r="K538" s="450"/>
      <c r="L538" s="455"/>
      <c r="M538" s="450"/>
      <c r="N538" s="452">
        <f t="array" ref="N538">IFERROR(
  INDEX(
    'Valor Hora Real y Estimada'!$A$4:$Z$78,
    MATCH(TRIM(CLEAN(A538)), 'Valor Hora Real y Estimada'!$A$4:$A$78, 0),
    MATCH(
      TEXT(C538,"dd mmm")&amp;" "&amp;D538,
      'Valor Hora Real y Estimada'!$A$3:$Z$3,
      0
    ) + 1
  ),
  0
)</f>
        <v>0</v>
      </c>
      <c r="P538" s="89">
        <v>6.91</v>
      </c>
      <c r="Q538" s="106" t="str">
        <f>IF(ISBLANK(O538), "", VLOOKUP(C538&amp;" "&amp;D538, 'Info Tipo de Cambio y REM'!$A$24:$B$35, 2, FALSE))</f>
        <v/>
      </c>
      <c r="R538" s="107">
        <f t="shared" si="2"/>
        <v>6.91</v>
      </c>
      <c r="W538" s="51"/>
      <c r="Z538" s="104"/>
      <c r="AC538" s="104"/>
      <c r="AE538" s="89"/>
      <c r="AF538" s="106"/>
      <c r="AG538" s="107"/>
    </row>
    <row r="539" hidden="1">
      <c r="A539" s="443" t="s">
        <v>191</v>
      </c>
      <c r="B539" s="43" t="str">
        <f>IF(A539="", "", IFERROR(VLOOKUP(A539, Clasificaciones!A:B, 2, FALSE), "DATO NO CARGADO"))
</f>
        <v>Tarjeta</v>
      </c>
      <c r="C539" s="467" t="s">
        <v>161</v>
      </c>
      <c r="D539" s="43">
        <v>2025.0</v>
      </c>
      <c r="E539" s="43" t="s">
        <v>1130</v>
      </c>
      <c r="F539" s="165" t="s">
        <v>649</v>
      </c>
      <c r="H539" s="102"/>
      <c r="J539" s="102"/>
      <c r="K539" s="450"/>
      <c r="L539" s="455"/>
      <c r="M539" s="450"/>
      <c r="N539" s="452">
        <f t="array" ref="N539">IFERROR(
  INDEX(
    'Valor Hora Real y Estimada'!$A$4:$Z$78,
    MATCH(TRIM(CLEAN(A539)), 'Valor Hora Real y Estimada'!$A$4:$A$78, 0),
    MATCH(
      TEXT(C539,"dd mmm")&amp;" "&amp;D539,
      'Valor Hora Real y Estimada'!$A$3:$Z$3,
      0
    ) + 1
  ),
  0
)</f>
        <v>0</v>
      </c>
      <c r="P539" s="89">
        <v>11.0</v>
      </c>
      <c r="Q539" s="106" t="str">
        <f>IF(ISBLANK(O539), "", VLOOKUP(C539&amp;" "&amp;D539, 'Info Tipo de Cambio y REM'!$A$24:$B$35, 2, FALSE))</f>
        <v/>
      </c>
      <c r="R539" s="107">
        <f t="shared" si="2"/>
        <v>11</v>
      </c>
      <c r="W539" s="51"/>
      <c r="Z539" s="104"/>
      <c r="AC539" s="104"/>
      <c r="AE539" s="89"/>
      <c r="AF539" s="106"/>
      <c r="AG539" s="107"/>
    </row>
    <row r="540" hidden="1">
      <c r="A540" s="443" t="s">
        <v>191</v>
      </c>
      <c r="B540" s="43" t="str">
        <f>IF(A540="", "", IFERROR(VLOOKUP(A540, Clasificaciones!A:B, 2, FALSE), "DATO NO CARGADO"))
</f>
        <v>Tarjeta</v>
      </c>
      <c r="C540" s="467" t="s">
        <v>161</v>
      </c>
      <c r="D540" s="43">
        <v>2025.0</v>
      </c>
      <c r="E540" s="43" t="s">
        <v>1130</v>
      </c>
      <c r="F540" s="165" t="s">
        <v>649</v>
      </c>
      <c r="H540" s="102"/>
      <c r="J540" s="102"/>
      <c r="K540" s="450"/>
      <c r="L540" s="455"/>
      <c r="M540" s="450"/>
      <c r="N540" s="452">
        <f t="array" ref="N540">IFERROR(
  INDEX(
    'Valor Hora Real y Estimada'!$A$4:$Z$78,
    MATCH(TRIM(CLEAN(A540)), 'Valor Hora Real y Estimada'!$A$4:$A$78, 0),
    MATCH(
      TEXT(C540,"dd mmm")&amp;" "&amp;D540,
      'Valor Hora Real y Estimada'!$A$3:$Z$3,
      0
    ) + 1
  ),
  0
)</f>
        <v>0</v>
      </c>
      <c r="P540" s="89">
        <v>14.19</v>
      </c>
      <c r="Q540" s="106" t="str">
        <f>IF(ISBLANK(O540), "", VLOOKUP(C540&amp;" "&amp;D540, 'Info Tipo de Cambio y REM'!$A$24:$B$35, 2, FALSE))</f>
        <v/>
      </c>
      <c r="R540" s="107">
        <f t="shared" si="2"/>
        <v>14.19</v>
      </c>
      <c r="U540" s="475"/>
      <c r="W540" s="51"/>
      <c r="Z540" s="104"/>
      <c r="AC540" s="104"/>
      <c r="AE540" s="89"/>
      <c r="AF540" s="106"/>
      <c r="AG540" s="107"/>
    </row>
    <row r="541" hidden="1">
      <c r="A541" s="443" t="s">
        <v>191</v>
      </c>
      <c r="B541" s="43" t="str">
        <f>IF(A541="", "", IFERROR(VLOOKUP(A541, Clasificaciones!A:B, 2, FALSE), "DATO NO CARGADO"))
</f>
        <v>Tarjeta</v>
      </c>
      <c r="C541" s="467" t="s">
        <v>161</v>
      </c>
      <c r="D541" s="43">
        <v>2025.0</v>
      </c>
      <c r="E541" s="43" t="s">
        <v>1130</v>
      </c>
      <c r="F541" s="165" t="s">
        <v>649</v>
      </c>
      <c r="H541" s="102"/>
      <c r="J541" s="102"/>
      <c r="K541" s="450"/>
      <c r="L541" s="455"/>
      <c r="M541" s="450"/>
      <c r="N541" s="452">
        <f t="array" ref="N541">IFERROR(
  INDEX(
    'Valor Hora Real y Estimada'!$A$4:$Z$78,
    MATCH(TRIM(CLEAN(A541)), 'Valor Hora Real y Estimada'!$A$4:$A$78, 0),
    MATCH(
      TEXT(C541,"dd mmm")&amp;" "&amp;D541,
      'Valor Hora Real y Estimada'!$A$3:$Z$3,
      0
    ) + 1
  ),
  0
)</f>
        <v>0</v>
      </c>
      <c r="P541" s="89">
        <v>507.4</v>
      </c>
      <c r="Q541" s="106" t="str">
        <f>IF(ISBLANK(O541), "", VLOOKUP(C541&amp;" "&amp;D541, 'Info Tipo de Cambio y REM'!$A$24:$B$35, 2, FALSE))</f>
        <v/>
      </c>
      <c r="R541" s="107">
        <f t="shared" si="2"/>
        <v>507.4</v>
      </c>
      <c r="W541" s="51"/>
      <c r="Z541" s="104"/>
      <c r="AC541" s="104"/>
      <c r="AE541" s="89"/>
      <c r="AF541" s="106"/>
      <c r="AG541" s="107"/>
    </row>
    <row r="542" hidden="1">
      <c r="A542" s="443" t="s">
        <v>191</v>
      </c>
      <c r="B542" s="43" t="str">
        <f>IF(A542="", "", IFERROR(VLOOKUP(A542, Clasificaciones!A:B, 2, FALSE), "DATO NO CARGADO"))
</f>
        <v>Tarjeta</v>
      </c>
      <c r="C542" s="467" t="s">
        <v>161</v>
      </c>
      <c r="D542" s="43">
        <v>2025.0</v>
      </c>
      <c r="E542" s="43" t="s">
        <v>1130</v>
      </c>
      <c r="F542" s="165" t="s">
        <v>649</v>
      </c>
      <c r="H542" s="102"/>
      <c r="J542" s="102"/>
      <c r="K542" s="450"/>
      <c r="L542" s="455"/>
      <c r="M542" s="450"/>
      <c r="N542" s="452">
        <f t="array" ref="N542">IFERROR(
  INDEX(
    'Valor Hora Real y Estimada'!$A$4:$Z$78,
    MATCH(TRIM(CLEAN(A542)), 'Valor Hora Real y Estimada'!$A$4:$A$78, 0),
    MATCH(
      TEXT(C542,"dd mmm")&amp;" "&amp;D542,
      'Valor Hora Real y Estimada'!$A$3:$Z$3,
      0
    ) + 1
  ),
  0
)</f>
        <v>0</v>
      </c>
      <c r="P542" s="214">
        <v>22.99</v>
      </c>
      <c r="Q542" s="106" t="str">
        <f>IF(ISBLANK(O542), "", VLOOKUP(C542&amp;" "&amp;D542, 'Info Tipo de Cambio y REM'!$A$24:$B$35, 2, FALSE))</f>
        <v/>
      </c>
      <c r="R542" s="107">
        <f t="shared" si="2"/>
        <v>22.99</v>
      </c>
      <c r="W542" s="51"/>
      <c r="Z542" s="104"/>
      <c r="AC542" s="104"/>
      <c r="AE542" s="89"/>
      <c r="AF542" s="106"/>
      <c r="AG542" s="107"/>
    </row>
    <row r="543" hidden="1">
      <c r="A543" s="443" t="s">
        <v>191</v>
      </c>
      <c r="B543" s="43" t="str">
        <f>IF(A543="", "", IFERROR(VLOOKUP(A543, Clasificaciones!A:B, 2, FALSE), "DATO NO CARGADO"))
</f>
        <v>Tarjeta</v>
      </c>
      <c r="C543" s="467" t="s">
        <v>161</v>
      </c>
      <c r="D543" s="43">
        <v>2025.0</v>
      </c>
      <c r="E543" s="43" t="s">
        <v>1130</v>
      </c>
      <c r="F543" s="165" t="s">
        <v>649</v>
      </c>
      <c r="H543" s="102"/>
      <c r="J543" s="102"/>
      <c r="K543" s="450"/>
      <c r="L543" s="455"/>
      <c r="M543" s="450"/>
      <c r="N543" s="452">
        <f t="array" ref="N543">IFERROR(
  INDEX(
    'Valor Hora Real y Estimada'!$A$4:$Z$78,
    MATCH(TRIM(CLEAN(A543)), 'Valor Hora Real y Estimada'!$A$4:$A$78, 0),
    MATCH(
      TEXT(C543,"dd mmm")&amp;" "&amp;D543,
      'Valor Hora Real y Estimada'!$A$3:$Z$3,
      0
    ) + 1
  ),
  0
)</f>
        <v>0</v>
      </c>
      <c r="P543" s="214">
        <v>20.0</v>
      </c>
      <c r="Q543" s="106" t="str">
        <f>IF(ISBLANK(O543), "", VLOOKUP(C543&amp;" "&amp;D543, 'Info Tipo de Cambio y REM'!$A$24:$B$35, 2, FALSE))</f>
        <v/>
      </c>
      <c r="R543" s="107">
        <f t="shared" si="2"/>
        <v>20</v>
      </c>
      <c r="W543" s="51"/>
      <c r="Z543" s="104"/>
      <c r="AC543" s="104"/>
      <c r="AE543" s="106"/>
      <c r="AF543" s="106"/>
      <c r="AG543" s="107"/>
    </row>
    <row r="544" hidden="1">
      <c r="A544" s="443" t="s">
        <v>191</v>
      </c>
      <c r="B544" s="43" t="str">
        <f>IF(A544="", "", IFERROR(VLOOKUP(A544, Clasificaciones!A:B, 2, FALSE), "DATO NO CARGADO"))
</f>
        <v>Tarjeta</v>
      </c>
      <c r="C544" s="467" t="s">
        <v>161</v>
      </c>
      <c r="D544" s="43">
        <v>2025.0</v>
      </c>
      <c r="E544" s="43" t="s">
        <v>1130</v>
      </c>
      <c r="F544" s="165" t="s">
        <v>649</v>
      </c>
      <c r="H544" s="102"/>
      <c r="J544" s="102"/>
      <c r="K544" s="450"/>
      <c r="L544" s="455"/>
      <c r="M544" s="450"/>
      <c r="N544" s="452">
        <f t="array" ref="N544">IFERROR(
  INDEX(
    'Valor Hora Real y Estimada'!$A$4:$Z$78,
    MATCH(TRIM(CLEAN(A544)), 'Valor Hora Real y Estimada'!$A$4:$A$78, 0),
    MATCH(
      TEXT(C544,"dd mmm")&amp;" "&amp;D544,
      'Valor Hora Real y Estimada'!$A$3:$Z$3,
      0
    ) + 1
  ),
  0
)</f>
        <v>0</v>
      </c>
      <c r="P544" s="214">
        <v>6.49</v>
      </c>
      <c r="Q544" s="106" t="str">
        <f>IF(ISBLANK(O544), "", VLOOKUP(C544&amp;" "&amp;D544, 'Info Tipo de Cambio y REM'!$A$24:$B$35, 2, FALSE))</f>
        <v/>
      </c>
      <c r="R544" s="107">
        <f t="shared" si="2"/>
        <v>6.49</v>
      </c>
      <c r="W544" s="51"/>
      <c r="Z544" s="104"/>
      <c r="AC544" s="104"/>
      <c r="AE544" s="106"/>
      <c r="AF544" s="106"/>
      <c r="AG544" s="107"/>
    </row>
    <row r="545" hidden="1">
      <c r="A545" s="443" t="s">
        <v>191</v>
      </c>
      <c r="B545" s="43" t="str">
        <f>IF(A545="", "", IFERROR(VLOOKUP(A545, Clasificaciones!A:B, 2, FALSE), "DATO NO CARGADO"))
</f>
        <v>Tarjeta</v>
      </c>
      <c r="C545" s="467" t="s">
        <v>161</v>
      </c>
      <c r="D545" s="43">
        <v>2025.0</v>
      </c>
      <c r="E545" s="43" t="s">
        <v>1130</v>
      </c>
      <c r="F545" s="165" t="s">
        <v>649</v>
      </c>
      <c r="H545" s="102"/>
      <c r="J545" s="102"/>
      <c r="K545" s="450"/>
      <c r="L545" s="455"/>
      <c r="M545" s="450"/>
      <c r="N545" s="452">
        <f t="array" ref="N545">IFERROR(
  INDEX(
    'Valor Hora Real y Estimada'!$A$4:$Z$78,
    MATCH(TRIM(CLEAN(A545)), 'Valor Hora Real y Estimada'!$A$4:$A$78, 0),
    MATCH(
      TEXT(C545,"dd mmm")&amp;" "&amp;D545,
      'Valor Hora Real y Estimada'!$A$3:$Z$3,
      0
    ) + 1
  ),
  0
)</f>
        <v>0</v>
      </c>
      <c r="P545" s="214">
        <v>29.0</v>
      </c>
      <c r="Q545" s="106" t="str">
        <f>IF(ISBLANK(O545), "", VLOOKUP(C545&amp;" "&amp;D545, 'Info Tipo de Cambio y REM'!$A$24:$B$35, 2, FALSE))</f>
        <v/>
      </c>
      <c r="R545" s="107">
        <f t="shared" si="2"/>
        <v>29</v>
      </c>
      <c r="W545" s="51"/>
      <c r="Z545" s="104"/>
      <c r="AC545" s="104"/>
      <c r="AE545" s="106"/>
      <c r="AF545" s="106"/>
      <c r="AG545" s="107"/>
    </row>
    <row r="546" hidden="1">
      <c r="A546" s="443" t="s">
        <v>191</v>
      </c>
      <c r="B546" s="43" t="str">
        <f>IF(A546="", "", IFERROR(VLOOKUP(A546, Clasificaciones!A:B, 2, FALSE), "DATO NO CARGADO"))
</f>
        <v>Tarjeta</v>
      </c>
      <c r="C546" s="467" t="s">
        <v>161</v>
      </c>
      <c r="D546" s="43">
        <v>2025.0</v>
      </c>
      <c r="E546" s="43" t="s">
        <v>1130</v>
      </c>
      <c r="F546" s="165" t="s">
        <v>649</v>
      </c>
      <c r="H546" s="102"/>
      <c r="J546" s="102"/>
      <c r="K546" s="450"/>
      <c r="L546" s="455"/>
      <c r="M546" s="450"/>
      <c r="N546" s="452">
        <f t="array" ref="N546">IFERROR(
  INDEX(
    'Valor Hora Real y Estimada'!$A$4:$Z$78,
    MATCH(TRIM(CLEAN(A546)), 'Valor Hora Real y Estimada'!$A$4:$A$78, 0),
    MATCH(
      TEXT(C546,"dd mmm")&amp;" "&amp;D546,
      'Valor Hora Real y Estimada'!$A$3:$Z$3,
      0
    ) + 1
  ),
  0
)</f>
        <v>0</v>
      </c>
      <c r="P546" s="214">
        <v>132.72</v>
      </c>
      <c r="Q546" s="106" t="str">
        <f>IF(ISBLANK(O546), "", VLOOKUP(C546&amp;" "&amp;D546, 'Info Tipo de Cambio y REM'!$A$24:$B$35, 2, FALSE))</f>
        <v/>
      </c>
      <c r="R546" s="107">
        <f t="shared" si="2"/>
        <v>132.72</v>
      </c>
      <c r="W546" s="51"/>
      <c r="Z546" s="104"/>
      <c r="AC546" s="104"/>
      <c r="AE546" s="106"/>
      <c r="AF546" s="106"/>
      <c r="AG546" s="107"/>
    </row>
    <row r="547" hidden="1">
      <c r="A547" s="443" t="s">
        <v>223</v>
      </c>
      <c r="B547" s="43" t="str">
        <f>IF(A547="", "", IFERROR(VLOOKUP(A547, Clasificaciones!A:B, 2, FALSE), "DATO NO CARGADO"))
</f>
        <v>Otros Proveedores</v>
      </c>
      <c r="C547" s="467" t="s">
        <v>161</v>
      </c>
      <c r="D547" s="43">
        <v>2025.0</v>
      </c>
      <c r="E547" s="43" t="s">
        <v>1130</v>
      </c>
      <c r="F547" s="215" t="s">
        <v>661</v>
      </c>
      <c r="H547" s="102"/>
      <c r="J547" s="102"/>
      <c r="K547" s="450"/>
      <c r="L547" s="455"/>
      <c r="M547" s="450"/>
      <c r="N547" s="452">
        <f t="array" ref="N547">IFERROR(
  INDEX(
    'Valor Hora Real y Estimada'!$A$4:$Z$78,
    MATCH(TRIM(CLEAN(A547)), 'Valor Hora Real y Estimada'!$A$4:$A$78, 0),
    MATCH(
      TEXT(C547,"dd mmm")&amp;" "&amp;D547,
      'Valor Hora Real y Estimada'!$A$3:$Z$3,
      0
    ) + 1
  ),
  0
)</f>
        <v>0</v>
      </c>
      <c r="O547" s="215">
        <f>143990/1.21</f>
        <v>119000</v>
      </c>
      <c r="P547" s="71"/>
      <c r="Q547" s="106">
        <f>IF(ISBLANK(O547), "", VLOOKUP(C547&amp;" "&amp;D547, 'Info Tipo de Cambio y REM'!$A$24:$B$35, 2, FALSE))</f>
        <v>1320</v>
      </c>
      <c r="R547" s="107">
        <f t="shared" si="2"/>
        <v>90.15151515</v>
      </c>
      <c r="W547" s="51"/>
      <c r="Z547" s="104"/>
      <c r="AC547" s="104"/>
      <c r="AE547" s="106"/>
      <c r="AF547" s="106"/>
      <c r="AG547" s="107"/>
    </row>
    <row r="548" hidden="1">
      <c r="A548" s="443" t="s">
        <v>191</v>
      </c>
      <c r="B548" s="43" t="str">
        <f>IF(A548="", "", IFERROR(VLOOKUP(A548, Clasificaciones!A:B, 2, FALSE), "DATO NO CARGADO"))
</f>
        <v>Tarjeta</v>
      </c>
      <c r="C548" s="467" t="s">
        <v>161</v>
      </c>
      <c r="D548" s="43">
        <v>2025.0</v>
      </c>
      <c r="E548" s="43" t="s">
        <v>1130</v>
      </c>
      <c r="F548" s="83" t="s">
        <v>665</v>
      </c>
      <c r="H548" s="102"/>
      <c r="J548" s="102"/>
      <c r="K548" s="450"/>
      <c r="L548" s="455"/>
      <c r="M548" s="450"/>
      <c r="N548" s="452">
        <f t="array" ref="N548">IFERROR(
  INDEX(
    'Valor Hora Real y Estimada'!$A$4:$Z$78,
    MATCH(TRIM(CLEAN(A548)), 'Valor Hora Real y Estimada'!$A$4:$A$78, 0),
    MATCH(
      TEXT(C548,"dd mmm")&amp;" "&amp;D548,
      'Valor Hora Real y Estimada'!$A$3:$Z$3,
      0
    ) + 1
  ),
  0
)</f>
        <v>0</v>
      </c>
      <c r="P548" s="123">
        <v>20.0</v>
      </c>
      <c r="Q548" s="106" t="str">
        <f>IF(ISBLANK(O548), "", VLOOKUP(C548&amp;" "&amp;D548, 'Info Tipo de Cambio y REM'!$A$24:$B$35, 2, FALSE))</f>
        <v/>
      </c>
      <c r="R548" s="107">
        <f t="shared" si="2"/>
        <v>20</v>
      </c>
      <c r="W548" s="51"/>
      <c r="Z548" s="104"/>
      <c r="AA548" s="106"/>
      <c r="AC548" s="104"/>
      <c r="AD548" s="106"/>
      <c r="AE548" s="71"/>
      <c r="AF548" s="106"/>
      <c r="AG548" s="107"/>
    </row>
    <row r="549" hidden="1">
      <c r="A549" s="443" t="s">
        <v>191</v>
      </c>
      <c r="B549" s="43" t="str">
        <f>IF(A549="", "", IFERROR(VLOOKUP(A549, Clasificaciones!A:B, 2, FALSE), "DATO NO CARGADO"))
</f>
        <v>Tarjeta</v>
      </c>
      <c r="C549" s="467" t="s">
        <v>161</v>
      </c>
      <c r="D549" s="43">
        <v>2025.0</v>
      </c>
      <c r="E549" s="43" t="s">
        <v>1130</v>
      </c>
      <c r="F549" s="83" t="s">
        <v>666</v>
      </c>
      <c r="H549" s="102"/>
      <c r="J549" s="102"/>
      <c r="K549" s="450"/>
      <c r="L549" s="455"/>
      <c r="M549" s="450"/>
      <c r="N549" s="452">
        <f t="array" ref="N549">IFERROR(
  INDEX(
    'Valor Hora Real y Estimada'!$A$4:$Z$78,
    MATCH(TRIM(CLEAN(A549)), 'Valor Hora Real y Estimada'!$A$4:$A$78, 0),
    MATCH(
      TEXT(C549,"dd mmm")&amp;" "&amp;D549,
      'Valor Hora Real y Estimada'!$A$3:$Z$3,
      0
    ) + 1
  ),
  0
)</f>
        <v>0</v>
      </c>
      <c r="P549" s="123">
        <v>5.0</v>
      </c>
      <c r="Q549" s="106" t="str">
        <f>IF(ISBLANK(O549), "", VLOOKUP(C549&amp;" "&amp;D549, 'Info Tipo de Cambio y REM'!$A$24:$B$35, 2, FALSE))</f>
        <v/>
      </c>
      <c r="R549" s="107">
        <f t="shared" si="2"/>
        <v>5</v>
      </c>
      <c r="W549" s="51"/>
      <c r="Z549" s="104"/>
      <c r="AC549" s="104"/>
      <c r="AE549" s="89"/>
      <c r="AF549" s="106"/>
      <c r="AG549" s="107"/>
    </row>
    <row r="550" hidden="1">
      <c r="A550" s="443" t="s">
        <v>191</v>
      </c>
      <c r="B550" s="43" t="str">
        <f>IF(A550="", "", IFERROR(VLOOKUP(A550, Clasificaciones!A:B, 2, FALSE), "DATO NO CARGADO"))
</f>
        <v>Tarjeta</v>
      </c>
      <c r="C550" s="467" t="s">
        <v>161</v>
      </c>
      <c r="D550" s="43">
        <v>2025.0</v>
      </c>
      <c r="E550" s="43" t="s">
        <v>1130</v>
      </c>
      <c r="F550" s="83" t="s">
        <v>667</v>
      </c>
      <c r="H550" s="102"/>
      <c r="J550" s="102"/>
      <c r="K550" s="450"/>
      <c r="L550" s="455"/>
      <c r="M550" s="450"/>
      <c r="N550" s="452">
        <f t="array" ref="N550">IFERROR(
  INDEX(
    'Valor Hora Real y Estimada'!$A$4:$Z$78,
    MATCH(TRIM(CLEAN(A550)), 'Valor Hora Real y Estimada'!$A$4:$A$78, 0),
    MATCH(
      TEXT(C550,"dd mmm")&amp;" "&amp;D550,
      'Valor Hora Real y Estimada'!$A$3:$Z$3,
      0
    ) + 1
  ),
  0
)</f>
        <v>0</v>
      </c>
      <c r="P550" s="123">
        <v>22.52</v>
      </c>
      <c r="Q550" s="106" t="str">
        <f>IF(ISBLANK(O550), "", VLOOKUP(C550&amp;" "&amp;D550, 'Info Tipo de Cambio y REM'!$A$24:$B$35, 2, FALSE))</f>
        <v/>
      </c>
      <c r="R550" s="107">
        <f t="shared" si="2"/>
        <v>22.52</v>
      </c>
      <c r="W550" s="51"/>
      <c r="Z550" s="110"/>
      <c r="AC550" s="110"/>
      <c r="AE550" s="89"/>
      <c r="AF550" s="106"/>
      <c r="AG550" s="107"/>
    </row>
    <row r="551" hidden="1">
      <c r="A551" s="443" t="s">
        <v>191</v>
      </c>
      <c r="B551" s="43" t="str">
        <f>IF(A551="", "", IFERROR(VLOOKUP(A551, Clasificaciones!A:B, 2, FALSE), "DATO NO CARGADO"))
</f>
        <v>Tarjeta</v>
      </c>
      <c r="C551" s="467" t="s">
        <v>161</v>
      </c>
      <c r="D551" s="43">
        <v>2025.0</v>
      </c>
      <c r="E551" s="43" t="s">
        <v>1130</v>
      </c>
      <c r="F551" s="83" t="s">
        <v>668</v>
      </c>
      <c r="H551" s="102"/>
      <c r="J551" s="102"/>
      <c r="K551" s="450"/>
      <c r="L551" s="455"/>
      <c r="M551" s="450"/>
      <c r="N551" s="452">
        <f t="array" ref="N551">IFERROR(
  INDEX(
    'Valor Hora Real y Estimada'!$A$4:$Z$78,
    MATCH(TRIM(CLEAN(A551)), 'Valor Hora Real y Estimada'!$A$4:$A$78, 0),
    MATCH(
      TEXT(C551,"dd mmm")&amp;" "&amp;D551,
      'Valor Hora Real y Estimada'!$A$3:$Z$3,
      0
    ) + 1
  ),
  0
)</f>
        <v>0</v>
      </c>
      <c r="P551" s="123">
        <v>45.0</v>
      </c>
      <c r="Q551" s="106" t="str">
        <f>IF(ISBLANK(O551), "", VLOOKUP(C551&amp;" "&amp;D551, 'Info Tipo de Cambio y REM'!$A$24:$B$35, 2, FALSE))</f>
        <v/>
      </c>
      <c r="R551" s="107">
        <f t="shared" si="2"/>
        <v>45</v>
      </c>
      <c r="W551" s="51"/>
      <c r="Z551" s="110"/>
      <c r="AC551" s="110"/>
      <c r="AE551" s="89"/>
      <c r="AF551" s="106"/>
      <c r="AG551" s="107"/>
    </row>
    <row r="552" hidden="1">
      <c r="A552" s="443" t="s">
        <v>191</v>
      </c>
      <c r="B552" s="43" t="str">
        <f>IF(A552="", "", IFERROR(VLOOKUP(A552, Clasificaciones!A:B, 2, FALSE), "DATO NO CARGADO"))
</f>
        <v>Tarjeta</v>
      </c>
      <c r="C552" s="467" t="s">
        <v>161</v>
      </c>
      <c r="D552" s="43">
        <v>2025.0</v>
      </c>
      <c r="E552" s="43" t="s">
        <v>1130</v>
      </c>
      <c r="F552" s="83" t="s">
        <v>669</v>
      </c>
      <c r="H552" s="102"/>
      <c r="J552" s="102"/>
      <c r="K552" s="450"/>
      <c r="L552" s="455"/>
      <c r="M552" s="450"/>
      <c r="N552" s="452">
        <f t="array" ref="N552">IFERROR(
  INDEX(
    'Valor Hora Real y Estimada'!$A$4:$Z$78,
    MATCH(TRIM(CLEAN(A552)), 'Valor Hora Real y Estimada'!$A$4:$A$78, 0),
    MATCH(
      TEXT(C552,"dd mmm")&amp;" "&amp;D552,
      'Valor Hora Real y Estimada'!$A$3:$Z$3,
      0
    ) + 1
  ),
  0
)</f>
        <v>0</v>
      </c>
      <c r="P552" s="123">
        <v>29.99</v>
      </c>
      <c r="Q552" s="106" t="str">
        <f>IF(ISBLANK(O552), "", VLOOKUP(C552&amp;" "&amp;D552, 'Info Tipo de Cambio y REM'!$A$24:$B$35, 2, FALSE))</f>
        <v/>
      </c>
      <c r="R552" s="107">
        <f t="shared" si="2"/>
        <v>29.99</v>
      </c>
      <c r="W552" s="51"/>
      <c r="Z552" s="110"/>
      <c r="AC552" s="110"/>
      <c r="AE552" s="89"/>
      <c r="AF552" s="106"/>
      <c r="AG552" s="107"/>
    </row>
    <row r="553" hidden="1">
      <c r="A553" s="443" t="s">
        <v>191</v>
      </c>
      <c r="B553" s="43" t="str">
        <f>IF(A553="", "", IFERROR(VLOOKUP(A553, Clasificaciones!A:B, 2, FALSE), "DATO NO CARGADO"))
</f>
        <v>Tarjeta</v>
      </c>
      <c r="C553" s="467" t="s">
        <v>161</v>
      </c>
      <c r="D553" s="43">
        <v>2025.0</v>
      </c>
      <c r="E553" s="43" t="s">
        <v>1130</v>
      </c>
      <c r="F553" s="83" t="s">
        <v>670</v>
      </c>
      <c r="H553" s="102"/>
      <c r="J553" s="102"/>
      <c r="K553" s="450"/>
      <c r="L553" s="455"/>
      <c r="M553" s="450"/>
      <c r="N553" s="452">
        <f t="array" ref="N553">IFERROR(
  INDEX(
    'Valor Hora Real y Estimada'!$A$4:$Z$78,
    MATCH(TRIM(CLEAN(A553)), 'Valor Hora Real y Estimada'!$A$4:$A$78, 0),
    MATCH(
      TEXT(C553,"dd mmm")&amp;" "&amp;D553,
      'Valor Hora Real y Estimada'!$A$3:$Z$3,
      0
    ) + 1
  ),
  0
)</f>
        <v>0</v>
      </c>
      <c r="P553" s="123">
        <v>502.07</v>
      </c>
      <c r="Q553" s="106" t="str">
        <f>IF(ISBLANK(O553), "", VLOOKUP(C553&amp;" "&amp;D553, 'Info Tipo de Cambio y REM'!$A$24:$B$35, 2, FALSE))</f>
        <v/>
      </c>
      <c r="R553" s="107">
        <f t="shared" si="2"/>
        <v>502.07</v>
      </c>
      <c r="W553" s="51"/>
      <c r="Z553" s="104"/>
      <c r="AC553" s="104"/>
      <c r="AE553" s="89"/>
      <c r="AF553" s="106"/>
      <c r="AG553" s="107"/>
    </row>
    <row r="554" hidden="1">
      <c r="A554" s="443" t="s">
        <v>194</v>
      </c>
      <c r="B554" s="43" t="s">
        <v>195</v>
      </c>
      <c r="C554" s="467" t="s">
        <v>161</v>
      </c>
      <c r="D554" s="43">
        <v>2025.0</v>
      </c>
      <c r="E554" s="43" t="s">
        <v>1130</v>
      </c>
      <c r="F554" s="165" t="s">
        <v>671</v>
      </c>
      <c r="H554" s="102"/>
      <c r="J554" s="102"/>
      <c r="K554" s="450"/>
      <c r="L554" s="455"/>
      <c r="M554" s="450"/>
      <c r="N554" s="452">
        <f t="array" ref="N554">IFERROR(
  INDEX(
    'Valor Hora Real y Estimada'!$A$4:$Z$78,
    MATCH(TRIM(CLEAN(A554)), 'Valor Hora Real y Estimada'!$A$4:$A$78, 0),
    MATCH(
      TEXT(C554,"dd mmm")&amp;" "&amp;D554,
      'Valor Hora Real y Estimada'!$A$3:$Z$3,
      0
    ) + 1
  ),
  0
)</f>
        <v>12088</v>
      </c>
      <c r="O554" s="89">
        <v>142317.48</v>
      </c>
      <c r="P554" s="71"/>
      <c r="Q554" s="106">
        <f>IF(ISBLANK(O554), "", VLOOKUP(C554&amp;" "&amp;D554, 'Info Tipo de Cambio y REM'!$A$24:$B$35, 2, FALSE))</f>
        <v>1320</v>
      </c>
      <c r="R554" s="107">
        <f t="shared" si="2"/>
        <v>107.8162727</v>
      </c>
      <c r="W554" s="51"/>
      <c r="Z554" s="104"/>
      <c r="AC554" s="104"/>
      <c r="AE554" s="89"/>
      <c r="AF554" s="106"/>
      <c r="AG554" s="107"/>
    </row>
    <row r="555" hidden="1">
      <c r="A555" s="443" t="s">
        <v>133</v>
      </c>
      <c r="B555" s="43" t="s">
        <v>195</v>
      </c>
      <c r="C555" s="467" t="s">
        <v>161</v>
      </c>
      <c r="D555" s="43">
        <v>2025.0</v>
      </c>
      <c r="E555" s="43" t="s">
        <v>1130</v>
      </c>
      <c r="F555" s="165" t="s">
        <v>672</v>
      </c>
      <c r="H555" s="102"/>
      <c r="J555" s="102"/>
      <c r="K555" s="450"/>
      <c r="L555" s="455"/>
      <c r="M555" s="450"/>
      <c r="N555" s="452">
        <f t="array" ref="N555">IFERROR(
  INDEX(
    'Valor Hora Real y Estimada'!$A$4:$Z$78,
    MATCH(TRIM(CLEAN(A555)), 'Valor Hora Real y Estimada'!$A$4:$A$78, 0),
    MATCH(
      TEXT(C555,"dd mmm")&amp;" "&amp;D555,
      'Valor Hora Real y Estimada'!$A$3:$Z$3,
      0
    ) + 1
  ),
  0
)</f>
        <v>30688</v>
      </c>
      <c r="O555" s="89">
        <v>221400.0</v>
      </c>
      <c r="P555" s="71"/>
      <c r="Q555" s="106">
        <f>IF(ISBLANK(O555), "", VLOOKUP(C555&amp;" "&amp;D555, 'Info Tipo de Cambio y REM'!$A$24:$B$35, 2, FALSE))</f>
        <v>1320</v>
      </c>
      <c r="R555" s="107">
        <f t="shared" si="2"/>
        <v>167.7272727</v>
      </c>
      <c r="W555" s="51"/>
      <c r="Z555" s="104"/>
      <c r="AC555" s="104"/>
      <c r="AD555" s="89"/>
      <c r="AE555" s="71"/>
      <c r="AF555" s="106"/>
      <c r="AG555" s="107"/>
    </row>
    <row r="556" hidden="1">
      <c r="A556" s="443" t="s">
        <v>226</v>
      </c>
      <c r="B556" s="43" t="s">
        <v>195</v>
      </c>
      <c r="C556" s="467" t="s">
        <v>161</v>
      </c>
      <c r="D556" s="43">
        <v>2025.0</v>
      </c>
      <c r="E556" s="43" t="s">
        <v>1130</v>
      </c>
      <c r="F556" s="165" t="s">
        <v>673</v>
      </c>
      <c r="H556" s="102"/>
      <c r="J556" s="102"/>
      <c r="K556" s="450"/>
      <c r="L556" s="455"/>
      <c r="M556" s="450"/>
      <c r="N556" s="452">
        <f t="array" ref="N556">IFERROR(
  INDEX(
    'Valor Hora Real y Estimada'!$A$4:$Z$78,
    MATCH(TRIM(CLEAN(A556)), 'Valor Hora Real y Estimada'!$A$4:$A$78, 0),
    MATCH(
      TEXT(C556,"dd mmm")&amp;" "&amp;D556,
      'Valor Hora Real y Estimada'!$A$3:$Z$3,
      0
    ) + 1
  ),
  0
)</f>
        <v>0</v>
      </c>
      <c r="O556" s="89">
        <v>20000.0</v>
      </c>
      <c r="P556" s="71"/>
      <c r="Q556" s="106">
        <f>IF(ISBLANK(O556), "", VLOOKUP(C556&amp;" "&amp;D556, 'Info Tipo de Cambio y REM'!$A$24:$B$35, 2, FALSE))</f>
        <v>1320</v>
      </c>
      <c r="R556" s="107">
        <f t="shared" si="2"/>
        <v>15.15151515</v>
      </c>
      <c r="W556" s="51"/>
      <c r="Z556" s="104"/>
      <c r="AC556" s="104"/>
      <c r="AD556" s="89"/>
      <c r="AE556" s="71"/>
      <c r="AF556" s="106"/>
      <c r="AG556" s="107"/>
    </row>
    <row r="557" hidden="1">
      <c r="A557" s="443" t="s">
        <v>127</v>
      </c>
      <c r="B557" s="43" t="s">
        <v>195</v>
      </c>
      <c r="C557" s="467" t="s">
        <v>161</v>
      </c>
      <c r="D557" s="43">
        <v>2025.0</v>
      </c>
      <c r="E557" s="43" t="s">
        <v>1130</v>
      </c>
      <c r="F557" s="165" t="s">
        <v>675</v>
      </c>
      <c r="H557" s="102"/>
      <c r="J557" s="102"/>
      <c r="K557" s="450"/>
      <c r="L557" s="455"/>
      <c r="M557" s="450"/>
      <c r="N557" s="452">
        <f t="array" ref="N557">IFERROR(
  INDEX(
    'Valor Hora Real y Estimada'!$A$4:$Z$78,
    MATCH(TRIM(CLEAN(A557)), 'Valor Hora Real y Estimada'!$A$4:$A$78, 0),
    MATCH(
      TEXT(C557,"dd mmm")&amp;" "&amp;D557,
      'Valor Hora Real y Estimada'!$A$3:$Z$3,
      0
    ) + 1
  ),
  0
)</f>
        <v>24911</v>
      </c>
      <c r="O557" s="89">
        <v>132000.0</v>
      </c>
      <c r="P557" s="71"/>
      <c r="Q557" s="106">
        <f>IF(ISBLANK(O557), "", VLOOKUP(C557&amp;" "&amp;D557, 'Info Tipo de Cambio y REM'!$A$24:$B$35, 2, FALSE))</f>
        <v>1320</v>
      </c>
      <c r="R557" s="107">
        <f t="shared" si="2"/>
        <v>100</v>
      </c>
      <c r="W557" s="51"/>
      <c r="Z557" s="104"/>
      <c r="AC557" s="104"/>
      <c r="AD557" s="89"/>
      <c r="AE557" s="71"/>
      <c r="AF557" s="106"/>
      <c r="AG557" s="107"/>
    </row>
    <row r="558" hidden="1">
      <c r="A558" s="443" t="s">
        <v>152</v>
      </c>
      <c r="B558" s="43" t="str">
        <f>IF(A558="", "", IFERROR(VLOOKUP(A558, Clasificaciones!A:B, 2, FALSE), "DATO NO CARGADO"))
</f>
        <v>Impuestos ARG</v>
      </c>
      <c r="C558" s="467" t="s">
        <v>161</v>
      </c>
      <c r="D558" s="43">
        <v>2025.0</v>
      </c>
      <c r="E558" s="43" t="s">
        <v>1130</v>
      </c>
      <c r="F558" s="165" t="s">
        <v>684</v>
      </c>
      <c r="H558" s="102"/>
      <c r="J558" s="102"/>
      <c r="K558" s="450"/>
      <c r="L558" s="455"/>
      <c r="M558" s="450"/>
      <c r="N558" s="452">
        <f t="array" ref="N558">IFERROR(
  INDEX(
    'Valor Hora Real y Estimada'!$A$4:$Z$78,
    MATCH(TRIM(CLEAN(A558)), 'Valor Hora Real y Estimada'!$A$4:$A$78, 0),
    MATCH(
      TEXT(C558,"dd mmm")&amp;" "&amp;D558,
      'Valor Hora Real y Estimada'!$A$3:$Z$3,
      0
    ) + 1
  ),
  0
)</f>
        <v>0</v>
      </c>
      <c r="O558" s="229">
        <v>2012802.0</v>
      </c>
      <c r="P558" s="89"/>
      <c r="Q558" s="106">
        <f>IF(ISBLANK(O558), "", VLOOKUP(C558&amp;" "&amp;D558, 'Info Tipo de Cambio y REM'!$A$24:$B$35, 2, FALSE))</f>
        <v>1320</v>
      </c>
      <c r="R558" s="107">
        <f t="shared" si="2"/>
        <v>1524.85</v>
      </c>
      <c r="W558" s="51"/>
      <c r="Z558" s="104"/>
      <c r="AC558" s="104"/>
      <c r="AD558" s="89"/>
      <c r="AE558" s="71"/>
      <c r="AF558" s="106"/>
      <c r="AG558" s="107"/>
    </row>
    <row r="559" hidden="1">
      <c r="A559" s="443" t="s">
        <v>146</v>
      </c>
      <c r="B559" s="43" t="str">
        <f>IF(A559="", "", IFERROR(VLOOKUP(A559, Clasificaciones!A:B, 2, FALSE), "DATO NO CARGADO"))
</f>
        <v>Impuestos ARG</v>
      </c>
      <c r="C559" s="467" t="s">
        <v>161</v>
      </c>
      <c r="D559" s="43">
        <v>2025.0</v>
      </c>
      <c r="E559" s="43" t="s">
        <v>1130</v>
      </c>
      <c r="F559" s="165" t="s">
        <v>685</v>
      </c>
      <c r="H559" s="102"/>
      <c r="J559" s="102"/>
      <c r="K559" s="450"/>
      <c r="L559" s="455"/>
      <c r="M559" s="450"/>
      <c r="N559" s="452">
        <f t="array" ref="N559">IFERROR(
  INDEX(
    'Valor Hora Real y Estimada'!$A$4:$Z$78,
    MATCH(TRIM(CLEAN(A559)), 'Valor Hora Real y Estimada'!$A$4:$A$78, 0),
    MATCH(
      TEXT(C559,"dd mmm")&amp;" "&amp;D559,
      'Valor Hora Real y Estimada'!$A$3:$Z$3,
      0
    ) + 1
  ),
  0
)</f>
        <v>0</v>
      </c>
      <c r="O559" s="229">
        <v>369970.0</v>
      </c>
      <c r="P559" s="89"/>
      <c r="Q559" s="106">
        <f>IF(ISBLANK(O559), "", VLOOKUP(C559&amp;" "&amp;D559, 'Info Tipo de Cambio y REM'!$A$24:$B$35, 2, FALSE))</f>
        <v>1320</v>
      </c>
      <c r="R559" s="107">
        <f t="shared" si="2"/>
        <v>280.280303</v>
      </c>
      <c r="W559" s="51"/>
      <c r="Z559" s="104"/>
      <c r="AC559" s="104"/>
      <c r="AD559" s="89"/>
      <c r="AE559" s="89"/>
      <c r="AF559" s="106"/>
      <c r="AG559" s="107"/>
    </row>
    <row r="560" hidden="1">
      <c r="A560" s="443" t="s">
        <v>164</v>
      </c>
      <c r="B560" s="43" t="str">
        <f>IF(A560="", "", IFERROR(VLOOKUP(A560, Clasificaciones!A:B, 2, FALSE), "DATO NO CARGADO"))
</f>
        <v>Estudio Contable</v>
      </c>
      <c r="C560" s="467" t="s">
        <v>161</v>
      </c>
      <c r="D560" s="43">
        <v>2025.0</v>
      </c>
      <c r="E560" s="43" t="s">
        <v>1130</v>
      </c>
      <c r="F560" s="165" t="s">
        <v>686</v>
      </c>
      <c r="H560" s="102"/>
      <c r="J560" s="102"/>
      <c r="K560" s="450"/>
      <c r="L560" s="455"/>
      <c r="M560" s="450"/>
      <c r="N560" s="452">
        <f t="array" ref="N560">IFERROR(
  INDEX(
    'Valor Hora Real y Estimada'!$A$4:$Z$78,
    MATCH(TRIM(CLEAN(A560)), 'Valor Hora Real y Estimada'!$A$4:$A$78, 0),
    MATCH(
      TEXT(C560,"dd mmm")&amp;" "&amp;D560,
      'Valor Hora Real y Estimada'!$A$3:$Z$3,
      0
    ) + 1
  ),
  0
)</f>
        <v>0</v>
      </c>
      <c r="O560" s="229">
        <v>71341.0</v>
      </c>
      <c r="P560" s="89"/>
      <c r="Q560" s="106">
        <f>IF(ISBLANK(O560), "", VLOOKUP(C560&amp;" "&amp;D560, 'Info Tipo de Cambio y REM'!$A$24:$B$35, 2, FALSE))</f>
        <v>1320</v>
      </c>
      <c r="R560" s="107">
        <f t="shared" si="2"/>
        <v>54.04621212</v>
      </c>
      <c r="W560" s="51"/>
      <c r="Z560" s="104"/>
      <c r="AC560" s="104"/>
      <c r="AD560" s="89"/>
      <c r="AE560" s="89"/>
      <c r="AF560" s="106"/>
      <c r="AG560" s="107"/>
    </row>
    <row r="561" hidden="1">
      <c r="A561" s="443" t="s">
        <v>153</v>
      </c>
      <c r="B561" s="43" t="str">
        <f>IF(A561="", "", IFERROR(VLOOKUP(A561, Clasificaciones!A:B, 2, FALSE), "DATO NO CARGADO"))
</f>
        <v>Impuestos USA</v>
      </c>
      <c r="C561" s="467" t="s">
        <v>161</v>
      </c>
      <c r="D561" s="43">
        <v>2025.0</v>
      </c>
      <c r="E561" s="43" t="s">
        <v>1130</v>
      </c>
      <c r="F561" s="230" t="s">
        <v>687</v>
      </c>
      <c r="H561" s="102"/>
      <c r="J561" s="102"/>
      <c r="K561" s="450"/>
      <c r="L561" s="455"/>
      <c r="M561" s="450"/>
      <c r="N561" s="452">
        <f t="array" ref="N561">IFERROR(
  INDEX(
    'Valor Hora Real y Estimada'!$A$4:$Z$78,
    MATCH(TRIM(CLEAN(A561)), 'Valor Hora Real y Estimada'!$A$4:$A$78, 0),
    MATCH(
      TEXT(C561,"dd mmm")&amp;" "&amp;D561,
      'Valor Hora Real y Estimada'!$A$3:$Z$3,
      0
    ) + 1
  ),
  0
)</f>
        <v>0</v>
      </c>
      <c r="O561" s="198"/>
      <c r="P561" s="229">
        <v>725.0</v>
      </c>
      <c r="Q561" s="106" t="str">
        <f>IF(ISBLANK(O561), "", VLOOKUP(C561&amp;" "&amp;D561, 'Info Tipo de Cambio y REM'!$A$24:$B$35, 2, FALSE))</f>
        <v/>
      </c>
      <c r="R561" s="107">
        <f t="shared" si="2"/>
        <v>725</v>
      </c>
      <c r="W561" s="51"/>
      <c r="Z561" s="104"/>
      <c r="AC561" s="104"/>
      <c r="AD561" s="89"/>
      <c r="AE561" s="89"/>
      <c r="AF561" s="106"/>
      <c r="AG561" s="107"/>
    </row>
    <row r="562" hidden="1">
      <c r="A562" s="443" t="s">
        <v>222</v>
      </c>
      <c r="B562" s="43" t="str">
        <f>IF(A562="", "", IFERROR(VLOOKUP(A562, Clasificaciones!A:B, 2, FALSE), "DATO NO CARGADO"))
</f>
        <v>Oxean</v>
      </c>
      <c r="C562" s="467" t="s">
        <v>161</v>
      </c>
      <c r="D562" s="43">
        <v>2025.0</v>
      </c>
      <c r="E562" s="43" t="s">
        <v>1130</v>
      </c>
      <c r="F562" s="165" t="s">
        <v>689</v>
      </c>
      <c r="H562" s="102"/>
      <c r="J562" s="102"/>
      <c r="K562" s="450"/>
      <c r="L562" s="455"/>
      <c r="M562" s="450"/>
      <c r="N562" s="452">
        <f t="array" ref="N562">IFERROR(
  INDEX(
    'Valor Hora Real y Estimada'!$A$4:$Z$78,
    MATCH(TRIM(CLEAN(A562)), 'Valor Hora Real y Estimada'!$A$4:$A$78, 0),
    MATCH(
      TEXT(C562,"dd mmm")&amp;" "&amp;D562,
      'Valor Hora Real y Estimada'!$A$3:$Z$3,
      0
    ) + 1
  ),
  0
)</f>
        <v>0</v>
      </c>
      <c r="O562" s="89">
        <v>4910000.0</v>
      </c>
      <c r="P562" s="71"/>
      <c r="Q562" s="106">
        <f>IF(ISBLANK(O562), "", VLOOKUP(C562&amp;" "&amp;D562, 'Info Tipo de Cambio y REM'!$A$24:$B$35, 2, FALSE))</f>
        <v>1320</v>
      </c>
      <c r="R562" s="107">
        <f t="shared" si="2"/>
        <v>3719.69697</v>
      </c>
      <c r="W562" s="51"/>
      <c r="Z562" s="104"/>
      <c r="AC562" s="104"/>
      <c r="AE562" s="89"/>
      <c r="AF562" s="106"/>
      <c r="AG562" s="107"/>
    </row>
    <row r="563" hidden="1">
      <c r="A563" s="443" t="s">
        <v>158</v>
      </c>
      <c r="B563" s="43" t="str">
        <f>IF(A563="", "", IFERROR(VLOOKUP(A563, Clasificaciones!A:B, 2, FALSE), "DATO NO CARGADO"))
</f>
        <v>Tarjeta</v>
      </c>
      <c r="C563" s="467" t="s">
        <v>161</v>
      </c>
      <c r="D563" s="43">
        <v>2025.0</v>
      </c>
      <c r="E563" s="43" t="s">
        <v>1130</v>
      </c>
      <c r="F563" s="184" t="s">
        <v>690</v>
      </c>
      <c r="H563" s="102"/>
      <c r="J563" s="102"/>
      <c r="K563" s="450"/>
      <c r="L563" s="455"/>
      <c r="M563" s="450"/>
      <c r="N563" s="452">
        <f t="array" ref="N563">IFERROR(
  INDEX(
    'Valor Hora Real y Estimada'!$A$4:$Z$78,
    MATCH(TRIM(CLEAN(A563)), 'Valor Hora Real y Estimada'!$A$4:$A$78, 0),
    MATCH(
      TEXT(C563,"dd mmm")&amp;" "&amp;D563,
      'Valor Hora Real y Estimada'!$A$3:$Z$3,
      0
    ) + 1
  ),
  0
)</f>
        <v>0</v>
      </c>
      <c r="O563" s="229">
        <v>118200.0</v>
      </c>
      <c r="P563" s="71"/>
      <c r="Q563" s="106">
        <f>IF(ISBLANK(O563), "", VLOOKUP(C563&amp;" "&amp;D563, 'Info Tipo de Cambio y REM'!$A$24:$B$35, 2, FALSE))</f>
        <v>1320</v>
      </c>
      <c r="R563" s="107">
        <f t="shared" si="2"/>
        <v>89.54545455</v>
      </c>
      <c r="W563" s="51"/>
      <c r="Z563" s="104"/>
      <c r="AC563" s="104"/>
      <c r="AD563" s="89"/>
      <c r="AE563" s="71"/>
      <c r="AF563" s="106"/>
      <c r="AG563" s="107"/>
    </row>
    <row r="564" hidden="1">
      <c r="A564" s="443" t="s">
        <v>191</v>
      </c>
      <c r="B564" s="43" t="str">
        <f>IF(A564="", "", IFERROR(VLOOKUP(A564, Clasificaciones!A:B, 2, FALSE), "DATO NO CARGADO"))
</f>
        <v>Tarjeta</v>
      </c>
      <c r="C564" s="467" t="s">
        <v>161</v>
      </c>
      <c r="D564" s="43">
        <v>2025.0</v>
      </c>
      <c r="E564" s="43" t="s">
        <v>1130</v>
      </c>
      <c r="F564" s="83" t="s">
        <v>691</v>
      </c>
      <c r="H564" s="102"/>
      <c r="J564" s="102"/>
      <c r="K564" s="450"/>
      <c r="L564" s="455"/>
      <c r="M564" s="450"/>
      <c r="N564" s="452">
        <f t="array" ref="N564">IFERROR(
  INDEX(
    'Valor Hora Real y Estimada'!$A$4:$Z$78,
    MATCH(TRIM(CLEAN(A564)), 'Valor Hora Real y Estimada'!$A$4:$A$78, 0),
    MATCH(
      TEXT(C564,"dd mmm")&amp;" "&amp;D564,
      'Valor Hora Real y Estimada'!$A$3:$Z$3,
      0
    ) + 1
  ),
  0
)</f>
        <v>0</v>
      </c>
      <c r="O564" s="89"/>
      <c r="P564" s="231">
        <v>609.8</v>
      </c>
      <c r="Q564" s="106" t="str">
        <f>IF(ISBLANK(O564), "", VLOOKUP(C564&amp;" "&amp;D564, 'Info Tipo de Cambio y REM'!$A$24:$B$35, 2, FALSE))</f>
        <v/>
      </c>
      <c r="R564" s="107">
        <f t="shared" si="2"/>
        <v>609.8</v>
      </c>
      <c r="W564" s="51"/>
      <c r="Z564" s="104"/>
      <c r="AC564" s="104"/>
      <c r="AD564" s="89"/>
      <c r="AE564" s="71"/>
      <c r="AF564" s="106"/>
      <c r="AG564" s="107"/>
    </row>
    <row r="565" hidden="1">
      <c r="A565" s="443" t="s">
        <v>191</v>
      </c>
      <c r="B565" s="43" t="str">
        <f>IF(A565="", "", IFERROR(VLOOKUP(A565, Clasificaciones!A:B, 2, FALSE), "DATO NO CARGADO"))
</f>
        <v>Tarjeta</v>
      </c>
      <c r="C565" s="467" t="s">
        <v>161</v>
      </c>
      <c r="D565" s="43">
        <v>2025.0</v>
      </c>
      <c r="E565" s="43" t="s">
        <v>1130</v>
      </c>
      <c r="F565" s="83" t="s">
        <v>691</v>
      </c>
      <c r="H565" s="102"/>
      <c r="J565" s="102"/>
      <c r="K565" s="450"/>
      <c r="L565" s="455"/>
      <c r="M565" s="450"/>
      <c r="N565" s="452">
        <f t="array" ref="N565">IFERROR(
  INDEX(
    'Valor Hora Real y Estimada'!$A$4:$Z$78,
    MATCH(TRIM(CLEAN(A565)), 'Valor Hora Real y Estimada'!$A$4:$A$78, 0),
    MATCH(
      TEXT(C565,"dd mmm")&amp;" "&amp;D565,
      'Valor Hora Real y Estimada'!$A$3:$Z$3,
      0
    ) + 1
  ),
  0
)</f>
        <v>0</v>
      </c>
      <c r="P565" s="231">
        <v>49.0</v>
      </c>
      <c r="Q565" s="106" t="str">
        <f>IF(ISBLANK(O565), "", VLOOKUP(C565&amp;" "&amp;D565, 'Info Tipo de Cambio y REM'!$A$24:$B$35, 2, FALSE))</f>
        <v/>
      </c>
      <c r="R565" s="107">
        <f t="shared" si="2"/>
        <v>49</v>
      </c>
      <c r="W565" s="51"/>
      <c r="Z565" s="104"/>
      <c r="AC565" s="104"/>
      <c r="AD565" s="89"/>
      <c r="AE565" s="106"/>
      <c r="AF565" s="106"/>
      <c r="AG565" s="107"/>
    </row>
    <row r="566" hidden="1">
      <c r="A566" s="443" t="s">
        <v>191</v>
      </c>
      <c r="B566" s="43" t="str">
        <f>IF(A566="", "", IFERROR(VLOOKUP(A566, Clasificaciones!A:B, 2, FALSE), "DATO NO CARGADO"))
</f>
        <v>Tarjeta</v>
      </c>
      <c r="C566" s="467" t="s">
        <v>161</v>
      </c>
      <c r="D566" s="43">
        <v>2025.0</v>
      </c>
      <c r="E566" s="43" t="s">
        <v>1130</v>
      </c>
      <c r="F566" s="83" t="s">
        <v>691</v>
      </c>
      <c r="H566" s="102"/>
      <c r="J566" s="102"/>
      <c r="K566" s="450"/>
      <c r="L566" s="455"/>
      <c r="M566" s="450"/>
      <c r="N566" s="452">
        <f t="array" ref="N566">IFERROR(
  INDEX(
    'Valor Hora Real y Estimada'!$A$4:$Z$78,
    MATCH(TRIM(CLEAN(A566)), 'Valor Hora Real y Estimada'!$A$4:$A$78, 0),
    MATCH(
      TEXT(C566,"dd mmm")&amp;" "&amp;D566,
      'Valor Hora Real y Estimada'!$A$3:$Z$3,
      0
    ) + 1
  ),
  0
)</f>
        <v>0</v>
      </c>
      <c r="P566" s="231">
        <v>139.95</v>
      </c>
      <c r="Q566" s="106" t="str">
        <f>IF(ISBLANK(O566), "", VLOOKUP(C566&amp;" "&amp;D566, 'Info Tipo de Cambio y REM'!$A$24:$B$35, 2, FALSE))</f>
        <v/>
      </c>
      <c r="R566" s="107">
        <f t="shared" si="2"/>
        <v>139.95</v>
      </c>
      <c r="W566" s="51"/>
      <c r="Z566" s="104"/>
      <c r="AC566" s="103"/>
      <c r="AE566" s="106"/>
      <c r="AF566" s="106"/>
      <c r="AG566" s="107"/>
    </row>
    <row r="567" hidden="1">
      <c r="A567" s="443" t="s">
        <v>191</v>
      </c>
      <c r="B567" s="43" t="str">
        <f>IF(A567="", "", IFERROR(VLOOKUP(A567, Clasificaciones!A:B, 2, FALSE), "DATO NO CARGADO"))
</f>
        <v>Tarjeta</v>
      </c>
      <c r="C567" s="467" t="s">
        <v>161</v>
      </c>
      <c r="D567" s="43">
        <v>2025.0</v>
      </c>
      <c r="E567" s="43" t="s">
        <v>1130</v>
      </c>
      <c r="F567" s="83" t="s">
        <v>691</v>
      </c>
      <c r="H567" s="102"/>
      <c r="J567" s="102"/>
      <c r="K567" s="450"/>
      <c r="L567" s="455"/>
      <c r="M567" s="450"/>
      <c r="N567" s="452">
        <f t="array" ref="N567">IFERROR(
  INDEX(
    'Valor Hora Real y Estimada'!$A$4:$Z$78,
    MATCH(TRIM(CLEAN(A567)), 'Valor Hora Real y Estimada'!$A$4:$A$78, 0),
    MATCH(
      TEXT(C567,"dd mmm")&amp;" "&amp;D567,
      'Valor Hora Real y Estimada'!$A$3:$Z$3,
      0
    ) + 1
  ),
  0
)</f>
        <v>0</v>
      </c>
      <c r="P567" s="231">
        <v>500.54</v>
      </c>
      <c r="Q567" s="106" t="str">
        <f>IF(ISBLANK(O567), "", VLOOKUP(C567&amp;" "&amp;D567, 'Info Tipo de Cambio y REM'!$A$24:$B$35, 2, FALSE))</f>
        <v/>
      </c>
      <c r="R567" s="107">
        <f t="shared" si="2"/>
        <v>500.54</v>
      </c>
      <c r="W567" s="51"/>
      <c r="Z567" s="104"/>
      <c r="AC567" s="103"/>
      <c r="AE567" s="106"/>
      <c r="AF567" s="106"/>
      <c r="AG567" s="107"/>
    </row>
    <row r="568" hidden="1">
      <c r="A568" s="443" t="s">
        <v>169</v>
      </c>
      <c r="B568" s="43" t="str">
        <f>IF(A568="", "", IFERROR(VLOOKUP(A568, Clasificaciones!A:B, 2, FALSE), "DATO NO CARGADO"))
</f>
        <v>Suscripciones/Herramientas</v>
      </c>
      <c r="C568" s="467" t="s">
        <v>161</v>
      </c>
      <c r="D568" s="43">
        <v>2025.0</v>
      </c>
      <c r="E568" s="43" t="s">
        <v>1130</v>
      </c>
      <c r="F568" s="165" t="s">
        <v>417</v>
      </c>
      <c r="H568" s="102"/>
      <c r="J568" s="102"/>
      <c r="K568" s="450"/>
      <c r="L568" s="455"/>
      <c r="M568" s="450"/>
      <c r="N568" s="452">
        <f t="array" ref="N568">IFERROR(
  INDEX(
    'Valor Hora Real y Estimada'!$A$4:$Z$78,
    MATCH(TRIM(CLEAN(A568)), 'Valor Hora Real y Estimada'!$A$4:$A$78, 0),
    MATCH(
      TEXT(C568,"dd mmm")&amp;" "&amp;D568,
      'Valor Hora Real y Estimada'!$A$3:$Z$3,
      0
    ) + 1
  ),
  0
)</f>
        <v>0</v>
      </c>
      <c r="O568" s="242"/>
      <c r="P568" s="123">
        <v>0.0</v>
      </c>
      <c r="Q568" s="106" t="str">
        <f>IF(ISBLANK(O568), "", VLOOKUP(C568&amp;" "&amp;D568, 'Info Tipo de Cambio y REM'!$A$24:$B$35, 2, FALSE))</f>
        <v/>
      </c>
      <c r="R568" s="107">
        <f t="shared" si="2"/>
        <v>0</v>
      </c>
      <c r="W568" s="51"/>
      <c r="Z568" s="103"/>
      <c r="AC568" s="104"/>
      <c r="AD568" s="89"/>
      <c r="AE568" s="71"/>
      <c r="AF568" s="106"/>
      <c r="AG568" s="107"/>
    </row>
    <row r="569" hidden="1">
      <c r="A569" s="443" t="s">
        <v>164</v>
      </c>
      <c r="B569" s="43" t="str">
        <f>IF(A569="", "", IFERROR(VLOOKUP(A569, Clasificaciones!A:B, 2, FALSE), "DATO NO CARGADO"))
</f>
        <v>Estudio Contable</v>
      </c>
      <c r="C569" s="467" t="s">
        <v>161</v>
      </c>
      <c r="D569" s="43">
        <v>2025.0</v>
      </c>
      <c r="E569" s="43" t="s">
        <v>1130</v>
      </c>
      <c r="F569" s="165" t="s">
        <v>698</v>
      </c>
      <c r="H569" s="102"/>
      <c r="J569" s="102"/>
      <c r="K569" s="450"/>
      <c r="L569" s="455"/>
      <c r="M569" s="450"/>
      <c r="N569" s="452">
        <f t="array" ref="N569">IFERROR(
  INDEX(
    'Valor Hora Real y Estimada'!$A$4:$Z$78,
    MATCH(TRIM(CLEAN(A569)), 'Valor Hora Real y Estimada'!$A$4:$A$78, 0),
    MATCH(
      TEXT(C569,"dd mmm")&amp;" "&amp;D569,
      'Valor Hora Real y Estimada'!$A$3:$Z$3,
      0
    ) + 1
  ),
  0
)</f>
        <v>0</v>
      </c>
      <c r="O569" s="123">
        <v>59568.0</v>
      </c>
      <c r="P569" s="242"/>
      <c r="Q569" s="106">
        <f>IF(ISBLANK(O569), "", VLOOKUP(C569&amp;" "&amp;D569, 'Info Tipo de Cambio y REM'!$A$24:$B$35, 2, FALSE))</f>
        <v>1320</v>
      </c>
      <c r="R569" s="107">
        <f t="shared" si="2"/>
        <v>45.12727273</v>
      </c>
      <c r="W569" s="51"/>
      <c r="Z569" s="103"/>
      <c r="AC569" s="104"/>
      <c r="AD569" s="71"/>
      <c r="AE569" s="89"/>
      <c r="AF569" s="106"/>
      <c r="AG569" s="107"/>
    </row>
    <row r="570" hidden="1">
      <c r="A570" s="443" t="s">
        <v>217</v>
      </c>
      <c r="B570" s="43" t="str">
        <f>IF(A570="", "", IFERROR(VLOOKUP(A570, Clasificaciones!A:B, 2, FALSE), "DATO NO CARGADO"))
</f>
        <v>Equipo</v>
      </c>
      <c r="C570" s="51" t="s">
        <v>166</v>
      </c>
      <c r="D570" s="43">
        <v>2025.0</v>
      </c>
      <c r="E570" s="43" t="s">
        <v>1124</v>
      </c>
      <c r="G570" s="43" t="s">
        <v>1199</v>
      </c>
      <c r="H570" s="43" t="s">
        <v>1126</v>
      </c>
      <c r="I570" s="43" t="s">
        <v>1168</v>
      </c>
      <c r="J570" s="43" t="s">
        <v>204</v>
      </c>
      <c r="K570" s="443">
        <v>100.0</v>
      </c>
      <c r="L570" s="443">
        <v>101.33</v>
      </c>
      <c r="M570" s="443">
        <v>101.33</v>
      </c>
      <c r="N570" s="452">
        <f t="array" ref="N570">IFERROR(
  INDEX(
    'Valor Hora Real y Estimada'!$A$4:$Z$78,
    MATCH(TRIM(CLEAN(A570)), 'Valor Hora Real y Estimada'!$A$4:$A$78, 0),
    MATCH(
      TEXT(C570,"dd mmm")&amp;" "&amp;D570,
      'Valor Hora Real y Estimada'!$A$3:$Z$3,
      0
    ) + 1
  ),
  0
)</f>
        <v>10270.2488</v>
      </c>
      <c r="O570" s="453">
        <f t="shared" ref="O570:O631" si="19">N570*M570</f>
        <v>1040684.311</v>
      </c>
      <c r="P570" s="113"/>
      <c r="Q570" s="106">
        <f>IF(ISBLANK(O570), "", VLOOKUP(C570&amp;" "&amp;D570, 'Info Tipo de Cambio y REM'!$A$24:$B$35, 2, FALSE))</f>
        <v>1345</v>
      </c>
      <c r="R570" s="107">
        <f t="shared" si="2"/>
        <v>773.7429821</v>
      </c>
      <c r="W570" s="51"/>
      <c r="Z570" s="103"/>
      <c r="AC570" s="104"/>
      <c r="AD570" s="89"/>
      <c r="AE570" s="71"/>
      <c r="AF570" s="106"/>
      <c r="AG570" s="107"/>
    </row>
    <row r="571" hidden="1">
      <c r="A571" s="443" t="s">
        <v>217</v>
      </c>
      <c r="B571" s="43" t="str">
        <f>IF(A571="", "", IFERROR(VLOOKUP(A571, Clasificaciones!A:B, 2, FALSE), "DATO NO CARGADO"))
</f>
        <v>Equipo</v>
      </c>
      <c r="C571" s="51" t="s">
        <v>166</v>
      </c>
      <c r="D571" s="43">
        <v>2025.0</v>
      </c>
      <c r="E571" s="43" t="s">
        <v>1124</v>
      </c>
      <c r="G571" s="43" t="s">
        <v>1171</v>
      </c>
      <c r="H571" s="43" t="s">
        <v>1133</v>
      </c>
      <c r="I571" s="43" t="s">
        <v>1165</v>
      </c>
      <c r="J571" s="43" t="s">
        <v>199</v>
      </c>
      <c r="K571" s="443">
        <v>70.0</v>
      </c>
      <c r="L571" s="443">
        <v>26.92</v>
      </c>
      <c r="M571" s="443">
        <v>26.92</v>
      </c>
      <c r="N571" s="452">
        <f t="array" ref="N571">IFERROR(
  INDEX(
    'Valor Hora Real y Estimada'!$A$4:$Z$78,
    MATCH(TRIM(CLEAN(A571)), 'Valor Hora Real y Estimada'!$A$4:$A$78, 0),
    MATCH(
      TEXT(C571,"dd mmm")&amp;" "&amp;D571,
      'Valor Hora Real y Estimada'!$A$3:$Z$3,
      0
    ) + 1
  ),
  0
)</f>
        <v>10270.2488</v>
      </c>
      <c r="O571" s="453">
        <f t="shared" si="19"/>
        <v>276475.0977</v>
      </c>
      <c r="P571" s="113"/>
      <c r="Q571" s="106">
        <f>IF(ISBLANK(O571), "", VLOOKUP(C571&amp;" "&amp;D571, 'Info Tipo de Cambio y REM'!$A$24:$B$35, 2, FALSE))</f>
        <v>1345</v>
      </c>
      <c r="R571" s="107">
        <f t="shared" si="2"/>
        <v>205.5576935</v>
      </c>
    </row>
    <row r="572" hidden="1">
      <c r="A572" s="443" t="s">
        <v>217</v>
      </c>
      <c r="B572" s="43" t="str">
        <f>IF(A572="", "", IFERROR(VLOOKUP(A572, Clasificaciones!A:B, 2, FALSE), "DATO NO CARGADO"))
</f>
        <v>Equipo</v>
      </c>
      <c r="C572" s="51" t="s">
        <v>166</v>
      </c>
      <c r="D572" s="43">
        <v>2025.0</v>
      </c>
      <c r="E572" s="43" t="s">
        <v>1124</v>
      </c>
      <c r="G572" s="43" t="s">
        <v>1200</v>
      </c>
      <c r="H572" s="43" t="s">
        <v>1126</v>
      </c>
      <c r="I572" s="43" t="s">
        <v>1164</v>
      </c>
      <c r="J572" s="43" t="s">
        <v>119</v>
      </c>
      <c r="K572" s="443">
        <v>27.0</v>
      </c>
      <c r="L572" s="443">
        <v>8.0</v>
      </c>
      <c r="M572" s="443">
        <v>8.0</v>
      </c>
      <c r="N572" s="452">
        <f t="array" ref="N572">IFERROR(
  INDEX(
    'Valor Hora Real y Estimada'!$A$4:$Z$78,
    MATCH(TRIM(CLEAN(A572)), 'Valor Hora Real y Estimada'!$A$4:$A$78, 0),
    MATCH(
      TEXT(C572,"dd mmm")&amp;" "&amp;D572,
      'Valor Hora Real y Estimada'!$A$3:$Z$3,
      0
    ) + 1
  ),
  0
)</f>
        <v>10270.2488</v>
      </c>
      <c r="O572" s="453">
        <f t="shared" si="19"/>
        <v>82161.9904</v>
      </c>
      <c r="P572" s="113"/>
      <c r="Q572" s="106">
        <f>IF(ISBLANK(O572), "", VLOOKUP(C572&amp;" "&amp;D572, 'Info Tipo de Cambio y REM'!$A$24:$B$35, 2, FALSE))</f>
        <v>1345</v>
      </c>
      <c r="R572" s="107">
        <f t="shared" si="2"/>
        <v>61.08698171</v>
      </c>
    </row>
    <row r="573" hidden="1">
      <c r="A573" s="443" t="s">
        <v>217</v>
      </c>
      <c r="B573" s="43" t="str">
        <f>IF(A573="", "", IFERROR(VLOOKUP(A573, Clasificaciones!A:B, 2, FALSE), "DATO NO CARGADO"))
</f>
        <v>Equipo</v>
      </c>
      <c r="C573" s="51" t="s">
        <v>166</v>
      </c>
      <c r="D573" s="43">
        <v>2025.0</v>
      </c>
      <c r="E573" s="43" t="s">
        <v>1130</v>
      </c>
      <c r="G573" s="43" t="s">
        <v>1201</v>
      </c>
      <c r="H573" s="43" t="s">
        <v>208</v>
      </c>
      <c r="J573" s="43" t="s">
        <v>208</v>
      </c>
      <c r="K573" s="443">
        <v>0.0</v>
      </c>
      <c r="L573" s="451">
        <v>0.0</v>
      </c>
      <c r="M573" s="450">
        <f>160-M572-M571-M570</f>
        <v>23.75</v>
      </c>
      <c r="N573" s="452">
        <f t="array" ref="N573">IFERROR(
  INDEX(
    'Valor Hora Real y Estimada'!$A$4:$Z$78,
    MATCH(TRIM(CLEAN(A573)), 'Valor Hora Real y Estimada'!$A$4:$A$78, 0),
    MATCH(
      TEXT(C573,"dd mmm")&amp;" "&amp;D573,
      'Valor Hora Real y Estimada'!$A$3:$Z$3,
      0
    ) + 1
  ),
  0
)</f>
        <v>10270.2488</v>
      </c>
      <c r="O573" s="453">
        <f t="shared" si="19"/>
        <v>243918.409</v>
      </c>
      <c r="P573" s="113"/>
      <c r="Q573" s="106">
        <f>IF(ISBLANK(O573), "", VLOOKUP(C573&amp;" "&amp;D573, 'Info Tipo de Cambio y REM'!$A$24:$B$35, 2, FALSE))</f>
        <v>1345</v>
      </c>
      <c r="R573" s="107">
        <f t="shared" si="2"/>
        <v>181.351977</v>
      </c>
    </row>
    <row r="574">
      <c r="A574" s="443" t="s">
        <v>230</v>
      </c>
      <c r="B574" s="43" t="str">
        <f>IF(A574="", "", IFERROR(VLOOKUP(A574, Clasificaciones!A:B, 2, FALSE), "DATO NO CARGADO"))
</f>
        <v>Equipo</v>
      </c>
      <c r="C574" s="51" t="s">
        <v>166</v>
      </c>
      <c r="D574" s="43">
        <v>2025.0</v>
      </c>
      <c r="E574" s="43" t="s">
        <v>1124</v>
      </c>
      <c r="G574" s="121" t="s">
        <v>1202</v>
      </c>
      <c r="H574" s="43" t="s">
        <v>1126</v>
      </c>
      <c r="I574" s="43" t="s">
        <v>1129</v>
      </c>
      <c r="J574" s="43" t="s">
        <v>183</v>
      </c>
      <c r="K574" s="443">
        <v>160.0</v>
      </c>
      <c r="L574" s="450">
        <f>82.08+26.92</f>
        <v>109</v>
      </c>
      <c r="M574" s="450">
        <f>82.08+33.42</f>
        <v>115.5</v>
      </c>
      <c r="N574" s="452">
        <f t="array" ref="N574">IFERROR(
  INDEX(
    'Valor Hora Real y Estimada'!$A$4:$Z$78,
    MATCH(TRIM(CLEAN(A574)), 'Valor Hora Real y Estimada'!$A$4:$A$78, 0),
    MATCH(
      TEXT(C574,"dd mmm")&amp;" "&amp;D574,
      'Valor Hora Real y Estimada'!$A$3:$Z$3,
      0
    ) + 1
  ),
  0
)</f>
        <v>12504.52</v>
      </c>
      <c r="O574" s="453">
        <f t="shared" si="19"/>
        <v>1444272.06</v>
      </c>
      <c r="P574" s="113"/>
      <c r="Q574" s="106">
        <f>IF(ISBLANK(O574), "", VLOOKUP(C574&amp;" "&amp;D574, 'Info Tipo de Cambio y REM'!$A$24:$B$35, 2, FALSE))</f>
        <v>1345</v>
      </c>
      <c r="R574" s="107">
        <f t="shared" si="2"/>
        <v>1073.808223</v>
      </c>
    </row>
    <row r="575" hidden="1">
      <c r="A575" s="443" t="s">
        <v>230</v>
      </c>
      <c r="B575" s="43" t="str">
        <f>IF(A575="", "", IFERROR(VLOOKUP(A575, Clasificaciones!A:B, 2, FALSE), "DATO NO CARGADO"))
</f>
        <v>Equipo</v>
      </c>
      <c r="C575" s="51" t="s">
        <v>166</v>
      </c>
      <c r="D575" s="43">
        <v>2025.0</v>
      </c>
      <c r="E575" s="43" t="s">
        <v>1130</v>
      </c>
      <c r="G575" s="43" t="s">
        <v>1201</v>
      </c>
      <c r="H575" s="43" t="s">
        <v>208</v>
      </c>
      <c r="J575" s="43" t="s">
        <v>208</v>
      </c>
      <c r="K575" s="443">
        <v>0.0</v>
      </c>
      <c r="L575" s="443">
        <v>1.58</v>
      </c>
      <c r="M575" s="450">
        <f>160-M574</f>
        <v>44.5</v>
      </c>
      <c r="N575" s="452">
        <f t="array" ref="N575">IFERROR(
  INDEX(
    'Valor Hora Real y Estimada'!$A$4:$Z$78,
    MATCH(TRIM(CLEAN(A575)), 'Valor Hora Real y Estimada'!$A$4:$A$78, 0),
    MATCH(
      TEXT(C575,"dd mmm")&amp;" "&amp;D575,
      'Valor Hora Real y Estimada'!$A$3:$Z$3,
      0
    ) + 1
  ),
  0
)</f>
        <v>12504.52</v>
      </c>
      <c r="O575" s="453">
        <f t="shared" si="19"/>
        <v>556451.14</v>
      </c>
      <c r="P575" s="113"/>
      <c r="Q575" s="106">
        <f>IF(ISBLANK(O575), "", VLOOKUP(C575&amp;" "&amp;D575, 'Info Tipo de Cambio y REM'!$A$24:$B$35, 2, FALSE))</f>
        <v>1345</v>
      </c>
      <c r="R575" s="107">
        <f t="shared" si="2"/>
        <v>413.7183197</v>
      </c>
    </row>
    <row r="576">
      <c r="A576" s="443" t="s">
        <v>205</v>
      </c>
      <c r="B576" s="43" t="str">
        <f>IF(A576="", "", IFERROR(VLOOKUP(A576, Clasificaciones!A:B, 2, FALSE), "DATO NO CARGADO"))
</f>
        <v>Equipo</v>
      </c>
      <c r="C576" s="51" t="s">
        <v>166</v>
      </c>
      <c r="D576" s="43">
        <v>2025.0</v>
      </c>
      <c r="E576" s="43" t="s">
        <v>1124</v>
      </c>
      <c r="G576" s="121" t="s">
        <v>1202</v>
      </c>
      <c r="H576" s="43" t="s">
        <v>1126</v>
      </c>
      <c r="I576" s="43" t="s">
        <v>1129</v>
      </c>
      <c r="J576" s="43" t="s">
        <v>183</v>
      </c>
      <c r="K576" s="443">
        <v>100.0</v>
      </c>
      <c r="L576" s="450">
        <f>71.88+4.07</f>
        <v>75.95</v>
      </c>
      <c r="M576" s="450">
        <f>77.53+4.07</f>
        <v>81.6</v>
      </c>
      <c r="N576" s="452">
        <f t="array" ref="N576">IFERROR(
  INDEX(
    'Valor Hora Real y Estimada'!$A$4:$Z$78,
    MATCH(TRIM(CLEAN(A576)), 'Valor Hora Real y Estimada'!$A$4:$A$78, 0),
    MATCH(
      TEXT(C576,"dd mmm")&amp;" "&amp;D576,
      'Valor Hora Real y Estimada'!$A$3:$Z$3,
      0
    ) + 1
  ),
  0
)</f>
        <v>10000</v>
      </c>
      <c r="O576" s="453">
        <f t="shared" si="19"/>
        <v>816000</v>
      </c>
      <c r="P576" s="113"/>
      <c r="Q576" s="106">
        <f>IF(ISBLANK(O576), "", VLOOKUP(C576&amp;" "&amp;D576, 'Info Tipo de Cambio y REM'!$A$24:$B$35, 2, FALSE))</f>
        <v>1345</v>
      </c>
      <c r="R576" s="107">
        <f t="shared" si="2"/>
        <v>606.6914498</v>
      </c>
    </row>
    <row r="577" hidden="1">
      <c r="A577" s="443" t="s">
        <v>205</v>
      </c>
      <c r="B577" s="43" t="str">
        <f>IF(A577="", "", IFERROR(VLOOKUP(A577, Clasificaciones!A:B, 2, FALSE), "DATO NO CARGADO"))
</f>
        <v>Equipo</v>
      </c>
      <c r="C577" s="51" t="s">
        <v>166</v>
      </c>
      <c r="D577" s="43">
        <v>2025.0</v>
      </c>
      <c r="E577" s="43" t="s">
        <v>1124</v>
      </c>
      <c r="G577" s="43" t="s">
        <v>1199</v>
      </c>
      <c r="H577" s="43" t="s">
        <v>1126</v>
      </c>
      <c r="I577" s="43" t="s">
        <v>1168</v>
      </c>
      <c r="J577" s="43" t="s">
        <v>204</v>
      </c>
      <c r="K577" s="443">
        <v>70.0</v>
      </c>
      <c r="L577" s="443">
        <v>31.07</v>
      </c>
      <c r="M577" s="443">
        <v>31.07</v>
      </c>
      <c r="N577" s="452">
        <f t="array" ref="N577">IFERROR(
  INDEX(
    'Valor Hora Real y Estimada'!$A$4:$Z$78,
    MATCH(TRIM(CLEAN(A577)), 'Valor Hora Real y Estimada'!$A$4:$A$78, 0),
    MATCH(
      TEXT(C577,"dd mmm")&amp;" "&amp;D577,
      'Valor Hora Real y Estimada'!$A$3:$Z$3,
      0
    ) + 1
  ),
  0
)</f>
        <v>10000</v>
      </c>
      <c r="O577" s="453">
        <f t="shared" si="19"/>
        <v>310700</v>
      </c>
      <c r="P577" s="113"/>
      <c r="Q577" s="106">
        <f>IF(ISBLANK(O577), "", VLOOKUP(C577&amp;" "&amp;D577, 'Info Tipo de Cambio y REM'!$A$24:$B$35, 2, FALSE))</f>
        <v>1345</v>
      </c>
      <c r="R577" s="107">
        <f t="shared" si="2"/>
        <v>231.0037175</v>
      </c>
    </row>
    <row r="578" hidden="1">
      <c r="A578" s="443" t="s">
        <v>205</v>
      </c>
      <c r="B578" s="43" t="str">
        <f>IF(A578="", "", IFERROR(VLOOKUP(A578, Clasificaciones!A:B, 2, FALSE), "DATO NO CARGADO"))
</f>
        <v>Equipo</v>
      </c>
      <c r="C578" s="51" t="s">
        <v>166</v>
      </c>
      <c r="D578" s="43">
        <v>2025.0</v>
      </c>
      <c r="E578" s="43" t="s">
        <v>1124</v>
      </c>
      <c r="G578" s="43" t="s">
        <v>1171</v>
      </c>
      <c r="H578" s="43" t="s">
        <v>1133</v>
      </c>
      <c r="I578" s="43" t="s">
        <v>1165</v>
      </c>
      <c r="J578" s="43" t="s">
        <v>199</v>
      </c>
      <c r="K578" s="443">
        <v>40.0</v>
      </c>
      <c r="L578" s="443">
        <v>22.52</v>
      </c>
      <c r="M578" s="443">
        <v>22.52</v>
      </c>
      <c r="N578" s="452">
        <f t="array" ref="N578">IFERROR(
  INDEX(
    'Valor Hora Real y Estimada'!$A$4:$Z$78,
    MATCH(TRIM(CLEAN(A578)), 'Valor Hora Real y Estimada'!$A$4:$A$78, 0),
    MATCH(
      TEXT(C578,"dd mmm")&amp;" "&amp;D578,
      'Valor Hora Real y Estimada'!$A$3:$Z$3,
      0
    ) + 1
  ),
  0
)</f>
        <v>10000</v>
      </c>
      <c r="O578" s="453">
        <f t="shared" si="19"/>
        <v>225200</v>
      </c>
      <c r="P578" s="113"/>
      <c r="Q578" s="106">
        <f>IF(ISBLANK(O578), "", VLOOKUP(C578&amp;" "&amp;D578, 'Info Tipo de Cambio y REM'!$A$24:$B$35, 2, FALSE))</f>
        <v>1345</v>
      </c>
      <c r="R578" s="107">
        <f t="shared" si="2"/>
        <v>167.4349442</v>
      </c>
    </row>
    <row r="579" hidden="1">
      <c r="A579" s="443" t="s">
        <v>205</v>
      </c>
      <c r="B579" s="43" t="str">
        <f>IF(A579="", "", IFERROR(VLOOKUP(A579, Clasificaciones!A:B, 2, FALSE), "DATO NO CARGADO"))
</f>
        <v>Equipo</v>
      </c>
      <c r="C579" s="51" t="s">
        <v>166</v>
      </c>
      <c r="D579" s="43">
        <v>2025.0</v>
      </c>
      <c r="E579" s="43" t="s">
        <v>1124</v>
      </c>
      <c r="G579" s="43" t="s">
        <v>1203</v>
      </c>
      <c r="H579" s="43" t="s">
        <v>1133</v>
      </c>
      <c r="I579" s="43" t="s">
        <v>1204</v>
      </c>
      <c r="J579" s="43" t="s">
        <v>132</v>
      </c>
      <c r="K579" s="443">
        <v>0.0</v>
      </c>
      <c r="L579" s="443">
        <v>9.62</v>
      </c>
      <c r="M579" s="443">
        <v>9.62</v>
      </c>
      <c r="N579" s="452">
        <f t="array" ref="N579">IFERROR(
  INDEX(
    'Valor Hora Real y Estimada'!$A$4:$Z$78,
    MATCH(TRIM(CLEAN(A579)), 'Valor Hora Real y Estimada'!$A$4:$A$78, 0),
    MATCH(
      TEXT(C579,"dd mmm")&amp;" "&amp;D579,
      'Valor Hora Real y Estimada'!$A$3:$Z$3,
      0
    ) + 1
  ),
  0
)</f>
        <v>10000</v>
      </c>
      <c r="O579" s="453">
        <f t="shared" si="19"/>
        <v>96200</v>
      </c>
      <c r="P579" s="113"/>
      <c r="Q579" s="106">
        <f>IF(ISBLANK(O579), "", VLOOKUP(C579&amp;" "&amp;D579, 'Info Tipo de Cambio y REM'!$A$24:$B$35, 2, FALSE))</f>
        <v>1345</v>
      </c>
      <c r="R579" s="107">
        <f t="shared" si="2"/>
        <v>71.52416357</v>
      </c>
    </row>
    <row r="580" hidden="1">
      <c r="A580" s="443" t="s">
        <v>205</v>
      </c>
      <c r="B580" s="43" t="str">
        <f>IF(A580="", "", IFERROR(VLOOKUP(A580, Clasificaciones!A:B, 2, FALSE), "DATO NO CARGADO"))
</f>
        <v>Equipo</v>
      </c>
      <c r="C580" s="51" t="s">
        <v>166</v>
      </c>
      <c r="D580" s="43">
        <v>2025.0</v>
      </c>
      <c r="E580" s="43" t="s">
        <v>1130</v>
      </c>
      <c r="G580" s="43" t="s">
        <v>1205</v>
      </c>
      <c r="H580" s="43" t="s">
        <v>1160</v>
      </c>
      <c r="I580" s="43" t="s">
        <v>1206</v>
      </c>
      <c r="J580" s="43" t="s">
        <v>208</v>
      </c>
      <c r="K580" s="443">
        <v>0.0</v>
      </c>
      <c r="L580" s="443">
        <v>7.1</v>
      </c>
      <c r="M580" s="443">
        <v>7.1</v>
      </c>
      <c r="N580" s="452">
        <f t="array" ref="N580">IFERROR(
  INDEX(
    'Valor Hora Real y Estimada'!$A$4:$Z$78,
    MATCH(TRIM(CLEAN(A580)), 'Valor Hora Real y Estimada'!$A$4:$A$78, 0),
    MATCH(
      TEXT(C580,"dd mmm")&amp;" "&amp;D580,
      'Valor Hora Real y Estimada'!$A$3:$Z$3,
      0
    ) + 1
  ),
  0
)</f>
        <v>10000</v>
      </c>
      <c r="O580" s="453">
        <f t="shared" si="19"/>
        <v>71000</v>
      </c>
      <c r="P580" s="113"/>
      <c r="Q580" s="106">
        <f>IF(ISBLANK(O580), "", VLOOKUP(C580&amp;" "&amp;D580, 'Info Tipo de Cambio y REM'!$A$24:$B$35, 2, FALSE))</f>
        <v>1345</v>
      </c>
      <c r="R580" s="107">
        <f t="shared" si="2"/>
        <v>52.78810409</v>
      </c>
    </row>
    <row r="581" hidden="1">
      <c r="A581" s="443" t="s">
        <v>205</v>
      </c>
      <c r="B581" s="43" t="str">
        <f>IF(A581="", "", IFERROR(VLOOKUP(A581, Clasificaciones!A:B, 2, FALSE), "DATO NO CARGADO"))
</f>
        <v>Equipo</v>
      </c>
      <c r="C581" s="51" t="s">
        <v>166</v>
      </c>
      <c r="D581" s="43">
        <v>2025.0</v>
      </c>
      <c r="E581" s="43" t="s">
        <v>1130</v>
      </c>
      <c r="G581" s="43" t="s">
        <v>1201</v>
      </c>
      <c r="H581" s="43" t="s">
        <v>208</v>
      </c>
      <c r="J581" s="43" t="s">
        <v>208</v>
      </c>
      <c r="K581" s="443">
        <v>0.0</v>
      </c>
      <c r="L581" s="451">
        <v>0.0</v>
      </c>
      <c r="M581" s="450">
        <f>160-M582-M580-M579-M578-M577-M576</f>
        <v>0.09</v>
      </c>
      <c r="N581" s="452">
        <f t="array" ref="N581">IFERROR(
  INDEX(
    'Valor Hora Real y Estimada'!$A$4:$Z$78,
    MATCH(TRIM(CLEAN(A581)), 'Valor Hora Real y Estimada'!$A$4:$A$78, 0),
    MATCH(
      TEXT(C581,"dd mmm")&amp;" "&amp;D581,
      'Valor Hora Real y Estimada'!$A$3:$Z$3,
      0
    ) + 1
  ),
  0
)</f>
        <v>10000</v>
      </c>
      <c r="O581" s="453">
        <f t="shared" si="19"/>
        <v>900</v>
      </c>
      <c r="P581" s="113"/>
      <c r="Q581" s="106">
        <f>IF(ISBLANK(O581), "", VLOOKUP(C581&amp;" "&amp;D581, 'Info Tipo de Cambio y REM'!$A$24:$B$35, 2, FALSE))</f>
        <v>1345</v>
      </c>
      <c r="R581" s="107">
        <f t="shared" si="2"/>
        <v>0.6691449814</v>
      </c>
    </row>
    <row r="582" hidden="1">
      <c r="A582" s="443" t="s">
        <v>205</v>
      </c>
      <c r="B582" s="43" t="str">
        <f>IF(A582="", "", IFERROR(VLOOKUP(A582, Clasificaciones!A:B, 2, FALSE), "DATO NO CARGADO"))
</f>
        <v>Equipo</v>
      </c>
      <c r="C582" s="51" t="s">
        <v>166</v>
      </c>
      <c r="D582" s="43">
        <v>2025.0</v>
      </c>
      <c r="E582" s="43" t="s">
        <v>1124</v>
      </c>
      <c r="G582" s="43" t="s">
        <v>1174</v>
      </c>
      <c r="H582" s="43" t="s">
        <v>1133</v>
      </c>
      <c r="I582" s="43" t="s">
        <v>1175</v>
      </c>
      <c r="J582" s="43" t="s">
        <v>209</v>
      </c>
      <c r="K582" s="443">
        <v>0.0</v>
      </c>
      <c r="L582" s="443">
        <v>8.0</v>
      </c>
      <c r="M582" s="443">
        <v>8.0</v>
      </c>
      <c r="N582" s="452">
        <f t="array" ref="N582">IFERROR(
  INDEX(
    'Valor Hora Real y Estimada'!$A$4:$Z$78,
    MATCH(TRIM(CLEAN(A582)), 'Valor Hora Real y Estimada'!$A$4:$A$78, 0),
    MATCH(
      TEXT(C582,"dd mmm")&amp;" "&amp;D582,
      'Valor Hora Real y Estimada'!$A$3:$Z$3,
      0
    ) + 1
  ),
  0
)</f>
        <v>10000</v>
      </c>
      <c r="O582" s="453">
        <f t="shared" si="19"/>
        <v>80000</v>
      </c>
      <c r="P582" s="113"/>
      <c r="Q582" s="106">
        <f>IF(ISBLANK(O582), "", VLOOKUP(C582&amp;" "&amp;D582, 'Info Tipo de Cambio y REM'!$A$24:$B$35, 2, FALSE))</f>
        <v>1345</v>
      </c>
      <c r="R582" s="107">
        <f t="shared" si="2"/>
        <v>59.4795539</v>
      </c>
    </row>
    <row r="583">
      <c r="A583" s="443" t="s">
        <v>216</v>
      </c>
      <c r="B583" s="43" t="str">
        <f>IF(A583="", "", IFERROR(VLOOKUP(A583, Clasificaciones!A:B, 2, FALSE), "DATO NO CARGADO"))
</f>
        <v>Equipo</v>
      </c>
      <c r="C583" s="51" t="s">
        <v>166</v>
      </c>
      <c r="D583" s="43">
        <v>2025.0</v>
      </c>
      <c r="E583" s="43" t="s">
        <v>1124</v>
      </c>
      <c r="G583" s="121" t="s">
        <v>1202</v>
      </c>
      <c r="H583" s="43" t="s">
        <v>1126</v>
      </c>
      <c r="I583" s="43" t="s">
        <v>1129</v>
      </c>
      <c r="J583" s="43" t="s">
        <v>183</v>
      </c>
      <c r="K583" s="443">
        <v>40.0</v>
      </c>
      <c r="L583" s="450">
        <f t="shared" ref="L583:M583" si="20">44.5+16.12</f>
        <v>60.62</v>
      </c>
      <c r="M583" s="450">
        <f t="shared" si="20"/>
        <v>60.62</v>
      </c>
      <c r="N583" s="452">
        <f t="array" ref="N583">IFERROR(
  INDEX(
    'Valor Hora Real y Estimada'!$A$4:$Z$78,
    MATCH(TRIM(CLEAN(A583)), 'Valor Hora Real y Estimada'!$A$4:$A$78, 0),
    MATCH(
      TEXT(C583,"dd mmm")&amp;" "&amp;D583,
      'Valor Hora Real y Estimada'!$A$3:$Z$3,
      0
    ) + 1
  ),
  0
)</f>
        <v>13806.4612</v>
      </c>
      <c r="O583" s="453">
        <f t="shared" si="19"/>
        <v>836947.6779</v>
      </c>
      <c r="P583" s="113"/>
      <c r="Q583" s="106">
        <f>IF(ISBLANK(O583), "", VLOOKUP(C583&amp;" "&amp;D583, 'Info Tipo de Cambio y REM'!$A$24:$B$35, 2, FALSE))</f>
        <v>1345</v>
      </c>
      <c r="R583" s="107">
        <f t="shared" si="2"/>
        <v>622.2659316</v>
      </c>
    </row>
    <row r="584">
      <c r="A584" s="443" t="s">
        <v>218</v>
      </c>
      <c r="B584" s="43" t="str">
        <f>IF(A584="", "", IFERROR(VLOOKUP(A584, Clasificaciones!A:B, 2, FALSE), "DATO NO CARGADO"))
</f>
        <v>Equipo</v>
      </c>
      <c r="C584" s="51" t="s">
        <v>166</v>
      </c>
      <c r="D584" s="43">
        <v>2025.0</v>
      </c>
      <c r="E584" s="43" t="s">
        <v>1124</v>
      </c>
      <c r="G584" s="121" t="s">
        <v>1202</v>
      </c>
      <c r="H584" s="43" t="s">
        <v>1126</v>
      </c>
      <c r="I584" s="43" t="s">
        <v>1129</v>
      </c>
      <c r="J584" s="43" t="s">
        <v>183</v>
      </c>
      <c r="K584" s="443">
        <v>31.0</v>
      </c>
      <c r="L584" s="450">
        <f t="shared" ref="L584:M584" si="21">26.02+23</f>
        <v>49.02</v>
      </c>
      <c r="M584" s="450">
        <f t="shared" si="21"/>
        <v>49.02</v>
      </c>
      <c r="N584" s="452">
        <f t="array" ref="N584">IFERROR(
  INDEX(
    'Valor Hora Real y Estimada'!$A$4:$Z$78,
    MATCH(TRIM(CLEAN(A584)), 'Valor Hora Real y Estimada'!$A$4:$A$78, 0),
    MATCH(
      TEXT(C584,"dd mmm")&amp;" "&amp;D584,
      'Valor Hora Real y Estimada'!$A$3:$Z$3,
      0
    ) + 1
  ),
  0
)</f>
        <v>19000</v>
      </c>
      <c r="O584" s="453">
        <f t="shared" si="19"/>
        <v>931380</v>
      </c>
      <c r="P584" s="113"/>
      <c r="Q584" s="106">
        <f>IF(ISBLANK(O584), "", VLOOKUP(C584&amp;" "&amp;D584, 'Info Tipo de Cambio y REM'!$A$24:$B$35, 2, FALSE))</f>
        <v>1345</v>
      </c>
      <c r="R584" s="107">
        <f t="shared" si="2"/>
        <v>692.4758364</v>
      </c>
    </row>
    <row r="585" hidden="1">
      <c r="A585" s="443" t="s">
        <v>218</v>
      </c>
      <c r="B585" s="43" t="str">
        <f>IF(A585="", "", IFERROR(VLOOKUP(A585, Clasificaciones!A:B, 2, FALSE), "DATO NO CARGADO"))
</f>
        <v>Equipo</v>
      </c>
      <c r="C585" s="51" t="s">
        <v>166</v>
      </c>
      <c r="D585" s="43">
        <v>2025.0</v>
      </c>
      <c r="E585" s="43" t="s">
        <v>1130</v>
      </c>
      <c r="G585" s="43" t="s">
        <v>1201</v>
      </c>
      <c r="H585" s="43" t="s">
        <v>208</v>
      </c>
      <c r="J585" s="43" t="s">
        <v>208</v>
      </c>
      <c r="K585" s="443">
        <v>0.0</v>
      </c>
      <c r="L585" s="451">
        <v>1.0</v>
      </c>
      <c r="M585" s="443">
        <v>1.0</v>
      </c>
      <c r="N585" s="452">
        <f t="array" ref="N585">IFERROR(
  INDEX(
    'Valor Hora Real y Estimada'!$A$4:$Z$78,
    MATCH(TRIM(CLEAN(A585)), 'Valor Hora Real y Estimada'!$A$4:$A$78, 0),
    MATCH(
      TEXT(C585,"dd mmm")&amp;" "&amp;D585,
      'Valor Hora Real y Estimada'!$A$3:$Z$3,
      0
    ) + 1
  ),
  0
)</f>
        <v>19000</v>
      </c>
      <c r="O585" s="453">
        <f t="shared" si="19"/>
        <v>19000</v>
      </c>
      <c r="P585" s="113"/>
      <c r="Q585" s="106">
        <f>IF(ISBLANK(O585), "", VLOOKUP(C585&amp;" "&amp;D585, 'Info Tipo de Cambio y REM'!$A$24:$B$35, 2, FALSE))</f>
        <v>1345</v>
      </c>
      <c r="R585" s="107">
        <f t="shared" si="2"/>
        <v>14.12639405</v>
      </c>
    </row>
    <row r="586">
      <c r="A586" s="443" t="s">
        <v>194</v>
      </c>
      <c r="B586" s="43" t="str">
        <f>IF(A586="", "", IFERROR(VLOOKUP(A586, Clasificaciones!A:B, 2, FALSE), "DATO NO CARGADO"))
</f>
        <v>Equipo</v>
      </c>
      <c r="C586" s="51" t="s">
        <v>166</v>
      </c>
      <c r="D586" s="43">
        <v>2025.0</v>
      </c>
      <c r="E586" s="43" t="s">
        <v>1124</v>
      </c>
      <c r="G586" s="121" t="s">
        <v>1202</v>
      </c>
      <c r="H586" s="43" t="s">
        <v>1126</v>
      </c>
      <c r="I586" s="43" t="s">
        <v>1129</v>
      </c>
      <c r="J586" s="43" t="s">
        <v>183</v>
      </c>
      <c r="K586" s="443">
        <v>150.0</v>
      </c>
      <c r="L586" s="450">
        <f t="shared" ref="L586:M586" si="22">58.13+24.37</f>
        <v>82.5</v>
      </c>
      <c r="M586" s="450">
        <f t="shared" si="22"/>
        <v>82.5</v>
      </c>
      <c r="N586" s="452">
        <f t="array" ref="N586">IFERROR(
  INDEX(
    'Valor Hora Real y Estimada'!$A$4:$Z$78,
    MATCH(TRIM(CLEAN(A586)), 'Valor Hora Real y Estimada'!$A$4:$A$78, 0),
    MATCH(
      TEXT(C586,"dd mmm")&amp;" "&amp;D586,
      'Valor Hora Real y Estimada'!$A$3:$Z$3,
      0
    ) + 1
  ),
  0
)</f>
        <v>12702.0704</v>
      </c>
      <c r="O586" s="453">
        <f t="shared" si="19"/>
        <v>1047920.808</v>
      </c>
      <c r="P586" s="113"/>
      <c r="Q586" s="106">
        <f>IF(ISBLANK(O586), "", VLOOKUP(C586&amp;" "&amp;D586, 'Info Tipo de Cambio y REM'!$A$24:$B$35, 2, FALSE))</f>
        <v>1345</v>
      </c>
      <c r="R586" s="107">
        <f t="shared" si="2"/>
        <v>779.1232773</v>
      </c>
    </row>
    <row r="587" hidden="1">
      <c r="A587" s="443" t="s">
        <v>194</v>
      </c>
      <c r="B587" s="43" t="str">
        <f>IF(A587="", "", IFERROR(VLOOKUP(A587, Clasificaciones!A:B, 2, FALSE), "DATO NO CARGADO"))
</f>
        <v>Equipo</v>
      </c>
      <c r="C587" s="51" t="s">
        <v>166</v>
      </c>
      <c r="D587" s="43">
        <v>2025.0</v>
      </c>
      <c r="E587" s="43" t="s">
        <v>1130</v>
      </c>
      <c r="G587" s="43" t="s">
        <v>1205</v>
      </c>
      <c r="H587" s="43" t="s">
        <v>1160</v>
      </c>
      <c r="I587" s="43" t="s">
        <v>1206</v>
      </c>
      <c r="J587" s="43" t="s">
        <v>208</v>
      </c>
      <c r="K587" s="443">
        <v>0.0</v>
      </c>
      <c r="L587" s="443">
        <v>22.4</v>
      </c>
      <c r="M587" s="443">
        <v>22.4</v>
      </c>
      <c r="N587" s="452">
        <f t="array" ref="N587">IFERROR(
  INDEX(
    'Valor Hora Real y Estimada'!$A$4:$Z$78,
    MATCH(TRIM(CLEAN(A587)), 'Valor Hora Real y Estimada'!$A$4:$A$78, 0),
    MATCH(
      TEXT(C587,"dd mmm")&amp;" "&amp;D587,
      'Valor Hora Real y Estimada'!$A$3:$Z$3,
      0
    ) + 1
  ),
  0
)</f>
        <v>12702.0704</v>
      </c>
      <c r="O587" s="453">
        <f t="shared" si="19"/>
        <v>284526.377</v>
      </c>
      <c r="P587" s="113"/>
      <c r="Q587" s="106">
        <f>IF(ISBLANK(O587), "", VLOOKUP(C587&amp;" "&amp;D587, 'Info Tipo de Cambio y REM'!$A$24:$B$35, 2, FALSE))</f>
        <v>1345</v>
      </c>
      <c r="R587" s="107">
        <f t="shared" si="2"/>
        <v>211.5437747</v>
      </c>
    </row>
    <row r="588" hidden="1">
      <c r="A588" s="443" t="s">
        <v>194</v>
      </c>
      <c r="B588" s="43" t="str">
        <f>IF(A588="", "", IFERROR(VLOOKUP(A588, Clasificaciones!A:B, 2, FALSE), "DATO NO CARGADO"))
</f>
        <v>Equipo</v>
      </c>
      <c r="C588" s="51" t="s">
        <v>166</v>
      </c>
      <c r="D588" s="43">
        <v>2025.0</v>
      </c>
      <c r="E588" s="43" t="s">
        <v>1130</v>
      </c>
      <c r="G588" s="43" t="s">
        <v>1201</v>
      </c>
      <c r="H588" s="43" t="s">
        <v>208</v>
      </c>
      <c r="J588" s="43" t="s">
        <v>208</v>
      </c>
      <c r="K588" s="443">
        <v>0.0</v>
      </c>
      <c r="L588" s="443">
        <v>20.77</v>
      </c>
      <c r="M588" s="443">
        <f>167-M589-M587-M586</f>
        <v>41.57</v>
      </c>
      <c r="N588" s="452">
        <f t="array" ref="N588">IFERROR(
  INDEX(
    'Valor Hora Real y Estimada'!$A$4:$Z$78,
    MATCH(TRIM(CLEAN(A588)), 'Valor Hora Real y Estimada'!$A$4:$A$78, 0),
    MATCH(
      TEXT(C588,"dd mmm")&amp;" "&amp;D588,
      'Valor Hora Real y Estimada'!$A$3:$Z$3,
      0
    ) + 1
  ),
  0
)</f>
        <v>12702.0704</v>
      </c>
      <c r="O588" s="453">
        <f t="shared" si="19"/>
        <v>528025.0665</v>
      </c>
      <c r="P588" s="113"/>
      <c r="Q588" s="106">
        <f>IF(ISBLANK(O588), "", VLOOKUP(C588&amp;" "&amp;D588, 'Info Tipo de Cambio y REM'!$A$24:$B$35, 2, FALSE))</f>
        <v>1345</v>
      </c>
      <c r="R588" s="107">
        <f t="shared" si="2"/>
        <v>392.5836926</v>
      </c>
    </row>
    <row r="589" hidden="1">
      <c r="A589" s="443" t="s">
        <v>194</v>
      </c>
      <c r="B589" s="43" t="str">
        <f>IF(A589="", "", IFERROR(VLOOKUP(A589, Clasificaciones!A:B, 2, FALSE), "DATO NO CARGADO"))
</f>
        <v>Equipo</v>
      </c>
      <c r="C589" s="51" t="s">
        <v>166</v>
      </c>
      <c r="D589" s="43">
        <v>2025.0</v>
      </c>
      <c r="E589" s="43" t="s">
        <v>1124</v>
      </c>
      <c r="G589" s="43" t="s">
        <v>1207</v>
      </c>
      <c r="H589" s="43" t="s">
        <v>1133</v>
      </c>
      <c r="I589" s="43" t="s">
        <v>1183</v>
      </c>
      <c r="J589" s="43" t="s">
        <v>211</v>
      </c>
      <c r="K589" s="443">
        <v>30.0</v>
      </c>
      <c r="L589" s="443">
        <v>20.53</v>
      </c>
      <c r="M589" s="443">
        <v>20.53</v>
      </c>
      <c r="N589" s="452">
        <f t="array" ref="N589">IFERROR(
  INDEX(
    'Valor Hora Real y Estimada'!$A$4:$Z$78,
    MATCH(TRIM(CLEAN(A589)), 'Valor Hora Real y Estimada'!$A$4:$A$78, 0),
    MATCH(
      TEXT(C589,"dd mmm")&amp;" "&amp;D589,
      'Valor Hora Real y Estimada'!$A$3:$Z$3,
      0
    ) + 1
  ),
  0
)</f>
        <v>12702.0704</v>
      </c>
      <c r="O589" s="453">
        <f t="shared" si="19"/>
        <v>260773.5053</v>
      </c>
      <c r="P589" s="113"/>
      <c r="Q589" s="106">
        <f>IF(ISBLANK(O589), "", VLOOKUP(C589&amp;" "&amp;D589, 'Info Tipo de Cambio y REM'!$A$24:$B$35, 2, FALSE))</f>
        <v>1345</v>
      </c>
      <c r="R589" s="107">
        <f t="shared" si="2"/>
        <v>193.8836471</v>
      </c>
    </row>
    <row r="590" hidden="1">
      <c r="A590" s="443" t="s">
        <v>229</v>
      </c>
      <c r="B590" s="43" t="str">
        <f>IF(A590="", "", IFERROR(VLOOKUP(A590, Clasificaciones!A:B, 2, FALSE), "DATO NO CARGADO"))
</f>
        <v>Equipo</v>
      </c>
      <c r="C590" s="51" t="s">
        <v>166</v>
      </c>
      <c r="D590" s="43">
        <v>2025.0</v>
      </c>
      <c r="E590" s="43" t="s">
        <v>1130</v>
      </c>
      <c r="G590" s="43" t="s">
        <v>1201</v>
      </c>
      <c r="H590" s="43" t="s">
        <v>208</v>
      </c>
      <c r="J590" s="43" t="s">
        <v>208</v>
      </c>
      <c r="K590" s="443">
        <v>0.0</v>
      </c>
      <c r="L590" s="443">
        <v>53.0</v>
      </c>
      <c r="M590" s="443">
        <v>53.0</v>
      </c>
      <c r="N590" s="452">
        <f t="array" ref="N590">IFERROR(
  INDEX(
    'Valor Hora Real y Estimada'!$A$4:$Z$78,
    MATCH(TRIM(CLEAN(A590)), 'Valor Hora Real y Estimada'!$A$4:$A$78, 0),
    MATCH(
      TEXT(C590,"dd mmm")&amp;" "&amp;D590,
      'Valor Hora Real y Estimada'!$A$3:$Z$3,
      0
    ) + 1
  ),
  0
)</f>
        <v>7500</v>
      </c>
      <c r="O590" s="453">
        <f t="shared" si="19"/>
        <v>397500</v>
      </c>
      <c r="P590" s="113"/>
      <c r="Q590" s="106">
        <f>IF(ISBLANK(O590), "", VLOOKUP(C590&amp;" "&amp;D590, 'Info Tipo de Cambio y REM'!$A$24:$B$35, 2, FALSE))</f>
        <v>1345</v>
      </c>
      <c r="R590" s="107">
        <f t="shared" si="2"/>
        <v>295.5390335</v>
      </c>
    </row>
    <row r="591" hidden="1">
      <c r="A591" s="443" t="s">
        <v>87</v>
      </c>
      <c r="B591" s="43" t="str">
        <f>IF(A591="", "", IFERROR(VLOOKUP(A591, Clasificaciones!A:B, 2, FALSE), "DATO NO CARGADO"))
</f>
        <v>Equipo</v>
      </c>
      <c r="C591" s="51" t="s">
        <v>166</v>
      </c>
      <c r="D591" s="43">
        <v>2025.0</v>
      </c>
      <c r="E591" s="43" t="s">
        <v>1124</v>
      </c>
      <c r="G591" s="43" t="s">
        <v>1203</v>
      </c>
      <c r="H591" s="43" t="s">
        <v>1133</v>
      </c>
      <c r="I591" s="43" t="s">
        <v>1204</v>
      </c>
      <c r="J591" s="43" t="s">
        <v>132</v>
      </c>
      <c r="K591" s="443">
        <v>25.0</v>
      </c>
      <c r="L591" s="443">
        <v>55.17</v>
      </c>
      <c r="M591" s="443">
        <v>55.17</v>
      </c>
      <c r="N591" s="452">
        <f t="array" ref="N591">IFERROR(
  INDEX(
    'Valor Hora Real y Estimada'!$A$4:$Z$78,
    MATCH(TRIM(CLEAN(A591)), 'Valor Hora Real y Estimada'!$A$4:$A$78, 0),
    MATCH(
      TEXT(C591,"dd mmm")&amp;" "&amp;D591,
      'Valor Hora Real y Estimada'!$A$3:$Z$3,
      0
    ) + 1
  ),
  0
)</f>
        <v>11558.8</v>
      </c>
      <c r="O591" s="453">
        <f t="shared" si="19"/>
        <v>637698.996</v>
      </c>
      <c r="P591" s="113"/>
      <c r="Q591" s="106">
        <f>IF(ISBLANK(O591), "", VLOOKUP(C591&amp;" "&amp;D591, 'Info Tipo de Cambio y REM'!$A$24:$B$35, 2, FALSE))</f>
        <v>1345</v>
      </c>
      <c r="R591" s="107">
        <f t="shared" si="2"/>
        <v>474.1256476</v>
      </c>
    </row>
    <row r="592" hidden="1">
      <c r="A592" s="443" t="s">
        <v>87</v>
      </c>
      <c r="B592" s="43" t="str">
        <f>IF(A592="", "", IFERROR(VLOOKUP(A592, Clasificaciones!A:B, 2, FALSE), "DATO NO CARGADO"))
</f>
        <v>Equipo</v>
      </c>
      <c r="C592" s="51" t="s">
        <v>166</v>
      </c>
      <c r="D592" s="43">
        <v>2025.0</v>
      </c>
      <c r="E592" s="43" t="s">
        <v>1130</v>
      </c>
      <c r="G592" s="43" t="s">
        <v>1201</v>
      </c>
      <c r="H592" s="43" t="s">
        <v>208</v>
      </c>
      <c r="J592" s="43" t="s">
        <v>208</v>
      </c>
      <c r="K592" s="443">
        <v>0.0</v>
      </c>
      <c r="L592" s="443">
        <f t="shared" ref="L592:M592" si="23">38.6+1.55</f>
        <v>40.15</v>
      </c>
      <c r="M592" s="443">
        <f t="shared" si="23"/>
        <v>40.15</v>
      </c>
      <c r="N592" s="452">
        <f t="array" ref="N592">IFERROR(
  INDEX(
    'Valor Hora Real y Estimada'!$A$4:$Z$78,
    MATCH(TRIM(CLEAN(A592)), 'Valor Hora Real y Estimada'!$A$4:$A$78, 0),
    MATCH(
      TEXT(C592,"dd mmm")&amp;" "&amp;D592,
      'Valor Hora Real y Estimada'!$A$3:$Z$3,
      0
    ) + 1
  ),
  0
)</f>
        <v>11558.8</v>
      </c>
      <c r="O592" s="453">
        <f t="shared" si="19"/>
        <v>464085.82</v>
      </c>
      <c r="P592" s="113"/>
      <c r="Q592" s="106">
        <f>IF(ISBLANK(O592), "", VLOOKUP(C592&amp;" "&amp;D592, 'Info Tipo de Cambio y REM'!$A$24:$B$35, 2, FALSE))</f>
        <v>1345</v>
      </c>
      <c r="R592" s="107">
        <f t="shared" si="2"/>
        <v>345.0452193</v>
      </c>
    </row>
    <row r="593">
      <c r="A593" s="443" t="s">
        <v>87</v>
      </c>
      <c r="B593" s="43" t="str">
        <f>IF(A593="", "", IFERROR(VLOOKUP(A593, Clasificaciones!A:B, 2, FALSE), "DATO NO CARGADO"))
</f>
        <v>Equipo</v>
      </c>
      <c r="C593" s="51" t="s">
        <v>166</v>
      </c>
      <c r="D593" s="43">
        <v>2025.0</v>
      </c>
      <c r="E593" s="43" t="s">
        <v>1124</v>
      </c>
      <c r="G593" s="121" t="s">
        <v>1202</v>
      </c>
      <c r="H593" s="43" t="s">
        <v>1126</v>
      </c>
      <c r="I593" s="43" t="s">
        <v>1129</v>
      </c>
      <c r="J593" s="43" t="s">
        <v>183</v>
      </c>
      <c r="K593" s="443">
        <v>20.0</v>
      </c>
      <c r="L593" s="443">
        <v>6.03</v>
      </c>
      <c r="M593" s="443">
        <v>6.03</v>
      </c>
      <c r="N593" s="452">
        <f t="array" ref="N593">IFERROR(
  INDEX(
    'Valor Hora Real y Estimada'!$A$4:$Z$78,
    MATCH(TRIM(CLEAN(A593)), 'Valor Hora Real y Estimada'!$A$4:$A$78, 0),
    MATCH(
      TEXT(C593,"dd mmm")&amp;" "&amp;D593,
      'Valor Hora Real y Estimada'!$A$3:$Z$3,
      0
    ) + 1
  ),
  0
)</f>
        <v>11558.8</v>
      </c>
      <c r="O593" s="453">
        <f t="shared" si="19"/>
        <v>69699.564</v>
      </c>
      <c r="P593" s="113"/>
      <c r="Q593" s="106">
        <f>IF(ISBLANK(O593), "", VLOOKUP(C593&amp;" "&amp;D593, 'Info Tipo de Cambio y REM'!$A$24:$B$35, 2, FALSE))</f>
        <v>1345</v>
      </c>
      <c r="R593" s="107">
        <f t="shared" si="2"/>
        <v>51.82123717</v>
      </c>
    </row>
    <row r="594" hidden="1">
      <c r="A594" s="443" t="s">
        <v>210</v>
      </c>
      <c r="B594" s="43" t="str">
        <f>IF(A594="", "", IFERROR(VLOOKUP(A594, Clasificaciones!A:B, 2, FALSE), "DATO NO CARGADO"))
</f>
        <v>Equipo</v>
      </c>
      <c r="C594" s="51" t="s">
        <v>166</v>
      </c>
      <c r="D594" s="43">
        <v>2025.0</v>
      </c>
      <c r="E594" s="43" t="s">
        <v>1124</v>
      </c>
      <c r="G594" s="43" t="s">
        <v>1174</v>
      </c>
      <c r="H594" s="43" t="s">
        <v>1133</v>
      </c>
      <c r="I594" s="43" t="s">
        <v>1175</v>
      </c>
      <c r="J594" s="43" t="s">
        <v>209</v>
      </c>
      <c r="K594" s="443">
        <v>0.0</v>
      </c>
      <c r="L594" s="451">
        <v>11.0</v>
      </c>
      <c r="M594" s="443">
        <v>11.0</v>
      </c>
      <c r="N594" s="452">
        <f t="array" ref="N594">IFERROR(
  INDEX(
    'Valor Hora Real y Estimada'!$A$4:$Z$78,
    MATCH(TRIM(CLEAN(A594)), 'Valor Hora Real y Estimada'!$A$4:$A$78, 0),
    MATCH(
      TEXT(C594,"dd mmm")&amp;" "&amp;D594,
      'Valor Hora Real y Estimada'!$A$3:$Z$3,
      0
    ) + 1
  ),
  0
)</f>
        <v>18017</v>
      </c>
      <c r="O594" s="453">
        <f t="shared" si="19"/>
        <v>198187</v>
      </c>
      <c r="P594" s="113"/>
      <c r="Q594" s="106">
        <f>IF(ISBLANK(O594), "", VLOOKUP(C594&amp;" "&amp;D594, 'Info Tipo de Cambio y REM'!$A$24:$B$35, 2, FALSE))</f>
        <v>1345</v>
      </c>
      <c r="R594" s="107">
        <f t="shared" si="2"/>
        <v>147.3509294</v>
      </c>
    </row>
    <row r="595" hidden="1">
      <c r="A595" s="443" t="s">
        <v>210</v>
      </c>
      <c r="B595" s="43" t="str">
        <f>IF(A595="", "", IFERROR(VLOOKUP(A595, Clasificaciones!A:B, 2, FALSE), "DATO NO CARGADO"))
</f>
        <v>Equipo</v>
      </c>
      <c r="C595" s="51" t="s">
        <v>166</v>
      </c>
      <c r="D595" s="43">
        <v>2025.0</v>
      </c>
      <c r="E595" s="43" t="s">
        <v>1124</v>
      </c>
      <c r="G595" s="43" t="s">
        <v>1207</v>
      </c>
      <c r="H595" s="43" t="s">
        <v>1133</v>
      </c>
      <c r="I595" s="43" t="s">
        <v>1183</v>
      </c>
      <c r="J595" s="43" t="s">
        <v>211</v>
      </c>
      <c r="K595" s="443">
        <v>4.0</v>
      </c>
      <c r="L595" s="451">
        <v>6.0</v>
      </c>
      <c r="M595" s="443">
        <v>6.0</v>
      </c>
      <c r="N595" s="452">
        <f t="array" ref="N595">IFERROR(
  INDEX(
    'Valor Hora Real y Estimada'!$A$4:$Z$78,
    MATCH(TRIM(CLEAN(A595)), 'Valor Hora Real y Estimada'!$A$4:$A$78, 0),
    MATCH(
      TEXT(C595,"dd mmm")&amp;" "&amp;D595,
      'Valor Hora Real y Estimada'!$A$3:$Z$3,
      0
    ) + 1
  ),
  0
)</f>
        <v>18017</v>
      </c>
      <c r="O595" s="453">
        <f t="shared" si="19"/>
        <v>108102</v>
      </c>
      <c r="P595" s="113"/>
      <c r="Q595" s="106">
        <f>IF(ISBLANK(O595), "", VLOOKUP(C595&amp;" "&amp;D595, 'Info Tipo de Cambio y REM'!$A$24:$B$35, 2, FALSE))</f>
        <v>1345</v>
      </c>
      <c r="R595" s="107">
        <f t="shared" si="2"/>
        <v>80.3732342</v>
      </c>
    </row>
    <row r="596">
      <c r="A596" s="443" t="s">
        <v>210</v>
      </c>
      <c r="B596" s="43" t="str">
        <f>IF(A596="", "", IFERROR(VLOOKUP(A596, Clasificaciones!A:B, 2, FALSE), "DATO NO CARGADO"))
</f>
        <v>Equipo</v>
      </c>
      <c r="C596" s="51" t="s">
        <v>166</v>
      </c>
      <c r="D596" s="43">
        <v>2025.0</v>
      </c>
      <c r="E596" s="43" t="s">
        <v>1124</v>
      </c>
      <c r="G596" s="121" t="s">
        <v>1202</v>
      </c>
      <c r="H596" s="43" t="s">
        <v>1126</v>
      </c>
      <c r="I596" s="43" t="s">
        <v>1129</v>
      </c>
      <c r="J596" s="43" t="s">
        <v>183</v>
      </c>
      <c r="K596" s="443">
        <v>3.0</v>
      </c>
      <c r="L596" s="443">
        <v>2.75</v>
      </c>
      <c r="M596" s="443">
        <v>2.75</v>
      </c>
      <c r="N596" s="452">
        <f t="array" ref="N596">IFERROR(
  INDEX(
    'Valor Hora Real y Estimada'!$A$4:$Z$78,
    MATCH(TRIM(CLEAN(A596)), 'Valor Hora Real y Estimada'!$A$4:$A$78, 0),
    MATCH(
      TEXT(C596,"dd mmm")&amp;" "&amp;D596,
      'Valor Hora Real y Estimada'!$A$3:$Z$3,
      0
    ) + 1
  ),
  0
)</f>
        <v>18017</v>
      </c>
      <c r="O596" s="453">
        <f t="shared" si="19"/>
        <v>49546.75</v>
      </c>
      <c r="P596" s="113"/>
      <c r="Q596" s="106">
        <f>IF(ISBLANK(O596), "", VLOOKUP(C596&amp;" "&amp;D596, 'Info Tipo de Cambio y REM'!$A$24:$B$35, 2, FALSE))</f>
        <v>1345</v>
      </c>
      <c r="R596" s="107">
        <f t="shared" si="2"/>
        <v>36.83773234</v>
      </c>
    </row>
    <row r="597" hidden="1">
      <c r="A597" s="443" t="s">
        <v>210</v>
      </c>
      <c r="B597" s="43" t="str">
        <f>IF(A597="", "", IFERROR(VLOOKUP(A597, Clasificaciones!A:B, 2, FALSE), "DATO NO CARGADO"))
</f>
        <v>Equipo</v>
      </c>
      <c r="C597" s="51" t="s">
        <v>166</v>
      </c>
      <c r="D597" s="43">
        <v>2025.0</v>
      </c>
      <c r="E597" s="43" t="s">
        <v>1130</v>
      </c>
      <c r="G597" s="43" t="s">
        <v>1201</v>
      </c>
      <c r="H597" s="43" t="s">
        <v>208</v>
      </c>
      <c r="J597" s="43" t="s">
        <v>208</v>
      </c>
      <c r="K597" s="443">
        <v>0.0</v>
      </c>
      <c r="L597" s="451">
        <v>2.0</v>
      </c>
      <c r="M597" s="443">
        <v>2.0</v>
      </c>
      <c r="N597" s="452">
        <f t="array" ref="N597">IFERROR(
  INDEX(
    'Valor Hora Real y Estimada'!$A$4:$Z$78,
    MATCH(TRIM(CLEAN(A597)), 'Valor Hora Real y Estimada'!$A$4:$A$78, 0),
    MATCH(
      TEXT(C597,"dd mmm")&amp;" "&amp;D597,
      'Valor Hora Real y Estimada'!$A$3:$Z$3,
      0
    ) + 1
  ),
  0
)</f>
        <v>18017</v>
      </c>
      <c r="O597" s="453">
        <f t="shared" si="19"/>
        <v>36034</v>
      </c>
      <c r="P597" s="113"/>
      <c r="Q597" s="106">
        <f>IF(ISBLANK(O597), "", VLOOKUP(C597&amp;" "&amp;D597, 'Info Tipo de Cambio y REM'!$A$24:$B$35, 2, FALSE))</f>
        <v>1345</v>
      </c>
      <c r="R597" s="107">
        <f t="shared" si="2"/>
        <v>26.79107807</v>
      </c>
    </row>
    <row r="598" hidden="1">
      <c r="A598" s="443" t="s">
        <v>210</v>
      </c>
      <c r="B598" s="43" t="str">
        <f>IF(A598="", "", IFERROR(VLOOKUP(A598, Clasificaciones!A:B, 2, FALSE), "DATO NO CARGADO"))
</f>
        <v>Equipo</v>
      </c>
      <c r="C598" s="51" t="s">
        <v>166</v>
      </c>
      <c r="D598" s="43">
        <v>2025.0</v>
      </c>
      <c r="E598" s="43" t="s">
        <v>1130</v>
      </c>
      <c r="G598" s="43" t="s">
        <v>1205</v>
      </c>
      <c r="H598" s="43" t="s">
        <v>1160</v>
      </c>
      <c r="I598" s="43" t="s">
        <v>1206</v>
      </c>
      <c r="J598" s="43" t="s">
        <v>208</v>
      </c>
      <c r="K598" s="443">
        <v>0.0</v>
      </c>
      <c r="L598" s="451">
        <v>2.0</v>
      </c>
      <c r="M598" s="443">
        <v>2.0</v>
      </c>
      <c r="N598" s="452">
        <f t="array" ref="N598">IFERROR(
  INDEX(
    'Valor Hora Real y Estimada'!$A$4:$Z$78,
    MATCH(TRIM(CLEAN(A598)), 'Valor Hora Real y Estimada'!$A$4:$A$78, 0),
    MATCH(
      TEXT(C598,"dd mmm")&amp;" "&amp;D598,
      'Valor Hora Real y Estimada'!$A$3:$Z$3,
      0
    ) + 1
  ),
  0
)</f>
        <v>18017</v>
      </c>
      <c r="O598" s="453">
        <f t="shared" si="19"/>
        <v>36034</v>
      </c>
      <c r="P598" s="113"/>
      <c r="Q598" s="106">
        <f>IF(ISBLANK(O598), "", VLOOKUP(C598&amp;" "&amp;D598, 'Info Tipo de Cambio y REM'!$A$24:$B$35, 2, FALSE))</f>
        <v>1345</v>
      </c>
      <c r="R598" s="107">
        <f t="shared" si="2"/>
        <v>26.79107807</v>
      </c>
    </row>
    <row r="599" hidden="1">
      <c r="A599" s="443" t="s">
        <v>210</v>
      </c>
      <c r="B599" s="43" t="str">
        <f>IF(A599="", "", IFERROR(VLOOKUP(A599, Clasificaciones!A:B, 2, FALSE), "DATO NO CARGADO"))
</f>
        <v>Equipo</v>
      </c>
      <c r="C599" s="51" t="s">
        <v>166</v>
      </c>
      <c r="D599" s="43">
        <v>2025.0</v>
      </c>
      <c r="E599" s="43" t="s">
        <v>1124</v>
      </c>
      <c r="G599" s="43" t="s">
        <v>1203</v>
      </c>
      <c r="H599" s="43" t="s">
        <v>1133</v>
      </c>
      <c r="I599" s="43" t="s">
        <v>1204</v>
      </c>
      <c r="J599" s="43" t="s">
        <v>132</v>
      </c>
      <c r="K599" s="443">
        <v>2.0</v>
      </c>
      <c r="L599" s="451">
        <v>1.0</v>
      </c>
      <c r="M599" s="443">
        <v>1.0</v>
      </c>
      <c r="N599" s="452">
        <f t="array" ref="N599">IFERROR(
  INDEX(
    'Valor Hora Real y Estimada'!$A$4:$Z$78,
    MATCH(TRIM(CLEAN(A599)), 'Valor Hora Real y Estimada'!$A$4:$A$78, 0),
    MATCH(
      TEXT(C599,"dd mmm")&amp;" "&amp;D599,
      'Valor Hora Real y Estimada'!$A$3:$Z$3,
      0
    ) + 1
  ),
  0
)</f>
        <v>18017</v>
      </c>
      <c r="O599" s="453">
        <f t="shared" si="19"/>
        <v>18017</v>
      </c>
      <c r="P599" s="113"/>
      <c r="Q599" s="106">
        <f>IF(ISBLANK(O599), "", VLOOKUP(C599&amp;" "&amp;D599, 'Info Tipo de Cambio y REM'!$A$24:$B$35, 2, FALSE))</f>
        <v>1345</v>
      </c>
      <c r="R599" s="107">
        <f t="shared" si="2"/>
        <v>13.39553903</v>
      </c>
    </row>
    <row r="600">
      <c r="A600" s="443" t="s">
        <v>221</v>
      </c>
      <c r="B600" s="43" t="str">
        <f>IF(A600="", "", IFERROR(VLOOKUP(A600, Clasificaciones!A:B, 2, FALSE), "DATO NO CARGADO"))
</f>
        <v>Equipo</v>
      </c>
      <c r="C600" s="51" t="s">
        <v>166</v>
      </c>
      <c r="D600" s="43">
        <v>2025.0</v>
      </c>
      <c r="E600" s="43" t="s">
        <v>1124</v>
      </c>
      <c r="G600" s="121" t="s">
        <v>1202</v>
      </c>
      <c r="H600" s="43" t="s">
        <v>1126</v>
      </c>
      <c r="I600" s="43" t="s">
        <v>1129</v>
      </c>
      <c r="J600" s="43" t="s">
        <v>183</v>
      </c>
      <c r="K600" s="443">
        <v>70.0</v>
      </c>
      <c r="L600" s="443">
        <v>49.75</v>
      </c>
      <c r="M600" s="443">
        <v>49.75</v>
      </c>
      <c r="N600" s="452">
        <f t="array" ref="N600">IFERROR(
  INDEX(
    'Valor Hora Real y Estimada'!$A$4:$Z$78,
    MATCH(TRIM(CLEAN(A600)), 'Valor Hora Real y Estimada'!$A$4:$A$78, 0),
    MATCH(
      TEXT(C600,"dd mmm")&amp;" "&amp;D600,
      'Valor Hora Real y Estimada'!$A$3:$Z$3,
      0
    ) + 1
  ),
  0
)</f>
        <v>11859.48</v>
      </c>
      <c r="O600" s="453">
        <f t="shared" si="19"/>
        <v>590009.13</v>
      </c>
      <c r="P600" s="113"/>
      <c r="Q600" s="106">
        <f>IF(ISBLANK(O600), "", VLOOKUP(C600&amp;" "&amp;D600, 'Info Tipo de Cambio y REM'!$A$24:$B$35, 2, FALSE))</f>
        <v>1345</v>
      </c>
      <c r="R600" s="107">
        <f t="shared" si="2"/>
        <v>438.6684981</v>
      </c>
    </row>
    <row r="601" hidden="1">
      <c r="A601" s="443" t="s">
        <v>221</v>
      </c>
      <c r="B601" s="43" t="str">
        <f>IF(A601="", "", IFERROR(VLOOKUP(A601, Clasificaciones!A:B, 2, FALSE), "DATO NO CARGADO"))
</f>
        <v>Equipo</v>
      </c>
      <c r="C601" s="51" t="s">
        <v>166</v>
      </c>
      <c r="D601" s="43">
        <v>2025.0</v>
      </c>
      <c r="E601" s="43" t="s">
        <v>1130</v>
      </c>
      <c r="G601" s="43" t="s">
        <v>1201</v>
      </c>
      <c r="H601" s="43" t="s">
        <v>208</v>
      </c>
      <c r="J601" s="43" t="s">
        <v>208</v>
      </c>
      <c r="K601" s="443">
        <v>0.0</v>
      </c>
      <c r="L601" s="451">
        <v>0.75</v>
      </c>
      <c r="M601" s="450">
        <f>160-M600</f>
        <v>110.25</v>
      </c>
      <c r="N601" s="452">
        <f t="array" ref="N601">IFERROR(
  INDEX(
    'Valor Hora Real y Estimada'!$A$4:$Z$78,
    MATCH(TRIM(CLEAN(A601)), 'Valor Hora Real y Estimada'!$A$4:$A$78, 0),
    MATCH(
      TEXT(C601,"dd mmm")&amp;" "&amp;D601,
      'Valor Hora Real y Estimada'!$A$3:$Z$3,
      0
    ) + 1
  ),
  0
)</f>
        <v>11859.48</v>
      </c>
      <c r="O601" s="453">
        <f t="shared" si="19"/>
        <v>1307507.67</v>
      </c>
      <c r="P601" s="113"/>
      <c r="Q601" s="106">
        <f>IF(ISBLANK(O601), "", VLOOKUP(C601&amp;" "&amp;D601, 'Info Tipo de Cambio y REM'!$A$24:$B$35, 2, FALSE))</f>
        <v>1345</v>
      </c>
      <c r="R601" s="107">
        <f t="shared" si="2"/>
        <v>972.1246617</v>
      </c>
    </row>
    <row r="602" hidden="1">
      <c r="A602" s="443" t="s">
        <v>197</v>
      </c>
      <c r="B602" s="43" t="str">
        <f>IF(A602="", "", IFERROR(VLOOKUP(A602, Clasificaciones!A:B, 2, FALSE), "DATO NO CARGADO"))
</f>
        <v>Equipo</v>
      </c>
      <c r="C602" s="51" t="s">
        <v>166</v>
      </c>
      <c r="D602" s="43">
        <v>2025.0</v>
      </c>
      <c r="E602" s="43" t="s">
        <v>1124</v>
      </c>
      <c r="G602" s="43" t="s">
        <v>1203</v>
      </c>
      <c r="H602" s="43" t="s">
        <v>1133</v>
      </c>
      <c r="I602" s="43" t="s">
        <v>1204</v>
      </c>
      <c r="J602" s="43" t="s">
        <v>132</v>
      </c>
      <c r="K602" s="443">
        <v>5.0</v>
      </c>
      <c r="L602" s="443">
        <v>70.08</v>
      </c>
      <c r="M602" s="443">
        <v>70.08</v>
      </c>
      <c r="N602" s="452">
        <f t="array" ref="N602">IFERROR(
  INDEX(
    'Valor Hora Real y Estimada'!$A$4:$Z$78,
    MATCH(TRIM(CLEAN(A602)), 'Valor Hora Real y Estimada'!$A$4:$A$78, 0),
    MATCH(
      TEXT(C602,"dd mmm")&amp;" "&amp;D602,
      'Valor Hora Real y Estimada'!$A$3:$Z$3,
      0
    ) + 1
  ),
  0
)</f>
        <v>13390.3444</v>
      </c>
      <c r="O602" s="453">
        <f t="shared" si="19"/>
        <v>938395.3356</v>
      </c>
      <c r="P602" s="113"/>
      <c r="Q602" s="106">
        <f>IF(ISBLANK(O602), "", VLOOKUP(C602&amp;" "&amp;D602, 'Info Tipo de Cambio y REM'!$A$24:$B$35, 2, FALSE))</f>
        <v>1345</v>
      </c>
      <c r="R602" s="107">
        <f t="shared" si="2"/>
        <v>697.6916993</v>
      </c>
    </row>
    <row r="603" hidden="1">
      <c r="A603" s="443" t="s">
        <v>197</v>
      </c>
      <c r="B603" s="43" t="str">
        <f>IF(A603="", "", IFERROR(VLOOKUP(A603, Clasificaciones!A:B, 2, FALSE), "DATO NO CARGADO"))
</f>
        <v>Equipo</v>
      </c>
      <c r="C603" s="51" t="s">
        <v>166</v>
      </c>
      <c r="D603" s="43">
        <v>2025.0</v>
      </c>
      <c r="E603" s="43" t="s">
        <v>1124</v>
      </c>
      <c r="G603" s="43" t="s">
        <v>1199</v>
      </c>
      <c r="H603" s="43" t="s">
        <v>1126</v>
      </c>
      <c r="I603" s="43" t="s">
        <v>1168</v>
      </c>
      <c r="J603" s="43" t="s">
        <v>204</v>
      </c>
      <c r="K603" s="443">
        <v>40.0</v>
      </c>
      <c r="L603" s="443">
        <v>40.0</v>
      </c>
      <c r="M603" s="443">
        <v>40.0</v>
      </c>
      <c r="N603" s="452">
        <f t="array" ref="N603">IFERROR(
  INDEX(
    'Valor Hora Real y Estimada'!$A$4:$Z$78,
    MATCH(TRIM(CLEAN(A603)), 'Valor Hora Real y Estimada'!$A$4:$A$78, 0),
    MATCH(
      TEXT(C603,"dd mmm")&amp;" "&amp;D603,
      'Valor Hora Real y Estimada'!$A$3:$Z$3,
      0
    ) + 1
  ),
  0
)</f>
        <v>13390.3444</v>
      </c>
      <c r="O603" s="453">
        <f t="shared" si="19"/>
        <v>535613.776</v>
      </c>
      <c r="P603" s="113"/>
      <c r="Q603" s="106">
        <f>IF(ISBLANK(O603), "", VLOOKUP(C603&amp;" "&amp;D603, 'Info Tipo de Cambio y REM'!$A$24:$B$35, 2, FALSE))</f>
        <v>1345</v>
      </c>
      <c r="R603" s="107">
        <f t="shared" si="2"/>
        <v>398.2258558</v>
      </c>
    </row>
    <row r="604" hidden="1">
      <c r="A604" s="443" t="s">
        <v>197</v>
      </c>
      <c r="B604" s="43" t="str">
        <f>IF(A604="", "", IFERROR(VLOOKUP(A604, Clasificaciones!A:B, 2, FALSE), "DATO NO CARGADO"))
</f>
        <v>Equipo</v>
      </c>
      <c r="C604" s="51" t="s">
        <v>166</v>
      </c>
      <c r="D604" s="43">
        <v>2025.0</v>
      </c>
      <c r="E604" s="43" t="s">
        <v>1124</v>
      </c>
      <c r="G604" s="43" t="s">
        <v>1171</v>
      </c>
      <c r="H604" s="43" t="s">
        <v>1133</v>
      </c>
      <c r="I604" s="43" t="s">
        <v>1165</v>
      </c>
      <c r="J604" s="43" t="s">
        <v>199</v>
      </c>
      <c r="K604" s="443">
        <v>50.0</v>
      </c>
      <c r="L604" s="443">
        <v>18.58</v>
      </c>
      <c r="M604" s="443">
        <v>18.58</v>
      </c>
      <c r="N604" s="452">
        <f t="array" ref="N604">IFERROR(
  INDEX(
    'Valor Hora Real y Estimada'!$A$4:$Z$78,
    MATCH(TRIM(CLEAN(A604)), 'Valor Hora Real y Estimada'!$A$4:$A$78, 0),
    MATCH(
      TEXT(C604,"dd mmm")&amp;" "&amp;D604,
      'Valor Hora Real y Estimada'!$A$3:$Z$3,
      0
    ) + 1
  ),
  0
)</f>
        <v>13390.3444</v>
      </c>
      <c r="O604" s="453">
        <f t="shared" si="19"/>
        <v>248792.599</v>
      </c>
      <c r="P604" s="113"/>
      <c r="Q604" s="106">
        <f>IF(ISBLANK(O604), "", VLOOKUP(C604&amp;" "&amp;D604, 'Info Tipo de Cambio y REM'!$A$24:$B$35, 2, FALSE))</f>
        <v>1345</v>
      </c>
      <c r="R604" s="107">
        <f t="shared" si="2"/>
        <v>184.97591</v>
      </c>
    </row>
    <row r="605" hidden="1">
      <c r="A605" s="443" t="s">
        <v>197</v>
      </c>
      <c r="B605" s="43" t="str">
        <f>IF(A605="", "", IFERROR(VLOOKUP(A605, Clasificaciones!A:B, 2, FALSE), "DATO NO CARGADO"))
</f>
        <v>Equipo</v>
      </c>
      <c r="C605" s="51" t="s">
        <v>166</v>
      </c>
      <c r="D605" s="43">
        <v>2025.0</v>
      </c>
      <c r="E605" s="43" t="s">
        <v>1130</v>
      </c>
      <c r="G605" s="43" t="s">
        <v>1205</v>
      </c>
      <c r="H605" s="43" t="s">
        <v>1160</v>
      </c>
      <c r="I605" s="43" t="s">
        <v>1206</v>
      </c>
      <c r="J605" s="43" t="s">
        <v>208</v>
      </c>
      <c r="K605" s="443">
        <v>0.0</v>
      </c>
      <c r="L605" s="443">
        <v>8.33</v>
      </c>
      <c r="M605" s="443">
        <v>8.33</v>
      </c>
      <c r="N605" s="452">
        <f t="array" ref="N605">IFERROR(
  INDEX(
    'Valor Hora Real y Estimada'!$A$4:$Z$78,
    MATCH(TRIM(CLEAN(A605)), 'Valor Hora Real y Estimada'!$A$4:$A$78, 0),
    MATCH(
      TEXT(C605,"dd mmm")&amp;" "&amp;D605,
      'Valor Hora Real y Estimada'!$A$3:$Z$3,
      0
    ) + 1
  ),
  0
)</f>
        <v>13390.3444</v>
      </c>
      <c r="O605" s="453">
        <f t="shared" si="19"/>
        <v>111541.5689</v>
      </c>
      <c r="P605" s="113"/>
      <c r="Q605" s="106">
        <f>IF(ISBLANK(O605), "", VLOOKUP(C605&amp;" "&amp;D605, 'Info Tipo de Cambio y REM'!$A$24:$B$35, 2, FALSE))</f>
        <v>1345</v>
      </c>
      <c r="R605" s="107">
        <f t="shared" si="2"/>
        <v>82.93053446</v>
      </c>
    </row>
    <row r="606" hidden="1">
      <c r="A606" s="443" t="s">
        <v>197</v>
      </c>
      <c r="B606" s="43" t="str">
        <f>IF(A606="", "", IFERROR(VLOOKUP(A606, Clasificaciones!A:B, 2, FALSE), "DATO NO CARGADO"))
</f>
        <v>Equipo</v>
      </c>
      <c r="C606" s="51" t="s">
        <v>166</v>
      </c>
      <c r="D606" s="43">
        <v>2025.0</v>
      </c>
      <c r="E606" s="43" t="s">
        <v>1124</v>
      </c>
      <c r="G606" s="43" t="s">
        <v>1208</v>
      </c>
      <c r="H606" s="43" t="s">
        <v>1126</v>
      </c>
      <c r="I606" s="43" t="s">
        <v>1164</v>
      </c>
      <c r="J606" s="43" t="s">
        <v>180</v>
      </c>
      <c r="K606" s="443">
        <v>45.0</v>
      </c>
      <c r="L606" s="451">
        <v>4.0</v>
      </c>
      <c r="M606" s="443">
        <v>4.0</v>
      </c>
      <c r="N606" s="452">
        <f t="array" ref="N606">IFERROR(
  INDEX(
    'Valor Hora Real y Estimada'!$A$4:$Z$78,
    MATCH(TRIM(CLEAN(A606)), 'Valor Hora Real y Estimada'!$A$4:$A$78, 0),
    MATCH(
      TEXT(C606,"dd mmm")&amp;" "&amp;D606,
      'Valor Hora Real y Estimada'!$A$3:$Z$3,
      0
    ) + 1
  ),
  0
)</f>
        <v>13390.3444</v>
      </c>
      <c r="O606" s="453">
        <f t="shared" si="19"/>
        <v>53561.3776</v>
      </c>
      <c r="P606" s="113"/>
      <c r="Q606" s="106">
        <f>IF(ISBLANK(O606), "", VLOOKUP(C606&amp;" "&amp;D606, 'Info Tipo de Cambio y REM'!$A$24:$B$35, 2, FALSE))</f>
        <v>1345</v>
      </c>
      <c r="R606" s="107">
        <f t="shared" si="2"/>
        <v>39.82258558</v>
      </c>
    </row>
    <row r="607" hidden="1">
      <c r="A607" s="443" t="s">
        <v>197</v>
      </c>
      <c r="B607" s="43" t="str">
        <f>IF(A607="", "", IFERROR(VLOOKUP(A607, Clasificaciones!A:B, 2, FALSE), "DATO NO CARGADO"))
</f>
        <v>Equipo</v>
      </c>
      <c r="C607" s="51" t="s">
        <v>166</v>
      </c>
      <c r="D607" s="43">
        <v>2025.0</v>
      </c>
      <c r="E607" s="43" t="s">
        <v>1130</v>
      </c>
      <c r="G607" s="43" t="s">
        <v>1201</v>
      </c>
      <c r="H607" s="43" t="s">
        <v>208</v>
      </c>
      <c r="J607" s="43" t="s">
        <v>208</v>
      </c>
      <c r="K607" s="443">
        <v>0.0</v>
      </c>
      <c r="L607" s="443">
        <v>19.17</v>
      </c>
      <c r="M607" s="443">
        <f>160-M606-M605-M604-M603-M602</f>
        <v>19.01</v>
      </c>
      <c r="N607" s="452">
        <f t="array" ref="N607">IFERROR(
  INDEX(
    'Valor Hora Real y Estimada'!$A$4:$Z$78,
    MATCH(TRIM(CLEAN(A607)), 'Valor Hora Real y Estimada'!$A$4:$A$78, 0),
    MATCH(
      TEXT(C607,"dd mmm")&amp;" "&amp;D607,
      'Valor Hora Real y Estimada'!$A$3:$Z$3,
      0
    ) + 1
  ),
  0
)</f>
        <v>13390.3444</v>
      </c>
      <c r="O607" s="453">
        <f t="shared" si="19"/>
        <v>254550.447</v>
      </c>
      <c r="P607" s="113"/>
      <c r="Q607" s="106">
        <f>IF(ISBLANK(O607), "", VLOOKUP(C607&amp;" "&amp;D607, 'Info Tipo de Cambio y REM'!$A$24:$B$35, 2, FALSE))</f>
        <v>1345</v>
      </c>
      <c r="R607" s="107">
        <f t="shared" si="2"/>
        <v>189.256838</v>
      </c>
    </row>
    <row r="608">
      <c r="A608" s="443" t="s">
        <v>228</v>
      </c>
      <c r="B608" s="43" t="str">
        <f>IF(A608="", "", IFERROR(VLOOKUP(A608, Clasificaciones!A:B, 2, FALSE), "DATO NO CARGADO"))
</f>
        <v>Equipo</v>
      </c>
      <c r="C608" s="51" t="s">
        <v>166</v>
      </c>
      <c r="D608" s="43">
        <v>2025.0</v>
      </c>
      <c r="E608" s="43" t="s">
        <v>1124</v>
      </c>
      <c r="G608" s="121" t="s">
        <v>1202</v>
      </c>
      <c r="H608" s="43" t="s">
        <v>1126</v>
      </c>
      <c r="I608" s="43" t="s">
        <v>1129</v>
      </c>
      <c r="J608" s="43" t="s">
        <v>183</v>
      </c>
      <c r="K608" s="443">
        <v>40.0</v>
      </c>
      <c r="L608" s="450">
        <f t="shared" ref="L608:M608" si="24">42.15+13.07</f>
        <v>55.22</v>
      </c>
      <c r="M608" s="450">
        <f t="shared" si="24"/>
        <v>55.22</v>
      </c>
      <c r="N608" s="452">
        <f t="array" ref="N608">IFERROR(
  INDEX(
    'Valor Hora Real y Estimada'!$A$4:$Z$78,
    MATCH(TRIM(CLEAN(A608)), 'Valor Hora Real y Estimada'!$A$4:$A$78, 0),
    MATCH(
      TEXT(C608,"dd mmm")&amp;" "&amp;D608,
      'Valor Hora Real y Estimada'!$A$3:$Z$3,
      0
    ) + 1
  ),
  0
)</f>
        <v>19602</v>
      </c>
      <c r="O608" s="453">
        <f t="shared" si="19"/>
        <v>1082422.44</v>
      </c>
      <c r="P608" s="113"/>
      <c r="Q608" s="106">
        <f>IF(ISBLANK(O608), "", VLOOKUP(C608&amp;" "&amp;D608, 'Info Tipo de Cambio y REM'!$A$24:$B$35, 2, FALSE))</f>
        <v>1345</v>
      </c>
      <c r="R608" s="107">
        <f t="shared" si="2"/>
        <v>804.7750483</v>
      </c>
    </row>
    <row r="609" hidden="1">
      <c r="A609" s="443" t="s">
        <v>228</v>
      </c>
      <c r="B609" s="43" t="str">
        <f>IF(A609="", "", IFERROR(VLOOKUP(A609, Clasificaciones!A:B, 2, FALSE), "DATO NO CARGADO"))
</f>
        <v>Equipo</v>
      </c>
      <c r="C609" s="51" t="s">
        <v>166</v>
      </c>
      <c r="D609" s="43">
        <v>2025.0</v>
      </c>
      <c r="E609" s="43" t="s">
        <v>1124</v>
      </c>
      <c r="G609" s="43" t="s">
        <v>1200</v>
      </c>
      <c r="H609" s="43" t="s">
        <v>1126</v>
      </c>
      <c r="I609" s="43" t="s">
        <v>1164</v>
      </c>
      <c r="J609" s="43" t="s">
        <v>119</v>
      </c>
      <c r="K609" s="443">
        <v>27.0</v>
      </c>
      <c r="L609" s="443">
        <v>24.02</v>
      </c>
      <c r="M609" s="443">
        <v>24.02</v>
      </c>
      <c r="N609" s="452">
        <f t="array" ref="N609">IFERROR(
  INDEX(
    'Valor Hora Real y Estimada'!$A$4:$Z$78,
    MATCH(TRIM(CLEAN(A609)), 'Valor Hora Real y Estimada'!$A$4:$A$78, 0),
    MATCH(
      TEXT(C609,"dd mmm")&amp;" "&amp;D609,
      'Valor Hora Real y Estimada'!$A$3:$Z$3,
      0
    ) + 1
  ),
  0
)</f>
        <v>19602</v>
      </c>
      <c r="O609" s="453">
        <f t="shared" si="19"/>
        <v>470840.04</v>
      </c>
      <c r="P609" s="113"/>
      <c r="Q609" s="106">
        <f>IF(ISBLANK(O609), "", VLOOKUP(C609&amp;" "&amp;D609, 'Info Tipo de Cambio y REM'!$A$24:$B$35, 2, FALSE))</f>
        <v>1345</v>
      </c>
      <c r="R609" s="107">
        <f t="shared" si="2"/>
        <v>350.0669442</v>
      </c>
    </row>
    <row r="610" hidden="1">
      <c r="A610" s="443" t="s">
        <v>228</v>
      </c>
      <c r="B610" s="43" t="str">
        <f>IF(A610="", "", IFERROR(VLOOKUP(A610, Clasificaciones!A:B, 2, FALSE), "DATO NO CARGADO"))
</f>
        <v>Equipo</v>
      </c>
      <c r="C610" s="51" t="s">
        <v>166</v>
      </c>
      <c r="D610" s="43">
        <v>2025.0</v>
      </c>
      <c r="E610" s="43" t="s">
        <v>1124</v>
      </c>
      <c r="G610" s="43" t="s">
        <v>1209</v>
      </c>
      <c r="H610" s="43" t="s">
        <v>1133</v>
      </c>
      <c r="I610" s="43" t="s">
        <v>1185</v>
      </c>
      <c r="J610" s="43" t="s">
        <v>206</v>
      </c>
      <c r="K610" s="443">
        <v>25.0</v>
      </c>
      <c r="L610" s="443">
        <v>8.85</v>
      </c>
      <c r="M610" s="443">
        <v>8.85</v>
      </c>
      <c r="N610" s="452">
        <f t="array" ref="N610">IFERROR(
  INDEX(
    'Valor Hora Real y Estimada'!$A$4:$Z$78,
    MATCH(TRIM(CLEAN(A610)), 'Valor Hora Real y Estimada'!$A$4:$A$78, 0),
    MATCH(
      TEXT(C610,"dd mmm")&amp;" "&amp;D610,
      'Valor Hora Real y Estimada'!$A$3:$Z$3,
      0
    ) + 1
  ),
  0
)</f>
        <v>19602</v>
      </c>
      <c r="O610" s="453">
        <f t="shared" si="19"/>
        <v>173477.7</v>
      </c>
      <c r="P610" s="113"/>
      <c r="Q610" s="106">
        <f>IF(ISBLANK(O610), "", VLOOKUP(C610&amp;" "&amp;D610, 'Info Tipo de Cambio y REM'!$A$24:$B$35, 2, FALSE))</f>
        <v>1345</v>
      </c>
      <c r="R610" s="107">
        <f t="shared" si="2"/>
        <v>128.9797026</v>
      </c>
    </row>
    <row r="611" hidden="1">
      <c r="A611" s="443" t="s">
        <v>228</v>
      </c>
      <c r="B611" s="43" t="str">
        <f>IF(A611="", "", IFERROR(VLOOKUP(A611, Clasificaciones!A:B, 2, FALSE), "DATO NO CARGADO"))
</f>
        <v>Equipo</v>
      </c>
      <c r="C611" s="51" t="s">
        <v>166</v>
      </c>
      <c r="D611" s="43">
        <v>2025.0</v>
      </c>
      <c r="E611" s="43" t="s">
        <v>1130</v>
      </c>
      <c r="G611" s="43" t="s">
        <v>1201</v>
      </c>
      <c r="H611" s="43" t="s">
        <v>208</v>
      </c>
      <c r="J611" s="43" t="s">
        <v>208</v>
      </c>
      <c r="K611" s="443">
        <v>0.0</v>
      </c>
      <c r="L611" s="443">
        <v>0.83</v>
      </c>
      <c r="M611" s="443">
        <v>0.83</v>
      </c>
      <c r="N611" s="452">
        <f t="array" ref="N611">IFERROR(
  INDEX(
    'Valor Hora Real y Estimada'!$A$4:$Z$78,
    MATCH(TRIM(CLEAN(A611)), 'Valor Hora Real y Estimada'!$A$4:$A$78, 0),
    MATCH(
      TEXT(C611,"dd mmm")&amp;" "&amp;D611,
      'Valor Hora Real y Estimada'!$A$3:$Z$3,
      0
    ) + 1
  ),
  0
)</f>
        <v>19602</v>
      </c>
      <c r="O611" s="453">
        <f t="shared" si="19"/>
        <v>16269.66</v>
      </c>
      <c r="P611" s="113"/>
      <c r="Q611" s="106">
        <f>IF(ISBLANK(O611), "", VLOOKUP(C611&amp;" "&amp;D611, 'Info Tipo de Cambio y REM'!$A$24:$B$35, 2, FALSE))</f>
        <v>1345</v>
      </c>
      <c r="R611" s="107">
        <f t="shared" si="2"/>
        <v>12.09640149</v>
      </c>
    </row>
    <row r="612">
      <c r="A612" s="443" t="s">
        <v>207</v>
      </c>
      <c r="B612" s="43" t="str">
        <f>IF(A612="", "", IFERROR(VLOOKUP(A612, Clasificaciones!A:B, 2, FALSE), "DATO NO CARGADO"))
</f>
        <v>Equipo</v>
      </c>
      <c r="C612" s="51" t="s">
        <v>166</v>
      </c>
      <c r="D612" s="43">
        <v>2025.0</v>
      </c>
      <c r="E612" s="43" t="s">
        <v>1124</v>
      </c>
      <c r="G612" s="121" t="s">
        <v>1202</v>
      </c>
      <c r="H612" s="43" t="s">
        <v>1126</v>
      </c>
      <c r="I612" s="43" t="s">
        <v>1129</v>
      </c>
      <c r="J612" s="43" t="s">
        <v>183</v>
      </c>
      <c r="K612" s="443">
        <v>90.0</v>
      </c>
      <c r="L612" s="450">
        <f t="shared" ref="L612:M612" si="25">47.23+19.7</f>
        <v>66.93</v>
      </c>
      <c r="M612" s="450">
        <f t="shared" si="25"/>
        <v>66.93</v>
      </c>
      <c r="N612" s="452">
        <f t="array" ref="N612">IFERROR(
  INDEX(
    'Valor Hora Real y Estimada'!$A$4:$Z$78,
    MATCH(TRIM(CLEAN(A612)), 'Valor Hora Real y Estimada'!$A$4:$A$78, 0),
    MATCH(
      TEXT(C612,"dd mmm")&amp;" "&amp;D612,
      'Valor Hora Real y Estimada'!$A$3:$Z$3,
      0
    ) + 1
  ),
  0
)</f>
        <v>11558.8</v>
      </c>
      <c r="O612" s="453">
        <f t="shared" si="19"/>
        <v>773630.484</v>
      </c>
      <c r="P612" s="113"/>
      <c r="Q612" s="106">
        <f>IF(ISBLANK(O612), "", VLOOKUP(C612&amp;" "&amp;D612, 'Info Tipo de Cambio y REM'!$A$24:$B$35, 2, FALSE))</f>
        <v>1345</v>
      </c>
      <c r="R612" s="107">
        <f t="shared" si="2"/>
        <v>575.1899509</v>
      </c>
    </row>
    <row r="613" hidden="1">
      <c r="A613" s="443" t="s">
        <v>207</v>
      </c>
      <c r="B613" s="43" t="str">
        <f>IF(A613="", "", IFERROR(VLOOKUP(A613, Clasificaciones!A:B, 2, FALSE), "DATO NO CARGADO"))
</f>
        <v>Equipo</v>
      </c>
      <c r="C613" s="51" t="s">
        <v>166</v>
      </c>
      <c r="D613" s="43">
        <v>2025.0</v>
      </c>
      <c r="E613" s="43" t="s">
        <v>1124</v>
      </c>
      <c r="G613" s="43" t="s">
        <v>1203</v>
      </c>
      <c r="H613" s="43" t="s">
        <v>1133</v>
      </c>
      <c r="I613" s="43" t="s">
        <v>1204</v>
      </c>
      <c r="J613" s="43" t="s">
        <v>132</v>
      </c>
      <c r="K613" s="443">
        <v>10.0</v>
      </c>
      <c r="L613" s="443">
        <v>18.73</v>
      </c>
      <c r="M613" s="443">
        <v>18.73</v>
      </c>
      <c r="N613" s="452">
        <f t="array" ref="N613">IFERROR(
  INDEX(
    'Valor Hora Real y Estimada'!$A$4:$Z$78,
    MATCH(TRIM(CLEAN(A613)), 'Valor Hora Real y Estimada'!$A$4:$A$78, 0),
    MATCH(
      TEXT(C613,"dd mmm")&amp;" "&amp;D613,
      'Valor Hora Real y Estimada'!$A$3:$Z$3,
      0
    ) + 1
  ),
  0
)</f>
        <v>11558.8</v>
      </c>
      <c r="O613" s="453">
        <f t="shared" si="19"/>
        <v>216496.324</v>
      </c>
      <c r="P613" s="113"/>
      <c r="Q613" s="106">
        <f>IF(ISBLANK(O613), "", VLOOKUP(C613&amp;" "&amp;D613, 'Info Tipo de Cambio y REM'!$A$24:$B$35, 2, FALSE))</f>
        <v>1345</v>
      </c>
      <c r="R613" s="107">
        <f t="shared" si="2"/>
        <v>160.9638097</v>
      </c>
    </row>
    <row r="614" hidden="1">
      <c r="A614" s="443" t="s">
        <v>203</v>
      </c>
      <c r="B614" s="43" t="str">
        <f>IF(A614="", "", IFERROR(VLOOKUP(A614, Clasificaciones!A:B, 2, FALSE), "DATO NO CARGADO"))
</f>
        <v>Equipo</v>
      </c>
      <c r="C614" s="51" t="s">
        <v>166</v>
      </c>
      <c r="D614" s="43">
        <v>2025.0</v>
      </c>
      <c r="E614" s="43" t="s">
        <v>1124</v>
      </c>
      <c r="G614" s="43" t="s">
        <v>1199</v>
      </c>
      <c r="H614" s="43" t="s">
        <v>1126</v>
      </c>
      <c r="I614" s="43" t="s">
        <v>1168</v>
      </c>
      <c r="J614" s="43" t="s">
        <v>204</v>
      </c>
      <c r="K614" s="443">
        <v>100.0</v>
      </c>
      <c r="L614" s="443">
        <v>107.5</v>
      </c>
      <c r="M614" s="443">
        <v>107.5</v>
      </c>
      <c r="N614" s="452">
        <f t="array" ref="N614">IFERROR(
  INDEX(
    'Valor Hora Real y Estimada'!$A$4:$Z$78,
    MATCH(TRIM(CLEAN(A614)), 'Valor Hora Real y Estimada'!$A$4:$A$78, 0),
    MATCH(
      TEXT(C614,"dd mmm")&amp;" "&amp;D614,
      'Valor Hora Real y Estimada'!$A$3:$Z$3,
      0
    ) + 1
  ),
  0
)</f>
        <v>10853.7</v>
      </c>
      <c r="O614" s="453">
        <f t="shared" si="19"/>
        <v>1166772.75</v>
      </c>
      <c r="P614" s="113"/>
      <c r="Q614" s="106">
        <f>IF(ISBLANK(O614), "", VLOOKUP(C614&amp;" "&amp;D614, 'Info Tipo de Cambio y REM'!$A$24:$B$35, 2, FALSE))</f>
        <v>1345</v>
      </c>
      <c r="R614" s="107">
        <f t="shared" si="2"/>
        <v>867.4890335</v>
      </c>
    </row>
    <row r="615" hidden="1">
      <c r="A615" s="443" t="s">
        <v>203</v>
      </c>
      <c r="B615" s="43" t="str">
        <f>IF(A615="", "", IFERROR(VLOOKUP(A615, Clasificaciones!A:B, 2, FALSE), "DATO NO CARGADO"))
</f>
        <v>Equipo</v>
      </c>
      <c r="C615" s="51" t="s">
        <v>166</v>
      </c>
      <c r="D615" s="43">
        <v>2025.0</v>
      </c>
      <c r="E615" s="43" t="s">
        <v>1124</v>
      </c>
      <c r="G615" s="43" t="s">
        <v>1208</v>
      </c>
      <c r="H615" s="43" t="s">
        <v>1126</v>
      </c>
      <c r="I615" s="43" t="s">
        <v>1164</v>
      </c>
      <c r="J615" s="43" t="s">
        <v>180</v>
      </c>
      <c r="K615" s="443">
        <v>40.0</v>
      </c>
      <c r="L615" s="450">
        <f t="shared" ref="L615:M615" si="26">23.75+3</f>
        <v>26.75</v>
      </c>
      <c r="M615" s="450">
        <f t="shared" si="26"/>
        <v>26.75</v>
      </c>
      <c r="N615" s="452">
        <f t="array" ref="N615">IFERROR(
  INDEX(
    'Valor Hora Real y Estimada'!$A$4:$Z$78,
    MATCH(TRIM(CLEAN(A615)), 'Valor Hora Real y Estimada'!$A$4:$A$78, 0),
    MATCH(
      TEXT(C615,"dd mmm")&amp;" "&amp;D615,
      'Valor Hora Real y Estimada'!$A$3:$Z$3,
      0
    ) + 1
  ),
  0
)</f>
        <v>10853.7</v>
      </c>
      <c r="O615" s="453">
        <f t="shared" si="19"/>
        <v>290336.475</v>
      </c>
      <c r="P615" s="113"/>
      <c r="Q615" s="106">
        <f>IF(ISBLANK(O615), "", VLOOKUP(C615&amp;" "&amp;D615, 'Info Tipo de Cambio y REM'!$A$24:$B$35, 2, FALSE))</f>
        <v>1345</v>
      </c>
      <c r="R615" s="107">
        <f t="shared" si="2"/>
        <v>215.8635502</v>
      </c>
    </row>
    <row r="616">
      <c r="A616" s="443" t="s">
        <v>200</v>
      </c>
      <c r="B616" s="43" t="str">
        <f>IF(A616="", "", IFERROR(VLOOKUP(A616, Clasificaciones!A:B, 2, FALSE), "DATO NO CARGADO"))
</f>
        <v>Equipo</v>
      </c>
      <c r="C616" s="51" t="s">
        <v>166</v>
      </c>
      <c r="D616" s="43">
        <v>2025.0</v>
      </c>
      <c r="E616" s="43" t="s">
        <v>1124</v>
      </c>
      <c r="G616" s="121" t="s">
        <v>1202</v>
      </c>
      <c r="H616" s="43" t="s">
        <v>1126</v>
      </c>
      <c r="I616" s="43" t="s">
        <v>1129</v>
      </c>
      <c r="J616" s="43" t="s">
        <v>183</v>
      </c>
      <c r="K616" s="443">
        <v>120.0</v>
      </c>
      <c r="L616" s="450">
        <f t="shared" ref="L616:M616" si="27">57.92+22.83</f>
        <v>80.75</v>
      </c>
      <c r="M616" s="450">
        <f t="shared" si="27"/>
        <v>80.75</v>
      </c>
      <c r="N616" s="452">
        <f t="array" ref="N616">IFERROR(
  INDEX(
    'Valor Hora Real y Estimada'!$A$4:$Z$78,
    MATCH(TRIM(CLEAN(A616)), 'Valor Hora Real y Estimada'!$A$4:$A$78, 0),
    MATCH(
      TEXT(C616,"dd mmm")&amp;" "&amp;D616,
      'Valor Hora Real y Estimada'!$A$3:$Z$3,
      0
    ) + 1
  ),
  0
)</f>
        <v>18880</v>
      </c>
      <c r="O616" s="453">
        <f t="shared" si="19"/>
        <v>1524560</v>
      </c>
      <c r="P616" s="113"/>
      <c r="Q616" s="106">
        <f>IF(ISBLANK(O616), "", VLOOKUP(C616&amp;" "&amp;D616, 'Info Tipo de Cambio y REM'!$A$24:$B$35, 2, FALSE))</f>
        <v>1345</v>
      </c>
      <c r="R616" s="107">
        <f t="shared" si="2"/>
        <v>1133.501859</v>
      </c>
    </row>
    <row r="617" hidden="1">
      <c r="A617" s="443" t="s">
        <v>200</v>
      </c>
      <c r="B617" s="43" t="str">
        <f>IF(A617="", "", IFERROR(VLOOKUP(A617, Clasificaciones!A:B, 2, FALSE), "DATO NO CARGADO"))
</f>
        <v>Equipo</v>
      </c>
      <c r="C617" s="51" t="s">
        <v>166</v>
      </c>
      <c r="D617" s="43">
        <v>2025.0</v>
      </c>
      <c r="E617" s="43" t="s">
        <v>1124</v>
      </c>
      <c r="G617" s="43" t="s">
        <v>1207</v>
      </c>
      <c r="H617" s="43" t="s">
        <v>1133</v>
      </c>
      <c r="I617" s="43" t="s">
        <v>1183</v>
      </c>
      <c r="J617" s="43" t="s">
        <v>211</v>
      </c>
      <c r="K617" s="443">
        <v>20.0</v>
      </c>
      <c r="L617" s="443">
        <v>44.25</v>
      </c>
      <c r="M617" s="443">
        <v>44.25</v>
      </c>
      <c r="N617" s="452">
        <f t="array" ref="N617">IFERROR(
  INDEX(
    'Valor Hora Real y Estimada'!$A$4:$Z$78,
    MATCH(TRIM(CLEAN(A617)), 'Valor Hora Real y Estimada'!$A$4:$A$78, 0),
    MATCH(
      TEXT(C617,"dd mmm")&amp;" "&amp;D617,
      'Valor Hora Real y Estimada'!$A$3:$Z$3,
      0
    ) + 1
  ),
  0
)</f>
        <v>18880</v>
      </c>
      <c r="O617" s="453">
        <f t="shared" si="19"/>
        <v>835440</v>
      </c>
      <c r="P617" s="113"/>
      <c r="Q617" s="106">
        <f>IF(ISBLANK(O617), "", VLOOKUP(C617&amp;" "&amp;D617, 'Info Tipo de Cambio y REM'!$A$24:$B$35, 2, FALSE))</f>
        <v>1345</v>
      </c>
      <c r="R617" s="107">
        <f t="shared" si="2"/>
        <v>621.1449814</v>
      </c>
    </row>
    <row r="618" hidden="1">
      <c r="A618" s="443" t="s">
        <v>200</v>
      </c>
      <c r="B618" s="43" t="str">
        <f>IF(A618="", "", IFERROR(VLOOKUP(A618, Clasificaciones!A:B, 2, FALSE), "DATO NO CARGADO"))
</f>
        <v>Equipo</v>
      </c>
      <c r="C618" s="51" t="s">
        <v>166</v>
      </c>
      <c r="D618" s="43">
        <v>2025.0</v>
      </c>
      <c r="E618" s="43" t="s">
        <v>1130</v>
      </c>
      <c r="G618" s="43" t="s">
        <v>1205</v>
      </c>
      <c r="H618" s="43" t="s">
        <v>1160</v>
      </c>
      <c r="I618" s="43" t="s">
        <v>1206</v>
      </c>
      <c r="J618" s="43" t="s">
        <v>208</v>
      </c>
      <c r="K618" s="443">
        <v>0.0</v>
      </c>
      <c r="L618" s="443">
        <v>8.5</v>
      </c>
      <c r="M618" s="443">
        <v>8.5</v>
      </c>
      <c r="N618" s="452">
        <f t="array" ref="N618">IFERROR(
  INDEX(
    'Valor Hora Real y Estimada'!$A$4:$Z$78,
    MATCH(TRIM(CLEAN(A618)), 'Valor Hora Real y Estimada'!$A$4:$A$78, 0),
    MATCH(
      TEXT(C618,"dd mmm")&amp;" "&amp;D618,
      'Valor Hora Real y Estimada'!$A$3:$Z$3,
      0
    ) + 1
  ),
  0
)</f>
        <v>18880</v>
      </c>
      <c r="O618" s="453">
        <f t="shared" si="19"/>
        <v>160480</v>
      </c>
      <c r="P618" s="113"/>
      <c r="Q618" s="106">
        <f>IF(ISBLANK(O618), "", VLOOKUP(C618&amp;" "&amp;D618, 'Info Tipo de Cambio y REM'!$A$24:$B$35, 2, FALSE))</f>
        <v>1345</v>
      </c>
      <c r="R618" s="107">
        <f t="shared" si="2"/>
        <v>119.3159851</v>
      </c>
    </row>
    <row r="619" hidden="1">
      <c r="A619" s="443" t="s">
        <v>200</v>
      </c>
      <c r="B619" s="43" t="str">
        <f>IF(A619="", "", IFERROR(VLOOKUP(A619, Clasificaciones!A:B, 2, FALSE), "DATO NO CARGADO"))
</f>
        <v>Equipo</v>
      </c>
      <c r="C619" s="51" t="s">
        <v>166</v>
      </c>
      <c r="D619" s="43">
        <v>2025.0</v>
      </c>
      <c r="E619" s="43" t="s">
        <v>1130</v>
      </c>
      <c r="G619" s="43" t="s">
        <v>1201</v>
      </c>
      <c r="H619" s="43" t="s">
        <v>208</v>
      </c>
      <c r="J619" s="43" t="s">
        <v>208</v>
      </c>
      <c r="K619" s="443">
        <v>0.0</v>
      </c>
      <c r="L619" s="443">
        <v>1.83</v>
      </c>
      <c r="M619" s="443">
        <v>1.83</v>
      </c>
      <c r="N619" s="452">
        <f t="array" ref="N619">IFERROR(
  INDEX(
    'Valor Hora Real y Estimada'!$A$4:$Z$78,
    MATCH(TRIM(CLEAN(A619)), 'Valor Hora Real y Estimada'!$A$4:$A$78, 0),
    MATCH(
      TEXT(C619,"dd mmm")&amp;" "&amp;D619,
      'Valor Hora Real y Estimada'!$A$3:$Z$3,
      0
    ) + 1
  ),
  0
)</f>
        <v>18880</v>
      </c>
      <c r="O619" s="453">
        <f t="shared" si="19"/>
        <v>34550.4</v>
      </c>
      <c r="P619" s="113"/>
      <c r="Q619" s="106">
        <f>IF(ISBLANK(O619), "", VLOOKUP(C619&amp;" "&amp;D619, 'Info Tipo de Cambio y REM'!$A$24:$B$35, 2, FALSE))</f>
        <v>1345</v>
      </c>
      <c r="R619" s="107">
        <f t="shared" si="2"/>
        <v>25.68802974</v>
      </c>
    </row>
    <row r="620">
      <c r="A620" s="443" t="s">
        <v>214</v>
      </c>
      <c r="B620" s="43" t="str">
        <f>IF(A620="", "", IFERROR(VLOOKUP(A620, Clasificaciones!A:B, 2, FALSE), "DATO NO CARGADO"))
</f>
        <v>Equipo</v>
      </c>
      <c r="C620" s="51" t="s">
        <v>166</v>
      </c>
      <c r="D620" s="43">
        <v>2025.0</v>
      </c>
      <c r="E620" s="43" t="s">
        <v>1124</v>
      </c>
      <c r="G620" s="121" t="s">
        <v>1202</v>
      </c>
      <c r="H620" s="43" t="s">
        <v>1126</v>
      </c>
      <c r="I620" s="43" t="s">
        <v>1129</v>
      </c>
      <c r="J620" s="43" t="s">
        <v>183</v>
      </c>
      <c r="K620" s="443">
        <v>160.0</v>
      </c>
      <c r="L620" s="443">
        <v>16.42</v>
      </c>
      <c r="M620" s="443">
        <v>16.42</v>
      </c>
      <c r="N620" s="452">
        <f t="array" ref="N620">IFERROR(
  INDEX(
    'Valor Hora Real y Estimada'!$A$4:$Z$78,
    MATCH(TRIM(CLEAN(A620)), 'Valor Hora Real y Estimada'!$A$4:$A$78, 0),
    MATCH(
      TEXT(C620,"dd mmm")&amp;" "&amp;D620,
      'Valor Hora Real y Estimada'!$A$3:$Z$3,
      0
    ) + 1
  ),
  0
)</f>
        <v>10508</v>
      </c>
      <c r="O620" s="453">
        <f t="shared" si="19"/>
        <v>172541.36</v>
      </c>
      <c r="P620" s="113"/>
      <c r="Q620" s="106">
        <f>IF(ISBLANK(O620), "", VLOOKUP(C620&amp;" "&amp;D620, 'Info Tipo de Cambio y REM'!$A$24:$B$35, 2, FALSE))</f>
        <v>1345</v>
      </c>
      <c r="R620" s="107">
        <f t="shared" si="2"/>
        <v>128.283539</v>
      </c>
    </row>
    <row r="621" hidden="1">
      <c r="A621" s="443" t="s">
        <v>214</v>
      </c>
      <c r="B621" s="43" t="str">
        <f>IF(A621="", "", IFERROR(VLOOKUP(A621, Clasificaciones!A:B, 2, FALSE), "DATO NO CARGADO"))
</f>
        <v>Equipo</v>
      </c>
      <c r="C621" s="51" t="s">
        <v>166</v>
      </c>
      <c r="D621" s="43">
        <v>2025.0</v>
      </c>
      <c r="E621" s="43" t="s">
        <v>1130</v>
      </c>
      <c r="G621" s="43" t="s">
        <v>1201</v>
      </c>
      <c r="H621" s="43" t="s">
        <v>208</v>
      </c>
      <c r="J621" s="43" t="s">
        <v>208</v>
      </c>
      <c r="K621" s="443">
        <v>0.0</v>
      </c>
      <c r="L621" s="443">
        <v>0.0</v>
      </c>
      <c r="M621" s="476">
        <f>51.6129032258065-M620</f>
        <v>35.19290323</v>
      </c>
      <c r="N621" s="452">
        <f t="array" ref="N621">IFERROR(
  INDEX(
    'Valor Hora Real y Estimada'!$A$4:$Z$78,
    MATCH(TRIM(CLEAN(A621)), 'Valor Hora Real y Estimada'!$A$4:$A$78, 0),
    MATCH(
      TEXT(C621,"dd mmm")&amp;" "&amp;D621,
      'Valor Hora Real y Estimada'!$A$3:$Z$3,
      0
    ) + 1
  ),
  0
)</f>
        <v>10508</v>
      </c>
      <c r="O621" s="453">
        <f t="shared" si="19"/>
        <v>369807.0271</v>
      </c>
      <c r="P621" s="113"/>
      <c r="Q621" s="106">
        <f>IF(ISBLANK(O621), "", VLOOKUP(C621&amp;" "&amp;D621, 'Info Tipo de Cambio y REM'!$A$24:$B$35, 2, FALSE))</f>
        <v>1345</v>
      </c>
      <c r="R621" s="107">
        <f t="shared" si="2"/>
        <v>274.9494625</v>
      </c>
    </row>
    <row r="622" hidden="1">
      <c r="A622" s="443" t="s">
        <v>120</v>
      </c>
      <c r="B622" s="43" t="str">
        <f>IF(A622="", "", IFERROR(VLOOKUP(A622, Clasificaciones!A:B, 2, FALSE), "DATO NO CARGADO"))
</f>
        <v>Equipo</v>
      </c>
      <c r="C622" s="51" t="s">
        <v>166</v>
      </c>
      <c r="D622" s="43">
        <v>2025.0</v>
      </c>
      <c r="E622" s="43" t="s">
        <v>1124</v>
      </c>
      <c r="G622" s="43" t="s">
        <v>1171</v>
      </c>
      <c r="H622" s="43" t="s">
        <v>1133</v>
      </c>
      <c r="I622" s="43" t="s">
        <v>1165</v>
      </c>
      <c r="J622" s="43" t="s">
        <v>199</v>
      </c>
      <c r="K622" s="443">
        <v>5.0</v>
      </c>
      <c r="L622" s="451">
        <v>18.18</v>
      </c>
      <c r="M622" s="443">
        <v>18.18</v>
      </c>
      <c r="N622" s="452">
        <f t="array" ref="N622">IFERROR(
  INDEX(
    'Valor Hora Real y Estimada'!$A$4:$Z$78,
    MATCH(TRIM(CLEAN(A622)), 'Valor Hora Real y Estimada'!$A$4:$A$78, 0),
    MATCH(
      TEXT(C622,"dd mmm")&amp;" "&amp;D622,
      'Valor Hora Real y Estimada'!$A$3:$Z$3,
      0
    ) + 1
  ),
  0
)</f>
        <v>26583.33333</v>
      </c>
      <c r="O622" s="453">
        <f t="shared" si="19"/>
        <v>483285</v>
      </c>
      <c r="P622" s="113"/>
      <c r="Q622" s="106">
        <f>IF(ISBLANK(O622), "", VLOOKUP(C622&amp;" "&amp;D622, 'Info Tipo de Cambio y REM'!$A$24:$B$35, 2, FALSE))</f>
        <v>1345</v>
      </c>
      <c r="R622" s="107">
        <f t="shared" si="2"/>
        <v>359.3197026</v>
      </c>
    </row>
    <row r="623" hidden="1">
      <c r="A623" s="443" t="s">
        <v>120</v>
      </c>
      <c r="B623" s="43" t="str">
        <f>IF(A623="", "", IFERROR(VLOOKUP(A623, Clasificaciones!A:B, 2, FALSE), "DATO NO CARGADO"))
</f>
        <v>Equipo</v>
      </c>
      <c r="C623" s="51" t="s">
        <v>166</v>
      </c>
      <c r="D623" s="43">
        <v>2025.0</v>
      </c>
      <c r="E623" s="43" t="s">
        <v>1124</v>
      </c>
      <c r="G623" s="43" t="s">
        <v>1203</v>
      </c>
      <c r="H623" s="43" t="s">
        <v>1133</v>
      </c>
      <c r="I623" s="43" t="s">
        <v>1204</v>
      </c>
      <c r="J623" s="43" t="s">
        <v>132</v>
      </c>
      <c r="K623" s="443">
        <v>2.0</v>
      </c>
      <c r="L623" s="443">
        <v>6.7</v>
      </c>
      <c r="M623" s="443">
        <v>6.7</v>
      </c>
      <c r="N623" s="452">
        <f t="array" ref="N623">IFERROR(
  INDEX(
    'Valor Hora Real y Estimada'!$A$4:$Z$78,
    MATCH(TRIM(CLEAN(A623)), 'Valor Hora Real y Estimada'!$A$4:$A$78, 0),
    MATCH(
      TEXT(C623,"dd mmm")&amp;" "&amp;D623,
      'Valor Hora Real y Estimada'!$A$3:$Z$3,
      0
    ) + 1
  ),
  0
)</f>
        <v>26583.33333</v>
      </c>
      <c r="O623" s="453">
        <f t="shared" si="19"/>
        <v>178108.3333</v>
      </c>
      <c r="P623" s="113"/>
      <c r="Q623" s="106">
        <f>IF(ISBLANK(O623), "", VLOOKUP(C623&amp;" "&amp;D623, 'Info Tipo de Cambio y REM'!$A$24:$B$35, 2, FALSE))</f>
        <v>1345</v>
      </c>
      <c r="R623" s="107">
        <f t="shared" si="2"/>
        <v>132.4225527</v>
      </c>
    </row>
    <row r="624" hidden="1">
      <c r="A624" s="443" t="s">
        <v>120</v>
      </c>
      <c r="B624" s="43" t="str">
        <f>IF(A624="", "", IFERROR(VLOOKUP(A624, Clasificaciones!A:B, 2, FALSE), "DATO NO CARGADO"))
</f>
        <v>Equipo</v>
      </c>
      <c r="C624" s="51" t="s">
        <v>166</v>
      </c>
      <c r="D624" s="43">
        <v>2025.0</v>
      </c>
      <c r="E624" s="43" t="s">
        <v>1124</v>
      </c>
      <c r="G624" s="43" t="s">
        <v>1199</v>
      </c>
      <c r="H624" s="43" t="s">
        <v>1126</v>
      </c>
      <c r="I624" s="43" t="s">
        <v>1168</v>
      </c>
      <c r="J624" s="43" t="s">
        <v>204</v>
      </c>
      <c r="K624" s="443">
        <v>10.0</v>
      </c>
      <c r="L624" s="443">
        <v>8.38</v>
      </c>
      <c r="M624" s="443">
        <v>8.38</v>
      </c>
      <c r="N624" s="452">
        <f t="array" ref="N624">IFERROR(
  INDEX(
    'Valor Hora Real y Estimada'!$A$4:$Z$78,
    MATCH(TRIM(CLEAN(A624)), 'Valor Hora Real y Estimada'!$A$4:$A$78, 0),
    MATCH(
      TEXT(C624,"dd mmm")&amp;" "&amp;D624,
      'Valor Hora Real y Estimada'!$A$3:$Z$3,
      0
    ) + 1
  ),
  0
)</f>
        <v>26583.33333</v>
      </c>
      <c r="O624" s="453">
        <f t="shared" si="19"/>
        <v>222768.3333</v>
      </c>
      <c r="P624" s="113"/>
      <c r="Q624" s="106">
        <f>IF(ISBLANK(O624), "", VLOOKUP(C624&amp;" "&amp;D624, 'Info Tipo de Cambio y REM'!$A$24:$B$35, 2, FALSE))</f>
        <v>1345</v>
      </c>
      <c r="R624" s="107">
        <f t="shared" si="2"/>
        <v>165.6270136</v>
      </c>
    </row>
    <row r="625" hidden="1">
      <c r="A625" s="443" t="s">
        <v>120</v>
      </c>
      <c r="B625" s="43" t="str">
        <f>IF(A625="", "", IFERROR(VLOOKUP(A625, Clasificaciones!A:B, 2, FALSE), "DATO NO CARGADO"))
</f>
        <v>Equipo</v>
      </c>
      <c r="C625" s="51" t="s">
        <v>166</v>
      </c>
      <c r="D625" s="43">
        <v>2025.0</v>
      </c>
      <c r="E625" s="43" t="s">
        <v>1124</v>
      </c>
      <c r="G625" s="43" t="s">
        <v>1208</v>
      </c>
      <c r="H625" s="43" t="s">
        <v>1126</v>
      </c>
      <c r="I625" s="43" t="s">
        <v>1164</v>
      </c>
      <c r="J625" s="43" t="s">
        <v>180</v>
      </c>
      <c r="K625" s="443">
        <v>5.0</v>
      </c>
      <c r="L625" s="443">
        <v>5.78</v>
      </c>
      <c r="M625" s="443">
        <v>5.78</v>
      </c>
      <c r="N625" s="452">
        <f t="array" ref="N625">IFERROR(
  INDEX(
    'Valor Hora Real y Estimada'!$A$4:$Z$78,
    MATCH(TRIM(CLEAN(A625)), 'Valor Hora Real y Estimada'!$A$4:$A$78, 0),
    MATCH(
      TEXT(C625,"dd mmm")&amp;" "&amp;D625,
      'Valor Hora Real y Estimada'!$A$3:$Z$3,
      0
    ) + 1
  ),
  0
)</f>
        <v>26583.33333</v>
      </c>
      <c r="O625" s="453">
        <f t="shared" si="19"/>
        <v>153651.6667</v>
      </c>
      <c r="P625" s="113"/>
      <c r="Q625" s="106">
        <f>IF(ISBLANK(O625), "", VLOOKUP(C625&amp;" "&amp;D625, 'Info Tipo de Cambio y REM'!$A$24:$B$35, 2, FALSE))</f>
        <v>1345</v>
      </c>
      <c r="R625" s="107">
        <f t="shared" si="2"/>
        <v>114.2391574</v>
      </c>
    </row>
    <row r="626" hidden="1">
      <c r="A626" s="443" t="s">
        <v>120</v>
      </c>
      <c r="B626" s="43" t="str">
        <f>IF(A626="", "", IFERROR(VLOOKUP(A626, Clasificaciones!A:B, 2, FALSE), "DATO NO CARGADO"))
</f>
        <v>Equipo</v>
      </c>
      <c r="C626" s="51" t="s">
        <v>166</v>
      </c>
      <c r="D626" s="43">
        <v>2025.0</v>
      </c>
      <c r="E626" s="43" t="s">
        <v>1124</v>
      </c>
      <c r="G626" s="43" t="s">
        <v>1207</v>
      </c>
      <c r="H626" s="43" t="s">
        <v>1133</v>
      </c>
      <c r="I626" s="43" t="s">
        <v>1183</v>
      </c>
      <c r="J626" s="43" t="s">
        <v>211</v>
      </c>
      <c r="K626" s="443">
        <v>10.0</v>
      </c>
      <c r="L626" s="443">
        <v>4.75</v>
      </c>
      <c r="M626" s="443">
        <v>4.75</v>
      </c>
      <c r="N626" s="452">
        <f t="array" ref="N626">IFERROR(
  INDEX(
    'Valor Hora Real y Estimada'!$A$4:$Z$78,
    MATCH(TRIM(CLEAN(A626)), 'Valor Hora Real y Estimada'!$A$4:$A$78, 0),
    MATCH(
      TEXT(C626,"dd mmm")&amp;" "&amp;D626,
      'Valor Hora Real y Estimada'!$A$3:$Z$3,
      0
    ) + 1
  ),
  0
)</f>
        <v>26583.33333</v>
      </c>
      <c r="O626" s="453">
        <f t="shared" si="19"/>
        <v>126270.8333</v>
      </c>
      <c r="P626" s="113"/>
      <c r="Q626" s="106">
        <f>IF(ISBLANK(O626), "", VLOOKUP(C626&amp;" "&amp;D626, 'Info Tipo de Cambio y REM'!$A$24:$B$35, 2, FALSE))</f>
        <v>1345</v>
      </c>
      <c r="R626" s="107">
        <f t="shared" si="2"/>
        <v>93.88166047</v>
      </c>
    </row>
    <row r="627">
      <c r="A627" s="443" t="s">
        <v>120</v>
      </c>
      <c r="B627" s="43" t="str">
        <f>IF(A627="", "", IFERROR(VLOOKUP(A627, Clasificaciones!A:B, 2, FALSE), "DATO NO CARGADO"))
</f>
        <v>Equipo</v>
      </c>
      <c r="C627" s="51" t="s">
        <v>166</v>
      </c>
      <c r="D627" s="43">
        <v>2025.0</v>
      </c>
      <c r="E627" s="43" t="s">
        <v>1124</v>
      </c>
      <c r="G627" s="121" t="s">
        <v>1202</v>
      </c>
      <c r="H627" s="43" t="s">
        <v>1126</v>
      </c>
      <c r="I627" s="43" t="s">
        <v>1129</v>
      </c>
      <c r="J627" s="43" t="s">
        <v>183</v>
      </c>
      <c r="K627" s="443">
        <v>5.0</v>
      </c>
      <c r="L627" s="450">
        <f t="shared" ref="L627:M627" si="28">3.5+1.75</f>
        <v>5.25</v>
      </c>
      <c r="M627" s="450">
        <f t="shared" si="28"/>
        <v>5.25</v>
      </c>
      <c r="N627" s="452">
        <f t="array" ref="N627">IFERROR(
  INDEX(
    'Valor Hora Real y Estimada'!$A$4:$Z$78,
    MATCH(TRIM(CLEAN(A627)), 'Valor Hora Real y Estimada'!$A$4:$A$78, 0),
    MATCH(
      TEXT(C627,"dd mmm")&amp;" "&amp;D627,
      'Valor Hora Real y Estimada'!$A$3:$Z$3,
      0
    ) + 1
  ),
  0
)</f>
        <v>26583.33333</v>
      </c>
      <c r="O627" s="453">
        <f t="shared" si="19"/>
        <v>139562.5</v>
      </c>
      <c r="P627" s="113"/>
      <c r="Q627" s="106">
        <f>IF(ISBLANK(O627), "", VLOOKUP(C627&amp;" "&amp;D627, 'Info Tipo de Cambio y REM'!$A$24:$B$35, 2, FALSE))</f>
        <v>1345</v>
      </c>
      <c r="R627" s="107">
        <f t="shared" si="2"/>
        <v>103.7639405</v>
      </c>
    </row>
    <row r="628" hidden="1">
      <c r="A628" s="443" t="s">
        <v>120</v>
      </c>
      <c r="B628" s="43" t="str">
        <f>IF(A628="", "", IFERROR(VLOOKUP(A628, Clasificaciones!A:B, 2, FALSE), "DATO NO CARGADO"))
</f>
        <v>Equipo</v>
      </c>
      <c r="C628" s="51" t="s">
        <v>166</v>
      </c>
      <c r="D628" s="43">
        <v>2025.0</v>
      </c>
      <c r="E628" s="43" t="s">
        <v>1124</v>
      </c>
      <c r="G628" s="43" t="s">
        <v>1174</v>
      </c>
      <c r="H628" s="43" t="s">
        <v>1133</v>
      </c>
      <c r="I628" s="43" t="s">
        <v>1175</v>
      </c>
      <c r="J628" s="43" t="s">
        <v>209</v>
      </c>
      <c r="K628" s="443">
        <v>0.0</v>
      </c>
      <c r="L628" s="443">
        <v>2.0</v>
      </c>
      <c r="M628" s="443">
        <v>2.0</v>
      </c>
      <c r="N628" s="452">
        <f t="array" ref="N628">IFERROR(
  INDEX(
    'Valor Hora Real y Estimada'!$A$4:$Z$78,
    MATCH(TRIM(CLEAN(A628)), 'Valor Hora Real y Estimada'!$A$4:$A$78, 0),
    MATCH(
      TEXT(C628,"dd mmm")&amp;" "&amp;D628,
      'Valor Hora Real y Estimada'!$A$3:$Z$3,
      0
    ) + 1
  ),
  0
)</f>
        <v>26583.33333</v>
      </c>
      <c r="O628" s="453">
        <f t="shared" si="19"/>
        <v>53166.66667</v>
      </c>
      <c r="P628" s="113"/>
      <c r="Q628" s="106">
        <f>IF(ISBLANK(O628), "", VLOOKUP(C628&amp;" "&amp;D628, 'Info Tipo de Cambio y REM'!$A$24:$B$35, 2, FALSE))</f>
        <v>1345</v>
      </c>
      <c r="R628" s="107">
        <f t="shared" si="2"/>
        <v>39.5291202</v>
      </c>
    </row>
    <row r="629" hidden="1">
      <c r="A629" s="443" t="s">
        <v>120</v>
      </c>
      <c r="B629" s="43" t="str">
        <f>IF(A629="", "", IFERROR(VLOOKUP(A629, Clasificaciones!A:B, 2, FALSE), "DATO NO CARGADO"))
</f>
        <v>Equipo</v>
      </c>
      <c r="C629" s="51" t="s">
        <v>166</v>
      </c>
      <c r="D629" s="43">
        <v>2025.0</v>
      </c>
      <c r="E629" s="43" t="s">
        <v>1130</v>
      </c>
      <c r="G629" s="43" t="s">
        <v>1201</v>
      </c>
      <c r="H629" s="43" t="s">
        <v>208</v>
      </c>
      <c r="J629" s="43" t="s">
        <v>208</v>
      </c>
      <c r="K629" s="443">
        <v>0.0</v>
      </c>
      <c r="L629" s="455">
        <f>46.87+33.3</f>
        <v>80.17</v>
      </c>
      <c r="M629" s="450">
        <f>120-M628-M627-M626-M625-M624-M623-M622+14</f>
        <v>82.96</v>
      </c>
      <c r="N629" s="452">
        <f t="array" ref="N629">IFERROR(
  INDEX(
    'Valor Hora Real y Estimada'!$A$4:$Z$78,
    MATCH(TRIM(CLEAN(A629)), 'Valor Hora Real y Estimada'!$A$4:$A$78, 0),
    MATCH(
      TEXT(C629,"dd mmm")&amp;" "&amp;D629,
      'Valor Hora Real y Estimada'!$A$3:$Z$3,
      0
    ) + 1
  ),
  0
)</f>
        <v>26583.33333</v>
      </c>
      <c r="O629" s="453">
        <f t="shared" si="19"/>
        <v>2205353.333</v>
      </c>
      <c r="P629" s="113"/>
      <c r="Q629" s="106">
        <f>IF(ISBLANK(O629), "", VLOOKUP(C629&amp;" "&amp;D629, 'Info Tipo de Cambio y REM'!$A$24:$B$35, 2, FALSE))</f>
        <v>1345</v>
      </c>
      <c r="R629" s="107">
        <f t="shared" si="2"/>
        <v>1639.667906</v>
      </c>
    </row>
    <row r="630" hidden="1">
      <c r="A630" s="443" t="s">
        <v>127</v>
      </c>
      <c r="B630" s="43" t="str">
        <f>IF(A630="", "", IFERROR(VLOOKUP(A630, Clasificaciones!A:B, 2, FALSE), "DATO NO CARGADO"))
</f>
        <v>Board</v>
      </c>
      <c r="C630" s="51" t="s">
        <v>166</v>
      </c>
      <c r="D630" s="43">
        <v>2025.0</v>
      </c>
      <c r="E630" s="43" t="s">
        <v>1130</v>
      </c>
      <c r="H630" s="102"/>
      <c r="J630" s="102"/>
      <c r="K630" s="443">
        <v>0.0</v>
      </c>
      <c r="L630" s="451">
        <v>0.0</v>
      </c>
      <c r="M630" s="443">
        <v>160.0</v>
      </c>
      <c r="N630" s="452">
        <f t="array" ref="N630">IFERROR(
  INDEX(
    'Valor Hora Real y Estimada'!$A$4:$Z$78,
    MATCH(TRIM(CLEAN(A630)), 'Valor Hora Real y Estimada'!$A$4:$A$78, 0),
    MATCH(
      TEXT(C630,"dd mmm")&amp;" "&amp;D630,
      'Valor Hora Real y Estimada'!$A$3:$Z$3,
      0
    ) + 1
  ),
  0
)</f>
        <v>26903.88</v>
      </c>
      <c r="O630" s="453">
        <f t="shared" si="19"/>
        <v>4304620.8</v>
      </c>
      <c r="P630" s="113"/>
      <c r="Q630" s="106">
        <f>IF(ISBLANK(O630), "", VLOOKUP(C630&amp;" "&amp;D630, 'Info Tipo de Cambio y REM'!$A$24:$B$35, 2, FALSE))</f>
        <v>1345</v>
      </c>
      <c r="R630" s="107">
        <f t="shared" si="2"/>
        <v>3200.461561</v>
      </c>
    </row>
    <row r="631" hidden="1">
      <c r="A631" s="443" t="s">
        <v>133</v>
      </c>
      <c r="B631" s="43" t="str">
        <f>IF(A631="", "", IFERROR(VLOOKUP(A631, Clasificaciones!A:B, 2, FALSE), "DATO NO CARGADO"))
</f>
        <v>Board</v>
      </c>
      <c r="C631" s="51" t="s">
        <v>166</v>
      </c>
      <c r="D631" s="43">
        <v>2025.0</v>
      </c>
      <c r="E631" s="43" t="s">
        <v>1130</v>
      </c>
      <c r="H631" s="102"/>
      <c r="J631" s="102"/>
      <c r="K631" s="443">
        <v>0.0</v>
      </c>
      <c r="L631" s="451">
        <v>0.0</v>
      </c>
      <c r="M631" s="443">
        <v>160.0</v>
      </c>
      <c r="N631" s="452">
        <f t="array" ref="N631">IFERROR(
  INDEX(
    'Valor Hora Real y Estimada'!$A$4:$Z$78,
    MATCH(TRIM(CLEAN(A631)), 'Valor Hora Real y Estimada'!$A$4:$A$78, 0),
    MATCH(
      TEXT(C631,"dd mmm")&amp;" "&amp;D631,
      'Valor Hora Real y Estimada'!$A$3:$Z$3,
      0
    ) + 1
  ),
  0
)</f>
        <v>33143.04</v>
      </c>
      <c r="O631" s="453">
        <f t="shared" si="19"/>
        <v>5302886.4</v>
      </c>
      <c r="P631" s="113"/>
      <c r="Q631" s="106">
        <f>IF(ISBLANK(O631), "", VLOOKUP(C631&amp;" "&amp;D631, 'Info Tipo de Cambio y REM'!$A$24:$B$35, 2, FALSE))</f>
        <v>1345</v>
      </c>
      <c r="R631" s="107">
        <f t="shared" si="2"/>
        <v>3942.666468</v>
      </c>
    </row>
    <row r="632" hidden="1">
      <c r="A632" s="443" t="s">
        <v>222</v>
      </c>
      <c r="B632" s="43" t="str">
        <f>IF(A632="", "", IFERROR(VLOOKUP(A632, Clasificaciones!A:B, 2, FALSE), "DATO NO CARGADO"))
</f>
        <v>Oxean</v>
      </c>
      <c r="C632" s="51" t="s">
        <v>166</v>
      </c>
      <c r="D632" s="43">
        <v>2025.0</v>
      </c>
      <c r="E632" s="43" t="s">
        <v>1130</v>
      </c>
      <c r="H632" s="102"/>
      <c r="J632" s="102"/>
      <c r="K632" s="443"/>
      <c r="L632" s="455"/>
      <c r="M632" s="443"/>
      <c r="N632" s="452">
        <f t="array" ref="N632">IFERROR(
  INDEX(
    'Valor Hora Real y Estimada'!$A$4:$Z$78,
    MATCH(TRIM(CLEAN(A632)), 'Valor Hora Real y Estimada'!$A$4:$A$78, 0),
    MATCH(
      TEXT(C632,"dd mmm")&amp;" "&amp;D632,
      'Valor Hora Real y Estimada'!$A$3:$Z$3,
      0
    ) + 1
  ),
  0
)</f>
        <v>0</v>
      </c>
      <c r="O632" s="453">
        <f>O631</f>
        <v>5302886.4</v>
      </c>
      <c r="P632" s="113"/>
      <c r="Q632" s="106">
        <f>IF(ISBLANK(O632), "", VLOOKUP(C632&amp;" "&amp;D632, 'Info Tipo de Cambio y REM'!$A$24:$B$35, 2, FALSE))</f>
        <v>1345</v>
      </c>
      <c r="R632" s="107">
        <f t="shared" si="2"/>
        <v>3942.666468</v>
      </c>
    </row>
    <row r="633" hidden="1">
      <c r="A633" s="443" t="s">
        <v>185</v>
      </c>
      <c r="B633" s="43" t="str">
        <f>IF(A633="", "", IFERROR(VLOOKUP(A633, Clasificaciones!A:B, 2, FALSE), "DATO NO CARGADO"))
</f>
        <v>Comisiones Bancarias</v>
      </c>
      <c r="C633" s="51" t="s">
        <v>166</v>
      </c>
      <c r="D633" s="43">
        <v>2025.0</v>
      </c>
      <c r="E633" s="43" t="s">
        <v>1130</v>
      </c>
      <c r="H633" s="102"/>
      <c r="J633" s="102"/>
      <c r="K633" s="450"/>
      <c r="L633" s="455"/>
      <c r="M633" s="450"/>
      <c r="N633" s="452">
        <f t="array" ref="N633">IFERROR(
  INDEX(
    'Valor Hora Real y Estimada'!$A$4:$Z$78,
    MATCH(TRIM(CLEAN(A633)), 'Valor Hora Real y Estimada'!$A$4:$A$78, 0),
    MATCH(
      TEXT(C633,"dd mmm")&amp;" "&amp;D633,
      'Valor Hora Real y Estimada'!$A$3:$Z$3,
      0
    ) + 1
  ),
  0
)</f>
        <v>0</v>
      </c>
      <c r="O633" s="106"/>
      <c r="P633" s="171">
        <v>45.0</v>
      </c>
      <c r="Q633" s="106" t="str">
        <f>IF(ISBLANK(O633), "", VLOOKUP(C633&amp;" "&amp;D633, 'Info Tipo de Cambio y REM'!$A$24:$B$35, 2, FALSE))</f>
        <v/>
      </c>
      <c r="R633" s="107">
        <f t="shared" si="2"/>
        <v>45</v>
      </c>
    </row>
    <row r="634" hidden="1">
      <c r="A634" s="443" t="s">
        <v>185</v>
      </c>
      <c r="B634" s="43" t="str">
        <f>IF(A634="", "", IFERROR(VLOOKUP(A634, Clasificaciones!A:B, 2, FALSE), "DATO NO CARGADO"))
</f>
        <v>Comisiones Bancarias</v>
      </c>
      <c r="C634" s="51" t="s">
        <v>166</v>
      </c>
      <c r="D634" s="43">
        <v>2025.0</v>
      </c>
      <c r="E634" s="43" t="s">
        <v>1130</v>
      </c>
      <c r="H634" s="102"/>
      <c r="J634" s="102"/>
      <c r="K634" s="450"/>
      <c r="L634" s="443"/>
      <c r="M634" s="450"/>
      <c r="N634" s="452">
        <f t="array" ref="N634">IFERROR(
  INDEX(
    'Valor Hora Real y Estimada'!$A$4:$Z$78,
    MATCH(TRIM(CLEAN(A634)), 'Valor Hora Real y Estimada'!$A$4:$A$78, 0),
    MATCH(
      TEXT(C634,"dd mmm")&amp;" "&amp;D634,
      'Valor Hora Real y Estimada'!$A$3:$Z$3,
      0
    ) + 1
  ),
  0
)</f>
        <v>0</v>
      </c>
      <c r="P634" s="171">
        <v>45.0</v>
      </c>
      <c r="Q634" s="106" t="str">
        <f>IF(ISBLANK(O634), "", VLOOKUP(C634&amp;" "&amp;D634, 'Info Tipo de Cambio y REM'!$A$24:$B$35, 2, FALSE))</f>
        <v/>
      </c>
      <c r="R634" s="107">
        <f t="shared" si="2"/>
        <v>45</v>
      </c>
    </row>
    <row r="635" hidden="1">
      <c r="A635" s="443" t="s">
        <v>185</v>
      </c>
      <c r="B635" s="43" t="str">
        <f>IF(A635="", "", IFERROR(VLOOKUP(A635, Clasificaciones!A:B, 2, FALSE), "DATO NO CARGADO"))
</f>
        <v>Comisiones Bancarias</v>
      </c>
      <c r="C635" s="51" t="s">
        <v>166</v>
      </c>
      <c r="D635" s="43">
        <v>2025.0</v>
      </c>
      <c r="E635" s="43" t="s">
        <v>1130</v>
      </c>
      <c r="H635" s="102"/>
      <c r="J635" s="102"/>
      <c r="K635" s="450"/>
      <c r="L635" s="443"/>
      <c r="M635" s="450"/>
      <c r="N635" s="452">
        <f t="array" ref="N635">IFERROR(
  INDEX(
    'Valor Hora Real y Estimada'!$A$4:$Z$78,
    MATCH(TRIM(CLEAN(A635)), 'Valor Hora Real y Estimada'!$A$4:$A$78, 0),
    MATCH(
      TEXT(C635,"dd mmm")&amp;" "&amp;D635,
      'Valor Hora Real y Estimada'!$A$3:$Z$3,
      0
    ) + 1
  ),
  0
)</f>
        <v>0</v>
      </c>
      <c r="P635" s="171">
        <v>45.0</v>
      </c>
      <c r="Q635" s="106" t="str">
        <f>IF(ISBLANK(O635), "", VLOOKUP(C635&amp;" "&amp;D635, 'Info Tipo de Cambio y REM'!$A$24:$B$35, 2, FALSE))</f>
        <v/>
      </c>
      <c r="R635" s="107">
        <f t="shared" si="2"/>
        <v>45</v>
      </c>
    </row>
    <row r="636" hidden="1">
      <c r="A636" s="443" t="s">
        <v>185</v>
      </c>
      <c r="B636" s="43" t="str">
        <f>IF(A636="", "", IFERROR(VLOOKUP(A636, Clasificaciones!A:B, 2, FALSE), "DATO NO CARGADO"))
</f>
        <v>Comisiones Bancarias</v>
      </c>
      <c r="C636" s="51" t="s">
        <v>166</v>
      </c>
      <c r="D636" s="43">
        <v>2025.0</v>
      </c>
      <c r="E636" s="43" t="s">
        <v>1130</v>
      </c>
      <c r="H636" s="102"/>
      <c r="J636" s="102"/>
      <c r="K636" s="450"/>
      <c r="L636" s="443"/>
      <c r="M636" s="450"/>
      <c r="N636" s="452">
        <f t="array" ref="N636">IFERROR(
  INDEX(
    'Valor Hora Real y Estimada'!$A$4:$Z$78,
    MATCH(TRIM(CLEAN(A636)), 'Valor Hora Real y Estimada'!$A$4:$A$78, 0),
    MATCH(
      TEXT(C636,"dd mmm")&amp;" "&amp;D636,
      'Valor Hora Real y Estimada'!$A$3:$Z$3,
      0
    ) + 1
  ),
  0
)</f>
        <v>0</v>
      </c>
      <c r="P636" s="171">
        <v>45.0</v>
      </c>
      <c r="Q636" s="106" t="str">
        <f>IF(ISBLANK(O636), "", VLOOKUP(C636&amp;" "&amp;D636, 'Info Tipo de Cambio y REM'!$A$24:$B$35, 2, FALSE))</f>
        <v/>
      </c>
      <c r="R636" s="107">
        <f t="shared" si="2"/>
        <v>45</v>
      </c>
    </row>
    <row r="637" hidden="1">
      <c r="A637" s="443" t="s">
        <v>185</v>
      </c>
      <c r="B637" s="43" t="str">
        <f>IF(A637="", "", IFERROR(VLOOKUP(A637, Clasificaciones!A:B, 2, FALSE), "DATO NO CARGADO"))
</f>
        <v>Comisiones Bancarias</v>
      </c>
      <c r="C637" s="51" t="s">
        <v>166</v>
      </c>
      <c r="D637" s="43">
        <v>2025.0</v>
      </c>
      <c r="E637" s="43" t="s">
        <v>1130</v>
      </c>
      <c r="H637" s="102"/>
      <c r="J637" s="102"/>
      <c r="K637" s="450"/>
      <c r="L637" s="443"/>
      <c r="M637" s="450"/>
      <c r="N637" s="452">
        <f t="array" ref="N637">IFERROR(
  INDEX(
    'Valor Hora Real y Estimada'!$A$4:$Z$78,
    MATCH(TRIM(CLEAN(A637)), 'Valor Hora Real y Estimada'!$A$4:$A$78, 0),
    MATCH(
      TEXT(C637,"dd mmm")&amp;" "&amp;D637,
      'Valor Hora Real y Estimada'!$A$3:$Z$3,
      0
    ) + 1
  ),
  0
)</f>
        <v>0</v>
      </c>
      <c r="P637" s="171">
        <v>45.0</v>
      </c>
      <c r="Q637" s="106" t="str">
        <f>IF(ISBLANK(O637), "", VLOOKUP(C637&amp;" "&amp;D637, 'Info Tipo de Cambio y REM'!$A$24:$B$35, 2, FALSE))</f>
        <v/>
      </c>
      <c r="R637" s="107">
        <f t="shared" si="2"/>
        <v>45</v>
      </c>
    </row>
    <row r="638" hidden="1">
      <c r="A638" s="443" t="s">
        <v>185</v>
      </c>
      <c r="B638" s="43" t="str">
        <f>IF(A638="", "", IFERROR(VLOOKUP(A638, Clasificaciones!A:B, 2, FALSE), "DATO NO CARGADO"))
</f>
        <v>Comisiones Bancarias</v>
      </c>
      <c r="C638" s="51" t="s">
        <v>166</v>
      </c>
      <c r="D638" s="43">
        <v>2025.0</v>
      </c>
      <c r="E638" s="43" t="s">
        <v>1130</v>
      </c>
      <c r="H638" s="102"/>
      <c r="J638" s="102"/>
      <c r="K638" s="450"/>
      <c r="L638" s="443"/>
      <c r="M638" s="450"/>
      <c r="N638" s="452">
        <f t="array" ref="N638">IFERROR(
  INDEX(
    'Valor Hora Real y Estimada'!$A$4:$Z$78,
    MATCH(TRIM(CLEAN(A638)), 'Valor Hora Real y Estimada'!$A$4:$A$78, 0),
    MATCH(
      TEXT(C638,"dd mmm")&amp;" "&amp;D638,
      'Valor Hora Real y Estimada'!$A$3:$Z$3,
      0
    ) + 1
  ),
  0
)</f>
        <v>0</v>
      </c>
      <c r="P638" s="171">
        <v>45.0</v>
      </c>
      <c r="Q638" s="106" t="str">
        <f>IF(ISBLANK(O638), "", VLOOKUP(C638&amp;" "&amp;D638, 'Info Tipo de Cambio y REM'!$A$24:$B$35, 2, FALSE))</f>
        <v/>
      </c>
      <c r="R638" s="107">
        <f t="shared" si="2"/>
        <v>45</v>
      </c>
    </row>
    <row r="639" hidden="1">
      <c r="A639" s="443" t="s">
        <v>185</v>
      </c>
      <c r="B639" s="43" t="str">
        <f>IF(A639="", "", IFERROR(VLOOKUP(A639, Clasificaciones!A:B, 2, FALSE), "DATO NO CARGADO"))
</f>
        <v>Comisiones Bancarias</v>
      </c>
      <c r="C639" s="51" t="s">
        <v>166</v>
      </c>
      <c r="D639" s="43">
        <v>2025.0</v>
      </c>
      <c r="E639" s="43" t="s">
        <v>1130</v>
      </c>
      <c r="H639" s="102"/>
      <c r="J639" s="102"/>
      <c r="K639" s="450"/>
      <c r="L639" s="443"/>
      <c r="M639" s="450"/>
      <c r="N639" s="452">
        <f t="array" ref="N639">IFERROR(
  INDEX(
    'Valor Hora Real y Estimada'!$A$4:$Z$78,
    MATCH(TRIM(CLEAN(A639)), 'Valor Hora Real y Estimada'!$A$4:$A$78, 0),
    MATCH(
      TEXT(C639,"dd mmm")&amp;" "&amp;D639,
      'Valor Hora Real y Estimada'!$A$3:$Z$3,
      0
    ) + 1
  ),
  0
)</f>
        <v>0</v>
      </c>
      <c r="P639" s="171">
        <v>45.0</v>
      </c>
      <c r="Q639" s="106" t="str">
        <f>IF(ISBLANK(O639), "", VLOOKUP(C639&amp;" "&amp;D639, 'Info Tipo de Cambio y REM'!$A$24:$B$35, 2, FALSE))</f>
        <v/>
      </c>
      <c r="R639" s="107">
        <f t="shared" si="2"/>
        <v>45</v>
      </c>
    </row>
    <row r="640" hidden="1">
      <c r="A640" s="443" t="s">
        <v>185</v>
      </c>
      <c r="B640" s="43" t="str">
        <f>IF(A640="", "", IFERROR(VLOOKUP(A640, Clasificaciones!A:B, 2, FALSE), "DATO NO CARGADO"))
</f>
        <v>Comisiones Bancarias</v>
      </c>
      <c r="C640" s="51" t="s">
        <v>166</v>
      </c>
      <c r="D640" s="43">
        <v>2025.0</v>
      </c>
      <c r="E640" s="43" t="s">
        <v>1130</v>
      </c>
      <c r="H640" s="102"/>
      <c r="J640" s="102"/>
      <c r="K640" s="450"/>
      <c r="L640" s="443"/>
      <c r="M640" s="450"/>
      <c r="N640" s="452">
        <f t="array" ref="N640">IFERROR(
  INDEX(
    'Valor Hora Real y Estimada'!$A$4:$Z$78,
    MATCH(TRIM(CLEAN(A640)), 'Valor Hora Real y Estimada'!$A$4:$A$78, 0),
    MATCH(
      TEXT(C640,"dd mmm")&amp;" "&amp;D640,
      'Valor Hora Real y Estimada'!$A$3:$Z$3,
      0
    ) + 1
  ),
  0
)</f>
        <v>0</v>
      </c>
      <c r="P640" s="171">
        <v>45.0</v>
      </c>
      <c r="Q640" s="106" t="str">
        <f>IF(ISBLANK(O640), "", VLOOKUP(C640&amp;" "&amp;D640, 'Info Tipo de Cambio y REM'!$A$24:$B$35, 2, FALSE))</f>
        <v/>
      </c>
      <c r="R640" s="107">
        <f t="shared" si="2"/>
        <v>45</v>
      </c>
    </row>
    <row r="641" hidden="1">
      <c r="A641" s="443" t="s">
        <v>185</v>
      </c>
      <c r="B641" s="43" t="str">
        <f>IF(A641="", "", IFERROR(VLOOKUP(A641, Clasificaciones!A:B, 2, FALSE), "DATO NO CARGADO"))
</f>
        <v>Comisiones Bancarias</v>
      </c>
      <c r="C641" s="51" t="s">
        <v>166</v>
      </c>
      <c r="D641" s="43">
        <v>2025.0</v>
      </c>
      <c r="E641" s="43" t="s">
        <v>1130</v>
      </c>
      <c r="H641" s="102"/>
      <c r="J641" s="102"/>
      <c r="K641" s="450"/>
      <c r="L641" s="443"/>
      <c r="M641" s="450"/>
      <c r="N641" s="452">
        <f t="array" ref="N641">IFERROR(
  INDEX(
    'Valor Hora Real y Estimada'!$A$4:$Z$78,
    MATCH(TRIM(CLEAN(A641)), 'Valor Hora Real y Estimada'!$A$4:$A$78, 0),
    MATCH(
      TEXT(C641,"dd mmm")&amp;" "&amp;D641,
      'Valor Hora Real y Estimada'!$A$3:$Z$3,
      0
    ) + 1
  ),
  0
)</f>
        <v>0</v>
      </c>
      <c r="P641" s="171">
        <v>45.0</v>
      </c>
      <c r="Q641" s="106" t="str">
        <f>IF(ISBLANK(O641), "", VLOOKUP(C641&amp;" "&amp;D641, 'Info Tipo de Cambio y REM'!$A$24:$B$35, 2, FALSE))</f>
        <v/>
      </c>
      <c r="R641" s="107">
        <f t="shared" si="2"/>
        <v>45</v>
      </c>
    </row>
    <row r="642" hidden="1">
      <c r="A642" s="443" t="s">
        <v>185</v>
      </c>
      <c r="B642" s="43" t="str">
        <f>IF(A642="", "", IFERROR(VLOOKUP(A642, Clasificaciones!A:B, 2, FALSE), "DATO NO CARGADO"))
</f>
        <v>Comisiones Bancarias</v>
      </c>
      <c r="C642" s="51" t="s">
        <v>166</v>
      </c>
      <c r="D642" s="43">
        <v>2025.0</v>
      </c>
      <c r="E642" s="43" t="s">
        <v>1130</v>
      </c>
      <c r="H642" s="102"/>
      <c r="J642" s="102"/>
      <c r="K642" s="450"/>
      <c r="L642" s="443"/>
      <c r="M642" s="450"/>
      <c r="N642" s="452">
        <f t="array" ref="N642">IFERROR(
  INDEX(
    'Valor Hora Real y Estimada'!$A$4:$Z$78,
    MATCH(TRIM(CLEAN(A642)), 'Valor Hora Real y Estimada'!$A$4:$A$78, 0),
    MATCH(
      TEXT(C642,"dd mmm")&amp;" "&amp;D642,
      'Valor Hora Real y Estimada'!$A$3:$Z$3,
      0
    ) + 1
  ),
  0
)</f>
        <v>0</v>
      </c>
      <c r="P642" s="171">
        <v>45.0</v>
      </c>
      <c r="Q642" s="106" t="str">
        <f>IF(ISBLANK(O642), "", VLOOKUP(C642&amp;" "&amp;D642, 'Info Tipo de Cambio y REM'!$A$24:$B$35, 2, FALSE))</f>
        <v/>
      </c>
      <c r="R642" s="107">
        <f t="shared" si="2"/>
        <v>45</v>
      </c>
    </row>
    <row r="643" hidden="1">
      <c r="A643" s="443" t="s">
        <v>185</v>
      </c>
      <c r="B643" s="43" t="str">
        <f>IF(A643="", "", IFERROR(VLOOKUP(A643, Clasificaciones!A:B, 2, FALSE), "DATO NO CARGADO"))
</f>
        <v>Comisiones Bancarias</v>
      </c>
      <c r="C643" s="51" t="s">
        <v>166</v>
      </c>
      <c r="D643" s="43">
        <v>2025.0</v>
      </c>
      <c r="E643" s="43" t="s">
        <v>1130</v>
      </c>
      <c r="H643" s="102"/>
      <c r="J643" s="102"/>
      <c r="K643" s="450"/>
      <c r="L643" s="443"/>
      <c r="M643" s="450"/>
      <c r="N643" s="452">
        <f t="array" ref="N643">IFERROR(
  INDEX(
    'Valor Hora Real y Estimada'!$A$4:$Z$78,
    MATCH(TRIM(CLEAN(A643)), 'Valor Hora Real y Estimada'!$A$4:$A$78, 0),
    MATCH(
      TEXT(C643,"dd mmm")&amp;" "&amp;D643,
      'Valor Hora Real y Estimada'!$A$3:$Z$3,
      0
    ) + 1
  ),
  0
)</f>
        <v>0</v>
      </c>
      <c r="P643" s="171">
        <v>45.0</v>
      </c>
      <c r="Q643" s="106" t="str">
        <f>IF(ISBLANK(O643), "", VLOOKUP(C643&amp;" "&amp;D643, 'Info Tipo de Cambio y REM'!$A$24:$B$35, 2, FALSE))</f>
        <v/>
      </c>
      <c r="R643" s="107">
        <f t="shared" si="2"/>
        <v>45</v>
      </c>
    </row>
    <row r="644" hidden="1">
      <c r="A644" s="443" t="s">
        <v>185</v>
      </c>
      <c r="B644" s="43" t="str">
        <f>IF(A644="", "", IFERROR(VLOOKUP(A644, Clasificaciones!A:B, 2, FALSE), "DATO NO CARGADO"))
</f>
        <v>Comisiones Bancarias</v>
      </c>
      <c r="C644" s="51" t="s">
        <v>166</v>
      </c>
      <c r="D644" s="43">
        <v>2025.0</v>
      </c>
      <c r="E644" s="43" t="s">
        <v>1130</v>
      </c>
      <c r="H644" s="102"/>
      <c r="J644" s="102"/>
      <c r="K644" s="450"/>
      <c r="L644" s="443"/>
      <c r="M644" s="450"/>
      <c r="N644" s="452">
        <f t="array" ref="N644">IFERROR(
  INDEX(
    'Valor Hora Real y Estimada'!$A$4:$Z$78,
    MATCH(TRIM(CLEAN(A644)), 'Valor Hora Real y Estimada'!$A$4:$A$78, 0),
    MATCH(
      TEXT(C644,"dd mmm")&amp;" "&amp;D644,
      'Valor Hora Real y Estimada'!$A$3:$Z$3,
      0
    ) + 1
  ),
  0
)</f>
        <v>0</v>
      </c>
      <c r="P644" s="89">
        <v>45.0</v>
      </c>
      <c r="Q644" s="106" t="str">
        <f>IF(ISBLANK(O644), "", VLOOKUP(C644&amp;" "&amp;D644, 'Info Tipo de Cambio y REM'!$A$24:$B$35, 2, FALSE))</f>
        <v/>
      </c>
      <c r="R644" s="107">
        <f t="shared" si="2"/>
        <v>45</v>
      </c>
    </row>
    <row r="645" hidden="1">
      <c r="A645" s="443" t="s">
        <v>185</v>
      </c>
      <c r="B645" s="43" t="str">
        <f>IF(A645="", "", IFERROR(VLOOKUP(A645, Clasificaciones!A:B, 2, FALSE), "DATO NO CARGADO"))
</f>
        <v>Comisiones Bancarias</v>
      </c>
      <c r="C645" s="51" t="s">
        <v>166</v>
      </c>
      <c r="D645" s="43">
        <v>2025.0</v>
      </c>
      <c r="E645" s="43" t="s">
        <v>1130</v>
      </c>
      <c r="H645" s="102"/>
      <c r="J645" s="102"/>
      <c r="K645" s="450"/>
      <c r="L645" s="443"/>
      <c r="M645" s="450"/>
      <c r="N645" s="452">
        <f t="array" ref="N645">IFERROR(
  INDEX(
    'Valor Hora Real y Estimada'!$A$4:$Z$78,
    MATCH(TRIM(CLEAN(A645)), 'Valor Hora Real y Estimada'!$A$4:$A$78, 0),
    MATCH(
      TEXT(C645,"dd mmm")&amp;" "&amp;D645,
      'Valor Hora Real y Estimada'!$A$3:$Z$3,
      0
    ) + 1
  ),
  0
)</f>
        <v>0</v>
      </c>
      <c r="P645" s="89">
        <v>45.0</v>
      </c>
      <c r="Q645" s="106" t="str">
        <f>IF(ISBLANK(O645), "", VLOOKUP(C645&amp;" "&amp;D645, 'Info Tipo de Cambio y REM'!$A$24:$B$35, 2, FALSE))</f>
        <v/>
      </c>
      <c r="R645" s="107">
        <f t="shared" si="2"/>
        <v>45</v>
      </c>
    </row>
    <row r="646" hidden="1">
      <c r="A646" s="443" t="s">
        <v>185</v>
      </c>
      <c r="B646" s="43" t="str">
        <f>IF(A646="", "", IFERROR(VLOOKUP(A646, Clasificaciones!A:B, 2, FALSE), "DATO NO CARGADO"))
</f>
        <v>Comisiones Bancarias</v>
      </c>
      <c r="C646" s="51" t="s">
        <v>166</v>
      </c>
      <c r="D646" s="43">
        <v>2025.0</v>
      </c>
      <c r="E646" s="43" t="s">
        <v>1130</v>
      </c>
      <c r="H646" s="102"/>
      <c r="J646" s="102"/>
      <c r="K646" s="450"/>
      <c r="L646" s="443"/>
      <c r="M646" s="450"/>
      <c r="N646" s="452">
        <f t="array" ref="N646">IFERROR(
  INDEX(
    'Valor Hora Real y Estimada'!$A$4:$Z$78,
    MATCH(TRIM(CLEAN(A646)), 'Valor Hora Real y Estimada'!$A$4:$A$78, 0),
    MATCH(
      TEXT(C646,"dd mmm")&amp;" "&amp;D646,
      'Valor Hora Real y Estimada'!$A$3:$Z$3,
      0
    ) + 1
  ),
  0
)</f>
        <v>0</v>
      </c>
      <c r="P646" s="89">
        <v>45.0</v>
      </c>
      <c r="Q646" s="106" t="str">
        <f>IF(ISBLANK(O646), "", VLOOKUP(C646&amp;" "&amp;D646, 'Info Tipo de Cambio y REM'!$A$24:$B$35, 2, FALSE))</f>
        <v/>
      </c>
      <c r="R646" s="107">
        <f t="shared" si="2"/>
        <v>45</v>
      </c>
    </row>
    <row r="647" hidden="1">
      <c r="A647" s="443" t="s">
        <v>191</v>
      </c>
      <c r="B647" s="43" t="str">
        <f>IF(A647="", "", IFERROR(VLOOKUP(A647, Clasificaciones!A:B, 2, FALSE), "DATO NO CARGADO"))
</f>
        <v>Tarjeta</v>
      </c>
      <c r="C647" s="51" t="s">
        <v>166</v>
      </c>
      <c r="D647" s="43">
        <v>2025.0</v>
      </c>
      <c r="E647" s="43" t="s">
        <v>1130</v>
      </c>
      <c r="H647" s="102"/>
      <c r="J647" s="102"/>
      <c r="K647" s="450"/>
      <c r="L647" s="443"/>
      <c r="M647" s="450"/>
      <c r="N647" s="452">
        <f t="array" ref="N647">IFERROR(
  INDEX(
    'Valor Hora Real y Estimada'!$A$4:$Z$78,
    MATCH(TRIM(CLEAN(A647)), 'Valor Hora Real y Estimada'!$A$4:$A$78, 0),
    MATCH(
      TEXT(C647,"dd mmm")&amp;" "&amp;D647,
      'Valor Hora Real y Estimada'!$A$3:$Z$3,
      0
    ) + 1
  ),
  0
)</f>
        <v>0</v>
      </c>
      <c r="P647" s="89">
        <v>14.0</v>
      </c>
      <c r="Q647" s="106" t="str">
        <f>IF(ISBLANK(O647), "", VLOOKUP(C647&amp;" "&amp;D647, 'Info Tipo de Cambio y REM'!$A$24:$B$35, 2, FALSE))</f>
        <v/>
      </c>
      <c r="R647" s="107">
        <f t="shared" si="2"/>
        <v>14</v>
      </c>
    </row>
    <row r="648" hidden="1">
      <c r="A648" s="443" t="s">
        <v>191</v>
      </c>
      <c r="B648" s="43" t="str">
        <f>IF(A648="", "", IFERROR(VLOOKUP(A648, Clasificaciones!A:B, 2, FALSE), "DATO NO CARGADO"))
</f>
        <v>Tarjeta</v>
      </c>
      <c r="C648" s="51" t="s">
        <v>166</v>
      </c>
      <c r="D648" s="43">
        <v>2025.0</v>
      </c>
      <c r="E648" s="43" t="s">
        <v>1130</v>
      </c>
      <c r="H648" s="102"/>
      <c r="J648" s="102"/>
      <c r="K648" s="450"/>
      <c r="L648" s="443"/>
      <c r="M648" s="450"/>
      <c r="N648" s="452">
        <f t="array" ref="N648">IFERROR(
  INDEX(
    'Valor Hora Real y Estimada'!$A$4:$Z$78,
    MATCH(TRIM(CLEAN(A648)), 'Valor Hora Real y Estimada'!$A$4:$A$78, 0),
    MATCH(
      TEXT(C648,"dd mmm")&amp;" "&amp;D648,
      'Valor Hora Real y Estimada'!$A$3:$Z$3,
      0
    ) + 1
  ),
  0
)</f>
        <v>0</v>
      </c>
      <c r="P648" s="89">
        <v>633.6</v>
      </c>
      <c r="Q648" s="106" t="str">
        <f>IF(ISBLANK(O648), "", VLOOKUP(C648&amp;" "&amp;D648, 'Info Tipo de Cambio y REM'!$A$24:$B$35, 2, FALSE))</f>
        <v/>
      </c>
      <c r="R648" s="107">
        <f t="shared" si="2"/>
        <v>633.6</v>
      </c>
    </row>
    <row r="649" hidden="1">
      <c r="A649" s="443" t="s">
        <v>191</v>
      </c>
      <c r="B649" s="43" t="str">
        <f>IF(A649="", "", IFERROR(VLOOKUP(A649, Clasificaciones!A:B, 2, FALSE), "DATO NO CARGADO"))
</f>
        <v>Tarjeta</v>
      </c>
      <c r="C649" s="51" t="s">
        <v>166</v>
      </c>
      <c r="D649" s="43">
        <v>2025.0</v>
      </c>
      <c r="E649" s="43" t="s">
        <v>1130</v>
      </c>
      <c r="H649" s="102"/>
      <c r="J649" s="102"/>
      <c r="K649" s="450"/>
      <c r="L649" s="443"/>
      <c r="M649" s="450"/>
      <c r="N649" s="452">
        <f t="array" ref="N649">IFERROR(
  INDEX(
    'Valor Hora Real y Estimada'!$A$4:$Z$78,
    MATCH(TRIM(CLEAN(A649)), 'Valor Hora Real y Estimada'!$A$4:$A$78, 0),
    MATCH(
      TEXT(C649,"dd mmm")&amp;" "&amp;D649,
      'Valor Hora Real y Estimada'!$A$3:$Z$3,
      0
    ) + 1
  ),
  0
)</f>
        <v>0</v>
      </c>
      <c r="P649" s="89">
        <v>6.08</v>
      </c>
      <c r="Q649" s="106" t="str">
        <f>IF(ISBLANK(O649), "", VLOOKUP(C649&amp;" "&amp;D649, 'Info Tipo de Cambio y REM'!$A$24:$B$35, 2, FALSE))</f>
        <v/>
      </c>
      <c r="R649" s="107">
        <f t="shared" si="2"/>
        <v>6.08</v>
      </c>
    </row>
    <row r="650" hidden="1">
      <c r="A650" s="443" t="s">
        <v>191</v>
      </c>
      <c r="B650" s="43" t="str">
        <f>IF(A650="", "", IFERROR(VLOOKUP(A650, Clasificaciones!A:B, 2, FALSE), "DATO NO CARGADO"))
</f>
        <v>Tarjeta</v>
      </c>
      <c r="C650" s="51" t="s">
        <v>166</v>
      </c>
      <c r="D650" s="43">
        <v>2025.0</v>
      </c>
      <c r="E650" s="43" t="s">
        <v>1130</v>
      </c>
      <c r="H650" s="102"/>
      <c r="J650" s="102"/>
      <c r="K650" s="450"/>
      <c r="L650" s="443"/>
      <c r="M650" s="450"/>
      <c r="N650" s="452">
        <f t="array" ref="N650">IFERROR(
  INDEX(
    'Valor Hora Real y Estimada'!$A$4:$Z$78,
    MATCH(TRIM(CLEAN(A650)), 'Valor Hora Real y Estimada'!$A$4:$A$78, 0),
    MATCH(
      TEXT(C650,"dd mmm")&amp;" "&amp;D650,
      'Valor Hora Real y Estimada'!$A$3:$Z$3,
      0
    ) + 1
  ),
  0
)</f>
        <v>0</v>
      </c>
      <c r="P650" s="89">
        <v>14.19</v>
      </c>
      <c r="Q650" s="106" t="str">
        <f>IF(ISBLANK(O650), "", VLOOKUP(C650&amp;" "&amp;D650, 'Info Tipo de Cambio y REM'!$A$24:$B$35, 2, FALSE))</f>
        <v/>
      </c>
      <c r="R650" s="107">
        <f t="shared" si="2"/>
        <v>14.19</v>
      </c>
    </row>
    <row r="651" hidden="1">
      <c r="A651" s="443" t="s">
        <v>191</v>
      </c>
      <c r="B651" s="43" t="str">
        <f>IF(A651="", "", IFERROR(VLOOKUP(A651, Clasificaciones!A:B, 2, FALSE), "DATO NO CARGADO"))
</f>
        <v>Tarjeta</v>
      </c>
      <c r="C651" s="51" t="s">
        <v>166</v>
      </c>
      <c r="D651" s="43">
        <v>2025.0</v>
      </c>
      <c r="E651" s="43" t="s">
        <v>1130</v>
      </c>
      <c r="H651" s="102"/>
      <c r="J651" s="102"/>
      <c r="K651" s="450"/>
      <c r="L651" s="443"/>
      <c r="M651" s="450"/>
      <c r="N651" s="452">
        <f t="array" ref="N651">IFERROR(
  INDEX(
    'Valor Hora Real y Estimada'!$A$4:$Z$78,
    MATCH(TRIM(CLEAN(A651)), 'Valor Hora Real y Estimada'!$A$4:$A$78, 0),
    MATCH(
      TEXT(C651,"dd mmm")&amp;" "&amp;D651,
      'Valor Hora Real y Estimada'!$A$3:$Z$3,
      0
    ) + 1
  ),
  0
)</f>
        <v>0</v>
      </c>
      <c r="P651" s="89">
        <v>22.99</v>
      </c>
      <c r="Q651" s="106" t="str">
        <f>IF(ISBLANK(O651), "", VLOOKUP(C651&amp;" "&amp;D651, 'Info Tipo de Cambio y REM'!$A$24:$B$35, 2, FALSE))</f>
        <v/>
      </c>
      <c r="R651" s="107">
        <f t="shared" si="2"/>
        <v>22.99</v>
      </c>
    </row>
    <row r="652" hidden="1">
      <c r="A652" s="443" t="s">
        <v>191</v>
      </c>
      <c r="B652" s="43" t="str">
        <f>IF(A652="", "", IFERROR(VLOOKUP(A652, Clasificaciones!A:B, 2, FALSE), "DATO NO CARGADO"))
</f>
        <v>Tarjeta</v>
      </c>
      <c r="C652" s="51" t="s">
        <v>166</v>
      </c>
      <c r="D652" s="43">
        <v>2025.0</v>
      </c>
      <c r="E652" s="43" t="s">
        <v>1130</v>
      </c>
      <c r="H652" s="102"/>
      <c r="J652" s="102"/>
      <c r="K652" s="450"/>
      <c r="L652" s="443"/>
      <c r="M652" s="450"/>
      <c r="N652" s="452">
        <f t="array" ref="N652">IFERROR(
  INDEX(
    'Valor Hora Real y Estimada'!$A$4:$Z$78,
    MATCH(TRIM(CLEAN(A652)), 'Valor Hora Real y Estimada'!$A$4:$A$78, 0),
    MATCH(
      TEXT(C652,"dd mmm")&amp;" "&amp;D652,
      'Valor Hora Real y Estimada'!$A$3:$Z$3,
      0
    ) + 1
  ),
  0
)</f>
        <v>0</v>
      </c>
      <c r="P652" s="89">
        <v>20.0</v>
      </c>
      <c r="Q652" s="106" t="str">
        <f>IF(ISBLANK(O652), "", VLOOKUP(C652&amp;" "&amp;D652, 'Info Tipo de Cambio y REM'!$A$24:$B$35, 2, FALSE))</f>
        <v/>
      </c>
      <c r="R652" s="107">
        <f t="shared" si="2"/>
        <v>20</v>
      </c>
    </row>
    <row r="653" hidden="1">
      <c r="A653" s="443" t="s">
        <v>191</v>
      </c>
      <c r="B653" s="43" t="str">
        <f>IF(A653="", "", IFERROR(VLOOKUP(A653, Clasificaciones!A:B, 2, FALSE), "DATO NO CARGADO"))
</f>
        <v>Tarjeta</v>
      </c>
      <c r="C653" s="51" t="s">
        <v>166</v>
      </c>
      <c r="D653" s="43">
        <v>2025.0</v>
      </c>
      <c r="E653" s="43" t="s">
        <v>1130</v>
      </c>
      <c r="H653" s="102"/>
      <c r="J653" s="102"/>
      <c r="K653" s="450"/>
      <c r="L653" s="443"/>
      <c r="M653" s="450"/>
      <c r="N653" s="452">
        <f t="array" ref="N653">IFERROR(
  INDEX(
    'Valor Hora Real y Estimada'!$A$4:$Z$78,
    MATCH(TRIM(CLEAN(A653)), 'Valor Hora Real y Estimada'!$A$4:$A$78, 0),
    MATCH(
      TEXT(C653,"dd mmm")&amp;" "&amp;D653,
      'Valor Hora Real y Estimada'!$A$3:$Z$3,
      0
    ) + 1
  ),
  0
)</f>
        <v>0</v>
      </c>
      <c r="P653" s="89">
        <v>6.49</v>
      </c>
      <c r="Q653" s="106" t="str">
        <f>IF(ISBLANK(O653), "", VLOOKUP(C653&amp;" "&amp;D653, 'Info Tipo de Cambio y REM'!$A$24:$B$35, 2, FALSE))</f>
        <v/>
      </c>
      <c r="R653" s="107">
        <f t="shared" si="2"/>
        <v>6.49</v>
      </c>
    </row>
    <row r="654" hidden="1">
      <c r="A654" s="443" t="s">
        <v>191</v>
      </c>
      <c r="B654" s="43" t="str">
        <f>IF(A654="", "", IFERROR(VLOOKUP(A654, Clasificaciones!A:B, 2, FALSE), "DATO NO CARGADO"))
</f>
        <v>Tarjeta</v>
      </c>
      <c r="C654" s="51" t="s">
        <v>166</v>
      </c>
      <c r="D654" s="43">
        <v>2025.0</v>
      </c>
      <c r="E654" s="43" t="s">
        <v>1130</v>
      </c>
      <c r="H654" s="102"/>
      <c r="J654" s="102"/>
      <c r="K654" s="450"/>
      <c r="L654" s="443"/>
      <c r="M654" s="450"/>
      <c r="N654" s="452">
        <f t="array" ref="N654">IFERROR(
  INDEX(
    'Valor Hora Real y Estimada'!$A$4:$Z$78,
    MATCH(TRIM(CLEAN(A654)), 'Valor Hora Real y Estimada'!$A$4:$A$78, 0),
    MATCH(
      TEXT(C654,"dd mmm")&amp;" "&amp;D654,
      'Valor Hora Real y Estimada'!$A$3:$Z$3,
      0
    ) + 1
  ),
  0
)</f>
        <v>0</v>
      </c>
      <c r="P654" s="89">
        <v>29.0</v>
      </c>
      <c r="Q654" s="106" t="str">
        <f>IF(ISBLANK(O654), "", VLOOKUP(C654&amp;" "&amp;D654, 'Info Tipo de Cambio y REM'!$A$24:$B$35, 2, FALSE))</f>
        <v/>
      </c>
      <c r="R654" s="107">
        <f t="shared" si="2"/>
        <v>29</v>
      </c>
    </row>
    <row r="655" hidden="1">
      <c r="A655" s="443" t="s">
        <v>191</v>
      </c>
      <c r="B655" s="43" t="str">
        <f>IF(A655="", "", IFERROR(VLOOKUP(A655, Clasificaciones!A:B, 2, FALSE), "DATO NO CARGADO"))
</f>
        <v>Tarjeta</v>
      </c>
      <c r="C655" s="51" t="s">
        <v>166</v>
      </c>
      <c r="D655" s="43">
        <v>2025.0</v>
      </c>
      <c r="E655" s="43" t="s">
        <v>1130</v>
      </c>
      <c r="H655" s="102"/>
      <c r="J655" s="102"/>
      <c r="K655" s="450"/>
      <c r="L655" s="443"/>
      <c r="M655" s="450"/>
      <c r="N655" s="452">
        <f t="array" ref="N655">IFERROR(
  INDEX(
    'Valor Hora Real y Estimada'!$A$4:$Z$78,
    MATCH(TRIM(CLEAN(A655)), 'Valor Hora Real y Estimada'!$A$4:$A$78, 0),
    MATCH(
      TEXT(C655,"dd mmm")&amp;" "&amp;D655,
      'Valor Hora Real y Estimada'!$A$3:$Z$3,
      0
    ) + 1
  ),
  0
)</f>
        <v>0</v>
      </c>
      <c r="P655" s="89">
        <v>491.63</v>
      </c>
      <c r="Q655" s="106" t="str">
        <f>IF(ISBLANK(O655), "", VLOOKUP(C655&amp;" "&amp;D655, 'Info Tipo de Cambio y REM'!$A$24:$B$35, 2, FALSE))</f>
        <v/>
      </c>
      <c r="R655" s="107">
        <f t="shared" si="2"/>
        <v>491.63</v>
      </c>
    </row>
    <row r="656" hidden="1">
      <c r="A656" s="443" t="s">
        <v>191</v>
      </c>
      <c r="B656" s="43" t="str">
        <f>IF(A656="", "", IFERROR(VLOOKUP(A656, Clasificaciones!A:B, 2, FALSE), "DATO NO CARGADO"))
</f>
        <v>Tarjeta</v>
      </c>
      <c r="C656" s="51" t="s">
        <v>166</v>
      </c>
      <c r="D656" s="43">
        <v>2025.0</v>
      </c>
      <c r="E656" s="43" t="s">
        <v>1130</v>
      </c>
      <c r="H656" s="102"/>
      <c r="J656" s="102"/>
      <c r="K656" s="450"/>
      <c r="L656" s="443"/>
      <c r="M656" s="450"/>
      <c r="N656" s="452">
        <f t="array" ref="N656">IFERROR(
  INDEX(
    'Valor Hora Real y Estimada'!$A$4:$Z$78,
    MATCH(TRIM(CLEAN(A656)), 'Valor Hora Real y Estimada'!$A$4:$A$78, 0),
    MATCH(
      TEXT(C656,"dd mmm")&amp;" "&amp;D656,
      'Valor Hora Real y Estimada'!$A$3:$Z$3,
      0
    ) + 1
  ),
  0
)</f>
        <v>0</v>
      </c>
      <c r="P656" s="89">
        <v>20.0</v>
      </c>
      <c r="Q656" s="106" t="str">
        <f>IF(ISBLANK(O656), "", VLOOKUP(C656&amp;" "&amp;D656, 'Info Tipo de Cambio y REM'!$A$24:$B$35, 2, FALSE))</f>
        <v/>
      </c>
      <c r="R656" s="107">
        <f t="shared" si="2"/>
        <v>20</v>
      </c>
    </row>
    <row r="657" hidden="1">
      <c r="A657" s="443" t="s">
        <v>223</v>
      </c>
      <c r="B657" s="43" t="str">
        <f>IF(A657="", "", IFERROR(VLOOKUP(A657, Clasificaciones!A:B, 2, FALSE), "DATO NO CARGADO"))
</f>
        <v>Otros Proveedores</v>
      </c>
      <c r="C657" s="51" t="s">
        <v>166</v>
      </c>
      <c r="D657" s="43">
        <v>2025.0</v>
      </c>
      <c r="E657" s="43" t="s">
        <v>1130</v>
      </c>
      <c r="H657" s="102"/>
      <c r="J657" s="102"/>
      <c r="K657" s="450"/>
      <c r="L657" s="443"/>
      <c r="M657" s="450"/>
      <c r="N657" s="452">
        <f t="array" ref="N657">IFERROR(
  INDEX(
    'Valor Hora Real y Estimada'!$A$4:$Z$78,
    MATCH(TRIM(CLEAN(A657)), 'Valor Hora Real y Estimada'!$A$4:$A$78, 0),
    MATCH(
      TEXT(C657,"dd mmm")&amp;" "&amp;D657,
      'Valor Hora Real y Estimada'!$A$3:$Z$3,
      0
    ) + 1
  ),
  0
)</f>
        <v>0</v>
      </c>
      <c r="O657" s="244">
        <f>143990/1.21</f>
        <v>119000</v>
      </c>
      <c r="P657" s="71"/>
      <c r="Q657" s="106">
        <f>IF(ISBLANK(O657), "", VLOOKUP(C657&amp;" "&amp;D657, 'Info Tipo de Cambio y REM'!$A$24:$B$35, 2, FALSE))</f>
        <v>1345</v>
      </c>
      <c r="R657" s="107">
        <f t="shared" si="2"/>
        <v>88.47583643</v>
      </c>
    </row>
    <row r="658" hidden="1">
      <c r="A658" s="443" t="s">
        <v>225</v>
      </c>
      <c r="B658" s="43" t="str">
        <f>IF(A658="", "", IFERROR(VLOOKUP(A658, Clasificaciones!A:B, 2, FALSE), "DATO NO CARGADO"))
</f>
        <v>Gastos Varios</v>
      </c>
      <c r="C658" s="51" t="s">
        <v>166</v>
      </c>
      <c r="D658" s="43">
        <v>2025.0</v>
      </c>
      <c r="E658" s="43" t="s">
        <v>1130</v>
      </c>
      <c r="H658" s="102"/>
      <c r="J658" s="102"/>
      <c r="K658" s="450"/>
      <c r="L658" s="443"/>
      <c r="M658" s="450"/>
      <c r="N658" s="452">
        <f t="array" ref="N658">IFERROR(
  INDEX(
    'Valor Hora Real y Estimada'!$A$4:$Z$78,
    MATCH(TRIM(CLEAN(A658)), 'Valor Hora Real y Estimada'!$A$4:$A$78, 0),
    MATCH(
      TEXT(C658,"dd mmm")&amp;" "&amp;D658,
      'Valor Hora Real y Estimada'!$A$3:$Z$3,
      0
    ) + 1
  ),
  0
)</f>
        <v>0</v>
      </c>
      <c r="O658" s="244">
        <v>72000.0</v>
      </c>
      <c r="P658" s="71"/>
      <c r="Q658" s="106">
        <f>IF(ISBLANK(O658), "", VLOOKUP(C658&amp;" "&amp;D658, 'Info Tipo de Cambio y REM'!$A$24:$B$35, 2, FALSE))</f>
        <v>1345</v>
      </c>
      <c r="R658" s="107">
        <f t="shared" si="2"/>
        <v>53.53159851</v>
      </c>
    </row>
    <row r="659" hidden="1">
      <c r="A659" s="443" t="s">
        <v>226</v>
      </c>
      <c r="B659" s="43" t="str">
        <f>IF(A659="", "", IFERROR(VLOOKUP(A659, Clasificaciones!A:B, 2, FALSE), "DATO NO CARGADO"))
</f>
        <v>Administración Finanzas</v>
      </c>
      <c r="C659" s="51" t="s">
        <v>166</v>
      </c>
      <c r="D659" s="43">
        <v>2025.0</v>
      </c>
      <c r="E659" s="43" t="s">
        <v>1130</v>
      </c>
      <c r="H659" s="102"/>
      <c r="J659" s="102"/>
      <c r="K659" s="450"/>
      <c r="L659" s="443"/>
      <c r="M659" s="450"/>
      <c r="N659" s="452">
        <f t="array" ref="N659">IFERROR(
  INDEX(
    'Valor Hora Real y Estimada'!$A$4:$Z$78,
    MATCH(TRIM(CLEAN(A659)), 'Valor Hora Real y Estimada'!$A$4:$A$78, 0),
    MATCH(
      TEXT(C659,"dd mmm")&amp;" "&amp;D659,
      'Valor Hora Real y Estimada'!$A$3:$Z$3,
      0
    ) + 1
  ),
  0
)</f>
        <v>0</v>
      </c>
      <c r="O659" s="244">
        <v>537700.0</v>
      </c>
      <c r="P659" s="71"/>
      <c r="Q659" s="106">
        <f>IF(ISBLANK(O659), "", VLOOKUP(C659&amp;" "&amp;D659, 'Info Tipo de Cambio y REM'!$A$24:$B$35, 2, FALSE))</f>
        <v>1345</v>
      </c>
      <c r="R659" s="107">
        <f t="shared" si="2"/>
        <v>399.7769517</v>
      </c>
    </row>
    <row r="660" hidden="1">
      <c r="A660" s="443" t="s">
        <v>219</v>
      </c>
      <c r="B660" s="43" t="str">
        <f>IF(A660="", "", IFERROR(VLOOKUP(A660, Clasificaciones!A:B, 2, FALSE), "DATO NO CARGADO"))
</f>
        <v>Gastos Varios</v>
      </c>
      <c r="C660" s="51" t="s">
        <v>166</v>
      </c>
      <c r="D660" s="43">
        <v>2025.0</v>
      </c>
      <c r="E660" s="43" t="s">
        <v>1124</v>
      </c>
      <c r="H660" s="102"/>
      <c r="J660" s="102"/>
      <c r="K660" s="450"/>
      <c r="L660" s="443"/>
      <c r="M660" s="450"/>
      <c r="N660" s="452">
        <f t="array" ref="N660">IFERROR(
  INDEX(
    'Valor Hora Real y Estimada'!$A$4:$Z$78,
    MATCH(TRIM(CLEAN(A660)), 'Valor Hora Real y Estimada'!$A$4:$A$78, 0),
    MATCH(
      TEXT(C660,"dd mmm")&amp;" "&amp;D660,
      'Valor Hora Real y Estimada'!$A$3:$Z$3,
      0
    ) + 1
  ),
  0
)</f>
        <v>0</v>
      </c>
      <c r="O660" s="244">
        <v>712040.0</v>
      </c>
      <c r="P660" s="71"/>
      <c r="Q660" s="106">
        <f>IF(ISBLANK(O660), "", VLOOKUP(C660&amp;" "&amp;D660, 'Info Tipo de Cambio y REM'!$A$24:$B$35, 2, FALSE))</f>
        <v>1345</v>
      </c>
      <c r="R660" s="107">
        <f t="shared" si="2"/>
        <v>529.3977695</v>
      </c>
    </row>
    <row r="661" hidden="1">
      <c r="A661" s="443" t="s">
        <v>139</v>
      </c>
      <c r="B661" s="43" t="str">
        <f>IF(A661="", "", IFERROR(VLOOKUP(A661, Clasificaciones!A:B, 2, FALSE), "DATO NO CARGADO"))
</f>
        <v>People</v>
      </c>
      <c r="C661" s="51" t="s">
        <v>166</v>
      </c>
      <c r="D661" s="43">
        <v>2025.0</v>
      </c>
      <c r="E661" s="43" t="s">
        <v>1130</v>
      </c>
      <c r="H661" s="102"/>
      <c r="J661" s="102"/>
      <c r="K661" s="450"/>
      <c r="L661" s="443"/>
      <c r="M661" s="450"/>
      <c r="N661" s="452">
        <f t="array" ref="N661">IFERROR(
  INDEX(
    'Valor Hora Real y Estimada'!$A$4:$Z$78,
    MATCH(TRIM(CLEAN(A661)), 'Valor Hora Real y Estimada'!$A$4:$A$78, 0),
    MATCH(
      TEXT(C661,"dd mmm")&amp;" "&amp;D661,
      'Valor Hora Real y Estimada'!$A$3:$Z$3,
      0
    ) + 1
  ),
  0
)</f>
        <v>0</v>
      </c>
      <c r="O661" s="244">
        <v>38048.66</v>
      </c>
      <c r="P661" s="71"/>
      <c r="Q661" s="106">
        <f>IF(ISBLANK(O661), "", VLOOKUP(C661&amp;" "&amp;D661, 'Info Tipo de Cambio y REM'!$A$24:$B$35, 2, FALSE))</f>
        <v>1345</v>
      </c>
      <c r="R661" s="107">
        <f t="shared" si="2"/>
        <v>28.28896654</v>
      </c>
    </row>
    <row r="662" hidden="1">
      <c r="A662" s="443" t="s">
        <v>191</v>
      </c>
      <c r="B662" s="43" t="str">
        <f>IF(A662="", "", IFERROR(VLOOKUP(A662, Clasificaciones!A:B, 2, FALSE), "DATO NO CARGADO"))
</f>
        <v>Tarjeta</v>
      </c>
      <c r="C662" s="51" t="s">
        <v>166</v>
      </c>
      <c r="D662" s="43">
        <v>2025.0</v>
      </c>
      <c r="E662" s="43" t="s">
        <v>1130</v>
      </c>
      <c r="H662" s="102"/>
      <c r="J662" s="102"/>
      <c r="K662" s="450"/>
      <c r="L662" s="443"/>
      <c r="M662" s="450"/>
      <c r="N662" s="452">
        <f t="array" ref="N662">IFERROR(
  INDEX(
    'Valor Hora Real y Estimada'!$A$4:$Z$78,
    MATCH(TRIM(CLEAN(A662)), 'Valor Hora Real y Estimada'!$A$4:$A$78, 0),
    MATCH(
      TEXT(C662,"dd mmm")&amp;" "&amp;D662,
      'Valor Hora Real y Estimada'!$A$3:$Z$3,
      0
    ) + 1
  ),
  0
)</f>
        <v>0</v>
      </c>
      <c r="P662" s="89">
        <v>5.0</v>
      </c>
      <c r="Q662" s="106" t="str">
        <f>IF(ISBLANK(O662), "", VLOOKUP(C662&amp;" "&amp;D662, 'Info Tipo de Cambio y REM'!$A$24:$B$35, 2, FALSE))</f>
        <v/>
      </c>
      <c r="R662" s="107">
        <f t="shared" si="2"/>
        <v>5</v>
      </c>
    </row>
    <row r="663" hidden="1">
      <c r="A663" s="443" t="s">
        <v>191</v>
      </c>
      <c r="B663" s="43" t="str">
        <f>IF(A663="", "", IFERROR(VLOOKUP(A663, Clasificaciones!A:B, 2, FALSE), "DATO NO CARGADO"))
</f>
        <v>Tarjeta</v>
      </c>
      <c r="C663" s="51" t="s">
        <v>166</v>
      </c>
      <c r="D663" s="43">
        <v>2025.0</v>
      </c>
      <c r="E663" s="43" t="s">
        <v>1130</v>
      </c>
      <c r="H663" s="102"/>
      <c r="J663" s="102"/>
      <c r="K663" s="450"/>
      <c r="L663" s="443"/>
      <c r="M663" s="450"/>
      <c r="N663" s="452">
        <f t="array" ref="N663">IFERROR(
  INDEX(
    'Valor Hora Real y Estimada'!$A$4:$Z$78,
    MATCH(TRIM(CLEAN(A663)), 'Valor Hora Real y Estimada'!$A$4:$A$78, 0),
    MATCH(
      TEXT(C663,"dd mmm")&amp;" "&amp;D663,
      'Valor Hora Real y Estimada'!$A$3:$Z$3,
      0
    ) + 1
  ),
  0
)</f>
        <v>0</v>
      </c>
      <c r="P663" s="123">
        <v>501.77</v>
      </c>
      <c r="Q663" s="106" t="str">
        <f>IF(ISBLANK(O663), "", VLOOKUP(C663&amp;" "&amp;D663, 'Info Tipo de Cambio y REM'!$A$24:$B$35, 2, FALSE))</f>
        <v/>
      </c>
      <c r="R663" s="107">
        <f t="shared" si="2"/>
        <v>501.77</v>
      </c>
    </row>
    <row r="664" hidden="1">
      <c r="A664" s="443" t="s">
        <v>191</v>
      </c>
      <c r="B664" s="43" t="str">
        <f>IF(A664="", "", IFERROR(VLOOKUP(A664, Clasificaciones!A:B, 2, FALSE), "DATO NO CARGADO"))
</f>
        <v>Tarjeta</v>
      </c>
      <c r="C664" s="51" t="s">
        <v>166</v>
      </c>
      <c r="D664" s="43">
        <v>2025.0</v>
      </c>
      <c r="E664" s="43" t="s">
        <v>1130</v>
      </c>
      <c r="H664" s="102"/>
      <c r="J664" s="102"/>
      <c r="K664" s="450"/>
      <c r="L664" s="443"/>
      <c r="M664" s="450"/>
      <c r="N664" s="452">
        <f t="array" ref="N664">IFERROR(
  INDEX(
    'Valor Hora Real y Estimada'!$A$4:$Z$78,
    MATCH(TRIM(CLEAN(A664)), 'Valor Hora Real y Estimada'!$A$4:$A$78, 0),
    MATCH(
      TEXT(C664,"dd mmm")&amp;" "&amp;D664,
      'Valor Hora Real y Estimada'!$A$3:$Z$3,
      0
    ) + 1
  ),
  0
)</f>
        <v>0</v>
      </c>
      <c r="P664" s="123">
        <v>22.26</v>
      </c>
      <c r="Q664" s="106" t="str">
        <f>IF(ISBLANK(O664), "", VLOOKUP(C664&amp;" "&amp;D664, 'Info Tipo de Cambio y REM'!$A$24:$B$35, 2, FALSE))</f>
        <v/>
      </c>
      <c r="R664" s="107">
        <f t="shared" si="2"/>
        <v>22.26</v>
      </c>
    </row>
    <row r="665" hidden="1">
      <c r="A665" s="443" t="s">
        <v>191</v>
      </c>
      <c r="B665" s="43" t="str">
        <f>IF(A665="", "", IFERROR(VLOOKUP(A665, Clasificaciones!A:B, 2, FALSE), "DATO NO CARGADO"))
</f>
        <v>Tarjeta</v>
      </c>
      <c r="C665" s="51" t="s">
        <v>166</v>
      </c>
      <c r="D665" s="43">
        <v>2025.0</v>
      </c>
      <c r="E665" s="43" t="s">
        <v>1130</v>
      </c>
      <c r="H665" s="102"/>
      <c r="J665" s="102"/>
      <c r="K665" s="450"/>
      <c r="L665" s="443"/>
      <c r="M665" s="450"/>
      <c r="N665" s="452">
        <f t="array" ref="N665">IFERROR(
  INDEX(
    'Valor Hora Real y Estimada'!$A$4:$Z$78,
    MATCH(TRIM(CLEAN(A665)), 'Valor Hora Real y Estimada'!$A$4:$A$78, 0),
    MATCH(
      TEXT(C665,"dd mmm")&amp;" "&amp;D665,
      'Valor Hora Real y Estimada'!$A$3:$Z$3,
      0
    ) + 1
  ),
  0
)</f>
        <v>0</v>
      </c>
      <c r="P665" s="123">
        <v>45.0</v>
      </c>
      <c r="Q665" s="106" t="str">
        <f>IF(ISBLANK(O665), "", VLOOKUP(C665&amp;" "&amp;D665, 'Info Tipo de Cambio y REM'!$A$24:$B$35, 2, FALSE))</f>
        <v/>
      </c>
      <c r="R665" s="107">
        <f t="shared" si="2"/>
        <v>45</v>
      </c>
    </row>
    <row r="666" hidden="1">
      <c r="A666" s="443" t="s">
        <v>164</v>
      </c>
      <c r="B666" s="43" t="str">
        <f>IF(A666="", "", IFERROR(VLOOKUP(A666, Clasificaciones!A:B, 2, FALSE), "DATO NO CARGADO"))
</f>
        <v>Estudio Contable</v>
      </c>
      <c r="C666" s="51" t="s">
        <v>166</v>
      </c>
      <c r="D666" s="43">
        <v>2025.0</v>
      </c>
      <c r="E666" s="43" t="s">
        <v>1130</v>
      </c>
      <c r="H666" s="102"/>
      <c r="J666" s="102"/>
      <c r="K666" s="450"/>
      <c r="L666" s="443"/>
      <c r="M666" s="450"/>
      <c r="N666" s="452">
        <f t="array" ref="N666">IFERROR(
  INDEX(
    'Valor Hora Real y Estimada'!$A$4:$Z$78,
    MATCH(TRIM(CLEAN(A666)), 'Valor Hora Real y Estimada'!$A$4:$A$78, 0),
    MATCH(
      TEXT(C666,"dd mmm")&amp;" "&amp;D666,
      'Valor Hora Real y Estimada'!$A$3:$Z$3,
      0
    ) + 1
  ),
  0
)</f>
        <v>0</v>
      </c>
      <c r="O666" s="247">
        <v>66138.0</v>
      </c>
      <c r="P666" s="71"/>
      <c r="Q666" s="106">
        <f>IF(ISBLANK(O666), "", VLOOKUP(C666&amp;" "&amp;D666, 'Info Tipo de Cambio y REM'!$A$24:$B$35, 2, FALSE))</f>
        <v>1345</v>
      </c>
      <c r="R666" s="107">
        <f t="shared" si="2"/>
        <v>49.1732342</v>
      </c>
    </row>
    <row r="667" hidden="1">
      <c r="A667" s="443" t="s">
        <v>153</v>
      </c>
      <c r="B667" s="43" t="str">
        <f>IF(A667="", "", IFERROR(VLOOKUP(A667, Clasificaciones!A:B, 2, FALSE), "DATO NO CARGADO"))
</f>
        <v>Impuestos USA</v>
      </c>
      <c r="C667" s="51" t="s">
        <v>166</v>
      </c>
      <c r="D667" s="43">
        <v>2025.0</v>
      </c>
      <c r="E667" s="43" t="s">
        <v>1130</v>
      </c>
      <c r="H667" s="102"/>
      <c r="J667" s="102"/>
      <c r="K667" s="450"/>
      <c r="L667" s="443"/>
      <c r="M667" s="450"/>
      <c r="N667" s="452">
        <f t="array" ref="N667">IFERROR(
  INDEX(
    'Valor Hora Real y Estimada'!$A$4:$Z$78,
    MATCH(TRIM(CLEAN(A667)), 'Valor Hora Real y Estimada'!$A$4:$A$78, 0),
    MATCH(
      TEXT(C667,"dd mmm")&amp;" "&amp;D667,
      'Valor Hora Real y Estimada'!$A$3:$Z$3,
      0
    ) + 1
  ),
  0
)</f>
        <v>0</v>
      </c>
      <c r="P667" s="229">
        <v>15228.0</v>
      </c>
      <c r="Q667" s="106" t="str">
        <f>IF(ISBLANK(O667), "", VLOOKUP(C667&amp;" "&amp;D667, 'Info Tipo de Cambio y REM'!$A$24:$B$35, 2, FALSE))</f>
        <v/>
      </c>
      <c r="R667" s="107">
        <f t="shared" si="2"/>
        <v>15228</v>
      </c>
    </row>
    <row r="668" hidden="1">
      <c r="A668" s="443" t="s">
        <v>158</v>
      </c>
      <c r="B668" s="43" t="str">
        <f>IF(A668="", "", IFERROR(VLOOKUP(A668, Clasificaciones!A:B, 2, FALSE), "DATO NO CARGADO"))
</f>
        <v>Tarjeta</v>
      </c>
      <c r="C668" s="51" t="s">
        <v>166</v>
      </c>
      <c r="D668" s="43">
        <v>2025.0</v>
      </c>
      <c r="E668" s="43" t="s">
        <v>1130</v>
      </c>
      <c r="H668" s="102"/>
      <c r="J668" s="102"/>
      <c r="K668" s="450"/>
      <c r="L668" s="443"/>
      <c r="M668" s="450"/>
      <c r="N668" s="452">
        <f t="array" ref="N668">IFERROR(
  INDEX(
    'Valor Hora Real y Estimada'!$A$4:$Z$78,
    MATCH(TRIM(CLEAN(A668)), 'Valor Hora Real y Estimada'!$A$4:$A$78, 0),
    MATCH(
      TEXT(C668,"dd mmm")&amp;" "&amp;D668,
      'Valor Hora Real y Estimada'!$A$3:$Z$3,
      0
    ) + 1
  ),
  0
)</f>
        <v>0</v>
      </c>
      <c r="O668" s="43">
        <v>0.0</v>
      </c>
      <c r="P668" s="71"/>
      <c r="Q668" s="106">
        <f>IF(ISBLANK(O668), "", VLOOKUP(C668&amp;" "&amp;D668, 'Info Tipo de Cambio y REM'!$A$24:$B$35, 2, FALSE))</f>
        <v>1345</v>
      </c>
      <c r="R668" s="107">
        <f t="shared" si="2"/>
        <v>0</v>
      </c>
    </row>
    <row r="669" hidden="1">
      <c r="A669" s="443" t="s">
        <v>191</v>
      </c>
      <c r="B669" s="43" t="str">
        <f>IF(A669="", "", IFERROR(VLOOKUP(A669, Clasificaciones!A:B, 2, FALSE), "DATO NO CARGADO"))
</f>
        <v>Tarjeta</v>
      </c>
      <c r="C669" s="51" t="s">
        <v>166</v>
      </c>
      <c r="D669" s="43">
        <v>2025.0</v>
      </c>
      <c r="E669" s="43" t="s">
        <v>1130</v>
      </c>
      <c r="H669" s="102"/>
      <c r="J669" s="102"/>
      <c r="K669" s="450"/>
      <c r="L669" s="443"/>
      <c r="M669" s="450"/>
      <c r="N669" s="452">
        <f t="array" ref="N669">IFERROR(
  INDEX(
    'Valor Hora Real y Estimada'!$A$4:$Z$78,
    MATCH(TRIM(CLEAN(A669)), 'Valor Hora Real y Estimada'!$A$4:$A$78, 0),
    MATCH(
      TEXT(C669,"dd mmm")&amp;" "&amp;D669,
      'Valor Hora Real y Estimada'!$A$3:$Z$3,
      0
    ) + 1
  ),
  0
)</f>
        <v>0</v>
      </c>
      <c r="P669" s="89">
        <v>29.99</v>
      </c>
      <c r="Q669" s="106" t="str">
        <f>IF(ISBLANK(O669), "", VLOOKUP(C669&amp;" "&amp;D669, 'Info Tipo de Cambio y REM'!$A$24:$B$35, 2, FALSE))</f>
        <v/>
      </c>
      <c r="R669" s="107">
        <f t="shared" si="2"/>
        <v>29.99</v>
      </c>
    </row>
    <row r="670" hidden="1">
      <c r="A670" s="443" t="s">
        <v>191</v>
      </c>
      <c r="B670" s="43" t="str">
        <f>IF(A670="", "", IFERROR(VLOOKUP(A670, Clasificaciones!A:B, 2, FALSE), "DATO NO CARGADO"))
</f>
        <v>Tarjeta</v>
      </c>
      <c r="C670" s="51" t="s">
        <v>166</v>
      </c>
      <c r="D670" s="43">
        <v>2025.0</v>
      </c>
      <c r="E670" s="43" t="s">
        <v>1130</v>
      </c>
      <c r="H670" s="102"/>
      <c r="J670" s="102"/>
      <c r="K670" s="450"/>
      <c r="L670" s="443"/>
      <c r="M670" s="450"/>
      <c r="N670" s="452">
        <f t="array" ref="N670">IFERROR(
  INDEX(
    'Valor Hora Real y Estimada'!$A$4:$Z$78,
    MATCH(TRIM(CLEAN(A670)), 'Valor Hora Real y Estimada'!$A$4:$A$78, 0),
    MATCH(
      TEXT(C670,"dd mmm")&amp;" "&amp;D670,
      'Valor Hora Real y Estimada'!$A$3:$Z$3,
      0
    ) + 1
  ),
  0
)</f>
        <v>0</v>
      </c>
      <c r="P670" s="89">
        <v>500.07</v>
      </c>
      <c r="Q670" s="106" t="str">
        <f>IF(ISBLANK(O670), "", VLOOKUP(C670&amp;" "&amp;D670, 'Info Tipo de Cambio y REM'!$A$24:$B$35, 2, FALSE))</f>
        <v/>
      </c>
      <c r="R670" s="107">
        <f t="shared" si="2"/>
        <v>500.07</v>
      </c>
    </row>
    <row r="671" hidden="1">
      <c r="A671" s="443" t="s">
        <v>191</v>
      </c>
      <c r="B671" s="43" t="str">
        <f>IF(A671="", "", IFERROR(VLOOKUP(A671, Clasificaciones!A:B, 2, FALSE), "DATO NO CARGADO"))
</f>
        <v>Tarjeta</v>
      </c>
      <c r="C671" s="51" t="s">
        <v>166</v>
      </c>
      <c r="D671" s="43">
        <v>2025.0</v>
      </c>
      <c r="E671" s="43" t="s">
        <v>1130</v>
      </c>
      <c r="H671" s="102"/>
      <c r="J671" s="102"/>
      <c r="K671" s="450"/>
      <c r="L671" s="443"/>
      <c r="M671" s="450"/>
      <c r="N671" s="452">
        <f t="array" ref="N671">IFERROR(
  INDEX(
    'Valor Hora Real y Estimada'!$A$4:$Z$78,
    MATCH(TRIM(CLEAN(A671)), 'Valor Hora Real y Estimada'!$A$4:$A$78, 0),
    MATCH(
      TEXT(C671,"dd mmm")&amp;" "&amp;D671,
      'Valor Hora Real y Estimada'!$A$3:$Z$3,
      0
    ) + 1
  ),
  0
)</f>
        <v>0</v>
      </c>
      <c r="P671" s="89">
        <v>609.8</v>
      </c>
      <c r="Q671" s="106" t="str">
        <f>IF(ISBLANK(O671), "", VLOOKUP(C671&amp;" "&amp;D671, 'Info Tipo de Cambio y REM'!$A$24:$B$35, 2, FALSE))</f>
        <v/>
      </c>
      <c r="R671" s="107">
        <f t="shared" ref="R671:R680" si="29">IF(NOT(ISBLANK(O671)), O671 / Q671, IF(NOT(ISBLANK(P671)), P671, ""))</f>
        <v>609.8</v>
      </c>
    </row>
    <row r="672" hidden="1">
      <c r="A672" s="443" t="s">
        <v>173</v>
      </c>
      <c r="B672" s="43" t="str">
        <f>IF(A672="", "", IFERROR(VLOOKUP(A672, Clasificaciones!A:B, 2, FALSE), "DATO NO CARGADO"))
</f>
        <v>Suscripciones/Herramientas</v>
      </c>
      <c r="C672" s="51" t="s">
        <v>166</v>
      </c>
      <c r="D672" s="43">
        <v>2025.0</v>
      </c>
      <c r="E672" s="43" t="s">
        <v>1130</v>
      </c>
      <c r="H672" s="102"/>
      <c r="J672" s="102"/>
      <c r="K672" s="450"/>
      <c r="L672" s="443"/>
      <c r="M672" s="450"/>
      <c r="N672" s="452">
        <f t="array" ref="N672">IFERROR(
  INDEX(
    'Valor Hora Real y Estimada'!$A$4:$Z$78,
    MATCH(TRIM(CLEAN(A672)), 'Valor Hora Real y Estimada'!$A$4:$A$78, 0),
    MATCH(
      TEXT(C672,"dd mmm")&amp;" "&amp;D672,
      'Valor Hora Real y Estimada'!$A$3:$Z$3,
      0
    ) + 1
  ),
  0
)</f>
        <v>0</v>
      </c>
      <c r="P672" s="371">
        <v>3544.67</v>
      </c>
      <c r="Q672" s="106" t="str">
        <f>IF(ISBLANK(O672), "", VLOOKUP(C672&amp;" "&amp;D672, 'Info Tipo de Cambio y REM'!$A$24:$B$35, 2, FALSE))</f>
        <v/>
      </c>
      <c r="R672" s="107">
        <f t="shared" si="29"/>
        <v>3544.67</v>
      </c>
    </row>
    <row r="673" hidden="1">
      <c r="A673" s="443" t="s">
        <v>185</v>
      </c>
      <c r="B673" s="43" t="str">
        <f>IF(A673="", "", IFERROR(VLOOKUP(A673, Clasificaciones!A:B, 2, FALSE), "DATO NO CARGADO"))
</f>
        <v>Comisiones Bancarias</v>
      </c>
      <c r="C673" s="51" t="s">
        <v>166</v>
      </c>
      <c r="D673" s="43">
        <v>2025.0</v>
      </c>
      <c r="E673" s="43" t="s">
        <v>1130</v>
      </c>
      <c r="H673" s="102"/>
      <c r="J673" s="102"/>
      <c r="K673" s="450"/>
      <c r="L673" s="443"/>
      <c r="M673" s="450"/>
      <c r="N673" s="452">
        <f t="array" ref="N673">IFERROR(
  INDEX(
    'Valor Hora Real y Estimada'!$A$4:$Z$78,
    MATCH(TRIM(CLEAN(A673)), 'Valor Hora Real y Estimada'!$A$4:$A$78, 0),
    MATCH(
      TEXT(C673,"dd mmm")&amp;" "&amp;D673,
      'Valor Hora Real y Estimada'!$A$3:$Z$3,
      0
    ) + 1
  ),
  0
)</f>
        <v>0</v>
      </c>
      <c r="P673" s="89">
        <v>45.0</v>
      </c>
      <c r="Q673" s="106" t="str">
        <f>IF(ISBLANK(O673), "", VLOOKUP(C673&amp;" "&amp;D673, 'Info Tipo de Cambio y REM'!$A$24:$B$35, 2, FALSE))</f>
        <v/>
      </c>
      <c r="R673" s="107">
        <f t="shared" si="29"/>
        <v>45</v>
      </c>
    </row>
    <row r="674" hidden="1">
      <c r="A674" s="443" t="s">
        <v>185</v>
      </c>
      <c r="B674" s="43" t="str">
        <f>IF(A674="", "", IFERROR(VLOOKUP(A674, Clasificaciones!A:B, 2, FALSE), "DATO NO CARGADO"))
</f>
        <v>Comisiones Bancarias</v>
      </c>
      <c r="C674" s="51" t="s">
        <v>166</v>
      </c>
      <c r="D674" s="43">
        <v>2025.0</v>
      </c>
      <c r="E674" s="43" t="s">
        <v>1130</v>
      </c>
      <c r="H674" s="102"/>
      <c r="J674" s="102"/>
      <c r="K674" s="450"/>
      <c r="L674" s="443"/>
      <c r="M674" s="450"/>
      <c r="N674" s="452">
        <f t="array" ref="N674">IFERROR(
  INDEX(
    'Valor Hora Real y Estimada'!$A$4:$Z$78,
    MATCH(TRIM(CLEAN(A674)), 'Valor Hora Real y Estimada'!$A$4:$A$78, 0),
    MATCH(
      TEXT(C674,"dd mmm")&amp;" "&amp;D674,
      'Valor Hora Real y Estimada'!$A$3:$Z$3,
      0
    ) + 1
  ),
  0
)</f>
        <v>0</v>
      </c>
      <c r="P674" s="89">
        <v>45.0</v>
      </c>
      <c r="Q674" s="106" t="str">
        <f>IF(ISBLANK(O674), "", VLOOKUP(C674&amp;" "&amp;D674, 'Info Tipo de Cambio y REM'!$A$24:$B$35, 2, FALSE))</f>
        <v/>
      </c>
      <c r="R674" s="107">
        <f t="shared" si="29"/>
        <v>45</v>
      </c>
    </row>
    <row r="675" hidden="1">
      <c r="A675" s="443" t="s">
        <v>201</v>
      </c>
      <c r="B675" s="43" t="str">
        <f>IF(A675="", "", IFERROR(VLOOKUP(A675, Clasificaciones!A:B, 2, FALSE), "DATO NO CARGADO"))
</f>
        <v>Intereses Oxean</v>
      </c>
      <c r="C675" s="51" t="s">
        <v>166</v>
      </c>
      <c r="D675" s="43">
        <v>2025.0</v>
      </c>
      <c r="E675" s="43" t="s">
        <v>1130</v>
      </c>
      <c r="H675" s="102"/>
      <c r="J675" s="102"/>
      <c r="K675" s="450"/>
      <c r="L675" s="443"/>
      <c r="M675" s="450"/>
      <c r="N675" s="452">
        <f t="array" ref="N675">IFERROR(
  INDEX(
    'Valor Hora Real y Estimada'!$A$4:$Z$78,
    MATCH(TRIM(CLEAN(A675)), 'Valor Hora Real y Estimada'!$A$4:$A$78, 0),
    MATCH(
      TEXT(C675,"dd mmm")&amp;" "&amp;D675,
      'Valor Hora Real y Estimada'!$A$3:$Z$3,
      0
    ) + 1
  ),
  0
)</f>
        <v>0</v>
      </c>
      <c r="P675" s="226">
        <v>1108.55</v>
      </c>
      <c r="Q675" s="106" t="str">
        <f>IF(ISBLANK(O675), "", VLOOKUP(C675&amp;" "&amp;D675, 'Info Tipo de Cambio y REM'!$A$24:$B$35, 2, FALSE))</f>
        <v/>
      </c>
      <c r="R675" s="107">
        <f t="shared" si="29"/>
        <v>1108.55</v>
      </c>
    </row>
    <row r="676" hidden="1">
      <c r="A676" s="443" t="s">
        <v>152</v>
      </c>
      <c r="B676" s="43" t="str">
        <f>IF(A676="", "", IFERROR(VLOOKUP(A676, Clasificaciones!A:B, 2, FALSE), "DATO NO CARGADO"))
</f>
        <v>Impuestos ARG</v>
      </c>
      <c r="C676" s="51" t="s">
        <v>166</v>
      </c>
      <c r="D676" s="43">
        <v>2025.0</v>
      </c>
      <c r="E676" s="43" t="s">
        <v>1130</v>
      </c>
      <c r="H676" s="102"/>
      <c r="J676" s="102"/>
      <c r="K676" s="450"/>
      <c r="L676" s="443"/>
      <c r="M676" s="450"/>
      <c r="N676" s="452">
        <f t="array" ref="N676">IFERROR(
  INDEX(
    'Valor Hora Real y Estimada'!$A$4:$Z$78,
    MATCH(TRIM(CLEAN(A676)), 'Valor Hora Real y Estimada'!$A$4:$A$78, 0),
    MATCH(
      TEXT(C676,"dd mmm")&amp;" "&amp;D676,
      'Valor Hora Real y Estimada'!$A$3:$Z$3,
      0
    ) + 1
  ),
  0
)</f>
        <v>0</v>
      </c>
      <c r="O676" s="43">
        <v>1876795.0</v>
      </c>
      <c r="P676" s="71"/>
      <c r="Q676" s="106">
        <f>IF(ISBLANK(O676), "", VLOOKUP(C676&amp;" "&amp;D676, 'Info Tipo de Cambio y REM'!$A$24:$B$35, 2, FALSE))</f>
        <v>1345</v>
      </c>
      <c r="R676" s="107">
        <f t="shared" si="29"/>
        <v>1395.386617</v>
      </c>
    </row>
    <row r="677" hidden="1">
      <c r="A677" s="443" t="s">
        <v>146</v>
      </c>
      <c r="B677" s="43" t="str">
        <f>IF(A677="", "", IFERROR(VLOOKUP(A677, Clasificaciones!A:B, 2, FALSE), "DATO NO CARGADO"))
</f>
        <v>Impuestos ARG</v>
      </c>
      <c r="C677" s="51" t="s">
        <v>166</v>
      </c>
      <c r="D677" s="43">
        <v>2025.0</v>
      </c>
      <c r="E677" s="43" t="s">
        <v>1130</v>
      </c>
      <c r="H677" s="102"/>
      <c r="J677" s="102"/>
      <c r="K677" s="450"/>
      <c r="L677" s="443"/>
      <c r="M677" s="450"/>
      <c r="N677" s="452">
        <f t="array" ref="N677">IFERROR(
  INDEX(
    'Valor Hora Real y Estimada'!$A$4:$Z$78,
    MATCH(TRIM(CLEAN(A677)), 'Valor Hora Real y Estimada'!$A$4:$A$78, 0),
    MATCH(
      TEXT(C677,"dd mmm")&amp;" "&amp;D677,
      'Valor Hora Real y Estimada'!$A$3:$Z$3,
      0
    ) + 1
  ),
  0
)</f>
        <v>0</v>
      </c>
      <c r="O677" s="43">
        <v>342986.0</v>
      </c>
      <c r="P677" s="71"/>
      <c r="Q677" s="106">
        <f>IF(ISBLANK(O677), "", VLOOKUP(C677&amp;" "&amp;D677, 'Info Tipo de Cambio y REM'!$A$24:$B$35, 2, FALSE))</f>
        <v>1345</v>
      </c>
      <c r="R677" s="107">
        <f t="shared" si="29"/>
        <v>255.0081784</v>
      </c>
    </row>
    <row r="678" hidden="1">
      <c r="A678" s="443" t="s">
        <v>226</v>
      </c>
      <c r="B678" s="43" t="str">
        <f>IF(A678="", "", IFERROR(VLOOKUP(A678, Clasificaciones!A:B, 2, FALSE), "DATO NO CARGADO"))
</f>
        <v>Administración Finanzas</v>
      </c>
      <c r="C678" s="51" t="s">
        <v>166</v>
      </c>
      <c r="D678" s="43">
        <v>2025.0</v>
      </c>
      <c r="E678" s="43" t="s">
        <v>1130</v>
      </c>
      <c r="H678" s="102"/>
      <c r="J678" s="102"/>
      <c r="K678" s="450"/>
      <c r="L678" s="443"/>
      <c r="M678" s="450"/>
      <c r="N678" s="452">
        <f t="array" ref="N678">IFERROR(
  INDEX(
    'Valor Hora Real y Estimada'!$A$4:$Z$78,
    MATCH(TRIM(CLEAN(A678)), 'Valor Hora Real y Estimada'!$A$4:$A$78, 0),
    MATCH(
      TEXT(C678,"dd mmm")&amp;" "&amp;D678,
      'Valor Hora Real y Estimada'!$A$3:$Z$3,
      0
    ) + 1
  ),
  0
)</f>
        <v>0</v>
      </c>
      <c r="O678" s="252">
        <v>537000.0</v>
      </c>
      <c r="P678" s="71"/>
      <c r="Q678" s="106">
        <f>IF(ISBLANK(O678), "", VLOOKUP(C678&amp;" "&amp;D678, 'Info Tipo de Cambio y REM'!$A$24:$B$35, 2, FALSE))</f>
        <v>1345</v>
      </c>
      <c r="R678" s="107">
        <f t="shared" si="29"/>
        <v>399.2565056</v>
      </c>
    </row>
    <row r="679" hidden="1">
      <c r="A679" s="443" t="s">
        <v>219</v>
      </c>
      <c r="B679" s="43" t="str">
        <f>IF(A679="", "", IFERROR(VLOOKUP(A679, Clasificaciones!A:B, 2, FALSE), "DATO NO CARGADO"))
</f>
        <v>Gastos Varios</v>
      </c>
      <c r="C679" s="51" t="s">
        <v>166</v>
      </c>
      <c r="D679" s="43">
        <v>2025.0</v>
      </c>
      <c r="E679" s="43" t="s">
        <v>1124</v>
      </c>
      <c r="H679" s="102"/>
      <c r="J679" s="102"/>
      <c r="K679" s="450"/>
      <c r="L679" s="443"/>
      <c r="M679" s="450"/>
      <c r="N679" s="452">
        <f t="array" ref="N679">IFERROR(
  INDEX(
    'Valor Hora Real y Estimada'!$A$4:$Z$78,
    MATCH(TRIM(CLEAN(A679)), 'Valor Hora Real y Estimada'!$A$4:$A$78, 0),
    MATCH(
      TEXT(C679,"dd mmm")&amp;" "&amp;D679,
      'Valor Hora Real y Estimada'!$A$3:$Z$3,
      0
    ) + 1
  ),
  0
)</f>
        <v>0</v>
      </c>
      <c r="O679" s="252">
        <v>962040.0</v>
      </c>
      <c r="P679" s="71"/>
      <c r="Q679" s="106">
        <f>IF(ISBLANK(O679), "", VLOOKUP(C679&amp;" "&amp;D679, 'Info Tipo de Cambio y REM'!$A$24:$B$35, 2, FALSE))</f>
        <v>1345</v>
      </c>
      <c r="R679" s="107">
        <f t="shared" si="29"/>
        <v>715.2713755</v>
      </c>
    </row>
    <row r="680" hidden="1">
      <c r="A680" s="443" t="s">
        <v>139</v>
      </c>
      <c r="B680" s="43" t="str">
        <f>IF(A680="", "", IFERROR(VLOOKUP(A680, Clasificaciones!A:B, 2, FALSE), "DATO NO CARGADO"))
</f>
        <v>People</v>
      </c>
      <c r="C680" s="51" t="s">
        <v>166</v>
      </c>
      <c r="D680" s="43">
        <v>2025.0</v>
      </c>
      <c r="E680" s="43" t="s">
        <v>1130</v>
      </c>
      <c r="H680" s="102"/>
      <c r="J680" s="102"/>
      <c r="K680" s="450"/>
      <c r="L680" s="443"/>
      <c r="M680" s="450"/>
      <c r="N680" s="452">
        <f t="array" ref="N680">IFERROR(
  INDEX(
    'Valor Hora Real y Estimada'!$A$4:$Z$78,
    MATCH(TRIM(CLEAN(A680)), 'Valor Hora Real y Estimada'!$A$4:$A$78, 0),
    MATCH(
      TEXT(C680,"dd mmm")&amp;" "&amp;D680,
      'Valor Hora Real y Estimada'!$A$3:$Z$3,
      0
    ) + 1
  ),
  0
)</f>
        <v>0</v>
      </c>
      <c r="O680" s="252">
        <v>61260.57</v>
      </c>
      <c r="P680" s="71"/>
      <c r="Q680" s="106">
        <f>IF(ISBLANK(O680), "", VLOOKUP(C680&amp;" "&amp;D680, 'Info Tipo de Cambio y REM'!$A$24:$B$35, 2, FALSE))</f>
        <v>1345</v>
      </c>
      <c r="R680" s="107">
        <f t="shared" si="29"/>
        <v>45.54689219</v>
      </c>
    </row>
    <row r="681">
      <c r="A681" s="443" t="s">
        <v>200</v>
      </c>
      <c r="B681" s="43" t="str">
        <f>IF(A681="", "", IFERROR(VLOOKUP(A681, Clasificaciones!A:B, 2, FALSE), "DATO NO CARGADO"))
</f>
        <v>Equipo</v>
      </c>
      <c r="C681" s="51" t="s">
        <v>171</v>
      </c>
      <c r="D681" s="43">
        <v>2025.0</v>
      </c>
      <c r="E681" s="43" t="s">
        <v>1124</v>
      </c>
      <c r="G681" s="477" t="s">
        <v>1210</v>
      </c>
      <c r="H681" s="43" t="s">
        <v>1126</v>
      </c>
      <c r="I681" s="43" t="s">
        <v>1129</v>
      </c>
      <c r="J681" s="43" t="s">
        <v>183</v>
      </c>
      <c r="K681" s="443">
        <v>120.0</v>
      </c>
      <c r="L681" s="443">
        <f t="shared" ref="L681:M681" si="30">73.42+21.5</f>
        <v>94.92</v>
      </c>
      <c r="M681" s="443">
        <f t="shared" si="30"/>
        <v>94.92</v>
      </c>
      <c r="N681" s="452">
        <f t="array" ref="N681">IFERROR(
  INDEX(
    'Valor Hora Real y Estimada'!$A$4:$Z$78,
    MATCH(TRIM(CLEAN(A681)), 'Valor Hora Real y Estimada'!$A$4:$A$78, 0),
    MATCH(
      TEXT(C681,"dd mmm")&amp;" "&amp;D681,
      'Valor Hora Real y Estimada'!$A$3:$Z$3,
      0
    ) + 1
  ),
  0
)</f>
        <v>18880</v>
      </c>
      <c r="O681" s="453">
        <f t="shared" ref="O681:O731" si="31">N681*M681</f>
        <v>1792089.6</v>
      </c>
      <c r="P681" s="113"/>
      <c r="Q681" s="106">
        <f>IF(ISBLANK(O681), "", VLOOKUP(C681&amp;" "&amp;D681, 'Info Tipo de Cambio y REM'!$A$24:$B$35, 2, FALSE))</f>
        <v>1445</v>
      </c>
      <c r="R681" s="107">
        <f t="shared" ref="R681:R2219" si="32">IFERROR(IF(NOT(ISBLANK(O681)), O681 / Q681, IF(NOT(ISBLANK(P681)), P681, "")), "")
</f>
        <v>1240.200415</v>
      </c>
    </row>
    <row r="682">
      <c r="A682" s="443" t="s">
        <v>200</v>
      </c>
      <c r="B682" s="43" t="str">
        <f>IF(A682="", "", IFERROR(VLOOKUP(A682, Clasificaciones!A:B, 2, FALSE), "DATO NO CARGADO"))
</f>
        <v>Equipo</v>
      </c>
      <c r="C682" s="51" t="s">
        <v>171</v>
      </c>
      <c r="D682" s="43">
        <v>2025.0</v>
      </c>
      <c r="E682" s="43" t="s">
        <v>1124</v>
      </c>
      <c r="G682" s="43" t="s">
        <v>1211</v>
      </c>
      <c r="H682" s="43" t="s">
        <v>1126</v>
      </c>
      <c r="I682" s="43" t="s">
        <v>1212</v>
      </c>
      <c r="J682" s="43" t="s">
        <v>183</v>
      </c>
      <c r="K682" s="478"/>
      <c r="L682" s="443">
        <v>14.67</v>
      </c>
      <c r="M682" s="443">
        <v>14.67</v>
      </c>
      <c r="N682" s="452">
        <f t="array" ref="N682">IFERROR(
  INDEX(
    'Valor Hora Real y Estimada'!$A$4:$Z$78,
    MATCH(TRIM(CLEAN(A682)), 'Valor Hora Real y Estimada'!$A$4:$A$78, 0),
    MATCH(
      TEXT(C682,"dd mmm")&amp;" "&amp;D682,
      'Valor Hora Real y Estimada'!$A$3:$Z$3,
      0
    ) + 1
  ),
  0
)</f>
        <v>18880</v>
      </c>
      <c r="O682" s="453">
        <f t="shared" si="31"/>
        <v>276969.6</v>
      </c>
      <c r="P682" s="113"/>
      <c r="Q682" s="106">
        <f>IF(ISBLANK(O682), "", VLOOKUP(C682&amp;" "&amp;D682, 'Info Tipo de Cambio y REM'!$A$24:$B$35, 2, FALSE))</f>
        <v>1445</v>
      </c>
      <c r="R682" s="107">
        <f t="shared" si="32"/>
        <v>191.6744637</v>
      </c>
    </row>
    <row r="683" hidden="1">
      <c r="A683" s="443" t="s">
        <v>200</v>
      </c>
      <c r="B683" s="43" t="str">
        <f>IF(A683="", "", IFERROR(VLOOKUP(A683, Clasificaciones!A:B, 2, FALSE), "DATO NO CARGADO"))
</f>
        <v>Equipo</v>
      </c>
      <c r="C683" s="51" t="s">
        <v>171</v>
      </c>
      <c r="D683" s="43">
        <v>2025.0</v>
      </c>
      <c r="E683" s="43" t="s">
        <v>1130</v>
      </c>
      <c r="G683" s="477" t="s">
        <v>1213</v>
      </c>
      <c r="H683" s="43" t="s">
        <v>208</v>
      </c>
      <c r="J683" s="43" t="s">
        <v>208</v>
      </c>
      <c r="K683" s="450"/>
      <c r="L683" s="443">
        <v>4.08</v>
      </c>
      <c r="M683" s="443">
        <v>4.08</v>
      </c>
      <c r="N683" s="452">
        <f t="array" ref="N683">IFERROR(
  INDEX(
    'Valor Hora Real y Estimada'!$A$4:$Z$78,
    MATCH(TRIM(CLEAN(A683)), 'Valor Hora Real y Estimada'!$A$4:$A$78, 0),
    MATCH(
      TEXT(C683,"dd mmm")&amp;" "&amp;D683,
      'Valor Hora Real y Estimada'!$A$3:$Z$3,
      0
    ) + 1
  ),
  0
)</f>
        <v>18880</v>
      </c>
      <c r="O683" s="453">
        <f t="shared" si="31"/>
        <v>77030.4</v>
      </c>
      <c r="P683" s="113"/>
      <c r="Q683" s="106">
        <f>IF(ISBLANK(O683), "", VLOOKUP(C683&amp;" "&amp;D683, 'Info Tipo de Cambio y REM'!$A$24:$B$35, 2, FALSE))</f>
        <v>1445</v>
      </c>
      <c r="R683" s="107">
        <f t="shared" si="32"/>
        <v>53.30823529</v>
      </c>
    </row>
    <row r="684" hidden="1">
      <c r="A684" s="443" t="s">
        <v>200</v>
      </c>
      <c r="B684" s="43" t="str">
        <f>IF(A684="", "", IFERROR(VLOOKUP(A684, Clasificaciones!A:B, 2, FALSE), "DATO NO CARGADO"))
</f>
        <v>Equipo</v>
      </c>
      <c r="C684" s="51" t="s">
        <v>171</v>
      </c>
      <c r="D684" s="43">
        <v>2025.0</v>
      </c>
      <c r="E684" s="43" t="s">
        <v>1124</v>
      </c>
      <c r="G684" s="477" t="s">
        <v>1207</v>
      </c>
      <c r="H684" s="43" t="s">
        <v>1133</v>
      </c>
      <c r="I684" s="43" t="s">
        <v>1183</v>
      </c>
      <c r="J684" s="43" t="s">
        <v>211</v>
      </c>
      <c r="K684" s="443">
        <v>20.0</v>
      </c>
      <c r="L684" s="443">
        <v>2.75</v>
      </c>
      <c r="M684" s="443">
        <v>2.75</v>
      </c>
      <c r="N684" s="452">
        <f t="array" ref="N684">IFERROR(
  INDEX(
    'Valor Hora Real y Estimada'!$A$4:$Z$78,
    MATCH(TRIM(CLEAN(A684)), 'Valor Hora Real y Estimada'!$A$4:$A$78, 0),
    MATCH(
      TEXT(C684,"dd mmm")&amp;" "&amp;D684,
      'Valor Hora Real y Estimada'!$A$3:$Z$3,
      0
    ) + 1
  ),
  0
)</f>
        <v>18880</v>
      </c>
      <c r="O684" s="453">
        <f t="shared" si="31"/>
        <v>51920</v>
      </c>
      <c r="P684" s="113"/>
      <c r="Q684" s="106">
        <f>IF(ISBLANK(O684), "", VLOOKUP(C684&amp;" "&amp;D684, 'Info Tipo de Cambio y REM'!$A$24:$B$35, 2, FALSE))</f>
        <v>1445</v>
      </c>
      <c r="R684" s="107">
        <f t="shared" si="32"/>
        <v>35.93079585</v>
      </c>
    </row>
    <row r="685">
      <c r="A685" s="443" t="s">
        <v>216</v>
      </c>
      <c r="B685" s="43" t="str">
        <f>IF(A685="", "", IFERROR(VLOOKUP(A685, Clasificaciones!A:B, 2, FALSE), "DATO NO CARGADO"))
</f>
        <v>Equipo</v>
      </c>
      <c r="C685" s="51" t="s">
        <v>171</v>
      </c>
      <c r="D685" s="43">
        <v>2025.0</v>
      </c>
      <c r="E685" s="43" t="s">
        <v>1124</v>
      </c>
      <c r="G685" s="477" t="s">
        <v>1210</v>
      </c>
      <c r="H685" s="43" t="s">
        <v>1126</v>
      </c>
      <c r="I685" s="43" t="s">
        <v>1129</v>
      </c>
      <c r="J685" s="43" t="s">
        <v>183</v>
      </c>
      <c r="K685" s="443">
        <v>40.0</v>
      </c>
      <c r="L685" s="443">
        <f t="shared" ref="L685:M685" si="33">41.87+12.72</f>
        <v>54.59</v>
      </c>
      <c r="M685" s="443">
        <f t="shared" si="33"/>
        <v>54.59</v>
      </c>
      <c r="N685" s="452">
        <f t="array" ref="N685">IFERROR(
  INDEX(
    'Valor Hora Real y Estimada'!$A$4:$Z$78,
    MATCH(TRIM(CLEAN(A685)), 'Valor Hora Real y Estimada'!$A$4:$A$78, 0),
    MATCH(
      TEXT(C685,"dd mmm")&amp;" "&amp;D685,
      'Valor Hora Real y Estimada'!$A$3:$Z$3,
      0
    ) + 1
  ),
  0
)</f>
        <v>13806.4612</v>
      </c>
      <c r="O685" s="453">
        <f t="shared" si="31"/>
        <v>753694.7169</v>
      </c>
      <c r="P685" s="113"/>
      <c r="Q685" s="106">
        <f>IF(ISBLANK(O685), "", VLOOKUP(C685&amp;" "&amp;D685, 'Info Tipo de Cambio y REM'!$A$24:$B$35, 2, FALSE))</f>
        <v>1445</v>
      </c>
      <c r="R685" s="107">
        <f t="shared" si="32"/>
        <v>521.5880394</v>
      </c>
    </row>
    <row r="686" hidden="1">
      <c r="A686" s="443" t="s">
        <v>203</v>
      </c>
      <c r="B686" s="43" t="str">
        <f>IF(A686="", "", IFERROR(VLOOKUP(A686, Clasificaciones!A:B, 2, FALSE), "DATO NO CARGADO"))
</f>
        <v>Equipo</v>
      </c>
      <c r="C686" s="51" t="s">
        <v>171</v>
      </c>
      <c r="D686" s="43">
        <v>2025.0</v>
      </c>
      <c r="E686" s="43" t="s">
        <v>1124</v>
      </c>
      <c r="G686" s="477" t="s">
        <v>1214</v>
      </c>
      <c r="H686" s="43" t="s">
        <v>1126</v>
      </c>
      <c r="I686" s="43" t="s">
        <v>1168</v>
      </c>
      <c r="J686" s="43" t="s">
        <v>204</v>
      </c>
      <c r="K686" s="443">
        <v>100.0</v>
      </c>
      <c r="L686" s="443">
        <v>69.92</v>
      </c>
      <c r="M686" s="443">
        <v>69.92</v>
      </c>
      <c r="N686" s="452">
        <f t="array" ref="N686">IFERROR(
  INDEX(
    'Valor Hora Real y Estimada'!$A$4:$Z$78,
    MATCH(TRIM(CLEAN(A686)), 'Valor Hora Real y Estimada'!$A$4:$A$78, 0),
    MATCH(
      TEXT(C686,"dd mmm")&amp;" "&amp;D686,
      'Valor Hora Real y Estimada'!$A$3:$Z$3,
      0
    ) + 1
  ),
  0
)</f>
        <v>10853.7</v>
      </c>
      <c r="O686" s="453">
        <f t="shared" si="31"/>
        <v>758890.704</v>
      </c>
      <c r="P686" s="113"/>
      <c r="Q686" s="106">
        <f>IF(ISBLANK(O686), "", VLOOKUP(C686&amp;" "&amp;D686, 'Info Tipo de Cambio y REM'!$A$24:$B$35, 2, FALSE))</f>
        <v>1445</v>
      </c>
      <c r="R686" s="107">
        <f t="shared" si="32"/>
        <v>525.1838782</v>
      </c>
    </row>
    <row r="687" hidden="1">
      <c r="A687" s="443" t="s">
        <v>203</v>
      </c>
      <c r="B687" s="43" t="str">
        <f>IF(A687="", "", IFERROR(VLOOKUP(A687, Clasificaciones!A:B, 2, FALSE), "DATO NO CARGADO"))
</f>
        <v>Equipo</v>
      </c>
      <c r="C687" s="51" t="s">
        <v>171</v>
      </c>
      <c r="D687" s="43">
        <v>2025.0</v>
      </c>
      <c r="E687" s="43" t="s">
        <v>1124</v>
      </c>
      <c r="G687" s="43" t="s">
        <v>1215</v>
      </c>
      <c r="H687" s="43" t="s">
        <v>1126</v>
      </c>
      <c r="I687" s="43" t="s">
        <v>1164</v>
      </c>
      <c r="J687" s="43" t="s">
        <v>180</v>
      </c>
      <c r="K687" s="443">
        <v>25.0</v>
      </c>
      <c r="L687" s="443">
        <v>22.33</v>
      </c>
      <c r="M687" s="443">
        <v>22.33</v>
      </c>
      <c r="N687" s="452">
        <f t="array" ref="N687">IFERROR(
  INDEX(
    'Valor Hora Real y Estimada'!$A$4:$Z$78,
    MATCH(TRIM(CLEAN(A687)), 'Valor Hora Real y Estimada'!$A$4:$A$78, 0),
    MATCH(
      TEXT(C687,"dd mmm")&amp;" "&amp;D687,
      'Valor Hora Real y Estimada'!$A$3:$Z$3,
      0
    ) + 1
  ),
  0
)</f>
        <v>10853.7</v>
      </c>
      <c r="O687" s="453">
        <f t="shared" si="31"/>
        <v>242363.121</v>
      </c>
      <c r="P687" s="113"/>
      <c r="Q687" s="106">
        <f>IF(ISBLANK(O687), "", VLOOKUP(C687&amp;" "&amp;D687, 'Info Tipo de Cambio y REM'!$A$24:$B$35, 2, FALSE))</f>
        <v>1445</v>
      </c>
      <c r="R687" s="107">
        <f t="shared" si="32"/>
        <v>167.7253433</v>
      </c>
    </row>
    <row r="688" hidden="1">
      <c r="A688" s="443" t="s">
        <v>203</v>
      </c>
      <c r="B688" s="43" t="str">
        <f>IF(A688="", "", IFERROR(VLOOKUP(A688, Clasificaciones!A:B, 2, FALSE), "DATO NO CARGADO"))
</f>
        <v>Equipo</v>
      </c>
      <c r="C688" s="51" t="s">
        <v>171</v>
      </c>
      <c r="D688" s="43">
        <v>2025.0</v>
      </c>
      <c r="E688" s="43" t="s">
        <v>1124</v>
      </c>
      <c r="G688" s="477" t="s">
        <v>1216</v>
      </c>
      <c r="H688" s="43" t="s">
        <v>1133</v>
      </c>
      <c r="I688" s="43" t="s">
        <v>1217</v>
      </c>
      <c r="J688" s="43" t="s">
        <v>132</v>
      </c>
      <c r="K688" s="450"/>
      <c r="L688" s="443">
        <v>13.25</v>
      </c>
      <c r="M688" s="443">
        <v>13.25</v>
      </c>
      <c r="N688" s="452">
        <f t="array" ref="N688">IFERROR(
  INDEX(
    'Valor Hora Real y Estimada'!$A$4:$Z$78,
    MATCH(TRIM(CLEAN(A688)), 'Valor Hora Real y Estimada'!$A$4:$A$78, 0),
    MATCH(
      TEXT(C688,"dd mmm")&amp;" "&amp;D688,
      'Valor Hora Real y Estimada'!$A$3:$Z$3,
      0
    ) + 1
  ),
  0
)</f>
        <v>10853.7</v>
      </c>
      <c r="O688" s="453">
        <f t="shared" si="31"/>
        <v>143811.525</v>
      </c>
      <c r="P688" s="113"/>
      <c r="Q688" s="106">
        <f>IF(ISBLANK(O688), "", VLOOKUP(C688&amp;" "&amp;D688, 'Info Tipo de Cambio y REM'!$A$24:$B$35, 2, FALSE))</f>
        <v>1445</v>
      </c>
      <c r="R688" s="107">
        <f t="shared" si="32"/>
        <v>99.52354671</v>
      </c>
    </row>
    <row r="689">
      <c r="A689" s="443" t="s">
        <v>207</v>
      </c>
      <c r="B689" s="43" t="str">
        <f>IF(A689="", "", IFERROR(VLOOKUP(A689, Clasificaciones!A:B, 2, FALSE), "DATO NO CARGADO"))
</f>
        <v>Equipo</v>
      </c>
      <c r="C689" s="51" t="s">
        <v>171</v>
      </c>
      <c r="D689" s="43">
        <v>2025.0</v>
      </c>
      <c r="E689" s="43" t="s">
        <v>1124</v>
      </c>
      <c r="G689" s="477" t="s">
        <v>1210</v>
      </c>
      <c r="H689" s="43" t="s">
        <v>1126</v>
      </c>
      <c r="I689" s="43" t="s">
        <v>1129</v>
      </c>
      <c r="J689" s="43" t="s">
        <v>183</v>
      </c>
      <c r="K689" s="443">
        <v>90.0</v>
      </c>
      <c r="L689" s="443">
        <f t="shared" ref="L689:M689" si="34">66.15+18.92</f>
        <v>85.07</v>
      </c>
      <c r="M689" s="443">
        <f t="shared" si="34"/>
        <v>85.07</v>
      </c>
      <c r="N689" s="452">
        <f t="array" ref="N689">IFERROR(
  INDEX(
    'Valor Hora Real y Estimada'!$A$4:$Z$78,
    MATCH(TRIM(CLEAN(A689)), 'Valor Hora Real y Estimada'!$A$4:$A$78, 0),
    MATCH(
      TEXT(C689,"dd mmm")&amp;" "&amp;D689,
      'Valor Hora Real y Estimada'!$A$3:$Z$3,
      0
    ) + 1
  ),
  0
)</f>
        <v>11558.8</v>
      </c>
      <c r="O689" s="453">
        <f t="shared" si="31"/>
        <v>983307.116</v>
      </c>
      <c r="P689" s="113"/>
      <c r="Q689" s="106">
        <f>IF(ISBLANK(O689), "", VLOOKUP(C689&amp;" "&amp;D689, 'Info Tipo de Cambio y REM'!$A$24:$B$35, 2, FALSE))</f>
        <v>1445</v>
      </c>
      <c r="R689" s="107">
        <f t="shared" si="32"/>
        <v>680.4893536</v>
      </c>
    </row>
    <row r="690">
      <c r="A690" s="443" t="s">
        <v>228</v>
      </c>
      <c r="B690" s="43" t="str">
        <f>IF(A690="", "", IFERROR(VLOOKUP(A690, Clasificaciones!A:B, 2, FALSE), "DATO NO CARGADO"))
</f>
        <v>Equipo</v>
      </c>
      <c r="C690" s="51" t="s">
        <v>171</v>
      </c>
      <c r="D690" s="43">
        <v>2025.0</v>
      </c>
      <c r="E690" s="43" t="s">
        <v>1124</v>
      </c>
      <c r="G690" s="477" t="s">
        <v>1210</v>
      </c>
      <c r="H690" s="43" t="s">
        <v>1126</v>
      </c>
      <c r="I690" s="43" t="s">
        <v>1129</v>
      </c>
      <c r="J690" s="43" t="s">
        <v>183</v>
      </c>
      <c r="K690" s="443">
        <v>40.0</v>
      </c>
      <c r="L690" s="443">
        <f t="shared" ref="L690:M690" si="35">36.52+10.4</f>
        <v>46.92</v>
      </c>
      <c r="M690" s="443">
        <f t="shared" si="35"/>
        <v>46.92</v>
      </c>
      <c r="N690" s="452">
        <f t="array" ref="N690">IFERROR(
  INDEX(
    'Valor Hora Real y Estimada'!$A$4:$Z$78,
    MATCH(TRIM(CLEAN(A690)), 'Valor Hora Real y Estimada'!$A$4:$A$78, 0),
    MATCH(
      TEXT(C690,"dd mmm")&amp;" "&amp;D690,
      'Valor Hora Real y Estimada'!$A$3:$Z$3,
      0
    ) + 1
  ),
  0
)</f>
        <v>20680</v>
      </c>
      <c r="O690" s="453">
        <f t="shared" si="31"/>
        <v>970305.6</v>
      </c>
      <c r="P690" s="113"/>
      <c r="Q690" s="106">
        <f>IF(ISBLANK(O690), "", VLOOKUP(C690&amp;" "&amp;D690, 'Info Tipo de Cambio y REM'!$A$24:$B$35, 2, FALSE))</f>
        <v>1445</v>
      </c>
      <c r="R690" s="107">
        <f t="shared" si="32"/>
        <v>671.4917647</v>
      </c>
    </row>
    <row r="691" hidden="1">
      <c r="A691" s="443" t="s">
        <v>228</v>
      </c>
      <c r="B691" s="43" t="str">
        <f>IF(A691="", "", IFERROR(VLOOKUP(A691, Clasificaciones!A:B, 2, FALSE), "DATO NO CARGADO"))
</f>
        <v>Equipo</v>
      </c>
      <c r="C691" s="51" t="s">
        <v>171</v>
      </c>
      <c r="D691" s="43">
        <v>2025.0</v>
      </c>
      <c r="E691" s="43" t="s">
        <v>1124</v>
      </c>
      <c r="G691" s="43" t="s">
        <v>1218</v>
      </c>
      <c r="H691" s="43" t="s">
        <v>1126</v>
      </c>
      <c r="I691" s="43" t="s">
        <v>1164</v>
      </c>
      <c r="J691" s="43" t="s">
        <v>119</v>
      </c>
      <c r="K691" s="443">
        <v>27.0</v>
      </c>
      <c r="L691" s="443">
        <v>33.2</v>
      </c>
      <c r="M691" s="443">
        <v>33.2</v>
      </c>
      <c r="N691" s="452">
        <f t="array" ref="N691">IFERROR(
  INDEX(
    'Valor Hora Real y Estimada'!$A$4:$Z$78,
    MATCH(TRIM(CLEAN(A691)), 'Valor Hora Real y Estimada'!$A$4:$A$78, 0),
    MATCH(
      TEXT(C691,"dd mmm")&amp;" "&amp;D691,
      'Valor Hora Real y Estimada'!$A$3:$Z$3,
      0
    ) + 1
  ),
  0
)</f>
        <v>20680</v>
      </c>
      <c r="O691" s="453">
        <f t="shared" si="31"/>
        <v>686576</v>
      </c>
      <c r="P691" s="113"/>
      <c r="Q691" s="106">
        <f>IF(ISBLANK(O691), "", VLOOKUP(C691&amp;" "&amp;D691, 'Info Tipo de Cambio y REM'!$A$24:$B$35, 2, FALSE))</f>
        <v>1445</v>
      </c>
      <c r="R691" s="107">
        <f t="shared" si="32"/>
        <v>475.1391003</v>
      </c>
    </row>
    <row r="692" hidden="1">
      <c r="A692" s="443" t="s">
        <v>228</v>
      </c>
      <c r="B692" s="43" t="str">
        <f>IF(A692="", "", IFERROR(VLOOKUP(A692, Clasificaciones!A:B, 2, FALSE), "DATO NO CARGADO"))
</f>
        <v>Equipo</v>
      </c>
      <c r="C692" s="51" t="s">
        <v>171</v>
      </c>
      <c r="D692" s="43">
        <v>2025.0</v>
      </c>
      <c r="E692" s="43" t="s">
        <v>1130</v>
      </c>
      <c r="G692" s="477" t="s">
        <v>1213</v>
      </c>
      <c r="H692" s="43" t="s">
        <v>208</v>
      </c>
      <c r="J692" s="43" t="s">
        <v>208</v>
      </c>
      <c r="K692" s="450"/>
      <c r="L692" s="443">
        <v>0.5</v>
      </c>
      <c r="M692" s="443">
        <v>0.5</v>
      </c>
      <c r="N692" s="452">
        <f t="array" ref="N692">IFERROR(
  INDEX(
    'Valor Hora Real y Estimada'!$A$4:$Z$78,
    MATCH(TRIM(CLEAN(A692)), 'Valor Hora Real y Estimada'!$A$4:$A$78, 0),
    MATCH(
      TEXT(C692,"dd mmm")&amp;" "&amp;D692,
      'Valor Hora Real y Estimada'!$A$3:$Z$3,
      0
    ) + 1
  ),
  0
)</f>
        <v>20680</v>
      </c>
      <c r="O692" s="453">
        <f t="shared" si="31"/>
        <v>10340</v>
      </c>
      <c r="P692" s="113"/>
      <c r="Q692" s="106">
        <f>IF(ISBLANK(O692), "", VLOOKUP(C692&amp;" "&amp;D692, 'Info Tipo de Cambio y REM'!$A$24:$B$35, 2, FALSE))</f>
        <v>1445</v>
      </c>
      <c r="R692" s="107">
        <f t="shared" si="32"/>
        <v>7.155709343</v>
      </c>
    </row>
    <row r="693" hidden="1">
      <c r="A693" s="443" t="s">
        <v>210</v>
      </c>
      <c r="B693" s="43" t="str">
        <f>IF(A693="", "", IFERROR(VLOOKUP(A693, Clasificaciones!A:B, 2, FALSE), "DATO NO CARGADO"))
</f>
        <v>Equipo</v>
      </c>
      <c r="C693" s="51" t="s">
        <v>171</v>
      </c>
      <c r="D693" s="43">
        <v>2025.0</v>
      </c>
      <c r="E693" s="43" t="s">
        <v>1130</v>
      </c>
      <c r="G693" s="477" t="s">
        <v>1213</v>
      </c>
      <c r="H693" s="43" t="s">
        <v>208</v>
      </c>
      <c r="J693" s="43" t="s">
        <v>208</v>
      </c>
      <c r="K693" s="450"/>
      <c r="L693" s="443">
        <v>14.5</v>
      </c>
      <c r="M693" s="443">
        <v>14.5</v>
      </c>
      <c r="N693" s="452">
        <f t="array" ref="N693">IFERROR(
  INDEX(
    'Valor Hora Real y Estimada'!$A$4:$Z$78,
    MATCH(TRIM(CLEAN(A693)), 'Valor Hora Real y Estimada'!$A$4:$A$78, 0),
    MATCH(
      TEXT(C693,"dd mmm")&amp;" "&amp;D693,
      'Valor Hora Real y Estimada'!$A$3:$Z$3,
      0
    ) + 1
  ),
  0
)</f>
        <v>18017</v>
      </c>
      <c r="O693" s="453">
        <f t="shared" si="31"/>
        <v>261246.5</v>
      </c>
      <c r="P693" s="113"/>
      <c r="Q693" s="106">
        <f>IF(ISBLANK(O693), "", VLOOKUP(C693&amp;" "&amp;D693, 'Info Tipo de Cambio y REM'!$A$24:$B$35, 2, FALSE))</f>
        <v>1445</v>
      </c>
      <c r="R693" s="107">
        <f t="shared" si="32"/>
        <v>180.7934256</v>
      </c>
    </row>
    <row r="694" hidden="1">
      <c r="A694" s="443" t="s">
        <v>229</v>
      </c>
      <c r="B694" s="43" t="str">
        <f>IF(A694="", "", IFERROR(VLOOKUP(A694, Clasificaciones!A:B, 2, FALSE), "DATO NO CARGADO"))
</f>
        <v>Equipo</v>
      </c>
      <c r="C694" s="51" t="s">
        <v>171</v>
      </c>
      <c r="D694" s="43">
        <v>2025.0</v>
      </c>
      <c r="E694" s="43" t="s">
        <v>1130</v>
      </c>
      <c r="G694" s="477" t="s">
        <v>1213</v>
      </c>
      <c r="H694" s="43" t="s">
        <v>208</v>
      </c>
      <c r="J694" s="43" t="s">
        <v>208</v>
      </c>
      <c r="K694" s="450"/>
      <c r="L694" s="443">
        <v>65.0</v>
      </c>
      <c r="M694" s="443">
        <v>65.0</v>
      </c>
      <c r="N694" s="452">
        <f t="array" ref="N694">IFERROR(
  INDEX(
    'Valor Hora Real y Estimada'!$A$4:$Z$78,
    MATCH(TRIM(CLEAN(A694)), 'Valor Hora Real y Estimada'!$A$4:$A$78, 0),
    MATCH(
      TEXT(C694,"dd mmm")&amp;" "&amp;D694,
      'Valor Hora Real y Estimada'!$A$3:$Z$3,
      0
    ) + 1
  ),
  0
)</f>
        <v>7500</v>
      </c>
      <c r="O694" s="453">
        <f t="shared" si="31"/>
        <v>487500</v>
      </c>
      <c r="P694" s="113"/>
      <c r="Q694" s="106">
        <f>IF(ISBLANK(O694), "", VLOOKUP(C694&amp;" "&amp;D694, 'Info Tipo de Cambio y REM'!$A$24:$B$35, 2, FALSE))</f>
        <v>1445</v>
      </c>
      <c r="R694" s="107">
        <f t="shared" si="32"/>
        <v>337.3702422</v>
      </c>
    </row>
    <row r="695" hidden="1">
      <c r="A695" s="443" t="s">
        <v>217</v>
      </c>
      <c r="B695" s="43" t="str">
        <f>IF(A695="", "", IFERROR(VLOOKUP(A695, Clasificaciones!A:B, 2, FALSE), "DATO NO CARGADO"))
</f>
        <v>Equipo</v>
      </c>
      <c r="C695" s="51" t="s">
        <v>171</v>
      </c>
      <c r="D695" s="43">
        <v>2025.0</v>
      </c>
      <c r="E695" s="43" t="s">
        <v>1124</v>
      </c>
      <c r="G695" s="477" t="s">
        <v>1214</v>
      </c>
      <c r="H695" s="43" t="s">
        <v>1126</v>
      </c>
      <c r="I695" s="43" t="s">
        <v>1168</v>
      </c>
      <c r="J695" s="43" t="s">
        <v>204</v>
      </c>
      <c r="K695" s="443">
        <v>100.0</v>
      </c>
      <c r="L695" s="443">
        <v>121.92</v>
      </c>
      <c r="M695" s="443">
        <v>121.92</v>
      </c>
      <c r="N695" s="452">
        <f t="array" ref="N695">IFERROR(
  INDEX(
    'Valor Hora Real y Estimada'!$A$4:$Z$78,
    MATCH(TRIM(CLEAN(A695)), 'Valor Hora Real y Estimada'!$A$4:$A$78, 0),
    MATCH(
      TEXT(C695,"dd mmm")&amp;" "&amp;D695,
      'Valor Hora Real y Estimada'!$A$3:$Z$3,
      0
    ) + 1
  ),
  0
)</f>
        <v>10270.2488</v>
      </c>
      <c r="O695" s="453">
        <f t="shared" si="31"/>
        <v>1252148.734</v>
      </c>
      <c r="P695" s="113"/>
      <c r="Q695" s="106">
        <f>IF(ISBLANK(O695), "", VLOOKUP(C695&amp;" "&amp;D695, 'Info Tipo de Cambio y REM'!$A$24:$B$35, 2, FALSE))</f>
        <v>1445</v>
      </c>
      <c r="R695" s="107">
        <f t="shared" si="32"/>
        <v>866.5389161</v>
      </c>
    </row>
    <row r="696" hidden="1">
      <c r="A696" s="443" t="s">
        <v>217</v>
      </c>
      <c r="B696" s="43" t="str">
        <f>IF(A696="", "", IFERROR(VLOOKUP(A696, Clasificaciones!A:B, 2, FALSE), "DATO NO CARGADO"))
</f>
        <v>Equipo</v>
      </c>
      <c r="C696" s="51" t="s">
        <v>171</v>
      </c>
      <c r="D696" s="43">
        <v>2025.0</v>
      </c>
      <c r="E696" s="43" t="s">
        <v>1124</v>
      </c>
      <c r="G696" s="43" t="s">
        <v>1171</v>
      </c>
      <c r="H696" s="43" t="s">
        <v>1133</v>
      </c>
      <c r="I696" s="43" t="s">
        <v>1165</v>
      </c>
      <c r="J696" s="43" t="s">
        <v>199</v>
      </c>
      <c r="K696" s="443">
        <v>70.0</v>
      </c>
      <c r="L696" s="443">
        <v>12.5</v>
      </c>
      <c r="M696" s="443">
        <v>12.5</v>
      </c>
      <c r="N696" s="452">
        <f t="array" ref="N696">IFERROR(
  INDEX(
    'Valor Hora Real y Estimada'!$A$4:$Z$78,
    MATCH(TRIM(CLEAN(A696)), 'Valor Hora Real y Estimada'!$A$4:$A$78, 0),
    MATCH(
      TEXT(C696,"dd mmm")&amp;" "&amp;D696,
      'Valor Hora Real y Estimada'!$A$3:$Z$3,
      0
    ) + 1
  ),
  0
)</f>
        <v>10270.2488</v>
      </c>
      <c r="O696" s="453">
        <f t="shared" si="31"/>
        <v>128378.11</v>
      </c>
      <c r="P696" s="113"/>
      <c r="Q696" s="106">
        <f>IF(ISBLANK(O696), "", VLOOKUP(C696&amp;" "&amp;D696, 'Info Tipo de Cambio y REM'!$A$24:$B$35, 2, FALSE))</f>
        <v>1445</v>
      </c>
      <c r="R696" s="107">
        <f t="shared" si="32"/>
        <v>88.8429827</v>
      </c>
    </row>
    <row r="697" hidden="1">
      <c r="A697" s="443" t="s">
        <v>217</v>
      </c>
      <c r="B697" s="43" t="str">
        <f>IF(A697="", "", IFERROR(VLOOKUP(A697, Clasificaciones!A:B, 2, FALSE), "DATO NO CARGADO"))
</f>
        <v>Equipo</v>
      </c>
      <c r="C697" s="51" t="s">
        <v>171</v>
      </c>
      <c r="D697" s="43">
        <v>2025.0</v>
      </c>
      <c r="E697" s="43" t="s">
        <v>1130</v>
      </c>
      <c r="G697" s="477" t="s">
        <v>1213</v>
      </c>
      <c r="H697" s="43" t="s">
        <v>208</v>
      </c>
      <c r="J697" s="43" t="s">
        <v>208</v>
      </c>
      <c r="K697" s="450"/>
      <c r="L697" s="443">
        <v>1.0</v>
      </c>
      <c r="M697" s="450">
        <f>160-M695-M696</f>
        <v>25.58</v>
      </c>
      <c r="N697" s="452">
        <f t="array" ref="N697">IFERROR(
  INDEX(
    'Valor Hora Real y Estimada'!$A$4:$Z$78,
    MATCH(TRIM(CLEAN(A697)), 'Valor Hora Real y Estimada'!$A$4:$A$78, 0),
    MATCH(
      TEXT(C697,"dd mmm")&amp;" "&amp;D697,
      'Valor Hora Real y Estimada'!$A$3:$Z$3,
      0
    ) + 1
  ),
  0
)</f>
        <v>10270.2488</v>
      </c>
      <c r="O697" s="453">
        <f t="shared" si="31"/>
        <v>262712.9643</v>
      </c>
      <c r="P697" s="113"/>
      <c r="Q697" s="106">
        <f>IF(ISBLANK(O697), "", VLOOKUP(C697&amp;" "&amp;D697, 'Info Tipo de Cambio y REM'!$A$24:$B$35, 2, FALSE))</f>
        <v>1445</v>
      </c>
      <c r="R697" s="107">
        <f t="shared" si="32"/>
        <v>181.8082798</v>
      </c>
    </row>
    <row r="698">
      <c r="A698" s="443" t="s">
        <v>221</v>
      </c>
      <c r="B698" s="43" t="str">
        <f>IF(A698="", "", IFERROR(VLOOKUP(A698, Clasificaciones!A:B, 2, FALSE), "DATO NO CARGADO"))
</f>
        <v>Equipo</v>
      </c>
      <c r="C698" s="51" t="s">
        <v>171</v>
      </c>
      <c r="D698" s="43">
        <v>2025.0</v>
      </c>
      <c r="E698" s="43" t="s">
        <v>1124</v>
      </c>
      <c r="G698" s="477" t="s">
        <v>1210</v>
      </c>
      <c r="H698" s="43" t="s">
        <v>1126</v>
      </c>
      <c r="I698" s="43" t="s">
        <v>1129</v>
      </c>
      <c r="J698" s="43" t="s">
        <v>183</v>
      </c>
      <c r="K698" s="443">
        <v>70.0</v>
      </c>
      <c r="L698" s="443">
        <f>55.17</f>
        <v>55.17</v>
      </c>
      <c r="M698" s="443">
        <v>55.17</v>
      </c>
      <c r="N698" s="452">
        <f t="array" ref="N698">IFERROR(
  INDEX(
    'Valor Hora Real y Estimada'!$A$4:$Z$78,
    MATCH(TRIM(CLEAN(A698)), 'Valor Hora Real y Estimada'!$A$4:$A$78, 0),
    MATCH(
      TEXT(C698,"dd mmm")&amp;" "&amp;D698,
      'Valor Hora Real y Estimada'!$A$3:$Z$3,
      0
    ) + 1
  ),
  0
)</f>
        <v>11859.48</v>
      </c>
      <c r="O698" s="453">
        <f t="shared" si="31"/>
        <v>654287.5116</v>
      </c>
      <c r="P698" s="113"/>
      <c r="Q698" s="106">
        <f>IF(ISBLANK(O698), "", VLOOKUP(C698&amp;" "&amp;D698, 'Info Tipo de Cambio y REM'!$A$24:$B$35, 2, FALSE))</f>
        <v>1445</v>
      </c>
      <c r="R698" s="107">
        <f t="shared" si="32"/>
        <v>452.7941257</v>
      </c>
    </row>
    <row r="699" hidden="1">
      <c r="A699" s="443" t="s">
        <v>221</v>
      </c>
      <c r="B699" s="43" t="str">
        <f>IF(A699="", "", IFERROR(VLOOKUP(A699, Clasificaciones!A:B, 2, FALSE), "DATO NO CARGADO"))
</f>
        <v>Equipo</v>
      </c>
      <c r="C699" s="51" t="s">
        <v>171</v>
      </c>
      <c r="D699" s="43">
        <v>2025.0</v>
      </c>
      <c r="E699" s="43" t="s">
        <v>1124</v>
      </c>
      <c r="G699" s="477" t="s">
        <v>1214</v>
      </c>
      <c r="H699" s="43" t="s">
        <v>1126</v>
      </c>
      <c r="I699" s="43" t="s">
        <v>1168</v>
      </c>
      <c r="J699" s="43" t="s">
        <v>204</v>
      </c>
      <c r="K699" s="450"/>
      <c r="L699" s="443">
        <v>20.0</v>
      </c>
      <c r="M699" s="443">
        <v>20.0</v>
      </c>
      <c r="N699" s="452">
        <f t="array" ref="N699">IFERROR(
  INDEX(
    'Valor Hora Real y Estimada'!$A$4:$Z$78,
    MATCH(TRIM(CLEAN(A699)), 'Valor Hora Real y Estimada'!$A$4:$A$78, 0),
    MATCH(
      TEXT(C699,"dd mmm")&amp;" "&amp;D699,
      'Valor Hora Real y Estimada'!$A$3:$Z$3,
      0
    ) + 1
  ),
  0
)</f>
        <v>11859.48</v>
      </c>
      <c r="O699" s="453">
        <f t="shared" si="31"/>
        <v>237189.6</v>
      </c>
      <c r="P699" s="113"/>
      <c r="Q699" s="106">
        <f>IF(ISBLANK(O699), "", VLOOKUP(C699&amp;" "&amp;D699, 'Info Tipo de Cambio y REM'!$A$24:$B$35, 2, FALSE))</f>
        <v>1445</v>
      </c>
      <c r="R699" s="107">
        <f t="shared" si="32"/>
        <v>164.1450519</v>
      </c>
    </row>
    <row r="700">
      <c r="A700" s="443" t="s">
        <v>221</v>
      </c>
      <c r="B700" s="43" t="str">
        <f>IF(A700="", "", IFERROR(VLOOKUP(A700, Clasificaciones!A:B, 2, FALSE), "DATO NO CARGADO"))
</f>
        <v>Equipo</v>
      </c>
      <c r="C700" s="51" t="s">
        <v>171</v>
      </c>
      <c r="D700" s="43">
        <v>2025.0</v>
      </c>
      <c r="E700" s="43" t="s">
        <v>1124</v>
      </c>
      <c r="G700" s="43" t="s">
        <v>1211</v>
      </c>
      <c r="H700" s="43" t="s">
        <v>1126</v>
      </c>
      <c r="I700" s="43" t="s">
        <v>1212</v>
      </c>
      <c r="J700" s="43" t="s">
        <v>183</v>
      </c>
      <c r="K700" s="479"/>
      <c r="L700" s="443">
        <v>13.5</v>
      </c>
      <c r="M700" s="443">
        <v>13.5</v>
      </c>
      <c r="N700" s="452">
        <f t="array" ref="N700">IFERROR(
  INDEX(
    'Valor Hora Real y Estimada'!$A$4:$Z$78,
    MATCH(TRIM(CLEAN(A700)), 'Valor Hora Real y Estimada'!$A$4:$A$78, 0),
    MATCH(
      TEXT(C700,"dd mmm")&amp;" "&amp;D700,
      'Valor Hora Real y Estimada'!$A$3:$Z$3,
      0
    ) + 1
  ),
  0
)</f>
        <v>11859.48</v>
      </c>
      <c r="O700" s="453">
        <f t="shared" si="31"/>
        <v>160102.98</v>
      </c>
      <c r="P700" s="113"/>
      <c r="Q700" s="106">
        <f>IF(ISBLANK(O700), "", VLOOKUP(C700&amp;" "&amp;D700, 'Info Tipo de Cambio y REM'!$A$24:$B$35, 2, FALSE))</f>
        <v>1445</v>
      </c>
      <c r="R700" s="107">
        <f t="shared" si="32"/>
        <v>110.79791</v>
      </c>
    </row>
    <row r="701" hidden="1">
      <c r="A701" s="443" t="s">
        <v>221</v>
      </c>
      <c r="B701" s="43" t="str">
        <f>IF(A701="", "", IFERROR(VLOOKUP(A701, Clasificaciones!A:B, 2, FALSE), "DATO NO CARGADO"))
</f>
        <v>Equipo</v>
      </c>
      <c r="C701" s="51" t="s">
        <v>171</v>
      </c>
      <c r="D701" s="43">
        <v>2025.0</v>
      </c>
      <c r="E701" s="43" t="s">
        <v>1130</v>
      </c>
      <c r="G701" s="477" t="s">
        <v>1213</v>
      </c>
      <c r="H701" s="43" t="s">
        <v>208</v>
      </c>
      <c r="J701" s="43" t="s">
        <v>208</v>
      </c>
      <c r="K701" s="450"/>
      <c r="L701" s="443">
        <v>0.25</v>
      </c>
      <c r="M701" s="450">
        <f>160-M698-M699-M700</f>
        <v>71.33</v>
      </c>
      <c r="N701" s="452">
        <f t="array" ref="N701">IFERROR(
  INDEX(
    'Valor Hora Real y Estimada'!$A$4:$Z$78,
    MATCH(TRIM(CLEAN(A701)), 'Valor Hora Real y Estimada'!$A$4:$A$78, 0),
    MATCH(
      TEXT(C701,"dd mmm")&amp;" "&amp;D701,
      'Valor Hora Real y Estimada'!$A$3:$Z$3,
      0
    ) + 1
  ),
  0
)</f>
        <v>11859.48</v>
      </c>
      <c r="O701" s="453">
        <f t="shared" si="31"/>
        <v>845936.7084</v>
      </c>
      <c r="P701" s="113"/>
      <c r="Q701" s="106">
        <f>IF(ISBLANK(O701), "", VLOOKUP(C701&amp;" "&amp;D701, 'Info Tipo de Cambio y REM'!$A$24:$B$35, 2, FALSE))</f>
        <v>1445</v>
      </c>
      <c r="R701" s="107">
        <f t="shared" si="32"/>
        <v>585.4233276</v>
      </c>
    </row>
    <row r="702">
      <c r="A702" s="443" t="s">
        <v>194</v>
      </c>
      <c r="B702" s="43" t="str">
        <f>IF(A702="", "", IFERROR(VLOOKUP(A702, Clasificaciones!A:B, 2, FALSE), "DATO NO CARGADO"))
</f>
        <v>Equipo</v>
      </c>
      <c r="C702" s="51" t="s">
        <v>171</v>
      </c>
      <c r="D702" s="43">
        <v>2025.0</v>
      </c>
      <c r="E702" s="43" t="s">
        <v>1124</v>
      </c>
      <c r="G702" s="477" t="s">
        <v>1210</v>
      </c>
      <c r="H702" s="43" t="s">
        <v>1126</v>
      </c>
      <c r="I702" s="43" t="s">
        <v>1129</v>
      </c>
      <c r="J702" s="43" t="s">
        <v>183</v>
      </c>
      <c r="K702" s="443">
        <v>150.0</v>
      </c>
      <c r="L702" s="443">
        <f t="shared" ref="L702:M702" si="36">87.2+27.83</f>
        <v>115.03</v>
      </c>
      <c r="M702" s="443">
        <f t="shared" si="36"/>
        <v>115.03</v>
      </c>
      <c r="N702" s="452">
        <f t="array" ref="N702">IFERROR(
  INDEX(
    'Valor Hora Real y Estimada'!$A$4:$Z$78,
    MATCH(TRIM(CLEAN(A702)), 'Valor Hora Real y Estimada'!$A$4:$A$78, 0),
    MATCH(
      TEXT(C702,"dd mmm")&amp;" "&amp;D702,
      'Valor Hora Real y Estimada'!$A$3:$Z$3,
      0
    ) + 1
  ),
  0
)</f>
        <v>12702.0704</v>
      </c>
      <c r="O702" s="453">
        <f t="shared" si="31"/>
        <v>1461119.158</v>
      </c>
      <c r="P702" s="113"/>
      <c r="Q702" s="106">
        <f>IF(ISBLANK(O702), "", VLOOKUP(C702&amp;" "&amp;D702, 'Info Tipo de Cambio y REM'!$A$24:$B$35, 2, FALSE))</f>
        <v>1445</v>
      </c>
      <c r="R702" s="107">
        <f t="shared" si="32"/>
        <v>1011.155127</v>
      </c>
    </row>
    <row r="703">
      <c r="A703" s="443" t="s">
        <v>194</v>
      </c>
      <c r="B703" s="43" t="str">
        <f>IF(A703="", "", IFERROR(VLOOKUP(A703, Clasificaciones!A:B, 2, FALSE), "DATO NO CARGADO"))
</f>
        <v>Equipo</v>
      </c>
      <c r="C703" s="51" t="s">
        <v>171</v>
      </c>
      <c r="D703" s="43">
        <v>2025.0</v>
      </c>
      <c r="E703" s="43" t="s">
        <v>1124</v>
      </c>
      <c r="G703" s="43" t="s">
        <v>1211</v>
      </c>
      <c r="H703" s="43" t="s">
        <v>1126</v>
      </c>
      <c r="I703" s="43" t="s">
        <v>1212</v>
      </c>
      <c r="J703" s="43" t="s">
        <v>183</v>
      </c>
      <c r="K703" s="479"/>
      <c r="L703" s="443">
        <v>5.67</v>
      </c>
      <c r="M703" s="443">
        <v>5.67</v>
      </c>
      <c r="N703" s="452">
        <f t="array" ref="N703">IFERROR(
  INDEX(
    'Valor Hora Real y Estimada'!$A$4:$Z$78,
    MATCH(TRIM(CLEAN(A703)), 'Valor Hora Real y Estimada'!$A$4:$A$78, 0),
    MATCH(
      TEXT(C703,"dd mmm")&amp;" "&amp;D703,
      'Valor Hora Real y Estimada'!$A$3:$Z$3,
      0
    ) + 1
  ),
  0
)</f>
        <v>12702.0704</v>
      </c>
      <c r="O703" s="453">
        <f t="shared" si="31"/>
        <v>72020.73917</v>
      </c>
      <c r="P703" s="113"/>
      <c r="Q703" s="106">
        <f>IF(ISBLANK(O703), "", VLOOKUP(C703&amp;" "&amp;D703, 'Info Tipo de Cambio y REM'!$A$24:$B$35, 2, FALSE))</f>
        <v>1445</v>
      </c>
      <c r="R703" s="107">
        <f t="shared" si="32"/>
        <v>49.84134198</v>
      </c>
    </row>
    <row r="704" hidden="1">
      <c r="A704" s="443" t="s">
        <v>194</v>
      </c>
      <c r="B704" s="43" t="str">
        <f>IF(A704="", "", IFERROR(VLOOKUP(A704, Clasificaciones!A:B, 2, FALSE), "DATO NO CARGADO"))
</f>
        <v>Equipo</v>
      </c>
      <c r="C704" s="51" t="s">
        <v>171</v>
      </c>
      <c r="D704" s="43">
        <v>2025.0</v>
      </c>
      <c r="E704" s="43" t="s">
        <v>1124</v>
      </c>
      <c r="G704" s="477" t="s">
        <v>1207</v>
      </c>
      <c r="H704" s="43" t="s">
        <v>1133</v>
      </c>
      <c r="I704" s="43" t="s">
        <v>1183</v>
      </c>
      <c r="J704" s="43" t="s">
        <v>211</v>
      </c>
      <c r="K704" s="443">
        <v>20.0</v>
      </c>
      <c r="L704" s="443">
        <v>0.5</v>
      </c>
      <c r="M704" s="443">
        <v>0.5</v>
      </c>
      <c r="N704" s="452">
        <f t="array" ref="N704">IFERROR(
  INDEX(
    'Valor Hora Real y Estimada'!$A$4:$Z$78,
    MATCH(TRIM(CLEAN(A704)), 'Valor Hora Real y Estimada'!$A$4:$A$78, 0),
    MATCH(
      TEXT(C704,"dd mmm")&amp;" "&amp;D704,
      'Valor Hora Real y Estimada'!$A$3:$Z$3,
      0
    ) + 1
  ),
  0
)</f>
        <v>12702.0704</v>
      </c>
      <c r="O704" s="453">
        <f t="shared" si="31"/>
        <v>6351.0352</v>
      </c>
      <c r="P704" s="113"/>
      <c r="Q704" s="106">
        <f>IF(ISBLANK(O704), "", VLOOKUP(C704&amp;" "&amp;D704, 'Info Tipo de Cambio y REM'!$A$24:$B$35, 2, FALSE))</f>
        <v>1445</v>
      </c>
      <c r="R704" s="107">
        <f t="shared" si="32"/>
        <v>4.395180069</v>
      </c>
    </row>
    <row r="705" hidden="1">
      <c r="A705" s="443" t="s">
        <v>194</v>
      </c>
      <c r="B705" s="43" t="str">
        <f>IF(A705="", "", IFERROR(VLOOKUP(A705, Clasificaciones!A:B, 2, FALSE), "DATO NO CARGADO"))
</f>
        <v>Equipo</v>
      </c>
      <c r="C705" s="51" t="s">
        <v>171</v>
      </c>
      <c r="D705" s="43">
        <v>2025.0</v>
      </c>
      <c r="E705" s="43" t="s">
        <v>1130</v>
      </c>
      <c r="G705" s="477" t="s">
        <v>1213</v>
      </c>
      <c r="H705" s="43" t="s">
        <v>208</v>
      </c>
      <c r="J705" s="43" t="s">
        <v>208</v>
      </c>
      <c r="K705" s="450"/>
      <c r="L705" s="443">
        <v>23.8</v>
      </c>
      <c r="M705" s="450">
        <f>160-M702-M703-M704</f>
        <v>38.8</v>
      </c>
      <c r="N705" s="452">
        <f t="array" ref="N705">IFERROR(
  INDEX(
    'Valor Hora Real y Estimada'!$A$4:$Z$78,
    MATCH(TRIM(CLEAN(A705)), 'Valor Hora Real y Estimada'!$A$4:$A$78, 0),
    MATCH(
      TEXT(C705,"dd mmm")&amp;" "&amp;D705,
      'Valor Hora Real y Estimada'!$A$3:$Z$3,
      0
    ) + 1
  ),
  0
)</f>
        <v>12702.0704</v>
      </c>
      <c r="O705" s="453">
        <f t="shared" si="31"/>
        <v>492840.3315</v>
      </c>
      <c r="P705" s="113"/>
      <c r="Q705" s="106">
        <f>IF(ISBLANK(O705), "", VLOOKUP(C705&amp;" "&amp;D705, 'Info Tipo de Cambio y REM'!$A$24:$B$35, 2, FALSE))</f>
        <v>1445</v>
      </c>
      <c r="R705" s="107">
        <f t="shared" si="32"/>
        <v>341.0659734</v>
      </c>
    </row>
    <row r="706" hidden="1">
      <c r="A706" s="443" t="s">
        <v>197</v>
      </c>
      <c r="B706" s="43" t="str">
        <f>IF(A706="", "", IFERROR(VLOOKUP(A706, Clasificaciones!A:B, 2, FALSE), "DATO NO CARGADO"))
</f>
        <v>Equipo</v>
      </c>
      <c r="C706" s="51" t="s">
        <v>171</v>
      </c>
      <c r="D706" s="43">
        <v>2025.0</v>
      </c>
      <c r="E706" s="43" t="s">
        <v>1124</v>
      </c>
      <c r="G706" s="477" t="s">
        <v>1214</v>
      </c>
      <c r="H706" s="43" t="s">
        <v>1126</v>
      </c>
      <c r="I706" s="43" t="s">
        <v>1168</v>
      </c>
      <c r="J706" s="43" t="s">
        <v>204</v>
      </c>
      <c r="K706" s="443">
        <v>40.0</v>
      </c>
      <c r="L706" s="443">
        <v>62.42</v>
      </c>
      <c r="M706" s="443">
        <v>62.42</v>
      </c>
      <c r="N706" s="452">
        <f t="array" ref="N706">IFERROR(
  INDEX(
    'Valor Hora Real y Estimada'!$A$4:$Z$78,
    MATCH(TRIM(CLEAN(A706)), 'Valor Hora Real y Estimada'!$A$4:$A$78, 0),
    MATCH(
      TEXT(C706,"dd mmm")&amp;" "&amp;D706,
      'Valor Hora Real y Estimada'!$A$3:$Z$3,
      0
    ) + 1
  ),
  0
)</f>
        <v>13390.3444</v>
      </c>
      <c r="O706" s="453">
        <f t="shared" si="31"/>
        <v>835825.2974</v>
      </c>
      <c r="P706" s="113"/>
      <c r="Q706" s="106">
        <f>IF(ISBLANK(O706), "", VLOOKUP(C706&amp;" "&amp;D706, 'Info Tipo de Cambio y REM'!$A$24:$B$35, 2, FALSE))</f>
        <v>1445</v>
      </c>
      <c r="R706" s="107">
        <f t="shared" si="32"/>
        <v>578.4258114</v>
      </c>
    </row>
    <row r="707" hidden="1">
      <c r="A707" s="443" t="s">
        <v>197</v>
      </c>
      <c r="B707" s="43" t="str">
        <f>IF(A707="", "", IFERROR(VLOOKUP(A707, Clasificaciones!A:B, 2, FALSE), "DATO NO CARGADO"))
</f>
        <v>Equipo</v>
      </c>
      <c r="C707" s="51" t="s">
        <v>171</v>
      </c>
      <c r="D707" s="43">
        <v>2025.0</v>
      </c>
      <c r="E707" s="43" t="s">
        <v>1124</v>
      </c>
      <c r="G707" s="43" t="s">
        <v>1171</v>
      </c>
      <c r="H707" s="43" t="s">
        <v>1133</v>
      </c>
      <c r="I707" s="43" t="s">
        <v>1165</v>
      </c>
      <c r="J707" s="43" t="s">
        <v>199</v>
      </c>
      <c r="K707" s="443">
        <v>50.0</v>
      </c>
      <c r="L707" s="443">
        <v>10.5</v>
      </c>
      <c r="M707" s="443">
        <v>10.5</v>
      </c>
      <c r="N707" s="452">
        <f t="array" ref="N707">IFERROR(
  INDEX(
    'Valor Hora Real y Estimada'!$A$4:$Z$78,
    MATCH(TRIM(CLEAN(A707)), 'Valor Hora Real y Estimada'!$A$4:$A$78, 0),
    MATCH(
      TEXT(C707,"dd mmm")&amp;" "&amp;D707,
      'Valor Hora Real y Estimada'!$A$3:$Z$3,
      0
    ) + 1
  ),
  0
)</f>
        <v>13390.3444</v>
      </c>
      <c r="O707" s="453">
        <f t="shared" si="31"/>
        <v>140598.6162</v>
      </c>
      <c r="P707" s="113"/>
      <c r="Q707" s="106">
        <f>IF(ISBLANK(O707), "", VLOOKUP(C707&amp;" "&amp;D707, 'Info Tipo de Cambio y REM'!$A$24:$B$35, 2, FALSE))</f>
        <v>1445</v>
      </c>
      <c r="R707" s="107">
        <f t="shared" si="32"/>
        <v>97.30008042</v>
      </c>
    </row>
    <row r="708" hidden="1">
      <c r="A708" s="443" t="s">
        <v>197</v>
      </c>
      <c r="B708" s="43" t="str">
        <f>IF(A708="", "", IFERROR(VLOOKUP(A708, Clasificaciones!A:B, 2, FALSE), "DATO NO CARGADO"))
</f>
        <v>Equipo</v>
      </c>
      <c r="C708" s="51" t="s">
        <v>171</v>
      </c>
      <c r="D708" s="43">
        <v>2025.0</v>
      </c>
      <c r="E708" s="43" t="s">
        <v>1124</v>
      </c>
      <c r="G708" s="43" t="s">
        <v>1215</v>
      </c>
      <c r="H708" s="43" t="s">
        <v>1126</v>
      </c>
      <c r="I708" s="43" t="s">
        <v>1164</v>
      </c>
      <c r="J708" s="43" t="s">
        <v>180</v>
      </c>
      <c r="K708" s="443">
        <v>30.0</v>
      </c>
      <c r="L708" s="443">
        <v>3.33</v>
      </c>
      <c r="M708" s="443">
        <v>3.33</v>
      </c>
      <c r="N708" s="452">
        <f t="array" ref="N708">IFERROR(
  INDEX(
    'Valor Hora Real y Estimada'!$A$4:$Z$78,
    MATCH(TRIM(CLEAN(A708)), 'Valor Hora Real y Estimada'!$A$4:$A$78, 0),
    MATCH(
      TEXT(C708,"dd mmm")&amp;" "&amp;D708,
      'Valor Hora Real y Estimada'!$A$3:$Z$3,
      0
    ) + 1
  ),
  0
)</f>
        <v>13390.3444</v>
      </c>
      <c r="O708" s="453">
        <f t="shared" si="31"/>
        <v>44589.84685</v>
      </c>
      <c r="P708" s="113"/>
      <c r="Q708" s="106">
        <f>IF(ISBLANK(O708), "", VLOOKUP(C708&amp;" "&amp;D708, 'Info Tipo de Cambio y REM'!$A$24:$B$35, 2, FALSE))</f>
        <v>1445</v>
      </c>
      <c r="R708" s="107">
        <f t="shared" si="32"/>
        <v>30.8580255</v>
      </c>
    </row>
    <row r="709" hidden="1">
      <c r="A709" s="443" t="s">
        <v>197</v>
      </c>
      <c r="B709" s="43" t="str">
        <f>IF(A709="", "", IFERROR(VLOOKUP(A709, Clasificaciones!A:B, 2, FALSE), "DATO NO CARGADO"))
</f>
        <v>Equipo</v>
      </c>
      <c r="C709" s="51" t="s">
        <v>171</v>
      </c>
      <c r="D709" s="43">
        <v>2025.0</v>
      </c>
      <c r="E709" s="43" t="s">
        <v>1124</v>
      </c>
      <c r="G709" s="477" t="s">
        <v>1216</v>
      </c>
      <c r="H709" s="43" t="s">
        <v>1133</v>
      </c>
      <c r="I709" s="43" t="s">
        <v>1217</v>
      </c>
      <c r="J709" s="43" t="s">
        <v>132</v>
      </c>
      <c r="K709" s="450"/>
      <c r="L709" s="443">
        <v>0.5</v>
      </c>
      <c r="M709" s="443">
        <v>0.5</v>
      </c>
      <c r="N709" s="452">
        <f t="array" ref="N709">IFERROR(
  INDEX(
    'Valor Hora Real y Estimada'!$A$4:$Z$78,
    MATCH(TRIM(CLEAN(A709)), 'Valor Hora Real y Estimada'!$A$4:$A$78, 0),
    MATCH(
      TEXT(C709,"dd mmm")&amp;" "&amp;D709,
      'Valor Hora Real y Estimada'!$A$3:$Z$3,
      0
    ) + 1
  ),
  0
)</f>
        <v>13390.3444</v>
      </c>
      <c r="O709" s="453">
        <f t="shared" si="31"/>
        <v>6695.1722</v>
      </c>
      <c r="P709" s="113"/>
      <c r="Q709" s="106">
        <f>IF(ISBLANK(O709), "", VLOOKUP(C709&amp;" "&amp;D709, 'Info Tipo de Cambio y REM'!$A$24:$B$35, 2, FALSE))</f>
        <v>1445</v>
      </c>
      <c r="R709" s="107">
        <f t="shared" si="32"/>
        <v>4.633337163</v>
      </c>
    </row>
    <row r="710" hidden="1">
      <c r="A710" s="443" t="s">
        <v>197</v>
      </c>
      <c r="B710" s="43" t="str">
        <f>IF(A710="", "", IFERROR(VLOOKUP(A710, Clasificaciones!A:B, 2, FALSE), "DATO NO CARGADO"))
</f>
        <v>Equipo</v>
      </c>
      <c r="C710" s="51" t="s">
        <v>171</v>
      </c>
      <c r="D710" s="43">
        <v>2025.0</v>
      </c>
      <c r="E710" s="43" t="s">
        <v>1130</v>
      </c>
      <c r="G710" s="477" t="s">
        <v>1213</v>
      </c>
      <c r="H710" s="43" t="s">
        <v>208</v>
      </c>
      <c r="J710" s="43" t="s">
        <v>208</v>
      </c>
      <c r="K710" s="450"/>
      <c r="L710" s="443">
        <v>83.17</v>
      </c>
      <c r="M710" s="443">
        <f>160-M706-M707-M708-M709</f>
        <v>83.25</v>
      </c>
      <c r="N710" s="452">
        <f t="array" ref="N710">IFERROR(
  INDEX(
    'Valor Hora Real y Estimada'!$A$4:$Z$78,
    MATCH(TRIM(CLEAN(A710)), 'Valor Hora Real y Estimada'!$A$4:$A$78, 0),
    MATCH(
      TEXT(C710,"dd mmm")&amp;" "&amp;D710,
      'Valor Hora Real y Estimada'!$A$3:$Z$3,
      0
    ) + 1
  ),
  0
)</f>
        <v>13390.3444</v>
      </c>
      <c r="O710" s="453">
        <f t="shared" si="31"/>
        <v>1114746.171</v>
      </c>
      <c r="P710" s="113"/>
      <c r="Q710" s="106">
        <f>IF(ISBLANK(O710), "", VLOOKUP(C710&amp;" "&amp;D710, 'Info Tipo de Cambio y REM'!$A$24:$B$35, 2, FALSE))</f>
        <v>1445</v>
      </c>
      <c r="R710" s="107">
        <f t="shared" si="32"/>
        <v>771.4506376</v>
      </c>
    </row>
    <row r="711" hidden="1">
      <c r="A711" s="443" t="s">
        <v>240</v>
      </c>
      <c r="B711" s="43" t="str">
        <f>IF(A711="", "", IFERROR(VLOOKUP(A711, Clasificaciones!A:B, 2, FALSE), "DATO NO CARGADO"))
</f>
        <v>Equipo</v>
      </c>
      <c r="C711" s="51" t="s">
        <v>171</v>
      </c>
      <c r="D711" s="43">
        <v>2025.0</v>
      </c>
      <c r="E711" s="43" t="s">
        <v>1130</v>
      </c>
      <c r="G711" s="477" t="s">
        <v>1213</v>
      </c>
      <c r="H711" s="43" t="s">
        <v>208</v>
      </c>
      <c r="J711" s="43" t="s">
        <v>208</v>
      </c>
      <c r="K711" s="450"/>
      <c r="L711" s="443">
        <v>80.0</v>
      </c>
      <c r="M711" s="443">
        <f>80-M712</f>
        <v>75.67</v>
      </c>
      <c r="N711" s="452">
        <f t="array" ref="N711">IFERROR(
  INDEX(
    'Valor Hora Real y Estimada'!$A$4:$Z$78,
    MATCH(TRIM(CLEAN(A711)), 'Valor Hora Real y Estimada'!$A$4:$A$78, 0),
    MATCH(
      TEXT(C711,"dd mmm")&amp;" "&amp;D711,
      'Valor Hora Real y Estimada'!$A$3:$Z$3,
      0
    ) + 1
  ),
  0
)</f>
        <v>10750</v>
      </c>
      <c r="O711" s="453">
        <f t="shared" si="31"/>
        <v>813452.5</v>
      </c>
      <c r="P711" s="113"/>
      <c r="Q711" s="106">
        <f>IF(ISBLANK(O711), "", VLOOKUP(C711&amp;" "&amp;D711, 'Info Tipo de Cambio y REM'!$A$24:$B$35, 2, FALSE))</f>
        <v>1445</v>
      </c>
      <c r="R711" s="107">
        <f t="shared" si="32"/>
        <v>562.9429066</v>
      </c>
    </row>
    <row r="712">
      <c r="A712" s="443" t="s">
        <v>240</v>
      </c>
      <c r="B712" s="43" t="str">
        <f>IF(A712="", "", IFERROR(VLOOKUP(A712, Clasificaciones!A:B, 2, FALSE), "DATO NO CARGADO"))
</f>
        <v>Equipo</v>
      </c>
      <c r="C712" s="51" t="s">
        <v>171</v>
      </c>
      <c r="D712" s="43">
        <v>2025.0</v>
      </c>
      <c r="E712" s="43" t="s">
        <v>1124</v>
      </c>
      <c r="G712" s="477" t="s">
        <v>1210</v>
      </c>
      <c r="H712" s="43" t="s">
        <v>1126</v>
      </c>
      <c r="I712" s="43" t="s">
        <v>1129</v>
      </c>
      <c r="J712" s="43" t="s">
        <v>183</v>
      </c>
      <c r="K712" s="479"/>
      <c r="L712" s="443">
        <v>4.33</v>
      </c>
      <c r="M712" s="443">
        <v>4.33</v>
      </c>
      <c r="N712" s="452">
        <f t="array" ref="N712">IFERROR(
  INDEX(
    'Valor Hora Real y Estimada'!$A$4:$Z$78,
    MATCH(TRIM(CLEAN(A712)), 'Valor Hora Real y Estimada'!$A$4:$A$78, 0),
    MATCH(
      TEXT(C712,"dd mmm")&amp;" "&amp;D712,
      'Valor Hora Real y Estimada'!$A$3:$Z$3,
      0
    ) + 1
  ),
  0
)</f>
        <v>10750</v>
      </c>
      <c r="O712" s="453">
        <f t="shared" si="31"/>
        <v>46547.5</v>
      </c>
      <c r="P712" s="113"/>
      <c r="Q712" s="106">
        <f>IF(ISBLANK(O712), "", VLOOKUP(C712&amp;" "&amp;D712, 'Info Tipo de Cambio y REM'!$A$24:$B$35, 2, FALSE))</f>
        <v>1445</v>
      </c>
      <c r="R712" s="107">
        <f t="shared" si="32"/>
        <v>32.21280277</v>
      </c>
    </row>
    <row r="713">
      <c r="A713" s="443" t="s">
        <v>205</v>
      </c>
      <c r="B713" s="43" t="str">
        <f>IF(A713="", "", IFERROR(VLOOKUP(A713, Clasificaciones!A:B, 2, FALSE), "DATO NO CARGADO"))
</f>
        <v>Equipo</v>
      </c>
      <c r="C713" s="51" t="s">
        <v>171</v>
      </c>
      <c r="D713" s="43">
        <v>2025.0</v>
      </c>
      <c r="E713" s="43" t="s">
        <v>1124</v>
      </c>
      <c r="G713" s="477" t="s">
        <v>1210</v>
      </c>
      <c r="H713" s="43" t="s">
        <v>1126</v>
      </c>
      <c r="I713" s="43" t="s">
        <v>1129</v>
      </c>
      <c r="J713" s="43" t="s">
        <v>183</v>
      </c>
      <c r="K713" s="443">
        <v>100.0</v>
      </c>
      <c r="L713" s="443">
        <f>7.82+86.23</f>
        <v>94.05</v>
      </c>
      <c r="M713" s="469">
        <f>7.82+86.23-5.956666667</f>
        <v>88.09333333</v>
      </c>
      <c r="N713" s="452">
        <f t="array" ref="N713">IFERROR(
  INDEX(
    'Valor Hora Real y Estimada'!$A$4:$Z$78,
    MATCH(TRIM(CLEAN(A713)), 'Valor Hora Real y Estimada'!$A$4:$A$78, 0),
    MATCH(
      TEXT(C713,"dd mmm")&amp;" "&amp;D713,
      'Valor Hora Real y Estimada'!$A$3:$Z$3,
      0
    ) + 1
  ),
  0
)</f>
        <v>10000</v>
      </c>
      <c r="O713" s="453">
        <f t="shared" si="31"/>
        <v>880933.3333</v>
      </c>
      <c r="P713" s="113"/>
      <c r="Q713" s="106">
        <f>IF(ISBLANK(O713), "", VLOOKUP(C713&amp;" "&amp;D713, 'Info Tipo de Cambio y REM'!$A$24:$B$35, 2, FALSE))</f>
        <v>1445</v>
      </c>
      <c r="R713" s="107">
        <f t="shared" si="32"/>
        <v>609.6424452</v>
      </c>
    </row>
    <row r="714" hidden="1">
      <c r="A714" s="443" t="s">
        <v>205</v>
      </c>
      <c r="B714" s="43" t="str">
        <f>IF(A714="", "", IFERROR(VLOOKUP(A714, Clasificaciones!A:B, 2, FALSE), "DATO NO CARGADO"))
</f>
        <v>Equipo</v>
      </c>
      <c r="C714" s="51" t="s">
        <v>171</v>
      </c>
      <c r="D714" s="43">
        <v>2025.0</v>
      </c>
      <c r="E714" s="43" t="s">
        <v>1124</v>
      </c>
      <c r="G714" s="477" t="s">
        <v>1214</v>
      </c>
      <c r="H714" s="43" t="s">
        <v>1126</v>
      </c>
      <c r="I714" s="43" t="s">
        <v>1168</v>
      </c>
      <c r="J714" s="43" t="s">
        <v>204</v>
      </c>
      <c r="K714" s="443">
        <v>70.0</v>
      </c>
      <c r="L714" s="443">
        <v>60.77</v>
      </c>
      <c r="M714" s="469">
        <f>60.77-5.956666667</f>
        <v>54.81333333</v>
      </c>
      <c r="N714" s="452">
        <f t="array" ref="N714">IFERROR(
  INDEX(
    'Valor Hora Real y Estimada'!$A$4:$Z$78,
    MATCH(TRIM(CLEAN(A714)), 'Valor Hora Real y Estimada'!$A$4:$A$78, 0),
    MATCH(
      TEXT(C714,"dd mmm")&amp;" "&amp;D714,
      'Valor Hora Real y Estimada'!$A$3:$Z$3,
      0
    ) + 1
  ),
  0
)</f>
        <v>10000</v>
      </c>
      <c r="O714" s="453">
        <f t="shared" si="31"/>
        <v>548133.3333</v>
      </c>
      <c r="P714" s="113"/>
      <c r="Q714" s="106">
        <f>IF(ISBLANK(O714), "", VLOOKUP(C714&amp;" "&amp;D714, 'Info Tipo de Cambio y REM'!$A$24:$B$35, 2, FALSE))</f>
        <v>1445</v>
      </c>
      <c r="R714" s="107">
        <f t="shared" si="32"/>
        <v>379.3310265</v>
      </c>
    </row>
    <row r="715" hidden="1">
      <c r="A715" s="443" t="s">
        <v>205</v>
      </c>
      <c r="B715" s="43" t="str">
        <f>IF(A715="", "", IFERROR(VLOOKUP(A715, Clasificaciones!A:B, 2, FALSE), "DATO NO CARGADO"))
</f>
        <v>Equipo</v>
      </c>
      <c r="C715" s="51" t="s">
        <v>171</v>
      </c>
      <c r="D715" s="43">
        <v>2025.0</v>
      </c>
      <c r="E715" s="43" t="s">
        <v>1124</v>
      </c>
      <c r="G715" s="43" t="s">
        <v>1171</v>
      </c>
      <c r="H715" s="43" t="s">
        <v>1133</v>
      </c>
      <c r="I715" s="43" t="s">
        <v>1165</v>
      </c>
      <c r="J715" s="43" t="s">
        <v>199</v>
      </c>
      <c r="K715" s="443">
        <v>40.0</v>
      </c>
      <c r="L715" s="443">
        <v>23.05</v>
      </c>
      <c r="M715" s="469">
        <f>23.05-5.956666667</f>
        <v>17.09333333</v>
      </c>
      <c r="N715" s="452">
        <f t="array" ref="N715">IFERROR(
  INDEX(
    'Valor Hora Real y Estimada'!$A$4:$Z$78,
    MATCH(TRIM(CLEAN(A715)), 'Valor Hora Real y Estimada'!$A$4:$A$78, 0),
    MATCH(
      TEXT(C715,"dd mmm")&amp;" "&amp;D715,
      'Valor Hora Real y Estimada'!$A$3:$Z$3,
      0
    ) + 1
  ),
  0
)</f>
        <v>10000</v>
      </c>
      <c r="O715" s="453">
        <f t="shared" si="31"/>
        <v>170933.3333</v>
      </c>
      <c r="P715" s="113"/>
      <c r="Q715" s="106">
        <f>IF(ISBLANK(O715), "", VLOOKUP(C715&amp;" "&amp;D715, 'Info Tipo de Cambio y REM'!$A$24:$B$35, 2, FALSE))</f>
        <v>1445</v>
      </c>
      <c r="R715" s="107">
        <f t="shared" si="32"/>
        <v>118.2929642</v>
      </c>
    </row>
    <row r="716" hidden="1">
      <c r="A716" s="443" t="s">
        <v>87</v>
      </c>
      <c r="B716" s="43" t="str">
        <f>IF(A716="", "", IFERROR(VLOOKUP(A716, Clasificaciones!A:B, 2, FALSE), "DATO NO CARGADO"))
</f>
        <v>Equipo</v>
      </c>
      <c r="C716" s="480" t="s">
        <v>171</v>
      </c>
      <c r="D716" s="481">
        <v>2025.0</v>
      </c>
      <c r="E716" s="43" t="s">
        <v>1130</v>
      </c>
      <c r="G716" s="477" t="s">
        <v>1213</v>
      </c>
      <c r="H716" s="43" t="s">
        <v>208</v>
      </c>
      <c r="J716" s="43" t="s">
        <v>208</v>
      </c>
      <c r="K716" s="450"/>
      <c r="L716" s="443">
        <f t="shared" ref="L716:M716" si="37">101.82+2</f>
        <v>103.82</v>
      </c>
      <c r="M716" s="443">
        <f t="shared" si="37"/>
        <v>103.82</v>
      </c>
      <c r="N716" s="452">
        <f t="array" ref="N716">IFERROR(
  INDEX(
    'Valor Hora Real y Estimada'!$A$4:$Z$78,
    MATCH(TRIM(CLEAN(A716)), 'Valor Hora Real y Estimada'!$A$4:$A$78, 0),
    MATCH(
      TEXT(C716,"dd mmm")&amp;" "&amp;D716,
      'Valor Hora Real y Estimada'!$A$3:$Z$3,
      0
    ) + 1
  ),
  0
)</f>
        <v>11558.8</v>
      </c>
      <c r="O716" s="453">
        <f t="shared" si="31"/>
        <v>1200034.616</v>
      </c>
      <c r="P716" s="113"/>
      <c r="Q716" s="106">
        <f>IF(ISBLANK(O716), "", VLOOKUP(C716&amp;" "&amp;D716, 'Info Tipo de Cambio y REM'!$A$24:$B$35, 2, FALSE))</f>
        <v>1445</v>
      </c>
      <c r="R716" s="107">
        <f t="shared" si="32"/>
        <v>830.4737827</v>
      </c>
    </row>
    <row r="717">
      <c r="A717" s="443" t="s">
        <v>87</v>
      </c>
      <c r="B717" s="43" t="str">
        <f>IF(A717="", "", IFERROR(VLOOKUP(A717, Clasificaciones!A:B, 2, FALSE), "DATO NO CARGADO"))
</f>
        <v>Equipo</v>
      </c>
      <c r="C717" s="480" t="s">
        <v>171</v>
      </c>
      <c r="D717" s="481">
        <v>2025.0</v>
      </c>
      <c r="E717" s="43" t="s">
        <v>1124</v>
      </c>
      <c r="G717" s="477" t="s">
        <v>1210</v>
      </c>
      <c r="H717" s="43" t="s">
        <v>1126</v>
      </c>
      <c r="I717" s="43" t="s">
        <v>1129</v>
      </c>
      <c r="J717" s="43" t="s">
        <v>183</v>
      </c>
      <c r="K717" s="443">
        <v>20.0</v>
      </c>
      <c r="L717" s="443">
        <v>14.25</v>
      </c>
      <c r="M717" s="443">
        <v>14.25</v>
      </c>
      <c r="N717" s="452">
        <f t="array" ref="N717">IFERROR(
  INDEX(
    'Valor Hora Real y Estimada'!$A$4:$Z$78,
    MATCH(TRIM(CLEAN(A717)), 'Valor Hora Real y Estimada'!$A$4:$A$78, 0),
    MATCH(
      TEXT(C717,"dd mmm")&amp;" "&amp;D717,
      'Valor Hora Real y Estimada'!$A$3:$Z$3,
      0
    ) + 1
  ),
  0
)</f>
        <v>11558.8</v>
      </c>
      <c r="O717" s="453">
        <f t="shared" si="31"/>
        <v>164712.9</v>
      </c>
      <c r="P717" s="113"/>
      <c r="Q717" s="106">
        <f>IF(ISBLANK(O717), "", VLOOKUP(C717&amp;" "&amp;D717, 'Info Tipo de Cambio y REM'!$A$24:$B$35, 2, FALSE))</f>
        <v>1445</v>
      </c>
      <c r="R717" s="107">
        <f t="shared" si="32"/>
        <v>113.9881661</v>
      </c>
    </row>
    <row r="718">
      <c r="A718" s="443" t="s">
        <v>87</v>
      </c>
      <c r="B718" s="43" t="str">
        <f>IF(A718="", "", IFERROR(VLOOKUP(A718, Clasificaciones!A:B, 2, FALSE), "DATO NO CARGADO"))
</f>
        <v>Equipo</v>
      </c>
      <c r="C718" s="480" t="s">
        <v>171</v>
      </c>
      <c r="D718" s="481">
        <v>2025.0</v>
      </c>
      <c r="E718" s="43" t="s">
        <v>1124</v>
      </c>
      <c r="G718" s="43" t="s">
        <v>1211</v>
      </c>
      <c r="H718" s="43" t="s">
        <v>1126</v>
      </c>
      <c r="I718" s="43" t="s">
        <v>1212</v>
      </c>
      <c r="J718" s="43" t="s">
        <v>183</v>
      </c>
      <c r="K718" s="479"/>
      <c r="L718" s="443">
        <v>0.5</v>
      </c>
      <c r="M718" s="443">
        <v>0.5</v>
      </c>
      <c r="N718" s="452">
        <f t="array" ref="N718">IFERROR(
  INDEX(
    'Valor Hora Real y Estimada'!$A$4:$Z$78,
    MATCH(TRIM(CLEAN(A718)), 'Valor Hora Real y Estimada'!$A$4:$A$78, 0),
    MATCH(
      TEXT(C718,"dd mmm")&amp;" "&amp;D718,
      'Valor Hora Real y Estimada'!$A$3:$Z$3,
      0
    ) + 1
  ),
  0
)</f>
        <v>11558.8</v>
      </c>
      <c r="O718" s="453">
        <f t="shared" si="31"/>
        <v>5779.4</v>
      </c>
      <c r="P718" s="113"/>
      <c r="Q718" s="106">
        <f>IF(ISBLANK(O718), "", VLOOKUP(C718&amp;" "&amp;D718, 'Info Tipo de Cambio y REM'!$A$24:$B$35, 2, FALSE))</f>
        <v>1445</v>
      </c>
      <c r="R718" s="107">
        <f t="shared" si="32"/>
        <v>3.999584775</v>
      </c>
    </row>
    <row r="719">
      <c r="A719" s="443" t="s">
        <v>214</v>
      </c>
      <c r="B719" s="43" t="str">
        <f>IF(A719="", "", IFERROR(VLOOKUP(A719, Clasificaciones!A:B, 2, FALSE), "DATO NO CARGADO"))
</f>
        <v>Equipo</v>
      </c>
      <c r="C719" s="480" t="s">
        <v>171</v>
      </c>
      <c r="D719" s="481">
        <v>2025.0</v>
      </c>
      <c r="E719" s="43" t="s">
        <v>1124</v>
      </c>
      <c r="G719" s="477" t="s">
        <v>1210</v>
      </c>
      <c r="H719" s="43" t="s">
        <v>1126</v>
      </c>
      <c r="I719" s="43" t="s">
        <v>1129</v>
      </c>
      <c r="J719" s="43" t="s">
        <v>183</v>
      </c>
      <c r="K719" s="443">
        <v>160.0</v>
      </c>
      <c r="L719" s="443">
        <f t="shared" ref="L719:M719" si="38">119+35.42</f>
        <v>154.42</v>
      </c>
      <c r="M719" s="443">
        <f t="shared" si="38"/>
        <v>154.42</v>
      </c>
      <c r="N719" s="452">
        <f t="array" ref="N719">IFERROR(
  INDEX(
    'Valor Hora Real y Estimada'!$A$4:$Z$78,
    MATCH(TRIM(CLEAN(A719)), 'Valor Hora Real y Estimada'!$A$4:$A$78, 0),
    MATCH(
      TEXT(C719,"dd mmm")&amp;" "&amp;D719,
      'Valor Hora Real y Estimada'!$A$3:$Z$3,
      0
    ) + 1
  ),
  0
)</f>
        <v>10508</v>
      </c>
      <c r="O719" s="453">
        <f t="shared" si="31"/>
        <v>1622645.36</v>
      </c>
      <c r="P719" s="113"/>
      <c r="Q719" s="106">
        <f>IF(ISBLANK(O719), "", VLOOKUP(C719&amp;" "&amp;D719, 'Info Tipo de Cambio y REM'!$A$24:$B$35, 2, FALSE))</f>
        <v>1445</v>
      </c>
      <c r="R719" s="107">
        <f t="shared" si="32"/>
        <v>1122.937965</v>
      </c>
    </row>
    <row r="720" hidden="1">
      <c r="A720" s="443" t="s">
        <v>214</v>
      </c>
      <c r="B720" s="43" t="str">
        <f>IF(A720="", "", IFERROR(VLOOKUP(A720, Clasificaciones!A:B, 2, FALSE), "DATO NO CARGADO"))
</f>
        <v>Equipo</v>
      </c>
      <c r="C720" s="480" t="s">
        <v>171</v>
      </c>
      <c r="D720" s="481">
        <v>2025.0</v>
      </c>
      <c r="E720" s="43" t="s">
        <v>1124</v>
      </c>
      <c r="G720" s="477" t="s">
        <v>1207</v>
      </c>
      <c r="H720" s="43" t="s">
        <v>1133</v>
      </c>
      <c r="I720" s="43" t="s">
        <v>1183</v>
      </c>
      <c r="J720" s="43" t="s">
        <v>211</v>
      </c>
      <c r="K720" s="443">
        <v>30.0</v>
      </c>
      <c r="L720" s="443">
        <v>1.5</v>
      </c>
      <c r="M720" s="443">
        <v>1.5</v>
      </c>
      <c r="N720" s="452">
        <f t="array" ref="N720">IFERROR(
  INDEX(
    'Valor Hora Real y Estimada'!$A$4:$Z$78,
    MATCH(TRIM(CLEAN(A720)), 'Valor Hora Real y Estimada'!$A$4:$A$78, 0),
    MATCH(
      TEXT(C720,"dd mmm")&amp;" "&amp;D720,
      'Valor Hora Real y Estimada'!$A$3:$Z$3,
      0
    ) + 1
  ),
  0
)</f>
        <v>10508</v>
      </c>
      <c r="O720" s="453">
        <f t="shared" si="31"/>
        <v>15762</v>
      </c>
      <c r="P720" s="113"/>
      <c r="Q720" s="106">
        <f>IF(ISBLANK(O720), "", VLOOKUP(C720&amp;" "&amp;D720, 'Info Tipo de Cambio y REM'!$A$24:$B$35, 2, FALSE))</f>
        <v>1445</v>
      </c>
      <c r="R720" s="107">
        <f t="shared" si="32"/>
        <v>10.90795848</v>
      </c>
    </row>
    <row r="721" hidden="1">
      <c r="A721" s="443" t="s">
        <v>214</v>
      </c>
      <c r="B721" s="43" t="str">
        <f>IF(A721="", "", IFERROR(VLOOKUP(A721, Clasificaciones!A:B, 2, FALSE), "DATO NO CARGADO"))
</f>
        <v>Equipo</v>
      </c>
      <c r="C721" s="480" t="s">
        <v>171</v>
      </c>
      <c r="D721" s="481">
        <v>2025.0</v>
      </c>
      <c r="E721" s="43" t="s">
        <v>1130</v>
      </c>
      <c r="G721" s="477" t="s">
        <v>1213</v>
      </c>
      <c r="H721" s="43" t="s">
        <v>208</v>
      </c>
      <c r="J721" s="43" t="s">
        <v>208</v>
      </c>
      <c r="K721" s="450"/>
      <c r="L721" s="443">
        <v>0.0</v>
      </c>
      <c r="M721" s="450">
        <f>160-M719-M720</f>
        <v>4.08</v>
      </c>
      <c r="N721" s="452">
        <f t="array" ref="N721">IFERROR(
  INDEX(
    'Valor Hora Real y Estimada'!$A$4:$Z$78,
    MATCH(TRIM(CLEAN(A721)), 'Valor Hora Real y Estimada'!$A$4:$A$78, 0),
    MATCH(
      TEXT(C721,"dd mmm")&amp;" "&amp;D721,
      'Valor Hora Real y Estimada'!$A$3:$Z$3,
      0
    ) + 1
  ),
  0
)</f>
        <v>10508</v>
      </c>
      <c r="O721" s="453">
        <f t="shared" si="31"/>
        <v>42872.64</v>
      </c>
      <c r="P721" s="113"/>
      <c r="Q721" s="106">
        <f>IF(ISBLANK(O721), "", VLOOKUP(C721&amp;" "&amp;D721, 'Info Tipo de Cambio y REM'!$A$24:$B$35, 2, FALSE))</f>
        <v>1445</v>
      </c>
      <c r="R721" s="107">
        <f t="shared" si="32"/>
        <v>29.66964706</v>
      </c>
    </row>
    <row r="722" hidden="1">
      <c r="A722" s="443" t="s">
        <v>120</v>
      </c>
      <c r="B722" s="43" t="str">
        <f>IF(A722="", "", IFERROR(VLOOKUP(A722, Clasificaciones!A:B, 2, FALSE), "DATO NO CARGADO"))
</f>
        <v>Equipo</v>
      </c>
      <c r="C722" s="480" t="s">
        <v>171</v>
      </c>
      <c r="D722" s="481">
        <v>2025.0</v>
      </c>
      <c r="E722" s="43" t="s">
        <v>1124</v>
      </c>
      <c r="G722" s="477" t="s">
        <v>1214</v>
      </c>
      <c r="H722" s="43" t="s">
        <v>1126</v>
      </c>
      <c r="I722" s="43" t="s">
        <v>1168</v>
      </c>
      <c r="J722" s="43" t="s">
        <v>204</v>
      </c>
      <c r="K722" s="443">
        <v>10.0</v>
      </c>
      <c r="L722" s="443">
        <v>20.95</v>
      </c>
      <c r="M722" s="443">
        <v>20.95</v>
      </c>
      <c r="N722" s="452">
        <f t="array" ref="N722">IFERROR(
  INDEX(
    'Valor Hora Real y Estimada'!$A$4:$Z$78,
    MATCH(TRIM(CLEAN(A722)), 'Valor Hora Real y Estimada'!$A$4:$A$78, 0),
    MATCH(
      TEXT(C722,"dd mmm")&amp;" "&amp;D722,
      'Valor Hora Real y Estimada'!$A$3:$Z$3,
      0
    ) + 1
  ),
  0
)</f>
        <v>26583.33333</v>
      </c>
      <c r="O722" s="453">
        <f t="shared" si="31"/>
        <v>556920.8333</v>
      </c>
      <c r="P722" s="113"/>
      <c r="Q722" s="106">
        <f>IF(ISBLANK(O722), "", VLOOKUP(C722&amp;" "&amp;D722, 'Info Tipo de Cambio y REM'!$A$24:$B$35, 2, FALSE))</f>
        <v>1445</v>
      </c>
      <c r="R722" s="107">
        <f t="shared" si="32"/>
        <v>385.4123414</v>
      </c>
    </row>
    <row r="723">
      <c r="A723" s="443" t="s">
        <v>120</v>
      </c>
      <c r="B723" s="43" t="str">
        <f>IF(A723="", "", IFERROR(VLOOKUP(A723, Clasificaciones!A:B, 2, FALSE), "DATO NO CARGADO"))
</f>
        <v>Equipo</v>
      </c>
      <c r="C723" s="480" t="s">
        <v>171</v>
      </c>
      <c r="D723" s="481">
        <v>2025.0</v>
      </c>
      <c r="E723" s="43" t="s">
        <v>1124</v>
      </c>
      <c r="G723" s="477" t="s">
        <v>1210</v>
      </c>
      <c r="H723" s="43" t="s">
        <v>1126</v>
      </c>
      <c r="I723" s="43" t="s">
        <v>1129</v>
      </c>
      <c r="J723" s="43" t="s">
        <v>183</v>
      </c>
      <c r="K723" s="443">
        <v>5.0</v>
      </c>
      <c r="L723" s="443">
        <f t="shared" ref="L723:M723" si="39">18.08+0.15</f>
        <v>18.23</v>
      </c>
      <c r="M723" s="443">
        <f t="shared" si="39"/>
        <v>18.23</v>
      </c>
      <c r="N723" s="452">
        <f t="array" ref="N723">IFERROR(
  INDEX(
    'Valor Hora Real y Estimada'!$A$4:$Z$78,
    MATCH(TRIM(CLEAN(A723)), 'Valor Hora Real y Estimada'!$A$4:$A$78, 0),
    MATCH(
      TEXT(C723,"dd mmm")&amp;" "&amp;D723,
      'Valor Hora Real y Estimada'!$A$3:$Z$3,
      0
    ) + 1
  ),
  0
)</f>
        <v>26583.33333</v>
      </c>
      <c r="O723" s="453">
        <f t="shared" si="31"/>
        <v>484614.1667</v>
      </c>
      <c r="P723" s="113"/>
      <c r="Q723" s="106">
        <f>IF(ISBLANK(O723), "", VLOOKUP(C723&amp;" "&amp;D723, 'Info Tipo de Cambio y REM'!$A$24:$B$35, 2, FALSE))</f>
        <v>1445</v>
      </c>
      <c r="R723" s="107">
        <f t="shared" si="32"/>
        <v>335.3731257</v>
      </c>
    </row>
    <row r="724" hidden="1">
      <c r="A724" s="443" t="s">
        <v>120</v>
      </c>
      <c r="B724" s="43" t="str">
        <f>IF(A724="", "", IFERROR(VLOOKUP(A724, Clasificaciones!A:B, 2, FALSE), "DATO NO CARGADO"))
</f>
        <v>Equipo</v>
      </c>
      <c r="C724" s="480" t="s">
        <v>171</v>
      </c>
      <c r="D724" s="481">
        <v>2025.0</v>
      </c>
      <c r="E724" s="43" t="s">
        <v>1124</v>
      </c>
      <c r="G724" s="477" t="s">
        <v>1207</v>
      </c>
      <c r="H724" s="43" t="s">
        <v>1133</v>
      </c>
      <c r="I724" s="43" t="s">
        <v>1183</v>
      </c>
      <c r="J724" s="43" t="s">
        <v>211</v>
      </c>
      <c r="K724" s="443">
        <v>10.0</v>
      </c>
      <c r="L724" s="443">
        <v>2.75</v>
      </c>
      <c r="M724" s="443">
        <v>2.75</v>
      </c>
      <c r="N724" s="452">
        <f t="array" ref="N724">IFERROR(
  INDEX(
    'Valor Hora Real y Estimada'!$A$4:$Z$78,
    MATCH(TRIM(CLEAN(A724)), 'Valor Hora Real y Estimada'!$A$4:$A$78, 0),
    MATCH(
      TEXT(C724,"dd mmm")&amp;" "&amp;D724,
      'Valor Hora Real y Estimada'!$A$3:$Z$3,
      0
    ) + 1
  ),
  0
)</f>
        <v>26583.33333</v>
      </c>
      <c r="O724" s="453">
        <f t="shared" si="31"/>
        <v>73104.16667</v>
      </c>
      <c r="P724" s="113"/>
      <c r="Q724" s="106">
        <f>IF(ISBLANK(O724), "", VLOOKUP(C724&amp;" "&amp;D724, 'Info Tipo de Cambio y REM'!$A$24:$B$35, 2, FALSE))</f>
        <v>1445</v>
      </c>
      <c r="R724" s="107">
        <f t="shared" si="32"/>
        <v>50.5911188</v>
      </c>
    </row>
    <row r="725">
      <c r="A725" s="443" t="s">
        <v>120</v>
      </c>
      <c r="B725" s="43" t="str">
        <f>IF(A725="", "", IFERROR(VLOOKUP(A725, Clasificaciones!A:B, 2, FALSE), "DATO NO CARGADO"))
</f>
        <v>Equipo</v>
      </c>
      <c r="C725" s="480" t="s">
        <v>171</v>
      </c>
      <c r="D725" s="481">
        <v>2025.0</v>
      </c>
      <c r="E725" s="43" t="s">
        <v>1124</v>
      </c>
      <c r="G725" s="43" t="s">
        <v>1211</v>
      </c>
      <c r="H725" s="43" t="s">
        <v>1126</v>
      </c>
      <c r="I725" s="43" t="s">
        <v>1212</v>
      </c>
      <c r="J725" s="43" t="s">
        <v>183</v>
      </c>
      <c r="K725" s="479"/>
      <c r="L725" s="443">
        <v>1.5</v>
      </c>
      <c r="M725" s="443">
        <v>1.5</v>
      </c>
      <c r="N725" s="452">
        <f t="array" ref="N725">IFERROR(
  INDEX(
    'Valor Hora Real y Estimada'!$A$4:$Z$78,
    MATCH(TRIM(CLEAN(A725)), 'Valor Hora Real y Estimada'!$A$4:$A$78, 0),
    MATCH(
      TEXT(C725,"dd mmm")&amp;" "&amp;D725,
      'Valor Hora Real y Estimada'!$A$3:$Z$3,
      0
    ) + 1
  ),
  0
)</f>
        <v>26583.33333</v>
      </c>
      <c r="O725" s="453">
        <f t="shared" si="31"/>
        <v>39875</v>
      </c>
      <c r="P725" s="113"/>
      <c r="Q725" s="106">
        <f>IF(ISBLANK(O725), "", VLOOKUP(C725&amp;" "&amp;D725, 'Info Tipo de Cambio y REM'!$A$24:$B$35, 2, FALSE))</f>
        <v>1445</v>
      </c>
      <c r="R725" s="107">
        <f t="shared" si="32"/>
        <v>27.59515571</v>
      </c>
    </row>
    <row r="726" hidden="1">
      <c r="A726" s="443" t="s">
        <v>120</v>
      </c>
      <c r="B726" s="43" t="str">
        <f>IF(A726="", "", IFERROR(VLOOKUP(A726, Clasificaciones!A:B, 2, FALSE), "DATO NO CARGADO"))
</f>
        <v>Equipo</v>
      </c>
      <c r="C726" s="480" t="s">
        <v>171</v>
      </c>
      <c r="D726" s="481">
        <v>2025.0</v>
      </c>
      <c r="E726" s="43" t="s">
        <v>1124</v>
      </c>
      <c r="G726" s="43" t="s">
        <v>1171</v>
      </c>
      <c r="H726" s="43" t="s">
        <v>1133</v>
      </c>
      <c r="I726" s="43" t="s">
        <v>1165</v>
      </c>
      <c r="J726" s="43" t="s">
        <v>199</v>
      </c>
      <c r="K726" s="443">
        <v>10.0</v>
      </c>
      <c r="L726" s="443">
        <v>1.0</v>
      </c>
      <c r="M726" s="443">
        <v>1.0</v>
      </c>
      <c r="N726" s="452">
        <f t="array" ref="N726">IFERROR(
  INDEX(
    'Valor Hora Real y Estimada'!$A$4:$Z$78,
    MATCH(TRIM(CLEAN(A726)), 'Valor Hora Real y Estimada'!$A$4:$A$78, 0),
    MATCH(
      TEXT(C726,"dd mmm")&amp;" "&amp;D726,
      'Valor Hora Real y Estimada'!$A$3:$Z$3,
      0
    ) + 1
  ),
  0
)</f>
        <v>26583.33333</v>
      </c>
      <c r="O726" s="453">
        <f t="shared" si="31"/>
        <v>26583.33333</v>
      </c>
      <c r="P726" s="113"/>
      <c r="Q726" s="106">
        <f>IF(ISBLANK(O726), "", VLOOKUP(C726&amp;" "&amp;D726, 'Info Tipo de Cambio y REM'!$A$24:$B$35, 2, FALSE))</f>
        <v>1445</v>
      </c>
      <c r="R726" s="107">
        <f t="shared" si="32"/>
        <v>18.39677047</v>
      </c>
    </row>
    <row r="727" hidden="1">
      <c r="A727" s="443" t="s">
        <v>120</v>
      </c>
      <c r="B727" s="43" t="str">
        <f>IF(A727="", "", IFERROR(VLOOKUP(A727, Clasificaciones!A:B, 2, FALSE), "DATO NO CARGADO"))
</f>
        <v>Equipo</v>
      </c>
      <c r="C727" s="480" t="s">
        <v>171</v>
      </c>
      <c r="D727" s="481">
        <v>2025.0</v>
      </c>
      <c r="E727" s="43" t="s">
        <v>1124</v>
      </c>
      <c r="G727" s="477" t="s">
        <v>1216</v>
      </c>
      <c r="H727" s="43" t="s">
        <v>1133</v>
      </c>
      <c r="I727" s="43" t="s">
        <v>1217</v>
      </c>
      <c r="J727" s="43" t="s">
        <v>132</v>
      </c>
      <c r="K727" s="450"/>
      <c r="L727" s="443">
        <v>0.25</v>
      </c>
      <c r="M727" s="443">
        <v>0.25</v>
      </c>
      <c r="N727" s="452">
        <f t="array" ref="N727">IFERROR(
  INDEX(
    'Valor Hora Real y Estimada'!$A$4:$Z$78,
    MATCH(TRIM(CLEAN(A727)), 'Valor Hora Real y Estimada'!$A$4:$A$78, 0),
    MATCH(
      TEXT(C727,"dd mmm")&amp;" "&amp;D727,
      'Valor Hora Real y Estimada'!$A$3:$Z$3,
      0
    ) + 1
  ),
  0
)</f>
        <v>26583.33333</v>
      </c>
      <c r="O727" s="453">
        <f t="shared" si="31"/>
        <v>6645.833333</v>
      </c>
      <c r="P727" s="113"/>
      <c r="Q727" s="106">
        <f>IF(ISBLANK(O727), "", VLOOKUP(C727&amp;" "&amp;D727, 'Info Tipo de Cambio y REM'!$A$24:$B$35, 2, FALSE))</f>
        <v>1445</v>
      </c>
      <c r="R727" s="107">
        <f t="shared" si="32"/>
        <v>4.599192618</v>
      </c>
    </row>
    <row r="728" hidden="1">
      <c r="A728" s="443" t="s">
        <v>120</v>
      </c>
      <c r="B728" s="43" t="str">
        <f>IF(A728="", "", IFERROR(VLOOKUP(A728, Clasificaciones!A:B, 2, FALSE), "DATO NO CARGADO"))
</f>
        <v>Equipo</v>
      </c>
      <c r="C728" s="480" t="s">
        <v>171</v>
      </c>
      <c r="D728" s="481">
        <v>2025.0</v>
      </c>
      <c r="E728" s="43" t="s">
        <v>1130</v>
      </c>
      <c r="G728" s="477" t="s">
        <v>1213</v>
      </c>
      <c r="H728" s="43" t="s">
        <v>208</v>
      </c>
      <c r="J728" s="43" t="s">
        <v>208</v>
      </c>
      <c r="K728" s="450"/>
      <c r="L728" s="443">
        <f t="shared" ref="L728:M728" si="40">32.33+30.45+23.13</f>
        <v>85.91</v>
      </c>
      <c r="M728" s="443">
        <f t="shared" si="40"/>
        <v>85.91</v>
      </c>
      <c r="N728" s="452">
        <f t="array" ref="N728">IFERROR(
  INDEX(
    'Valor Hora Real y Estimada'!$A$4:$Z$78,
    MATCH(TRIM(CLEAN(A728)), 'Valor Hora Real y Estimada'!$A$4:$A$78, 0),
    MATCH(
      TEXT(C728,"dd mmm")&amp;" "&amp;D728,
      'Valor Hora Real y Estimada'!$A$3:$Z$3,
      0
    ) + 1
  ),
  0
)</f>
        <v>26583.33333</v>
      </c>
      <c r="O728" s="453">
        <f t="shared" si="31"/>
        <v>2283774.167</v>
      </c>
      <c r="P728" s="113"/>
      <c r="Q728" s="106">
        <f>IF(ISBLANK(O728), "", VLOOKUP(C728&amp;" "&amp;D728, 'Info Tipo de Cambio y REM'!$A$24:$B$35, 2, FALSE))</f>
        <v>1445</v>
      </c>
      <c r="R728" s="107">
        <f t="shared" si="32"/>
        <v>1580.466551</v>
      </c>
    </row>
    <row r="729">
      <c r="A729" s="443" t="s">
        <v>218</v>
      </c>
      <c r="B729" s="43" t="str">
        <f>IF(A729="", "", IFERROR(VLOOKUP(A729, Clasificaciones!A:B, 2, FALSE), "DATO NO CARGADO"))
</f>
        <v>Equipo</v>
      </c>
      <c r="C729" s="480" t="s">
        <v>171</v>
      </c>
      <c r="D729" s="481">
        <v>2025.0</v>
      </c>
      <c r="E729" s="43" t="s">
        <v>1124</v>
      </c>
      <c r="G729" s="477" t="s">
        <v>1210</v>
      </c>
      <c r="H729" s="43" t="s">
        <v>1126</v>
      </c>
      <c r="I729" s="43" t="s">
        <v>1129</v>
      </c>
      <c r="J729" s="43" t="s">
        <v>183</v>
      </c>
      <c r="K729" s="443">
        <v>32.0</v>
      </c>
      <c r="L729" s="443">
        <f t="shared" ref="L729:M729" si="41">32.33+7.92</f>
        <v>40.25</v>
      </c>
      <c r="M729" s="443">
        <f t="shared" si="41"/>
        <v>40.25</v>
      </c>
      <c r="N729" s="452">
        <f t="array" ref="N729">IFERROR(
  INDEX(
    'Valor Hora Real y Estimada'!$A$4:$Z$78,
    MATCH(TRIM(CLEAN(A729)), 'Valor Hora Real y Estimada'!$A$4:$A$78, 0),
    MATCH(
      TEXT(C729,"dd mmm")&amp;" "&amp;D729,
      'Valor Hora Real y Estimada'!$A$3:$Z$3,
      0
    ) + 1
  ),
  0
)</f>
        <v>20000.008</v>
      </c>
      <c r="O729" s="453">
        <f t="shared" si="31"/>
        <v>805000.322</v>
      </c>
      <c r="P729" s="113"/>
      <c r="Q729" s="106">
        <f>IF(ISBLANK(O729), "", VLOOKUP(C729&amp;" "&amp;D729, 'Info Tipo de Cambio y REM'!$A$24:$B$35, 2, FALSE))</f>
        <v>1445</v>
      </c>
      <c r="R729" s="107">
        <f t="shared" si="32"/>
        <v>557.0936484</v>
      </c>
    </row>
    <row r="730" hidden="1">
      <c r="A730" s="443" t="s">
        <v>127</v>
      </c>
      <c r="B730" s="43" t="str">
        <f>IF(A730="", "", IFERROR(VLOOKUP(A730, Clasificaciones!A:B, 2, FALSE), "DATO NO CARGADO"))
</f>
        <v>Board</v>
      </c>
      <c r="C730" s="480" t="s">
        <v>171</v>
      </c>
      <c r="D730" s="481">
        <v>2025.0</v>
      </c>
      <c r="E730" s="43" t="s">
        <v>1130</v>
      </c>
      <c r="H730" s="102"/>
      <c r="J730" s="102"/>
      <c r="K730" s="450"/>
      <c r="L730" s="443">
        <v>160.0</v>
      </c>
      <c r="M730" s="443">
        <v>160.0</v>
      </c>
      <c r="N730" s="452">
        <f t="array" ref="N730">IFERROR(
  INDEX(
    'Valor Hora Real y Estimada'!$A$4:$Z$78,
    MATCH(TRIM(CLEAN(A730)), 'Valor Hora Real y Estimada'!$A$4:$A$78, 0),
    MATCH(
      TEXT(C730,"dd mmm")&amp;" "&amp;D730,
      'Valor Hora Real y Estimada'!$A$3:$Z$3,
      0
    ) + 1
  ),
  0
)</f>
        <v>26903.88</v>
      </c>
      <c r="O730" s="453">
        <f t="shared" si="31"/>
        <v>4304620.8</v>
      </c>
      <c r="P730" s="113"/>
      <c r="Q730" s="106">
        <f>IF(ISBLANK(O730), "", VLOOKUP(C730&amp;" "&amp;D730, 'Info Tipo de Cambio y REM'!$A$24:$B$35, 2, FALSE))</f>
        <v>1445</v>
      </c>
      <c r="R730" s="107">
        <f t="shared" si="32"/>
        <v>2978.976332</v>
      </c>
    </row>
    <row r="731" hidden="1">
      <c r="A731" s="443" t="s">
        <v>133</v>
      </c>
      <c r="B731" s="43" t="str">
        <f>IF(A731="", "", IFERROR(VLOOKUP(A731, Clasificaciones!A:B, 2, FALSE), "DATO NO CARGADO"))
</f>
        <v>Board</v>
      </c>
      <c r="C731" s="480" t="s">
        <v>171</v>
      </c>
      <c r="D731" s="481">
        <v>2025.0</v>
      </c>
      <c r="E731" s="43" t="s">
        <v>1130</v>
      </c>
      <c r="H731" s="102"/>
      <c r="J731" s="102"/>
      <c r="K731" s="450"/>
      <c r="L731" s="443">
        <v>160.0</v>
      </c>
      <c r="M731" s="443">
        <v>160.0</v>
      </c>
      <c r="N731" s="452">
        <f t="array" ref="N731">IFERROR(
  INDEX(
    'Valor Hora Real y Estimada'!$A$4:$Z$78,
    MATCH(TRIM(CLEAN(A731)), 'Valor Hora Real y Estimada'!$A$4:$A$78, 0),
    MATCH(
      TEXT(C731,"dd mmm")&amp;" "&amp;D731,
      'Valor Hora Real y Estimada'!$A$3:$Z$3,
      0
    ) + 1
  ),
  0
)</f>
        <v>33143.04</v>
      </c>
      <c r="O731" s="453">
        <f t="shared" si="31"/>
        <v>5302886.4</v>
      </c>
      <c r="P731" s="113"/>
      <c r="Q731" s="106">
        <f>IF(ISBLANK(O731), "", VLOOKUP(C731&amp;" "&amp;D731, 'Info Tipo de Cambio y REM'!$A$24:$B$35, 2, FALSE))</f>
        <v>1445</v>
      </c>
      <c r="R731" s="107">
        <f t="shared" si="32"/>
        <v>3669.817578</v>
      </c>
    </row>
    <row r="732" hidden="1">
      <c r="A732" s="443" t="s">
        <v>222</v>
      </c>
      <c r="B732" s="43" t="str">
        <f>IF(A732="", "", IFERROR(VLOOKUP(A732, Clasificaciones!A:B, 2, FALSE), "DATO NO CARGADO"))
</f>
        <v>Oxean</v>
      </c>
      <c r="C732" s="480" t="s">
        <v>171</v>
      </c>
      <c r="D732" s="481">
        <v>2025.0</v>
      </c>
      <c r="E732" s="43" t="s">
        <v>1130</v>
      </c>
      <c r="H732" s="102"/>
      <c r="J732" s="102"/>
      <c r="K732" s="450"/>
      <c r="L732" s="443"/>
      <c r="M732" s="450"/>
      <c r="N732" s="452">
        <f t="array" ref="N732">IFERROR(
  INDEX(
    'Valor Hora Real y Estimada'!$A$4:$Z$78,
    MATCH(TRIM(CLEAN(A732)), 'Valor Hora Real y Estimada'!$A$4:$A$78, 0),
    MATCH(
      TEXT(C732,"dd mmm")&amp;" "&amp;D732,
      'Valor Hora Real y Estimada'!$A$3:$Z$3,
      0
    ) + 1
  ),
  0
)</f>
        <v>0</v>
      </c>
      <c r="O732" s="453">
        <v>5302886.4</v>
      </c>
      <c r="P732" s="113"/>
      <c r="Q732" s="106">
        <f>IF(ISBLANK(O732), "", VLOOKUP(C732&amp;" "&amp;D732, 'Info Tipo de Cambio y REM'!$A$24:$B$35, 2, FALSE))</f>
        <v>1445</v>
      </c>
      <c r="R732" s="107">
        <f t="shared" si="32"/>
        <v>3669.817578</v>
      </c>
    </row>
    <row r="733">
      <c r="A733" s="443" t="s">
        <v>230</v>
      </c>
      <c r="B733" s="43" t="str">
        <f>IF(A733="", "", IFERROR(VLOOKUP(A733, Clasificaciones!A:B, 2, FALSE), "DATO NO CARGADO"))
</f>
        <v>Equipo</v>
      </c>
      <c r="C733" s="480" t="s">
        <v>171</v>
      </c>
      <c r="D733" s="481">
        <v>2025.0</v>
      </c>
      <c r="E733" s="43" t="s">
        <v>1124</v>
      </c>
      <c r="G733" s="477" t="s">
        <v>1210</v>
      </c>
      <c r="H733" s="43" t="s">
        <v>1126</v>
      </c>
      <c r="I733" s="43" t="s">
        <v>1129</v>
      </c>
      <c r="J733" s="43" t="s">
        <v>183</v>
      </c>
      <c r="K733" s="443">
        <v>160.0</v>
      </c>
      <c r="L733" s="443">
        <f t="shared" ref="L733:M733" si="42">102.5+22.58</f>
        <v>125.08</v>
      </c>
      <c r="M733" s="443">
        <f t="shared" si="42"/>
        <v>125.08</v>
      </c>
      <c r="N733" s="452">
        <f t="array" ref="N733">IFERROR(
  INDEX(
    'Valor Hora Real y Estimada'!$A$4:$Z$78,
    MATCH(TRIM(CLEAN(A733)), 'Valor Hora Real y Estimada'!$A$4:$A$78, 0),
    MATCH(
      TEXT(C733,"dd mmm")&amp;" "&amp;D733,
      'Valor Hora Real y Estimada'!$A$3:$Z$3,
      0
    ) + 1
  ),
  0
)</f>
        <v>12504.52</v>
      </c>
      <c r="O733" s="453">
        <f t="shared" ref="O733:O734" si="43">N733*M733</f>
        <v>1564065.362</v>
      </c>
      <c r="P733" s="113"/>
      <c r="Q733" s="106">
        <f>IF(ISBLANK(O733), "", VLOOKUP(C733&amp;" "&amp;D733, 'Info Tipo de Cambio y REM'!$A$24:$B$35, 2, FALSE))</f>
        <v>1445</v>
      </c>
      <c r="R733" s="107">
        <f t="shared" si="32"/>
        <v>1082.398174</v>
      </c>
    </row>
    <row r="734" hidden="1">
      <c r="A734" s="443" t="s">
        <v>230</v>
      </c>
      <c r="B734" s="43" t="str">
        <f>IF(A734="", "", IFERROR(VLOOKUP(A734, Clasificaciones!A:B, 2, FALSE), "DATO NO CARGADO"))
</f>
        <v>Equipo</v>
      </c>
      <c r="C734" s="480" t="s">
        <v>171</v>
      </c>
      <c r="D734" s="481">
        <v>2025.0</v>
      </c>
      <c r="E734" s="43" t="s">
        <v>1130</v>
      </c>
      <c r="G734" s="477" t="s">
        <v>1213</v>
      </c>
      <c r="H734" s="43" t="s">
        <v>208</v>
      </c>
      <c r="J734" s="43" t="s">
        <v>208</v>
      </c>
      <c r="K734" s="450"/>
      <c r="L734" s="443">
        <v>2.5</v>
      </c>
      <c r="M734" s="450">
        <f>160-M733</f>
        <v>34.92</v>
      </c>
      <c r="N734" s="452">
        <f t="array" ref="N734">IFERROR(
  INDEX(
    'Valor Hora Real y Estimada'!$A$4:$Z$78,
    MATCH(TRIM(CLEAN(A734)), 'Valor Hora Real y Estimada'!$A$4:$A$78, 0),
    MATCH(
      TEXT(C734,"dd mmm")&amp;" "&amp;D734,
      'Valor Hora Real y Estimada'!$A$3:$Z$3,
      0
    ) + 1
  ),
  0
)</f>
        <v>12504.52</v>
      </c>
      <c r="O734" s="453">
        <f t="shared" si="43"/>
        <v>436657.8384</v>
      </c>
      <c r="P734" s="113"/>
      <c r="Q734" s="106">
        <f>IF(ISBLANK(O734), "", VLOOKUP(C734&amp;" "&amp;D734, 'Info Tipo de Cambio y REM'!$A$24:$B$35, 2, FALSE))</f>
        <v>1445</v>
      </c>
      <c r="R734" s="107">
        <f t="shared" si="32"/>
        <v>302.1853553</v>
      </c>
    </row>
    <row r="735" hidden="1">
      <c r="A735" s="43" t="s">
        <v>191</v>
      </c>
      <c r="B735" s="43" t="str">
        <f>IF(A735="", "", IFERROR(VLOOKUP(A735, Clasificaciones!A:B, 2, FALSE), "DATO NO CARGADO"))
</f>
        <v>Tarjeta</v>
      </c>
      <c r="C735" s="480" t="s">
        <v>171</v>
      </c>
      <c r="D735" s="481">
        <v>2025.0</v>
      </c>
      <c r="E735" s="43" t="s">
        <v>1130</v>
      </c>
      <c r="H735" s="102"/>
      <c r="J735" s="102"/>
      <c r="K735" s="450"/>
      <c r="L735" s="443"/>
      <c r="M735" s="450"/>
      <c r="N735" s="452">
        <f t="array" ref="N735">IFERROR(
  INDEX(
    'Valor Hora Real y Estimada'!$A$4:$Z$78,
    MATCH(TRIM(CLEAN(A735)), 'Valor Hora Real y Estimada'!$A$4:$A$78, 0),
    MATCH(
      TEXT(C735,"dd mmm")&amp;" "&amp;D735,
      'Valor Hora Real y Estimada'!$A$3:$Z$3,
      0
    ) + 1
  ),
  0
)</f>
        <v>0</v>
      </c>
      <c r="P735" s="123">
        <v>500.96</v>
      </c>
      <c r="Q735" s="106" t="str">
        <f>IF(ISBLANK(O735), "", VLOOKUP(C735&amp;" "&amp;D735, 'Info Tipo de Cambio y REM'!$A$24:$B$35, 2, FALSE))</f>
        <v/>
      </c>
      <c r="R735" s="107">
        <f t="shared" si="32"/>
        <v>500.96</v>
      </c>
    </row>
    <row r="736" hidden="1">
      <c r="A736" s="43" t="s">
        <v>191</v>
      </c>
      <c r="B736" s="43" t="str">
        <f>IF(A736="", "", IFERROR(VLOOKUP(A736, Clasificaciones!A:B, 2, FALSE), "DATO NO CARGADO"))
</f>
        <v>Tarjeta</v>
      </c>
      <c r="C736" s="480" t="s">
        <v>171</v>
      </c>
      <c r="D736" s="481">
        <v>2025.0</v>
      </c>
      <c r="E736" s="43" t="s">
        <v>1130</v>
      </c>
      <c r="H736" s="102"/>
      <c r="J736" s="102"/>
      <c r="K736" s="450"/>
      <c r="L736" s="443"/>
      <c r="M736" s="450"/>
      <c r="N736" s="452">
        <f t="array" ref="N736">IFERROR(
  INDEX(
    'Valor Hora Real y Estimada'!$A$4:$Z$78,
    MATCH(TRIM(CLEAN(A736)), 'Valor Hora Real y Estimada'!$A$4:$A$78, 0),
    MATCH(
      TEXT(C736,"dd mmm")&amp;" "&amp;D736,
      'Valor Hora Real y Estimada'!$A$3:$Z$3,
      0
    ) + 1
  ),
  0
)</f>
        <v>0</v>
      </c>
      <c r="P736" s="123">
        <v>14.0</v>
      </c>
      <c r="Q736" s="106" t="str">
        <f>IF(ISBLANK(O736), "", VLOOKUP(C736&amp;" "&amp;D736, 'Info Tipo de Cambio y REM'!$A$24:$B$35, 2, FALSE))</f>
        <v/>
      </c>
      <c r="R736" s="107">
        <f t="shared" si="32"/>
        <v>14</v>
      </c>
    </row>
    <row r="737" hidden="1">
      <c r="A737" s="43" t="s">
        <v>191</v>
      </c>
      <c r="B737" s="43" t="str">
        <f>IF(A737="", "", IFERROR(VLOOKUP(A737, Clasificaciones!A:B, 2, FALSE), "DATO NO CARGADO"))
</f>
        <v>Tarjeta</v>
      </c>
      <c r="C737" s="480" t="s">
        <v>171</v>
      </c>
      <c r="D737" s="481">
        <v>2025.0</v>
      </c>
      <c r="E737" s="43" t="s">
        <v>1130</v>
      </c>
      <c r="H737" s="102"/>
      <c r="J737" s="102"/>
      <c r="K737" s="450"/>
      <c r="L737" s="443"/>
      <c r="M737" s="450"/>
      <c r="N737" s="452">
        <f t="array" ref="N737">IFERROR(
  INDEX(
    'Valor Hora Real y Estimada'!$A$4:$Z$78,
    MATCH(TRIM(CLEAN(A737)), 'Valor Hora Real y Estimada'!$A$4:$A$78, 0),
    MATCH(
      TEXT(C737,"dd mmm")&amp;" "&amp;D737,
      'Valor Hora Real y Estimada'!$A$3:$Z$3,
      0
    ) + 1
  ),
  0
)</f>
        <v>0</v>
      </c>
      <c r="P737" s="123">
        <v>607.42</v>
      </c>
      <c r="Q737" s="106" t="str">
        <f>IF(ISBLANK(O737), "", VLOOKUP(C737&amp;" "&amp;D737, 'Info Tipo de Cambio y REM'!$A$24:$B$35, 2, FALSE))</f>
        <v/>
      </c>
      <c r="R737" s="107">
        <f t="shared" si="32"/>
        <v>607.42</v>
      </c>
    </row>
    <row r="738" hidden="1">
      <c r="A738" s="43" t="s">
        <v>191</v>
      </c>
      <c r="B738" s="43" t="str">
        <f>IF(A738="", "", IFERROR(VLOOKUP(A738, Clasificaciones!A:B, 2, FALSE), "DATO NO CARGADO"))
</f>
        <v>Tarjeta</v>
      </c>
      <c r="C738" s="480" t="s">
        <v>171</v>
      </c>
      <c r="D738" s="481">
        <v>2025.0</v>
      </c>
      <c r="E738" s="43" t="s">
        <v>1130</v>
      </c>
      <c r="H738" s="102"/>
      <c r="J738" s="102"/>
      <c r="K738" s="450"/>
      <c r="L738" s="443"/>
      <c r="M738" s="450"/>
      <c r="N738" s="452">
        <f t="array" ref="N738">IFERROR(
  INDEX(
    'Valor Hora Real y Estimada'!$A$4:$Z$78,
    MATCH(TRIM(CLEAN(A738)), 'Valor Hora Real y Estimada'!$A$4:$A$78, 0),
    MATCH(
      TEXT(C738,"dd mmm")&amp;" "&amp;D738,
      'Valor Hora Real y Estimada'!$A$3:$Z$3,
      0
    ) + 1
  ),
  0
)</f>
        <v>0</v>
      </c>
      <c r="P738" s="123">
        <v>6.05</v>
      </c>
      <c r="Q738" s="106" t="str">
        <f>IF(ISBLANK(O738), "", VLOOKUP(C738&amp;" "&amp;D738, 'Info Tipo de Cambio y REM'!$A$24:$B$35, 2, FALSE))</f>
        <v/>
      </c>
      <c r="R738" s="107">
        <f t="shared" si="32"/>
        <v>6.05</v>
      </c>
    </row>
    <row r="739" hidden="1">
      <c r="A739" s="43" t="s">
        <v>191</v>
      </c>
      <c r="B739" s="43" t="str">
        <f>IF(A739="", "", IFERROR(VLOOKUP(A739, Clasificaciones!A:B, 2, FALSE), "DATO NO CARGADO"))
</f>
        <v>Tarjeta</v>
      </c>
      <c r="C739" s="480" t="s">
        <v>171</v>
      </c>
      <c r="D739" s="481">
        <v>2025.0</v>
      </c>
      <c r="E739" s="43" t="s">
        <v>1130</v>
      </c>
      <c r="H739" s="102"/>
      <c r="J739" s="102"/>
      <c r="K739" s="450"/>
      <c r="L739" s="443"/>
      <c r="M739" s="450"/>
      <c r="N739" s="452">
        <f t="array" ref="N739">IFERROR(
  INDEX(
    'Valor Hora Real y Estimada'!$A$4:$Z$78,
    MATCH(TRIM(CLEAN(A739)), 'Valor Hora Real y Estimada'!$A$4:$A$78, 0),
    MATCH(
      TEXT(C739,"dd mmm")&amp;" "&amp;D739,
      'Valor Hora Real y Estimada'!$A$3:$Z$3,
      0
    ) + 1
  ),
  0
)</f>
        <v>0</v>
      </c>
      <c r="P739" s="123">
        <v>14.19</v>
      </c>
      <c r="Q739" s="106" t="str">
        <f>IF(ISBLANK(O739), "", VLOOKUP(C739&amp;" "&amp;D739, 'Info Tipo de Cambio y REM'!$A$24:$B$35, 2, FALSE))</f>
        <v/>
      </c>
      <c r="R739" s="107">
        <f t="shared" si="32"/>
        <v>14.19</v>
      </c>
    </row>
    <row r="740" hidden="1">
      <c r="A740" s="43" t="s">
        <v>191</v>
      </c>
      <c r="B740" s="43" t="str">
        <f>IF(A740="", "", IFERROR(VLOOKUP(A740, Clasificaciones!A:B, 2, FALSE), "DATO NO CARGADO"))
</f>
        <v>Tarjeta</v>
      </c>
      <c r="C740" s="480" t="s">
        <v>171</v>
      </c>
      <c r="D740" s="481">
        <v>2025.0</v>
      </c>
      <c r="E740" s="43" t="s">
        <v>1130</v>
      </c>
      <c r="H740" s="102"/>
      <c r="J740" s="102"/>
      <c r="K740" s="450"/>
      <c r="L740" s="443"/>
      <c r="M740" s="450"/>
      <c r="N740" s="452">
        <f t="array" ref="N740">IFERROR(
  INDEX(
    'Valor Hora Real y Estimada'!$A$4:$Z$78,
    MATCH(TRIM(CLEAN(A740)), 'Valor Hora Real y Estimada'!$A$4:$A$78, 0),
    MATCH(
      TEXT(C740,"dd mmm")&amp;" "&amp;D740,
      'Valor Hora Real y Estimada'!$A$3:$Z$3,
      0
    ) + 1
  ),
  0
)</f>
        <v>0</v>
      </c>
      <c r="P740" s="123">
        <v>22.99</v>
      </c>
      <c r="Q740" s="106" t="str">
        <f>IF(ISBLANK(O740), "", VLOOKUP(C740&amp;" "&amp;D740, 'Info Tipo de Cambio y REM'!$A$24:$B$35, 2, FALSE))</f>
        <v/>
      </c>
      <c r="R740" s="107">
        <f t="shared" si="32"/>
        <v>22.99</v>
      </c>
    </row>
    <row r="741" hidden="1">
      <c r="A741" s="43" t="s">
        <v>191</v>
      </c>
      <c r="B741" s="43" t="str">
        <f>IF(A741="", "", IFERROR(VLOOKUP(A741, Clasificaciones!A:B, 2, FALSE), "DATO NO CARGADO"))
</f>
        <v>Tarjeta</v>
      </c>
      <c r="C741" s="480" t="s">
        <v>171</v>
      </c>
      <c r="D741" s="481">
        <v>2025.0</v>
      </c>
      <c r="E741" s="43" t="s">
        <v>1130</v>
      </c>
      <c r="H741" s="102"/>
      <c r="J741" s="102"/>
      <c r="K741" s="450"/>
      <c r="L741" s="443"/>
      <c r="M741" s="450"/>
      <c r="N741" s="452">
        <f t="array" ref="N741">IFERROR(
  INDEX(
    'Valor Hora Real y Estimada'!$A$4:$Z$78,
    MATCH(TRIM(CLEAN(A741)), 'Valor Hora Real y Estimada'!$A$4:$A$78, 0),
    MATCH(
      TEXT(C741,"dd mmm")&amp;" "&amp;D741,
      'Valor Hora Real y Estimada'!$A$3:$Z$3,
      0
    ) + 1
  ),
  0
)</f>
        <v>0</v>
      </c>
      <c r="P741" s="123">
        <v>20.0</v>
      </c>
      <c r="Q741" s="106" t="str">
        <f>IF(ISBLANK(O741), "", VLOOKUP(C741&amp;" "&amp;D741, 'Info Tipo de Cambio y REM'!$A$24:$B$35, 2, FALSE))</f>
        <v/>
      </c>
      <c r="R741" s="107">
        <f t="shared" si="32"/>
        <v>20</v>
      </c>
    </row>
    <row r="742" hidden="1">
      <c r="A742" s="43" t="s">
        <v>191</v>
      </c>
      <c r="B742" s="43" t="str">
        <f>IF(A742="", "", IFERROR(VLOOKUP(A742, Clasificaciones!A:B, 2, FALSE), "DATO NO CARGADO"))
</f>
        <v>Tarjeta</v>
      </c>
      <c r="C742" s="480" t="s">
        <v>171</v>
      </c>
      <c r="D742" s="481">
        <v>2025.0</v>
      </c>
      <c r="E742" s="43" t="s">
        <v>1130</v>
      </c>
      <c r="H742" s="102"/>
      <c r="J742" s="102"/>
      <c r="K742" s="450"/>
      <c r="L742" s="443"/>
      <c r="M742" s="450"/>
      <c r="N742" s="452">
        <f t="array" ref="N742">IFERROR(
  INDEX(
    'Valor Hora Real y Estimada'!$A$4:$Z$78,
    MATCH(TRIM(CLEAN(A742)), 'Valor Hora Real y Estimada'!$A$4:$A$78, 0),
    MATCH(
      TEXT(C742,"dd mmm")&amp;" "&amp;D742,
      'Valor Hora Real y Estimada'!$A$3:$Z$3,
      0
    ) + 1
  ),
  0
)</f>
        <v>0</v>
      </c>
      <c r="P742" s="123">
        <v>6.49</v>
      </c>
      <c r="Q742" s="106" t="str">
        <f>IF(ISBLANK(O742), "", VLOOKUP(C742&amp;" "&amp;D742, 'Info Tipo de Cambio y REM'!$A$24:$B$35, 2, FALSE))</f>
        <v/>
      </c>
      <c r="R742" s="107">
        <f t="shared" si="32"/>
        <v>6.49</v>
      </c>
    </row>
    <row r="743" hidden="1">
      <c r="A743" s="43" t="s">
        <v>191</v>
      </c>
      <c r="B743" s="43" t="str">
        <f>IF(A743="", "", IFERROR(VLOOKUP(A743, Clasificaciones!A:B, 2, FALSE), "DATO NO CARGADO"))
</f>
        <v>Tarjeta</v>
      </c>
      <c r="C743" s="480" t="s">
        <v>171</v>
      </c>
      <c r="D743" s="481">
        <v>2025.0</v>
      </c>
      <c r="E743" s="43" t="s">
        <v>1130</v>
      </c>
      <c r="H743" s="102"/>
      <c r="J743" s="102"/>
      <c r="K743" s="450"/>
      <c r="L743" s="443"/>
      <c r="M743" s="450"/>
      <c r="N743" s="452">
        <f t="array" ref="N743">IFERROR(
  INDEX(
    'Valor Hora Real y Estimada'!$A$4:$Z$78,
    MATCH(TRIM(CLEAN(A743)), 'Valor Hora Real y Estimada'!$A$4:$A$78, 0),
    MATCH(
      TEXT(C743,"dd mmm")&amp;" "&amp;D743,
      'Valor Hora Real y Estimada'!$A$3:$Z$3,
      0
    ) + 1
  ),
  0
)</f>
        <v>0</v>
      </c>
      <c r="P743" s="123">
        <v>29.0</v>
      </c>
      <c r="Q743" s="106" t="str">
        <f>IF(ISBLANK(O743), "", VLOOKUP(C743&amp;" "&amp;D743, 'Info Tipo de Cambio y REM'!$A$24:$B$35, 2, FALSE))</f>
        <v/>
      </c>
      <c r="R743" s="107">
        <f t="shared" si="32"/>
        <v>29</v>
      </c>
    </row>
    <row r="744" hidden="1">
      <c r="A744" s="43" t="s">
        <v>191</v>
      </c>
      <c r="B744" s="43" t="str">
        <f>IF(A744="", "", IFERROR(VLOOKUP(A744, Clasificaciones!A:B, 2, FALSE), "DATO NO CARGADO"))
</f>
        <v>Tarjeta</v>
      </c>
      <c r="C744" s="480" t="s">
        <v>171</v>
      </c>
      <c r="D744" s="481">
        <v>2025.0</v>
      </c>
      <c r="E744" s="43" t="s">
        <v>1130</v>
      </c>
      <c r="H744" s="102"/>
      <c r="J744" s="102"/>
      <c r="K744" s="450"/>
      <c r="L744" s="443"/>
      <c r="M744" s="450"/>
      <c r="N744" s="452">
        <f t="array" ref="N744">IFERROR(
  INDEX(
    'Valor Hora Real y Estimada'!$A$4:$Z$78,
    MATCH(TRIM(CLEAN(A744)), 'Valor Hora Real y Estimada'!$A$4:$A$78, 0),
    MATCH(
      TEXT(C744,"dd mmm")&amp;" "&amp;D744,
      'Valor Hora Real y Estimada'!$A$3:$Z$3,
      0
    ) + 1
  ),
  0
)</f>
        <v>0</v>
      </c>
      <c r="P744" s="123">
        <v>500.2</v>
      </c>
      <c r="Q744" s="106" t="str">
        <f>IF(ISBLANK(O744), "", VLOOKUP(C744&amp;" "&amp;D744, 'Info Tipo de Cambio y REM'!$A$24:$B$35, 2, FALSE))</f>
        <v/>
      </c>
      <c r="R744" s="107">
        <f t="shared" si="32"/>
        <v>500.2</v>
      </c>
    </row>
    <row r="745" hidden="1">
      <c r="A745" s="43" t="s">
        <v>191</v>
      </c>
      <c r="B745" s="43" t="str">
        <f>IF(A745="", "", IFERROR(VLOOKUP(A745, Clasificaciones!A:B, 2, FALSE), "DATO NO CARGADO"))
</f>
        <v>Tarjeta</v>
      </c>
      <c r="C745" s="480" t="s">
        <v>171</v>
      </c>
      <c r="D745" s="481">
        <v>2025.0</v>
      </c>
      <c r="E745" s="43" t="s">
        <v>1130</v>
      </c>
      <c r="H745" s="102"/>
      <c r="J745" s="102"/>
      <c r="K745" s="450"/>
      <c r="L745" s="443"/>
      <c r="M745" s="450"/>
      <c r="N745" s="452">
        <f t="array" ref="N745">IFERROR(
  INDEX(
    'Valor Hora Real y Estimada'!$A$4:$Z$78,
    MATCH(TRIM(CLEAN(A745)), 'Valor Hora Real y Estimada'!$A$4:$A$78, 0),
    MATCH(
      TEXT(C745,"dd mmm")&amp;" "&amp;D745,
      'Valor Hora Real y Estimada'!$A$3:$Z$3,
      0
    ) + 1
  ),
  0
)</f>
        <v>0</v>
      </c>
      <c r="P745" s="123">
        <v>171.47</v>
      </c>
      <c r="Q745" s="106" t="str">
        <f>IF(ISBLANK(O745), "", VLOOKUP(C745&amp;" "&amp;D745, 'Info Tipo de Cambio y REM'!$A$24:$B$35, 2, FALSE))</f>
        <v/>
      </c>
      <c r="R745" s="107">
        <f t="shared" si="32"/>
        <v>171.47</v>
      </c>
    </row>
    <row r="746" hidden="1">
      <c r="A746" s="43" t="s">
        <v>191</v>
      </c>
      <c r="B746" s="43" t="str">
        <f>IF(A746="", "", IFERROR(VLOOKUP(A746, Clasificaciones!A:B, 2, FALSE), "DATO NO CARGADO"))
</f>
        <v>Tarjeta</v>
      </c>
      <c r="C746" s="480" t="s">
        <v>171</v>
      </c>
      <c r="D746" s="481">
        <v>2025.0</v>
      </c>
      <c r="E746" s="43" t="s">
        <v>1130</v>
      </c>
      <c r="H746" s="102"/>
      <c r="J746" s="102"/>
      <c r="K746" s="450"/>
      <c r="L746" s="443"/>
      <c r="M746" s="450"/>
      <c r="N746" s="452">
        <f t="array" ref="N746">IFERROR(
  INDEX(
    'Valor Hora Real y Estimada'!$A$4:$Z$78,
    MATCH(TRIM(CLEAN(A746)), 'Valor Hora Real y Estimada'!$A$4:$A$78, 0),
    MATCH(
      TEXT(C746,"dd mmm")&amp;" "&amp;D746,
      'Valor Hora Real y Estimada'!$A$3:$Z$3,
      0
    ) + 1
  ),
  0
)</f>
        <v>0</v>
      </c>
      <c r="P746" s="123">
        <v>20.0</v>
      </c>
      <c r="Q746" s="106" t="str">
        <f>IF(ISBLANK(O746), "", VLOOKUP(C746&amp;" "&amp;D746, 'Info Tipo de Cambio y REM'!$A$24:$B$35, 2, FALSE))</f>
        <v/>
      </c>
      <c r="R746" s="107">
        <f t="shared" si="32"/>
        <v>20</v>
      </c>
    </row>
    <row r="747" hidden="1">
      <c r="A747" s="43" t="s">
        <v>185</v>
      </c>
      <c r="B747" s="43" t="str">
        <f>IF(A747="", "", IFERROR(VLOOKUP(A747, Clasificaciones!A:B, 2, FALSE), "DATO NO CARGADO"))
</f>
        <v>Comisiones Bancarias</v>
      </c>
      <c r="C747" s="480" t="s">
        <v>171</v>
      </c>
      <c r="D747" s="481">
        <v>2025.0</v>
      </c>
      <c r="E747" s="43" t="s">
        <v>1130</v>
      </c>
      <c r="H747" s="102"/>
      <c r="J747" s="102"/>
      <c r="K747" s="450"/>
      <c r="L747" s="443"/>
      <c r="M747" s="450"/>
      <c r="N747" s="452">
        <f t="array" ref="N747">IFERROR(
  INDEX(
    'Valor Hora Real y Estimada'!$A$4:$Z$78,
    MATCH(TRIM(CLEAN(A747)), 'Valor Hora Real y Estimada'!$A$4:$A$78, 0),
    MATCH(
      TEXT(C747,"dd mmm")&amp;" "&amp;D747,
      'Valor Hora Real y Estimada'!$A$3:$Z$3,
      0
    ) + 1
  ),
  0
)</f>
        <v>0</v>
      </c>
      <c r="P747" s="89">
        <v>45.0</v>
      </c>
      <c r="Q747" s="106" t="str">
        <f>IF(ISBLANK(O747), "", VLOOKUP(C747&amp;" "&amp;D747, 'Info Tipo de Cambio y REM'!$A$24:$B$35, 2, FALSE))</f>
        <v/>
      </c>
      <c r="R747" s="107">
        <f t="shared" si="32"/>
        <v>45</v>
      </c>
    </row>
    <row r="748" hidden="1">
      <c r="A748" s="43" t="s">
        <v>185</v>
      </c>
      <c r="B748" s="43" t="str">
        <f>IF(A748="", "", IFERROR(VLOOKUP(A748, Clasificaciones!A:B, 2, FALSE), "DATO NO CARGADO"))
</f>
        <v>Comisiones Bancarias</v>
      </c>
      <c r="C748" s="480" t="s">
        <v>171</v>
      </c>
      <c r="D748" s="481">
        <v>2025.0</v>
      </c>
      <c r="E748" s="43" t="s">
        <v>1130</v>
      </c>
      <c r="H748" s="102"/>
      <c r="J748" s="102"/>
      <c r="K748" s="450"/>
      <c r="L748" s="443"/>
      <c r="M748" s="450"/>
      <c r="N748" s="452">
        <f t="array" ref="N748">IFERROR(
  INDEX(
    'Valor Hora Real y Estimada'!$A$4:$Z$78,
    MATCH(TRIM(CLEAN(A748)), 'Valor Hora Real y Estimada'!$A$4:$A$78, 0),
    MATCH(
      TEXT(C748,"dd mmm")&amp;" "&amp;D748,
      'Valor Hora Real y Estimada'!$A$3:$Z$3,
      0
    ) + 1
  ),
  0
)</f>
        <v>0</v>
      </c>
      <c r="P748" s="89">
        <v>45.0</v>
      </c>
      <c r="Q748" s="106" t="str">
        <f>IF(ISBLANK(O748), "", VLOOKUP(C748&amp;" "&amp;D748, 'Info Tipo de Cambio y REM'!$A$24:$B$35, 2, FALSE))</f>
        <v/>
      </c>
      <c r="R748" s="107">
        <f t="shared" si="32"/>
        <v>45</v>
      </c>
    </row>
    <row r="749" hidden="1">
      <c r="A749" s="43" t="s">
        <v>185</v>
      </c>
      <c r="B749" s="43" t="str">
        <f>IF(A749="", "", IFERROR(VLOOKUP(A749, Clasificaciones!A:B, 2, FALSE), "DATO NO CARGADO"))
</f>
        <v>Comisiones Bancarias</v>
      </c>
      <c r="C749" s="480" t="s">
        <v>171</v>
      </c>
      <c r="D749" s="481">
        <v>2025.0</v>
      </c>
      <c r="E749" s="43" t="s">
        <v>1130</v>
      </c>
      <c r="H749" s="102"/>
      <c r="J749" s="102"/>
      <c r="K749" s="450"/>
      <c r="L749" s="443"/>
      <c r="M749" s="450"/>
      <c r="N749" s="452">
        <f t="array" ref="N749">IFERROR(
  INDEX(
    'Valor Hora Real y Estimada'!$A$4:$Z$78,
    MATCH(TRIM(CLEAN(A749)), 'Valor Hora Real y Estimada'!$A$4:$A$78, 0),
    MATCH(
      TEXT(C749,"dd mmm")&amp;" "&amp;D749,
      'Valor Hora Real y Estimada'!$A$3:$Z$3,
      0
    ) + 1
  ),
  0
)</f>
        <v>0</v>
      </c>
      <c r="P749" s="89">
        <v>45.0</v>
      </c>
      <c r="Q749" s="106" t="str">
        <f>IF(ISBLANK(O749), "", VLOOKUP(C749&amp;" "&amp;D749, 'Info Tipo de Cambio y REM'!$A$24:$B$35, 2, FALSE))</f>
        <v/>
      </c>
      <c r="R749" s="107">
        <f t="shared" si="32"/>
        <v>45</v>
      </c>
    </row>
    <row r="750" hidden="1">
      <c r="A750" s="43" t="s">
        <v>185</v>
      </c>
      <c r="B750" s="43" t="str">
        <f>IF(A750="", "", IFERROR(VLOOKUP(A750, Clasificaciones!A:B, 2, FALSE), "DATO NO CARGADO"))
</f>
        <v>Comisiones Bancarias</v>
      </c>
      <c r="C750" s="480" t="s">
        <v>171</v>
      </c>
      <c r="D750" s="481">
        <v>2025.0</v>
      </c>
      <c r="E750" s="43" t="s">
        <v>1130</v>
      </c>
      <c r="H750" s="102"/>
      <c r="J750" s="102"/>
      <c r="K750" s="450"/>
      <c r="L750" s="443"/>
      <c r="M750" s="450"/>
      <c r="N750" s="452">
        <f t="array" ref="N750">IFERROR(
  INDEX(
    'Valor Hora Real y Estimada'!$A$4:$Z$78,
    MATCH(TRIM(CLEAN(A750)), 'Valor Hora Real y Estimada'!$A$4:$A$78, 0),
    MATCH(
      TEXT(C750,"dd mmm")&amp;" "&amp;D750,
      'Valor Hora Real y Estimada'!$A$3:$Z$3,
      0
    ) + 1
  ),
  0
)</f>
        <v>0</v>
      </c>
      <c r="P750" s="89">
        <v>45.0</v>
      </c>
      <c r="Q750" s="106" t="str">
        <f>IF(ISBLANK(O750), "", VLOOKUP(C750&amp;" "&amp;D750, 'Info Tipo de Cambio y REM'!$A$24:$B$35, 2, FALSE))</f>
        <v/>
      </c>
      <c r="R750" s="107">
        <f t="shared" si="32"/>
        <v>45</v>
      </c>
    </row>
    <row r="751" hidden="1">
      <c r="A751" s="43" t="s">
        <v>185</v>
      </c>
      <c r="B751" s="43" t="str">
        <f>IF(A751="", "", IFERROR(VLOOKUP(A751, Clasificaciones!A:B, 2, FALSE), "DATO NO CARGADO"))
</f>
        <v>Comisiones Bancarias</v>
      </c>
      <c r="C751" s="480" t="s">
        <v>171</v>
      </c>
      <c r="D751" s="481">
        <v>2025.0</v>
      </c>
      <c r="E751" s="43" t="s">
        <v>1130</v>
      </c>
      <c r="H751" s="102"/>
      <c r="J751" s="102"/>
      <c r="K751" s="450"/>
      <c r="L751" s="443"/>
      <c r="M751" s="450"/>
      <c r="N751" s="452">
        <f t="array" ref="N751">IFERROR(
  INDEX(
    'Valor Hora Real y Estimada'!$A$4:$Z$78,
    MATCH(TRIM(CLEAN(A751)), 'Valor Hora Real y Estimada'!$A$4:$A$78, 0),
    MATCH(
      TEXT(C751,"dd mmm")&amp;" "&amp;D751,
      'Valor Hora Real y Estimada'!$A$3:$Z$3,
      0
    ) + 1
  ),
  0
)</f>
        <v>0</v>
      </c>
      <c r="P751" s="89">
        <v>45.0</v>
      </c>
      <c r="Q751" s="106" t="str">
        <f>IF(ISBLANK(O751), "", VLOOKUP(C751&amp;" "&amp;D751, 'Info Tipo de Cambio y REM'!$A$24:$B$35, 2, FALSE))</f>
        <v/>
      </c>
      <c r="R751" s="107">
        <f t="shared" si="32"/>
        <v>45</v>
      </c>
    </row>
    <row r="752" hidden="1">
      <c r="A752" s="43" t="s">
        <v>185</v>
      </c>
      <c r="B752" s="43" t="str">
        <f>IF(A752="", "", IFERROR(VLOOKUP(A752, Clasificaciones!A:B, 2, FALSE), "DATO NO CARGADO"))
</f>
        <v>Comisiones Bancarias</v>
      </c>
      <c r="C752" s="480" t="s">
        <v>171</v>
      </c>
      <c r="D752" s="481">
        <v>2025.0</v>
      </c>
      <c r="E752" s="43" t="s">
        <v>1130</v>
      </c>
      <c r="H752" s="102"/>
      <c r="J752" s="102"/>
      <c r="K752" s="450"/>
      <c r="L752" s="443"/>
      <c r="M752" s="450"/>
      <c r="N752" s="452">
        <f t="array" ref="N752">IFERROR(
  INDEX(
    'Valor Hora Real y Estimada'!$A$4:$Z$78,
    MATCH(TRIM(CLEAN(A752)), 'Valor Hora Real y Estimada'!$A$4:$A$78, 0),
    MATCH(
      TEXT(C752,"dd mmm")&amp;" "&amp;D752,
      'Valor Hora Real y Estimada'!$A$3:$Z$3,
      0
    ) + 1
  ),
  0
)</f>
        <v>0</v>
      </c>
      <c r="P752" s="89">
        <v>45.0</v>
      </c>
      <c r="Q752" s="106" t="str">
        <f>IF(ISBLANK(O752), "", VLOOKUP(C752&amp;" "&amp;D752, 'Info Tipo de Cambio y REM'!$A$24:$B$35, 2, FALSE))</f>
        <v/>
      </c>
      <c r="R752" s="107">
        <f t="shared" si="32"/>
        <v>45</v>
      </c>
    </row>
    <row r="753" hidden="1">
      <c r="A753" s="43" t="s">
        <v>185</v>
      </c>
      <c r="B753" s="43" t="str">
        <f>IF(A753="", "", IFERROR(VLOOKUP(A753, Clasificaciones!A:B, 2, FALSE), "DATO NO CARGADO"))
</f>
        <v>Comisiones Bancarias</v>
      </c>
      <c r="C753" s="480" t="s">
        <v>171</v>
      </c>
      <c r="D753" s="481">
        <v>2025.0</v>
      </c>
      <c r="E753" s="43" t="s">
        <v>1130</v>
      </c>
      <c r="H753" s="102"/>
      <c r="J753" s="102"/>
      <c r="K753" s="450"/>
      <c r="L753" s="443"/>
      <c r="M753" s="450"/>
      <c r="N753" s="452">
        <f t="array" ref="N753">IFERROR(
  INDEX(
    'Valor Hora Real y Estimada'!$A$4:$Z$78,
    MATCH(TRIM(CLEAN(A753)), 'Valor Hora Real y Estimada'!$A$4:$A$78, 0),
    MATCH(
      TEXT(C753,"dd mmm")&amp;" "&amp;D753,
      'Valor Hora Real y Estimada'!$A$3:$Z$3,
      0
    ) + 1
  ),
  0
)</f>
        <v>0</v>
      </c>
      <c r="P753" s="89">
        <v>45.0</v>
      </c>
      <c r="Q753" s="106" t="str">
        <f>IF(ISBLANK(O753), "", VLOOKUP(C753&amp;" "&amp;D753, 'Info Tipo de Cambio y REM'!$A$24:$B$35, 2, FALSE))</f>
        <v/>
      </c>
      <c r="R753" s="107">
        <f t="shared" si="32"/>
        <v>45</v>
      </c>
    </row>
    <row r="754" hidden="1">
      <c r="A754" s="43" t="s">
        <v>185</v>
      </c>
      <c r="B754" s="43" t="str">
        <f>IF(A754="", "", IFERROR(VLOOKUP(A754, Clasificaciones!A:B, 2, FALSE), "DATO NO CARGADO"))
</f>
        <v>Comisiones Bancarias</v>
      </c>
      <c r="C754" s="480" t="s">
        <v>171</v>
      </c>
      <c r="D754" s="481">
        <v>2025.0</v>
      </c>
      <c r="E754" s="43" t="s">
        <v>1130</v>
      </c>
      <c r="H754" s="102"/>
      <c r="J754" s="102"/>
      <c r="K754" s="450"/>
      <c r="L754" s="443"/>
      <c r="M754" s="450"/>
      <c r="N754" s="452">
        <f t="array" ref="N754">IFERROR(
  INDEX(
    'Valor Hora Real y Estimada'!$A$4:$Z$78,
    MATCH(TRIM(CLEAN(A754)), 'Valor Hora Real y Estimada'!$A$4:$A$78, 0),
    MATCH(
      TEXT(C754,"dd mmm")&amp;" "&amp;D754,
      'Valor Hora Real y Estimada'!$A$3:$Z$3,
      0
    ) + 1
  ),
  0
)</f>
        <v>0</v>
      </c>
      <c r="P754" s="89">
        <v>45.0</v>
      </c>
      <c r="Q754" s="106" t="str">
        <f>IF(ISBLANK(O754), "", VLOOKUP(C754&amp;" "&amp;D754, 'Info Tipo de Cambio y REM'!$A$24:$B$35, 2, FALSE))</f>
        <v/>
      </c>
      <c r="R754" s="107">
        <f t="shared" si="32"/>
        <v>45</v>
      </c>
    </row>
    <row r="755" hidden="1">
      <c r="A755" s="43" t="s">
        <v>185</v>
      </c>
      <c r="B755" s="43" t="str">
        <f>IF(A755="", "", IFERROR(VLOOKUP(A755, Clasificaciones!A:B, 2, FALSE), "DATO NO CARGADO"))
</f>
        <v>Comisiones Bancarias</v>
      </c>
      <c r="C755" s="480" t="s">
        <v>171</v>
      </c>
      <c r="D755" s="481">
        <v>2025.0</v>
      </c>
      <c r="E755" s="43" t="s">
        <v>1130</v>
      </c>
      <c r="H755" s="102"/>
      <c r="J755" s="102"/>
      <c r="K755" s="450"/>
      <c r="L755" s="443"/>
      <c r="M755" s="450"/>
      <c r="N755" s="452">
        <f t="array" ref="N755">IFERROR(
  INDEX(
    'Valor Hora Real y Estimada'!$A$4:$Z$78,
    MATCH(TRIM(CLEAN(A755)), 'Valor Hora Real y Estimada'!$A$4:$A$78, 0),
    MATCH(
      TEXT(C755,"dd mmm")&amp;" "&amp;D755,
      'Valor Hora Real y Estimada'!$A$3:$Z$3,
      0
    ) + 1
  ),
  0
)</f>
        <v>0</v>
      </c>
      <c r="P755" s="89">
        <v>45.0</v>
      </c>
      <c r="Q755" s="106" t="str">
        <f>IF(ISBLANK(O755), "", VLOOKUP(C755&amp;" "&amp;D755, 'Info Tipo de Cambio y REM'!$A$24:$B$35, 2, FALSE))</f>
        <v/>
      </c>
      <c r="R755" s="107">
        <f t="shared" si="32"/>
        <v>45</v>
      </c>
    </row>
    <row r="756" hidden="1">
      <c r="A756" s="43" t="s">
        <v>185</v>
      </c>
      <c r="B756" s="43" t="str">
        <f>IF(A756="", "", IFERROR(VLOOKUP(A756, Clasificaciones!A:B, 2, FALSE), "DATO NO CARGADO"))
</f>
        <v>Comisiones Bancarias</v>
      </c>
      <c r="C756" s="480" t="s">
        <v>171</v>
      </c>
      <c r="D756" s="481">
        <v>2025.0</v>
      </c>
      <c r="E756" s="43" t="s">
        <v>1130</v>
      </c>
      <c r="H756" s="102"/>
      <c r="J756" s="102"/>
      <c r="K756" s="450"/>
      <c r="L756" s="443"/>
      <c r="M756" s="450"/>
      <c r="N756" s="452">
        <f t="array" ref="N756">IFERROR(
  INDEX(
    'Valor Hora Real y Estimada'!$A$4:$Z$78,
    MATCH(TRIM(CLEAN(A756)), 'Valor Hora Real y Estimada'!$A$4:$A$78, 0),
    MATCH(
      TEXT(C756,"dd mmm")&amp;" "&amp;D756,
      'Valor Hora Real y Estimada'!$A$3:$Z$3,
      0
    ) + 1
  ),
  0
)</f>
        <v>0</v>
      </c>
      <c r="P756" s="89">
        <v>45.0</v>
      </c>
      <c r="Q756" s="106" t="str">
        <f>IF(ISBLANK(O756), "", VLOOKUP(C756&amp;" "&amp;D756, 'Info Tipo de Cambio y REM'!$A$24:$B$35, 2, FALSE))</f>
        <v/>
      </c>
      <c r="R756" s="107">
        <f t="shared" si="32"/>
        <v>45</v>
      </c>
    </row>
    <row r="757" hidden="1">
      <c r="A757" s="43" t="s">
        <v>185</v>
      </c>
      <c r="B757" s="43" t="str">
        <f>IF(A757="", "", IFERROR(VLOOKUP(A757, Clasificaciones!A:B, 2, FALSE), "DATO NO CARGADO"))
</f>
        <v>Comisiones Bancarias</v>
      </c>
      <c r="C757" s="480" t="s">
        <v>171</v>
      </c>
      <c r="D757" s="481">
        <v>2025.0</v>
      </c>
      <c r="E757" s="43" t="s">
        <v>1130</v>
      </c>
      <c r="H757" s="102"/>
      <c r="J757" s="102"/>
      <c r="K757" s="450"/>
      <c r="L757" s="443"/>
      <c r="M757" s="450"/>
      <c r="N757" s="452">
        <f t="array" ref="N757">IFERROR(
  INDEX(
    'Valor Hora Real y Estimada'!$A$4:$Z$78,
    MATCH(TRIM(CLEAN(A757)), 'Valor Hora Real y Estimada'!$A$4:$A$78, 0),
    MATCH(
      TEXT(C757,"dd mmm")&amp;" "&amp;D757,
      'Valor Hora Real y Estimada'!$A$3:$Z$3,
      0
    ) + 1
  ),
  0
)</f>
        <v>0</v>
      </c>
      <c r="P757" s="89">
        <v>45.0</v>
      </c>
      <c r="Q757" s="106" t="str">
        <f>IF(ISBLANK(O757), "", VLOOKUP(C757&amp;" "&amp;D757, 'Info Tipo de Cambio y REM'!$A$24:$B$35, 2, FALSE))</f>
        <v/>
      </c>
      <c r="R757" s="107">
        <f t="shared" si="32"/>
        <v>45</v>
      </c>
    </row>
    <row r="758" hidden="1">
      <c r="A758" s="43" t="s">
        <v>185</v>
      </c>
      <c r="B758" s="43" t="str">
        <f>IF(A758="", "", IFERROR(VLOOKUP(A758, Clasificaciones!A:B, 2, FALSE), "DATO NO CARGADO"))
</f>
        <v>Comisiones Bancarias</v>
      </c>
      <c r="C758" s="480" t="s">
        <v>171</v>
      </c>
      <c r="D758" s="481">
        <v>2025.0</v>
      </c>
      <c r="E758" s="43" t="s">
        <v>1130</v>
      </c>
      <c r="H758" s="102"/>
      <c r="J758" s="102"/>
      <c r="K758" s="450"/>
      <c r="L758" s="443"/>
      <c r="M758" s="450"/>
      <c r="N758" s="452">
        <f t="array" ref="N758">IFERROR(
  INDEX(
    'Valor Hora Real y Estimada'!$A$4:$Z$78,
    MATCH(TRIM(CLEAN(A758)), 'Valor Hora Real y Estimada'!$A$4:$A$78, 0),
    MATCH(
      TEXT(C758,"dd mmm")&amp;" "&amp;D758,
      'Valor Hora Real y Estimada'!$A$3:$Z$3,
      0
    ) + 1
  ),
  0
)</f>
        <v>0</v>
      </c>
      <c r="P758" s="89">
        <v>45.0</v>
      </c>
      <c r="Q758" s="106" t="str">
        <f>IF(ISBLANK(O758), "", VLOOKUP(C758&amp;" "&amp;D758, 'Info Tipo de Cambio y REM'!$A$24:$B$35, 2, FALSE))</f>
        <v/>
      </c>
      <c r="R758" s="107">
        <f t="shared" si="32"/>
        <v>45</v>
      </c>
    </row>
    <row r="759" hidden="1">
      <c r="A759" s="43" t="s">
        <v>185</v>
      </c>
      <c r="B759" s="43" t="str">
        <f>IF(A759="", "", IFERROR(VLOOKUP(A759, Clasificaciones!A:B, 2, FALSE), "DATO NO CARGADO"))
</f>
        <v>Comisiones Bancarias</v>
      </c>
      <c r="C759" s="480" t="s">
        <v>171</v>
      </c>
      <c r="D759" s="481">
        <v>2025.0</v>
      </c>
      <c r="E759" s="43" t="s">
        <v>1130</v>
      </c>
      <c r="H759" s="102"/>
      <c r="J759" s="102"/>
      <c r="K759" s="450"/>
      <c r="L759" s="443"/>
      <c r="M759" s="450"/>
      <c r="N759" s="452">
        <f t="array" ref="N759">IFERROR(
  INDEX(
    'Valor Hora Real y Estimada'!$A$4:$Z$78,
    MATCH(TRIM(CLEAN(A759)), 'Valor Hora Real y Estimada'!$A$4:$A$78, 0),
    MATCH(
      TEXT(C759,"dd mmm")&amp;" "&amp;D759,
      'Valor Hora Real y Estimada'!$A$3:$Z$3,
      0
    ) + 1
  ),
  0
)</f>
        <v>0</v>
      </c>
      <c r="P759" s="89">
        <v>45.0</v>
      </c>
      <c r="Q759" s="106" t="str">
        <f>IF(ISBLANK(O759), "", VLOOKUP(C759&amp;" "&amp;D759, 'Info Tipo de Cambio y REM'!$A$24:$B$35, 2, FALSE))</f>
        <v/>
      </c>
      <c r="R759" s="107">
        <f t="shared" si="32"/>
        <v>45</v>
      </c>
    </row>
    <row r="760" hidden="1">
      <c r="A760" s="43" t="s">
        <v>185</v>
      </c>
      <c r="B760" s="43" t="str">
        <f>IF(A760="", "", IFERROR(VLOOKUP(A760, Clasificaciones!A:B, 2, FALSE), "DATO NO CARGADO"))
</f>
        <v>Comisiones Bancarias</v>
      </c>
      <c r="C760" s="480" t="s">
        <v>171</v>
      </c>
      <c r="D760" s="481">
        <v>2025.0</v>
      </c>
      <c r="E760" s="43" t="s">
        <v>1130</v>
      </c>
      <c r="H760" s="102"/>
      <c r="J760" s="102"/>
      <c r="K760" s="450"/>
      <c r="L760" s="443"/>
      <c r="M760" s="450"/>
      <c r="N760" s="452">
        <f t="array" ref="N760">IFERROR(
  INDEX(
    'Valor Hora Real y Estimada'!$A$4:$Z$78,
    MATCH(TRIM(CLEAN(A760)), 'Valor Hora Real y Estimada'!$A$4:$A$78, 0),
    MATCH(
      TEXT(C760,"dd mmm")&amp;" "&amp;D760,
      'Valor Hora Real y Estimada'!$A$3:$Z$3,
      0
    ) + 1
  ),
  0
)</f>
        <v>0</v>
      </c>
      <c r="P760" s="89">
        <v>45.0</v>
      </c>
      <c r="Q760" s="106" t="str">
        <f>IF(ISBLANK(O760), "", VLOOKUP(C760&amp;" "&amp;D760, 'Info Tipo de Cambio y REM'!$A$24:$B$35, 2, FALSE))</f>
        <v/>
      </c>
      <c r="R760" s="107">
        <f t="shared" si="32"/>
        <v>45</v>
      </c>
    </row>
    <row r="761" hidden="1">
      <c r="A761" s="43" t="s">
        <v>185</v>
      </c>
      <c r="B761" s="43" t="str">
        <f>IF(A761="", "", IFERROR(VLOOKUP(A761, Clasificaciones!A:B, 2, FALSE), "DATO NO CARGADO"))
</f>
        <v>Comisiones Bancarias</v>
      </c>
      <c r="C761" s="480" t="s">
        <v>171</v>
      </c>
      <c r="D761" s="481">
        <v>2025.0</v>
      </c>
      <c r="E761" s="43" t="s">
        <v>1130</v>
      </c>
      <c r="H761" s="102"/>
      <c r="J761" s="102"/>
      <c r="K761" s="450"/>
      <c r="L761" s="443"/>
      <c r="M761" s="450"/>
      <c r="N761" s="452">
        <f t="array" ref="N761">IFERROR(
  INDEX(
    'Valor Hora Real y Estimada'!$A$4:$Z$78,
    MATCH(TRIM(CLEAN(A761)), 'Valor Hora Real y Estimada'!$A$4:$A$78, 0),
    MATCH(
      TEXT(C761,"dd mmm")&amp;" "&amp;D761,
      'Valor Hora Real y Estimada'!$A$3:$Z$3,
      0
    ) + 1
  ),
  0
)</f>
        <v>0</v>
      </c>
      <c r="P761" s="89">
        <v>45.0</v>
      </c>
      <c r="Q761" s="106" t="str">
        <f>IF(ISBLANK(O761), "", VLOOKUP(C761&amp;" "&amp;D761, 'Info Tipo de Cambio y REM'!$A$24:$B$35, 2, FALSE))</f>
        <v/>
      </c>
      <c r="R761" s="107">
        <f t="shared" si="32"/>
        <v>45</v>
      </c>
    </row>
    <row r="762" hidden="1">
      <c r="A762" s="43" t="s">
        <v>223</v>
      </c>
      <c r="B762" s="43" t="str">
        <f>IF(A762="", "", IFERROR(VLOOKUP(A762, Clasificaciones!A:B, 2, FALSE), "DATO NO CARGADO"))
</f>
        <v>Otros Proveedores</v>
      </c>
      <c r="C762" s="480" t="s">
        <v>171</v>
      </c>
      <c r="D762" s="481">
        <v>2025.0</v>
      </c>
      <c r="E762" s="43" t="s">
        <v>1130</v>
      </c>
      <c r="H762" s="102"/>
      <c r="J762" s="102"/>
      <c r="K762" s="450"/>
      <c r="L762" s="443"/>
      <c r="M762" s="450"/>
      <c r="N762" s="452">
        <f t="array" ref="N762">IFERROR(
  INDEX(
    'Valor Hora Real y Estimada'!$A$4:$Z$78,
    MATCH(TRIM(CLEAN(A762)), 'Valor Hora Real y Estimada'!$A$4:$A$78, 0),
    MATCH(
      TEXT(C762,"dd mmm")&amp;" "&amp;D762,
      'Valor Hora Real y Estimada'!$A$3:$Z$3,
      0
    ) + 1
  ),
  0
)</f>
        <v>0</v>
      </c>
      <c r="O762" s="341">
        <f>143990/1.21</f>
        <v>119000</v>
      </c>
      <c r="P762" s="71"/>
      <c r="Q762" s="106">
        <f>IF(ISBLANK(O762), "", VLOOKUP(C762&amp;" "&amp;D762, 'Info Tipo de Cambio y REM'!$A$24:$B$35, 2, FALSE))</f>
        <v>1445</v>
      </c>
      <c r="R762" s="107">
        <f t="shared" si="32"/>
        <v>82.35294118</v>
      </c>
    </row>
    <row r="763" hidden="1">
      <c r="A763" s="43" t="s">
        <v>191</v>
      </c>
      <c r="B763" s="43" t="str">
        <f>IF(A763="", "", IFERROR(VLOOKUP(A763, Clasificaciones!A:B, 2, FALSE), "DATO NO CARGADO"))
</f>
        <v>Tarjeta</v>
      </c>
      <c r="C763" s="480" t="s">
        <v>171</v>
      </c>
      <c r="D763" s="481">
        <v>2025.0</v>
      </c>
      <c r="E763" s="43" t="s">
        <v>1130</v>
      </c>
      <c r="H763" s="102"/>
      <c r="J763" s="102"/>
      <c r="K763" s="450"/>
      <c r="L763" s="443"/>
      <c r="M763" s="450"/>
      <c r="N763" s="452">
        <f t="array" ref="N763">IFERROR(
  INDEX(
    'Valor Hora Real y Estimada'!$A$4:$Z$78,
    MATCH(TRIM(CLEAN(A763)), 'Valor Hora Real y Estimada'!$A$4:$A$78, 0),
    MATCH(
      TEXT(C763,"dd mmm")&amp;" "&amp;D763,
      'Valor Hora Real y Estimada'!$A$3:$Z$3,
      0
    ) + 1
  ),
  0
)</f>
        <v>0</v>
      </c>
      <c r="P763" s="123">
        <v>501.0</v>
      </c>
      <c r="Q763" s="106" t="str">
        <f>IF(ISBLANK(O763), "", VLOOKUP(C763&amp;" "&amp;D763, 'Info Tipo de Cambio y REM'!$A$24:$B$35, 2, FALSE))</f>
        <v/>
      </c>
      <c r="R763" s="107">
        <f t="shared" si="32"/>
        <v>501</v>
      </c>
    </row>
    <row r="764" hidden="1">
      <c r="A764" s="43" t="s">
        <v>191</v>
      </c>
      <c r="B764" s="43" t="str">
        <f>IF(A764="", "", IFERROR(VLOOKUP(A764, Clasificaciones!A:B, 2, FALSE), "DATO NO CARGADO"))
</f>
        <v>Tarjeta</v>
      </c>
      <c r="C764" s="480" t="s">
        <v>171</v>
      </c>
      <c r="D764" s="481">
        <v>2025.0</v>
      </c>
      <c r="E764" s="43" t="s">
        <v>1130</v>
      </c>
      <c r="H764" s="102"/>
      <c r="J764" s="102"/>
      <c r="K764" s="450"/>
      <c r="L764" s="443"/>
      <c r="M764" s="450"/>
      <c r="N764" s="452">
        <f t="array" ref="N764">IFERROR(
  INDEX(
    'Valor Hora Real y Estimada'!$A$4:$Z$78,
    MATCH(TRIM(CLEAN(A764)), 'Valor Hora Real y Estimada'!$A$4:$A$78, 0),
    MATCH(
      TEXT(C764,"dd mmm")&amp;" "&amp;D764,
      'Valor Hora Real y Estimada'!$A$3:$Z$3,
      0
    ) + 1
  ),
  0
)</f>
        <v>0</v>
      </c>
      <c r="P764" s="123">
        <v>5.0</v>
      </c>
      <c r="Q764" s="106" t="str">
        <f>IF(ISBLANK(O764), "", VLOOKUP(C764&amp;" "&amp;D764, 'Info Tipo de Cambio y REM'!$A$24:$B$35, 2, FALSE))</f>
        <v/>
      </c>
      <c r="R764" s="107">
        <f t="shared" si="32"/>
        <v>5</v>
      </c>
    </row>
    <row r="765" hidden="1">
      <c r="A765" s="43" t="s">
        <v>231</v>
      </c>
      <c r="B765" s="43" t="str">
        <f>IF(A765="", "", IFERROR(VLOOKUP(A765, Clasificaciones!A:B, 2, FALSE), "DATO NO CARGADO"))
</f>
        <v>Gastos Varios</v>
      </c>
      <c r="C765" s="480" t="s">
        <v>171</v>
      </c>
      <c r="D765" s="481">
        <v>2025.0</v>
      </c>
      <c r="E765" s="43" t="s">
        <v>1130</v>
      </c>
      <c r="H765" s="102"/>
      <c r="J765" s="102"/>
      <c r="K765" s="450"/>
      <c r="L765" s="443"/>
      <c r="M765" s="450"/>
      <c r="N765" s="452">
        <f t="array" ref="N765">IFERROR(
  INDEX(
    'Valor Hora Real y Estimada'!$A$4:$Z$78,
    MATCH(TRIM(CLEAN(A765)), 'Valor Hora Real y Estimada'!$A$4:$A$78, 0),
    MATCH(
      TEXT(C765,"dd mmm")&amp;" "&amp;D765,
      'Valor Hora Real y Estimada'!$A$3:$Z$3,
      0
    ) + 1
  ),
  0
)</f>
        <v>0</v>
      </c>
      <c r="O765" s="43">
        <v>130000.0</v>
      </c>
      <c r="P765" s="71"/>
      <c r="Q765" s="106">
        <f>IF(ISBLANK(O765), "", VLOOKUP(C765&amp;" "&amp;D765, 'Info Tipo de Cambio y REM'!$A$24:$B$35, 2, FALSE))</f>
        <v>1445</v>
      </c>
      <c r="R765" s="107">
        <f t="shared" si="32"/>
        <v>89.96539792</v>
      </c>
    </row>
    <row r="766" hidden="1">
      <c r="A766" s="43" t="s">
        <v>191</v>
      </c>
      <c r="B766" s="43" t="str">
        <f>IF(A766="", "", IFERROR(VLOOKUP(A766, Clasificaciones!A:B, 2, FALSE), "DATO NO CARGADO"))
</f>
        <v>Tarjeta</v>
      </c>
      <c r="C766" s="480" t="s">
        <v>171</v>
      </c>
      <c r="D766" s="481">
        <v>2025.0</v>
      </c>
      <c r="E766" s="43" t="s">
        <v>1130</v>
      </c>
      <c r="H766" s="102"/>
      <c r="J766" s="102"/>
      <c r="K766" s="450"/>
      <c r="L766" s="443"/>
      <c r="M766" s="450"/>
      <c r="N766" s="452">
        <f t="array" ref="N766">IFERROR(
  INDEX(
    'Valor Hora Real y Estimada'!$A$4:$Z$78,
    MATCH(TRIM(CLEAN(A766)), 'Valor Hora Real y Estimada'!$A$4:$A$78, 0),
    MATCH(
      TEXT(C766,"dd mmm")&amp;" "&amp;D766,
      'Valor Hora Real y Estimada'!$A$3:$Z$3,
      0
    ) + 1
  ),
  0
)</f>
        <v>0</v>
      </c>
      <c r="P766" s="89">
        <v>20.0</v>
      </c>
      <c r="Q766" s="106" t="str">
        <f>IF(ISBLANK(O766), "", VLOOKUP(C766&amp;" "&amp;D766, 'Info Tipo de Cambio y REM'!$A$24:$B$35, 2, FALSE))</f>
        <v/>
      </c>
      <c r="R766" s="107">
        <f t="shared" si="32"/>
        <v>20</v>
      </c>
    </row>
    <row r="767" hidden="1">
      <c r="A767" s="43" t="s">
        <v>191</v>
      </c>
      <c r="B767" s="43" t="str">
        <f>IF(A767="", "", IFERROR(VLOOKUP(A767, Clasificaciones!A:B, 2, FALSE), "DATO NO CARGADO"))
</f>
        <v>Tarjeta</v>
      </c>
      <c r="C767" s="480" t="s">
        <v>171</v>
      </c>
      <c r="D767" s="481">
        <v>2025.0</v>
      </c>
      <c r="E767" s="43" t="s">
        <v>1130</v>
      </c>
      <c r="H767" s="102"/>
      <c r="J767" s="102"/>
      <c r="K767" s="450"/>
      <c r="L767" s="443"/>
      <c r="M767" s="450"/>
      <c r="N767" s="452">
        <f t="array" ref="N767">IFERROR(
  INDEX(
    'Valor Hora Real y Estimada'!$A$4:$Z$78,
    MATCH(TRIM(CLEAN(A767)), 'Valor Hora Real y Estimada'!$A$4:$A$78, 0),
    MATCH(
      TEXT(C767,"dd mmm")&amp;" "&amp;D767,
      'Valor Hora Real y Estimada'!$A$3:$Z$3,
      0
    ) + 1
  ),
  0
)</f>
        <v>0</v>
      </c>
      <c r="P767" s="89">
        <v>45.0</v>
      </c>
      <c r="Q767" s="106" t="str">
        <f>IF(ISBLANK(O767), "", VLOOKUP(C767&amp;" "&amp;D767, 'Info Tipo de Cambio y REM'!$A$24:$B$35, 2, FALSE))</f>
        <v/>
      </c>
      <c r="R767" s="107">
        <f t="shared" si="32"/>
        <v>45</v>
      </c>
    </row>
    <row r="768" hidden="1">
      <c r="A768" s="43" t="s">
        <v>191</v>
      </c>
      <c r="B768" s="43" t="str">
        <f>IF(A768="", "", IFERROR(VLOOKUP(A768, Clasificaciones!A:B, 2, FALSE), "DATO NO CARGADO"))
</f>
        <v>Tarjeta</v>
      </c>
      <c r="C768" s="480" t="s">
        <v>171</v>
      </c>
      <c r="D768" s="481">
        <v>2025.0</v>
      </c>
      <c r="E768" s="43" t="s">
        <v>1130</v>
      </c>
      <c r="H768" s="102"/>
      <c r="J768" s="102"/>
      <c r="K768" s="450"/>
      <c r="L768" s="443"/>
      <c r="M768" s="450"/>
      <c r="N768" s="452">
        <f t="array" ref="N768">IFERROR(
  INDEX(
    'Valor Hora Real y Estimada'!$A$4:$Z$78,
    MATCH(TRIM(CLEAN(A768)), 'Valor Hora Real y Estimada'!$A$4:$A$78, 0),
    MATCH(
      TEXT(C768,"dd mmm")&amp;" "&amp;D768,
      'Valor Hora Real y Estimada'!$A$3:$Z$3,
      0
    ) + 1
  ),
  0
)</f>
        <v>0</v>
      </c>
      <c r="P768" s="89">
        <v>30.0</v>
      </c>
      <c r="Q768" s="106" t="str">
        <f>IF(ISBLANK(O768), "", VLOOKUP(C768&amp;" "&amp;D768, 'Info Tipo de Cambio y REM'!$A$24:$B$35, 2, FALSE))</f>
        <v/>
      </c>
      <c r="R768" s="107">
        <f t="shared" si="32"/>
        <v>30</v>
      </c>
    </row>
    <row r="769" hidden="1">
      <c r="A769" s="43" t="s">
        <v>191</v>
      </c>
      <c r="B769" s="43" t="str">
        <f>IF(A769="", "", IFERROR(VLOOKUP(A769, Clasificaciones!A:B, 2, FALSE), "DATO NO CARGADO"))
</f>
        <v>Tarjeta</v>
      </c>
      <c r="C769" s="480" t="s">
        <v>171</v>
      </c>
      <c r="D769" s="481">
        <v>2025.0</v>
      </c>
      <c r="E769" s="43" t="s">
        <v>1130</v>
      </c>
      <c r="H769" s="102"/>
      <c r="J769" s="102"/>
      <c r="K769" s="450"/>
      <c r="L769" s="443"/>
      <c r="M769" s="450"/>
      <c r="N769" s="452">
        <f t="array" ref="N769">IFERROR(
  INDEX(
    'Valor Hora Real y Estimada'!$A$4:$Z$78,
    MATCH(TRIM(CLEAN(A769)), 'Valor Hora Real y Estimada'!$A$4:$A$78, 0),
    MATCH(
      TEXT(C769,"dd mmm")&amp;" "&amp;D769,
      'Valor Hora Real y Estimada'!$A$3:$Z$3,
      0
    ) + 1
  ),
  0
)</f>
        <v>0</v>
      </c>
      <c r="P769" s="89">
        <v>502.0</v>
      </c>
      <c r="Q769" s="106" t="str">
        <f>IF(ISBLANK(O769), "", VLOOKUP(C769&amp;" "&amp;D769, 'Info Tipo de Cambio y REM'!$A$24:$B$35, 2, FALSE))</f>
        <v/>
      </c>
      <c r="R769" s="107">
        <f t="shared" si="32"/>
        <v>502</v>
      </c>
    </row>
    <row r="770" hidden="1">
      <c r="A770" s="43" t="s">
        <v>191</v>
      </c>
      <c r="B770" s="43" t="str">
        <f>IF(A770="", "", IFERROR(VLOOKUP(A770, Clasificaciones!A:B, 2, FALSE), "DATO NO CARGADO"))
</f>
        <v>Tarjeta</v>
      </c>
      <c r="C770" s="480" t="s">
        <v>171</v>
      </c>
      <c r="D770" s="481">
        <v>2025.0</v>
      </c>
      <c r="E770" s="43" t="s">
        <v>1130</v>
      </c>
      <c r="H770" s="102"/>
      <c r="J770" s="102"/>
      <c r="K770" s="450"/>
      <c r="L770" s="443"/>
      <c r="M770" s="450"/>
      <c r="N770" s="452">
        <f t="array" ref="N770">IFERROR(
  INDEX(
    'Valor Hora Real y Estimada'!$A$4:$Z$78,
    MATCH(TRIM(CLEAN(A770)), 'Valor Hora Real y Estimada'!$A$4:$A$78, 0),
    MATCH(
      TEXT(C770,"dd mmm")&amp;" "&amp;D770,
      'Valor Hora Real y Estimada'!$A$3:$Z$3,
      0
    ) + 1
  ),
  0
)</f>
        <v>0</v>
      </c>
      <c r="P770" s="89">
        <v>610.0</v>
      </c>
      <c r="Q770" s="106" t="str">
        <f>IF(ISBLANK(O770), "", VLOOKUP(C770&amp;" "&amp;D770, 'Info Tipo de Cambio y REM'!$A$24:$B$35, 2, FALSE))</f>
        <v/>
      </c>
      <c r="R770" s="107">
        <f t="shared" si="32"/>
        <v>610</v>
      </c>
    </row>
    <row r="771" hidden="1">
      <c r="A771" s="43" t="s">
        <v>226</v>
      </c>
      <c r="B771" s="43" t="str">
        <f>IF(A771="", "", IFERROR(VLOOKUP(A771, Clasificaciones!A:B, 2, FALSE), "DATO NO CARGADO"))
</f>
        <v>Administración Finanzas</v>
      </c>
      <c r="C771" s="480" t="s">
        <v>171</v>
      </c>
      <c r="D771" s="481">
        <v>2025.0</v>
      </c>
      <c r="E771" s="43" t="s">
        <v>1130</v>
      </c>
      <c r="H771" s="102"/>
      <c r="J771" s="102"/>
      <c r="K771" s="450"/>
      <c r="L771" s="443"/>
      <c r="M771" s="450"/>
      <c r="N771" s="452">
        <f t="array" ref="N771">IFERROR(
  INDEX(
    'Valor Hora Real y Estimada'!$A$4:$Z$78,
    MATCH(TRIM(CLEAN(A771)), 'Valor Hora Real y Estimada'!$A$4:$A$78, 0),
    MATCH(
      TEXT(C771,"dd mmm")&amp;" "&amp;D771,
      'Valor Hora Real y Estimada'!$A$3:$Z$3,
      0
    ) + 1
  ),
  0
)</f>
        <v>0</v>
      </c>
      <c r="O771" s="343">
        <v>675800.0</v>
      </c>
      <c r="P771" s="71"/>
      <c r="Q771" s="106">
        <f>IF(ISBLANK(O771), "", VLOOKUP(C771&amp;" "&amp;D771, 'Info Tipo de Cambio y REM'!$A$24:$B$35, 2, FALSE))</f>
        <v>1445</v>
      </c>
      <c r="R771" s="107">
        <f t="shared" si="32"/>
        <v>467.6816609</v>
      </c>
    </row>
    <row r="772" hidden="1">
      <c r="A772" s="43" t="s">
        <v>139</v>
      </c>
      <c r="B772" s="43" t="str">
        <f>IF(A772="", "", IFERROR(VLOOKUP(A772, Clasificaciones!A:B, 2, FALSE), "DATO NO CARGADO"))
</f>
        <v>People</v>
      </c>
      <c r="C772" s="480" t="s">
        <v>171</v>
      </c>
      <c r="D772" s="481">
        <v>2025.0</v>
      </c>
      <c r="E772" s="43" t="s">
        <v>1130</v>
      </c>
      <c r="H772" s="102"/>
      <c r="J772" s="102"/>
      <c r="K772" s="450"/>
      <c r="L772" s="443"/>
      <c r="M772" s="450"/>
      <c r="N772" s="452">
        <f t="array" ref="N772">IFERROR(
  INDEX(
    'Valor Hora Real y Estimada'!$A$4:$Z$78,
    MATCH(TRIM(CLEAN(A772)), 'Valor Hora Real y Estimada'!$A$4:$A$78, 0),
    MATCH(
      TEXT(C772,"dd mmm")&amp;" "&amp;D772,
      'Valor Hora Real y Estimada'!$A$3:$Z$3,
      0
    ) + 1
  ),
  0
)</f>
        <v>0</v>
      </c>
      <c r="O772" s="343">
        <v>87515.1</v>
      </c>
      <c r="P772" s="71"/>
      <c r="Q772" s="106">
        <f>IF(ISBLANK(O772), "", VLOOKUP(C772&amp;" "&amp;D772, 'Info Tipo de Cambio y REM'!$A$24:$B$35, 2, FALSE))</f>
        <v>1445</v>
      </c>
      <c r="R772" s="107">
        <f t="shared" si="32"/>
        <v>60.56408304</v>
      </c>
    </row>
    <row r="773" hidden="1">
      <c r="A773" s="43" t="s">
        <v>219</v>
      </c>
      <c r="B773" s="43" t="str">
        <f>IF(A773="", "", IFERROR(VLOOKUP(A773, Clasificaciones!A:B, 2, FALSE), "DATO NO CARGADO"))
</f>
        <v>Gastos Varios</v>
      </c>
      <c r="C773" s="480" t="s">
        <v>171</v>
      </c>
      <c r="D773" s="481">
        <v>2025.0</v>
      </c>
      <c r="E773" s="43" t="s">
        <v>1124</v>
      </c>
      <c r="H773" s="102"/>
      <c r="J773" s="102"/>
      <c r="K773" s="450"/>
      <c r="L773" s="443"/>
      <c r="M773" s="450"/>
      <c r="N773" s="452">
        <f t="array" ref="N773">IFERROR(
  INDEX(
    'Valor Hora Real y Estimada'!$A$4:$Z$78,
    MATCH(TRIM(CLEAN(A773)), 'Valor Hora Real y Estimada'!$A$4:$A$78, 0),
    MATCH(
      TEXT(C773,"dd mmm")&amp;" "&amp;D773,
      'Valor Hora Real y Estimada'!$A$3:$Z$3,
      0
    ) + 1
  ),
  0
)</f>
        <v>0</v>
      </c>
      <c r="O773" s="112">
        <v>762594.0</v>
      </c>
      <c r="P773" s="71"/>
      <c r="Q773" s="106">
        <f>IF(ISBLANK(O773), "", VLOOKUP(C773&amp;" "&amp;D773, 'Info Tipo de Cambio y REM'!$A$24:$B$35, 2, FALSE))</f>
        <v>1445</v>
      </c>
      <c r="R773" s="107">
        <f t="shared" si="32"/>
        <v>527.7467128</v>
      </c>
    </row>
    <row r="774" hidden="1">
      <c r="A774" s="43" t="s">
        <v>158</v>
      </c>
      <c r="B774" s="43" t="str">
        <f>IF(A774="", "", IFERROR(VLOOKUP(A774, Clasificaciones!A:B, 2, FALSE), "DATO NO CARGADO"))
</f>
        <v>Tarjeta</v>
      </c>
      <c r="C774" s="480" t="s">
        <v>171</v>
      </c>
      <c r="D774" s="481">
        <v>2025.0</v>
      </c>
      <c r="E774" s="43" t="s">
        <v>1130</v>
      </c>
      <c r="H774" s="102"/>
      <c r="J774" s="102"/>
      <c r="K774" s="450"/>
      <c r="L774" s="443"/>
      <c r="M774" s="450"/>
      <c r="N774" s="452">
        <f t="array" ref="N774">IFERROR(
  INDEX(
    'Valor Hora Real y Estimada'!$A$4:$Z$78,
    MATCH(TRIM(CLEAN(A774)), 'Valor Hora Real y Estimada'!$A$4:$A$78, 0),
    MATCH(
      TEXT(C774,"dd mmm")&amp;" "&amp;D774,
      'Valor Hora Real y Estimada'!$A$3:$Z$3,
      0
    ) + 1
  ),
  0
)</f>
        <v>0</v>
      </c>
      <c r="O774" s="112">
        <v>32000.0</v>
      </c>
      <c r="P774" s="71"/>
      <c r="Q774" s="106">
        <f>IF(ISBLANK(O774), "", VLOOKUP(C774&amp;" "&amp;D774, 'Info Tipo de Cambio y REM'!$A$24:$B$35, 2, FALSE))</f>
        <v>1445</v>
      </c>
      <c r="R774" s="107">
        <f t="shared" si="32"/>
        <v>22.14532872</v>
      </c>
    </row>
    <row r="775" hidden="1">
      <c r="A775" s="43" t="s">
        <v>164</v>
      </c>
      <c r="B775" s="43" t="str">
        <f>IF(A775="", "", IFERROR(VLOOKUP(A775, Clasificaciones!A:B, 2, FALSE), "DATO NO CARGADO"))
</f>
        <v>Estudio Contable</v>
      </c>
      <c r="C775" s="480" t="s">
        <v>171</v>
      </c>
      <c r="D775" s="481">
        <v>2025.0</v>
      </c>
      <c r="E775" s="43" t="s">
        <v>1130</v>
      </c>
      <c r="H775" s="102"/>
      <c r="J775" s="102"/>
      <c r="K775" s="450"/>
      <c r="L775" s="443"/>
      <c r="M775" s="450"/>
      <c r="N775" s="452">
        <f t="array" ref="N775">IFERROR(
  INDEX(
    'Valor Hora Real y Estimada'!$A$4:$Z$78,
    MATCH(TRIM(CLEAN(A775)), 'Valor Hora Real y Estimada'!$A$4:$A$78, 0),
    MATCH(
      TEXT(C775,"dd mmm")&amp;" "&amp;D775,
      'Valor Hora Real y Estimada'!$A$3:$Z$3,
      0
    ) + 1
  ),
  0
)</f>
        <v>0</v>
      </c>
      <c r="O775" s="43">
        <v>98675.0</v>
      </c>
      <c r="P775" s="71"/>
      <c r="Q775" s="106">
        <f>IF(ISBLANK(O775), "", VLOOKUP(C775&amp;" "&amp;D775, 'Info Tipo de Cambio y REM'!$A$24:$B$35, 2, FALSE))</f>
        <v>1445</v>
      </c>
      <c r="R775" s="107">
        <f t="shared" si="32"/>
        <v>68.28719723</v>
      </c>
    </row>
    <row r="776" hidden="1">
      <c r="A776" s="43" t="s">
        <v>153</v>
      </c>
      <c r="B776" s="43" t="str">
        <f>IF(A776="", "", IFERROR(VLOOKUP(A776, Clasificaciones!A:B, 2, FALSE), "DATO NO CARGADO"))
</f>
        <v>Impuestos USA</v>
      </c>
      <c r="C776" s="480" t="s">
        <v>171</v>
      </c>
      <c r="D776" s="481">
        <v>2025.0</v>
      </c>
      <c r="E776" s="43" t="s">
        <v>1130</v>
      </c>
      <c r="H776" s="102"/>
      <c r="J776" s="102"/>
      <c r="K776" s="450"/>
      <c r="L776" s="443"/>
      <c r="M776" s="450"/>
      <c r="N776" s="452">
        <f t="array" ref="N776">IFERROR(
  INDEX(
    'Valor Hora Real y Estimada'!$A$4:$Z$78,
    MATCH(TRIM(CLEAN(A776)), 'Valor Hora Real y Estimada'!$A$4:$A$78, 0),
    MATCH(
      TEXT(C776,"dd mmm")&amp;" "&amp;D776,
      'Valor Hora Real y Estimada'!$A$3:$Z$3,
      0
    ) + 1
  ),
  0
)</f>
        <v>0</v>
      </c>
      <c r="P776" s="89">
        <v>10801.0</v>
      </c>
      <c r="Q776" s="106" t="str">
        <f>IF(ISBLANK(O776), "", VLOOKUP(C776&amp;" "&amp;D776, 'Info Tipo de Cambio y REM'!$A$24:$B$35, 2, FALSE))</f>
        <v/>
      </c>
      <c r="R776" s="107">
        <f t="shared" si="32"/>
        <v>10801</v>
      </c>
    </row>
    <row r="777" hidden="1">
      <c r="A777" s="43" t="s">
        <v>201</v>
      </c>
      <c r="B777" s="43" t="str">
        <f>IF(A777="", "", IFERROR(VLOOKUP(A777, Clasificaciones!A:B, 2, FALSE), "DATO NO CARGADO"))
</f>
        <v>Intereses Oxean</v>
      </c>
      <c r="C777" s="480" t="s">
        <v>171</v>
      </c>
      <c r="D777" s="481">
        <v>2025.0</v>
      </c>
      <c r="E777" s="43" t="s">
        <v>1130</v>
      </c>
      <c r="H777" s="102"/>
      <c r="J777" s="102"/>
      <c r="K777" s="450"/>
      <c r="L777" s="443"/>
      <c r="M777" s="450"/>
      <c r="N777" s="452">
        <f t="array" ref="N777">IFERROR(
  INDEX(
    'Valor Hora Real y Estimada'!$A$4:$Z$78,
    MATCH(TRIM(CLEAN(A777)), 'Valor Hora Real y Estimada'!$A$4:$A$78, 0),
    MATCH(
      TEXT(C777,"dd mmm")&amp;" "&amp;D777,
      'Valor Hora Real y Estimada'!$A$3:$Z$3,
      0
    ) + 1
  ),
  0
)</f>
        <v>0</v>
      </c>
      <c r="P777" s="89">
        <v>743.2</v>
      </c>
      <c r="Q777" s="106" t="str">
        <f>IF(ISBLANK(O777), "", VLOOKUP(C777&amp;" "&amp;D777, 'Info Tipo de Cambio y REM'!$A$24:$B$35, 2, FALSE))</f>
        <v/>
      </c>
      <c r="R777" s="107">
        <f t="shared" si="32"/>
        <v>743.2</v>
      </c>
    </row>
    <row r="778" hidden="1">
      <c r="A778" s="43" t="s">
        <v>152</v>
      </c>
      <c r="B778" s="43" t="str">
        <f>IF(A778="", "", IFERROR(VLOOKUP(A778, Clasificaciones!A:B, 2, FALSE), "DATO NO CARGADO"))
</f>
        <v>Impuestos ARG</v>
      </c>
      <c r="C778" s="480" t="s">
        <v>171</v>
      </c>
      <c r="D778" s="481">
        <v>2025.0</v>
      </c>
      <c r="E778" s="43" t="s">
        <v>1130</v>
      </c>
      <c r="H778" s="102"/>
      <c r="J778" s="102"/>
      <c r="K778" s="450"/>
      <c r="L778" s="443"/>
      <c r="M778" s="450"/>
      <c r="N778" s="452">
        <f t="array" ref="N778">IFERROR(
  INDEX(
    'Valor Hora Real y Estimada'!$A$4:$Z$78,
    MATCH(TRIM(CLEAN(A778)), 'Valor Hora Real y Estimada'!$A$4:$A$78, 0),
    MATCH(
      TEXT(C778,"dd mmm")&amp;" "&amp;D778,
      'Valor Hora Real y Estimada'!$A$3:$Z$3,
      0
    ) + 1
  ),
  0
)</f>
        <v>0</v>
      </c>
      <c r="O778" s="43">
        <v>2811304.0</v>
      </c>
      <c r="P778" s="71"/>
      <c r="Q778" s="106">
        <f>IF(ISBLANK(O778), "", VLOOKUP(C778&amp;" "&amp;D778, 'Info Tipo de Cambio y REM'!$A$24:$B$35, 2, FALSE))</f>
        <v>1445</v>
      </c>
      <c r="R778" s="107">
        <f t="shared" si="32"/>
        <v>1945.5391</v>
      </c>
    </row>
    <row r="779" hidden="1">
      <c r="A779" s="43" t="s">
        <v>146</v>
      </c>
      <c r="B779" s="43" t="str">
        <f>IF(A779="", "", IFERROR(VLOOKUP(A779, Clasificaciones!A:B, 2, FALSE), "DATO NO CARGADO"))
</f>
        <v>Impuestos ARG</v>
      </c>
      <c r="C779" s="480" t="s">
        <v>171</v>
      </c>
      <c r="D779" s="481">
        <v>2025.0</v>
      </c>
      <c r="E779" s="43" t="s">
        <v>1130</v>
      </c>
      <c r="H779" s="102"/>
      <c r="J779" s="102"/>
      <c r="K779" s="450"/>
      <c r="L779" s="443"/>
      <c r="M779" s="450"/>
      <c r="N779" s="452">
        <f t="array" ref="N779">IFERROR(
  INDEX(
    'Valor Hora Real y Estimada'!$A$4:$Z$78,
    MATCH(TRIM(CLEAN(A779)), 'Valor Hora Real y Estimada'!$A$4:$A$78, 0),
    MATCH(
      TEXT(C779,"dd mmm")&amp;" "&amp;D779,
      'Valor Hora Real y Estimada'!$A$3:$Z$3,
      0
    ) + 1
  ),
  0
)</f>
        <v>0</v>
      </c>
      <c r="O779" s="43">
        <v>511723.0</v>
      </c>
      <c r="P779" s="71"/>
      <c r="Q779" s="106">
        <f>IF(ISBLANK(O779), "", VLOOKUP(C779&amp;" "&amp;D779, 'Info Tipo de Cambio y REM'!$A$24:$B$35, 2, FALSE))</f>
        <v>1445</v>
      </c>
      <c r="R779" s="107">
        <f t="shared" si="32"/>
        <v>354.133564</v>
      </c>
    </row>
    <row r="780" hidden="1">
      <c r="A780" s="482" t="s">
        <v>173</v>
      </c>
      <c r="B780" s="43" t="str">
        <f>IF(A780="", "", IFERROR(VLOOKUP(A780, Clasificaciones!A:B, 2, FALSE), "DATO NO CARGADO"))
</f>
        <v>Suscripciones/Herramientas</v>
      </c>
      <c r="C780" s="480" t="s">
        <v>171</v>
      </c>
      <c r="D780" s="481">
        <v>2025.0</v>
      </c>
      <c r="E780" s="43" t="s">
        <v>1130</v>
      </c>
      <c r="H780" s="102"/>
      <c r="J780" s="102"/>
      <c r="K780" s="450"/>
      <c r="L780" s="443"/>
      <c r="M780" s="450"/>
      <c r="N780" s="452">
        <f t="array" ref="N780">IFERROR(
  INDEX(
    'Valor Hora Real y Estimada'!$A$4:$Z$78,
    MATCH(TRIM(CLEAN(A780)), 'Valor Hora Real y Estimada'!$A$4:$A$78, 0),
    MATCH(
      TEXT(C780,"dd mmm")&amp;" "&amp;D780,
      'Valor Hora Real y Estimada'!$A$3:$Z$3,
      0
    ) + 1
  ),
  0
)</f>
        <v>0</v>
      </c>
      <c r="O780" s="453"/>
      <c r="P780" s="106">
        <v>3544.67</v>
      </c>
      <c r="Q780" s="106" t="str">
        <f>IF(ISBLANK(O780), "", VLOOKUP(C780&amp;" "&amp;D780, 'Info Tipo de Cambio y REM'!$A$24:$B$35, 2, FALSE))</f>
        <v/>
      </c>
      <c r="R780" s="107">
        <f t="shared" si="32"/>
        <v>3544.67</v>
      </c>
    </row>
    <row r="781" hidden="1">
      <c r="A781" s="443"/>
      <c r="B781" s="43" t="str">
        <f>IF(A781="", "", IFERROR(VLOOKUP(A781, Clasificaciones!A:B, 2, FALSE), "DATO NO CARGADO"))
</f>
        <v/>
      </c>
      <c r="C781" s="51"/>
      <c r="D781" s="102"/>
      <c r="E781" s="102"/>
      <c r="H781" s="102"/>
      <c r="J781" s="102"/>
      <c r="K781" s="450"/>
      <c r="L781" s="443"/>
      <c r="M781" s="450"/>
      <c r="N781" s="452">
        <f t="array" ref="N781">IFERROR(
  INDEX(
    'Valor Hora Real y Estimada'!$A$4:$Z$78,
    MATCH(TRIM(CLEAN(A781)), 'Valor Hora Real y Estimada'!$A$4:$A$78, 0),
    MATCH(
      TEXT(C781,"dd mmm")&amp;" "&amp;D781,
      'Valor Hora Real y Estimada'!$A$3:$Z$3,
      0
    ) + 1
  ),
  0
)</f>
        <v>0</v>
      </c>
      <c r="O781" s="453">
        <f t="shared" ref="O781:O1219" si="44">N781*M781</f>
        <v>0</v>
      </c>
      <c r="P781" s="113"/>
      <c r="Q781" s="106" t="str">
        <f>IF(ISBLANK(O781), "", VLOOKUP(C781&amp;" "&amp;D781, 'Info Tipo de Cambio y REM'!$A$24:$B$35, 2, FALSE))</f>
        <v>#N/A</v>
      </c>
      <c r="R781" s="107" t="str">
        <f t="shared" si="32"/>
        <v/>
      </c>
    </row>
    <row r="782" hidden="1">
      <c r="A782" s="443"/>
      <c r="B782" s="43" t="str">
        <f>IF(A782="", "", IFERROR(VLOOKUP(A782, Clasificaciones!A:B, 2, FALSE), "DATO NO CARGADO"))
</f>
        <v/>
      </c>
      <c r="C782" s="51"/>
      <c r="D782" s="102"/>
      <c r="E782" s="102"/>
      <c r="H782" s="102"/>
      <c r="J782" s="102"/>
      <c r="K782" s="450"/>
      <c r="L782" s="443"/>
      <c r="M782" s="450"/>
      <c r="N782" s="452">
        <f t="array" ref="N782">IFERROR(
  INDEX(
    'Valor Hora Real y Estimada'!$A$4:$Z$78,
    MATCH(TRIM(CLEAN(A782)), 'Valor Hora Real y Estimada'!$A$4:$A$78, 0),
    MATCH(
      TEXT(C782,"dd mmm")&amp;" "&amp;D782,
      'Valor Hora Real y Estimada'!$A$3:$Z$3,
      0
    ) + 1
  ),
  0
)</f>
        <v>0</v>
      </c>
      <c r="O782" s="453">
        <f t="shared" si="44"/>
        <v>0</v>
      </c>
      <c r="P782" s="113"/>
      <c r="Q782" s="106" t="str">
        <f>IF(ISBLANK(O782), "", VLOOKUP(C782&amp;" "&amp;D782, 'Info Tipo de Cambio y REM'!$A$24:$B$35, 2, FALSE))</f>
        <v>#N/A</v>
      </c>
      <c r="R782" s="107" t="str">
        <f t="shared" si="32"/>
        <v/>
      </c>
    </row>
    <row r="783" hidden="1">
      <c r="A783" s="443"/>
      <c r="B783" s="43" t="str">
        <f>IF(A783="", "", IFERROR(VLOOKUP(A783, Clasificaciones!A:B, 2, FALSE), "DATO NO CARGADO"))
</f>
        <v/>
      </c>
      <c r="C783" s="51"/>
      <c r="D783" s="102"/>
      <c r="E783" s="102"/>
      <c r="H783" s="102"/>
      <c r="J783" s="102"/>
      <c r="K783" s="450"/>
      <c r="L783" s="443"/>
      <c r="M783" s="450"/>
      <c r="N783" s="452">
        <f t="array" ref="N783">IFERROR(
  INDEX(
    'Valor Hora Real y Estimada'!$A$4:$Z$78,
    MATCH(TRIM(CLEAN(A783)), 'Valor Hora Real y Estimada'!$A$4:$A$78, 0),
    MATCH(
      TEXT(C783,"dd mmm")&amp;" "&amp;D783,
      'Valor Hora Real y Estimada'!$A$3:$Z$3,
      0
    ) + 1
  ),
  0
)</f>
        <v>0</v>
      </c>
      <c r="O783" s="453">
        <f t="shared" si="44"/>
        <v>0</v>
      </c>
      <c r="P783" s="113"/>
      <c r="Q783" s="106" t="str">
        <f>IF(ISBLANK(O783), "", VLOOKUP(C783&amp;" "&amp;D783, 'Info Tipo de Cambio y REM'!$A$24:$B$35, 2, FALSE))</f>
        <v>#N/A</v>
      </c>
      <c r="R783" s="107" t="str">
        <f t="shared" si="32"/>
        <v/>
      </c>
    </row>
    <row r="784" hidden="1">
      <c r="A784" s="443"/>
      <c r="B784" s="43" t="str">
        <f>IF(A784="", "", IFERROR(VLOOKUP(A784, Clasificaciones!A:B, 2, FALSE), "DATO NO CARGADO"))
</f>
        <v/>
      </c>
      <c r="C784" s="51"/>
      <c r="D784" s="102"/>
      <c r="E784" s="102"/>
      <c r="H784" s="102"/>
      <c r="J784" s="102"/>
      <c r="K784" s="450"/>
      <c r="L784" s="443"/>
      <c r="M784" s="450"/>
      <c r="N784" s="452">
        <f t="array" ref="N784">IFERROR(
  INDEX(
    'Valor Hora Real y Estimada'!$A$4:$Z$78,
    MATCH(TRIM(CLEAN(A784)), 'Valor Hora Real y Estimada'!$A$4:$A$78, 0),
    MATCH(
      TEXT(C784,"dd mmm")&amp;" "&amp;D784,
      'Valor Hora Real y Estimada'!$A$3:$Z$3,
      0
    ) + 1
  ),
  0
)</f>
        <v>0</v>
      </c>
      <c r="O784" s="453">
        <f t="shared" si="44"/>
        <v>0</v>
      </c>
      <c r="P784" s="113"/>
      <c r="Q784" s="106" t="str">
        <f>IF(ISBLANK(O784), "", VLOOKUP(C784&amp;" "&amp;D784, 'Info Tipo de Cambio y REM'!$A$24:$B$35, 2, FALSE))</f>
        <v>#N/A</v>
      </c>
      <c r="R784" s="107" t="str">
        <f t="shared" si="32"/>
        <v/>
      </c>
    </row>
    <row r="785" hidden="1">
      <c r="A785" s="443"/>
      <c r="B785" s="43" t="str">
        <f>IF(A785="", "", IFERROR(VLOOKUP(A785, Clasificaciones!A:B, 2, FALSE), "DATO NO CARGADO"))
</f>
        <v/>
      </c>
      <c r="C785" s="51"/>
      <c r="D785" s="102"/>
      <c r="E785" s="102"/>
      <c r="H785" s="102"/>
      <c r="J785" s="102"/>
      <c r="K785" s="450"/>
      <c r="L785" s="443"/>
      <c r="M785" s="450"/>
      <c r="N785" s="452">
        <f t="array" ref="N785">IFERROR(
  INDEX(
    'Valor Hora Real y Estimada'!$A$4:$Z$78,
    MATCH(TRIM(CLEAN(A785)), 'Valor Hora Real y Estimada'!$A$4:$A$78, 0),
    MATCH(
      TEXT(C785,"dd mmm")&amp;" "&amp;D785,
      'Valor Hora Real y Estimada'!$A$3:$Z$3,
      0
    ) + 1
  ),
  0
)</f>
        <v>0</v>
      </c>
      <c r="O785" s="453">
        <f t="shared" si="44"/>
        <v>0</v>
      </c>
      <c r="P785" s="113"/>
      <c r="Q785" s="106" t="str">
        <f>IF(ISBLANK(O785), "", VLOOKUP(C785&amp;" "&amp;D785, 'Info Tipo de Cambio y REM'!$A$24:$B$35, 2, FALSE))</f>
        <v>#N/A</v>
      </c>
      <c r="R785" s="107" t="str">
        <f t="shared" si="32"/>
        <v/>
      </c>
    </row>
    <row r="786" hidden="1">
      <c r="A786" s="443"/>
      <c r="B786" s="43" t="str">
        <f>IF(A786="", "", IFERROR(VLOOKUP(A786, Clasificaciones!A:B, 2, FALSE), "DATO NO CARGADO"))
</f>
        <v/>
      </c>
      <c r="C786" s="51"/>
      <c r="D786" s="102"/>
      <c r="E786" s="102"/>
      <c r="H786" s="102"/>
      <c r="J786" s="102"/>
      <c r="K786" s="450"/>
      <c r="L786" s="443"/>
      <c r="M786" s="450"/>
      <c r="N786" s="452">
        <f t="array" ref="N786">IFERROR(
  INDEX(
    'Valor Hora Real y Estimada'!$A$4:$Z$78,
    MATCH(TRIM(CLEAN(A786)), 'Valor Hora Real y Estimada'!$A$4:$A$78, 0),
    MATCH(
      TEXT(C786,"dd mmm")&amp;" "&amp;D786,
      'Valor Hora Real y Estimada'!$A$3:$Z$3,
      0
    ) + 1
  ),
  0
)</f>
        <v>0</v>
      </c>
      <c r="O786" s="453">
        <f t="shared" si="44"/>
        <v>0</v>
      </c>
      <c r="P786" s="113"/>
      <c r="Q786" s="106" t="str">
        <f>IF(ISBLANK(O786), "", VLOOKUP(C786&amp;" "&amp;D786, 'Info Tipo de Cambio y REM'!$A$24:$B$35, 2, FALSE))</f>
        <v>#N/A</v>
      </c>
      <c r="R786" s="107" t="str">
        <f t="shared" si="32"/>
        <v/>
      </c>
    </row>
    <row r="787" hidden="1">
      <c r="A787" s="443"/>
      <c r="B787" s="43" t="str">
        <f>IF(A787="", "", IFERROR(VLOOKUP(A787, Clasificaciones!A:B, 2, FALSE), "DATO NO CARGADO"))
</f>
        <v/>
      </c>
      <c r="C787" s="51"/>
      <c r="D787" s="102"/>
      <c r="E787" s="102"/>
      <c r="H787" s="102"/>
      <c r="J787" s="102"/>
      <c r="K787" s="450"/>
      <c r="L787" s="443"/>
      <c r="M787" s="450"/>
      <c r="N787" s="452">
        <f t="array" ref="N787">IFERROR(
  INDEX(
    'Valor Hora Real y Estimada'!$A$4:$Z$78,
    MATCH(TRIM(CLEAN(A787)), 'Valor Hora Real y Estimada'!$A$4:$A$78, 0),
    MATCH(
      TEXT(C787,"dd mmm")&amp;" "&amp;D787,
      'Valor Hora Real y Estimada'!$A$3:$Z$3,
      0
    ) + 1
  ),
  0
)</f>
        <v>0</v>
      </c>
      <c r="O787" s="453">
        <f t="shared" si="44"/>
        <v>0</v>
      </c>
      <c r="P787" s="113"/>
      <c r="Q787" s="106" t="str">
        <f>IF(ISBLANK(O787), "", VLOOKUP(C787&amp;" "&amp;D787, 'Info Tipo de Cambio y REM'!$A$24:$B$35, 2, FALSE))</f>
        <v>#N/A</v>
      </c>
      <c r="R787" s="107" t="str">
        <f t="shared" si="32"/>
        <v/>
      </c>
    </row>
    <row r="788" hidden="1">
      <c r="A788" s="443"/>
      <c r="B788" s="43" t="str">
        <f>IF(A788="", "", IFERROR(VLOOKUP(A788, Clasificaciones!A:B, 2, FALSE), "DATO NO CARGADO"))
</f>
        <v/>
      </c>
      <c r="C788" s="51"/>
      <c r="D788" s="102"/>
      <c r="E788" s="102"/>
      <c r="H788" s="102"/>
      <c r="J788" s="102"/>
      <c r="K788" s="450"/>
      <c r="L788" s="443"/>
      <c r="M788" s="450"/>
      <c r="N788" s="452">
        <f t="array" ref="N788">IFERROR(
  INDEX(
    'Valor Hora Real y Estimada'!$A$4:$Z$78,
    MATCH(TRIM(CLEAN(A788)), 'Valor Hora Real y Estimada'!$A$4:$A$78, 0),
    MATCH(
      TEXT(C788,"dd mmm")&amp;" "&amp;D788,
      'Valor Hora Real y Estimada'!$A$3:$Z$3,
      0
    ) + 1
  ),
  0
)</f>
        <v>0</v>
      </c>
      <c r="O788" s="453">
        <f t="shared" si="44"/>
        <v>0</v>
      </c>
      <c r="P788" s="113"/>
      <c r="Q788" s="106" t="str">
        <f>IF(ISBLANK(O788), "", VLOOKUP(C788&amp;" "&amp;D788, 'Info Tipo de Cambio y REM'!$A$24:$B$35, 2, FALSE))</f>
        <v>#N/A</v>
      </c>
      <c r="R788" s="107" t="str">
        <f t="shared" si="32"/>
        <v/>
      </c>
    </row>
    <row r="789" hidden="1">
      <c r="A789" s="443"/>
      <c r="B789" s="43" t="str">
        <f>IF(A789="", "", IFERROR(VLOOKUP(A789, Clasificaciones!A:B, 2, FALSE), "DATO NO CARGADO"))
</f>
        <v/>
      </c>
      <c r="C789" s="51"/>
      <c r="D789" s="102"/>
      <c r="E789" s="102"/>
      <c r="H789" s="102"/>
      <c r="J789" s="102"/>
      <c r="K789" s="450"/>
      <c r="L789" s="443"/>
      <c r="M789" s="450"/>
      <c r="N789" s="452">
        <f t="array" ref="N789">IFERROR(
  INDEX(
    'Valor Hora Real y Estimada'!$A$4:$Z$78,
    MATCH(TRIM(CLEAN(A789)), 'Valor Hora Real y Estimada'!$A$4:$A$78, 0),
    MATCH(
      TEXT(C789,"dd mmm")&amp;" "&amp;D789,
      'Valor Hora Real y Estimada'!$A$3:$Z$3,
      0
    ) + 1
  ),
  0
)</f>
        <v>0</v>
      </c>
      <c r="O789" s="453">
        <f t="shared" si="44"/>
        <v>0</v>
      </c>
      <c r="P789" s="113"/>
      <c r="Q789" s="106" t="str">
        <f>IF(ISBLANK(O789), "", VLOOKUP(C789&amp;" "&amp;D789, 'Info Tipo de Cambio y REM'!$A$24:$B$35, 2, FALSE))</f>
        <v>#N/A</v>
      </c>
      <c r="R789" s="107" t="str">
        <f t="shared" si="32"/>
        <v/>
      </c>
    </row>
    <row r="790" hidden="1">
      <c r="A790" s="443"/>
      <c r="B790" s="43" t="str">
        <f>IF(A790="", "", IFERROR(VLOOKUP(A790, Clasificaciones!A:B, 2, FALSE), "DATO NO CARGADO"))
</f>
        <v/>
      </c>
      <c r="C790" s="51"/>
      <c r="D790" s="102"/>
      <c r="E790" s="102"/>
      <c r="H790" s="102"/>
      <c r="J790" s="102"/>
      <c r="K790" s="450"/>
      <c r="L790" s="443"/>
      <c r="M790" s="450"/>
      <c r="N790" s="452">
        <f t="array" ref="N790">IFERROR(
  INDEX(
    'Valor Hora Real y Estimada'!$A$4:$Z$78,
    MATCH(TRIM(CLEAN(A790)), 'Valor Hora Real y Estimada'!$A$4:$A$78, 0),
    MATCH(
      TEXT(C790,"dd mmm")&amp;" "&amp;D790,
      'Valor Hora Real y Estimada'!$A$3:$Z$3,
      0
    ) + 1
  ),
  0
)</f>
        <v>0</v>
      </c>
      <c r="O790" s="453">
        <f t="shared" si="44"/>
        <v>0</v>
      </c>
      <c r="P790" s="113"/>
      <c r="Q790" s="106" t="str">
        <f>IF(ISBLANK(O790), "", VLOOKUP(C790&amp;" "&amp;D790, 'Info Tipo de Cambio y REM'!$A$24:$B$35, 2, FALSE))</f>
        <v>#N/A</v>
      </c>
      <c r="R790" s="107" t="str">
        <f t="shared" si="32"/>
        <v/>
      </c>
    </row>
    <row r="791" hidden="1">
      <c r="A791" s="443"/>
      <c r="B791" s="43" t="str">
        <f>IF(A791="", "", IFERROR(VLOOKUP(A791, Clasificaciones!A:B, 2, FALSE), "DATO NO CARGADO"))
</f>
        <v/>
      </c>
      <c r="C791" s="51"/>
      <c r="D791" s="102"/>
      <c r="E791" s="102"/>
      <c r="H791" s="102"/>
      <c r="J791" s="102"/>
      <c r="K791" s="450"/>
      <c r="L791" s="443"/>
      <c r="M791" s="450"/>
      <c r="N791" s="452">
        <f t="array" ref="N791">IFERROR(
  INDEX(
    'Valor Hora Real y Estimada'!$A$4:$Z$78,
    MATCH(TRIM(CLEAN(A791)), 'Valor Hora Real y Estimada'!$A$4:$A$78, 0),
    MATCH(
      TEXT(C791,"dd mmm")&amp;" "&amp;D791,
      'Valor Hora Real y Estimada'!$A$3:$Z$3,
      0
    ) + 1
  ),
  0
)</f>
        <v>0</v>
      </c>
      <c r="O791" s="453">
        <f t="shared" si="44"/>
        <v>0</v>
      </c>
      <c r="P791" s="113"/>
      <c r="Q791" s="106" t="str">
        <f>IF(ISBLANK(O791), "", VLOOKUP(C791&amp;" "&amp;D791, 'Info Tipo de Cambio y REM'!$A$24:$B$35, 2, FALSE))</f>
        <v>#N/A</v>
      </c>
      <c r="R791" s="107" t="str">
        <f t="shared" si="32"/>
        <v/>
      </c>
    </row>
    <row r="792" hidden="1">
      <c r="A792" s="443"/>
      <c r="B792" s="43" t="str">
        <f>IF(A792="", "", IFERROR(VLOOKUP(A792, Clasificaciones!A:B, 2, FALSE), "DATO NO CARGADO"))
</f>
        <v/>
      </c>
      <c r="C792" s="51"/>
      <c r="D792" s="102"/>
      <c r="E792" s="102"/>
      <c r="H792" s="102"/>
      <c r="J792" s="102"/>
      <c r="K792" s="450"/>
      <c r="L792" s="443"/>
      <c r="M792" s="450"/>
      <c r="N792" s="452">
        <f t="array" ref="N792">IFERROR(
  INDEX(
    'Valor Hora Real y Estimada'!$A$4:$Z$78,
    MATCH(TRIM(CLEAN(A792)), 'Valor Hora Real y Estimada'!$A$4:$A$78, 0),
    MATCH(
      TEXT(C792,"dd mmm")&amp;" "&amp;D792,
      'Valor Hora Real y Estimada'!$A$3:$Z$3,
      0
    ) + 1
  ),
  0
)</f>
        <v>0</v>
      </c>
      <c r="O792" s="453">
        <f t="shared" si="44"/>
        <v>0</v>
      </c>
      <c r="P792" s="113"/>
      <c r="Q792" s="106" t="str">
        <f>IF(ISBLANK(O792), "", VLOOKUP(C792&amp;" "&amp;D792, 'Info Tipo de Cambio y REM'!$A$24:$B$35, 2, FALSE))</f>
        <v>#N/A</v>
      </c>
      <c r="R792" s="107" t="str">
        <f t="shared" si="32"/>
        <v/>
      </c>
    </row>
    <row r="793" hidden="1">
      <c r="A793" s="443"/>
      <c r="B793" s="43" t="str">
        <f>IF(A793="", "", IFERROR(VLOOKUP(A793, Clasificaciones!A:B, 2, FALSE), "DATO NO CARGADO"))
</f>
        <v/>
      </c>
      <c r="C793" s="51"/>
      <c r="D793" s="102"/>
      <c r="E793" s="102"/>
      <c r="H793" s="102"/>
      <c r="J793" s="102"/>
      <c r="K793" s="450"/>
      <c r="L793" s="443"/>
      <c r="M793" s="450"/>
      <c r="N793" s="452">
        <f t="array" ref="N793">IFERROR(
  INDEX(
    'Valor Hora Real y Estimada'!$A$4:$Z$78,
    MATCH(TRIM(CLEAN(A793)), 'Valor Hora Real y Estimada'!$A$4:$A$78, 0),
    MATCH(
      TEXT(C793,"dd mmm")&amp;" "&amp;D793,
      'Valor Hora Real y Estimada'!$A$3:$Z$3,
      0
    ) + 1
  ),
  0
)</f>
        <v>0</v>
      </c>
      <c r="O793" s="453">
        <f t="shared" si="44"/>
        <v>0</v>
      </c>
      <c r="P793" s="113"/>
      <c r="Q793" s="106" t="str">
        <f>IF(ISBLANK(O793), "", VLOOKUP(C793&amp;" "&amp;D793, 'Info Tipo de Cambio y REM'!$A$24:$B$35, 2, FALSE))</f>
        <v>#N/A</v>
      </c>
      <c r="R793" s="107" t="str">
        <f t="shared" si="32"/>
        <v/>
      </c>
    </row>
    <row r="794" hidden="1">
      <c r="A794" s="443"/>
      <c r="B794" s="43" t="str">
        <f>IF(A794="", "", IFERROR(VLOOKUP(A794, Clasificaciones!A:B, 2, FALSE), "DATO NO CARGADO"))
</f>
        <v/>
      </c>
      <c r="C794" s="51"/>
      <c r="D794" s="102"/>
      <c r="E794" s="102"/>
      <c r="H794" s="102"/>
      <c r="J794" s="102"/>
      <c r="K794" s="450"/>
      <c r="L794" s="443"/>
      <c r="M794" s="450"/>
      <c r="N794" s="452">
        <f t="array" ref="N794">IFERROR(
  INDEX(
    'Valor Hora Real y Estimada'!$A$4:$Z$78,
    MATCH(TRIM(CLEAN(A794)), 'Valor Hora Real y Estimada'!$A$4:$A$78, 0),
    MATCH(
      TEXT(C794,"dd mmm")&amp;" "&amp;D794,
      'Valor Hora Real y Estimada'!$A$3:$Z$3,
      0
    ) + 1
  ),
  0
)</f>
        <v>0</v>
      </c>
      <c r="O794" s="453">
        <f t="shared" si="44"/>
        <v>0</v>
      </c>
      <c r="P794" s="113"/>
      <c r="Q794" s="106" t="str">
        <f>IF(ISBLANK(O794), "", VLOOKUP(C794&amp;" "&amp;D794, 'Info Tipo de Cambio y REM'!$A$24:$B$35, 2, FALSE))</f>
        <v>#N/A</v>
      </c>
      <c r="R794" s="107" t="str">
        <f t="shared" si="32"/>
        <v/>
      </c>
    </row>
    <row r="795" hidden="1">
      <c r="A795" s="443"/>
      <c r="B795" s="43" t="str">
        <f>IF(A795="", "", IFERROR(VLOOKUP(A795, Clasificaciones!A:B, 2, FALSE), "DATO NO CARGADO"))
</f>
        <v/>
      </c>
      <c r="C795" s="51"/>
      <c r="D795" s="102"/>
      <c r="E795" s="102"/>
      <c r="H795" s="102"/>
      <c r="J795" s="102"/>
      <c r="K795" s="450"/>
      <c r="L795" s="443"/>
      <c r="M795" s="450"/>
      <c r="N795" s="452">
        <f t="array" ref="N795">IFERROR(
  INDEX(
    'Valor Hora Real y Estimada'!$A$4:$Z$78,
    MATCH(TRIM(CLEAN(A795)), 'Valor Hora Real y Estimada'!$A$4:$A$78, 0),
    MATCH(
      TEXT(C795,"dd mmm")&amp;" "&amp;D795,
      'Valor Hora Real y Estimada'!$A$3:$Z$3,
      0
    ) + 1
  ),
  0
)</f>
        <v>0</v>
      </c>
      <c r="O795" s="453">
        <f t="shared" si="44"/>
        <v>0</v>
      </c>
      <c r="P795" s="113"/>
      <c r="Q795" s="106" t="str">
        <f>IF(ISBLANK(O795), "", VLOOKUP(C795&amp;" "&amp;D795, 'Info Tipo de Cambio y REM'!$A$24:$B$35, 2, FALSE))</f>
        <v>#N/A</v>
      </c>
      <c r="R795" s="107" t="str">
        <f t="shared" si="32"/>
        <v/>
      </c>
    </row>
    <row r="796" hidden="1">
      <c r="A796" s="443"/>
      <c r="B796" s="43" t="str">
        <f>IF(A796="", "", IFERROR(VLOOKUP(A796, Clasificaciones!A:B, 2, FALSE), "DATO NO CARGADO"))
</f>
        <v/>
      </c>
      <c r="C796" s="51"/>
      <c r="D796" s="102"/>
      <c r="E796" s="102"/>
      <c r="H796" s="102"/>
      <c r="J796" s="102"/>
      <c r="K796" s="450"/>
      <c r="L796" s="443"/>
      <c r="M796" s="450"/>
      <c r="N796" s="452">
        <f t="array" ref="N796">IFERROR(
  INDEX(
    'Valor Hora Real y Estimada'!$A$4:$Z$78,
    MATCH(TRIM(CLEAN(A796)), 'Valor Hora Real y Estimada'!$A$4:$A$78, 0),
    MATCH(
      TEXT(C796,"dd mmm")&amp;" "&amp;D796,
      'Valor Hora Real y Estimada'!$A$3:$Z$3,
      0
    ) + 1
  ),
  0
)</f>
        <v>0</v>
      </c>
      <c r="O796" s="453">
        <f t="shared" si="44"/>
        <v>0</v>
      </c>
      <c r="P796" s="113"/>
      <c r="Q796" s="106" t="str">
        <f>IF(ISBLANK(O796), "", VLOOKUP(C796&amp;" "&amp;D796, 'Info Tipo de Cambio y REM'!$A$24:$B$35, 2, FALSE))</f>
        <v>#N/A</v>
      </c>
      <c r="R796" s="107" t="str">
        <f t="shared" si="32"/>
        <v/>
      </c>
    </row>
    <row r="797" hidden="1">
      <c r="A797" s="443"/>
      <c r="B797" s="43" t="str">
        <f>IF(A797="", "", IFERROR(VLOOKUP(A797, Clasificaciones!A:B, 2, FALSE), "DATO NO CARGADO"))
</f>
        <v/>
      </c>
      <c r="C797" s="51"/>
      <c r="D797" s="102"/>
      <c r="E797" s="102"/>
      <c r="H797" s="102"/>
      <c r="J797" s="102"/>
      <c r="K797" s="450"/>
      <c r="L797" s="443"/>
      <c r="M797" s="450"/>
      <c r="N797" s="452">
        <f t="array" ref="N797">IFERROR(
  INDEX(
    'Valor Hora Real y Estimada'!$A$4:$Z$78,
    MATCH(TRIM(CLEAN(A797)), 'Valor Hora Real y Estimada'!$A$4:$A$78, 0),
    MATCH(
      TEXT(C797,"dd mmm")&amp;" "&amp;D797,
      'Valor Hora Real y Estimada'!$A$3:$Z$3,
      0
    ) + 1
  ),
  0
)</f>
        <v>0</v>
      </c>
      <c r="O797" s="453">
        <f t="shared" si="44"/>
        <v>0</v>
      </c>
      <c r="P797" s="113"/>
      <c r="Q797" s="106" t="str">
        <f>IF(ISBLANK(O797), "", VLOOKUP(C797&amp;" "&amp;D797, 'Info Tipo de Cambio y REM'!$A$24:$B$35, 2, FALSE))</f>
        <v>#N/A</v>
      </c>
      <c r="R797" s="107" t="str">
        <f t="shared" si="32"/>
        <v/>
      </c>
    </row>
    <row r="798" hidden="1">
      <c r="A798" s="443"/>
      <c r="B798" s="43" t="str">
        <f>IF(A798="", "", IFERROR(VLOOKUP(A798, Clasificaciones!A:B, 2, FALSE), "DATO NO CARGADO"))
</f>
        <v/>
      </c>
      <c r="C798" s="51"/>
      <c r="D798" s="102"/>
      <c r="E798" s="102"/>
      <c r="H798" s="102"/>
      <c r="J798" s="102"/>
      <c r="K798" s="450"/>
      <c r="L798" s="443"/>
      <c r="M798" s="450"/>
      <c r="N798" s="452">
        <f t="array" ref="N798">IFERROR(
  INDEX(
    'Valor Hora Real y Estimada'!$A$4:$Z$78,
    MATCH(TRIM(CLEAN(A798)), 'Valor Hora Real y Estimada'!$A$4:$A$78, 0),
    MATCH(
      TEXT(C798,"dd mmm")&amp;" "&amp;D798,
      'Valor Hora Real y Estimada'!$A$3:$Z$3,
      0
    ) + 1
  ),
  0
)</f>
        <v>0</v>
      </c>
      <c r="O798" s="453">
        <f t="shared" si="44"/>
        <v>0</v>
      </c>
      <c r="P798" s="113"/>
      <c r="Q798" s="106" t="str">
        <f>IF(ISBLANK(O798), "", VLOOKUP(C798&amp;" "&amp;D798, 'Info Tipo de Cambio y REM'!$A$24:$B$35, 2, FALSE))</f>
        <v>#N/A</v>
      </c>
      <c r="R798" s="107" t="str">
        <f t="shared" si="32"/>
        <v/>
      </c>
    </row>
    <row r="799" hidden="1">
      <c r="A799" s="443"/>
      <c r="B799" s="43" t="str">
        <f>IF(A799="", "", IFERROR(VLOOKUP(A799, Clasificaciones!A:B, 2, FALSE), "DATO NO CARGADO"))
</f>
        <v/>
      </c>
      <c r="C799" s="51"/>
      <c r="D799" s="102"/>
      <c r="E799" s="102"/>
      <c r="H799" s="102"/>
      <c r="J799" s="102"/>
      <c r="K799" s="450"/>
      <c r="L799" s="443"/>
      <c r="M799" s="450"/>
      <c r="N799" s="452">
        <f t="array" ref="N799">IFERROR(
  INDEX(
    'Valor Hora Real y Estimada'!$A$4:$Z$78,
    MATCH(TRIM(CLEAN(A799)), 'Valor Hora Real y Estimada'!$A$4:$A$78, 0),
    MATCH(
      TEXT(C799,"dd mmm")&amp;" "&amp;D799,
      'Valor Hora Real y Estimada'!$A$3:$Z$3,
      0
    ) + 1
  ),
  0
)</f>
        <v>0</v>
      </c>
      <c r="O799" s="453">
        <f t="shared" si="44"/>
        <v>0</v>
      </c>
      <c r="P799" s="113"/>
      <c r="Q799" s="106" t="str">
        <f>IF(ISBLANK(O799), "", VLOOKUP(C799&amp;" "&amp;D799, 'Info Tipo de Cambio y REM'!$A$24:$B$35, 2, FALSE))</f>
        <v>#N/A</v>
      </c>
      <c r="R799" s="107" t="str">
        <f t="shared" si="32"/>
        <v/>
      </c>
    </row>
    <row r="800" hidden="1">
      <c r="A800" s="443"/>
      <c r="B800" s="43" t="str">
        <f>IF(A800="", "", IFERROR(VLOOKUP(A800, Clasificaciones!A:B, 2, FALSE), "DATO NO CARGADO"))
</f>
        <v/>
      </c>
      <c r="C800" s="51"/>
      <c r="D800" s="102"/>
      <c r="E800" s="102"/>
      <c r="H800" s="102"/>
      <c r="J800" s="102"/>
      <c r="K800" s="450"/>
      <c r="L800" s="443"/>
      <c r="M800" s="450"/>
      <c r="N800" s="452">
        <f t="array" ref="N800">IFERROR(
  INDEX(
    'Valor Hora Real y Estimada'!$A$4:$Z$78,
    MATCH(TRIM(CLEAN(A800)), 'Valor Hora Real y Estimada'!$A$4:$A$78, 0),
    MATCH(
      TEXT(C800,"dd mmm")&amp;" "&amp;D800,
      'Valor Hora Real y Estimada'!$A$3:$Z$3,
      0
    ) + 1
  ),
  0
)</f>
        <v>0</v>
      </c>
      <c r="O800" s="453">
        <f t="shared" si="44"/>
        <v>0</v>
      </c>
      <c r="P800" s="113"/>
      <c r="Q800" s="106" t="str">
        <f>IF(ISBLANK(O800), "", VLOOKUP(C800&amp;" "&amp;D800, 'Info Tipo de Cambio y REM'!$A$24:$B$35, 2, FALSE))</f>
        <v>#N/A</v>
      </c>
      <c r="R800" s="107" t="str">
        <f t="shared" si="32"/>
        <v/>
      </c>
    </row>
    <row r="801" hidden="1">
      <c r="A801" s="443"/>
      <c r="B801" s="43" t="str">
        <f>IF(A801="", "", IFERROR(VLOOKUP(A801, Clasificaciones!A:B, 2, FALSE), "DATO NO CARGADO"))
</f>
        <v/>
      </c>
      <c r="C801" s="51"/>
      <c r="D801" s="102"/>
      <c r="E801" s="102"/>
      <c r="H801" s="102"/>
      <c r="J801" s="102"/>
      <c r="K801" s="450"/>
      <c r="L801" s="443"/>
      <c r="M801" s="450"/>
      <c r="N801" s="452">
        <f t="array" ref="N801">IFERROR(
  INDEX(
    'Valor Hora Real y Estimada'!$A$4:$Z$78,
    MATCH(TRIM(CLEAN(A801)), 'Valor Hora Real y Estimada'!$A$4:$A$78, 0),
    MATCH(
      TEXT(C801,"dd mmm")&amp;" "&amp;D801,
      'Valor Hora Real y Estimada'!$A$3:$Z$3,
      0
    ) + 1
  ),
  0
)</f>
        <v>0</v>
      </c>
      <c r="O801" s="453">
        <f t="shared" si="44"/>
        <v>0</v>
      </c>
      <c r="P801" s="113"/>
      <c r="Q801" s="106" t="str">
        <f>IF(ISBLANK(O801), "", VLOOKUP(C801&amp;" "&amp;D801, 'Info Tipo de Cambio y REM'!$A$24:$B$35, 2, FALSE))</f>
        <v>#N/A</v>
      </c>
      <c r="R801" s="107" t="str">
        <f t="shared" si="32"/>
        <v/>
      </c>
    </row>
    <row r="802" hidden="1">
      <c r="A802" s="443"/>
      <c r="B802" s="43" t="str">
        <f>IF(A802="", "", IFERROR(VLOOKUP(A802, Clasificaciones!A:B, 2, FALSE), "DATO NO CARGADO"))
</f>
        <v/>
      </c>
      <c r="C802" s="51"/>
      <c r="D802" s="102"/>
      <c r="E802" s="102"/>
      <c r="H802" s="102"/>
      <c r="J802" s="102"/>
      <c r="K802" s="450"/>
      <c r="L802" s="443"/>
      <c r="M802" s="450"/>
      <c r="N802" s="452">
        <f t="array" ref="N802">IFERROR(
  INDEX(
    'Valor Hora Real y Estimada'!$A$4:$Z$78,
    MATCH(TRIM(CLEAN(A802)), 'Valor Hora Real y Estimada'!$A$4:$A$78, 0),
    MATCH(
      TEXT(C802,"dd mmm")&amp;" "&amp;D802,
      'Valor Hora Real y Estimada'!$A$3:$Z$3,
      0
    ) + 1
  ),
  0
)</f>
        <v>0</v>
      </c>
      <c r="O802" s="453">
        <f t="shared" si="44"/>
        <v>0</v>
      </c>
      <c r="P802" s="113"/>
      <c r="Q802" s="106" t="str">
        <f>IF(ISBLANK(O802), "", VLOOKUP(C802&amp;" "&amp;D802, 'Info Tipo de Cambio y REM'!$A$24:$B$35, 2, FALSE))</f>
        <v>#N/A</v>
      </c>
      <c r="R802" s="107" t="str">
        <f t="shared" si="32"/>
        <v/>
      </c>
    </row>
    <row r="803" hidden="1">
      <c r="A803" s="443"/>
      <c r="B803" s="43" t="str">
        <f>IF(A803="", "", IFERROR(VLOOKUP(A803, Clasificaciones!A:B, 2, FALSE), "DATO NO CARGADO"))
</f>
        <v/>
      </c>
      <c r="C803" s="51"/>
      <c r="D803" s="102"/>
      <c r="E803" s="102"/>
      <c r="H803" s="102"/>
      <c r="J803" s="102"/>
      <c r="K803" s="450"/>
      <c r="L803" s="443"/>
      <c r="M803" s="450"/>
      <c r="N803" s="452">
        <f t="array" ref="N803">IFERROR(
  INDEX(
    'Valor Hora Real y Estimada'!$A$4:$Z$78,
    MATCH(TRIM(CLEAN(A803)), 'Valor Hora Real y Estimada'!$A$4:$A$78, 0),
    MATCH(
      TEXT(C803,"dd mmm")&amp;" "&amp;D803,
      'Valor Hora Real y Estimada'!$A$3:$Z$3,
      0
    ) + 1
  ),
  0
)</f>
        <v>0</v>
      </c>
      <c r="O803" s="453">
        <f t="shared" si="44"/>
        <v>0</v>
      </c>
      <c r="P803" s="113"/>
      <c r="Q803" s="106" t="str">
        <f>IF(ISBLANK(O803), "", VLOOKUP(C803&amp;" "&amp;D803, 'Info Tipo de Cambio y REM'!$A$24:$B$35, 2, FALSE))</f>
        <v>#N/A</v>
      </c>
      <c r="R803" s="107" t="str">
        <f t="shared" si="32"/>
        <v/>
      </c>
    </row>
    <row r="804" hidden="1">
      <c r="A804" s="443"/>
      <c r="B804" s="43" t="str">
        <f>IF(A804="", "", IFERROR(VLOOKUP(A804, Clasificaciones!A:B, 2, FALSE), "DATO NO CARGADO"))
</f>
        <v/>
      </c>
      <c r="C804" s="51"/>
      <c r="D804" s="102"/>
      <c r="E804" s="102"/>
      <c r="H804" s="102"/>
      <c r="J804" s="102"/>
      <c r="K804" s="450"/>
      <c r="L804" s="443"/>
      <c r="M804" s="450"/>
      <c r="N804" s="452">
        <f t="array" ref="N804">IFERROR(
  INDEX(
    'Valor Hora Real y Estimada'!$A$4:$Z$78,
    MATCH(TRIM(CLEAN(A804)), 'Valor Hora Real y Estimada'!$A$4:$A$78, 0),
    MATCH(
      TEXT(C804,"dd mmm")&amp;" "&amp;D804,
      'Valor Hora Real y Estimada'!$A$3:$Z$3,
      0
    ) + 1
  ),
  0
)</f>
        <v>0</v>
      </c>
      <c r="O804" s="453">
        <f t="shared" si="44"/>
        <v>0</v>
      </c>
      <c r="P804" s="113"/>
      <c r="Q804" s="106" t="str">
        <f>IF(ISBLANK(O804), "", VLOOKUP(C804&amp;" "&amp;D804, 'Info Tipo de Cambio y REM'!$A$24:$B$35, 2, FALSE))</f>
        <v>#N/A</v>
      </c>
      <c r="R804" s="107" t="str">
        <f t="shared" si="32"/>
        <v/>
      </c>
    </row>
    <row r="805" hidden="1">
      <c r="A805" s="443"/>
      <c r="B805" s="43" t="str">
        <f>IF(A805="", "", IFERROR(VLOOKUP(A805, Clasificaciones!A:B, 2, FALSE), "DATO NO CARGADO"))
</f>
        <v/>
      </c>
      <c r="C805" s="51"/>
      <c r="D805" s="102"/>
      <c r="E805" s="102"/>
      <c r="H805" s="102"/>
      <c r="J805" s="102"/>
      <c r="K805" s="450"/>
      <c r="L805" s="443"/>
      <c r="M805" s="450"/>
      <c r="N805" s="452">
        <f t="array" ref="N805">IFERROR(
  INDEX(
    'Valor Hora Real y Estimada'!$A$4:$Z$78,
    MATCH(TRIM(CLEAN(A805)), 'Valor Hora Real y Estimada'!$A$4:$A$78, 0),
    MATCH(
      TEXT(C805,"dd mmm")&amp;" "&amp;D805,
      'Valor Hora Real y Estimada'!$A$3:$Z$3,
      0
    ) + 1
  ),
  0
)</f>
        <v>0</v>
      </c>
      <c r="O805" s="453">
        <f t="shared" si="44"/>
        <v>0</v>
      </c>
      <c r="P805" s="113"/>
      <c r="Q805" s="106" t="str">
        <f>IF(ISBLANK(O805), "", VLOOKUP(C805&amp;" "&amp;D805, 'Info Tipo de Cambio y REM'!$A$24:$B$35, 2, FALSE))</f>
        <v>#N/A</v>
      </c>
      <c r="R805" s="107" t="str">
        <f t="shared" si="32"/>
        <v/>
      </c>
    </row>
    <row r="806" hidden="1">
      <c r="A806" s="443"/>
      <c r="B806" s="43" t="str">
        <f>IF(A806="", "", IFERROR(VLOOKUP(A806, Clasificaciones!A:B, 2, FALSE), "DATO NO CARGADO"))
</f>
        <v/>
      </c>
      <c r="C806" s="51"/>
      <c r="D806" s="102"/>
      <c r="E806" s="102"/>
      <c r="H806" s="102"/>
      <c r="J806" s="102"/>
      <c r="K806" s="450"/>
      <c r="L806" s="443"/>
      <c r="M806" s="450"/>
      <c r="N806" s="452">
        <f t="array" ref="N806">IFERROR(
  INDEX(
    'Valor Hora Real y Estimada'!$A$4:$Z$78,
    MATCH(TRIM(CLEAN(A806)), 'Valor Hora Real y Estimada'!$A$4:$A$78, 0),
    MATCH(
      TEXT(C806,"dd mmm")&amp;" "&amp;D806,
      'Valor Hora Real y Estimada'!$A$3:$Z$3,
      0
    ) + 1
  ),
  0
)</f>
        <v>0</v>
      </c>
      <c r="O806" s="453">
        <f t="shared" si="44"/>
        <v>0</v>
      </c>
      <c r="P806" s="113"/>
      <c r="Q806" s="106" t="str">
        <f>IF(ISBLANK(O806), "", VLOOKUP(C806&amp;" "&amp;D806, 'Info Tipo de Cambio y REM'!$A$24:$B$35, 2, FALSE))</f>
        <v>#N/A</v>
      </c>
      <c r="R806" s="107" t="str">
        <f t="shared" si="32"/>
        <v/>
      </c>
    </row>
    <row r="807" hidden="1">
      <c r="A807" s="443"/>
      <c r="B807" s="43" t="str">
        <f>IF(A807="", "", IFERROR(VLOOKUP(A807, Clasificaciones!A:B, 2, FALSE), "DATO NO CARGADO"))
</f>
        <v/>
      </c>
      <c r="C807" s="51"/>
      <c r="D807" s="102"/>
      <c r="E807" s="102"/>
      <c r="H807" s="102"/>
      <c r="J807" s="102"/>
      <c r="K807" s="450"/>
      <c r="L807" s="443"/>
      <c r="M807" s="450"/>
      <c r="N807" s="452">
        <f t="array" ref="N807">IFERROR(
  INDEX(
    'Valor Hora Real y Estimada'!$A$4:$Z$78,
    MATCH(TRIM(CLEAN(A807)), 'Valor Hora Real y Estimada'!$A$4:$A$78, 0),
    MATCH(
      TEXT(C807,"dd mmm")&amp;" "&amp;D807,
      'Valor Hora Real y Estimada'!$A$3:$Z$3,
      0
    ) + 1
  ),
  0
)</f>
        <v>0</v>
      </c>
      <c r="O807" s="453">
        <f t="shared" si="44"/>
        <v>0</v>
      </c>
      <c r="P807" s="113"/>
      <c r="Q807" s="106" t="str">
        <f>IF(ISBLANK(O807), "", VLOOKUP(C807&amp;" "&amp;D807, 'Info Tipo de Cambio y REM'!$A$24:$B$35, 2, FALSE))</f>
        <v>#N/A</v>
      </c>
      <c r="R807" s="107" t="str">
        <f t="shared" si="32"/>
        <v/>
      </c>
    </row>
    <row r="808" hidden="1">
      <c r="A808" s="443"/>
      <c r="B808" s="43" t="str">
        <f>IF(A808="", "", IFERROR(VLOOKUP(A808, Clasificaciones!A:B, 2, FALSE), "DATO NO CARGADO"))
</f>
        <v/>
      </c>
      <c r="C808" s="51"/>
      <c r="D808" s="102"/>
      <c r="E808" s="102"/>
      <c r="H808" s="102"/>
      <c r="J808" s="102"/>
      <c r="K808" s="450"/>
      <c r="L808" s="443"/>
      <c r="M808" s="450"/>
      <c r="N808" s="452">
        <f t="array" ref="N808">IFERROR(
  INDEX(
    'Valor Hora Real y Estimada'!$A$4:$Z$78,
    MATCH(TRIM(CLEAN(A808)), 'Valor Hora Real y Estimada'!$A$4:$A$78, 0),
    MATCH(
      TEXT(C808,"dd mmm")&amp;" "&amp;D808,
      'Valor Hora Real y Estimada'!$A$3:$Z$3,
      0
    ) + 1
  ),
  0
)</f>
        <v>0</v>
      </c>
      <c r="O808" s="453">
        <f t="shared" si="44"/>
        <v>0</v>
      </c>
      <c r="P808" s="113"/>
      <c r="Q808" s="106" t="str">
        <f>IF(ISBLANK(O808), "", VLOOKUP(C808&amp;" "&amp;D808, 'Info Tipo de Cambio y REM'!$A$24:$B$35, 2, FALSE))</f>
        <v>#N/A</v>
      </c>
      <c r="R808" s="107" t="str">
        <f t="shared" si="32"/>
        <v/>
      </c>
    </row>
    <row r="809" hidden="1">
      <c r="A809" s="443"/>
      <c r="B809" s="43" t="str">
        <f>IF(A809="", "", IFERROR(VLOOKUP(A809, Clasificaciones!A:B, 2, FALSE), "DATO NO CARGADO"))
</f>
        <v/>
      </c>
      <c r="C809" s="51"/>
      <c r="D809" s="102"/>
      <c r="E809" s="102"/>
      <c r="H809" s="102"/>
      <c r="J809" s="102"/>
      <c r="K809" s="450"/>
      <c r="L809" s="443"/>
      <c r="M809" s="450"/>
      <c r="N809" s="452">
        <f t="array" ref="N809">IFERROR(
  INDEX(
    'Valor Hora Real y Estimada'!$A$4:$Z$78,
    MATCH(TRIM(CLEAN(A809)), 'Valor Hora Real y Estimada'!$A$4:$A$78, 0),
    MATCH(
      TEXT(C809,"dd mmm")&amp;" "&amp;D809,
      'Valor Hora Real y Estimada'!$A$3:$Z$3,
      0
    ) + 1
  ),
  0
)</f>
        <v>0</v>
      </c>
      <c r="O809" s="453">
        <f t="shared" si="44"/>
        <v>0</v>
      </c>
      <c r="P809" s="113"/>
      <c r="Q809" s="106" t="str">
        <f>IF(ISBLANK(O809), "", VLOOKUP(C809&amp;" "&amp;D809, 'Info Tipo de Cambio y REM'!$A$24:$B$35, 2, FALSE))</f>
        <v>#N/A</v>
      </c>
      <c r="R809" s="107" t="str">
        <f t="shared" si="32"/>
        <v/>
      </c>
    </row>
    <row r="810" hidden="1">
      <c r="A810" s="443"/>
      <c r="B810" s="43" t="str">
        <f>IF(A810="", "", IFERROR(VLOOKUP(A810, Clasificaciones!A:B, 2, FALSE), "DATO NO CARGADO"))
</f>
        <v/>
      </c>
      <c r="C810" s="51"/>
      <c r="D810" s="102"/>
      <c r="E810" s="102"/>
      <c r="H810" s="102"/>
      <c r="J810" s="102"/>
      <c r="K810" s="450"/>
      <c r="L810" s="443"/>
      <c r="M810" s="450"/>
      <c r="N810" s="452">
        <f t="array" ref="N810">IFERROR(
  INDEX(
    'Valor Hora Real y Estimada'!$A$4:$Z$78,
    MATCH(TRIM(CLEAN(A810)), 'Valor Hora Real y Estimada'!$A$4:$A$78, 0),
    MATCH(
      TEXT(C810,"dd mmm")&amp;" "&amp;D810,
      'Valor Hora Real y Estimada'!$A$3:$Z$3,
      0
    ) + 1
  ),
  0
)</f>
        <v>0</v>
      </c>
      <c r="O810" s="453">
        <f t="shared" si="44"/>
        <v>0</v>
      </c>
      <c r="P810" s="113"/>
      <c r="Q810" s="106" t="str">
        <f>IF(ISBLANK(O810), "", VLOOKUP(C810&amp;" "&amp;D810, 'Info Tipo de Cambio y REM'!$A$24:$B$35, 2, FALSE))</f>
        <v>#N/A</v>
      </c>
      <c r="R810" s="107" t="str">
        <f t="shared" si="32"/>
        <v/>
      </c>
    </row>
    <row r="811" hidden="1">
      <c r="A811" s="443"/>
      <c r="B811" s="43" t="str">
        <f>IF(A811="", "", IFERROR(VLOOKUP(A811, Clasificaciones!A:B, 2, FALSE), "DATO NO CARGADO"))
</f>
        <v/>
      </c>
      <c r="C811" s="51"/>
      <c r="D811" s="102"/>
      <c r="E811" s="102"/>
      <c r="H811" s="102"/>
      <c r="J811" s="102"/>
      <c r="K811" s="450"/>
      <c r="L811" s="443"/>
      <c r="M811" s="450"/>
      <c r="N811" s="452">
        <f t="array" ref="N811">IFERROR(
  INDEX(
    'Valor Hora Real y Estimada'!$A$4:$Z$78,
    MATCH(TRIM(CLEAN(A811)), 'Valor Hora Real y Estimada'!$A$4:$A$78, 0),
    MATCH(
      TEXT(C811,"dd mmm")&amp;" "&amp;D811,
      'Valor Hora Real y Estimada'!$A$3:$Z$3,
      0
    ) + 1
  ),
  0
)</f>
        <v>0</v>
      </c>
      <c r="O811" s="453">
        <f t="shared" si="44"/>
        <v>0</v>
      </c>
      <c r="P811" s="113"/>
      <c r="Q811" s="106" t="str">
        <f>IF(ISBLANK(O811), "", VLOOKUP(C811&amp;" "&amp;D811, 'Info Tipo de Cambio y REM'!$A$24:$B$35, 2, FALSE))</f>
        <v>#N/A</v>
      </c>
      <c r="R811" s="107" t="str">
        <f t="shared" si="32"/>
        <v/>
      </c>
    </row>
    <row r="812" hidden="1">
      <c r="A812" s="443"/>
      <c r="B812" s="43" t="str">
        <f>IF(A812="", "", IFERROR(VLOOKUP(A812, Clasificaciones!A:B, 2, FALSE), "DATO NO CARGADO"))
</f>
        <v/>
      </c>
      <c r="C812" s="51"/>
      <c r="D812" s="102"/>
      <c r="E812" s="102"/>
      <c r="H812" s="102"/>
      <c r="J812" s="102"/>
      <c r="K812" s="450"/>
      <c r="L812" s="443"/>
      <c r="M812" s="450"/>
      <c r="N812" s="452">
        <f t="array" ref="N812">IFERROR(
  INDEX(
    'Valor Hora Real y Estimada'!$A$4:$Z$78,
    MATCH(TRIM(CLEAN(A812)), 'Valor Hora Real y Estimada'!$A$4:$A$78, 0),
    MATCH(
      TEXT(C812,"dd mmm")&amp;" "&amp;D812,
      'Valor Hora Real y Estimada'!$A$3:$Z$3,
      0
    ) + 1
  ),
  0
)</f>
        <v>0</v>
      </c>
      <c r="O812" s="453">
        <f t="shared" si="44"/>
        <v>0</v>
      </c>
      <c r="P812" s="113"/>
      <c r="Q812" s="106" t="str">
        <f>IF(ISBLANK(O812), "", VLOOKUP(C812&amp;" "&amp;D812, 'Info Tipo de Cambio y REM'!$A$24:$B$35, 2, FALSE))</f>
        <v>#N/A</v>
      </c>
      <c r="R812" s="107" t="str">
        <f t="shared" si="32"/>
        <v/>
      </c>
    </row>
    <row r="813" hidden="1">
      <c r="A813" s="443"/>
      <c r="B813" s="43" t="str">
        <f>IF(A813="", "", IFERROR(VLOOKUP(A813, Clasificaciones!A:B, 2, FALSE), "DATO NO CARGADO"))
</f>
        <v/>
      </c>
      <c r="C813" s="51"/>
      <c r="D813" s="102"/>
      <c r="E813" s="102"/>
      <c r="H813" s="102"/>
      <c r="J813" s="102"/>
      <c r="K813" s="450"/>
      <c r="L813" s="443"/>
      <c r="M813" s="450"/>
      <c r="N813" s="452">
        <f t="array" ref="N813">IFERROR(
  INDEX(
    'Valor Hora Real y Estimada'!$A$4:$Z$78,
    MATCH(TRIM(CLEAN(A813)), 'Valor Hora Real y Estimada'!$A$4:$A$78, 0),
    MATCH(
      TEXT(C813,"dd mmm")&amp;" "&amp;D813,
      'Valor Hora Real y Estimada'!$A$3:$Z$3,
      0
    ) + 1
  ),
  0
)</f>
        <v>0</v>
      </c>
      <c r="O813" s="453">
        <f t="shared" si="44"/>
        <v>0</v>
      </c>
      <c r="P813" s="113"/>
      <c r="Q813" s="106" t="str">
        <f>IF(ISBLANK(O813), "", VLOOKUP(C813&amp;" "&amp;D813, 'Info Tipo de Cambio y REM'!$A$24:$B$35, 2, FALSE))</f>
        <v>#N/A</v>
      </c>
      <c r="R813" s="107" t="str">
        <f t="shared" si="32"/>
        <v/>
      </c>
    </row>
    <row r="814" hidden="1">
      <c r="A814" s="443"/>
      <c r="B814" s="43" t="str">
        <f>IF(A814="", "", IFERROR(VLOOKUP(A814, Clasificaciones!A:B, 2, FALSE), "DATO NO CARGADO"))
</f>
        <v/>
      </c>
      <c r="C814" s="51"/>
      <c r="D814" s="102"/>
      <c r="E814" s="102"/>
      <c r="H814" s="102"/>
      <c r="J814" s="102"/>
      <c r="K814" s="450"/>
      <c r="L814" s="443"/>
      <c r="M814" s="450"/>
      <c r="N814" s="452">
        <f t="array" ref="N814">IFERROR(
  INDEX(
    'Valor Hora Real y Estimada'!$A$4:$Z$78,
    MATCH(TRIM(CLEAN(A814)), 'Valor Hora Real y Estimada'!$A$4:$A$78, 0),
    MATCH(
      TEXT(C814,"dd mmm")&amp;" "&amp;D814,
      'Valor Hora Real y Estimada'!$A$3:$Z$3,
      0
    ) + 1
  ),
  0
)</f>
        <v>0</v>
      </c>
      <c r="O814" s="453">
        <f t="shared" si="44"/>
        <v>0</v>
      </c>
      <c r="P814" s="113"/>
      <c r="Q814" s="106" t="str">
        <f>IF(ISBLANK(O814), "", VLOOKUP(C814&amp;" "&amp;D814, 'Info Tipo de Cambio y REM'!$A$24:$B$35, 2, FALSE))</f>
        <v>#N/A</v>
      </c>
      <c r="R814" s="107" t="str">
        <f t="shared" si="32"/>
        <v/>
      </c>
    </row>
    <row r="815" hidden="1">
      <c r="A815" s="443"/>
      <c r="B815" s="43" t="str">
        <f>IF(A815="", "", IFERROR(VLOOKUP(A815, Clasificaciones!A:B, 2, FALSE), "DATO NO CARGADO"))
</f>
        <v/>
      </c>
      <c r="C815" s="51"/>
      <c r="D815" s="102"/>
      <c r="E815" s="102"/>
      <c r="H815" s="102"/>
      <c r="J815" s="102"/>
      <c r="K815" s="450"/>
      <c r="L815" s="443"/>
      <c r="M815" s="450"/>
      <c r="N815" s="452">
        <f t="array" ref="N815">IFERROR(
  INDEX(
    'Valor Hora Real y Estimada'!$A$4:$Z$78,
    MATCH(TRIM(CLEAN(A815)), 'Valor Hora Real y Estimada'!$A$4:$A$78, 0),
    MATCH(
      TEXT(C815,"dd mmm")&amp;" "&amp;D815,
      'Valor Hora Real y Estimada'!$A$3:$Z$3,
      0
    ) + 1
  ),
  0
)</f>
        <v>0</v>
      </c>
      <c r="O815" s="453">
        <f t="shared" si="44"/>
        <v>0</v>
      </c>
      <c r="P815" s="113"/>
      <c r="Q815" s="106" t="str">
        <f>IF(ISBLANK(O815), "", VLOOKUP(C815&amp;" "&amp;D815, 'Info Tipo de Cambio y REM'!$A$24:$B$35, 2, FALSE))</f>
        <v>#N/A</v>
      </c>
      <c r="R815" s="107" t="str">
        <f t="shared" si="32"/>
        <v/>
      </c>
    </row>
    <row r="816" hidden="1">
      <c r="A816" s="443"/>
      <c r="B816" s="43" t="str">
        <f>IF(A816="", "", IFERROR(VLOOKUP(A816, Clasificaciones!A:B, 2, FALSE), "DATO NO CARGADO"))
</f>
        <v/>
      </c>
      <c r="C816" s="51"/>
      <c r="D816" s="102"/>
      <c r="E816" s="102"/>
      <c r="H816" s="102"/>
      <c r="J816" s="102"/>
      <c r="K816" s="450"/>
      <c r="L816" s="443"/>
      <c r="M816" s="450"/>
      <c r="N816" s="452">
        <f t="array" ref="N816">IFERROR(
  INDEX(
    'Valor Hora Real y Estimada'!$A$4:$Z$78,
    MATCH(TRIM(CLEAN(A816)), 'Valor Hora Real y Estimada'!$A$4:$A$78, 0),
    MATCH(
      TEXT(C816,"dd mmm")&amp;" "&amp;D816,
      'Valor Hora Real y Estimada'!$A$3:$Z$3,
      0
    ) + 1
  ),
  0
)</f>
        <v>0</v>
      </c>
      <c r="O816" s="453">
        <f t="shared" si="44"/>
        <v>0</v>
      </c>
      <c r="P816" s="113"/>
      <c r="Q816" s="106" t="str">
        <f>IF(ISBLANK(O816), "", VLOOKUP(C816&amp;" "&amp;D816, 'Info Tipo de Cambio y REM'!$A$24:$B$35, 2, FALSE))</f>
        <v>#N/A</v>
      </c>
      <c r="R816" s="107" t="str">
        <f t="shared" si="32"/>
        <v/>
      </c>
    </row>
    <row r="817" hidden="1">
      <c r="A817" s="443"/>
      <c r="B817" s="43" t="str">
        <f>IF(A817="", "", IFERROR(VLOOKUP(A817, Clasificaciones!A:B, 2, FALSE), "DATO NO CARGADO"))
</f>
        <v/>
      </c>
      <c r="C817" s="51"/>
      <c r="D817" s="102"/>
      <c r="E817" s="102"/>
      <c r="H817" s="102"/>
      <c r="J817" s="102"/>
      <c r="K817" s="450"/>
      <c r="L817" s="443"/>
      <c r="M817" s="450"/>
      <c r="N817" s="452">
        <f t="array" ref="N817">IFERROR(
  INDEX(
    'Valor Hora Real y Estimada'!$A$4:$Z$78,
    MATCH(TRIM(CLEAN(A817)), 'Valor Hora Real y Estimada'!$A$4:$A$78, 0),
    MATCH(
      TEXT(C817,"dd mmm")&amp;" "&amp;D817,
      'Valor Hora Real y Estimada'!$A$3:$Z$3,
      0
    ) + 1
  ),
  0
)</f>
        <v>0</v>
      </c>
      <c r="O817" s="453">
        <f t="shared" si="44"/>
        <v>0</v>
      </c>
      <c r="P817" s="113"/>
      <c r="Q817" s="106" t="str">
        <f>IF(ISBLANK(O817), "", VLOOKUP(C817&amp;" "&amp;D817, 'Info Tipo de Cambio y REM'!$A$24:$B$35, 2, FALSE))</f>
        <v>#N/A</v>
      </c>
      <c r="R817" s="107" t="str">
        <f t="shared" si="32"/>
        <v/>
      </c>
    </row>
    <row r="818" hidden="1">
      <c r="A818" s="443"/>
      <c r="B818" s="43" t="str">
        <f>IF(A818="", "", IFERROR(VLOOKUP(A818, Clasificaciones!A:B, 2, FALSE), "DATO NO CARGADO"))
</f>
        <v/>
      </c>
      <c r="C818" s="51"/>
      <c r="D818" s="102"/>
      <c r="E818" s="102"/>
      <c r="H818" s="102"/>
      <c r="J818" s="102"/>
      <c r="K818" s="450"/>
      <c r="L818" s="443"/>
      <c r="M818" s="450"/>
      <c r="N818" s="452">
        <f t="array" ref="N818">IFERROR(
  INDEX(
    'Valor Hora Real y Estimada'!$A$4:$Z$78,
    MATCH(TRIM(CLEAN(A818)), 'Valor Hora Real y Estimada'!$A$4:$A$78, 0),
    MATCH(
      TEXT(C818,"dd mmm")&amp;" "&amp;D818,
      'Valor Hora Real y Estimada'!$A$3:$Z$3,
      0
    ) + 1
  ),
  0
)</f>
        <v>0</v>
      </c>
      <c r="O818" s="453">
        <f t="shared" si="44"/>
        <v>0</v>
      </c>
      <c r="P818" s="113"/>
      <c r="Q818" s="106" t="str">
        <f>IF(ISBLANK(O818), "", VLOOKUP(C818&amp;" "&amp;D818, 'Info Tipo de Cambio y REM'!$A$24:$B$35, 2, FALSE))</f>
        <v>#N/A</v>
      </c>
      <c r="R818" s="107" t="str">
        <f t="shared" si="32"/>
        <v/>
      </c>
    </row>
    <row r="819" hidden="1">
      <c r="A819" s="443"/>
      <c r="B819" s="43" t="str">
        <f>IF(A819="", "", IFERROR(VLOOKUP(A819, Clasificaciones!A:B, 2, FALSE), "DATO NO CARGADO"))
</f>
        <v/>
      </c>
      <c r="C819" s="51"/>
      <c r="D819" s="102"/>
      <c r="E819" s="102"/>
      <c r="H819" s="102"/>
      <c r="J819" s="102"/>
      <c r="K819" s="450"/>
      <c r="L819" s="443"/>
      <c r="M819" s="450"/>
      <c r="N819" s="452">
        <f t="array" ref="N819">IFERROR(
  INDEX(
    'Valor Hora Real y Estimada'!$A$4:$Z$78,
    MATCH(TRIM(CLEAN(A819)), 'Valor Hora Real y Estimada'!$A$4:$A$78, 0),
    MATCH(
      TEXT(C819,"dd mmm")&amp;" "&amp;D819,
      'Valor Hora Real y Estimada'!$A$3:$Z$3,
      0
    ) + 1
  ),
  0
)</f>
        <v>0</v>
      </c>
      <c r="O819" s="453">
        <f t="shared" si="44"/>
        <v>0</v>
      </c>
      <c r="P819" s="113"/>
      <c r="Q819" s="106" t="str">
        <f>IF(ISBLANK(O819), "", VLOOKUP(C819&amp;" "&amp;D819, 'Info Tipo de Cambio y REM'!$A$24:$B$35, 2, FALSE))</f>
        <v>#N/A</v>
      </c>
      <c r="R819" s="107" t="str">
        <f t="shared" si="32"/>
        <v/>
      </c>
    </row>
    <row r="820" hidden="1">
      <c r="A820" s="443"/>
      <c r="B820" s="43" t="str">
        <f>IF(A820="", "", IFERROR(VLOOKUP(A820, Clasificaciones!A:B, 2, FALSE), "DATO NO CARGADO"))
</f>
        <v/>
      </c>
      <c r="C820" s="51"/>
      <c r="D820" s="102"/>
      <c r="E820" s="102"/>
      <c r="H820" s="102"/>
      <c r="J820" s="102"/>
      <c r="K820" s="450"/>
      <c r="L820" s="443"/>
      <c r="M820" s="450"/>
      <c r="N820" s="452">
        <f t="array" ref="N820">IFERROR(
  INDEX(
    'Valor Hora Real y Estimada'!$A$4:$Z$78,
    MATCH(TRIM(CLEAN(A820)), 'Valor Hora Real y Estimada'!$A$4:$A$78, 0),
    MATCH(
      TEXT(C820,"dd mmm")&amp;" "&amp;D820,
      'Valor Hora Real y Estimada'!$A$3:$Z$3,
      0
    ) + 1
  ),
  0
)</f>
        <v>0</v>
      </c>
      <c r="O820" s="453">
        <f t="shared" si="44"/>
        <v>0</v>
      </c>
      <c r="P820" s="113"/>
      <c r="Q820" s="106" t="str">
        <f>IF(ISBLANK(O820), "", VLOOKUP(C820&amp;" "&amp;D820, 'Info Tipo de Cambio y REM'!$A$24:$B$35, 2, FALSE))</f>
        <v>#N/A</v>
      </c>
      <c r="R820" s="107" t="str">
        <f t="shared" si="32"/>
        <v/>
      </c>
    </row>
    <row r="821" hidden="1">
      <c r="A821" s="443"/>
      <c r="B821" s="43" t="str">
        <f>IF(A821="", "", IFERROR(VLOOKUP(A821, Clasificaciones!A:B, 2, FALSE), "DATO NO CARGADO"))
</f>
        <v/>
      </c>
      <c r="C821" s="51"/>
      <c r="D821" s="102"/>
      <c r="E821" s="102"/>
      <c r="H821" s="102"/>
      <c r="J821" s="102"/>
      <c r="K821" s="450"/>
      <c r="L821" s="443"/>
      <c r="M821" s="450"/>
      <c r="N821" s="452">
        <f t="array" ref="N821">IFERROR(
  INDEX(
    'Valor Hora Real y Estimada'!$A$4:$Z$78,
    MATCH(TRIM(CLEAN(A821)), 'Valor Hora Real y Estimada'!$A$4:$A$78, 0),
    MATCH(
      TEXT(C821,"dd mmm")&amp;" "&amp;D821,
      'Valor Hora Real y Estimada'!$A$3:$Z$3,
      0
    ) + 1
  ),
  0
)</f>
        <v>0</v>
      </c>
      <c r="O821" s="453">
        <f t="shared" si="44"/>
        <v>0</v>
      </c>
      <c r="P821" s="113"/>
      <c r="Q821" s="106" t="str">
        <f>IF(ISBLANK(O821), "", VLOOKUP(C821&amp;" "&amp;D821, 'Info Tipo de Cambio y REM'!$A$24:$B$35, 2, FALSE))</f>
        <v>#N/A</v>
      </c>
      <c r="R821" s="107" t="str">
        <f t="shared" si="32"/>
        <v/>
      </c>
    </row>
    <row r="822" hidden="1">
      <c r="A822" s="443"/>
      <c r="B822" s="43" t="str">
        <f>IF(A822="", "", IFERROR(VLOOKUP(A822, Clasificaciones!A:B, 2, FALSE), "DATO NO CARGADO"))
</f>
        <v/>
      </c>
      <c r="C822" s="51"/>
      <c r="D822" s="102"/>
      <c r="E822" s="102"/>
      <c r="H822" s="102"/>
      <c r="J822" s="102"/>
      <c r="K822" s="450"/>
      <c r="L822" s="443"/>
      <c r="M822" s="450"/>
      <c r="N822" s="452">
        <f t="array" ref="N822">IFERROR(
  INDEX(
    'Valor Hora Real y Estimada'!$A$4:$Z$78,
    MATCH(TRIM(CLEAN(A822)), 'Valor Hora Real y Estimada'!$A$4:$A$78, 0),
    MATCH(
      TEXT(C822,"dd mmm")&amp;" "&amp;D822,
      'Valor Hora Real y Estimada'!$A$3:$Z$3,
      0
    ) + 1
  ),
  0
)</f>
        <v>0</v>
      </c>
      <c r="O822" s="453">
        <f t="shared" si="44"/>
        <v>0</v>
      </c>
      <c r="P822" s="113"/>
      <c r="Q822" s="106" t="str">
        <f>IF(ISBLANK(O822), "", VLOOKUP(C822&amp;" "&amp;D822, 'Info Tipo de Cambio y REM'!$A$24:$B$35, 2, FALSE))</f>
        <v>#N/A</v>
      </c>
      <c r="R822" s="107" t="str">
        <f t="shared" si="32"/>
        <v/>
      </c>
    </row>
    <row r="823" hidden="1">
      <c r="A823" s="443"/>
      <c r="B823" s="43" t="str">
        <f>IF(A823="", "", IFERROR(VLOOKUP(A823, Clasificaciones!A:B, 2, FALSE), "DATO NO CARGADO"))
</f>
        <v/>
      </c>
      <c r="C823" s="51"/>
      <c r="D823" s="102"/>
      <c r="E823" s="102"/>
      <c r="H823" s="102"/>
      <c r="J823" s="102"/>
      <c r="K823" s="450"/>
      <c r="L823" s="443"/>
      <c r="M823" s="450"/>
      <c r="N823" s="452">
        <f t="array" ref="N823">IFERROR(
  INDEX(
    'Valor Hora Real y Estimada'!$A$4:$Z$78,
    MATCH(TRIM(CLEAN(A823)), 'Valor Hora Real y Estimada'!$A$4:$A$78, 0),
    MATCH(
      TEXT(C823,"dd mmm")&amp;" "&amp;D823,
      'Valor Hora Real y Estimada'!$A$3:$Z$3,
      0
    ) + 1
  ),
  0
)</f>
        <v>0</v>
      </c>
      <c r="O823" s="453">
        <f t="shared" si="44"/>
        <v>0</v>
      </c>
      <c r="P823" s="113"/>
      <c r="Q823" s="106" t="str">
        <f>IF(ISBLANK(O823), "", VLOOKUP(C823&amp;" "&amp;D823, 'Info Tipo de Cambio y REM'!$A$24:$B$35, 2, FALSE))</f>
        <v>#N/A</v>
      </c>
      <c r="R823" s="107" t="str">
        <f t="shared" si="32"/>
        <v/>
      </c>
    </row>
    <row r="824" hidden="1">
      <c r="A824" s="443"/>
      <c r="B824" s="43" t="str">
        <f>IF(A824="", "", IFERROR(VLOOKUP(A824, Clasificaciones!A:B, 2, FALSE), "DATO NO CARGADO"))
</f>
        <v/>
      </c>
      <c r="C824" s="51"/>
      <c r="D824" s="102"/>
      <c r="E824" s="102"/>
      <c r="H824" s="102"/>
      <c r="J824" s="102"/>
      <c r="K824" s="450"/>
      <c r="L824" s="443"/>
      <c r="M824" s="450"/>
      <c r="N824" s="452">
        <f t="array" ref="N824">IFERROR(
  INDEX(
    'Valor Hora Real y Estimada'!$A$4:$Z$78,
    MATCH(TRIM(CLEAN(A824)), 'Valor Hora Real y Estimada'!$A$4:$A$78, 0),
    MATCH(
      TEXT(C824,"dd mmm")&amp;" "&amp;D824,
      'Valor Hora Real y Estimada'!$A$3:$Z$3,
      0
    ) + 1
  ),
  0
)</f>
        <v>0</v>
      </c>
      <c r="O824" s="453">
        <f t="shared" si="44"/>
        <v>0</v>
      </c>
      <c r="P824" s="113"/>
      <c r="Q824" s="106" t="str">
        <f>IF(ISBLANK(O824), "", VLOOKUP(C824&amp;" "&amp;D824, 'Info Tipo de Cambio y REM'!$A$24:$B$35, 2, FALSE))</f>
        <v>#N/A</v>
      </c>
      <c r="R824" s="107" t="str">
        <f t="shared" si="32"/>
        <v/>
      </c>
    </row>
    <row r="825" hidden="1">
      <c r="A825" s="443"/>
      <c r="B825" s="43" t="str">
        <f>IF(A825="", "", IFERROR(VLOOKUP(A825, Clasificaciones!A:B, 2, FALSE), "DATO NO CARGADO"))
</f>
        <v/>
      </c>
      <c r="C825" s="51"/>
      <c r="D825" s="102"/>
      <c r="E825" s="102"/>
      <c r="H825" s="102"/>
      <c r="J825" s="102"/>
      <c r="K825" s="450"/>
      <c r="L825" s="443"/>
      <c r="M825" s="450"/>
      <c r="N825" s="452">
        <f t="array" ref="N825">IFERROR(
  INDEX(
    'Valor Hora Real y Estimada'!$A$4:$Z$78,
    MATCH(TRIM(CLEAN(A825)), 'Valor Hora Real y Estimada'!$A$4:$A$78, 0),
    MATCH(
      TEXT(C825,"dd mmm")&amp;" "&amp;D825,
      'Valor Hora Real y Estimada'!$A$3:$Z$3,
      0
    ) + 1
  ),
  0
)</f>
        <v>0</v>
      </c>
      <c r="O825" s="453">
        <f t="shared" si="44"/>
        <v>0</v>
      </c>
      <c r="P825" s="113"/>
      <c r="Q825" s="106" t="str">
        <f>IF(ISBLANK(O825), "", VLOOKUP(C825&amp;" "&amp;D825, 'Info Tipo de Cambio y REM'!$A$24:$B$35, 2, FALSE))</f>
        <v>#N/A</v>
      </c>
      <c r="R825" s="107" t="str">
        <f t="shared" si="32"/>
        <v/>
      </c>
    </row>
    <row r="826" hidden="1">
      <c r="A826" s="443"/>
      <c r="B826" s="43" t="str">
        <f>IF(A826="", "", IFERROR(VLOOKUP(A826, Clasificaciones!A:B, 2, FALSE), "DATO NO CARGADO"))
</f>
        <v/>
      </c>
      <c r="C826" s="51"/>
      <c r="D826" s="102"/>
      <c r="E826" s="102"/>
      <c r="H826" s="102"/>
      <c r="J826" s="102"/>
      <c r="K826" s="450"/>
      <c r="L826" s="443"/>
      <c r="M826" s="450"/>
      <c r="N826" s="452">
        <f t="array" ref="N826">IFERROR(
  INDEX(
    'Valor Hora Real y Estimada'!$A$4:$Z$78,
    MATCH(TRIM(CLEAN(A826)), 'Valor Hora Real y Estimada'!$A$4:$A$78, 0),
    MATCH(
      TEXT(C826,"dd mmm")&amp;" "&amp;D826,
      'Valor Hora Real y Estimada'!$A$3:$Z$3,
      0
    ) + 1
  ),
  0
)</f>
        <v>0</v>
      </c>
      <c r="O826" s="453">
        <f t="shared" si="44"/>
        <v>0</v>
      </c>
      <c r="P826" s="113"/>
      <c r="Q826" s="106" t="str">
        <f>IF(ISBLANK(O826), "", VLOOKUP(C826&amp;" "&amp;D826, 'Info Tipo de Cambio y REM'!$A$24:$B$35, 2, FALSE))</f>
        <v>#N/A</v>
      </c>
      <c r="R826" s="107" t="str">
        <f t="shared" si="32"/>
        <v/>
      </c>
    </row>
    <row r="827" hidden="1">
      <c r="A827" s="443"/>
      <c r="B827" s="43" t="str">
        <f>IF(A827="", "", IFERROR(VLOOKUP(A827, Clasificaciones!A:B, 2, FALSE), "DATO NO CARGADO"))
</f>
        <v/>
      </c>
      <c r="C827" s="51"/>
      <c r="D827" s="102"/>
      <c r="E827" s="102"/>
      <c r="H827" s="102"/>
      <c r="J827" s="102"/>
      <c r="K827" s="450"/>
      <c r="L827" s="443"/>
      <c r="M827" s="450"/>
      <c r="N827" s="452">
        <f t="array" ref="N827">IFERROR(
  INDEX(
    'Valor Hora Real y Estimada'!$A$4:$Z$78,
    MATCH(TRIM(CLEAN(A827)), 'Valor Hora Real y Estimada'!$A$4:$A$78, 0),
    MATCH(
      TEXT(C827,"dd mmm")&amp;" "&amp;D827,
      'Valor Hora Real y Estimada'!$A$3:$Z$3,
      0
    ) + 1
  ),
  0
)</f>
        <v>0</v>
      </c>
      <c r="O827" s="453">
        <f t="shared" si="44"/>
        <v>0</v>
      </c>
      <c r="P827" s="113"/>
      <c r="Q827" s="106" t="str">
        <f>IF(ISBLANK(O827), "", VLOOKUP(C827&amp;" "&amp;D827, 'Info Tipo de Cambio y REM'!$A$24:$B$35, 2, FALSE))</f>
        <v>#N/A</v>
      </c>
      <c r="R827" s="107" t="str">
        <f t="shared" si="32"/>
        <v/>
      </c>
    </row>
    <row r="828" hidden="1">
      <c r="A828" s="443"/>
      <c r="B828" s="43" t="str">
        <f>IF(A828="", "", IFERROR(VLOOKUP(A828, Clasificaciones!A:B, 2, FALSE), "DATO NO CARGADO"))
</f>
        <v/>
      </c>
      <c r="C828" s="51"/>
      <c r="D828" s="102"/>
      <c r="E828" s="102"/>
      <c r="H828" s="102"/>
      <c r="J828" s="102"/>
      <c r="K828" s="450"/>
      <c r="L828" s="443"/>
      <c r="M828" s="450"/>
      <c r="N828" s="452">
        <f t="array" ref="N828">IFERROR(
  INDEX(
    'Valor Hora Real y Estimada'!$A$4:$Z$78,
    MATCH(TRIM(CLEAN(A828)), 'Valor Hora Real y Estimada'!$A$4:$A$78, 0),
    MATCH(
      TEXT(C828,"dd mmm")&amp;" "&amp;D828,
      'Valor Hora Real y Estimada'!$A$3:$Z$3,
      0
    ) + 1
  ),
  0
)</f>
        <v>0</v>
      </c>
      <c r="O828" s="453">
        <f t="shared" si="44"/>
        <v>0</v>
      </c>
      <c r="P828" s="113"/>
      <c r="Q828" s="106" t="str">
        <f>IF(ISBLANK(O828), "", VLOOKUP(C828&amp;" "&amp;D828, 'Info Tipo de Cambio y REM'!$A$24:$B$35, 2, FALSE))</f>
        <v>#N/A</v>
      </c>
      <c r="R828" s="107" t="str">
        <f t="shared" si="32"/>
        <v/>
      </c>
    </row>
    <row r="829" hidden="1">
      <c r="A829" s="443"/>
      <c r="B829" s="43" t="str">
        <f>IF(A829="", "", IFERROR(VLOOKUP(A829, Clasificaciones!A:B, 2, FALSE), "DATO NO CARGADO"))
</f>
        <v/>
      </c>
      <c r="C829" s="51"/>
      <c r="D829" s="102"/>
      <c r="E829" s="102"/>
      <c r="H829" s="102"/>
      <c r="J829" s="102"/>
      <c r="K829" s="450"/>
      <c r="L829" s="443"/>
      <c r="M829" s="450"/>
      <c r="N829" s="452">
        <f t="array" ref="N829">IFERROR(
  INDEX(
    'Valor Hora Real y Estimada'!$A$4:$Z$78,
    MATCH(TRIM(CLEAN(A829)), 'Valor Hora Real y Estimada'!$A$4:$A$78, 0),
    MATCH(
      TEXT(C829,"dd mmm")&amp;" "&amp;D829,
      'Valor Hora Real y Estimada'!$A$3:$Z$3,
      0
    ) + 1
  ),
  0
)</f>
        <v>0</v>
      </c>
      <c r="O829" s="453">
        <f t="shared" si="44"/>
        <v>0</v>
      </c>
      <c r="P829" s="113"/>
      <c r="Q829" s="106" t="str">
        <f>IF(ISBLANK(O829), "", VLOOKUP(C829&amp;" "&amp;D829, 'Info Tipo de Cambio y REM'!$A$24:$B$35, 2, FALSE))</f>
        <v>#N/A</v>
      </c>
      <c r="R829" s="107" t="str">
        <f t="shared" si="32"/>
        <v/>
      </c>
    </row>
    <row r="830" hidden="1">
      <c r="A830" s="443"/>
      <c r="B830" s="43" t="str">
        <f>IF(A830="", "", IFERROR(VLOOKUP(A830, Clasificaciones!A:B, 2, FALSE), "DATO NO CARGADO"))
</f>
        <v/>
      </c>
      <c r="C830" s="51"/>
      <c r="D830" s="102"/>
      <c r="E830" s="102"/>
      <c r="H830" s="102"/>
      <c r="J830" s="102"/>
      <c r="K830" s="450"/>
      <c r="L830" s="443"/>
      <c r="M830" s="450"/>
      <c r="N830" s="452">
        <f t="array" ref="N830">IFERROR(
  INDEX(
    'Valor Hora Real y Estimada'!$A$4:$Z$78,
    MATCH(TRIM(CLEAN(A830)), 'Valor Hora Real y Estimada'!$A$4:$A$78, 0),
    MATCH(
      TEXT(C830,"dd mmm")&amp;" "&amp;D830,
      'Valor Hora Real y Estimada'!$A$3:$Z$3,
      0
    ) + 1
  ),
  0
)</f>
        <v>0</v>
      </c>
      <c r="O830" s="453">
        <f t="shared" si="44"/>
        <v>0</v>
      </c>
      <c r="P830" s="113"/>
      <c r="Q830" s="106" t="str">
        <f>IF(ISBLANK(O830), "", VLOOKUP(C830&amp;" "&amp;D830, 'Info Tipo de Cambio y REM'!$A$24:$B$35, 2, FALSE))</f>
        <v>#N/A</v>
      </c>
      <c r="R830" s="107" t="str">
        <f t="shared" si="32"/>
        <v/>
      </c>
    </row>
    <row r="831" hidden="1">
      <c r="A831" s="443"/>
      <c r="B831" s="43" t="str">
        <f>IF(A831="", "", IFERROR(VLOOKUP(A831, Clasificaciones!A:B, 2, FALSE), "DATO NO CARGADO"))
</f>
        <v/>
      </c>
      <c r="C831" s="51"/>
      <c r="D831" s="102"/>
      <c r="E831" s="102"/>
      <c r="H831" s="102"/>
      <c r="J831" s="102"/>
      <c r="K831" s="450"/>
      <c r="L831" s="443"/>
      <c r="M831" s="450"/>
      <c r="N831" s="452">
        <f t="array" ref="N831">IFERROR(
  INDEX(
    'Valor Hora Real y Estimada'!$A$4:$Z$78,
    MATCH(TRIM(CLEAN(A831)), 'Valor Hora Real y Estimada'!$A$4:$A$78, 0),
    MATCH(
      TEXT(C831,"dd mmm")&amp;" "&amp;D831,
      'Valor Hora Real y Estimada'!$A$3:$Z$3,
      0
    ) + 1
  ),
  0
)</f>
        <v>0</v>
      </c>
      <c r="O831" s="453">
        <f t="shared" si="44"/>
        <v>0</v>
      </c>
      <c r="P831" s="113"/>
      <c r="Q831" s="106" t="str">
        <f>IF(ISBLANK(O831), "", VLOOKUP(C831&amp;" "&amp;D831, 'Info Tipo de Cambio y REM'!$A$24:$B$35, 2, FALSE))</f>
        <v>#N/A</v>
      </c>
      <c r="R831" s="107" t="str">
        <f t="shared" si="32"/>
        <v/>
      </c>
    </row>
    <row r="832" hidden="1">
      <c r="A832" s="443"/>
      <c r="B832" s="43" t="str">
        <f>IF(A832="", "", IFERROR(VLOOKUP(A832, Clasificaciones!A:B, 2, FALSE), "DATO NO CARGADO"))
</f>
        <v/>
      </c>
      <c r="C832" s="51"/>
      <c r="D832" s="102"/>
      <c r="E832" s="102"/>
      <c r="H832" s="102"/>
      <c r="J832" s="102"/>
      <c r="K832" s="450"/>
      <c r="L832" s="443"/>
      <c r="M832" s="450"/>
      <c r="N832" s="452">
        <f t="array" ref="N832">IFERROR(
  INDEX(
    'Valor Hora Real y Estimada'!$A$4:$Z$78,
    MATCH(TRIM(CLEAN(A832)), 'Valor Hora Real y Estimada'!$A$4:$A$78, 0),
    MATCH(
      TEXT(C832,"dd mmm")&amp;" "&amp;D832,
      'Valor Hora Real y Estimada'!$A$3:$Z$3,
      0
    ) + 1
  ),
  0
)</f>
        <v>0</v>
      </c>
      <c r="O832" s="453">
        <f t="shared" si="44"/>
        <v>0</v>
      </c>
      <c r="P832" s="113"/>
      <c r="Q832" s="106" t="str">
        <f>IF(ISBLANK(O832), "", VLOOKUP(C832&amp;" "&amp;D832, 'Info Tipo de Cambio y REM'!$A$24:$B$35, 2, FALSE))</f>
        <v>#N/A</v>
      </c>
      <c r="R832" s="107" t="str">
        <f t="shared" si="32"/>
        <v/>
      </c>
    </row>
    <row r="833" hidden="1">
      <c r="A833" s="443"/>
      <c r="B833" s="43" t="str">
        <f>IF(A833="", "", IFERROR(VLOOKUP(A833, Clasificaciones!A:B, 2, FALSE), "DATO NO CARGADO"))
</f>
        <v/>
      </c>
      <c r="C833" s="51"/>
      <c r="D833" s="102"/>
      <c r="E833" s="102"/>
      <c r="H833" s="102"/>
      <c r="J833" s="102"/>
      <c r="K833" s="450"/>
      <c r="L833" s="443"/>
      <c r="M833" s="450"/>
      <c r="N833" s="452">
        <f t="array" ref="N833">IFERROR(
  INDEX(
    'Valor Hora Real y Estimada'!$A$4:$Z$78,
    MATCH(TRIM(CLEAN(A833)), 'Valor Hora Real y Estimada'!$A$4:$A$78, 0),
    MATCH(
      TEXT(C833,"dd mmm")&amp;" "&amp;D833,
      'Valor Hora Real y Estimada'!$A$3:$Z$3,
      0
    ) + 1
  ),
  0
)</f>
        <v>0</v>
      </c>
      <c r="O833" s="453">
        <f t="shared" si="44"/>
        <v>0</v>
      </c>
      <c r="P833" s="113"/>
      <c r="Q833" s="106" t="str">
        <f>IF(ISBLANK(O833), "", VLOOKUP(C833&amp;" "&amp;D833, 'Info Tipo de Cambio y REM'!$A$24:$B$35, 2, FALSE))</f>
        <v>#N/A</v>
      </c>
      <c r="R833" s="107" t="str">
        <f t="shared" si="32"/>
        <v/>
      </c>
    </row>
    <row r="834" hidden="1">
      <c r="A834" s="443"/>
      <c r="B834" s="43" t="str">
        <f>IF(A834="", "", IFERROR(VLOOKUP(A834, Clasificaciones!A:B, 2, FALSE), "DATO NO CARGADO"))
</f>
        <v/>
      </c>
      <c r="C834" s="51"/>
      <c r="D834" s="102"/>
      <c r="E834" s="102"/>
      <c r="H834" s="102"/>
      <c r="J834" s="102"/>
      <c r="K834" s="450"/>
      <c r="L834" s="443"/>
      <c r="M834" s="450"/>
      <c r="N834" s="452">
        <f t="array" ref="N834">IFERROR(
  INDEX(
    'Valor Hora Real y Estimada'!$A$4:$Z$78,
    MATCH(TRIM(CLEAN(A834)), 'Valor Hora Real y Estimada'!$A$4:$A$78, 0),
    MATCH(
      TEXT(C834,"dd mmm")&amp;" "&amp;D834,
      'Valor Hora Real y Estimada'!$A$3:$Z$3,
      0
    ) + 1
  ),
  0
)</f>
        <v>0</v>
      </c>
      <c r="O834" s="453">
        <f t="shared" si="44"/>
        <v>0</v>
      </c>
      <c r="P834" s="113"/>
      <c r="Q834" s="106" t="str">
        <f>IF(ISBLANK(O834), "", VLOOKUP(C834&amp;" "&amp;D834, 'Info Tipo de Cambio y REM'!$A$24:$B$35, 2, FALSE))</f>
        <v>#N/A</v>
      </c>
      <c r="R834" s="107" t="str">
        <f t="shared" si="32"/>
        <v/>
      </c>
    </row>
    <row r="835" hidden="1">
      <c r="A835" s="443"/>
      <c r="B835" s="43" t="str">
        <f>IF(A835="", "", IFERROR(VLOOKUP(A835, Clasificaciones!A:B, 2, FALSE), "DATO NO CARGADO"))
</f>
        <v/>
      </c>
      <c r="C835" s="51"/>
      <c r="D835" s="102"/>
      <c r="E835" s="102"/>
      <c r="H835" s="102"/>
      <c r="J835" s="102"/>
      <c r="K835" s="450"/>
      <c r="L835" s="443"/>
      <c r="M835" s="450"/>
      <c r="N835" s="452">
        <f t="array" ref="N835">IFERROR(
  INDEX(
    'Valor Hora Real y Estimada'!$A$4:$Z$78,
    MATCH(TRIM(CLEAN(A835)), 'Valor Hora Real y Estimada'!$A$4:$A$78, 0),
    MATCH(
      TEXT(C835,"dd mmm")&amp;" "&amp;D835,
      'Valor Hora Real y Estimada'!$A$3:$Z$3,
      0
    ) + 1
  ),
  0
)</f>
        <v>0</v>
      </c>
      <c r="O835" s="453">
        <f t="shared" si="44"/>
        <v>0</v>
      </c>
      <c r="P835" s="113"/>
      <c r="Q835" s="106" t="str">
        <f>IF(ISBLANK(O835), "", VLOOKUP(C835&amp;" "&amp;D835, 'Info Tipo de Cambio y REM'!$A$24:$B$35, 2, FALSE))</f>
        <v>#N/A</v>
      </c>
      <c r="R835" s="107" t="str">
        <f t="shared" si="32"/>
        <v/>
      </c>
    </row>
    <row r="836" hidden="1">
      <c r="A836" s="443"/>
      <c r="B836" s="43" t="str">
        <f>IF(A836="", "", IFERROR(VLOOKUP(A836, Clasificaciones!A:B, 2, FALSE), "DATO NO CARGADO"))
</f>
        <v/>
      </c>
      <c r="C836" s="51"/>
      <c r="D836" s="102"/>
      <c r="E836" s="102"/>
      <c r="H836" s="102"/>
      <c r="J836" s="102"/>
      <c r="K836" s="450"/>
      <c r="L836" s="443"/>
      <c r="M836" s="450"/>
      <c r="N836" s="452">
        <f t="array" ref="N836">IFERROR(
  INDEX(
    'Valor Hora Real y Estimada'!$A$4:$Z$78,
    MATCH(TRIM(CLEAN(A836)), 'Valor Hora Real y Estimada'!$A$4:$A$78, 0),
    MATCH(
      TEXT(C836,"dd mmm")&amp;" "&amp;D836,
      'Valor Hora Real y Estimada'!$A$3:$Z$3,
      0
    ) + 1
  ),
  0
)</f>
        <v>0</v>
      </c>
      <c r="O836" s="453">
        <f t="shared" si="44"/>
        <v>0</v>
      </c>
      <c r="P836" s="113"/>
      <c r="Q836" s="106" t="str">
        <f>IF(ISBLANK(O836), "", VLOOKUP(C836&amp;" "&amp;D836, 'Info Tipo de Cambio y REM'!$A$24:$B$35, 2, FALSE))</f>
        <v>#N/A</v>
      </c>
      <c r="R836" s="107" t="str">
        <f t="shared" si="32"/>
        <v/>
      </c>
    </row>
    <row r="837" hidden="1">
      <c r="A837" s="443"/>
      <c r="B837" s="43" t="str">
        <f>IF(A837="", "", IFERROR(VLOOKUP(A837, Clasificaciones!A:B, 2, FALSE), "DATO NO CARGADO"))
</f>
        <v/>
      </c>
      <c r="C837" s="51"/>
      <c r="D837" s="102"/>
      <c r="E837" s="102"/>
      <c r="H837" s="102"/>
      <c r="J837" s="102"/>
      <c r="K837" s="450"/>
      <c r="L837" s="443"/>
      <c r="M837" s="450"/>
      <c r="N837" s="452">
        <f t="array" ref="N837">IFERROR(
  INDEX(
    'Valor Hora Real y Estimada'!$A$4:$Z$78,
    MATCH(TRIM(CLEAN(A837)), 'Valor Hora Real y Estimada'!$A$4:$A$78, 0),
    MATCH(
      TEXT(C837,"dd mmm")&amp;" "&amp;D837,
      'Valor Hora Real y Estimada'!$A$3:$Z$3,
      0
    ) + 1
  ),
  0
)</f>
        <v>0</v>
      </c>
      <c r="O837" s="453">
        <f t="shared" si="44"/>
        <v>0</v>
      </c>
      <c r="P837" s="113"/>
      <c r="Q837" s="106" t="str">
        <f>IF(ISBLANK(O837), "", VLOOKUP(C837&amp;" "&amp;D837, 'Info Tipo de Cambio y REM'!$A$24:$B$35, 2, FALSE))</f>
        <v>#N/A</v>
      </c>
      <c r="R837" s="107" t="str">
        <f t="shared" si="32"/>
        <v/>
      </c>
    </row>
    <row r="838" hidden="1">
      <c r="A838" s="443"/>
      <c r="B838" s="43" t="str">
        <f>IF(A838="", "", IFERROR(VLOOKUP(A838, Clasificaciones!A:B, 2, FALSE), "DATO NO CARGADO"))
</f>
        <v/>
      </c>
      <c r="C838" s="51"/>
      <c r="D838" s="102"/>
      <c r="E838" s="102"/>
      <c r="H838" s="102"/>
      <c r="J838" s="102"/>
      <c r="K838" s="450"/>
      <c r="L838" s="443"/>
      <c r="M838" s="450"/>
      <c r="N838" s="452">
        <f t="array" ref="N838">IFERROR(
  INDEX(
    'Valor Hora Real y Estimada'!$A$4:$Z$78,
    MATCH(TRIM(CLEAN(A838)), 'Valor Hora Real y Estimada'!$A$4:$A$78, 0),
    MATCH(
      TEXT(C838,"dd mmm")&amp;" "&amp;D838,
      'Valor Hora Real y Estimada'!$A$3:$Z$3,
      0
    ) + 1
  ),
  0
)</f>
        <v>0</v>
      </c>
      <c r="O838" s="453">
        <f t="shared" si="44"/>
        <v>0</v>
      </c>
      <c r="P838" s="113"/>
      <c r="Q838" s="106" t="str">
        <f>IF(ISBLANK(O838), "", VLOOKUP(C838&amp;" "&amp;D838, 'Info Tipo de Cambio y REM'!$A$24:$B$35, 2, FALSE))</f>
        <v>#N/A</v>
      </c>
      <c r="R838" s="107" t="str">
        <f t="shared" si="32"/>
        <v/>
      </c>
    </row>
    <row r="839" hidden="1">
      <c r="A839" s="443"/>
      <c r="B839" s="43" t="str">
        <f>IF(A839="", "", IFERROR(VLOOKUP(A839, Clasificaciones!A:B, 2, FALSE), "DATO NO CARGADO"))
</f>
        <v/>
      </c>
      <c r="C839" s="51"/>
      <c r="D839" s="102"/>
      <c r="E839" s="102"/>
      <c r="H839" s="102"/>
      <c r="J839" s="102"/>
      <c r="K839" s="450"/>
      <c r="L839" s="443"/>
      <c r="M839" s="450"/>
      <c r="N839" s="452">
        <f t="array" ref="N839">IFERROR(
  INDEX(
    'Valor Hora Real y Estimada'!$A$4:$Z$78,
    MATCH(TRIM(CLEAN(A839)), 'Valor Hora Real y Estimada'!$A$4:$A$78, 0),
    MATCH(
      TEXT(C839,"dd mmm")&amp;" "&amp;D839,
      'Valor Hora Real y Estimada'!$A$3:$Z$3,
      0
    ) + 1
  ),
  0
)</f>
        <v>0</v>
      </c>
      <c r="O839" s="453">
        <f t="shared" si="44"/>
        <v>0</v>
      </c>
      <c r="P839" s="113"/>
      <c r="Q839" s="106" t="str">
        <f>IF(ISBLANK(O839), "", VLOOKUP(C839&amp;" "&amp;D839, 'Info Tipo de Cambio y REM'!$A$24:$B$35, 2, FALSE))</f>
        <v>#N/A</v>
      </c>
      <c r="R839" s="107" t="str">
        <f t="shared" si="32"/>
        <v/>
      </c>
    </row>
    <row r="840" hidden="1">
      <c r="A840" s="443"/>
      <c r="B840" s="43" t="str">
        <f>IF(A840="", "", IFERROR(VLOOKUP(A840, Clasificaciones!A:B, 2, FALSE), "DATO NO CARGADO"))
</f>
        <v/>
      </c>
      <c r="C840" s="51"/>
      <c r="D840" s="102"/>
      <c r="E840" s="102"/>
      <c r="H840" s="102"/>
      <c r="J840" s="102"/>
      <c r="K840" s="450"/>
      <c r="L840" s="443"/>
      <c r="M840" s="450"/>
      <c r="N840" s="452">
        <f t="array" ref="N840">IFERROR(
  INDEX(
    'Valor Hora Real y Estimada'!$A$4:$Z$78,
    MATCH(TRIM(CLEAN(A840)), 'Valor Hora Real y Estimada'!$A$4:$A$78, 0),
    MATCH(
      TEXT(C840,"dd mmm")&amp;" "&amp;D840,
      'Valor Hora Real y Estimada'!$A$3:$Z$3,
      0
    ) + 1
  ),
  0
)</f>
        <v>0</v>
      </c>
      <c r="O840" s="453">
        <f t="shared" si="44"/>
        <v>0</v>
      </c>
      <c r="P840" s="113"/>
      <c r="Q840" s="106" t="str">
        <f>IF(ISBLANK(O840), "", VLOOKUP(C840&amp;" "&amp;D840, 'Info Tipo de Cambio y REM'!$A$24:$B$35, 2, FALSE))</f>
        <v>#N/A</v>
      </c>
      <c r="R840" s="107" t="str">
        <f t="shared" si="32"/>
        <v/>
      </c>
    </row>
    <row r="841" hidden="1">
      <c r="A841" s="443"/>
      <c r="B841" s="43" t="str">
        <f>IF(A841="", "", IFERROR(VLOOKUP(A841, Clasificaciones!A:B, 2, FALSE), "DATO NO CARGADO"))
</f>
        <v/>
      </c>
      <c r="C841" s="51"/>
      <c r="D841" s="102"/>
      <c r="E841" s="102"/>
      <c r="H841" s="102"/>
      <c r="J841" s="102"/>
      <c r="K841" s="450"/>
      <c r="L841" s="443"/>
      <c r="M841" s="450"/>
      <c r="N841" s="452">
        <f t="array" ref="N841">IFERROR(
  INDEX(
    'Valor Hora Real y Estimada'!$A$4:$Z$78,
    MATCH(TRIM(CLEAN(A841)), 'Valor Hora Real y Estimada'!$A$4:$A$78, 0),
    MATCH(
      TEXT(C841,"dd mmm")&amp;" "&amp;D841,
      'Valor Hora Real y Estimada'!$A$3:$Z$3,
      0
    ) + 1
  ),
  0
)</f>
        <v>0</v>
      </c>
      <c r="O841" s="453">
        <f t="shared" si="44"/>
        <v>0</v>
      </c>
      <c r="P841" s="113"/>
      <c r="Q841" s="106" t="str">
        <f>IF(ISBLANK(O841), "", VLOOKUP(C841&amp;" "&amp;D841, 'Info Tipo de Cambio y REM'!$A$24:$B$35, 2, FALSE))</f>
        <v>#N/A</v>
      </c>
      <c r="R841" s="107" t="str">
        <f t="shared" si="32"/>
        <v/>
      </c>
    </row>
    <row r="842" hidden="1">
      <c r="A842" s="443"/>
      <c r="B842" s="43" t="str">
        <f>IF(A842="", "", IFERROR(VLOOKUP(A842, Clasificaciones!A:B, 2, FALSE), "DATO NO CARGADO"))
</f>
        <v/>
      </c>
      <c r="C842" s="51"/>
      <c r="D842" s="102"/>
      <c r="E842" s="102"/>
      <c r="H842" s="102"/>
      <c r="J842" s="102"/>
      <c r="K842" s="450"/>
      <c r="L842" s="443"/>
      <c r="M842" s="450"/>
      <c r="N842" s="452">
        <f t="array" ref="N842">IFERROR(
  INDEX(
    'Valor Hora Real y Estimada'!$A$4:$Z$78,
    MATCH(TRIM(CLEAN(A842)), 'Valor Hora Real y Estimada'!$A$4:$A$78, 0),
    MATCH(
      TEXT(C842,"dd mmm")&amp;" "&amp;D842,
      'Valor Hora Real y Estimada'!$A$3:$Z$3,
      0
    ) + 1
  ),
  0
)</f>
        <v>0</v>
      </c>
      <c r="O842" s="453">
        <f t="shared" si="44"/>
        <v>0</v>
      </c>
      <c r="P842" s="113"/>
      <c r="Q842" s="106" t="str">
        <f>IF(ISBLANK(O842), "", VLOOKUP(C842&amp;" "&amp;D842, 'Info Tipo de Cambio y REM'!$A$24:$B$35, 2, FALSE))</f>
        <v>#N/A</v>
      </c>
      <c r="R842" s="107" t="str">
        <f t="shared" si="32"/>
        <v/>
      </c>
    </row>
    <row r="843" hidden="1">
      <c r="A843" s="443"/>
      <c r="B843" s="43" t="str">
        <f>IF(A843="", "", IFERROR(VLOOKUP(A843, Clasificaciones!A:B, 2, FALSE), "DATO NO CARGADO"))
</f>
        <v/>
      </c>
      <c r="C843" s="51"/>
      <c r="D843" s="102"/>
      <c r="E843" s="102"/>
      <c r="H843" s="102"/>
      <c r="J843" s="102"/>
      <c r="K843" s="450"/>
      <c r="L843" s="443"/>
      <c r="M843" s="450"/>
      <c r="N843" s="452">
        <f t="array" ref="N843">IFERROR(
  INDEX(
    'Valor Hora Real y Estimada'!$A$4:$Z$78,
    MATCH(TRIM(CLEAN(A843)), 'Valor Hora Real y Estimada'!$A$4:$A$78, 0),
    MATCH(
      TEXT(C843,"dd mmm")&amp;" "&amp;D843,
      'Valor Hora Real y Estimada'!$A$3:$Z$3,
      0
    ) + 1
  ),
  0
)</f>
        <v>0</v>
      </c>
      <c r="O843" s="453">
        <f t="shared" si="44"/>
        <v>0</v>
      </c>
      <c r="P843" s="113"/>
      <c r="Q843" s="106" t="str">
        <f>IF(ISBLANK(O843), "", VLOOKUP(C843&amp;" "&amp;D843, 'Info Tipo de Cambio y REM'!$A$24:$B$35, 2, FALSE))</f>
        <v>#N/A</v>
      </c>
      <c r="R843" s="107" t="str">
        <f t="shared" si="32"/>
        <v/>
      </c>
    </row>
    <row r="844" hidden="1">
      <c r="A844" s="443"/>
      <c r="B844" s="43" t="str">
        <f>IF(A844="", "", IFERROR(VLOOKUP(A844, Clasificaciones!A:B, 2, FALSE), "DATO NO CARGADO"))
</f>
        <v/>
      </c>
      <c r="C844" s="51"/>
      <c r="D844" s="102"/>
      <c r="E844" s="102"/>
      <c r="H844" s="102"/>
      <c r="J844" s="102"/>
      <c r="K844" s="450"/>
      <c r="L844" s="443"/>
      <c r="M844" s="450"/>
      <c r="N844" s="452">
        <f t="array" ref="N844">IFERROR(
  INDEX(
    'Valor Hora Real y Estimada'!$A$4:$Z$78,
    MATCH(TRIM(CLEAN(A844)), 'Valor Hora Real y Estimada'!$A$4:$A$78, 0),
    MATCH(
      TEXT(C844,"dd mmm")&amp;" "&amp;D844,
      'Valor Hora Real y Estimada'!$A$3:$Z$3,
      0
    ) + 1
  ),
  0
)</f>
        <v>0</v>
      </c>
      <c r="O844" s="453">
        <f t="shared" si="44"/>
        <v>0</v>
      </c>
      <c r="P844" s="113"/>
      <c r="Q844" s="106" t="str">
        <f>IF(ISBLANK(O844), "", VLOOKUP(C844&amp;" "&amp;D844, 'Info Tipo de Cambio y REM'!$A$24:$B$35, 2, FALSE))</f>
        <v>#N/A</v>
      </c>
      <c r="R844" s="107" t="str">
        <f t="shared" si="32"/>
        <v/>
      </c>
    </row>
    <row r="845" hidden="1">
      <c r="A845" s="443"/>
      <c r="B845" s="43" t="str">
        <f>IF(A845="", "", IFERROR(VLOOKUP(A845, Clasificaciones!A:B, 2, FALSE), "DATO NO CARGADO"))
</f>
        <v/>
      </c>
      <c r="C845" s="51"/>
      <c r="D845" s="102"/>
      <c r="E845" s="102"/>
      <c r="H845" s="102"/>
      <c r="J845" s="102"/>
      <c r="K845" s="450"/>
      <c r="L845" s="443"/>
      <c r="M845" s="450"/>
      <c r="N845" s="452">
        <f t="array" ref="N845">IFERROR(
  INDEX(
    'Valor Hora Real y Estimada'!$A$4:$Z$78,
    MATCH(TRIM(CLEAN(A845)), 'Valor Hora Real y Estimada'!$A$4:$A$78, 0),
    MATCH(
      TEXT(C845,"dd mmm")&amp;" "&amp;D845,
      'Valor Hora Real y Estimada'!$A$3:$Z$3,
      0
    ) + 1
  ),
  0
)</f>
        <v>0</v>
      </c>
      <c r="O845" s="453">
        <f t="shared" si="44"/>
        <v>0</v>
      </c>
      <c r="P845" s="113"/>
      <c r="Q845" s="106" t="str">
        <f>IF(ISBLANK(O845), "", VLOOKUP(C845&amp;" "&amp;D845, 'Info Tipo de Cambio y REM'!$A$24:$B$35, 2, FALSE))</f>
        <v>#N/A</v>
      </c>
      <c r="R845" s="107" t="str">
        <f t="shared" si="32"/>
        <v/>
      </c>
    </row>
    <row r="846" hidden="1">
      <c r="A846" s="443"/>
      <c r="B846" s="43" t="str">
        <f>IF(A846="", "", IFERROR(VLOOKUP(A846, Clasificaciones!A:B, 2, FALSE), "DATO NO CARGADO"))
</f>
        <v/>
      </c>
      <c r="C846" s="51"/>
      <c r="D846" s="102"/>
      <c r="E846" s="102"/>
      <c r="H846" s="102"/>
      <c r="J846" s="102"/>
      <c r="K846" s="450"/>
      <c r="L846" s="443"/>
      <c r="M846" s="450"/>
      <c r="N846" s="452">
        <f t="array" ref="N846">IFERROR(
  INDEX(
    'Valor Hora Real y Estimada'!$A$4:$Z$78,
    MATCH(TRIM(CLEAN(A846)), 'Valor Hora Real y Estimada'!$A$4:$A$78, 0),
    MATCH(
      TEXT(C846,"dd mmm")&amp;" "&amp;D846,
      'Valor Hora Real y Estimada'!$A$3:$Z$3,
      0
    ) + 1
  ),
  0
)</f>
        <v>0</v>
      </c>
      <c r="O846" s="453">
        <f t="shared" si="44"/>
        <v>0</v>
      </c>
      <c r="P846" s="113"/>
      <c r="Q846" s="106" t="str">
        <f>IF(ISBLANK(O846), "", VLOOKUP(C846&amp;" "&amp;D846, 'Info Tipo de Cambio y REM'!$A$24:$B$35, 2, FALSE))</f>
        <v>#N/A</v>
      </c>
      <c r="R846" s="107" t="str">
        <f t="shared" si="32"/>
        <v/>
      </c>
    </row>
    <row r="847" hidden="1">
      <c r="A847" s="443"/>
      <c r="B847" s="43" t="str">
        <f>IF(A847="", "", IFERROR(VLOOKUP(A847, Clasificaciones!A:B, 2, FALSE), "DATO NO CARGADO"))
</f>
        <v/>
      </c>
      <c r="C847" s="51"/>
      <c r="D847" s="102"/>
      <c r="E847" s="102"/>
      <c r="H847" s="102"/>
      <c r="J847" s="102"/>
      <c r="K847" s="450"/>
      <c r="L847" s="443"/>
      <c r="M847" s="450"/>
      <c r="N847" s="452">
        <f t="array" ref="N847">IFERROR(
  INDEX(
    'Valor Hora Real y Estimada'!$A$4:$Z$78,
    MATCH(TRIM(CLEAN(A847)), 'Valor Hora Real y Estimada'!$A$4:$A$78, 0),
    MATCH(
      TEXT(C847,"dd mmm")&amp;" "&amp;D847,
      'Valor Hora Real y Estimada'!$A$3:$Z$3,
      0
    ) + 1
  ),
  0
)</f>
        <v>0</v>
      </c>
      <c r="O847" s="453">
        <f t="shared" si="44"/>
        <v>0</v>
      </c>
      <c r="P847" s="113"/>
      <c r="Q847" s="106" t="str">
        <f>IF(ISBLANK(O847), "", VLOOKUP(C847&amp;" "&amp;D847, 'Info Tipo de Cambio y REM'!$A$24:$B$35, 2, FALSE))</f>
        <v>#N/A</v>
      </c>
      <c r="R847" s="107" t="str">
        <f t="shared" si="32"/>
        <v/>
      </c>
    </row>
    <row r="848" hidden="1">
      <c r="A848" s="443"/>
      <c r="B848" s="43" t="str">
        <f>IF(A848="", "", IFERROR(VLOOKUP(A848, Clasificaciones!A:B, 2, FALSE), "DATO NO CARGADO"))
</f>
        <v/>
      </c>
      <c r="C848" s="51"/>
      <c r="D848" s="102"/>
      <c r="E848" s="102"/>
      <c r="H848" s="102"/>
      <c r="J848" s="102"/>
      <c r="K848" s="450"/>
      <c r="L848" s="443"/>
      <c r="M848" s="450"/>
      <c r="N848" s="452">
        <f t="array" ref="N848">IFERROR(
  INDEX(
    'Valor Hora Real y Estimada'!$A$4:$Z$78,
    MATCH(TRIM(CLEAN(A848)), 'Valor Hora Real y Estimada'!$A$4:$A$78, 0),
    MATCH(
      TEXT(C848,"dd mmm")&amp;" "&amp;D848,
      'Valor Hora Real y Estimada'!$A$3:$Z$3,
      0
    ) + 1
  ),
  0
)</f>
        <v>0</v>
      </c>
      <c r="O848" s="453">
        <f t="shared" si="44"/>
        <v>0</v>
      </c>
      <c r="P848" s="113"/>
      <c r="Q848" s="106" t="str">
        <f>IF(ISBLANK(O848), "", VLOOKUP(C848&amp;" "&amp;D848, 'Info Tipo de Cambio y REM'!$A$24:$B$35, 2, FALSE))</f>
        <v>#N/A</v>
      </c>
      <c r="R848" s="107" t="str">
        <f t="shared" si="32"/>
        <v/>
      </c>
    </row>
    <row r="849" hidden="1">
      <c r="A849" s="443"/>
      <c r="B849" s="43" t="str">
        <f>IF(A849="", "", IFERROR(VLOOKUP(A849, Clasificaciones!A:B, 2, FALSE), "DATO NO CARGADO"))
</f>
        <v/>
      </c>
      <c r="C849" s="51"/>
      <c r="D849" s="102"/>
      <c r="E849" s="102"/>
      <c r="H849" s="102"/>
      <c r="J849" s="102"/>
      <c r="K849" s="450"/>
      <c r="L849" s="443"/>
      <c r="M849" s="450"/>
      <c r="N849" s="452">
        <f t="array" ref="N849">IFERROR(
  INDEX(
    'Valor Hora Real y Estimada'!$A$4:$Z$78,
    MATCH(TRIM(CLEAN(A849)), 'Valor Hora Real y Estimada'!$A$4:$A$78, 0),
    MATCH(
      TEXT(C849,"dd mmm")&amp;" "&amp;D849,
      'Valor Hora Real y Estimada'!$A$3:$Z$3,
      0
    ) + 1
  ),
  0
)</f>
        <v>0</v>
      </c>
      <c r="O849" s="453">
        <f t="shared" si="44"/>
        <v>0</v>
      </c>
      <c r="P849" s="113"/>
      <c r="Q849" s="106" t="str">
        <f>IF(ISBLANK(O849), "", VLOOKUP(C849&amp;" "&amp;D849, 'Info Tipo de Cambio y REM'!$A$24:$B$35, 2, FALSE))</f>
        <v>#N/A</v>
      </c>
      <c r="R849" s="107" t="str">
        <f t="shared" si="32"/>
        <v/>
      </c>
    </row>
    <row r="850" hidden="1">
      <c r="A850" s="443"/>
      <c r="B850" s="43" t="str">
        <f>IF(A850="", "", IFERROR(VLOOKUP(A850, Clasificaciones!A:B, 2, FALSE), "DATO NO CARGADO"))
</f>
        <v/>
      </c>
      <c r="C850" s="51"/>
      <c r="D850" s="102"/>
      <c r="E850" s="102"/>
      <c r="H850" s="102"/>
      <c r="J850" s="102"/>
      <c r="K850" s="450"/>
      <c r="L850" s="443"/>
      <c r="M850" s="450"/>
      <c r="N850" s="452">
        <f t="array" ref="N850">IFERROR(
  INDEX(
    'Valor Hora Real y Estimada'!$A$4:$Z$78,
    MATCH(TRIM(CLEAN(A850)), 'Valor Hora Real y Estimada'!$A$4:$A$78, 0),
    MATCH(
      TEXT(C850,"dd mmm")&amp;" "&amp;D850,
      'Valor Hora Real y Estimada'!$A$3:$Z$3,
      0
    ) + 1
  ),
  0
)</f>
        <v>0</v>
      </c>
      <c r="O850" s="453">
        <f t="shared" si="44"/>
        <v>0</v>
      </c>
      <c r="P850" s="113"/>
      <c r="Q850" s="106" t="str">
        <f>IF(ISBLANK(O850), "", VLOOKUP(C850&amp;" "&amp;D850, 'Info Tipo de Cambio y REM'!$A$24:$B$35, 2, FALSE))</f>
        <v>#N/A</v>
      </c>
      <c r="R850" s="107" t="str">
        <f t="shared" si="32"/>
        <v/>
      </c>
    </row>
    <row r="851" hidden="1">
      <c r="A851" s="443"/>
      <c r="B851" s="43" t="str">
        <f>IF(A851="", "", IFERROR(VLOOKUP(A851, Clasificaciones!A:B, 2, FALSE), "DATO NO CARGADO"))
</f>
        <v/>
      </c>
      <c r="C851" s="51"/>
      <c r="D851" s="102"/>
      <c r="E851" s="102"/>
      <c r="H851" s="102"/>
      <c r="J851" s="102"/>
      <c r="K851" s="450"/>
      <c r="L851" s="443"/>
      <c r="M851" s="450"/>
      <c r="N851" s="452">
        <f t="array" ref="N851">IFERROR(
  INDEX(
    'Valor Hora Real y Estimada'!$A$4:$Z$78,
    MATCH(TRIM(CLEAN(A851)), 'Valor Hora Real y Estimada'!$A$4:$A$78, 0),
    MATCH(
      TEXT(C851,"dd mmm")&amp;" "&amp;D851,
      'Valor Hora Real y Estimada'!$A$3:$Z$3,
      0
    ) + 1
  ),
  0
)</f>
        <v>0</v>
      </c>
      <c r="O851" s="453">
        <f t="shared" si="44"/>
        <v>0</v>
      </c>
      <c r="P851" s="113"/>
      <c r="Q851" s="106" t="str">
        <f>IF(ISBLANK(O851), "", VLOOKUP(C851&amp;" "&amp;D851, 'Info Tipo de Cambio y REM'!$A$24:$B$35, 2, FALSE))</f>
        <v>#N/A</v>
      </c>
      <c r="R851" s="107" t="str">
        <f t="shared" si="32"/>
        <v/>
      </c>
    </row>
    <row r="852" hidden="1">
      <c r="A852" s="443"/>
      <c r="B852" s="43" t="str">
        <f>IF(A852="", "", IFERROR(VLOOKUP(A852, Clasificaciones!A:B, 2, FALSE), "DATO NO CARGADO"))
</f>
        <v/>
      </c>
      <c r="C852" s="51"/>
      <c r="D852" s="102"/>
      <c r="E852" s="102"/>
      <c r="H852" s="102"/>
      <c r="J852" s="102"/>
      <c r="K852" s="450"/>
      <c r="L852" s="443"/>
      <c r="M852" s="450"/>
      <c r="N852" s="452">
        <f t="array" ref="N852">IFERROR(
  INDEX(
    'Valor Hora Real y Estimada'!$A$4:$Z$78,
    MATCH(TRIM(CLEAN(A852)), 'Valor Hora Real y Estimada'!$A$4:$A$78, 0),
    MATCH(
      TEXT(C852,"dd mmm")&amp;" "&amp;D852,
      'Valor Hora Real y Estimada'!$A$3:$Z$3,
      0
    ) + 1
  ),
  0
)</f>
        <v>0</v>
      </c>
      <c r="O852" s="453">
        <f t="shared" si="44"/>
        <v>0</v>
      </c>
      <c r="P852" s="113"/>
      <c r="Q852" s="106" t="str">
        <f>IF(ISBLANK(O852), "", VLOOKUP(C852&amp;" "&amp;D852, 'Info Tipo de Cambio y REM'!$A$24:$B$35, 2, FALSE))</f>
        <v>#N/A</v>
      </c>
      <c r="R852" s="107" t="str">
        <f t="shared" si="32"/>
        <v/>
      </c>
    </row>
    <row r="853" hidden="1">
      <c r="A853" s="443"/>
      <c r="B853" s="43" t="str">
        <f>IF(A853="", "", IFERROR(VLOOKUP(A853, Clasificaciones!A:B, 2, FALSE), "DATO NO CARGADO"))
</f>
        <v/>
      </c>
      <c r="C853" s="51"/>
      <c r="D853" s="102"/>
      <c r="E853" s="102"/>
      <c r="H853" s="102"/>
      <c r="J853" s="102"/>
      <c r="K853" s="450"/>
      <c r="L853" s="443"/>
      <c r="M853" s="450"/>
      <c r="N853" s="452">
        <f t="array" ref="N853">IFERROR(
  INDEX(
    'Valor Hora Real y Estimada'!$A$4:$Z$78,
    MATCH(TRIM(CLEAN(A853)), 'Valor Hora Real y Estimada'!$A$4:$A$78, 0),
    MATCH(
      TEXT(C853,"dd mmm")&amp;" "&amp;D853,
      'Valor Hora Real y Estimada'!$A$3:$Z$3,
      0
    ) + 1
  ),
  0
)</f>
        <v>0</v>
      </c>
      <c r="O853" s="453">
        <f t="shared" si="44"/>
        <v>0</v>
      </c>
      <c r="P853" s="113"/>
      <c r="Q853" s="106" t="str">
        <f>IF(ISBLANK(O853), "", VLOOKUP(C853&amp;" "&amp;D853, 'Info Tipo de Cambio y REM'!$A$24:$B$35, 2, FALSE))</f>
        <v>#N/A</v>
      </c>
      <c r="R853" s="107" t="str">
        <f t="shared" si="32"/>
        <v/>
      </c>
    </row>
    <row r="854" hidden="1">
      <c r="A854" s="443"/>
      <c r="B854" s="43" t="str">
        <f>IF(A854="", "", IFERROR(VLOOKUP(A854, Clasificaciones!A:B, 2, FALSE), "DATO NO CARGADO"))
</f>
        <v/>
      </c>
      <c r="C854" s="51"/>
      <c r="D854" s="102"/>
      <c r="E854" s="102"/>
      <c r="H854" s="102"/>
      <c r="J854" s="102"/>
      <c r="K854" s="450"/>
      <c r="L854" s="443"/>
      <c r="M854" s="450"/>
      <c r="N854" s="452">
        <f t="array" ref="N854">IFERROR(
  INDEX(
    'Valor Hora Real y Estimada'!$A$4:$Z$78,
    MATCH(TRIM(CLEAN(A854)), 'Valor Hora Real y Estimada'!$A$4:$A$78, 0),
    MATCH(
      TEXT(C854,"dd mmm")&amp;" "&amp;D854,
      'Valor Hora Real y Estimada'!$A$3:$Z$3,
      0
    ) + 1
  ),
  0
)</f>
        <v>0</v>
      </c>
      <c r="O854" s="453">
        <f t="shared" si="44"/>
        <v>0</v>
      </c>
      <c r="P854" s="113"/>
      <c r="Q854" s="106" t="str">
        <f>IF(ISBLANK(O854), "", VLOOKUP(C854&amp;" "&amp;D854, 'Info Tipo de Cambio y REM'!$A$24:$B$35, 2, FALSE))</f>
        <v>#N/A</v>
      </c>
      <c r="R854" s="107" t="str">
        <f t="shared" si="32"/>
        <v/>
      </c>
    </row>
    <row r="855" hidden="1">
      <c r="A855" s="443"/>
      <c r="B855" s="43" t="str">
        <f>IF(A855="", "", IFERROR(VLOOKUP(A855, Clasificaciones!A:B, 2, FALSE), "DATO NO CARGADO"))
</f>
        <v/>
      </c>
      <c r="C855" s="51"/>
      <c r="D855" s="102"/>
      <c r="E855" s="102"/>
      <c r="H855" s="102"/>
      <c r="J855" s="102"/>
      <c r="K855" s="450"/>
      <c r="L855" s="443"/>
      <c r="M855" s="450"/>
      <c r="N855" s="452">
        <f t="array" ref="N855">IFERROR(
  INDEX(
    'Valor Hora Real y Estimada'!$A$4:$Z$78,
    MATCH(TRIM(CLEAN(A855)), 'Valor Hora Real y Estimada'!$A$4:$A$78, 0),
    MATCH(
      TEXT(C855,"dd mmm")&amp;" "&amp;D855,
      'Valor Hora Real y Estimada'!$A$3:$Z$3,
      0
    ) + 1
  ),
  0
)</f>
        <v>0</v>
      </c>
      <c r="O855" s="453">
        <f t="shared" si="44"/>
        <v>0</v>
      </c>
      <c r="P855" s="113"/>
      <c r="Q855" s="106" t="str">
        <f>IF(ISBLANK(O855), "", VLOOKUP(C855&amp;" "&amp;D855, 'Info Tipo de Cambio y REM'!$A$24:$B$35, 2, FALSE))</f>
        <v>#N/A</v>
      </c>
      <c r="R855" s="107" t="str">
        <f t="shared" si="32"/>
        <v/>
      </c>
    </row>
    <row r="856" hidden="1">
      <c r="A856" s="443"/>
      <c r="B856" s="43" t="str">
        <f>IF(A856="", "", IFERROR(VLOOKUP(A856, Clasificaciones!A:B, 2, FALSE), "DATO NO CARGADO"))
</f>
        <v/>
      </c>
      <c r="C856" s="51"/>
      <c r="D856" s="102"/>
      <c r="E856" s="102"/>
      <c r="H856" s="102"/>
      <c r="J856" s="102"/>
      <c r="K856" s="450"/>
      <c r="L856" s="443"/>
      <c r="M856" s="450"/>
      <c r="N856" s="452">
        <f t="array" ref="N856">IFERROR(
  INDEX(
    'Valor Hora Real y Estimada'!$A$4:$Z$78,
    MATCH(TRIM(CLEAN(A856)), 'Valor Hora Real y Estimada'!$A$4:$A$78, 0),
    MATCH(
      TEXT(C856,"dd mmm")&amp;" "&amp;D856,
      'Valor Hora Real y Estimada'!$A$3:$Z$3,
      0
    ) + 1
  ),
  0
)</f>
        <v>0</v>
      </c>
      <c r="O856" s="453">
        <f t="shared" si="44"/>
        <v>0</v>
      </c>
      <c r="P856" s="113"/>
      <c r="Q856" s="106" t="str">
        <f>IF(ISBLANK(O856), "", VLOOKUP(C856&amp;" "&amp;D856, 'Info Tipo de Cambio y REM'!$A$24:$B$35, 2, FALSE))</f>
        <v>#N/A</v>
      </c>
      <c r="R856" s="107" t="str">
        <f t="shared" si="32"/>
        <v/>
      </c>
    </row>
    <row r="857" hidden="1">
      <c r="A857" s="443"/>
      <c r="B857" s="43" t="str">
        <f>IF(A857="", "", IFERROR(VLOOKUP(A857, Clasificaciones!A:B, 2, FALSE), "DATO NO CARGADO"))
</f>
        <v/>
      </c>
      <c r="C857" s="51"/>
      <c r="D857" s="102"/>
      <c r="E857" s="102"/>
      <c r="H857" s="102"/>
      <c r="J857" s="102"/>
      <c r="K857" s="450"/>
      <c r="L857" s="443"/>
      <c r="M857" s="450"/>
      <c r="N857" s="452">
        <f t="array" ref="N857">IFERROR(
  INDEX(
    'Valor Hora Real y Estimada'!$A$4:$Z$78,
    MATCH(TRIM(CLEAN(A857)), 'Valor Hora Real y Estimada'!$A$4:$A$78, 0),
    MATCH(
      TEXT(C857,"dd mmm")&amp;" "&amp;D857,
      'Valor Hora Real y Estimada'!$A$3:$Z$3,
      0
    ) + 1
  ),
  0
)</f>
        <v>0</v>
      </c>
      <c r="O857" s="453">
        <f t="shared" si="44"/>
        <v>0</v>
      </c>
      <c r="P857" s="113"/>
      <c r="Q857" s="106" t="str">
        <f>IF(ISBLANK(O857), "", VLOOKUP(C857&amp;" "&amp;D857, 'Info Tipo de Cambio y REM'!$A$24:$B$35, 2, FALSE))</f>
        <v>#N/A</v>
      </c>
      <c r="R857" s="107" t="str">
        <f t="shared" si="32"/>
        <v/>
      </c>
    </row>
    <row r="858" hidden="1">
      <c r="A858" s="443"/>
      <c r="B858" s="43" t="str">
        <f>IF(A858="", "", IFERROR(VLOOKUP(A858, Clasificaciones!A:B, 2, FALSE), "DATO NO CARGADO"))
</f>
        <v/>
      </c>
      <c r="C858" s="51"/>
      <c r="D858" s="102"/>
      <c r="E858" s="102"/>
      <c r="H858" s="102"/>
      <c r="J858" s="102"/>
      <c r="K858" s="450"/>
      <c r="L858" s="443"/>
      <c r="M858" s="450"/>
      <c r="N858" s="452">
        <f t="array" ref="N858">IFERROR(
  INDEX(
    'Valor Hora Real y Estimada'!$A$4:$Z$78,
    MATCH(TRIM(CLEAN(A858)), 'Valor Hora Real y Estimada'!$A$4:$A$78, 0),
    MATCH(
      TEXT(C858,"dd mmm")&amp;" "&amp;D858,
      'Valor Hora Real y Estimada'!$A$3:$Z$3,
      0
    ) + 1
  ),
  0
)</f>
        <v>0</v>
      </c>
      <c r="O858" s="453">
        <f t="shared" si="44"/>
        <v>0</v>
      </c>
      <c r="P858" s="113"/>
      <c r="Q858" s="106" t="str">
        <f>IF(ISBLANK(O858), "", VLOOKUP(C858&amp;" "&amp;D858, 'Info Tipo de Cambio y REM'!$A$24:$B$35, 2, FALSE))</f>
        <v>#N/A</v>
      </c>
      <c r="R858" s="107" t="str">
        <f t="shared" si="32"/>
        <v/>
      </c>
    </row>
    <row r="859" hidden="1">
      <c r="A859" s="443"/>
      <c r="B859" s="43" t="str">
        <f>IF(A859="", "", IFERROR(VLOOKUP(A859, Clasificaciones!A:B, 2, FALSE), "DATO NO CARGADO"))
</f>
        <v/>
      </c>
      <c r="C859" s="51"/>
      <c r="D859" s="102"/>
      <c r="E859" s="102"/>
      <c r="H859" s="102"/>
      <c r="J859" s="102"/>
      <c r="K859" s="450"/>
      <c r="L859" s="443"/>
      <c r="M859" s="450"/>
      <c r="N859" s="452">
        <f t="array" ref="N859">IFERROR(
  INDEX(
    'Valor Hora Real y Estimada'!$A$4:$Z$78,
    MATCH(TRIM(CLEAN(A859)), 'Valor Hora Real y Estimada'!$A$4:$A$78, 0),
    MATCH(
      TEXT(C859,"dd mmm")&amp;" "&amp;D859,
      'Valor Hora Real y Estimada'!$A$3:$Z$3,
      0
    ) + 1
  ),
  0
)</f>
        <v>0</v>
      </c>
      <c r="O859" s="453">
        <f t="shared" si="44"/>
        <v>0</v>
      </c>
      <c r="P859" s="113"/>
      <c r="Q859" s="106" t="str">
        <f>IF(ISBLANK(O859), "", VLOOKUP(C859&amp;" "&amp;D859, 'Info Tipo de Cambio y REM'!$A$24:$B$35, 2, FALSE))</f>
        <v>#N/A</v>
      </c>
      <c r="R859" s="107" t="str">
        <f t="shared" si="32"/>
        <v/>
      </c>
    </row>
    <row r="860" hidden="1">
      <c r="A860" s="443"/>
      <c r="B860" s="43" t="str">
        <f>IF(A860="", "", IFERROR(VLOOKUP(A860, Clasificaciones!A:B, 2, FALSE), "DATO NO CARGADO"))
</f>
        <v/>
      </c>
      <c r="C860" s="51"/>
      <c r="D860" s="102"/>
      <c r="E860" s="102"/>
      <c r="H860" s="102"/>
      <c r="J860" s="102"/>
      <c r="K860" s="450"/>
      <c r="L860" s="443"/>
      <c r="M860" s="450"/>
      <c r="N860" s="452">
        <f t="array" ref="N860">IFERROR(
  INDEX(
    'Valor Hora Real y Estimada'!$A$4:$Z$78,
    MATCH(TRIM(CLEAN(A860)), 'Valor Hora Real y Estimada'!$A$4:$A$78, 0),
    MATCH(
      TEXT(C860,"dd mmm")&amp;" "&amp;D860,
      'Valor Hora Real y Estimada'!$A$3:$Z$3,
      0
    ) + 1
  ),
  0
)</f>
        <v>0</v>
      </c>
      <c r="O860" s="453">
        <f t="shared" si="44"/>
        <v>0</v>
      </c>
      <c r="P860" s="113"/>
      <c r="Q860" s="106" t="str">
        <f>IF(ISBLANK(O860), "", VLOOKUP(C860&amp;" "&amp;D860, 'Info Tipo de Cambio y REM'!$A$24:$B$35, 2, FALSE))</f>
        <v>#N/A</v>
      </c>
      <c r="R860" s="107" t="str">
        <f t="shared" si="32"/>
        <v/>
      </c>
    </row>
    <row r="861" hidden="1">
      <c r="A861" s="443"/>
      <c r="B861" s="43" t="str">
        <f>IF(A861="", "", IFERROR(VLOOKUP(A861, Clasificaciones!A:B, 2, FALSE), "DATO NO CARGADO"))
</f>
        <v/>
      </c>
      <c r="C861" s="51"/>
      <c r="D861" s="102"/>
      <c r="E861" s="102"/>
      <c r="H861" s="102"/>
      <c r="J861" s="102"/>
      <c r="K861" s="450"/>
      <c r="L861" s="443"/>
      <c r="M861" s="450"/>
      <c r="N861" s="452">
        <f t="array" ref="N861">IFERROR(
  INDEX(
    'Valor Hora Real y Estimada'!$A$4:$Z$78,
    MATCH(TRIM(CLEAN(A861)), 'Valor Hora Real y Estimada'!$A$4:$A$78, 0),
    MATCH(
      TEXT(C861,"dd mmm")&amp;" "&amp;D861,
      'Valor Hora Real y Estimada'!$A$3:$Z$3,
      0
    ) + 1
  ),
  0
)</f>
        <v>0</v>
      </c>
      <c r="O861" s="453">
        <f t="shared" si="44"/>
        <v>0</v>
      </c>
      <c r="P861" s="113"/>
      <c r="Q861" s="106" t="str">
        <f>IF(ISBLANK(O861), "", VLOOKUP(C861&amp;" "&amp;D861, 'Info Tipo de Cambio y REM'!$A$24:$B$35, 2, FALSE))</f>
        <v>#N/A</v>
      </c>
      <c r="R861" s="107" t="str">
        <f t="shared" si="32"/>
        <v/>
      </c>
    </row>
    <row r="862" hidden="1">
      <c r="A862" s="443"/>
      <c r="B862" s="43" t="str">
        <f>IF(A862="", "", IFERROR(VLOOKUP(A862, Clasificaciones!A:B, 2, FALSE), "DATO NO CARGADO"))
</f>
        <v/>
      </c>
      <c r="C862" s="51"/>
      <c r="D862" s="102"/>
      <c r="E862" s="102"/>
      <c r="H862" s="102"/>
      <c r="J862" s="102"/>
      <c r="K862" s="450"/>
      <c r="L862" s="443"/>
      <c r="M862" s="450"/>
      <c r="N862" s="452">
        <f t="array" ref="N862">IFERROR(
  INDEX(
    'Valor Hora Real y Estimada'!$A$4:$Z$78,
    MATCH(TRIM(CLEAN(A862)), 'Valor Hora Real y Estimada'!$A$4:$A$78, 0),
    MATCH(
      TEXT(C862,"dd mmm")&amp;" "&amp;D862,
      'Valor Hora Real y Estimada'!$A$3:$Z$3,
      0
    ) + 1
  ),
  0
)</f>
        <v>0</v>
      </c>
      <c r="O862" s="453">
        <f t="shared" si="44"/>
        <v>0</v>
      </c>
      <c r="P862" s="113"/>
      <c r="Q862" s="106" t="str">
        <f>IF(ISBLANK(O862), "", VLOOKUP(C862&amp;" "&amp;D862, 'Info Tipo de Cambio y REM'!$A$24:$B$35, 2, FALSE))</f>
        <v>#N/A</v>
      </c>
      <c r="R862" s="107" t="str">
        <f t="shared" si="32"/>
        <v/>
      </c>
    </row>
    <row r="863" hidden="1">
      <c r="A863" s="443"/>
      <c r="B863" s="43" t="str">
        <f>IF(A863="", "", IFERROR(VLOOKUP(A863, Clasificaciones!A:B, 2, FALSE), "DATO NO CARGADO"))
</f>
        <v/>
      </c>
      <c r="C863" s="51"/>
      <c r="D863" s="102"/>
      <c r="E863" s="102"/>
      <c r="H863" s="102"/>
      <c r="J863" s="102"/>
      <c r="K863" s="450"/>
      <c r="L863" s="443"/>
      <c r="M863" s="450"/>
      <c r="N863" s="452">
        <f t="array" ref="N863">IFERROR(
  INDEX(
    'Valor Hora Real y Estimada'!$A$4:$Z$78,
    MATCH(TRIM(CLEAN(A863)), 'Valor Hora Real y Estimada'!$A$4:$A$78, 0),
    MATCH(
      TEXT(C863,"dd mmm")&amp;" "&amp;D863,
      'Valor Hora Real y Estimada'!$A$3:$Z$3,
      0
    ) + 1
  ),
  0
)</f>
        <v>0</v>
      </c>
      <c r="O863" s="453">
        <f t="shared" si="44"/>
        <v>0</v>
      </c>
      <c r="P863" s="113"/>
      <c r="Q863" s="106" t="str">
        <f>IF(ISBLANK(O863), "", VLOOKUP(C863&amp;" "&amp;D863, 'Info Tipo de Cambio y REM'!$A$24:$B$35, 2, FALSE))</f>
        <v>#N/A</v>
      </c>
      <c r="R863" s="107" t="str">
        <f t="shared" si="32"/>
        <v/>
      </c>
    </row>
    <row r="864" hidden="1">
      <c r="A864" s="443"/>
      <c r="B864" s="43" t="str">
        <f>IF(A864="", "", IFERROR(VLOOKUP(A864, Clasificaciones!A:B, 2, FALSE), "DATO NO CARGADO"))
</f>
        <v/>
      </c>
      <c r="C864" s="51"/>
      <c r="D864" s="102"/>
      <c r="E864" s="102"/>
      <c r="H864" s="102"/>
      <c r="J864" s="102"/>
      <c r="K864" s="450"/>
      <c r="L864" s="443"/>
      <c r="M864" s="450"/>
      <c r="N864" s="452">
        <f t="array" ref="N864">IFERROR(
  INDEX(
    'Valor Hora Real y Estimada'!$A$4:$Z$78,
    MATCH(TRIM(CLEAN(A864)), 'Valor Hora Real y Estimada'!$A$4:$A$78, 0),
    MATCH(
      TEXT(C864,"dd mmm")&amp;" "&amp;D864,
      'Valor Hora Real y Estimada'!$A$3:$Z$3,
      0
    ) + 1
  ),
  0
)</f>
        <v>0</v>
      </c>
      <c r="O864" s="453">
        <f t="shared" si="44"/>
        <v>0</v>
      </c>
      <c r="P864" s="113"/>
      <c r="Q864" s="106" t="str">
        <f>IF(ISBLANK(O864), "", VLOOKUP(C864&amp;" "&amp;D864, 'Info Tipo de Cambio y REM'!$A$24:$B$35, 2, FALSE))</f>
        <v>#N/A</v>
      </c>
      <c r="R864" s="107" t="str">
        <f t="shared" si="32"/>
        <v/>
      </c>
    </row>
    <row r="865" hidden="1">
      <c r="A865" s="443"/>
      <c r="B865" s="43" t="str">
        <f>IF(A865="", "", IFERROR(VLOOKUP(A865, Clasificaciones!A:B, 2, FALSE), "DATO NO CARGADO"))
</f>
        <v/>
      </c>
      <c r="C865" s="51"/>
      <c r="D865" s="102"/>
      <c r="E865" s="102"/>
      <c r="H865" s="102"/>
      <c r="J865" s="102"/>
      <c r="K865" s="450"/>
      <c r="L865" s="443"/>
      <c r="M865" s="450"/>
      <c r="N865" s="452">
        <f t="array" ref="N865">IFERROR(
  INDEX(
    'Valor Hora Real y Estimada'!$A$4:$Z$78,
    MATCH(TRIM(CLEAN(A865)), 'Valor Hora Real y Estimada'!$A$4:$A$78, 0),
    MATCH(
      TEXT(C865,"dd mmm")&amp;" "&amp;D865,
      'Valor Hora Real y Estimada'!$A$3:$Z$3,
      0
    ) + 1
  ),
  0
)</f>
        <v>0</v>
      </c>
      <c r="O865" s="453">
        <f t="shared" si="44"/>
        <v>0</v>
      </c>
      <c r="P865" s="113"/>
      <c r="Q865" s="106" t="str">
        <f>IF(ISBLANK(O865), "", VLOOKUP(C865&amp;" "&amp;D865, 'Info Tipo de Cambio y REM'!$A$24:$B$35, 2, FALSE))</f>
        <v>#N/A</v>
      </c>
      <c r="R865" s="107" t="str">
        <f t="shared" si="32"/>
        <v/>
      </c>
    </row>
    <row r="866" hidden="1">
      <c r="A866" s="443"/>
      <c r="B866" s="43" t="str">
        <f>IF(A866="", "", IFERROR(VLOOKUP(A866, Clasificaciones!A:B, 2, FALSE), "DATO NO CARGADO"))
</f>
        <v/>
      </c>
      <c r="C866" s="51"/>
      <c r="D866" s="102"/>
      <c r="E866" s="102"/>
      <c r="H866" s="102"/>
      <c r="J866" s="102"/>
      <c r="K866" s="450"/>
      <c r="L866" s="443"/>
      <c r="M866" s="450"/>
      <c r="N866" s="452">
        <f t="array" ref="N866">IFERROR(
  INDEX(
    'Valor Hora Real y Estimada'!$A$4:$Z$78,
    MATCH(TRIM(CLEAN(A866)), 'Valor Hora Real y Estimada'!$A$4:$A$78, 0),
    MATCH(
      TEXT(C866,"dd mmm")&amp;" "&amp;D866,
      'Valor Hora Real y Estimada'!$A$3:$Z$3,
      0
    ) + 1
  ),
  0
)</f>
        <v>0</v>
      </c>
      <c r="O866" s="453">
        <f t="shared" si="44"/>
        <v>0</v>
      </c>
      <c r="P866" s="113"/>
      <c r="Q866" s="106" t="str">
        <f>IF(ISBLANK(O866), "", VLOOKUP(C866&amp;" "&amp;D866, 'Info Tipo de Cambio y REM'!$A$24:$B$35, 2, FALSE))</f>
        <v>#N/A</v>
      </c>
      <c r="R866" s="107" t="str">
        <f t="shared" si="32"/>
        <v/>
      </c>
    </row>
    <row r="867" hidden="1">
      <c r="A867" s="443"/>
      <c r="B867" s="43" t="str">
        <f>IF(A867="", "", IFERROR(VLOOKUP(A867, Clasificaciones!A:B, 2, FALSE), "DATO NO CARGADO"))
</f>
        <v/>
      </c>
      <c r="C867" s="51"/>
      <c r="D867" s="102"/>
      <c r="E867" s="102"/>
      <c r="H867" s="102"/>
      <c r="J867" s="102"/>
      <c r="K867" s="450"/>
      <c r="L867" s="443"/>
      <c r="M867" s="450"/>
      <c r="N867" s="452">
        <f t="array" ref="N867">IFERROR(
  INDEX(
    'Valor Hora Real y Estimada'!$A$4:$Z$78,
    MATCH(TRIM(CLEAN(A867)), 'Valor Hora Real y Estimada'!$A$4:$A$78, 0),
    MATCH(
      TEXT(C867,"dd mmm")&amp;" "&amp;D867,
      'Valor Hora Real y Estimada'!$A$3:$Z$3,
      0
    ) + 1
  ),
  0
)</f>
        <v>0</v>
      </c>
      <c r="O867" s="453">
        <f t="shared" si="44"/>
        <v>0</v>
      </c>
      <c r="P867" s="113"/>
      <c r="Q867" s="106" t="str">
        <f>IF(ISBLANK(O867), "", VLOOKUP(C867&amp;" "&amp;D867, 'Info Tipo de Cambio y REM'!$A$24:$B$35, 2, FALSE))</f>
        <v>#N/A</v>
      </c>
      <c r="R867" s="107" t="str">
        <f t="shared" si="32"/>
        <v/>
      </c>
    </row>
    <row r="868" hidden="1">
      <c r="A868" s="443"/>
      <c r="B868" s="43" t="str">
        <f>IF(A868="", "", IFERROR(VLOOKUP(A868, Clasificaciones!A:B, 2, FALSE), "DATO NO CARGADO"))
</f>
        <v/>
      </c>
      <c r="C868" s="51"/>
      <c r="D868" s="102"/>
      <c r="E868" s="102"/>
      <c r="H868" s="102"/>
      <c r="J868" s="102"/>
      <c r="K868" s="450"/>
      <c r="L868" s="443"/>
      <c r="M868" s="450"/>
      <c r="N868" s="452">
        <f t="array" ref="N868">IFERROR(
  INDEX(
    'Valor Hora Real y Estimada'!$A$4:$Z$78,
    MATCH(TRIM(CLEAN(A868)), 'Valor Hora Real y Estimada'!$A$4:$A$78, 0),
    MATCH(
      TEXT(C868,"dd mmm")&amp;" "&amp;D868,
      'Valor Hora Real y Estimada'!$A$3:$Z$3,
      0
    ) + 1
  ),
  0
)</f>
        <v>0</v>
      </c>
      <c r="O868" s="453">
        <f t="shared" si="44"/>
        <v>0</v>
      </c>
      <c r="P868" s="113"/>
      <c r="Q868" s="106" t="str">
        <f>IF(ISBLANK(O868), "", VLOOKUP(C868&amp;" "&amp;D868, 'Info Tipo de Cambio y REM'!$A$24:$B$35, 2, FALSE))</f>
        <v>#N/A</v>
      </c>
      <c r="R868" s="107" t="str">
        <f t="shared" si="32"/>
        <v/>
      </c>
    </row>
    <row r="869" hidden="1">
      <c r="A869" s="443"/>
      <c r="B869" s="43" t="str">
        <f>IF(A869="", "", IFERROR(VLOOKUP(A869, Clasificaciones!A:B, 2, FALSE), "DATO NO CARGADO"))
</f>
        <v/>
      </c>
      <c r="C869" s="51"/>
      <c r="D869" s="102"/>
      <c r="E869" s="102"/>
      <c r="H869" s="102"/>
      <c r="J869" s="102"/>
      <c r="K869" s="450"/>
      <c r="L869" s="443"/>
      <c r="M869" s="450"/>
      <c r="N869" s="452">
        <f t="array" ref="N869">IFERROR(
  INDEX(
    'Valor Hora Real y Estimada'!$A$4:$Z$78,
    MATCH(TRIM(CLEAN(A869)), 'Valor Hora Real y Estimada'!$A$4:$A$78, 0),
    MATCH(
      TEXT(C869,"dd mmm")&amp;" "&amp;D869,
      'Valor Hora Real y Estimada'!$A$3:$Z$3,
      0
    ) + 1
  ),
  0
)</f>
        <v>0</v>
      </c>
      <c r="O869" s="453">
        <f t="shared" si="44"/>
        <v>0</v>
      </c>
      <c r="P869" s="113"/>
      <c r="Q869" s="106" t="str">
        <f>IF(ISBLANK(O869), "", VLOOKUP(C869&amp;" "&amp;D869, 'Info Tipo de Cambio y REM'!$A$24:$B$35, 2, FALSE))</f>
        <v>#N/A</v>
      </c>
      <c r="R869" s="107" t="str">
        <f t="shared" si="32"/>
        <v/>
      </c>
    </row>
    <row r="870" hidden="1">
      <c r="A870" s="443"/>
      <c r="B870" s="43" t="str">
        <f>IF(A870="", "", IFERROR(VLOOKUP(A870, Clasificaciones!A:B, 2, FALSE), "DATO NO CARGADO"))
</f>
        <v/>
      </c>
      <c r="C870" s="51"/>
      <c r="D870" s="102"/>
      <c r="E870" s="102"/>
      <c r="H870" s="102"/>
      <c r="J870" s="102"/>
      <c r="K870" s="450"/>
      <c r="L870" s="443"/>
      <c r="M870" s="450"/>
      <c r="N870" s="452">
        <f t="array" ref="N870">IFERROR(
  INDEX(
    'Valor Hora Real y Estimada'!$A$4:$Z$78,
    MATCH(TRIM(CLEAN(A870)), 'Valor Hora Real y Estimada'!$A$4:$A$78, 0),
    MATCH(
      TEXT(C870,"dd mmm")&amp;" "&amp;D870,
      'Valor Hora Real y Estimada'!$A$3:$Z$3,
      0
    ) + 1
  ),
  0
)</f>
        <v>0</v>
      </c>
      <c r="O870" s="453">
        <f t="shared" si="44"/>
        <v>0</v>
      </c>
      <c r="P870" s="113"/>
      <c r="Q870" s="106" t="str">
        <f>IF(ISBLANK(O870), "", VLOOKUP(C870&amp;" "&amp;D870, 'Info Tipo de Cambio y REM'!$A$24:$B$35, 2, FALSE))</f>
        <v>#N/A</v>
      </c>
      <c r="R870" s="107" t="str">
        <f t="shared" si="32"/>
        <v/>
      </c>
    </row>
    <row r="871" hidden="1">
      <c r="A871" s="443"/>
      <c r="B871" s="43" t="str">
        <f>IF(A871="", "", IFERROR(VLOOKUP(A871, Clasificaciones!A:B, 2, FALSE), "DATO NO CARGADO"))
</f>
        <v/>
      </c>
      <c r="C871" s="51"/>
      <c r="D871" s="102"/>
      <c r="E871" s="102"/>
      <c r="H871" s="102"/>
      <c r="J871" s="102"/>
      <c r="K871" s="450"/>
      <c r="L871" s="443"/>
      <c r="M871" s="450"/>
      <c r="N871" s="452">
        <f t="array" ref="N871">IFERROR(
  INDEX(
    'Valor Hora Real y Estimada'!$A$4:$Z$78,
    MATCH(TRIM(CLEAN(A871)), 'Valor Hora Real y Estimada'!$A$4:$A$78, 0),
    MATCH(
      TEXT(C871,"dd mmm")&amp;" "&amp;D871,
      'Valor Hora Real y Estimada'!$A$3:$Z$3,
      0
    ) + 1
  ),
  0
)</f>
        <v>0</v>
      </c>
      <c r="O871" s="453">
        <f t="shared" si="44"/>
        <v>0</v>
      </c>
      <c r="P871" s="113"/>
      <c r="Q871" s="106" t="str">
        <f>IF(ISBLANK(O871), "", VLOOKUP(C871&amp;" "&amp;D871, 'Info Tipo de Cambio y REM'!$A$24:$B$35, 2, FALSE))</f>
        <v>#N/A</v>
      </c>
      <c r="R871" s="107" t="str">
        <f t="shared" si="32"/>
        <v/>
      </c>
    </row>
    <row r="872" hidden="1">
      <c r="A872" s="443"/>
      <c r="B872" s="43" t="str">
        <f>IF(A872="", "", IFERROR(VLOOKUP(A872, Clasificaciones!A:B, 2, FALSE), "DATO NO CARGADO"))
</f>
        <v/>
      </c>
      <c r="C872" s="51"/>
      <c r="D872" s="102"/>
      <c r="E872" s="102"/>
      <c r="H872" s="102"/>
      <c r="J872" s="102"/>
      <c r="K872" s="450"/>
      <c r="L872" s="443"/>
      <c r="M872" s="450"/>
      <c r="N872" s="452">
        <f t="array" ref="N872">IFERROR(
  INDEX(
    'Valor Hora Real y Estimada'!$A$4:$Z$78,
    MATCH(TRIM(CLEAN(A872)), 'Valor Hora Real y Estimada'!$A$4:$A$78, 0),
    MATCH(
      TEXT(C872,"dd mmm")&amp;" "&amp;D872,
      'Valor Hora Real y Estimada'!$A$3:$Z$3,
      0
    ) + 1
  ),
  0
)</f>
        <v>0</v>
      </c>
      <c r="O872" s="453">
        <f t="shared" si="44"/>
        <v>0</v>
      </c>
      <c r="P872" s="113"/>
      <c r="Q872" s="106" t="str">
        <f>IF(ISBLANK(O872), "", VLOOKUP(C872&amp;" "&amp;D872, 'Info Tipo de Cambio y REM'!$A$24:$B$35, 2, FALSE))</f>
        <v>#N/A</v>
      </c>
      <c r="R872" s="107" t="str">
        <f t="shared" si="32"/>
        <v/>
      </c>
    </row>
    <row r="873" hidden="1">
      <c r="A873" s="443"/>
      <c r="B873" s="43" t="str">
        <f>IF(A873="", "", IFERROR(VLOOKUP(A873, Clasificaciones!A:B, 2, FALSE), "DATO NO CARGADO"))
</f>
        <v/>
      </c>
      <c r="C873" s="51"/>
      <c r="D873" s="102"/>
      <c r="E873" s="102"/>
      <c r="H873" s="102"/>
      <c r="J873" s="102"/>
      <c r="K873" s="450"/>
      <c r="L873" s="443"/>
      <c r="M873" s="450"/>
      <c r="N873" s="452">
        <f t="array" ref="N873">IFERROR(
  INDEX(
    'Valor Hora Real y Estimada'!$A$4:$Z$78,
    MATCH(TRIM(CLEAN(A873)), 'Valor Hora Real y Estimada'!$A$4:$A$78, 0),
    MATCH(
      TEXT(C873,"dd mmm")&amp;" "&amp;D873,
      'Valor Hora Real y Estimada'!$A$3:$Z$3,
      0
    ) + 1
  ),
  0
)</f>
        <v>0</v>
      </c>
      <c r="O873" s="453">
        <f t="shared" si="44"/>
        <v>0</v>
      </c>
      <c r="P873" s="113"/>
      <c r="Q873" s="106" t="str">
        <f>IF(ISBLANK(O873), "", VLOOKUP(C873&amp;" "&amp;D873, 'Info Tipo de Cambio y REM'!$A$24:$B$35, 2, FALSE))</f>
        <v>#N/A</v>
      </c>
      <c r="R873" s="107" t="str">
        <f t="shared" si="32"/>
        <v/>
      </c>
    </row>
    <row r="874" hidden="1">
      <c r="A874" s="443"/>
      <c r="B874" s="43" t="str">
        <f>IF(A874="", "", IFERROR(VLOOKUP(A874, Clasificaciones!A:B, 2, FALSE), "DATO NO CARGADO"))
</f>
        <v/>
      </c>
      <c r="C874" s="51"/>
      <c r="D874" s="102"/>
      <c r="E874" s="102"/>
      <c r="H874" s="102"/>
      <c r="J874" s="102"/>
      <c r="K874" s="450"/>
      <c r="L874" s="443"/>
      <c r="M874" s="450"/>
      <c r="N874" s="452">
        <f t="array" ref="N874">IFERROR(
  INDEX(
    'Valor Hora Real y Estimada'!$A$4:$Z$78,
    MATCH(TRIM(CLEAN(A874)), 'Valor Hora Real y Estimada'!$A$4:$A$78, 0),
    MATCH(
      TEXT(C874,"dd mmm")&amp;" "&amp;D874,
      'Valor Hora Real y Estimada'!$A$3:$Z$3,
      0
    ) + 1
  ),
  0
)</f>
        <v>0</v>
      </c>
      <c r="O874" s="453">
        <f t="shared" si="44"/>
        <v>0</v>
      </c>
      <c r="P874" s="113"/>
      <c r="Q874" s="106" t="str">
        <f>IF(ISBLANK(O874), "", VLOOKUP(C874&amp;" "&amp;D874, 'Info Tipo de Cambio y REM'!$A$24:$B$35, 2, FALSE))</f>
        <v>#N/A</v>
      </c>
      <c r="R874" s="107" t="str">
        <f t="shared" si="32"/>
        <v/>
      </c>
    </row>
    <row r="875" hidden="1">
      <c r="A875" s="443"/>
      <c r="B875" s="43" t="str">
        <f>IF(A875="", "", IFERROR(VLOOKUP(A875, Clasificaciones!A:B, 2, FALSE), "DATO NO CARGADO"))
</f>
        <v/>
      </c>
      <c r="C875" s="51"/>
      <c r="D875" s="102"/>
      <c r="E875" s="102"/>
      <c r="H875" s="102"/>
      <c r="J875" s="102"/>
      <c r="K875" s="450"/>
      <c r="L875" s="443"/>
      <c r="M875" s="450"/>
      <c r="N875" s="452">
        <f t="array" ref="N875">IFERROR(
  INDEX(
    'Valor Hora Real y Estimada'!$A$4:$Z$78,
    MATCH(TRIM(CLEAN(A875)), 'Valor Hora Real y Estimada'!$A$4:$A$78, 0),
    MATCH(
      TEXT(C875,"dd mmm")&amp;" "&amp;D875,
      'Valor Hora Real y Estimada'!$A$3:$Z$3,
      0
    ) + 1
  ),
  0
)</f>
        <v>0</v>
      </c>
      <c r="O875" s="453">
        <f t="shared" si="44"/>
        <v>0</v>
      </c>
      <c r="P875" s="113"/>
      <c r="Q875" s="106" t="str">
        <f>IF(ISBLANK(O875), "", VLOOKUP(C875&amp;" "&amp;D875, 'Info Tipo de Cambio y REM'!$A$24:$B$35, 2, FALSE))</f>
        <v>#N/A</v>
      </c>
      <c r="R875" s="107" t="str">
        <f t="shared" si="32"/>
        <v/>
      </c>
    </row>
    <row r="876" hidden="1">
      <c r="A876" s="443"/>
      <c r="B876" s="43" t="str">
        <f>IF(A876="", "", IFERROR(VLOOKUP(A876, Clasificaciones!A:B, 2, FALSE), "DATO NO CARGADO"))
</f>
        <v/>
      </c>
      <c r="C876" s="51"/>
      <c r="D876" s="102"/>
      <c r="E876" s="102"/>
      <c r="H876" s="102"/>
      <c r="J876" s="102"/>
      <c r="K876" s="450"/>
      <c r="L876" s="443"/>
      <c r="M876" s="450"/>
      <c r="N876" s="452">
        <f t="array" ref="N876">IFERROR(
  INDEX(
    'Valor Hora Real y Estimada'!$A$4:$Z$78,
    MATCH(TRIM(CLEAN(A876)), 'Valor Hora Real y Estimada'!$A$4:$A$78, 0),
    MATCH(
      TEXT(C876,"dd mmm")&amp;" "&amp;D876,
      'Valor Hora Real y Estimada'!$A$3:$Z$3,
      0
    ) + 1
  ),
  0
)</f>
        <v>0</v>
      </c>
      <c r="O876" s="453">
        <f t="shared" si="44"/>
        <v>0</v>
      </c>
      <c r="P876" s="113"/>
      <c r="Q876" s="106" t="str">
        <f>IF(ISBLANK(O876), "", VLOOKUP(C876&amp;" "&amp;D876, 'Info Tipo de Cambio y REM'!$A$24:$B$35, 2, FALSE))</f>
        <v>#N/A</v>
      </c>
      <c r="R876" s="107" t="str">
        <f t="shared" si="32"/>
        <v/>
      </c>
    </row>
    <row r="877" hidden="1">
      <c r="A877" s="443"/>
      <c r="B877" s="43" t="str">
        <f>IF(A877="", "", IFERROR(VLOOKUP(A877, Clasificaciones!A:B, 2, FALSE), "DATO NO CARGADO"))
</f>
        <v/>
      </c>
      <c r="C877" s="51"/>
      <c r="D877" s="102"/>
      <c r="E877" s="102"/>
      <c r="H877" s="102"/>
      <c r="J877" s="102"/>
      <c r="K877" s="450"/>
      <c r="L877" s="443"/>
      <c r="M877" s="450"/>
      <c r="N877" s="452">
        <f t="array" ref="N877">IFERROR(
  INDEX(
    'Valor Hora Real y Estimada'!$A$4:$Z$78,
    MATCH(TRIM(CLEAN(A877)), 'Valor Hora Real y Estimada'!$A$4:$A$78, 0),
    MATCH(
      TEXT(C877,"dd mmm")&amp;" "&amp;D877,
      'Valor Hora Real y Estimada'!$A$3:$Z$3,
      0
    ) + 1
  ),
  0
)</f>
        <v>0</v>
      </c>
      <c r="O877" s="453">
        <f t="shared" si="44"/>
        <v>0</v>
      </c>
      <c r="P877" s="113"/>
      <c r="Q877" s="106" t="str">
        <f>IF(ISBLANK(O877), "", VLOOKUP(C877&amp;" "&amp;D877, 'Info Tipo de Cambio y REM'!$A$24:$B$35, 2, FALSE))</f>
        <v>#N/A</v>
      </c>
      <c r="R877" s="107" t="str">
        <f t="shared" si="32"/>
        <v/>
      </c>
    </row>
    <row r="878" hidden="1">
      <c r="A878" s="443"/>
      <c r="B878" s="43" t="str">
        <f>IF(A878="", "", IFERROR(VLOOKUP(A878, Clasificaciones!A:B, 2, FALSE), "DATO NO CARGADO"))
</f>
        <v/>
      </c>
      <c r="C878" s="51"/>
      <c r="D878" s="102"/>
      <c r="E878" s="102"/>
      <c r="H878" s="102"/>
      <c r="J878" s="102"/>
      <c r="K878" s="450"/>
      <c r="L878" s="443"/>
      <c r="M878" s="450"/>
      <c r="N878" s="452">
        <f t="array" ref="N878">IFERROR(
  INDEX(
    'Valor Hora Real y Estimada'!$A$4:$Z$78,
    MATCH(TRIM(CLEAN(A878)), 'Valor Hora Real y Estimada'!$A$4:$A$78, 0),
    MATCH(
      TEXT(C878,"dd mmm")&amp;" "&amp;D878,
      'Valor Hora Real y Estimada'!$A$3:$Z$3,
      0
    ) + 1
  ),
  0
)</f>
        <v>0</v>
      </c>
      <c r="O878" s="453">
        <f t="shared" si="44"/>
        <v>0</v>
      </c>
      <c r="P878" s="113"/>
      <c r="Q878" s="106" t="str">
        <f>IF(ISBLANK(O878), "", VLOOKUP(C878&amp;" "&amp;D878, 'Info Tipo de Cambio y REM'!$A$24:$B$35, 2, FALSE))</f>
        <v>#N/A</v>
      </c>
      <c r="R878" s="107" t="str">
        <f t="shared" si="32"/>
        <v/>
      </c>
    </row>
    <row r="879" hidden="1">
      <c r="A879" s="443"/>
      <c r="B879" s="43" t="str">
        <f>IF(A879="", "", IFERROR(VLOOKUP(A879, Clasificaciones!A:B, 2, FALSE), "DATO NO CARGADO"))
</f>
        <v/>
      </c>
      <c r="C879" s="51"/>
      <c r="D879" s="102"/>
      <c r="E879" s="102"/>
      <c r="H879" s="102"/>
      <c r="J879" s="102"/>
      <c r="K879" s="450"/>
      <c r="L879" s="443"/>
      <c r="M879" s="450"/>
      <c r="N879" s="452">
        <f t="array" ref="N879">IFERROR(
  INDEX(
    'Valor Hora Real y Estimada'!$A$4:$Z$78,
    MATCH(TRIM(CLEAN(A879)), 'Valor Hora Real y Estimada'!$A$4:$A$78, 0),
    MATCH(
      TEXT(C879,"dd mmm")&amp;" "&amp;D879,
      'Valor Hora Real y Estimada'!$A$3:$Z$3,
      0
    ) + 1
  ),
  0
)</f>
        <v>0</v>
      </c>
      <c r="O879" s="453">
        <f t="shared" si="44"/>
        <v>0</v>
      </c>
      <c r="P879" s="113"/>
      <c r="Q879" s="106" t="str">
        <f>IF(ISBLANK(O879), "", VLOOKUP(C879&amp;" "&amp;D879, 'Info Tipo de Cambio y REM'!$A$24:$B$35, 2, FALSE))</f>
        <v>#N/A</v>
      </c>
      <c r="R879" s="107" t="str">
        <f t="shared" si="32"/>
        <v/>
      </c>
    </row>
    <row r="880" hidden="1">
      <c r="A880" s="443"/>
      <c r="B880" s="43" t="str">
        <f>IF(A880="", "", IFERROR(VLOOKUP(A880, Clasificaciones!A:B, 2, FALSE), "DATO NO CARGADO"))
</f>
        <v/>
      </c>
      <c r="C880" s="51"/>
      <c r="D880" s="102"/>
      <c r="E880" s="102"/>
      <c r="H880" s="102"/>
      <c r="J880" s="102"/>
      <c r="K880" s="450"/>
      <c r="L880" s="443"/>
      <c r="M880" s="450"/>
      <c r="N880" s="452">
        <f t="array" ref="N880">IFERROR(
  INDEX(
    'Valor Hora Real y Estimada'!$A$4:$Z$78,
    MATCH(TRIM(CLEAN(A880)), 'Valor Hora Real y Estimada'!$A$4:$A$78, 0),
    MATCH(
      TEXT(C880,"dd mmm")&amp;" "&amp;D880,
      'Valor Hora Real y Estimada'!$A$3:$Z$3,
      0
    ) + 1
  ),
  0
)</f>
        <v>0</v>
      </c>
      <c r="O880" s="453">
        <f t="shared" si="44"/>
        <v>0</v>
      </c>
      <c r="P880" s="113"/>
      <c r="Q880" s="106" t="str">
        <f>IF(ISBLANK(O880), "", VLOOKUP(C880&amp;" "&amp;D880, 'Info Tipo de Cambio y REM'!$A$24:$B$35, 2, FALSE))</f>
        <v>#N/A</v>
      </c>
      <c r="R880" s="107" t="str">
        <f t="shared" si="32"/>
        <v/>
      </c>
    </row>
    <row r="881" hidden="1">
      <c r="A881" s="443"/>
      <c r="B881" s="43" t="str">
        <f>IF(A881="", "", IFERROR(VLOOKUP(A881, Clasificaciones!A:B, 2, FALSE), "DATO NO CARGADO"))
</f>
        <v/>
      </c>
      <c r="C881" s="51"/>
      <c r="D881" s="102"/>
      <c r="E881" s="102"/>
      <c r="H881" s="102"/>
      <c r="J881" s="102"/>
      <c r="K881" s="450"/>
      <c r="L881" s="443"/>
      <c r="M881" s="450"/>
      <c r="N881" s="452">
        <f t="array" ref="N881">IFERROR(
  INDEX(
    'Valor Hora Real y Estimada'!$A$4:$Z$78,
    MATCH(TRIM(CLEAN(A881)), 'Valor Hora Real y Estimada'!$A$4:$A$78, 0),
    MATCH(
      TEXT(C881,"dd mmm")&amp;" "&amp;D881,
      'Valor Hora Real y Estimada'!$A$3:$Z$3,
      0
    ) + 1
  ),
  0
)</f>
        <v>0</v>
      </c>
      <c r="O881" s="453">
        <f t="shared" si="44"/>
        <v>0</v>
      </c>
      <c r="P881" s="113"/>
      <c r="Q881" s="106" t="str">
        <f>IF(ISBLANK(O881), "", VLOOKUP(C881&amp;" "&amp;D881, 'Info Tipo de Cambio y REM'!$A$24:$B$35, 2, FALSE))</f>
        <v>#N/A</v>
      </c>
      <c r="R881" s="107" t="str">
        <f t="shared" si="32"/>
        <v/>
      </c>
    </row>
    <row r="882" hidden="1">
      <c r="A882" s="443"/>
      <c r="B882" s="43" t="str">
        <f>IF(A882="", "", IFERROR(VLOOKUP(A882, Clasificaciones!A:B, 2, FALSE), "DATO NO CARGADO"))
</f>
        <v/>
      </c>
      <c r="C882" s="51"/>
      <c r="D882" s="102"/>
      <c r="E882" s="102"/>
      <c r="H882" s="102"/>
      <c r="J882" s="102"/>
      <c r="K882" s="450"/>
      <c r="L882" s="443"/>
      <c r="M882" s="450"/>
      <c r="N882" s="452">
        <f t="array" ref="N882">IFERROR(
  INDEX(
    'Valor Hora Real y Estimada'!$A$4:$Z$78,
    MATCH(TRIM(CLEAN(A882)), 'Valor Hora Real y Estimada'!$A$4:$A$78, 0),
    MATCH(
      TEXT(C882,"dd mmm")&amp;" "&amp;D882,
      'Valor Hora Real y Estimada'!$A$3:$Z$3,
      0
    ) + 1
  ),
  0
)</f>
        <v>0</v>
      </c>
      <c r="O882" s="453">
        <f t="shared" si="44"/>
        <v>0</v>
      </c>
      <c r="P882" s="113"/>
      <c r="Q882" s="106" t="str">
        <f>IF(ISBLANK(O882), "", VLOOKUP(C882&amp;" "&amp;D882, 'Info Tipo de Cambio y REM'!$A$24:$B$35, 2, FALSE))</f>
        <v>#N/A</v>
      </c>
      <c r="R882" s="107" t="str">
        <f t="shared" si="32"/>
        <v/>
      </c>
    </row>
    <row r="883" hidden="1">
      <c r="A883" s="443"/>
      <c r="B883" s="43" t="str">
        <f>IF(A883="", "", IFERROR(VLOOKUP(A883, Clasificaciones!A:B, 2, FALSE), "DATO NO CARGADO"))
</f>
        <v/>
      </c>
      <c r="C883" s="51"/>
      <c r="D883" s="102"/>
      <c r="E883" s="102"/>
      <c r="H883" s="102"/>
      <c r="J883" s="102"/>
      <c r="K883" s="450"/>
      <c r="L883" s="443"/>
      <c r="M883" s="450"/>
      <c r="N883" s="452">
        <f t="array" ref="N883">IFERROR(
  INDEX(
    'Valor Hora Real y Estimada'!$A$4:$Z$78,
    MATCH(TRIM(CLEAN(A883)), 'Valor Hora Real y Estimada'!$A$4:$A$78, 0),
    MATCH(
      TEXT(C883,"dd mmm")&amp;" "&amp;D883,
      'Valor Hora Real y Estimada'!$A$3:$Z$3,
      0
    ) + 1
  ),
  0
)</f>
        <v>0</v>
      </c>
      <c r="O883" s="453">
        <f t="shared" si="44"/>
        <v>0</v>
      </c>
      <c r="P883" s="113"/>
      <c r="Q883" s="106" t="str">
        <f>IF(ISBLANK(O883), "", VLOOKUP(C883&amp;" "&amp;D883, 'Info Tipo de Cambio y REM'!$A$24:$B$35, 2, FALSE))</f>
        <v>#N/A</v>
      </c>
      <c r="R883" s="107" t="str">
        <f t="shared" si="32"/>
        <v/>
      </c>
    </row>
    <row r="884" hidden="1">
      <c r="A884" s="443"/>
      <c r="B884" s="43" t="str">
        <f>IF(A884="", "", IFERROR(VLOOKUP(A884, Clasificaciones!A:B, 2, FALSE), "DATO NO CARGADO"))
</f>
        <v/>
      </c>
      <c r="C884" s="51"/>
      <c r="D884" s="102"/>
      <c r="E884" s="102"/>
      <c r="H884" s="102"/>
      <c r="J884" s="102"/>
      <c r="K884" s="450"/>
      <c r="L884" s="443"/>
      <c r="M884" s="450"/>
      <c r="N884" s="452">
        <f t="array" ref="N884">IFERROR(
  INDEX(
    'Valor Hora Real y Estimada'!$A$4:$Z$78,
    MATCH(TRIM(CLEAN(A884)), 'Valor Hora Real y Estimada'!$A$4:$A$78, 0),
    MATCH(
      TEXT(C884,"dd mmm")&amp;" "&amp;D884,
      'Valor Hora Real y Estimada'!$A$3:$Z$3,
      0
    ) + 1
  ),
  0
)</f>
        <v>0</v>
      </c>
      <c r="O884" s="453">
        <f t="shared" si="44"/>
        <v>0</v>
      </c>
      <c r="P884" s="113"/>
      <c r="Q884" s="106" t="str">
        <f>IF(ISBLANK(O884), "", VLOOKUP(C884&amp;" "&amp;D884, 'Info Tipo de Cambio y REM'!$A$24:$B$35, 2, FALSE))</f>
        <v>#N/A</v>
      </c>
      <c r="R884" s="107" t="str">
        <f t="shared" si="32"/>
        <v/>
      </c>
    </row>
    <row r="885" hidden="1">
      <c r="A885" s="443"/>
      <c r="B885" s="43" t="str">
        <f>IF(A885="", "", IFERROR(VLOOKUP(A885, Clasificaciones!A:B, 2, FALSE), "DATO NO CARGADO"))
</f>
        <v/>
      </c>
      <c r="C885" s="51"/>
      <c r="D885" s="102"/>
      <c r="E885" s="102"/>
      <c r="H885" s="102"/>
      <c r="J885" s="102"/>
      <c r="K885" s="450"/>
      <c r="L885" s="443"/>
      <c r="M885" s="450"/>
      <c r="N885" s="452">
        <f t="array" ref="N885">IFERROR(
  INDEX(
    'Valor Hora Real y Estimada'!$A$4:$Z$78,
    MATCH(TRIM(CLEAN(A885)), 'Valor Hora Real y Estimada'!$A$4:$A$78, 0),
    MATCH(
      TEXT(C885,"dd mmm")&amp;" "&amp;D885,
      'Valor Hora Real y Estimada'!$A$3:$Z$3,
      0
    ) + 1
  ),
  0
)</f>
        <v>0</v>
      </c>
      <c r="O885" s="453">
        <f t="shared" si="44"/>
        <v>0</v>
      </c>
      <c r="P885" s="113"/>
      <c r="Q885" s="106" t="str">
        <f>IF(ISBLANK(O885), "", VLOOKUP(C885&amp;" "&amp;D885, 'Info Tipo de Cambio y REM'!$A$24:$B$35, 2, FALSE))</f>
        <v>#N/A</v>
      </c>
      <c r="R885" s="107" t="str">
        <f t="shared" si="32"/>
        <v/>
      </c>
    </row>
    <row r="886" hidden="1">
      <c r="A886" s="443"/>
      <c r="B886" s="43" t="str">
        <f>IF(A886="", "", IFERROR(VLOOKUP(A886, Clasificaciones!A:B, 2, FALSE), "DATO NO CARGADO"))
</f>
        <v/>
      </c>
      <c r="C886" s="51"/>
      <c r="D886" s="102"/>
      <c r="E886" s="102"/>
      <c r="H886" s="102"/>
      <c r="J886" s="102"/>
      <c r="K886" s="450"/>
      <c r="L886" s="443"/>
      <c r="M886" s="450"/>
      <c r="N886" s="452">
        <f t="array" ref="N886">IFERROR(
  INDEX(
    'Valor Hora Real y Estimada'!$A$4:$Z$78,
    MATCH(TRIM(CLEAN(A886)), 'Valor Hora Real y Estimada'!$A$4:$A$78, 0),
    MATCH(
      TEXT(C886,"dd mmm")&amp;" "&amp;D886,
      'Valor Hora Real y Estimada'!$A$3:$Z$3,
      0
    ) + 1
  ),
  0
)</f>
        <v>0</v>
      </c>
      <c r="O886" s="453">
        <f t="shared" si="44"/>
        <v>0</v>
      </c>
      <c r="P886" s="113"/>
      <c r="Q886" s="106" t="str">
        <f>IF(ISBLANK(O886), "", VLOOKUP(C886&amp;" "&amp;D886, 'Info Tipo de Cambio y REM'!$A$24:$B$35, 2, FALSE))</f>
        <v>#N/A</v>
      </c>
      <c r="R886" s="107" t="str">
        <f t="shared" si="32"/>
        <v/>
      </c>
    </row>
    <row r="887" hidden="1">
      <c r="A887" s="443"/>
      <c r="B887" s="43" t="str">
        <f>IF(A887="", "", IFERROR(VLOOKUP(A887, Clasificaciones!A:B, 2, FALSE), "DATO NO CARGADO"))
</f>
        <v/>
      </c>
      <c r="C887" s="51"/>
      <c r="D887" s="102"/>
      <c r="E887" s="102"/>
      <c r="H887" s="102"/>
      <c r="J887" s="102"/>
      <c r="K887" s="450"/>
      <c r="L887" s="443"/>
      <c r="M887" s="450"/>
      <c r="N887" s="452">
        <f t="array" ref="N887">IFERROR(
  INDEX(
    'Valor Hora Real y Estimada'!$A$4:$Z$78,
    MATCH(TRIM(CLEAN(A887)), 'Valor Hora Real y Estimada'!$A$4:$A$78, 0),
    MATCH(
      TEXT(C887,"dd mmm")&amp;" "&amp;D887,
      'Valor Hora Real y Estimada'!$A$3:$Z$3,
      0
    ) + 1
  ),
  0
)</f>
        <v>0</v>
      </c>
      <c r="O887" s="453">
        <f t="shared" si="44"/>
        <v>0</v>
      </c>
      <c r="P887" s="113"/>
      <c r="Q887" s="106" t="str">
        <f>IF(ISBLANK(O887), "", VLOOKUP(C887&amp;" "&amp;D887, 'Info Tipo de Cambio y REM'!$A$24:$B$35, 2, FALSE))</f>
        <v>#N/A</v>
      </c>
      <c r="R887" s="107" t="str">
        <f t="shared" si="32"/>
        <v/>
      </c>
    </row>
    <row r="888" hidden="1">
      <c r="A888" s="443"/>
      <c r="B888" s="43" t="str">
        <f>IF(A888="", "", IFERROR(VLOOKUP(A888, Clasificaciones!A:B, 2, FALSE), "DATO NO CARGADO"))
</f>
        <v/>
      </c>
      <c r="C888" s="51"/>
      <c r="D888" s="102"/>
      <c r="E888" s="102"/>
      <c r="H888" s="102"/>
      <c r="J888" s="102"/>
      <c r="K888" s="450"/>
      <c r="L888" s="443"/>
      <c r="M888" s="450"/>
      <c r="N888" s="452">
        <f t="array" ref="N888">IFERROR(
  INDEX(
    'Valor Hora Real y Estimada'!$A$4:$Z$78,
    MATCH(TRIM(CLEAN(A888)), 'Valor Hora Real y Estimada'!$A$4:$A$78, 0),
    MATCH(
      TEXT(C888,"dd mmm")&amp;" "&amp;D888,
      'Valor Hora Real y Estimada'!$A$3:$Z$3,
      0
    ) + 1
  ),
  0
)</f>
        <v>0</v>
      </c>
      <c r="O888" s="453">
        <f t="shared" si="44"/>
        <v>0</v>
      </c>
      <c r="P888" s="113"/>
      <c r="Q888" s="106" t="str">
        <f>IF(ISBLANK(O888), "", VLOOKUP(C888&amp;" "&amp;D888, 'Info Tipo de Cambio y REM'!$A$24:$B$35, 2, FALSE))</f>
        <v>#N/A</v>
      </c>
      <c r="R888" s="107" t="str">
        <f t="shared" si="32"/>
        <v/>
      </c>
    </row>
    <row r="889" hidden="1">
      <c r="A889" s="443"/>
      <c r="B889" s="43" t="str">
        <f>IF(A889="", "", IFERROR(VLOOKUP(A889, Clasificaciones!A:B, 2, FALSE), "DATO NO CARGADO"))
</f>
        <v/>
      </c>
      <c r="C889" s="51"/>
      <c r="D889" s="102"/>
      <c r="E889" s="102"/>
      <c r="H889" s="102"/>
      <c r="J889" s="102"/>
      <c r="K889" s="450"/>
      <c r="L889" s="443"/>
      <c r="M889" s="450"/>
      <c r="N889" s="452">
        <f t="array" ref="N889">IFERROR(
  INDEX(
    'Valor Hora Real y Estimada'!$A$4:$Z$78,
    MATCH(TRIM(CLEAN(A889)), 'Valor Hora Real y Estimada'!$A$4:$A$78, 0),
    MATCH(
      TEXT(C889,"dd mmm")&amp;" "&amp;D889,
      'Valor Hora Real y Estimada'!$A$3:$Z$3,
      0
    ) + 1
  ),
  0
)</f>
        <v>0</v>
      </c>
      <c r="O889" s="453">
        <f t="shared" si="44"/>
        <v>0</v>
      </c>
      <c r="P889" s="113"/>
      <c r="Q889" s="106" t="str">
        <f>IF(ISBLANK(O889), "", VLOOKUP(C889&amp;" "&amp;D889, 'Info Tipo de Cambio y REM'!$A$24:$B$35, 2, FALSE))</f>
        <v>#N/A</v>
      </c>
      <c r="R889" s="107" t="str">
        <f t="shared" si="32"/>
        <v/>
      </c>
    </row>
    <row r="890" hidden="1">
      <c r="A890" s="443"/>
      <c r="B890" s="43" t="str">
        <f>IF(A890="", "", IFERROR(VLOOKUP(A890, Clasificaciones!A:B, 2, FALSE), "DATO NO CARGADO"))
</f>
        <v/>
      </c>
      <c r="C890" s="51"/>
      <c r="D890" s="102"/>
      <c r="E890" s="102"/>
      <c r="H890" s="102"/>
      <c r="J890" s="102"/>
      <c r="K890" s="450"/>
      <c r="L890" s="443"/>
      <c r="M890" s="450"/>
      <c r="N890" s="452">
        <f t="array" ref="N890">IFERROR(
  INDEX(
    'Valor Hora Real y Estimada'!$A$4:$Z$78,
    MATCH(TRIM(CLEAN(A890)), 'Valor Hora Real y Estimada'!$A$4:$A$78, 0),
    MATCH(
      TEXT(C890,"dd mmm")&amp;" "&amp;D890,
      'Valor Hora Real y Estimada'!$A$3:$Z$3,
      0
    ) + 1
  ),
  0
)</f>
        <v>0</v>
      </c>
      <c r="O890" s="453">
        <f t="shared" si="44"/>
        <v>0</v>
      </c>
      <c r="P890" s="113"/>
      <c r="Q890" s="106" t="str">
        <f>IF(ISBLANK(O890), "", VLOOKUP(C890&amp;" "&amp;D890, 'Info Tipo de Cambio y REM'!$A$24:$B$35, 2, FALSE))</f>
        <v>#N/A</v>
      </c>
      <c r="R890" s="107" t="str">
        <f t="shared" si="32"/>
        <v/>
      </c>
    </row>
    <row r="891" hidden="1">
      <c r="A891" s="443"/>
      <c r="B891" s="43" t="str">
        <f>IF(A891="", "", IFERROR(VLOOKUP(A891, Clasificaciones!A:B, 2, FALSE), "DATO NO CARGADO"))
</f>
        <v/>
      </c>
      <c r="C891" s="51"/>
      <c r="D891" s="102"/>
      <c r="E891" s="102"/>
      <c r="H891" s="102"/>
      <c r="J891" s="102"/>
      <c r="K891" s="450"/>
      <c r="L891" s="443"/>
      <c r="M891" s="450"/>
      <c r="N891" s="452">
        <f t="array" ref="N891">IFERROR(
  INDEX(
    'Valor Hora Real y Estimada'!$A$4:$Z$78,
    MATCH(TRIM(CLEAN(A891)), 'Valor Hora Real y Estimada'!$A$4:$A$78, 0),
    MATCH(
      TEXT(C891,"dd mmm")&amp;" "&amp;D891,
      'Valor Hora Real y Estimada'!$A$3:$Z$3,
      0
    ) + 1
  ),
  0
)</f>
        <v>0</v>
      </c>
      <c r="O891" s="453">
        <f t="shared" si="44"/>
        <v>0</v>
      </c>
      <c r="P891" s="113"/>
      <c r="Q891" s="106" t="str">
        <f>IF(ISBLANK(O891), "", VLOOKUP(C891&amp;" "&amp;D891, 'Info Tipo de Cambio y REM'!$A$24:$B$35, 2, FALSE))</f>
        <v>#N/A</v>
      </c>
      <c r="R891" s="107" t="str">
        <f t="shared" si="32"/>
        <v/>
      </c>
    </row>
    <row r="892" hidden="1">
      <c r="A892" s="443"/>
      <c r="B892" s="43" t="str">
        <f>IF(A892="", "", IFERROR(VLOOKUP(A892, Clasificaciones!A:B, 2, FALSE), "DATO NO CARGADO"))
</f>
        <v/>
      </c>
      <c r="C892" s="51"/>
      <c r="D892" s="102"/>
      <c r="E892" s="102"/>
      <c r="H892" s="102"/>
      <c r="J892" s="102"/>
      <c r="K892" s="450"/>
      <c r="L892" s="443"/>
      <c r="M892" s="450"/>
      <c r="N892" s="452">
        <f t="array" ref="N892">IFERROR(
  INDEX(
    'Valor Hora Real y Estimada'!$A$4:$Z$78,
    MATCH(TRIM(CLEAN(A892)), 'Valor Hora Real y Estimada'!$A$4:$A$78, 0),
    MATCH(
      TEXT(C892,"dd mmm")&amp;" "&amp;D892,
      'Valor Hora Real y Estimada'!$A$3:$Z$3,
      0
    ) + 1
  ),
  0
)</f>
        <v>0</v>
      </c>
      <c r="O892" s="453">
        <f t="shared" si="44"/>
        <v>0</v>
      </c>
      <c r="P892" s="113"/>
      <c r="Q892" s="106" t="str">
        <f>IF(ISBLANK(O892), "", VLOOKUP(C892&amp;" "&amp;D892, 'Info Tipo de Cambio y REM'!$A$24:$B$35, 2, FALSE))</f>
        <v>#N/A</v>
      </c>
      <c r="R892" s="107" t="str">
        <f t="shared" si="32"/>
        <v/>
      </c>
    </row>
    <row r="893" hidden="1">
      <c r="A893" s="443"/>
      <c r="B893" s="43" t="str">
        <f>IF(A893="", "", IFERROR(VLOOKUP(A893, Clasificaciones!A:B, 2, FALSE), "DATO NO CARGADO"))
</f>
        <v/>
      </c>
      <c r="C893" s="51"/>
      <c r="D893" s="102"/>
      <c r="E893" s="102"/>
      <c r="H893" s="102"/>
      <c r="J893" s="102"/>
      <c r="K893" s="450"/>
      <c r="L893" s="443"/>
      <c r="M893" s="450"/>
      <c r="N893" s="452">
        <f t="array" ref="N893">IFERROR(
  INDEX(
    'Valor Hora Real y Estimada'!$A$4:$Z$78,
    MATCH(TRIM(CLEAN(A893)), 'Valor Hora Real y Estimada'!$A$4:$A$78, 0),
    MATCH(
      TEXT(C893,"dd mmm")&amp;" "&amp;D893,
      'Valor Hora Real y Estimada'!$A$3:$Z$3,
      0
    ) + 1
  ),
  0
)</f>
        <v>0</v>
      </c>
      <c r="O893" s="453">
        <f t="shared" si="44"/>
        <v>0</v>
      </c>
      <c r="P893" s="113"/>
      <c r="Q893" s="106" t="str">
        <f>IF(ISBLANK(O893), "", VLOOKUP(C893&amp;" "&amp;D893, 'Info Tipo de Cambio y REM'!$A$24:$B$35, 2, FALSE))</f>
        <v>#N/A</v>
      </c>
      <c r="R893" s="107" t="str">
        <f t="shared" si="32"/>
        <v/>
      </c>
    </row>
    <row r="894" hidden="1">
      <c r="A894" s="443"/>
      <c r="B894" s="43" t="str">
        <f>IF(A894="", "", IFERROR(VLOOKUP(A894, Clasificaciones!A:B, 2, FALSE), "DATO NO CARGADO"))
</f>
        <v/>
      </c>
      <c r="C894" s="51"/>
      <c r="D894" s="102"/>
      <c r="E894" s="102"/>
      <c r="H894" s="102"/>
      <c r="J894" s="102"/>
      <c r="K894" s="450"/>
      <c r="L894" s="443"/>
      <c r="M894" s="450"/>
      <c r="N894" s="452">
        <f t="array" ref="N894">IFERROR(
  INDEX(
    'Valor Hora Real y Estimada'!$A$4:$Z$78,
    MATCH(TRIM(CLEAN(A894)), 'Valor Hora Real y Estimada'!$A$4:$A$78, 0),
    MATCH(
      TEXT(C894,"dd mmm")&amp;" "&amp;D894,
      'Valor Hora Real y Estimada'!$A$3:$Z$3,
      0
    ) + 1
  ),
  0
)</f>
        <v>0</v>
      </c>
      <c r="O894" s="453">
        <f t="shared" si="44"/>
        <v>0</v>
      </c>
      <c r="P894" s="113"/>
      <c r="Q894" s="106" t="str">
        <f>IF(ISBLANK(O894), "", VLOOKUP(C894&amp;" "&amp;D894, 'Info Tipo de Cambio y REM'!$A$24:$B$35, 2, FALSE))</f>
        <v>#N/A</v>
      </c>
      <c r="R894" s="107" t="str">
        <f t="shared" si="32"/>
        <v/>
      </c>
    </row>
    <row r="895" hidden="1">
      <c r="A895" s="443"/>
      <c r="B895" s="43" t="str">
        <f>IF(A895="", "", IFERROR(VLOOKUP(A895, Clasificaciones!A:B, 2, FALSE), "DATO NO CARGADO"))
</f>
        <v/>
      </c>
      <c r="C895" s="51"/>
      <c r="D895" s="102"/>
      <c r="E895" s="102"/>
      <c r="H895" s="102"/>
      <c r="J895" s="102"/>
      <c r="K895" s="450"/>
      <c r="L895" s="443"/>
      <c r="M895" s="450"/>
      <c r="N895" s="452">
        <f t="array" ref="N895">IFERROR(
  INDEX(
    'Valor Hora Real y Estimada'!$A$4:$Z$78,
    MATCH(TRIM(CLEAN(A895)), 'Valor Hora Real y Estimada'!$A$4:$A$78, 0),
    MATCH(
      TEXT(C895,"dd mmm")&amp;" "&amp;D895,
      'Valor Hora Real y Estimada'!$A$3:$Z$3,
      0
    ) + 1
  ),
  0
)</f>
        <v>0</v>
      </c>
      <c r="O895" s="453">
        <f t="shared" si="44"/>
        <v>0</v>
      </c>
      <c r="P895" s="113"/>
      <c r="Q895" s="106" t="str">
        <f>IF(ISBLANK(O895), "", VLOOKUP(C895&amp;" "&amp;D895, 'Info Tipo de Cambio y REM'!$A$24:$B$35, 2, FALSE))</f>
        <v>#N/A</v>
      </c>
      <c r="R895" s="107" t="str">
        <f t="shared" si="32"/>
        <v/>
      </c>
    </row>
    <row r="896" hidden="1">
      <c r="A896" s="443"/>
      <c r="B896" s="43" t="str">
        <f>IF(A896="", "", IFERROR(VLOOKUP(A896, Clasificaciones!A:B, 2, FALSE), "DATO NO CARGADO"))
</f>
        <v/>
      </c>
      <c r="C896" s="51"/>
      <c r="D896" s="102"/>
      <c r="E896" s="102"/>
      <c r="H896" s="102"/>
      <c r="J896" s="102"/>
      <c r="K896" s="450"/>
      <c r="L896" s="443"/>
      <c r="M896" s="450"/>
      <c r="N896" s="452">
        <f t="array" ref="N896">IFERROR(
  INDEX(
    'Valor Hora Real y Estimada'!$A$4:$Z$78,
    MATCH(TRIM(CLEAN(A896)), 'Valor Hora Real y Estimada'!$A$4:$A$78, 0),
    MATCH(
      TEXT(C896,"dd mmm")&amp;" "&amp;D896,
      'Valor Hora Real y Estimada'!$A$3:$Z$3,
      0
    ) + 1
  ),
  0
)</f>
        <v>0</v>
      </c>
      <c r="O896" s="453">
        <f t="shared" si="44"/>
        <v>0</v>
      </c>
      <c r="P896" s="113"/>
      <c r="Q896" s="106" t="str">
        <f>IF(ISBLANK(O896), "", VLOOKUP(C896&amp;" "&amp;D896, 'Info Tipo de Cambio y REM'!$A$24:$B$35, 2, FALSE))</f>
        <v>#N/A</v>
      </c>
      <c r="R896" s="107" t="str">
        <f t="shared" si="32"/>
        <v/>
      </c>
    </row>
    <row r="897" hidden="1">
      <c r="A897" s="443"/>
      <c r="B897" s="43" t="str">
        <f>IF(A897="", "", IFERROR(VLOOKUP(A897, Clasificaciones!A:B, 2, FALSE), "DATO NO CARGADO"))
</f>
        <v/>
      </c>
      <c r="C897" s="51"/>
      <c r="D897" s="102"/>
      <c r="E897" s="102"/>
      <c r="H897" s="102"/>
      <c r="J897" s="102"/>
      <c r="K897" s="450"/>
      <c r="L897" s="443"/>
      <c r="M897" s="450"/>
      <c r="N897" s="452">
        <f t="array" ref="N897">IFERROR(
  INDEX(
    'Valor Hora Real y Estimada'!$A$4:$Z$78,
    MATCH(TRIM(CLEAN(A897)), 'Valor Hora Real y Estimada'!$A$4:$A$78, 0),
    MATCH(
      TEXT(C897,"dd mmm")&amp;" "&amp;D897,
      'Valor Hora Real y Estimada'!$A$3:$Z$3,
      0
    ) + 1
  ),
  0
)</f>
        <v>0</v>
      </c>
      <c r="O897" s="453">
        <f t="shared" si="44"/>
        <v>0</v>
      </c>
      <c r="P897" s="113"/>
      <c r="Q897" s="106" t="str">
        <f>IF(ISBLANK(O897), "", VLOOKUP(C897&amp;" "&amp;D897, 'Info Tipo de Cambio y REM'!$A$24:$B$35, 2, FALSE))</f>
        <v>#N/A</v>
      </c>
      <c r="R897" s="107" t="str">
        <f t="shared" si="32"/>
        <v/>
      </c>
    </row>
    <row r="898" hidden="1">
      <c r="A898" s="443"/>
      <c r="B898" s="43" t="str">
        <f>IF(A898="", "", IFERROR(VLOOKUP(A898, Clasificaciones!A:B, 2, FALSE), "DATO NO CARGADO"))
</f>
        <v/>
      </c>
      <c r="C898" s="51"/>
      <c r="D898" s="102"/>
      <c r="E898" s="102"/>
      <c r="H898" s="102"/>
      <c r="J898" s="102"/>
      <c r="K898" s="450"/>
      <c r="L898" s="443"/>
      <c r="M898" s="450"/>
      <c r="N898" s="452">
        <f t="array" ref="N898">IFERROR(
  INDEX(
    'Valor Hora Real y Estimada'!$A$4:$Z$78,
    MATCH(TRIM(CLEAN(A898)), 'Valor Hora Real y Estimada'!$A$4:$A$78, 0),
    MATCH(
      TEXT(C898,"dd mmm")&amp;" "&amp;D898,
      'Valor Hora Real y Estimada'!$A$3:$Z$3,
      0
    ) + 1
  ),
  0
)</f>
        <v>0</v>
      </c>
      <c r="O898" s="453">
        <f t="shared" si="44"/>
        <v>0</v>
      </c>
      <c r="P898" s="113"/>
      <c r="Q898" s="106" t="str">
        <f>IF(ISBLANK(O898), "", VLOOKUP(C898&amp;" "&amp;D898, 'Info Tipo de Cambio y REM'!$A$24:$B$35, 2, FALSE))</f>
        <v>#N/A</v>
      </c>
      <c r="R898" s="107" t="str">
        <f t="shared" si="32"/>
        <v/>
      </c>
    </row>
    <row r="899" hidden="1">
      <c r="A899" s="443"/>
      <c r="B899" s="43" t="str">
        <f>IF(A899="", "", IFERROR(VLOOKUP(A899, Clasificaciones!A:B, 2, FALSE), "DATO NO CARGADO"))
</f>
        <v/>
      </c>
      <c r="C899" s="51"/>
      <c r="D899" s="102"/>
      <c r="E899" s="102"/>
      <c r="H899" s="102"/>
      <c r="J899" s="102"/>
      <c r="K899" s="450"/>
      <c r="L899" s="443"/>
      <c r="M899" s="450"/>
      <c r="N899" s="452">
        <f t="array" ref="N899">IFERROR(
  INDEX(
    'Valor Hora Real y Estimada'!$A$4:$Z$78,
    MATCH(TRIM(CLEAN(A899)), 'Valor Hora Real y Estimada'!$A$4:$A$78, 0),
    MATCH(
      TEXT(C899,"dd mmm")&amp;" "&amp;D899,
      'Valor Hora Real y Estimada'!$A$3:$Z$3,
      0
    ) + 1
  ),
  0
)</f>
        <v>0</v>
      </c>
      <c r="O899" s="453">
        <f t="shared" si="44"/>
        <v>0</v>
      </c>
      <c r="P899" s="113"/>
      <c r="Q899" s="106" t="str">
        <f>IF(ISBLANK(O899), "", VLOOKUP(C899&amp;" "&amp;D899, 'Info Tipo de Cambio y REM'!$A$24:$B$35, 2, FALSE))</f>
        <v>#N/A</v>
      </c>
      <c r="R899" s="107" t="str">
        <f t="shared" si="32"/>
        <v/>
      </c>
    </row>
    <row r="900" hidden="1">
      <c r="A900" s="443"/>
      <c r="B900" s="43" t="str">
        <f>IF(A900="", "", IFERROR(VLOOKUP(A900, Clasificaciones!A:B, 2, FALSE), "DATO NO CARGADO"))
</f>
        <v/>
      </c>
      <c r="C900" s="51"/>
      <c r="D900" s="102"/>
      <c r="E900" s="102"/>
      <c r="H900" s="102"/>
      <c r="J900" s="102"/>
      <c r="K900" s="450"/>
      <c r="L900" s="443"/>
      <c r="M900" s="450"/>
      <c r="N900" s="452">
        <f t="array" ref="N900">IFERROR(
  INDEX(
    'Valor Hora Real y Estimada'!$A$4:$Z$78,
    MATCH(TRIM(CLEAN(A900)), 'Valor Hora Real y Estimada'!$A$4:$A$78, 0),
    MATCH(
      TEXT(C900,"dd mmm")&amp;" "&amp;D900,
      'Valor Hora Real y Estimada'!$A$3:$Z$3,
      0
    ) + 1
  ),
  0
)</f>
        <v>0</v>
      </c>
      <c r="O900" s="453">
        <f t="shared" si="44"/>
        <v>0</v>
      </c>
      <c r="P900" s="113"/>
      <c r="Q900" s="106" t="str">
        <f>IF(ISBLANK(O900), "", VLOOKUP(C900&amp;" "&amp;D900, 'Info Tipo de Cambio y REM'!$A$24:$B$35, 2, FALSE))</f>
        <v>#N/A</v>
      </c>
      <c r="R900" s="107" t="str">
        <f t="shared" si="32"/>
        <v/>
      </c>
    </row>
    <row r="901" hidden="1">
      <c r="A901" s="443"/>
      <c r="B901" s="43" t="str">
        <f>IF(A901="", "", IFERROR(VLOOKUP(A901, Clasificaciones!A:B, 2, FALSE), "DATO NO CARGADO"))
</f>
        <v/>
      </c>
      <c r="C901" s="51"/>
      <c r="D901" s="102"/>
      <c r="E901" s="102"/>
      <c r="H901" s="102"/>
      <c r="J901" s="102"/>
      <c r="K901" s="450"/>
      <c r="L901" s="443"/>
      <c r="M901" s="450"/>
      <c r="N901" s="452">
        <f t="array" ref="N901">IFERROR(
  INDEX(
    'Valor Hora Real y Estimada'!$A$4:$Z$78,
    MATCH(TRIM(CLEAN(A901)), 'Valor Hora Real y Estimada'!$A$4:$A$78, 0),
    MATCH(
      TEXT(C901,"dd mmm")&amp;" "&amp;D901,
      'Valor Hora Real y Estimada'!$A$3:$Z$3,
      0
    ) + 1
  ),
  0
)</f>
        <v>0</v>
      </c>
      <c r="O901" s="453">
        <f t="shared" si="44"/>
        <v>0</v>
      </c>
      <c r="P901" s="113"/>
      <c r="Q901" s="106" t="str">
        <f>IF(ISBLANK(O901), "", VLOOKUP(C901&amp;" "&amp;D901, 'Info Tipo de Cambio y REM'!$A$24:$B$35, 2, FALSE))</f>
        <v>#N/A</v>
      </c>
      <c r="R901" s="107" t="str">
        <f t="shared" si="32"/>
        <v/>
      </c>
    </row>
    <row r="902" hidden="1">
      <c r="A902" s="443"/>
      <c r="B902" s="43" t="str">
        <f>IF(A902="", "", IFERROR(VLOOKUP(A902, Clasificaciones!A:B, 2, FALSE), "DATO NO CARGADO"))
</f>
        <v/>
      </c>
      <c r="C902" s="51"/>
      <c r="D902" s="102"/>
      <c r="E902" s="102"/>
      <c r="H902" s="102"/>
      <c r="J902" s="102"/>
      <c r="K902" s="450"/>
      <c r="L902" s="443"/>
      <c r="M902" s="450"/>
      <c r="N902" s="452">
        <f t="array" ref="N902">IFERROR(
  INDEX(
    'Valor Hora Real y Estimada'!$A$4:$Z$78,
    MATCH(TRIM(CLEAN(A902)), 'Valor Hora Real y Estimada'!$A$4:$A$78, 0),
    MATCH(
      TEXT(C902,"dd mmm")&amp;" "&amp;D902,
      'Valor Hora Real y Estimada'!$A$3:$Z$3,
      0
    ) + 1
  ),
  0
)</f>
        <v>0</v>
      </c>
      <c r="O902" s="453">
        <f t="shared" si="44"/>
        <v>0</v>
      </c>
      <c r="P902" s="113"/>
      <c r="Q902" s="106" t="str">
        <f>IF(ISBLANK(O902), "", VLOOKUP(C902&amp;" "&amp;D902, 'Info Tipo de Cambio y REM'!$A$24:$B$35, 2, FALSE))</f>
        <v>#N/A</v>
      </c>
      <c r="R902" s="107" t="str">
        <f t="shared" si="32"/>
        <v/>
      </c>
    </row>
    <row r="903" hidden="1">
      <c r="A903" s="443"/>
      <c r="B903" s="43" t="str">
        <f>IF(A903="", "", IFERROR(VLOOKUP(A903, Clasificaciones!A:B, 2, FALSE), "DATO NO CARGADO"))
</f>
        <v/>
      </c>
      <c r="C903" s="51"/>
      <c r="D903" s="102"/>
      <c r="E903" s="102"/>
      <c r="H903" s="102"/>
      <c r="J903" s="102"/>
      <c r="K903" s="450"/>
      <c r="L903" s="443"/>
      <c r="M903" s="450"/>
      <c r="N903" s="452">
        <f t="array" ref="N903">IFERROR(
  INDEX(
    'Valor Hora Real y Estimada'!$A$4:$Z$78,
    MATCH(TRIM(CLEAN(A903)), 'Valor Hora Real y Estimada'!$A$4:$A$78, 0),
    MATCH(
      TEXT(C903,"dd mmm")&amp;" "&amp;D903,
      'Valor Hora Real y Estimada'!$A$3:$Z$3,
      0
    ) + 1
  ),
  0
)</f>
        <v>0</v>
      </c>
      <c r="O903" s="453">
        <f t="shared" si="44"/>
        <v>0</v>
      </c>
      <c r="P903" s="113"/>
      <c r="Q903" s="106" t="str">
        <f>IF(ISBLANK(O903), "", VLOOKUP(C903&amp;" "&amp;D903, 'Info Tipo de Cambio y REM'!$A$24:$B$35, 2, FALSE))</f>
        <v>#N/A</v>
      </c>
      <c r="R903" s="107" t="str">
        <f t="shared" si="32"/>
        <v/>
      </c>
    </row>
    <row r="904" hidden="1">
      <c r="A904" s="443"/>
      <c r="B904" s="43" t="str">
        <f>IF(A904="", "", IFERROR(VLOOKUP(A904, Clasificaciones!A:B, 2, FALSE), "DATO NO CARGADO"))
</f>
        <v/>
      </c>
      <c r="C904" s="51"/>
      <c r="D904" s="102"/>
      <c r="E904" s="102"/>
      <c r="H904" s="102"/>
      <c r="J904" s="102"/>
      <c r="K904" s="450"/>
      <c r="L904" s="443"/>
      <c r="M904" s="450"/>
      <c r="N904" s="452">
        <f t="array" ref="N904">IFERROR(
  INDEX(
    'Valor Hora Real y Estimada'!$A$4:$Z$78,
    MATCH(TRIM(CLEAN(A904)), 'Valor Hora Real y Estimada'!$A$4:$A$78, 0),
    MATCH(
      TEXT(C904,"dd mmm")&amp;" "&amp;D904,
      'Valor Hora Real y Estimada'!$A$3:$Z$3,
      0
    ) + 1
  ),
  0
)</f>
        <v>0</v>
      </c>
      <c r="O904" s="453">
        <f t="shared" si="44"/>
        <v>0</v>
      </c>
      <c r="P904" s="113"/>
      <c r="Q904" s="106" t="str">
        <f>IF(ISBLANK(O904), "", VLOOKUP(C904&amp;" "&amp;D904, 'Info Tipo de Cambio y REM'!$A$24:$B$35, 2, FALSE))</f>
        <v>#N/A</v>
      </c>
      <c r="R904" s="107" t="str">
        <f t="shared" si="32"/>
        <v/>
      </c>
    </row>
    <row r="905" hidden="1">
      <c r="A905" s="443"/>
      <c r="B905" s="43" t="str">
        <f>IF(A905="", "", IFERROR(VLOOKUP(A905, Clasificaciones!A:B, 2, FALSE), "DATO NO CARGADO"))
</f>
        <v/>
      </c>
      <c r="C905" s="51"/>
      <c r="D905" s="102"/>
      <c r="E905" s="102"/>
      <c r="H905" s="102"/>
      <c r="J905" s="102"/>
      <c r="K905" s="450"/>
      <c r="L905" s="443"/>
      <c r="M905" s="450"/>
      <c r="N905" s="452">
        <f t="array" ref="N905">IFERROR(
  INDEX(
    'Valor Hora Real y Estimada'!$A$4:$Z$78,
    MATCH(TRIM(CLEAN(A905)), 'Valor Hora Real y Estimada'!$A$4:$A$78, 0),
    MATCH(
      TEXT(C905,"dd mmm")&amp;" "&amp;D905,
      'Valor Hora Real y Estimada'!$A$3:$Z$3,
      0
    ) + 1
  ),
  0
)</f>
        <v>0</v>
      </c>
      <c r="O905" s="453">
        <f t="shared" si="44"/>
        <v>0</v>
      </c>
      <c r="P905" s="113"/>
      <c r="Q905" s="106" t="str">
        <f>IF(ISBLANK(O905), "", VLOOKUP(C905&amp;" "&amp;D905, 'Info Tipo de Cambio y REM'!$A$24:$B$35, 2, FALSE))</f>
        <v>#N/A</v>
      </c>
      <c r="R905" s="107" t="str">
        <f t="shared" si="32"/>
        <v/>
      </c>
    </row>
    <row r="906" hidden="1">
      <c r="A906" s="443"/>
      <c r="B906" s="43" t="str">
        <f>IF(A906="", "", IFERROR(VLOOKUP(A906, Clasificaciones!A:B, 2, FALSE), "DATO NO CARGADO"))
</f>
        <v/>
      </c>
      <c r="C906" s="51"/>
      <c r="D906" s="102"/>
      <c r="E906" s="102"/>
      <c r="H906" s="102"/>
      <c r="J906" s="102"/>
      <c r="K906" s="450"/>
      <c r="L906" s="443"/>
      <c r="M906" s="450"/>
      <c r="N906" s="452">
        <f t="array" ref="N906">IFERROR(
  INDEX(
    'Valor Hora Real y Estimada'!$A$4:$Z$78,
    MATCH(TRIM(CLEAN(A906)), 'Valor Hora Real y Estimada'!$A$4:$A$78, 0),
    MATCH(
      TEXT(C906,"dd mmm")&amp;" "&amp;D906,
      'Valor Hora Real y Estimada'!$A$3:$Z$3,
      0
    ) + 1
  ),
  0
)</f>
        <v>0</v>
      </c>
      <c r="O906" s="453">
        <f t="shared" si="44"/>
        <v>0</v>
      </c>
      <c r="P906" s="113"/>
      <c r="Q906" s="106" t="str">
        <f>IF(ISBLANK(O906), "", VLOOKUP(C906&amp;" "&amp;D906, 'Info Tipo de Cambio y REM'!$A$24:$B$35, 2, FALSE))</f>
        <v>#N/A</v>
      </c>
      <c r="R906" s="107" t="str">
        <f t="shared" si="32"/>
        <v/>
      </c>
    </row>
    <row r="907" hidden="1">
      <c r="A907" s="443"/>
      <c r="B907" s="43" t="str">
        <f>IF(A907="", "", IFERROR(VLOOKUP(A907, Clasificaciones!A:B, 2, FALSE), "DATO NO CARGADO"))
</f>
        <v/>
      </c>
      <c r="C907" s="51"/>
      <c r="D907" s="102"/>
      <c r="E907" s="102"/>
      <c r="H907" s="102"/>
      <c r="J907" s="102"/>
      <c r="K907" s="450"/>
      <c r="L907" s="443"/>
      <c r="M907" s="450"/>
      <c r="N907" s="452">
        <f t="array" ref="N907">IFERROR(
  INDEX(
    'Valor Hora Real y Estimada'!$A$4:$Z$78,
    MATCH(TRIM(CLEAN(A907)), 'Valor Hora Real y Estimada'!$A$4:$A$78, 0),
    MATCH(
      TEXT(C907,"dd mmm")&amp;" "&amp;D907,
      'Valor Hora Real y Estimada'!$A$3:$Z$3,
      0
    ) + 1
  ),
  0
)</f>
        <v>0</v>
      </c>
      <c r="O907" s="453">
        <f t="shared" si="44"/>
        <v>0</v>
      </c>
      <c r="P907" s="113"/>
      <c r="Q907" s="106" t="str">
        <f>IF(ISBLANK(O907), "", VLOOKUP(C907&amp;" "&amp;D907, 'Info Tipo de Cambio y REM'!$A$24:$B$35, 2, FALSE))</f>
        <v>#N/A</v>
      </c>
      <c r="R907" s="107" t="str">
        <f t="shared" si="32"/>
        <v/>
      </c>
    </row>
    <row r="908" hidden="1">
      <c r="A908" s="443"/>
      <c r="B908" s="43" t="str">
        <f>IF(A908="", "", IFERROR(VLOOKUP(A908, Clasificaciones!A:B, 2, FALSE), "DATO NO CARGADO"))
</f>
        <v/>
      </c>
      <c r="C908" s="51"/>
      <c r="D908" s="102"/>
      <c r="E908" s="102"/>
      <c r="H908" s="102"/>
      <c r="J908" s="102"/>
      <c r="K908" s="450"/>
      <c r="L908" s="443"/>
      <c r="M908" s="450"/>
      <c r="N908" s="452">
        <f t="array" ref="N908">IFERROR(
  INDEX(
    'Valor Hora Real y Estimada'!$A$4:$Z$78,
    MATCH(TRIM(CLEAN(A908)), 'Valor Hora Real y Estimada'!$A$4:$A$78, 0),
    MATCH(
      TEXT(C908,"dd mmm")&amp;" "&amp;D908,
      'Valor Hora Real y Estimada'!$A$3:$Z$3,
      0
    ) + 1
  ),
  0
)</f>
        <v>0</v>
      </c>
      <c r="O908" s="453">
        <f t="shared" si="44"/>
        <v>0</v>
      </c>
      <c r="P908" s="113"/>
      <c r="Q908" s="106" t="str">
        <f>IF(ISBLANK(O908), "", VLOOKUP(C908&amp;" "&amp;D908, 'Info Tipo de Cambio y REM'!$A$24:$B$35, 2, FALSE))</f>
        <v>#N/A</v>
      </c>
      <c r="R908" s="107" t="str">
        <f t="shared" si="32"/>
        <v/>
      </c>
    </row>
    <row r="909" hidden="1">
      <c r="A909" s="443"/>
      <c r="B909" s="43" t="str">
        <f>IF(A909="", "", IFERROR(VLOOKUP(A909, Clasificaciones!A:B, 2, FALSE), "DATO NO CARGADO"))
</f>
        <v/>
      </c>
      <c r="C909" s="51"/>
      <c r="D909" s="102"/>
      <c r="E909" s="102"/>
      <c r="H909" s="102"/>
      <c r="J909" s="102"/>
      <c r="K909" s="450"/>
      <c r="L909" s="443"/>
      <c r="M909" s="450"/>
      <c r="N909" s="452">
        <f t="array" ref="N909">IFERROR(
  INDEX(
    'Valor Hora Real y Estimada'!$A$4:$Z$78,
    MATCH(TRIM(CLEAN(A909)), 'Valor Hora Real y Estimada'!$A$4:$A$78, 0),
    MATCH(
      TEXT(C909,"dd mmm")&amp;" "&amp;D909,
      'Valor Hora Real y Estimada'!$A$3:$Z$3,
      0
    ) + 1
  ),
  0
)</f>
        <v>0</v>
      </c>
      <c r="O909" s="453">
        <f t="shared" si="44"/>
        <v>0</v>
      </c>
      <c r="P909" s="113"/>
      <c r="Q909" s="106" t="str">
        <f>IF(ISBLANK(O909), "", VLOOKUP(C909&amp;" "&amp;D909, 'Info Tipo de Cambio y REM'!$A$24:$B$35, 2, FALSE))</f>
        <v>#N/A</v>
      </c>
      <c r="R909" s="107" t="str">
        <f t="shared" si="32"/>
        <v/>
      </c>
    </row>
    <row r="910" hidden="1">
      <c r="A910" s="443"/>
      <c r="B910" s="43" t="str">
        <f>IF(A910="", "", IFERROR(VLOOKUP(A910, Clasificaciones!A:B, 2, FALSE), "DATO NO CARGADO"))
</f>
        <v/>
      </c>
      <c r="C910" s="51"/>
      <c r="D910" s="102"/>
      <c r="E910" s="102"/>
      <c r="H910" s="102"/>
      <c r="J910" s="102"/>
      <c r="K910" s="450"/>
      <c r="L910" s="443"/>
      <c r="M910" s="450"/>
      <c r="N910" s="452">
        <f t="array" ref="N910">IFERROR(
  INDEX(
    'Valor Hora Real y Estimada'!$A$4:$Z$78,
    MATCH(TRIM(CLEAN(A910)), 'Valor Hora Real y Estimada'!$A$4:$A$78, 0),
    MATCH(
      TEXT(C910,"dd mmm")&amp;" "&amp;D910,
      'Valor Hora Real y Estimada'!$A$3:$Z$3,
      0
    ) + 1
  ),
  0
)</f>
        <v>0</v>
      </c>
      <c r="O910" s="453">
        <f t="shared" si="44"/>
        <v>0</v>
      </c>
      <c r="P910" s="113"/>
      <c r="Q910" s="106" t="str">
        <f>IF(ISBLANK(O910), "", VLOOKUP(C910&amp;" "&amp;D910, 'Info Tipo de Cambio y REM'!$A$24:$B$35, 2, FALSE))</f>
        <v>#N/A</v>
      </c>
      <c r="R910" s="107" t="str">
        <f t="shared" si="32"/>
        <v/>
      </c>
    </row>
    <row r="911" hidden="1">
      <c r="A911" s="443"/>
      <c r="B911" s="43" t="str">
        <f>IF(A911="", "", IFERROR(VLOOKUP(A911, Clasificaciones!A:B, 2, FALSE), "DATO NO CARGADO"))
</f>
        <v/>
      </c>
      <c r="C911" s="51"/>
      <c r="D911" s="102"/>
      <c r="E911" s="102"/>
      <c r="H911" s="102"/>
      <c r="J911" s="102"/>
      <c r="K911" s="450"/>
      <c r="L911" s="443"/>
      <c r="M911" s="450"/>
      <c r="N911" s="452">
        <f t="array" ref="N911">IFERROR(
  INDEX(
    'Valor Hora Real y Estimada'!$A$4:$Z$78,
    MATCH(TRIM(CLEAN(A911)), 'Valor Hora Real y Estimada'!$A$4:$A$78, 0),
    MATCH(
      TEXT(C911,"dd mmm")&amp;" "&amp;D911,
      'Valor Hora Real y Estimada'!$A$3:$Z$3,
      0
    ) + 1
  ),
  0
)</f>
        <v>0</v>
      </c>
      <c r="O911" s="453">
        <f t="shared" si="44"/>
        <v>0</v>
      </c>
      <c r="P911" s="113"/>
      <c r="Q911" s="106" t="str">
        <f>IF(ISBLANK(O911), "", VLOOKUP(C911&amp;" "&amp;D911, 'Info Tipo de Cambio y REM'!$A$24:$B$35, 2, FALSE))</f>
        <v>#N/A</v>
      </c>
      <c r="R911" s="107" t="str">
        <f t="shared" si="32"/>
        <v/>
      </c>
    </row>
    <row r="912" hidden="1">
      <c r="A912" s="443"/>
      <c r="B912" s="43" t="str">
        <f>IF(A912="", "", IFERROR(VLOOKUP(A912, Clasificaciones!A:B, 2, FALSE), "DATO NO CARGADO"))
</f>
        <v/>
      </c>
      <c r="C912" s="51"/>
      <c r="D912" s="102"/>
      <c r="E912" s="102"/>
      <c r="H912" s="102"/>
      <c r="J912" s="102"/>
      <c r="K912" s="450"/>
      <c r="L912" s="443"/>
      <c r="M912" s="450"/>
      <c r="N912" s="452">
        <f t="array" ref="N912">IFERROR(
  INDEX(
    'Valor Hora Real y Estimada'!$A$4:$Z$78,
    MATCH(TRIM(CLEAN(A912)), 'Valor Hora Real y Estimada'!$A$4:$A$78, 0),
    MATCH(
      TEXT(C912,"dd mmm")&amp;" "&amp;D912,
      'Valor Hora Real y Estimada'!$A$3:$Z$3,
      0
    ) + 1
  ),
  0
)</f>
        <v>0</v>
      </c>
      <c r="O912" s="453">
        <f t="shared" si="44"/>
        <v>0</v>
      </c>
      <c r="P912" s="113"/>
      <c r="Q912" s="106" t="str">
        <f>IF(ISBLANK(O912), "", VLOOKUP(C912&amp;" "&amp;D912, 'Info Tipo de Cambio y REM'!$A$24:$B$35, 2, FALSE))</f>
        <v>#N/A</v>
      </c>
      <c r="R912" s="107" t="str">
        <f t="shared" si="32"/>
        <v/>
      </c>
    </row>
    <row r="913" hidden="1">
      <c r="A913" s="443"/>
      <c r="B913" s="43" t="str">
        <f>IF(A913="", "", IFERROR(VLOOKUP(A913, Clasificaciones!A:B, 2, FALSE), "DATO NO CARGADO"))
</f>
        <v/>
      </c>
      <c r="C913" s="51"/>
      <c r="D913" s="102"/>
      <c r="E913" s="102"/>
      <c r="H913" s="102"/>
      <c r="J913" s="102"/>
      <c r="K913" s="450"/>
      <c r="L913" s="443"/>
      <c r="M913" s="450"/>
      <c r="N913" s="452">
        <f t="array" ref="N913">IFERROR(
  INDEX(
    'Valor Hora Real y Estimada'!$A$4:$Z$78,
    MATCH(TRIM(CLEAN(A913)), 'Valor Hora Real y Estimada'!$A$4:$A$78, 0),
    MATCH(
      TEXT(C913,"dd mmm")&amp;" "&amp;D913,
      'Valor Hora Real y Estimada'!$A$3:$Z$3,
      0
    ) + 1
  ),
  0
)</f>
        <v>0</v>
      </c>
      <c r="O913" s="453">
        <f t="shared" si="44"/>
        <v>0</v>
      </c>
      <c r="P913" s="113"/>
      <c r="Q913" s="106" t="str">
        <f>IF(ISBLANK(O913), "", VLOOKUP(C913&amp;" "&amp;D913, 'Info Tipo de Cambio y REM'!$A$24:$B$35, 2, FALSE))</f>
        <v>#N/A</v>
      </c>
      <c r="R913" s="107" t="str">
        <f t="shared" si="32"/>
        <v/>
      </c>
    </row>
    <row r="914" hidden="1">
      <c r="A914" s="443"/>
      <c r="B914" s="43" t="str">
        <f>IF(A914="", "", IFERROR(VLOOKUP(A914, Clasificaciones!A:B, 2, FALSE), "DATO NO CARGADO"))
</f>
        <v/>
      </c>
      <c r="C914" s="51"/>
      <c r="D914" s="102"/>
      <c r="E914" s="102"/>
      <c r="H914" s="102"/>
      <c r="J914" s="102"/>
      <c r="K914" s="450"/>
      <c r="L914" s="443"/>
      <c r="M914" s="450"/>
      <c r="N914" s="452">
        <f t="array" ref="N914">IFERROR(
  INDEX(
    'Valor Hora Real y Estimada'!$A$4:$Z$78,
    MATCH(TRIM(CLEAN(A914)), 'Valor Hora Real y Estimada'!$A$4:$A$78, 0),
    MATCH(
      TEXT(C914,"dd mmm")&amp;" "&amp;D914,
      'Valor Hora Real y Estimada'!$A$3:$Z$3,
      0
    ) + 1
  ),
  0
)</f>
        <v>0</v>
      </c>
      <c r="O914" s="453">
        <f t="shared" si="44"/>
        <v>0</v>
      </c>
      <c r="P914" s="113"/>
      <c r="Q914" s="106" t="str">
        <f>IF(ISBLANK(O914), "", VLOOKUP(C914&amp;" "&amp;D914, 'Info Tipo de Cambio y REM'!$A$24:$B$35, 2, FALSE))</f>
        <v>#N/A</v>
      </c>
      <c r="R914" s="107" t="str">
        <f t="shared" si="32"/>
        <v/>
      </c>
    </row>
    <row r="915" hidden="1">
      <c r="A915" s="443"/>
      <c r="B915" s="43" t="str">
        <f>IF(A915="", "", IFERROR(VLOOKUP(A915, Clasificaciones!A:B, 2, FALSE), "DATO NO CARGADO"))
</f>
        <v/>
      </c>
      <c r="C915" s="51"/>
      <c r="D915" s="102"/>
      <c r="E915" s="102"/>
      <c r="H915" s="102"/>
      <c r="J915" s="102"/>
      <c r="K915" s="450"/>
      <c r="L915" s="443"/>
      <c r="M915" s="450"/>
      <c r="N915" s="452">
        <f t="array" ref="N915">IFERROR(
  INDEX(
    'Valor Hora Real y Estimada'!$A$4:$Z$78,
    MATCH(TRIM(CLEAN(A915)), 'Valor Hora Real y Estimada'!$A$4:$A$78, 0),
    MATCH(
      TEXT(C915,"dd mmm")&amp;" "&amp;D915,
      'Valor Hora Real y Estimada'!$A$3:$Z$3,
      0
    ) + 1
  ),
  0
)</f>
        <v>0</v>
      </c>
      <c r="O915" s="453">
        <f t="shared" si="44"/>
        <v>0</v>
      </c>
      <c r="P915" s="113"/>
      <c r="Q915" s="106" t="str">
        <f>IF(ISBLANK(O915), "", VLOOKUP(C915&amp;" "&amp;D915, 'Info Tipo de Cambio y REM'!$A$24:$B$35, 2, FALSE))</f>
        <v>#N/A</v>
      </c>
      <c r="R915" s="107" t="str">
        <f t="shared" si="32"/>
        <v/>
      </c>
    </row>
    <row r="916" hidden="1">
      <c r="A916" s="443"/>
      <c r="B916" s="43" t="str">
        <f>IF(A916="", "", IFERROR(VLOOKUP(A916, Clasificaciones!A:B, 2, FALSE), "DATO NO CARGADO"))
</f>
        <v/>
      </c>
      <c r="C916" s="51"/>
      <c r="D916" s="102"/>
      <c r="E916" s="102"/>
      <c r="H916" s="102"/>
      <c r="J916" s="102"/>
      <c r="K916" s="450"/>
      <c r="L916" s="443"/>
      <c r="M916" s="450"/>
      <c r="N916" s="452">
        <f t="array" ref="N916">IFERROR(
  INDEX(
    'Valor Hora Real y Estimada'!$A$4:$Z$78,
    MATCH(TRIM(CLEAN(A916)), 'Valor Hora Real y Estimada'!$A$4:$A$78, 0),
    MATCH(
      TEXT(C916,"dd mmm")&amp;" "&amp;D916,
      'Valor Hora Real y Estimada'!$A$3:$Z$3,
      0
    ) + 1
  ),
  0
)</f>
        <v>0</v>
      </c>
      <c r="O916" s="453">
        <f t="shared" si="44"/>
        <v>0</v>
      </c>
      <c r="P916" s="113"/>
      <c r="Q916" s="106" t="str">
        <f>IF(ISBLANK(O916), "", VLOOKUP(C916&amp;" "&amp;D916, 'Info Tipo de Cambio y REM'!$A$24:$B$35, 2, FALSE))</f>
        <v>#N/A</v>
      </c>
      <c r="R916" s="107" t="str">
        <f t="shared" si="32"/>
        <v/>
      </c>
    </row>
    <row r="917" hidden="1">
      <c r="A917" s="443"/>
      <c r="B917" s="43" t="str">
        <f>IF(A917="", "", IFERROR(VLOOKUP(A917, Clasificaciones!A:B, 2, FALSE), "DATO NO CARGADO"))
</f>
        <v/>
      </c>
      <c r="C917" s="51"/>
      <c r="D917" s="102"/>
      <c r="E917" s="102"/>
      <c r="H917" s="102"/>
      <c r="J917" s="102"/>
      <c r="K917" s="450"/>
      <c r="L917" s="443"/>
      <c r="M917" s="450"/>
      <c r="N917" s="452">
        <f t="array" ref="N917">IFERROR(
  INDEX(
    'Valor Hora Real y Estimada'!$A$4:$Z$78,
    MATCH(TRIM(CLEAN(A917)), 'Valor Hora Real y Estimada'!$A$4:$A$78, 0),
    MATCH(
      TEXT(C917,"dd mmm")&amp;" "&amp;D917,
      'Valor Hora Real y Estimada'!$A$3:$Z$3,
      0
    ) + 1
  ),
  0
)</f>
        <v>0</v>
      </c>
      <c r="O917" s="453">
        <f t="shared" si="44"/>
        <v>0</v>
      </c>
      <c r="P917" s="113"/>
      <c r="Q917" s="106" t="str">
        <f>IF(ISBLANK(O917), "", VLOOKUP(C917&amp;" "&amp;D917, 'Info Tipo de Cambio y REM'!$A$24:$B$35, 2, FALSE))</f>
        <v>#N/A</v>
      </c>
      <c r="R917" s="107" t="str">
        <f t="shared" si="32"/>
        <v/>
      </c>
    </row>
    <row r="918" hidden="1">
      <c r="A918" s="443"/>
      <c r="B918" s="43" t="str">
        <f>IF(A918="", "", IFERROR(VLOOKUP(A918, Clasificaciones!A:B, 2, FALSE), "DATO NO CARGADO"))
</f>
        <v/>
      </c>
      <c r="C918" s="51"/>
      <c r="D918" s="102"/>
      <c r="E918" s="102"/>
      <c r="H918" s="102"/>
      <c r="J918" s="102"/>
      <c r="K918" s="450"/>
      <c r="L918" s="443"/>
      <c r="M918" s="450"/>
      <c r="N918" s="452">
        <f t="array" ref="N918">IFERROR(
  INDEX(
    'Valor Hora Real y Estimada'!$A$4:$Z$78,
    MATCH(TRIM(CLEAN(A918)), 'Valor Hora Real y Estimada'!$A$4:$A$78, 0),
    MATCH(
      TEXT(C918,"dd mmm")&amp;" "&amp;D918,
      'Valor Hora Real y Estimada'!$A$3:$Z$3,
      0
    ) + 1
  ),
  0
)</f>
        <v>0</v>
      </c>
      <c r="O918" s="453">
        <f t="shared" si="44"/>
        <v>0</v>
      </c>
      <c r="P918" s="113"/>
      <c r="Q918" s="106" t="str">
        <f>IF(ISBLANK(O918), "", VLOOKUP(C918&amp;" "&amp;D918, 'Info Tipo de Cambio y REM'!$A$24:$B$35, 2, FALSE))</f>
        <v>#N/A</v>
      </c>
      <c r="R918" s="107" t="str">
        <f t="shared" si="32"/>
        <v/>
      </c>
    </row>
    <row r="919" hidden="1">
      <c r="A919" s="443"/>
      <c r="B919" s="43" t="str">
        <f>IF(A919="", "", IFERROR(VLOOKUP(A919, Clasificaciones!A:B, 2, FALSE), "DATO NO CARGADO"))
</f>
        <v/>
      </c>
      <c r="C919" s="51"/>
      <c r="D919" s="102"/>
      <c r="E919" s="102"/>
      <c r="H919" s="102"/>
      <c r="J919" s="102"/>
      <c r="K919" s="450"/>
      <c r="L919" s="443"/>
      <c r="M919" s="450"/>
      <c r="N919" s="452">
        <f t="array" ref="N919">IFERROR(
  INDEX(
    'Valor Hora Real y Estimada'!$A$4:$Z$78,
    MATCH(TRIM(CLEAN(A919)), 'Valor Hora Real y Estimada'!$A$4:$A$78, 0),
    MATCH(
      TEXT(C919,"dd mmm")&amp;" "&amp;D919,
      'Valor Hora Real y Estimada'!$A$3:$Z$3,
      0
    ) + 1
  ),
  0
)</f>
        <v>0</v>
      </c>
      <c r="O919" s="453">
        <f t="shared" si="44"/>
        <v>0</v>
      </c>
      <c r="P919" s="113"/>
      <c r="Q919" s="106" t="str">
        <f>IF(ISBLANK(O919), "", VLOOKUP(C919&amp;" "&amp;D919, 'Info Tipo de Cambio y REM'!$A$24:$B$35, 2, FALSE))</f>
        <v>#N/A</v>
      </c>
      <c r="R919" s="107" t="str">
        <f t="shared" si="32"/>
        <v/>
      </c>
    </row>
    <row r="920" hidden="1">
      <c r="A920" s="443"/>
      <c r="B920" s="43" t="str">
        <f>IF(A920="", "", IFERROR(VLOOKUP(A920, Clasificaciones!A:B, 2, FALSE), "DATO NO CARGADO"))
</f>
        <v/>
      </c>
      <c r="C920" s="51"/>
      <c r="D920" s="102"/>
      <c r="E920" s="102"/>
      <c r="H920" s="102"/>
      <c r="J920" s="102"/>
      <c r="K920" s="450"/>
      <c r="L920" s="443"/>
      <c r="M920" s="450"/>
      <c r="N920" s="452">
        <f t="array" ref="N920">IFERROR(
  INDEX(
    'Valor Hora Real y Estimada'!$A$4:$Z$78,
    MATCH(TRIM(CLEAN(A920)), 'Valor Hora Real y Estimada'!$A$4:$A$78, 0),
    MATCH(
      TEXT(C920,"dd mmm")&amp;" "&amp;D920,
      'Valor Hora Real y Estimada'!$A$3:$Z$3,
      0
    ) + 1
  ),
  0
)</f>
        <v>0</v>
      </c>
      <c r="O920" s="453">
        <f t="shared" si="44"/>
        <v>0</v>
      </c>
      <c r="P920" s="113"/>
      <c r="Q920" s="106" t="str">
        <f>IF(ISBLANK(O920), "", VLOOKUP(C920&amp;" "&amp;D920, 'Info Tipo de Cambio y REM'!$A$24:$B$35, 2, FALSE))</f>
        <v>#N/A</v>
      </c>
      <c r="R920" s="107" t="str">
        <f t="shared" si="32"/>
        <v/>
      </c>
    </row>
    <row r="921" hidden="1">
      <c r="A921" s="443"/>
      <c r="B921" s="43" t="str">
        <f>IF(A921="", "", IFERROR(VLOOKUP(A921, Clasificaciones!A:B, 2, FALSE), "DATO NO CARGADO"))
</f>
        <v/>
      </c>
      <c r="C921" s="51"/>
      <c r="D921" s="102"/>
      <c r="E921" s="102"/>
      <c r="H921" s="102"/>
      <c r="J921" s="102"/>
      <c r="K921" s="450"/>
      <c r="L921" s="443"/>
      <c r="M921" s="450"/>
      <c r="N921" s="452">
        <f t="array" ref="N921">IFERROR(
  INDEX(
    'Valor Hora Real y Estimada'!$A$4:$Z$78,
    MATCH(TRIM(CLEAN(A921)), 'Valor Hora Real y Estimada'!$A$4:$A$78, 0),
    MATCH(
      TEXT(C921,"dd mmm")&amp;" "&amp;D921,
      'Valor Hora Real y Estimada'!$A$3:$Z$3,
      0
    ) + 1
  ),
  0
)</f>
        <v>0</v>
      </c>
      <c r="O921" s="453">
        <f t="shared" si="44"/>
        <v>0</v>
      </c>
      <c r="P921" s="113"/>
      <c r="Q921" s="106" t="str">
        <f>IF(ISBLANK(O921), "", VLOOKUP(C921&amp;" "&amp;D921, 'Info Tipo de Cambio y REM'!$A$24:$B$35, 2, FALSE))</f>
        <v>#N/A</v>
      </c>
      <c r="R921" s="107" t="str">
        <f t="shared" si="32"/>
        <v/>
      </c>
    </row>
    <row r="922" hidden="1">
      <c r="A922" s="443"/>
      <c r="B922" s="43" t="str">
        <f>IF(A922="", "", IFERROR(VLOOKUP(A922, Clasificaciones!A:B, 2, FALSE), "DATO NO CARGADO"))
</f>
        <v/>
      </c>
      <c r="C922" s="51"/>
      <c r="D922" s="102"/>
      <c r="E922" s="102"/>
      <c r="H922" s="102"/>
      <c r="J922" s="102"/>
      <c r="K922" s="450"/>
      <c r="L922" s="443"/>
      <c r="M922" s="450"/>
      <c r="N922" s="452">
        <f t="array" ref="N922">IFERROR(
  INDEX(
    'Valor Hora Real y Estimada'!$A$4:$Z$78,
    MATCH(TRIM(CLEAN(A922)), 'Valor Hora Real y Estimada'!$A$4:$A$78, 0),
    MATCH(
      TEXT(C922,"dd mmm")&amp;" "&amp;D922,
      'Valor Hora Real y Estimada'!$A$3:$Z$3,
      0
    ) + 1
  ),
  0
)</f>
        <v>0</v>
      </c>
      <c r="O922" s="453">
        <f t="shared" si="44"/>
        <v>0</v>
      </c>
      <c r="P922" s="113"/>
      <c r="Q922" s="106" t="str">
        <f>IF(ISBLANK(O922), "", VLOOKUP(C922&amp;" "&amp;D922, 'Info Tipo de Cambio y REM'!$A$24:$B$35, 2, FALSE))</f>
        <v>#N/A</v>
      </c>
      <c r="R922" s="107" t="str">
        <f t="shared" si="32"/>
        <v/>
      </c>
    </row>
    <row r="923" hidden="1">
      <c r="A923" s="443"/>
      <c r="B923" s="43" t="str">
        <f>IF(A923="", "", IFERROR(VLOOKUP(A923, Clasificaciones!A:B, 2, FALSE), "DATO NO CARGADO"))
</f>
        <v/>
      </c>
      <c r="C923" s="51"/>
      <c r="D923" s="102"/>
      <c r="E923" s="102"/>
      <c r="H923" s="102"/>
      <c r="J923" s="102"/>
      <c r="K923" s="450"/>
      <c r="L923" s="443"/>
      <c r="M923" s="450"/>
      <c r="N923" s="452">
        <f t="array" ref="N923">IFERROR(
  INDEX(
    'Valor Hora Real y Estimada'!$A$4:$Z$78,
    MATCH(TRIM(CLEAN(A923)), 'Valor Hora Real y Estimada'!$A$4:$A$78, 0),
    MATCH(
      TEXT(C923,"dd mmm")&amp;" "&amp;D923,
      'Valor Hora Real y Estimada'!$A$3:$Z$3,
      0
    ) + 1
  ),
  0
)</f>
        <v>0</v>
      </c>
      <c r="O923" s="453">
        <f t="shared" si="44"/>
        <v>0</v>
      </c>
      <c r="P923" s="113"/>
      <c r="Q923" s="106" t="str">
        <f>IF(ISBLANK(O923), "", VLOOKUP(C923&amp;" "&amp;D923, 'Info Tipo de Cambio y REM'!$A$24:$B$35, 2, FALSE))</f>
        <v>#N/A</v>
      </c>
      <c r="R923" s="107" t="str">
        <f t="shared" si="32"/>
        <v/>
      </c>
    </row>
    <row r="924" hidden="1">
      <c r="A924" s="443"/>
      <c r="B924" s="43" t="str">
        <f>IF(A924="", "", IFERROR(VLOOKUP(A924, Clasificaciones!A:B, 2, FALSE), "DATO NO CARGADO"))
</f>
        <v/>
      </c>
      <c r="C924" s="51"/>
      <c r="D924" s="102"/>
      <c r="E924" s="102"/>
      <c r="H924" s="102"/>
      <c r="J924" s="102"/>
      <c r="K924" s="450"/>
      <c r="L924" s="443"/>
      <c r="M924" s="450"/>
      <c r="N924" s="452">
        <f t="array" ref="N924">IFERROR(
  INDEX(
    'Valor Hora Real y Estimada'!$A$4:$Z$78,
    MATCH(TRIM(CLEAN(A924)), 'Valor Hora Real y Estimada'!$A$4:$A$78, 0),
    MATCH(
      TEXT(C924,"dd mmm")&amp;" "&amp;D924,
      'Valor Hora Real y Estimada'!$A$3:$Z$3,
      0
    ) + 1
  ),
  0
)</f>
        <v>0</v>
      </c>
      <c r="O924" s="453">
        <f t="shared" si="44"/>
        <v>0</v>
      </c>
      <c r="P924" s="113"/>
      <c r="Q924" s="106" t="str">
        <f>IF(ISBLANK(O924), "", VLOOKUP(C924&amp;" "&amp;D924, 'Info Tipo de Cambio y REM'!$A$24:$B$35, 2, FALSE))</f>
        <v>#N/A</v>
      </c>
      <c r="R924" s="107" t="str">
        <f t="shared" si="32"/>
        <v/>
      </c>
    </row>
    <row r="925" hidden="1">
      <c r="A925" s="443"/>
      <c r="B925" s="43" t="str">
        <f>IF(A925="", "", IFERROR(VLOOKUP(A925, Clasificaciones!A:B, 2, FALSE), "DATO NO CARGADO"))
</f>
        <v/>
      </c>
      <c r="C925" s="51"/>
      <c r="D925" s="102"/>
      <c r="E925" s="102"/>
      <c r="H925" s="102"/>
      <c r="J925" s="102"/>
      <c r="K925" s="450"/>
      <c r="L925" s="443"/>
      <c r="M925" s="450"/>
      <c r="N925" s="452">
        <f t="array" ref="N925">IFERROR(
  INDEX(
    'Valor Hora Real y Estimada'!$A$4:$Z$78,
    MATCH(TRIM(CLEAN(A925)), 'Valor Hora Real y Estimada'!$A$4:$A$78, 0),
    MATCH(
      TEXT(C925,"dd mmm")&amp;" "&amp;D925,
      'Valor Hora Real y Estimada'!$A$3:$Z$3,
      0
    ) + 1
  ),
  0
)</f>
        <v>0</v>
      </c>
      <c r="O925" s="453">
        <f t="shared" si="44"/>
        <v>0</v>
      </c>
      <c r="P925" s="113"/>
      <c r="Q925" s="106" t="str">
        <f>IF(ISBLANK(O925), "", VLOOKUP(C925&amp;" "&amp;D925, 'Info Tipo de Cambio y REM'!$A$24:$B$35, 2, FALSE))</f>
        <v>#N/A</v>
      </c>
      <c r="R925" s="107" t="str">
        <f t="shared" si="32"/>
        <v/>
      </c>
    </row>
    <row r="926" hidden="1">
      <c r="A926" s="443"/>
      <c r="B926" s="43" t="str">
        <f>IF(A926="", "", IFERROR(VLOOKUP(A926, Clasificaciones!A:B, 2, FALSE), "DATO NO CARGADO"))
</f>
        <v/>
      </c>
      <c r="C926" s="51"/>
      <c r="D926" s="102"/>
      <c r="E926" s="102"/>
      <c r="H926" s="102"/>
      <c r="J926" s="102"/>
      <c r="K926" s="450"/>
      <c r="L926" s="443"/>
      <c r="M926" s="450"/>
      <c r="N926" s="452">
        <f t="array" ref="N926">IFERROR(
  INDEX(
    'Valor Hora Real y Estimada'!$A$4:$Z$78,
    MATCH(TRIM(CLEAN(A926)), 'Valor Hora Real y Estimada'!$A$4:$A$78, 0),
    MATCH(
      TEXT(C926,"dd mmm")&amp;" "&amp;D926,
      'Valor Hora Real y Estimada'!$A$3:$Z$3,
      0
    ) + 1
  ),
  0
)</f>
        <v>0</v>
      </c>
      <c r="O926" s="453">
        <f t="shared" si="44"/>
        <v>0</v>
      </c>
      <c r="P926" s="113"/>
      <c r="Q926" s="106" t="str">
        <f>IF(ISBLANK(O926), "", VLOOKUP(C926&amp;" "&amp;D926, 'Info Tipo de Cambio y REM'!$A$24:$B$35, 2, FALSE))</f>
        <v>#N/A</v>
      </c>
      <c r="R926" s="107" t="str">
        <f t="shared" si="32"/>
        <v/>
      </c>
    </row>
    <row r="927" hidden="1">
      <c r="A927" s="443"/>
      <c r="B927" s="43" t="str">
        <f>IF(A927="", "", IFERROR(VLOOKUP(A927, Clasificaciones!A:B, 2, FALSE), "DATO NO CARGADO"))
</f>
        <v/>
      </c>
      <c r="C927" s="51"/>
      <c r="D927" s="102"/>
      <c r="E927" s="102"/>
      <c r="H927" s="102"/>
      <c r="J927" s="102"/>
      <c r="K927" s="450"/>
      <c r="L927" s="443"/>
      <c r="M927" s="450"/>
      <c r="N927" s="452">
        <f t="array" ref="N927">IFERROR(
  INDEX(
    'Valor Hora Real y Estimada'!$A$4:$Z$78,
    MATCH(TRIM(CLEAN(A927)), 'Valor Hora Real y Estimada'!$A$4:$A$78, 0),
    MATCH(
      TEXT(C927,"dd mmm")&amp;" "&amp;D927,
      'Valor Hora Real y Estimada'!$A$3:$Z$3,
      0
    ) + 1
  ),
  0
)</f>
        <v>0</v>
      </c>
      <c r="O927" s="453">
        <f t="shared" si="44"/>
        <v>0</v>
      </c>
      <c r="P927" s="113"/>
      <c r="Q927" s="106" t="str">
        <f>IF(ISBLANK(O927), "", VLOOKUP(C927&amp;" "&amp;D927, 'Info Tipo de Cambio y REM'!$A$24:$B$35, 2, FALSE))</f>
        <v>#N/A</v>
      </c>
      <c r="R927" s="107" t="str">
        <f t="shared" si="32"/>
        <v/>
      </c>
    </row>
    <row r="928" hidden="1">
      <c r="A928" s="443"/>
      <c r="B928" s="43" t="str">
        <f>IF(A928="", "", IFERROR(VLOOKUP(A928, Clasificaciones!A:B, 2, FALSE), "DATO NO CARGADO"))
</f>
        <v/>
      </c>
      <c r="C928" s="51"/>
      <c r="D928" s="102"/>
      <c r="E928" s="102"/>
      <c r="H928" s="102"/>
      <c r="J928" s="102"/>
      <c r="K928" s="450"/>
      <c r="L928" s="443"/>
      <c r="M928" s="450"/>
      <c r="N928" s="452">
        <f t="array" ref="N928">IFERROR(
  INDEX(
    'Valor Hora Real y Estimada'!$A$4:$Z$78,
    MATCH(TRIM(CLEAN(A928)), 'Valor Hora Real y Estimada'!$A$4:$A$78, 0),
    MATCH(
      TEXT(C928,"dd mmm")&amp;" "&amp;D928,
      'Valor Hora Real y Estimada'!$A$3:$Z$3,
      0
    ) + 1
  ),
  0
)</f>
        <v>0</v>
      </c>
      <c r="O928" s="453">
        <f t="shared" si="44"/>
        <v>0</v>
      </c>
      <c r="P928" s="113"/>
      <c r="Q928" s="106" t="str">
        <f>IF(ISBLANK(O928), "", VLOOKUP(C928&amp;" "&amp;D928, 'Info Tipo de Cambio y REM'!$A$24:$B$35, 2, FALSE))</f>
        <v>#N/A</v>
      </c>
      <c r="R928" s="107" t="str">
        <f t="shared" si="32"/>
        <v/>
      </c>
    </row>
    <row r="929" hidden="1">
      <c r="A929" s="443"/>
      <c r="B929" s="43" t="str">
        <f>IF(A929="", "", IFERROR(VLOOKUP(A929, Clasificaciones!A:B, 2, FALSE), "DATO NO CARGADO"))
</f>
        <v/>
      </c>
      <c r="C929" s="51"/>
      <c r="D929" s="102"/>
      <c r="E929" s="102"/>
      <c r="H929" s="102"/>
      <c r="J929" s="102"/>
      <c r="K929" s="450"/>
      <c r="L929" s="443"/>
      <c r="M929" s="450"/>
      <c r="N929" s="452">
        <f t="array" ref="N929">IFERROR(
  INDEX(
    'Valor Hora Real y Estimada'!$A$4:$Z$78,
    MATCH(TRIM(CLEAN(A929)), 'Valor Hora Real y Estimada'!$A$4:$A$78, 0),
    MATCH(
      TEXT(C929,"dd mmm")&amp;" "&amp;D929,
      'Valor Hora Real y Estimada'!$A$3:$Z$3,
      0
    ) + 1
  ),
  0
)</f>
        <v>0</v>
      </c>
      <c r="O929" s="453">
        <f t="shared" si="44"/>
        <v>0</v>
      </c>
      <c r="P929" s="113"/>
      <c r="Q929" s="106" t="str">
        <f>IF(ISBLANK(O929), "", VLOOKUP(C929&amp;" "&amp;D929, 'Info Tipo de Cambio y REM'!$A$24:$B$35, 2, FALSE))</f>
        <v>#N/A</v>
      </c>
      <c r="R929" s="107" t="str">
        <f t="shared" si="32"/>
        <v/>
      </c>
    </row>
    <row r="930" hidden="1">
      <c r="A930" s="443"/>
      <c r="B930" s="43" t="str">
        <f>IF(A930="", "", IFERROR(VLOOKUP(A930, Clasificaciones!A:B, 2, FALSE), "DATO NO CARGADO"))
</f>
        <v/>
      </c>
      <c r="C930" s="51"/>
      <c r="D930" s="102"/>
      <c r="E930" s="102"/>
      <c r="H930" s="102"/>
      <c r="J930" s="102"/>
      <c r="K930" s="450"/>
      <c r="L930" s="443"/>
      <c r="M930" s="450"/>
      <c r="N930" s="452">
        <f t="array" ref="N930">IFERROR(
  INDEX(
    'Valor Hora Real y Estimada'!$A$4:$Z$78,
    MATCH(TRIM(CLEAN(A930)), 'Valor Hora Real y Estimada'!$A$4:$A$78, 0),
    MATCH(
      TEXT(C930,"dd mmm")&amp;" "&amp;D930,
      'Valor Hora Real y Estimada'!$A$3:$Z$3,
      0
    ) + 1
  ),
  0
)</f>
        <v>0</v>
      </c>
      <c r="O930" s="453">
        <f t="shared" si="44"/>
        <v>0</v>
      </c>
      <c r="P930" s="113"/>
      <c r="Q930" s="106" t="str">
        <f>IF(ISBLANK(O930), "", VLOOKUP(C930&amp;" "&amp;D930, 'Info Tipo de Cambio y REM'!$A$24:$B$35, 2, FALSE))</f>
        <v>#N/A</v>
      </c>
      <c r="R930" s="107" t="str">
        <f t="shared" si="32"/>
        <v/>
      </c>
    </row>
    <row r="931" hidden="1">
      <c r="A931" s="443"/>
      <c r="B931" s="43" t="str">
        <f>IF(A931="", "", IFERROR(VLOOKUP(A931, Clasificaciones!A:B, 2, FALSE), "DATO NO CARGADO"))
</f>
        <v/>
      </c>
      <c r="C931" s="51"/>
      <c r="D931" s="102"/>
      <c r="E931" s="102"/>
      <c r="H931" s="102"/>
      <c r="J931" s="102"/>
      <c r="K931" s="450"/>
      <c r="L931" s="443"/>
      <c r="M931" s="450"/>
      <c r="N931" s="452">
        <f t="array" ref="N931">IFERROR(
  INDEX(
    'Valor Hora Real y Estimada'!$A$4:$Z$78,
    MATCH(TRIM(CLEAN(A931)), 'Valor Hora Real y Estimada'!$A$4:$A$78, 0),
    MATCH(
      TEXT(C931,"dd mmm")&amp;" "&amp;D931,
      'Valor Hora Real y Estimada'!$A$3:$Z$3,
      0
    ) + 1
  ),
  0
)</f>
        <v>0</v>
      </c>
      <c r="O931" s="453">
        <f t="shared" si="44"/>
        <v>0</v>
      </c>
      <c r="P931" s="113"/>
      <c r="Q931" s="106" t="str">
        <f>IF(ISBLANK(O931), "", VLOOKUP(C931&amp;" "&amp;D931, 'Info Tipo de Cambio y REM'!$A$24:$B$35, 2, FALSE))</f>
        <v>#N/A</v>
      </c>
      <c r="R931" s="107" t="str">
        <f t="shared" si="32"/>
        <v/>
      </c>
    </row>
    <row r="932" hidden="1">
      <c r="A932" s="443"/>
      <c r="B932" s="43" t="str">
        <f>IF(A932="", "", IFERROR(VLOOKUP(A932, Clasificaciones!A:B, 2, FALSE), "DATO NO CARGADO"))
</f>
        <v/>
      </c>
      <c r="C932" s="51"/>
      <c r="D932" s="102"/>
      <c r="E932" s="102"/>
      <c r="H932" s="102"/>
      <c r="J932" s="102"/>
      <c r="K932" s="450"/>
      <c r="L932" s="443"/>
      <c r="M932" s="450"/>
      <c r="N932" s="452">
        <f t="array" ref="N932">IFERROR(
  INDEX(
    'Valor Hora Real y Estimada'!$A$4:$Z$78,
    MATCH(TRIM(CLEAN(A932)), 'Valor Hora Real y Estimada'!$A$4:$A$78, 0),
    MATCH(
      TEXT(C932,"dd mmm")&amp;" "&amp;D932,
      'Valor Hora Real y Estimada'!$A$3:$Z$3,
      0
    ) + 1
  ),
  0
)</f>
        <v>0</v>
      </c>
      <c r="O932" s="453">
        <f t="shared" si="44"/>
        <v>0</v>
      </c>
      <c r="P932" s="113"/>
      <c r="Q932" s="106" t="str">
        <f>IF(ISBLANK(O932), "", VLOOKUP(C932&amp;" "&amp;D932, 'Info Tipo de Cambio y REM'!$A$24:$B$35, 2, FALSE))</f>
        <v>#N/A</v>
      </c>
      <c r="R932" s="107" t="str">
        <f t="shared" si="32"/>
        <v/>
      </c>
    </row>
    <row r="933" hidden="1">
      <c r="A933" s="443"/>
      <c r="B933" s="43" t="str">
        <f>IF(A933="", "", IFERROR(VLOOKUP(A933, Clasificaciones!A:B, 2, FALSE), "DATO NO CARGADO"))
</f>
        <v/>
      </c>
      <c r="C933" s="51"/>
      <c r="D933" s="102"/>
      <c r="E933" s="102"/>
      <c r="H933" s="102"/>
      <c r="J933" s="102"/>
      <c r="K933" s="450"/>
      <c r="L933" s="443"/>
      <c r="M933" s="450"/>
      <c r="N933" s="452">
        <f t="array" ref="N933">IFERROR(
  INDEX(
    'Valor Hora Real y Estimada'!$A$4:$Z$78,
    MATCH(TRIM(CLEAN(A933)), 'Valor Hora Real y Estimada'!$A$4:$A$78, 0),
    MATCH(
      TEXT(C933,"dd mmm")&amp;" "&amp;D933,
      'Valor Hora Real y Estimada'!$A$3:$Z$3,
      0
    ) + 1
  ),
  0
)</f>
        <v>0</v>
      </c>
      <c r="O933" s="453">
        <f t="shared" si="44"/>
        <v>0</v>
      </c>
      <c r="P933" s="113"/>
      <c r="Q933" s="106" t="str">
        <f>IF(ISBLANK(O933), "", VLOOKUP(C933&amp;" "&amp;D933, 'Info Tipo de Cambio y REM'!$A$24:$B$35, 2, FALSE))</f>
        <v>#N/A</v>
      </c>
      <c r="R933" s="107" t="str">
        <f t="shared" si="32"/>
        <v/>
      </c>
    </row>
    <row r="934" hidden="1">
      <c r="A934" s="443"/>
      <c r="B934" s="43" t="str">
        <f>IF(A934="", "", IFERROR(VLOOKUP(A934, Clasificaciones!A:B, 2, FALSE), "DATO NO CARGADO"))
</f>
        <v/>
      </c>
      <c r="C934" s="51"/>
      <c r="D934" s="102"/>
      <c r="E934" s="102"/>
      <c r="H934" s="102"/>
      <c r="J934" s="102"/>
      <c r="K934" s="450"/>
      <c r="L934" s="443"/>
      <c r="M934" s="450"/>
      <c r="N934" s="452">
        <f t="array" ref="N934">IFERROR(
  INDEX(
    'Valor Hora Real y Estimada'!$A$4:$Z$78,
    MATCH(TRIM(CLEAN(A934)), 'Valor Hora Real y Estimada'!$A$4:$A$78, 0),
    MATCH(
      TEXT(C934,"dd mmm")&amp;" "&amp;D934,
      'Valor Hora Real y Estimada'!$A$3:$Z$3,
      0
    ) + 1
  ),
  0
)</f>
        <v>0</v>
      </c>
      <c r="O934" s="453">
        <f t="shared" si="44"/>
        <v>0</v>
      </c>
      <c r="P934" s="113"/>
      <c r="Q934" s="106" t="str">
        <f>IF(ISBLANK(O934), "", VLOOKUP(C934&amp;" "&amp;D934, 'Info Tipo de Cambio y REM'!$A$24:$B$35, 2, FALSE))</f>
        <v>#N/A</v>
      </c>
      <c r="R934" s="107" t="str">
        <f t="shared" si="32"/>
        <v/>
      </c>
    </row>
    <row r="935" hidden="1">
      <c r="A935" s="443"/>
      <c r="B935" s="43" t="str">
        <f>IF(A935="", "", IFERROR(VLOOKUP(A935, Clasificaciones!A:B, 2, FALSE), "DATO NO CARGADO"))
</f>
        <v/>
      </c>
      <c r="C935" s="51"/>
      <c r="D935" s="102"/>
      <c r="E935" s="102"/>
      <c r="H935" s="102"/>
      <c r="J935" s="102"/>
      <c r="K935" s="450"/>
      <c r="L935" s="443"/>
      <c r="M935" s="450"/>
      <c r="N935" s="452">
        <f t="array" ref="N935">IFERROR(
  INDEX(
    'Valor Hora Real y Estimada'!$A$4:$Z$78,
    MATCH(TRIM(CLEAN(A935)), 'Valor Hora Real y Estimada'!$A$4:$A$78, 0),
    MATCH(
      TEXT(C935,"dd mmm")&amp;" "&amp;D935,
      'Valor Hora Real y Estimada'!$A$3:$Z$3,
      0
    ) + 1
  ),
  0
)</f>
        <v>0</v>
      </c>
      <c r="O935" s="453">
        <f t="shared" si="44"/>
        <v>0</v>
      </c>
      <c r="P935" s="113"/>
      <c r="Q935" s="106" t="str">
        <f>IF(ISBLANK(O935), "", VLOOKUP(C935&amp;" "&amp;D935, 'Info Tipo de Cambio y REM'!$A$24:$B$35, 2, FALSE))</f>
        <v>#N/A</v>
      </c>
      <c r="R935" s="107" t="str">
        <f t="shared" si="32"/>
        <v/>
      </c>
    </row>
    <row r="936" hidden="1">
      <c r="A936" s="443"/>
      <c r="B936" s="43" t="str">
        <f>IF(A936="", "", IFERROR(VLOOKUP(A936, Clasificaciones!A:B, 2, FALSE), "DATO NO CARGADO"))
</f>
        <v/>
      </c>
      <c r="C936" s="51"/>
      <c r="D936" s="102"/>
      <c r="E936" s="102"/>
      <c r="H936" s="102"/>
      <c r="J936" s="102"/>
      <c r="K936" s="450"/>
      <c r="L936" s="443"/>
      <c r="M936" s="450"/>
      <c r="N936" s="452">
        <f t="array" ref="N936">IFERROR(
  INDEX(
    'Valor Hora Real y Estimada'!$A$4:$Z$78,
    MATCH(TRIM(CLEAN(A936)), 'Valor Hora Real y Estimada'!$A$4:$A$78, 0),
    MATCH(
      TEXT(C936,"dd mmm")&amp;" "&amp;D936,
      'Valor Hora Real y Estimada'!$A$3:$Z$3,
      0
    ) + 1
  ),
  0
)</f>
        <v>0</v>
      </c>
      <c r="O936" s="453">
        <f t="shared" si="44"/>
        <v>0</v>
      </c>
      <c r="P936" s="113"/>
      <c r="Q936" s="106" t="str">
        <f>IF(ISBLANK(O936), "", VLOOKUP(C936&amp;" "&amp;D936, 'Info Tipo de Cambio y REM'!$A$24:$B$35, 2, FALSE))</f>
        <v>#N/A</v>
      </c>
      <c r="R936" s="107" t="str">
        <f t="shared" si="32"/>
        <v/>
      </c>
    </row>
    <row r="937" hidden="1">
      <c r="A937" s="443"/>
      <c r="B937" s="43" t="str">
        <f>IF(A937="", "", IFERROR(VLOOKUP(A937, Clasificaciones!A:B, 2, FALSE), "DATO NO CARGADO"))
</f>
        <v/>
      </c>
      <c r="C937" s="51"/>
      <c r="D937" s="102"/>
      <c r="E937" s="102"/>
      <c r="H937" s="102"/>
      <c r="J937" s="102"/>
      <c r="K937" s="450"/>
      <c r="L937" s="443"/>
      <c r="M937" s="450"/>
      <c r="N937" s="452">
        <f t="array" ref="N937">IFERROR(
  INDEX(
    'Valor Hora Real y Estimada'!$A$4:$Z$78,
    MATCH(TRIM(CLEAN(A937)), 'Valor Hora Real y Estimada'!$A$4:$A$78, 0),
    MATCH(
      TEXT(C937,"dd mmm")&amp;" "&amp;D937,
      'Valor Hora Real y Estimada'!$A$3:$Z$3,
      0
    ) + 1
  ),
  0
)</f>
        <v>0</v>
      </c>
      <c r="O937" s="453">
        <f t="shared" si="44"/>
        <v>0</v>
      </c>
      <c r="P937" s="113"/>
      <c r="Q937" s="106" t="str">
        <f>IF(ISBLANK(O937), "", VLOOKUP(C937&amp;" "&amp;D937, 'Info Tipo de Cambio y REM'!$A$24:$B$35, 2, FALSE))</f>
        <v>#N/A</v>
      </c>
      <c r="R937" s="107" t="str">
        <f t="shared" si="32"/>
        <v/>
      </c>
    </row>
    <row r="938" hidden="1">
      <c r="A938" s="443"/>
      <c r="B938" s="43" t="str">
        <f>IF(A938="", "", IFERROR(VLOOKUP(A938, Clasificaciones!A:B, 2, FALSE), "DATO NO CARGADO"))
</f>
        <v/>
      </c>
      <c r="C938" s="51"/>
      <c r="D938" s="102"/>
      <c r="E938" s="102"/>
      <c r="H938" s="102"/>
      <c r="J938" s="102"/>
      <c r="K938" s="450"/>
      <c r="L938" s="443"/>
      <c r="M938" s="450"/>
      <c r="N938" s="452">
        <f t="array" ref="N938">IFERROR(
  INDEX(
    'Valor Hora Real y Estimada'!$A$4:$Z$78,
    MATCH(TRIM(CLEAN(A938)), 'Valor Hora Real y Estimada'!$A$4:$A$78, 0),
    MATCH(
      TEXT(C938,"dd mmm")&amp;" "&amp;D938,
      'Valor Hora Real y Estimada'!$A$3:$Z$3,
      0
    ) + 1
  ),
  0
)</f>
        <v>0</v>
      </c>
      <c r="O938" s="453">
        <f t="shared" si="44"/>
        <v>0</v>
      </c>
      <c r="P938" s="113"/>
      <c r="Q938" s="106" t="str">
        <f>IF(ISBLANK(O938), "", VLOOKUP(C938&amp;" "&amp;D938, 'Info Tipo de Cambio y REM'!$A$24:$B$35, 2, FALSE))</f>
        <v>#N/A</v>
      </c>
      <c r="R938" s="107" t="str">
        <f t="shared" si="32"/>
        <v/>
      </c>
    </row>
    <row r="939" hidden="1">
      <c r="A939" s="443"/>
      <c r="B939" s="43" t="str">
        <f>IF(A939="", "", IFERROR(VLOOKUP(A939, Clasificaciones!A:B, 2, FALSE), "DATO NO CARGADO"))
</f>
        <v/>
      </c>
      <c r="C939" s="51"/>
      <c r="D939" s="102"/>
      <c r="E939" s="102"/>
      <c r="H939" s="102"/>
      <c r="J939" s="102"/>
      <c r="K939" s="450"/>
      <c r="L939" s="443"/>
      <c r="M939" s="450"/>
      <c r="N939" s="452">
        <f t="array" ref="N939">IFERROR(
  INDEX(
    'Valor Hora Real y Estimada'!$A$4:$Z$78,
    MATCH(TRIM(CLEAN(A939)), 'Valor Hora Real y Estimada'!$A$4:$A$78, 0),
    MATCH(
      TEXT(C939,"dd mmm")&amp;" "&amp;D939,
      'Valor Hora Real y Estimada'!$A$3:$Z$3,
      0
    ) + 1
  ),
  0
)</f>
        <v>0</v>
      </c>
      <c r="O939" s="453">
        <f t="shared" si="44"/>
        <v>0</v>
      </c>
      <c r="P939" s="113"/>
      <c r="Q939" s="106" t="str">
        <f>IF(ISBLANK(O939), "", VLOOKUP(C939&amp;" "&amp;D939, 'Info Tipo de Cambio y REM'!$A$24:$B$35, 2, FALSE))</f>
        <v>#N/A</v>
      </c>
      <c r="R939" s="107" t="str">
        <f t="shared" si="32"/>
        <v/>
      </c>
    </row>
    <row r="940" hidden="1">
      <c r="A940" s="443"/>
      <c r="B940" s="43" t="str">
        <f>IF(A940="", "", IFERROR(VLOOKUP(A940, Clasificaciones!A:B, 2, FALSE), "DATO NO CARGADO"))
</f>
        <v/>
      </c>
      <c r="C940" s="51"/>
      <c r="D940" s="102"/>
      <c r="E940" s="102"/>
      <c r="H940" s="102"/>
      <c r="J940" s="102"/>
      <c r="K940" s="450"/>
      <c r="L940" s="443"/>
      <c r="M940" s="450"/>
      <c r="N940" s="452">
        <f t="array" ref="N940">IFERROR(
  INDEX(
    'Valor Hora Real y Estimada'!$A$4:$Z$78,
    MATCH(TRIM(CLEAN(A940)), 'Valor Hora Real y Estimada'!$A$4:$A$78, 0),
    MATCH(
      TEXT(C940,"dd mmm")&amp;" "&amp;D940,
      'Valor Hora Real y Estimada'!$A$3:$Z$3,
      0
    ) + 1
  ),
  0
)</f>
        <v>0</v>
      </c>
      <c r="O940" s="453">
        <f t="shared" si="44"/>
        <v>0</v>
      </c>
      <c r="P940" s="113"/>
      <c r="Q940" s="106" t="str">
        <f>IF(ISBLANK(O940), "", VLOOKUP(C940&amp;" "&amp;D940, 'Info Tipo de Cambio y REM'!$A$24:$B$35, 2, FALSE))</f>
        <v>#N/A</v>
      </c>
      <c r="R940" s="107" t="str">
        <f t="shared" si="32"/>
        <v/>
      </c>
    </row>
    <row r="941" hidden="1">
      <c r="A941" s="443"/>
      <c r="B941" s="43" t="str">
        <f>IF(A941="", "", IFERROR(VLOOKUP(A941, Clasificaciones!A:B, 2, FALSE), "DATO NO CARGADO"))
</f>
        <v/>
      </c>
      <c r="C941" s="51"/>
      <c r="D941" s="102"/>
      <c r="E941" s="102"/>
      <c r="H941" s="102"/>
      <c r="J941" s="102"/>
      <c r="K941" s="450"/>
      <c r="L941" s="443"/>
      <c r="M941" s="450"/>
      <c r="N941" s="452">
        <f t="array" ref="N941">IFERROR(
  INDEX(
    'Valor Hora Real y Estimada'!$A$4:$Z$78,
    MATCH(TRIM(CLEAN(A941)), 'Valor Hora Real y Estimada'!$A$4:$A$78, 0),
    MATCH(
      TEXT(C941,"dd mmm")&amp;" "&amp;D941,
      'Valor Hora Real y Estimada'!$A$3:$Z$3,
      0
    ) + 1
  ),
  0
)</f>
        <v>0</v>
      </c>
      <c r="O941" s="453">
        <f t="shared" si="44"/>
        <v>0</v>
      </c>
      <c r="P941" s="113"/>
      <c r="Q941" s="106" t="str">
        <f>IF(ISBLANK(O941), "", VLOOKUP(C941&amp;" "&amp;D941, 'Info Tipo de Cambio y REM'!$A$24:$B$35, 2, FALSE))</f>
        <v>#N/A</v>
      </c>
      <c r="R941" s="107" t="str">
        <f t="shared" si="32"/>
        <v/>
      </c>
    </row>
    <row r="942" hidden="1">
      <c r="A942" s="443"/>
      <c r="B942" s="43" t="str">
        <f>IF(A942="", "", IFERROR(VLOOKUP(A942, Clasificaciones!A:B, 2, FALSE), "DATO NO CARGADO"))
</f>
        <v/>
      </c>
      <c r="C942" s="51"/>
      <c r="D942" s="102"/>
      <c r="E942" s="102"/>
      <c r="H942" s="102"/>
      <c r="J942" s="102"/>
      <c r="K942" s="450"/>
      <c r="L942" s="443"/>
      <c r="M942" s="450"/>
      <c r="N942" s="452">
        <f t="array" ref="N942">IFERROR(
  INDEX(
    'Valor Hora Real y Estimada'!$A$4:$Z$78,
    MATCH(TRIM(CLEAN(A942)), 'Valor Hora Real y Estimada'!$A$4:$A$78, 0),
    MATCH(
      TEXT(C942,"dd mmm")&amp;" "&amp;D942,
      'Valor Hora Real y Estimada'!$A$3:$Z$3,
      0
    ) + 1
  ),
  0
)</f>
        <v>0</v>
      </c>
      <c r="O942" s="453">
        <f t="shared" si="44"/>
        <v>0</v>
      </c>
      <c r="P942" s="113"/>
      <c r="Q942" s="106" t="str">
        <f>IF(ISBLANK(O942), "", VLOOKUP(C942&amp;" "&amp;D942, 'Info Tipo de Cambio y REM'!$A$24:$B$35, 2, FALSE))</f>
        <v>#N/A</v>
      </c>
      <c r="R942" s="107" t="str">
        <f t="shared" si="32"/>
        <v/>
      </c>
    </row>
    <row r="943" hidden="1">
      <c r="A943" s="443"/>
      <c r="B943" s="43" t="str">
        <f>IF(A943="", "", IFERROR(VLOOKUP(A943, Clasificaciones!A:B, 2, FALSE), "DATO NO CARGADO"))
</f>
        <v/>
      </c>
      <c r="C943" s="51"/>
      <c r="D943" s="102"/>
      <c r="E943" s="102"/>
      <c r="H943" s="102"/>
      <c r="J943" s="102"/>
      <c r="K943" s="450"/>
      <c r="L943" s="443"/>
      <c r="M943" s="450"/>
      <c r="N943" s="452">
        <f t="array" ref="N943">IFERROR(
  INDEX(
    'Valor Hora Real y Estimada'!$A$4:$Z$78,
    MATCH(TRIM(CLEAN(A943)), 'Valor Hora Real y Estimada'!$A$4:$A$78, 0),
    MATCH(
      TEXT(C943,"dd mmm")&amp;" "&amp;D943,
      'Valor Hora Real y Estimada'!$A$3:$Z$3,
      0
    ) + 1
  ),
  0
)</f>
        <v>0</v>
      </c>
      <c r="O943" s="453">
        <f t="shared" si="44"/>
        <v>0</v>
      </c>
      <c r="P943" s="113"/>
      <c r="Q943" s="106" t="str">
        <f>IF(ISBLANK(O943), "", VLOOKUP(C943&amp;" "&amp;D943, 'Info Tipo de Cambio y REM'!$A$24:$B$35, 2, FALSE))</f>
        <v>#N/A</v>
      </c>
      <c r="R943" s="107" t="str">
        <f t="shared" si="32"/>
        <v/>
      </c>
    </row>
    <row r="944" hidden="1">
      <c r="A944" s="443"/>
      <c r="B944" s="43" t="str">
        <f>IF(A944="", "", IFERROR(VLOOKUP(A944, Clasificaciones!A:B, 2, FALSE), "DATO NO CARGADO"))
</f>
        <v/>
      </c>
      <c r="C944" s="51"/>
      <c r="D944" s="102"/>
      <c r="E944" s="102"/>
      <c r="H944" s="102"/>
      <c r="J944" s="102"/>
      <c r="K944" s="450"/>
      <c r="L944" s="443"/>
      <c r="M944" s="450"/>
      <c r="N944" s="452">
        <f t="array" ref="N944">IFERROR(
  INDEX(
    'Valor Hora Real y Estimada'!$A$4:$Z$78,
    MATCH(TRIM(CLEAN(A944)), 'Valor Hora Real y Estimada'!$A$4:$A$78, 0),
    MATCH(
      TEXT(C944,"dd mmm")&amp;" "&amp;D944,
      'Valor Hora Real y Estimada'!$A$3:$Z$3,
      0
    ) + 1
  ),
  0
)</f>
        <v>0</v>
      </c>
      <c r="O944" s="453">
        <f t="shared" si="44"/>
        <v>0</v>
      </c>
      <c r="P944" s="113"/>
      <c r="Q944" s="106" t="str">
        <f>IF(ISBLANK(O944), "", VLOOKUP(C944&amp;" "&amp;D944, 'Info Tipo de Cambio y REM'!$A$24:$B$35, 2, FALSE))</f>
        <v>#N/A</v>
      </c>
      <c r="R944" s="107" t="str">
        <f t="shared" si="32"/>
        <v/>
      </c>
    </row>
    <row r="945" hidden="1">
      <c r="A945" s="443"/>
      <c r="B945" s="43" t="str">
        <f>IF(A945="", "", IFERROR(VLOOKUP(A945, Clasificaciones!A:B, 2, FALSE), "DATO NO CARGADO"))
</f>
        <v/>
      </c>
      <c r="C945" s="51"/>
      <c r="D945" s="102"/>
      <c r="E945" s="102"/>
      <c r="H945" s="102"/>
      <c r="J945" s="102"/>
      <c r="K945" s="450"/>
      <c r="L945" s="443"/>
      <c r="M945" s="450"/>
      <c r="N945" s="452">
        <f t="array" ref="N945">IFERROR(
  INDEX(
    'Valor Hora Real y Estimada'!$A$4:$Z$78,
    MATCH(TRIM(CLEAN(A945)), 'Valor Hora Real y Estimada'!$A$4:$A$78, 0),
    MATCH(
      TEXT(C945,"dd mmm")&amp;" "&amp;D945,
      'Valor Hora Real y Estimada'!$A$3:$Z$3,
      0
    ) + 1
  ),
  0
)</f>
        <v>0</v>
      </c>
      <c r="O945" s="453">
        <f t="shared" si="44"/>
        <v>0</v>
      </c>
      <c r="P945" s="113"/>
      <c r="Q945" s="106" t="str">
        <f>IF(ISBLANK(O945), "", VLOOKUP(C945&amp;" "&amp;D945, 'Info Tipo de Cambio y REM'!$A$24:$B$35, 2, FALSE))</f>
        <v>#N/A</v>
      </c>
      <c r="R945" s="107" t="str">
        <f t="shared" si="32"/>
        <v/>
      </c>
    </row>
    <row r="946" hidden="1">
      <c r="A946" s="443"/>
      <c r="B946" s="43" t="str">
        <f>IF(A946="", "", IFERROR(VLOOKUP(A946, Clasificaciones!A:B, 2, FALSE), "DATO NO CARGADO"))
</f>
        <v/>
      </c>
      <c r="C946" s="51"/>
      <c r="D946" s="102"/>
      <c r="E946" s="102"/>
      <c r="H946" s="102"/>
      <c r="J946" s="102"/>
      <c r="K946" s="450"/>
      <c r="L946" s="443"/>
      <c r="M946" s="450"/>
      <c r="N946" s="452">
        <f t="array" ref="N946">IFERROR(
  INDEX(
    'Valor Hora Real y Estimada'!$A$4:$Z$78,
    MATCH(TRIM(CLEAN(A946)), 'Valor Hora Real y Estimada'!$A$4:$A$78, 0),
    MATCH(
      TEXT(C946,"dd mmm")&amp;" "&amp;D946,
      'Valor Hora Real y Estimada'!$A$3:$Z$3,
      0
    ) + 1
  ),
  0
)</f>
        <v>0</v>
      </c>
      <c r="O946" s="453">
        <f t="shared" si="44"/>
        <v>0</v>
      </c>
      <c r="P946" s="113"/>
      <c r="Q946" s="106" t="str">
        <f>IF(ISBLANK(O946), "", VLOOKUP(C946&amp;" "&amp;D946, 'Info Tipo de Cambio y REM'!$A$24:$B$35, 2, FALSE))</f>
        <v>#N/A</v>
      </c>
      <c r="R946" s="107" t="str">
        <f t="shared" si="32"/>
        <v/>
      </c>
    </row>
    <row r="947" hidden="1">
      <c r="A947" s="443"/>
      <c r="B947" s="43" t="str">
        <f>IF(A947="", "", IFERROR(VLOOKUP(A947, Clasificaciones!A:B, 2, FALSE), "DATO NO CARGADO"))
</f>
        <v/>
      </c>
      <c r="C947" s="51"/>
      <c r="D947" s="102"/>
      <c r="E947" s="102"/>
      <c r="H947" s="102"/>
      <c r="J947" s="102"/>
      <c r="K947" s="450"/>
      <c r="L947" s="443"/>
      <c r="M947" s="450"/>
      <c r="N947" s="452">
        <f t="array" ref="N947">IFERROR(
  INDEX(
    'Valor Hora Real y Estimada'!$A$4:$Z$78,
    MATCH(TRIM(CLEAN(A947)), 'Valor Hora Real y Estimada'!$A$4:$A$78, 0),
    MATCH(
      TEXT(C947,"dd mmm")&amp;" "&amp;D947,
      'Valor Hora Real y Estimada'!$A$3:$Z$3,
      0
    ) + 1
  ),
  0
)</f>
        <v>0</v>
      </c>
      <c r="O947" s="453">
        <f t="shared" si="44"/>
        <v>0</v>
      </c>
      <c r="P947" s="113"/>
      <c r="Q947" s="106" t="str">
        <f>IF(ISBLANK(O947), "", VLOOKUP(C947&amp;" "&amp;D947, 'Info Tipo de Cambio y REM'!$A$24:$B$35, 2, FALSE))</f>
        <v>#N/A</v>
      </c>
      <c r="R947" s="107" t="str">
        <f t="shared" si="32"/>
        <v/>
      </c>
    </row>
    <row r="948" hidden="1">
      <c r="A948" s="443"/>
      <c r="B948" s="43" t="str">
        <f>IF(A948="", "", IFERROR(VLOOKUP(A948, Clasificaciones!A:B, 2, FALSE), "DATO NO CARGADO"))
</f>
        <v/>
      </c>
      <c r="C948" s="51"/>
      <c r="D948" s="102"/>
      <c r="E948" s="102"/>
      <c r="H948" s="102"/>
      <c r="J948" s="102"/>
      <c r="K948" s="450"/>
      <c r="L948" s="443"/>
      <c r="M948" s="450"/>
      <c r="N948" s="452">
        <f t="array" ref="N948">IFERROR(
  INDEX(
    'Valor Hora Real y Estimada'!$A$4:$Z$78,
    MATCH(TRIM(CLEAN(A948)), 'Valor Hora Real y Estimada'!$A$4:$A$78, 0),
    MATCH(
      TEXT(C948,"dd mmm")&amp;" "&amp;D948,
      'Valor Hora Real y Estimada'!$A$3:$Z$3,
      0
    ) + 1
  ),
  0
)</f>
        <v>0</v>
      </c>
      <c r="O948" s="453">
        <f t="shared" si="44"/>
        <v>0</v>
      </c>
      <c r="P948" s="113"/>
      <c r="Q948" s="106" t="str">
        <f>IF(ISBLANK(O948), "", VLOOKUP(C948&amp;" "&amp;D948, 'Info Tipo de Cambio y REM'!$A$24:$B$35, 2, FALSE))</f>
        <v>#N/A</v>
      </c>
      <c r="R948" s="107" t="str">
        <f t="shared" si="32"/>
        <v/>
      </c>
    </row>
    <row r="949" hidden="1">
      <c r="A949" s="443"/>
      <c r="B949" s="43" t="str">
        <f>IF(A949="", "", IFERROR(VLOOKUP(A949, Clasificaciones!A:B, 2, FALSE), "DATO NO CARGADO"))
</f>
        <v/>
      </c>
      <c r="C949" s="51"/>
      <c r="D949" s="102"/>
      <c r="E949" s="102"/>
      <c r="H949" s="102"/>
      <c r="J949" s="102"/>
      <c r="K949" s="450"/>
      <c r="L949" s="443"/>
      <c r="M949" s="450"/>
      <c r="N949" s="452">
        <f t="array" ref="N949">IFERROR(
  INDEX(
    'Valor Hora Real y Estimada'!$A$4:$Z$78,
    MATCH(TRIM(CLEAN(A949)), 'Valor Hora Real y Estimada'!$A$4:$A$78, 0),
    MATCH(
      TEXT(C949,"dd mmm")&amp;" "&amp;D949,
      'Valor Hora Real y Estimada'!$A$3:$Z$3,
      0
    ) + 1
  ),
  0
)</f>
        <v>0</v>
      </c>
      <c r="O949" s="453">
        <f t="shared" si="44"/>
        <v>0</v>
      </c>
      <c r="P949" s="113"/>
      <c r="Q949" s="106" t="str">
        <f>IF(ISBLANK(O949), "", VLOOKUP(C949&amp;" "&amp;D949, 'Info Tipo de Cambio y REM'!$A$24:$B$35, 2, FALSE))</f>
        <v>#N/A</v>
      </c>
      <c r="R949" s="107" t="str">
        <f t="shared" si="32"/>
        <v/>
      </c>
    </row>
    <row r="950" hidden="1">
      <c r="A950" s="443"/>
      <c r="B950" s="43" t="str">
        <f>IF(A950="", "", IFERROR(VLOOKUP(A950, Clasificaciones!A:B, 2, FALSE), "DATO NO CARGADO"))
</f>
        <v/>
      </c>
      <c r="C950" s="51"/>
      <c r="D950" s="102"/>
      <c r="E950" s="102"/>
      <c r="H950" s="102"/>
      <c r="J950" s="102"/>
      <c r="K950" s="450"/>
      <c r="L950" s="443"/>
      <c r="M950" s="450"/>
      <c r="N950" s="452">
        <f t="array" ref="N950">IFERROR(
  INDEX(
    'Valor Hora Real y Estimada'!$A$4:$Z$78,
    MATCH(TRIM(CLEAN(A950)), 'Valor Hora Real y Estimada'!$A$4:$A$78, 0),
    MATCH(
      TEXT(C950,"dd mmm")&amp;" "&amp;D950,
      'Valor Hora Real y Estimada'!$A$3:$Z$3,
      0
    ) + 1
  ),
  0
)</f>
        <v>0</v>
      </c>
      <c r="O950" s="453">
        <f t="shared" si="44"/>
        <v>0</v>
      </c>
      <c r="P950" s="113"/>
      <c r="Q950" s="106" t="str">
        <f>IF(ISBLANK(O950), "", VLOOKUP(C950&amp;" "&amp;D950, 'Info Tipo de Cambio y REM'!$A$24:$B$35, 2, FALSE))</f>
        <v>#N/A</v>
      </c>
      <c r="R950" s="107" t="str">
        <f t="shared" si="32"/>
        <v/>
      </c>
    </row>
    <row r="951" hidden="1">
      <c r="A951" s="443"/>
      <c r="B951" s="43" t="str">
        <f>IF(A951="", "", IFERROR(VLOOKUP(A951, Clasificaciones!A:B, 2, FALSE), "DATO NO CARGADO"))
</f>
        <v/>
      </c>
      <c r="C951" s="51"/>
      <c r="D951" s="102"/>
      <c r="E951" s="102"/>
      <c r="H951" s="102"/>
      <c r="J951" s="102"/>
      <c r="K951" s="450"/>
      <c r="L951" s="443"/>
      <c r="M951" s="450"/>
      <c r="N951" s="452">
        <f t="array" ref="N951">IFERROR(
  INDEX(
    'Valor Hora Real y Estimada'!$A$4:$Z$78,
    MATCH(TRIM(CLEAN(A951)), 'Valor Hora Real y Estimada'!$A$4:$A$78, 0),
    MATCH(
      TEXT(C951,"dd mmm")&amp;" "&amp;D951,
      'Valor Hora Real y Estimada'!$A$3:$Z$3,
      0
    ) + 1
  ),
  0
)</f>
        <v>0</v>
      </c>
      <c r="O951" s="453">
        <f t="shared" si="44"/>
        <v>0</v>
      </c>
      <c r="P951" s="113"/>
      <c r="Q951" s="106" t="str">
        <f>IF(ISBLANK(O951), "", VLOOKUP(C951&amp;" "&amp;D951, 'Info Tipo de Cambio y REM'!$A$24:$B$35, 2, FALSE))</f>
        <v>#N/A</v>
      </c>
      <c r="R951" s="107" t="str">
        <f t="shared" si="32"/>
        <v/>
      </c>
    </row>
    <row r="952" hidden="1">
      <c r="A952" s="443"/>
      <c r="B952" s="43" t="str">
        <f>IF(A952="", "", IFERROR(VLOOKUP(A952, Clasificaciones!A:B, 2, FALSE), "DATO NO CARGADO"))
</f>
        <v/>
      </c>
      <c r="C952" s="51"/>
      <c r="D952" s="102"/>
      <c r="E952" s="102"/>
      <c r="H952" s="102"/>
      <c r="J952" s="102"/>
      <c r="K952" s="450"/>
      <c r="L952" s="443"/>
      <c r="M952" s="450"/>
      <c r="N952" s="452">
        <f t="array" ref="N952">IFERROR(
  INDEX(
    'Valor Hora Real y Estimada'!$A$4:$Z$78,
    MATCH(TRIM(CLEAN(A952)), 'Valor Hora Real y Estimada'!$A$4:$A$78, 0),
    MATCH(
      TEXT(C952,"dd mmm")&amp;" "&amp;D952,
      'Valor Hora Real y Estimada'!$A$3:$Z$3,
      0
    ) + 1
  ),
  0
)</f>
        <v>0</v>
      </c>
      <c r="O952" s="453">
        <f t="shared" si="44"/>
        <v>0</v>
      </c>
      <c r="P952" s="113"/>
      <c r="Q952" s="106" t="str">
        <f>IF(ISBLANK(O952), "", VLOOKUP(C952&amp;" "&amp;D952, 'Info Tipo de Cambio y REM'!$A$24:$B$35, 2, FALSE))</f>
        <v>#N/A</v>
      </c>
      <c r="R952" s="107" t="str">
        <f t="shared" si="32"/>
        <v/>
      </c>
    </row>
    <row r="953" hidden="1">
      <c r="A953" s="443"/>
      <c r="B953" s="43" t="str">
        <f>IF(A953="", "", IFERROR(VLOOKUP(A953, Clasificaciones!A:B, 2, FALSE), "DATO NO CARGADO"))
</f>
        <v/>
      </c>
      <c r="C953" s="51"/>
      <c r="D953" s="102"/>
      <c r="E953" s="102"/>
      <c r="H953" s="102"/>
      <c r="J953" s="102"/>
      <c r="K953" s="450"/>
      <c r="L953" s="443"/>
      <c r="M953" s="450"/>
      <c r="N953" s="452">
        <f t="array" ref="N953">IFERROR(
  INDEX(
    'Valor Hora Real y Estimada'!$A$4:$Z$78,
    MATCH(TRIM(CLEAN(A953)), 'Valor Hora Real y Estimada'!$A$4:$A$78, 0),
    MATCH(
      TEXT(C953,"dd mmm")&amp;" "&amp;D953,
      'Valor Hora Real y Estimada'!$A$3:$Z$3,
      0
    ) + 1
  ),
  0
)</f>
        <v>0</v>
      </c>
      <c r="O953" s="453">
        <f t="shared" si="44"/>
        <v>0</v>
      </c>
      <c r="P953" s="113"/>
      <c r="Q953" s="106" t="str">
        <f>IF(ISBLANK(O953), "", VLOOKUP(C953&amp;" "&amp;D953, 'Info Tipo de Cambio y REM'!$A$24:$B$35, 2, FALSE))</f>
        <v>#N/A</v>
      </c>
      <c r="R953" s="107" t="str">
        <f t="shared" si="32"/>
        <v/>
      </c>
    </row>
    <row r="954" hidden="1">
      <c r="A954" s="443"/>
      <c r="B954" s="43" t="str">
        <f>IF(A954="", "", IFERROR(VLOOKUP(A954, Clasificaciones!A:B, 2, FALSE), "DATO NO CARGADO"))
</f>
        <v/>
      </c>
      <c r="C954" s="51"/>
      <c r="D954" s="102"/>
      <c r="E954" s="102"/>
      <c r="H954" s="102"/>
      <c r="J954" s="102"/>
      <c r="K954" s="450"/>
      <c r="L954" s="443"/>
      <c r="M954" s="450"/>
      <c r="N954" s="452">
        <f t="array" ref="N954">IFERROR(
  INDEX(
    'Valor Hora Real y Estimada'!$A$4:$Z$78,
    MATCH(TRIM(CLEAN(A954)), 'Valor Hora Real y Estimada'!$A$4:$A$78, 0),
    MATCH(
      TEXT(C954,"dd mmm")&amp;" "&amp;D954,
      'Valor Hora Real y Estimada'!$A$3:$Z$3,
      0
    ) + 1
  ),
  0
)</f>
        <v>0</v>
      </c>
      <c r="O954" s="453">
        <f t="shared" si="44"/>
        <v>0</v>
      </c>
      <c r="P954" s="113"/>
      <c r="Q954" s="106" t="str">
        <f>IF(ISBLANK(O954), "", VLOOKUP(C954&amp;" "&amp;D954, 'Info Tipo de Cambio y REM'!$A$24:$B$35, 2, FALSE))</f>
        <v>#N/A</v>
      </c>
      <c r="R954" s="107" t="str">
        <f t="shared" si="32"/>
        <v/>
      </c>
    </row>
    <row r="955" hidden="1">
      <c r="A955" s="443"/>
      <c r="B955" s="43" t="str">
        <f>IF(A955="", "", IFERROR(VLOOKUP(A955, Clasificaciones!A:B, 2, FALSE), "DATO NO CARGADO"))
</f>
        <v/>
      </c>
      <c r="C955" s="51"/>
      <c r="D955" s="102"/>
      <c r="E955" s="102"/>
      <c r="H955" s="102"/>
      <c r="J955" s="102"/>
      <c r="K955" s="450"/>
      <c r="L955" s="443"/>
      <c r="M955" s="450"/>
      <c r="N955" s="452">
        <f t="array" ref="N955">IFERROR(
  INDEX(
    'Valor Hora Real y Estimada'!$A$4:$Z$78,
    MATCH(TRIM(CLEAN(A955)), 'Valor Hora Real y Estimada'!$A$4:$A$78, 0),
    MATCH(
      TEXT(C955,"dd mmm")&amp;" "&amp;D955,
      'Valor Hora Real y Estimada'!$A$3:$Z$3,
      0
    ) + 1
  ),
  0
)</f>
        <v>0</v>
      </c>
      <c r="O955" s="453">
        <f t="shared" si="44"/>
        <v>0</v>
      </c>
      <c r="P955" s="113"/>
      <c r="Q955" s="106" t="str">
        <f>IF(ISBLANK(O955), "", VLOOKUP(C955&amp;" "&amp;D955, 'Info Tipo de Cambio y REM'!$A$24:$B$35, 2, FALSE))</f>
        <v>#N/A</v>
      </c>
      <c r="R955" s="107" t="str">
        <f t="shared" si="32"/>
        <v/>
      </c>
    </row>
    <row r="956" hidden="1">
      <c r="A956" s="443"/>
      <c r="B956" s="43" t="str">
        <f>IF(A956="", "", IFERROR(VLOOKUP(A956, Clasificaciones!A:B, 2, FALSE), "DATO NO CARGADO"))
</f>
        <v/>
      </c>
      <c r="C956" s="51"/>
      <c r="D956" s="102"/>
      <c r="E956" s="102"/>
      <c r="H956" s="102"/>
      <c r="J956" s="102"/>
      <c r="K956" s="450"/>
      <c r="L956" s="443"/>
      <c r="M956" s="450"/>
      <c r="N956" s="452">
        <f t="array" ref="N956">IFERROR(
  INDEX(
    'Valor Hora Real y Estimada'!$A$4:$Z$78,
    MATCH(TRIM(CLEAN(A956)), 'Valor Hora Real y Estimada'!$A$4:$A$78, 0),
    MATCH(
      TEXT(C956,"dd mmm")&amp;" "&amp;D956,
      'Valor Hora Real y Estimada'!$A$3:$Z$3,
      0
    ) + 1
  ),
  0
)</f>
        <v>0</v>
      </c>
      <c r="O956" s="453">
        <f t="shared" si="44"/>
        <v>0</v>
      </c>
      <c r="P956" s="113"/>
      <c r="Q956" s="106" t="str">
        <f>IF(ISBLANK(O956), "", VLOOKUP(C956&amp;" "&amp;D956, 'Info Tipo de Cambio y REM'!$A$24:$B$35, 2, FALSE))</f>
        <v>#N/A</v>
      </c>
      <c r="R956" s="107" t="str">
        <f t="shared" si="32"/>
        <v/>
      </c>
    </row>
    <row r="957" hidden="1">
      <c r="A957" s="443"/>
      <c r="B957" s="43" t="str">
        <f>IF(A957="", "", IFERROR(VLOOKUP(A957, Clasificaciones!A:B, 2, FALSE), "DATO NO CARGADO"))
</f>
        <v/>
      </c>
      <c r="C957" s="51"/>
      <c r="D957" s="102"/>
      <c r="E957" s="102"/>
      <c r="H957" s="102"/>
      <c r="J957" s="102"/>
      <c r="K957" s="450"/>
      <c r="L957" s="443"/>
      <c r="M957" s="450"/>
      <c r="N957" s="452">
        <f t="array" ref="N957">IFERROR(
  INDEX(
    'Valor Hora Real y Estimada'!$A$4:$Z$78,
    MATCH(TRIM(CLEAN(A957)), 'Valor Hora Real y Estimada'!$A$4:$A$78, 0),
    MATCH(
      TEXT(C957,"dd mmm")&amp;" "&amp;D957,
      'Valor Hora Real y Estimada'!$A$3:$Z$3,
      0
    ) + 1
  ),
  0
)</f>
        <v>0</v>
      </c>
      <c r="O957" s="453">
        <f t="shared" si="44"/>
        <v>0</v>
      </c>
      <c r="P957" s="113"/>
      <c r="Q957" s="106" t="str">
        <f>IF(ISBLANK(O957), "", VLOOKUP(C957&amp;" "&amp;D957, 'Info Tipo de Cambio y REM'!$A$24:$B$35, 2, FALSE))</f>
        <v>#N/A</v>
      </c>
      <c r="R957" s="107" t="str">
        <f t="shared" si="32"/>
        <v/>
      </c>
    </row>
    <row r="958" hidden="1">
      <c r="A958" s="443"/>
      <c r="B958" s="43" t="str">
        <f>IF(A958="", "", IFERROR(VLOOKUP(A958, Clasificaciones!A:B, 2, FALSE), "DATO NO CARGADO"))
</f>
        <v/>
      </c>
      <c r="C958" s="51"/>
      <c r="D958" s="102"/>
      <c r="E958" s="102"/>
      <c r="H958" s="102"/>
      <c r="J958" s="102"/>
      <c r="K958" s="450"/>
      <c r="L958" s="443"/>
      <c r="M958" s="450"/>
      <c r="N958" s="452">
        <f t="array" ref="N958">IFERROR(
  INDEX(
    'Valor Hora Real y Estimada'!$A$4:$Z$78,
    MATCH(TRIM(CLEAN(A958)), 'Valor Hora Real y Estimada'!$A$4:$A$78, 0),
    MATCH(
      TEXT(C958,"dd mmm")&amp;" "&amp;D958,
      'Valor Hora Real y Estimada'!$A$3:$Z$3,
      0
    ) + 1
  ),
  0
)</f>
        <v>0</v>
      </c>
      <c r="O958" s="453">
        <f t="shared" si="44"/>
        <v>0</v>
      </c>
      <c r="P958" s="113"/>
      <c r="Q958" s="106" t="str">
        <f>IF(ISBLANK(O958), "", VLOOKUP(C958&amp;" "&amp;D958, 'Info Tipo de Cambio y REM'!$A$24:$B$35, 2, FALSE))</f>
        <v>#N/A</v>
      </c>
      <c r="R958" s="107" t="str">
        <f t="shared" si="32"/>
        <v/>
      </c>
    </row>
    <row r="959" hidden="1">
      <c r="A959" s="443"/>
      <c r="B959" s="43" t="str">
        <f>IF(A959="", "", IFERROR(VLOOKUP(A959, Clasificaciones!A:B, 2, FALSE), "DATO NO CARGADO"))
</f>
        <v/>
      </c>
      <c r="C959" s="51"/>
      <c r="D959" s="102"/>
      <c r="E959" s="102"/>
      <c r="H959" s="102"/>
      <c r="J959" s="102"/>
      <c r="K959" s="450"/>
      <c r="L959" s="443"/>
      <c r="M959" s="450"/>
      <c r="N959" s="452">
        <f t="array" ref="N959">IFERROR(
  INDEX(
    'Valor Hora Real y Estimada'!$A$4:$Z$78,
    MATCH(TRIM(CLEAN(A959)), 'Valor Hora Real y Estimada'!$A$4:$A$78, 0),
    MATCH(
      TEXT(C959,"dd mmm")&amp;" "&amp;D959,
      'Valor Hora Real y Estimada'!$A$3:$Z$3,
      0
    ) + 1
  ),
  0
)</f>
        <v>0</v>
      </c>
      <c r="O959" s="453">
        <f t="shared" si="44"/>
        <v>0</v>
      </c>
      <c r="P959" s="113"/>
      <c r="Q959" s="106" t="str">
        <f>IF(ISBLANK(O959), "", VLOOKUP(C959&amp;" "&amp;D959, 'Info Tipo de Cambio y REM'!$A$24:$B$35, 2, FALSE))</f>
        <v>#N/A</v>
      </c>
      <c r="R959" s="107" t="str">
        <f t="shared" si="32"/>
        <v/>
      </c>
    </row>
    <row r="960" hidden="1">
      <c r="A960" s="443"/>
      <c r="B960" s="43" t="str">
        <f>IF(A960="", "", IFERROR(VLOOKUP(A960, Clasificaciones!A:B, 2, FALSE), "DATO NO CARGADO"))
</f>
        <v/>
      </c>
      <c r="C960" s="51"/>
      <c r="D960" s="102"/>
      <c r="E960" s="102"/>
      <c r="H960" s="102"/>
      <c r="J960" s="102"/>
      <c r="K960" s="450"/>
      <c r="L960" s="443"/>
      <c r="M960" s="450"/>
      <c r="N960" s="452">
        <f t="array" ref="N960">IFERROR(
  INDEX(
    'Valor Hora Real y Estimada'!$A$4:$Z$78,
    MATCH(TRIM(CLEAN(A960)), 'Valor Hora Real y Estimada'!$A$4:$A$78, 0),
    MATCH(
      TEXT(C960,"dd mmm")&amp;" "&amp;D960,
      'Valor Hora Real y Estimada'!$A$3:$Z$3,
      0
    ) + 1
  ),
  0
)</f>
        <v>0</v>
      </c>
      <c r="O960" s="453">
        <f t="shared" si="44"/>
        <v>0</v>
      </c>
      <c r="P960" s="113"/>
      <c r="Q960" s="106" t="str">
        <f>IF(ISBLANK(O960), "", VLOOKUP(C960&amp;" "&amp;D960, 'Info Tipo de Cambio y REM'!$A$24:$B$35, 2, FALSE))</f>
        <v>#N/A</v>
      </c>
      <c r="R960" s="107" t="str">
        <f t="shared" si="32"/>
        <v/>
      </c>
    </row>
    <row r="961" hidden="1">
      <c r="A961" s="443"/>
      <c r="B961" s="43" t="str">
        <f>IF(A961="", "", IFERROR(VLOOKUP(A961, Clasificaciones!A:B, 2, FALSE), "DATO NO CARGADO"))
</f>
        <v/>
      </c>
      <c r="C961" s="51"/>
      <c r="D961" s="102"/>
      <c r="E961" s="102"/>
      <c r="H961" s="102"/>
      <c r="J961" s="102"/>
      <c r="K961" s="450"/>
      <c r="L961" s="443"/>
      <c r="M961" s="450"/>
      <c r="N961" s="452">
        <f t="array" ref="N961">IFERROR(
  INDEX(
    'Valor Hora Real y Estimada'!$A$4:$Z$78,
    MATCH(TRIM(CLEAN(A961)), 'Valor Hora Real y Estimada'!$A$4:$A$78, 0),
    MATCH(
      TEXT(C961,"dd mmm")&amp;" "&amp;D961,
      'Valor Hora Real y Estimada'!$A$3:$Z$3,
      0
    ) + 1
  ),
  0
)</f>
        <v>0</v>
      </c>
      <c r="O961" s="453">
        <f t="shared" si="44"/>
        <v>0</v>
      </c>
      <c r="P961" s="113"/>
      <c r="Q961" s="106" t="str">
        <f>IF(ISBLANK(O961), "", VLOOKUP(C961&amp;" "&amp;D961, 'Info Tipo de Cambio y REM'!$A$24:$B$35, 2, FALSE))</f>
        <v>#N/A</v>
      </c>
      <c r="R961" s="107" t="str">
        <f t="shared" si="32"/>
        <v/>
      </c>
    </row>
    <row r="962" hidden="1">
      <c r="A962" s="443"/>
      <c r="B962" s="43" t="str">
        <f>IF(A962="", "", IFERROR(VLOOKUP(A962, Clasificaciones!A:B, 2, FALSE), "DATO NO CARGADO"))
</f>
        <v/>
      </c>
      <c r="C962" s="51"/>
      <c r="D962" s="102"/>
      <c r="E962" s="102"/>
      <c r="H962" s="102"/>
      <c r="J962" s="102"/>
      <c r="K962" s="450"/>
      <c r="L962" s="443"/>
      <c r="M962" s="450"/>
      <c r="N962" s="452">
        <f t="array" ref="N962">IFERROR(
  INDEX(
    'Valor Hora Real y Estimada'!$A$4:$Z$78,
    MATCH(TRIM(CLEAN(A962)), 'Valor Hora Real y Estimada'!$A$4:$A$78, 0),
    MATCH(
      TEXT(C962,"dd mmm")&amp;" "&amp;D962,
      'Valor Hora Real y Estimada'!$A$3:$Z$3,
      0
    ) + 1
  ),
  0
)</f>
        <v>0</v>
      </c>
      <c r="O962" s="453">
        <f t="shared" si="44"/>
        <v>0</v>
      </c>
      <c r="P962" s="113"/>
      <c r="Q962" s="106" t="str">
        <f>IF(ISBLANK(O962), "", VLOOKUP(C962&amp;" "&amp;D962, 'Info Tipo de Cambio y REM'!$A$24:$B$35, 2, FALSE))</f>
        <v>#N/A</v>
      </c>
      <c r="R962" s="107" t="str">
        <f t="shared" si="32"/>
        <v/>
      </c>
    </row>
    <row r="963" hidden="1">
      <c r="A963" s="443"/>
      <c r="B963" s="43" t="str">
        <f>IF(A963="", "", IFERROR(VLOOKUP(A963, Clasificaciones!A:B, 2, FALSE), "DATO NO CARGADO"))
</f>
        <v/>
      </c>
      <c r="C963" s="51"/>
      <c r="D963" s="102"/>
      <c r="E963" s="102"/>
      <c r="H963" s="102"/>
      <c r="J963" s="102"/>
      <c r="K963" s="450"/>
      <c r="L963" s="443"/>
      <c r="M963" s="450"/>
      <c r="N963" s="452">
        <f t="array" ref="N963">IFERROR(
  INDEX(
    'Valor Hora Real y Estimada'!$A$4:$Z$78,
    MATCH(TRIM(CLEAN(A963)), 'Valor Hora Real y Estimada'!$A$4:$A$78, 0),
    MATCH(
      TEXT(C963,"dd mmm")&amp;" "&amp;D963,
      'Valor Hora Real y Estimada'!$A$3:$Z$3,
      0
    ) + 1
  ),
  0
)</f>
        <v>0</v>
      </c>
      <c r="O963" s="453">
        <f t="shared" si="44"/>
        <v>0</v>
      </c>
      <c r="P963" s="113"/>
      <c r="Q963" s="106" t="str">
        <f>IF(ISBLANK(O963), "", VLOOKUP(C963&amp;" "&amp;D963, 'Info Tipo de Cambio y REM'!$A$24:$B$35, 2, FALSE))</f>
        <v>#N/A</v>
      </c>
      <c r="R963" s="107" t="str">
        <f t="shared" si="32"/>
        <v/>
      </c>
    </row>
    <row r="964" hidden="1">
      <c r="A964" s="443"/>
      <c r="B964" s="43" t="str">
        <f>IF(A964="", "", IFERROR(VLOOKUP(A964, Clasificaciones!A:B, 2, FALSE), "DATO NO CARGADO"))
</f>
        <v/>
      </c>
      <c r="C964" s="51"/>
      <c r="D964" s="102"/>
      <c r="E964" s="102"/>
      <c r="H964" s="102"/>
      <c r="J964" s="102"/>
      <c r="K964" s="450"/>
      <c r="L964" s="443"/>
      <c r="M964" s="450"/>
      <c r="N964" s="452">
        <f t="array" ref="N964">IFERROR(
  INDEX(
    'Valor Hora Real y Estimada'!$A$4:$Z$78,
    MATCH(TRIM(CLEAN(A964)), 'Valor Hora Real y Estimada'!$A$4:$A$78, 0),
    MATCH(
      TEXT(C964,"dd mmm")&amp;" "&amp;D964,
      'Valor Hora Real y Estimada'!$A$3:$Z$3,
      0
    ) + 1
  ),
  0
)</f>
        <v>0</v>
      </c>
      <c r="O964" s="453">
        <f t="shared" si="44"/>
        <v>0</v>
      </c>
      <c r="P964" s="113"/>
      <c r="Q964" s="106" t="str">
        <f>IF(ISBLANK(O964), "", VLOOKUP(C964&amp;" "&amp;D964, 'Info Tipo de Cambio y REM'!$A$24:$B$35, 2, FALSE))</f>
        <v>#N/A</v>
      </c>
      <c r="R964" s="107" t="str">
        <f t="shared" si="32"/>
        <v/>
      </c>
    </row>
    <row r="965" hidden="1">
      <c r="A965" s="443"/>
      <c r="B965" s="43" t="str">
        <f>IF(A965="", "", IFERROR(VLOOKUP(A965, Clasificaciones!A:B, 2, FALSE), "DATO NO CARGADO"))
</f>
        <v/>
      </c>
      <c r="C965" s="51"/>
      <c r="D965" s="102"/>
      <c r="E965" s="102"/>
      <c r="H965" s="102"/>
      <c r="J965" s="102"/>
      <c r="K965" s="450"/>
      <c r="L965" s="443"/>
      <c r="M965" s="450"/>
      <c r="N965" s="452">
        <f t="array" ref="N965">IFERROR(
  INDEX(
    'Valor Hora Real y Estimada'!$A$4:$Z$78,
    MATCH(TRIM(CLEAN(A965)), 'Valor Hora Real y Estimada'!$A$4:$A$78, 0),
    MATCH(
      TEXT(C965,"dd mmm")&amp;" "&amp;D965,
      'Valor Hora Real y Estimada'!$A$3:$Z$3,
      0
    ) + 1
  ),
  0
)</f>
        <v>0</v>
      </c>
      <c r="O965" s="453">
        <f t="shared" si="44"/>
        <v>0</v>
      </c>
      <c r="P965" s="113"/>
      <c r="Q965" s="106" t="str">
        <f>IF(ISBLANK(O965), "", VLOOKUP(C965&amp;" "&amp;D965, 'Info Tipo de Cambio y REM'!$A$24:$B$35, 2, FALSE))</f>
        <v>#N/A</v>
      </c>
      <c r="R965" s="107" t="str">
        <f t="shared" si="32"/>
        <v/>
      </c>
    </row>
    <row r="966" hidden="1">
      <c r="A966" s="443"/>
      <c r="B966" s="43" t="str">
        <f>IF(A966="", "", IFERROR(VLOOKUP(A966, Clasificaciones!A:B, 2, FALSE), "DATO NO CARGADO"))
</f>
        <v/>
      </c>
      <c r="C966" s="51"/>
      <c r="D966" s="102"/>
      <c r="E966" s="102"/>
      <c r="H966" s="102"/>
      <c r="J966" s="102"/>
      <c r="K966" s="450"/>
      <c r="L966" s="443"/>
      <c r="M966" s="450"/>
      <c r="N966" s="452">
        <f t="array" ref="N966">IFERROR(
  INDEX(
    'Valor Hora Real y Estimada'!$A$4:$Z$78,
    MATCH(TRIM(CLEAN(A966)), 'Valor Hora Real y Estimada'!$A$4:$A$78, 0),
    MATCH(
      TEXT(C966,"dd mmm")&amp;" "&amp;D966,
      'Valor Hora Real y Estimada'!$A$3:$Z$3,
      0
    ) + 1
  ),
  0
)</f>
        <v>0</v>
      </c>
      <c r="O966" s="453">
        <f t="shared" si="44"/>
        <v>0</v>
      </c>
      <c r="P966" s="113"/>
      <c r="Q966" s="106" t="str">
        <f>IF(ISBLANK(O966), "", VLOOKUP(C966&amp;" "&amp;D966, 'Info Tipo de Cambio y REM'!$A$24:$B$35, 2, FALSE))</f>
        <v>#N/A</v>
      </c>
      <c r="R966" s="107" t="str">
        <f t="shared" si="32"/>
        <v/>
      </c>
    </row>
    <row r="967" hidden="1">
      <c r="A967" s="443"/>
      <c r="B967" s="43" t="str">
        <f>IF(A967="", "", IFERROR(VLOOKUP(A967, Clasificaciones!A:B, 2, FALSE), "DATO NO CARGADO"))
</f>
        <v/>
      </c>
      <c r="C967" s="51"/>
      <c r="D967" s="102"/>
      <c r="E967" s="102"/>
      <c r="H967" s="102"/>
      <c r="J967" s="102"/>
      <c r="K967" s="450"/>
      <c r="L967" s="443"/>
      <c r="M967" s="450"/>
      <c r="N967" s="452">
        <f t="array" ref="N967">IFERROR(
  INDEX(
    'Valor Hora Real y Estimada'!$A$4:$Z$78,
    MATCH(TRIM(CLEAN(A967)), 'Valor Hora Real y Estimada'!$A$4:$A$78, 0),
    MATCH(
      TEXT(C967,"dd mmm")&amp;" "&amp;D967,
      'Valor Hora Real y Estimada'!$A$3:$Z$3,
      0
    ) + 1
  ),
  0
)</f>
        <v>0</v>
      </c>
      <c r="O967" s="453">
        <f t="shared" si="44"/>
        <v>0</v>
      </c>
      <c r="P967" s="113"/>
      <c r="Q967" s="106" t="str">
        <f>IF(ISBLANK(O967), "", VLOOKUP(C967&amp;" "&amp;D967, 'Info Tipo de Cambio y REM'!$A$24:$B$35, 2, FALSE))</f>
        <v>#N/A</v>
      </c>
      <c r="R967" s="107" t="str">
        <f t="shared" si="32"/>
        <v/>
      </c>
    </row>
    <row r="968" hidden="1">
      <c r="A968" s="443"/>
      <c r="B968" s="43" t="str">
        <f>IF(A968="", "", IFERROR(VLOOKUP(A968, Clasificaciones!A:B, 2, FALSE), "DATO NO CARGADO"))
</f>
        <v/>
      </c>
      <c r="C968" s="51"/>
      <c r="D968" s="102"/>
      <c r="E968" s="102"/>
      <c r="H968" s="102"/>
      <c r="J968" s="102"/>
      <c r="K968" s="450"/>
      <c r="L968" s="443"/>
      <c r="M968" s="450"/>
      <c r="N968" s="452">
        <f t="array" ref="N968">IFERROR(
  INDEX(
    'Valor Hora Real y Estimada'!$A$4:$Z$78,
    MATCH(TRIM(CLEAN(A968)), 'Valor Hora Real y Estimada'!$A$4:$A$78, 0),
    MATCH(
      TEXT(C968,"dd mmm")&amp;" "&amp;D968,
      'Valor Hora Real y Estimada'!$A$3:$Z$3,
      0
    ) + 1
  ),
  0
)</f>
        <v>0</v>
      </c>
      <c r="O968" s="453">
        <f t="shared" si="44"/>
        <v>0</v>
      </c>
      <c r="P968" s="113"/>
      <c r="Q968" s="106" t="str">
        <f>IF(ISBLANK(O968), "", VLOOKUP(C968&amp;" "&amp;D968, 'Info Tipo de Cambio y REM'!$A$24:$B$35, 2, FALSE))</f>
        <v>#N/A</v>
      </c>
      <c r="R968" s="107" t="str">
        <f t="shared" si="32"/>
        <v/>
      </c>
    </row>
    <row r="969" hidden="1">
      <c r="A969" s="443"/>
      <c r="B969" s="43" t="str">
        <f>IF(A969="", "", IFERROR(VLOOKUP(A969, Clasificaciones!A:B, 2, FALSE), "DATO NO CARGADO"))
</f>
        <v/>
      </c>
      <c r="C969" s="51"/>
      <c r="D969" s="102"/>
      <c r="E969" s="102"/>
      <c r="H969" s="102"/>
      <c r="J969" s="102"/>
      <c r="K969" s="450"/>
      <c r="L969" s="443"/>
      <c r="M969" s="450"/>
      <c r="N969" s="452">
        <f t="array" ref="N969">IFERROR(
  INDEX(
    'Valor Hora Real y Estimada'!$A$4:$Z$78,
    MATCH(TRIM(CLEAN(A969)), 'Valor Hora Real y Estimada'!$A$4:$A$78, 0),
    MATCH(
      TEXT(C969,"dd mmm")&amp;" "&amp;D969,
      'Valor Hora Real y Estimada'!$A$3:$Z$3,
      0
    ) + 1
  ),
  0
)</f>
        <v>0</v>
      </c>
      <c r="O969" s="453">
        <f t="shared" si="44"/>
        <v>0</v>
      </c>
      <c r="P969" s="113"/>
      <c r="Q969" s="106" t="str">
        <f>IF(ISBLANK(O969), "", VLOOKUP(C969&amp;" "&amp;D969, 'Info Tipo de Cambio y REM'!$A$24:$B$35, 2, FALSE))</f>
        <v>#N/A</v>
      </c>
      <c r="R969" s="107" t="str">
        <f t="shared" si="32"/>
        <v/>
      </c>
    </row>
    <row r="970" hidden="1">
      <c r="A970" s="443"/>
      <c r="B970" s="43" t="str">
        <f>IF(A970="", "", IFERROR(VLOOKUP(A970, Clasificaciones!A:B, 2, FALSE), "DATO NO CARGADO"))
</f>
        <v/>
      </c>
      <c r="C970" s="51"/>
      <c r="D970" s="102"/>
      <c r="E970" s="102"/>
      <c r="H970" s="102"/>
      <c r="J970" s="102"/>
      <c r="K970" s="450"/>
      <c r="L970" s="443"/>
      <c r="M970" s="450"/>
      <c r="N970" s="452">
        <f t="array" ref="N970">IFERROR(
  INDEX(
    'Valor Hora Real y Estimada'!$A$4:$Z$78,
    MATCH(TRIM(CLEAN(A970)), 'Valor Hora Real y Estimada'!$A$4:$A$78, 0),
    MATCH(
      TEXT(C970,"dd mmm")&amp;" "&amp;D970,
      'Valor Hora Real y Estimada'!$A$3:$Z$3,
      0
    ) + 1
  ),
  0
)</f>
        <v>0</v>
      </c>
      <c r="O970" s="453">
        <f t="shared" si="44"/>
        <v>0</v>
      </c>
      <c r="P970" s="113"/>
      <c r="Q970" s="106" t="str">
        <f>IF(ISBLANK(O970), "", VLOOKUP(C970&amp;" "&amp;D970, 'Info Tipo de Cambio y REM'!$A$24:$B$35, 2, FALSE))</f>
        <v>#N/A</v>
      </c>
      <c r="R970" s="107" t="str">
        <f t="shared" si="32"/>
        <v/>
      </c>
    </row>
    <row r="971" hidden="1">
      <c r="A971" s="443"/>
      <c r="B971" s="43" t="str">
        <f>IF(A971="", "", IFERROR(VLOOKUP(A971, Clasificaciones!A:B, 2, FALSE), "DATO NO CARGADO"))
</f>
        <v/>
      </c>
      <c r="C971" s="51"/>
      <c r="D971" s="102"/>
      <c r="E971" s="102"/>
      <c r="H971" s="102"/>
      <c r="J971" s="102"/>
      <c r="K971" s="450"/>
      <c r="L971" s="443"/>
      <c r="M971" s="450"/>
      <c r="N971" s="452">
        <f t="array" ref="N971">IFERROR(
  INDEX(
    'Valor Hora Real y Estimada'!$A$4:$Z$78,
    MATCH(TRIM(CLEAN(A971)), 'Valor Hora Real y Estimada'!$A$4:$A$78, 0),
    MATCH(
      TEXT(C971,"dd mmm")&amp;" "&amp;D971,
      'Valor Hora Real y Estimada'!$A$3:$Z$3,
      0
    ) + 1
  ),
  0
)</f>
        <v>0</v>
      </c>
      <c r="O971" s="453">
        <f t="shared" si="44"/>
        <v>0</v>
      </c>
      <c r="P971" s="113"/>
      <c r="Q971" s="106" t="str">
        <f>IF(ISBLANK(O971), "", VLOOKUP(C971&amp;" "&amp;D971, 'Info Tipo de Cambio y REM'!$A$24:$B$35, 2, FALSE))</f>
        <v>#N/A</v>
      </c>
      <c r="R971" s="107" t="str">
        <f t="shared" si="32"/>
        <v/>
      </c>
    </row>
    <row r="972" hidden="1">
      <c r="A972" s="443"/>
      <c r="B972" s="43" t="str">
        <f>IF(A972="", "", IFERROR(VLOOKUP(A972, Clasificaciones!A:B, 2, FALSE), "DATO NO CARGADO"))
</f>
        <v/>
      </c>
      <c r="C972" s="51"/>
      <c r="D972" s="102"/>
      <c r="E972" s="102"/>
      <c r="H972" s="102"/>
      <c r="J972" s="102"/>
      <c r="K972" s="450"/>
      <c r="L972" s="443"/>
      <c r="M972" s="450"/>
      <c r="N972" s="452">
        <f t="array" ref="N972">IFERROR(
  INDEX(
    'Valor Hora Real y Estimada'!$A$4:$Z$78,
    MATCH(TRIM(CLEAN(A972)), 'Valor Hora Real y Estimada'!$A$4:$A$78, 0),
    MATCH(
      TEXT(C972,"dd mmm")&amp;" "&amp;D972,
      'Valor Hora Real y Estimada'!$A$3:$Z$3,
      0
    ) + 1
  ),
  0
)</f>
        <v>0</v>
      </c>
      <c r="O972" s="453">
        <f t="shared" si="44"/>
        <v>0</v>
      </c>
      <c r="P972" s="113"/>
      <c r="Q972" s="106" t="str">
        <f>IF(ISBLANK(O972), "", VLOOKUP(C972&amp;" "&amp;D972, 'Info Tipo de Cambio y REM'!$A$24:$B$35, 2, FALSE))</f>
        <v>#N/A</v>
      </c>
      <c r="R972" s="107" t="str">
        <f t="shared" si="32"/>
        <v/>
      </c>
    </row>
    <row r="973" hidden="1">
      <c r="A973" s="443"/>
      <c r="B973" s="43" t="str">
        <f>IF(A973="", "", IFERROR(VLOOKUP(A973, Clasificaciones!A:B, 2, FALSE), "DATO NO CARGADO"))
</f>
        <v/>
      </c>
      <c r="C973" s="51"/>
      <c r="D973" s="102"/>
      <c r="E973" s="102"/>
      <c r="H973" s="102"/>
      <c r="J973" s="102"/>
      <c r="K973" s="450"/>
      <c r="L973" s="443"/>
      <c r="M973" s="450"/>
      <c r="N973" s="452">
        <f t="array" ref="N973">IFERROR(
  INDEX(
    'Valor Hora Real y Estimada'!$A$4:$Z$78,
    MATCH(TRIM(CLEAN(A973)), 'Valor Hora Real y Estimada'!$A$4:$A$78, 0),
    MATCH(
      TEXT(C973,"dd mmm")&amp;" "&amp;D973,
      'Valor Hora Real y Estimada'!$A$3:$Z$3,
      0
    ) + 1
  ),
  0
)</f>
        <v>0</v>
      </c>
      <c r="O973" s="453">
        <f t="shared" si="44"/>
        <v>0</v>
      </c>
      <c r="P973" s="113"/>
      <c r="Q973" s="106" t="str">
        <f>IF(ISBLANK(O973), "", VLOOKUP(C973&amp;" "&amp;D973, 'Info Tipo de Cambio y REM'!$A$24:$B$35, 2, FALSE))</f>
        <v>#N/A</v>
      </c>
      <c r="R973" s="107" t="str">
        <f t="shared" si="32"/>
        <v/>
      </c>
    </row>
    <row r="974" hidden="1">
      <c r="A974" s="443"/>
      <c r="B974" s="43" t="str">
        <f>IF(A974="", "", IFERROR(VLOOKUP(A974, Clasificaciones!A:B, 2, FALSE), "DATO NO CARGADO"))
</f>
        <v/>
      </c>
      <c r="C974" s="51"/>
      <c r="D974" s="102"/>
      <c r="E974" s="102"/>
      <c r="H974" s="102"/>
      <c r="J974" s="102"/>
      <c r="K974" s="450"/>
      <c r="L974" s="443"/>
      <c r="M974" s="450"/>
      <c r="N974" s="452">
        <f t="array" ref="N974">IFERROR(
  INDEX(
    'Valor Hora Real y Estimada'!$A$4:$Z$78,
    MATCH(TRIM(CLEAN(A974)), 'Valor Hora Real y Estimada'!$A$4:$A$78, 0),
    MATCH(
      TEXT(C974,"dd mmm")&amp;" "&amp;D974,
      'Valor Hora Real y Estimada'!$A$3:$Z$3,
      0
    ) + 1
  ),
  0
)</f>
        <v>0</v>
      </c>
      <c r="O974" s="453">
        <f t="shared" si="44"/>
        <v>0</v>
      </c>
      <c r="P974" s="113"/>
      <c r="Q974" s="106" t="str">
        <f>IF(ISBLANK(O974), "", VLOOKUP(C974&amp;" "&amp;D974, 'Info Tipo de Cambio y REM'!$A$24:$B$35, 2, FALSE))</f>
        <v>#N/A</v>
      </c>
      <c r="R974" s="107" t="str">
        <f t="shared" si="32"/>
        <v/>
      </c>
    </row>
    <row r="975" hidden="1">
      <c r="A975" s="443"/>
      <c r="B975" s="43" t="str">
        <f>IF(A975="", "", IFERROR(VLOOKUP(A975, Clasificaciones!A:B, 2, FALSE), "DATO NO CARGADO"))
</f>
        <v/>
      </c>
      <c r="C975" s="51"/>
      <c r="D975" s="102"/>
      <c r="E975" s="102"/>
      <c r="H975" s="102"/>
      <c r="J975" s="102"/>
      <c r="K975" s="450"/>
      <c r="L975" s="443"/>
      <c r="M975" s="450"/>
      <c r="N975" s="452">
        <f t="array" ref="N975">IFERROR(
  INDEX(
    'Valor Hora Real y Estimada'!$A$4:$Z$78,
    MATCH(TRIM(CLEAN(A975)), 'Valor Hora Real y Estimada'!$A$4:$A$78, 0),
    MATCH(
      TEXT(C975,"dd mmm")&amp;" "&amp;D975,
      'Valor Hora Real y Estimada'!$A$3:$Z$3,
      0
    ) + 1
  ),
  0
)</f>
        <v>0</v>
      </c>
      <c r="O975" s="453">
        <f t="shared" si="44"/>
        <v>0</v>
      </c>
      <c r="P975" s="113"/>
      <c r="Q975" s="106" t="str">
        <f>IF(ISBLANK(O975), "", VLOOKUP(C975&amp;" "&amp;D975, 'Info Tipo de Cambio y REM'!$A$24:$B$35, 2, FALSE))</f>
        <v>#N/A</v>
      </c>
      <c r="R975" s="107" t="str">
        <f t="shared" si="32"/>
        <v/>
      </c>
    </row>
    <row r="976" hidden="1">
      <c r="A976" s="443"/>
      <c r="B976" s="43" t="str">
        <f>IF(A976="", "", IFERROR(VLOOKUP(A976, Clasificaciones!A:B, 2, FALSE), "DATO NO CARGADO"))
</f>
        <v/>
      </c>
      <c r="C976" s="51"/>
      <c r="D976" s="102"/>
      <c r="E976" s="102"/>
      <c r="H976" s="102"/>
      <c r="J976" s="102"/>
      <c r="K976" s="450"/>
      <c r="L976" s="443"/>
      <c r="M976" s="450"/>
      <c r="N976" s="452">
        <f t="array" ref="N976">IFERROR(
  INDEX(
    'Valor Hora Real y Estimada'!$A$4:$Z$78,
    MATCH(TRIM(CLEAN(A976)), 'Valor Hora Real y Estimada'!$A$4:$A$78, 0),
    MATCH(
      TEXT(C976,"dd mmm")&amp;" "&amp;D976,
      'Valor Hora Real y Estimada'!$A$3:$Z$3,
      0
    ) + 1
  ),
  0
)</f>
        <v>0</v>
      </c>
      <c r="O976" s="453">
        <f t="shared" si="44"/>
        <v>0</v>
      </c>
      <c r="P976" s="113"/>
      <c r="Q976" s="106" t="str">
        <f>IF(ISBLANK(O976), "", VLOOKUP(C976&amp;" "&amp;D976, 'Info Tipo de Cambio y REM'!$A$24:$B$35, 2, FALSE))</f>
        <v>#N/A</v>
      </c>
      <c r="R976" s="107" t="str">
        <f t="shared" si="32"/>
        <v/>
      </c>
    </row>
    <row r="977" hidden="1">
      <c r="A977" s="443"/>
      <c r="B977" s="43" t="str">
        <f>IF(A977="", "", IFERROR(VLOOKUP(A977, Clasificaciones!A:B, 2, FALSE), "DATO NO CARGADO"))
</f>
        <v/>
      </c>
      <c r="C977" s="51"/>
      <c r="D977" s="102"/>
      <c r="E977" s="102"/>
      <c r="H977" s="102"/>
      <c r="J977" s="102"/>
      <c r="K977" s="450"/>
      <c r="L977" s="443"/>
      <c r="M977" s="450"/>
      <c r="N977" s="452">
        <f t="array" ref="N977">IFERROR(
  INDEX(
    'Valor Hora Real y Estimada'!$A$4:$Z$78,
    MATCH(TRIM(CLEAN(A977)), 'Valor Hora Real y Estimada'!$A$4:$A$78, 0),
    MATCH(
      TEXT(C977,"dd mmm")&amp;" "&amp;D977,
      'Valor Hora Real y Estimada'!$A$3:$Z$3,
      0
    ) + 1
  ),
  0
)</f>
        <v>0</v>
      </c>
      <c r="O977" s="453">
        <f t="shared" si="44"/>
        <v>0</v>
      </c>
      <c r="P977" s="113"/>
      <c r="Q977" s="106" t="str">
        <f>IF(ISBLANK(O977), "", VLOOKUP(C977&amp;" "&amp;D977, 'Info Tipo de Cambio y REM'!$A$24:$B$35, 2, FALSE))</f>
        <v>#N/A</v>
      </c>
      <c r="R977" s="107" t="str">
        <f t="shared" si="32"/>
        <v/>
      </c>
    </row>
    <row r="978" hidden="1">
      <c r="A978" s="443"/>
      <c r="B978" s="43" t="str">
        <f>IF(A978="", "", IFERROR(VLOOKUP(A978, Clasificaciones!A:B, 2, FALSE), "DATO NO CARGADO"))
</f>
        <v/>
      </c>
      <c r="C978" s="51"/>
      <c r="D978" s="102"/>
      <c r="E978" s="102"/>
      <c r="H978" s="102"/>
      <c r="J978" s="102"/>
      <c r="K978" s="450"/>
      <c r="L978" s="443"/>
      <c r="M978" s="450"/>
      <c r="N978" s="452">
        <f t="array" ref="N978">IFERROR(
  INDEX(
    'Valor Hora Real y Estimada'!$A$4:$Z$78,
    MATCH(TRIM(CLEAN(A978)), 'Valor Hora Real y Estimada'!$A$4:$A$78, 0),
    MATCH(
      TEXT(C978,"dd mmm")&amp;" "&amp;D978,
      'Valor Hora Real y Estimada'!$A$3:$Z$3,
      0
    ) + 1
  ),
  0
)</f>
        <v>0</v>
      </c>
      <c r="O978" s="453">
        <f t="shared" si="44"/>
        <v>0</v>
      </c>
      <c r="P978" s="113"/>
      <c r="Q978" s="106" t="str">
        <f>IF(ISBLANK(O978), "", VLOOKUP(C978&amp;" "&amp;D978, 'Info Tipo de Cambio y REM'!$A$24:$B$35, 2, FALSE))</f>
        <v>#N/A</v>
      </c>
      <c r="R978" s="107" t="str">
        <f t="shared" si="32"/>
        <v/>
      </c>
    </row>
    <row r="979" hidden="1">
      <c r="A979" s="443"/>
      <c r="B979" s="43" t="str">
        <f>IF(A979="", "", IFERROR(VLOOKUP(A979, Clasificaciones!A:B, 2, FALSE), "DATO NO CARGADO"))
</f>
        <v/>
      </c>
      <c r="C979" s="51"/>
      <c r="D979" s="102"/>
      <c r="E979" s="102"/>
      <c r="H979" s="102"/>
      <c r="J979" s="102"/>
      <c r="K979" s="450"/>
      <c r="L979" s="443"/>
      <c r="M979" s="450"/>
      <c r="N979" s="452">
        <f t="array" ref="N979">IFERROR(
  INDEX(
    'Valor Hora Real y Estimada'!$A$4:$Z$78,
    MATCH(TRIM(CLEAN(A979)), 'Valor Hora Real y Estimada'!$A$4:$A$78, 0),
    MATCH(
      TEXT(C979,"dd mmm")&amp;" "&amp;D979,
      'Valor Hora Real y Estimada'!$A$3:$Z$3,
      0
    ) + 1
  ),
  0
)</f>
        <v>0</v>
      </c>
      <c r="O979" s="453">
        <f t="shared" si="44"/>
        <v>0</v>
      </c>
      <c r="P979" s="113"/>
      <c r="Q979" s="106" t="str">
        <f>IF(ISBLANK(O979), "", VLOOKUP(C979&amp;" "&amp;D979, 'Info Tipo de Cambio y REM'!$A$24:$B$35, 2, FALSE))</f>
        <v>#N/A</v>
      </c>
      <c r="R979" s="107" t="str">
        <f t="shared" si="32"/>
        <v/>
      </c>
    </row>
    <row r="980" hidden="1">
      <c r="A980" s="443"/>
      <c r="B980" s="43" t="str">
        <f>IF(A980="", "", IFERROR(VLOOKUP(A980, Clasificaciones!A:B, 2, FALSE), "DATO NO CARGADO"))
</f>
        <v/>
      </c>
      <c r="C980" s="51"/>
      <c r="D980" s="102"/>
      <c r="E980" s="102"/>
      <c r="H980" s="102"/>
      <c r="J980" s="102"/>
      <c r="K980" s="450"/>
      <c r="L980" s="443"/>
      <c r="M980" s="450"/>
      <c r="N980" s="452">
        <f t="array" ref="N980">IFERROR(
  INDEX(
    'Valor Hora Real y Estimada'!$A$4:$Z$78,
    MATCH(TRIM(CLEAN(A980)), 'Valor Hora Real y Estimada'!$A$4:$A$78, 0),
    MATCH(
      TEXT(C980,"dd mmm")&amp;" "&amp;D980,
      'Valor Hora Real y Estimada'!$A$3:$Z$3,
      0
    ) + 1
  ),
  0
)</f>
        <v>0</v>
      </c>
      <c r="O980" s="453">
        <f t="shared" si="44"/>
        <v>0</v>
      </c>
      <c r="P980" s="113"/>
      <c r="Q980" s="106" t="str">
        <f>IF(ISBLANK(O980), "", VLOOKUP(C980&amp;" "&amp;D980, 'Info Tipo de Cambio y REM'!$A$24:$B$35, 2, FALSE))</f>
        <v>#N/A</v>
      </c>
      <c r="R980" s="107" t="str">
        <f t="shared" si="32"/>
        <v/>
      </c>
    </row>
    <row r="981" hidden="1">
      <c r="A981" s="443"/>
      <c r="B981" s="43" t="str">
        <f>IF(A981="", "", IFERROR(VLOOKUP(A981, Clasificaciones!A:B, 2, FALSE), "DATO NO CARGADO"))
</f>
        <v/>
      </c>
      <c r="C981" s="51"/>
      <c r="D981" s="102"/>
      <c r="E981" s="102"/>
      <c r="H981" s="102"/>
      <c r="J981" s="102"/>
      <c r="K981" s="450"/>
      <c r="L981" s="443"/>
      <c r="M981" s="450"/>
      <c r="N981" s="452">
        <f t="array" ref="N981">IFERROR(
  INDEX(
    'Valor Hora Real y Estimada'!$A$4:$Z$78,
    MATCH(TRIM(CLEAN(A981)), 'Valor Hora Real y Estimada'!$A$4:$A$78, 0),
    MATCH(
      TEXT(C981,"dd mmm")&amp;" "&amp;D981,
      'Valor Hora Real y Estimada'!$A$3:$Z$3,
      0
    ) + 1
  ),
  0
)</f>
        <v>0</v>
      </c>
      <c r="O981" s="453">
        <f t="shared" si="44"/>
        <v>0</v>
      </c>
      <c r="P981" s="113"/>
      <c r="Q981" s="106" t="str">
        <f>IF(ISBLANK(O981), "", VLOOKUP(C981&amp;" "&amp;D981, 'Info Tipo de Cambio y REM'!$A$24:$B$35, 2, FALSE))</f>
        <v>#N/A</v>
      </c>
      <c r="R981" s="107" t="str">
        <f t="shared" si="32"/>
        <v/>
      </c>
    </row>
    <row r="982" hidden="1">
      <c r="A982" s="443"/>
      <c r="B982" s="43" t="str">
        <f>IF(A982="", "", IFERROR(VLOOKUP(A982, Clasificaciones!A:B, 2, FALSE), "DATO NO CARGADO"))
</f>
        <v/>
      </c>
      <c r="C982" s="51"/>
      <c r="D982" s="102"/>
      <c r="E982" s="102"/>
      <c r="H982" s="102"/>
      <c r="J982" s="102"/>
      <c r="K982" s="450"/>
      <c r="L982" s="443"/>
      <c r="M982" s="450"/>
      <c r="N982" s="452">
        <f t="array" ref="N982">IFERROR(
  INDEX(
    'Valor Hora Real y Estimada'!$A$4:$Z$78,
    MATCH(TRIM(CLEAN(A982)), 'Valor Hora Real y Estimada'!$A$4:$A$78, 0),
    MATCH(
      TEXT(C982,"dd mmm")&amp;" "&amp;D982,
      'Valor Hora Real y Estimada'!$A$3:$Z$3,
      0
    ) + 1
  ),
  0
)</f>
        <v>0</v>
      </c>
      <c r="O982" s="453">
        <f t="shared" si="44"/>
        <v>0</v>
      </c>
      <c r="P982" s="113"/>
      <c r="Q982" s="106" t="str">
        <f>IF(ISBLANK(O982), "", VLOOKUP(C982&amp;" "&amp;D982, 'Info Tipo de Cambio y REM'!$A$24:$B$35, 2, FALSE))</f>
        <v>#N/A</v>
      </c>
      <c r="R982" s="107" t="str">
        <f t="shared" si="32"/>
        <v/>
      </c>
    </row>
    <row r="983" hidden="1">
      <c r="A983" s="443"/>
      <c r="B983" s="43" t="str">
        <f>IF(A983="", "", IFERROR(VLOOKUP(A983, Clasificaciones!A:B, 2, FALSE), "DATO NO CARGADO"))
</f>
        <v/>
      </c>
      <c r="C983" s="51"/>
      <c r="D983" s="102"/>
      <c r="E983" s="102"/>
      <c r="H983" s="102"/>
      <c r="J983" s="102"/>
      <c r="K983" s="450"/>
      <c r="L983" s="443"/>
      <c r="M983" s="450"/>
      <c r="N983" s="452">
        <f t="array" ref="N983">IFERROR(
  INDEX(
    'Valor Hora Real y Estimada'!$A$4:$Z$78,
    MATCH(TRIM(CLEAN(A983)), 'Valor Hora Real y Estimada'!$A$4:$A$78, 0),
    MATCH(
      TEXT(C983,"dd mmm")&amp;" "&amp;D983,
      'Valor Hora Real y Estimada'!$A$3:$Z$3,
      0
    ) + 1
  ),
  0
)</f>
        <v>0</v>
      </c>
      <c r="O983" s="453">
        <f t="shared" si="44"/>
        <v>0</v>
      </c>
      <c r="P983" s="113"/>
      <c r="Q983" s="106" t="str">
        <f>IF(ISBLANK(O983), "", VLOOKUP(C983&amp;" "&amp;D983, 'Info Tipo de Cambio y REM'!$A$24:$B$35, 2, FALSE))</f>
        <v>#N/A</v>
      </c>
      <c r="R983" s="107" t="str">
        <f t="shared" si="32"/>
        <v/>
      </c>
    </row>
    <row r="984" hidden="1">
      <c r="A984" s="443"/>
      <c r="B984" s="43" t="str">
        <f>IF(A984="", "", IFERROR(VLOOKUP(A984, Clasificaciones!A:B, 2, FALSE), "DATO NO CARGADO"))
</f>
        <v/>
      </c>
      <c r="C984" s="51"/>
      <c r="D984" s="102"/>
      <c r="E984" s="102"/>
      <c r="H984" s="102"/>
      <c r="J984" s="102"/>
      <c r="K984" s="450"/>
      <c r="L984" s="443"/>
      <c r="M984" s="450"/>
      <c r="N984" s="452">
        <f t="array" ref="N984">IFERROR(
  INDEX(
    'Valor Hora Real y Estimada'!$A$4:$Z$78,
    MATCH(TRIM(CLEAN(A984)), 'Valor Hora Real y Estimada'!$A$4:$A$78, 0),
    MATCH(
      TEXT(C984,"dd mmm")&amp;" "&amp;D984,
      'Valor Hora Real y Estimada'!$A$3:$Z$3,
      0
    ) + 1
  ),
  0
)</f>
        <v>0</v>
      </c>
      <c r="O984" s="453">
        <f t="shared" si="44"/>
        <v>0</v>
      </c>
      <c r="P984" s="113"/>
      <c r="Q984" s="106" t="str">
        <f>IF(ISBLANK(O984), "", VLOOKUP(C984&amp;" "&amp;D984, 'Info Tipo de Cambio y REM'!$A$24:$B$35, 2, FALSE))</f>
        <v>#N/A</v>
      </c>
      <c r="R984" s="107" t="str">
        <f t="shared" si="32"/>
        <v/>
      </c>
    </row>
    <row r="985" hidden="1">
      <c r="A985" s="443"/>
      <c r="B985" s="43" t="str">
        <f>IF(A985="", "", IFERROR(VLOOKUP(A985, Clasificaciones!A:B, 2, FALSE), "DATO NO CARGADO"))
</f>
        <v/>
      </c>
      <c r="C985" s="51"/>
      <c r="D985" s="102"/>
      <c r="E985" s="102"/>
      <c r="H985" s="102"/>
      <c r="J985" s="102"/>
      <c r="K985" s="450"/>
      <c r="L985" s="443"/>
      <c r="M985" s="450"/>
      <c r="N985" s="452">
        <f t="array" ref="N985">IFERROR(
  INDEX(
    'Valor Hora Real y Estimada'!$A$4:$Z$78,
    MATCH(TRIM(CLEAN(A985)), 'Valor Hora Real y Estimada'!$A$4:$A$78, 0),
    MATCH(
      TEXT(C985,"dd mmm")&amp;" "&amp;D985,
      'Valor Hora Real y Estimada'!$A$3:$Z$3,
      0
    ) + 1
  ),
  0
)</f>
        <v>0</v>
      </c>
      <c r="O985" s="453">
        <f t="shared" si="44"/>
        <v>0</v>
      </c>
      <c r="P985" s="113"/>
      <c r="Q985" s="106" t="str">
        <f>IF(ISBLANK(O985), "", VLOOKUP(C985&amp;" "&amp;D985, 'Info Tipo de Cambio y REM'!$A$24:$B$35, 2, FALSE))</f>
        <v>#N/A</v>
      </c>
      <c r="R985" s="107" t="str">
        <f t="shared" si="32"/>
        <v/>
      </c>
    </row>
    <row r="986" hidden="1">
      <c r="A986" s="443"/>
      <c r="B986" s="43" t="str">
        <f>IF(A986="", "", IFERROR(VLOOKUP(A986, Clasificaciones!A:B, 2, FALSE), "DATO NO CARGADO"))
</f>
        <v/>
      </c>
      <c r="C986" s="51"/>
      <c r="D986" s="102"/>
      <c r="E986" s="102"/>
      <c r="H986" s="102"/>
      <c r="J986" s="102"/>
      <c r="K986" s="450"/>
      <c r="L986" s="443"/>
      <c r="M986" s="450"/>
      <c r="N986" s="452">
        <f t="array" ref="N986">IFERROR(
  INDEX(
    'Valor Hora Real y Estimada'!$A$4:$Z$78,
    MATCH(TRIM(CLEAN(A986)), 'Valor Hora Real y Estimada'!$A$4:$A$78, 0),
    MATCH(
      TEXT(C986,"dd mmm")&amp;" "&amp;D986,
      'Valor Hora Real y Estimada'!$A$3:$Z$3,
      0
    ) + 1
  ),
  0
)</f>
        <v>0</v>
      </c>
      <c r="O986" s="453">
        <f t="shared" si="44"/>
        <v>0</v>
      </c>
      <c r="P986" s="113"/>
      <c r="Q986" s="106" t="str">
        <f>IF(ISBLANK(O986), "", VLOOKUP(C986&amp;" "&amp;D986, 'Info Tipo de Cambio y REM'!$A$24:$B$35, 2, FALSE))</f>
        <v>#N/A</v>
      </c>
      <c r="R986" s="107" t="str">
        <f t="shared" si="32"/>
        <v/>
      </c>
    </row>
    <row r="987" hidden="1">
      <c r="A987" s="443"/>
      <c r="B987" s="43" t="str">
        <f>IF(A987="", "", IFERROR(VLOOKUP(A987, Clasificaciones!A:B, 2, FALSE), "DATO NO CARGADO"))
</f>
        <v/>
      </c>
      <c r="C987" s="51"/>
      <c r="D987" s="102"/>
      <c r="E987" s="102"/>
      <c r="H987" s="102"/>
      <c r="J987" s="102"/>
      <c r="K987" s="450"/>
      <c r="L987" s="443"/>
      <c r="M987" s="450"/>
      <c r="N987" s="452">
        <f t="array" ref="N987">IFERROR(
  INDEX(
    'Valor Hora Real y Estimada'!$A$4:$Z$78,
    MATCH(TRIM(CLEAN(A987)), 'Valor Hora Real y Estimada'!$A$4:$A$78, 0),
    MATCH(
      TEXT(C987,"dd mmm")&amp;" "&amp;D987,
      'Valor Hora Real y Estimada'!$A$3:$Z$3,
      0
    ) + 1
  ),
  0
)</f>
        <v>0</v>
      </c>
      <c r="O987" s="453">
        <f t="shared" si="44"/>
        <v>0</v>
      </c>
      <c r="P987" s="113"/>
      <c r="Q987" s="106" t="str">
        <f>IF(ISBLANK(O987), "", VLOOKUP(C987&amp;" "&amp;D987, 'Info Tipo de Cambio y REM'!$A$24:$B$35, 2, FALSE))</f>
        <v>#N/A</v>
      </c>
      <c r="R987" s="107" t="str">
        <f t="shared" si="32"/>
        <v/>
      </c>
    </row>
    <row r="988" hidden="1">
      <c r="A988" s="443"/>
      <c r="B988" s="43" t="str">
        <f>IF(A988="", "", IFERROR(VLOOKUP(A988, Clasificaciones!A:B, 2, FALSE), "DATO NO CARGADO"))
</f>
        <v/>
      </c>
      <c r="C988" s="51"/>
      <c r="D988" s="102"/>
      <c r="E988" s="102"/>
      <c r="H988" s="102"/>
      <c r="J988" s="102"/>
      <c r="K988" s="450"/>
      <c r="L988" s="443"/>
      <c r="M988" s="450"/>
      <c r="N988" s="452">
        <f t="array" ref="N988">IFERROR(
  INDEX(
    'Valor Hora Real y Estimada'!$A$4:$Z$78,
    MATCH(TRIM(CLEAN(A988)), 'Valor Hora Real y Estimada'!$A$4:$A$78, 0),
    MATCH(
      TEXT(C988,"dd mmm")&amp;" "&amp;D988,
      'Valor Hora Real y Estimada'!$A$3:$Z$3,
      0
    ) + 1
  ),
  0
)</f>
        <v>0</v>
      </c>
      <c r="O988" s="453">
        <f t="shared" si="44"/>
        <v>0</v>
      </c>
      <c r="P988" s="113"/>
      <c r="Q988" s="106" t="str">
        <f>IF(ISBLANK(O988), "", VLOOKUP(C988&amp;" "&amp;D988, 'Info Tipo de Cambio y REM'!$A$24:$B$35, 2, FALSE))</f>
        <v>#N/A</v>
      </c>
      <c r="R988" s="107" t="str">
        <f t="shared" si="32"/>
        <v/>
      </c>
    </row>
    <row r="989" hidden="1">
      <c r="A989" s="443"/>
      <c r="B989" s="43" t="str">
        <f>IF(A989="", "", IFERROR(VLOOKUP(A989, Clasificaciones!A:B, 2, FALSE), "DATO NO CARGADO"))
</f>
        <v/>
      </c>
      <c r="C989" s="51"/>
      <c r="D989" s="102"/>
      <c r="E989" s="102"/>
      <c r="H989" s="102"/>
      <c r="J989" s="102"/>
      <c r="K989" s="450"/>
      <c r="L989" s="443"/>
      <c r="M989" s="450"/>
      <c r="N989" s="452">
        <f t="array" ref="N989">IFERROR(
  INDEX(
    'Valor Hora Real y Estimada'!$A$4:$Z$78,
    MATCH(TRIM(CLEAN(A989)), 'Valor Hora Real y Estimada'!$A$4:$A$78, 0),
    MATCH(
      TEXT(C989,"dd mmm")&amp;" "&amp;D989,
      'Valor Hora Real y Estimada'!$A$3:$Z$3,
      0
    ) + 1
  ),
  0
)</f>
        <v>0</v>
      </c>
      <c r="O989" s="453">
        <f t="shared" si="44"/>
        <v>0</v>
      </c>
      <c r="P989" s="113"/>
      <c r="Q989" s="106" t="str">
        <f>IF(ISBLANK(O989), "", VLOOKUP(C989&amp;" "&amp;D989, 'Info Tipo de Cambio y REM'!$A$24:$B$35, 2, FALSE))</f>
        <v>#N/A</v>
      </c>
      <c r="R989" s="107" t="str">
        <f t="shared" si="32"/>
        <v/>
      </c>
    </row>
    <row r="990" hidden="1">
      <c r="A990" s="443"/>
      <c r="B990" s="43" t="str">
        <f>IF(A990="", "", IFERROR(VLOOKUP(A990, Clasificaciones!A:B, 2, FALSE), "DATO NO CARGADO"))
</f>
        <v/>
      </c>
      <c r="C990" s="51"/>
      <c r="D990" s="102"/>
      <c r="E990" s="102"/>
      <c r="H990" s="102"/>
      <c r="J990" s="102"/>
      <c r="K990" s="450"/>
      <c r="L990" s="443"/>
      <c r="M990" s="450"/>
      <c r="N990" s="452">
        <f t="array" ref="N990">IFERROR(
  INDEX(
    'Valor Hora Real y Estimada'!$A$4:$Z$78,
    MATCH(TRIM(CLEAN(A990)), 'Valor Hora Real y Estimada'!$A$4:$A$78, 0),
    MATCH(
      TEXT(C990,"dd mmm")&amp;" "&amp;D990,
      'Valor Hora Real y Estimada'!$A$3:$Z$3,
      0
    ) + 1
  ),
  0
)</f>
        <v>0</v>
      </c>
      <c r="O990" s="453">
        <f t="shared" si="44"/>
        <v>0</v>
      </c>
      <c r="P990" s="113"/>
      <c r="Q990" s="106" t="str">
        <f>IF(ISBLANK(O990), "", VLOOKUP(C990&amp;" "&amp;D990, 'Info Tipo de Cambio y REM'!$A$24:$B$35, 2, FALSE))</f>
        <v>#N/A</v>
      </c>
      <c r="R990" s="107" t="str">
        <f t="shared" si="32"/>
        <v/>
      </c>
    </row>
    <row r="991" hidden="1">
      <c r="A991" s="443"/>
      <c r="B991" s="43" t="str">
        <f>IF(A991="", "", IFERROR(VLOOKUP(A991, Clasificaciones!A:B, 2, FALSE), "DATO NO CARGADO"))
</f>
        <v/>
      </c>
      <c r="C991" s="51"/>
      <c r="D991" s="102"/>
      <c r="E991" s="102"/>
      <c r="H991" s="102"/>
      <c r="J991" s="102"/>
      <c r="K991" s="450"/>
      <c r="L991" s="443"/>
      <c r="M991" s="450"/>
      <c r="N991" s="452">
        <f t="array" ref="N991">IFERROR(
  INDEX(
    'Valor Hora Real y Estimada'!$A$4:$Z$78,
    MATCH(TRIM(CLEAN(A991)), 'Valor Hora Real y Estimada'!$A$4:$A$78, 0),
    MATCH(
      TEXT(C991,"dd mmm")&amp;" "&amp;D991,
      'Valor Hora Real y Estimada'!$A$3:$Z$3,
      0
    ) + 1
  ),
  0
)</f>
        <v>0</v>
      </c>
      <c r="O991" s="453">
        <f t="shared" si="44"/>
        <v>0</v>
      </c>
      <c r="P991" s="113"/>
      <c r="Q991" s="106" t="str">
        <f>IF(ISBLANK(O991), "", VLOOKUP(C991&amp;" "&amp;D991, 'Info Tipo de Cambio y REM'!$A$24:$B$35, 2, FALSE))</f>
        <v>#N/A</v>
      </c>
      <c r="R991" s="107" t="str">
        <f t="shared" si="32"/>
        <v/>
      </c>
    </row>
    <row r="992" hidden="1">
      <c r="A992" s="443"/>
      <c r="B992" s="43" t="str">
        <f>IF(A992="", "", IFERROR(VLOOKUP(A992, Clasificaciones!A:B, 2, FALSE), "DATO NO CARGADO"))
</f>
        <v/>
      </c>
      <c r="C992" s="51"/>
      <c r="D992" s="102"/>
      <c r="E992" s="102"/>
      <c r="H992" s="102"/>
      <c r="J992" s="102"/>
      <c r="K992" s="450"/>
      <c r="L992" s="443"/>
      <c r="M992" s="450"/>
      <c r="N992" s="452">
        <f t="array" ref="N992">IFERROR(
  INDEX(
    'Valor Hora Real y Estimada'!$A$4:$Z$78,
    MATCH(TRIM(CLEAN(A992)), 'Valor Hora Real y Estimada'!$A$4:$A$78, 0),
    MATCH(
      TEXT(C992,"dd mmm")&amp;" "&amp;D992,
      'Valor Hora Real y Estimada'!$A$3:$Z$3,
      0
    ) + 1
  ),
  0
)</f>
        <v>0</v>
      </c>
      <c r="O992" s="453">
        <f t="shared" si="44"/>
        <v>0</v>
      </c>
      <c r="P992" s="113"/>
      <c r="Q992" s="106" t="str">
        <f>IF(ISBLANK(O992), "", VLOOKUP(C992&amp;" "&amp;D992, 'Info Tipo de Cambio y REM'!$A$24:$B$35, 2, FALSE))</f>
        <v>#N/A</v>
      </c>
      <c r="R992" s="107" t="str">
        <f t="shared" si="32"/>
        <v/>
      </c>
    </row>
    <row r="993" hidden="1">
      <c r="A993" s="443"/>
      <c r="B993" s="43" t="str">
        <f>IF(A993="", "", IFERROR(VLOOKUP(A993, Clasificaciones!A:B, 2, FALSE), "DATO NO CARGADO"))
</f>
        <v/>
      </c>
      <c r="C993" s="51"/>
      <c r="D993" s="102"/>
      <c r="E993" s="102"/>
      <c r="H993" s="102"/>
      <c r="J993" s="102"/>
      <c r="K993" s="450"/>
      <c r="L993" s="443"/>
      <c r="M993" s="450"/>
      <c r="N993" s="452">
        <f t="array" ref="N993">IFERROR(
  INDEX(
    'Valor Hora Real y Estimada'!$A$4:$Z$78,
    MATCH(TRIM(CLEAN(A993)), 'Valor Hora Real y Estimada'!$A$4:$A$78, 0),
    MATCH(
      TEXT(C993,"dd mmm")&amp;" "&amp;D993,
      'Valor Hora Real y Estimada'!$A$3:$Z$3,
      0
    ) + 1
  ),
  0
)</f>
        <v>0</v>
      </c>
      <c r="O993" s="453">
        <f t="shared" si="44"/>
        <v>0</v>
      </c>
      <c r="P993" s="113"/>
      <c r="Q993" s="106" t="str">
        <f>IF(ISBLANK(O993), "", VLOOKUP(C993&amp;" "&amp;D993, 'Info Tipo de Cambio y REM'!$A$24:$B$35, 2, FALSE))</f>
        <v>#N/A</v>
      </c>
      <c r="R993" s="107" t="str">
        <f t="shared" si="32"/>
        <v/>
      </c>
    </row>
    <row r="994" hidden="1">
      <c r="A994" s="443"/>
      <c r="B994" s="43" t="str">
        <f>IF(A994="", "", IFERROR(VLOOKUP(A994, Clasificaciones!A:B, 2, FALSE), "DATO NO CARGADO"))
</f>
        <v/>
      </c>
      <c r="C994" s="51"/>
      <c r="D994" s="102"/>
      <c r="E994" s="102"/>
      <c r="H994" s="102"/>
      <c r="J994" s="102"/>
      <c r="K994" s="450"/>
      <c r="L994" s="443"/>
      <c r="M994" s="450"/>
      <c r="N994" s="452">
        <f t="array" ref="N994">IFERROR(
  INDEX(
    'Valor Hora Real y Estimada'!$A$4:$Z$78,
    MATCH(TRIM(CLEAN(A994)), 'Valor Hora Real y Estimada'!$A$4:$A$78, 0),
    MATCH(
      TEXT(C994,"dd mmm")&amp;" "&amp;D994,
      'Valor Hora Real y Estimada'!$A$3:$Z$3,
      0
    ) + 1
  ),
  0
)</f>
        <v>0</v>
      </c>
      <c r="O994" s="453">
        <f t="shared" si="44"/>
        <v>0</v>
      </c>
      <c r="P994" s="113"/>
      <c r="Q994" s="106" t="str">
        <f>IF(ISBLANK(O994), "", VLOOKUP(C994&amp;" "&amp;D994, 'Info Tipo de Cambio y REM'!$A$24:$B$35, 2, FALSE))</f>
        <v>#N/A</v>
      </c>
      <c r="R994" s="107" t="str">
        <f t="shared" si="32"/>
        <v/>
      </c>
    </row>
    <row r="995" hidden="1">
      <c r="A995" s="443"/>
      <c r="B995" s="43" t="str">
        <f>IF(A995="", "", IFERROR(VLOOKUP(A995, Clasificaciones!A:B, 2, FALSE), "DATO NO CARGADO"))
</f>
        <v/>
      </c>
      <c r="C995" s="51"/>
      <c r="D995" s="102"/>
      <c r="E995" s="102"/>
      <c r="H995" s="102"/>
      <c r="J995" s="102"/>
      <c r="K995" s="450"/>
      <c r="L995" s="443"/>
      <c r="M995" s="450"/>
      <c r="N995" s="452">
        <f t="array" ref="N995">IFERROR(
  INDEX(
    'Valor Hora Real y Estimada'!$A$4:$Z$78,
    MATCH(TRIM(CLEAN(A995)), 'Valor Hora Real y Estimada'!$A$4:$A$78, 0),
    MATCH(
      TEXT(C995,"dd mmm")&amp;" "&amp;D995,
      'Valor Hora Real y Estimada'!$A$3:$Z$3,
      0
    ) + 1
  ),
  0
)</f>
        <v>0</v>
      </c>
      <c r="O995" s="453">
        <f t="shared" si="44"/>
        <v>0</v>
      </c>
      <c r="P995" s="113"/>
      <c r="Q995" s="106" t="str">
        <f>IF(ISBLANK(O995), "", VLOOKUP(C995&amp;" "&amp;D995, 'Info Tipo de Cambio y REM'!$A$24:$B$35, 2, FALSE))</f>
        <v>#N/A</v>
      </c>
      <c r="R995" s="107" t="str">
        <f t="shared" si="32"/>
        <v/>
      </c>
    </row>
    <row r="996" hidden="1">
      <c r="A996" s="443"/>
      <c r="B996" s="43" t="str">
        <f>IF(A996="", "", IFERROR(VLOOKUP(A996, Clasificaciones!A:B, 2, FALSE), "DATO NO CARGADO"))
</f>
        <v/>
      </c>
      <c r="C996" s="51"/>
      <c r="D996" s="102"/>
      <c r="E996" s="102"/>
      <c r="H996" s="102"/>
      <c r="J996" s="102"/>
      <c r="K996" s="450"/>
      <c r="L996" s="443"/>
      <c r="M996" s="450"/>
      <c r="N996" s="452">
        <f t="array" ref="N996">IFERROR(
  INDEX(
    'Valor Hora Real y Estimada'!$A$4:$Z$78,
    MATCH(TRIM(CLEAN(A996)), 'Valor Hora Real y Estimada'!$A$4:$A$78, 0),
    MATCH(
      TEXT(C996,"dd mmm")&amp;" "&amp;D996,
      'Valor Hora Real y Estimada'!$A$3:$Z$3,
      0
    ) + 1
  ),
  0
)</f>
        <v>0</v>
      </c>
      <c r="O996" s="453">
        <f t="shared" si="44"/>
        <v>0</v>
      </c>
      <c r="P996" s="113"/>
      <c r="Q996" s="106" t="str">
        <f>IF(ISBLANK(O996), "", VLOOKUP(C996&amp;" "&amp;D996, 'Info Tipo de Cambio y REM'!$A$24:$B$35, 2, FALSE))</f>
        <v>#N/A</v>
      </c>
      <c r="R996" s="107" t="str">
        <f t="shared" si="32"/>
        <v/>
      </c>
    </row>
    <row r="997" hidden="1">
      <c r="A997" s="443"/>
      <c r="B997" s="43" t="str">
        <f>IF(A997="", "", IFERROR(VLOOKUP(A997, Clasificaciones!A:B, 2, FALSE), "DATO NO CARGADO"))
</f>
        <v/>
      </c>
      <c r="C997" s="51"/>
      <c r="D997" s="102"/>
      <c r="E997" s="102"/>
      <c r="H997" s="102"/>
      <c r="J997" s="102"/>
      <c r="K997" s="450"/>
      <c r="L997" s="443"/>
      <c r="M997" s="450"/>
      <c r="N997" s="452">
        <f t="array" ref="N997">IFERROR(
  INDEX(
    'Valor Hora Real y Estimada'!$A$4:$Z$78,
    MATCH(TRIM(CLEAN(A997)), 'Valor Hora Real y Estimada'!$A$4:$A$78, 0),
    MATCH(
      TEXT(C997,"dd mmm")&amp;" "&amp;D997,
      'Valor Hora Real y Estimada'!$A$3:$Z$3,
      0
    ) + 1
  ),
  0
)</f>
        <v>0</v>
      </c>
      <c r="O997" s="453">
        <f t="shared" si="44"/>
        <v>0</v>
      </c>
      <c r="P997" s="113"/>
      <c r="Q997" s="106" t="str">
        <f>IF(ISBLANK(O997), "", VLOOKUP(C997&amp;" "&amp;D997, 'Info Tipo de Cambio y REM'!$A$24:$B$35, 2, FALSE))</f>
        <v>#N/A</v>
      </c>
      <c r="R997" s="107" t="str">
        <f t="shared" si="32"/>
        <v/>
      </c>
    </row>
    <row r="998" hidden="1">
      <c r="A998" s="443"/>
      <c r="B998" s="43" t="str">
        <f>IF(A998="", "", IFERROR(VLOOKUP(A998, Clasificaciones!A:B, 2, FALSE), "DATO NO CARGADO"))
</f>
        <v/>
      </c>
      <c r="C998" s="51"/>
      <c r="D998" s="102"/>
      <c r="E998" s="102"/>
      <c r="H998" s="102"/>
      <c r="J998" s="102"/>
      <c r="K998" s="450"/>
      <c r="L998" s="443"/>
      <c r="M998" s="450"/>
      <c r="N998" s="452">
        <f t="array" ref="N998">IFERROR(
  INDEX(
    'Valor Hora Real y Estimada'!$A$4:$Z$78,
    MATCH(TRIM(CLEAN(A998)), 'Valor Hora Real y Estimada'!$A$4:$A$78, 0),
    MATCH(
      TEXT(C998,"dd mmm")&amp;" "&amp;D998,
      'Valor Hora Real y Estimada'!$A$3:$Z$3,
      0
    ) + 1
  ),
  0
)</f>
        <v>0</v>
      </c>
      <c r="O998" s="453">
        <f t="shared" si="44"/>
        <v>0</v>
      </c>
      <c r="P998" s="113"/>
      <c r="Q998" s="106" t="str">
        <f>IF(ISBLANK(O998), "", VLOOKUP(C998&amp;" "&amp;D998, 'Info Tipo de Cambio y REM'!$A$24:$B$35, 2, FALSE))</f>
        <v>#N/A</v>
      </c>
      <c r="R998" s="107" t="str">
        <f t="shared" si="32"/>
        <v/>
      </c>
    </row>
    <row r="999" hidden="1">
      <c r="A999" s="443"/>
      <c r="B999" s="43" t="str">
        <f>IF(A999="", "", IFERROR(VLOOKUP(A999, Clasificaciones!A:B, 2, FALSE), "DATO NO CARGADO"))
</f>
        <v/>
      </c>
      <c r="C999" s="51"/>
      <c r="D999" s="102"/>
      <c r="E999" s="102"/>
      <c r="H999" s="102"/>
      <c r="J999" s="102"/>
      <c r="K999" s="450"/>
      <c r="L999" s="443"/>
      <c r="M999" s="450"/>
      <c r="N999" s="452">
        <f t="array" ref="N999">IFERROR(
  INDEX(
    'Valor Hora Real y Estimada'!$A$4:$Z$78,
    MATCH(TRIM(CLEAN(A999)), 'Valor Hora Real y Estimada'!$A$4:$A$78, 0),
    MATCH(
      TEXT(C999,"dd mmm")&amp;" "&amp;D999,
      'Valor Hora Real y Estimada'!$A$3:$Z$3,
      0
    ) + 1
  ),
  0
)</f>
        <v>0</v>
      </c>
      <c r="O999" s="453">
        <f t="shared" si="44"/>
        <v>0</v>
      </c>
      <c r="P999" s="113"/>
      <c r="Q999" s="106" t="str">
        <f>IF(ISBLANK(O999), "", VLOOKUP(C999&amp;" "&amp;D999, 'Info Tipo de Cambio y REM'!$A$24:$B$35, 2, FALSE))</f>
        <v>#N/A</v>
      </c>
      <c r="R999" s="107" t="str">
        <f t="shared" si="32"/>
        <v/>
      </c>
    </row>
    <row r="1000" hidden="1">
      <c r="A1000" s="443"/>
      <c r="B1000" s="43" t="str">
        <f>IF(A1000="", "", IFERROR(VLOOKUP(A1000, Clasificaciones!A:B, 2, FALSE), "DATO NO CARGADO"))
</f>
        <v/>
      </c>
      <c r="C1000" s="51"/>
      <c r="D1000" s="102"/>
      <c r="E1000" s="102"/>
      <c r="H1000" s="102"/>
      <c r="J1000" s="102"/>
      <c r="K1000" s="450"/>
      <c r="L1000" s="443"/>
      <c r="M1000" s="450"/>
      <c r="N1000" s="452">
        <f t="array" ref="N1000">IFERROR(
  INDEX(
    'Valor Hora Real y Estimada'!$A$4:$Z$78,
    MATCH(TRIM(CLEAN(A1000)), 'Valor Hora Real y Estimada'!$A$4:$A$78, 0),
    MATCH(
      TEXT(C1000,"dd mmm")&amp;" "&amp;D1000,
      'Valor Hora Real y Estimada'!$A$3:$Z$3,
      0
    ) + 1
  ),
  0
)</f>
        <v>0</v>
      </c>
      <c r="O1000" s="453">
        <f t="shared" si="44"/>
        <v>0</v>
      </c>
      <c r="P1000" s="113"/>
      <c r="Q1000" s="106" t="str">
        <f>IF(ISBLANK(O1000), "", VLOOKUP(C1000&amp;" "&amp;D1000, 'Info Tipo de Cambio y REM'!$A$24:$B$35, 2, FALSE))</f>
        <v>#N/A</v>
      </c>
      <c r="R1000" s="107" t="str">
        <f t="shared" si="32"/>
        <v/>
      </c>
    </row>
    <row r="1001" hidden="1">
      <c r="A1001" s="443"/>
      <c r="B1001" s="43" t="str">
        <f>IF(A1001="", "", IFERROR(VLOOKUP(A1001, Clasificaciones!A:B, 2, FALSE), "DATO NO CARGADO"))
</f>
        <v/>
      </c>
      <c r="C1001" s="51"/>
      <c r="D1001" s="102"/>
      <c r="E1001" s="102"/>
      <c r="H1001" s="102"/>
      <c r="J1001" s="102"/>
      <c r="K1001" s="450"/>
      <c r="L1001" s="443"/>
      <c r="M1001" s="450"/>
      <c r="N1001" s="452">
        <f t="array" ref="N1001">IFERROR(
  INDEX(
    'Valor Hora Real y Estimada'!$A$4:$Z$78,
    MATCH(TRIM(CLEAN(A1001)), 'Valor Hora Real y Estimada'!$A$4:$A$78, 0),
    MATCH(
      TEXT(C1001,"dd mmm")&amp;" "&amp;D1001,
      'Valor Hora Real y Estimada'!$A$3:$Z$3,
      0
    ) + 1
  ),
  0
)</f>
        <v>0</v>
      </c>
      <c r="O1001" s="453">
        <f t="shared" si="44"/>
        <v>0</v>
      </c>
      <c r="P1001" s="113"/>
      <c r="Q1001" s="106" t="str">
        <f>IF(ISBLANK(O1001), "", VLOOKUP(C1001&amp;" "&amp;D1001, 'Info Tipo de Cambio y REM'!$A$24:$B$35, 2, FALSE))</f>
        <v>#N/A</v>
      </c>
      <c r="R1001" s="107" t="str">
        <f t="shared" si="32"/>
        <v/>
      </c>
    </row>
    <row r="1002" hidden="1">
      <c r="A1002" s="443"/>
      <c r="B1002" s="43" t="str">
        <f>IF(A1002="", "", IFERROR(VLOOKUP(A1002, Clasificaciones!A:B, 2, FALSE), "DATO NO CARGADO"))
</f>
        <v/>
      </c>
      <c r="C1002" s="51"/>
      <c r="D1002" s="102"/>
      <c r="E1002" s="102"/>
      <c r="H1002" s="102"/>
      <c r="J1002" s="102"/>
      <c r="K1002" s="450"/>
      <c r="L1002" s="443"/>
      <c r="M1002" s="450"/>
      <c r="N1002" s="452">
        <f t="array" ref="N1002">IFERROR(
  INDEX(
    'Valor Hora Real y Estimada'!$A$4:$Z$78,
    MATCH(TRIM(CLEAN(A1002)), 'Valor Hora Real y Estimada'!$A$4:$A$78, 0),
    MATCH(
      TEXT(C1002,"dd mmm")&amp;" "&amp;D1002,
      'Valor Hora Real y Estimada'!$A$3:$Z$3,
      0
    ) + 1
  ),
  0
)</f>
        <v>0</v>
      </c>
      <c r="O1002" s="453">
        <f t="shared" si="44"/>
        <v>0</v>
      </c>
      <c r="P1002" s="113"/>
      <c r="Q1002" s="106" t="str">
        <f>IF(ISBLANK(O1002), "", VLOOKUP(C1002&amp;" "&amp;D1002, 'Info Tipo de Cambio y REM'!$A$24:$B$35, 2, FALSE))</f>
        <v>#N/A</v>
      </c>
      <c r="R1002" s="107" t="str">
        <f t="shared" si="32"/>
        <v/>
      </c>
    </row>
    <row r="1003" hidden="1">
      <c r="A1003" s="443"/>
      <c r="B1003" s="43" t="str">
        <f>IF(A1003="", "", IFERROR(VLOOKUP(A1003, Clasificaciones!A:B, 2, FALSE), "DATO NO CARGADO"))
</f>
        <v/>
      </c>
      <c r="C1003" s="51"/>
      <c r="D1003" s="102"/>
      <c r="E1003" s="102"/>
      <c r="H1003" s="102"/>
      <c r="J1003" s="102"/>
      <c r="K1003" s="450"/>
      <c r="L1003" s="443"/>
      <c r="M1003" s="450"/>
      <c r="N1003" s="452">
        <f t="array" ref="N1003">IFERROR(
  INDEX(
    'Valor Hora Real y Estimada'!$A$4:$Z$78,
    MATCH(TRIM(CLEAN(A1003)), 'Valor Hora Real y Estimada'!$A$4:$A$78, 0),
    MATCH(
      TEXT(C1003,"dd mmm")&amp;" "&amp;D1003,
      'Valor Hora Real y Estimada'!$A$3:$Z$3,
      0
    ) + 1
  ),
  0
)</f>
        <v>0</v>
      </c>
      <c r="O1003" s="453">
        <f t="shared" si="44"/>
        <v>0</v>
      </c>
      <c r="P1003" s="113"/>
      <c r="Q1003" s="106" t="str">
        <f>IF(ISBLANK(O1003), "", VLOOKUP(C1003&amp;" "&amp;D1003, 'Info Tipo de Cambio y REM'!$A$24:$B$35, 2, FALSE))</f>
        <v>#N/A</v>
      </c>
      <c r="R1003" s="107" t="str">
        <f t="shared" si="32"/>
        <v/>
      </c>
    </row>
    <row r="1004" hidden="1">
      <c r="A1004" s="443"/>
      <c r="B1004" s="43" t="str">
        <f>IF(A1004="", "", IFERROR(VLOOKUP(A1004, Clasificaciones!A:B, 2, FALSE), "DATO NO CARGADO"))
</f>
        <v/>
      </c>
      <c r="C1004" s="51"/>
      <c r="D1004" s="102"/>
      <c r="E1004" s="102"/>
      <c r="H1004" s="102"/>
      <c r="J1004" s="102"/>
      <c r="K1004" s="450"/>
      <c r="L1004" s="443"/>
      <c r="M1004" s="450"/>
      <c r="N1004" s="452">
        <f t="array" ref="N1004">IFERROR(
  INDEX(
    'Valor Hora Real y Estimada'!$A$4:$Z$78,
    MATCH(TRIM(CLEAN(A1004)), 'Valor Hora Real y Estimada'!$A$4:$A$78, 0),
    MATCH(
      TEXT(C1004,"dd mmm")&amp;" "&amp;D1004,
      'Valor Hora Real y Estimada'!$A$3:$Z$3,
      0
    ) + 1
  ),
  0
)</f>
        <v>0</v>
      </c>
      <c r="O1004" s="453">
        <f t="shared" si="44"/>
        <v>0</v>
      </c>
      <c r="P1004" s="113"/>
      <c r="Q1004" s="106" t="str">
        <f>IF(ISBLANK(O1004), "", VLOOKUP(C1004&amp;" "&amp;D1004, 'Info Tipo de Cambio y REM'!$A$24:$B$35, 2, FALSE))</f>
        <v>#N/A</v>
      </c>
      <c r="R1004" s="107" t="str">
        <f t="shared" si="32"/>
        <v/>
      </c>
    </row>
    <row r="1005" hidden="1">
      <c r="A1005" s="443"/>
      <c r="B1005" s="43" t="str">
        <f>IF(A1005="", "", IFERROR(VLOOKUP(A1005, Clasificaciones!A:B, 2, FALSE), "DATO NO CARGADO"))
</f>
        <v/>
      </c>
      <c r="C1005" s="51"/>
      <c r="D1005" s="102"/>
      <c r="E1005" s="102"/>
      <c r="H1005" s="102"/>
      <c r="J1005" s="102"/>
      <c r="K1005" s="450"/>
      <c r="L1005" s="443"/>
      <c r="M1005" s="450"/>
      <c r="N1005" s="452">
        <f t="array" ref="N1005">IFERROR(
  INDEX(
    'Valor Hora Real y Estimada'!$A$4:$Z$78,
    MATCH(TRIM(CLEAN(A1005)), 'Valor Hora Real y Estimada'!$A$4:$A$78, 0),
    MATCH(
      TEXT(C1005,"dd mmm")&amp;" "&amp;D1005,
      'Valor Hora Real y Estimada'!$A$3:$Z$3,
      0
    ) + 1
  ),
  0
)</f>
        <v>0</v>
      </c>
      <c r="O1005" s="453">
        <f t="shared" si="44"/>
        <v>0</v>
      </c>
      <c r="P1005" s="113"/>
      <c r="Q1005" s="106" t="str">
        <f>IF(ISBLANK(O1005), "", VLOOKUP(C1005&amp;" "&amp;D1005, 'Info Tipo de Cambio y REM'!$A$24:$B$35, 2, FALSE))</f>
        <v>#N/A</v>
      </c>
      <c r="R1005" s="107" t="str">
        <f t="shared" si="32"/>
        <v/>
      </c>
    </row>
    <row r="1006" hidden="1">
      <c r="A1006" s="443"/>
      <c r="B1006" s="43" t="str">
        <f>IF(A1006="", "", IFERROR(VLOOKUP(A1006, Clasificaciones!A:B, 2, FALSE), "DATO NO CARGADO"))
</f>
        <v/>
      </c>
      <c r="C1006" s="51"/>
      <c r="D1006" s="102"/>
      <c r="E1006" s="102"/>
      <c r="H1006" s="102"/>
      <c r="J1006" s="102"/>
      <c r="K1006" s="450"/>
      <c r="L1006" s="443"/>
      <c r="M1006" s="450"/>
      <c r="N1006" s="452">
        <f t="array" ref="N1006">IFERROR(
  INDEX(
    'Valor Hora Real y Estimada'!$A$4:$Z$78,
    MATCH(TRIM(CLEAN(A1006)), 'Valor Hora Real y Estimada'!$A$4:$A$78, 0),
    MATCH(
      TEXT(C1006,"dd mmm")&amp;" "&amp;D1006,
      'Valor Hora Real y Estimada'!$A$3:$Z$3,
      0
    ) + 1
  ),
  0
)</f>
        <v>0</v>
      </c>
      <c r="O1006" s="453">
        <f t="shared" si="44"/>
        <v>0</v>
      </c>
      <c r="P1006" s="113"/>
      <c r="Q1006" s="106" t="str">
        <f>IF(ISBLANK(O1006), "", VLOOKUP(C1006&amp;" "&amp;D1006, 'Info Tipo de Cambio y REM'!$A$24:$B$35, 2, FALSE))</f>
        <v>#N/A</v>
      </c>
      <c r="R1006" s="107" t="str">
        <f t="shared" si="32"/>
        <v/>
      </c>
    </row>
    <row r="1007" hidden="1">
      <c r="A1007" s="443"/>
      <c r="B1007" s="43" t="str">
        <f>IF(A1007="", "", IFERROR(VLOOKUP(A1007, Clasificaciones!A:B, 2, FALSE), "DATO NO CARGADO"))
</f>
        <v/>
      </c>
      <c r="C1007" s="51"/>
      <c r="D1007" s="102"/>
      <c r="E1007" s="102"/>
      <c r="H1007" s="102"/>
      <c r="J1007" s="102"/>
      <c r="K1007" s="450"/>
      <c r="L1007" s="443"/>
      <c r="M1007" s="450"/>
      <c r="N1007" s="452">
        <f t="array" ref="N1007">IFERROR(
  INDEX(
    'Valor Hora Real y Estimada'!$A$4:$Z$78,
    MATCH(TRIM(CLEAN(A1007)), 'Valor Hora Real y Estimada'!$A$4:$A$78, 0),
    MATCH(
      TEXT(C1007,"dd mmm")&amp;" "&amp;D1007,
      'Valor Hora Real y Estimada'!$A$3:$Z$3,
      0
    ) + 1
  ),
  0
)</f>
        <v>0</v>
      </c>
      <c r="O1007" s="453">
        <f t="shared" si="44"/>
        <v>0</v>
      </c>
      <c r="P1007" s="113"/>
      <c r="Q1007" s="106" t="str">
        <f>IF(ISBLANK(O1007), "", VLOOKUP(C1007&amp;" "&amp;D1007, 'Info Tipo de Cambio y REM'!$A$24:$B$35, 2, FALSE))</f>
        <v>#N/A</v>
      </c>
      <c r="R1007" s="107" t="str">
        <f t="shared" si="32"/>
        <v/>
      </c>
    </row>
    <row r="1008" hidden="1">
      <c r="A1008" s="443"/>
      <c r="B1008" s="43" t="str">
        <f>IF(A1008="", "", IFERROR(VLOOKUP(A1008, Clasificaciones!A:B, 2, FALSE), "DATO NO CARGADO"))
</f>
        <v/>
      </c>
      <c r="C1008" s="51"/>
      <c r="D1008" s="102"/>
      <c r="E1008" s="102"/>
      <c r="H1008" s="102"/>
      <c r="J1008" s="102"/>
      <c r="K1008" s="450"/>
      <c r="L1008" s="443"/>
      <c r="M1008" s="450"/>
      <c r="N1008" s="452">
        <f t="array" ref="N1008">IFERROR(
  INDEX(
    'Valor Hora Real y Estimada'!$A$4:$Z$78,
    MATCH(TRIM(CLEAN(A1008)), 'Valor Hora Real y Estimada'!$A$4:$A$78, 0),
    MATCH(
      TEXT(C1008,"dd mmm")&amp;" "&amp;D1008,
      'Valor Hora Real y Estimada'!$A$3:$Z$3,
      0
    ) + 1
  ),
  0
)</f>
        <v>0</v>
      </c>
      <c r="O1008" s="453">
        <f t="shared" si="44"/>
        <v>0</v>
      </c>
      <c r="P1008" s="113"/>
      <c r="Q1008" s="106" t="str">
        <f>IF(ISBLANK(O1008), "", VLOOKUP(C1008&amp;" "&amp;D1008, 'Info Tipo de Cambio y REM'!$A$24:$B$35, 2, FALSE))</f>
        <v>#N/A</v>
      </c>
      <c r="R1008" s="107" t="str">
        <f t="shared" si="32"/>
        <v/>
      </c>
    </row>
    <row r="1009" hidden="1">
      <c r="A1009" s="443"/>
      <c r="B1009" s="43" t="str">
        <f>IF(A1009="", "", IFERROR(VLOOKUP(A1009, Clasificaciones!A:B, 2, FALSE), "DATO NO CARGADO"))
</f>
        <v/>
      </c>
      <c r="C1009" s="51"/>
      <c r="D1009" s="102"/>
      <c r="E1009" s="102"/>
      <c r="H1009" s="102"/>
      <c r="J1009" s="102"/>
      <c r="K1009" s="450"/>
      <c r="L1009" s="443"/>
      <c r="M1009" s="450"/>
      <c r="N1009" s="452">
        <f t="array" ref="N1009">IFERROR(
  INDEX(
    'Valor Hora Real y Estimada'!$A$4:$Z$78,
    MATCH(TRIM(CLEAN(A1009)), 'Valor Hora Real y Estimada'!$A$4:$A$78, 0),
    MATCH(
      TEXT(C1009,"dd mmm")&amp;" "&amp;D1009,
      'Valor Hora Real y Estimada'!$A$3:$Z$3,
      0
    ) + 1
  ),
  0
)</f>
        <v>0</v>
      </c>
      <c r="O1009" s="453">
        <f t="shared" si="44"/>
        <v>0</v>
      </c>
      <c r="P1009" s="113"/>
      <c r="Q1009" s="106" t="str">
        <f>IF(ISBLANK(O1009), "", VLOOKUP(C1009&amp;" "&amp;D1009, 'Info Tipo de Cambio y REM'!$A$24:$B$35, 2, FALSE))</f>
        <v>#N/A</v>
      </c>
      <c r="R1009" s="107" t="str">
        <f t="shared" si="32"/>
        <v/>
      </c>
    </row>
    <row r="1010" hidden="1">
      <c r="A1010" s="443"/>
      <c r="B1010" s="43" t="str">
        <f>IF(A1010="", "", IFERROR(VLOOKUP(A1010, Clasificaciones!A:B, 2, FALSE), "DATO NO CARGADO"))
</f>
        <v/>
      </c>
      <c r="C1010" s="51"/>
      <c r="D1010" s="102"/>
      <c r="E1010" s="102"/>
      <c r="H1010" s="102"/>
      <c r="J1010" s="102"/>
      <c r="K1010" s="450"/>
      <c r="L1010" s="443"/>
      <c r="M1010" s="450"/>
      <c r="N1010" s="452">
        <f t="array" ref="N1010">IFERROR(
  INDEX(
    'Valor Hora Real y Estimada'!$A$4:$Z$78,
    MATCH(TRIM(CLEAN(A1010)), 'Valor Hora Real y Estimada'!$A$4:$A$78, 0),
    MATCH(
      TEXT(C1010,"dd mmm")&amp;" "&amp;D1010,
      'Valor Hora Real y Estimada'!$A$3:$Z$3,
      0
    ) + 1
  ),
  0
)</f>
        <v>0</v>
      </c>
      <c r="O1010" s="453">
        <f t="shared" si="44"/>
        <v>0</v>
      </c>
      <c r="P1010" s="113"/>
      <c r="Q1010" s="106" t="str">
        <f>IF(ISBLANK(O1010), "", VLOOKUP(C1010&amp;" "&amp;D1010, 'Info Tipo de Cambio y REM'!$A$24:$B$35, 2, FALSE))</f>
        <v>#N/A</v>
      </c>
      <c r="R1010" s="107" t="str">
        <f t="shared" si="32"/>
        <v/>
      </c>
    </row>
    <row r="1011" hidden="1">
      <c r="A1011" s="443"/>
      <c r="B1011" s="43" t="str">
        <f>IF(A1011="", "", IFERROR(VLOOKUP(A1011, Clasificaciones!A:B, 2, FALSE), "DATO NO CARGADO"))
</f>
        <v/>
      </c>
      <c r="C1011" s="51"/>
      <c r="D1011" s="102"/>
      <c r="E1011" s="102"/>
      <c r="H1011" s="102"/>
      <c r="J1011" s="102"/>
      <c r="K1011" s="450"/>
      <c r="L1011" s="443"/>
      <c r="M1011" s="450"/>
      <c r="N1011" s="452">
        <f t="array" ref="N1011">IFERROR(
  INDEX(
    'Valor Hora Real y Estimada'!$A$4:$Z$78,
    MATCH(TRIM(CLEAN(A1011)), 'Valor Hora Real y Estimada'!$A$4:$A$78, 0),
    MATCH(
      TEXT(C1011,"dd mmm")&amp;" "&amp;D1011,
      'Valor Hora Real y Estimada'!$A$3:$Z$3,
      0
    ) + 1
  ),
  0
)</f>
        <v>0</v>
      </c>
      <c r="O1011" s="453">
        <f t="shared" si="44"/>
        <v>0</v>
      </c>
      <c r="P1011" s="113"/>
      <c r="Q1011" s="106" t="str">
        <f>IF(ISBLANK(O1011), "", VLOOKUP(C1011&amp;" "&amp;D1011, 'Info Tipo de Cambio y REM'!$A$24:$B$35, 2, FALSE))</f>
        <v>#N/A</v>
      </c>
      <c r="R1011" s="107" t="str">
        <f t="shared" si="32"/>
        <v/>
      </c>
    </row>
    <row r="1012" hidden="1">
      <c r="A1012" s="443"/>
      <c r="B1012" s="43" t="str">
        <f>IF(A1012="", "", IFERROR(VLOOKUP(A1012, Clasificaciones!A:B, 2, FALSE), "DATO NO CARGADO"))
</f>
        <v/>
      </c>
      <c r="C1012" s="51"/>
      <c r="D1012" s="102"/>
      <c r="E1012" s="102"/>
      <c r="H1012" s="102"/>
      <c r="J1012" s="102"/>
      <c r="K1012" s="450"/>
      <c r="L1012" s="443"/>
      <c r="M1012" s="450"/>
      <c r="N1012" s="452">
        <f t="array" ref="N1012">IFERROR(
  INDEX(
    'Valor Hora Real y Estimada'!$A$4:$Z$78,
    MATCH(TRIM(CLEAN(A1012)), 'Valor Hora Real y Estimada'!$A$4:$A$78, 0),
    MATCH(
      TEXT(C1012,"dd mmm")&amp;" "&amp;D1012,
      'Valor Hora Real y Estimada'!$A$3:$Z$3,
      0
    ) + 1
  ),
  0
)</f>
        <v>0</v>
      </c>
      <c r="O1012" s="453">
        <f t="shared" si="44"/>
        <v>0</v>
      </c>
      <c r="P1012" s="113"/>
      <c r="Q1012" s="106" t="str">
        <f>IF(ISBLANK(O1012), "", VLOOKUP(C1012&amp;" "&amp;D1012, 'Info Tipo de Cambio y REM'!$A$24:$B$35, 2, FALSE))</f>
        <v>#N/A</v>
      </c>
      <c r="R1012" s="107" t="str">
        <f t="shared" si="32"/>
        <v/>
      </c>
    </row>
    <row r="1013" hidden="1">
      <c r="A1013" s="443"/>
      <c r="B1013" s="43" t="str">
        <f>IF(A1013="", "", IFERROR(VLOOKUP(A1013, Clasificaciones!A:B, 2, FALSE), "DATO NO CARGADO"))
</f>
        <v/>
      </c>
      <c r="C1013" s="51"/>
      <c r="D1013" s="102"/>
      <c r="E1013" s="102"/>
      <c r="H1013" s="102"/>
      <c r="J1013" s="102"/>
      <c r="K1013" s="450"/>
      <c r="L1013" s="443"/>
      <c r="M1013" s="450"/>
      <c r="N1013" s="452">
        <f t="array" ref="N1013">IFERROR(
  INDEX(
    'Valor Hora Real y Estimada'!$A$4:$Z$78,
    MATCH(TRIM(CLEAN(A1013)), 'Valor Hora Real y Estimada'!$A$4:$A$78, 0),
    MATCH(
      TEXT(C1013,"dd mmm")&amp;" "&amp;D1013,
      'Valor Hora Real y Estimada'!$A$3:$Z$3,
      0
    ) + 1
  ),
  0
)</f>
        <v>0</v>
      </c>
      <c r="O1013" s="453">
        <f t="shared" si="44"/>
        <v>0</v>
      </c>
      <c r="P1013" s="113"/>
      <c r="Q1013" s="106" t="str">
        <f>IF(ISBLANK(O1013), "", VLOOKUP(C1013&amp;" "&amp;D1013, 'Info Tipo de Cambio y REM'!$A$24:$B$35, 2, FALSE))</f>
        <v>#N/A</v>
      </c>
      <c r="R1013" s="107" t="str">
        <f t="shared" si="32"/>
        <v/>
      </c>
    </row>
    <row r="1014" hidden="1">
      <c r="A1014" s="443"/>
      <c r="B1014" s="43" t="str">
        <f>IF(A1014="", "", IFERROR(VLOOKUP(A1014, Clasificaciones!A:B, 2, FALSE), "DATO NO CARGADO"))
</f>
        <v/>
      </c>
      <c r="C1014" s="51"/>
      <c r="D1014" s="102"/>
      <c r="E1014" s="102"/>
      <c r="H1014" s="102"/>
      <c r="J1014" s="102"/>
      <c r="K1014" s="450"/>
      <c r="L1014" s="443"/>
      <c r="M1014" s="450"/>
      <c r="N1014" s="452">
        <f t="array" ref="N1014">IFERROR(
  INDEX(
    'Valor Hora Real y Estimada'!$A$4:$Z$78,
    MATCH(TRIM(CLEAN(A1014)), 'Valor Hora Real y Estimada'!$A$4:$A$78, 0),
    MATCH(
      TEXT(C1014,"dd mmm")&amp;" "&amp;D1014,
      'Valor Hora Real y Estimada'!$A$3:$Z$3,
      0
    ) + 1
  ),
  0
)</f>
        <v>0</v>
      </c>
      <c r="O1014" s="453">
        <f t="shared" si="44"/>
        <v>0</v>
      </c>
      <c r="P1014" s="113"/>
      <c r="Q1014" s="106" t="str">
        <f>IF(ISBLANK(O1014), "", VLOOKUP(C1014&amp;" "&amp;D1014, 'Info Tipo de Cambio y REM'!$A$24:$B$35, 2, FALSE))</f>
        <v>#N/A</v>
      </c>
      <c r="R1014" s="107" t="str">
        <f t="shared" si="32"/>
        <v/>
      </c>
    </row>
    <row r="1015" hidden="1">
      <c r="A1015" s="443"/>
      <c r="B1015" s="43" t="str">
        <f>IF(A1015="", "", IFERROR(VLOOKUP(A1015, Clasificaciones!A:B, 2, FALSE), "DATO NO CARGADO"))
</f>
        <v/>
      </c>
      <c r="C1015" s="51"/>
      <c r="D1015" s="102"/>
      <c r="E1015" s="102"/>
      <c r="H1015" s="102"/>
      <c r="J1015" s="102"/>
      <c r="K1015" s="450"/>
      <c r="L1015" s="443"/>
      <c r="M1015" s="450"/>
      <c r="N1015" s="452">
        <f t="array" ref="N1015">IFERROR(
  INDEX(
    'Valor Hora Real y Estimada'!$A$4:$Z$78,
    MATCH(TRIM(CLEAN(A1015)), 'Valor Hora Real y Estimada'!$A$4:$A$78, 0),
    MATCH(
      TEXT(C1015,"dd mmm")&amp;" "&amp;D1015,
      'Valor Hora Real y Estimada'!$A$3:$Z$3,
      0
    ) + 1
  ),
  0
)</f>
        <v>0</v>
      </c>
      <c r="O1015" s="453">
        <f t="shared" si="44"/>
        <v>0</v>
      </c>
      <c r="P1015" s="113"/>
      <c r="Q1015" s="106" t="str">
        <f>IF(ISBLANK(O1015), "", VLOOKUP(C1015&amp;" "&amp;D1015, 'Info Tipo de Cambio y REM'!$A$24:$B$35, 2, FALSE))</f>
        <v>#N/A</v>
      </c>
      <c r="R1015" s="107" t="str">
        <f t="shared" si="32"/>
        <v/>
      </c>
    </row>
    <row r="1016" hidden="1">
      <c r="A1016" s="443"/>
      <c r="B1016" s="43" t="str">
        <f>IF(A1016="", "", IFERROR(VLOOKUP(A1016, Clasificaciones!A:B, 2, FALSE), "DATO NO CARGADO"))
</f>
        <v/>
      </c>
      <c r="C1016" s="51"/>
      <c r="D1016" s="102"/>
      <c r="E1016" s="102"/>
      <c r="H1016" s="102"/>
      <c r="J1016" s="102"/>
      <c r="K1016" s="450"/>
      <c r="L1016" s="443"/>
      <c r="M1016" s="450"/>
      <c r="N1016" s="452">
        <f t="array" ref="N1016">IFERROR(
  INDEX(
    'Valor Hora Real y Estimada'!$A$4:$Z$78,
    MATCH(TRIM(CLEAN(A1016)), 'Valor Hora Real y Estimada'!$A$4:$A$78, 0),
    MATCH(
      TEXT(C1016,"dd mmm")&amp;" "&amp;D1016,
      'Valor Hora Real y Estimada'!$A$3:$Z$3,
      0
    ) + 1
  ),
  0
)</f>
        <v>0</v>
      </c>
      <c r="O1016" s="453">
        <f t="shared" si="44"/>
        <v>0</v>
      </c>
      <c r="P1016" s="113"/>
      <c r="Q1016" s="106" t="str">
        <f>IF(ISBLANK(O1016), "", VLOOKUP(C1016&amp;" "&amp;D1016, 'Info Tipo de Cambio y REM'!$A$24:$B$35, 2, FALSE))</f>
        <v>#N/A</v>
      </c>
      <c r="R1016" s="107" t="str">
        <f t="shared" si="32"/>
        <v/>
      </c>
    </row>
    <row r="1017" hidden="1">
      <c r="A1017" s="443"/>
      <c r="B1017" s="43" t="str">
        <f>IF(A1017="", "", IFERROR(VLOOKUP(A1017, Clasificaciones!A:B, 2, FALSE), "DATO NO CARGADO"))
</f>
        <v/>
      </c>
      <c r="C1017" s="51"/>
      <c r="D1017" s="102"/>
      <c r="E1017" s="102"/>
      <c r="H1017" s="102"/>
      <c r="J1017" s="102"/>
      <c r="K1017" s="450"/>
      <c r="L1017" s="443"/>
      <c r="M1017" s="450"/>
      <c r="N1017" s="452">
        <f t="array" ref="N1017">IFERROR(
  INDEX(
    'Valor Hora Real y Estimada'!$A$4:$Z$78,
    MATCH(TRIM(CLEAN(A1017)), 'Valor Hora Real y Estimada'!$A$4:$A$78, 0),
    MATCH(
      TEXT(C1017,"dd mmm")&amp;" "&amp;D1017,
      'Valor Hora Real y Estimada'!$A$3:$Z$3,
      0
    ) + 1
  ),
  0
)</f>
        <v>0</v>
      </c>
      <c r="O1017" s="453">
        <f t="shared" si="44"/>
        <v>0</v>
      </c>
      <c r="P1017" s="113"/>
      <c r="Q1017" s="106" t="str">
        <f>IF(ISBLANK(O1017), "", VLOOKUP(C1017&amp;" "&amp;D1017, 'Info Tipo de Cambio y REM'!$A$24:$B$35, 2, FALSE))</f>
        <v>#N/A</v>
      </c>
      <c r="R1017" s="107" t="str">
        <f t="shared" si="32"/>
        <v/>
      </c>
    </row>
    <row r="1018" hidden="1">
      <c r="A1018" s="443"/>
      <c r="B1018" s="43" t="str">
        <f>IF(A1018="", "", IFERROR(VLOOKUP(A1018, Clasificaciones!A:B, 2, FALSE), "DATO NO CARGADO"))
</f>
        <v/>
      </c>
      <c r="C1018" s="51"/>
      <c r="D1018" s="102"/>
      <c r="E1018" s="102"/>
      <c r="H1018" s="102"/>
      <c r="J1018" s="102"/>
      <c r="K1018" s="450"/>
      <c r="L1018" s="443"/>
      <c r="M1018" s="450"/>
      <c r="N1018" s="452">
        <f t="array" ref="N1018">IFERROR(
  INDEX(
    'Valor Hora Real y Estimada'!$A$4:$Z$78,
    MATCH(TRIM(CLEAN(A1018)), 'Valor Hora Real y Estimada'!$A$4:$A$78, 0),
    MATCH(
      TEXT(C1018,"dd mmm")&amp;" "&amp;D1018,
      'Valor Hora Real y Estimada'!$A$3:$Z$3,
      0
    ) + 1
  ),
  0
)</f>
        <v>0</v>
      </c>
      <c r="O1018" s="453">
        <f t="shared" si="44"/>
        <v>0</v>
      </c>
      <c r="P1018" s="113"/>
      <c r="Q1018" s="106" t="str">
        <f>IF(ISBLANK(O1018), "", VLOOKUP(C1018&amp;" "&amp;D1018, 'Info Tipo de Cambio y REM'!$A$24:$B$35, 2, FALSE))</f>
        <v>#N/A</v>
      </c>
      <c r="R1018" s="107" t="str">
        <f t="shared" si="32"/>
        <v/>
      </c>
    </row>
    <row r="1019" hidden="1">
      <c r="A1019" s="443"/>
      <c r="B1019" s="43" t="str">
        <f>IF(A1019="", "", IFERROR(VLOOKUP(A1019, Clasificaciones!A:B, 2, FALSE), "DATO NO CARGADO"))
</f>
        <v/>
      </c>
      <c r="C1019" s="51"/>
      <c r="D1019" s="102"/>
      <c r="E1019" s="102"/>
      <c r="H1019" s="102"/>
      <c r="J1019" s="102"/>
      <c r="K1019" s="450"/>
      <c r="L1019" s="443"/>
      <c r="M1019" s="450"/>
      <c r="N1019" s="452">
        <f t="array" ref="N1019">IFERROR(
  INDEX(
    'Valor Hora Real y Estimada'!$A$4:$Z$78,
    MATCH(TRIM(CLEAN(A1019)), 'Valor Hora Real y Estimada'!$A$4:$A$78, 0),
    MATCH(
      TEXT(C1019,"dd mmm")&amp;" "&amp;D1019,
      'Valor Hora Real y Estimada'!$A$3:$Z$3,
      0
    ) + 1
  ),
  0
)</f>
        <v>0</v>
      </c>
      <c r="O1019" s="453">
        <f t="shared" si="44"/>
        <v>0</v>
      </c>
      <c r="P1019" s="113"/>
      <c r="Q1019" s="106" t="str">
        <f>IF(ISBLANK(O1019), "", VLOOKUP(C1019&amp;" "&amp;D1019, 'Info Tipo de Cambio y REM'!$A$24:$B$35, 2, FALSE))</f>
        <v>#N/A</v>
      </c>
      <c r="R1019" s="107" t="str">
        <f t="shared" si="32"/>
        <v/>
      </c>
    </row>
    <row r="1020" hidden="1">
      <c r="A1020" s="443"/>
      <c r="B1020" s="43" t="str">
        <f>IF(A1020="", "", IFERROR(VLOOKUP(A1020, Clasificaciones!A:B, 2, FALSE), "DATO NO CARGADO"))
</f>
        <v/>
      </c>
      <c r="C1020" s="51"/>
      <c r="D1020" s="102"/>
      <c r="E1020" s="102"/>
      <c r="H1020" s="102"/>
      <c r="J1020" s="102"/>
      <c r="K1020" s="450"/>
      <c r="L1020" s="443"/>
      <c r="M1020" s="450"/>
      <c r="N1020" s="452">
        <f t="array" ref="N1020">IFERROR(
  INDEX(
    'Valor Hora Real y Estimada'!$A$4:$Z$78,
    MATCH(TRIM(CLEAN(A1020)), 'Valor Hora Real y Estimada'!$A$4:$A$78, 0),
    MATCH(
      TEXT(C1020,"dd mmm")&amp;" "&amp;D1020,
      'Valor Hora Real y Estimada'!$A$3:$Z$3,
      0
    ) + 1
  ),
  0
)</f>
        <v>0</v>
      </c>
      <c r="O1020" s="453">
        <f t="shared" si="44"/>
        <v>0</v>
      </c>
      <c r="P1020" s="113"/>
      <c r="Q1020" s="106" t="str">
        <f>IF(ISBLANK(O1020), "", VLOOKUP(C1020&amp;" "&amp;D1020, 'Info Tipo de Cambio y REM'!$A$24:$B$35, 2, FALSE))</f>
        <v>#N/A</v>
      </c>
      <c r="R1020" s="107" t="str">
        <f t="shared" si="32"/>
        <v/>
      </c>
    </row>
    <row r="1021" hidden="1">
      <c r="A1021" s="443"/>
      <c r="B1021" s="43" t="str">
        <f>IF(A1021="", "", IFERROR(VLOOKUP(A1021, Clasificaciones!A:B, 2, FALSE), "DATO NO CARGADO"))
</f>
        <v/>
      </c>
      <c r="C1021" s="51"/>
      <c r="D1021" s="102"/>
      <c r="E1021" s="102"/>
      <c r="H1021" s="102"/>
      <c r="J1021" s="102"/>
      <c r="K1021" s="450"/>
      <c r="L1021" s="443"/>
      <c r="M1021" s="450"/>
      <c r="N1021" s="452">
        <f t="array" ref="N1021">IFERROR(
  INDEX(
    'Valor Hora Real y Estimada'!$A$4:$Z$78,
    MATCH(TRIM(CLEAN(A1021)), 'Valor Hora Real y Estimada'!$A$4:$A$78, 0),
    MATCH(
      TEXT(C1021,"dd mmm")&amp;" "&amp;D1021,
      'Valor Hora Real y Estimada'!$A$3:$Z$3,
      0
    ) + 1
  ),
  0
)</f>
        <v>0</v>
      </c>
      <c r="O1021" s="453">
        <f t="shared" si="44"/>
        <v>0</v>
      </c>
      <c r="P1021" s="113"/>
      <c r="Q1021" s="106" t="str">
        <f>IF(ISBLANK(O1021), "", VLOOKUP(C1021&amp;" "&amp;D1021, 'Info Tipo de Cambio y REM'!$A$24:$B$35, 2, FALSE))</f>
        <v>#N/A</v>
      </c>
      <c r="R1021" s="107" t="str">
        <f t="shared" si="32"/>
        <v/>
      </c>
    </row>
    <row r="1022" hidden="1">
      <c r="A1022" s="443"/>
      <c r="B1022" s="43" t="str">
        <f>IF(A1022="", "", IFERROR(VLOOKUP(A1022, Clasificaciones!A:B, 2, FALSE), "DATO NO CARGADO"))
</f>
        <v/>
      </c>
      <c r="C1022" s="51"/>
      <c r="D1022" s="102"/>
      <c r="E1022" s="102"/>
      <c r="H1022" s="102"/>
      <c r="J1022" s="102"/>
      <c r="K1022" s="450"/>
      <c r="L1022" s="443"/>
      <c r="M1022" s="450"/>
      <c r="N1022" s="452">
        <f t="array" ref="N1022">IFERROR(
  INDEX(
    'Valor Hora Real y Estimada'!$A$4:$Z$78,
    MATCH(TRIM(CLEAN(A1022)), 'Valor Hora Real y Estimada'!$A$4:$A$78, 0),
    MATCH(
      TEXT(C1022,"dd mmm")&amp;" "&amp;D1022,
      'Valor Hora Real y Estimada'!$A$3:$Z$3,
      0
    ) + 1
  ),
  0
)</f>
        <v>0</v>
      </c>
      <c r="O1022" s="453">
        <f t="shared" si="44"/>
        <v>0</v>
      </c>
      <c r="P1022" s="113"/>
      <c r="Q1022" s="106" t="str">
        <f>IF(ISBLANK(O1022), "", VLOOKUP(C1022&amp;" "&amp;D1022, 'Info Tipo de Cambio y REM'!$A$24:$B$35, 2, FALSE))</f>
        <v>#N/A</v>
      </c>
      <c r="R1022" s="107" t="str">
        <f t="shared" si="32"/>
        <v/>
      </c>
    </row>
    <row r="1023" hidden="1">
      <c r="A1023" s="443"/>
      <c r="B1023" s="43" t="str">
        <f>IF(A1023="", "", IFERROR(VLOOKUP(A1023, Clasificaciones!A:B, 2, FALSE), "DATO NO CARGADO"))
</f>
        <v/>
      </c>
      <c r="C1023" s="51"/>
      <c r="D1023" s="102"/>
      <c r="E1023" s="102"/>
      <c r="H1023" s="102"/>
      <c r="J1023" s="102"/>
      <c r="K1023" s="450"/>
      <c r="L1023" s="443"/>
      <c r="M1023" s="450"/>
      <c r="N1023" s="452">
        <f t="array" ref="N1023">IFERROR(
  INDEX(
    'Valor Hora Real y Estimada'!$A$4:$Z$78,
    MATCH(TRIM(CLEAN(A1023)), 'Valor Hora Real y Estimada'!$A$4:$A$78, 0),
    MATCH(
      TEXT(C1023,"dd mmm")&amp;" "&amp;D1023,
      'Valor Hora Real y Estimada'!$A$3:$Z$3,
      0
    ) + 1
  ),
  0
)</f>
        <v>0</v>
      </c>
      <c r="O1023" s="453">
        <f t="shared" si="44"/>
        <v>0</v>
      </c>
      <c r="P1023" s="113"/>
      <c r="Q1023" s="106" t="str">
        <f>IF(ISBLANK(O1023), "", VLOOKUP(C1023&amp;" "&amp;D1023, 'Info Tipo de Cambio y REM'!$A$24:$B$35, 2, FALSE))</f>
        <v>#N/A</v>
      </c>
      <c r="R1023" s="107" t="str">
        <f t="shared" si="32"/>
        <v/>
      </c>
    </row>
    <row r="1024" hidden="1">
      <c r="A1024" s="443"/>
      <c r="B1024" s="43" t="str">
        <f>IF(A1024="", "", IFERROR(VLOOKUP(A1024, Clasificaciones!A:B, 2, FALSE), "DATO NO CARGADO"))
</f>
        <v/>
      </c>
      <c r="C1024" s="51"/>
      <c r="D1024" s="102"/>
      <c r="E1024" s="102"/>
      <c r="H1024" s="102"/>
      <c r="J1024" s="102"/>
      <c r="K1024" s="450"/>
      <c r="L1024" s="443"/>
      <c r="M1024" s="450"/>
      <c r="N1024" s="452">
        <f t="array" ref="N1024">IFERROR(
  INDEX(
    'Valor Hora Real y Estimada'!$A$4:$Z$78,
    MATCH(TRIM(CLEAN(A1024)), 'Valor Hora Real y Estimada'!$A$4:$A$78, 0),
    MATCH(
      TEXT(C1024,"dd mmm")&amp;" "&amp;D1024,
      'Valor Hora Real y Estimada'!$A$3:$Z$3,
      0
    ) + 1
  ),
  0
)</f>
        <v>0</v>
      </c>
      <c r="O1024" s="453">
        <f t="shared" si="44"/>
        <v>0</v>
      </c>
      <c r="P1024" s="113"/>
      <c r="Q1024" s="106" t="str">
        <f>IF(ISBLANK(O1024), "", VLOOKUP(C1024&amp;" "&amp;D1024, 'Info Tipo de Cambio y REM'!$A$24:$B$35, 2, FALSE))</f>
        <v>#N/A</v>
      </c>
      <c r="R1024" s="107" t="str">
        <f t="shared" si="32"/>
        <v/>
      </c>
    </row>
    <row r="1025" hidden="1">
      <c r="A1025" s="443"/>
      <c r="B1025" s="43" t="str">
        <f>IF(A1025="", "", IFERROR(VLOOKUP(A1025, Clasificaciones!A:B, 2, FALSE), "DATO NO CARGADO"))
</f>
        <v/>
      </c>
      <c r="C1025" s="51"/>
      <c r="D1025" s="102"/>
      <c r="E1025" s="102"/>
      <c r="H1025" s="102"/>
      <c r="J1025" s="102"/>
      <c r="K1025" s="450"/>
      <c r="L1025" s="443"/>
      <c r="M1025" s="450"/>
      <c r="N1025" s="452">
        <f t="array" ref="N1025">IFERROR(
  INDEX(
    'Valor Hora Real y Estimada'!$A$4:$Z$78,
    MATCH(TRIM(CLEAN(A1025)), 'Valor Hora Real y Estimada'!$A$4:$A$78, 0),
    MATCH(
      TEXT(C1025,"dd mmm")&amp;" "&amp;D1025,
      'Valor Hora Real y Estimada'!$A$3:$Z$3,
      0
    ) + 1
  ),
  0
)</f>
        <v>0</v>
      </c>
      <c r="O1025" s="453">
        <f t="shared" si="44"/>
        <v>0</v>
      </c>
      <c r="P1025" s="113"/>
      <c r="Q1025" s="106" t="str">
        <f>IF(ISBLANK(O1025), "", VLOOKUP(C1025&amp;" "&amp;D1025, 'Info Tipo de Cambio y REM'!$A$24:$B$35, 2, FALSE))</f>
        <v>#N/A</v>
      </c>
      <c r="R1025" s="107" t="str">
        <f t="shared" si="32"/>
        <v/>
      </c>
    </row>
    <row r="1026" hidden="1">
      <c r="A1026" s="443"/>
      <c r="B1026" s="43" t="str">
        <f>IF(A1026="", "", IFERROR(VLOOKUP(A1026, Clasificaciones!A:B, 2, FALSE), "DATO NO CARGADO"))
</f>
        <v/>
      </c>
      <c r="C1026" s="51"/>
      <c r="D1026" s="102"/>
      <c r="E1026" s="102"/>
      <c r="H1026" s="102"/>
      <c r="J1026" s="102"/>
      <c r="K1026" s="450"/>
      <c r="L1026" s="443"/>
      <c r="M1026" s="450"/>
      <c r="N1026" s="452">
        <f t="array" ref="N1026">IFERROR(
  INDEX(
    'Valor Hora Real y Estimada'!$A$4:$Z$78,
    MATCH(TRIM(CLEAN(A1026)), 'Valor Hora Real y Estimada'!$A$4:$A$78, 0),
    MATCH(
      TEXT(C1026,"dd mmm")&amp;" "&amp;D1026,
      'Valor Hora Real y Estimada'!$A$3:$Z$3,
      0
    ) + 1
  ),
  0
)</f>
        <v>0</v>
      </c>
      <c r="O1026" s="453">
        <f t="shared" si="44"/>
        <v>0</v>
      </c>
      <c r="P1026" s="113"/>
      <c r="Q1026" s="106" t="str">
        <f>IF(ISBLANK(O1026), "", VLOOKUP(C1026&amp;" "&amp;D1026, 'Info Tipo de Cambio y REM'!$A$24:$B$35, 2, FALSE))</f>
        <v>#N/A</v>
      </c>
      <c r="R1026" s="107" t="str">
        <f t="shared" si="32"/>
        <v/>
      </c>
    </row>
    <row r="1027" hidden="1">
      <c r="A1027" s="443"/>
      <c r="B1027" s="43" t="str">
        <f>IF(A1027="", "", IFERROR(VLOOKUP(A1027, Clasificaciones!A:B, 2, FALSE), "DATO NO CARGADO"))
</f>
        <v/>
      </c>
      <c r="C1027" s="51"/>
      <c r="D1027" s="102"/>
      <c r="E1027" s="102"/>
      <c r="H1027" s="102"/>
      <c r="J1027" s="102"/>
      <c r="K1027" s="450"/>
      <c r="L1027" s="443"/>
      <c r="M1027" s="450"/>
      <c r="N1027" s="452">
        <f t="array" ref="N1027">IFERROR(
  INDEX(
    'Valor Hora Real y Estimada'!$A$4:$Z$78,
    MATCH(TRIM(CLEAN(A1027)), 'Valor Hora Real y Estimada'!$A$4:$A$78, 0),
    MATCH(
      TEXT(C1027,"dd mmm")&amp;" "&amp;D1027,
      'Valor Hora Real y Estimada'!$A$3:$Z$3,
      0
    ) + 1
  ),
  0
)</f>
        <v>0</v>
      </c>
      <c r="O1027" s="453">
        <f t="shared" si="44"/>
        <v>0</v>
      </c>
      <c r="P1027" s="113"/>
      <c r="Q1027" s="106" t="str">
        <f>IF(ISBLANK(O1027), "", VLOOKUP(C1027&amp;" "&amp;D1027, 'Info Tipo de Cambio y REM'!$A$24:$B$35, 2, FALSE))</f>
        <v>#N/A</v>
      </c>
      <c r="R1027" s="107" t="str">
        <f t="shared" si="32"/>
        <v/>
      </c>
    </row>
    <row r="1028" hidden="1">
      <c r="A1028" s="443"/>
      <c r="B1028" s="43" t="str">
        <f>IF(A1028="", "", IFERROR(VLOOKUP(A1028, Clasificaciones!A:B, 2, FALSE), "DATO NO CARGADO"))
</f>
        <v/>
      </c>
      <c r="C1028" s="51"/>
      <c r="D1028" s="102"/>
      <c r="E1028" s="102"/>
      <c r="H1028" s="102"/>
      <c r="J1028" s="102"/>
      <c r="K1028" s="450"/>
      <c r="L1028" s="443"/>
      <c r="M1028" s="450"/>
      <c r="N1028" s="452">
        <f t="array" ref="N1028">IFERROR(
  INDEX(
    'Valor Hora Real y Estimada'!$A$4:$Z$78,
    MATCH(TRIM(CLEAN(A1028)), 'Valor Hora Real y Estimada'!$A$4:$A$78, 0),
    MATCH(
      TEXT(C1028,"dd mmm")&amp;" "&amp;D1028,
      'Valor Hora Real y Estimada'!$A$3:$Z$3,
      0
    ) + 1
  ),
  0
)</f>
        <v>0</v>
      </c>
      <c r="O1028" s="453">
        <f t="shared" si="44"/>
        <v>0</v>
      </c>
      <c r="P1028" s="113"/>
      <c r="Q1028" s="106" t="str">
        <f>IF(ISBLANK(O1028), "", VLOOKUP(C1028&amp;" "&amp;D1028, 'Info Tipo de Cambio y REM'!$A$24:$B$35, 2, FALSE))</f>
        <v>#N/A</v>
      </c>
      <c r="R1028" s="107" t="str">
        <f t="shared" si="32"/>
        <v/>
      </c>
    </row>
    <row r="1029" hidden="1">
      <c r="A1029" s="443"/>
      <c r="B1029" s="43" t="str">
        <f>IF(A1029="", "", IFERROR(VLOOKUP(A1029, Clasificaciones!A:B, 2, FALSE), "DATO NO CARGADO"))
</f>
        <v/>
      </c>
      <c r="C1029" s="51"/>
      <c r="D1029" s="102"/>
      <c r="E1029" s="102"/>
      <c r="H1029" s="102"/>
      <c r="J1029" s="102"/>
      <c r="K1029" s="450"/>
      <c r="L1029" s="443"/>
      <c r="M1029" s="450"/>
      <c r="N1029" s="452">
        <f t="array" ref="N1029">IFERROR(
  INDEX(
    'Valor Hora Real y Estimada'!$A$4:$Z$78,
    MATCH(TRIM(CLEAN(A1029)), 'Valor Hora Real y Estimada'!$A$4:$A$78, 0),
    MATCH(
      TEXT(C1029,"dd mmm")&amp;" "&amp;D1029,
      'Valor Hora Real y Estimada'!$A$3:$Z$3,
      0
    ) + 1
  ),
  0
)</f>
        <v>0</v>
      </c>
      <c r="O1029" s="453">
        <f t="shared" si="44"/>
        <v>0</v>
      </c>
      <c r="P1029" s="113"/>
      <c r="Q1029" s="106" t="str">
        <f>IF(ISBLANK(O1029), "", VLOOKUP(C1029&amp;" "&amp;D1029, 'Info Tipo de Cambio y REM'!$A$24:$B$35, 2, FALSE))</f>
        <v>#N/A</v>
      </c>
      <c r="R1029" s="107" t="str">
        <f t="shared" si="32"/>
        <v/>
      </c>
    </row>
    <row r="1030" hidden="1">
      <c r="A1030" s="443"/>
      <c r="B1030" s="43" t="str">
        <f>IF(A1030="", "", IFERROR(VLOOKUP(A1030, Clasificaciones!A:B, 2, FALSE), "DATO NO CARGADO"))
</f>
        <v/>
      </c>
      <c r="C1030" s="51"/>
      <c r="D1030" s="102"/>
      <c r="E1030" s="102"/>
      <c r="H1030" s="102"/>
      <c r="J1030" s="102"/>
      <c r="K1030" s="450"/>
      <c r="L1030" s="443"/>
      <c r="M1030" s="450"/>
      <c r="N1030" s="452">
        <f t="array" ref="N1030">IFERROR(
  INDEX(
    'Valor Hora Real y Estimada'!$A$4:$Z$78,
    MATCH(TRIM(CLEAN(A1030)), 'Valor Hora Real y Estimada'!$A$4:$A$78, 0),
    MATCH(
      TEXT(C1030,"dd mmm")&amp;" "&amp;D1030,
      'Valor Hora Real y Estimada'!$A$3:$Z$3,
      0
    ) + 1
  ),
  0
)</f>
        <v>0</v>
      </c>
      <c r="O1030" s="453">
        <f t="shared" si="44"/>
        <v>0</v>
      </c>
      <c r="P1030" s="113"/>
      <c r="Q1030" s="106" t="str">
        <f>IF(ISBLANK(O1030), "", VLOOKUP(C1030&amp;" "&amp;D1030, 'Info Tipo de Cambio y REM'!$A$24:$B$35, 2, FALSE))</f>
        <v>#N/A</v>
      </c>
      <c r="R1030" s="107" t="str">
        <f t="shared" si="32"/>
        <v/>
      </c>
    </row>
    <row r="1031" hidden="1">
      <c r="A1031" s="443"/>
      <c r="B1031" s="43" t="str">
        <f>IF(A1031="", "", IFERROR(VLOOKUP(A1031, Clasificaciones!A:B, 2, FALSE), "DATO NO CARGADO"))
</f>
        <v/>
      </c>
      <c r="C1031" s="51"/>
      <c r="D1031" s="102"/>
      <c r="E1031" s="102"/>
      <c r="H1031" s="102"/>
      <c r="J1031" s="102"/>
      <c r="K1031" s="450"/>
      <c r="L1031" s="443"/>
      <c r="M1031" s="450"/>
      <c r="N1031" s="452">
        <f t="array" ref="N1031">IFERROR(
  INDEX(
    'Valor Hora Real y Estimada'!$A$4:$Z$78,
    MATCH(TRIM(CLEAN(A1031)), 'Valor Hora Real y Estimada'!$A$4:$A$78, 0),
    MATCH(
      TEXT(C1031,"dd mmm")&amp;" "&amp;D1031,
      'Valor Hora Real y Estimada'!$A$3:$Z$3,
      0
    ) + 1
  ),
  0
)</f>
        <v>0</v>
      </c>
      <c r="O1031" s="453">
        <f t="shared" si="44"/>
        <v>0</v>
      </c>
      <c r="P1031" s="113"/>
      <c r="Q1031" s="106" t="str">
        <f>IF(ISBLANK(O1031), "", VLOOKUP(C1031&amp;" "&amp;D1031, 'Info Tipo de Cambio y REM'!$A$24:$B$35, 2, FALSE))</f>
        <v>#N/A</v>
      </c>
      <c r="R1031" s="107" t="str">
        <f t="shared" si="32"/>
        <v/>
      </c>
    </row>
    <row r="1032" hidden="1">
      <c r="A1032" s="443"/>
      <c r="B1032" s="43" t="str">
        <f>IF(A1032="", "", IFERROR(VLOOKUP(A1032, Clasificaciones!A:B, 2, FALSE), "DATO NO CARGADO"))
</f>
        <v/>
      </c>
      <c r="C1032" s="51"/>
      <c r="D1032" s="102"/>
      <c r="E1032" s="102"/>
      <c r="H1032" s="102"/>
      <c r="J1032" s="102"/>
      <c r="K1032" s="450"/>
      <c r="L1032" s="443"/>
      <c r="M1032" s="450"/>
      <c r="N1032" s="452">
        <f t="array" ref="N1032">IFERROR(
  INDEX(
    'Valor Hora Real y Estimada'!$A$4:$Z$78,
    MATCH(TRIM(CLEAN(A1032)), 'Valor Hora Real y Estimada'!$A$4:$A$78, 0),
    MATCH(
      TEXT(C1032,"dd mmm")&amp;" "&amp;D1032,
      'Valor Hora Real y Estimada'!$A$3:$Z$3,
      0
    ) + 1
  ),
  0
)</f>
        <v>0</v>
      </c>
      <c r="O1032" s="453">
        <f t="shared" si="44"/>
        <v>0</v>
      </c>
      <c r="P1032" s="113"/>
      <c r="Q1032" s="106" t="str">
        <f>IF(ISBLANK(O1032), "", VLOOKUP(C1032&amp;" "&amp;D1032, 'Info Tipo de Cambio y REM'!$A$24:$B$35, 2, FALSE))</f>
        <v>#N/A</v>
      </c>
      <c r="R1032" s="107" t="str">
        <f t="shared" si="32"/>
        <v/>
      </c>
    </row>
    <row r="1033" hidden="1">
      <c r="A1033" s="443"/>
      <c r="B1033" s="43" t="str">
        <f>IF(A1033="", "", IFERROR(VLOOKUP(A1033, Clasificaciones!A:B, 2, FALSE), "DATO NO CARGADO"))
</f>
        <v/>
      </c>
      <c r="C1033" s="51"/>
      <c r="D1033" s="102"/>
      <c r="E1033" s="102"/>
      <c r="H1033" s="102"/>
      <c r="J1033" s="102"/>
      <c r="K1033" s="450"/>
      <c r="L1033" s="443"/>
      <c r="M1033" s="450"/>
      <c r="N1033" s="452">
        <f t="array" ref="N1033">IFERROR(
  INDEX(
    'Valor Hora Real y Estimada'!$A$4:$Z$78,
    MATCH(TRIM(CLEAN(A1033)), 'Valor Hora Real y Estimada'!$A$4:$A$78, 0),
    MATCH(
      TEXT(C1033,"dd mmm")&amp;" "&amp;D1033,
      'Valor Hora Real y Estimada'!$A$3:$Z$3,
      0
    ) + 1
  ),
  0
)</f>
        <v>0</v>
      </c>
      <c r="O1033" s="453">
        <f t="shared" si="44"/>
        <v>0</v>
      </c>
      <c r="P1033" s="113"/>
      <c r="Q1033" s="106" t="str">
        <f>IF(ISBLANK(O1033), "", VLOOKUP(C1033&amp;" "&amp;D1033, 'Info Tipo de Cambio y REM'!$A$24:$B$35, 2, FALSE))</f>
        <v>#N/A</v>
      </c>
      <c r="R1033" s="107" t="str">
        <f t="shared" si="32"/>
        <v/>
      </c>
    </row>
    <row r="1034" hidden="1">
      <c r="A1034" s="443"/>
      <c r="B1034" s="43" t="str">
        <f>IF(A1034="", "", IFERROR(VLOOKUP(A1034, Clasificaciones!A:B, 2, FALSE), "DATO NO CARGADO"))
</f>
        <v/>
      </c>
      <c r="C1034" s="51"/>
      <c r="D1034" s="102"/>
      <c r="E1034" s="102"/>
      <c r="H1034" s="102"/>
      <c r="J1034" s="102"/>
      <c r="K1034" s="450"/>
      <c r="L1034" s="443"/>
      <c r="M1034" s="450"/>
      <c r="N1034" s="452">
        <f t="array" ref="N1034">IFERROR(
  INDEX(
    'Valor Hora Real y Estimada'!$A$4:$Z$78,
    MATCH(TRIM(CLEAN(A1034)), 'Valor Hora Real y Estimada'!$A$4:$A$78, 0),
    MATCH(
      TEXT(C1034,"dd mmm")&amp;" "&amp;D1034,
      'Valor Hora Real y Estimada'!$A$3:$Z$3,
      0
    ) + 1
  ),
  0
)</f>
        <v>0</v>
      </c>
      <c r="O1034" s="453">
        <f t="shared" si="44"/>
        <v>0</v>
      </c>
      <c r="P1034" s="113"/>
      <c r="Q1034" s="106" t="str">
        <f>IF(ISBLANK(O1034), "", VLOOKUP(C1034&amp;" "&amp;D1034, 'Info Tipo de Cambio y REM'!$A$24:$B$35, 2, FALSE))</f>
        <v>#N/A</v>
      </c>
      <c r="R1034" s="107" t="str">
        <f t="shared" si="32"/>
        <v/>
      </c>
    </row>
    <row r="1035" hidden="1">
      <c r="A1035" s="443"/>
      <c r="B1035" s="43" t="str">
        <f>IF(A1035="", "", IFERROR(VLOOKUP(A1035, Clasificaciones!A:B, 2, FALSE), "DATO NO CARGADO"))
</f>
        <v/>
      </c>
      <c r="C1035" s="51"/>
      <c r="D1035" s="102"/>
      <c r="E1035" s="102"/>
      <c r="H1035" s="102"/>
      <c r="J1035" s="102"/>
      <c r="K1035" s="450"/>
      <c r="L1035" s="443"/>
      <c r="M1035" s="450"/>
      <c r="N1035" s="452">
        <f t="array" ref="N1035">IFERROR(
  INDEX(
    'Valor Hora Real y Estimada'!$A$4:$Z$78,
    MATCH(TRIM(CLEAN(A1035)), 'Valor Hora Real y Estimada'!$A$4:$A$78, 0),
    MATCH(
      TEXT(C1035,"dd mmm")&amp;" "&amp;D1035,
      'Valor Hora Real y Estimada'!$A$3:$Z$3,
      0
    ) + 1
  ),
  0
)</f>
        <v>0</v>
      </c>
      <c r="O1035" s="453">
        <f t="shared" si="44"/>
        <v>0</v>
      </c>
      <c r="P1035" s="113"/>
      <c r="Q1035" s="106" t="str">
        <f>IF(ISBLANK(O1035), "", VLOOKUP(C1035&amp;" "&amp;D1035, 'Info Tipo de Cambio y REM'!$A$24:$B$35, 2, FALSE))</f>
        <v>#N/A</v>
      </c>
      <c r="R1035" s="107" t="str">
        <f t="shared" si="32"/>
        <v/>
      </c>
    </row>
    <row r="1036" hidden="1">
      <c r="A1036" s="443"/>
      <c r="B1036" s="43" t="str">
        <f>IF(A1036="", "", IFERROR(VLOOKUP(A1036, Clasificaciones!A:B, 2, FALSE), "DATO NO CARGADO"))
</f>
        <v/>
      </c>
      <c r="C1036" s="51"/>
      <c r="D1036" s="102"/>
      <c r="E1036" s="102"/>
      <c r="H1036" s="102"/>
      <c r="J1036" s="102"/>
      <c r="K1036" s="450"/>
      <c r="L1036" s="443"/>
      <c r="M1036" s="450"/>
      <c r="N1036" s="452">
        <f t="array" ref="N1036">IFERROR(
  INDEX(
    'Valor Hora Real y Estimada'!$A$4:$Z$78,
    MATCH(TRIM(CLEAN(A1036)), 'Valor Hora Real y Estimada'!$A$4:$A$78, 0),
    MATCH(
      TEXT(C1036,"dd mmm")&amp;" "&amp;D1036,
      'Valor Hora Real y Estimada'!$A$3:$Z$3,
      0
    ) + 1
  ),
  0
)</f>
        <v>0</v>
      </c>
      <c r="O1036" s="453">
        <f t="shared" si="44"/>
        <v>0</v>
      </c>
      <c r="P1036" s="113"/>
      <c r="Q1036" s="106" t="str">
        <f>IF(ISBLANK(O1036), "", VLOOKUP(C1036&amp;" "&amp;D1036, 'Info Tipo de Cambio y REM'!$A$24:$B$35, 2, FALSE))</f>
        <v>#N/A</v>
      </c>
      <c r="R1036" s="107" t="str">
        <f t="shared" si="32"/>
        <v/>
      </c>
    </row>
    <row r="1037" hidden="1">
      <c r="A1037" s="443"/>
      <c r="B1037" s="43" t="str">
        <f>IF(A1037="", "", IFERROR(VLOOKUP(A1037, Clasificaciones!A:B, 2, FALSE), "DATO NO CARGADO"))
</f>
        <v/>
      </c>
      <c r="C1037" s="51"/>
      <c r="D1037" s="102"/>
      <c r="E1037" s="102"/>
      <c r="H1037" s="102"/>
      <c r="J1037" s="102"/>
      <c r="K1037" s="450"/>
      <c r="L1037" s="443"/>
      <c r="M1037" s="450"/>
      <c r="N1037" s="452">
        <f t="array" ref="N1037">IFERROR(
  INDEX(
    'Valor Hora Real y Estimada'!$A$4:$Z$78,
    MATCH(TRIM(CLEAN(A1037)), 'Valor Hora Real y Estimada'!$A$4:$A$78, 0),
    MATCH(
      TEXT(C1037,"dd mmm")&amp;" "&amp;D1037,
      'Valor Hora Real y Estimada'!$A$3:$Z$3,
      0
    ) + 1
  ),
  0
)</f>
        <v>0</v>
      </c>
      <c r="O1037" s="453">
        <f t="shared" si="44"/>
        <v>0</v>
      </c>
      <c r="P1037" s="113"/>
      <c r="Q1037" s="106" t="str">
        <f>IF(ISBLANK(O1037), "", VLOOKUP(C1037&amp;" "&amp;D1037, 'Info Tipo de Cambio y REM'!$A$24:$B$35, 2, FALSE))</f>
        <v>#N/A</v>
      </c>
      <c r="R1037" s="107" t="str">
        <f t="shared" si="32"/>
        <v/>
      </c>
    </row>
    <row r="1038" hidden="1">
      <c r="A1038" s="443"/>
      <c r="B1038" s="43" t="str">
        <f>IF(A1038="", "", IFERROR(VLOOKUP(A1038, Clasificaciones!A:B, 2, FALSE), "DATO NO CARGADO"))
</f>
        <v/>
      </c>
      <c r="C1038" s="51"/>
      <c r="D1038" s="102"/>
      <c r="E1038" s="102"/>
      <c r="H1038" s="102"/>
      <c r="J1038" s="102"/>
      <c r="K1038" s="450"/>
      <c r="L1038" s="443"/>
      <c r="M1038" s="450"/>
      <c r="N1038" s="452">
        <f t="array" ref="N1038">IFERROR(
  INDEX(
    'Valor Hora Real y Estimada'!$A$4:$Z$78,
    MATCH(TRIM(CLEAN(A1038)), 'Valor Hora Real y Estimada'!$A$4:$A$78, 0),
    MATCH(
      TEXT(C1038,"dd mmm")&amp;" "&amp;D1038,
      'Valor Hora Real y Estimada'!$A$3:$Z$3,
      0
    ) + 1
  ),
  0
)</f>
        <v>0</v>
      </c>
      <c r="O1038" s="453">
        <f t="shared" si="44"/>
        <v>0</v>
      </c>
      <c r="P1038" s="113"/>
      <c r="Q1038" s="106" t="str">
        <f>IF(ISBLANK(O1038), "", VLOOKUP(C1038&amp;" "&amp;D1038, 'Info Tipo de Cambio y REM'!$A$24:$B$35, 2, FALSE))</f>
        <v>#N/A</v>
      </c>
      <c r="R1038" s="107" t="str">
        <f t="shared" si="32"/>
        <v/>
      </c>
    </row>
    <row r="1039" hidden="1">
      <c r="A1039" s="443"/>
      <c r="B1039" s="43" t="str">
        <f>IF(A1039="", "", IFERROR(VLOOKUP(A1039, Clasificaciones!A:B, 2, FALSE), "DATO NO CARGADO"))
</f>
        <v/>
      </c>
      <c r="C1039" s="51"/>
      <c r="D1039" s="102"/>
      <c r="E1039" s="102"/>
      <c r="H1039" s="102"/>
      <c r="J1039" s="102"/>
      <c r="K1039" s="450"/>
      <c r="L1039" s="443"/>
      <c r="M1039" s="450"/>
      <c r="N1039" s="452">
        <f t="array" ref="N1039">IFERROR(
  INDEX(
    'Valor Hora Real y Estimada'!$A$4:$Z$78,
    MATCH(TRIM(CLEAN(A1039)), 'Valor Hora Real y Estimada'!$A$4:$A$78, 0),
    MATCH(
      TEXT(C1039,"dd mmm")&amp;" "&amp;D1039,
      'Valor Hora Real y Estimada'!$A$3:$Z$3,
      0
    ) + 1
  ),
  0
)</f>
        <v>0</v>
      </c>
      <c r="O1039" s="453">
        <f t="shared" si="44"/>
        <v>0</v>
      </c>
      <c r="P1039" s="113"/>
      <c r="Q1039" s="106" t="str">
        <f>IF(ISBLANK(O1039), "", VLOOKUP(C1039&amp;" "&amp;D1039, 'Info Tipo de Cambio y REM'!$A$24:$B$35, 2, FALSE))</f>
        <v>#N/A</v>
      </c>
      <c r="R1039" s="107" t="str">
        <f t="shared" si="32"/>
        <v/>
      </c>
    </row>
    <row r="1040" hidden="1">
      <c r="A1040" s="443"/>
      <c r="B1040" s="43" t="str">
        <f>IF(A1040="", "", IFERROR(VLOOKUP(A1040, Clasificaciones!A:B, 2, FALSE), "DATO NO CARGADO"))
</f>
        <v/>
      </c>
      <c r="C1040" s="51"/>
      <c r="D1040" s="102"/>
      <c r="E1040" s="102"/>
      <c r="H1040" s="102"/>
      <c r="J1040" s="102"/>
      <c r="K1040" s="450"/>
      <c r="L1040" s="443"/>
      <c r="M1040" s="450"/>
      <c r="N1040" s="452">
        <f t="array" ref="N1040">IFERROR(
  INDEX(
    'Valor Hora Real y Estimada'!$A$4:$Z$78,
    MATCH(TRIM(CLEAN(A1040)), 'Valor Hora Real y Estimada'!$A$4:$A$78, 0),
    MATCH(
      TEXT(C1040,"dd mmm")&amp;" "&amp;D1040,
      'Valor Hora Real y Estimada'!$A$3:$Z$3,
      0
    ) + 1
  ),
  0
)</f>
        <v>0</v>
      </c>
      <c r="O1040" s="453">
        <f t="shared" si="44"/>
        <v>0</v>
      </c>
      <c r="P1040" s="113"/>
      <c r="Q1040" s="106" t="str">
        <f>IF(ISBLANK(O1040), "", VLOOKUP(C1040&amp;" "&amp;D1040, 'Info Tipo de Cambio y REM'!$A$24:$B$35, 2, FALSE))</f>
        <v>#N/A</v>
      </c>
      <c r="R1040" s="107" t="str">
        <f t="shared" si="32"/>
        <v/>
      </c>
    </row>
    <row r="1041" hidden="1">
      <c r="A1041" s="443"/>
      <c r="B1041" s="43" t="str">
        <f>IF(A1041="", "", IFERROR(VLOOKUP(A1041, Clasificaciones!A:B, 2, FALSE), "DATO NO CARGADO"))
</f>
        <v/>
      </c>
      <c r="C1041" s="51"/>
      <c r="D1041" s="102"/>
      <c r="E1041" s="102"/>
      <c r="H1041" s="102"/>
      <c r="J1041" s="102"/>
      <c r="K1041" s="450"/>
      <c r="L1041" s="443"/>
      <c r="M1041" s="450"/>
      <c r="N1041" s="452">
        <f t="array" ref="N1041">IFERROR(
  INDEX(
    'Valor Hora Real y Estimada'!$A$4:$Z$78,
    MATCH(TRIM(CLEAN(A1041)), 'Valor Hora Real y Estimada'!$A$4:$A$78, 0),
    MATCH(
      TEXT(C1041,"dd mmm")&amp;" "&amp;D1041,
      'Valor Hora Real y Estimada'!$A$3:$Z$3,
      0
    ) + 1
  ),
  0
)</f>
        <v>0</v>
      </c>
      <c r="O1041" s="453">
        <f t="shared" si="44"/>
        <v>0</v>
      </c>
      <c r="P1041" s="113"/>
      <c r="Q1041" s="106" t="str">
        <f>IF(ISBLANK(O1041), "", VLOOKUP(C1041&amp;" "&amp;D1041, 'Info Tipo de Cambio y REM'!$A$24:$B$35, 2, FALSE))</f>
        <v>#N/A</v>
      </c>
      <c r="R1041" s="107" t="str">
        <f t="shared" si="32"/>
        <v/>
      </c>
    </row>
    <row r="1042" hidden="1">
      <c r="A1042" s="443"/>
      <c r="B1042" s="43" t="str">
        <f>IF(A1042="", "", IFERROR(VLOOKUP(A1042, Clasificaciones!A:B, 2, FALSE), "DATO NO CARGADO"))
</f>
        <v/>
      </c>
      <c r="C1042" s="51"/>
      <c r="D1042" s="102"/>
      <c r="E1042" s="102"/>
      <c r="H1042" s="102"/>
      <c r="J1042" s="102"/>
      <c r="K1042" s="450"/>
      <c r="L1042" s="443"/>
      <c r="M1042" s="450"/>
      <c r="N1042" s="452">
        <f t="array" ref="N1042">IFERROR(
  INDEX(
    'Valor Hora Real y Estimada'!$A$4:$Z$78,
    MATCH(TRIM(CLEAN(A1042)), 'Valor Hora Real y Estimada'!$A$4:$A$78, 0),
    MATCH(
      TEXT(C1042,"dd mmm")&amp;" "&amp;D1042,
      'Valor Hora Real y Estimada'!$A$3:$Z$3,
      0
    ) + 1
  ),
  0
)</f>
        <v>0</v>
      </c>
      <c r="O1042" s="453">
        <f t="shared" si="44"/>
        <v>0</v>
      </c>
      <c r="P1042" s="113"/>
      <c r="Q1042" s="106" t="str">
        <f>IF(ISBLANK(O1042), "", VLOOKUP(C1042&amp;" "&amp;D1042, 'Info Tipo de Cambio y REM'!$A$24:$B$35, 2, FALSE))</f>
        <v>#N/A</v>
      </c>
      <c r="R1042" s="107" t="str">
        <f t="shared" si="32"/>
        <v/>
      </c>
    </row>
    <row r="1043" hidden="1">
      <c r="A1043" s="443"/>
      <c r="B1043" s="43" t="str">
        <f>IF(A1043="", "", IFERROR(VLOOKUP(A1043, Clasificaciones!A:B, 2, FALSE), "DATO NO CARGADO"))
</f>
        <v/>
      </c>
      <c r="C1043" s="51"/>
      <c r="D1043" s="102"/>
      <c r="E1043" s="102"/>
      <c r="H1043" s="102"/>
      <c r="J1043" s="102"/>
      <c r="K1043" s="450"/>
      <c r="L1043" s="443"/>
      <c r="M1043" s="450"/>
      <c r="N1043" s="452">
        <f t="array" ref="N1043">IFERROR(
  INDEX(
    'Valor Hora Real y Estimada'!$A$4:$Z$78,
    MATCH(TRIM(CLEAN(A1043)), 'Valor Hora Real y Estimada'!$A$4:$A$78, 0),
    MATCH(
      TEXT(C1043,"dd mmm")&amp;" "&amp;D1043,
      'Valor Hora Real y Estimada'!$A$3:$Z$3,
      0
    ) + 1
  ),
  0
)</f>
        <v>0</v>
      </c>
      <c r="O1043" s="453">
        <f t="shared" si="44"/>
        <v>0</v>
      </c>
      <c r="P1043" s="113"/>
      <c r="Q1043" s="106" t="str">
        <f>IF(ISBLANK(O1043), "", VLOOKUP(C1043&amp;" "&amp;D1043, 'Info Tipo de Cambio y REM'!$A$24:$B$35, 2, FALSE))</f>
        <v>#N/A</v>
      </c>
      <c r="R1043" s="107" t="str">
        <f t="shared" si="32"/>
        <v/>
      </c>
    </row>
    <row r="1044" hidden="1">
      <c r="A1044" s="443"/>
      <c r="B1044" s="43" t="str">
        <f>IF(A1044="", "", IFERROR(VLOOKUP(A1044, Clasificaciones!A:B, 2, FALSE), "DATO NO CARGADO"))
</f>
        <v/>
      </c>
      <c r="C1044" s="51"/>
      <c r="D1044" s="102"/>
      <c r="E1044" s="102"/>
      <c r="H1044" s="102"/>
      <c r="J1044" s="102"/>
      <c r="K1044" s="450"/>
      <c r="L1044" s="443"/>
      <c r="M1044" s="450"/>
      <c r="N1044" s="452">
        <f t="array" ref="N1044">IFERROR(
  INDEX(
    'Valor Hora Real y Estimada'!$A$4:$Z$78,
    MATCH(TRIM(CLEAN(A1044)), 'Valor Hora Real y Estimada'!$A$4:$A$78, 0),
    MATCH(
      TEXT(C1044,"dd mmm")&amp;" "&amp;D1044,
      'Valor Hora Real y Estimada'!$A$3:$Z$3,
      0
    ) + 1
  ),
  0
)</f>
        <v>0</v>
      </c>
      <c r="O1044" s="453">
        <f t="shared" si="44"/>
        <v>0</v>
      </c>
      <c r="P1044" s="113"/>
      <c r="Q1044" s="106" t="str">
        <f>IF(ISBLANK(O1044), "", VLOOKUP(C1044&amp;" "&amp;D1044, 'Info Tipo de Cambio y REM'!$A$24:$B$35, 2, FALSE))</f>
        <v>#N/A</v>
      </c>
      <c r="R1044" s="107" t="str">
        <f t="shared" si="32"/>
        <v/>
      </c>
    </row>
    <row r="1045" hidden="1">
      <c r="A1045" s="443"/>
      <c r="B1045" s="43" t="str">
        <f>IF(A1045="", "", IFERROR(VLOOKUP(A1045, Clasificaciones!A:B, 2, FALSE), "DATO NO CARGADO"))
</f>
        <v/>
      </c>
      <c r="C1045" s="51"/>
      <c r="D1045" s="102"/>
      <c r="E1045" s="102"/>
      <c r="H1045" s="102"/>
      <c r="J1045" s="102"/>
      <c r="K1045" s="450"/>
      <c r="L1045" s="443"/>
      <c r="M1045" s="450"/>
      <c r="N1045" s="452">
        <f t="array" ref="N1045">IFERROR(
  INDEX(
    'Valor Hora Real y Estimada'!$A$4:$Z$78,
    MATCH(TRIM(CLEAN(A1045)), 'Valor Hora Real y Estimada'!$A$4:$A$78, 0),
    MATCH(
      TEXT(C1045,"dd mmm")&amp;" "&amp;D1045,
      'Valor Hora Real y Estimada'!$A$3:$Z$3,
      0
    ) + 1
  ),
  0
)</f>
        <v>0</v>
      </c>
      <c r="O1045" s="453">
        <f t="shared" si="44"/>
        <v>0</v>
      </c>
      <c r="P1045" s="113"/>
      <c r="Q1045" s="106" t="str">
        <f>IF(ISBLANK(O1045), "", VLOOKUP(C1045&amp;" "&amp;D1045, 'Info Tipo de Cambio y REM'!$A$24:$B$35, 2, FALSE))</f>
        <v>#N/A</v>
      </c>
      <c r="R1045" s="107" t="str">
        <f t="shared" si="32"/>
        <v/>
      </c>
    </row>
    <row r="1046" hidden="1">
      <c r="A1046" s="443"/>
      <c r="B1046" s="43" t="str">
        <f>IF(A1046="", "", IFERROR(VLOOKUP(A1046, Clasificaciones!A:B, 2, FALSE), "DATO NO CARGADO"))
</f>
        <v/>
      </c>
      <c r="C1046" s="51"/>
      <c r="D1046" s="102"/>
      <c r="E1046" s="102"/>
      <c r="H1046" s="102"/>
      <c r="J1046" s="102"/>
      <c r="K1046" s="450"/>
      <c r="L1046" s="443"/>
      <c r="M1046" s="450"/>
      <c r="N1046" s="452">
        <f t="array" ref="N1046">IFERROR(
  INDEX(
    'Valor Hora Real y Estimada'!$A$4:$Z$78,
    MATCH(TRIM(CLEAN(A1046)), 'Valor Hora Real y Estimada'!$A$4:$A$78, 0),
    MATCH(
      TEXT(C1046,"dd mmm")&amp;" "&amp;D1046,
      'Valor Hora Real y Estimada'!$A$3:$Z$3,
      0
    ) + 1
  ),
  0
)</f>
        <v>0</v>
      </c>
      <c r="O1046" s="453">
        <f t="shared" si="44"/>
        <v>0</v>
      </c>
      <c r="P1046" s="113"/>
      <c r="Q1046" s="106" t="str">
        <f>IF(ISBLANK(O1046), "", VLOOKUP(C1046&amp;" "&amp;D1046, 'Info Tipo de Cambio y REM'!$A$24:$B$35, 2, FALSE))</f>
        <v>#N/A</v>
      </c>
      <c r="R1046" s="107" t="str">
        <f t="shared" si="32"/>
        <v/>
      </c>
    </row>
    <row r="1047" hidden="1">
      <c r="A1047" s="443"/>
      <c r="B1047" s="43" t="str">
        <f>IF(A1047="", "", IFERROR(VLOOKUP(A1047, Clasificaciones!A:B, 2, FALSE), "DATO NO CARGADO"))
</f>
        <v/>
      </c>
      <c r="C1047" s="51"/>
      <c r="D1047" s="102"/>
      <c r="E1047" s="102"/>
      <c r="H1047" s="102"/>
      <c r="J1047" s="102"/>
      <c r="K1047" s="450"/>
      <c r="L1047" s="443"/>
      <c r="M1047" s="450"/>
      <c r="N1047" s="452">
        <f t="array" ref="N1047">IFERROR(
  INDEX(
    'Valor Hora Real y Estimada'!$A$4:$Z$78,
    MATCH(TRIM(CLEAN(A1047)), 'Valor Hora Real y Estimada'!$A$4:$A$78, 0),
    MATCH(
      TEXT(C1047,"dd mmm")&amp;" "&amp;D1047,
      'Valor Hora Real y Estimada'!$A$3:$Z$3,
      0
    ) + 1
  ),
  0
)</f>
        <v>0</v>
      </c>
      <c r="O1047" s="453">
        <f t="shared" si="44"/>
        <v>0</v>
      </c>
      <c r="P1047" s="113"/>
      <c r="Q1047" s="106" t="str">
        <f>IF(ISBLANK(O1047), "", VLOOKUP(C1047&amp;" "&amp;D1047, 'Info Tipo de Cambio y REM'!$A$24:$B$35, 2, FALSE))</f>
        <v>#N/A</v>
      </c>
      <c r="R1047" s="107" t="str">
        <f t="shared" si="32"/>
        <v/>
      </c>
    </row>
    <row r="1048" hidden="1">
      <c r="A1048" s="443"/>
      <c r="B1048" s="43" t="str">
        <f>IF(A1048="", "", IFERROR(VLOOKUP(A1048, Clasificaciones!A:B, 2, FALSE), "DATO NO CARGADO"))
</f>
        <v/>
      </c>
      <c r="C1048" s="51"/>
      <c r="D1048" s="102"/>
      <c r="E1048" s="102"/>
      <c r="H1048" s="102"/>
      <c r="J1048" s="102"/>
      <c r="K1048" s="450"/>
      <c r="L1048" s="443"/>
      <c r="M1048" s="450"/>
      <c r="N1048" s="452">
        <f t="array" ref="N1048">IFERROR(
  INDEX(
    'Valor Hora Real y Estimada'!$A$4:$Z$78,
    MATCH(TRIM(CLEAN(A1048)), 'Valor Hora Real y Estimada'!$A$4:$A$78, 0),
    MATCH(
      TEXT(C1048,"dd mmm")&amp;" "&amp;D1048,
      'Valor Hora Real y Estimada'!$A$3:$Z$3,
      0
    ) + 1
  ),
  0
)</f>
        <v>0</v>
      </c>
      <c r="O1048" s="453">
        <f t="shared" si="44"/>
        <v>0</v>
      </c>
      <c r="P1048" s="113"/>
      <c r="Q1048" s="106" t="str">
        <f>IF(ISBLANK(O1048), "", VLOOKUP(C1048&amp;" "&amp;D1048, 'Info Tipo de Cambio y REM'!$A$24:$B$35, 2, FALSE))</f>
        <v>#N/A</v>
      </c>
      <c r="R1048" s="107" t="str">
        <f t="shared" si="32"/>
        <v/>
      </c>
    </row>
    <row r="1049" hidden="1">
      <c r="A1049" s="443"/>
      <c r="B1049" s="43" t="str">
        <f>IF(A1049="", "", IFERROR(VLOOKUP(A1049, Clasificaciones!A:B, 2, FALSE), "DATO NO CARGADO"))
</f>
        <v/>
      </c>
      <c r="C1049" s="51"/>
      <c r="D1049" s="102"/>
      <c r="E1049" s="102"/>
      <c r="H1049" s="102"/>
      <c r="J1049" s="102"/>
      <c r="K1049" s="450"/>
      <c r="L1049" s="443"/>
      <c r="M1049" s="450"/>
      <c r="N1049" s="452">
        <f t="array" ref="N1049">IFERROR(
  INDEX(
    'Valor Hora Real y Estimada'!$A$4:$Z$78,
    MATCH(TRIM(CLEAN(A1049)), 'Valor Hora Real y Estimada'!$A$4:$A$78, 0),
    MATCH(
      TEXT(C1049,"dd mmm")&amp;" "&amp;D1049,
      'Valor Hora Real y Estimada'!$A$3:$Z$3,
      0
    ) + 1
  ),
  0
)</f>
        <v>0</v>
      </c>
      <c r="O1049" s="453">
        <f t="shared" si="44"/>
        <v>0</v>
      </c>
      <c r="P1049" s="113"/>
      <c r="Q1049" s="106" t="str">
        <f>IF(ISBLANK(O1049), "", VLOOKUP(C1049&amp;" "&amp;D1049, 'Info Tipo de Cambio y REM'!$A$24:$B$35, 2, FALSE))</f>
        <v>#N/A</v>
      </c>
      <c r="R1049" s="107" t="str">
        <f t="shared" si="32"/>
        <v/>
      </c>
    </row>
    <row r="1050" hidden="1">
      <c r="A1050" s="443"/>
      <c r="B1050" s="43" t="str">
        <f>IF(A1050="", "", IFERROR(VLOOKUP(A1050, Clasificaciones!A:B, 2, FALSE), "DATO NO CARGADO"))
</f>
        <v/>
      </c>
      <c r="C1050" s="51"/>
      <c r="D1050" s="102"/>
      <c r="E1050" s="102"/>
      <c r="H1050" s="102"/>
      <c r="J1050" s="102"/>
      <c r="K1050" s="450"/>
      <c r="L1050" s="443"/>
      <c r="M1050" s="450"/>
      <c r="N1050" s="452">
        <f t="array" ref="N1050">IFERROR(
  INDEX(
    'Valor Hora Real y Estimada'!$A$4:$Z$78,
    MATCH(TRIM(CLEAN(A1050)), 'Valor Hora Real y Estimada'!$A$4:$A$78, 0),
    MATCH(
      TEXT(C1050,"dd mmm")&amp;" "&amp;D1050,
      'Valor Hora Real y Estimada'!$A$3:$Z$3,
      0
    ) + 1
  ),
  0
)</f>
        <v>0</v>
      </c>
      <c r="O1050" s="453">
        <f t="shared" si="44"/>
        <v>0</v>
      </c>
      <c r="P1050" s="113"/>
      <c r="Q1050" s="106" t="str">
        <f>IF(ISBLANK(O1050), "", VLOOKUP(C1050&amp;" "&amp;D1050, 'Info Tipo de Cambio y REM'!$A$24:$B$35, 2, FALSE))</f>
        <v>#N/A</v>
      </c>
      <c r="R1050" s="107" t="str">
        <f t="shared" si="32"/>
        <v/>
      </c>
    </row>
    <row r="1051" hidden="1">
      <c r="A1051" s="443"/>
      <c r="B1051" s="43" t="str">
        <f>IF(A1051="", "", IFERROR(VLOOKUP(A1051, Clasificaciones!A:B, 2, FALSE), "DATO NO CARGADO"))
</f>
        <v/>
      </c>
      <c r="C1051" s="51"/>
      <c r="D1051" s="102"/>
      <c r="E1051" s="102"/>
      <c r="H1051" s="102"/>
      <c r="J1051" s="102"/>
      <c r="K1051" s="450"/>
      <c r="L1051" s="443"/>
      <c r="M1051" s="450"/>
      <c r="N1051" s="452">
        <f t="array" ref="N1051">IFERROR(
  INDEX(
    'Valor Hora Real y Estimada'!$A$4:$Z$78,
    MATCH(TRIM(CLEAN(A1051)), 'Valor Hora Real y Estimada'!$A$4:$A$78, 0),
    MATCH(
      TEXT(C1051,"dd mmm")&amp;" "&amp;D1051,
      'Valor Hora Real y Estimada'!$A$3:$Z$3,
      0
    ) + 1
  ),
  0
)</f>
        <v>0</v>
      </c>
      <c r="O1051" s="453">
        <f t="shared" si="44"/>
        <v>0</v>
      </c>
      <c r="P1051" s="113"/>
      <c r="Q1051" s="106" t="str">
        <f>IF(ISBLANK(O1051), "", VLOOKUP(C1051&amp;" "&amp;D1051, 'Info Tipo de Cambio y REM'!$A$24:$B$35, 2, FALSE))</f>
        <v>#N/A</v>
      </c>
      <c r="R1051" s="107" t="str">
        <f t="shared" si="32"/>
        <v/>
      </c>
    </row>
    <row r="1052" hidden="1">
      <c r="A1052" s="443"/>
      <c r="B1052" s="43" t="str">
        <f>IF(A1052="", "", IFERROR(VLOOKUP(A1052, Clasificaciones!A:B, 2, FALSE), "DATO NO CARGADO"))
</f>
        <v/>
      </c>
      <c r="C1052" s="51"/>
      <c r="D1052" s="102"/>
      <c r="E1052" s="102"/>
      <c r="H1052" s="102"/>
      <c r="J1052" s="102"/>
      <c r="K1052" s="450"/>
      <c r="L1052" s="443"/>
      <c r="M1052" s="450"/>
      <c r="N1052" s="452">
        <f t="array" ref="N1052">IFERROR(
  INDEX(
    'Valor Hora Real y Estimada'!$A$4:$Z$78,
    MATCH(TRIM(CLEAN(A1052)), 'Valor Hora Real y Estimada'!$A$4:$A$78, 0),
    MATCH(
      TEXT(C1052,"dd mmm")&amp;" "&amp;D1052,
      'Valor Hora Real y Estimada'!$A$3:$Z$3,
      0
    ) + 1
  ),
  0
)</f>
        <v>0</v>
      </c>
      <c r="O1052" s="453">
        <f t="shared" si="44"/>
        <v>0</v>
      </c>
      <c r="P1052" s="113"/>
      <c r="Q1052" s="106" t="str">
        <f>IF(ISBLANK(O1052), "", VLOOKUP(C1052&amp;" "&amp;D1052, 'Info Tipo de Cambio y REM'!$A$24:$B$35, 2, FALSE))</f>
        <v>#N/A</v>
      </c>
      <c r="R1052" s="107" t="str">
        <f t="shared" si="32"/>
        <v/>
      </c>
    </row>
    <row r="1053" hidden="1">
      <c r="A1053" s="443"/>
      <c r="B1053" s="43" t="str">
        <f>IF(A1053="", "", IFERROR(VLOOKUP(A1053, Clasificaciones!A:B, 2, FALSE), "DATO NO CARGADO"))
</f>
        <v/>
      </c>
      <c r="C1053" s="51"/>
      <c r="D1053" s="102"/>
      <c r="E1053" s="102"/>
      <c r="H1053" s="102"/>
      <c r="J1053" s="102"/>
      <c r="K1053" s="450"/>
      <c r="L1053" s="443"/>
      <c r="M1053" s="450"/>
      <c r="N1053" s="452">
        <f t="array" ref="N1053">IFERROR(
  INDEX(
    'Valor Hora Real y Estimada'!$A$4:$Z$78,
    MATCH(TRIM(CLEAN(A1053)), 'Valor Hora Real y Estimada'!$A$4:$A$78, 0),
    MATCH(
      TEXT(C1053,"dd mmm")&amp;" "&amp;D1053,
      'Valor Hora Real y Estimada'!$A$3:$Z$3,
      0
    ) + 1
  ),
  0
)</f>
        <v>0</v>
      </c>
      <c r="O1053" s="453">
        <f t="shared" si="44"/>
        <v>0</v>
      </c>
      <c r="P1053" s="113"/>
      <c r="Q1053" s="106" t="str">
        <f>IF(ISBLANK(O1053), "", VLOOKUP(C1053&amp;" "&amp;D1053, 'Info Tipo de Cambio y REM'!$A$24:$B$35, 2, FALSE))</f>
        <v>#N/A</v>
      </c>
      <c r="R1053" s="107" t="str">
        <f t="shared" si="32"/>
        <v/>
      </c>
    </row>
    <row r="1054" hidden="1">
      <c r="A1054" s="443"/>
      <c r="B1054" s="43" t="str">
        <f>IF(A1054="", "", IFERROR(VLOOKUP(A1054, Clasificaciones!A:B, 2, FALSE), "DATO NO CARGADO"))
</f>
        <v/>
      </c>
      <c r="C1054" s="51"/>
      <c r="D1054" s="102"/>
      <c r="E1054" s="102"/>
      <c r="H1054" s="102"/>
      <c r="J1054" s="102"/>
      <c r="K1054" s="450"/>
      <c r="L1054" s="443"/>
      <c r="M1054" s="450"/>
      <c r="N1054" s="452">
        <f t="array" ref="N1054">IFERROR(
  INDEX(
    'Valor Hora Real y Estimada'!$A$4:$Z$78,
    MATCH(TRIM(CLEAN(A1054)), 'Valor Hora Real y Estimada'!$A$4:$A$78, 0),
    MATCH(
      TEXT(C1054,"dd mmm")&amp;" "&amp;D1054,
      'Valor Hora Real y Estimada'!$A$3:$Z$3,
      0
    ) + 1
  ),
  0
)</f>
        <v>0</v>
      </c>
      <c r="O1054" s="453">
        <f t="shared" si="44"/>
        <v>0</v>
      </c>
      <c r="P1054" s="113"/>
      <c r="Q1054" s="106" t="str">
        <f>IF(ISBLANK(O1054), "", VLOOKUP(C1054&amp;" "&amp;D1054, 'Info Tipo de Cambio y REM'!$A$24:$B$35, 2, FALSE))</f>
        <v>#N/A</v>
      </c>
      <c r="R1054" s="107" t="str">
        <f t="shared" si="32"/>
        <v/>
      </c>
    </row>
    <row r="1055" hidden="1">
      <c r="A1055" s="443"/>
      <c r="B1055" s="43" t="str">
        <f>IF(A1055="", "", IFERROR(VLOOKUP(A1055, Clasificaciones!A:B, 2, FALSE), "DATO NO CARGADO"))
</f>
        <v/>
      </c>
      <c r="C1055" s="51"/>
      <c r="D1055" s="102"/>
      <c r="E1055" s="102"/>
      <c r="H1055" s="102"/>
      <c r="J1055" s="102"/>
      <c r="K1055" s="450"/>
      <c r="L1055" s="443"/>
      <c r="M1055" s="450"/>
      <c r="N1055" s="452">
        <f t="array" ref="N1055">IFERROR(
  INDEX(
    'Valor Hora Real y Estimada'!$A$4:$Z$78,
    MATCH(TRIM(CLEAN(A1055)), 'Valor Hora Real y Estimada'!$A$4:$A$78, 0),
    MATCH(
      TEXT(C1055,"dd mmm")&amp;" "&amp;D1055,
      'Valor Hora Real y Estimada'!$A$3:$Z$3,
      0
    ) + 1
  ),
  0
)</f>
        <v>0</v>
      </c>
      <c r="O1055" s="453">
        <f t="shared" si="44"/>
        <v>0</v>
      </c>
      <c r="P1055" s="113"/>
      <c r="Q1055" s="106" t="str">
        <f>IF(ISBLANK(O1055), "", VLOOKUP(C1055&amp;" "&amp;D1055, 'Info Tipo de Cambio y REM'!$A$24:$B$35, 2, FALSE))</f>
        <v>#N/A</v>
      </c>
      <c r="R1055" s="107" t="str">
        <f t="shared" si="32"/>
        <v/>
      </c>
    </row>
    <row r="1056" hidden="1">
      <c r="A1056" s="443"/>
      <c r="B1056" s="43" t="str">
        <f>IF(A1056="", "", IFERROR(VLOOKUP(A1056, Clasificaciones!A:B, 2, FALSE), "DATO NO CARGADO"))
</f>
        <v/>
      </c>
      <c r="C1056" s="51"/>
      <c r="D1056" s="102"/>
      <c r="E1056" s="102"/>
      <c r="H1056" s="102"/>
      <c r="J1056" s="102"/>
      <c r="K1056" s="450"/>
      <c r="L1056" s="443"/>
      <c r="M1056" s="450"/>
      <c r="N1056" s="452">
        <f t="array" ref="N1056">IFERROR(
  INDEX(
    'Valor Hora Real y Estimada'!$A$4:$Z$78,
    MATCH(TRIM(CLEAN(A1056)), 'Valor Hora Real y Estimada'!$A$4:$A$78, 0),
    MATCH(
      TEXT(C1056,"dd mmm")&amp;" "&amp;D1056,
      'Valor Hora Real y Estimada'!$A$3:$Z$3,
      0
    ) + 1
  ),
  0
)</f>
        <v>0</v>
      </c>
      <c r="O1056" s="453">
        <f t="shared" si="44"/>
        <v>0</v>
      </c>
      <c r="P1056" s="113"/>
      <c r="Q1056" s="106" t="str">
        <f>IF(ISBLANK(O1056), "", VLOOKUP(C1056&amp;" "&amp;D1056, 'Info Tipo de Cambio y REM'!$A$24:$B$35, 2, FALSE))</f>
        <v>#N/A</v>
      </c>
      <c r="R1056" s="107" t="str">
        <f t="shared" si="32"/>
        <v/>
      </c>
    </row>
    <row r="1057" hidden="1">
      <c r="A1057" s="443"/>
      <c r="B1057" s="43" t="str">
        <f>IF(A1057="", "", IFERROR(VLOOKUP(A1057, Clasificaciones!A:B, 2, FALSE), "DATO NO CARGADO"))
</f>
        <v/>
      </c>
      <c r="C1057" s="51"/>
      <c r="D1057" s="102"/>
      <c r="E1057" s="102"/>
      <c r="H1057" s="102"/>
      <c r="J1057" s="102"/>
      <c r="K1057" s="450"/>
      <c r="L1057" s="443"/>
      <c r="M1057" s="450"/>
      <c r="N1057" s="452">
        <f t="array" ref="N1057">IFERROR(
  INDEX(
    'Valor Hora Real y Estimada'!$A$4:$Z$78,
    MATCH(TRIM(CLEAN(A1057)), 'Valor Hora Real y Estimada'!$A$4:$A$78, 0),
    MATCH(
      TEXT(C1057,"dd mmm")&amp;" "&amp;D1057,
      'Valor Hora Real y Estimada'!$A$3:$Z$3,
      0
    ) + 1
  ),
  0
)</f>
        <v>0</v>
      </c>
      <c r="O1057" s="453">
        <f t="shared" si="44"/>
        <v>0</v>
      </c>
      <c r="P1057" s="113"/>
      <c r="Q1057" s="106" t="str">
        <f>IF(ISBLANK(O1057), "", VLOOKUP(C1057&amp;" "&amp;D1057, 'Info Tipo de Cambio y REM'!$A$24:$B$35, 2, FALSE))</f>
        <v>#N/A</v>
      </c>
      <c r="R1057" s="107" t="str">
        <f t="shared" si="32"/>
        <v/>
      </c>
    </row>
    <row r="1058" hidden="1">
      <c r="A1058" s="443"/>
      <c r="B1058" s="43" t="str">
        <f>IF(A1058="", "", IFERROR(VLOOKUP(A1058, Clasificaciones!A:B, 2, FALSE), "DATO NO CARGADO"))
</f>
        <v/>
      </c>
      <c r="C1058" s="51"/>
      <c r="D1058" s="102"/>
      <c r="E1058" s="102"/>
      <c r="H1058" s="102"/>
      <c r="J1058" s="102"/>
      <c r="K1058" s="450"/>
      <c r="L1058" s="443"/>
      <c r="M1058" s="450"/>
      <c r="N1058" s="452">
        <f t="array" ref="N1058">IFERROR(
  INDEX(
    'Valor Hora Real y Estimada'!$A$4:$Z$78,
    MATCH(TRIM(CLEAN(A1058)), 'Valor Hora Real y Estimada'!$A$4:$A$78, 0),
    MATCH(
      TEXT(C1058,"dd mmm")&amp;" "&amp;D1058,
      'Valor Hora Real y Estimada'!$A$3:$Z$3,
      0
    ) + 1
  ),
  0
)</f>
        <v>0</v>
      </c>
      <c r="O1058" s="453">
        <f t="shared" si="44"/>
        <v>0</v>
      </c>
      <c r="P1058" s="113"/>
      <c r="Q1058" s="106" t="str">
        <f>IF(ISBLANK(O1058), "", VLOOKUP(C1058&amp;" "&amp;D1058, 'Info Tipo de Cambio y REM'!$A$24:$B$35, 2, FALSE))</f>
        <v>#N/A</v>
      </c>
      <c r="R1058" s="107" t="str">
        <f t="shared" si="32"/>
        <v/>
      </c>
    </row>
    <row r="1059" hidden="1">
      <c r="A1059" s="443"/>
      <c r="B1059" s="43" t="str">
        <f>IF(A1059="", "", IFERROR(VLOOKUP(A1059, Clasificaciones!A:B, 2, FALSE), "DATO NO CARGADO"))
</f>
        <v/>
      </c>
      <c r="C1059" s="51"/>
      <c r="D1059" s="102"/>
      <c r="E1059" s="102"/>
      <c r="H1059" s="102"/>
      <c r="J1059" s="102"/>
      <c r="K1059" s="450"/>
      <c r="L1059" s="443"/>
      <c r="M1059" s="450"/>
      <c r="N1059" s="452">
        <f t="array" ref="N1059">IFERROR(
  INDEX(
    'Valor Hora Real y Estimada'!$A$4:$Z$78,
    MATCH(TRIM(CLEAN(A1059)), 'Valor Hora Real y Estimada'!$A$4:$A$78, 0),
    MATCH(
      TEXT(C1059,"dd mmm")&amp;" "&amp;D1059,
      'Valor Hora Real y Estimada'!$A$3:$Z$3,
      0
    ) + 1
  ),
  0
)</f>
        <v>0</v>
      </c>
      <c r="O1059" s="453">
        <f t="shared" si="44"/>
        <v>0</v>
      </c>
      <c r="P1059" s="113"/>
      <c r="Q1059" s="106" t="str">
        <f>IF(ISBLANK(O1059), "", VLOOKUP(C1059&amp;" "&amp;D1059, 'Info Tipo de Cambio y REM'!$A$24:$B$35, 2, FALSE))</f>
        <v>#N/A</v>
      </c>
      <c r="R1059" s="107" t="str">
        <f t="shared" si="32"/>
        <v/>
      </c>
    </row>
    <row r="1060" hidden="1">
      <c r="A1060" s="443"/>
      <c r="B1060" s="43" t="str">
        <f>IF(A1060="", "", IFERROR(VLOOKUP(A1060, Clasificaciones!A:B, 2, FALSE), "DATO NO CARGADO"))
</f>
        <v/>
      </c>
      <c r="C1060" s="51"/>
      <c r="D1060" s="102"/>
      <c r="E1060" s="102"/>
      <c r="H1060" s="102"/>
      <c r="J1060" s="102"/>
      <c r="K1060" s="450"/>
      <c r="L1060" s="443"/>
      <c r="M1060" s="450"/>
      <c r="N1060" s="452">
        <f t="array" ref="N1060">IFERROR(
  INDEX(
    'Valor Hora Real y Estimada'!$A$4:$Z$78,
    MATCH(TRIM(CLEAN(A1060)), 'Valor Hora Real y Estimada'!$A$4:$A$78, 0),
    MATCH(
      TEXT(C1060,"dd mmm")&amp;" "&amp;D1060,
      'Valor Hora Real y Estimada'!$A$3:$Z$3,
      0
    ) + 1
  ),
  0
)</f>
        <v>0</v>
      </c>
      <c r="O1060" s="453">
        <f t="shared" si="44"/>
        <v>0</v>
      </c>
      <c r="P1060" s="113"/>
      <c r="Q1060" s="106" t="str">
        <f>IF(ISBLANK(O1060), "", VLOOKUP(C1060&amp;" "&amp;D1060, 'Info Tipo de Cambio y REM'!$A$24:$B$35, 2, FALSE))</f>
        <v>#N/A</v>
      </c>
      <c r="R1060" s="107" t="str">
        <f t="shared" si="32"/>
        <v/>
      </c>
    </row>
    <row r="1061" hidden="1">
      <c r="A1061" s="443"/>
      <c r="B1061" s="43" t="str">
        <f>IF(A1061="", "", IFERROR(VLOOKUP(A1061, Clasificaciones!A:B, 2, FALSE), "DATO NO CARGADO"))
</f>
        <v/>
      </c>
      <c r="C1061" s="51"/>
      <c r="D1061" s="102"/>
      <c r="E1061" s="102"/>
      <c r="H1061" s="102"/>
      <c r="J1061" s="102"/>
      <c r="K1061" s="450"/>
      <c r="L1061" s="443"/>
      <c r="M1061" s="450"/>
      <c r="N1061" s="452">
        <f t="array" ref="N1061">IFERROR(
  INDEX(
    'Valor Hora Real y Estimada'!$A$4:$Z$78,
    MATCH(TRIM(CLEAN(A1061)), 'Valor Hora Real y Estimada'!$A$4:$A$78, 0),
    MATCH(
      TEXT(C1061,"dd mmm")&amp;" "&amp;D1061,
      'Valor Hora Real y Estimada'!$A$3:$Z$3,
      0
    ) + 1
  ),
  0
)</f>
        <v>0</v>
      </c>
      <c r="O1061" s="453">
        <f t="shared" si="44"/>
        <v>0</v>
      </c>
      <c r="P1061" s="113"/>
      <c r="Q1061" s="106" t="str">
        <f>IF(ISBLANK(O1061), "", VLOOKUP(C1061&amp;" "&amp;D1061, 'Info Tipo de Cambio y REM'!$A$24:$B$35, 2, FALSE))</f>
        <v>#N/A</v>
      </c>
      <c r="R1061" s="107" t="str">
        <f t="shared" si="32"/>
        <v/>
      </c>
    </row>
    <row r="1062" hidden="1">
      <c r="A1062" s="443"/>
      <c r="B1062" s="43" t="str">
        <f>IF(A1062="", "", IFERROR(VLOOKUP(A1062, Clasificaciones!A:B, 2, FALSE), "DATO NO CARGADO"))
</f>
        <v/>
      </c>
      <c r="C1062" s="51"/>
      <c r="D1062" s="102"/>
      <c r="E1062" s="102"/>
      <c r="H1062" s="102"/>
      <c r="J1062" s="102"/>
      <c r="K1062" s="450"/>
      <c r="L1062" s="443"/>
      <c r="M1062" s="450"/>
      <c r="N1062" s="452">
        <f t="array" ref="N1062">IFERROR(
  INDEX(
    'Valor Hora Real y Estimada'!$A$4:$Z$78,
    MATCH(TRIM(CLEAN(A1062)), 'Valor Hora Real y Estimada'!$A$4:$A$78, 0),
    MATCH(
      TEXT(C1062,"dd mmm")&amp;" "&amp;D1062,
      'Valor Hora Real y Estimada'!$A$3:$Z$3,
      0
    ) + 1
  ),
  0
)</f>
        <v>0</v>
      </c>
      <c r="O1062" s="453">
        <f t="shared" si="44"/>
        <v>0</v>
      </c>
      <c r="P1062" s="113"/>
      <c r="Q1062" s="106" t="str">
        <f>IF(ISBLANK(O1062), "", VLOOKUP(C1062&amp;" "&amp;D1062, 'Info Tipo de Cambio y REM'!$A$24:$B$35, 2, FALSE))</f>
        <v>#N/A</v>
      </c>
      <c r="R1062" s="107" t="str">
        <f t="shared" si="32"/>
        <v/>
      </c>
    </row>
    <row r="1063" hidden="1">
      <c r="A1063" s="443"/>
      <c r="B1063" s="43" t="str">
        <f>IF(A1063="", "", IFERROR(VLOOKUP(A1063, Clasificaciones!A:B, 2, FALSE), "DATO NO CARGADO"))
</f>
        <v/>
      </c>
      <c r="C1063" s="51"/>
      <c r="D1063" s="102"/>
      <c r="E1063" s="102"/>
      <c r="H1063" s="102"/>
      <c r="J1063" s="102"/>
      <c r="K1063" s="450"/>
      <c r="L1063" s="443"/>
      <c r="M1063" s="450"/>
      <c r="N1063" s="452">
        <f t="array" ref="N1063">IFERROR(
  INDEX(
    'Valor Hora Real y Estimada'!$A$4:$Z$78,
    MATCH(TRIM(CLEAN(A1063)), 'Valor Hora Real y Estimada'!$A$4:$A$78, 0),
    MATCH(
      TEXT(C1063,"dd mmm")&amp;" "&amp;D1063,
      'Valor Hora Real y Estimada'!$A$3:$Z$3,
      0
    ) + 1
  ),
  0
)</f>
        <v>0</v>
      </c>
      <c r="O1063" s="453">
        <f t="shared" si="44"/>
        <v>0</v>
      </c>
      <c r="P1063" s="113"/>
      <c r="Q1063" s="106" t="str">
        <f>IF(ISBLANK(O1063), "", VLOOKUP(C1063&amp;" "&amp;D1063, 'Info Tipo de Cambio y REM'!$A$24:$B$35, 2, FALSE))</f>
        <v>#N/A</v>
      </c>
      <c r="R1063" s="107" t="str">
        <f t="shared" si="32"/>
        <v/>
      </c>
    </row>
    <row r="1064" hidden="1">
      <c r="A1064" s="443"/>
      <c r="B1064" s="43" t="str">
        <f>IF(A1064="", "", IFERROR(VLOOKUP(A1064, Clasificaciones!A:B, 2, FALSE), "DATO NO CARGADO"))
</f>
        <v/>
      </c>
      <c r="C1064" s="51"/>
      <c r="D1064" s="102"/>
      <c r="E1064" s="102"/>
      <c r="H1064" s="102"/>
      <c r="J1064" s="102"/>
      <c r="K1064" s="450"/>
      <c r="L1064" s="443"/>
      <c r="M1064" s="450"/>
      <c r="N1064" s="452">
        <f t="array" ref="N1064">IFERROR(
  INDEX(
    'Valor Hora Real y Estimada'!$A$4:$Z$78,
    MATCH(TRIM(CLEAN(A1064)), 'Valor Hora Real y Estimada'!$A$4:$A$78, 0),
    MATCH(
      TEXT(C1064,"dd mmm")&amp;" "&amp;D1064,
      'Valor Hora Real y Estimada'!$A$3:$Z$3,
      0
    ) + 1
  ),
  0
)</f>
        <v>0</v>
      </c>
      <c r="O1064" s="453">
        <f t="shared" si="44"/>
        <v>0</v>
      </c>
      <c r="P1064" s="113"/>
      <c r="Q1064" s="106" t="str">
        <f>IF(ISBLANK(O1064), "", VLOOKUP(C1064&amp;" "&amp;D1064, 'Info Tipo de Cambio y REM'!$A$24:$B$35, 2, FALSE))</f>
        <v>#N/A</v>
      </c>
      <c r="R1064" s="107" t="str">
        <f t="shared" si="32"/>
        <v/>
      </c>
    </row>
    <row r="1065" hidden="1">
      <c r="A1065" s="443"/>
      <c r="B1065" s="43" t="str">
        <f>IF(A1065="", "", IFERROR(VLOOKUP(A1065, Clasificaciones!A:B, 2, FALSE), "DATO NO CARGADO"))
</f>
        <v/>
      </c>
      <c r="C1065" s="51"/>
      <c r="D1065" s="102"/>
      <c r="E1065" s="102"/>
      <c r="H1065" s="102"/>
      <c r="J1065" s="102"/>
      <c r="K1065" s="450"/>
      <c r="L1065" s="443"/>
      <c r="M1065" s="450"/>
      <c r="N1065" s="452">
        <f t="array" ref="N1065">IFERROR(
  INDEX(
    'Valor Hora Real y Estimada'!$A$4:$Z$78,
    MATCH(TRIM(CLEAN(A1065)), 'Valor Hora Real y Estimada'!$A$4:$A$78, 0),
    MATCH(
      TEXT(C1065,"dd mmm")&amp;" "&amp;D1065,
      'Valor Hora Real y Estimada'!$A$3:$Z$3,
      0
    ) + 1
  ),
  0
)</f>
        <v>0</v>
      </c>
      <c r="O1065" s="453">
        <f t="shared" si="44"/>
        <v>0</v>
      </c>
      <c r="P1065" s="113"/>
      <c r="Q1065" s="106" t="str">
        <f>IF(ISBLANK(O1065), "", VLOOKUP(C1065&amp;" "&amp;D1065, 'Info Tipo de Cambio y REM'!$A$24:$B$35, 2, FALSE))</f>
        <v>#N/A</v>
      </c>
      <c r="R1065" s="107" t="str">
        <f t="shared" si="32"/>
        <v/>
      </c>
    </row>
    <row r="1066" hidden="1">
      <c r="A1066" s="443"/>
      <c r="B1066" s="43" t="str">
        <f>IF(A1066="", "", IFERROR(VLOOKUP(A1066, Clasificaciones!A:B, 2, FALSE), "DATO NO CARGADO"))
</f>
        <v/>
      </c>
      <c r="C1066" s="51"/>
      <c r="D1066" s="102"/>
      <c r="E1066" s="102"/>
      <c r="H1066" s="102"/>
      <c r="J1066" s="102"/>
      <c r="K1066" s="450"/>
      <c r="L1066" s="443"/>
      <c r="M1066" s="450"/>
      <c r="N1066" s="452">
        <f t="array" ref="N1066">IFERROR(
  INDEX(
    'Valor Hora Real y Estimada'!$A$4:$Z$78,
    MATCH(TRIM(CLEAN(A1066)), 'Valor Hora Real y Estimada'!$A$4:$A$78, 0),
    MATCH(
      TEXT(C1066,"dd mmm")&amp;" "&amp;D1066,
      'Valor Hora Real y Estimada'!$A$3:$Z$3,
      0
    ) + 1
  ),
  0
)</f>
        <v>0</v>
      </c>
      <c r="O1066" s="453">
        <f t="shared" si="44"/>
        <v>0</v>
      </c>
      <c r="P1066" s="113"/>
      <c r="Q1066" s="106" t="str">
        <f>IF(ISBLANK(O1066), "", VLOOKUP(C1066&amp;" "&amp;D1066, 'Info Tipo de Cambio y REM'!$A$24:$B$35, 2, FALSE))</f>
        <v>#N/A</v>
      </c>
      <c r="R1066" s="107" t="str">
        <f t="shared" si="32"/>
        <v/>
      </c>
    </row>
    <row r="1067" hidden="1">
      <c r="A1067" s="443"/>
      <c r="B1067" s="43" t="str">
        <f>IF(A1067="", "", IFERROR(VLOOKUP(A1067, Clasificaciones!A:B, 2, FALSE), "DATO NO CARGADO"))
</f>
        <v/>
      </c>
      <c r="C1067" s="51"/>
      <c r="D1067" s="102"/>
      <c r="E1067" s="102"/>
      <c r="H1067" s="102"/>
      <c r="J1067" s="102"/>
      <c r="K1067" s="450"/>
      <c r="L1067" s="443"/>
      <c r="M1067" s="450"/>
      <c r="N1067" s="452">
        <f t="array" ref="N1067">IFERROR(
  INDEX(
    'Valor Hora Real y Estimada'!$A$4:$Z$78,
    MATCH(TRIM(CLEAN(A1067)), 'Valor Hora Real y Estimada'!$A$4:$A$78, 0),
    MATCH(
      TEXT(C1067,"dd mmm")&amp;" "&amp;D1067,
      'Valor Hora Real y Estimada'!$A$3:$Z$3,
      0
    ) + 1
  ),
  0
)</f>
        <v>0</v>
      </c>
      <c r="O1067" s="453">
        <f t="shared" si="44"/>
        <v>0</v>
      </c>
      <c r="P1067" s="113"/>
      <c r="Q1067" s="106" t="str">
        <f>IF(ISBLANK(O1067), "", VLOOKUP(C1067&amp;" "&amp;D1067, 'Info Tipo de Cambio y REM'!$A$24:$B$35, 2, FALSE))</f>
        <v>#N/A</v>
      </c>
      <c r="R1067" s="107" t="str">
        <f t="shared" si="32"/>
        <v/>
      </c>
    </row>
    <row r="1068" hidden="1">
      <c r="A1068" s="443"/>
      <c r="B1068" s="43" t="str">
        <f>IF(A1068="", "", IFERROR(VLOOKUP(A1068, Clasificaciones!A:B, 2, FALSE), "DATO NO CARGADO"))
</f>
        <v/>
      </c>
      <c r="C1068" s="51"/>
      <c r="D1068" s="102"/>
      <c r="E1068" s="102"/>
      <c r="H1068" s="102"/>
      <c r="J1068" s="102"/>
      <c r="K1068" s="450"/>
      <c r="L1068" s="443"/>
      <c r="M1068" s="450"/>
      <c r="N1068" s="452">
        <f t="array" ref="N1068">IFERROR(
  INDEX(
    'Valor Hora Real y Estimada'!$A$4:$Z$78,
    MATCH(TRIM(CLEAN(A1068)), 'Valor Hora Real y Estimada'!$A$4:$A$78, 0),
    MATCH(
      TEXT(C1068,"dd mmm")&amp;" "&amp;D1068,
      'Valor Hora Real y Estimada'!$A$3:$Z$3,
      0
    ) + 1
  ),
  0
)</f>
        <v>0</v>
      </c>
      <c r="O1068" s="453">
        <f t="shared" si="44"/>
        <v>0</v>
      </c>
      <c r="P1068" s="113"/>
      <c r="Q1068" s="106" t="str">
        <f>IF(ISBLANK(O1068), "", VLOOKUP(C1068&amp;" "&amp;D1068, 'Info Tipo de Cambio y REM'!$A$24:$B$35, 2, FALSE))</f>
        <v>#N/A</v>
      </c>
      <c r="R1068" s="107" t="str">
        <f t="shared" si="32"/>
        <v/>
      </c>
    </row>
    <row r="1069" hidden="1">
      <c r="A1069" s="443"/>
      <c r="B1069" s="43" t="str">
        <f>IF(A1069="", "", IFERROR(VLOOKUP(A1069, Clasificaciones!A:B, 2, FALSE), "DATO NO CARGADO"))
</f>
        <v/>
      </c>
      <c r="C1069" s="51"/>
      <c r="D1069" s="102"/>
      <c r="E1069" s="102"/>
      <c r="H1069" s="102"/>
      <c r="J1069" s="102"/>
      <c r="K1069" s="450"/>
      <c r="L1069" s="443"/>
      <c r="M1069" s="450"/>
      <c r="N1069" s="452">
        <f t="array" ref="N1069">IFERROR(
  INDEX(
    'Valor Hora Real y Estimada'!$A$4:$Z$78,
    MATCH(TRIM(CLEAN(A1069)), 'Valor Hora Real y Estimada'!$A$4:$A$78, 0),
    MATCH(
      TEXT(C1069,"dd mmm")&amp;" "&amp;D1069,
      'Valor Hora Real y Estimada'!$A$3:$Z$3,
      0
    ) + 1
  ),
  0
)</f>
        <v>0</v>
      </c>
      <c r="O1069" s="453">
        <f t="shared" si="44"/>
        <v>0</v>
      </c>
      <c r="P1069" s="113"/>
      <c r="Q1069" s="106" t="str">
        <f>IF(ISBLANK(O1069), "", VLOOKUP(C1069&amp;" "&amp;D1069, 'Info Tipo de Cambio y REM'!$A$24:$B$35, 2, FALSE))</f>
        <v>#N/A</v>
      </c>
      <c r="R1069" s="107" t="str">
        <f t="shared" si="32"/>
        <v/>
      </c>
    </row>
    <row r="1070" hidden="1">
      <c r="A1070" s="443"/>
      <c r="B1070" s="43" t="str">
        <f>IF(A1070="", "", IFERROR(VLOOKUP(A1070, Clasificaciones!A:B, 2, FALSE), "DATO NO CARGADO"))
</f>
        <v/>
      </c>
      <c r="C1070" s="51"/>
      <c r="D1070" s="102"/>
      <c r="E1070" s="102"/>
      <c r="H1070" s="102"/>
      <c r="J1070" s="102"/>
      <c r="K1070" s="450"/>
      <c r="L1070" s="443"/>
      <c r="M1070" s="450"/>
      <c r="N1070" s="452">
        <f t="array" ref="N1070">IFERROR(
  INDEX(
    'Valor Hora Real y Estimada'!$A$4:$Z$78,
    MATCH(TRIM(CLEAN(A1070)), 'Valor Hora Real y Estimada'!$A$4:$A$78, 0),
    MATCH(
      TEXT(C1070,"dd mmm")&amp;" "&amp;D1070,
      'Valor Hora Real y Estimada'!$A$3:$Z$3,
      0
    ) + 1
  ),
  0
)</f>
        <v>0</v>
      </c>
      <c r="O1070" s="453">
        <f t="shared" si="44"/>
        <v>0</v>
      </c>
      <c r="P1070" s="113"/>
      <c r="Q1070" s="106" t="str">
        <f>IF(ISBLANK(O1070), "", VLOOKUP(C1070&amp;" "&amp;D1070, 'Info Tipo de Cambio y REM'!$A$24:$B$35, 2, FALSE))</f>
        <v>#N/A</v>
      </c>
      <c r="R1070" s="107" t="str">
        <f t="shared" si="32"/>
        <v/>
      </c>
    </row>
    <row r="1071" hidden="1">
      <c r="A1071" s="443"/>
      <c r="B1071" s="43" t="str">
        <f>IF(A1071="", "", IFERROR(VLOOKUP(A1071, Clasificaciones!A:B, 2, FALSE), "DATO NO CARGADO"))
</f>
        <v/>
      </c>
      <c r="C1071" s="51"/>
      <c r="D1071" s="102"/>
      <c r="E1071" s="102"/>
      <c r="H1071" s="102"/>
      <c r="J1071" s="102"/>
      <c r="K1071" s="450"/>
      <c r="L1071" s="443"/>
      <c r="M1071" s="450"/>
      <c r="N1071" s="452">
        <f t="array" ref="N1071">IFERROR(
  INDEX(
    'Valor Hora Real y Estimada'!$A$4:$Z$78,
    MATCH(TRIM(CLEAN(A1071)), 'Valor Hora Real y Estimada'!$A$4:$A$78, 0),
    MATCH(
      TEXT(C1071,"dd mmm")&amp;" "&amp;D1071,
      'Valor Hora Real y Estimada'!$A$3:$Z$3,
      0
    ) + 1
  ),
  0
)</f>
        <v>0</v>
      </c>
      <c r="O1071" s="453">
        <f t="shared" si="44"/>
        <v>0</v>
      </c>
      <c r="P1071" s="113"/>
      <c r="Q1071" s="106" t="str">
        <f>IF(ISBLANK(O1071), "", VLOOKUP(C1071&amp;" "&amp;D1071, 'Info Tipo de Cambio y REM'!$A$24:$B$35, 2, FALSE))</f>
        <v>#N/A</v>
      </c>
      <c r="R1071" s="107" t="str">
        <f t="shared" si="32"/>
        <v/>
      </c>
    </row>
    <row r="1072" hidden="1">
      <c r="A1072" s="443"/>
      <c r="B1072" s="43" t="str">
        <f>IF(A1072="", "", IFERROR(VLOOKUP(A1072, Clasificaciones!A:B, 2, FALSE), "DATO NO CARGADO"))
</f>
        <v/>
      </c>
      <c r="C1072" s="51"/>
      <c r="D1072" s="102"/>
      <c r="E1072" s="102"/>
      <c r="H1072" s="102"/>
      <c r="J1072" s="102"/>
      <c r="K1072" s="450"/>
      <c r="L1072" s="443"/>
      <c r="M1072" s="450"/>
      <c r="N1072" s="452">
        <f t="array" ref="N1072">IFERROR(
  INDEX(
    'Valor Hora Real y Estimada'!$A$4:$Z$78,
    MATCH(TRIM(CLEAN(A1072)), 'Valor Hora Real y Estimada'!$A$4:$A$78, 0),
    MATCH(
      TEXT(C1072,"dd mmm")&amp;" "&amp;D1072,
      'Valor Hora Real y Estimada'!$A$3:$Z$3,
      0
    ) + 1
  ),
  0
)</f>
        <v>0</v>
      </c>
      <c r="O1072" s="453">
        <f t="shared" si="44"/>
        <v>0</v>
      </c>
      <c r="P1072" s="113"/>
      <c r="Q1072" s="106" t="str">
        <f>IF(ISBLANK(O1072), "", VLOOKUP(C1072&amp;" "&amp;D1072, 'Info Tipo de Cambio y REM'!$A$24:$B$35, 2, FALSE))</f>
        <v>#N/A</v>
      </c>
      <c r="R1072" s="107" t="str">
        <f t="shared" si="32"/>
        <v/>
      </c>
    </row>
    <row r="1073" hidden="1">
      <c r="A1073" s="443"/>
      <c r="B1073" s="43" t="str">
        <f>IF(A1073="", "", IFERROR(VLOOKUP(A1073, Clasificaciones!A:B, 2, FALSE), "DATO NO CARGADO"))
</f>
        <v/>
      </c>
      <c r="C1073" s="51"/>
      <c r="D1073" s="102"/>
      <c r="E1073" s="102"/>
      <c r="H1073" s="102"/>
      <c r="J1073" s="102"/>
      <c r="K1073" s="450"/>
      <c r="L1073" s="443"/>
      <c r="M1073" s="450"/>
      <c r="N1073" s="452">
        <f t="array" ref="N1073">IFERROR(
  INDEX(
    'Valor Hora Real y Estimada'!$A$4:$Z$78,
    MATCH(TRIM(CLEAN(A1073)), 'Valor Hora Real y Estimada'!$A$4:$A$78, 0),
    MATCH(
      TEXT(C1073,"dd mmm")&amp;" "&amp;D1073,
      'Valor Hora Real y Estimada'!$A$3:$Z$3,
      0
    ) + 1
  ),
  0
)</f>
        <v>0</v>
      </c>
      <c r="O1073" s="453">
        <f t="shared" si="44"/>
        <v>0</v>
      </c>
      <c r="P1073" s="113"/>
      <c r="Q1073" s="106" t="str">
        <f>IF(ISBLANK(O1073), "", VLOOKUP(C1073&amp;" "&amp;D1073, 'Info Tipo de Cambio y REM'!$A$24:$B$35, 2, FALSE))</f>
        <v>#N/A</v>
      </c>
      <c r="R1073" s="107" t="str">
        <f t="shared" si="32"/>
        <v/>
      </c>
    </row>
    <row r="1074" hidden="1">
      <c r="A1074" s="443"/>
      <c r="B1074" s="43" t="str">
        <f>IF(A1074="", "", IFERROR(VLOOKUP(A1074, Clasificaciones!A:B, 2, FALSE), "DATO NO CARGADO"))
</f>
        <v/>
      </c>
      <c r="C1074" s="51"/>
      <c r="D1074" s="102"/>
      <c r="E1074" s="102"/>
      <c r="H1074" s="102"/>
      <c r="J1074" s="102"/>
      <c r="K1074" s="450"/>
      <c r="L1074" s="443"/>
      <c r="M1074" s="450"/>
      <c r="N1074" s="452">
        <f t="array" ref="N1074">IFERROR(
  INDEX(
    'Valor Hora Real y Estimada'!$A$4:$Z$78,
    MATCH(TRIM(CLEAN(A1074)), 'Valor Hora Real y Estimada'!$A$4:$A$78, 0),
    MATCH(
      TEXT(C1074,"dd mmm")&amp;" "&amp;D1074,
      'Valor Hora Real y Estimada'!$A$3:$Z$3,
      0
    ) + 1
  ),
  0
)</f>
        <v>0</v>
      </c>
      <c r="O1074" s="453">
        <f t="shared" si="44"/>
        <v>0</v>
      </c>
      <c r="P1074" s="113"/>
      <c r="Q1074" s="106" t="str">
        <f>IF(ISBLANK(O1074), "", VLOOKUP(C1074&amp;" "&amp;D1074, 'Info Tipo de Cambio y REM'!$A$24:$B$35, 2, FALSE))</f>
        <v>#N/A</v>
      </c>
      <c r="R1074" s="107" t="str">
        <f t="shared" si="32"/>
        <v/>
      </c>
    </row>
    <row r="1075" hidden="1">
      <c r="A1075" s="443"/>
      <c r="B1075" s="43" t="str">
        <f>IF(A1075="", "", IFERROR(VLOOKUP(A1075, Clasificaciones!A:B, 2, FALSE), "DATO NO CARGADO"))
</f>
        <v/>
      </c>
      <c r="C1075" s="51"/>
      <c r="D1075" s="102"/>
      <c r="E1075" s="102"/>
      <c r="H1075" s="102"/>
      <c r="J1075" s="102"/>
      <c r="K1075" s="450"/>
      <c r="L1075" s="443"/>
      <c r="M1075" s="450"/>
      <c r="N1075" s="452">
        <f t="array" ref="N1075">IFERROR(
  INDEX(
    'Valor Hora Real y Estimada'!$A$4:$Z$78,
    MATCH(TRIM(CLEAN(A1075)), 'Valor Hora Real y Estimada'!$A$4:$A$78, 0),
    MATCH(
      TEXT(C1075,"dd mmm")&amp;" "&amp;D1075,
      'Valor Hora Real y Estimada'!$A$3:$Z$3,
      0
    ) + 1
  ),
  0
)</f>
        <v>0</v>
      </c>
      <c r="O1075" s="453">
        <f t="shared" si="44"/>
        <v>0</v>
      </c>
      <c r="P1075" s="113"/>
      <c r="Q1075" s="106" t="str">
        <f>IF(ISBLANK(O1075), "", VLOOKUP(C1075&amp;" "&amp;D1075, 'Info Tipo de Cambio y REM'!$A$24:$B$35, 2, FALSE))</f>
        <v>#N/A</v>
      </c>
      <c r="R1075" s="107" t="str">
        <f t="shared" si="32"/>
        <v/>
      </c>
    </row>
    <row r="1076" hidden="1">
      <c r="A1076" s="443"/>
      <c r="B1076" s="43" t="str">
        <f>IF(A1076="", "", IFERROR(VLOOKUP(A1076, Clasificaciones!A:B, 2, FALSE), "DATO NO CARGADO"))
</f>
        <v/>
      </c>
      <c r="C1076" s="51"/>
      <c r="D1076" s="102"/>
      <c r="E1076" s="102"/>
      <c r="H1076" s="102"/>
      <c r="J1076" s="102"/>
      <c r="K1076" s="450"/>
      <c r="L1076" s="443"/>
      <c r="M1076" s="450"/>
      <c r="N1076" s="452">
        <f t="array" ref="N1076">IFERROR(
  INDEX(
    'Valor Hora Real y Estimada'!$A$4:$Z$78,
    MATCH(TRIM(CLEAN(A1076)), 'Valor Hora Real y Estimada'!$A$4:$A$78, 0),
    MATCH(
      TEXT(C1076,"dd mmm")&amp;" "&amp;D1076,
      'Valor Hora Real y Estimada'!$A$3:$Z$3,
      0
    ) + 1
  ),
  0
)</f>
        <v>0</v>
      </c>
      <c r="O1076" s="453">
        <f t="shared" si="44"/>
        <v>0</v>
      </c>
      <c r="P1076" s="113"/>
      <c r="Q1076" s="106" t="str">
        <f>IF(ISBLANK(O1076), "", VLOOKUP(C1076&amp;" "&amp;D1076, 'Info Tipo de Cambio y REM'!$A$24:$B$35, 2, FALSE))</f>
        <v>#N/A</v>
      </c>
      <c r="R1076" s="107" t="str">
        <f t="shared" si="32"/>
        <v/>
      </c>
    </row>
    <row r="1077" hidden="1">
      <c r="A1077" s="443"/>
      <c r="B1077" s="43" t="str">
        <f>IF(A1077="", "", IFERROR(VLOOKUP(A1077, Clasificaciones!A:B, 2, FALSE), "DATO NO CARGADO"))
</f>
        <v/>
      </c>
      <c r="C1077" s="51"/>
      <c r="D1077" s="102"/>
      <c r="E1077" s="102"/>
      <c r="H1077" s="102"/>
      <c r="J1077" s="102"/>
      <c r="K1077" s="450"/>
      <c r="L1077" s="443"/>
      <c r="M1077" s="450"/>
      <c r="N1077" s="452">
        <f t="array" ref="N1077">IFERROR(
  INDEX(
    'Valor Hora Real y Estimada'!$A$4:$Z$78,
    MATCH(TRIM(CLEAN(A1077)), 'Valor Hora Real y Estimada'!$A$4:$A$78, 0),
    MATCH(
      TEXT(C1077,"dd mmm")&amp;" "&amp;D1077,
      'Valor Hora Real y Estimada'!$A$3:$Z$3,
      0
    ) + 1
  ),
  0
)</f>
        <v>0</v>
      </c>
      <c r="O1077" s="453">
        <f t="shared" si="44"/>
        <v>0</v>
      </c>
      <c r="P1077" s="113"/>
      <c r="Q1077" s="106" t="str">
        <f>IF(ISBLANK(O1077), "", VLOOKUP(C1077&amp;" "&amp;D1077, 'Info Tipo de Cambio y REM'!$A$24:$B$35, 2, FALSE))</f>
        <v>#N/A</v>
      </c>
      <c r="R1077" s="107" t="str">
        <f t="shared" si="32"/>
        <v/>
      </c>
    </row>
    <row r="1078" hidden="1">
      <c r="A1078" s="443"/>
      <c r="B1078" s="43" t="str">
        <f>IF(A1078="", "", IFERROR(VLOOKUP(A1078, Clasificaciones!A:B, 2, FALSE), "DATO NO CARGADO"))
</f>
        <v/>
      </c>
      <c r="C1078" s="51"/>
      <c r="D1078" s="102"/>
      <c r="E1078" s="102"/>
      <c r="H1078" s="102"/>
      <c r="J1078" s="102"/>
      <c r="K1078" s="450"/>
      <c r="L1078" s="443"/>
      <c r="M1078" s="450"/>
      <c r="N1078" s="452">
        <f t="array" ref="N1078">IFERROR(
  INDEX(
    'Valor Hora Real y Estimada'!$A$4:$Z$78,
    MATCH(TRIM(CLEAN(A1078)), 'Valor Hora Real y Estimada'!$A$4:$A$78, 0),
    MATCH(
      TEXT(C1078,"dd mmm")&amp;" "&amp;D1078,
      'Valor Hora Real y Estimada'!$A$3:$Z$3,
      0
    ) + 1
  ),
  0
)</f>
        <v>0</v>
      </c>
      <c r="O1078" s="453">
        <f t="shared" si="44"/>
        <v>0</v>
      </c>
      <c r="P1078" s="113"/>
      <c r="Q1078" s="106" t="str">
        <f>IF(ISBLANK(O1078), "", VLOOKUP(C1078&amp;" "&amp;D1078, 'Info Tipo de Cambio y REM'!$A$24:$B$35, 2, FALSE))</f>
        <v>#N/A</v>
      </c>
      <c r="R1078" s="107" t="str">
        <f t="shared" si="32"/>
        <v/>
      </c>
    </row>
    <row r="1079" hidden="1">
      <c r="A1079" s="443"/>
      <c r="B1079" s="43" t="str">
        <f>IF(A1079="", "", IFERROR(VLOOKUP(A1079, Clasificaciones!A:B, 2, FALSE), "DATO NO CARGADO"))
</f>
        <v/>
      </c>
      <c r="C1079" s="51"/>
      <c r="D1079" s="102"/>
      <c r="E1079" s="102"/>
      <c r="H1079" s="102"/>
      <c r="J1079" s="102"/>
      <c r="K1079" s="450"/>
      <c r="L1079" s="443"/>
      <c r="M1079" s="450"/>
      <c r="N1079" s="452">
        <f t="array" ref="N1079">IFERROR(
  INDEX(
    'Valor Hora Real y Estimada'!$A$4:$Z$78,
    MATCH(TRIM(CLEAN(A1079)), 'Valor Hora Real y Estimada'!$A$4:$A$78, 0),
    MATCH(
      TEXT(C1079,"dd mmm")&amp;" "&amp;D1079,
      'Valor Hora Real y Estimada'!$A$3:$Z$3,
      0
    ) + 1
  ),
  0
)</f>
        <v>0</v>
      </c>
      <c r="O1079" s="453">
        <f t="shared" si="44"/>
        <v>0</v>
      </c>
      <c r="P1079" s="113"/>
      <c r="Q1079" s="106" t="str">
        <f>IF(ISBLANK(O1079), "", VLOOKUP(C1079&amp;" "&amp;D1079, 'Info Tipo de Cambio y REM'!$A$24:$B$35, 2, FALSE))</f>
        <v>#N/A</v>
      </c>
      <c r="R1079" s="107" t="str">
        <f t="shared" si="32"/>
        <v/>
      </c>
    </row>
    <row r="1080" hidden="1">
      <c r="A1080" s="443"/>
      <c r="B1080" s="43" t="str">
        <f>IF(A1080="", "", IFERROR(VLOOKUP(A1080, Clasificaciones!A:B, 2, FALSE), "DATO NO CARGADO"))
</f>
        <v/>
      </c>
      <c r="C1080" s="51"/>
      <c r="D1080" s="102"/>
      <c r="E1080" s="102"/>
      <c r="H1080" s="102"/>
      <c r="J1080" s="102"/>
      <c r="K1080" s="450"/>
      <c r="L1080" s="443"/>
      <c r="M1080" s="450"/>
      <c r="N1080" s="452">
        <f t="array" ref="N1080">IFERROR(
  INDEX(
    'Valor Hora Real y Estimada'!$A$4:$Z$78,
    MATCH(TRIM(CLEAN(A1080)), 'Valor Hora Real y Estimada'!$A$4:$A$78, 0),
    MATCH(
      TEXT(C1080,"dd mmm")&amp;" "&amp;D1080,
      'Valor Hora Real y Estimada'!$A$3:$Z$3,
      0
    ) + 1
  ),
  0
)</f>
        <v>0</v>
      </c>
      <c r="O1080" s="453">
        <f t="shared" si="44"/>
        <v>0</v>
      </c>
      <c r="P1080" s="113"/>
      <c r="Q1080" s="106" t="str">
        <f>IF(ISBLANK(O1080), "", VLOOKUP(C1080&amp;" "&amp;D1080, 'Info Tipo de Cambio y REM'!$A$24:$B$35, 2, FALSE))</f>
        <v>#N/A</v>
      </c>
      <c r="R1080" s="107" t="str">
        <f t="shared" si="32"/>
        <v/>
      </c>
    </row>
    <row r="1081" hidden="1">
      <c r="A1081" s="443"/>
      <c r="B1081" s="43" t="str">
        <f>IF(A1081="", "", IFERROR(VLOOKUP(A1081, Clasificaciones!A:B, 2, FALSE), "DATO NO CARGADO"))
</f>
        <v/>
      </c>
      <c r="C1081" s="51"/>
      <c r="D1081" s="102"/>
      <c r="E1081" s="102"/>
      <c r="H1081" s="102"/>
      <c r="J1081" s="102"/>
      <c r="K1081" s="450"/>
      <c r="L1081" s="443"/>
      <c r="M1081" s="450"/>
      <c r="N1081" s="452">
        <f t="array" ref="N1081">IFERROR(
  INDEX(
    'Valor Hora Real y Estimada'!$A$4:$Z$78,
    MATCH(TRIM(CLEAN(A1081)), 'Valor Hora Real y Estimada'!$A$4:$A$78, 0),
    MATCH(
      TEXT(C1081,"dd mmm")&amp;" "&amp;D1081,
      'Valor Hora Real y Estimada'!$A$3:$Z$3,
      0
    ) + 1
  ),
  0
)</f>
        <v>0</v>
      </c>
      <c r="O1081" s="453">
        <f t="shared" si="44"/>
        <v>0</v>
      </c>
      <c r="P1081" s="113"/>
      <c r="Q1081" s="106" t="str">
        <f>IF(ISBLANK(O1081), "", VLOOKUP(C1081&amp;" "&amp;D1081, 'Info Tipo de Cambio y REM'!$A$24:$B$35, 2, FALSE))</f>
        <v>#N/A</v>
      </c>
      <c r="R1081" s="107" t="str">
        <f t="shared" si="32"/>
        <v/>
      </c>
    </row>
    <row r="1082" hidden="1">
      <c r="A1082" s="443"/>
      <c r="B1082" s="43" t="str">
        <f>IF(A1082="", "", IFERROR(VLOOKUP(A1082, Clasificaciones!A:B, 2, FALSE), "DATO NO CARGADO"))
</f>
        <v/>
      </c>
      <c r="C1082" s="51"/>
      <c r="D1082" s="102"/>
      <c r="E1082" s="102"/>
      <c r="H1082" s="102"/>
      <c r="J1082" s="102"/>
      <c r="K1082" s="450"/>
      <c r="L1082" s="443"/>
      <c r="M1082" s="450"/>
      <c r="N1082" s="452">
        <f t="array" ref="N1082">IFERROR(
  INDEX(
    'Valor Hora Real y Estimada'!$A$4:$Z$78,
    MATCH(TRIM(CLEAN(A1082)), 'Valor Hora Real y Estimada'!$A$4:$A$78, 0),
    MATCH(
      TEXT(C1082,"dd mmm")&amp;" "&amp;D1082,
      'Valor Hora Real y Estimada'!$A$3:$Z$3,
      0
    ) + 1
  ),
  0
)</f>
        <v>0</v>
      </c>
      <c r="O1082" s="453">
        <f t="shared" si="44"/>
        <v>0</v>
      </c>
      <c r="P1082" s="113"/>
      <c r="Q1082" s="106" t="str">
        <f>IF(ISBLANK(O1082), "", VLOOKUP(C1082&amp;" "&amp;D1082, 'Info Tipo de Cambio y REM'!$A$24:$B$35, 2, FALSE))</f>
        <v>#N/A</v>
      </c>
      <c r="R1082" s="107" t="str">
        <f t="shared" si="32"/>
        <v/>
      </c>
    </row>
    <row r="1083" hidden="1">
      <c r="A1083" s="443"/>
      <c r="B1083" s="43" t="str">
        <f>IF(A1083="", "", IFERROR(VLOOKUP(A1083, Clasificaciones!A:B, 2, FALSE), "DATO NO CARGADO"))
</f>
        <v/>
      </c>
      <c r="C1083" s="51"/>
      <c r="D1083" s="102"/>
      <c r="E1083" s="102"/>
      <c r="H1083" s="102"/>
      <c r="J1083" s="102"/>
      <c r="K1083" s="450"/>
      <c r="L1083" s="443"/>
      <c r="M1083" s="450"/>
      <c r="N1083" s="452">
        <f t="array" ref="N1083">IFERROR(
  INDEX(
    'Valor Hora Real y Estimada'!$A$4:$Z$78,
    MATCH(TRIM(CLEAN(A1083)), 'Valor Hora Real y Estimada'!$A$4:$A$78, 0),
    MATCH(
      TEXT(C1083,"dd mmm")&amp;" "&amp;D1083,
      'Valor Hora Real y Estimada'!$A$3:$Z$3,
      0
    ) + 1
  ),
  0
)</f>
        <v>0</v>
      </c>
      <c r="O1083" s="453">
        <f t="shared" si="44"/>
        <v>0</v>
      </c>
      <c r="P1083" s="113"/>
      <c r="Q1083" s="106" t="str">
        <f>IF(ISBLANK(O1083), "", VLOOKUP(C1083&amp;" "&amp;D1083, 'Info Tipo de Cambio y REM'!$A$24:$B$35, 2, FALSE))</f>
        <v>#N/A</v>
      </c>
      <c r="R1083" s="107" t="str">
        <f t="shared" si="32"/>
        <v/>
      </c>
    </row>
    <row r="1084" hidden="1">
      <c r="A1084" s="443"/>
      <c r="B1084" s="43" t="str">
        <f>IF(A1084="", "", IFERROR(VLOOKUP(A1084, Clasificaciones!A:B, 2, FALSE), "DATO NO CARGADO"))
</f>
        <v/>
      </c>
      <c r="C1084" s="51"/>
      <c r="D1084" s="102"/>
      <c r="E1084" s="102"/>
      <c r="H1084" s="102"/>
      <c r="J1084" s="102"/>
      <c r="K1084" s="450"/>
      <c r="L1084" s="443"/>
      <c r="M1084" s="450"/>
      <c r="N1084" s="452">
        <f t="array" ref="N1084">IFERROR(
  INDEX(
    'Valor Hora Real y Estimada'!$A$4:$Z$78,
    MATCH(TRIM(CLEAN(A1084)), 'Valor Hora Real y Estimada'!$A$4:$A$78, 0),
    MATCH(
      TEXT(C1084,"dd mmm")&amp;" "&amp;D1084,
      'Valor Hora Real y Estimada'!$A$3:$Z$3,
      0
    ) + 1
  ),
  0
)</f>
        <v>0</v>
      </c>
      <c r="O1084" s="453">
        <f t="shared" si="44"/>
        <v>0</v>
      </c>
      <c r="P1084" s="113"/>
      <c r="Q1084" s="106" t="str">
        <f>IF(ISBLANK(O1084), "", VLOOKUP(C1084&amp;" "&amp;D1084, 'Info Tipo de Cambio y REM'!$A$24:$B$35, 2, FALSE))</f>
        <v>#N/A</v>
      </c>
      <c r="R1084" s="107" t="str">
        <f t="shared" si="32"/>
        <v/>
      </c>
    </row>
    <row r="1085" hidden="1">
      <c r="A1085" s="443"/>
      <c r="B1085" s="43" t="str">
        <f>IF(A1085="", "", IFERROR(VLOOKUP(A1085, Clasificaciones!A:B, 2, FALSE), "DATO NO CARGADO"))
</f>
        <v/>
      </c>
      <c r="C1085" s="51"/>
      <c r="D1085" s="102"/>
      <c r="E1085" s="102"/>
      <c r="H1085" s="102"/>
      <c r="J1085" s="102"/>
      <c r="K1085" s="450"/>
      <c r="L1085" s="443"/>
      <c r="M1085" s="450"/>
      <c r="N1085" s="452">
        <f t="array" ref="N1085">IFERROR(
  INDEX(
    'Valor Hora Real y Estimada'!$A$4:$Z$78,
    MATCH(TRIM(CLEAN(A1085)), 'Valor Hora Real y Estimada'!$A$4:$A$78, 0),
    MATCH(
      TEXT(C1085,"dd mmm")&amp;" "&amp;D1085,
      'Valor Hora Real y Estimada'!$A$3:$Z$3,
      0
    ) + 1
  ),
  0
)</f>
        <v>0</v>
      </c>
      <c r="O1085" s="453">
        <f t="shared" si="44"/>
        <v>0</v>
      </c>
      <c r="P1085" s="113"/>
      <c r="Q1085" s="106" t="str">
        <f>IF(ISBLANK(O1085), "", VLOOKUP(C1085&amp;" "&amp;D1085, 'Info Tipo de Cambio y REM'!$A$24:$B$35, 2, FALSE))</f>
        <v>#N/A</v>
      </c>
      <c r="R1085" s="107" t="str">
        <f t="shared" si="32"/>
        <v/>
      </c>
    </row>
    <row r="1086" hidden="1">
      <c r="A1086" s="443"/>
      <c r="B1086" s="43" t="str">
        <f>IF(A1086="", "", IFERROR(VLOOKUP(A1086, Clasificaciones!A:B, 2, FALSE), "DATO NO CARGADO"))
</f>
        <v/>
      </c>
      <c r="C1086" s="51"/>
      <c r="D1086" s="102"/>
      <c r="E1086" s="102"/>
      <c r="H1086" s="102"/>
      <c r="J1086" s="102"/>
      <c r="K1086" s="450"/>
      <c r="L1086" s="443"/>
      <c r="M1086" s="450"/>
      <c r="N1086" s="452">
        <f t="array" ref="N1086">IFERROR(
  INDEX(
    'Valor Hora Real y Estimada'!$A$4:$Z$78,
    MATCH(TRIM(CLEAN(A1086)), 'Valor Hora Real y Estimada'!$A$4:$A$78, 0),
    MATCH(
      TEXT(C1086,"dd mmm")&amp;" "&amp;D1086,
      'Valor Hora Real y Estimada'!$A$3:$Z$3,
      0
    ) + 1
  ),
  0
)</f>
        <v>0</v>
      </c>
      <c r="O1086" s="453">
        <f t="shared" si="44"/>
        <v>0</v>
      </c>
      <c r="P1086" s="113"/>
      <c r="Q1086" s="106" t="str">
        <f>IF(ISBLANK(O1086), "", VLOOKUP(C1086&amp;" "&amp;D1086, 'Info Tipo de Cambio y REM'!$A$24:$B$35, 2, FALSE))</f>
        <v>#N/A</v>
      </c>
      <c r="R1086" s="107" t="str">
        <f t="shared" si="32"/>
        <v/>
      </c>
    </row>
    <row r="1087" hidden="1">
      <c r="A1087" s="443"/>
      <c r="B1087" s="43" t="str">
        <f>IF(A1087="", "", IFERROR(VLOOKUP(A1087, Clasificaciones!A:B, 2, FALSE), "DATO NO CARGADO"))
</f>
        <v/>
      </c>
      <c r="C1087" s="51"/>
      <c r="D1087" s="102"/>
      <c r="E1087" s="102"/>
      <c r="H1087" s="102"/>
      <c r="J1087" s="102"/>
      <c r="K1087" s="450"/>
      <c r="L1087" s="443"/>
      <c r="M1087" s="450"/>
      <c r="N1087" s="452">
        <f t="array" ref="N1087">IFERROR(
  INDEX(
    'Valor Hora Real y Estimada'!$A$4:$Z$78,
    MATCH(TRIM(CLEAN(A1087)), 'Valor Hora Real y Estimada'!$A$4:$A$78, 0),
    MATCH(
      TEXT(C1087,"dd mmm")&amp;" "&amp;D1087,
      'Valor Hora Real y Estimada'!$A$3:$Z$3,
      0
    ) + 1
  ),
  0
)</f>
        <v>0</v>
      </c>
      <c r="O1087" s="453">
        <f t="shared" si="44"/>
        <v>0</v>
      </c>
      <c r="P1087" s="113"/>
      <c r="Q1087" s="106" t="str">
        <f>IF(ISBLANK(O1087), "", VLOOKUP(C1087&amp;" "&amp;D1087, 'Info Tipo de Cambio y REM'!$A$24:$B$35, 2, FALSE))</f>
        <v>#N/A</v>
      </c>
      <c r="R1087" s="107" t="str">
        <f t="shared" si="32"/>
        <v/>
      </c>
    </row>
    <row r="1088" hidden="1">
      <c r="A1088" s="443"/>
      <c r="B1088" s="43" t="str">
        <f>IF(A1088="", "", IFERROR(VLOOKUP(A1088, Clasificaciones!A:B, 2, FALSE), "DATO NO CARGADO"))
</f>
        <v/>
      </c>
      <c r="C1088" s="51"/>
      <c r="D1088" s="102"/>
      <c r="E1088" s="102"/>
      <c r="H1088" s="102"/>
      <c r="J1088" s="102"/>
      <c r="K1088" s="450"/>
      <c r="L1088" s="443"/>
      <c r="M1088" s="450"/>
      <c r="N1088" s="452">
        <f t="array" ref="N1088">IFERROR(
  INDEX(
    'Valor Hora Real y Estimada'!$A$4:$Z$78,
    MATCH(TRIM(CLEAN(A1088)), 'Valor Hora Real y Estimada'!$A$4:$A$78, 0),
    MATCH(
      TEXT(C1088,"dd mmm")&amp;" "&amp;D1088,
      'Valor Hora Real y Estimada'!$A$3:$Z$3,
      0
    ) + 1
  ),
  0
)</f>
        <v>0</v>
      </c>
      <c r="O1088" s="453">
        <f t="shared" si="44"/>
        <v>0</v>
      </c>
      <c r="P1088" s="113"/>
      <c r="Q1088" s="106" t="str">
        <f>IF(ISBLANK(O1088), "", VLOOKUP(C1088&amp;" "&amp;D1088, 'Info Tipo de Cambio y REM'!$A$24:$B$35, 2, FALSE))</f>
        <v>#N/A</v>
      </c>
      <c r="R1088" s="107" t="str">
        <f t="shared" si="32"/>
        <v/>
      </c>
    </row>
    <row r="1089" hidden="1">
      <c r="A1089" s="443"/>
      <c r="B1089" s="43" t="str">
        <f>IF(A1089="", "", IFERROR(VLOOKUP(A1089, Clasificaciones!A:B, 2, FALSE), "DATO NO CARGADO"))
</f>
        <v/>
      </c>
      <c r="C1089" s="51"/>
      <c r="D1089" s="102"/>
      <c r="E1089" s="102"/>
      <c r="H1089" s="102"/>
      <c r="J1089" s="102"/>
      <c r="K1089" s="450"/>
      <c r="L1089" s="443"/>
      <c r="M1089" s="450"/>
      <c r="N1089" s="452">
        <f t="array" ref="N1089">IFERROR(
  INDEX(
    'Valor Hora Real y Estimada'!$A$4:$Z$78,
    MATCH(TRIM(CLEAN(A1089)), 'Valor Hora Real y Estimada'!$A$4:$A$78, 0),
    MATCH(
      TEXT(C1089,"dd mmm")&amp;" "&amp;D1089,
      'Valor Hora Real y Estimada'!$A$3:$Z$3,
      0
    ) + 1
  ),
  0
)</f>
        <v>0</v>
      </c>
      <c r="O1089" s="453">
        <f t="shared" si="44"/>
        <v>0</v>
      </c>
      <c r="P1089" s="113"/>
      <c r="Q1089" s="106" t="str">
        <f>IF(ISBLANK(O1089), "", VLOOKUP(C1089&amp;" "&amp;D1089, 'Info Tipo de Cambio y REM'!$A$24:$B$35, 2, FALSE))</f>
        <v>#N/A</v>
      </c>
      <c r="R1089" s="107" t="str">
        <f t="shared" si="32"/>
        <v/>
      </c>
    </row>
    <row r="1090" hidden="1">
      <c r="A1090" s="443"/>
      <c r="B1090" s="43" t="str">
        <f>IF(A1090="", "", IFERROR(VLOOKUP(A1090, Clasificaciones!A:B, 2, FALSE), "DATO NO CARGADO"))
</f>
        <v/>
      </c>
      <c r="C1090" s="51"/>
      <c r="D1090" s="102"/>
      <c r="E1090" s="102"/>
      <c r="H1090" s="102"/>
      <c r="J1090" s="102"/>
      <c r="K1090" s="450"/>
      <c r="L1090" s="443"/>
      <c r="M1090" s="450"/>
      <c r="N1090" s="452">
        <f t="array" ref="N1090">IFERROR(
  INDEX(
    'Valor Hora Real y Estimada'!$A$4:$Z$78,
    MATCH(TRIM(CLEAN(A1090)), 'Valor Hora Real y Estimada'!$A$4:$A$78, 0),
    MATCH(
      TEXT(C1090,"dd mmm")&amp;" "&amp;D1090,
      'Valor Hora Real y Estimada'!$A$3:$Z$3,
      0
    ) + 1
  ),
  0
)</f>
        <v>0</v>
      </c>
      <c r="O1090" s="453">
        <f t="shared" si="44"/>
        <v>0</v>
      </c>
      <c r="P1090" s="113"/>
      <c r="Q1090" s="106" t="str">
        <f>IF(ISBLANK(O1090), "", VLOOKUP(C1090&amp;" "&amp;D1090, 'Info Tipo de Cambio y REM'!$A$24:$B$35, 2, FALSE))</f>
        <v>#N/A</v>
      </c>
      <c r="R1090" s="107" t="str">
        <f t="shared" si="32"/>
        <v/>
      </c>
    </row>
    <row r="1091" hidden="1">
      <c r="A1091" s="443"/>
      <c r="B1091" s="43" t="str">
        <f>IF(A1091="", "", IFERROR(VLOOKUP(A1091, Clasificaciones!A:B, 2, FALSE), "DATO NO CARGADO"))
</f>
        <v/>
      </c>
      <c r="C1091" s="51"/>
      <c r="D1091" s="102"/>
      <c r="E1091" s="102"/>
      <c r="H1091" s="102"/>
      <c r="J1091" s="102"/>
      <c r="K1091" s="450"/>
      <c r="L1091" s="443"/>
      <c r="M1091" s="450"/>
      <c r="N1091" s="452">
        <f t="array" ref="N1091">IFERROR(
  INDEX(
    'Valor Hora Real y Estimada'!$A$4:$Z$78,
    MATCH(TRIM(CLEAN(A1091)), 'Valor Hora Real y Estimada'!$A$4:$A$78, 0),
    MATCH(
      TEXT(C1091,"dd mmm")&amp;" "&amp;D1091,
      'Valor Hora Real y Estimada'!$A$3:$Z$3,
      0
    ) + 1
  ),
  0
)</f>
        <v>0</v>
      </c>
      <c r="O1091" s="453">
        <f t="shared" si="44"/>
        <v>0</v>
      </c>
      <c r="P1091" s="113"/>
      <c r="Q1091" s="106" t="str">
        <f>IF(ISBLANK(O1091), "", VLOOKUP(C1091&amp;" "&amp;D1091, 'Info Tipo de Cambio y REM'!$A$24:$B$35, 2, FALSE))</f>
        <v>#N/A</v>
      </c>
      <c r="R1091" s="107" t="str">
        <f t="shared" si="32"/>
        <v/>
      </c>
    </row>
    <row r="1092" hidden="1">
      <c r="A1092" s="443"/>
      <c r="B1092" s="43" t="str">
        <f>IF(A1092="", "", IFERROR(VLOOKUP(A1092, Clasificaciones!A:B, 2, FALSE), "DATO NO CARGADO"))
</f>
        <v/>
      </c>
      <c r="C1092" s="51"/>
      <c r="D1092" s="102"/>
      <c r="E1092" s="102"/>
      <c r="H1092" s="102"/>
      <c r="J1092" s="102"/>
      <c r="K1092" s="450"/>
      <c r="L1092" s="443"/>
      <c r="M1092" s="450"/>
      <c r="N1092" s="452">
        <f t="array" ref="N1092">IFERROR(
  INDEX(
    'Valor Hora Real y Estimada'!$A$4:$Z$78,
    MATCH(TRIM(CLEAN(A1092)), 'Valor Hora Real y Estimada'!$A$4:$A$78, 0),
    MATCH(
      TEXT(C1092,"dd mmm")&amp;" "&amp;D1092,
      'Valor Hora Real y Estimada'!$A$3:$Z$3,
      0
    ) + 1
  ),
  0
)</f>
        <v>0</v>
      </c>
      <c r="O1092" s="453">
        <f t="shared" si="44"/>
        <v>0</v>
      </c>
      <c r="P1092" s="113"/>
      <c r="Q1092" s="106" t="str">
        <f>IF(ISBLANK(O1092), "", VLOOKUP(C1092&amp;" "&amp;D1092, 'Info Tipo de Cambio y REM'!$A$24:$B$35, 2, FALSE))</f>
        <v>#N/A</v>
      </c>
      <c r="R1092" s="107" t="str">
        <f t="shared" si="32"/>
        <v/>
      </c>
    </row>
    <row r="1093" hidden="1">
      <c r="A1093" s="443"/>
      <c r="B1093" s="43" t="str">
        <f>IF(A1093="", "", IFERROR(VLOOKUP(A1093, Clasificaciones!A:B, 2, FALSE), "DATO NO CARGADO"))
</f>
        <v/>
      </c>
      <c r="C1093" s="51"/>
      <c r="D1093" s="102"/>
      <c r="E1093" s="102"/>
      <c r="H1093" s="102"/>
      <c r="J1093" s="102"/>
      <c r="K1093" s="450"/>
      <c r="L1093" s="443"/>
      <c r="M1093" s="450"/>
      <c r="N1093" s="452">
        <f t="array" ref="N1093">IFERROR(
  INDEX(
    'Valor Hora Real y Estimada'!$A$4:$Z$78,
    MATCH(TRIM(CLEAN(A1093)), 'Valor Hora Real y Estimada'!$A$4:$A$78, 0),
    MATCH(
      TEXT(C1093,"dd mmm")&amp;" "&amp;D1093,
      'Valor Hora Real y Estimada'!$A$3:$Z$3,
      0
    ) + 1
  ),
  0
)</f>
        <v>0</v>
      </c>
      <c r="O1093" s="453">
        <f t="shared" si="44"/>
        <v>0</v>
      </c>
      <c r="P1093" s="113"/>
      <c r="Q1093" s="106" t="str">
        <f>IF(ISBLANK(O1093), "", VLOOKUP(C1093&amp;" "&amp;D1093, 'Info Tipo de Cambio y REM'!$A$24:$B$35, 2, FALSE))</f>
        <v>#N/A</v>
      </c>
      <c r="R1093" s="107" t="str">
        <f t="shared" si="32"/>
        <v/>
      </c>
    </row>
    <row r="1094" hidden="1">
      <c r="A1094" s="443"/>
      <c r="B1094" s="43" t="str">
        <f>IF(A1094="", "", IFERROR(VLOOKUP(A1094, Clasificaciones!A:B, 2, FALSE), "DATO NO CARGADO"))
</f>
        <v/>
      </c>
      <c r="C1094" s="51"/>
      <c r="D1094" s="102"/>
      <c r="E1094" s="102"/>
      <c r="H1094" s="102"/>
      <c r="J1094" s="102"/>
      <c r="K1094" s="450"/>
      <c r="L1094" s="443"/>
      <c r="M1094" s="450"/>
      <c r="N1094" s="452">
        <f t="array" ref="N1094">IFERROR(
  INDEX(
    'Valor Hora Real y Estimada'!$A$4:$Z$78,
    MATCH(TRIM(CLEAN(A1094)), 'Valor Hora Real y Estimada'!$A$4:$A$78, 0),
    MATCH(
      TEXT(C1094,"dd mmm")&amp;" "&amp;D1094,
      'Valor Hora Real y Estimada'!$A$3:$Z$3,
      0
    ) + 1
  ),
  0
)</f>
        <v>0</v>
      </c>
      <c r="O1094" s="453">
        <f t="shared" si="44"/>
        <v>0</v>
      </c>
      <c r="P1094" s="113"/>
      <c r="Q1094" s="106" t="str">
        <f>IF(ISBLANK(O1094), "", VLOOKUP(C1094&amp;" "&amp;D1094, 'Info Tipo de Cambio y REM'!$A$24:$B$35, 2, FALSE))</f>
        <v>#N/A</v>
      </c>
      <c r="R1094" s="107" t="str">
        <f t="shared" si="32"/>
        <v/>
      </c>
    </row>
    <row r="1095" hidden="1">
      <c r="A1095" s="443"/>
      <c r="B1095" s="43" t="str">
        <f>IF(A1095="", "", IFERROR(VLOOKUP(A1095, Clasificaciones!A:B, 2, FALSE), "DATO NO CARGADO"))
</f>
        <v/>
      </c>
      <c r="C1095" s="51"/>
      <c r="D1095" s="102"/>
      <c r="E1095" s="102"/>
      <c r="H1095" s="102"/>
      <c r="J1095" s="102"/>
      <c r="K1095" s="450"/>
      <c r="L1095" s="443"/>
      <c r="M1095" s="450"/>
      <c r="N1095" s="452">
        <f t="array" ref="N1095">IFERROR(
  INDEX(
    'Valor Hora Real y Estimada'!$A$4:$Z$78,
    MATCH(TRIM(CLEAN(A1095)), 'Valor Hora Real y Estimada'!$A$4:$A$78, 0),
    MATCH(
      TEXT(C1095,"dd mmm")&amp;" "&amp;D1095,
      'Valor Hora Real y Estimada'!$A$3:$Z$3,
      0
    ) + 1
  ),
  0
)</f>
        <v>0</v>
      </c>
      <c r="O1095" s="453">
        <f t="shared" si="44"/>
        <v>0</v>
      </c>
      <c r="P1095" s="113"/>
      <c r="Q1095" s="106" t="str">
        <f>IF(ISBLANK(O1095), "", VLOOKUP(C1095&amp;" "&amp;D1095, 'Info Tipo de Cambio y REM'!$A$24:$B$35, 2, FALSE))</f>
        <v>#N/A</v>
      </c>
      <c r="R1095" s="107" t="str">
        <f t="shared" si="32"/>
        <v/>
      </c>
    </row>
    <row r="1096" hidden="1">
      <c r="A1096" s="443"/>
      <c r="B1096" s="43" t="str">
        <f>IF(A1096="", "", IFERROR(VLOOKUP(A1096, Clasificaciones!A:B, 2, FALSE), "DATO NO CARGADO"))
</f>
        <v/>
      </c>
      <c r="C1096" s="51"/>
      <c r="D1096" s="102"/>
      <c r="E1096" s="102"/>
      <c r="H1096" s="102"/>
      <c r="J1096" s="102"/>
      <c r="K1096" s="450"/>
      <c r="L1096" s="443"/>
      <c r="M1096" s="450"/>
      <c r="N1096" s="452">
        <f t="array" ref="N1096">IFERROR(
  INDEX(
    'Valor Hora Real y Estimada'!$A$4:$Z$78,
    MATCH(TRIM(CLEAN(A1096)), 'Valor Hora Real y Estimada'!$A$4:$A$78, 0),
    MATCH(
      TEXT(C1096,"dd mmm")&amp;" "&amp;D1096,
      'Valor Hora Real y Estimada'!$A$3:$Z$3,
      0
    ) + 1
  ),
  0
)</f>
        <v>0</v>
      </c>
      <c r="O1096" s="453">
        <f t="shared" si="44"/>
        <v>0</v>
      </c>
      <c r="P1096" s="113"/>
      <c r="Q1096" s="106" t="str">
        <f>IF(ISBLANK(O1096), "", VLOOKUP(C1096&amp;" "&amp;D1096, 'Info Tipo de Cambio y REM'!$A$24:$B$35, 2, FALSE))</f>
        <v>#N/A</v>
      </c>
      <c r="R1096" s="107" t="str">
        <f t="shared" si="32"/>
        <v/>
      </c>
    </row>
    <row r="1097" hidden="1">
      <c r="A1097" s="443"/>
      <c r="B1097" s="43" t="str">
        <f>IF(A1097="", "", IFERROR(VLOOKUP(A1097, Clasificaciones!A:B, 2, FALSE), "DATO NO CARGADO"))
</f>
        <v/>
      </c>
      <c r="C1097" s="51"/>
      <c r="D1097" s="102"/>
      <c r="E1097" s="102"/>
      <c r="H1097" s="102"/>
      <c r="J1097" s="102"/>
      <c r="K1097" s="450"/>
      <c r="L1097" s="443"/>
      <c r="M1097" s="450"/>
      <c r="N1097" s="452">
        <f t="array" ref="N1097">IFERROR(
  INDEX(
    'Valor Hora Real y Estimada'!$A$4:$Z$78,
    MATCH(TRIM(CLEAN(A1097)), 'Valor Hora Real y Estimada'!$A$4:$A$78, 0),
    MATCH(
      TEXT(C1097,"dd mmm")&amp;" "&amp;D1097,
      'Valor Hora Real y Estimada'!$A$3:$Z$3,
      0
    ) + 1
  ),
  0
)</f>
        <v>0</v>
      </c>
      <c r="O1097" s="453">
        <f t="shared" si="44"/>
        <v>0</v>
      </c>
      <c r="P1097" s="113"/>
      <c r="Q1097" s="106" t="str">
        <f>IF(ISBLANK(O1097), "", VLOOKUP(C1097&amp;" "&amp;D1097, 'Info Tipo de Cambio y REM'!$A$24:$B$35, 2, FALSE))</f>
        <v>#N/A</v>
      </c>
      <c r="R1097" s="107" t="str">
        <f t="shared" si="32"/>
        <v/>
      </c>
    </row>
    <row r="1098" hidden="1">
      <c r="A1098" s="443"/>
      <c r="B1098" s="43" t="str">
        <f>IF(A1098="", "", IFERROR(VLOOKUP(A1098, Clasificaciones!A:B, 2, FALSE), "DATO NO CARGADO"))
</f>
        <v/>
      </c>
      <c r="C1098" s="51"/>
      <c r="D1098" s="102"/>
      <c r="E1098" s="102"/>
      <c r="H1098" s="102"/>
      <c r="J1098" s="102"/>
      <c r="K1098" s="450"/>
      <c r="L1098" s="443"/>
      <c r="M1098" s="450"/>
      <c r="N1098" s="452">
        <f t="array" ref="N1098">IFERROR(
  INDEX(
    'Valor Hora Real y Estimada'!$A$4:$Z$78,
    MATCH(TRIM(CLEAN(A1098)), 'Valor Hora Real y Estimada'!$A$4:$A$78, 0),
    MATCH(
      TEXT(C1098,"dd mmm")&amp;" "&amp;D1098,
      'Valor Hora Real y Estimada'!$A$3:$Z$3,
      0
    ) + 1
  ),
  0
)</f>
        <v>0</v>
      </c>
      <c r="O1098" s="453">
        <f t="shared" si="44"/>
        <v>0</v>
      </c>
      <c r="P1098" s="113"/>
      <c r="Q1098" s="106" t="str">
        <f>IF(ISBLANK(O1098), "", VLOOKUP(C1098&amp;" "&amp;D1098, 'Info Tipo de Cambio y REM'!$A$24:$B$35, 2, FALSE))</f>
        <v>#N/A</v>
      </c>
      <c r="R1098" s="107" t="str">
        <f t="shared" si="32"/>
        <v/>
      </c>
    </row>
    <row r="1099" hidden="1">
      <c r="A1099" s="443"/>
      <c r="B1099" s="43" t="str">
        <f>IF(A1099="", "", IFERROR(VLOOKUP(A1099, Clasificaciones!A:B, 2, FALSE), "DATO NO CARGADO"))
</f>
        <v/>
      </c>
      <c r="C1099" s="51"/>
      <c r="D1099" s="102"/>
      <c r="E1099" s="102"/>
      <c r="H1099" s="102"/>
      <c r="J1099" s="102"/>
      <c r="K1099" s="450"/>
      <c r="L1099" s="443"/>
      <c r="M1099" s="450"/>
      <c r="N1099" s="452">
        <f t="array" ref="N1099">IFERROR(
  INDEX(
    'Valor Hora Real y Estimada'!$A$4:$Z$78,
    MATCH(TRIM(CLEAN(A1099)), 'Valor Hora Real y Estimada'!$A$4:$A$78, 0),
    MATCH(
      TEXT(C1099,"dd mmm")&amp;" "&amp;D1099,
      'Valor Hora Real y Estimada'!$A$3:$Z$3,
      0
    ) + 1
  ),
  0
)</f>
        <v>0</v>
      </c>
      <c r="O1099" s="453">
        <f t="shared" si="44"/>
        <v>0</v>
      </c>
      <c r="P1099" s="113"/>
      <c r="Q1099" s="106" t="str">
        <f>IF(ISBLANK(O1099), "", VLOOKUP(C1099&amp;" "&amp;D1099, 'Info Tipo de Cambio y REM'!$A$24:$B$35, 2, FALSE))</f>
        <v>#N/A</v>
      </c>
      <c r="R1099" s="107" t="str">
        <f t="shared" si="32"/>
        <v/>
      </c>
    </row>
    <row r="1100" hidden="1">
      <c r="A1100" s="443"/>
      <c r="B1100" s="43" t="str">
        <f>IF(A1100="", "", IFERROR(VLOOKUP(A1100, Clasificaciones!A:B, 2, FALSE), "DATO NO CARGADO"))
</f>
        <v/>
      </c>
      <c r="C1100" s="51"/>
      <c r="D1100" s="102"/>
      <c r="E1100" s="102"/>
      <c r="H1100" s="102"/>
      <c r="J1100" s="102"/>
      <c r="K1100" s="450"/>
      <c r="L1100" s="443"/>
      <c r="M1100" s="450"/>
      <c r="N1100" s="452">
        <f t="array" ref="N1100">IFERROR(
  INDEX(
    'Valor Hora Real y Estimada'!$A$4:$Z$78,
    MATCH(TRIM(CLEAN(A1100)), 'Valor Hora Real y Estimada'!$A$4:$A$78, 0),
    MATCH(
      TEXT(C1100,"dd mmm")&amp;" "&amp;D1100,
      'Valor Hora Real y Estimada'!$A$3:$Z$3,
      0
    ) + 1
  ),
  0
)</f>
        <v>0</v>
      </c>
      <c r="O1100" s="453">
        <f t="shared" si="44"/>
        <v>0</v>
      </c>
      <c r="P1100" s="113"/>
      <c r="Q1100" s="106" t="str">
        <f>IF(ISBLANK(O1100), "", VLOOKUP(C1100&amp;" "&amp;D1100, 'Info Tipo de Cambio y REM'!$A$24:$B$35, 2, FALSE))</f>
        <v>#N/A</v>
      </c>
      <c r="R1100" s="107" t="str">
        <f t="shared" si="32"/>
        <v/>
      </c>
    </row>
    <row r="1101" hidden="1">
      <c r="A1101" s="443"/>
      <c r="B1101" s="43" t="str">
        <f>IF(A1101="", "", IFERROR(VLOOKUP(A1101, Clasificaciones!A:B, 2, FALSE), "DATO NO CARGADO"))
</f>
        <v/>
      </c>
      <c r="C1101" s="51"/>
      <c r="D1101" s="102"/>
      <c r="E1101" s="102"/>
      <c r="H1101" s="102"/>
      <c r="J1101" s="102"/>
      <c r="K1101" s="450"/>
      <c r="L1101" s="443"/>
      <c r="M1101" s="450"/>
      <c r="N1101" s="452">
        <f t="array" ref="N1101">IFERROR(
  INDEX(
    'Valor Hora Real y Estimada'!$A$4:$Z$78,
    MATCH(TRIM(CLEAN(A1101)), 'Valor Hora Real y Estimada'!$A$4:$A$78, 0),
    MATCH(
      TEXT(C1101,"dd mmm")&amp;" "&amp;D1101,
      'Valor Hora Real y Estimada'!$A$3:$Z$3,
      0
    ) + 1
  ),
  0
)</f>
        <v>0</v>
      </c>
      <c r="O1101" s="453">
        <f t="shared" si="44"/>
        <v>0</v>
      </c>
      <c r="P1101" s="113"/>
      <c r="Q1101" s="106" t="str">
        <f>IF(ISBLANK(O1101), "", VLOOKUP(C1101&amp;" "&amp;D1101, 'Info Tipo de Cambio y REM'!$A$24:$B$35, 2, FALSE))</f>
        <v>#N/A</v>
      </c>
      <c r="R1101" s="107" t="str">
        <f t="shared" si="32"/>
        <v/>
      </c>
    </row>
    <row r="1102" hidden="1">
      <c r="A1102" s="443"/>
      <c r="B1102" s="43" t="str">
        <f>IF(A1102="", "", IFERROR(VLOOKUP(A1102, Clasificaciones!A:B, 2, FALSE), "DATO NO CARGADO"))
</f>
        <v/>
      </c>
      <c r="C1102" s="51"/>
      <c r="D1102" s="102"/>
      <c r="E1102" s="102"/>
      <c r="H1102" s="102"/>
      <c r="J1102" s="102"/>
      <c r="K1102" s="450"/>
      <c r="L1102" s="443"/>
      <c r="M1102" s="450"/>
      <c r="N1102" s="452">
        <f t="array" ref="N1102">IFERROR(
  INDEX(
    'Valor Hora Real y Estimada'!$A$4:$Z$78,
    MATCH(TRIM(CLEAN(A1102)), 'Valor Hora Real y Estimada'!$A$4:$A$78, 0),
    MATCH(
      TEXT(C1102,"dd mmm")&amp;" "&amp;D1102,
      'Valor Hora Real y Estimada'!$A$3:$Z$3,
      0
    ) + 1
  ),
  0
)</f>
        <v>0</v>
      </c>
      <c r="O1102" s="453">
        <f t="shared" si="44"/>
        <v>0</v>
      </c>
      <c r="P1102" s="113"/>
      <c r="Q1102" s="106" t="str">
        <f>IF(ISBLANK(O1102), "", VLOOKUP(C1102&amp;" "&amp;D1102, 'Info Tipo de Cambio y REM'!$A$24:$B$35, 2, FALSE))</f>
        <v>#N/A</v>
      </c>
      <c r="R1102" s="107" t="str">
        <f t="shared" si="32"/>
        <v/>
      </c>
    </row>
    <row r="1103" hidden="1">
      <c r="A1103" s="443"/>
      <c r="B1103" s="43" t="str">
        <f>IF(A1103="", "", IFERROR(VLOOKUP(A1103, Clasificaciones!A:B, 2, FALSE), "DATO NO CARGADO"))
</f>
        <v/>
      </c>
      <c r="C1103" s="51"/>
      <c r="D1103" s="102"/>
      <c r="E1103" s="102"/>
      <c r="H1103" s="102"/>
      <c r="J1103" s="102"/>
      <c r="K1103" s="450"/>
      <c r="L1103" s="443"/>
      <c r="M1103" s="450"/>
      <c r="N1103" s="452">
        <f t="array" ref="N1103">IFERROR(
  INDEX(
    'Valor Hora Real y Estimada'!$A$4:$Z$78,
    MATCH(TRIM(CLEAN(A1103)), 'Valor Hora Real y Estimada'!$A$4:$A$78, 0),
    MATCH(
      TEXT(C1103,"dd mmm")&amp;" "&amp;D1103,
      'Valor Hora Real y Estimada'!$A$3:$Z$3,
      0
    ) + 1
  ),
  0
)</f>
        <v>0</v>
      </c>
      <c r="O1103" s="453">
        <f t="shared" si="44"/>
        <v>0</v>
      </c>
      <c r="P1103" s="113"/>
      <c r="Q1103" s="106" t="str">
        <f>IF(ISBLANK(O1103), "", VLOOKUP(C1103&amp;" "&amp;D1103, 'Info Tipo de Cambio y REM'!$A$24:$B$35, 2, FALSE))</f>
        <v>#N/A</v>
      </c>
      <c r="R1103" s="107" t="str">
        <f t="shared" si="32"/>
        <v/>
      </c>
    </row>
    <row r="1104" hidden="1">
      <c r="A1104" s="443"/>
      <c r="B1104" s="43" t="str">
        <f>IF(A1104="", "", IFERROR(VLOOKUP(A1104, Clasificaciones!A:B, 2, FALSE), "DATO NO CARGADO"))
</f>
        <v/>
      </c>
      <c r="C1104" s="51"/>
      <c r="D1104" s="102"/>
      <c r="E1104" s="102"/>
      <c r="H1104" s="102"/>
      <c r="J1104" s="102"/>
      <c r="K1104" s="450"/>
      <c r="L1104" s="443"/>
      <c r="M1104" s="450"/>
      <c r="N1104" s="452">
        <f t="array" ref="N1104">IFERROR(
  INDEX(
    'Valor Hora Real y Estimada'!$A$4:$Z$78,
    MATCH(TRIM(CLEAN(A1104)), 'Valor Hora Real y Estimada'!$A$4:$A$78, 0),
    MATCH(
      TEXT(C1104,"dd mmm")&amp;" "&amp;D1104,
      'Valor Hora Real y Estimada'!$A$3:$Z$3,
      0
    ) + 1
  ),
  0
)</f>
        <v>0</v>
      </c>
      <c r="O1104" s="453">
        <f t="shared" si="44"/>
        <v>0</v>
      </c>
      <c r="P1104" s="113"/>
      <c r="Q1104" s="106" t="str">
        <f>IF(ISBLANK(O1104), "", VLOOKUP(C1104&amp;" "&amp;D1104, 'Info Tipo de Cambio y REM'!$A$24:$B$35, 2, FALSE))</f>
        <v>#N/A</v>
      </c>
      <c r="R1104" s="107" t="str">
        <f t="shared" si="32"/>
        <v/>
      </c>
    </row>
    <row r="1105" hidden="1">
      <c r="A1105" s="443"/>
      <c r="B1105" s="43" t="str">
        <f>IF(A1105="", "", IFERROR(VLOOKUP(A1105, Clasificaciones!A:B, 2, FALSE), "DATO NO CARGADO"))
</f>
        <v/>
      </c>
      <c r="C1105" s="51"/>
      <c r="D1105" s="102"/>
      <c r="E1105" s="102"/>
      <c r="H1105" s="102"/>
      <c r="J1105" s="102"/>
      <c r="K1105" s="450"/>
      <c r="L1105" s="443"/>
      <c r="M1105" s="450"/>
      <c r="N1105" s="452">
        <f t="array" ref="N1105">IFERROR(
  INDEX(
    'Valor Hora Real y Estimada'!$A$4:$Z$78,
    MATCH(TRIM(CLEAN(A1105)), 'Valor Hora Real y Estimada'!$A$4:$A$78, 0),
    MATCH(
      TEXT(C1105,"dd mmm")&amp;" "&amp;D1105,
      'Valor Hora Real y Estimada'!$A$3:$Z$3,
      0
    ) + 1
  ),
  0
)</f>
        <v>0</v>
      </c>
      <c r="O1105" s="453">
        <f t="shared" si="44"/>
        <v>0</v>
      </c>
      <c r="P1105" s="113"/>
      <c r="Q1105" s="106" t="str">
        <f>IF(ISBLANK(O1105), "", VLOOKUP(C1105&amp;" "&amp;D1105, 'Info Tipo de Cambio y REM'!$A$24:$B$35, 2, FALSE))</f>
        <v>#N/A</v>
      </c>
      <c r="R1105" s="107" t="str">
        <f t="shared" si="32"/>
        <v/>
      </c>
    </row>
    <row r="1106" hidden="1">
      <c r="A1106" s="443"/>
      <c r="B1106" s="43" t="str">
        <f>IF(A1106="", "", IFERROR(VLOOKUP(A1106, Clasificaciones!A:B, 2, FALSE), "DATO NO CARGADO"))
</f>
        <v/>
      </c>
      <c r="C1106" s="51"/>
      <c r="D1106" s="102"/>
      <c r="E1106" s="102"/>
      <c r="H1106" s="102"/>
      <c r="J1106" s="102"/>
      <c r="K1106" s="450"/>
      <c r="L1106" s="443"/>
      <c r="M1106" s="450"/>
      <c r="N1106" s="452">
        <f t="array" ref="N1106">IFERROR(
  INDEX(
    'Valor Hora Real y Estimada'!$A$4:$Z$78,
    MATCH(TRIM(CLEAN(A1106)), 'Valor Hora Real y Estimada'!$A$4:$A$78, 0),
    MATCH(
      TEXT(C1106,"dd mmm")&amp;" "&amp;D1106,
      'Valor Hora Real y Estimada'!$A$3:$Z$3,
      0
    ) + 1
  ),
  0
)</f>
        <v>0</v>
      </c>
      <c r="O1106" s="453">
        <f t="shared" si="44"/>
        <v>0</v>
      </c>
      <c r="P1106" s="113"/>
      <c r="Q1106" s="106" t="str">
        <f>IF(ISBLANK(O1106), "", VLOOKUP(C1106&amp;" "&amp;D1106, 'Info Tipo de Cambio y REM'!$A$24:$B$35, 2, FALSE))</f>
        <v>#N/A</v>
      </c>
      <c r="R1106" s="107" t="str">
        <f t="shared" si="32"/>
        <v/>
      </c>
    </row>
    <row r="1107" hidden="1">
      <c r="A1107" s="443"/>
      <c r="B1107" s="43" t="str">
        <f>IF(A1107="", "", IFERROR(VLOOKUP(A1107, Clasificaciones!A:B, 2, FALSE), "DATO NO CARGADO"))
</f>
        <v/>
      </c>
      <c r="C1107" s="51"/>
      <c r="D1107" s="102"/>
      <c r="E1107" s="102"/>
      <c r="H1107" s="102"/>
      <c r="J1107" s="102"/>
      <c r="K1107" s="450"/>
      <c r="L1107" s="443"/>
      <c r="M1107" s="450"/>
      <c r="N1107" s="452">
        <f t="array" ref="N1107">IFERROR(
  INDEX(
    'Valor Hora Real y Estimada'!$A$4:$Z$78,
    MATCH(TRIM(CLEAN(A1107)), 'Valor Hora Real y Estimada'!$A$4:$A$78, 0),
    MATCH(
      TEXT(C1107,"dd mmm")&amp;" "&amp;D1107,
      'Valor Hora Real y Estimada'!$A$3:$Z$3,
      0
    ) + 1
  ),
  0
)</f>
        <v>0</v>
      </c>
      <c r="O1107" s="453">
        <f t="shared" si="44"/>
        <v>0</v>
      </c>
      <c r="P1107" s="113"/>
      <c r="Q1107" s="106" t="str">
        <f>IF(ISBLANK(O1107), "", VLOOKUP(C1107&amp;" "&amp;D1107, 'Info Tipo de Cambio y REM'!$A$24:$B$35, 2, FALSE))</f>
        <v>#N/A</v>
      </c>
      <c r="R1107" s="107" t="str">
        <f t="shared" si="32"/>
        <v/>
      </c>
    </row>
    <row r="1108" hidden="1">
      <c r="A1108" s="443"/>
      <c r="B1108" s="43" t="str">
        <f>IF(A1108="", "", IFERROR(VLOOKUP(A1108, Clasificaciones!A:B, 2, FALSE), "DATO NO CARGADO"))
</f>
        <v/>
      </c>
      <c r="C1108" s="51"/>
      <c r="D1108" s="102"/>
      <c r="E1108" s="102"/>
      <c r="H1108" s="102"/>
      <c r="J1108" s="102"/>
      <c r="K1108" s="450"/>
      <c r="L1108" s="443"/>
      <c r="M1108" s="450"/>
      <c r="N1108" s="452">
        <f t="array" ref="N1108">IFERROR(
  INDEX(
    'Valor Hora Real y Estimada'!$A$4:$Z$78,
    MATCH(TRIM(CLEAN(A1108)), 'Valor Hora Real y Estimada'!$A$4:$A$78, 0),
    MATCH(
      TEXT(C1108,"dd mmm")&amp;" "&amp;D1108,
      'Valor Hora Real y Estimada'!$A$3:$Z$3,
      0
    ) + 1
  ),
  0
)</f>
        <v>0</v>
      </c>
      <c r="O1108" s="453">
        <f t="shared" si="44"/>
        <v>0</v>
      </c>
      <c r="P1108" s="113"/>
      <c r="Q1108" s="106" t="str">
        <f>IF(ISBLANK(O1108), "", VLOOKUP(C1108&amp;" "&amp;D1108, 'Info Tipo de Cambio y REM'!$A$24:$B$35, 2, FALSE))</f>
        <v>#N/A</v>
      </c>
      <c r="R1108" s="107" t="str">
        <f t="shared" si="32"/>
        <v/>
      </c>
    </row>
    <row r="1109" hidden="1">
      <c r="A1109" s="443"/>
      <c r="B1109" s="43" t="str">
        <f>IF(A1109="", "", IFERROR(VLOOKUP(A1109, Clasificaciones!A:B, 2, FALSE), "DATO NO CARGADO"))
</f>
        <v/>
      </c>
      <c r="C1109" s="51"/>
      <c r="D1109" s="102"/>
      <c r="E1109" s="102"/>
      <c r="H1109" s="102"/>
      <c r="J1109" s="102"/>
      <c r="K1109" s="450"/>
      <c r="L1109" s="443"/>
      <c r="M1109" s="450"/>
      <c r="N1109" s="452">
        <f t="array" ref="N1109">IFERROR(
  INDEX(
    'Valor Hora Real y Estimada'!$A$4:$Z$78,
    MATCH(TRIM(CLEAN(A1109)), 'Valor Hora Real y Estimada'!$A$4:$A$78, 0),
    MATCH(
      TEXT(C1109,"dd mmm")&amp;" "&amp;D1109,
      'Valor Hora Real y Estimada'!$A$3:$Z$3,
      0
    ) + 1
  ),
  0
)</f>
        <v>0</v>
      </c>
      <c r="O1109" s="453">
        <f t="shared" si="44"/>
        <v>0</v>
      </c>
      <c r="P1109" s="113"/>
      <c r="Q1109" s="106" t="str">
        <f>IF(ISBLANK(O1109), "", VLOOKUP(C1109&amp;" "&amp;D1109, 'Info Tipo de Cambio y REM'!$A$24:$B$35, 2, FALSE))</f>
        <v>#N/A</v>
      </c>
      <c r="R1109" s="107" t="str">
        <f t="shared" si="32"/>
        <v/>
      </c>
    </row>
    <row r="1110" hidden="1">
      <c r="A1110" s="443"/>
      <c r="B1110" s="43" t="str">
        <f>IF(A1110="", "", IFERROR(VLOOKUP(A1110, Clasificaciones!A:B, 2, FALSE), "DATO NO CARGADO"))
</f>
        <v/>
      </c>
      <c r="C1110" s="51"/>
      <c r="D1110" s="102"/>
      <c r="E1110" s="102"/>
      <c r="H1110" s="102"/>
      <c r="J1110" s="102"/>
      <c r="K1110" s="450"/>
      <c r="L1110" s="443"/>
      <c r="M1110" s="450"/>
      <c r="N1110" s="452">
        <f t="array" ref="N1110">IFERROR(
  INDEX(
    'Valor Hora Real y Estimada'!$A$4:$Z$78,
    MATCH(TRIM(CLEAN(A1110)), 'Valor Hora Real y Estimada'!$A$4:$A$78, 0),
    MATCH(
      TEXT(C1110,"dd mmm")&amp;" "&amp;D1110,
      'Valor Hora Real y Estimada'!$A$3:$Z$3,
      0
    ) + 1
  ),
  0
)</f>
        <v>0</v>
      </c>
      <c r="O1110" s="453">
        <f t="shared" si="44"/>
        <v>0</v>
      </c>
      <c r="P1110" s="113"/>
      <c r="Q1110" s="106" t="str">
        <f>IF(ISBLANK(O1110), "", VLOOKUP(C1110&amp;" "&amp;D1110, 'Info Tipo de Cambio y REM'!$A$24:$B$35, 2, FALSE))</f>
        <v>#N/A</v>
      </c>
      <c r="R1110" s="107" t="str">
        <f t="shared" si="32"/>
        <v/>
      </c>
    </row>
    <row r="1111" hidden="1">
      <c r="A1111" s="443"/>
      <c r="B1111" s="43" t="str">
        <f>IF(A1111="", "", IFERROR(VLOOKUP(A1111, Clasificaciones!A:B, 2, FALSE), "DATO NO CARGADO"))
</f>
        <v/>
      </c>
      <c r="C1111" s="51"/>
      <c r="D1111" s="102"/>
      <c r="E1111" s="102"/>
      <c r="H1111" s="102"/>
      <c r="J1111" s="102"/>
      <c r="K1111" s="450"/>
      <c r="L1111" s="443"/>
      <c r="M1111" s="450"/>
      <c r="N1111" s="452">
        <f t="array" ref="N1111">IFERROR(
  INDEX(
    'Valor Hora Real y Estimada'!$A$4:$Z$78,
    MATCH(TRIM(CLEAN(A1111)), 'Valor Hora Real y Estimada'!$A$4:$A$78, 0),
    MATCH(
      TEXT(C1111,"dd mmm")&amp;" "&amp;D1111,
      'Valor Hora Real y Estimada'!$A$3:$Z$3,
      0
    ) + 1
  ),
  0
)</f>
        <v>0</v>
      </c>
      <c r="O1111" s="453">
        <f t="shared" si="44"/>
        <v>0</v>
      </c>
      <c r="P1111" s="113"/>
      <c r="Q1111" s="106" t="str">
        <f>IF(ISBLANK(O1111), "", VLOOKUP(C1111&amp;" "&amp;D1111, 'Info Tipo de Cambio y REM'!$A$24:$B$35, 2, FALSE))</f>
        <v>#N/A</v>
      </c>
      <c r="R1111" s="107" t="str">
        <f t="shared" si="32"/>
        <v/>
      </c>
    </row>
    <row r="1112" hidden="1">
      <c r="A1112" s="443"/>
      <c r="B1112" s="43" t="str">
        <f>IF(A1112="", "", IFERROR(VLOOKUP(A1112, Clasificaciones!A:B, 2, FALSE), "DATO NO CARGADO"))
</f>
        <v/>
      </c>
      <c r="C1112" s="51"/>
      <c r="D1112" s="102"/>
      <c r="E1112" s="102"/>
      <c r="H1112" s="102"/>
      <c r="J1112" s="102"/>
      <c r="K1112" s="450"/>
      <c r="L1112" s="443"/>
      <c r="M1112" s="450"/>
      <c r="N1112" s="452">
        <f t="array" ref="N1112">IFERROR(
  INDEX(
    'Valor Hora Real y Estimada'!$A$4:$Z$78,
    MATCH(TRIM(CLEAN(A1112)), 'Valor Hora Real y Estimada'!$A$4:$A$78, 0),
    MATCH(
      TEXT(C1112,"dd mmm")&amp;" "&amp;D1112,
      'Valor Hora Real y Estimada'!$A$3:$Z$3,
      0
    ) + 1
  ),
  0
)</f>
        <v>0</v>
      </c>
      <c r="O1112" s="453">
        <f t="shared" si="44"/>
        <v>0</v>
      </c>
      <c r="P1112" s="113"/>
      <c r="Q1112" s="106" t="str">
        <f>IF(ISBLANK(O1112), "", VLOOKUP(C1112&amp;" "&amp;D1112, 'Info Tipo de Cambio y REM'!$A$24:$B$35, 2, FALSE))</f>
        <v>#N/A</v>
      </c>
      <c r="R1112" s="107" t="str">
        <f t="shared" si="32"/>
        <v/>
      </c>
    </row>
    <row r="1113" hidden="1">
      <c r="A1113" s="443"/>
      <c r="B1113" s="43" t="str">
        <f>IF(A1113="", "", IFERROR(VLOOKUP(A1113, Clasificaciones!A:B, 2, FALSE), "DATO NO CARGADO"))
</f>
        <v/>
      </c>
      <c r="C1113" s="51"/>
      <c r="D1113" s="102"/>
      <c r="E1113" s="102"/>
      <c r="H1113" s="102"/>
      <c r="J1113" s="102"/>
      <c r="K1113" s="450"/>
      <c r="L1113" s="443"/>
      <c r="M1113" s="450"/>
      <c r="N1113" s="452">
        <f t="array" ref="N1113">IFERROR(
  INDEX(
    'Valor Hora Real y Estimada'!$A$4:$Z$78,
    MATCH(TRIM(CLEAN(A1113)), 'Valor Hora Real y Estimada'!$A$4:$A$78, 0),
    MATCH(
      TEXT(C1113,"dd mmm")&amp;" "&amp;D1113,
      'Valor Hora Real y Estimada'!$A$3:$Z$3,
      0
    ) + 1
  ),
  0
)</f>
        <v>0</v>
      </c>
      <c r="O1113" s="453">
        <f t="shared" si="44"/>
        <v>0</v>
      </c>
      <c r="P1113" s="113"/>
      <c r="Q1113" s="106" t="str">
        <f>IF(ISBLANK(O1113), "", VLOOKUP(C1113&amp;" "&amp;D1113, 'Info Tipo de Cambio y REM'!$A$24:$B$35, 2, FALSE))</f>
        <v>#N/A</v>
      </c>
      <c r="R1113" s="107" t="str">
        <f t="shared" si="32"/>
        <v/>
      </c>
    </row>
    <row r="1114" hidden="1">
      <c r="A1114" s="443"/>
      <c r="B1114" s="43" t="str">
        <f>IF(A1114="", "", IFERROR(VLOOKUP(A1114, Clasificaciones!A:B, 2, FALSE), "DATO NO CARGADO"))
</f>
        <v/>
      </c>
      <c r="C1114" s="51"/>
      <c r="D1114" s="102"/>
      <c r="E1114" s="102"/>
      <c r="H1114" s="102"/>
      <c r="J1114" s="102"/>
      <c r="K1114" s="450"/>
      <c r="L1114" s="443"/>
      <c r="M1114" s="450"/>
      <c r="N1114" s="452">
        <f t="array" ref="N1114">IFERROR(
  INDEX(
    'Valor Hora Real y Estimada'!$A$4:$Z$78,
    MATCH(TRIM(CLEAN(A1114)), 'Valor Hora Real y Estimada'!$A$4:$A$78, 0),
    MATCH(
      TEXT(C1114,"dd mmm")&amp;" "&amp;D1114,
      'Valor Hora Real y Estimada'!$A$3:$Z$3,
      0
    ) + 1
  ),
  0
)</f>
        <v>0</v>
      </c>
      <c r="O1114" s="453">
        <f t="shared" si="44"/>
        <v>0</v>
      </c>
      <c r="P1114" s="113"/>
      <c r="Q1114" s="106" t="str">
        <f>IF(ISBLANK(O1114), "", VLOOKUP(C1114&amp;" "&amp;D1114, 'Info Tipo de Cambio y REM'!$A$24:$B$35, 2, FALSE))</f>
        <v>#N/A</v>
      </c>
      <c r="R1114" s="107" t="str">
        <f t="shared" si="32"/>
        <v/>
      </c>
    </row>
    <row r="1115" hidden="1">
      <c r="A1115" s="443"/>
      <c r="B1115" s="43" t="str">
        <f>IF(A1115="", "", IFERROR(VLOOKUP(A1115, Clasificaciones!A:B, 2, FALSE), "DATO NO CARGADO"))
</f>
        <v/>
      </c>
      <c r="C1115" s="51"/>
      <c r="D1115" s="102"/>
      <c r="E1115" s="102"/>
      <c r="H1115" s="102"/>
      <c r="J1115" s="102"/>
      <c r="K1115" s="450"/>
      <c r="L1115" s="443"/>
      <c r="M1115" s="450"/>
      <c r="N1115" s="452">
        <f t="array" ref="N1115">IFERROR(
  INDEX(
    'Valor Hora Real y Estimada'!$A$4:$Z$78,
    MATCH(TRIM(CLEAN(A1115)), 'Valor Hora Real y Estimada'!$A$4:$A$78, 0),
    MATCH(
      TEXT(C1115,"dd mmm")&amp;" "&amp;D1115,
      'Valor Hora Real y Estimada'!$A$3:$Z$3,
      0
    ) + 1
  ),
  0
)</f>
        <v>0</v>
      </c>
      <c r="O1115" s="453">
        <f t="shared" si="44"/>
        <v>0</v>
      </c>
      <c r="P1115" s="113"/>
      <c r="Q1115" s="106" t="str">
        <f>IF(ISBLANK(O1115), "", VLOOKUP(C1115&amp;" "&amp;D1115, 'Info Tipo de Cambio y REM'!$A$24:$B$35, 2, FALSE))</f>
        <v>#N/A</v>
      </c>
      <c r="R1115" s="107" t="str">
        <f t="shared" si="32"/>
        <v/>
      </c>
    </row>
    <row r="1116" hidden="1">
      <c r="A1116" s="443"/>
      <c r="B1116" s="43" t="str">
        <f>IF(A1116="", "", IFERROR(VLOOKUP(A1116, Clasificaciones!A:B, 2, FALSE), "DATO NO CARGADO"))
</f>
        <v/>
      </c>
      <c r="C1116" s="51"/>
      <c r="D1116" s="102"/>
      <c r="E1116" s="102"/>
      <c r="H1116" s="102"/>
      <c r="J1116" s="102"/>
      <c r="K1116" s="450"/>
      <c r="L1116" s="443"/>
      <c r="M1116" s="450"/>
      <c r="N1116" s="452">
        <f t="array" ref="N1116">IFERROR(
  INDEX(
    'Valor Hora Real y Estimada'!$A$4:$Z$78,
    MATCH(TRIM(CLEAN(A1116)), 'Valor Hora Real y Estimada'!$A$4:$A$78, 0),
    MATCH(
      TEXT(C1116,"dd mmm")&amp;" "&amp;D1116,
      'Valor Hora Real y Estimada'!$A$3:$Z$3,
      0
    ) + 1
  ),
  0
)</f>
        <v>0</v>
      </c>
      <c r="O1116" s="453">
        <f t="shared" si="44"/>
        <v>0</v>
      </c>
      <c r="P1116" s="113"/>
      <c r="Q1116" s="106" t="str">
        <f>IF(ISBLANK(O1116), "", VLOOKUP(C1116&amp;" "&amp;D1116, 'Info Tipo de Cambio y REM'!$A$24:$B$35, 2, FALSE))</f>
        <v>#N/A</v>
      </c>
      <c r="R1116" s="107" t="str">
        <f t="shared" si="32"/>
        <v/>
      </c>
    </row>
    <row r="1117" hidden="1">
      <c r="A1117" s="443"/>
      <c r="B1117" s="43" t="str">
        <f>IF(A1117="", "", IFERROR(VLOOKUP(A1117, Clasificaciones!A:B, 2, FALSE), "DATO NO CARGADO"))
</f>
        <v/>
      </c>
      <c r="C1117" s="51"/>
      <c r="D1117" s="102"/>
      <c r="E1117" s="102"/>
      <c r="H1117" s="102"/>
      <c r="J1117" s="102"/>
      <c r="K1117" s="450"/>
      <c r="L1117" s="443"/>
      <c r="M1117" s="450"/>
      <c r="N1117" s="452">
        <f t="array" ref="N1117">IFERROR(
  INDEX(
    'Valor Hora Real y Estimada'!$A$4:$Z$78,
    MATCH(TRIM(CLEAN(A1117)), 'Valor Hora Real y Estimada'!$A$4:$A$78, 0),
    MATCH(
      TEXT(C1117,"dd mmm")&amp;" "&amp;D1117,
      'Valor Hora Real y Estimada'!$A$3:$Z$3,
      0
    ) + 1
  ),
  0
)</f>
        <v>0</v>
      </c>
      <c r="O1117" s="453">
        <f t="shared" si="44"/>
        <v>0</v>
      </c>
      <c r="P1117" s="113"/>
      <c r="Q1117" s="106" t="str">
        <f>IF(ISBLANK(O1117), "", VLOOKUP(C1117&amp;" "&amp;D1117, 'Info Tipo de Cambio y REM'!$A$24:$B$35, 2, FALSE))</f>
        <v>#N/A</v>
      </c>
      <c r="R1117" s="107" t="str">
        <f t="shared" si="32"/>
        <v/>
      </c>
    </row>
    <row r="1118" hidden="1">
      <c r="A1118" s="443"/>
      <c r="B1118" s="43" t="str">
        <f>IF(A1118="", "", IFERROR(VLOOKUP(A1118, Clasificaciones!A:B, 2, FALSE), "DATO NO CARGADO"))
</f>
        <v/>
      </c>
      <c r="C1118" s="51"/>
      <c r="D1118" s="102"/>
      <c r="E1118" s="102"/>
      <c r="H1118" s="102"/>
      <c r="J1118" s="102"/>
      <c r="K1118" s="450"/>
      <c r="L1118" s="443"/>
      <c r="M1118" s="450"/>
      <c r="N1118" s="452">
        <f t="array" ref="N1118">IFERROR(
  INDEX(
    'Valor Hora Real y Estimada'!$A$4:$Z$78,
    MATCH(TRIM(CLEAN(A1118)), 'Valor Hora Real y Estimada'!$A$4:$A$78, 0),
    MATCH(
      TEXT(C1118,"dd mmm")&amp;" "&amp;D1118,
      'Valor Hora Real y Estimada'!$A$3:$Z$3,
      0
    ) + 1
  ),
  0
)</f>
        <v>0</v>
      </c>
      <c r="O1118" s="453">
        <f t="shared" si="44"/>
        <v>0</v>
      </c>
      <c r="P1118" s="113"/>
      <c r="Q1118" s="106" t="str">
        <f>IF(ISBLANK(O1118), "", VLOOKUP(C1118&amp;" "&amp;D1118, 'Info Tipo de Cambio y REM'!$A$24:$B$35, 2, FALSE))</f>
        <v>#N/A</v>
      </c>
      <c r="R1118" s="107" t="str">
        <f t="shared" si="32"/>
        <v/>
      </c>
    </row>
    <row r="1119" hidden="1">
      <c r="A1119" s="443"/>
      <c r="B1119" s="43" t="str">
        <f>IF(A1119="", "", IFERROR(VLOOKUP(A1119, Clasificaciones!A:B, 2, FALSE), "DATO NO CARGADO"))
</f>
        <v/>
      </c>
      <c r="C1119" s="51"/>
      <c r="D1119" s="102"/>
      <c r="E1119" s="102"/>
      <c r="H1119" s="102"/>
      <c r="J1119" s="102"/>
      <c r="K1119" s="450"/>
      <c r="L1119" s="443"/>
      <c r="M1119" s="450"/>
      <c r="N1119" s="452">
        <f t="array" ref="N1119">IFERROR(
  INDEX(
    'Valor Hora Real y Estimada'!$A$4:$Z$78,
    MATCH(TRIM(CLEAN(A1119)), 'Valor Hora Real y Estimada'!$A$4:$A$78, 0),
    MATCH(
      TEXT(C1119,"dd mmm")&amp;" "&amp;D1119,
      'Valor Hora Real y Estimada'!$A$3:$Z$3,
      0
    ) + 1
  ),
  0
)</f>
        <v>0</v>
      </c>
      <c r="O1119" s="453">
        <f t="shared" si="44"/>
        <v>0</v>
      </c>
      <c r="P1119" s="113"/>
      <c r="Q1119" s="106" t="str">
        <f>IF(ISBLANK(O1119), "", VLOOKUP(C1119&amp;" "&amp;D1119, 'Info Tipo de Cambio y REM'!$A$24:$B$35, 2, FALSE))</f>
        <v>#N/A</v>
      </c>
      <c r="R1119" s="107" t="str">
        <f t="shared" si="32"/>
        <v/>
      </c>
    </row>
    <row r="1120" hidden="1">
      <c r="A1120" s="443"/>
      <c r="B1120" s="43" t="str">
        <f>IF(A1120="", "", IFERROR(VLOOKUP(A1120, Clasificaciones!A:B, 2, FALSE), "DATO NO CARGADO"))
</f>
        <v/>
      </c>
      <c r="C1120" s="51"/>
      <c r="D1120" s="102"/>
      <c r="E1120" s="102"/>
      <c r="H1120" s="102"/>
      <c r="J1120" s="102"/>
      <c r="K1120" s="450"/>
      <c r="L1120" s="443"/>
      <c r="M1120" s="450"/>
      <c r="N1120" s="452">
        <f t="array" ref="N1120">IFERROR(
  INDEX(
    'Valor Hora Real y Estimada'!$A$4:$Z$78,
    MATCH(TRIM(CLEAN(A1120)), 'Valor Hora Real y Estimada'!$A$4:$A$78, 0),
    MATCH(
      TEXT(C1120,"dd mmm")&amp;" "&amp;D1120,
      'Valor Hora Real y Estimada'!$A$3:$Z$3,
      0
    ) + 1
  ),
  0
)</f>
        <v>0</v>
      </c>
      <c r="O1120" s="453">
        <f t="shared" si="44"/>
        <v>0</v>
      </c>
      <c r="P1120" s="113"/>
      <c r="Q1120" s="106" t="str">
        <f>IF(ISBLANK(O1120), "", VLOOKUP(C1120&amp;" "&amp;D1120, 'Info Tipo de Cambio y REM'!$A$24:$B$35, 2, FALSE))</f>
        <v>#N/A</v>
      </c>
      <c r="R1120" s="107" t="str">
        <f t="shared" si="32"/>
        <v/>
      </c>
    </row>
    <row r="1121" hidden="1">
      <c r="A1121" s="443"/>
      <c r="B1121" s="43" t="str">
        <f>IF(A1121="", "", IFERROR(VLOOKUP(A1121, Clasificaciones!A:B, 2, FALSE), "DATO NO CARGADO"))
</f>
        <v/>
      </c>
      <c r="C1121" s="51"/>
      <c r="D1121" s="102"/>
      <c r="E1121" s="102"/>
      <c r="H1121" s="102"/>
      <c r="J1121" s="102"/>
      <c r="K1121" s="450"/>
      <c r="L1121" s="443"/>
      <c r="M1121" s="450"/>
      <c r="N1121" s="452">
        <f t="array" ref="N1121">IFERROR(
  INDEX(
    'Valor Hora Real y Estimada'!$A$4:$Z$78,
    MATCH(TRIM(CLEAN(A1121)), 'Valor Hora Real y Estimada'!$A$4:$A$78, 0),
    MATCH(
      TEXT(C1121,"dd mmm")&amp;" "&amp;D1121,
      'Valor Hora Real y Estimada'!$A$3:$Z$3,
      0
    ) + 1
  ),
  0
)</f>
        <v>0</v>
      </c>
      <c r="O1121" s="453">
        <f t="shared" si="44"/>
        <v>0</v>
      </c>
      <c r="P1121" s="113"/>
      <c r="Q1121" s="106" t="str">
        <f>IF(ISBLANK(O1121), "", VLOOKUP(C1121&amp;" "&amp;D1121, 'Info Tipo de Cambio y REM'!$A$24:$B$35, 2, FALSE))</f>
        <v>#N/A</v>
      </c>
      <c r="R1121" s="107" t="str">
        <f t="shared" si="32"/>
        <v/>
      </c>
    </row>
    <row r="1122" hidden="1">
      <c r="A1122" s="443"/>
      <c r="B1122" s="43" t="str">
        <f>IF(A1122="", "", IFERROR(VLOOKUP(A1122, Clasificaciones!A:B, 2, FALSE), "DATO NO CARGADO"))
</f>
        <v/>
      </c>
      <c r="C1122" s="51"/>
      <c r="D1122" s="102"/>
      <c r="E1122" s="102"/>
      <c r="H1122" s="102"/>
      <c r="J1122" s="102"/>
      <c r="K1122" s="450"/>
      <c r="L1122" s="443"/>
      <c r="M1122" s="450"/>
      <c r="N1122" s="452">
        <f t="array" ref="N1122">IFERROR(
  INDEX(
    'Valor Hora Real y Estimada'!$A$4:$Z$78,
    MATCH(TRIM(CLEAN(A1122)), 'Valor Hora Real y Estimada'!$A$4:$A$78, 0),
    MATCH(
      TEXT(C1122,"dd mmm")&amp;" "&amp;D1122,
      'Valor Hora Real y Estimada'!$A$3:$Z$3,
      0
    ) + 1
  ),
  0
)</f>
        <v>0</v>
      </c>
      <c r="O1122" s="453">
        <f t="shared" si="44"/>
        <v>0</v>
      </c>
      <c r="P1122" s="113"/>
      <c r="Q1122" s="106" t="str">
        <f>IF(ISBLANK(O1122), "", VLOOKUP(C1122&amp;" "&amp;D1122, 'Info Tipo de Cambio y REM'!$A$24:$B$35, 2, FALSE))</f>
        <v>#N/A</v>
      </c>
      <c r="R1122" s="107" t="str">
        <f t="shared" si="32"/>
        <v/>
      </c>
    </row>
    <row r="1123" hidden="1">
      <c r="A1123" s="443"/>
      <c r="B1123" s="43" t="str">
        <f>IF(A1123="", "", IFERROR(VLOOKUP(A1123, Clasificaciones!A:B, 2, FALSE), "DATO NO CARGADO"))
</f>
        <v/>
      </c>
      <c r="C1123" s="51"/>
      <c r="D1123" s="102"/>
      <c r="E1123" s="102"/>
      <c r="H1123" s="102"/>
      <c r="J1123" s="102"/>
      <c r="K1123" s="450"/>
      <c r="L1123" s="443"/>
      <c r="M1123" s="450"/>
      <c r="N1123" s="452">
        <f t="array" ref="N1123">IFERROR(
  INDEX(
    'Valor Hora Real y Estimada'!$A$4:$Z$78,
    MATCH(TRIM(CLEAN(A1123)), 'Valor Hora Real y Estimada'!$A$4:$A$78, 0),
    MATCH(
      TEXT(C1123,"dd mmm")&amp;" "&amp;D1123,
      'Valor Hora Real y Estimada'!$A$3:$Z$3,
      0
    ) + 1
  ),
  0
)</f>
        <v>0</v>
      </c>
      <c r="O1123" s="453">
        <f t="shared" si="44"/>
        <v>0</v>
      </c>
      <c r="P1123" s="113"/>
      <c r="Q1123" s="106" t="str">
        <f>IF(ISBLANK(O1123), "", VLOOKUP(C1123&amp;" "&amp;D1123, 'Info Tipo de Cambio y REM'!$A$24:$B$35, 2, FALSE))</f>
        <v>#N/A</v>
      </c>
      <c r="R1123" s="107" t="str">
        <f t="shared" si="32"/>
        <v/>
      </c>
    </row>
    <row r="1124" hidden="1">
      <c r="A1124" s="443"/>
      <c r="B1124" s="43" t="str">
        <f>IF(A1124="", "", IFERROR(VLOOKUP(A1124, Clasificaciones!A:B, 2, FALSE), "DATO NO CARGADO"))
</f>
        <v/>
      </c>
      <c r="C1124" s="51"/>
      <c r="D1124" s="102"/>
      <c r="E1124" s="102"/>
      <c r="H1124" s="102"/>
      <c r="J1124" s="102"/>
      <c r="K1124" s="450"/>
      <c r="L1124" s="443"/>
      <c r="M1124" s="450"/>
      <c r="N1124" s="452">
        <f t="array" ref="N1124">IFERROR(
  INDEX(
    'Valor Hora Real y Estimada'!$A$4:$Z$78,
    MATCH(TRIM(CLEAN(A1124)), 'Valor Hora Real y Estimada'!$A$4:$A$78, 0),
    MATCH(
      TEXT(C1124,"dd mmm")&amp;" "&amp;D1124,
      'Valor Hora Real y Estimada'!$A$3:$Z$3,
      0
    ) + 1
  ),
  0
)</f>
        <v>0</v>
      </c>
      <c r="O1124" s="453">
        <f t="shared" si="44"/>
        <v>0</v>
      </c>
      <c r="P1124" s="113"/>
      <c r="Q1124" s="106" t="str">
        <f>IF(ISBLANK(O1124), "", VLOOKUP(C1124&amp;" "&amp;D1124, 'Info Tipo de Cambio y REM'!$A$24:$B$35, 2, FALSE))</f>
        <v>#N/A</v>
      </c>
      <c r="R1124" s="107" t="str">
        <f t="shared" si="32"/>
        <v/>
      </c>
    </row>
    <row r="1125" hidden="1">
      <c r="A1125" s="443"/>
      <c r="B1125" s="43" t="str">
        <f>IF(A1125="", "", IFERROR(VLOOKUP(A1125, Clasificaciones!A:B, 2, FALSE), "DATO NO CARGADO"))
</f>
        <v/>
      </c>
      <c r="C1125" s="51"/>
      <c r="D1125" s="102"/>
      <c r="E1125" s="102"/>
      <c r="H1125" s="102"/>
      <c r="J1125" s="102"/>
      <c r="K1125" s="450"/>
      <c r="L1125" s="443"/>
      <c r="M1125" s="450"/>
      <c r="N1125" s="452">
        <f t="array" ref="N1125">IFERROR(
  INDEX(
    'Valor Hora Real y Estimada'!$A$4:$Z$78,
    MATCH(TRIM(CLEAN(A1125)), 'Valor Hora Real y Estimada'!$A$4:$A$78, 0),
    MATCH(
      TEXT(C1125,"dd mmm")&amp;" "&amp;D1125,
      'Valor Hora Real y Estimada'!$A$3:$Z$3,
      0
    ) + 1
  ),
  0
)</f>
        <v>0</v>
      </c>
      <c r="O1125" s="453">
        <f t="shared" si="44"/>
        <v>0</v>
      </c>
      <c r="P1125" s="113"/>
      <c r="Q1125" s="106" t="str">
        <f>IF(ISBLANK(O1125), "", VLOOKUP(C1125&amp;" "&amp;D1125, 'Info Tipo de Cambio y REM'!$A$24:$B$35, 2, FALSE))</f>
        <v>#N/A</v>
      </c>
      <c r="R1125" s="107" t="str">
        <f t="shared" si="32"/>
        <v/>
      </c>
    </row>
    <row r="1126" hidden="1">
      <c r="A1126" s="443"/>
      <c r="B1126" s="43" t="str">
        <f>IF(A1126="", "", IFERROR(VLOOKUP(A1126, Clasificaciones!A:B, 2, FALSE), "DATO NO CARGADO"))
</f>
        <v/>
      </c>
      <c r="C1126" s="51"/>
      <c r="D1126" s="102"/>
      <c r="E1126" s="102"/>
      <c r="H1126" s="102"/>
      <c r="J1126" s="102"/>
      <c r="K1126" s="450"/>
      <c r="L1126" s="443"/>
      <c r="M1126" s="450"/>
      <c r="N1126" s="452">
        <f t="array" ref="N1126">IFERROR(
  INDEX(
    'Valor Hora Real y Estimada'!$A$4:$Z$78,
    MATCH(TRIM(CLEAN(A1126)), 'Valor Hora Real y Estimada'!$A$4:$A$78, 0),
    MATCH(
      TEXT(C1126,"dd mmm")&amp;" "&amp;D1126,
      'Valor Hora Real y Estimada'!$A$3:$Z$3,
      0
    ) + 1
  ),
  0
)</f>
        <v>0</v>
      </c>
      <c r="O1126" s="453">
        <f t="shared" si="44"/>
        <v>0</v>
      </c>
      <c r="P1126" s="113"/>
      <c r="Q1126" s="106" t="str">
        <f>IF(ISBLANK(O1126), "", VLOOKUP(C1126&amp;" "&amp;D1126, 'Info Tipo de Cambio y REM'!$A$24:$B$35, 2, FALSE))</f>
        <v>#N/A</v>
      </c>
      <c r="R1126" s="107" t="str">
        <f t="shared" si="32"/>
        <v/>
      </c>
    </row>
    <row r="1127" hidden="1">
      <c r="A1127" s="443"/>
      <c r="B1127" s="43" t="str">
        <f>IF(A1127="", "", IFERROR(VLOOKUP(A1127, Clasificaciones!A:B, 2, FALSE), "DATO NO CARGADO"))
</f>
        <v/>
      </c>
      <c r="C1127" s="51"/>
      <c r="D1127" s="102"/>
      <c r="E1127" s="102"/>
      <c r="H1127" s="102"/>
      <c r="J1127" s="102"/>
      <c r="K1127" s="450"/>
      <c r="L1127" s="443"/>
      <c r="M1127" s="450"/>
      <c r="N1127" s="452">
        <f t="array" ref="N1127">IFERROR(
  INDEX(
    'Valor Hora Real y Estimada'!$A$4:$Z$78,
    MATCH(TRIM(CLEAN(A1127)), 'Valor Hora Real y Estimada'!$A$4:$A$78, 0),
    MATCH(
      TEXT(C1127,"dd mmm")&amp;" "&amp;D1127,
      'Valor Hora Real y Estimada'!$A$3:$Z$3,
      0
    ) + 1
  ),
  0
)</f>
        <v>0</v>
      </c>
      <c r="O1127" s="453">
        <f t="shared" si="44"/>
        <v>0</v>
      </c>
      <c r="P1127" s="113"/>
      <c r="Q1127" s="106" t="str">
        <f>IF(ISBLANK(O1127), "", VLOOKUP(C1127&amp;" "&amp;D1127, 'Info Tipo de Cambio y REM'!$A$24:$B$35, 2, FALSE))</f>
        <v>#N/A</v>
      </c>
      <c r="R1127" s="107" t="str">
        <f t="shared" si="32"/>
        <v/>
      </c>
    </row>
    <row r="1128" hidden="1">
      <c r="A1128" s="443"/>
      <c r="B1128" s="43" t="str">
        <f>IF(A1128="", "", IFERROR(VLOOKUP(A1128, Clasificaciones!A:B, 2, FALSE), "DATO NO CARGADO"))
</f>
        <v/>
      </c>
      <c r="C1128" s="51"/>
      <c r="D1128" s="102"/>
      <c r="E1128" s="102"/>
      <c r="H1128" s="102"/>
      <c r="J1128" s="102"/>
      <c r="K1128" s="450"/>
      <c r="L1128" s="443"/>
      <c r="M1128" s="450"/>
      <c r="N1128" s="452">
        <f t="array" ref="N1128">IFERROR(
  INDEX(
    'Valor Hora Real y Estimada'!$A$4:$Z$78,
    MATCH(TRIM(CLEAN(A1128)), 'Valor Hora Real y Estimada'!$A$4:$A$78, 0),
    MATCH(
      TEXT(C1128,"dd mmm")&amp;" "&amp;D1128,
      'Valor Hora Real y Estimada'!$A$3:$Z$3,
      0
    ) + 1
  ),
  0
)</f>
        <v>0</v>
      </c>
      <c r="O1128" s="453">
        <f t="shared" si="44"/>
        <v>0</v>
      </c>
      <c r="P1128" s="113"/>
      <c r="Q1128" s="106" t="str">
        <f>IF(ISBLANK(O1128), "", VLOOKUP(C1128&amp;" "&amp;D1128, 'Info Tipo de Cambio y REM'!$A$24:$B$35, 2, FALSE))</f>
        <v>#N/A</v>
      </c>
      <c r="R1128" s="107" t="str">
        <f t="shared" si="32"/>
        <v/>
      </c>
    </row>
    <row r="1129" hidden="1">
      <c r="A1129" s="443"/>
      <c r="B1129" s="43" t="str">
        <f>IF(A1129="", "", IFERROR(VLOOKUP(A1129, Clasificaciones!A:B, 2, FALSE), "DATO NO CARGADO"))
</f>
        <v/>
      </c>
      <c r="C1129" s="51"/>
      <c r="D1129" s="102"/>
      <c r="E1129" s="102"/>
      <c r="H1129" s="102"/>
      <c r="J1129" s="102"/>
      <c r="K1129" s="450"/>
      <c r="L1129" s="443"/>
      <c r="M1129" s="450"/>
      <c r="N1129" s="452">
        <f t="array" ref="N1129">IFERROR(
  INDEX(
    'Valor Hora Real y Estimada'!$A$4:$Z$78,
    MATCH(TRIM(CLEAN(A1129)), 'Valor Hora Real y Estimada'!$A$4:$A$78, 0),
    MATCH(
      TEXT(C1129,"dd mmm")&amp;" "&amp;D1129,
      'Valor Hora Real y Estimada'!$A$3:$Z$3,
      0
    ) + 1
  ),
  0
)</f>
        <v>0</v>
      </c>
      <c r="O1129" s="453">
        <f t="shared" si="44"/>
        <v>0</v>
      </c>
      <c r="P1129" s="113"/>
      <c r="Q1129" s="106" t="str">
        <f>IF(ISBLANK(O1129), "", VLOOKUP(C1129&amp;" "&amp;D1129, 'Info Tipo de Cambio y REM'!$A$24:$B$35, 2, FALSE))</f>
        <v>#N/A</v>
      </c>
      <c r="R1129" s="107" t="str">
        <f t="shared" si="32"/>
        <v/>
      </c>
    </row>
    <row r="1130" hidden="1">
      <c r="A1130" s="443"/>
      <c r="B1130" s="43" t="str">
        <f>IF(A1130="", "", IFERROR(VLOOKUP(A1130, Clasificaciones!A:B, 2, FALSE), "DATO NO CARGADO"))
</f>
        <v/>
      </c>
      <c r="C1130" s="51"/>
      <c r="D1130" s="102"/>
      <c r="E1130" s="102"/>
      <c r="H1130" s="102"/>
      <c r="J1130" s="102"/>
      <c r="K1130" s="450"/>
      <c r="L1130" s="443"/>
      <c r="M1130" s="450"/>
      <c r="N1130" s="452">
        <f t="array" ref="N1130">IFERROR(
  INDEX(
    'Valor Hora Real y Estimada'!$A$4:$Z$78,
    MATCH(TRIM(CLEAN(A1130)), 'Valor Hora Real y Estimada'!$A$4:$A$78, 0),
    MATCH(
      TEXT(C1130,"dd mmm")&amp;" "&amp;D1130,
      'Valor Hora Real y Estimada'!$A$3:$Z$3,
      0
    ) + 1
  ),
  0
)</f>
        <v>0</v>
      </c>
      <c r="O1130" s="453">
        <f t="shared" si="44"/>
        <v>0</v>
      </c>
      <c r="P1130" s="113"/>
      <c r="Q1130" s="106" t="str">
        <f>IF(ISBLANK(O1130), "", VLOOKUP(C1130&amp;" "&amp;D1130, 'Info Tipo de Cambio y REM'!$A$24:$B$35, 2, FALSE))</f>
        <v>#N/A</v>
      </c>
      <c r="R1130" s="107" t="str">
        <f t="shared" si="32"/>
        <v/>
      </c>
    </row>
    <row r="1131" hidden="1">
      <c r="A1131" s="443"/>
      <c r="B1131" s="43" t="str">
        <f>IF(A1131="", "", IFERROR(VLOOKUP(A1131, Clasificaciones!A:B, 2, FALSE), "DATO NO CARGADO"))
</f>
        <v/>
      </c>
      <c r="C1131" s="51"/>
      <c r="D1131" s="102"/>
      <c r="E1131" s="102"/>
      <c r="H1131" s="102"/>
      <c r="J1131" s="102"/>
      <c r="K1131" s="450"/>
      <c r="L1131" s="443"/>
      <c r="M1131" s="450"/>
      <c r="N1131" s="452">
        <f t="array" ref="N1131">IFERROR(
  INDEX(
    'Valor Hora Real y Estimada'!$A$4:$Z$78,
    MATCH(TRIM(CLEAN(A1131)), 'Valor Hora Real y Estimada'!$A$4:$A$78, 0),
    MATCH(
      TEXT(C1131,"dd mmm")&amp;" "&amp;D1131,
      'Valor Hora Real y Estimada'!$A$3:$Z$3,
      0
    ) + 1
  ),
  0
)</f>
        <v>0</v>
      </c>
      <c r="O1131" s="453">
        <f t="shared" si="44"/>
        <v>0</v>
      </c>
      <c r="P1131" s="113"/>
      <c r="Q1131" s="106" t="str">
        <f>IF(ISBLANK(O1131), "", VLOOKUP(C1131&amp;" "&amp;D1131, 'Info Tipo de Cambio y REM'!$A$24:$B$35, 2, FALSE))</f>
        <v>#N/A</v>
      </c>
      <c r="R1131" s="107" t="str">
        <f t="shared" si="32"/>
        <v/>
      </c>
    </row>
    <row r="1132" hidden="1">
      <c r="A1132" s="443"/>
      <c r="B1132" s="43" t="str">
        <f>IF(A1132="", "", IFERROR(VLOOKUP(A1132, Clasificaciones!A:B, 2, FALSE), "DATO NO CARGADO"))
</f>
        <v/>
      </c>
      <c r="C1132" s="51"/>
      <c r="D1132" s="102"/>
      <c r="E1132" s="102"/>
      <c r="H1132" s="102"/>
      <c r="J1132" s="102"/>
      <c r="K1132" s="450"/>
      <c r="L1132" s="443"/>
      <c r="M1132" s="450"/>
      <c r="N1132" s="452">
        <f t="array" ref="N1132">IFERROR(
  INDEX(
    'Valor Hora Real y Estimada'!$A$4:$Z$78,
    MATCH(TRIM(CLEAN(A1132)), 'Valor Hora Real y Estimada'!$A$4:$A$78, 0),
    MATCH(
      TEXT(C1132,"dd mmm")&amp;" "&amp;D1132,
      'Valor Hora Real y Estimada'!$A$3:$Z$3,
      0
    ) + 1
  ),
  0
)</f>
        <v>0</v>
      </c>
      <c r="O1132" s="453">
        <f t="shared" si="44"/>
        <v>0</v>
      </c>
      <c r="P1132" s="113"/>
      <c r="Q1132" s="106" t="str">
        <f>IF(ISBLANK(O1132), "", VLOOKUP(C1132&amp;" "&amp;D1132, 'Info Tipo de Cambio y REM'!$A$24:$B$35, 2, FALSE))</f>
        <v>#N/A</v>
      </c>
      <c r="R1132" s="107" t="str">
        <f t="shared" si="32"/>
        <v/>
      </c>
    </row>
    <row r="1133" hidden="1">
      <c r="A1133" s="443"/>
      <c r="B1133" s="43" t="str">
        <f>IF(A1133="", "", IFERROR(VLOOKUP(A1133, Clasificaciones!A:B, 2, FALSE), "DATO NO CARGADO"))
</f>
        <v/>
      </c>
      <c r="C1133" s="51"/>
      <c r="D1133" s="102"/>
      <c r="E1133" s="102"/>
      <c r="H1133" s="102"/>
      <c r="J1133" s="102"/>
      <c r="K1133" s="450"/>
      <c r="L1133" s="443"/>
      <c r="M1133" s="450"/>
      <c r="N1133" s="452">
        <f t="array" ref="N1133">IFERROR(
  INDEX(
    'Valor Hora Real y Estimada'!$A$4:$Z$78,
    MATCH(TRIM(CLEAN(A1133)), 'Valor Hora Real y Estimada'!$A$4:$A$78, 0),
    MATCH(
      TEXT(C1133,"dd mmm")&amp;" "&amp;D1133,
      'Valor Hora Real y Estimada'!$A$3:$Z$3,
      0
    ) + 1
  ),
  0
)</f>
        <v>0</v>
      </c>
      <c r="O1133" s="453">
        <f t="shared" si="44"/>
        <v>0</v>
      </c>
      <c r="P1133" s="113"/>
      <c r="Q1133" s="106" t="str">
        <f>IF(ISBLANK(O1133), "", VLOOKUP(C1133&amp;" "&amp;D1133, 'Info Tipo de Cambio y REM'!$A$24:$B$35, 2, FALSE))</f>
        <v>#N/A</v>
      </c>
      <c r="R1133" s="107" t="str">
        <f t="shared" si="32"/>
        <v/>
      </c>
    </row>
    <row r="1134" hidden="1">
      <c r="A1134" s="443"/>
      <c r="B1134" s="43" t="str">
        <f>IF(A1134="", "", IFERROR(VLOOKUP(A1134, Clasificaciones!A:B, 2, FALSE), "DATO NO CARGADO"))
</f>
        <v/>
      </c>
      <c r="C1134" s="51"/>
      <c r="D1134" s="102"/>
      <c r="E1134" s="102"/>
      <c r="H1134" s="102"/>
      <c r="J1134" s="102"/>
      <c r="K1134" s="450"/>
      <c r="L1134" s="443"/>
      <c r="M1134" s="450"/>
      <c r="N1134" s="452">
        <f t="array" ref="N1134">IFERROR(
  INDEX(
    'Valor Hora Real y Estimada'!$A$4:$Z$78,
    MATCH(TRIM(CLEAN(A1134)), 'Valor Hora Real y Estimada'!$A$4:$A$78, 0),
    MATCH(
      TEXT(C1134,"dd mmm")&amp;" "&amp;D1134,
      'Valor Hora Real y Estimada'!$A$3:$Z$3,
      0
    ) + 1
  ),
  0
)</f>
        <v>0</v>
      </c>
      <c r="O1134" s="453">
        <f t="shared" si="44"/>
        <v>0</v>
      </c>
      <c r="P1134" s="113"/>
      <c r="Q1134" s="106" t="str">
        <f>IF(ISBLANK(O1134), "", VLOOKUP(C1134&amp;" "&amp;D1134, 'Info Tipo de Cambio y REM'!$A$24:$B$35, 2, FALSE))</f>
        <v>#N/A</v>
      </c>
      <c r="R1134" s="107" t="str">
        <f t="shared" si="32"/>
        <v/>
      </c>
    </row>
    <row r="1135" hidden="1">
      <c r="A1135" s="443"/>
      <c r="B1135" s="43" t="str">
        <f>IF(A1135="", "", IFERROR(VLOOKUP(A1135, Clasificaciones!A:B, 2, FALSE), "DATO NO CARGADO"))
</f>
        <v/>
      </c>
      <c r="C1135" s="51"/>
      <c r="D1135" s="102"/>
      <c r="E1135" s="102"/>
      <c r="H1135" s="102"/>
      <c r="J1135" s="102"/>
      <c r="K1135" s="450"/>
      <c r="L1135" s="443"/>
      <c r="M1135" s="450"/>
      <c r="N1135" s="452">
        <f t="array" ref="N1135">IFERROR(
  INDEX(
    'Valor Hora Real y Estimada'!$A$4:$Z$78,
    MATCH(TRIM(CLEAN(A1135)), 'Valor Hora Real y Estimada'!$A$4:$A$78, 0),
    MATCH(
      TEXT(C1135,"dd mmm")&amp;" "&amp;D1135,
      'Valor Hora Real y Estimada'!$A$3:$Z$3,
      0
    ) + 1
  ),
  0
)</f>
        <v>0</v>
      </c>
      <c r="O1135" s="453">
        <f t="shared" si="44"/>
        <v>0</v>
      </c>
      <c r="P1135" s="113"/>
      <c r="Q1135" s="106" t="str">
        <f>IF(ISBLANK(O1135), "", VLOOKUP(C1135&amp;" "&amp;D1135, 'Info Tipo de Cambio y REM'!$A$24:$B$35, 2, FALSE))</f>
        <v>#N/A</v>
      </c>
      <c r="R1135" s="107" t="str">
        <f t="shared" si="32"/>
        <v/>
      </c>
    </row>
    <row r="1136" hidden="1">
      <c r="A1136" s="443"/>
      <c r="B1136" s="43" t="str">
        <f>IF(A1136="", "", IFERROR(VLOOKUP(A1136, Clasificaciones!A:B, 2, FALSE), "DATO NO CARGADO"))
</f>
        <v/>
      </c>
      <c r="C1136" s="51"/>
      <c r="D1136" s="102"/>
      <c r="E1136" s="102"/>
      <c r="H1136" s="102"/>
      <c r="J1136" s="102"/>
      <c r="K1136" s="450"/>
      <c r="L1136" s="443"/>
      <c r="M1136" s="450"/>
      <c r="N1136" s="452">
        <f t="array" ref="N1136">IFERROR(
  INDEX(
    'Valor Hora Real y Estimada'!$A$4:$Z$78,
    MATCH(TRIM(CLEAN(A1136)), 'Valor Hora Real y Estimada'!$A$4:$A$78, 0),
    MATCH(
      TEXT(C1136,"dd mmm")&amp;" "&amp;D1136,
      'Valor Hora Real y Estimada'!$A$3:$Z$3,
      0
    ) + 1
  ),
  0
)</f>
        <v>0</v>
      </c>
      <c r="O1136" s="453">
        <f t="shared" si="44"/>
        <v>0</v>
      </c>
      <c r="P1136" s="113"/>
      <c r="Q1136" s="106" t="str">
        <f>IF(ISBLANK(O1136), "", VLOOKUP(C1136&amp;" "&amp;D1136, 'Info Tipo de Cambio y REM'!$A$24:$B$35, 2, FALSE))</f>
        <v>#N/A</v>
      </c>
      <c r="R1136" s="107" t="str">
        <f t="shared" si="32"/>
        <v/>
      </c>
    </row>
    <row r="1137" hidden="1">
      <c r="A1137" s="443"/>
      <c r="B1137" s="43" t="str">
        <f>IF(A1137="", "", IFERROR(VLOOKUP(A1137, Clasificaciones!A:B, 2, FALSE), "DATO NO CARGADO"))
</f>
        <v/>
      </c>
      <c r="C1137" s="51"/>
      <c r="D1137" s="102"/>
      <c r="E1137" s="102"/>
      <c r="H1137" s="102"/>
      <c r="J1137" s="102"/>
      <c r="K1137" s="450"/>
      <c r="L1137" s="443"/>
      <c r="M1137" s="450"/>
      <c r="N1137" s="452">
        <f t="array" ref="N1137">IFERROR(
  INDEX(
    'Valor Hora Real y Estimada'!$A$4:$Z$78,
    MATCH(TRIM(CLEAN(A1137)), 'Valor Hora Real y Estimada'!$A$4:$A$78, 0),
    MATCH(
      TEXT(C1137,"dd mmm")&amp;" "&amp;D1137,
      'Valor Hora Real y Estimada'!$A$3:$Z$3,
      0
    ) + 1
  ),
  0
)</f>
        <v>0</v>
      </c>
      <c r="O1137" s="453">
        <f t="shared" si="44"/>
        <v>0</v>
      </c>
      <c r="P1137" s="113"/>
      <c r="Q1137" s="106" t="str">
        <f>IF(ISBLANK(O1137), "", VLOOKUP(C1137&amp;" "&amp;D1137, 'Info Tipo de Cambio y REM'!$A$24:$B$35, 2, FALSE))</f>
        <v>#N/A</v>
      </c>
      <c r="R1137" s="107" t="str">
        <f t="shared" si="32"/>
        <v/>
      </c>
    </row>
    <row r="1138" hidden="1">
      <c r="A1138" s="443"/>
      <c r="B1138" s="43" t="str">
        <f>IF(A1138="", "", IFERROR(VLOOKUP(A1138, Clasificaciones!A:B, 2, FALSE), "DATO NO CARGADO"))
</f>
        <v/>
      </c>
      <c r="C1138" s="51"/>
      <c r="D1138" s="102"/>
      <c r="E1138" s="102"/>
      <c r="H1138" s="102"/>
      <c r="J1138" s="102"/>
      <c r="K1138" s="450"/>
      <c r="L1138" s="443"/>
      <c r="M1138" s="450"/>
      <c r="N1138" s="452">
        <f t="array" ref="N1138">IFERROR(
  INDEX(
    'Valor Hora Real y Estimada'!$A$4:$Z$78,
    MATCH(TRIM(CLEAN(A1138)), 'Valor Hora Real y Estimada'!$A$4:$A$78, 0),
    MATCH(
      TEXT(C1138,"dd mmm")&amp;" "&amp;D1138,
      'Valor Hora Real y Estimada'!$A$3:$Z$3,
      0
    ) + 1
  ),
  0
)</f>
        <v>0</v>
      </c>
      <c r="O1138" s="453">
        <f t="shared" si="44"/>
        <v>0</v>
      </c>
      <c r="P1138" s="113"/>
      <c r="Q1138" s="106" t="str">
        <f>IF(ISBLANK(O1138), "", VLOOKUP(C1138&amp;" "&amp;D1138, 'Info Tipo de Cambio y REM'!$A$24:$B$35, 2, FALSE))</f>
        <v>#N/A</v>
      </c>
      <c r="R1138" s="107" t="str">
        <f t="shared" si="32"/>
        <v/>
      </c>
    </row>
    <row r="1139" hidden="1">
      <c r="A1139" s="443"/>
      <c r="B1139" s="43" t="str">
        <f>IF(A1139="", "", IFERROR(VLOOKUP(A1139, Clasificaciones!A:B, 2, FALSE), "DATO NO CARGADO"))
</f>
        <v/>
      </c>
      <c r="C1139" s="51"/>
      <c r="D1139" s="102"/>
      <c r="E1139" s="102"/>
      <c r="H1139" s="102"/>
      <c r="J1139" s="102"/>
      <c r="K1139" s="450"/>
      <c r="L1139" s="443"/>
      <c r="M1139" s="450"/>
      <c r="N1139" s="452">
        <f t="array" ref="N1139">IFERROR(
  INDEX(
    'Valor Hora Real y Estimada'!$A$4:$Z$78,
    MATCH(TRIM(CLEAN(A1139)), 'Valor Hora Real y Estimada'!$A$4:$A$78, 0),
    MATCH(
      TEXT(C1139,"dd mmm")&amp;" "&amp;D1139,
      'Valor Hora Real y Estimada'!$A$3:$Z$3,
      0
    ) + 1
  ),
  0
)</f>
        <v>0</v>
      </c>
      <c r="O1139" s="453">
        <f t="shared" si="44"/>
        <v>0</v>
      </c>
      <c r="P1139" s="113"/>
      <c r="Q1139" s="106" t="str">
        <f>IF(ISBLANK(O1139), "", VLOOKUP(C1139&amp;" "&amp;D1139, 'Info Tipo de Cambio y REM'!$A$24:$B$35, 2, FALSE))</f>
        <v>#N/A</v>
      </c>
      <c r="R1139" s="107" t="str">
        <f t="shared" si="32"/>
        <v/>
      </c>
    </row>
    <row r="1140" hidden="1">
      <c r="A1140" s="443"/>
      <c r="B1140" s="43" t="str">
        <f>IF(A1140="", "", IFERROR(VLOOKUP(A1140, Clasificaciones!A:B, 2, FALSE), "DATO NO CARGADO"))
</f>
        <v/>
      </c>
      <c r="C1140" s="51"/>
      <c r="D1140" s="102"/>
      <c r="E1140" s="102"/>
      <c r="H1140" s="102"/>
      <c r="J1140" s="102"/>
      <c r="K1140" s="450"/>
      <c r="L1140" s="443"/>
      <c r="M1140" s="450"/>
      <c r="N1140" s="452">
        <f t="array" ref="N1140">IFERROR(
  INDEX(
    'Valor Hora Real y Estimada'!$A$4:$Z$78,
    MATCH(TRIM(CLEAN(A1140)), 'Valor Hora Real y Estimada'!$A$4:$A$78, 0),
    MATCH(
      TEXT(C1140,"dd mmm")&amp;" "&amp;D1140,
      'Valor Hora Real y Estimada'!$A$3:$Z$3,
      0
    ) + 1
  ),
  0
)</f>
        <v>0</v>
      </c>
      <c r="O1140" s="453">
        <f t="shared" si="44"/>
        <v>0</v>
      </c>
      <c r="P1140" s="113"/>
      <c r="Q1140" s="106" t="str">
        <f>IF(ISBLANK(O1140), "", VLOOKUP(C1140&amp;" "&amp;D1140, 'Info Tipo de Cambio y REM'!$A$24:$B$35, 2, FALSE))</f>
        <v>#N/A</v>
      </c>
      <c r="R1140" s="107" t="str">
        <f t="shared" si="32"/>
        <v/>
      </c>
    </row>
    <row r="1141" hidden="1">
      <c r="A1141" s="443"/>
      <c r="B1141" s="43" t="str">
        <f>IF(A1141="", "", IFERROR(VLOOKUP(A1141, Clasificaciones!A:B, 2, FALSE), "DATO NO CARGADO"))
</f>
        <v/>
      </c>
      <c r="C1141" s="51"/>
      <c r="D1141" s="102"/>
      <c r="E1141" s="102"/>
      <c r="H1141" s="102"/>
      <c r="J1141" s="102"/>
      <c r="K1141" s="450"/>
      <c r="L1141" s="443"/>
      <c r="M1141" s="450"/>
      <c r="N1141" s="452">
        <f t="array" ref="N1141">IFERROR(
  INDEX(
    'Valor Hora Real y Estimada'!$A$4:$Z$78,
    MATCH(TRIM(CLEAN(A1141)), 'Valor Hora Real y Estimada'!$A$4:$A$78, 0),
    MATCH(
      TEXT(C1141,"dd mmm")&amp;" "&amp;D1141,
      'Valor Hora Real y Estimada'!$A$3:$Z$3,
      0
    ) + 1
  ),
  0
)</f>
        <v>0</v>
      </c>
      <c r="O1141" s="453">
        <f t="shared" si="44"/>
        <v>0</v>
      </c>
      <c r="P1141" s="113"/>
      <c r="Q1141" s="106" t="str">
        <f>IF(ISBLANK(O1141), "", VLOOKUP(C1141&amp;" "&amp;D1141, 'Info Tipo de Cambio y REM'!$A$24:$B$35, 2, FALSE))</f>
        <v>#N/A</v>
      </c>
      <c r="R1141" s="107" t="str">
        <f t="shared" si="32"/>
        <v/>
      </c>
    </row>
    <row r="1142" hidden="1">
      <c r="A1142" s="443"/>
      <c r="B1142" s="43" t="str">
        <f>IF(A1142="", "", IFERROR(VLOOKUP(A1142, Clasificaciones!A:B, 2, FALSE), "DATO NO CARGADO"))
</f>
        <v/>
      </c>
      <c r="C1142" s="51"/>
      <c r="D1142" s="102"/>
      <c r="E1142" s="102"/>
      <c r="H1142" s="102"/>
      <c r="J1142" s="102"/>
      <c r="K1142" s="450"/>
      <c r="L1142" s="443"/>
      <c r="M1142" s="450"/>
      <c r="N1142" s="452">
        <f t="array" ref="N1142">IFERROR(
  INDEX(
    'Valor Hora Real y Estimada'!$A$4:$Z$78,
    MATCH(TRIM(CLEAN(A1142)), 'Valor Hora Real y Estimada'!$A$4:$A$78, 0),
    MATCH(
      TEXT(C1142,"dd mmm")&amp;" "&amp;D1142,
      'Valor Hora Real y Estimada'!$A$3:$Z$3,
      0
    ) + 1
  ),
  0
)</f>
        <v>0</v>
      </c>
      <c r="O1142" s="453">
        <f t="shared" si="44"/>
        <v>0</v>
      </c>
      <c r="P1142" s="113"/>
      <c r="Q1142" s="106" t="str">
        <f>IF(ISBLANK(O1142), "", VLOOKUP(C1142&amp;" "&amp;D1142, 'Info Tipo de Cambio y REM'!$A$24:$B$35, 2, FALSE))</f>
        <v>#N/A</v>
      </c>
      <c r="R1142" s="107" t="str">
        <f t="shared" si="32"/>
        <v/>
      </c>
    </row>
    <row r="1143" hidden="1">
      <c r="A1143" s="443"/>
      <c r="B1143" s="43" t="str">
        <f>IF(A1143="", "", IFERROR(VLOOKUP(A1143, Clasificaciones!A:B, 2, FALSE), "DATO NO CARGADO"))
</f>
        <v/>
      </c>
      <c r="C1143" s="51"/>
      <c r="D1143" s="102"/>
      <c r="E1143" s="102"/>
      <c r="H1143" s="102"/>
      <c r="J1143" s="102"/>
      <c r="K1143" s="450"/>
      <c r="L1143" s="443"/>
      <c r="M1143" s="450"/>
      <c r="N1143" s="452">
        <f t="array" ref="N1143">IFERROR(
  INDEX(
    'Valor Hora Real y Estimada'!$A$4:$Z$78,
    MATCH(TRIM(CLEAN(A1143)), 'Valor Hora Real y Estimada'!$A$4:$A$78, 0),
    MATCH(
      TEXT(C1143,"dd mmm")&amp;" "&amp;D1143,
      'Valor Hora Real y Estimada'!$A$3:$Z$3,
      0
    ) + 1
  ),
  0
)</f>
        <v>0</v>
      </c>
      <c r="O1143" s="453">
        <f t="shared" si="44"/>
        <v>0</v>
      </c>
      <c r="P1143" s="113"/>
      <c r="Q1143" s="106" t="str">
        <f>IF(ISBLANK(O1143), "", VLOOKUP(C1143&amp;" "&amp;D1143, 'Info Tipo de Cambio y REM'!$A$24:$B$35, 2, FALSE))</f>
        <v>#N/A</v>
      </c>
      <c r="R1143" s="107" t="str">
        <f t="shared" si="32"/>
        <v/>
      </c>
    </row>
    <row r="1144" hidden="1">
      <c r="A1144" s="443"/>
      <c r="B1144" s="43" t="str">
        <f>IF(A1144="", "", IFERROR(VLOOKUP(A1144, Clasificaciones!A:B, 2, FALSE), "DATO NO CARGADO"))
</f>
        <v/>
      </c>
      <c r="C1144" s="51"/>
      <c r="D1144" s="102"/>
      <c r="E1144" s="102"/>
      <c r="H1144" s="102"/>
      <c r="J1144" s="102"/>
      <c r="K1144" s="450"/>
      <c r="L1144" s="443"/>
      <c r="M1144" s="450"/>
      <c r="N1144" s="452">
        <f t="array" ref="N1144">IFERROR(
  INDEX(
    'Valor Hora Real y Estimada'!$A$4:$Z$78,
    MATCH(TRIM(CLEAN(A1144)), 'Valor Hora Real y Estimada'!$A$4:$A$78, 0),
    MATCH(
      TEXT(C1144,"dd mmm")&amp;" "&amp;D1144,
      'Valor Hora Real y Estimada'!$A$3:$Z$3,
      0
    ) + 1
  ),
  0
)</f>
        <v>0</v>
      </c>
      <c r="O1144" s="453">
        <f t="shared" si="44"/>
        <v>0</v>
      </c>
      <c r="P1144" s="113"/>
      <c r="Q1144" s="106" t="str">
        <f>IF(ISBLANK(O1144), "", VLOOKUP(C1144&amp;" "&amp;D1144, 'Info Tipo de Cambio y REM'!$A$24:$B$35, 2, FALSE))</f>
        <v>#N/A</v>
      </c>
      <c r="R1144" s="107" t="str">
        <f t="shared" si="32"/>
        <v/>
      </c>
    </row>
    <row r="1145" hidden="1">
      <c r="A1145" s="443"/>
      <c r="B1145" s="43" t="str">
        <f>IF(A1145="", "", IFERROR(VLOOKUP(A1145, Clasificaciones!A:B, 2, FALSE), "DATO NO CARGADO"))
</f>
        <v/>
      </c>
      <c r="C1145" s="51"/>
      <c r="D1145" s="102"/>
      <c r="E1145" s="102"/>
      <c r="H1145" s="102"/>
      <c r="J1145" s="102"/>
      <c r="K1145" s="450"/>
      <c r="L1145" s="443"/>
      <c r="M1145" s="450"/>
      <c r="N1145" s="452">
        <f t="array" ref="N1145">IFERROR(
  INDEX(
    'Valor Hora Real y Estimada'!$A$4:$Z$78,
    MATCH(TRIM(CLEAN(A1145)), 'Valor Hora Real y Estimada'!$A$4:$A$78, 0),
    MATCH(
      TEXT(C1145,"dd mmm")&amp;" "&amp;D1145,
      'Valor Hora Real y Estimada'!$A$3:$Z$3,
      0
    ) + 1
  ),
  0
)</f>
        <v>0</v>
      </c>
      <c r="O1145" s="453">
        <f t="shared" si="44"/>
        <v>0</v>
      </c>
      <c r="P1145" s="113"/>
      <c r="Q1145" s="106" t="str">
        <f>IF(ISBLANK(O1145), "", VLOOKUP(C1145&amp;" "&amp;D1145, 'Info Tipo de Cambio y REM'!$A$24:$B$35, 2, FALSE))</f>
        <v>#N/A</v>
      </c>
      <c r="R1145" s="107" t="str">
        <f t="shared" si="32"/>
        <v/>
      </c>
    </row>
    <row r="1146" hidden="1">
      <c r="A1146" s="443"/>
      <c r="B1146" s="43" t="str">
        <f>IF(A1146="", "", IFERROR(VLOOKUP(A1146, Clasificaciones!A:B, 2, FALSE), "DATO NO CARGADO"))
</f>
        <v/>
      </c>
      <c r="C1146" s="51"/>
      <c r="D1146" s="102"/>
      <c r="E1146" s="102"/>
      <c r="H1146" s="102"/>
      <c r="J1146" s="102"/>
      <c r="K1146" s="450"/>
      <c r="L1146" s="443"/>
      <c r="M1146" s="450"/>
      <c r="N1146" s="452">
        <f t="array" ref="N1146">IFERROR(
  INDEX(
    'Valor Hora Real y Estimada'!$A$4:$Z$78,
    MATCH(TRIM(CLEAN(A1146)), 'Valor Hora Real y Estimada'!$A$4:$A$78, 0),
    MATCH(
      TEXT(C1146,"dd mmm")&amp;" "&amp;D1146,
      'Valor Hora Real y Estimada'!$A$3:$Z$3,
      0
    ) + 1
  ),
  0
)</f>
        <v>0</v>
      </c>
      <c r="O1146" s="453">
        <f t="shared" si="44"/>
        <v>0</v>
      </c>
      <c r="P1146" s="113"/>
      <c r="Q1146" s="106" t="str">
        <f>IF(ISBLANK(O1146), "", VLOOKUP(C1146&amp;" "&amp;D1146, 'Info Tipo de Cambio y REM'!$A$24:$B$35, 2, FALSE))</f>
        <v>#N/A</v>
      </c>
      <c r="R1146" s="107" t="str">
        <f t="shared" si="32"/>
        <v/>
      </c>
    </row>
    <row r="1147" hidden="1">
      <c r="A1147" s="443"/>
      <c r="B1147" s="43" t="str">
        <f>IF(A1147="", "", IFERROR(VLOOKUP(A1147, Clasificaciones!A:B, 2, FALSE), "DATO NO CARGADO"))
</f>
        <v/>
      </c>
      <c r="C1147" s="51"/>
      <c r="D1147" s="102"/>
      <c r="E1147" s="102"/>
      <c r="H1147" s="102"/>
      <c r="J1147" s="102"/>
      <c r="K1147" s="450"/>
      <c r="L1147" s="443"/>
      <c r="M1147" s="450"/>
      <c r="N1147" s="452">
        <f t="array" ref="N1147">IFERROR(
  INDEX(
    'Valor Hora Real y Estimada'!$A$4:$Z$78,
    MATCH(TRIM(CLEAN(A1147)), 'Valor Hora Real y Estimada'!$A$4:$A$78, 0),
    MATCH(
      TEXT(C1147,"dd mmm")&amp;" "&amp;D1147,
      'Valor Hora Real y Estimada'!$A$3:$Z$3,
      0
    ) + 1
  ),
  0
)</f>
        <v>0</v>
      </c>
      <c r="O1147" s="453">
        <f t="shared" si="44"/>
        <v>0</v>
      </c>
      <c r="P1147" s="113"/>
      <c r="Q1147" s="106" t="str">
        <f>IF(ISBLANK(O1147), "", VLOOKUP(C1147&amp;" "&amp;D1147, 'Info Tipo de Cambio y REM'!$A$24:$B$35, 2, FALSE))</f>
        <v>#N/A</v>
      </c>
      <c r="R1147" s="107" t="str">
        <f t="shared" si="32"/>
        <v/>
      </c>
    </row>
    <row r="1148" hidden="1">
      <c r="A1148" s="443"/>
      <c r="B1148" s="43" t="str">
        <f>IF(A1148="", "", IFERROR(VLOOKUP(A1148, Clasificaciones!A:B, 2, FALSE), "DATO NO CARGADO"))
</f>
        <v/>
      </c>
      <c r="C1148" s="51"/>
      <c r="D1148" s="102"/>
      <c r="E1148" s="102"/>
      <c r="H1148" s="102"/>
      <c r="J1148" s="102"/>
      <c r="K1148" s="450"/>
      <c r="L1148" s="443"/>
      <c r="M1148" s="450"/>
      <c r="N1148" s="452">
        <f t="array" ref="N1148">IFERROR(
  INDEX(
    'Valor Hora Real y Estimada'!$A$4:$Z$78,
    MATCH(TRIM(CLEAN(A1148)), 'Valor Hora Real y Estimada'!$A$4:$A$78, 0),
    MATCH(
      TEXT(C1148,"dd mmm")&amp;" "&amp;D1148,
      'Valor Hora Real y Estimada'!$A$3:$Z$3,
      0
    ) + 1
  ),
  0
)</f>
        <v>0</v>
      </c>
      <c r="O1148" s="453">
        <f t="shared" si="44"/>
        <v>0</v>
      </c>
      <c r="P1148" s="113"/>
      <c r="Q1148" s="106" t="str">
        <f>IF(ISBLANK(O1148), "", VLOOKUP(C1148&amp;" "&amp;D1148, 'Info Tipo de Cambio y REM'!$A$24:$B$35, 2, FALSE))</f>
        <v>#N/A</v>
      </c>
      <c r="R1148" s="107" t="str">
        <f t="shared" si="32"/>
        <v/>
      </c>
    </row>
    <row r="1149" hidden="1">
      <c r="A1149" s="443"/>
      <c r="B1149" s="43" t="str">
        <f>IF(A1149="", "", IFERROR(VLOOKUP(A1149, Clasificaciones!A:B, 2, FALSE), "DATO NO CARGADO"))
</f>
        <v/>
      </c>
      <c r="C1149" s="51"/>
      <c r="D1149" s="102"/>
      <c r="E1149" s="102"/>
      <c r="H1149" s="102"/>
      <c r="J1149" s="102"/>
      <c r="K1149" s="450"/>
      <c r="L1149" s="443"/>
      <c r="M1149" s="450"/>
      <c r="N1149" s="452">
        <f t="array" ref="N1149">IFERROR(
  INDEX(
    'Valor Hora Real y Estimada'!$A$4:$Z$78,
    MATCH(TRIM(CLEAN(A1149)), 'Valor Hora Real y Estimada'!$A$4:$A$78, 0),
    MATCH(
      TEXT(C1149,"dd mmm")&amp;" "&amp;D1149,
      'Valor Hora Real y Estimada'!$A$3:$Z$3,
      0
    ) + 1
  ),
  0
)</f>
        <v>0</v>
      </c>
      <c r="O1149" s="453">
        <f t="shared" si="44"/>
        <v>0</v>
      </c>
      <c r="P1149" s="113"/>
      <c r="Q1149" s="106" t="str">
        <f>IF(ISBLANK(O1149), "", VLOOKUP(C1149&amp;" "&amp;D1149, 'Info Tipo de Cambio y REM'!$A$24:$B$35, 2, FALSE))</f>
        <v>#N/A</v>
      </c>
      <c r="R1149" s="107" t="str">
        <f t="shared" si="32"/>
        <v/>
      </c>
    </row>
    <row r="1150" hidden="1">
      <c r="A1150" s="443"/>
      <c r="B1150" s="43" t="str">
        <f>IF(A1150="", "", IFERROR(VLOOKUP(A1150, Clasificaciones!A:B, 2, FALSE), "DATO NO CARGADO"))
</f>
        <v/>
      </c>
      <c r="C1150" s="51"/>
      <c r="D1150" s="102"/>
      <c r="E1150" s="102"/>
      <c r="H1150" s="102"/>
      <c r="J1150" s="102"/>
      <c r="K1150" s="450"/>
      <c r="L1150" s="443"/>
      <c r="M1150" s="450"/>
      <c r="N1150" s="452">
        <f t="array" ref="N1150">IFERROR(
  INDEX(
    'Valor Hora Real y Estimada'!$A$4:$Z$78,
    MATCH(TRIM(CLEAN(A1150)), 'Valor Hora Real y Estimada'!$A$4:$A$78, 0),
    MATCH(
      TEXT(C1150,"dd mmm")&amp;" "&amp;D1150,
      'Valor Hora Real y Estimada'!$A$3:$Z$3,
      0
    ) + 1
  ),
  0
)</f>
        <v>0</v>
      </c>
      <c r="O1150" s="453">
        <f t="shared" si="44"/>
        <v>0</v>
      </c>
      <c r="P1150" s="113"/>
      <c r="Q1150" s="106" t="str">
        <f>IF(ISBLANK(O1150), "", VLOOKUP(C1150&amp;" "&amp;D1150, 'Info Tipo de Cambio y REM'!$A$24:$B$35, 2, FALSE))</f>
        <v>#N/A</v>
      </c>
      <c r="R1150" s="107" t="str">
        <f t="shared" si="32"/>
        <v/>
      </c>
    </row>
    <row r="1151" hidden="1">
      <c r="A1151" s="443"/>
      <c r="B1151" s="43" t="str">
        <f>IF(A1151="", "", IFERROR(VLOOKUP(A1151, Clasificaciones!A:B, 2, FALSE), "DATO NO CARGADO"))
</f>
        <v/>
      </c>
      <c r="C1151" s="51"/>
      <c r="D1151" s="102"/>
      <c r="E1151" s="102"/>
      <c r="H1151" s="102"/>
      <c r="J1151" s="102"/>
      <c r="K1151" s="450"/>
      <c r="L1151" s="443"/>
      <c r="M1151" s="450"/>
      <c r="N1151" s="452">
        <f t="array" ref="N1151">IFERROR(
  INDEX(
    'Valor Hora Real y Estimada'!$A$4:$Z$78,
    MATCH(TRIM(CLEAN(A1151)), 'Valor Hora Real y Estimada'!$A$4:$A$78, 0),
    MATCH(
      TEXT(C1151,"dd mmm")&amp;" "&amp;D1151,
      'Valor Hora Real y Estimada'!$A$3:$Z$3,
      0
    ) + 1
  ),
  0
)</f>
        <v>0</v>
      </c>
      <c r="O1151" s="453">
        <f t="shared" si="44"/>
        <v>0</v>
      </c>
      <c r="P1151" s="113"/>
      <c r="Q1151" s="106" t="str">
        <f>IF(ISBLANK(O1151), "", VLOOKUP(C1151&amp;" "&amp;D1151, 'Info Tipo de Cambio y REM'!$A$24:$B$35, 2, FALSE))</f>
        <v>#N/A</v>
      </c>
      <c r="R1151" s="107" t="str">
        <f t="shared" si="32"/>
        <v/>
      </c>
    </row>
    <row r="1152" hidden="1">
      <c r="A1152" s="443"/>
      <c r="B1152" s="43" t="str">
        <f>IF(A1152="", "", IFERROR(VLOOKUP(A1152, Clasificaciones!A:B, 2, FALSE), "DATO NO CARGADO"))
</f>
        <v/>
      </c>
      <c r="C1152" s="51"/>
      <c r="D1152" s="102"/>
      <c r="E1152" s="102"/>
      <c r="H1152" s="102"/>
      <c r="J1152" s="102"/>
      <c r="K1152" s="450"/>
      <c r="L1152" s="443"/>
      <c r="M1152" s="450"/>
      <c r="N1152" s="452">
        <f t="array" ref="N1152">IFERROR(
  INDEX(
    'Valor Hora Real y Estimada'!$A$4:$Z$78,
    MATCH(TRIM(CLEAN(A1152)), 'Valor Hora Real y Estimada'!$A$4:$A$78, 0),
    MATCH(
      TEXT(C1152,"dd mmm")&amp;" "&amp;D1152,
      'Valor Hora Real y Estimada'!$A$3:$Z$3,
      0
    ) + 1
  ),
  0
)</f>
        <v>0</v>
      </c>
      <c r="O1152" s="453">
        <f t="shared" si="44"/>
        <v>0</v>
      </c>
      <c r="P1152" s="113"/>
      <c r="Q1152" s="106" t="str">
        <f>IF(ISBLANK(O1152), "", VLOOKUP(C1152&amp;" "&amp;D1152, 'Info Tipo de Cambio y REM'!$A$24:$B$35, 2, FALSE))</f>
        <v>#N/A</v>
      </c>
      <c r="R1152" s="107" t="str">
        <f t="shared" si="32"/>
        <v/>
      </c>
    </row>
    <row r="1153" hidden="1">
      <c r="A1153" s="443"/>
      <c r="B1153" s="43" t="str">
        <f>IF(A1153="", "", IFERROR(VLOOKUP(A1153, Clasificaciones!A:B, 2, FALSE), "DATO NO CARGADO"))
</f>
        <v/>
      </c>
      <c r="C1153" s="51"/>
      <c r="D1153" s="102"/>
      <c r="E1153" s="102"/>
      <c r="H1153" s="102"/>
      <c r="J1153" s="102"/>
      <c r="K1153" s="450"/>
      <c r="L1153" s="443"/>
      <c r="M1153" s="450"/>
      <c r="N1153" s="452">
        <f t="array" ref="N1153">IFERROR(
  INDEX(
    'Valor Hora Real y Estimada'!$A$4:$Z$78,
    MATCH(TRIM(CLEAN(A1153)), 'Valor Hora Real y Estimada'!$A$4:$A$78, 0),
    MATCH(
      TEXT(C1153,"dd mmm")&amp;" "&amp;D1153,
      'Valor Hora Real y Estimada'!$A$3:$Z$3,
      0
    ) + 1
  ),
  0
)</f>
        <v>0</v>
      </c>
      <c r="O1153" s="453">
        <f t="shared" si="44"/>
        <v>0</v>
      </c>
      <c r="P1153" s="113"/>
      <c r="Q1153" s="106" t="str">
        <f>IF(ISBLANK(O1153), "", VLOOKUP(C1153&amp;" "&amp;D1153, 'Info Tipo de Cambio y REM'!$A$24:$B$35, 2, FALSE))</f>
        <v>#N/A</v>
      </c>
      <c r="R1153" s="107" t="str">
        <f t="shared" si="32"/>
        <v/>
      </c>
    </row>
    <row r="1154" hidden="1">
      <c r="A1154" s="443"/>
      <c r="B1154" s="43" t="str">
        <f>IF(A1154="", "", IFERROR(VLOOKUP(A1154, Clasificaciones!A:B, 2, FALSE), "DATO NO CARGADO"))
</f>
        <v/>
      </c>
      <c r="C1154" s="51"/>
      <c r="D1154" s="102"/>
      <c r="E1154" s="102"/>
      <c r="H1154" s="102"/>
      <c r="J1154" s="102"/>
      <c r="K1154" s="450"/>
      <c r="L1154" s="443"/>
      <c r="M1154" s="450"/>
      <c r="N1154" s="452">
        <f t="array" ref="N1154">IFERROR(
  INDEX(
    'Valor Hora Real y Estimada'!$A$4:$Z$78,
    MATCH(TRIM(CLEAN(A1154)), 'Valor Hora Real y Estimada'!$A$4:$A$78, 0),
    MATCH(
      TEXT(C1154,"dd mmm")&amp;" "&amp;D1154,
      'Valor Hora Real y Estimada'!$A$3:$Z$3,
      0
    ) + 1
  ),
  0
)</f>
        <v>0</v>
      </c>
      <c r="O1154" s="453">
        <f t="shared" si="44"/>
        <v>0</v>
      </c>
      <c r="P1154" s="113"/>
      <c r="Q1154" s="106" t="str">
        <f>IF(ISBLANK(O1154), "", VLOOKUP(C1154&amp;" "&amp;D1154, 'Info Tipo de Cambio y REM'!$A$24:$B$35, 2, FALSE))</f>
        <v>#N/A</v>
      </c>
      <c r="R1154" s="107" t="str">
        <f t="shared" si="32"/>
        <v/>
      </c>
    </row>
    <row r="1155" hidden="1">
      <c r="A1155" s="443"/>
      <c r="B1155" s="43" t="str">
        <f>IF(A1155="", "", IFERROR(VLOOKUP(A1155, Clasificaciones!A:B, 2, FALSE), "DATO NO CARGADO"))
</f>
        <v/>
      </c>
      <c r="C1155" s="51"/>
      <c r="D1155" s="102"/>
      <c r="E1155" s="102"/>
      <c r="H1155" s="102"/>
      <c r="J1155" s="102"/>
      <c r="K1155" s="450"/>
      <c r="L1155" s="443"/>
      <c r="M1155" s="450"/>
      <c r="N1155" s="452">
        <f t="array" ref="N1155">IFERROR(
  INDEX(
    'Valor Hora Real y Estimada'!$A$4:$Z$78,
    MATCH(TRIM(CLEAN(A1155)), 'Valor Hora Real y Estimada'!$A$4:$A$78, 0),
    MATCH(
      TEXT(C1155,"dd mmm")&amp;" "&amp;D1155,
      'Valor Hora Real y Estimada'!$A$3:$Z$3,
      0
    ) + 1
  ),
  0
)</f>
        <v>0</v>
      </c>
      <c r="O1155" s="453">
        <f t="shared" si="44"/>
        <v>0</v>
      </c>
      <c r="P1155" s="113"/>
      <c r="Q1155" s="106" t="str">
        <f>IF(ISBLANK(O1155), "", VLOOKUP(C1155&amp;" "&amp;D1155, 'Info Tipo de Cambio y REM'!$A$24:$B$35, 2, FALSE))</f>
        <v>#N/A</v>
      </c>
      <c r="R1155" s="107" t="str">
        <f t="shared" si="32"/>
        <v/>
      </c>
    </row>
    <row r="1156" hidden="1">
      <c r="A1156" s="443"/>
      <c r="B1156" s="43" t="str">
        <f>IF(A1156="", "", IFERROR(VLOOKUP(A1156, Clasificaciones!A:B, 2, FALSE), "DATO NO CARGADO"))
</f>
        <v/>
      </c>
      <c r="C1156" s="51"/>
      <c r="D1156" s="102"/>
      <c r="E1156" s="102"/>
      <c r="H1156" s="102"/>
      <c r="J1156" s="102"/>
      <c r="K1156" s="450"/>
      <c r="L1156" s="443"/>
      <c r="M1156" s="450"/>
      <c r="N1156" s="452">
        <f t="array" ref="N1156">IFERROR(
  INDEX(
    'Valor Hora Real y Estimada'!$A$4:$Z$78,
    MATCH(TRIM(CLEAN(A1156)), 'Valor Hora Real y Estimada'!$A$4:$A$78, 0),
    MATCH(
      TEXT(C1156,"dd mmm")&amp;" "&amp;D1156,
      'Valor Hora Real y Estimada'!$A$3:$Z$3,
      0
    ) + 1
  ),
  0
)</f>
        <v>0</v>
      </c>
      <c r="O1156" s="453">
        <f t="shared" si="44"/>
        <v>0</v>
      </c>
      <c r="P1156" s="113"/>
      <c r="Q1156" s="106" t="str">
        <f>IF(ISBLANK(O1156), "", VLOOKUP(C1156&amp;" "&amp;D1156, 'Info Tipo de Cambio y REM'!$A$24:$B$35, 2, FALSE))</f>
        <v>#N/A</v>
      </c>
      <c r="R1156" s="107" t="str">
        <f t="shared" si="32"/>
        <v/>
      </c>
    </row>
    <row r="1157" hidden="1">
      <c r="A1157" s="443"/>
      <c r="B1157" s="43" t="str">
        <f>IF(A1157="", "", IFERROR(VLOOKUP(A1157, Clasificaciones!A:B, 2, FALSE), "DATO NO CARGADO"))
</f>
        <v/>
      </c>
      <c r="C1157" s="51"/>
      <c r="D1157" s="102"/>
      <c r="E1157" s="102"/>
      <c r="H1157" s="102"/>
      <c r="J1157" s="102"/>
      <c r="K1157" s="450"/>
      <c r="L1157" s="443"/>
      <c r="M1157" s="450"/>
      <c r="N1157" s="452">
        <f t="array" ref="N1157">IFERROR(
  INDEX(
    'Valor Hora Real y Estimada'!$A$4:$Z$78,
    MATCH(TRIM(CLEAN(A1157)), 'Valor Hora Real y Estimada'!$A$4:$A$78, 0),
    MATCH(
      TEXT(C1157,"dd mmm")&amp;" "&amp;D1157,
      'Valor Hora Real y Estimada'!$A$3:$Z$3,
      0
    ) + 1
  ),
  0
)</f>
        <v>0</v>
      </c>
      <c r="O1157" s="453">
        <f t="shared" si="44"/>
        <v>0</v>
      </c>
      <c r="P1157" s="113"/>
      <c r="Q1157" s="106" t="str">
        <f>IF(ISBLANK(O1157), "", VLOOKUP(C1157&amp;" "&amp;D1157, 'Info Tipo de Cambio y REM'!$A$24:$B$35, 2, FALSE))</f>
        <v>#N/A</v>
      </c>
      <c r="R1157" s="107" t="str">
        <f t="shared" si="32"/>
        <v/>
      </c>
    </row>
    <row r="1158" hidden="1">
      <c r="A1158" s="443"/>
      <c r="B1158" s="43" t="str">
        <f>IF(A1158="", "", IFERROR(VLOOKUP(A1158, Clasificaciones!A:B, 2, FALSE), "DATO NO CARGADO"))
</f>
        <v/>
      </c>
      <c r="C1158" s="51"/>
      <c r="D1158" s="102"/>
      <c r="E1158" s="102"/>
      <c r="H1158" s="102"/>
      <c r="J1158" s="102"/>
      <c r="K1158" s="450"/>
      <c r="L1158" s="443"/>
      <c r="M1158" s="450"/>
      <c r="N1158" s="452">
        <f t="array" ref="N1158">IFERROR(
  INDEX(
    'Valor Hora Real y Estimada'!$A$4:$Z$78,
    MATCH(TRIM(CLEAN(A1158)), 'Valor Hora Real y Estimada'!$A$4:$A$78, 0),
    MATCH(
      TEXT(C1158,"dd mmm")&amp;" "&amp;D1158,
      'Valor Hora Real y Estimada'!$A$3:$Z$3,
      0
    ) + 1
  ),
  0
)</f>
        <v>0</v>
      </c>
      <c r="O1158" s="453">
        <f t="shared" si="44"/>
        <v>0</v>
      </c>
      <c r="P1158" s="113"/>
      <c r="Q1158" s="106" t="str">
        <f>IF(ISBLANK(O1158), "", VLOOKUP(C1158&amp;" "&amp;D1158, 'Info Tipo de Cambio y REM'!$A$24:$B$35, 2, FALSE))</f>
        <v>#N/A</v>
      </c>
      <c r="R1158" s="107" t="str">
        <f t="shared" si="32"/>
        <v/>
      </c>
    </row>
    <row r="1159" hidden="1">
      <c r="A1159" s="443"/>
      <c r="B1159" s="43" t="str">
        <f>IF(A1159="", "", IFERROR(VLOOKUP(A1159, Clasificaciones!A:B, 2, FALSE), "DATO NO CARGADO"))
</f>
        <v/>
      </c>
      <c r="C1159" s="51"/>
      <c r="D1159" s="102"/>
      <c r="E1159" s="102"/>
      <c r="H1159" s="102"/>
      <c r="J1159" s="102"/>
      <c r="K1159" s="450"/>
      <c r="L1159" s="443"/>
      <c r="M1159" s="450"/>
      <c r="N1159" s="452">
        <f t="array" ref="N1159">IFERROR(
  INDEX(
    'Valor Hora Real y Estimada'!$A$4:$Z$78,
    MATCH(TRIM(CLEAN(A1159)), 'Valor Hora Real y Estimada'!$A$4:$A$78, 0),
    MATCH(
      TEXT(C1159,"dd mmm")&amp;" "&amp;D1159,
      'Valor Hora Real y Estimada'!$A$3:$Z$3,
      0
    ) + 1
  ),
  0
)</f>
        <v>0</v>
      </c>
      <c r="O1159" s="453">
        <f t="shared" si="44"/>
        <v>0</v>
      </c>
      <c r="P1159" s="113"/>
      <c r="Q1159" s="106" t="str">
        <f>IF(ISBLANK(O1159), "", VLOOKUP(C1159&amp;" "&amp;D1159, 'Info Tipo de Cambio y REM'!$A$24:$B$35, 2, FALSE))</f>
        <v>#N/A</v>
      </c>
      <c r="R1159" s="107" t="str">
        <f t="shared" si="32"/>
        <v/>
      </c>
    </row>
    <row r="1160" hidden="1">
      <c r="A1160" s="443"/>
      <c r="B1160" s="43" t="str">
        <f>IF(A1160="", "", IFERROR(VLOOKUP(A1160, Clasificaciones!A:B, 2, FALSE), "DATO NO CARGADO"))
</f>
        <v/>
      </c>
      <c r="C1160" s="51"/>
      <c r="D1160" s="102"/>
      <c r="E1160" s="102"/>
      <c r="H1160" s="102"/>
      <c r="J1160" s="102"/>
      <c r="K1160" s="450"/>
      <c r="L1160" s="443"/>
      <c r="M1160" s="450"/>
      <c r="N1160" s="452">
        <f t="array" ref="N1160">IFERROR(
  INDEX(
    'Valor Hora Real y Estimada'!$A$4:$Z$78,
    MATCH(TRIM(CLEAN(A1160)), 'Valor Hora Real y Estimada'!$A$4:$A$78, 0),
    MATCH(
      TEXT(C1160,"dd mmm")&amp;" "&amp;D1160,
      'Valor Hora Real y Estimada'!$A$3:$Z$3,
      0
    ) + 1
  ),
  0
)</f>
        <v>0</v>
      </c>
      <c r="O1160" s="453">
        <f t="shared" si="44"/>
        <v>0</v>
      </c>
      <c r="P1160" s="113"/>
      <c r="Q1160" s="106" t="str">
        <f>IF(ISBLANK(O1160), "", VLOOKUP(C1160&amp;" "&amp;D1160, 'Info Tipo de Cambio y REM'!$A$24:$B$35, 2, FALSE))</f>
        <v>#N/A</v>
      </c>
      <c r="R1160" s="107" t="str">
        <f t="shared" si="32"/>
        <v/>
      </c>
    </row>
    <row r="1161" hidden="1">
      <c r="A1161" s="443"/>
      <c r="B1161" s="43" t="str">
        <f>IF(A1161="", "", IFERROR(VLOOKUP(A1161, Clasificaciones!A:B, 2, FALSE), "DATO NO CARGADO"))
</f>
        <v/>
      </c>
      <c r="C1161" s="51"/>
      <c r="D1161" s="102"/>
      <c r="E1161" s="102"/>
      <c r="H1161" s="102"/>
      <c r="J1161" s="102"/>
      <c r="K1161" s="450"/>
      <c r="L1161" s="443"/>
      <c r="M1161" s="450"/>
      <c r="N1161" s="452">
        <f t="array" ref="N1161">IFERROR(
  INDEX(
    'Valor Hora Real y Estimada'!$A$4:$Z$78,
    MATCH(TRIM(CLEAN(A1161)), 'Valor Hora Real y Estimada'!$A$4:$A$78, 0),
    MATCH(
      TEXT(C1161,"dd mmm")&amp;" "&amp;D1161,
      'Valor Hora Real y Estimada'!$A$3:$Z$3,
      0
    ) + 1
  ),
  0
)</f>
        <v>0</v>
      </c>
      <c r="O1161" s="453">
        <f t="shared" si="44"/>
        <v>0</v>
      </c>
      <c r="P1161" s="113"/>
      <c r="Q1161" s="106" t="str">
        <f>IF(ISBLANK(O1161), "", VLOOKUP(C1161&amp;" "&amp;D1161, 'Info Tipo de Cambio y REM'!$A$24:$B$35, 2, FALSE))</f>
        <v>#N/A</v>
      </c>
      <c r="R1161" s="107" t="str">
        <f t="shared" si="32"/>
        <v/>
      </c>
    </row>
    <row r="1162" hidden="1">
      <c r="A1162" s="443"/>
      <c r="B1162" s="43" t="str">
        <f>IF(A1162="", "", IFERROR(VLOOKUP(A1162, Clasificaciones!A:B, 2, FALSE), "DATO NO CARGADO"))
</f>
        <v/>
      </c>
      <c r="C1162" s="51"/>
      <c r="D1162" s="102"/>
      <c r="E1162" s="102"/>
      <c r="H1162" s="102"/>
      <c r="J1162" s="102"/>
      <c r="K1162" s="450"/>
      <c r="L1162" s="443"/>
      <c r="M1162" s="450"/>
      <c r="N1162" s="452">
        <f t="array" ref="N1162">IFERROR(
  INDEX(
    'Valor Hora Real y Estimada'!$A$4:$Z$78,
    MATCH(TRIM(CLEAN(A1162)), 'Valor Hora Real y Estimada'!$A$4:$A$78, 0),
    MATCH(
      TEXT(C1162,"dd mmm")&amp;" "&amp;D1162,
      'Valor Hora Real y Estimada'!$A$3:$Z$3,
      0
    ) + 1
  ),
  0
)</f>
        <v>0</v>
      </c>
      <c r="O1162" s="453">
        <f t="shared" si="44"/>
        <v>0</v>
      </c>
      <c r="P1162" s="113"/>
      <c r="Q1162" s="106" t="str">
        <f>IF(ISBLANK(O1162), "", VLOOKUP(C1162&amp;" "&amp;D1162, 'Info Tipo de Cambio y REM'!$A$24:$B$35, 2, FALSE))</f>
        <v>#N/A</v>
      </c>
      <c r="R1162" s="107" t="str">
        <f t="shared" si="32"/>
        <v/>
      </c>
    </row>
    <row r="1163" hidden="1">
      <c r="A1163" s="443"/>
      <c r="B1163" s="43" t="str">
        <f>IF(A1163="", "", IFERROR(VLOOKUP(A1163, Clasificaciones!A:B, 2, FALSE), "DATO NO CARGADO"))
</f>
        <v/>
      </c>
      <c r="C1163" s="51"/>
      <c r="D1163" s="102"/>
      <c r="E1163" s="102"/>
      <c r="H1163" s="102"/>
      <c r="J1163" s="102"/>
      <c r="K1163" s="450"/>
      <c r="L1163" s="443"/>
      <c r="M1163" s="450"/>
      <c r="N1163" s="452">
        <f t="array" ref="N1163">IFERROR(
  INDEX(
    'Valor Hora Real y Estimada'!$A$4:$Z$78,
    MATCH(TRIM(CLEAN(A1163)), 'Valor Hora Real y Estimada'!$A$4:$A$78, 0),
    MATCH(
      TEXT(C1163,"dd mmm")&amp;" "&amp;D1163,
      'Valor Hora Real y Estimada'!$A$3:$Z$3,
      0
    ) + 1
  ),
  0
)</f>
        <v>0</v>
      </c>
      <c r="O1163" s="453">
        <f t="shared" si="44"/>
        <v>0</v>
      </c>
      <c r="P1163" s="113"/>
      <c r="Q1163" s="106" t="str">
        <f>IF(ISBLANK(O1163), "", VLOOKUP(C1163&amp;" "&amp;D1163, 'Info Tipo de Cambio y REM'!$A$24:$B$35, 2, FALSE))</f>
        <v>#N/A</v>
      </c>
      <c r="R1163" s="107" t="str">
        <f t="shared" si="32"/>
        <v/>
      </c>
    </row>
    <row r="1164" hidden="1">
      <c r="A1164" s="443"/>
      <c r="B1164" s="43" t="str">
        <f>IF(A1164="", "", IFERROR(VLOOKUP(A1164, Clasificaciones!A:B, 2, FALSE), "DATO NO CARGADO"))
</f>
        <v/>
      </c>
      <c r="C1164" s="51"/>
      <c r="D1164" s="102"/>
      <c r="E1164" s="102"/>
      <c r="H1164" s="102"/>
      <c r="J1164" s="102"/>
      <c r="K1164" s="450"/>
      <c r="L1164" s="443"/>
      <c r="M1164" s="450"/>
      <c r="N1164" s="452">
        <f t="array" ref="N1164">IFERROR(
  INDEX(
    'Valor Hora Real y Estimada'!$A$4:$Z$78,
    MATCH(TRIM(CLEAN(A1164)), 'Valor Hora Real y Estimada'!$A$4:$A$78, 0),
    MATCH(
      TEXT(C1164,"dd mmm")&amp;" "&amp;D1164,
      'Valor Hora Real y Estimada'!$A$3:$Z$3,
      0
    ) + 1
  ),
  0
)</f>
        <v>0</v>
      </c>
      <c r="O1164" s="453">
        <f t="shared" si="44"/>
        <v>0</v>
      </c>
      <c r="P1164" s="113"/>
      <c r="Q1164" s="106" t="str">
        <f>IF(ISBLANK(O1164), "", VLOOKUP(C1164&amp;" "&amp;D1164, 'Info Tipo de Cambio y REM'!$A$24:$B$35, 2, FALSE))</f>
        <v>#N/A</v>
      </c>
      <c r="R1164" s="107" t="str">
        <f t="shared" si="32"/>
        <v/>
      </c>
    </row>
    <row r="1165" hidden="1">
      <c r="A1165" s="443"/>
      <c r="B1165" s="43" t="str">
        <f>IF(A1165="", "", IFERROR(VLOOKUP(A1165, Clasificaciones!A:B, 2, FALSE), "DATO NO CARGADO"))
</f>
        <v/>
      </c>
      <c r="C1165" s="51"/>
      <c r="D1165" s="102"/>
      <c r="E1165" s="102"/>
      <c r="H1165" s="102"/>
      <c r="J1165" s="102"/>
      <c r="K1165" s="450"/>
      <c r="L1165" s="443"/>
      <c r="M1165" s="450"/>
      <c r="N1165" s="452">
        <f t="array" ref="N1165">IFERROR(
  INDEX(
    'Valor Hora Real y Estimada'!$A$4:$Z$78,
    MATCH(TRIM(CLEAN(A1165)), 'Valor Hora Real y Estimada'!$A$4:$A$78, 0),
    MATCH(
      TEXT(C1165,"dd mmm")&amp;" "&amp;D1165,
      'Valor Hora Real y Estimada'!$A$3:$Z$3,
      0
    ) + 1
  ),
  0
)</f>
        <v>0</v>
      </c>
      <c r="O1165" s="453">
        <f t="shared" si="44"/>
        <v>0</v>
      </c>
      <c r="P1165" s="113"/>
      <c r="Q1165" s="106" t="str">
        <f>IF(ISBLANK(O1165), "", VLOOKUP(C1165&amp;" "&amp;D1165, 'Info Tipo de Cambio y REM'!$A$24:$B$35, 2, FALSE))</f>
        <v>#N/A</v>
      </c>
      <c r="R1165" s="107" t="str">
        <f t="shared" si="32"/>
        <v/>
      </c>
    </row>
    <row r="1166" hidden="1">
      <c r="A1166" s="443"/>
      <c r="B1166" s="43" t="str">
        <f>IF(A1166="", "", IFERROR(VLOOKUP(A1166, Clasificaciones!A:B, 2, FALSE), "DATO NO CARGADO"))
</f>
        <v/>
      </c>
      <c r="C1166" s="51"/>
      <c r="D1166" s="102"/>
      <c r="E1166" s="102"/>
      <c r="H1166" s="102"/>
      <c r="J1166" s="102"/>
      <c r="K1166" s="450"/>
      <c r="L1166" s="443"/>
      <c r="M1166" s="450"/>
      <c r="N1166" s="452">
        <f t="array" ref="N1166">IFERROR(
  INDEX(
    'Valor Hora Real y Estimada'!$A$4:$Z$78,
    MATCH(TRIM(CLEAN(A1166)), 'Valor Hora Real y Estimada'!$A$4:$A$78, 0),
    MATCH(
      TEXT(C1166,"dd mmm")&amp;" "&amp;D1166,
      'Valor Hora Real y Estimada'!$A$3:$Z$3,
      0
    ) + 1
  ),
  0
)</f>
        <v>0</v>
      </c>
      <c r="O1166" s="453">
        <f t="shared" si="44"/>
        <v>0</v>
      </c>
      <c r="P1166" s="113"/>
      <c r="Q1166" s="106" t="str">
        <f>IF(ISBLANK(O1166), "", VLOOKUP(C1166&amp;" "&amp;D1166, 'Info Tipo de Cambio y REM'!$A$24:$B$35, 2, FALSE))</f>
        <v>#N/A</v>
      </c>
      <c r="R1166" s="107" t="str">
        <f t="shared" si="32"/>
        <v/>
      </c>
    </row>
    <row r="1167" hidden="1">
      <c r="A1167" s="443"/>
      <c r="B1167" s="43" t="str">
        <f>IF(A1167="", "", IFERROR(VLOOKUP(A1167, Clasificaciones!A:B, 2, FALSE), "DATO NO CARGADO"))
</f>
        <v/>
      </c>
      <c r="C1167" s="51"/>
      <c r="D1167" s="102"/>
      <c r="E1167" s="102"/>
      <c r="H1167" s="102"/>
      <c r="J1167" s="102"/>
      <c r="K1167" s="450"/>
      <c r="L1167" s="443"/>
      <c r="M1167" s="450"/>
      <c r="N1167" s="452">
        <f t="array" ref="N1167">IFERROR(
  INDEX(
    'Valor Hora Real y Estimada'!$A$4:$Z$78,
    MATCH(TRIM(CLEAN(A1167)), 'Valor Hora Real y Estimada'!$A$4:$A$78, 0),
    MATCH(
      TEXT(C1167,"dd mmm")&amp;" "&amp;D1167,
      'Valor Hora Real y Estimada'!$A$3:$Z$3,
      0
    ) + 1
  ),
  0
)</f>
        <v>0</v>
      </c>
      <c r="O1167" s="453">
        <f t="shared" si="44"/>
        <v>0</v>
      </c>
      <c r="P1167" s="113"/>
      <c r="Q1167" s="106" t="str">
        <f>IF(ISBLANK(O1167), "", VLOOKUP(C1167&amp;" "&amp;D1167, 'Info Tipo de Cambio y REM'!$A$24:$B$35, 2, FALSE))</f>
        <v>#N/A</v>
      </c>
      <c r="R1167" s="107" t="str">
        <f t="shared" si="32"/>
        <v/>
      </c>
    </row>
    <row r="1168" hidden="1">
      <c r="A1168" s="443"/>
      <c r="B1168" s="43" t="str">
        <f>IF(A1168="", "", IFERROR(VLOOKUP(A1168, Clasificaciones!A:B, 2, FALSE), "DATO NO CARGADO"))
</f>
        <v/>
      </c>
      <c r="C1168" s="51"/>
      <c r="D1168" s="102"/>
      <c r="E1168" s="102"/>
      <c r="H1168" s="102"/>
      <c r="J1168" s="102"/>
      <c r="K1168" s="450"/>
      <c r="L1168" s="443"/>
      <c r="M1168" s="450"/>
      <c r="N1168" s="452">
        <f t="array" ref="N1168">IFERROR(
  INDEX(
    'Valor Hora Real y Estimada'!$A$4:$Z$78,
    MATCH(TRIM(CLEAN(A1168)), 'Valor Hora Real y Estimada'!$A$4:$A$78, 0),
    MATCH(
      TEXT(C1168,"dd mmm")&amp;" "&amp;D1168,
      'Valor Hora Real y Estimada'!$A$3:$Z$3,
      0
    ) + 1
  ),
  0
)</f>
        <v>0</v>
      </c>
      <c r="O1168" s="453">
        <f t="shared" si="44"/>
        <v>0</v>
      </c>
      <c r="P1168" s="113"/>
      <c r="Q1168" s="106" t="str">
        <f>IF(ISBLANK(O1168), "", VLOOKUP(C1168&amp;" "&amp;D1168, 'Info Tipo de Cambio y REM'!$A$24:$B$35, 2, FALSE))</f>
        <v>#N/A</v>
      </c>
      <c r="R1168" s="107" t="str">
        <f t="shared" si="32"/>
        <v/>
      </c>
    </row>
    <row r="1169" hidden="1">
      <c r="A1169" s="443"/>
      <c r="B1169" s="43" t="str">
        <f>IF(A1169="", "", IFERROR(VLOOKUP(A1169, Clasificaciones!A:B, 2, FALSE), "DATO NO CARGADO"))
</f>
        <v/>
      </c>
      <c r="C1169" s="51"/>
      <c r="D1169" s="102"/>
      <c r="E1169" s="102"/>
      <c r="H1169" s="102"/>
      <c r="J1169" s="102"/>
      <c r="K1169" s="450"/>
      <c r="L1169" s="443"/>
      <c r="M1169" s="450"/>
      <c r="N1169" s="452">
        <f t="array" ref="N1169">IFERROR(
  INDEX(
    'Valor Hora Real y Estimada'!$A$4:$Z$78,
    MATCH(TRIM(CLEAN(A1169)), 'Valor Hora Real y Estimada'!$A$4:$A$78, 0),
    MATCH(
      TEXT(C1169,"dd mmm")&amp;" "&amp;D1169,
      'Valor Hora Real y Estimada'!$A$3:$Z$3,
      0
    ) + 1
  ),
  0
)</f>
        <v>0</v>
      </c>
      <c r="O1169" s="453">
        <f t="shared" si="44"/>
        <v>0</v>
      </c>
      <c r="P1169" s="113"/>
      <c r="Q1169" s="106" t="str">
        <f>IF(ISBLANK(O1169), "", VLOOKUP(C1169&amp;" "&amp;D1169, 'Info Tipo de Cambio y REM'!$A$24:$B$35, 2, FALSE))</f>
        <v>#N/A</v>
      </c>
      <c r="R1169" s="107" t="str">
        <f t="shared" si="32"/>
        <v/>
      </c>
    </row>
    <row r="1170" hidden="1">
      <c r="A1170" s="443"/>
      <c r="B1170" s="43" t="str">
        <f>IF(A1170="", "", IFERROR(VLOOKUP(A1170, Clasificaciones!A:B, 2, FALSE), "DATO NO CARGADO"))
</f>
        <v/>
      </c>
      <c r="C1170" s="51"/>
      <c r="D1170" s="102"/>
      <c r="E1170" s="102"/>
      <c r="H1170" s="102"/>
      <c r="J1170" s="102"/>
      <c r="K1170" s="450"/>
      <c r="L1170" s="443"/>
      <c r="M1170" s="450"/>
      <c r="N1170" s="452">
        <f t="array" ref="N1170">IFERROR(
  INDEX(
    'Valor Hora Real y Estimada'!$A$4:$Z$78,
    MATCH(TRIM(CLEAN(A1170)), 'Valor Hora Real y Estimada'!$A$4:$A$78, 0),
    MATCH(
      TEXT(C1170,"dd mmm")&amp;" "&amp;D1170,
      'Valor Hora Real y Estimada'!$A$3:$Z$3,
      0
    ) + 1
  ),
  0
)</f>
        <v>0</v>
      </c>
      <c r="O1170" s="453">
        <f t="shared" si="44"/>
        <v>0</v>
      </c>
      <c r="P1170" s="113"/>
      <c r="Q1170" s="106" t="str">
        <f>IF(ISBLANK(O1170), "", VLOOKUP(C1170&amp;" "&amp;D1170, 'Info Tipo de Cambio y REM'!$A$24:$B$35, 2, FALSE))</f>
        <v>#N/A</v>
      </c>
      <c r="R1170" s="107" t="str">
        <f t="shared" si="32"/>
        <v/>
      </c>
    </row>
    <row r="1171" hidden="1">
      <c r="A1171" s="443"/>
      <c r="B1171" s="43" t="str">
        <f>IF(A1171="", "", IFERROR(VLOOKUP(A1171, Clasificaciones!A:B, 2, FALSE), "DATO NO CARGADO"))
</f>
        <v/>
      </c>
      <c r="C1171" s="51"/>
      <c r="D1171" s="102"/>
      <c r="E1171" s="102"/>
      <c r="H1171" s="102"/>
      <c r="J1171" s="102"/>
      <c r="K1171" s="450"/>
      <c r="L1171" s="443"/>
      <c r="M1171" s="450"/>
      <c r="N1171" s="452">
        <f t="array" ref="N1171">IFERROR(
  INDEX(
    'Valor Hora Real y Estimada'!$A$4:$Z$78,
    MATCH(TRIM(CLEAN(A1171)), 'Valor Hora Real y Estimada'!$A$4:$A$78, 0),
    MATCH(
      TEXT(C1171,"dd mmm")&amp;" "&amp;D1171,
      'Valor Hora Real y Estimada'!$A$3:$Z$3,
      0
    ) + 1
  ),
  0
)</f>
        <v>0</v>
      </c>
      <c r="O1171" s="453">
        <f t="shared" si="44"/>
        <v>0</v>
      </c>
      <c r="P1171" s="113"/>
      <c r="Q1171" s="106" t="str">
        <f>IF(ISBLANK(O1171), "", VLOOKUP(C1171&amp;" "&amp;D1171, 'Info Tipo de Cambio y REM'!$A$24:$B$35, 2, FALSE))</f>
        <v>#N/A</v>
      </c>
      <c r="R1171" s="107" t="str">
        <f t="shared" si="32"/>
        <v/>
      </c>
    </row>
    <row r="1172" hidden="1">
      <c r="A1172" s="443"/>
      <c r="B1172" s="43" t="str">
        <f>IF(A1172="", "", IFERROR(VLOOKUP(A1172, Clasificaciones!A:B, 2, FALSE), "DATO NO CARGADO"))
</f>
        <v/>
      </c>
      <c r="C1172" s="51"/>
      <c r="D1172" s="102"/>
      <c r="E1172" s="102"/>
      <c r="H1172" s="102"/>
      <c r="J1172" s="102"/>
      <c r="K1172" s="450"/>
      <c r="L1172" s="443"/>
      <c r="M1172" s="450"/>
      <c r="N1172" s="452">
        <f t="array" ref="N1172">IFERROR(
  INDEX(
    'Valor Hora Real y Estimada'!$A$4:$Z$78,
    MATCH(TRIM(CLEAN(A1172)), 'Valor Hora Real y Estimada'!$A$4:$A$78, 0),
    MATCH(
      TEXT(C1172,"dd mmm")&amp;" "&amp;D1172,
      'Valor Hora Real y Estimada'!$A$3:$Z$3,
      0
    ) + 1
  ),
  0
)</f>
        <v>0</v>
      </c>
      <c r="O1172" s="453">
        <f t="shared" si="44"/>
        <v>0</v>
      </c>
      <c r="P1172" s="113"/>
      <c r="Q1172" s="106" t="str">
        <f>IF(ISBLANK(O1172), "", VLOOKUP(C1172&amp;" "&amp;D1172, 'Info Tipo de Cambio y REM'!$A$24:$B$35, 2, FALSE))</f>
        <v>#N/A</v>
      </c>
      <c r="R1172" s="107" t="str">
        <f t="shared" si="32"/>
        <v/>
      </c>
    </row>
    <row r="1173" hidden="1">
      <c r="A1173" s="443"/>
      <c r="B1173" s="43" t="str">
        <f>IF(A1173="", "", IFERROR(VLOOKUP(A1173, Clasificaciones!A:B, 2, FALSE), "DATO NO CARGADO"))
</f>
        <v/>
      </c>
      <c r="C1173" s="51"/>
      <c r="D1173" s="102"/>
      <c r="E1173" s="102"/>
      <c r="H1173" s="102"/>
      <c r="J1173" s="102"/>
      <c r="K1173" s="450"/>
      <c r="L1173" s="443"/>
      <c r="M1173" s="450"/>
      <c r="N1173" s="452">
        <f t="array" ref="N1173">IFERROR(
  INDEX(
    'Valor Hora Real y Estimada'!$A$4:$Z$78,
    MATCH(TRIM(CLEAN(A1173)), 'Valor Hora Real y Estimada'!$A$4:$A$78, 0),
    MATCH(
      TEXT(C1173,"dd mmm")&amp;" "&amp;D1173,
      'Valor Hora Real y Estimada'!$A$3:$Z$3,
      0
    ) + 1
  ),
  0
)</f>
        <v>0</v>
      </c>
      <c r="O1173" s="453">
        <f t="shared" si="44"/>
        <v>0</v>
      </c>
      <c r="P1173" s="113"/>
      <c r="Q1173" s="106" t="str">
        <f>IF(ISBLANK(O1173), "", VLOOKUP(C1173&amp;" "&amp;D1173, 'Info Tipo de Cambio y REM'!$A$24:$B$35, 2, FALSE))</f>
        <v>#N/A</v>
      </c>
      <c r="R1173" s="107" t="str">
        <f t="shared" si="32"/>
        <v/>
      </c>
    </row>
    <row r="1174" hidden="1">
      <c r="A1174" s="443"/>
      <c r="B1174" s="43" t="str">
        <f>IF(A1174="", "", IFERROR(VLOOKUP(A1174, Clasificaciones!A:B, 2, FALSE), "DATO NO CARGADO"))
</f>
        <v/>
      </c>
      <c r="C1174" s="51"/>
      <c r="D1174" s="102"/>
      <c r="E1174" s="102"/>
      <c r="H1174" s="102"/>
      <c r="J1174" s="102"/>
      <c r="K1174" s="450"/>
      <c r="L1174" s="443"/>
      <c r="M1174" s="450"/>
      <c r="N1174" s="452">
        <f t="array" ref="N1174">IFERROR(
  INDEX(
    'Valor Hora Real y Estimada'!$A$4:$Z$78,
    MATCH(TRIM(CLEAN(A1174)), 'Valor Hora Real y Estimada'!$A$4:$A$78, 0),
    MATCH(
      TEXT(C1174,"dd mmm")&amp;" "&amp;D1174,
      'Valor Hora Real y Estimada'!$A$3:$Z$3,
      0
    ) + 1
  ),
  0
)</f>
        <v>0</v>
      </c>
      <c r="O1174" s="453">
        <f t="shared" si="44"/>
        <v>0</v>
      </c>
      <c r="P1174" s="113"/>
      <c r="Q1174" s="106" t="str">
        <f>IF(ISBLANK(O1174), "", VLOOKUP(C1174&amp;" "&amp;D1174, 'Info Tipo de Cambio y REM'!$A$24:$B$35, 2, FALSE))</f>
        <v>#N/A</v>
      </c>
      <c r="R1174" s="107" t="str">
        <f t="shared" si="32"/>
        <v/>
      </c>
    </row>
    <row r="1175" hidden="1">
      <c r="A1175" s="443"/>
      <c r="B1175" s="43" t="str">
        <f>IF(A1175="", "", IFERROR(VLOOKUP(A1175, Clasificaciones!A:B, 2, FALSE), "DATO NO CARGADO"))
</f>
        <v/>
      </c>
      <c r="C1175" s="51"/>
      <c r="D1175" s="102"/>
      <c r="E1175" s="102"/>
      <c r="H1175" s="102"/>
      <c r="J1175" s="102"/>
      <c r="K1175" s="450"/>
      <c r="L1175" s="443"/>
      <c r="M1175" s="450"/>
      <c r="N1175" s="452">
        <f t="array" ref="N1175">IFERROR(
  INDEX(
    'Valor Hora Real y Estimada'!$A$4:$Z$78,
    MATCH(TRIM(CLEAN(A1175)), 'Valor Hora Real y Estimada'!$A$4:$A$78, 0),
    MATCH(
      TEXT(C1175,"dd mmm")&amp;" "&amp;D1175,
      'Valor Hora Real y Estimada'!$A$3:$Z$3,
      0
    ) + 1
  ),
  0
)</f>
        <v>0</v>
      </c>
      <c r="O1175" s="453">
        <f t="shared" si="44"/>
        <v>0</v>
      </c>
      <c r="P1175" s="113"/>
      <c r="Q1175" s="106" t="str">
        <f>IF(ISBLANK(O1175), "", VLOOKUP(C1175&amp;" "&amp;D1175, 'Info Tipo de Cambio y REM'!$A$24:$B$35, 2, FALSE))</f>
        <v>#N/A</v>
      </c>
      <c r="R1175" s="107" t="str">
        <f t="shared" si="32"/>
        <v/>
      </c>
    </row>
    <row r="1176" hidden="1">
      <c r="A1176" s="443"/>
      <c r="B1176" s="43" t="str">
        <f>IF(A1176="", "", IFERROR(VLOOKUP(A1176, Clasificaciones!A:B, 2, FALSE), "DATO NO CARGADO"))
</f>
        <v/>
      </c>
      <c r="C1176" s="51"/>
      <c r="D1176" s="102"/>
      <c r="E1176" s="102"/>
      <c r="H1176" s="102"/>
      <c r="J1176" s="102"/>
      <c r="K1176" s="450"/>
      <c r="L1176" s="443"/>
      <c r="M1176" s="450"/>
      <c r="N1176" s="452">
        <f t="array" ref="N1176">IFERROR(
  INDEX(
    'Valor Hora Real y Estimada'!$A$4:$Z$78,
    MATCH(TRIM(CLEAN(A1176)), 'Valor Hora Real y Estimada'!$A$4:$A$78, 0),
    MATCH(
      TEXT(C1176,"dd mmm")&amp;" "&amp;D1176,
      'Valor Hora Real y Estimada'!$A$3:$Z$3,
      0
    ) + 1
  ),
  0
)</f>
        <v>0</v>
      </c>
      <c r="O1176" s="453">
        <f t="shared" si="44"/>
        <v>0</v>
      </c>
      <c r="P1176" s="113"/>
      <c r="Q1176" s="106" t="str">
        <f>IF(ISBLANK(O1176), "", VLOOKUP(C1176&amp;" "&amp;D1176, 'Info Tipo de Cambio y REM'!$A$24:$B$35, 2, FALSE))</f>
        <v>#N/A</v>
      </c>
      <c r="R1176" s="107" t="str">
        <f t="shared" si="32"/>
        <v/>
      </c>
    </row>
    <row r="1177" hidden="1">
      <c r="A1177" s="443"/>
      <c r="B1177" s="43" t="str">
        <f>IF(A1177="", "", IFERROR(VLOOKUP(A1177, Clasificaciones!A:B, 2, FALSE), "DATO NO CARGADO"))
</f>
        <v/>
      </c>
      <c r="C1177" s="51"/>
      <c r="D1177" s="102"/>
      <c r="E1177" s="102"/>
      <c r="H1177" s="102"/>
      <c r="J1177" s="102"/>
      <c r="K1177" s="450"/>
      <c r="L1177" s="443"/>
      <c r="M1177" s="450"/>
      <c r="N1177" s="452">
        <f t="array" ref="N1177">IFERROR(
  INDEX(
    'Valor Hora Real y Estimada'!$A$4:$Z$78,
    MATCH(TRIM(CLEAN(A1177)), 'Valor Hora Real y Estimada'!$A$4:$A$78, 0),
    MATCH(
      TEXT(C1177,"dd mmm")&amp;" "&amp;D1177,
      'Valor Hora Real y Estimada'!$A$3:$Z$3,
      0
    ) + 1
  ),
  0
)</f>
        <v>0</v>
      </c>
      <c r="O1177" s="453">
        <f t="shared" si="44"/>
        <v>0</v>
      </c>
      <c r="P1177" s="113"/>
      <c r="Q1177" s="106" t="str">
        <f>IF(ISBLANK(O1177), "", VLOOKUP(C1177&amp;" "&amp;D1177, 'Info Tipo de Cambio y REM'!$A$24:$B$35, 2, FALSE))</f>
        <v>#N/A</v>
      </c>
      <c r="R1177" s="107" t="str">
        <f t="shared" si="32"/>
        <v/>
      </c>
    </row>
    <row r="1178" hidden="1">
      <c r="A1178" s="443"/>
      <c r="B1178" s="43" t="str">
        <f>IF(A1178="", "", IFERROR(VLOOKUP(A1178, Clasificaciones!A:B, 2, FALSE), "DATO NO CARGADO"))
</f>
        <v/>
      </c>
      <c r="C1178" s="51"/>
      <c r="D1178" s="102"/>
      <c r="E1178" s="102"/>
      <c r="H1178" s="102"/>
      <c r="J1178" s="102"/>
      <c r="K1178" s="450"/>
      <c r="L1178" s="443"/>
      <c r="M1178" s="450"/>
      <c r="N1178" s="452">
        <f t="array" ref="N1178">IFERROR(
  INDEX(
    'Valor Hora Real y Estimada'!$A$4:$Z$78,
    MATCH(TRIM(CLEAN(A1178)), 'Valor Hora Real y Estimada'!$A$4:$A$78, 0),
    MATCH(
      TEXT(C1178,"dd mmm")&amp;" "&amp;D1178,
      'Valor Hora Real y Estimada'!$A$3:$Z$3,
      0
    ) + 1
  ),
  0
)</f>
        <v>0</v>
      </c>
      <c r="O1178" s="453">
        <f t="shared" si="44"/>
        <v>0</v>
      </c>
      <c r="P1178" s="113"/>
      <c r="Q1178" s="106" t="str">
        <f>IF(ISBLANK(O1178), "", VLOOKUP(C1178&amp;" "&amp;D1178, 'Info Tipo de Cambio y REM'!$A$24:$B$35, 2, FALSE))</f>
        <v>#N/A</v>
      </c>
      <c r="R1178" s="107" t="str">
        <f t="shared" si="32"/>
        <v/>
      </c>
    </row>
    <row r="1179" hidden="1">
      <c r="A1179" s="443"/>
      <c r="B1179" s="43" t="str">
        <f>IF(A1179="", "", IFERROR(VLOOKUP(A1179, Clasificaciones!A:B, 2, FALSE), "DATO NO CARGADO"))
</f>
        <v/>
      </c>
      <c r="C1179" s="51"/>
      <c r="D1179" s="102"/>
      <c r="E1179" s="102"/>
      <c r="H1179" s="102"/>
      <c r="J1179" s="102"/>
      <c r="K1179" s="450"/>
      <c r="L1179" s="443"/>
      <c r="M1179" s="450"/>
      <c r="N1179" s="452">
        <f t="array" ref="N1179">IFERROR(
  INDEX(
    'Valor Hora Real y Estimada'!$A$4:$Z$78,
    MATCH(TRIM(CLEAN(A1179)), 'Valor Hora Real y Estimada'!$A$4:$A$78, 0),
    MATCH(
      TEXT(C1179,"dd mmm")&amp;" "&amp;D1179,
      'Valor Hora Real y Estimada'!$A$3:$Z$3,
      0
    ) + 1
  ),
  0
)</f>
        <v>0</v>
      </c>
      <c r="O1179" s="453">
        <f t="shared" si="44"/>
        <v>0</v>
      </c>
      <c r="P1179" s="113"/>
      <c r="Q1179" s="106" t="str">
        <f>IF(ISBLANK(O1179), "", VLOOKUP(C1179&amp;" "&amp;D1179, 'Info Tipo de Cambio y REM'!$A$24:$B$35, 2, FALSE))</f>
        <v>#N/A</v>
      </c>
      <c r="R1179" s="107" t="str">
        <f t="shared" si="32"/>
        <v/>
      </c>
    </row>
    <row r="1180" hidden="1">
      <c r="A1180" s="443"/>
      <c r="B1180" s="43" t="str">
        <f>IF(A1180="", "", IFERROR(VLOOKUP(A1180, Clasificaciones!A:B, 2, FALSE), "DATO NO CARGADO"))
</f>
        <v/>
      </c>
      <c r="C1180" s="51"/>
      <c r="D1180" s="102"/>
      <c r="E1180" s="102"/>
      <c r="H1180" s="102"/>
      <c r="J1180" s="102"/>
      <c r="K1180" s="450"/>
      <c r="L1180" s="443"/>
      <c r="M1180" s="450"/>
      <c r="N1180" s="452">
        <f t="array" ref="N1180">IFERROR(
  INDEX(
    'Valor Hora Real y Estimada'!$A$4:$Z$78,
    MATCH(TRIM(CLEAN(A1180)), 'Valor Hora Real y Estimada'!$A$4:$A$78, 0),
    MATCH(
      TEXT(C1180,"dd mmm")&amp;" "&amp;D1180,
      'Valor Hora Real y Estimada'!$A$3:$Z$3,
      0
    ) + 1
  ),
  0
)</f>
        <v>0</v>
      </c>
      <c r="O1180" s="453">
        <f t="shared" si="44"/>
        <v>0</v>
      </c>
      <c r="P1180" s="113"/>
      <c r="Q1180" s="106" t="str">
        <f>IF(ISBLANK(O1180), "", VLOOKUP(C1180&amp;" "&amp;D1180, 'Info Tipo de Cambio y REM'!$A$24:$B$35, 2, FALSE))</f>
        <v>#N/A</v>
      </c>
      <c r="R1180" s="107" t="str">
        <f t="shared" si="32"/>
        <v/>
      </c>
    </row>
    <row r="1181" hidden="1">
      <c r="A1181" s="443"/>
      <c r="B1181" s="43" t="str">
        <f>IF(A1181="", "", IFERROR(VLOOKUP(A1181, Clasificaciones!A:B, 2, FALSE), "DATO NO CARGADO"))
</f>
        <v/>
      </c>
      <c r="C1181" s="51"/>
      <c r="D1181" s="102"/>
      <c r="E1181" s="102"/>
      <c r="H1181" s="102"/>
      <c r="J1181" s="102"/>
      <c r="K1181" s="450"/>
      <c r="L1181" s="443"/>
      <c r="M1181" s="450"/>
      <c r="N1181" s="452">
        <f t="array" ref="N1181">IFERROR(
  INDEX(
    'Valor Hora Real y Estimada'!$A$4:$Z$78,
    MATCH(TRIM(CLEAN(A1181)), 'Valor Hora Real y Estimada'!$A$4:$A$78, 0),
    MATCH(
      TEXT(C1181,"dd mmm")&amp;" "&amp;D1181,
      'Valor Hora Real y Estimada'!$A$3:$Z$3,
      0
    ) + 1
  ),
  0
)</f>
        <v>0</v>
      </c>
      <c r="O1181" s="453">
        <f t="shared" si="44"/>
        <v>0</v>
      </c>
      <c r="P1181" s="113"/>
      <c r="Q1181" s="106" t="str">
        <f>IF(ISBLANK(O1181), "", VLOOKUP(C1181&amp;" "&amp;D1181, 'Info Tipo de Cambio y REM'!$A$24:$B$35, 2, FALSE))</f>
        <v>#N/A</v>
      </c>
      <c r="R1181" s="107" t="str">
        <f t="shared" si="32"/>
        <v/>
      </c>
    </row>
    <row r="1182" hidden="1">
      <c r="A1182" s="443"/>
      <c r="B1182" s="43" t="str">
        <f>IF(A1182="", "", IFERROR(VLOOKUP(A1182, Clasificaciones!A:B, 2, FALSE), "DATO NO CARGADO"))
</f>
        <v/>
      </c>
      <c r="C1182" s="51"/>
      <c r="D1182" s="102"/>
      <c r="E1182" s="102"/>
      <c r="H1182" s="102"/>
      <c r="J1182" s="102"/>
      <c r="K1182" s="450"/>
      <c r="L1182" s="443"/>
      <c r="M1182" s="450"/>
      <c r="N1182" s="452">
        <f t="array" ref="N1182">IFERROR(
  INDEX(
    'Valor Hora Real y Estimada'!$A$4:$Z$78,
    MATCH(TRIM(CLEAN(A1182)), 'Valor Hora Real y Estimada'!$A$4:$A$78, 0),
    MATCH(
      TEXT(C1182,"dd mmm")&amp;" "&amp;D1182,
      'Valor Hora Real y Estimada'!$A$3:$Z$3,
      0
    ) + 1
  ),
  0
)</f>
        <v>0</v>
      </c>
      <c r="O1182" s="453">
        <f t="shared" si="44"/>
        <v>0</v>
      </c>
      <c r="P1182" s="113"/>
      <c r="Q1182" s="106" t="str">
        <f>IF(ISBLANK(O1182), "", VLOOKUP(C1182&amp;" "&amp;D1182, 'Info Tipo de Cambio y REM'!$A$24:$B$35, 2, FALSE))</f>
        <v>#N/A</v>
      </c>
      <c r="R1182" s="107" t="str">
        <f t="shared" si="32"/>
        <v/>
      </c>
    </row>
    <row r="1183" hidden="1">
      <c r="A1183" s="443"/>
      <c r="B1183" s="43" t="str">
        <f>IF(A1183="", "", IFERROR(VLOOKUP(A1183, Clasificaciones!A:B, 2, FALSE), "DATO NO CARGADO"))
</f>
        <v/>
      </c>
      <c r="C1183" s="51"/>
      <c r="D1183" s="102"/>
      <c r="E1183" s="102"/>
      <c r="H1183" s="102"/>
      <c r="J1183" s="102"/>
      <c r="K1183" s="450"/>
      <c r="L1183" s="443"/>
      <c r="M1183" s="450"/>
      <c r="N1183" s="452">
        <f t="array" ref="N1183">IFERROR(
  INDEX(
    'Valor Hora Real y Estimada'!$A$4:$Z$78,
    MATCH(TRIM(CLEAN(A1183)), 'Valor Hora Real y Estimada'!$A$4:$A$78, 0),
    MATCH(
      TEXT(C1183,"dd mmm")&amp;" "&amp;D1183,
      'Valor Hora Real y Estimada'!$A$3:$Z$3,
      0
    ) + 1
  ),
  0
)</f>
        <v>0</v>
      </c>
      <c r="O1183" s="453">
        <f t="shared" si="44"/>
        <v>0</v>
      </c>
      <c r="P1183" s="113"/>
      <c r="Q1183" s="106" t="str">
        <f>IF(ISBLANK(O1183), "", VLOOKUP(C1183&amp;" "&amp;D1183, 'Info Tipo de Cambio y REM'!$A$24:$B$35, 2, FALSE))</f>
        <v>#N/A</v>
      </c>
      <c r="R1183" s="107" t="str">
        <f t="shared" si="32"/>
        <v/>
      </c>
    </row>
    <row r="1184" hidden="1">
      <c r="A1184" s="443"/>
      <c r="B1184" s="43" t="str">
        <f>IF(A1184="", "", IFERROR(VLOOKUP(A1184, Clasificaciones!A:B, 2, FALSE), "DATO NO CARGADO"))
</f>
        <v/>
      </c>
      <c r="C1184" s="51"/>
      <c r="D1184" s="102"/>
      <c r="E1184" s="102"/>
      <c r="H1184" s="102"/>
      <c r="J1184" s="102"/>
      <c r="K1184" s="450"/>
      <c r="L1184" s="443"/>
      <c r="M1184" s="450"/>
      <c r="N1184" s="452">
        <f t="array" ref="N1184">IFERROR(
  INDEX(
    'Valor Hora Real y Estimada'!$A$4:$Z$78,
    MATCH(TRIM(CLEAN(A1184)), 'Valor Hora Real y Estimada'!$A$4:$A$78, 0),
    MATCH(
      TEXT(C1184,"dd mmm")&amp;" "&amp;D1184,
      'Valor Hora Real y Estimada'!$A$3:$Z$3,
      0
    ) + 1
  ),
  0
)</f>
        <v>0</v>
      </c>
      <c r="O1184" s="453">
        <f t="shared" si="44"/>
        <v>0</v>
      </c>
      <c r="P1184" s="113"/>
      <c r="Q1184" s="106" t="str">
        <f>IF(ISBLANK(O1184), "", VLOOKUP(C1184&amp;" "&amp;D1184, 'Info Tipo de Cambio y REM'!$A$24:$B$35, 2, FALSE))</f>
        <v>#N/A</v>
      </c>
      <c r="R1184" s="107" t="str">
        <f t="shared" si="32"/>
        <v/>
      </c>
    </row>
    <row r="1185" hidden="1">
      <c r="A1185" s="443"/>
      <c r="B1185" s="43" t="str">
        <f>IF(A1185="", "", IFERROR(VLOOKUP(A1185, Clasificaciones!A:B, 2, FALSE), "DATO NO CARGADO"))
</f>
        <v/>
      </c>
      <c r="C1185" s="51"/>
      <c r="D1185" s="102"/>
      <c r="E1185" s="102"/>
      <c r="H1185" s="102"/>
      <c r="J1185" s="102"/>
      <c r="K1185" s="450"/>
      <c r="L1185" s="443"/>
      <c r="M1185" s="450"/>
      <c r="N1185" s="452">
        <f t="array" ref="N1185">IFERROR(
  INDEX(
    'Valor Hora Real y Estimada'!$A$4:$Z$78,
    MATCH(TRIM(CLEAN(A1185)), 'Valor Hora Real y Estimada'!$A$4:$A$78, 0),
    MATCH(
      TEXT(C1185,"dd mmm")&amp;" "&amp;D1185,
      'Valor Hora Real y Estimada'!$A$3:$Z$3,
      0
    ) + 1
  ),
  0
)</f>
        <v>0</v>
      </c>
      <c r="O1185" s="453">
        <f t="shared" si="44"/>
        <v>0</v>
      </c>
      <c r="P1185" s="113"/>
      <c r="Q1185" s="106" t="str">
        <f>IF(ISBLANK(O1185), "", VLOOKUP(C1185&amp;" "&amp;D1185, 'Info Tipo de Cambio y REM'!$A$24:$B$35, 2, FALSE))</f>
        <v>#N/A</v>
      </c>
      <c r="R1185" s="107" t="str">
        <f t="shared" si="32"/>
        <v/>
      </c>
    </row>
    <row r="1186" hidden="1">
      <c r="A1186" s="443"/>
      <c r="B1186" s="43" t="str">
        <f>IF(A1186="", "", IFERROR(VLOOKUP(A1186, Clasificaciones!A:B, 2, FALSE), "DATO NO CARGADO"))
</f>
        <v/>
      </c>
      <c r="C1186" s="51"/>
      <c r="D1186" s="102"/>
      <c r="E1186" s="102"/>
      <c r="H1186" s="102"/>
      <c r="J1186" s="102"/>
      <c r="K1186" s="450"/>
      <c r="L1186" s="443"/>
      <c r="M1186" s="450"/>
      <c r="N1186" s="452">
        <f t="array" ref="N1186">IFERROR(
  INDEX(
    'Valor Hora Real y Estimada'!$A$4:$Z$78,
    MATCH(TRIM(CLEAN(A1186)), 'Valor Hora Real y Estimada'!$A$4:$A$78, 0),
    MATCH(
      TEXT(C1186,"dd mmm")&amp;" "&amp;D1186,
      'Valor Hora Real y Estimada'!$A$3:$Z$3,
      0
    ) + 1
  ),
  0
)</f>
        <v>0</v>
      </c>
      <c r="O1186" s="453">
        <f t="shared" si="44"/>
        <v>0</v>
      </c>
      <c r="P1186" s="113"/>
      <c r="Q1186" s="106" t="str">
        <f>IF(ISBLANK(O1186), "", VLOOKUP(C1186&amp;" "&amp;D1186, 'Info Tipo de Cambio y REM'!$A$24:$B$35, 2, FALSE))</f>
        <v>#N/A</v>
      </c>
      <c r="R1186" s="107" t="str">
        <f t="shared" si="32"/>
        <v/>
      </c>
    </row>
    <row r="1187" hidden="1">
      <c r="A1187" s="443"/>
      <c r="B1187" s="43" t="str">
        <f>IF(A1187="", "", IFERROR(VLOOKUP(A1187, Clasificaciones!A:B, 2, FALSE), "DATO NO CARGADO"))
</f>
        <v/>
      </c>
      <c r="C1187" s="51"/>
      <c r="D1187" s="102"/>
      <c r="E1187" s="102"/>
      <c r="H1187" s="102"/>
      <c r="J1187" s="102"/>
      <c r="K1187" s="450"/>
      <c r="L1187" s="443"/>
      <c r="M1187" s="450"/>
      <c r="N1187" s="452">
        <f t="array" ref="N1187">IFERROR(
  INDEX(
    'Valor Hora Real y Estimada'!$A$4:$Z$78,
    MATCH(TRIM(CLEAN(A1187)), 'Valor Hora Real y Estimada'!$A$4:$A$78, 0),
    MATCH(
      TEXT(C1187,"dd mmm")&amp;" "&amp;D1187,
      'Valor Hora Real y Estimada'!$A$3:$Z$3,
      0
    ) + 1
  ),
  0
)</f>
        <v>0</v>
      </c>
      <c r="O1187" s="453">
        <f t="shared" si="44"/>
        <v>0</v>
      </c>
      <c r="P1187" s="113"/>
      <c r="Q1187" s="106" t="str">
        <f>IF(ISBLANK(O1187), "", VLOOKUP(C1187&amp;" "&amp;D1187, 'Info Tipo de Cambio y REM'!$A$24:$B$35, 2, FALSE))</f>
        <v>#N/A</v>
      </c>
      <c r="R1187" s="107" t="str">
        <f t="shared" si="32"/>
        <v/>
      </c>
    </row>
    <row r="1188" hidden="1">
      <c r="A1188" s="443"/>
      <c r="B1188" s="43" t="str">
        <f>IF(A1188="", "", IFERROR(VLOOKUP(A1188, Clasificaciones!A:B, 2, FALSE), "DATO NO CARGADO"))
</f>
        <v/>
      </c>
      <c r="C1188" s="51"/>
      <c r="D1188" s="102"/>
      <c r="E1188" s="102"/>
      <c r="H1188" s="102"/>
      <c r="J1188" s="102"/>
      <c r="K1188" s="450"/>
      <c r="L1188" s="443"/>
      <c r="M1188" s="450"/>
      <c r="N1188" s="452">
        <f t="array" ref="N1188">IFERROR(
  INDEX(
    'Valor Hora Real y Estimada'!$A$4:$Z$78,
    MATCH(TRIM(CLEAN(A1188)), 'Valor Hora Real y Estimada'!$A$4:$A$78, 0),
    MATCH(
      TEXT(C1188,"dd mmm")&amp;" "&amp;D1188,
      'Valor Hora Real y Estimada'!$A$3:$Z$3,
      0
    ) + 1
  ),
  0
)</f>
        <v>0</v>
      </c>
      <c r="O1188" s="453">
        <f t="shared" si="44"/>
        <v>0</v>
      </c>
      <c r="P1188" s="113"/>
      <c r="Q1188" s="106" t="str">
        <f>IF(ISBLANK(O1188), "", VLOOKUP(C1188&amp;" "&amp;D1188, 'Info Tipo de Cambio y REM'!$A$24:$B$35, 2, FALSE))</f>
        <v>#N/A</v>
      </c>
      <c r="R1188" s="107" t="str">
        <f t="shared" si="32"/>
        <v/>
      </c>
    </row>
    <row r="1189" hidden="1">
      <c r="A1189" s="443"/>
      <c r="B1189" s="43" t="str">
        <f>IF(A1189="", "", IFERROR(VLOOKUP(A1189, Clasificaciones!A:B, 2, FALSE), "DATO NO CARGADO"))
</f>
        <v/>
      </c>
      <c r="C1189" s="51"/>
      <c r="D1189" s="102"/>
      <c r="E1189" s="102"/>
      <c r="H1189" s="102"/>
      <c r="J1189" s="102"/>
      <c r="K1189" s="450"/>
      <c r="L1189" s="443"/>
      <c r="M1189" s="450"/>
      <c r="N1189" s="452">
        <f t="array" ref="N1189">IFERROR(
  INDEX(
    'Valor Hora Real y Estimada'!$A$4:$Z$78,
    MATCH(TRIM(CLEAN(A1189)), 'Valor Hora Real y Estimada'!$A$4:$A$78, 0),
    MATCH(
      TEXT(C1189,"dd mmm")&amp;" "&amp;D1189,
      'Valor Hora Real y Estimada'!$A$3:$Z$3,
      0
    ) + 1
  ),
  0
)</f>
        <v>0</v>
      </c>
      <c r="O1189" s="453">
        <f t="shared" si="44"/>
        <v>0</v>
      </c>
      <c r="P1189" s="113"/>
      <c r="Q1189" s="106" t="str">
        <f>IF(ISBLANK(O1189), "", VLOOKUP(C1189&amp;" "&amp;D1189, 'Info Tipo de Cambio y REM'!$A$24:$B$35, 2, FALSE))</f>
        <v>#N/A</v>
      </c>
      <c r="R1189" s="107" t="str">
        <f t="shared" si="32"/>
        <v/>
      </c>
    </row>
    <row r="1190" hidden="1">
      <c r="A1190" s="443"/>
      <c r="B1190" s="43" t="str">
        <f>IF(A1190="", "", IFERROR(VLOOKUP(A1190, Clasificaciones!A:B, 2, FALSE), "DATO NO CARGADO"))
</f>
        <v/>
      </c>
      <c r="C1190" s="51"/>
      <c r="D1190" s="102"/>
      <c r="E1190" s="102"/>
      <c r="H1190" s="102"/>
      <c r="J1190" s="102"/>
      <c r="K1190" s="450"/>
      <c r="L1190" s="443"/>
      <c r="M1190" s="450"/>
      <c r="N1190" s="452">
        <f t="array" ref="N1190">IFERROR(
  INDEX(
    'Valor Hora Real y Estimada'!$A$4:$Z$78,
    MATCH(TRIM(CLEAN(A1190)), 'Valor Hora Real y Estimada'!$A$4:$A$78, 0),
    MATCH(
      TEXT(C1190,"dd mmm")&amp;" "&amp;D1190,
      'Valor Hora Real y Estimada'!$A$3:$Z$3,
      0
    ) + 1
  ),
  0
)</f>
        <v>0</v>
      </c>
      <c r="O1190" s="453">
        <f t="shared" si="44"/>
        <v>0</v>
      </c>
      <c r="P1190" s="113"/>
      <c r="Q1190" s="106" t="str">
        <f>IF(ISBLANK(O1190), "", VLOOKUP(C1190&amp;" "&amp;D1190, 'Info Tipo de Cambio y REM'!$A$24:$B$35, 2, FALSE))</f>
        <v>#N/A</v>
      </c>
      <c r="R1190" s="107" t="str">
        <f t="shared" si="32"/>
        <v/>
      </c>
    </row>
    <row r="1191" hidden="1">
      <c r="A1191" s="443"/>
      <c r="B1191" s="43" t="str">
        <f>IF(A1191="", "", IFERROR(VLOOKUP(A1191, Clasificaciones!A:B, 2, FALSE), "DATO NO CARGADO"))
</f>
        <v/>
      </c>
      <c r="C1191" s="51"/>
      <c r="D1191" s="102"/>
      <c r="E1191" s="102"/>
      <c r="H1191" s="102"/>
      <c r="J1191" s="102"/>
      <c r="K1191" s="450"/>
      <c r="L1191" s="443"/>
      <c r="M1191" s="450"/>
      <c r="N1191" s="452">
        <f t="array" ref="N1191">IFERROR(
  INDEX(
    'Valor Hora Real y Estimada'!$A$4:$Z$78,
    MATCH(TRIM(CLEAN(A1191)), 'Valor Hora Real y Estimada'!$A$4:$A$78, 0),
    MATCH(
      TEXT(C1191,"dd mmm")&amp;" "&amp;D1191,
      'Valor Hora Real y Estimada'!$A$3:$Z$3,
      0
    ) + 1
  ),
  0
)</f>
        <v>0</v>
      </c>
      <c r="O1191" s="453">
        <f t="shared" si="44"/>
        <v>0</v>
      </c>
      <c r="P1191" s="113"/>
      <c r="Q1191" s="106" t="str">
        <f>IF(ISBLANK(O1191), "", VLOOKUP(C1191&amp;" "&amp;D1191, 'Info Tipo de Cambio y REM'!$A$24:$B$35, 2, FALSE))</f>
        <v>#N/A</v>
      </c>
      <c r="R1191" s="107" t="str">
        <f t="shared" si="32"/>
        <v/>
      </c>
    </row>
    <row r="1192" hidden="1">
      <c r="A1192" s="443"/>
      <c r="B1192" s="43" t="str">
        <f>IF(A1192="", "", IFERROR(VLOOKUP(A1192, Clasificaciones!A:B, 2, FALSE), "DATO NO CARGADO"))
</f>
        <v/>
      </c>
      <c r="C1192" s="51"/>
      <c r="D1192" s="102"/>
      <c r="E1192" s="102"/>
      <c r="H1192" s="102"/>
      <c r="J1192" s="102"/>
      <c r="K1192" s="450"/>
      <c r="L1192" s="443"/>
      <c r="M1192" s="450"/>
      <c r="N1192" s="452">
        <f t="array" ref="N1192">IFERROR(
  INDEX(
    'Valor Hora Real y Estimada'!$A$4:$Z$78,
    MATCH(TRIM(CLEAN(A1192)), 'Valor Hora Real y Estimada'!$A$4:$A$78, 0),
    MATCH(
      TEXT(C1192,"dd mmm")&amp;" "&amp;D1192,
      'Valor Hora Real y Estimada'!$A$3:$Z$3,
      0
    ) + 1
  ),
  0
)</f>
        <v>0</v>
      </c>
      <c r="O1192" s="453">
        <f t="shared" si="44"/>
        <v>0</v>
      </c>
      <c r="P1192" s="113"/>
      <c r="Q1192" s="106" t="str">
        <f>IF(ISBLANK(O1192), "", VLOOKUP(C1192&amp;" "&amp;D1192, 'Info Tipo de Cambio y REM'!$A$24:$B$35, 2, FALSE))</f>
        <v>#N/A</v>
      </c>
      <c r="R1192" s="107" t="str">
        <f t="shared" si="32"/>
        <v/>
      </c>
    </row>
    <row r="1193" hidden="1">
      <c r="A1193" s="443"/>
      <c r="B1193" s="43" t="str">
        <f>IF(A1193="", "", IFERROR(VLOOKUP(A1193, Clasificaciones!A:B, 2, FALSE), "DATO NO CARGADO"))
</f>
        <v/>
      </c>
      <c r="C1193" s="51"/>
      <c r="D1193" s="102"/>
      <c r="E1193" s="102"/>
      <c r="H1193" s="102"/>
      <c r="J1193" s="102"/>
      <c r="K1193" s="450"/>
      <c r="L1193" s="443"/>
      <c r="M1193" s="450"/>
      <c r="N1193" s="452">
        <f t="array" ref="N1193">IFERROR(
  INDEX(
    'Valor Hora Real y Estimada'!$A$4:$Z$78,
    MATCH(TRIM(CLEAN(A1193)), 'Valor Hora Real y Estimada'!$A$4:$A$78, 0),
    MATCH(
      TEXT(C1193,"dd mmm")&amp;" "&amp;D1193,
      'Valor Hora Real y Estimada'!$A$3:$Z$3,
      0
    ) + 1
  ),
  0
)</f>
        <v>0</v>
      </c>
      <c r="O1193" s="453">
        <f t="shared" si="44"/>
        <v>0</v>
      </c>
      <c r="P1193" s="113"/>
      <c r="Q1193" s="106" t="str">
        <f>IF(ISBLANK(O1193), "", VLOOKUP(C1193&amp;" "&amp;D1193, 'Info Tipo de Cambio y REM'!$A$24:$B$35, 2, FALSE))</f>
        <v>#N/A</v>
      </c>
      <c r="R1193" s="107" t="str">
        <f t="shared" si="32"/>
        <v/>
      </c>
    </row>
    <row r="1194" hidden="1">
      <c r="A1194" s="443"/>
      <c r="B1194" s="43" t="str">
        <f>IF(A1194="", "", IFERROR(VLOOKUP(A1194, Clasificaciones!A:B, 2, FALSE), "DATO NO CARGADO"))
</f>
        <v/>
      </c>
      <c r="C1194" s="51"/>
      <c r="D1194" s="102"/>
      <c r="E1194" s="102"/>
      <c r="H1194" s="102"/>
      <c r="J1194" s="102"/>
      <c r="K1194" s="450"/>
      <c r="L1194" s="443"/>
      <c r="M1194" s="450"/>
      <c r="N1194" s="452">
        <f t="array" ref="N1194">IFERROR(
  INDEX(
    'Valor Hora Real y Estimada'!$A$4:$Z$78,
    MATCH(TRIM(CLEAN(A1194)), 'Valor Hora Real y Estimada'!$A$4:$A$78, 0),
    MATCH(
      TEXT(C1194,"dd mmm")&amp;" "&amp;D1194,
      'Valor Hora Real y Estimada'!$A$3:$Z$3,
      0
    ) + 1
  ),
  0
)</f>
        <v>0</v>
      </c>
      <c r="O1194" s="453">
        <f t="shared" si="44"/>
        <v>0</v>
      </c>
      <c r="P1194" s="113"/>
      <c r="Q1194" s="106" t="str">
        <f>IF(ISBLANK(O1194), "", VLOOKUP(C1194&amp;" "&amp;D1194, 'Info Tipo de Cambio y REM'!$A$24:$B$35, 2, FALSE))</f>
        <v>#N/A</v>
      </c>
      <c r="R1194" s="107" t="str">
        <f t="shared" si="32"/>
        <v/>
      </c>
    </row>
    <row r="1195" hidden="1">
      <c r="A1195" s="443"/>
      <c r="B1195" s="43" t="str">
        <f>IF(A1195="", "", IFERROR(VLOOKUP(A1195, Clasificaciones!A:B, 2, FALSE), "DATO NO CARGADO"))
</f>
        <v/>
      </c>
      <c r="C1195" s="51"/>
      <c r="D1195" s="102"/>
      <c r="E1195" s="102"/>
      <c r="H1195" s="102"/>
      <c r="J1195" s="102"/>
      <c r="K1195" s="450"/>
      <c r="L1195" s="443"/>
      <c r="M1195" s="450"/>
      <c r="N1195" s="452">
        <f t="array" ref="N1195">IFERROR(
  INDEX(
    'Valor Hora Real y Estimada'!$A$4:$Z$78,
    MATCH(TRIM(CLEAN(A1195)), 'Valor Hora Real y Estimada'!$A$4:$A$78, 0),
    MATCH(
      TEXT(C1195,"dd mmm")&amp;" "&amp;D1195,
      'Valor Hora Real y Estimada'!$A$3:$Z$3,
      0
    ) + 1
  ),
  0
)</f>
        <v>0</v>
      </c>
      <c r="O1195" s="453">
        <f t="shared" si="44"/>
        <v>0</v>
      </c>
      <c r="P1195" s="113"/>
      <c r="Q1195" s="106" t="str">
        <f>IF(ISBLANK(O1195), "", VLOOKUP(C1195&amp;" "&amp;D1195, 'Info Tipo de Cambio y REM'!$A$24:$B$35, 2, FALSE))</f>
        <v>#N/A</v>
      </c>
      <c r="R1195" s="107" t="str">
        <f t="shared" si="32"/>
        <v/>
      </c>
    </row>
    <row r="1196" hidden="1">
      <c r="A1196" s="443"/>
      <c r="B1196" s="43" t="str">
        <f>IF(A1196="", "", IFERROR(VLOOKUP(A1196, Clasificaciones!A:B, 2, FALSE), "DATO NO CARGADO"))
</f>
        <v/>
      </c>
      <c r="C1196" s="51"/>
      <c r="D1196" s="102"/>
      <c r="E1196" s="102"/>
      <c r="H1196" s="102"/>
      <c r="J1196" s="102"/>
      <c r="K1196" s="450"/>
      <c r="L1196" s="443"/>
      <c r="M1196" s="450"/>
      <c r="N1196" s="452">
        <f t="array" ref="N1196">IFERROR(
  INDEX(
    'Valor Hora Real y Estimada'!$A$4:$Z$78,
    MATCH(TRIM(CLEAN(A1196)), 'Valor Hora Real y Estimada'!$A$4:$A$78, 0),
    MATCH(
      TEXT(C1196,"dd mmm")&amp;" "&amp;D1196,
      'Valor Hora Real y Estimada'!$A$3:$Z$3,
      0
    ) + 1
  ),
  0
)</f>
        <v>0</v>
      </c>
      <c r="O1196" s="453">
        <f t="shared" si="44"/>
        <v>0</v>
      </c>
      <c r="P1196" s="113"/>
      <c r="Q1196" s="106" t="str">
        <f>IF(ISBLANK(O1196), "", VLOOKUP(C1196&amp;" "&amp;D1196, 'Info Tipo de Cambio y REM'!$A$24:$B$35, 2, FALSE))</f>
        <v>#N/A</v>
      </c>
      <c r="R1196" s="107" t="str">
        <f t="shared" si="32"/>
        <v/>
      </c>
    </row>
    <row r="1197" hidden="1">
      <c r="A1197" s="443"/>
      <c r="B1197" s="43" t="str">
        <f>IF(A1197="", "", IFERROR(VLOOKUP(A1197, Clasificaciones!A:B, 2, FALSE), "DATO NO CARGADO"))
</f>
        <v/>
      </c>
      <c r="C1197" s="51"/>
      <c r="D1197" s="102"/>
      <c r="E1197" s="102"/>
      <c r="H1197" s="102"/>
      <c r="J1197" s="102"/>
      <c r="K1197" s="450"/>
      <c r="L1197" s="443"/>
      <c r="M1197" s="450"/>
      <c r="N1197" s="452">
        <f t="array" ref="N1197">IFERROR(
  INDEX(
    'Valor Hora Real y Estimada'!$A$4:$Z$78,
    MATCH(TRIM(CLEAN(A1197)), 'Valor Hora Real y Estimada'!$A$4:$A$78, 0),
    MATCH(
      TEXT(C1197,"dd mmm")&amp;" "&amp;D1197,
      'Valor Hora Real y Estimada'!$A$3:$Z$3,
      0
    ) + 1
  ),
  0
)</f>
        <v>0</v>
      </c>
      <c r="O1197" s="453">
        <f t="shared" si="44"/>
        <v>0</v>
      </c>
      <c r="P1197" s="113"/>
      <c r="Q1197" s="106" t="str">
        <f>IF(ISBLANK(O1197), "", VLOOKUP(C1197&amp;" "&amp;D1197, 'Info Tipo de Cambio y REM'!$A$24:$B$35, 2, FALSE))</f>
        <v>#N/A</v>
      </c>
      <c r="R1197" s="107" t="str">
        <f t="shared" si="32"/>
        <v/>
      </c>
    </row>
    <row r="1198" hidden="1">
      <c r="A1198" s="443"/>
      <c r="B1198" s="43" t="str">
        <f>IF(A1198="", "", IFERROR(VLOOKUP(A1198, Clasificaciones!A:B, 2, FALSE), "DATO NO CARGADO"))
</f>
        <v/>
      </c>
      <c r="C1198" s="51"/>
      <c r="D1198" s="102"/>
      <c r="E1198" s="102"/>
      <c r="H1198" s="102"/>
      <c r="J1198" s="102"/>
      <c r="K1198" s="450"/>
      <c r="L1198" s="443"/>
      <c r="M1198" s="450"/>
      <c r="N1198" s="452">
        <f t="array" ref="N1198">IFERROR(
  INDEX(
    'Valor Hora Real y Estimada'!$A$4:$Z$78,
    MATCH(TRIM(CLEAN(A1198)), 'Valor Hora Real y Estimada'!$A$4:$A$78, 0),
    MATCH(
      TEXT(C1198,"dd mmm")&amp;" "&amp;D1198,
      'Valor Hora Real y Estimada'!$A$3:$Z$3,
      0
    ) + 1
  ),
  0
)</f>
        <v>0</v>
      </c>
      <c r="O1198" s="453">
        <f t="shared" si="44"/>
        <v>0</v>
      </c>
      <c r="P1198" s="113"/>
      <c r="Q1198" s="106" t="str">
        <f>IF(ISBLANK(O1198), "", VLOOKUP(C1198&amp;" "&amp;D1198, 'Info Tipo de Cambio y REM'!$A$24:$B$35, 2, FALSE))</f>
        <v>#N/A</v>
      </c>
      <c r="R1198" s="107" t="str">
        <f t="shared" si="32"/>
        <v/>
      </c>
    </row>
    <row r="1199" hidden="1">
      <c r="A1199" s="443"/>
      <c r="B1199" s="43" t="str">
        <f>IF(A1199="", "", IFERROR(VLOOKUP(A1199, Clasificaciones!A:B, 2, FALSE), "DATO NO CARGADO"))
</f>
        <v/>
      </c>
      <c r="C1199" s="51"/>
      <c r="D1199" s="102"/>
      <c r="E1199" s="102"/>
      <c r="H1199" s="102"/>
      <c r="J1199" s="102"/>
      <c r="K1199" s="450"/>
      <c r="L1199" s="443"/>
      <c r="M1199" s="450"/>
      <c r="N1199" s="452">
        <f t="array" ref="N1199">IFERROR(
  INDEX(
    'Valor Hora Real y Estimada'!$A$4:$Z$78,
    MATCH(TRIM(CLEAN(A1199)), 'Valor Hora Real y Estimada'!$A$4:$A$78, 0),
    MATCH(
      TEXT(C1199,"dd mmm")&amp;" "&amp;D1199,
      'Valor Hora Real y Estimada'!$A$3:$Z$3,
      0
    ) + 1
  ),
  0
)</f>
        <v>0</v>
      </c>
      <c r="O1199" s="453">
        <f t="shared" si="44"/>
        <v>0</v>
      </c>
      <c r="P1199" s="113"/>
      <c r="Q1199" s="106" t="str">
        <f>IF(ISBLANK(O1199), "", VLOOKUP(C1199&amp;" "&amp;D1199, 'Info Tipo de Cambio y REM'!$A$24:$B$35, 2, FALSE))</f>
        <v>#N/A</v>
      </c>
      <c r="R1199" s="107" t="str">
        <f t="shared" si="32"/>
        <v/>
      </c>
    </row>
    <row r="1200" hidden="1">
      <c r="A1200" s="443"/>
      <c r="B1200" s="43" t="str">
        <f>IF(A1200="", "", IFERROR(VLOOKUP(A1200, Clasificaciones!A:B, 2, FALSE), "DATO NO CARGADO"))
</f>
        <v/>
      </c>
      <c r="C1200" s="51"/>
      <c r="D1200" s="102"/>
      <c r="E1200" s="102"/>
      <c r="H1200" s="102"/>
      <c r="J1200" s="102"/>
      <c r="K1200" s="450"/>
      <c r="L1200" s="443"/>
      <c r="M1200" s="450"/>
      <c r="N1200" s="452">
        <f t="array" ref="N1200">IFERROR(
  INDEX(
    'Valor Hora Real y Estimada'!$A$4:$Z$78,
    MATCH(TRIM(CLEAN(A1200)), 'Valor Hora Real y Estimada'!$A$4:$A$78, 0),
    MATCH(
      TEXT(C1200,"dd mmm")&amp;" "&amp;D1200,
      'Valor Hora Real y Estimada'!$A$3:$Z$3,
      0
    ) + 1
  ),
  0
)</f>
        <v>0</v>
      </c>
      <c r="O1200" s="453">
        <f t="shared" si="44"/>
        <v>0</v>
      </c>
      <c r="P1200" s="113"/>
      <c r="Q1200" s="106" t="str">
        <f>IF(ISBLANK(O1200), "", VLOOKUP(C1200&amp;" "&amp;D1200, 'Info Tipo de Cambio y REM'!$A$24:$B$35, 2, FALSE))</f>
        <v>#N/A</v>
      </c>
      <c r="R1200" s="107" t="str">
        <f t="shared" si="32"/>
        <v/>
      </c>
    </row>
    <row r="1201" hidden="1">
      <c r="A1201" s="443"/>
      <c r="B1201" s="43" t="str">
        <f>IF(A1201="", "", IFERROR(VLOOKUP(A1201, Clasificaciones!A:B, 2, FALSE), "DATO NO CARGADO"))
</f>
        <v/>
      </c>
      <c r="C1201" s="51"/>
      <c r="D1201" s="102"/>
      <c r="E1201" s="102"/>
      <c r="H1201" s="102"/>
      <c r="J1201" s="102"/>
      <c r="K1201" s="450"/>
      <c r="L1201" s="443"/>
      <c r="M1201" s="450"/>
      <c r="N1201" s="452">
        <f t="array" ref="N1201">IFERROR(
  INDEX(
    'Valor Hora Real y Estimada'!$A$4:$Z$78,
    MATCH(TRIM(CLEAN(A1201)), 'Valor Hora Real y Estimada'!$A$4:$A$78, 0),
    MATCH(
      TEXT(C1201,"dd mmm")&amp;" "&amp;D1201,
      'Valor Hora Real y Estimada'!$A$3:$Z$3,
      0
    ) + 1
  ),
  0
)</f>
        <v>0</v>
      </c>
      <c r="O1201" s="453">
        <f t="shared" si="44"/>
        <v>0</v>
      </c>
      <c r="P1201" s="113"/>
      <c r="Q1201" s="106" t="str">
        <f>IF(ISBLANK(O1201), "", VLOOKUP(C1201&amp;" "&amp;D1201, 'Info Tipo de Cambio y REM'!$A$24:$B$35, 2, FALSE))</f>
        <v>#N/A</v>
      </c>
      <c r="R1201" s="107" t="str">
        <f t="shared" si="32"/>
        <v/>
      </c>
    </row>
    <row r="1202" hidden="1">
      <c r="A1202" s="443"/>
      <c r="B1202" s="43" t="str">
        <f>IF(A1202="", "", IFERROR(VLOOKUP(A1202, Clasificaciones!A:B, 2, FALSE), "DATO NO CARGADO"))
</f>
        <v/>
      </c>
      <c r="C1202" s="51"/>
      <c r="D1202" s="102"/>
      <c r="E1202" s="102"/>
      <c r="H1202" s="102"/>
      <c r="J1202" s="102"/>
      <c r="K1202" s="450"/>
      <c r="L1202" s="443"/>
      <c r="M1202" s="450"/>
      <c r="N1202" s="452">
        <f t="array" ref="N1202">IFERROR(
  INDEX(
    'Valor Hora Real y Estimada'!$A$4:$Z$78,
    MATCH(TRIM(CLEAN(A1202)), 'Valor Hora Real y Estimada'!$A$4:$A$78, 0),
    MATCH(
      TEXT(C1202,"dd mmm")&amp;" "&amp;D1202,
      'Valor Hora Real y Estimada'!$A$3:$Z$3,
      0
    ) + 1
  ),
  0
)</f>
        <v>0</v>
      </c>
      <c r="O1202" s="453">
        <f t="shared" si="44"/>
        <v>0</v>
      </c>
      <c r="P1202" s="113"/>
      <c r="Q1202" s="106" t="str">
        <f>IF(ISBLANK(O1202), "", VLOOKUP(C1202&amp;" "&amp;D1202, 'Info Tipo de Cambio y REM'!$A$24:$B$35, 2, FALSE))</f>
        <v>#N/A</v>
      </c>
      <c r="R1202" s="107" t="str">
        <f t="shared" si="32"/>
        <v/>
      </c>
    </row>
    <row r="1203" hidden="1">
      <c r="A1203" s="443"/>
      <c r="B1203" s="43" t="str">
        <f>IF(A1203="", "", IFERROR(VLOOKUP(A1203, Clasificaciones!A:B, 2, FALSE), "DATO NO CARGADO"))
</f>
        <v/>
      </c>
      <c r="C1203" s="51"/>
      <c r="D1203" s="102"/>
      <c r="E1203" s="102"/>
      <c r="H1203" s="102"/>
      <c r="J1203" s="102"/>
      <c r="K1203" s="450"/>
      <c r="L1203" s="443"/>
      <c r="M1203" s="450"/>
      <c r="N1203" s="452">
        <f t="array" ref="N1203">IFERROR(
  INDEX(
    'Valor Hora Real y Estimada'!$A$4:$Z$78,
    MATCH(TRIM(CLEAN(A1203)), 'Valor Hora Real y Estimada'!$A$4:$A$78, 0),
    MATCH(
      TEXT(C1203,"dd mmm")&amp;" "&amp;D1203,
      'Valor Hora Real y Estimada'!$A$3:$Z$3,
      0
    ) + 1
  ),
  0
)</f>
        <v>0</v>
      </c>
      <c r="O1203" s="453">
        <f t="shared" si="44"/>
        <v>0</v>
      </c>
      <c r="P1203" s="113"/>
      <c r="Q1203" s="106" t="str">
        <f>IF(ISBLANK(O1203), "", VLOOKUP(C1203&amp;" "&amp;D1203, 'Info Tipo de Cambio y REM'!$A$24:$B$35, 2, FALSE))</f>
        <v>#N/A</v>
      </c>
      <c r="R1203" s="107" t="str">
        <f t="shared" si="32"/>
        <v/>
      </c>
    </row>
    <row r="1204" hidden="1">
      <c r="A1204" s="443"/>
      <c r="B1204" s="43" t="str">
        <f>IF(A1204="", "", IFERROR(VLOOKUP(A1204, Clasificaciones!A:B, 2, FALSE), "DATO NO CARGADO"))
</f>
        <v/>
      </c>
      <c r="C1204" s="51"/>
      <c r="D1204" s="102"/>
      <c r="E1204" s="102"/>
      <c r="H1204" s="102"/>
      <c r="J1204" s="102"/>
      <c r="K1204" s="450"/>
      <c r="L1204" s="443"/>
      <c r="M1204" s="450"/>
      <c r="N1204" s="452">
        <f t="array" ref="N1204">IFERROR(
  INDEX(
    'Valor Hora Real y Estimada'!$A$4:$Z$78,
    MATCH(TRIM(CLEAN(A1204)), 'Valor Hora Real y Estimada'!$A$4:$A$78, 0),
    MATCH(
      TEXT(C1204,"dd mmm")&amp;" "&amp;D1204,
      'Valor Hora Real y Estimada'!$A$3:$Z$3,
      0
    ) + 1
  ),
  0
)</f>
        <v>0</v>
      </c>
      <c r="O1204" s="453">
        <f t="shared" si="44"/>
        <v>0</v>
      </c>
      <c r="P1204" s="113"/>
      <c r="Q1204" s="106" t="str">
        <f>IF(ISBLANK(O1204), "", VLOOKUP(C1204&amp;" "&amp;D1204, 'Info Tipo de Cambio y REM'!$A$24:$B$35, 2, FALSE))</f>
        <v>#N/A</v>
      </c>
      <c r="R1204" s="107" t="str">
        <f t="shared" si="32"/>
        <v/>
      </c>
    </row>
    <row r="1205" hidden="1">
      <c r="A1205" s="443"/>
      <c r="B1205" s="43" t="str">
        <f>IF(A1205="", "", IFERROR(VLOOKUP(A1205, Clasificaciones!A:B, 2, FALSE), "DATO NO CARGADO"))
</f>
        <v/>
      </c>
      <c r="C1205" s="51"/>
      <c r="D1205" s="102"/>
      <c r="E1205" s="102"/>
      <c r="H1205" s="102"/>
      <c r="J1205" s="102"/>
      <c r="K1205" s="450"/>
      <c r="L1205" s="443"/>
      <c r="M1205" s="450"/>
      <c r="N1205" s="452">
        <f t="array" ref="N1205">IFERROR(
  INDEX(
    'Valor Hora Real y Estimada'!$A$4:$Z$78,
    MATCH(TRIM(CLEAN(A1205)), 'Valor Hora Real y Estimada'!$A$4:$A$78, 0),
    MATCH(
      TEXT(C1205,"dd mmm")&amp;" "&amp;D1205,
      'Valor Hora Real y Estimada'!$A$3:$Z$3,
      0
    ) + 1
  ),
  0
)</f>
        <v>0</v>
      </c>
      <c r="O1205" s="453">
        <f t="shared" si="44"/>
        <v>0</v>
      </c>
      <c r="P1205" s="113"/>
      <c r="Q1205" s="106" t="str">
        <f>IF(ISBLANK(O1205), "", VLOOKUP(C1205&amp;" "&amp;D1205, 'Info Tipo de Cambio y REM'!$A$24:$B$35, 2, FALSE))</f>
        <v>#N/A</v>
      </c>
      <c r="R1205" s="107" t="str">
        <f t="shared" si="32"/>
        <v/>
      </c>
    </row>
    <row r="1206" hidden="1">
      <c r="A1206" s="443"/>
      <c r="B1206" s="43" t="str">
        <f>IF(A1206="", "", IFERROR(VLOOKUP(A1206, Clasificaciones!A:B, 2, FALSE), "DATO NO CARGADO"))
</f>
        <v/>
      </c>
      <c r="C1206" s="51"/>
      <c r="D1206" s="102"/>
      <c r="E1206" s="102"/>
      <c r="H1206" s="102"/>
      <c r="J1206" s="102"/>
      <c r="K1206" s="450"/>
      <c r="L1206" s="443"/>
      <c r="M1206" s="450"/>
      <c r="N1206" s="452">
        <f t="array" ref="N1206">IFERROR(
  INDEX(
    'Valor Hora Real y Estimada'!$A$4:$Z$78,
    MATCH(TRIM(CLEAN(A1206)), 'Valor Hora Real y Estimada'!$A$4:$A$78, 0),
    MATCH(
      TEXT(C1206,"dd mmm")&amp;" "&amp;D1206,
      'Valor Hora Real y Estimada'!$A$3:$Z$3,
      0
    ) + 1
  ),
  0
)</f>
        <v>0</v>
      </c>
      <c r="O1206" s="453">
        <f t="shared" si="44"/>
        <v>0</v>
      </c>
      <c r="P1206" s="113"/>
      <c r="Q1206" s="106" t="str">
        <f>IF(ISBLANK(O1206), "", VLOOKUP(C1206&amp;" "&amp;D1206, 'Info Tipo de Cambio y REM'!$A$24:$B$35, 2, FALSE))</f>
        <v>#N/A</v>
      </c>
      <c r="R1206" s="107" t="str">
        <f t="shared" si="32"/>
        <v/>
      </c>
    </row>
    <row r="1207" hidden="1">
      <c r="A1207" s="443"/>
      <c r="B1207" s="43" t="str">
        <f>IF(A1207="", "", IFERROR(VLOOKUP(A1207, Clasificaciones!A:B, 2, FALSE), "DATO NO CARGADO"))
</f>
        <v/>
      </c>
      <c r="C1207" s="51"/>
      <c r="D1207" s="102"/>
      <c r="E1207" s="102"/>
      <c r="H1207" s="102"/>
      <c r="J1207" s="102"/>
      <c r="K1207" s="450"/>
      <c r="L1207" s="443"/>
      <c r="M1207" s="450"/>
      <c r="N1207" s="452">
        <f t="array" ref="N1207">IFERROR(
  INDEX(
    'Valor Hora Real y Estimada'!$A$4:$Z$78,
    MATCH(TRIM(CLEAN(A1207)), 'Valor Hora Real y Estimada'!$A$4:$A$78, 0),
    MATCH(
      TEXT(C1207,"dd mmm")&amp;" "&amp;D1207,
      'Valor Hora Real y Estimada'!$A$3:$Z$3,
      0
    ) + 1
  ),
  0
)</f>
        <v>0</v>
      </c>
      <c r="O1207" s="453">
        <f t="shared" si="44"/>
        <v>0</v>
      </c>
      <c r="P1207" s="113"/>
      <c r="Q1207" s="106" t="str">
        <f>IF(ISBLANK(O1207), "", VLOOKUP(C1207&amp;" "&amp;D1207, 'Info Tipo de Cambio y REM'!$A$24:$B$35, 2, FALSE))</f>
        <v>#N/A</v>
      </c>
      <c r="R1207" s="107" t="str">
        <f t="shared" si="32"/>
        <v/>
      </c>
    </row>
    <row r="1208" hidden="1">
      <c r="A1208" s="443"/>
      <c r="B1208" s="43" t="str">
        <f>IF(A1208="", "", IFERROR(VLOOKUP(A1208, Clasificaciones!A:B, 2, FALSE), "DATO NO CARGADO"))
</f>
        <v/>
      </c>
      <c r="C1208" s="51"/>
      <c r="D1208" s="102"/>
      <c r="E1208" s="102"/>
      <c r="H1208" s="102"/>
      <c r="J1208" s="102"/>
      <c r="K1208" s="450"/>
      <c r="L1208" s="443"/>
      <c r="M1208" s="450"/>
      <c r="N1208" s="452">
        <f t="array" ref="N1208">IFERROR(
  INDEX(
    'Valor Hora Real y Estimada'!$A$4:$Z$78,
    MATCH(TRIM(CLEAN(A1208)), 'Valor Hora Real y Estimada'!$A$4:$A$78, 0),
    MATCH(
      TEXT(C1208,"dd mmm")&amp;" "&amp;D1208,
      'Valor Hora Real y Estimada'!$A$3:$Z$3,
      0
    ) + 1
  ),
  0
)</f>
        <v>0</v>
      </c>
      <c r="O1208" s="453">
        <f t="shared" si="44"/>
        <v>0</v>
      </c>
      <c r="P1208" s="113"/>
      <c r="Q1208" s="106" t="str">
        <f>IF(ISBLANK(O1208), "", VLOOKUP(C1208&amp;" "&amp;D1208, 'Info Tipo de Cambio y REM'!$A$24:$B$35, 2, FALSE))</f>
        <v>#N/A</v>
      </c>
      <c r="R1208" s="107" t="str">
        <f t="shared" si="32"/>
        <v/>
      </c>
    </row>
    <row r="1209" hidden="1">
      <c r="A1209" s="443"/>
      <c r="B1209" s="43" t="str">
        <f>IF(A1209="", "", IFERROR(VLOOKUP(A1209, Clasificaciones!A:B, 2, FALSE), "DATO NO CARGADO"))
</f>
        <v/>
      </c>
      <c r="C1209" s="51"/>
      <c r="D1209" s="102"/>
      <c r="E1209" s="102"/>
      <c r="H1209" s="102"/>
      <c r="J1209" s="102"/>
      <c r="K1209" s="450"/>
      <c r="L1209" s="443"/>
      <c r="M1209" s="450"/>
      <c r="N1209" s="452">
        <f t="array" ref="N1209">IFERROR(
  INDEX(
    'Valor Hora Real y Estimada'!$A$4:$Z$78,
    MATCH(TRIM(CLEAN(A1209)), 'Valor Hora Real y Estimada'!$A$4:$A$78, 0),
    MATCH(
      TEXT(C1209,"dd mmm")&amp;" "&amp;D1209,
      'Valor Hora Real y Estimada'!$A$3:$Z$3,
      0
    ) + 1
  ),
  0
)</f>
        <v>0</v>
      </c>
      <c r="O1209" s="453">
        <f t="shared" si="44"/>
        <v>0</v>
      </c>
      <c r="P1209" s="113"/>
      <c r="Q1209" s="106" t="str">
        <f>IF(ISBLANK(O1209), "", VLOOKUP(C1209&amp;" "&amp;D1209, 'Info Tipo de Cambio y REM'!$A$24:$B$35, 2, FALSE))</f>
        <v>#N/A</v>
      </c>
      <c r="R1209" s="107" t="str">
        <f t="shared" si="32"/>
        <v/>
      </c>
    </row>
    <row r="1210" hidden="1">
      <c r="A1210" s="443"/>
      <c r="B1210" s="43" t="str">
        <f>IF(A1210="", "", IFERROR(VLOOKUP(A1210, Clasificaciones!A:B, 2, FALSE), "DATO NO CARGADO"))
</f>
        <v/>
      </c>
      <c r="C1210" s="51"/>
      <c r="D1210" s="102"/>
      <c r="E1210" s="102"/>
      <c r="H1210" s="102"/>
      <c r="J1210" s="102"/>
      <c r="K1210" s="450"/>
      <c r="L1210" s="443"/>
      <c r="M1210" s="450"/>
      <c r="N1210" s="452">
        <f t="array" ref="N1210">IFERROR(
  INDEX(
    'Valor Hora Real y Estimada'!$A$4:$Z$78,
    MATCH(TRIM(CLEAN(A1210)), 'Valor Hora Real y Estimada'!$A$4:$A$78, 0),
    MATCH(
      TEXT(C1210,"dd mmm")&amp;" "&amp;D1210,
      'Valor Hora Real y Estimada'!$A$3:$Z$3,
      0
    ) + 1
  ),
  0
)</f>
        <v>0</v>
      </c>
      <c r="O1210" s="453">
        <f t="shared" si="44"/>
        <v>0</v>
      </c>
      <c r="P1210" s="113"/>
      <c r="Q1210" s="106" t="str">
        <f>IF(ISBLANK(O1210), "", VLOOKUP(C1210&amp;" "&amp;D1210, 'Info Tipo de Cambio y REM'!$A$24:$B$35, 2, FALSE))</f>
        <v>#N/A</v>
      </c>
      <c r="R1210" s="107" t="str">
        <f t="shared" si="32"/>
        <v/>
      </c>
    </row>
    <row r="1211" hidden="1">
      <c r="A1211" s="443"/>
      <c r="B1211" s="43" t="str">
        <f>IF(A1211="", "", IFERROR(VLOOKUP(A1211, Clasificaciones!A:B, 2, FALSE), "DATO NO CARGADO"))
</f>
        <v/>
      </c>
      <c r="C1211" s="51"/>
      <c r="D1211" s="102"/>
      <c r="E1211" s="102"/>
      <c r="H1211" s="102"/>
      <c r="J1211" s="102"/>
      <c r="K1211" s="450"/>
      <c r="L1211" s="443"/>
      <c r="M1211" s="450"/>
      <c r="N1211" s="452">
        <f t="array" ref="N1211">IFERROR(
  INDEX(
    'Valor Hora Real y Estimada'!$A$4:$Z$78,
    MATCH(TRIM(CLEAN(A1211)), 'Valor Hora Real y Estimada'!$A$4:$A$78, 0),
    MATCH(
      TEXT(C1211,"dd mmm")&amp;" "&amp;D1211,
      'Valor Hora Real y Estimada'!$A$3:$Z$3,
      0
    ) + 1
  ),
  0
)</f>
        <v>0</v>
      </c>
      <c r="O1211" s="453">
        <f t="shared" si="44"/>
        <v>0</v>
      </c>
      <c r="P1211" s="113"/>
      <c r="Q1211" s="106" t="str">
        <f>IF(ISBLANK(O1211), "", VLOOKUP(C1211&amp;" "&amp;D1211, 'Info Tipo de Cambio y REM'!$A$24:$B$35, 2, FALSE))</f>
        <v>#N/A</v>
      </c>
      <c r="R1211" s="107" t="str">
        <f t="shared" si="32"/>
        <v/>
      </c>
    </row>
    <row r="1212" hidden="1">
      <c r="A1212" s="443"/>
      <c r="B1212" s="43" t="str">
        <f>IF(A1212="", "", IFERROR(VLOOKUP(A1212, Clasificaciones!A:B, 2, FALSE), "DATO NO CARGADO"))
</f>
        <v/>
      </c>
      <c r="C1212" s="51"/>
      <c r="D1212" s="102"/>
      <c r="E1212" s="102"/>
      <c r="H1212" s="102"/>
      <c r="J1212" s="102"/>
      <c r="K1212" s="450"/>
      <c r="L1212" s="443"/>
      <c r="M1212" s="450"/>
      <c r="N1212" s="452">
        <f t="array" ref="N1212">IFERROR(
  INDEX(
    'Valor Hora Real y Estimada'!$A$4:$Z$78,
    MATCH(TRIM(CLEAN(A1212)), 'Valor Hora Real y Estimada'!$A$4:$A$78, 0),
    MATCH(
      TEXT(C1212,"dd mmm")&amp;" "&amp;D1212,
      'Valor Hora Real y Estimada'!$A$3:$Z$3,
      0
    ) + 1
  ),
  0
)</f>
        <v>0</v>
      </c>
      <c r="O1212" s="453">
        <f t="shared" si="44"/>
        <v>0</v>
      </c>
      <c r="P1212" s="113"/>
      <c r="Q1212" s="106" t="str">
        <f>IF(ISBLANK(O1212), "", VLOOKUP(C1212&amp;" "&amp;D1212, 'Info Tipo de Cambio y REM'!$A$24:$B$35, 2, FALSE))</f>
        <v>#N/A</v>
      </c>
      <c r="R1212" s="107" t="str">
        <f t="shared" si="32"/>
        <v/>
      </c>
    </row>
    <row r="1213" hidden="1">
      <c r="A1213" s="443"/>
      <c r="B1213" s="43" t="str">
        <f>IF(A1213="", "", IFERROR(VLOOKUP(A1213, Clasificaciones!A:B, 2, FALSE), "DATO NO CARGADO"))
</f>
        <v/>
      </c>
      <c r="C1213" s="51"/>
      <c r="D1213" s="102"/>
      <c r="E1213" s="102"/>
      <c r="H1213" s="102"/>
      <c r="J1213" s="102"/>
      <c r="K1213" s="450"/>
      <c r="L1213" s="443"/>
      <c r="M1213" s="450"/>
      <c r="N1213" s="452">
        <f t="array" ref="N1213">IFERROR(
  INDEX(
    'Valor Hora Real y Estimada'!$A$4:$Z$78,
    MATCH(TRIM(CLEAN(A1213)), 'Valor Hora Real y Estimada'!$A$4:$A$78, 0),
    MATCH(
      TEXT(C1213,"dd mmm")&amp;" "&amp;D1213,
      'Valor Hora Real y Estimada'!$A$3:$Z$3,
      0
    ) + 1
  ),
  0
)</f>
        <v>0</v>
      </c>
      <c r="O1213" s="453">
        <f t="shared" si="44"/>
        <v>0</v>
      </c>
      <c r="P1213" s="113"/>
      <c r="Q1213" s="106" t="str">
        <f>IF(ISBLANK(O1213), "", VLOOKUP(C1213&amp;" "&amp;D1213, 'Info Tipo de Cambio y REM'!$A$24:$B$35, 2, FALSE))</f>
        <v>#N/A</v>
      </c>
      <c r="R1213" s="107" t="str">
        <f t="shared" si="32"/>
        <v/>
      </c>
    </row>
    <row r="1214" hidden="1">
      <c r="A1214" s="443"/>
      <c r="B1214" s="43" t="str">
        <f>IF(A1214="", "", IFERROR(VLOOKUP(A1214, Clasificaciones!A:B, 2, FALSE), "DATO NO CARGADO"))
</f>
        <v/>
      </c>
      <c r="C1214" s="51"/>
      <c r="D1214" s="102"/>
      <c r="E1214" s="102"/>
      <c r="H1214" s="102"/>
      <c r="J1214" s="102"/>
      <c r="K1214" s="450"/>
      <c r="L1214" s="443"/>
      <c r="M1214" s="450"/>
      <c r="N1214" s="452">
        <f t="array" ref="N1214">IFERROR(
  INDEX(
    'Valor Hora Real y Estimada'!$A$4:$Z$78,
    MATCH(TRIM(CLEAN(A1214)), 'Valor Hora Real y Estimada'!$A$4:$A$78, 0),
    MATCH(
      TEXT(C1214,"dd mmm")&amp;" "&amp;D1214,
      'Valor Hora Real y Estimada'!$A$3:$Z$3,
      0
    ) + 1
  ),
  0
)</f>
        <v>0</v>
      </c>
      <c r="O1214" s="453">
        <f t="shared" si="44"/>
        <v>0</v>
      </c>
      <c r="P1214" s="113"/>
      <c r="Q1214" s="106" t="str">
        <f>IF(ISBLANK(O1214), "", VLOOKUP(C1214&amp;" "&amp;D1214, 'Info Tipo de Cambio y REM'!$A$24:$B$35, 2, FALSE))</f>
        <v>#N/A</v>
      </c>
      <c r="R1214" s="107" t="str">
        <f t="shared" si="32"/>
        <v/>
      </c>
    </row>
    <row r="1215" hidden="1">
      <c r="A1215" s="443"/>
      <c r="B1215" s="43" t="str">
        <f>IF(A1215="", "", IFERROR(VLOOKUP(A1215, Clasificaciones!A:B, 2, FALSE), "DATO NO CARGADO"))
</f>
        <v/>
      </c>
      <c r="C1215" s="51"/>
      <c r="D1215" s="102"/>
      <c r="E1215" s="102"/>
      <c r="H1215" s="102"/>
      <c r="J1215" s="102"/>
      <c r="K1215" s="450"/>
      <c r="L1215" s="443"/>
      <c r="M1215" s="450"/>
      <c r="N1215" s="452">
        <f t="array" ref="N1215">IFERROR(
  INDEX(
    'Valor Hora Real y Estimada'!$A$4:$Z$78,
    MATCH(TRIM(CLEAN(A1215)), 'Valor Hora Real y Estimada'!$A$4:$A$78, 0),
    MATCH(
      TEXT(C1215,"dd mmm")&amp;" "&amp;D1215,
      'Valor Hora Real y Estimada'!$A$3:$Z$3,
      0
    ) + 1
  ),
  0
)</f>
        <v>0</v>
      </c>
      <c r="O1215" s="453">
        <f t="shared" si="44"/>
        <v>0</v>
      </c>
      <c r="P1215" s="113"/>
      <c r="Q1215" s="106" t="str">
        <f>IF(ISBLANK(O1215), "", VLOOKUP(C1215&amp;" "&amp;D1215, 'Info Tipo de Cambio y REM'!$A$24:$B$35, 2, FALSE))</f>
        <v>#N/A</v>
      </c>
      <c r="R1215" s="107" t="str">
        <f t="shared" si="32"/>
        <v/>
      </c>
    </row>
    <row r="1216" hidden="1">
      <c r="A1216" s="443"/>
      <c r="B1216" s="43" t="str">
        <f>IF(A1216="", "", IFERROR(VLOOKUP(A1216, Clasificaciones!A:B, 2, FALSE), "DATO NO CARGADO"))
</f>
        <v/>
      </c>
      <c r="C1216" s="51"/>
      <c r="D1216" s="102"/>
      <c r="E1216" s="102"/>
      <c r="H1216" s="102"/>
      <c r="J1216" s="102"/>
      <c r="K1216" s="450"/>
      <c r="L1216" s="443"/>
      <c r="M1216" s="450"/>
      <c r="N1216" s="452">
        <f t="array" ref="N1216">IFERROR(
  INDEX(
    'Valor Hora Real y Estimada'!$A$4:$Z$78,
    MATCH(TRIM(CLEAN(A1216)), 'Valor Hora Real y Estimada'!$A$4:$A$78, 0),
    MATCH(
      TEXT(C1216,"dd mmm")&amp;" "&amp;D1216,
      'Valor Hora Real y Estimada'!$A$3:$Z$3,
      0
    ) + 1
  ),
  0
)</f>
        <v>0</v>
      </c>
      <c r="O1216" s="453">
        <f t="shared" si="44"/>
        <v>0</v>
      </c>
      <c r="P1216" s="113"/>
      <c r="Q1216" s="106" t="str">
        <f>IF(ISBLANK(O1216), "", VLOOKUP(C1216&amp;" "&amp;D1216, 'Info Tipo de Cambio y REM'!$A$24:$B$35, 2, FALSE))</f>
        <v>#N/A</v>
      </c>
      <c r="R1216" s="107" t="str">
        <f t="shared" si="32"/>
        <v/>
      </c>
    </row>
    <row r="1217" hidden="1">
      <c r="A1217" s="443"/>
      <c r="B1217" s="43" t="str">
        <f>IF(A1217="", "", IFERROR(VLOOKUP(A1217, Clasificaciones!A:B, 2, FALSE), "DATO NO CARGADO"))
</f>
        <v/>
      </c>
      <c r="C1217" s="51"/>
      <c r="D1217" s="102"/>
      <c r="E1217" s="102"/>
      <c r="H1217" s="102"/>
      <c r="J1217" s="102"/>
      <c r="K1217" s="450"/>
      <c r="L1217" s="443"/>
      <c r="M1217" s="450"/>
      <c r="N1217" s="452">
        <f t="array" ref="N1217">IFERROR(
  INDEX(
    'Valor Hora Real y Estimada'!$A$4:$Z$78,
    MATCH(TRIM(CLEAN(A1217)), 'Valor Hora Real y Estimada'!$A$4:$A$78, 0),
    MATCH(
      TEXT(C1217,"dd mmm")&amp;" "&amp;D1217,
      'Valor Hora Real y Estimada'!$A$3:$Z$3,
      0
    ) + 1
  ),
  0
)</f>
        <v>0</v>
      </c>
      <c r="O1217" s="453">
        <f t="shared" si="44"/>
        <v>0</v>
      </c>
      <c r="P1217" s="113"/>
      <c r="Q1217" s="106" t="str">
        <f>IF(ISBLANK(O1217), "", VLOOKUP(C1217&amp;" "&amp;D1217, 'Info Tipo de Cambio y REM'!$A$24:$B$35, 2, FALSE))</f>
        <v>#N/A</v>
      </c>
      <c r="R1217" s="107" t="str">
        <f t="shared" si="32"/>
        <v/>
      </c>
    </row>
    <row r="1218" hidden="1">
      <c r="A1218" s="443"/>
      <c r="B1218" s="43" t="str">
        <f>IF(A1218="", "", IFERROR(VLOOKUP(A1218, Clasificaciones!A:B, 2, FALSE), "DATO NO CARGADO"))
</f>
        <v/>
      </c>
      <c r="C1218" s="51"/>
      <c r="D1218" s="102"/>
      <c r="E1218" s="102"/>
      <c r="H1218" s="102"/>
      <c r="J1218" s="102"/>
      <c r="K1218" s="450"/>
      <c r="L1218" s="443"/>
      <c r="M1218" s="450"/>
      <c r="N1218" s="452">
        <f t="array" ref="N1218">IFERROR(
  INDEX(
    'Valor Hora Real y Estimada'!$A$4:$Z$78,
    MATCH(TRIM(CLEAN(A1218)), 'Valor Hora Real y Estimada'!$A$4:$A$78, 0),
    MATCH(
      TEXT(C1218,"dd mmm")&amp;" "&amp;D1218,
      'Valor Hora Real y Estimada'!$A$3:$Z$3,
      0
    ) + 1
  ),
  0
)</f>
        <v>0</v>
      </c>
      <c r="O1218" s="453">
        <f t="shared" si="44"/>
        <v>0</v>
      </c>
      <c r="P1218" s="113"/>
      <c r="Q1218" s="106" t="str">
        <f>IF(ISBLANK(O1218), "", VLOOKUP(C1218&amp;" "&amp;D1218, 'Info Tipo de Cambio y REM'!$A$24:$B$35, 2, FALSE))</f>
        <v>#N/A</v>
      </c>
      <c r="R1218" s="107" t="str">
        <f t="shared" si="32"/>
        <v/>
      </c>
    </row>
    <row r="1219" hidden="1">
      <c r="A1219" s="443"/>
      <c r="B1219" s="43" t="str">
        <f>IF(A1219="", "", IFERROR(VLOOKUP(A1219, Clasificaciones!A:B, 2, FALSE), "DATO NO CARGADO"))
</f>
        <v/>
      </c>
      <c r="C1219" s="51"/>
      <c r="D1219" s="102"/>
      <c r="E1219" s="102"/>
      <c r="H1219" s="102"/>
      <c r="J1219" s="102"/>
      <c r="K1219" s="450"/>
      <c r="L1219" s="443"/>
      <c r="M1219" s="450"/>
      <c r="N1219" s="452">
        <f t="array" ref="N1219">IFERROR(
  INDEX(
    'Valor Hora Real y Estimada'!$A$4:$Z$78,
    MATCH(TRIM(CLEAN(A1219)), 'Valor Hora Real y Estimada'!$A$4:$A$78, 0),
    MATCH(
      TEXT(C1219,"dd mmm")&amp;" "&amp;D1219,
      'Valor Hora Real y Estimada'!$A$3:$Z$3,
      0
    ) + 1
  ),
  0
)</f>
        <v>0</v>
      </c>
      <c r="O1219" s="453">
        <f t="shared" si="44"/>
        <v>0</v>
      </c>
      <c r="P1219" s="113"/>
      <c r="Q1219" s="106" t="str">
        <f>IF(ISBLANK(O1219), "", VLOOKUP(C1219&amp;" "&amp;D1219, 'Info Tipo de Cambio y REM'!$A$24:$B$35, 2, FALSE))</f>
        <v>#N/A</v>
      </c>
      <c r="R1219" s="107" t="str">
        <f t="shared" si="32"/>
        <v/>
      </c>
    </row>
    <row r="1220" hidden="1">
      <c r="A1220" s="443"/>
      <c r="B1220" s="43" t="str">
        <f>IF(A1220="", "", IFERROR(VLOOKUP(A1220, Clasificaciones!A:B, 2, FALSE), "DATO NO CARGADO"))
</f>
        <v/>
      </c>
      <c r="C1220" s="51"/>
      <c r="D1220" s="102"/>
      <c r="E1220" s="102"/>
      <c r="H1220" s="102"/>
      <c r="J1220" s="102"/>
      <c r="K1220" s="450"/>
      <c r="L1220" s="443"/>
      <c r="M1220" s="450"/>
      <c r="N1220" s="452">
        <f t="array" ref="N1220">IFERROR(
  INDEX(
    'Valor Hora Real y Estimada'!$A$4:$Z$78,
    MATCH(TRIM(CLEAN(A1220)), 'Valor Hora Real y Estimada'!$A$4:$A$78, 0),
    MATCH(
      TEXT(C1220,"dd mmm")&amp;" "&amp;D1220,
      'Valor Hora Real y Estimada'!$A$3:$Z$3,
      0
    ) + 1
  ),
  0
)</f>
        <v>0</v>
      </c>
      <c r="O1220" s="453"/>
      <c r="P1220" s="113"/>
      <c r="Q1220" s="106" t="str">
        <f>IF(ISBLANK(O1220), "", VLOOKUP(C1220&amp;" "&amp;D1220, 'Info Tipo de Cambio y REM'!$A$24:$B$35, 2, FALSE))</f>
        <v/>
      </c>
      <c r="R1220" s="107" t="str">
        <f t="shared" si="32"/>
        <v/>
      </c>
    </row>
    <row r="1221" hidden="1">
      <c r="A1221" s="443"/>
      <c r="B1221" s="43" t="str">
        <f>IF(A1221="", "", IFERROR(VLOOKUP(A1221, Clasificaciones!A:B, 2, FALSE), "DATO NO CARGADO"))
</f>
        <v/>
      </c>
      <c r="C1221" s="51"/>
      <c r="D1221" s="102"/>
      <c r="E1221" s="102"/>
      <c r="H1221" s="102"/>
      <c r="J1221" s="102"/>
      <c r="K1221" s="450"/>
      <c r="L1221" s="443"/>
      <c r="M1221" s="450"/>
      <c r="N1221" s="452">
        <f t="array" ref="N1221">IFERROR(
  INDEX(
    'Valor Hora Real y Estimada'!$A$4:$Z$78,
    MATCH(TRIM(CLEAN(A1221)), 'Valor Hora Real y Estimada'!$A$4:$A$78, 0),
    MATCH(
      TEXT(C1221,"dd mmm")&amp;" "&amp;D1221,
      'Valor Hora Real y Estimada'!$A$3:$Z$3,
      0
    ) + 1
  ),
  0
)</f>
        <v>0</v>
      </c>
      <c r="O1221" s="453"/>
      <c r="P1221" s="113"/>
      <c r="Q1221" s="106" t="str">
        <f>IF(ISBLANK(O1221), "", VLOOKUP(C1221&amp;" "&amp;D1221, 'Info Tipo de Cambio y REM'!$A$24:$B$35, 2, FALSE))</f>
        <v/>
      </c>
      <c r="R1221" s="107" t="str">
        <f t="shared" si="32"/>
        <v/>
      </c>
    </row>
    <row r="1222" hidden="1">
      <c r="A1222" s="443"/>
      <c r="B1222" s="43" t="str">
        <f>IF(A1222="", "", IFERROR(VLOOKUP(A1222, Clasificaciones!A:B, 2, FALSE), "DATO NO CARGADO"))
</f>
        <v/>
      </c>
      <c r="C1222" s="51"/>
      <c r="D1222" s="102"/>
      <c r="E1222" s="102"/>
      <c r="H1222" s="102"/>
      <c r="J1222" s="102"/>
      <c r="K1222" s="450"/>
      <c r="L1222" s="443"/>
      <c r="M1222" s="450"/>
      <c r="N1222" s="452">
        <f t="array" ref="N1222">IFERROR(
  INDEX(
    'Valor Hora Real y Estimada'!$A$4:$Z$78,
    MATCH(TRIM(CLEAN(A1222)), 'Valor Hora Real y Estimada'!$A$4:$A$78, 0),
    MATCH(
      TEXT(C1222,"dd mmm")&amp;" "&amp;D1222,
      'Valor Hora Real y Estimada'!$A$3:$Z$3,
      0
    ) + 1
  ),
  0
)</f>
        <v>0</v>
      </c>
      <c r="O1222" s="453"/>
      <c r="P1222" s="113"/>
      <c r="Q1222" s="106" t="str">
        <f>IF(ISBLANK(O1222), "", VLOOKUP(C1222&amp;" "&amp;D1222, 'Info Tipo de Cambio y REM'!$A$24:$B$35, 2, FALSE))</f>
        <v/>
      </c>
      <c r="R1222" s="107" t="str">
        <f t="shared" si="32"/>
        <v/>
      </c>
    </row>
    <row r="1223" hidden="1">
      <c r="A1223" s="443"/>
      <c r="B1223" s="43" t="str">
        <f>IF(A1223="", "", IFERROR(VLOOKUP(A1223, Clasificaciones!A:B, 2, FALSE), "DATO NO CARGADO"))
</f>
        <v/>
      </c>
      <c r="C1223" s="51"/>
      <c r="D1223" s="102"/>
      <c r="E1223" s="102"/>
      <c r="H1223" s="102"/>
      <c r="J1223" s="102"/>
      <c r="K1223" s="450"/>
      <c r="L1223" s="443"/>
      <c r="M1223" s="450"/>
      <c r="N1223" s="452">
        <f t="array" ref="N1223">IFERROR(
  INDEX(
    'Valor Hora Real y Estimada'!$A$4:$Z$78,
    MATCH(TRIM(CLEAN(A1223)), 'Valor Hora Real y Estimada'!$A$4:$A$78, 0),
    MATCH(
      TEXT(C1223,"dd mmm")&amp;" "&amp;D1223,
      'Valor Hora Real y Estimada'!$A$3:$Z$3,
      0
    ) + 1
  ),
  0
)</f>
        <v>0</v>
      </c>
      <c r="O1223" s="453"/>
      <c r="P1223" s="113"/>
      <c r="Q1223" s="106" t="str">
        <f>IF(ISBLANK(O1223), "", VLOOKUP(C1223&amp;" "&amp;D1223, 'Info Tipo de Cambio y REM'!$A$24:$B$35, 2, FALSE))</f>
        <v/>
      </c>
      <c r="R1223" s="107" t="str">
        <f t="shared" si="32"/>
        <v/>
      </c>
    </row>
    <row r="1224" hidden="1">
      <c r="A1224" s="443"/>
      <c r="B1224" s="43" t="str">
        <f>IF(A1224="", "", IFERROR(VLOOKUP(A1224, Clasificaciones!A:B, 2, FALSE), "DATO NO CARGADO"))
</f>
        <v/>
      </c>
      <c r="C1224" s="51"/>
      <c r="D1224" s="102"/>
      <c r="E1224" s="102"/>
      <c r="H1224" s="102"/>
      <c r="J1224" s="102"/>
      <c r="K1224" s="450"/>
      <c r="L1224" s="443"/>
      <c r="M1224" s="450"/>
      <c r="N1224" s="452">
        <f t="array" ref="N1224">IFERROR(
  INDEX(
    'Valor Hora Real y Estimada'!$A$4:$Z$78,
    MATCH(TRIM(CLEAN(A1224)), 'Valor Hora Real y Estimada'!$A$4:$A$78, 0),
    MATCH(
      TEXT(C1224,"dd mmm")&amp;" "&amp;D1224,
      'Valor Hora Real y Estimada'!$A$3:$Z$3,
      0
    ) + 1
  ),
  0
)</f>
        <v>0</v>
      </c>
      <c r="O1224" s="453"/>
      <c r="P1224" s="113"/>
      <c r="Q1224" s="106" t="str">
        <f>IF(ISBLANK(O1224), "", VLOOKUP(C1224&amp;" "&amp;D1224, 'Info Tipo de Cambio y REM'!$A$24:$B$35, 2, FALSE))</f>
        <v/>
      </c>
      <c r="R1224" s="107" t="str">
        <f t="shared" si="32"/>
        <v/>
      </c>
    </row>
    <row r="1225" hidden="1">
      <c r="A1225" s="443"/>
      <c r="B1225" s="43" t="str">
        <f>IF(A1225="", "", IFERROR(VLOOKUP(A1225, Clasificaciones!A:B, 2, FALSE), "DATO NO CARGADO"))
</f>
        <v/>
      </c>
      <c r="C1225" s="51"/>
      <c r="D1225" s="102"/>
      <c r="E1225" s="102"/>
      <c r="H1225" s="102"/>
      <c r="J1225" s="102"/>
      <c r="K1225" s="450"/>
      <c r="L1225" s="443"/>
      <c r="M1225" s="450"/>
      <c r="N1225" s="452">
        <f t="array" ref="N1225">IFERROR(
  INDEX(
    'Valor Hora Real y Estimada'!$A$4:$Z$78,
    MATCH(TRIM(CLEAN(A1225)), 'Valor Hora Real y Estimada'!$A$4:$A$78, 0),
    MATCH(
      TEXT(C1225,"dd mmm")&amp;" "&amp;D1225,
      'Valor Hora Real y Estimada'!$A$3:$Z$3,
      0
    ) + 1
  ),
  0
)</f>
        <v>0</v>
      </c>
      <c r="O1225" s="453"/>
      <c r="P1225" s="113"/>
      <c r="Q1225" s="106" t="str">
        <f>IF(ISBLANK(O1225), "", VLOOKUP(C1225&amp;" "&amp;D1225, 'Info Tipo de Cambio y REM'!$A$24:$B$35, 2, FALSE))</f>
        <v/>
      </c>
      <c r="R1225" s="107" t="str">
        <f t="shared" si="32"/>
        <v/>
      </c>
    </row>
    <row r="1226" hidden="1">
      <c r="A1226" s="443"/>
      <c r="B1226" s="43" t="str">
        <f>IF(A1226="", "", IFERROR(VLOOKUP(A1226, Clasificaciones!A:B, 2, FALSE), "DATO NO CARGADO"))
</f>
        <v/>
      </c>
      <c r="C1226" s="51"/>
      <c r="D1226" s="102"/>
      <c r="E1226" s="102"/>
      <c r="H1226" s="102"/>
      <c r="J1226" s="102"/>
      <c r="K1226" s="450"/>
      <c r="L1226" s="443"/>
      <c r="M1226" s="450"/>
      <c r="N1226" s="452">
        <f t="array" ref="N1226">IFERROR(
  INDEX(
    'Valor Hora Real y Estimada'!$A$4:$Z$78,
    MATCH(TRIM(CLEAN(A1226)), 'Valor Hora Real y Estimada'!$A$4:$A$78, 0),
    MATCH(
      TEXT(C1226,"dd mmm")&amp;" "&amp;D1226,
      'Valor Hora Real y Estimada'!$A$3:$Z$3,
      0
    ) + 1
  ),
  0
)</f>
        <v>0</v>
      </c>
      <c r="O1226" s="453"/>
      <c r="P1226" s="113"/>
      <c r="Q1226" s="106" t="str">
        <f>IF(ISBLANK(O1226), "", VLOOKUP(C1226&amp;" "&amp;D1226, 'Info Tipo de Cambio y REM'!$A$24:$B$35, 2, FALSE))</f>
        <v/>
      </c>
      <c r="R1226" s="107" t="str">
        <f t="shared" si="32"/>
        <v/>
      </c>
    </row>
    <row r="1227" hidden="1">
      <c r="A1227" s="443"/>
      <c r="B1227" s="43" t="str">
        <f>IF(A1227="", "", IFERROR(VLOOKUP(A1227, Clasificaciones!A:B, 2, FALSE), "DATO NO CARGADO"))
</f>
        <v/>
      </c>
      <c r="C1227" s="51"/>
      <c r="D1227" s="102"/>
      <c r="E1227" s="102"/>
      <c r="H1227" s="102"/>
      <c r="J1227" s="102"/>
      <c r="K1227" s="450"/>
      <c r="L1227" s="443"/>
      <c r="M1227" s="450"/>
      <c r="N1227" s="452">
        <f t="array" ref="N1227">IFERROR(
  INDEX(
    'Valor Hora Real y Estimada'!$A$4:$Z$78,
    MATCH(TRIM(CLEAN(A1227)), 'Valor Hora Real y Estimada'!$A$4:$A$78, 0),
    MATCH(
      TEXT(C1227,"dd mmm")&amp;" "&amp;D1227,
      'Valor Hora Real y Estimada'!$A$3:$Z$3,
      0
    ) + 1
  ),
  0
)</f>
        <v>0</v>
      </c>
      <c r="O1227" s="453"/>
      <c r="P1227" s="113"/>
      <c r="Q1227" s="106" t="str">
        <f>IF(ISBLANK(O1227), "", VLOOKUP(C1227&amp;" "&amp;D1227, 'Info Tipo de Cambio y REM'!$A$24:$B$35, 2, FALSE))</f>
        <v/>
      </c>
      <c r="R1227" s="107" t="str">
        <f t="shared" si="32"/>
        <v/>
      </c>
    </row>
    <row r="1228" hidden="1">
      <c r="A1228" s="443"/>
      <c r="B1228" s="43" t="str">
        <f>IF(A1228="", "", IFERROR(VLOOKUP(A1228, Clasificaciones!A:B, 2, FALSE), "DATO NO CARGADO"))
</f>
        <v/>
      </c>
      <c r="C1228" s="51"/>
      <c r="D1228" s="102"/>
      <c r="E1228" s="102"/>
      <c r="H1228" s="102"/>
      <c r="J1228" s="102"/>
      <c r="K1228" s="450"/>
      <c r="L1228" s="443"/>
      <c r="M1228" s="450"/>
      <c r="N1228" s="452">
        <f t="array" ref="N1228">IFERROR(
  INDEX(
    'Valor Hora Real y Estimada'!$A$4:$Z$78,
    MATCH(TRIM(CLEAN(A1228)), 'Valor Hora Real y Estimada'!$A$4:$A$78, 0),
    MATCH(
      TEXT(C1228,"dd mmm")&amp;" "&amp;D1228,
      'Valor Hora Real y Estimada'!$A$3:$Z$3,
      0
    ) + 1
  ),
  0
)</f>
        <v>0</v>
      </c>
      <c r="O1228" s="453"/>
      <c r="P1228" s="113"/>
      <c r="Q1228" s="106" t="str">
        <f>IF(ISBLANK(O1228), "", VLOOKUP(C1228&amp;" "&amp;D1228, 'Info Tipo de Cambio y REM'!$A$24:$B$35, 2, FALSE))</f>
        <v/>
      </c>
      <c r="R1228" s="107" t="str">
        <f t="shared" si="32"/>
        <v/>
      </c>
    </row>
    <row r="1229" hidden="1">
      <c r="A1229" s="443"/>
      <c r="B1229" s="43" t="str">
        <f>IF(A1229="", "", IFERROR(VLOOKUP(A1229, Clasificaciones!A:B, 2, FALSE), "DATO NO CARGADO"))
</f>
        <v/>
      </c>
      <c r="C1229" s="51"/>
      <c r="D1229" s="102"/>
      <c r="E1229" s="102"/>
      <c r="H1229" s="102"/>
      <c r="J1229" s="102"/>
      <c r="K1229" s="450"/>
      <c r="L1229" s="443"/>
      <c r="M1229" s="450"/>
      <c r="N1229" s="452">
        <f t="array" ref="N1229">IFERROR(
  INDEX(
    'Valor Hora Real y Estimada'!$A$4:$Z$78,
    MATCH(TRIM(CLEAN(A1229)), 'Valor Hora Real y Estimada'!$A$4:$A$78, 0),
    MATCH(
      TEXT(C1229,"dd mmm")&amp;" "&amp;D1229,
      'Valor Hora Real y Estimada'!$A$3:$Z$3,
      0
    ) + 1
  ),
  0
)</f>
        <v>0</v>
      </c>
      <c r="O1229" s="453"/>
      <c r="P1229" s="113"/>
      <c r="Q1229" s="106" t="str">
        <f>IF(ISBLANK(O1229), "", VLOOKUP(C1229&amp;" "&amp;D1229, 'Info Tipo de Cambio y REM'!$A$24:$B$35, 2, FALSE))</f>
        <v/>
      </c>
      <c r="R1229" s="107" t="str">
        <f t="shared" si="32"/>
        <v/>
      </c>
    </row>
    <row r="1230" hidden="1">
      <c r="A1230" s="443"/>
      <c r="B1230" s="43" t="str">
        <f>IF(A1230="", "", IFERROR(VLOOKUP(A1230, Clasificaciones!A:B, 2, FALSE), "DATO NO CARGADO"))
</f>
        <v/>
      </c>
      <c r="C1230" s="51"/>
      <c r="D1230" s="102"/>
      <c r="E1230" s="102"/>
      <c r="H1230" s="102"/>
      <c r="J1230" s="102"/>
      <c r="K1230" s="450"/>
      <c r="L1230" s="443"/>
      <c r="M1230" s="450"/>
      <c r="N1230" s="452">
        <f t="array" ref="N1230">IFERROR(
  INDEX(
    'Valor Hora Real y Estimada'!$A$4:$Z$78,
    MATCH(TRIM(CLEAN(A1230)), 'Valor Hora Real y Estimada'!$A$4:$A$78, 0),
    MATCH(
      TEXT(C1230,"dd mmm")&amp;" "&amp;D1230,
      'Valor Hora Real y Estimada'!$A$3:$Z$3,
      0
    ) + 1
  ),
  0
)</f>
        <v>0</v>
      </c>
      <c r="O1230" s="453"/>
      <c r="P1230" s="113"/>
      <c r="Q1230" s="106" t="str">
        <f>IF(ISBLANK(O1230), "", VLOOKUP(C1230&amp;" "&amp;D1230, 'Info Tipo de Cambio y REM'!$A$24:$B$35, 2, FALSE))</f>
        <v/>
      </c>
      <c r="R1230" s="107" t="str">
        <f t="shared" si="32"/>
        <v/>
      </c>
    </row>
    <row r="1231" hidden="1">
      <c r="A1231" s="443"/>
      <c r="B1231" s="43" t="str">
        <f>IF(A1231="", "", IFERROR(VLOOKUP(A1231, Clasificaciones!A:B, 2, FALSE), "DATO NO CARGADO"))
</f>
        <v/>
      </c>
      <c r="C1231" s="51"/>
      <c r="D1231" s="102"/>
      <c r="E1231" s="102"/>
      <c r="H1231" s="102"/>
      <c r="J1231" s="102"/>
      <c r="K1231" s="450"/>
      <c r="L1231" s="443"/>
      <c r="M1231" s="450"/>
      <c r="N1231" s="452">
        <f t="array" ref="N1231">IFERROR(
  INDEX(
    'Valor Hora Real y Estimada'!$A$4:$Z$78,
    MATCH(TRIM(CLEAN(A1231)), 'Valor Hora Real y Estimada'!$A$4:$A$78, 0),
    MATCH(
      TEXT(C1231,"dd mmm")&amp;" "&amp;D1231,
      'Valor Hora Real y Estimada'!$A$3:$Z$3,
      0
    ) + 1
  ),
  0
)</f>
        <v>0</v>
      </c>
      <c r="O1231" s="453"/>
      <c r="P1231" s="113"/>
      <c r="Q1231" s="106" t="str">
        <f>IF(ISBLANK(O1231), "", VLOOKUP(C1231&amp;" "&amp;D1231, 'Info Tipo de Cambio y REM'!$A$24:$B$35, 2, FALSE))</f>
        <v/>
      </c>
      <c r="R1231" s="107" t="str">
        <f t="shared" si="32"/>
        <v/>
      </c>
    </row>
    <row r="1232" hidden="1">
      <c r="A1232" s="443"/>
      <c r="B1232" s="43" t="str">
        <f>IF(A1232="", "", IFERROR(VLOOKUP(A1232, Clasificaciones!A:B, 2, FALSE), "DATO NO CARGADO"))
</f>
        <v/>
      </c>
      <c r="C1232" s="51"/>
      <c r="D1232" s="102"/>
      <c r="E1232" s="102"/>
      <c r="H1232" s="102"/>
      <c r="J1232" s="102"/>
      <c r="K1232" s="450"/>
      <c r="L1232" s="443"/>
      <c r="M1232" s="450"/>
      <c r="N1232" s="452">
        <f t="array" ref="N1232">IFERROR(
  INDEX(
    'Valor Hora Real y Estimada'!$A$4:$Z$78,
    MATCH(TRIM(CLEAN(A1232)), 'Valor Hora Real y Estimada'!$A$4:$A$78, 0),
    MATCH(
      TEXT(C1232,"dd mmm")&amp;" "&amp;D1232,
      'Valor Hora Real y Estimada'!$A$3:$Z$3,
      0
    ) + 1
  ),
  0
)</f>
        <v>0</v>
      </c>
      <c r="O1232" s="453"/>
      <c r="P1232" s="113"/>
      <c r="Q1232" s="106" t="str">
        <f>IF(ISBLANK(O1232), "", VLOOKUP(C1232&amp;" "&amp;D1232, 'Info Tipo de Cambio y REM'!$A$24:$B$35, 2, FALSE))</f>
        <v/>
      </c>
      <c r="R1232" s="107" t="str">
        <f t="shared" si="32"/>
        <v/>
      </c>
    </row>
    <row r="1233" hidden="1">
      <c r="A1233" s="443"/>
      <c r="B1233" s="43" t="str">
        <f>IF(A1233="", "", IFERROR(VLOOKUP(A1233, Clasificaciones!A:B, 2, FALSE), "DATO NO CARGADO"))
</f>
        <v/>
      </c>
      <c r="C1233" s="51"/>
      <c r="D1233" s="102"/>
      <c r="E1233" s="102"/>
      <c r="H1233" s="102"/>
      <c r="J1233" s="102"/>
      <c r="K1233" s="450"/>
      <c r="L1233" s="443"/>
      <c r="M1233" s="450"/>
      <c r="N1233" s="452">
        <f t="array" ref="N1233">IFERROR(
  INDEX(
    'Valor Hora Real y Estimada'!$A$4:$Z$78,
    MATCH(TRIM(CLEAN(A1233)), 'Valor Hora Real y Estimada'!$A$4:$A$78, 0),
    MATCH(
      TEXT(C1233,"dd mmm")&amp;" "&amp;D1233,
      'Valor Hora Real y Estimada'!$A$3:$Z$3,
      0
    ) + 1
  ),
  0
)</f>
        <v>0</v>
      </c>
      <c r="O1233" s="453"/>
      <c r="P1233" s="113"/>
      <c r="Q1233" s="106" t="str">
        <f>IF(ISBLANK(O1233), "", VLOOKUP(C1233&amp;" "&amp;D1233, 'Info Tipo de Cambio y REM'!$A$24:$B$35, 2, FALSE))</f>
        <v/>
      </c>
      <c r="R1233" s="107" t="str">
        <f t="shared" si="32"/>
        <v/>
      </c>
    </row>
    <row r="1234" hidden="1">
      <c r="A1234" s="443"/>
      <c r="B1234" s="43" t="str">
        <f>IF(A1234="", "", IFERROR(VLOOKUP(A1234, Clasificaciones!A:B, 2, FALSE), "DATO NO CARGADO"))
</f>
        <v/>
      </c>
      <c r="C1234" s="51"/>
      <c r="D1234" s="102"/>
      <c r="E1234" s="102"/>
      <c r="H1234" s="102"/>
      <c r="J1234" s="102"/>
      <c r="K1234" s="450"/>
      <c r="L1234" s="443"/>
      <c r="M1234" s="450"/>
      <c r="N1234" s="452">
        <f t="array" ref="N1234">IFERROR(
  INDEX(
    'Valor Hora Real y Estimada'!$A$4:$Z$78,
    MATCH(TRIM(CLEAN(A1234)), 'Valor Hora Real y Estimada'!$A$4:$A$78, 0),
    MATCH(
      TEXT(C1234,"dd mmm")&amp;" "&amp;D1234,
      'Valor Hora Real y Estimada'!$A$3:$Z$3,
      0
    ) + 1
  ),
  0
)</f>
        <v>0</v>
      </c>
      <c r="O1234" s="453"/>
      <c r="P1234" s="113"/>
      <c r="Q1234" s="106" t="str">
        <f>IF(ISBLANK(O1234), "", VLOOKUP(C1234&amp;" "&amp;D1234, 'Info Tipo de Cambio y REM'!$A$24:$B$35, 2, FALSE))</f>
        <v/>
      </c>
      <c r="R1234" s="107" t="str">
        <f t="shared" si="32"/>
        <v/>
      </c>
    </row>
    <row r="1235" hidden="1">
      <c r="A1235" s="443"/>
      <c r="B1235" s="43" t="str">
        <f>IF(A1235="", "", IFERROR(VLOOKUP(A1235, Clasificaciones!A:B, 2, FALSE), "DATO NO CARGADO"))
</f>
        <v/>
      </c>
      <c r="C1235" s="51"/>
      <c r="D1235" s="102"/>
      <c r="E1235" s="102"/>
      <c r="H1235" s="102"/>
      <c r="J1235" s="102"/>
      <c r="K1235" s="450"/>
      <c r="L1235" s="443"/>
      <c r="M1235" s="450"/>
      <c r="N1235" s="452">
        <f t="array" ref="N1235">IFERROR(
  INDEX(
    'Valor Hora Real y Estimada'!$A$4:$Z$78,
    MATCH(TRIM(CLEAN(A1235)), 'Valor Hora Real y Estimada'!$A$4:$A$78, 0),
    MATCH(
      TEXT(C1235,"dd mmm")&amp;" "&amp;D1235,
      'Valor Hora Real y Estimada'!$A$3:$Z$3,
      0
    ) + 1
  ),
  0
)</f>
        <v>0</v>
      </c>
      <c r="O1235" s="453"/>
      <c r="P1235" s="113"/>
      <c r="Q1235" s="106" t="str">
        <f>IF(ISBLANK(O1235), "", VLOOKUP(C1235&amp;" "&amp;D1235, 'Info Tipo de Cambio y REM'!$A$24:$B$35, 2, FALSE))</f>
        <v/>
      </c>
      <c r="R1235" s="107" t="str">
        <f t="shared" si="32"/>
        <v/>
      </c>
    </row>
    <row r="1236" hidden="1">
      <c r="A1236" s="443"/>
      <c r="B1236" s="43" t="str">
        <f>IF(A1236="", "", IFERROR(VLOOKUP(A1236, Clasificaciones!A:B, 2, FALSE), "DATO NO CARGADO"))
</f>
        <v/>
      </c>
      <c r="C1236" s="51"/>
      <c r="D1236" s="102"/>
      <c r="E1236" s="102"/>
      <c r="H1236" s="102"/>
      <c r="J1236" s="102"/>
      <c r="K1236" s="450"/>
      <c r="L1236" s="443"/>
      <c r="M1236" s="450"/>
      <c r="N1236" s="452">
        <f t="array" ref="N1236">IFERROR(
  INDEX(
    'Valor Hora Real y Estimada'!$A$4:$Z$78,
    MATCH(TRIM(CLEAN(A1236)), 'Valor Hora Real y Estimada'!$A$4:$A$78, 0),
    MATCH(
      TEXT(C1236,"dd mmm")&amp;" "&amp;D1236,
      'Valor Hora Real y Estimada'!$A$3:$Z$3,
      0
    ) + 1
  ),
  0
)</f>
        <v>0</v>
      </c>
      <c r="O1236" s="453"/>
      <c r="P1236" s="113"/>
      <c r="Q1236" s="106" t="str">
        <f>IF(ISBLANK(O1236), "", VLOOKUP(C1236&amp;" "&amp;D1236, 'Info Tipo de Cambio y REM'!$A$24:$B$35, 2, FALSE))</f>
        <v/>
      </c>
      <c r="R1236" s="107" t="str">
        <f t="shared" si="32"/>
        <v/>
      </c>
    </row>
    <row r="1237" hidden="1">
      <c r="A1237" s="443"/>
      <c r="B1237" s="43" t="str">
        <f>IF(A1237="", "", IFERROR(VLOOKUP(A1237, Clasificaciones!A:B, 2, FALSE), "DATO NO CARGADO"))
</f>
        <v/>
      </c>
      <c r="C1237" s="51"/>
      <c r="D1237" s="102"/>
      <c r="E1237" s="102"/>
      <c r="H1237" s="102"/>
      <c r="J1237" s="102"/>
      <c r="K1237" s="450"/>
      <c r="L1237" s="443"/>
      <c r="M1237" s="450"/>
      <c r="N1237" s="452">
        <f t="array" ref="N1237">IFERROR(
  INDEX(
    'Valor Hora Real y Estimada'!$A$4:$Z$78,
    MATCH(TRIM(CLEAN(A1237)), 'Valor Hora Real y Estimada'!$A$4:$A$78, 0),
    MATCH(
      TEXT(C1237,"dd mmm")&amp;" "&amp;D1237,
      'Valor Hora Real y Estimada'!$A$3:$Z$3,
      0
    ) + 1
  ),
  0
)</f>
        <v>0</v>
      </c>
      <c r="O1237" s="453"/>
      <c r="P1237" s="113"/>
      <c r="Q1237" s="106" t="str">
        <f>IF(ISBLANK(O1237), "", VLOOKUP(C1237&amp;" "&amp;D1237, 'Info Tipo de Cambio y REM'!$A$24:$B$35, 2, FALSE))</f>
        <v/>
      </c>
      <c r="R1237" s="107" t="str">
        <f t="shared" si="32"/>
        <v/>
      </c>
    </row>
    <row r="1238" hidden="1">
      <c r="A1238" s="443"/>
      <c r="B1238" s="43" t="str">
        <f>IF(A1238="", "", IFERROR(VLOOKUP(A1238, Clasificaciones!A:B, 2, FALSE), "DATO NO CARGADO"))
</f>
        <v/>
      </c>
      <c r="C1238" s="51"/>
      <c r="D1238" s="102"/>
      <c r="E1238" s="102"/>
      <c r="H1238" s="102"/>
      <c r="J1238" s="102"/>
      <c r="K1238" s="450"/>
      <c r="L1238" s="443"/>
      <c r="M1238" s="450"/>
      <c r="N1238" s="452">
        <f t="array" ref="N1238">IFERROR(
  INDEX(
    'Valor Hora Real y Estimada'!$A$4:$Z$78,
    MATCH(TRIM(CLEAN(A1238)), 'Valor Hora Real y Estimada'!$A$4:$A$78, 0),
    MATCH(
      TEXT(C1238,"dd mmm")&amp;" "&amp;D1238,
      'Valor Hora Real y Estimada'!$A$3:$Z$3,
      0
    ) + 1
  ),
  0
)</f>
        <v>0</v>
      </c>
      <c r="O1238" s="453"/>
      <c r="P1238" s="113"/>
      <c r="Q1238" s="106" t="str">
        <f>IF(ISBLANK(O1238), "", VLOOKUP(C1238&amp;" "&amp;D1238, 'Info Tipo de Cambio y REM'!$A$24:$B$35, 2, FALSE))</f>
        <v/>
      </c>
      <c r="R1238" s="107" t="str">
        <f t="shared" si="32"/>
        <v/>
      </c>
    </row>
    <row r="1239" hidden="1">
      <c r="A1239" s="443"/>
      <c r="B1239" s="43" t="str">
        <f>IF(A1239="", "", IFERROR(VLOOKUP(A1239, Clasificaciones!A:B, 2, FALSE), "DATO NO CARGADO"))
</f>
        <v/>
      </c>
      <c r="C1239" s="51"/>
      <c r="D1239" s="102"/>
      <c r="E1239" s="102"/>
      <c r="H1239" s="102"/>
      <c r="J1239" s="102"/>
      <c r="K1239" s="450"/>
      <c r="L1239" s="443"/>
      <c r="M1239" s="450"/>
      <c r="N1239" s="452">
        <f t="array" ref="N1239">IFERROR(
  INDEX(
    'Valor Hora Real y Estimada'!$A$4:$Z$78,
    MATCH(TRIM(CLEAN(A1239)), 'Valor Hora Real y Estimada'!$A$4:$A$78, 0),
    MATCH(
      TEXT(C1239,"dd mmm")&amp;" "&amp;D1239,
      'Valor Hora Real y Estimada'!$A$3:$Z$3,
      0
    ) + 1
  ),
  0
)</f>
        <v>0</v>
      </c>
      <c r="O1239" s="453"/>
      <c r="P1239" s="113"/>
      <c r="Q1239" s="106" t="str">
        <f>IF(ISBLANK(O1239), "", VLOOKUP(C1239&amp;" "&amp;D1239, 'Info Tipo de Cambio y REM'!$A$24:$B$35, 2, FALSE))</f>
        <v/>
      </c>
      <c r="R1239" s="107" t="str">
        <f t="shared" si="32"/>
        <v/>
      </c>
    </row>
    <row r="1240" hidden="1">
      <c r="A1240" s="443"/>
      <c r="B1240" s="43" t="str">
        <f>IF(A1240="", "", IFERROR(VLOOKUP(A1240, Clasificaciones!A:B, 2, FALSE), "DATO NO CARGADO"))
</f>
        <v/>
      </c>
      <c r="C1240" s="51"/>
      <c r="D1240" s="102"/>
      <c r="E1240" s="102"/>
      <c r="H1240" s="102"/>
      <c r="J1240" s="102"/>
      <c r="K1240" s="450"/>
      <c r="L1240" s="443"/>
      <c r="M1240" s="450"/>
      <c r="N1240" s="452">
        <f t="array" ref="N1240">IFERROR(
  INDEX(
    'Valor Hora Real y Estimada'!$A$4:$Z$78,
    MATCH(TRIM(CLEAN(A1240)), 'Valor Hora Real y Estimada'!$A$4:$A$78, 0),
    MATCH(
      TEXT(C1240,"dd mmm")&amp;" "&amp;D1240,
      'Valor Hora Real y Estimada'!$A$3:$Z$3,
      0
    ) + 1
  ),
  0
)</f>
        <v>0</v>
      </c>
      <c r="O1240" s="453"/>
      <c r="P1240" s="113"/>
      <c r="Q1240" s="106" t="str">
        <f>IF(ISBLANK(O1240), "", VLOOKUP(C1240&amp;" "&amp;D1240, 'Info Tipo de Cambio y REM'!$A$24:$B$35, 2, FALSE))</f>
        <v/>
      </c>
      <c r="R1240" s="107" t="str">
        <f t="shared" si="32"/>
        <v/>
      </c>
    </row>
    <row r="1241" hidden="1">
      <c r="A1241" s="443"/>
      <c r="B1241" s="43" t="str">
        <f>IF(A1241="", "", IFERROR(VLOOKUP(A1241, Clasificaciones!A:B, 2, FALSE), "DATO NO CARGADO"))
</f>
        <v/>
      </c>
      <c r="C1241" s="51"/>
      <c r="D1241" s="102"/>
      <c r="E1241" s="102"/>
      <c r="H1241" s="102"/>
      <c r="J1241" s="102"/>
      <c r="K1241" s="450"/>
      <c r="L1241" s="443"/>
      <c r="M1241" s="450"/>
      <c r="N1241" s="452">
        <f t="array" ref="N1241">IFERROR(
  INDEX(
    'Valor Hora Real y Estimada'!$A$4:$Z$78,
    MATCH(TRIM(CLEAN(A1241)), 'Valor Hora Real y Estimada'!$A$4:$A$78, 0),
    MATCH(
      TEXT(C1241,"dd mmm")&amp;" "&amp;D1241,
      'Valor Hora Real y Estimada'!$A$3:$Z$3,
      0
    ) + 1
  ),
  0
)</f>
        <v>0</v>
      </c>
      <c r="O1241" s="453"/>
      <c r="P1241" s="113"/>
      <c r="Q1241" s="106" t="str">
        <f>IF(ISBLANK(O1241), "", VLOOKUP(C1241&amp;" "&amp;D1241, 'Info Tipo de Cambio y REM'!$A$24:$B$35, 2, FALSE))</f>
        <v/>
      </c>
      <c r="R1241" s="107" t="str">
        <f t="shared" si="32"/>
        <v/>
      </c>
    </row>
    <row r="1242" hidden="1">
      <c r="A1242" s="443"/>
      <c r="B1242" s="43" t="str">
        <f>IF(A1242="", "", IFERROR(VLOOKUP(A1242, Clasificaciones!A:B, 2, FALSE), "DATO NO CARGADO"))
</f>
        <v/>
      </c>
      <c r="C1242" s="51"/>
      <c r="D1242" s="102"/>
      <c r="E1242" s="102"/>
      <c r="H1242" s="102"/>
      <c r="J1242" s="102"/>
      <c r="K1242" s="450"/>
      <c r="L1242" s="443"/>
      <c r="M1242" s="450"/>
      <c r="N1242" s="452">
        <f t="array" ref="N1242">IFERROR(
  INDEX(
    'Valor Hora Real y Estimada'!$A$4:$Z$78,
    MATCH(TRIM(CLEAN(A1242)), 'Valor Hora Real y Estimada'!$A$4:$A$78, 0),
    MATCH(
      TEXT(C1242,"dd mmm")&amp;" "&amp;D1242,
      'Valor Hora Real y Estimada'!$A$3:$Z$3,
      0
    ) + 1
  ),
  0
)</f>
        <v>0</v>
      </c>
      <c r="O1242" s="453"/>
      <c r="P1242" s="113"/>
      <c r="Q1242" s="106" t="str">
        <f>IF(ISBLANK(O1242), "", VLOOKUP(C1242&amp;" "&amp;D1242, 'Info Tipo de Cambio y REM'!$A$24:$B$35, 2, FALSE))</f>
        <v/>
      </c>
      <c r="R1242" s="107" t="str">
        <f t="shared" si="32"/>
        <v/>
      </c>
    </row>
    <row r="1243" hidden="1">
      <c r="A1243" s="443"/>
      <c r="B1243" s="43" t="str">
        <f>IF(A1243="", "", IFERROR(VLOOKUP(A1243, Clasificaciones!A:B, 2, FALSE), "DATO NO CARGADO"))
</f>
        <v/>
      </c>
      <c r="C1243" s="51"/>
      <c r="D1243" s="102"/>
      <c r="E1243" s="102"/>
      <c r="H1243" s="102"/>
      <c r="J1243" s="102"/>
      <c r="K1243" s="450"/>
      <c r="L1243" s="443"/>
      <c r="M1243" s="450"/>
      <c r="N1243" s="452">
        <f t="array" ref="N1243">IFERROR(
  INDEX(
    'Valor Hora Real y Estimada'!$A$4:$Z$78,
    MATCH(TRIM(CLEAN(A1243)), 'Valor Hora Real y Estimada'!$A$4:$A$78, 0),
    MATCH(
      TEXT(C1243,"dd mmm")&amp;" "&amp;D1243,
      'Valor Hora Real y Estimada'!$A$3:$Z$3,
      0
    ) + 1
  ),
  0
)</f>
        <v>0</v>
      </c>
      <c r="O1243" s="453"/>
      <c r="P1243" s="113"/>
      <c r="Q1243" s="106" t="str">
        <f>IF(ISBLANK(O1243), "", VLOOKUP(C1243&amp;" "&amp;D1243, 'Info Tipo de Cambio y REM'!$A$24:$B$35, 2, FALSE))</f>
        <v/>
      </c>
      <c r="R1243" s="107" t="str">
        <f t="shared" si="32"/>
        <v/>
      </c>
    </row>
    <row r="1244" hidden="1">
      <c r="A1244" s="443"/>
      <c r="B1244" s="43" t="str">
        <f>IF(A1244="", "", IFERROR(VLOOKUP(A1244, Clasificaciones!A:B, 2, FALSE), "DATO NO CARGADO"))
</f>
        <v/>
      </c>
      <c r="C1244" s="51"/>
      <c r="D1244" s="102"/>
      <c r="E1244" s="102"/>
      <c r="H1244" s="102"/>
      <c r="J1244" s="102"/>
      <c r="K1244" s="450"/>
      <c r="L1244" s="443"/>
      <c r="M1244" s="450"/>
      <c r="N1244" s="452">
        <f t="array" ref="N1244">IFERROR(
  INDEX(
    'Valor Hora Real y Estimada'!$A$4:$Z$78,
    MATCH(TRIM(CLEAN(A1244)), 'Valor Hora Real y Estimada'!$A$4:$A$78, 0),
    MATCH(
      TEXT(C1244,"dd mmm")&amp;" "&amp;D1244,
      'Valor Hora Real y Estimada'!$A$3:$Z$3,
      0
    ) + 1
  ),
  0
)</f>
        <v>0</v>
      </c>
      <c r="O1244" s="453"/>
      <c r="P1244" s="113"/>
      <c r="Q1244" s="106" t="str">
        <f>IF(ISBLANK(O1244), "", VLOOKUP(C1244&amp;" "&amp;D1244, 'Info Tipo de Cambio y REM'!$A$24:$B$35, 2, FALSE))</f>
        <v/>
      </c>
      <c r="R1244" s="107" t="str">
        <f t="shared" si="32"/>
        <v/>
      </c>
    </row>
    <row r="1245" hidden="1">
      <c r="A1245" s="443"/>
      <c r="B1245" s="43" t="str">
        <f>IF(A1245="", "", IFERROR(VLOOKUP(A1245, Clasificaciones!A:B, 2, FALSE), "DATO NO CARGADO"))
</f>
        <v/>
      </c>
      <c r="C1245" s="51"/>
      <c r="D1245" s="102"/>
      <c r="E1245" s="102"/>
      <c r="H1245" s="102"/>
      <c r="J1245" s="102"/>
      <c r="K1245" s="450"/>
      <c r="L1245" s="443"/>
      <c r="M1245" s="450"/>
      <c r="N1245" s="452">
        <f t="array" ref="N1245">IFERROR(
  INDEX(
    'Valor Hora Real y Estimada'!$A$4:$Z$78,
    MATCH(TRIM(CLEAN(A1245)), 'Valor Hora Real y Estimada'!$A$4:$A$78, 0),
    MATCH(
      TEXT(C1245,"dd mmm")&amp;" "&amp;D1245,
      'Valor Hora Real y Estimada'!$A$3:$Z$3,
      0
    ) + 1
  ),
  0
)</f>
        <v>0</v>
      </c>
      <c r="O1245" s="453"/>
      <c r="P1245" s="113"/>
      <c r="Q1245" s="106" t="str">
        <f>IF(ISBLANK(O1245), "", VLOOKUP(C1245&amp;" "&amp;D1245, 'Info Tipo de Cambio y REM'!$A$24:$B$35, 2, FALSE))</f>
        <v/>
      </c>
      <c r="R1245" s="107" t="str">
        <f t="shared" si="32"/>
        <v/>
      </c>
    </row>
    <row r="1246" hidden="1">
      <c r="A1246" s="443"/>
      <c r="B1246" s="43" t="str">
        <f>IF(A1246="", "", IFERROR(VLOOKUP(A1246, Clasificaciones!A:B, 2, FALSE), "DATO NO CARGADO"))
</f>
        <v/>
      </c>
      <c r="C1246" s="51"/>
      <c r="D1246" s="102"/>
      <c r="E1246" s="102"/>
      <c r="H1246" s="102"/>
      <c r="J1246" s="102"/>
      <c r="K1246" s="450"/>
      <c r="L1246" s="443"/>
      <c r="M1246" s="450"/>
      <c r="N1246" s="452">
        <f t="array" ref="N1246">IFERROR(
  INDEX(
    'Valor Hora Real y Estimada'!$A$4:$Z$78,
    MATCH(TRIM(CLEAN(A1246)), 'Valor Hora Real y Estimada'!$A$4:$A$78, 0),
    MATCH(
      TEXT(C1246,"dd mmm")&amp;" "&amp;D1246,
      'Valor Hora Real y Estimada'!$A$3:$Z$3,
      0
    ) + 1
  ),
  0
)</f>
        <v>0</v>
      </c>
      <c r="O1246" s="453"/>
      <c r="P1246" s="113"/>
      <c r="Q1246" s="106" t="str">
        <f>IF(ISBLANK(O1246), "", VLOOKUP(C1246&amp;" "&amp;D1246, 'Info Tipo de Cambio y REM'!$A$24:$B$35, 2, FALSE))</f>
        <v/>
      </c>
      <c r="R1246" s="107" t="str">
        <f t="shared" si="32"/>
        <v/>
      </c>
    </row>
    <row r="1247" hidden="1">
      <c r="A1247" s="443"/>
      <c r="B1247" s="43" t="str">
        <f>IF(A1247="", "", IFERROR(VLOOKUP(A1247, Clasificaciones!A:B, 2, FALSE), "DATO NO CARGADO"))
</f>
        <v/>
      </c>
      <c r="C1247" s="51"/>
      <c r="D1247" s="102"/>
      <c r="E1247" s="102"/>
      <c r="H1247" s="102"/>
      <c r="J1247" s="102"/>
      <c r="K1247" s="450"/>
      <c r="L1247" s="443"/>
      <c r="M1247" s="450"/>
      <c r="N1247" s="452">
        <f t="array" ref="N1247">IFERROR(
  INDEX(
    'Valor Hora Real y Estimada'!$A$4:$Z$78,
    MATCH(TRIM(CLEAN(A1247)), 'Valor Hora Real y Estimada'!$A$4:$A$78, 0),
    MATCH(
      TEXT(C1247,"dd mmm")&amp;" "&amp;D1247,
      'Valor Hora Real y Estimada'!$A$3:$Z$3,
      0
    ) + 1
  ),
  0
)</f>
        <v>0</v>
      </c>
      <c r="O1247" s="453"/>
      <c r="P1247" s="113"/>
      <c r="Q1247" s="106" t="str">
        <f>IF(ISBLANK(O1247), "", VLOOKUP(C1247&amp;" "&amp;D1247, 'Info Tipo de Cambio y REM'!$A$24:$B$35, 2, FALSE))</f>
        <v/>
      </c>
      <c r="R1247" s="107" t="str">
        <f t="shared" si="32"/>
        <v/>
      </c>
    </row>
    <row r="1248" hidden="1">
      <c r="A1248" s="443"/>
      <c r="B1248" s="43" t="str">
        <f>IF(A1248="", "", IFERROR(VLOOKUP(A1248, Clasificaciones!A:B, 2, FALSE), "DATO NO CARGADO"))
</f>
        <v/>
      </c>
      <c r="C1248" s="51"/>
      <c r="D1248" s="102"/>
      <c r="E1248" s="102"/>
      <c r="H1248" s="102"/>
      <c r="J1248" s="102"/>
      <c r="K1248" s="450"/>
      <c r="L1248" s="443"/>
      <c r="M1248" s="450"/>
      <c r="N1248" s="452">
        <f t="array" ref="N1248">IFERROR(
  INDEX(
    'Valor Hora Real y Estimada'!$A$4:$Z$78,
    MATCH(TRIM(CLEAN(A1248)), 'Valor Hora Real y Estimada'!$A$4:$A$78, 0),
    MATCH(
      TEXT(C1248,"dd mmm")&amp;" "&amp;D1248,
      'Valor Hora Real y Estimada'!$A$3:$Z$3,
      0
    ) + 1
  ),
  0
)</f>
        <v>0</v>
      </c>
      <c r="O1248" s="453"/>
      <c r="P1248" s="113"/>
      <c r="Q1248" s="106" t="str">
        <f>IF(ISBLANK(O1248), "", VLOOKUP(C1248&amp;" "&amp;D1248, 'Info Tipo de Cambio y REM'!$A$24:$B$35, 2, FALSE))</f>
        <v/>
      </c>
      <c r="R1248" s="107" t="str">
        <f t="shared" si="32"/>
        <v/>
      </c>
    </row>
    <row r="1249" hidden="1">
      <c r="A1249" s="443"/>
      <c r="B1249" s="43" t="str">
        <f>IF(A1249="", "", IFERROR(VLOOKUP(A1249, Clasificaciones!A:B, 2, FALSE), "DATO NO CARGADO"))
</f>
        <v/>
      </c>
      <c r="C1249" s="51"/>
      <c r="D1249" s="102"/>
      <c r="E1249" s="102"/>
      <c r="H1249" s="102"/>
      <c r="J1249" s="102"/>
      <c r="K1249" s="450"/>
      <c r="L1249" s="443"/>
      <c r="M1249" s="450"/>
      <c r="N1249" s="452">
        <f t="array" ref="N1249">IFERROR(
  INDEX(
    'Valor Hora Real y Estimada'!$A$4:$Z$78,
    MATCH(TRIM(CLEAN(A1249)), 'Valor Hora Real y Estimada'!$A$4:$A$78, 0),
    MATCH(
      TEXT(C1249,"dd mmm")&amp;" "&amp;D1249,
      'Valor Hora Real y Estimada'!$A$3:$Z$3,
      0
    ) + 1
  ),
  0
)</f>
        <v>0</v>
      </c>
      <c r="O1249" s="453"/>
      <c r="P1249" s="113"/>
      <c r="Q1249" s="106" t="str">
        <f>IF(ISBLANK(O1249), "", VLOOKUP(C1249&amp;" "&amp;D1249, 'Info Tipo de Cambio y REM'!$A$24:$B$35, 2, FALSE))</f>
        <v/>
      </c>
      <c r="R1249" s="107" t="str">
        <f t="shared" si="32"/>
        <v/>
      </c>
    </row>
    <row r="1250" hidden="1">
      <c r="A1250" s="443"/>
      <c r="B1250" s="43" t="str">
        <f>IF(A1250="", "", IFERROR(VLOOKUP(A1250, Clasificaciones!A:B, 2, FALSE), "DATO NO CARGADO"))
</f>
        <v/>
      </c>
      <c r="C1250" s="51"/>
      <c r="D1250" s="102"/>
      <c r="E1250" s="102"/>
      <c r="H1250" s="102"/>
      <c r="J1250" s="102"/>
      <c r="K1250" s="450"/>
      <c r="L1250" s="443"/>
      <c r="M1250" s="450"/>
      <c r="N1250" s="452">
        <f t="array" ref="N1250">IFERROR(
  INDEX(
    'Valor Hora Real y Estimada'!$A$4:$Z$78,
    MATCH(TRIM(CLEAN(A1250)), 'Valor Hora Real y Estimada'!$A$4:$A$78, 0),
    MATCH(
      TEXT(C1250,"dd mmm")&amp;" "&amp;D1250,
      'Valor Hora Real y Estimada'!$A$3:$Z$3,
      0
    ) + 1
  ),
  0
)</f>
        <v>0</v>
      </c>
      <c r="O1250" s="453"/>
      <c r="P1250" s="113"/>
      <c r="Q1250" s="106" t="str">
        <f>IF(ISBLANK(O1250), "", VLOOKUP(C1250&amp;" "&amp;D1250, 'Info Tipo de Cambio y REM'!$A$24:$B$35, 2, FALSE))</f>
        <v/>
      </c>
      <c r="R1250" s="107" t="str">
        <f t="shared" si="32"/>
        <v/>
      </c>
    </row>
    <row r="1251" hidden="1">
      <c r="A1251" s="443"/>
      <c r="B1251" s="43" t="str">
        <f>IF(A1251="", "", IFERROR(VLOOKUP(A1251, Clasificaciones!A:B, 2, FALSE), "DATO NO CARGADO"))
</f>
        <v/>
      </c>
      <c r="C1251" s="51"/>
      <c r="D1251" s="102"/>
      <c r="E1251" s="102"/>
      <c r="H1251" s="102"/>
      <c r="J1251" s="102"/>
      <c r="K1251" s="450"/>
      <c r="L1251" s="443"/>
      <c r="M1251" s="450"/>
      <c r="N1251" s="452">
        <f t="array" ref="N1251">IFERROR(
  INDEX(
    'Valor Hora Real y Estimada'!$A$4:$Z$78,
    MATCH(TRIM(CLEAN(A1251)), 'Valor Hora Real y Estimada'!$A$4:$A$78, 0),
    MATCH(
      TEXT(C1251,"dd mmm")&amp;" "&amp;D1251,
      'Valor Hora Real y Estimada'!$A$3:$Z$3,
      0
    ) + 1
  ),
  0
)</f>
        <v>0</v>
      </c>
      <c r="O1251" s="453"/>
      <c r="P1251" s="113"/>
      <c r="Q1251" s="106" t="str">
        <f>IF(ISBLANK(O1251), "", VLOOKUP(C1251&amp;" "&amp;D1251, 'Info Tipo de Cambio y REM'!$A$24:$B$35, 2, FALSE))</f>
        <v/>
      </c>
      <c r="R1251" s="107" t="str">
        <f t="shared" si="32"/>
        <v/>
      </c>
    </row>
    <row r="1252" hidden="1">
      <c r="A1252" s="443"/>
      <c r="B1252" s="43" t="str">
        <f>IF(A1252="", "", IFERROR(VLOOKUP(A1252, Clasificaciones!A:B, 2, FALSE), "DATO NO CARGADO"))
</f>
        <v/>
      </c>
      <c r="C1252" s="51"/>
      <c r="D1252" s="102"/>
      <c r="E1252" s="102"/>
      <c r="H1252" s="102"/>
      <c r="J1252" s="102"/>
      <c r="K1252" s="450"/>
      <c r="L1252" s="443"/>
      <c r="M1252" s="450"/>
      <c r="N1252" s="452">
        <f t="array" ref="N1252">IFERROR(
  INDEX(
    'Valor Hora Real y Estimada'!$A$4:$Z$78,
    MATCH(TRIM(CLEAN(A1252)), 'Valor Hora Real y Estimada'!$A$4:$A$78, 0),
    MATCH(
      TEXT(C1252,"dd mmm")&amp;" "&amp;D1252,
      'Valor Hora Real y Estimada'!$A$3:$Z$3,
      0
    ) + 1
  ),
  0
)</f>
        <v>0</v>
      </c>
      <c r="O1252" s="453"/>
      <c r="P1252" s="113"/>
      <c r="Q1252" s="106" t="str">
        <f>IF(ISBLANK(O1252), "", VLOOKUP(C1252&amp;" "&amp;D1252, 'Info Tipo de Cambio y REM'!$A$24:$B$35, 2, FALSE))</f>
        <v/>
      </c>
      <c r="R1252" s="107" t="str">
        <f t="shared" si="32"/>
        <v/>
      </c>
    </row>
    <row r="1253" hidden="1">
      <c r="A1253" s="443"/>
      <c r="B1253" s="43" t="str">
        <f>IF(A1253="", "", IFERROR(VLOOKUP(A1253, Clasificaciones!A:B, 2, FALSE), "DATO NO CARGADO"))
</f>
        <v/>
      </c>
      <c r="C1253" s="51"/>
      <c r="D1253" s="102"/>
      <c r="E1253" s="102"/>
      <c r="H1253" s="102"/>
      <c r="J1253" s="102"/>
      <c r="K1253" s="450"/>
      <c r="L1253" s="443"/>
      <c r="M1253" s="450"/>
      <c r="N1253" s="452">
        <f t="array" ref="N1253">IFERROR(
  INDEX(
    'Valor Hora Real y Estimada'!$A$4:$Z$78,
    MATCH(TRIM(CLEAN(A1253)), 'Valor Hora Real y Estimada'!$A$4:$A$78, 0),
    MATCH(
      TEXT(C1253,"dd mmm")&amp;" "&amp;D1253,
      'Valor Hora Real y Estimada'!$A$3:$Z$3,
      0
    ) + 1
  ),
  0
)</f>
        <v>0</v>
      </c>
      <c r="O1253" s="453"/>
      <c r="P1253" s="113"/>
      <c r="Q1253" s="106" t="str">
        <f>IF(ISBLANK(O1253), "", VLOOKUP(C1253&amp;" "&amp;D1253, 'Info Tipo de Cambio y REM'!$A$24:$B$35, 2, FALSE))</f>
        <v/>
      </c>
      <c r="R1253" s="107" t="str">
        <f t="shared" si="32"/>
        <v/>
      </c>
    </row>
    <row r="1254" hidden="1">
      <c r="A1254" s="443"/>
      <c r="B1254" s="43" t="str">
        <f>IF(A1254="", "", IFERROR(VLOOKUP(A1254, Clasificaciones!A:B, 2, FALSE), "DATO NO CARGADO"))
</f>
        <v/>
      </c>
      <c r="C1254" s="51"/>
      <c r="D1254" s="102"/>
      <c r="E1254" s="102"/>
      <c r="H1254" s="102"/>
      <c r="J1254" s="102"/>
      <c r="K1254" s="450"/>
      <c r="L1254" s="443"/>
      <c r="M1254" s="450"/>
      <c r="N1254" s="452">
        <f t="array" ref="N1254">IFERROR(
  INDEX(
    'Valor Hora Real y Estimada'!$A$4:$Z$78,
    MATCH(TRIM(CLEAN(A1254)), 'Valor Hora Real y Estimada'!$A$4:$A$78, 0),
    MATCH(
      TEXT(C1254,"dd mmm")&amp;" "&amp;D1254,
      'Valor Hora Real y Estimada'!$A$3:$Z$3,
      0
    ) + 1
  ),
  0
)</f>
        <v>0</v>
      </c>
      <c r="O1254" s="453"/>
      <c r="P1254" s="113"/>
      <c r="Q1254" s="106" t="str">
        <f>IF(ISBLANK(O1254), "", VLOOKUP(C1254&amp;" "&amp;D1254, 'Info Tipo de Cambio y REM'!$A$24:$B$35, 2, FALSE))</f>
        <v/>
      </c>
      <c r="R1254" s="107" t="str">
        <f t="shared" si="32"/>
        <v/>
      </c>
    </row>
    <row r="1255" hidden="1">
      <c r="A1255" s="443"/>
      <c r="B1255" s="43" t="str">
        <f>IF(A1255="", "", IFERROR(VLOOKUP(A1255, Clasificaciones!A:B, 2, FALSE), "DATO NO CARGADO"))
</f>
        <v/>
      </c>
      <c r="C1255" s="51"/>
      <c r="D1255" s="102"/>
      <c r="E1255" s="102"/>
      <c r="H1255" s="102"/>
      <c r="J1255" s="102"/>
      <c r="K1255" s="450"/>
      <c r="L1255" s="443"/>
      <c r="M1255" s="450"/>
      <c r="N1255" s="452">
        <f t="array" ref="N1255">IFERROR(
  INDEX(
    'Valor Hora Real y Estimada'!$A$4:$Z$78,
    MATCH(TRIM(CLEAN(A1255)), 'Valor Hora Real y Estimada'!$A$4:$A$78, 0),
    MATCH(
      TEXT(C1255,"dd mmm")&amp;" "&amp;D1255,
      'Valor Hora Real y Estimada'!$A$3:$Z$3,
      0
    ) + 1
  ),
  0
)</f>
        <v>0</v>
      </c>
      <c r="O1255" s="453"/>
      <c r="P1255" s="113"/>
      <c r="Q1255" s="106" t="str">
        <f>IF(ISBLANK(O1255), "", VLOOKUP(C1255&amp;" "&amp;D1255, 'Info Tipo de Cambio y REM'!$A$24:$B$35, 2, FALSE))</f>
        <v/>
      </c>
      <c r="R1255" s="107" t="str">
        <f t="shared" si="32"/>
        <v/>
      </c>
    </row>
    <row r="1256" hidden="1">
      <c r="A1256" s="443"/>
      <c r="B1256" s="43" t="str">
        <f>IF(A1256="", "", IFERROR(VLOOKUP(A1256, Clasificaciones!A:B, 2, FALSE), "DATO NO CARGADO"))
</f>
        <v/>
      </c>
      <c r="C1256" s="51"/>
      <c r="D1256" s="102"/>
      <c r="E1256" s="102"/>
      <c r="H1256" s="102"/>
      <c r="J1256" s="102"/>
      <c r="K1256" s="450"/>
      <c r="L1256" s="443"/>
      <c r="M1256" s="450"/>
      <c r="N1256" s="452">
        <f t="array" ref="N1256">IFERROR(
  INDEX(
    'Valor Hora Real y Estimada'!$A$4:$Z$78,
    MATCH(TRIM(CLEAN(A1256)), 'Valor Hora Real y Estimada'!$A$4:$A$78, 0),
    MATCH(
      TEXT(C1256,"dd mmm")&amp;" "&amp;D1256,
      'Valor Hora Real y Estimada'!$A$3:$Z$3,
      0
    ) + 1
  ),
  0
)</f>
        <v>0</v>
      </c>
      <c r="O1256" s="453"/>
      <c r="P1256" s="113"/>
      <c r="Q1256" s="106" t="str">
        <f>IF(ISBLANK(O1256), "", VLOOKUP(C1256&amp;" "&amp;D1256, 'Info Tipo de Cambio y REM'!$A$24:$B$35, 2, FALSE))</f>
        <v/>
      </c>
      <c r="R1256" s="107" t="str">
        <f t="shared" si="32"/>
        <v/>
      </c>
    </row>
    <row r="1257" hidden="1">
      <c r="A1257" s="443"/>
      <c r="B1257" s="43" t="str">
        <f>IF(A1257="", "", IFERROR(VLOOKUP(A1257, Clasificaciones!A:B, 2, FALSE), "DATO NO CARGADO"))
</f>
        <v/>
      </c>
      <c r="C1257" s="51"/>
      <c r="D1257" s="102"/>
      <c r="E1257" s="102"/>
      <c r="H1257" s="102"/>
      <c r="J1257" s="102"/>
      <c r="K1257" s="450"/>
      <c r="L1257" s="443"/>
      <c r="M1257" s="450"/>
      <c r="N1257" s="452">
        <f t="array" ref="N1257">IFERROR(
  INDEX(
    'Valor Hora Real y Estimada'!$A$4:$Z$78,
    MATCH(TRIM(CLEAN(A1257)), 'Valor Hora Real y Estimada'!$A$4:$A$78, 0),
    MATCH(
      TEXT(C1257,"dd mmm")&amp;" "&amp;D1257,
      'Valor Hora Real y Estimada'!$A$3:$Z$3,
      0
    ) + 1
  ),
  0
)</f>
        <v>0</v>
      </c>
      <c r="O1257" s="453"/>
      <c r="P1257" s="113"/>
      <c r="Q1257" s="106" t="str">
        <f>IF(ISBLANK(O1257), "", VLOOKUP(C1257&amp;" "&amp;D1257, 'Info Tipo de Cambio y REM'!$A$24:$B$35, 2, FALSE))</f>
        <v/>
      </c>
      <c r="R1257" s="107" t="str">
        <f t="shared" si="32"/>
        <v/>
      </c>
    </row>
    <row r="1258" hidden="1">
      <c r="A1258" s="443"/>
      <c r="B1258" s="43" t="str">
        <f>IF(A1258="", "", IFERROR(VLOOKUP(A1258, Clasificaciones!A:B, 2, FALSE), "DATO NO CARGADO"))
</f>
        <v/>
      </c>
      <c r="C1258" s="51"/>
      <c r="D1258" s="102"/>
      <c r="E1258" s="102"/>
      <c r="H1258" s="102"/>
      <c r="J1258" s="102"/>
      <c r="K1258" s="450"/>
      <c r="L1258" s="443"/>
      <c r="M1258" s="450"/>
      <c r="N1258" s="452">
        <f t="array" ref="N1258">IFERROR(
  INDEX(
    'Valor Hora Real y Estimada'!$A$4:$Z$78,
    MATCH(TRIM(CLEAN(A1258)), 'Valor Hora Real y Estimada'!$A$4:$A$78, 0),
    MATCH(
      TEXT(C1258,"dd mmm")&amp;" "&amp;D1258,
      'Valor Hora Real y Estimada'!$A$3:$Z$3,
      0
    ) + 1
  ),
  0
)</f>
        <v>0</v>
      </c>
      <c r="O1258" s="453"/>
      <c r="P1258" s="113"/>
      <c r="Q1258" s="106" t="str">
        <f>IF(ISBLANK(O1258), "", VLOOKUP(C1258&amp;" "&amp;D1258, 'Info Tipo de Cambio y REM'!$A$24:$B$35, 2, FALSE))</f>
        <v/>
      </c>
      <c r="R1258" s="107" t="str">
        <f t="shared" si="32"/>
        <v/>
      </c>
    </row>
    <row r="1259" hidden="1">
      <c r="A1259" s="443"/>
      <c r="B1259" s="43" t="str">
        <f>IF(A1259="", "", IFERROR(VLOOKUP(A1259, Clasificaciones!A:B, 2, FALSE), "DATO NO CARGADO"))
</f>
        <v/>
      </c>
      <c r="C1259" s="51"/>
      <c r="D1259" s="102"/>
      <c r="E1259" s="102"/>
      <c r="H1259" s="102"/>
      <c r="J1259" s="102"/>
      <c r="K1259" s="450"/>
      <c r="L1259" s="443"/>
      <c r="M1259" s="450"/>
      <c r="N1259" s="452">
        <f t="array" ref="N1259">IFERROR(
  INDEX(
    'Valor Hora Real y Estimada'!$A$4:$Z$78,
    MATCH(TRIM(CLEAN(A1259)), 'Valor Hora Real y Estimada'!$A$4:$A$78, 0),
    MATCH(
      TEXT(C1259,"dd mmm")&amp;" "&amp;D1259,
      'Valor Hora Real y Estimada'!$A$3:$Z$3,
      0
    ) + 1
  ),
  0
)</f>
        <v>0</v>
      </c>
      <c r="O1259" s="453"/>
      <c r="P1259" s="113"/>
      <c r="Q1259" s="106" t="str">
        <f>IF(ISBLANK(O1259), "", VLOOKUP(C1259&amp;" "&amp;D1259, 'Info Tipo de Cambio y REM'!$A$24:$B$35, 2, FALSE))</f>
        <v/>
      </c>
      <c r="R1259" s="107" t="str">
        <f t="shared" si="32"/>
        <v/>
      </c>
    </row>
    <row r="1260" hidden="1">
      <c r="A1260" s="443"/>
      <c r="B1260" s="43" t="str">
        <f>IF(A1260="", "", IFERROR(VLOOKUP(A1260, Clasificaciones!A:B, 2, FALSE), "DATO NO CARGADO"))
</f>
        <v/>
      </c>
      <c r="C1260" s="51"/>
      <c r="D1260" s="102"/>
      <c r="E1260" s="102"/>
      <c r="H1260" s="102"/>
      <c r="J1260" s="102"/>
      <c r="K1260" s="450"/>
      <c r="L1260" s="443"/>
      <c r="M1260" s="450"/>
      <c r="N1260" s="452">
        <f t="array" ref="N1260">IFERROR(
  INDEX(
    'Valor Hora Real y Estimada'!$A$4:$Z$78,
    MATCH(TRIM(CLEAN(A1260)), 'Valor Hora Real y Estimada'!$A$4:$A$78, 0),
    MATCH(
      TEXT(C1260,"dd mmm")&amp;" "&amp;D1260,
      'Valor Hora Real y Estimada'!$A$3:$Z$3,
      0
    ) + 1
  ),
  0
)</f>
        <v>0</v>
      </c>
      <c r="O1260" s="453"/>
      <c r="P1260" s="113"/>
      <c r="Q1260" s="106" t="str">
        <f>IF(ISBLANK(O1260), "", VLOOKUP(C1260&amp;" "&amp;D1260, 'Info Tipo de Cambio y REM'!$A$24:$B$35, 2, FALSE))</f>
        <v/>
      </c>
      <c r="R1260" s="107" t="str">
        <f t="shared" si="32"/>
        <v/>
      </c>
    </row>
    <row r="1261" hidden="1">
      <c r="A1261" s="443"/>
      <c r="B1261" s="43" t="str">
        <f>IF(A1261="", "", IFERROR(VLOOKUP(A1261, Clasificaciones!A:B, 2, FALSE), "DATO NO CARGADO"))
</f>
        <v/>
      </c>
      <c r="C1261" s="51"/>
      <c r="D1261" s="102"/>
      <c r="E1261" s="102"/>
      <c r="H1261" s="102"/>
      <c r="J1261" s="102"/>
      <c r="K1261" s="450"/>
      <c r="L1261" s="443"/>
      <c r="M1261" s="450"/>
      <c r="N1261" s="452">
        <f t="array" ref="N1261">IFERROR(
  INDEX(
    'Valor Hora Real y Estimada'!$A$4:$Z$78,
    MATCH(TRIM(CLEAN(A1261)), 'Valor Hora Real y Estimada'!$A$4:$A$78, 0),
    MATCH(
      TEXT(C1261,"dd mmm")&amp;" "&amp;D1261,
      'Valor Hora Real y Estimada'!$A$3:$Z$3,
      0
    ) + 1
  ),
  0
)</f>
        <v>0</v>
      </c>
      <c r="O1261" s="453"/>
      <c r="P1261" s="113"/>
      <c r="Q1261" s="106" t="str">
        <f>IF(ISBLANK(O1261), "", VLOOKUP(C1261&amp;" "&amp;D1261, 'Info Tipo de Cambio y REM'!$A$24:$B$35, 2, FALSE))</f>
        <v/>
      </c>
      <c r="R1261" s="107" t="str">
        <f t="shared" si="32"/>
        <v/>
      </c>
    </row>
    <row r="1262" hidden="1">
      <c r="A1262" s="443"/>
      <c r="B1262" s="43" t="str">
        <f>IF(A1262="", "", IFERROR(VLOOKUP(A1262, Clasificaciones!A:B, 2, FALSE), "DATO NO CARGADO"))
</f>
        <v/>
      </c>
      <c r="C1262" s="51"/>
      <c r="D1262" s="102"/>
      <c r="E1262" s="102"/>
      <c r="H1262" s="102"/>
      <c r="J1262" s="102"/>
      <c r="K1262" s="450"/>
      <c r="L1262" s="443"/>
      <c r="M1262" s="450"/>
      <c r="N1262" s="452">
        <f t="array" ref="N1262">IFERROR(
  INDEX(
    'Valor Hora Real y Estimada'!$A$4:$Z$78,
    MATCH(TRIM(CLEAN(A1262)), 'Valor Hora Real y Estimada'!$A$4:$A$78, 0),
    MATCH(
      TEXT(C1262,"dd mmm")&amp;" "&amp;D1262,
      'Valor Hora Real y Estimada'!$A$3:$Z$3,
      0
    ) + 1
  ),
  0
)</f>
        <v>0</v>
      </c>
      <c r="O1262" s="453"/>
      <c r="P1262" s="113"/>
      <c r="Q1262" s="106" t="str">
        <f>IF(ISBLANK(O1262), "", VLOOKUP(C1262&amp;" "&amp;D1262, 'Info Tipo de Cambio y REM'!$A$24:$B$35, 2, FALSE))</f>
        <v/>
      </c>
      <c r="R1262" s="107" t="str">
        <f t="shared" si="32"/>
        <v/>
      </c>
    </row>
    <row r="1263" hidden="1">
      <c r="A1263" s="443"/>
      <c r="B1263" s="43" t="str">
        <f>IF(A1263="", "", IFERROR(VLOOKUP(A1263, Clasificaciones!A:B, 2, FALSE), "DATO NO CARGADO"))
</f>
        <v/>
      </c>
      <c r="C1263" s="51"/>
      <c r="D1263" s="102"/>
      <c r="E1263" s="102"/>
      <c r="H1263" s="102"/>
      <c r="J1263" s="102"/>
      <c r="K1263" s="450"/>
      <c r="L1263" s="443"/>
      <c r="M1263" s="450"/>
      <c r="N1263" s="452">
        <f t="array" ref="N1263">IFERROR(
  INDEX(
    'Valor Hora Real y Estimada'!$A$4:$Z$78,
    MATCH(TRIM(CLEAN(A1263)), 'Valor Hora Real y Estimada'!$A$4:$A$78, 0),
    MATCH(
      TEXT(C1263,"dd mmm")&amp;" "&amp;D1263,
      'Valor Hora Real y Estimada'!$A$3:$Z$3,
      0
    ) + 1
  ),
  0
)</f>
        <v>0</v>
      </c>
      <c r="O1263" s="453"/>
      <c r="P1263" s="113"/>
      <c r="Q1263" s="106" t="str">
        <f>IF(ISBLANK(O1263), "", VLOOKUP(C1263&amp;" "&amp;D1263, 'Info Tipo de Cambio y REM'!$A$24:$B$35, 2, FALSE))</f>
        <v/>
      </c>
      <c r="R1263" s="107" t="str">
        <f t="shared" si="32"/>
        <v/>
      </c>
    </row>
    <row r="1264" hidden="1">
      <c r="A1264" s="443"/>
      <c r="B1264" s="43" t="str">
        <f>IF(A1264="", "", IFERROR(VLOOKUP(A1264, Clasificaciones!A:B, 2, FALSE), "DATO NO CARGADO"))
</f>
        <v/>
      </c>
      <c r="C1264" s="51"/>
      <c r="D1264" s="102"/>
      <c r="E1264" s="102"/>
      <c r="H1264" s="102"/>
      <c r="J1264" s="102"/>
      <c r="K1264" s="450"/>
      <c r="L1264" s="443"/>
      <c r="M1264" s="450"/>
      <c r="N1264" s="452">
        <f t="array" ref="N1264">IFERROR(
  INDEX(
    'Valor Hora Real y Estimada'!$A$4:$Z$78,
    MATCH(TRIM(CLEAN(A1264)), 'Valor Hora Real y Estimada'!$A$4:$A$78, 0),
    MATCH(
      TEXT(C1264,"dd mmm")&amp;" "&amp;D1264,
      'Valor Hora Real y Estimada'!$A$3:$Z$3,
      0
    ) + 1
  ),
  0
)</f>
        <v>0</v>
      </c>
      <c r="O1264" s="453"/>
      <c r="P1264" s="113"/>
      <c r="Q1264" s="106" t="str">
        <f>IF(ISBLANK(O1264), "", VLOOKUP(C1264&amp;" "&amp;D1264, 'Info Tipo de Cambio y REM'!$A$24:$B$35, 2, FALSE))</f>
        <v/>
      </c>
      <c r="R1264" s="107" t="str">
        <f t="shared" si="32"/>
        <v/>
      </c>
    </row>
    <row r="1265" hidden="1">
      <c r="A1265" s="443"/>
      <c r="B1265" s="43" t="str">
        <f>IF(A1265="", "", IFERROR(VLOOKUP(A1265, Clasificaciones!A:B, 2, FALSE), "DATO NO CARGADO"))
</f>
        <v/>
      </c>
      <c r="C1265" s="51"/>
      <c r="D1265" s="102"/>
      <c r="E1265" s="102"/>
      <c r="H1265" s="102"/>
      <c r="J1265" s="102"/>
      <c r="K1265" s="450"/>
      <c r="L1265" s="443"/>
      <c r="M1265" s="450"/>
      <c r="N1265" s="452">
        <f t="array" ref="N1265">IFERROR(
  INDEX(
    'Valor Hora Real y Estimada'!$A$4:$Z$78,
    MATCH(TRIM(CLEAN(A1265)), 'Valor Hora Real y Estimada'!$A$4:$A$78, 0),
    MATCH(
      TEXT(C1265,"dd mmm")&amp;" "&amp;D1265,
      'Valor Hora Real y Estimada'!$A$3:$Z$3,
      0
    ) + 1
  ),
  0
)</f>
        <v>0</v>
      </c>
      <c r="O1265" s="453"/>
      <c r="P1265" s="113"/>
      <c r="Q1265" s="106" t="str">
        <f>IF(ISBLANK(O1265), "", VLOOKUP(C1265&amp;" "&amp;D1265, 'Info Tipo de Cambio y REM'!$A$24:$B$35, 2, FALSE))</f>
        <v/>
      </c>
      <c r="R1265" s="107" t="str">
        <f t="shared" si="32"/>
        <v/>
      </c>
    </row>
    <row r="1266" hidden="1">
      <c r="A1266" s="443"/>
      <c r="B1266" s="43" t="str">
        <f>IF(A1266="", "", IFERROR(VLOOKUP(A1266, Clasificaciones!A:B, 2, FALSE), "DATO NO CARGADO"))
</f>
        <v/>
      </c>
      <c r="C1266" s="51"/>
      <c r="D1266" s="102"/>
      <c r="E1266" s="102"/>
      <c r="H1266" s="102"/>
      <c r="J1266" s="102"/>
      <c r="K1266" s="450"/>
      <c r="L1266" s="443"/>
      <c r="M1266" s="450"/>
      <c r="N1266" s="452">
        <f t="array" ref="N1266">IFERROR(
  INDEX(
    'Valor Hora Real y Estimada'!$A$4:$Z$78,
    MATCH(TRIM(CLEAN(A1266)), 'Valor Hora Real y Estimada'!$A$4:$A$78, 0),
    MATCH(
      TEXT(C1266,"dd mmm")&amp;" "&amp;D1266,
      'Valor Hora Real y Estimada'!$A$3:$Z$3,
      0
    ) + 1
  ),
  0
)</f>
        <v>0</v>
      </c>
      <c r="O1266" s="453"/>
      <c r="P1266" s="113"/>
      <c r="Q1266" s="106" t="str">
        <f>IF(ISBLANK(O1266), "", VLOOKUP(C1266&amp;" "&amp;D1266, 'Info Tipo de Cambio y REM'!$A$24:$B$35, 2, FALSE))</f>
        <v/>
      </c>
      <c r="R1266" s="107" t="str">
        <f t="shared" si="32"/>
        <v/>
      </c>
    </row>
    <row r="1267" hidden="1">
      <c r="A1267" s="443"/>
      <c r="B1267" s="43" t="str">
        <f>IF(A1267="", "", IFERROR(VLOOKUP(A1267, Clasificaciones!A:B, 2, FALSE), "DATO NO CARGADO"))
</f>
        <v/>
      </c>
      <c r="C1267" s="51"/>
      <c r="D1267" s="102"/>
      <c r="E1267" s="102"/>
      <c r="H1267" s="102"/>
      <c r="J1267" s="102"/>
      <c r="K1267" s="450"/>
      <c r="L1267" s="443"/>
      <c r="M1267" s="450"/>
      <c r="N1267" s="452">
        <f t="array" ref="N1267">IFERROR(
  INDEX(
    'Valor Hora Real y Estimada'!$A$4:$Z$78,
    MATCH(TRIM(CLEAN(A1267)), 'Valor Hora Real y Estimada'!$A$4:$A$78, 0),
    MATCH(
      TEXT(C1267,"dd mmm")&amp;" "&amp;D1267,
      'Valor Hora Real y Estimada'!$A$3:$Z$3,
      0
    ) + 1
  ),
  0
)</f>
        <v>0</v>
      </c>
      <c r="O1267" s="453"/>
      <c r="P1267" s="113"/>
      <c r="Q1267" s="106" t="str">
        <f>IF(ISBLANK(O1267), "", VLOOKUP(C1267&amp;" "&amp;D1267, 'Info Tipo de Cambio y REM'!$A$24:$B$35, 2, FALSE))</f>
        <v/>
      </c>
      <c r="R1267" s="107" t="str">
        <f t="shared" si="32"/>
        <v/>
      </c>
    </row>
    <row r="1268" hidden="1">
      <c r="A1268" s="443"/>
      <c r="B1268" s="43" t="str">
        <f>IF(A1268="", "", IFERROR(VLOOKUP(A1268, Clasificaciones!A:B, 2, FALSE), "DATO NO CARGADO"))
</f>
        <v/>
      </c>
      <c r="C1268" s="51"/>
      <c r="D1268" s="102"/>
      <c r="E1268" s="102"/>
      <c r="H1268" s="102"/>
      <c r="J1268" s="102"/>
      <c r="K1268" s="450"/>
      <c r="L1268" s="443"/>
      <c r="M1268" s="450"/>
      <c r="N1268" s="452">
        <f t="array" ref="N1268">IFERROR(
  INDEX(
    'Valor Hora Real y Estimada'!$A$4:$Z$78,
    MATCH(TRIM(CLEAN(A1268)), 'Valor Hora Real y Estimada'!$A$4:$A$78, 0),
    MATCH(
      TEXT(C1268,"dd mmm")&amp;" "&amp;D1268,
      'Valor Hora Real y Estimada'!$A$3:$Z$3,
      0
    ) + 1
  ),
  0
)</f>
        <v>0</v>
      </c>
      <c r="O1268" s="453"/>
      <c r="P1268" s="113"/>
      <c r="Q1268" s="106" t="str">
        <f>IF(ISBLANK(O1268), "", VLOOKUP(C1268&amp;" "&amp;D1268, 'Info Tipo de Cambio y REM'!$A$24:$B$35, 2, FALSE))</f>
        <v/>
      </c>
      <c r="R1268" s="107" t="str">
        <f t="shared" si="32"/>
        <v/>
      </c>
    </row>
    <row r="1269" hidden="1">
      <c r="A1269" s="443"/>
      <c r="B1269" s="43" t="str">
        <f>IF(A1269="", "", IFERROR(VLOOKUP(A1269, Clasificaciones!A:B, 2, FALSE), "DATO NO CARGADO"))
</f>
        <v/>
      </c>
      <c r="C1269" s="51"/>
      <c r="D1269" s="102"/>
      <c r="E1269" s="102"/>
      <c r="H1269" s="102"/>
      <c r="J1269" s="102"/>
      <c r="K1269" s="450"/>
      <c r="L1269" s="443"/>
      <c r="M1269" s="450"/>
      <c r="N1269" s="452">
        <f t="array" ref="N1269">IFERROR(
  INDEX(
    'Valor Hora Real y Estimada'!$A$4:$Z$78,
    MATCH(TRIM(CLEAN(A1269)), 'Valor Hora Real y Estimada'!$A$4:$A$78, 0),
    MATCH(
      TEXT(C1269,"dd mmm")&amp;" "&amp;D1269,
      'Valor Hora Real y Estimada'!$A$3:$Z$3,
      0
    ) + 1
  ),
  0
)</f>
        <v>0</v>
      </c>
      <c r="O1269" s="453"/>
      <c r="P1269" s="113"/>
      <c r="Q1269" s="106" t="str">
        <f>IF(ISBLANK(O1269), "", VLOOKUP(C1269&amp;" "&amp;D1269, 'Info Tipo de Cambio y REM'!$A$24:$B$35, 2, FALSE))</f>
        <v/>
      </c>
      <c r="R1269" s="107" t="str">
        <f t="shared" si="32"/>
        <v/>
      </c>
    </row>
    <row r="1270" hidden="1">
      <c r="A1270" s="443"/>
      <c r="B1270" s="43" t="str">
        <f>IF(A1270="", "", IFERROR(VLOOKUP(A1270, Clasificaciones!A:B, 2, FALSE), "DATO NO CARGADO"))
</f>
        <v/>
      </c>
      <c r="C1270" s="51"/>
      <c r="D1270" s="102"/>
      <c r="E1270" s="102"/>
      <c r="H1270" s="102"/>
      <c r="J1270" s="102"/>
      <c r="K1270" s="450"/>
      <c r="L1270" s="443"/>
      <c r="M1270" s="450"/>
      <c r="N1270" s="452">
        <f t="array" ref="N1270">IFERROR(
  INDEX(
    'Valor Hora Real y Estimada'!$A$4:$Z$78,
    MATCH(TRIM(CLEAN(A1270)), 'Valor Hora Real y Estimada'!$A$4:$A$78, 0),
    MATCH(
      TEXT(C1270,"dd mmm")&amp;" "&amp;D1270,
      'Valor Hora Real y Estimada'!$A$3:$Z$3,
      0
    ) + 1
  ),
  0
)</f>
        <v>0</v>
      </c>
      <c r="O1270" s="453"/>
      <c r="P1270" s="113"/>
      <c r="Q1270" s="106" t="str">
        <f>IF(ISBLANK(O1270), "", VLOOKUP(C1270&amp;" "&amp;D1270, 'Info Tipo de Cambio y REM'!$A$24:$B$35, 2, FALSE))</f>
        <v/>
      </c>
      <c r="R1270" s="107" t="str">
        <f t="shared" si="32"/>
        <v/>
      </c>
    </row>
    <row r="1271" hidden="1">
      <c r="A1271" s="443"/>
      <c r="B1271" s="43" t="str">
        <f>IF(A1271="", "", IFERROR(VLOOKUP(A1271, Clasificaciones!A:B, 2, FALSE), "DATO NO CARGADO"))
</f>
        <v/>
      </c>
      <c r="C1271" s="51"/>
      <c r="D1271" s="102"/>
      <c r="E1271" s="102"/>
      <c r="H1271" s="102"/>
      <c r="J1271" s="102"/>
      <c r="K1271" s="450"/>
      <c r="L1271" s="443"/>
      <c r="M1271" s="450"/>
      <c r="N1271" s="452">
        <f t="array" ref="N1271">IFERROR(
  INDEX(
    'Valor Hora Real y Estimada'!$A$4:$Z$78,
    MATCH(TRIM(CLEAN(A1271)), 'Valor Hora Real y Estimada'!$A$4:$A$78, 0),
    MATCH(
      TEXT(C1271,"dd mmm")&amp;" "&amp;D1271,
      'Valor Hora Real y Estimada'!$A$3:$Z$3,
      0
    ) + 1
  ),
  0
)</f>
        <v>0</v>
      </c>
      <c r="O1271" s="453"/>
      <c r="P1271" s="113"/>
      <c r="Q1271" s="106" t="str">
        <f>IF(ISBLANK(O1271), "", VLOOKUP(C1271&amp;" "&amp;D1271, 'Info Tipo de Cambio y REM'!$A$24:$B$35, 2, FALSE))</f>
        <v/>
      </c>
      <c r="R1271" s="107" t="str">
        <f t="shared" si="32"/>
        <v/>
      </c>
    </row>
    <row r="1272" hidden="1">
      <c r="A1272" s="443"/>
      <c r="B1272" s="43" t="str">
        <f>IF(A1272="", "", IFERROR(VLOOKUP(A1272, Clasificaciones!A:B, 2, FALSE), "DATO NO CARGADO"))
</f>
        <v/>
      </c>
      <c r="C1272" s="51"/>
      <c r="D1272" s="102"/>
      <c r="E1272" s="102"/>
      <c r="H1272" s="102"/>
      <c r="J1272" s="102"/>
      <c r="K1272" s="450"/>
      <c r="L1272" s="443"/>
      <c r="M1272" s="450"/>
      <c r="N1272" s="452">
        <f t="array" ref="N1272">IFERROR(
  INDEX(
    'Valor Hora Real y Estimada'!$A$4:$Z$78,
    MATCH(TRIM(CLEAN(A1272)), 'Valor Hora Real y Estimada'!$A$4:$A$78, 0),
    MATCH(
      TEXT(C1272,"dd mmm")&amp;" "&amp;D1272,
      'Valor Hora Real y Estimada'!$A$3:$Z$3,
      0
    ) + 1
  ),
  0
)</f>
        <v>0</v>
      </c>
      <c r="O1272" s="453"/>
      <c r="P1272" s="113"/>
      <c r="Q1272" s="106" t="str">
        <f>IF(ISBLANK(O1272), "", VLOOKUP(C1272&amp;" "&amp;D1272, 'Info Tipo de Cambio y REM'!$A$24:$B$35, 2, FALSE))</f>
        <v/>
      </c>
      <c r="R1272" s="107" t="str">
        <f t="shared" si="32"/>
        <v/>
      </c>
    </row>
    <row r="1273" hidden="1">
      <c r="A1273" s="443"/>
      <c r="B1273" s="43" t="str">
        <f>IF(A1273="", "", IFERROR(VLOOKUP(A1273, Clasificaciones!A:B, 2, FALSE), "DATO NO CARGADO"))
</f>
        <v/>
      </c>
      <c r="C1273" s="51"/>
      <c r="D1273" s="102"/>
      <c r="E1273" s="102"/>
      <c r="H1273" s="102"/>
      <c r="J1273" s="102"/>
      <c r="K1273" s="450"/>
      <c r="L1273" s="443"/>
      <c r="M1273" s="450"/>
      <c r="N1273" s="452">
        <f t="array" ref="N1273">IFERROR(
  INDEX(
    'Valor Hora Real y Estimada'!$A$4:$Z$78,
    MATCH(TRIM(CLEAN(A1273)), 'Valor Hora Real y Estimada'!$A$4:$A$78, 0),
    MATCH(
      TEXT(C1273,"dd mmm")&amp;" "&amp;D1273,
      'Valor Hora Real y Estimada'!$A$3:$Z$3,
      0
    ) + 1
  ),
  0
)</f>
        <v>0</v>
      </c>
      <c r="O1273" s="453"/>
      <c r="P1273" s="113"/>
      <c r="Q1273" s="106" t="str">
        <f>IF(ISBLANK(O1273), "", VLOOKUP(C1273&amp;" "&amp;D1273, 'Info Tipo de Cambio y REM'!$A$24:$B$35, 2, FALSE))</f>
        <v/>
      </c>
      <c r="R1273" s="107" t="str">
        <f t="shared" si="32"/>
        <v/>
      </c>
    </row>
    <row r="1274" hidden="1">
      <c r="A1274" s="443"/>
      <c r="B1274" s="43" t="str">
        <f>IF(A1274="", "", IFERROR(VLOOKUP(A1274, Clasificaciones!A:B, 2, FALSE), "DATO NO CARGADO"))
</f>
        <v/>
      </c>
      <c r="C1274" s="51"/>
      <c r="D1274" s="102"/>
      <c r="E1274" s="102"/>
      <c r="H1274" s="102"/>
      <c r="J1274" s="102"/>
      <c r="K1274" s="450"/>
      <c r="L1274" s="443"/>
      <c r="M1274" s="450"/>
      <c r="N1274" s="452">
        <f t="array" ref="N1274">IFERROR(
  INDEX(
    'Valor Hora Real y Estimada'!$A$4:$Z$78,
    MATCH(TRIM(CLEAN(A1274)), 'Valor Hora Real y Estimada'!$A$4:$A$78, 0),
    MATCH(
      TEXT(C1274,"dd mmm")&amp;" "&amp;D1274,
      'Valor Hora Real y Estimada'!$A$3:$Z$3,
      0
    ) + 1
  ),
  0
)</f>
        <v>0</v>
      </c>
      <c r="O1274" s="453"/>
      <c r="P1274" s="113"/>
      <c r="Q1274" s="106" t="str">
        <f>IF(ISBLANK(O1274), "", VLOOKUP(C1274&amp;" "&amp;D1274, 'Info Tipo de Cambio y REM'!$A$24:$B$35, 2, FALSE))</f>
        <v/>
      </c>
      <c r="R1274" s="107" t="str">
        <f t="shared" si="32"/>
        <v/>
      </c>
    </row>
    <row r="1275" hidden="1">
      <c r="A1275" s="443"/>
      <c r="B1275" s="43" t="str">
        <f>IF(A1275="", "", IFERROR(VLOOKUP(A1275, Clasificaciones!A:B, 2, FALSE), "DATO NO CARGADO"))
</f>
        <v/>
      </c>
      <c r="C1275" s="51"/>
      <c r="D1275" s="102"/>
      <c r="E1275" s="102"/>
      <c r="H1275" s="102"/>
      <c r="J1275" s="102"/>
      <c r="K1275" s="450"/>
      <c r="L1275" s="443"/>
      <c r="M1275" s="450"/>
      <c r="N1275" s="452">
        <f t="array" ref="N1275">IFERROR(
  INDEX(
    'Valor Hora Real y Estimada'!$A$4:$Z$78,
    MATCH(TRIM(CLEAN(A1275)), 'Valor Hora Real y Estimada'!$A$4:$A$78, 0),
    MATCH(
      TEXT(C1275,"dd mmm")&amp;" "&amp;D1275,
      'Valor Hora Real y Estimada'!$A$3:$Z$3,
      0
    ) + 1
  ),
  0
)</f>
        <v>0</v>
      </c>
      <c r="O1275" s="453"/>
      <c r="P1275" s="113"/>
      <c r="Q1275" s="106" t="str">
        <f>IF(ISBLANK(O1275), "", VLOOKUP(C1275&amp;" "&amp;D1275, 'Info Tipo de Cambio y REM'!$A$24:$B$35, 2, FALSE))</f>
        <v/>
      </c>
      <c r="R1275" s="107" t="str">
        <f t="shared" si="32"/>
        <v/>
      </c>
    </row>
    <row r="1276" hidden="1">
      <c r="A1276" s="443"/>
      <c r="B1276" s="43" t="str">
        <f>IF(A1276="", "", IFERROR(VLOOKUP(A1276, Clasificaciones!A:B, 2, FALSE), "DATO NO CARGADO"))
</f>
        <v/>
      </c>
      <c r="C1276" s="51"/>
      <c r="D1276" s="102"/>
      <c r="E1276" s="102"/>
      <c r="H1276" s="102"/>
      <c r="J1276" s="102"/>
      <c r="K1276" s="450"/>
      <c r="L1276" s="443"/>
      <c r="M1276" s="450"/>
      <c r="N1276" s="452">
        <f t="array" ref="N1276">IFERROR(
  INDEX(
    'Valor Hora Real y Estimada'!$A$4:$Z$78,
    MATCH(TRIM(CLEAN(A1276)), 'Valor Hora Real y Estimada'!$A$4:$A$78, 0),
    MATCH(
      TEXT(C1276,"dd mmm")&amp;" "&amp;D1276,
      'Valor Hora Real y Estimada'!$A$3:$Z$3,
      0
    ) + 1
  ),
  0
)</f>
        <v>0</v>
      </c>
      <c r="O1276" s="453"/>
      <c r="P1276" s="113"/>
      <c r="Q1276" s="106" t="str">
        <f>IF(ISBLANK(O1276), "", VLOOKUP(C1276&amp;" "&amp;D1276, 'Info Tipo de Cambio y REM'!$A$24:$B$35, 2, FALSE))</f>
        <v/>
      </c>
      <c r="R1276" s="107" t="str">
        <f t="shared" si="32"/>
        <v/>
      </c>
    </row>
    <row r="1277" hidden="1">
      <c r="A1277" s="443"/>
      <c r="B1277" s="43" t="str">
        <f>IF(A1277="", "", IFERROR(VLOOKUP(A1277, Clasificaciones!A:B, 2, FALSE), "DATO NO CARGADO"))
</f>
        <v/>
      </c>
      <c r="C1277" s="51"/>
      <c r="D1277" s="102"/>
      <c r="E1277" s="102"/>
      <c r="H1277" s="102"/>
      <c r="J1277" s="102"/>
      <c r="K1277" s="450"/>
      <c r="L1277" s="443"/>
      <c r="M1277" s="450"/>
      <c r="N1277" s="452">
        <f t="array" ref="N1277">IFERROR(
  INDEX(
    'Valor Hora Real y Estimada'!$A$4:$Z$78,
    MATCH(TRIM(CLEAN(A1277)), 'Valor Hora Real y Estimada'!$A$4:$A$78, 0),
    MATCH(
      TEXT(C1277,"dd mmm")&amp;" "&amp;D1277,
      'Valor Hora Real y Estimada'!$A$3:$Z$3,
      0
    ) + 1
  ),
  0
)</f>
        <v>0</v>
      </c>
      <c r="O1277" s="453"/>
      <c r="P1277" s="113"/>
      <c r="Q1277" s="106" t="str">
        <f>IF(ISBLANK(O1277), "", VLOOKUP(C1277&amp;" "&amp;D1277, 'Info Tipo de Cambio y REM'!$A$24:$B$35, 2, FALSE))</f>
        <v/>
      </c>
      <c r="R1277" s="107" t="str">
        <f t="shared" si="32"/>
        <v/>
      </c>
    </row>
    <row r="1278" hidden="1">
      <c r="A1278" s="443"/>
      <c r="B1278" s="43" t="str">
        <f>IF(A1278="", "", IFERROR(VLOOKUP(A1278, Clasificaciones!A:B, 2, FALSE), "DATO NO CARGADO"))
</f>
        <v/>
      </c>
      <c r="C1278" s="51"/>
      <c r="D1278" s="102"/>
      <c r="E1278" s="102"/>
      <c r="H1278" s="102"/>
      <c r="J1278" s="102"/>
      <c r="K1278" s="450"/>
      <c r="L1278" s="443"/>
      <c r="M1278" s="450"/>
      <c r="N1278" s="452">
        <f t="array" ref="N1278">IFERROR(
  INDEX(
    'Valor Hora Real y Estimada'!$A$4:$Z$78,
    MATCH(TRIM(CLEAN(A1278)), 'Valor Hora Real y Estimada'!$A$4:$A$78, 0),
    MATCH(
      TEXT(C1278,"dd mmm")&amp;" "&amp;D1278,
      'Valor Hora Real y Estimada'!$A$3:$Z$3,
      0
    ) + 1
  ),
  0
)</f>
        <v>0</v>
      </c>
      <c r="O1278" s="453"/>
      <c r="P1278" s="113"/>
      <c r="Q1278" s="106" t="str">
        <f>IF(ISBLANK(O1278), "", VLOOKUP(C1278&amp;" "&amp;D1278, 'Info Tipo de Cambio y REM'!$A$24:$B$35, 2, FALSE))</f>
        <v/>
      </c>
      <c r="R1278" s="107" t="str">
        <f t="shared" si="32"/>
        <v/>
      </c>
    </row>
    <row r="1279" hidden="1">
      <c r="A1279" s="443"/>
      <c r="B1279" s="43" t="str">
        <f>IF(A1279="", "", IFERROR(VLOOKUP(A1279, Clasificaciones!A:B, 2, FALSE), "DATO NO CARGADO"))
</f>
        <v/>
      </c>
      <c r="C1279" s="51"/>
      <c r="D1279" s="102"/>
      <c r="E1279" s="102"/>
      <c r="H1279" s="102"/>
      <c r="J1279" s="102"/>
      <c r="K1279" s="450"/>
      <c r="L1279" s="443"/>
      <c r="M1279" s="450"/>
      <c r="N1279" s="452">
        <f t="array" ref="N1279">IFERROR(
  INDEX(
    'Valor Hora Real y Estimada'!$A$4:$Z$78,
    MATCH(TRIM(CLEAN(A1279)), 'Valor Hora Real y Estimada'!$A$4:$A$78, 0),
    MATCH(
      TEXT(C1279,"dd mmm")&amp;" "&amp;D1279,
      'Valor Hora Real y Estimada'!$A$3:$Z$3,
      0
    ) + 1
  ),
  0
)</f>
        <v>0</v>
      </c>
      <c r="O1279" s="453"/>
      <c r="P1279" s="113"/>
      <c r="Q1279" s="106" t="str">
        <f>IF(ISBLANK(O1279), "", VLOOKUP(C1279&amp;" "&amp;D1279, 'Info Tipo de Cambio y REM'!$A$24:$B$35, 2, FALSE))</f>
        <v/>
      </c>
      <c r="R1279" s="107" t="str">
        <f t="shared" si="32"/>
        <v/>
      </c>
    </row>
    <row r="1280" hidden="1">
      <c r="A1280" s="443"/>
      <c r="B1280" s="43" t="str">
        <f>IF(A1280="", "", IFERROR(VLOOKUP(A1280, Clasificaciones!A:B, 2, FALSE), "DATO NO CARGADO"))
</f>
        <v/>
      </c>
      <c r="C1280" s="51"/>
      <c r="D1280" s="102"/>
      <c r="E1280" s="102"/>
      <c r="H1280" s="102"/>
      <c r="J1280" s="102"/>
      <c r="K1280" s="450"/>
      <c r="L1280" s="443"/>
      <c r="M1280" s="450"/>
      <c r="N1280" s="452">
        <f t="array" ref="N1280">IFERROR(
  INDEX(
    'Valor Hora Real y Estimada'!$A$4:$Z$78,
    MATCH(TRIM(CLEAN(A1280)), 'Valor Hora Real y Estimada'!$A$4:$A$78, 0),
    MATCH(
      TEXT(C1280,"dd mmm")&amp;" "&amp;D1280,
      'Valor Hora Real y Estimada'!$A$3:$Z$3,
      0
    ) + 1
  ),
  0
)</f>
        <v>0</v>
      </c>
      <c r="O1280" s="453"/>
      <c r="P1280" s="113"/>
      <c r="Q1280" s="106" t="str">
        <f>IF(ISBLANK(O1280), "", VLOOKUP(C1280&amp;" "&amp;D1280, 'Info Tipo de Cambio y REM'!$A$24:$B$35, 2, FALSE))</f>
        <v/>
      </c>
      <c r="R1280" s="107" t="str">
        <f t="shared" si="32"/>
        <v/>
      </c>
    </row>
    <row r="1281" hidden="1">
      <c r="A1281" s="443"/>
      <c r="B1281" s="43" t="str">
        <f>IF(A1281="", "", IFERROR(VLOOKUP(A1281, Clasificaciones!A:B, 2, FALSE), "DATO NO CARGADO"))
</f>
        <v/>
      </c>
      <c r="C1281" s="51"/>
      <c r="D1281" s="102"/>
      <c r="E1281" s="102"/>
      <c r="H1281" s="102"/>
      <c r="J1281" s="102"/>
      <c r="K1281" s="450"/>
      <c r="L1281" s="443"/>
      <c r="M1281" s="450"/>
      <c r="N1281" s="452">
        <f t="array" ref="N1281">IFERROR(
  INDEX(
    'Valor Hora Real y Estimada'!$A$4:$Z$78,
    MATCH(TRIM(CLEAN(A1281)), 'Valor Hora Real y Estimada'!$A$4:$A$78, 0),
    MATCH(
      TEXT(C1281,"dd mmm")&amp;" "&amp;D1281,
      'Valor Hora Real y Estimada'!$A$3:$Z$3,
      0
    ) + 1
  ),
  0
)</f>
        <v>0</v>
      </c>
      <c r="O1281" s="453"/>
      <c r="P1281" s="113"/>
      <c r="Q1281" s="106" t="str">
        <f>IF(ISBLANK(O1281), "", VLOOKUP(C1281&amp;" "&amp;D1281, 'Info Tipo de Cambio y REM'!$A$24:$B$35, 2, FALSE))</f>
        <v/>
      </c>
      <c r="R1281" s="107" t="str">
        <f t="shared" si="32"/>
        <v/>
      </c>
    </row>
    <row r="1282" hidden="1">
      <c r="A1282" s="443"/>
      <c r="B1282" s="43" t="str">
        <f>IF(A1282="", "", IFERROR(VLOOKUP(A1282, Clasificaciones!A:B, 2, FALSE), "DATO NO CARGADO"))
</f>
        <v/>
      </c>
      <c r="C1282" s="51"/>
      <c r="D1282" s="102"/>
      <c r="E1282" s="102"/>
      <c r="H1282" s="102"/>
      <c r="J1282" s="102"/>
      <c r="K1282" s="450"/>
      <c r="L1282" s="443"/>
      <c r="M1282" s="450"/>
      <c r="N1282" s="452">
        <f t="array" ref="N1282">IFERROR(
  INDEX(
    'Valor Hora Real y Estimada'!$A$4:$Z$78,
    MATCH(TRIM(CLEAN(A1282)), 'Valor Hora Real y Estimada'!$A$4:$A$78, 0),
    MATCH(
      TEXT(C1282,"dd mmm")&amp;" "&amp;D1282,
      'Valor Hora Real y Estimada'!$A$3:$Z$3,
      0
    ) + 1
  ),
  0
)</f>
        <v>0</v>
      </c>
      <c r="O1282" s="453"/>
      <c r="P1282" s="113"/>
      <c r="Q1282" s="106" t="str">
        <f>IF(ISBLANK(O1282), "", VLOOKUP(C1282&amp;" "&amp;D1282, 'Info Tipo de Cambio y REM'!$A$24:$B$35, 2, FALSE))</f>
        <v/>
      </c>
      <c r="R1282" s="107" t="str">
        <f t="shared" si="32"/>
        <v/>
      </c>
    </row>
    <row r="1283" hidden="1">
      <c r="A1283" s="443"/>
      <c r="B1283" s="43" t="str">
        <f>IF(A1283="", "", IFERROR(VLOOKUP(A1283, Clasificaciones!A:B, 2, FALSE), "DATO NO CARGADO"))
</f>
        <v/>
      </c>
      <c r="C1283" s="51"/>
      <c r="D1283" s="102"/>
      <c r="E1283" s="102"/>
      <c r="H1283" s="102"/>
      <c r="J1283" s="102"/>
      <c r="K1283" s="450"/>
      <c r="L1283" s="443"/>
      <c r="M1283" s="450"/>
      <c r="N1283" s="452">
        <f t="array" ref="N1283">IFERROR(
  INDEX(
    'Valor Hora Real y Estimada'!$A$4:$Z$78,
    MATCH(TRIM(CLEAN(A1283)), 'Valor Hora Real y Estimada'!$A$4:$A$78, 0),
    MATCH(
      TEXT(C1283,"dd mmm")&amp;" "&amp;D1283,
      'Valor Hora Real y Estimada'!$A$3:$Z$3,
      0
    ) + 1
  ),
  0
)</f>
        <v>0</v>
      </c>
      <c r="O1283" s="453"/>
      <c r="P1283" s="113"/>
      <c r="Q1283" s="106" t="str">
        <f>IF(ISBLANK(O1283), "", VLOOKUP(C1283&amp;" "&amp;D1283, 'Info Tipo de Cambio y REM'!$A$24:$B$35, 2, FALSE))</f>
        <v/>
      </c>
      <c r="R1283" s="107" t="str">
        <f t="shared" si="32"/>
        <v/>
      </c>
    </row>
    <row r="1284" hidden="1">
      <c r="A1284" s="443"/>
      <c r="B1284" s="43" t="str">
        <f>IF(A1284="", "", IFERROR(VLOOKUP(A1284, Clasificaciones!A:B, 2, FALSE), "DATO NO CARGADO"))
</f>
        <v/>
      </c>
      <c r="C1284" s="51"/>
      <c r="D1284" s="102"/>
      <c r="E1284" s="102"/>
      <c r="H1284" s="102"/>
      <c r="J1284" s="102"/>
      <c r="K1284" s="450"/>
      <c r="L1284" s="443"/>
      <c r="M1284" s="450"/>
      <c r="N1284" s="452">
        <f t="array" ref="N1284">IFERROR(
  INDEX(
    'Valor Hora Real y Estimada'!$A$4:$Z$78,
    MATCH(TRIM(CLEAN(A1284)), 'Valor Hora Real y Estimada'!$A$4:$A$78, 0),
    MATCH(
      TEXT(C1284,"dd mmm")&amp;" "&amp;D1284,
      'Valor Hora Real y Estimada'!$A$3:$Z$3,
      0
    ) + 1
  ),
  0
)</f>
        <v>0</v>
      </c>
      <c r="O1284" s="453"/>
      <c r="P1284" s="113"/>
      <c r="Q1284" s="106" t="str">
        <f>IF(ISBLANK(O1284), "", VLOOKUP(C1284&amp;" "&amp;D1284, 'Info Tipo de Cambio y REM'!$A$24:$B$35, 2, FALSE))</f>
        <v/>
      </c>
      <c r="R1284" s="107" t="str">
        <f t="shared" si="32"/>
        <v/>
      </c>
    </row>
    <row r="1285" hidden="1">
      <c r="A1285" s="443"/>
      <c r="B1285" s="43" t="str">
        <f>IF(A1285="", "", IFERROR(VLOOKUP(A1285, Clasificaciones!A:B, 2, FALSE), "DATO NO CARGADO"))
</f>
        <v/>
      </c>
      <c r="C1285" s="51"/>
      <c r="D1285" s="102"/>
      <c r="E1285" s="102"/>
      <c r="H1285" s="102"/>
      <c r="J1285" s="102"/>
      <c r="K1285" s="450"/>
      <c r="L1285" s="443"/>
      <c r="M1285" s="450"/>
      <c r="N1285" s="452">
        <f t="array" ref="N1285">IFERROR(
  INDEX(
    'Valor Hora Real y Estimada'!$A$4:$Z$78,
    MATCH(TRIM(CLEAN(A1285)), 'Valor Hora Real y Estimada'!$A$4:$A$78, 0),
    MATCH(
      TEXT(C1285,"dd mmm")&amp;" "&amp;D1285,
      'Valor Hora Real y Estimada'!$A$3:$Z$3,
      0
    ) + 1
  ),
  0
)</f>
        <v>0</v>
      </c>
      <c r="O1285" s="453"/>
      <c r="P1285" s="113"/>
      <c r="Q1285" s="106" t="str">
        <f>IF(ISBLANK(O1285), "", VLOOKUP(C1285&amp;" "&amp;D1285, 'Info Tipo de Cambio y REM'!$A$24:$B$35, 2, FALSE))</f>
        <v/>
      </c>
      <c r="R1285" s="107" t="str">
        <f t="shared" si="32"/>
        <v/>
      </c>
    </row>
    <row r="1286" hidden="1">
      <c r="A1286" s="443"/>
      <c r="B1286" s="43" t="str">
        <f>IF(A1286="", "", IFERROR(VLOOKUP(A1286, Clasificaciones!A:B, 2, FALSE), "DATO NO CARGADO"))
</f>
        <v/>
      </c>
      <c r="C1286" s="51"/>
      <c r="D1286" s="102"/>
      <c r="E1286" s="102"/>
      <c r="H1286" s="102"/>
      <c r="J1286" s="102"/>
      <c r="K1286" s="450"/>
      <c r="L1286" s="443"/>
      <c r="M1286" s="450"/>
      <c r="N1286" s="452">
        <f t="array" ref="N1286">IFERROR(
  INDEX(
    'Valor Hora Real y Estimada'!$A$4:$Z$78,
    MATCH(TRIM(CLEAN(A1286)), 'Valor Hora Real y Estimada'!$A$4:$A$78, 0),
    MATCH(
      TEXT(C1286,"dd mmm")&amp;" "&amp;D1286,
      'Valor Hora Real y Estimada'!$A$3:$Z$3,
      0
    ) + 1
  ),
  0
)</f>
        <v>0</v>
      </c>
      <c r="O1286" s="453"/>
      <c r="P1286" s="113"/>
      <c r="Q1286" s="106" t="str">
        <f>IF(ISBLANK(O1286), "", VLOOKUP(C1286&amp;" "&amp;D1286, 'Info Tipo de Cambio y REM'!$A$24:$B$35, 2, FALSE))</f>
        <v/>
      </c>
      <c r="R1286" s="107" t="str">
        <f t="shared" si="32"/>
        <v/>
      </c>
    </row>
    <row r="1287" hidden="1">
      <c r="A1287" s="443"/>
      <c r="B1287" s="43" t="str">
        <f>IF(A1287="", "", IFERROR(VLOOKUP(A1287, Clasificaciones!A:B, 2, FALSE), "DATO NO CARGADO"))
</f>
        <v/>
      </c>
      <c r="C1287" s="51"/>
      <c r="D1287" s="102"/>
      <c r="E1287" s="102"/>
      <c r="H1287" s="102"/>
      <c r="J1287" s="102"/>
      <c r="K1287" s="450"/>
      <c r="L1287" s="443"/>
      <c r="M1287" s="450"/>
      <c r="N1287" s="452">
        <f t="array" ref="N1287">IFERROR(
  INDEX(
    'Valor Hora Real y Estimada'!$A$4:$Z$78,
    MATCH(TRIM(CLEAN(A1287)), 'Valor Hora Real y Estimada'!$A$4:$A$78, 0),
    MATCH(
      TEXT(C1287,"dd mmm")&amp;" "&amp;D1287,
      'Valor Hora Real y Estimada'!$A$3:$Z$3,
      0
    ) + 1
  ),
  0
)</f>
        <v>0</v>
      </c>
      <c r="O1287" s="453"/>
      <c r="P1287" s="113"/>
      <c r="Q1287" s="106" t="str">
        <f>IF(ISBLANK(O1287), "", VLOOKUP(C1287&amp;" "&amp;D1287, 'Info Tipo de Cambio y REM'!$A$24:$B$35, 2, FALSE))</f>
        <v/>
      </c>
      <c r="R1287" s="107" t="str">
        <f t="shared" si="32"/>
        <v/>
      </c>
    </row>
    <row r="1288" hidden="1">
      <c r="A1288" s="443"/>
      <c r="B1288" s="43" t="str">
        <f>IF(A1288="", "", IFERROR(VLOOKUP(A1288, Clasificaciones!A:B, 2, FALSE), "DATO NO CARGADO"))
</f>
        <v/>
      </c>
      <c r="C1288" s="51"/>
      <c r="D1288" s="102"/>
      <c r="E1288" s="102"/>
      <c r="H1288" s="102"/>
      <c r="J1288" s="102"/>
      <c r="K1288" s="450"/>
      <c r="L1288" s="443"/>
      <c r="M1288" s="450"/>
      <c r="N1288" s="452">
        <f t="array" ref="N1288">IFERROR(
  INDEX(
    'Valor Hora Real y Estimada'!$A$4:$Z$78,
    MATCH(TRIM(CLEAN(A1288)), 'Valor Hora Real y Estimada'!$A$4:$A$78, 0),
    MATCH(
      TEXT(C1288,"dd mmm")&amp;" "&amp;D1288,
      'Valor Hora Real y Estimada'!$A$3:$Z$3,
      0
    ) + 1
  ),
  0
)</f>
        <v>0</v>
      </c>
      <c r="O1288" s="453"/>
      <c r="P1288" s="113"/>
      <c r="Q1288" s="106" t="str">
        <f>IF(ISBLANK(O1288), "", VLOOKUP(C1288&amp;" "&amp;D1288, 'Info Tipo de Cambio y REM'!$A$24:$B$35, 2, FALSE))</f>
        <v/>
      </c>
      <c r="R1288" s="107" t="str">
        <f t="shared" si="32"/>
        <v/>
      </c>
    </row>
    <row r="1289" hidden="1">
      <c r="A1289" s="443"/>
      <c r="B1289" s="43" t="str">
        <f>IF(A1289="", "", IFERROR(VLOOKUP(A1289, Clasificaciones!A:B, 2, FALSE), "DATO NO CARGADO"))
</f>
        <v/>
      </c>
      <c r="C1289" s="51"/>
      <c r="D1289" s="102"/>
      <c r="E1289" s="102"/>
      <c r="H1289" s="102"/>
      <c r="J1289" s="102"/>
      <c r="K1289" s="450"/>
      <c r="L1289" s="443"/>
      <c r="M1289" s="450"/>
      <c r="N1289" s="452">
        <f t="array" ref="N1289">IFERROR(
  INDEX(
    'Valor Hora Real y Estimada'!$A$4:$Z$78,
    MATCH(TRIM(CLEAN(A1289)), 'Valor Hora Real y Estimada'!$A$4:$A$78, 0),
    MATCH(
      TEXT(C1289,"dd mmm")&amp;" "&amp;D1289,
      'Valor Hora Real y Estimada'!$A$3:$Z$3,
      0
    ) + 1
  ),
  0
)</f>
        <v>0</v>
      </c>
      <c r="O1289" s="453"/>
      <c r="P1289" s="113"/>
      <c r="Q1289" s="106" t="str">
        <f>IF(ISBLANK(O1289), "", VLOOKUP(C1289&amp;" "&amp;D1289, 'Info Tipo de Cambio y REM'!$A$24:$B$35, 2, FALSE))</f>
        <v/>
      </c>
      <c r="R1289" s="107" t="str">
        <f t="shared" si="32"/>
        <v/>
      </c>
    </row>
    <row r="1290" hidden="1">
      <c r="A1290" s="443"/>
      <c r="B1290" s="43" t="str">
        <f>IF(A1290="", "", IFERROR(VLOOKUP(A1290, Clasificaciones!A:B, 2, FALSE), "DATO NO CARGADO"))
</f>
        <v/>
      </c>
      <c r="C1290" s="51"/>
      <c r="D1290" s="102"/>
      <c r="E1290" s="102"/>
      <c r="H1290" s="102"/>
      <c r="J1290" s="102"/>
      <c r="K1290" s="450"/>
      <c r="L1290" s="443"/>
      <c r="M1290" s="450"/>
      <c r="N1290" s="452">
        <f t="array" ref="N1290">IFERROR(
  INDEX(
    'Valor Hora Real y Estimada'!$A$4:$Z$78,
    MATCH(TRIM(CLEAN(A1290)), 'Valor Hora Real y Estimada'!$A$4:$A$78, 0),
    MATCH(
      TEXT(C1290,"dd mmm")&amp;" "&amp;D1290,
      'Valor Hora Real y Estimada'!$A$3:$Z$3,
      0
    ) + 1
  ),
  0
)</f>
        <v>0</v>
      </c>
      <c r="O1290" s="453"/>
      <c r="P1290" s="113"/>
      <c r="Q1290" s="106" t="str">
        <f>IF(ISBLANK(O1290), "", VLOOKUP(C1290&amp;" "&amp;D1290, 'Info Tipo de Cambio y REM'!$A$24:$B$35, 2, FALSE))</f>
        <v/>
      </c>
      <c r="R1290" s="107" t="str">
        <f t="shared" si="32"/>
        <v/>
      </c>
    </row>
    <row r="1291" hidden="1">
      <c r="A1291" s="443"/>
      <c r="B1291" s="43" t="str">
        <f>IF(A1291="", "", IFERROR(VLOOKUP(A1291, Clasificaciones!A:B, 2, FALSE), "DATO NO CARGADO"))
</f>
        <v/>
      </c>
      <c r="C1291" s="51"/>
      <c r="D1291" s="102"/>
      <c r="E1291" s="102"/>
      <c r="H1291" s="102"/>
      <c r="J1291" s="102"/>
      <c r="K1291" s="450"/>
      <c r="L1291" s="443"/>
      <c r="M1291" s="450"/>
      <c r="N1291" s="452">
        <f t="array" ref="N1291">IFERROR(
  INDEX(
    'Valor Hora Real y Estimada'!$A$4:$Z$78,
    MATCH(TRIM(CLEAN(A1291)), 'Valor Hora Real y Estimada'!$A$4:$A$78, 0),
    MATCH(
      TEXT(C1291,"dd mmm")&amp;" "&amp;D1291,
      'Valor Hora Real y Estimada'!$A$3:$Z$3,
      0
    ) + 1
  ),
  0
)</f>
        <v>0</v>
      </c>
      <c r="O1291" s="453"/>
      <c r="P1291" s="113"/>
      <c r="Q1291" s="106" t="str">
        <f>IF(ISBLANK(O1291), "", VLOOKUP(C1291&amp;" "&amp;D1291, 'Info Tipo de Cambio y REM'!$A$24:$B$35, 2, FALSE))</f>
        <v/>
      </c>
      <c r="R1291" s="107" t="str">
        <f t="shared" si="32"/>
        <v/>
      </c>
    </row>
    <row r="1292" hidden="1">
      <c r="A1292" s="443"/>
      <c r="B1292" s="43" t="str">
        <f>IF(A1292="", "", IFERROR(VLOOKUP(A1292, Clasificaciones!A:B, 2, FALSE), "DATO NO CARGADO"))
</f>
        <v/>
      </c>
      <c r="C1292" s="51"/>
      <c r="D1292" s="102"/>
      <c r="E1292" s="102"/>
      <c r="H1292" s="102"/>
      <c r="J1292" s="102"/>
      <c r="K1292" s="450"/>
      <c r="L1292" s="443"/>
      <c r="M1292" s="450"/>
      <c r="N1292" s="452">
        <f t="array" ref="N1292">IFERROR(
  INDEX(
    'Valor Hora Real y Estimada'!$A$4:$Z$78,
    MATCH(TRIM(CLEAN(A1292)), 'Valor Hora Real y Estimada'!$A$4:$A$78, 0),
    MATCH(
      TEXT(C1292,"dd mmm")&amp;" "&amp;D1292,
      'Valor Hora Real y Estimada'!$A$3:$Z$3,
      0
    ) + 1
  ),
  0
)</f>
        <v>0</v>
      </c>
      <c r="O1292" s="453"/>
      <c r="P1292" s="113"/>
      <c r="Q1292" s="106" t="str">
        <f>IF(ISBLANK(O1292), "", VLOOKUP(C1292&amp;" "&amp;D1292, 'Info Tipo de Cambio y REM'!$A$24:$B$35, 2, FALSE))</f>
        <v/>
      </c>
      <c r="R1292" s="107" t="str">
        <f t="shared" si="32"/>
        <v/>
      </c>
    </row>
    <row r="1293" hidden="1">
      <c r="A1293" s="443"/>
      <c r="B1293" s="43" t="str">
        <f>IF(A1293="", "", IFERROR(VLOOKUP(A1293, Clasificaciones!A:B, 2, FALSE), "DATO NO CARGADO"))
</f>
        <v/>
      </c>
      <c r="C1293" s="51"/>
      <c r="D1293" s="102"/>
      <c r="E1293" s="102"/>
      <c r="H1293" s="102"/>
      <c r="J1293" s="102"/>
      <c r="K1293" s="450"/>
      <c r="L1293" s="443"/>
      <c r="M1293" s="450"/>
      <c r="N1293" s="452">
        <f t="array" ref="N1293">IFERROR(
  INDEX(
    'Valor Hora Real y Estimada'!$A$4:$Z$78,
    MATCH(TRIM(CLEAN(A1293)), 'Valor Hora Real y Estimada'!$A$4:$A$78, 0),
    MATCH(
      TEXT(C1293,"dd mmm")&amp;" "&amp;D1293,
      'Valor Hora Real y Estimada'!$A$3:$Z$3,
      0
    ) + 1
  ),
  0
)</f>
        <v>0</v>
      </c>
      <c r="O1293" s="453"/>
      <c r="P1293" s="113"/>
      <c r="Q1293" s="106" t="str">
        <f>IF(ISBLANK(O1293), "", VLOOKUP(C1293&amp;" "&amp;D1293, 'Info Tipo de Cambio y REM'!$A$24:$B$35, 2, FALSE))</f>
        <v/>
      </c>
      <c r="R1293" s="107" t="str">
        <f t="shared" si="32"/>
        <v/>
      </c>
    </row>
    <row r="1294" hidden="1">
      <c r="A1294" s="443"/>
      <c r="B1294" s="43" t="str">
        <f>IF(A1294="", "", IFERROR(VLOOKUP(A1294, Clasificaciones!A:B, 2, FALSE), "DATO NO CARGADO"))
</f>
        <v/>
      </c>
      <c r="C1294" s="51"/>
      <c r="D1294" s="102"/>
      <c r="E1294" s="102"/>
      <c r="H1294" s="102"/>
      <c r="J1294" s="102"/>
      <c r="K1294" s="450"/>
      <c r="L1294" s="443"/>
      <c r="M1294" s="450"/>
      <c r="N1294" s="452">
        <f t="array" ref="N1294">IFERROR(
  INDEX(
    'Valor Hora Real y Estimada'!$A$4:$Z$78,
    MATCH(TRIM(CLEAN(A1294)), 'Valor Hora Real y Estimada'!$A$4:$A$78, 0),
    MATCH(
      TEXT(C1294,"dd mmm")&amp;" "&amp;D1294,
      'Valor Hora Real y Estimada'!$A$3:$Z$3,
      0
    ) + 1
  ),
  0
)</f>
        <v>0</v>
      </c>
      <c r="O1294" s="453"/>
      <c r="P1294" s="113"/>
      <c r="Q1294" s="106" t="str">
        <f>IF(ISBLANK(O1294), "", VLOOKUP(C1294&amp;" "&amp;D1294, 'Info Tipo de Cambio y REM'!$A$24:$B$35, 2, FALSE))</f>
        <v/>
      </c>
      <c r="R1294" s="107" t="str">
        <f t="shared" si="32"/>
        <v/>
      </c>
    </row>
    <row r="1295" hidden="1">
      <c r="A1295" s="443"/>
      <c r="B1295" s="43" t="str">
        <f>IF(A1295="", "", IFERROR(VLOOKUP(A1295, Clasificaciones!A:B, 2, FALSE), "DATO NO CARGADO"))
</f>
        <v/>
      </c>
      <c r="C1295" s="51"/>
      <c r="D1295" s="102"/>
      <c r="E1295" s="102"/>
      <c r="H1295" s="102"/>
      <c r="J1295" s="102"/>
      <c r="K1295" s="450"/>
      <c r="L1295" s="443"/>
      <c r="M1295" s="450"/>
      <c r="N1295" s="452">
        <f t="array" ref="N1295">IFERROR(
  INDEX(
    'Valor Hora Real y Estimada'!$A$4:$Z$78,
    MATCH(TRIM(CLEAN(A1295)), 'Valor Hora Real y Estimada'!$A$4:$A$78, 0),
    MATCH(
      TEXT(C1295,"dd mmm")&amp;" "&amp;D1295,
      'Valor Hora Real y Estimada'!$A$3:$Z$3,
      0
    ) + 1
  ),
  0
)</f>
        <v>0</v>
      </c>
      <c r="O1295" s="453"/>
      <c r="P1295" s="113"/>
      <c r="Q1295" s="106" t="str">
        <f>IF(ISBLANK(O1295), "", VLOOKUP(C1295&amp;" "&amp;D1295, 'Info Tipo de Cambio y REM'!$A$24:$B$35, 2, FALSE))</f>
        <v/>
      </c>
      <c r="R1295" s="107" t="str">
        <f t="shared" si="32"/>
        <v/>
      </c>
    </row>
    <row r="1296" hidden="1">
      <c r="A1296" s="443"/>
      <c r="B1296" s="43" t="str">
        <f>IF(A1296="", "", IFERROR(VLOOKUP(A1296, Clasificaciones!A:B, 2, FALSE), "DATO NO CARGADO"))
</f>
        <v/>
      </c>
      <c r="C1296" s="51"/>
      <c r="D1296" s="102"/>
      <c r="E1296" s="102"/>
      <c r="H1296" s="102"/>
      <c r="J1296" s="102"/>
      <c r="K1296" s="450"/>
      <c r="L1296" s="443"/>
      <c r="M1296" s="450"/>
      <c r="N1296" s="452">
        <f t="array" ref="N1296">IFERROR(
  INDEX(
    'Valor Hora Real y Estimada'!$A$4:$Z$78,
    MATCH(TRIM(CLEAN(A1296)), 'Valor Hora Real y Estimada'!$A$4:$A$78, 0),
    MATCH(
      TEXT(C1296,"dd mmm")&amp;" "&amp;D1296,
      'Valor Hora Real y Estimada'!$A$3:$Z$3,
      0
    ) + 1
  ),
  0
)</f>
        <v>0</v>
      </c>
      <c r="O1296" s="453"/>
      <c r="P1296" s="113"/>
      <c r="Q1296" s="106" t="str">
        <f>IF(ISBLANK(O1296), "", VLOOKUP(C1296&amp;" "&amp;D1296, 'Info Tipo de Cambio y REM'!$A$24:$B$35, 2, FALSE))</f>
        <v/>
      </c>
      <c r="R1296" s="107" t="str">
        <f t="shared" si="32"/>
        <v/>
      </c>
    </row>
    <row r="1297" hidden="1">
      <c r="A1297" s="443"/>
      <c r="B1297" s="43" t="str">
        <f>IF(A1297="", "", IFERROR(VLOOKUP(A1297, Clasificaciones!A:B, 2, FALSE), "DATO NO CARGADO"))
</f>
        <v/>
      </c>
      <c r="C1297" s="51"/>
      <c r="D1297" s="102"/>
      <c r="E1297" s="102"/>
      <c r="H1297" s="102"/>
      <c r="J1297" s="102"/>
      <c r="K1297" s="450"/>
      <c r="L1297" s="443"/>
      <c r="M1297" s="450"/>
      <c r="N1297" s="452">
        <f t="array" ref="N1297">IFERROR(
  INDEX(
    'Valor Hora Real y Estimada'!$A$4:$Z$78,
    MATCH(TRIM(CLEAN(A1297)), 'Valor Hora Real y Estimada'!$A$4:$A$78, 0),
    MATCH(
      TEXT(C1297,"dd mmm")&amp;" "&amp;D1297,
      'Valor Hora Real y Estimada'!$A$3:$Z$3,
      0
    ) + 1
  ),
  0
)</f>
        <v>0</v>
      </c>
      <c r="O1297" s="453"/>
      <c r="P1297" s="113"/>
      <c r="Q1297" s="106" t="str">
        <f>IF(ISBLANK(O1297), "", VLOOKUP(C1297&amp;" "&amp;D1297, 'Info Tipo de Cambio y REM'!$A$24:$B$35, 2, FALSE))</f>
        <v/>
      </c>
      <c r="R1297" s="107" t="str">
        <f t="shared" si="32"/>
        <v/>
      </c>
    </row>
    <row r="1298" hidden="1">
      <c r="A1298" s="443"/>
      <c r="B1298" s="43" t="str">
        <f>IF(A1298="", "", IFERROR(VLOOKUP(A1298, Clasificaciones!A:B, 2, FALSE), "DATO NO CARGADO"))
</f>
        <v/>
      </c>
      <c r="C1298" s="51"/>
      <c r="D1298" s="102"/>
      <c r="E1298" s="102"/>
      <c r="H1298" s="102"/>
      <c r="J1298" s="102"/>
      <c r="K1298" s="450"/>
      <c r="L1298" s="443"/>
      <c r="M1298" s="450"/>
      <c r="N1298" s="452">
        <f t="array" ref="N1298">IFERROR(
  INDEX(
    'Valor Hora Real y Estimada'!$A$4:$Z$78,
    MATCH(TRIM(CLEAN(A1298)), 'Valor Hora Real y Estimada'!$A$4:$A$78, 0),
    MATCH(
      TEXT(C1298,"dd mmm")&amp;" "&amp;D1298,
      'Valor Hora Real y Estimada'!$A$3:$Z$3,
      0
    ) + 1
  ),
  0
)</f>
        <v>0</v>
      </c>
      <c r="O1298" s="453"/>
      <c r="P1298" s="113"/>
      <c r="Q1298" s="106" t="str">
        <f>IF(ISBLANK(O1298), "", VLOOKUP(C1298&amp;" "&amp;D1298, 'Info Tipo de Cambio y REM'!$A$24:$B$35, 2, FALSE))</f>
        <v/>
      </c>
      <c r="R1298" s="107" t="str">
        <f t="shared" si="32"/>
        <v/>
      </c>
    </row>
    <row r="1299" hidden="1">
      <c r="A1299" s="443"/>
      <c r="B1299" s="43" t="str">
        <f>IF(A1299="", "", IFERROR(VLOOKUP(A1299, Clasificaciones!A:B, 2, FALSE), "DATO NO CARGADO"))
</f>
        <v/>
      </c>
      <c r="C1299" s="51"/>
      <c r="D1299" s="102"/>
      <c r="E1299" s="102"/>
      <c r="H1299" s="102"/>
      <c r="J1299" s="102"/>
      <c r="K1299" s="450"/>
      <c r="L1299" s="443"/>
      <c r="M1299" s="450"/>
      <c r="N1299" s="452">
        <f t="array" ref="N1299">IFERROR(
  INDEX(
    'Valor Hora Real y Estimada'!$A$4:$Z$78,
    MATCH(TRIM(CLEAN(A1299)), 'Valor Hora Real y Estimada'!$A$4:$A$78, 0),
    MATCH(
      TEXT(C1299,"dd mmm")&amp;" "&amp;D1299,
      'Valor Hora Real y Estimada'!$A$3:$Z$3,
      0
    ) + 1
  ),
  0
)</f>
        <v>0</v>
      </c>
      <c r="O1299" s="453"/>
      <c r="P1299" s="113"/>
      <c r="Q1299" s="106" t="str">
        <f>IF(ISBLANK(O1299), "", VLOOKUP(C1299&amp;" "&amp;D1299, 'Info Tipo de Cambio y REM'!$A$24:$B$35, 2, FALSE))</f>
        <v/>
      </c>
      <c r="R1299" s="107" t="str">
        <f t="shared" si="32"/>
        <v/>
      </c>
    </row>
    <row r="1300" hidden="1">
      <c r="A1300" s="443"/>
      <c r="B1300" s="43" t="str">
        <f>IF(A1300="", "", IFERROR(VLOOKUP(A1300, Clasificaciones!A:B, 2, FALSE), "DATO NO CARGADO"))
</f>
        <v/>
      </c>
      <c r="C1300" s="51"/>
      <c r="D1300" s="102"/>
      <c r="E1300" s="102"/>
      <c r="H1300" s="102"/>
      <c r="J1300" s="102"/>
      <c r="K1300" s="450"/>
      <c r="L1300" s="443"/>
      <c r="M1300" s="450"/>
      <c r="N1300" s="452">
        <f t="array" ref="N1300">IFERROR(
  INDEX(
    'Valor Hora Real y Estimada'!$A$4:$Z$78,
    MATCH(TRIM(CLEAN(A1300)), 'Valor Hora Real y Estimada'!$A$4:$A$78, 0),
    MATCH(
      TEXT(C1300,"dd mmm")&amp;" "&amp;D1300,
      'Valor Hora Real y Estimada'!$A$3:$Z$3,
      0
    ) + 1
  ),
  0
)</f>
        <v>0</v>
      </c>
      <c r="O1300" s="453"/>
      <c r="P1300" s="113"/>
      <c r="Q1300" s="106" t="str">
        <f>IF(ISBLANK(O1300), "", VLOOKUP(C1300&amp;" "&amp;D1300, 'Info Tipo de Cambio y REM'!$A$24:$B$35, 2, FALSE))</f>
        <v/>
      </c>
      <c r="R1300" s="107" t="str">
        <f t="shared" si="32"/>
        <v/>
      </c>
    </row>
    <row r="1301" hidden="1">
      <c r="A1301" s="443"/>
      <c r="B1301" s="43" t="str">
        <f>IF(A1301="", "", IFERROR(VLOOKUP(A1301, Clasificaciones!A:B, 2, FALSE), "DATO NO CARGADO"))
</f>
        <v/>
      </c>
      <c r="C1301" s="51"/>
      <c r="D1301" s="102"/>
      <c r="E1301" s="102"/>
      <c r="H1301" s="102"/>
      <c r="J1301" s="102"/>
      <c r="K1301" s="450"/>
      <c r="L1301" s="443"/>
      <c r="M1301" s="450"/>
      <c r="N1301" s="452">
        <f t="array" ref="N1301">IFERROR(
  INDEX(
    'Valor Hora Real y Estimada'!$A$4:$Z$78,
    MATCH(TRIM(CLEAN(A1301)), 'Valor Hora Real y Estimada'!$A$4:$A$78, 0),
    MATCH(
      TEXT(C1301,"dd mmm")&amp;" "&amp;D1301,
      'Valor Hora Real y Estimada'!$A$3:$Z$3,
      0
    ) + 1
  ),
  0
)</f>
        <v>0</v>
      </c>
      <c r="O1301" s="453"/>
      <c r="P1301" s="113"/>
      <c r="Q1301" s="106" t="str">
        <f>IF(ISBLANK(O1301), "", VLOOKUP(C1301&amp;" "&amp;D1301, 'Info Tipo de Cambio y REM'!$A$24:$B$35, 2, FALSE))</f>
        <v/>
      </c>
      <c r="R1301" s="107" t="str">
        <f t="shared" si="32"/>
        <v/>
      </c>
    </row>
    <row r="1302" hidden="1">
      <c r="A1302" s="443"/>
      <c r="B1302" s="43" t="str">
        <f>IF(A1302="", "", IFERROR(VLOOKUP(A1302, Clasificaciones!A:B, 2, FALSE), "DATO NO CARGADO"))
</f>
        <v/>
      </c>
      <c r="C1302" s="51"/>
      <c r="D1302" s="102"/>
      <c r="E1302" s="102"/>
      <c r="H1302" s="102"/>
      <c r="J1302" s="102"/>
      <c r="K1302" s="450"/>
      <c r="L1302" s="443"/>
      <c r="M1302" s="450"/>
      <c r="N1302" s="452">
        <f t="array" ref="N1302">IFERROR(
  INDEX(
    'Valor Hora Real y Estimada'!$A$4:$Z$78,
    MATCH(TRIM(CLEAN(A1302)), 'Valor Hora Real y Estimada'!$A$4:$A$78, 0),
    MATCH(
      TEXT(C1302,"dd mmm")&amp;" "&amp;D1302,
      'Valor Hora Real y Estimada'!$A$3:$Z$3,
      0
    ) + 1
  ),
  0
)</f>
        <v>0</v>
      </c>
      <c r="O1302" s="453"/>
      <c r="P1302" s="113"/>
      <c r="Q1302" s="106" t="str">
        <f>IF(ISBLANK(O1302), "", VLOOKUP(C1302&amp;" "&amp;D1302, 'Info Tipo de Cambio y REM'!$A$24:$B$35, 2, FALSE))</f>
        <v/>
      </c>
      <c r="R1302" s="107" t="str">
        <f t="shared" si="32"/>
        <v/>
      </c>
    </row>
    <row r="1303" hidden="1">
      <c r="A1303" s="443"/>
      <c r="B1303" s="43" t="str">
        <f>IF(A1303="", "", IFERROR(VLOOKUP(A1303, Clasificaciones!A:B, 2, FALSE), "DATO NO CARGADO"))
</f>
        <v/>
      </c>
      <c r="C1303" s="51"/>
      <c r="D1303" s="102"/>
      <c r="E1303" s="102"/>
      <c r="H1303" s="102"/>
      <c r="J1303" s="102"/>
      <c r="K1303" s="450"/>
      <c r="L1303" s="443"/>
      <c r="M1303" s="450"/>
      <c r="N1303" s="452">
        <f t="array" ref="N1303">IFERROR(
  INDEX(
    'Valor Hora Real y Estimada'!$A$4:$Z$78,
    MATCH(TRIM(CLEAN(A1303)), 'Valor Hora Real y Estimada'!$A$4:$A$78, 0),
    MATCH(
      TEXT(C1303,"dd mmm")&amp;" "&amp;D1303,
      'Valor Hora Real y Estimada'!$A$3:$Z$3,
      0
    ) + 1
  ),
  0
)</f>
        <v>0</v>
      </c>
      <c r="O1303" s="453"/>
      <c r="P1303" s="113"/>
      <c r="Q1303" s="106" t="str">
        <f>IF(ISBLANK(O1303), "", VLOOKUP(C1303&amp;" "&amp;D1303, 'Info Tipo de Cambio y REM'!$A$24:$B$35, 2, FALSE))</f>
        <v/>
      </c>
      <c r="R1303" s="107" t="str">
        <f t="shared" si="32"/>
        <v/>
      </c>
    </row>
    <row r="1304" hidden="1">
      <c r="A1304" s="443"/>
      <c r="B1304" s="43" t="str">
        <f>IF(A1304="", "", IFERROR(VLOOKUP(A1304, Clasificaciones!A:B, 2, FALSE), "DATO NO CARGADO"))
</f>
        <v/>
      </c>
      <c r="C1304" s="51"/>
      <c r="D1304" s="102"/>
      <c r="E1304" s="102"/>
      <c r="H1304" s="102"/>
      <c r="J1304" s="102"/>
      <c r="K1304" s="450"/>
      <c r="L1304" s="443"/>
      <c r="M1304" s="450"/>
      <c r="N1304" s="452">
        <f t="array" ref="N1304">IFERROR(
  INDEX(
    'Valor Hora Real y Estimada'!$A$4:$Z$78,
    MATCH(TRIM(CLEAN(A1304)), 'Valor Hora Real y Estimada'!$A$4:$A$78, 0),
    MATCH(
      TEXT(C1304,"dd mmm")&amp;" "&amp;D1304,
      'Valor Hora Real y Estimada'!$A$3:$Z$3,
      0
    ) + 1
  ),
  0
)</f>
        <v>0</v>
      </c>
      <c r="O1304" s="453"/>
      <c r="P1304" s="113"/>
      <c r="Q1304" s="106" t="str">
        <f>IF(ISBLANK(O1304), "", VLOOKUP(C1304&amp;" "&amp;D1304, 'Info Tipo de Cambio y REM'!$A$24:$B$35, 2, FALSE))</f>
        <v/>
      </c>
      <c r="R1304" s="107" t="str">
        <f t="shared" si="32"/>
        <v/>
      </c>
    </row>
    <row r="1305" hidden="1">
      <c r="A1305" s="443"/>
      <c r="B1305" s="43" t="str">
        <f>IF(A1305="", "", IFERROR(VLOOKUP(A1305, Clasificaciones!A:B, 2, FALSE), "DATO NO CARGADO"))
</f>
        <v/>
      </c>
      <c r="C1305" s="51"/>
      <c r="D1305" s="102"/>
      <c r="E1305" s="102"/>
      <c r="H1305" s="102"/>
      <c r="J1305" s="102"/>
      <c r="K1305" s="450"/>
      <c r="L1305" s="443"/>
      <c r="M1305" s="450"/>
      <c r="N1305" s="452">
        <f t="array" ref="N1305">IFERROR(
  INDEX(
    'Valor Hora Real y Estimada'!$A$4:$Z$78,
    MATCH(TRIM(CLEAN(A1305)), 'Valor Hora Real y Estimada'!$A$4:$A$78, 0),
    MATCH(
      TEXT(C1305,"dd mmm")&amp;" "&amp;D1305,
      'Valor Hora Real y Estimada'!$A$3:$Z$3,
      0
    ) + 1
  ),
  0
)</f>
        <v>0</v>
      </c>
      <c r="O1305" s="453"/>
      <c r="P1305" s="113"/>
      <c r="Q1305" s="106" t="str">
        <f>IF(ISBLANK(O1305), "", VLOOKUP(C1305&amp;" "&amp;D1305, 'Info Tipo de Cambio y REM'!$A$24:$B$35, 2, FALSE))</f>
        <v/>
      </c>
      <c r="R1305" s="107" t="str">
        <f t="shared" si="32"/>
        <v/>
      </c>
    </row>
    <row r="1306" hidden="1">
      <c r="A1306" s="443"/>
      <c r="B1306" s="43" t="str">
        <f>IF(A1306="", "", IFERROR(VLOOKUP(A1306, Clasificaciones!A:B, 2, FALSE), "DATO NO CARGADO"))
</f>
        <v/>
      </c>
      <c r="C1306" s="51"/>
      <c r="D1306" s="102"/>
      <c r="E1306" s="102"/>
      <c r="H1306" s="102"/>
      <c r="J1306" s="102"/>
      <c r="K1306" s="450"/>
      <c r="L1306" s="443"/>
      <c r="M1306" s="450"/>
      <c r="N1306" s="452">
        <f t="array" ref="N1306">IFERROR(
  INDEX(
    'Valor Hora Real y Estimada'!$A$4:$Z$78,
    MATCH(TRIM(CLEAN(A1306)), 'Valor Hora Real y Estimada'!$A$4:$A$78, 0),
    MATCH(
      TEXT(C1306,"dd mmm")&amp;" "&amp;D1306,
      'Valor Hora Real y Estimada'!$A$3:$Z$3,
      0
    ) + 1
  ),
  0
)</f>
        <v>0</v>
      </c>
      <c r="O1306" s="453"/>
      <c r="P1306" s="113"/>
      <c r="Q1306" s="106" t="str">
        <f>IF(ISBLANK(O1306), "", VLOOKUP(C1306&amp;" "&amp;D1306, 'Info Tipo de Cambio y REM'!$A$24:$B$35, 2, FALSE))</f>
        <v/>
      </c>
      <c r="R1306" s="107" t="str">
        <f t="shared" si="32"/>
        <v/>
      </c>
    </row>
    <row r="1307" hidden="1">
      <c r="A1307" s="443"/>
      <c r="B1307" s="43" t="str">
        <f>IF(A1307="", "", IFERROR(VLOOKUP(A1307, Clasificaciones!A:B, 2, FALSE), "DATO NO CARGADO"))
</f>
        <v/>
      </c>
      <c r="C1307" s="51"/>
      <c r="D1307" s="102"/>
      <c r="E1307" s="102"/>
      <c r="H1307" s="102"/>
      <c r="J1307" s="102"/>
      <c r="K1307" s="450"/>
      <c r="L1307" s="443"/>
      <c r="M1307" s="450"/>
      <c r="N1307" s="452">
        <f t="array" ref="N1307">IFERROR(
  INDEX(
    'Valor Hora Real y Estimada'!$A$4:$Z$78,
    MATCH(TRIM(CLEAN(A1307)), 'Valor Hora Real y Estimada'!$A$4:$A$78, 0),
    MATCH(
      TEXT(C1307,"dd mmm")&amp;" "&amp;D1307,
      'Valor Hora Real y Estimada'!$A$3:$Z$3,
      0
    ) + 1
  ),
  0
)</f>
        <v>0</v>
      </c>
      <c r="O1307" s="453"/>
      <c r="P1307" s="113"/>
      <c r="Q1307" s="106" t="str">
        <f>IF(ISBLANK(O1307), "", VLOOKUP(C1307&amp;" "&amp;D1307, 'Info Tipo de Cambio y REM'!$A$24:$B$35, 2, FALSE))</f>
        <v/>
      </c>
      <c r="R1307" s="107" t="str">
        <f t="shared" si="32"/>
        <v/>
      </c>
    </row>
    <row r="1308" hidden="1">
      <c r="A1308" s="443"/>
      <c r="B1308" s="43" t="str">
        <f>IF(A1308="", "", IFERROR(VLOOKUP(A1308, Clasificaciones!A:B, 2, FALSE), "DATO NO CARGADO"))
</f>
        <v/>
      </c>
      <c r="C1308" s="51"/>
      <c r="D1308" s="102"/>
      <c r="E1308" s="102"/>
      <c r="H1308" s="102"/>
      <c r="J1308" s="102"/>
      <c r="K1308" s="450"/>
      <c r="L1308" s="443"/>
      <c r="M1308" s="450"/>
      <c r="N1308" s="452">
        <f t="array" ref="N1308">IFERROR(
  INDEX(
    'Valor Hora Real y Estimada'!$A$4:$Z$78,
    MATCH(TRIM(CLEAN(A1308)), 'Valor Hora Real y Estimada'!$A$4:$A$78, 0),
    MATCH(
      TEXT(C1308,"dd mmm")&amp;" "&amp;D1308,
      'Valor Hora Real y Estimada'!$A$3:$Z$3,
      0
    ) + 1
  ),
  0
)</f>
        <v>0</v>
      </c>
      <c r="O1308" s="453"/>
      <c r="P1308" s="113"/>
      <c r="Q1308" s="106" t="str">
        <f>IF(ISBLANK(O1308), "", VLOOKUP(C1308&amp;" "&amp;D1308, 'Info Tipo de Cambio y REM'!$A$24:$B$35, 2, FALSE))</f>
        <v/>
      </c>
      <c r="R1308" s="107" t="str">
        <f t="shared" si="32"/>
        <v/>
      </c>
    </row>
    <row r="1309" hidden="1">
      <c r="A1309" s="443"/>
      <c r="B1309" s="43" t="str">
        <f>IF(A1309="", "", IFERROR(VLOOKUP(A1309, Clasificaciones!A:B, 2, FALSE), "DATO NO CARGADO"))
</f>
        <v/>
      </c>
      <c r="C1309" s="51"/>
      <c r="D1309" s="102"/>
      <c r="E1309" s="102"/>
      <c r="H1309" s="102"/>
      <c r="J1309" s="102"/>
      <c r="K1309" s="450"/>
      <c r="L1309" s="443"/>
      <c r="M1309" s="450"/>
      <c r="N1309" s="452">
        <f t="array" ref="N1309">IFERROR(
  INDEX(
    'Valor Hora Real y Estimada'!$A$4:$Z$78,
    MATCH(TRIM(CLEAN(A1309)), 'Valor Hora Real y Estimada'!$A$4:$A$78, 0),
    MATCH(
      TEXT(C1309,"dd mmm")&amp;" "&amp;D1309,
      'Valor Hora Real y Estimada'!$A$3:$Z$3,
      0
    ) + 1
  ),
  0
)</f>
        <v>0</v>
      </c>
      <c r="O1309" s="453"/>
      <c r="P1309" s="113"/>
      <c r="Q1309" s="106" t="str">
        <f>IF(ISBLANK(O1309), "", VLOOKUP(C1309&amp;" "&amp;D1309, 'Info Tipo de Cambio y REM'!$A$24:$B$35, 2, FALSE))</f>
        <v/>
      </c>
      <c r="R1309" s="107" t="str">
        <f t="shared" si="32"/>
        <v/>
      </c>
    </row>
    <row r="1310" hidden="1">
      <c r="A1310" s="443"/>
      <c r="B1310" s="43" t="str">
        <f>IF(A1310="", "", IFERROR(VLOOKUP(A1310, Clasificaciones!A:B, 2, FALSE), "DATO NO CARGADO"))
</f>
        <v/>
      </c>
      <c r="C1310" s="51"/>
      <c r="D1310" s="102"/>
      <c r="E1310" s="102"/>
      <c r="H1310" s="102"/>
      <c r="J1310" s="102"/>
      <c r="K1310" s="450"/>
      <c r="L1310" s="443"/>
      <c r="M1310" s="450"/>
      <c r="N1310" s="452">
        <f t="array" ref="N1310">IFERROR(
  INDEX(
    'Valor Hora Real y Estimada'!$A$4:$Z$78,
    MATCH(TRIM(CLEAN(A1310)), 'Valor Hora Real y Estimada'!$A$4:$A$78, 0),
    MATCH(
      TEXT(C1310,"dd mmm")&amp;" "&amp;D1310,
      'Valor Hora Real y Estimada'!$A$3:$Z$3,
      0
    ) + 1
  ),
  0
)</f>
        <v>0</v>
      </c>
      <c r="O1310" s="453"/>
      <c r="P1310" s="113"/>
      <c r="Q1310" s="106" t="str">
        <f>IF(ISBLANK(O1310), "", VLOOKUP(C1310&amp;" "&amp;D1310, 'Info Tipo de Cambio y REM'!$A$24:$B$35, 2, FALSE))</f>
        <v/>
      </c>
      <c r="R1310" s="107" t="str">
        <f t="shared" si="32"/>
        <v/>
      </c>
    </row>
    <row r="1311" hidden="1">
      <c r="A1311" s="443"/>
      <c r="B1311" s="43" t="str">
        <f>IF(A1311="", "", IFERROR(VLOOKUP(A1311, Clasificaciones!A:B, 2, FALSE), "DATO NO CARGADO"))
</f>
        <v/>
      </c>
      <c r="C1311" s="51"/>
      <c r="D1311" s="102"/>
      <c r="E1311" s="102"/>
      <c r="H1311" s="102"/>
      <c r="J1311" s="102"/>
      <c r="K1311" s="450"/>
      <c r="L1311" s="443"/>
      <c r="M1311" s="450"/>
      <c r="N1311" s="452">
        <f t="array" ref="N1311">IFERROR(
  INDEX(
    'Valor Hora Real y Estimada'!$A$4:$Z$78,
    MATCH(TRIM(CLEAN(A1311)), 'Valor Hora Real y Estimada'!$A$4:$A$78, 0),
    MATCH(
      TEXT(C1311,"dd mmm")&amp;" "&amp;D1311,
      'Valor Hora Real y Estimada'!$A$3:$Z$3,
      0
    ) + 1
  ),
  0
)</f>
        <v>0</v>
      </c>
      <c r="O1311" s="453"/>
      <c r="P1311" s="113"/>
      <c r="Q1311" s="106" t="str">
        <f>IF(ISBLANK(O1311), "", VLOOKUP(C1311&amp;" "&amp;D1311, 'Info Tipo de Cambio y REM'!$A$24:$B$35, 2, FALSE))</f>
        <v/>
      </c>
      <c r="R1311" s="107" t="str">
        <f t="shared" si="32"/>
        <v/>
      </c>
    </row>
    <row r="1312" hidden="1">
      <c r="A1312" s="443"/>
      <c r="B1312" s="43" t="str">
        <f>IF(A1312="", "", IFERROR(VLOOKUP(A1312, Clasificaciones!A:B, 2, FALSE), "DATO NO CARGADO"))
</f>
        <v/>
      </c>
      <c r="C1312" s="51"/>
      <c r="D1312" s="102"/>
      <c r="E1312" s="102"/>
      <c r="H1312" s="102"/>
      <c r="J1312" s="102"/>
      <c r="K1312" s="450"/>
      <c r="L1312" s="443"/>
      <c r="M1312" s="450"/>
      <c r="N1312" s="452">
        <f t="array" ref="N1312">IFERROR(
  INDEX(
    'Valor Hora Real y Estimada'!$A$4:$Z$78,
    MATCH(TRIM(CLEAN(A1312)), 'Valor Hora Real y Estimada'!$A$4:$A$78, 0),
    MATCH(
      TEXT(C1312,"dd mmm")&amp;" "&amp;D1312,
      'Valor Hora Real y Estimada'!$A$3:$Z$3,
      0
    ) + 1
  ),
  0
)</f>
        <v>0</v>
      </c>
      <c r="O1312" s="453"/>
      <c r="P1312" s="113"/>
      <c r="Q1312" s="106" t="str">
        <f>IF(ISBLANK(O1312), "", VLOOKUP(C1312&amp;" "&amp;D1312, 'Info Tipo de Cambio y REM'!$A$24:$B$35, 2, FALSE))</f>
        <v/>
      </c>
      <c r="R1312" s="107" t="str">
        <f t="shared" si="32"/>
        <v/>
      </c>
    </row>
    <row r="1313" hidden="1">
      <c r="A1313" s="443"/>
      <c r="B1313" s="43" t="str">
        <f>IF(A1313="", "", IFERROR(VLOOKUP(A1313, Clasificaciones!A:B, 2, FALSE), "DATO NO CARGADO"))
</f>
        <v/>
      </c>
      <c r="C1313" s="51"/>
      <c r="D1313" s="102"/>
      <c r="E1313" s="102"/>
      <c r="H1313" s="102"/>
      <c r="J1313" s="102"/>
      <c r="K1313" s="450"/>
      <c r="L1313" s="443"/>
      <c r="M1313" s="450"/>
      <c r="N1313" s="452">
        <f t="array" ref="N1313">IFERROR(
  INDEX(
    'Valor Hora Real y Estimada'!$A$4:$Z$78,
    MATCH(TRIM(CLEAN(A1313)), 'Valor Hora Real y Estimada'!$A$4:$A$78, 0),
    MATCH(
      TEXT(C1313,"dd mmm")&amp;" "&amp;D1313,
      'Valor Hora Real y Estimada'!$A$3:$Z$3,
      0
    ) + 1
  ),
  0
)</f>
        <v>0</v>
      </c>
      <c r="O1313" s="453"/>
      <c r="P1313" s="113"/>
      <c r="Q1313" s="106" t="str">
        <f>IF(ISBLANK(O1313), "", VLOOKUP(C1313&amp;" "&amp;D1313, 'Info Tipo de Cambio y REM'!$A$24:$B$35, 2, FALSE))</f>
        <v/>
      </c>
      <c r="R1313" s="107" t="str">
        <f t="shared" si="32"/>
        <v/>
      </c>
    </row>
    <row r="1314" hidden="1">
      <c r="A1314" s="443"/>
      <c r="B1314" s="43" t="str">
        <f>IF(A1314="", "", IFERROR(VLOOKUP(A1314, Clasificaciones!A:B, 2, FALSE), "DATO NO CARGADO"))
</f>
        <v/>
      </c>
      <c r="C1314" s="51"/>
      <c r="D1314" s="102"/>
      <c r="E1314" s="102"/>
      <c r="H1314" s="102"/>
      <c r="J1314" s="102"/>
      <c r="K1314" s="450"/>
      <c r="L1314" s="443"/>
      <c r="M1314" s="450"/>
      <c r="N1314" s="452">
        <f t="array" ref="N1314">IFERROR(
  INDEX(
    'Valor Hora Real y Estimada'!$A$4:$Z$78,
    MATCH(TRIM(CLEAN(A1314)), 'Valor Hora Real y Estimada'!$A$4:$A$78, 0),
    MATCH(
      TEXT(C1314,"dd mmm")&amp;" "&amp;D1314,
      'Valor Hora Real y Estimada'!$A$3:$Z$3,
      0
    ) + 1
  ),
  0
)</f>
        <v>0</v>
      </c>
      <c r="O1314" s="453"/>
      <c r="P1314" s="113"/>
      <c r="Q1314" s="106" t="str">
        <f>IF(ISBLANK(O1314), "", VLOOKUP(C1314&amp;" "&amp;D1314, 'Info Tipo de Cambio y REM'!$A$24:$B$35, 2, FALSE))</f>
        <v/>
      </c>
      <c r="R1314" s="107" t="str">
        <f t="shared" si="32"/>
        <v/>
      </c>
    </row>
    <row r="1315" hidden="1">
      <c r="A1315" s="443"/>
      <c r="B1315" s="43" t="str">
        <f>IF(A1315="", "", IFERROR(VLOOKUP(A1315, Clasificaciones!A:B, 2, FALSE), "DATO NO CARGADO"))
</f>
        <v/>
      </c>
      <c r="C1315" s="51"/>
      <c r="D1315" s="102"/>
      <c r="E1315" s="102"/>
      <c r="H1315" s="102"/>
      <c r="J1315" s="102"/>
      <c r="K1315" s="450"/>
      <c r="L1315" s="443"/>
      <c r="M1315" s="450"/>
      <c r="N1315" s="452">
        <f t="array" ref="N1315">IFERROR(
  INDEX(
    'Valor Hora Real y Estimada'!$A$4:$Z$78,
    MATCH(TRIM(CLEAN(A1315)), 'Valor Hora Real y Estimada'!$A$4:$A$78, 0),
    MATCH(
      TEXT(C1315,"dd mmm")&amp;" "&amp;D1315,
      'Valor Hora Real y Estimada'!$A$3:$Z$3,
      0
    ) + 1
  ),
  0
)</f>
        <v>0</v>
      </c>
      <c r="O1315" s="453"/>
      <c r="P1315" s="113"/>
      <c r="Q1315" s="106" t="str">
        <f>IF(ISBLANK(O1315), "", VLOOKUP(C1315&amp;" "&amp;D1315, 'Info Tipo de Cambio y REM'!$A$24:$B$35, 2, FALSE))</f>
        <v/>
      </c>
      <c r="R1315" s="107" t="str">
        <f t="shared" si="32"/>
        <v/>
      </c>
    </row>
    <row r="1316" hidden="1">
      <c r="A1316" s="443"/>
      <c r="B1316" s="43" t="str">
        <f>IF(A1316="", "", IFERROR(VLOOKUP(A1316, Clasificaciones!A:B, 2, FALSE), "DATO NO CARGADO"))
</f>
        <v/>
      </c>
      <c r="C1316" s="51"/>
      <c r="D1316" s="102"/>
      <c r="E1316" s="102"/>
      <c r="H1316" s="102"/>
      <c r="J1316" s="102"/>
      <c r="K1316" s="450"/>
      <c r="L1316" s="443"/>
      <c r="M1316" s="450"/>
      <c r="N1316" s="452">
        <f t="array" ref="N1316">IFERROR(
  INDEX(
    'Valor Hora Real y Estimada'!$A$4:$Z$78,
    MATCH(TRIM(CLEAN(A1316)), 'Valor Hora Real y Estimada'!$A$4:$A$78, 0),
    MATCH(
      TEXT(C1316,"dd mmm")&amp;" "&amp;D1316,
      'Valor Hora Real y Estimada'!$A$3:$Z$3,
      0
    ) + 1
  ),
  0
)</f>
        <v>0</v>
      </c>
      <c r="O1316" s="453"/>
      <c r="P1316" s="113"/>
      <c r="Q1316" s="106" t="str">
        <f>IF(ISBLANK(O1316), "", VLOOKUP(C1316&amp;" "&amp;D1316, 'Info Tipo de Cambio y REM'!$A$24:$B$35, 2, FALSE))</f>
        <v/>
      </c>
      <c r="R1316" s="107" t="str">
        <f t="shared" si="32"/>
        <v/>
      </c>
    </row>
    <row r="1317" hidden="1">
      <c r="A1317" s="443"/>
      <c r="B1317" s="43" t="str">
        <f>IF(A1317="", "", IFERROR(VLOOKUP(A1317, Clasificaciones!A:B, 2, FALSE), "DATO NO CARGADO"))
</f>
        <v/>
      </c>
      <c r="C1317" s="51"/>
      <c r="D1317" s="102"/>
      <c r="E1317" s="102"/>
      <c r="H1317" s="102"/>
      <c r="J1317" s="102"/>
      <c r="K1317" s="450"/>
      <c r="L1317" s="443"/>
      <c r="M1317" s="450"/>
      <c r="N1317" s="452">
        <f t="array" ref="N1317">IFERROR(
  INDEX(
    'Valor Hora Real y Estimada'!$A$4:$Z$78,
    MATCH(TRIM(CLEAN(A1317)), 'Valor Hora Real y Estimada'!$A$4:$A$78, 0),
    MATCH(
      TEXT(C1317,"dd mmm")&amp;" "&amp;D1317,
      'Valor Hora Real y Estimada'!$A$3:$Z$3,
      0
    ) + 1
  ),
  0
)</f>
        <v>0</v>
      </c>
      <c r="O1317" s="453"/>
      <c r="P1317" s="113"/>
      <c r="Q1317" s="106" t="str">
        <f>IF(ISBLANK(O1317), "", VLOOKUP(C1317&amp;" "&amp;D1317, 'Info Tipo de Cambio y REM'!$A$24:$B$35, 2, FALSE))</f>
        <v/>
      </c>
      <c r="R1317" s="107" t="str">
        <f t="shared" si="32"/>
        <v/>
      </c>
    </row>
    <row r="1318" hidden="1">
      <c r="A1318" s="443"/>
      <c r="B1318" s="43" t="str">
        <f>IF(A1318="", "", IFERROR(VLOOKUP(A1318, Clasificaciones!A:B, 2, FALSE), "DATO NO CARGADO"))
</f>
        <v/>
      </c>
      <c r="C1318" s="51"/>
      <c r="D1318" s="102"/>
      <c r="E1318" s="102"/>
      <c r="H1318" s="102"/>
      <c r="J1318" s="102"/>
      <c r="K1318" s="450"/>
      <c r="L1318" s="443"/>
      <c r="M1318" s="450"/>
      <c r="N1318" s="452">
        <f t="array" ref="N1318">IFERROR(
  INDEX(
    'Valor Hora Real y Estimada'!$A$4:$Z$78,
    MATCH(TRIM(CLEAN(A1318)), 'Valor Hora Real y Estimada'!$A$4:$A$78, 0),
    MATCH(
      TEXT(C1318,"dd mmm")&amp;" "&amp;D1318,
      'Valor Hora Real y Estimada'!$A$3:$Z$3,
      0
    ) + 1
  ),
  0
)</f>
        <v>0</v>
      </c>
      <c r="O1318" s="453"/>
      <c r="P1318" s="113"/>
      <c r="Q1318" s="106" t="str">
        <f>IF(ISBLANK(O1318), "", VLOOKUP(C1318&amp;" "&amp;D1318, 'Info Tipo de Cambio y REM'!$A$24:$B$35, 2, FALSE))</f>
        <v/>
      </c>
      <c r="R1318" s="107" t="str">
        <f t="shared" si="32"/>
        <v/>
      </c>
    </row>
    <row r="1319" hidden="1">
      <c r="A1319" s="443"/>
      <c r="B1319" s="43" t="str">
        <f>IF(A1319="", "", IFERROR(VLOOKUP(A1319, Clasificaciones!A:B, 2, FALSE), "DATO NO CARGADO"))
</f>
        <v/>
      </c>
      <c r="C1319" s="51"/>
      <c r="D1319" s="102"/>
      <c r="E1319" s="102"/>
      <c r="H1319" s="102"/>
      <c r="J1319" s="102"/>
      <c r="K1319" s="450"/>
      <c r="L1319" s="443"/>
      <c r="M1319" s="450"/>
      <c r="N1319" s="452">
        <f t="array" ref="N1319">IFERROR(
  INDEX(
    'Valor Hora Real y Estimada'!$A$4:$Z$78,
    MATCH(TRIM(CLEAN(A1319)), 'Valor Hora Real y Estimada'!$A$4:$A$78, 0),
    MATCH(
      TEXT(C1319,"dd mmm")&amp;" "&amp;D1319,
      'Valor Hora Real y Estimada'!$A$3:$Z$3,
      0
    ) + 1
  ),
  0
)</f>
        <v>0</v>
      </c>
      <c r="O1319" s="453"/>
      <c r="P1319" s="113"/>
      <c r="Q1319" s="106" t="str">
        <f>IF(ISBLANK(O1319), "", VLOOKUP(C1319&amp;" "&amp;D1319, 'Info Tipo de Cambio y REM'!$A$24:$B$35, 2, FALSE))</f>
        <v/>
      </c>
      <c r="R1319" s="107" t="str">
        <f t="shared" si="32"/>
        <v/>
      </c>
    </row>
    <row r="1320" hidden="1">
      <c r="A1320" s="443"/>
      <c r="B1320" s="43" t="str">
        <f>IF(A1320="", "", IFERROR(VLOOKUP(A1320, Clasificaciones!A:B, 2, FALSE), "DATO NO CARGADO"))
</f>
        <v/>
      </c>
      <c r="C1320" s="51"/>
      <c r="D1320" s="102"/>
      <c r="E1320" s="102"/>
      <c r="H1320" s="102"/>
      <c r="J1320" s="102"/>
      <c r="K1320" s="450"/>
      <c r="L1320" s="443"/>
      <c r="M1320" s="450"/>
      <c r="N1320" s="452">
        <f t="array" ref="N1320">IFERROR(
  INDEX(
    'Valor Hora Real y Estimada'!$A$4:$Z$78,
    MATCH(TRIM(CLEAN(A1320)), 'Valor Hora Real y Estimada'!$A$4:$A$78, 0),
    MATCH(
      TEXT(C1320,"dd mmm")&amp;" "&amp;D1320,
      'Valor Hora Real y Estimada'!$A$3:$Z$3,
      0
    ) + 1
  ),
  0
)</f>
        <v>0</v>
      </c>
      <c r="O1320" s="453"/>
      <c r="P1320" s="113"/>
      <c r="Q1320" s="106" t="str">
        <f>IF(ISBLANK(O1320), "", VLOOKUP(C1320&amp;" "&amp;D1320, 'Info Tipo de Cambio y REM'!$A$24:$B$35, 2, FALSE))</f>
        <v/>
      </c>
      <c r="R1320" s="107" t="str">
        <f t="shared" si="32"/>
        <v/>
      </c>
    </row>
    <row r="1321" hidden="1">
      <c r="A1321" s="443"/>
      <c r="B1321" s="43" t="str">
        <f>IF(A1321="", "", IFERROR(VLOOKUP(A1321, Clasificaciones!A:B, 2, FALSE), "DATO NO CARGADO"))
</f>
        <v/>
      </c>
      <c r="C1321" s="51"/>
      <c r="D1321" s="102"/>
      <c r="E1321" s="102"/>
      <c r="H1321" s="102"/>
      <c r="J1321" s="102"/>
      <c r="K1321" s="450"/>
      <c r="L1321" s="443"/>
      <c r="M1321" s="450"/>
      <c r="N1321" s="452">
        <f t="array" ref="N1321">IFERROR(
  INDEX(
    'Valor Hora Real y Estimada'!$A$4:$Z$78,
    MATCH(TRIM(CLEAN(A1321)), 'Valor Hora Real y Estimada'!$A$4:$A$78, 0),
    MATCH(
      TEXT(C1321,"dd mmm")&amp;" "&amp;D1321,
      'Valor Hora Real y Estimada'!$A$3:$Z$3,
      0
    ) + 1
  ),
  0
)</f>
        <v>0</v>
      </c>
      <c r="O1321" s="453"/>
      <c r="P1321" s="113"/>
      <c r="Q1321" s="106" t="str">
        <f>IF(ISBLANK(O1321), "", VLOOKUP(C1321&amp;" "&amp;D1321, 'Info Tipo de Cambio y REM'!$A$24:$B$35, 2, FALSE))</f>
        <v/>
      </c>
      <c r="R1321" s="107" t="str">
        <f t="shared" si="32"/>
        <v/>
      </c>
    </row>
    <row r="1322" hidden="1">
      <c r="A1322" s="443"/>
      <c r="B1322" s="43" t="str">
        <f>IF(A1322="", "", IFERROR(VLOOKUP(A1322, Clasificaciones!A:B, 2, FALSE), "DATO NO CARGADO"))
</f>
        <v/>
      </c>
      <c r="C1322" s="51"/>
      <c r="D1322" s="102"/>
      <c r="E1322" s="102"/>
      <c r="H1322" s="102"/>
      <c r="J1322" s="102"/>
      <c r="K1322" s="450"/>
      <c r="L1322" s="443"/>
      <c r="M1322" s="450"/>
      <c r="N1322" s="452">
        <f t="array" ref="N1322">IFERROR(
  INDEX(
    'Valor Hora Real y Estimada'!$A$4:$Z$78,
    MATCH(TRIM(CLEAN(A1322)), 'Valor Hora Real y Estimada'!$A$4:$A$78, 0),
    MATCH(
      TEXT(C1322,"dd mmm")&amp;" "&amp;D1322,
      'Valor Hora Real y Estimada'!$A$3:$Z$3,
      0
    ) + 1
  ),
  0
)</f>
        <v>0</v>
      </c>
      <c r="O1322" s="453"/>
      <c r="P1322" s="113"/>
      <c r="Q1322" s="106" t="str">
        <f>IF(ISBLANK(O1322), "", VLOOKUP(C1322&amp;" "&amp;D1322, 'Info Tipo de Cambio y REM'!$A$24:$B$35, 2, FALSE))</f>
        <v/>
      </c>
      <c r="R1322" s="107" t="str">
        <f t="shared" si="32"/>
        <v/>
      </c>
    </row>
    <row r="1323" hidden="1">
      <c r="A1323" s="443"/>
      <c r="B1323" s="43" t="str">
        <f>IF(A1323="", "", IFERROR(VLOOKUP(A1323, Clasificaciones!A:B, 2, FALSE), "DATO NO CARGADO"))
</f>
        <v/>
      </c>
      <c r="C1323" s="51"/>
      <c r="D1323" s="102"/>
      <c r="E1323" s="102"/>
      <c r="H1323" s="102"/>
      <c r="J1323" s="102"/>
      <c r="K1323" s="450"/>
      <c r="L1323" s="443"/>
      <c r="M1323" s="450"/>
      <c r="N1323" s="452">
        <f t="array" ref="N1323">IFERROR(
  INDEX(
    'Valor Hora Real y Estimada'!$A$4:$Z$78,
    MATCH(TRIM(CLEAN(A1323)), 'Valor Hora Real y Estimada'!$A$4:$A$78, 0),
    MATCH(
      TEXT(C1323,"dd mmm")&amp;" "&amp;D1323,
      'Valor Hora Real y Estimada'!$A$3:$Z$3,
      0
    ) + 1
  ),
  0
)</f>
        <v>0</v>
      </c>
      <c r="O1323" s="453"/>
      <c r="P1323" s="113"/>
      <c r="Q1323" s="106" t="str">
        <f>IF(ISBLANK(O1323), "", VLOOKUP(C1323&amp;" "&amp;D1323, 'Info Tipo de Cambio y REM'!$A$24:$B$35, 2, FALSE))</f>
        <v/>
      </c>
      <c r="R1323" s="107" t="str">
        <f t="shared" si="32"/>
        <v/>
      </c>
    </row>
    <row r="1324" hidden="1">
      <c r="A1324" s="443"/>
      <c r="B1324" s="43" t="str">
        <f>IF(A1324="", "", IFERROR(VLOOKUP(A1324, Clasificaciones!A:B, 2, FALSE), "DATO NO CARGADO"))
</f>
        <v/>
      </c>
      <c r="C1324" s="51"/>
      <c r="D1324" s="102"/>
      <c r="E1324" s="102"/>
      <c r="H1324" s="102"/>
      <c r="J1324" s="102"/>
      <c r="K1324" s="450"/>
      <c r="L1324" s="443"/>
      <c r="M1324" s="450"/>
      <c r="N1324" s="452">
        <f t="array" ref="N1324">IFERROR(
  INDEX(
    'Valor Hora Real y Estimada'!$A$4:$Z$78,
    MATCH(TRIM(CLEAN(A1324)), 'Valor Hora Real y Estimada'!$A$4:$A$78, 0),
    MATCH(
      TEXT(C1324,"dd mmm")&amp;" "&amp;D1324,
      'Valor Hora Real y Estimada'!$A$3:$Z$3,
      0
    ) + 1
  ),
  0
)</f>
        <v>0</v>
      </c>
      <c r="O1324" s="453"/>
      <c r="P1324" s="113"/>
      <c r="Q1324" s="106" t="str">
        <f>IF(ISBLANK(O1324), "", VLOOKUP(C1324&amp;" "&amp;D1324, 'Info Tipo de Cambio y REM'!$A$24:$B$35, 2, FALSE))</f>
        <v/>
      </c>
      <c r="R1324" s="107" t="str">
        <f t="shared" si="32"/>
        <v/>
      </c>
    </row>
    <row r="1325" hidden="1">
      <c r="A1325" s="443"/>
      <c r="B1325" s="43" t="str">
        <f>IF(A1325="", "", IFERROR(VLOOKUP(A1325, Clasificaciones!A:B, 2, FALSE), "DATO NO CARGADO"))
</f>
        <v/>
      </c>
      <c r="C1325" s="51"/>
      <c r="D1325" s="102"/>
      <c r="E1325" s="102"/>
      <c r="H1325" s="102"/>
      <c r="J1325" s="102"/>
      <c r="K1325" s="450"/>
      <c r="L1325" s="443"/>
      <c r="M1325" s="450"/>
      <c r="N1325" s="452">
        <f t="array" ref="N1325">IFERROR(
  INDEX(
    'Valor Hora Real y Estimada'!$A$4:$Z$78,
    MATCH(TRIM(CLEAN(A1325)), 'Valor Hora Real y Estimada'!$A$4:$A$78, 0),
    MATCH(
      TEXT(C1325,"dd mmm")&amp;" "&amp;D1325,
      'Valor Hora Real y Estimada'!$A$3:$Z$3,
      0
    ) + 1
  ),
  0
)</f>
        <v>0</v>
      </c>
      <c r="O1325" s="453"/>
      <c r="P1325" s="113"/>
      <c r="Q1325" s="106" t="str">
        <f>IF(ISBLANK(O1325), "", VLOOKUP(C1325&amp;" "&amp;D1325, 'Info Tipo de Cambio y REM'!$A$24:$B$35, 2, FALSE))</f>
        <v/>
      </c>
      <c r="R1325" s="107" t="str">
        <f t="shared" si="32"/>
        <v/>
      </c>
    </row>
    <row r="1326" hidden="1">
      <c r="A1326" s="443"/>
      <c r="B1326" s="43" t="str">
        <f>IF(A1326="", "", IFERROR(VLOOKUP(A1326, Clasificaciones!A:B, 2, FALSE), "DATO NO CARGADO"))
</f>
        <v/>
      </c>
      <c r="C1326" s="51"/>
      <c r="D1326" s="102"/>
      <c r="E1326" s="102"/>
      <c r="H1326" s="102"/>
      <c r="J1326" s="102"/>
      <c r="K1326" s="450"/>
      <c r="L1326" s="443"/>
      <c r="M1326" s="450"/>
      <c r="N1326" s="452">
        <f t="array" ref="N1326">IFERROR(
  INDEX(
    'Valor Hora Real y Estimada'!$A$4:$Z$78,
    MATCH(TRIM(CLEAN(A1326)), 'Valor Hora Real y Estimada'!$A$4:$A$78, 0),
    MATCH(
      TEXT(C1326,"dd mmm")&amp;" "&amp;D1326,
      'Valor Hora Real y Estimada'!$A$3:$Z$3,
      0
    ) + 1
  ),
  0
)</f>
        <v>0</v>
      </c>
      <c r="O1326" s="453"/>
      <c r="P1326" s="113"/>
      <c r="Q1326" s="106" t="str">
        <f>IF(ISBLANK(O1326), "", VLOOKUP(C1326&amp;" "&amp;D1326, 'Info Tipo de Cambio y REM'!$A$24:$B$35, 2, FALSE))</f>
        <v/>
      </c>
      <c r="R1326" s="107" t="str">
        <f t="shared" si="32"/>
        <v/>
      </c>
    </row>
    <row r="1327" hidden="1">
      <c r="A1327" s="443"/>
      <c r="B1327" s="43" t="str">
        <f>IF(A1327="", "", IFERROR(VLOOKUP(A1327, Clasificaciones!A:B, 2, FALSE), "DATO NO CARGADO"))
</f>
        <v/>
      </c>
      <c r="C1327" s="51"/>
      <c r="D1327" s="102"/>
      <c r="E1327" s="102"/>
      <c r="H1327" s="102"/>
      <c r="J1327" s="102"/>
      <c r="K1327" s="450"/>
      <c r="L1327" s="443"/>
      <c r="M1327" s="450"/>
      <c r="N1327" s="452">
        <f t="array" ref="N1327">IFERROR(
  INDEX(
    'Valor Hora Real y Estimada'!$A$4:$Z$78,
    MATCH(TRIM(CLEAN(A1327)), 'Valor Hora Real y Estimada'!$A$4:$A$78, 0),
    MATCH(
      TEXT(C1327,"dd mmm")&amp;" "&amp;D1327,
      'Valor Hora Real y Estimada'!$A$3:$Z$3,
      0
    ) + 1
  ),
  0
)</f>
        <v>0</v>
      </c>
      <c r="O1327" s="453"/>
      <c r="P1327" s="113"/>
      <c r="Q1327" s="106" t="str">
        <f>IF(ISBLANK(O1327), "", VLOOKUP(C1327&amp;" "&amp;D1327, 'Info Tipo de Cambio y REM'!$A$24:$B$35, 2, FALSE))</f>
        <v/>
      </c>
      <c r="R1327" s="107" t="str">
        <f t="shared" si="32"/>
        <v/>
      </c>
    </row>
    <row r="1328" hidden="1">
      <c r="A1328" s="443"/>
      <c r="B1328" s="43" t="str">
        <f>IF(A1328="", "", IFERROR(VLOOKUP(A1328, Clasificaciones!A:B, 2, FALSE), "DATO NO CARGADO"))
</f>
        <v/>
      </c>
      <c r="C1328" s="51"/>
      <c r="D1328" s="102"/>
      <c r="E1328" s="102"/>
      <c r="H1328" s="102"/>
      <c r="J1328" s="102"/>
      <c r="K1328" s="450"/>
      <c r="L1328" s="443"/>
      <c r="M1328" s="450"/>
      <c r="N1328" s="452">
        <f t="array" ref="N1328">IFERROR(
  INDEX(
    'Valor Hora Real y Estimada'!$A$4:$Z$78,
    MATCH(TRIM(CLEAN(A1328)), 'Valor Hora Real y Estimada'!$A$4:$A$78, 0),
    MATCH(
      TEXT(C1328,"dd mmm")&amp;" "&amp;D1328,
      'Valor Hora Real y Estimada'!$A$3:$Z$3,
      0
    ) + 1
  ),
  0
)</f>
        <v>0</v>
      </c>
      <c r="O1328" s="453"/>
      <c r="P1328" s="113"/>
      <c r="Q1328" s="106" t="str">
        <f>IF(ISBLANK(O1328), "", VLOOKUP(C1328&amp;" "&amp;D1328, 'Info Tipo de Cambio y REM'!$A$24:$B$35, 2, FALSE))</f>
        <v/>
      </c>
      <c r="R1328" s="107" t="str">
        <f t="shared" si="32"/>
        <v/>
      </c>
    </row>
    <row r="1329" hidden="1">
      <c r="A1329" s="443"/>
      <c r="B1329" s="43" t="str">
        <f>IF(A1329="", "", IFERROR(VLOOKUP(A1329, Clasificaciones!A:B, 2, FALSE), "DATO NO CARGADO"))
</f>
        <v/>
      </c>
      <c r="C1329" s="51"/>
      <c r="D1329" s="102"/>
      <c r="E1329" s="102"/>
      <c r="H1329" s="102"/>
      <c r="J1329" s="102"/>
      <c r="K1329" s="450"/>
      <c r="L1329" s="443"/>
      <c r="M1329" s="450"/>
      <c r="N1329" s="452">
        <f t="array" ref="N1329">IFERROR(
  INDEX(
    'Valor Hora Real y Estimada'!$A$4:$Z$78,
    MATCH(TRIM(CLEAN(A1329)), 'Valor Hora Real y Estimada'!$A$4:$A$78, 0),
    MATCH(
      TEXT(C1329,"dd mmm")&amp;" "&amp;D1329,
      'Valor Hora Real y Estimada'!$A$3:$Z$3,
      0
    ) + 1
  ),
  0
)</f>
        <v>0</v>
      </c>
      <c r="O1329" s="453"/>
      <c r="P1329" s="113"/>
      <c r="Q1329" s="106" t="str">
        <f>IF(ISBLANK(O1329), "", VLOOKUP(C1329&amp;" "&amp;D1329, 'Info Tipo de Cambio y REM'!$A$24:$B$35, 2, FALSE))</f>
        <v/>
      </c>
      <c r="R1329" s="107" t="str">
        <f t="shared" si="32"/>
        <v/>
      </c>
    </row>
    <row r="1330" hidden="1">
      <c r="A1330" s="443"/>
      <c r="B1330" s="43" t="str">
        <f>IF(A1330="", "", IFERROR(VLOOKUP(A1330, Clasificaciones!A:B, 2, FALSE), "DATO NO CARGADO"))
</f>
        <v/>
      </c>
      <c r="C1330" s="51"/>
      <c r="D1330" s="102"/>
      <c r="E1330" s="102"/>
      <c r="H1330" s="102"/>
      <c r="J1330" s="102"/>
      <c r="K1330" s="450"/>
      <c r="L1330" s="443"/>
      <c r="M1330" s="450"/>
      <c r="N1330" s="452">
        <f t="array" ref="N1330">IFERROR(
  INDEX(
    'Valor Hora Real y Estimada'!$A$4:$Z$78,
    MATCH(TRIM(CLEAN(A1330)), 'Valor Hora Real y Estimada'!$A$4:$A$78, 0),
    MATCH(
      TEXT(C1330,"dd mmm")&amp;" "&amp;D1330,
      'Valor Hora Real y Estimada'!$A$3:$Z$3,
      0
    ) + 1
  ),
  0
)</f>
        <v>0</v>
      </c>
      <c r="O1330" s="453"/>
      <c r="P1330" s="113"/>
      <c r="Q1330" s="106" t="str">
        <f>IF(ISBLANK(O1330), "", VLOOKUP(C1330&amp;" "&amp;D1330, 'Info Tipo de Cambio y REM'!$A$24:$B$35, 2, FALSE))</f>
        <v/>
      </c>
      <c r="R1330" s="107" t="str">
        <f t="shared" si="32"/>
        <v/>
      </c>
    </row>
    <row r="1331" hidden="1">
      <c r="A1331" s="443"/>
      <c r="B1331" s="43" t="str">
        <f>IF(A1331="", "", IFERROR(VLOOKUP(A1331, Clasificaciones!A:B, 2, FALSE), "DATO NO CARGADO"))
</f>
        <v/>
      </c>
      <c r="C1331" s="51"/>
      <c r="D1331" s="102"/>
      <c r="E1331" s="102"/>
      <c r="H1331" s="102"/>
      <c r="J1331" s="102"/>
      <c r="K1331" s="450"/>
      <c r="L1331" s="443"/>
      <c r="M1331" s="450"/>
      <c r="N1331" s="452">
        <f t="array" ref="N1331">IFERROR(
  INDEX(
    'Valor Hora Real y Estimada'!$A$4:$Z$78,
    MATCH(TRIM(CLEAN(A1331)), 'Valor Hora Real y Estimada'!$A$4:$A$78, 0),
    MATCH(
      TEXT(C1331,"dd mmm")&amp;" "&amp;D1331,
      'Valor Hora Real y Estimada'!$A$3:$Z$3,
      0
    ) + 1
  ),
  0
)</f>
        <v>0</v>
      </c>
      <c r="O1331" s="453"/>
      <c r="P1331" s="113"/>
      <c r="Q1331" s="106" t="str">
        <f>IF(ISBLANK(O1331), "", VLOOKUP(C1331&amp;" "&amp;D1331, 'Info Tipo de Cambio y REM'!$A$24:$B$35, 2, FALSE))</f>
        <v/>
      </c>
      <c r="R1331" s="107" t="str">
        <f t="shared" si="32"/>
        <v/>
      </c>
    </row>
    <row r="1332" hidden="1">
      <c r="A1332" s="443"/>
      <c r="B1332" s="43" t="str">
        <f>IF(A1332="", "", IFERROR(VLOOKUP(A1332, Clasificaciones!A:B, 2, FALSE), "DATO NO CARGADO"))
</f>
        <v/>
      </c>
      <c r="C1332" s="51"/>
      <c r="D1332" s="102"/>
      <c r="E1332" s="102"/>
      <c r="H1332" s="102"/>
      <c r="J1332" s="102"/>
      <c r="K1332" s="450"/>
      <c r="L1332" s="443"/>
      <c r="M1332" s="450"/>
      <c r="N1332" s="452">
        <f t="array" ref="N1332">IFERROR(
  INDEX(
    'Valor Hora Real y Estimada'!$A$4:$Z$78,
    MATCH(TRIM(CLEAN(A1332)), 'Valor Hora Real y Estimada'!$A$4:$A$78, 0),
    MATCH(
      TEXT(C1332,"dd mmm")&amp;" "&amp;D1332,
      'Valor Hora Real y Estimada'!$A$3:$Z$3,
      0
    ) + 1
  ),
  0
)</f>
        <v>0</v>
      </c>
      <c r="O1332" s="453"/>
      <c r="P1332" s="113"/>
      <c r="Q1332" s="106" t="str">
        <f>IF(ISBLANK(O1332), "", VLOOKUP(C1332&amp;" "&amp;D1332, 'Info Tipo de Cambio y REM'!$A$24:$B$35, 2, FALSE))</f>
        <v/>
      </c>
      <c r="R1332" s="107" t="str">
        <f t="shared" si="32"/>
        <v/>
      </c>
    </row>
    <row r="1333" hidden="1">
      <c r="A1333" s="443"/>
      <c r="B1333" s="43" t="str">
        <f>IF(A1333="", "", IFERROR(VLOOKUP(A1333, Clasificaciones!A:B, 2, FALSE), "DATO NO CARGADO"))
</f>
        <v/>
      </c>
      <c r="C1333" s="51"/>
      <c r="D1333" s="102"/>
      <c r="E1333" s="102"/>
      <c r="H1333" s="102"/>
      <c r="J1333" s="102"/>
      <c r="K1333" s="450"/>
      <c r="L1333" s="443"/>
      <c r="M1333" s="450"/>
      <c r="N1333" s="452">
        <f t="array" ref="N1333">IFERROR(
  INDEX(
    'Valor Hora Real y Estimada'!$A$4:$Z$78,
    MATCH(TRIM(CLEAN(A1333)), 'Valor Hora Real y Estimada'!$A$4:$A$78, 0),
    MATCH(
      TEXT(C1333,"dd mmm")&amp;" "&amp;D1333,
      'Valor Hora Real y Estimada'!$A$3:$Z$3,
      0
    ) + 1
  ),
  0
)</f>
        <v>0</v>
      </c>
      <c r="O1333" s="453"/>
      <c r="P1333" s="113"/>
      <c r="Q1333" s="106" t="str">
        <f>IF(ISBLANK(O1333), "", VLOOKUP(C1333&amp;" "&amp;D1333, 'Info Tipo de Cambio y REM'!$A$24:$B$35, 2, FALSE))</f>
        <v/>
      </c>
      <c r="R1333" s="107" t="str">
        <f t="shared" si="32"/>
        <v/>
      </c>
    </row>
    <row r="1334" hidden="1">
      <c r="A1334" s="443"/>
      <c r="B1334" s="43" t="str">
        <f>IF(A1334="", "", IFERROR(VLOOKUP(A1334, Clasificaciones!A:B, 2, FALSE), "DATO NO CARGADO"))
</f>
        <v/>
      </c>
      <c r="C1334" s="51"/>
      <c r="D1334" s="102"/>
      <c r="E1334" s="102"/>
      <c r="H1334" s="102"/>
      <c r="J1334" s="102"/>
      <c r="K1334" s="450"/>
      <c r="L1334" s="443"/>
      <c r="M1334" s="450"/>
      <c r="N1334" s="452">
        <f t="array" ref="N1334">IFERROR(
  INDEX(
    'Valor Hora Real y Estimada'!$A$4:$Z$78,
    MATCH(TRIM(CLEAN(A1334)), 'Valor Hora Real y Estimada'!$A$4:$A$78, 0),
    MATCH(
      TEXT(C1334,"dd mmm")&amp;" "&amp;D1334,
      'Valor Hora Real y Estimada'!$A$3:$Z$3,
      0
    ) + 1
  ),
  0
)</f>
        <v>0</v>
      </c>
      <c r="O1334" s="453"/>
      <c r="P1334" s="113"/>
      <c r="Q1334" s="106" t="str">
        <f>IF(ISBLANK(O1334), "", VLOOKUP(C1334&amp;" "&amp;D1334, 'Info Tipo de Cambio y REM'!$A$24:$B$35, 2, FALSE))</f>
        <v/>
      </c>
      <c r="R1334" s="107" t="str">
        <f t="shared" si="32"/>
        <v/>
      </c>
    </row>
    <row r="1335" hidden="1">
      <c r="A1335" s="443"/>
      <c r="B1335" s="43" t="str">
        <f>IF(A1335="", "", IFERROR(VLOOKUP(A1335, Clasificaciones!A:B, 2, FALSE), "DATO NO CARGADO"))
</f>
        <v/>
      </c>
      <c r="C1335" s="51"/>
      <c r="D1335" s="102"/>
      <c r="E1335" s="102"/>
      <c r="H1335" s="102"/>
      <c r="J1335" s="102"/>
      <c r="K1335" s="450"/>
      <c r="L1335" s="443"/>
      <c r="M1335" s="450"/>
      <c r="N1335" s="452">
        <f t="array" ref="N1335">IFERROR(
  INDEX(
    'Valor Hora Real y Estimada'!$A$4:$Z$78,
    MATCH(TRIM(CLEAN(A1335)), 'Valor Hora Real y Estimada'!$A$4:$A$78, 0),
    MATCH(
      TEXT(C1335,"dd mmm")&amp;" "&amp;D1335,
      'Valor Hora Real y Estimada'!$A$3:$Z$3,
      0
    ) + 1
  ),
  0
)</f>
        <v>0</v>
      </c>
      <c r="O1335" s="453"/>
      <c r="P1335" s="113"/>
      <c r="Q1335" s="106" t="str">
        <f>IF(ISBLANK(O1335), "", VLOOKUP(C1335&amp;" "&amp;D1335, 'Info Tipo de Cambio y REM'!$A$24:$B$35, 2, FALSE))</f>
        <v/>
      </c>
      <c r="R1335" s="107" t="str">
        <f t="shared" si="32"/>
        <v/>
      </c>
    </row>
    <row r="1336" hidden="1">
      <c r="A1336" s="443"/>
      <c r="B1336" s="43" t="str">
        <f>IF(A1336="", "", IFERROR(VLOOKUP(A1336, Clasificaciones!A:B, 2, FALSE), "DATO NO CARGADO"))
</f>
        <v/>
      </c>
      <c r="C1336" s="51"/>
      <c r="D1336" s="102"/>
      <c r="E1336" s="102"/>
      <c r="H1336" s="102"/>
      <c r="J1336" s="102"/>
      <c r="K1336" s="450"/>
      <c r="L1336" s="443"/>
      <c r="M1336" s="450"/>
      <c r="N1336" s="452">
        <f t="array" ref="N1336">IFERROR(
  INDEX(
    'Valor Hora Real y Estimada'!$A$4:$Z$78,
    MATCH(TRIM(CLEAN(A1336)), 'Valor Hora Real y Estimada'!$A$4:$A$78, 0),
    MATCH(
      TEXT(C1336,"dd mmm")&amp;" "&amp;D1336,
      'Valor Hora Real y Estimada'!$A$3:$Z$3,
      0
    ) + 1
  ),
  0
)</f>
        <v>0</v>
      </c>
      <c r="O1336" s="453"/>
      <c r="P1336" s="113"/>
      <c r="Q1336" s="106" t="str">
        <f>IF(ISBLANK(O1336), "", VLOOKUP(C1336&amp;" "&amp;D1336, 'Info Tipo de Cambio y REM'!$A$24:$B$35, 2, FALSE))</f>
        <v/>
      </c>
      <c r="R1336" s="107" t="str">
        <f t="shared" si="32"/>
        <v/>
      </c>
    </row>
    <row r="1337" hidden="1">
      <c r="A1337" s="443"/>
      <c r="B1337" s="43" t="str">
        <f>IF(A1337="", "", IFERROR(VLOOKUP(A1337, Clasificaciones!A:B, 2, FALSE), "DATO NO CARGADO"))
</f>
        <v/>
      </c>
      <c r="C1337" s="51"/>
      <c r="D1337" s="102"/>
      <c r="E1337" s="102"/>
      <c r="H1337" s="102"/>
      <c r="J1337" s="102"/>
      <c r="K1337" s="450"/>
      <c r="L1337" s="443"/>
      <c r="M1337" s="450"/>
      <c r="N1337" s="452">
        <f t="array" ref="N1337">IFERROR(
  INDEX(
    'Valor Hora Real y Estimada'!$A$4:$Z$78,
    MATCH(TRIM(CLEAN(A1337)), 'Valor Hora Real y Estimada'!$A$4:$A$78, 0),
    MATCH(
      TEXT(C1337,"dd mmm")&amp;" "&amp;D1337,
      'Valor Hora Real y Estimada'!$A$3:$Z$3,
      0
    ) + 1
  ),
  0
)</f>
        <v>0</v>
      </c>
      <c r="O1337" s="453"/>
      <c r="P1337" s="113"/>
      <c r="Q1337" s="106" t="str">
        <f>IF(ISBLANK(O1337), "", VLOOKUP(C1337&amp;" "&amp;D1337, 'Info Tipo de Cambio y REM'!$A$24:$B$35, 2, FALSE))</f>
        <v/>
      </c>
      <c r="R1337" s="107" t="str">
        <f t="shared" si="32"/>
        <v/>
      </c>
    </row>
    <row r="1338" hidden="1">
      <c r="A1338" s="443"/>
      <c r="B1338" s="43" t="str">
        <f>IF(A1338="", "", IFERROR(VLOOKUP(A1338, Clasificaciones!A:B, 2, FALSE), "DATO NO CARGADO"))
</f>
        <v/>
      </c>
      <c r="C1338" s="51"/>
      <c r="D1338" s="102"/>
      <c r="E1338" s="102"/>
      <c r="H1338" s="102"/>
      <c r="J1338" s="102"/>
      <c r="K1338" s="450"/>
      <c r="L1338" s="443"/>
      <c r="M1338" s="450"/>
      <c r="N1338" s="452">
        <f t="array" ref="N1338">IFERROR(
  INDEX(
    'Valor Hora Real y Estimada'!$A$4:$Z$78,
    MATCH(TRIM(CLEAN(A1338)), 'Valor Hora Real y Estimada'!$A$4:$A$78, 0),
    MATCH(
      TEXT(C1338,"dd mmm")&amp;" "&amp;D1338,
      'Valor Hora Real y Estimada'!$A$3:$Z$3,
      0
    ) + 1
  ),
  0
)</f>
        <v>0</v>
      </c>
      <c r="O1338" s="453"/>
      <c r="P1338" s="113"/>
      <c r="Q1338" s="106" t="str">
        <f>IF(ISBLANK(O1338), "", VLOOKUP(C1338&amp;" "&amp;D1338, 'Info Tipo de Cambio y REM'!$A$24:$B$35, 2, FALSE))</f>
        <v/>
      </c>
      <c r="R1338" s="107" t="str">
        <f t="shared" si="32"/>
        <v/>
      </c>
    </row>
    <row r="1339" hidden="1">
      <c r="A1339" s="443"/>
      <c r="B1339" s="43" t="str">
        <f>IF(A1339="", "", IFERROR(VLOOKUP(A1339, Clasificaciones!A:B, 2, FALSE), "DATO NO CARGADO"))
</f>
        <v/>
      </c>
      <c r="C1339" s="51"/>
      <c r="D1339" s="102"/>
      <c r="E1339" s="102"/>
      <c r="H1339" s="102"/>
      <c r="J1339" s="102"/>
      <c r="K1339" s="450"/>
      <c r="L1339" s="443"/>
      <c r="M1339" s="450"/>
      <c r="N1339" s="452">
        <f t="array" ref="N1339">IFERROR(
  INDEX(
    'Valor Hora Real y Estimada'!$A$4:$Z$78,
    MATCH(TRIM(CLEAN(A1339)), 'Valor Hora Real y Estimada'!$A$4:$A$78, 0),
    MATCH(
      TEXT(C1339,"dd mmm")&amp;" "&amp;D1339,
      'Valor Hora Real y Estimada'!$A$3:$Z$3,
      0
    ) + 1
  ),
  0
)</f>
        <v>0</v>
      </c>
      <c r="O1339" s="453"/>
      <c r="P1339" s="113"/>
      <c r="Q1339" s="106" t="str">
        <f>IF(ISBLANK(O1339), "", VLOOKUP(C1339&amp;" "&amp;D1339, 'Info Tipo de Cambio y REM'!$A$24:$B$35, 2, FALSE))</f>
        <v/>
      </c>
      <c r="R1339" s="107" t="str">
        <f t="shared" si="32"/>
        <v/>
      </c>
    </row>
    <row r="1340" hidden="1">
      <c r="A1340" s="443"/>
      <c r="B1340" s="43" t="str">
        <f>IF(A1340="", "", IFERROR(VLOOKUP(A1340, Clasificaciones!A:B, 2, FALSE), "DATO NO CARGADO"))
</f>
        <v/>
      </c>
      <c r="C1340" s="51"/>
      <c r="D1340" s="102"/>
      <c r="E1340" s="102"/>
      <c r="H1340" s="102"/>
      <c r="J1340" s="102"/>
      <c r="K1340" s="450"/>
      <c r="L1340" s="443"/>
      <c r="M1340" s="450"/>
      <c r="N1340" s="452">
        <f t="array" ref="N1340">IFERROR(
  INDEX(
    'Valor Hora Real y Estimada'!$A$4:$Z$78,
    MATCH(TRIM(CLEAN(A1340)), 'Valor Hora Real y Estimada'!$A$4:$A$78, 0),
    MATCH(
      TEXT(C1340,"dd mmm")&amp;" "&amp;D1340,
      'Valor Hora Real y Estimada'!$A$3:$Z$3,
      0
    ) + 1
  ),
  0
)</f>
        <v>0</v>
      </c>
      <c r="O1340" s="453"/>
      <c r="P1340" s="113"/>
      <c r="Q1340" s="106" t="str">
        <f>IF(ISBLANK(O1340), "", VLOOKUP(C1340&amp;" "&amp;D1340, 'Info Tipo de Cambio y REM'!$A$24:$B$35, 2, FALSE))</f>
        <v/>
      </c>
      <c r="R1340" s="107" t="str">
        <f t="shared" si="32"/>
        <v/>
      </c>
    </row>
    <row r="1341" hidden="1">
      <c r="A1341" s="443"/>
      <c r="B1341" s="43" t="str">
        <f>IF(A1341="", "", IFERROR(VLOOKUP(A1341, Clasificaciones!A:B, 2, FALSE), "DATO NO CARGADO"))
</f>
        <v/>
      </c>
      <c r="C1341" s="51"/>
      <c r="D1341" s="102"/>
      <c r="E1341" s="102"/>
      <c r="H1341" s="102"/>
      <c r="J1341" s="102"/>
      <c r="K1341" s="450"/>
      <c r="L1341" s="443"/>
      <c r="M1341" s="450"/>
      <c r="N1341" s="452">
        <f t="array" ref="N1341">IFERROR(
  INDEX(
    'Valor Hora Real y Estimada'!$A$4:$Z$78,
    MATCH(TRIM(CLEAN(A1341)), 'Valor Hora Real y Estimada'!$A$4:$A$78, 0),
    MATCH(
      TEXT(C1341,"dd mmm")&amp;" "&amp;D1341,
      'Valor Hora Real y Estimada'!$A$3:$Z$3,
      0
    ) + 1
  ),
  0
)</f>
        <v>0</v>
      </c>
      <c r="O1341" s="453"/>
      <c r="P1341" s="113"/>
      <c r="Q1341" s="106" t="str">
        <f>IF(ISBLANK(O1341), "", VLOOKUP(C1341&amp;" "&amp;D1341, 'Info Tipo de Cambio y REM'!$A$24:$B$35, 2, FALSE))</f>
        <v/>
      </c>
      <c r="R1341" s="107" t="str">
        <f t="shared" si="32"/>
        <v/>
      </c>
    </row>
    <row r="1342" hidden="1">
      <c r="A1342" s="443"/>
      <c r="B1342" s="43" t="str">
        <f>IF(A1342="", "", IFERROR(VLOOKUP(A1342, Clasificaciones!A:B, 2, FALSE), "DATO NO CARGADO"))
</f>
        <v/>
      </c>
      <c r="C1342" s="51"/>
      <c r="D1342" s="102"/>
      <c r="E1342" s="102"/>
      <c r="H1342" s="102"/>
      <c r="J1342" s="102"/>
      <c r="K1342" s="450"/>
      <c r="L1342" s="443"/>
      <c r="M1342" s="450"/>
      <c r="N1342" s="452">
        <f t="array" ref="N1342">IFERROR(
  INDEX(
    'Valor Hora Real y Estimada'!$A$4:$Z$78,
    MATCH(TRIM(CLEAN(A1342)), 'Valor Hora Real y Estimada'!$A$4:$A$78, 0),
    MATCH(
      TEXT(C1342,"dd mmm")&amp;" "&amp;D1342,
      'Valor Hora Real y Estimada'!$A$3:$Z$3,
      0
    ) + 1
  ),
  0
)</f>
        <v>0</v>
      </c>
      <c r="O1342" s="453"/>
      <c r="P1342" s="113"/>
      <c r="Q1342" s="106" t="str">
        <f>IF(ISBLANK(O1342), "", VLOOKUP(C1342&amp;" "&amp;D1342, 'Info Tipo de Cambio y REM'!$A$24:$B$35, 2, FALSE))</f>
        <v/>
      </c>
      <c r="R1342" s="107" t="str">
        <f t="shared" si="32"/>
        <v/>
      </c>
    </row>
    <row r="1343" hidden="1">
      <c r="A1343" s="443"/>
      <c r="B1343" s="43" t="str">
        <f>IF(A1343="", "", IFERROR(VLOOKUP(A1343, Clasificaciones!A:B, 2, FALSE), "DATO NO CARGADO"))
</f>
        <v/>
      </c>
      <c r="C1343" s="51"/>
      <c r="D1343" s="102"/>
      <c r="E1343" s="102"/>
      <c r="H1343" s="102"/>
      <c r="J1343" s="102"/>
      <c r="K1343" s="450"/>
      <c r="L1343" s="443"/>
      <c r="M1343" s="450"/>
      <c r="N1343" s="452">
        <f t="array" ref="N1343">IFERROR(
  INDEX(
    'Valor Hora Real y Estimada'!$A$4:$Z$78,
    MATCH(TRIM(CLEAN(A1343)), 'Valor Hora Real y Estimada'!$A$4:$A$78, 0),
    MATCH(
      TEXT(C1343,"dd mmm")&amp;" "&amp;D1343,
      'Valor Hora Real y Estimada'!$A$3:$Z$3,
      0
    ) + 1
  ),
  0
)</f>
        <v>0</v>
      </c>
      <c r="O1343" s="453"/>
      <c r="P1343" s="113"/>
      <c r="Q1343" s="106" t="str">
        <f>IF(ISBLANK(O1343), "", VLOOKUP(C1343&amp;" "&amp;D1343, 'Info Tipo de Cambio y REM'!$A$24:$B$35, 2, FALSE))</f>
        <v/>
      </c>
      <c r="R1343" s="107" t="str">
        <f t="shared" si="32"/>
        <v/>
      </c>
    </row>
    <row r="1344" hidden="1">
      <c r="A1344" s="443"/>
      <c r="B1344" s="43" t="str">
        <f>IF(A1344="", "", IFERROR(VLOOKUP(A1344, Clasificaciones!A:B, 2, FALSE), "DATO NO CARGADO"))
</f>
        <v/>
      </c>
      <c r="C1344" s="51"/>
      <c r="D1344" s="102"/>
      <c r="E1344" s="102"/>
      <c r="H1344" s="102"/>
      <c r="J1344" s="102"/>
      <c r="K1344" s="450"/>
      <c r="L1344" s="443"/>
      <c r="M1344" s="450"/>
      <c r="N1344" s="452">
        <f t="array" ref="N1344">IFERROR(
  INDEX(
    'Valor Hora Real y Estimada'!$A$4:$Z$78,
    MATCH(TRIM(CLEAN(A1344)), 'Valor Hora Real y Estimada'!$A$4:$A$78, 0),
    MATCH(
      TEXT(C1344,"dd mmm")&amp;" "&amp;D1344,
      'Valor Hora Real y Estimada'!$A$3:$Z$3,
      0
    ) + 1
  ),
  0
)</f>
        <v>0</v>
      </c>
      <c r="O1344" s="453"/>
      <c r="P1344" s="113"/>
      <c r="Q1344" s="106" t="str">
        <f>IF(ISBLANK(O1344), "", VLOOKUP(C1344&amp;" "&amp;D1344, 'Info Tipo de Cambio y REM'!$A$24:$B$35, 2, FALSE))</f>
        <v/>
      </c>
      <c r="R1344" s="107" t="str">
        <f t="shared" si="32"/>
        <v/>
      </c>
    </row>
    <row r="1345" hidden="1">
      <c r="A1345" s="443"/>
      <c r="B1345" s="43" t="str">
        <f>IF(A1345="", "", IFERROR(VLOOKUP(A1345, Clasificaciones!A:B, 2, FALSE), "DATO NO CARGADO"))
</f>
        <v/>
      </c>
      <c r="C1345" s="51"/>
      <c r="D1345" s="102"/>
      <c r="E1345" s="102"/>
      <c r="H1345" s="102"/>
      <c r="J1345" s="102"/>
      <c r="K1345" s="450"/>
      <c r="L1345" s="443"/>
      <c r="M1345" s="450"/>
      <c r="N1345" s="452">
        <f t="array" ref="N1345">IFERROR(
  INDEX(
    'Valor Hora Real y Estimada'!$A$4:$Z$78,
    MATCH(TRIM(CLEAN(A1345)), 'Valor Hora Real y Estimada'!$A$4:$A$78, 0),
    MATCH(
      TEXT(C1345,"dd mmm")&amp;" "&amp;D1345,
      'Valor Hora Real y Estimada'!$A$3:$Z$3,
      0
    ) + 1
  ),
  0
)</f>
        <v>0</v>
      </c>
      <c r="O1345" s="453"/>
      <c r="P1345" s="113"/>
      <c r="Q1345" s="106" t="str">
        <f>IF(ISBLANK(O1345), "", VLOOKUP(C1345&amp;" "&amp;D1345, 'Info Tipo de Cambio y REM'!$A$24:$B$35, 2, FALSE))</f>
        <v/>
      </c>
      <c r="R1345" s="107" t="str">
        <f t="shared" si="32"/>
        <v/>
      </c>
    </row>
    <row r="1346" hidden="1">
      <c r="A1346" s="443"/>
      <c r="B1346" s="43" t="str">
        <f>IF(A1346="", "", IFERROR(VLOOKUP(A1346, Clasificaciones!A:B, 2, FALSE), "DATO NO CARGADO"))
</f>
        <v/>
      </c>
      <c r="C1346" s="51"/>
      <c r="D1346" s="102"/>
      <c r="E1346" s="102"/>
      <c r="H1346" s="102"/>
      <c r="J1346" s="102"/>
      <c r="K1346" s="450"/>
      <c r="L1346" s="443"/>
      <c r="M1346" s="450"/>
      <c r="N1346" s="452">
        <f t="array" ref="N1346">IFERROR(
  INDEX(
    'Valor Hora Real y Estimada'!$A$4:$Z$78,
    MATCH(TRIM(CLEAN(A1346)), 'Valor Hora Real y Estimada'!$A$4:$A$78, 0),
    MATCH(
      TEXT(C1346,"dd mmm")&amp;" "&amp;D1346,
      'Valor Hora Real y Estimada'!$A$3:$Z$3,
      0
    ) + 1
  ),
  0
)</f>
        <v>0</v>
      </c>
      <c r="O1346" s="453"/>
      <c r="P1346" s="113"/>
      <c r="Q1346" s="106" t="str">
        <f>IF(ISBLANK(O1346), "", VLOOKUP(C1346&amp;" "&amp;D1346, 'Info Tipo de Cambio y REM'!$A$24:$B$35, 2, FALSE))</f>
        <v/>
      </c>
      <c r="R1346" s="107" t="str">
        <f t="shared" si="32"/>
        <v/>
      </c>
    </row>
    <row r="1347" hidden="1">
      <c r="A1347" s="443"/>
      <c r="B1347" s="43" t="str">
        <f>IF(A1347="", "", IFERROR(VLOOKUP(A1347, Clasificaciones!A:B, 2, FALSE), "DATO NO CARGADO"))
</f>
        <v/>
      </c>
      <c r="C1347" s="51"/>
      <c r="D1347" s="102"/>
      <c r="E1347" s="102"/>
      <c r="H1347" s="102"/>
      <c r="J1347" s="102"/>
      <c r="K1347" s="450"/>
      <c r="L1347" s="443"/>
      <c r="M1347" s="450"/>
      <c r="N1347" s="452">
        <f t="array" ref="N1347">IFERROR(
  INDEX(
    'Valor Hora Real y Estimada'!$A$4:$Z$78,
    MATCH(TRIM(CLEAN(A1347)), 'Valor Hora Real y Estimada'!$A$4:$A$78, 0),
    MATCH(
      TEXT(C1347,"dd mmm")&amp;" "&amp;D1347,
      'Valor Hora Real y Estimada'!$A$3:$Z$3,
      0
    ) + 1
  ),
  0
)</f>
        <v>0</v>
      </c>
      <c r="O1347" s="453"/>
      <c r="P1347" s="113"/>
      <c r="Q1347" s="106" t="str">
        <f>IF(ISBLANK(O1347), "", VLOOKUP(C1347&amp;" "&amp;D1347, 'Info Tipo de Cambio y REM'!$A$24:$B$35, 2, FALSE))</f>
        <v/>
      </c>
      <c r="R1347" s="107" t="str">
        <f t="shared" si="32"/>
        <v/>
      </c>
    </row>
    <row r="1348" hidden="1">
      <c r="A1348" s="443"/>
      <c r="B1348" s="43" t="str">
        <f>IF(A1348="", "", IFERROR(VLOOKUP(A1348, Clasificaciones!A:B, 2, FALSE), "DATO NO CARGADO"))
</f>
        <v/>
      </c>
      <c r="C1348" s="51"/>
      <c r="D1348" s="102"/>
      <c r="E1348" s="102"/>
      <c r="H1348" s="102"/>
      <c r="J1348" s="102"/>
      <c r="K1348" s="450"/>
      <c r="L1348" s="443"/>
      <c r="M1348" s="450"/>
      <c r="N1348" s="452">
        <f t="array" ref="N1348">IFERROR(
  INDEX(
    'Valor Hora Real y Estimada'!$A$4:$Z$78,
    MATCH(TRIM(CLEAN(A1348)), 'Valor Hora Real y Estimada'!$A$4:$A$78, 0),
    MATCH(
      TEXT(C1348,"dd mmm")&amp;" "&amp;D1348,
      'Valor Hora Real y Estimada'!$A$3:$Z$3,
      0
    ) + 1
  ),
  0
)</f>
        <v>0</v>
      </c>
      <c r="O1348" s="453"/>
      <c r="P1348" s="113"/>
      <c r="Q1348" s="106" t="str">
        <f>IF(ISBLANK(O1348), "", VLOOKUP(C1348&amp;" "&amp;D1348, 'Info Tipo de Cambio y REM'!$A$24:$B$35, 2, FALSE))</f>
        <v/>
      </c>
      <c r="R1348" s="107" t="str">
        <f t="shared" si="32"/>
        <v/>
      </c>
    </row>
    <row r="1349" hidden="1">
      <c r="A1349" s="443"/>
      <c r="B1349" s="43" t="str">
        <f>IF(A1349="", "", IFERROR(VLOOKUP(A1349, Clasificaciones!A:B, 2, FALSE), "DATO NO CARGADO"))
</f>
        <v/>
      </c>
      <c r="C1349" s="51"/>
      <c r="D1349" s="102"/>
      <c r="E1349" s="102"/>
      <c r="H1349" s="102"/>
      <c r="J1349" s="102"/>
      <c r="K1349" s="450"/>
      <c r="L1349" s="443"/>
      <c r="M1349" s="450"/>
      <c r="N1349" s="452">
        <f t="array" ref="N1349">IFERROR(
  INDEX(
    'Valor Hora Real y Estimada'!$A$4:$Z$78,
    MATCH(TRIM(CLEAN(A1349)), 'Valor Hora Real y Estimada'!$A$4:$A$78, 0),
    MATCH(
      TEXT(C1349,"dd mmm")&amp;" "&amp;D1349,
      'Valor Hora Real y Estimada'!$A$3:$Z$3,
      0
    ) + 1
  ),
  0
)</f>
        <v>0</v>
      </c>
      <c r="O1349" s="453"/>
      <c r="P1349" s="113"/>
      <c r="Q1349" s="106" t="str">
        <f>IF(ISBLANK(O1349), "", VLOOKUP(C1349&amp;" "&amp;D1349, 'Info Tipo de Cambio y REM'!$A$24:$B$35, 2, FALSE))</f>
        <v/>
      </c>
      <c r="R1349" s="107" t="str">
        <f t="shared" si="32"/>
        <v/>
      </c>
    </row>
    <row r="1350" hidden="1">
      <c r="A1350" s="443"/>
      <c r="B1350" s="43" t="str">
        <f>IF(A1350="", "", IFERROR(VLOOKUP(A1350, Clasificaciones!A:B, 2, FALSE), "DATO NO CARGADO"))
</f>
        <v/>
      </c>
      <c r="C1350" s="51"/>
      <c r="D1350" s="102"/>
      <c r="E1350" s="102"/>
      <c r="H1350" s="102"/>
      <c r="J1350" s="102"/>
      <c r="K1350" s="450"/>
      <c r="L1350" s="443"/>
      <c r="M1350" s="450"/>
      <c r="N1350" s="452">
        <f t="array" ref="N1350">IFERROR(
  INDEX(
    'Valor Hora Real y Estimada'!$A$4:$Z$78,
    MATCH(TRIM(CLEAN(A1350)), 'Valor Hora Real y Estimada'!$A$4:$A$78, 0),
    MATCH(
      TEXT(C1350,"dd mmm")&amp;" "&amp;D1350,
      'Valor Hora Real y Estimada'!$A$3:$Z$3,
      0
    ) + 1
  ),
  0
)</f>
        <v>0</v>
      </c>
      <c r="O1350" s="453"/>
      <c r="P1350" s="113"/>
      <c r="Q1350" s="106" t="str">
        <f>IF(ISBLANK(O1350), "", VLOOKUP(C1350&amp;" "&amp;D1350, 'Info Tipo de Cambio y REM'!$A$24:$B$35, 2, FALSE))</f>
        <v/>
      </c>
      <c r="R1350" s="107" t="str">
        <f t="shared" si="32"/>
        <v/>
      </c>
    </row>
    <row r="1351" hidden="1">
      <c r="A1351" s="443"/>
      <c r="B1351" s="43" t="str">
        <f>IF(A1351="", "", IFERROR(VLOOKUP(A1351, Clasificaciones!A:B, 2, FALSE), "DATO NO CARGADO"))
</f>
        <v/>
      </c>
      <c r="C1351" s="51"/>
      <c r="D1351" s="102"/>
      <c r="E1351" s="102"/>
      <c r="H1351" s="102"/>
      <c r="J1351" s="102"/>
      <c r="K1351" s="450"/>
      <c r="L1351" s="443"/>
      <c r="M1351" s="450"/>
      <c r="N1351" s="452">
        <f t="array" ref="N1351">IFERROR(
  INDEX(
    'Valor Hora Real y Estimada'!$A$4:$Z$78,
    MATCH(TRIM(CLEAN(A1351)), 'Valor Hora Real y Estimada'!$A$4:$A$78, 0),
    MATCH(
      TEXT(C1351,"dd mmm")&amp;" "&amp;D1351,
      'Valor Hora Real y Estimada'!$A$3:$Z$3,
      0
    ) + 1
  ),
  0
)</f>
        <v>0</v>
      </c>
      <c r="O1351" s="453"/>
      <c r="P1351" s="113"/>
      <c r="Q1351" s="106" t="str">
        <f>IF(ISBLANK(O1351), "", VLOOKUP(C1351&amp;" "&amp;D1351, 'Info Tipo de Cambio y REM'!$A$24:$B$35, 2, FALSE))</f>
        <v/>
      </c>
      <c r="R1351" s="107" t="str">
        <f t="shared" si="32"/>
        <v/>
      </c>
    </row>
    <row r="1352" hidden="1">
      <c r="A1352" s="443"/>
      <c r="B1352" s="43" t="str">
        <f>IF(A1352="", "", IFERROR(VLOOKUP(A1352, Clasificaciones!A:B, 2, FALSE), "DATO NO CARGADO"))
</f>
        <v/>
      </c>
      <c r="C1352" s="51"/>
      <c r="D1352" s="102"/>
      <c r="E1352" s="102"/>
      <c r="H1352" s="102"/>
      <c r="J1352" s="102"/>
      <c r="K1352" s="450"/>
      <c r="L1352" s="443"/>
      <c r="M1352" s="450"/>
      <c r="N1352" s="452">
        <f t="array" ref="N1352">IFERROR(
  INDEX(
    'Valor Hora Real y Estimada'!$A$4:$Z$78,
    MATCH(TRIM(CLEAN(A1352)), 'Valor Hora Real y Estimada'!$A$4:$A$78, 0),
    MATCH(
      TEXT(C1352,"dd mmm")&amp;" "&amp;D1352,
      'Valor Hora Real y Estimada'!$A$3:$Z$3,
      0
    ) + 1
  ),
  0
)</f>
        <v>0</v>
      </c>
      <c r="O1352" s="453"/>
      <c r="P1352" s="113"/>
      <c r="Q1352" s="106" t="str">
        <f>IF(ISBLANK(O1352), "", VLOOKUP(C1352&amp;" "&amp;D1352, 'Info Tipo de Cambio y REM'!$A$24:$B$35, 2, FALSE))</f>
        <v/>
      </c>
      <c r="R1352" s="107" t="str">
        <f t="shared" si="32"/>
        <v/>
      </c>
    </row>
    <row r="1353" hidden="1">
      <c r="A1353" s="443"/>
      <c r="B1353" s="43" t="str">
        <f>IF(A1353="", "", IFERROR(VLOOKUP(A1353, Clasificaciones!A:B, 2, FALSE), "DATO NO CARGADO"))
</f>
        <v/>
      </c>
      <c r="C1353" s="51"/>
      <c r="D1353" s="102"/>
      <c r="E1353" s="102"/>
      <c r="H1353" s="102"/>
      <c r="J1353" s="102"/>
      <c r="K1353" s="450"/>
      <c r="L1353" s="443"/>
      <c r="M1353" s="450"/>
      <c r="N1353" s="452">
        <f t="array" ref="N1353">IFERROR(
  INDEX(
    'Valor Hora Real y Estimada'!$A$4:$Z$78,
    MATCH(TRIM(CLEAN(A1353)), 'Valor Hora Real y Estimada'!$A$4:$A$78, 0),
    MATCH(
      TEXT(C1353,"dd mmm")&amp;" "&amp;D1353,
      'Valor Hora Real y Estimada'!$A$3:$Z$3,
      0
    ) + 1
  ),
  0
)</f>
        <v>0</v>
      </c>
      <c r="O1353" s="453"/>
      <c r="P1353" s="113"/>
      <c r="Q1353" s="106" t="str">
        <f>IF(ISBLANK(O1353), "", VLOOKUP(C1353&amp;" "&amp;D1353, 'Info Tipo de Cambio y REM'!$A$24:$B$35, 2, FALSE))</f>
        <v/>
      </c>
      <c r="R1353" s="107" t="str">
        <f t="shared" si="32"/>
        <v/>
      </c>
    </row>
    <row r="1354" hidden="1">
      <c r="A1354" s="443"/>
      <c r="B1354" s="43" t="str">
        <f>IF(A1354="", "", IFERROR(VLOOKUP(A1354, Clasificaciones!A:B, 2, FALSE), "DATO NO CARGADO"))
</f>
        <v/>
      </c>
      <c r="C1354" s="51"/>
      <c r="D1354" s="102"/>
      <c r="E1354" s="102"/>
      <c r="H1354" s="102"/>
      <c r="J1354" s="102"/>
      <c r="K1354" s="450"/>
      <c r="L1354" s="443"/>
      <c r="M1354" s="450"/>
      <c r="N1354" s="452">
        <f t="array" ref="N1354">IFERROR(
  INDEX(
    'Valor Hora Real y Estimada'!$A$4:$Z$78,
    MATCH(TRIM(CLEAN(A1354)), 'Valor Hora Real y Estimada'!$A$4:$A$78, 0),
    MATCH(
      TEXT(C1354,"dd mmm")&amp;" "&amp;D1354,
      'Valor Hora Real y Estimada'!$A$3:$Z$3,
      0
    ) + 1
  ),
  0
)</f>
        <v>0</v>
      </c>
      <c r="O1354" s="453"/>
      <c r="P1354" s="113"/>
      <c r="Q1354" s="106" t="str">
        <f>IF(ISBLANK(O1354), "", VLOOKUP(C1354&amp;" "&amp;D1354, 'Info Tipo de Cambio y REM'!$A$24:$B$35, 2, FALSE))</f>
        <v/>
      </c>
      <c r="R1354" s="107" t="str">
        <f t="shared" si="32"/>
        <v/>
      </c>
    </row>
    <row r="1355" hidden="1">
      <c r="A1355" s="443"/>
      <c r="B1355" s="43" t="str">
        <f>IF(A1355="", "", IFERROR(VLOOKUP(A1355, Clasificaciones!A:B, 2, FALSE), "DATO NO CARGADO"))
</f>
        <v/>
      </c>
      <c r="C1355" s="51"/>
      <c r="D1355" s="102"/>
      <c r="E1355" s="102"/>
      <c r="H1355" s="102"/>
      <c r="J1355" s="102"/>
      <c r="K1355" s="450"/>
      <c r="L1355" s="443"/>
      <c r="M1355" s="450"/>
      <c r="N1355" s="452">
        <f t="array" ref="N1355">IFERROR(
  INDEX(
    'Valor Hora Real y Estimada'!$A$4:$Z$78,
    MATCH(TRIM(CLEAN(A1355)), 'Valor Hora Real y Estimada'!$A$4:$A$78, 0),
    MATCH(
      TEXT(C1355,"dd mmm")&amp;" "&amp;D1355,
      'Valor Hora Real y Estimada'!$A$3:$Z$3,
      0
    ) + 1
  ),
  0
)</f>
        <v>0</v>
      </c>
      <c r="O1355" s="453"/>
      <c r="P1355" s="113"/>
      <c r="Q1355" s="106" t="str">
        <f>IF(ISBLANK(O1355), "", VLOOKUP(C1355&amp;" "&amp;D1355, 'Info Tipo de Cambio y REM'!$A$24:$B$35, 2, FALSE))</f>
        <v/>
      </c>
      <c r="R1355" s="107" t="str">
        <f t="shared" si="32"/>
        <v/>
      </c>
    </row>
    <row r="1356" hidden="1">
      <c r="A1356" s="443"/>
      <c r="B1356" s="43" t="str">
        <f>IF(A1356="", "", IFERROR(VLOOKUP(A1356, Clasificaciones!A:B, 2, FALSE), "DATO NO CARGADO"))
</f>
        <v/>
      </c>
      <c r="C1356" s="51"/>
      <c r="D1356" s="102"/>
      <c r="E1356" s="102"/>
      <c r="H1356" s="102"/>
      <c r="J1356" s="102"/>
      <c r="K1356" s="450"/>
      <c r="L1356" s="443"/>
      <c r="M1356" s="450"/>
      <c r="N1356" s="452">
        <f t="array" ref="N1356">IFERROR(
  INDEX(
    'Valor Hora Real y Estimada'!$A$4:$Z$78,
    MATCH(TRIM(CLEAN(A1356)), 'Valor Hora Real y Estimada'!$A$4:$A$78, 0),
    MATCH(
      TEXT(C1356,"dd mmm")&amp;" "&amp;D1356,
      'Valor Hora Real y Estimada'!$A$3:$Z$3,
      0
    ) + 1
  ),
  0
)</f>
        <v>0</v>
      </c>
      <c r="O1356" s="453"/>
      <c r="P1356" s="113"/>
      <c r="Q1356" s="106" t="str">
        <f>IF(ISBLANK(O1356), "", VLOOKUP(C1356&amp;" "&amp;D1356, 'Info Tipo de Cambio y REM'!$A$24:$B$35, 2, FALSE))</f>
        <v/>
      </c>
      <c r="R1356" s="107" t="str">
        <f t="shared" si="32"/>
        <v/>
      </c>
    </row>
    <row r="1357" hidden="1">
      <c r="A1357" s="443"/>
      <c r="B1357" s="43" t="str">
        <f>IF(A1357="", "", IFERROR(VLOOKUP(A1357, Clasificaciones!A:B, 2, FALSE), "DATO NO CARGADO"))
</f>
        <v/>
      </c>
      <c r="C1357" s="51"/>
      <c r="D1357" s="102"/>
      <c r="E1357" s="102"/>
      <c r="H1357" s="102"/>
      <c r="J1357" s="102"/>
      <c r="K1357" s="450"/>
      <c r="L1357" s="443"/>
      <c r="M1357" s="450"/>
      <c r="N1357" s="452">
        <f t="array" ref="N1357">IFERROR(
  INDEX(
    'Valor Hora Real y Estimada'!$A$4:$Z$78,
    MATCH(TRIM(CLEAN(A1357)), 'Valor Hora Real y Estimada'!$A$4:$A$78, 0),
    MATCH(
      TEXT(C1357,"dd mmm")&amp;" "&amp;D1357,
      'Valor Hora Real y Estimada'!$A$3:$Z$3,
      0
    ) + 1
  ),
  0
)</f>
        <v>0</v>
      </c>
      <c r="O1357" s="453"/>
      <c r="P1357" s="113"/>
      <c r="Q1357" s="106" t="str">
        <f>IF(ISBLANK(O1357), "", VLOOKUP(C1357&amp;" "&amp;D1357, 'Info Tipo de Cambio y REM'!$A$24:$B$35, 2, FALSE))</f>
        <v/>
      </c>
      <c r="R1357" s="107" t="str">
        <f t="shared" si="32"/>
        <v/>
      </c>
    </row>
    <row r="1358" hidden="1">
      <c r="A1358" s="443"/>
      <c r="B1358" s="43" t="str">
        <f>IF(A1358="", "", IFERROR(VLOOKUP(A1358, Clasificaciones!A:B, 2, FALSE), "DATO NO CARGADO"))
</f>
        <v/>
      </c>
      <c r="C1358" s="51"/>
      <c r="D1358" s="102"/>
      <c r="E1358" s="102"/>
      <c r="H1358" s="102"/>
      <c r="J1358" s="102"/>
      <c r="K1358" s="450"/>
      <c r="L1358" s="443"/>
      <c r="M1358" s="450"/>
      <c r="N1358" s="452">
        <f t="array" ref="N1358">IFERROR(
  INDEX(
    'Valor Hora Real y Estimada'!$A$4:$Z$78,
    MATCH(TRIM(CLEAN(A1358)), 'Valor Hora Real y Estimada'!$A$4:$A$78, 0),
    MATCH(
      TEXT(C1358,"dd mmm")&amp;" "&amp;D1358,
      'Valor Hora Real y Estimada'!$A$3:$Z$3,
      0
    ) + 1
  ),
  0
)</f>
        <v>0</v>
      </c>
      <c r="O1358" s="453"/>
      <c r="P1358" s="113"/>
      <c r="Q1358" s="106" t="str">
        <f>IF(ISBLANK(O1358), "", VLOOKUP(C1358&amp;" "&amp;D1358, 'Info Tipo de Cambio y REM'!$A$24:$B$35, 2, FALSE))</f>
        <v/>
      </c>
      <c r="R1358" s="107" t="str">
        <f t="shared" si="32"/>
        <v/>
      </c>
    </row>
    <row r="1359" hidden="1">
      <c r="A1359" s="443"/>
      <c r="B1359" s="43" t="str">
        <f>IF(A1359="", "", IFERROR(VLOOKUP(A1359, Clasificaciones!A:B, 2, FALSE), "DATO NO CARGADO"))
</f>
        <v/>
      </c>
      <c r="C1359" s="51"/>
      <c r="D1359" s="102"/>
      <c r="E1359" s="102"/>
      <c r="H1359" s="102"/>
      <c r="J1359" s="102"/>
      <c r="K1359" s="450"/>
      <c r="L1359" s="443"/>
      <c r="M1359" s="450"/>
      <c r="N1359" s="452">
        <f t="array" ref="N1359">IFERROR(
  INDEX(
    'Valor Hora Real y Estimada'!$A$4:$Z$78,
    MATCH(TRIM(CLEAN(A1359)), 'Valor Hora Real y Estimada'!$A$4:$A$78, 0),
    MATCH(
      TEXT(C1359,"dd mmm")&amp;" "&amp;D1359,
      'Valor Hora Real y Estimada'!$A$3:$Z$3,
      0
    ) + 1
  ),
  0
)</f>
        <v>0</v>
      </c>
      <c r="O1359" s="453"/>
      <c r="P1359" s="113"/>
      <c r="Q1359" s="106" t="str">
        <f>IF(ISBLANK(O1359), "", VLOOKUP(C1359&amp;" "&amp;D1359, 'Info Tipo de Cambio y REM'!$A$24:$B$35, 2, FALSE))</f>
        <v/>
      </c>
      <c r="R1359" s="107" t="str">
        <f t="shared" si="32"/>
        <v/>
      </c>
    </row>
    <row r="1360" hidden="1">
      <c r="A1360" s="443"/>
      <c r="B1360" s="43" t="str">
        <f>IF(A1360="", "", IFERROR(VLOOKUP(A1360, Clasificaciones!A:B, 2, FALSE), "DATO NO CARGADO"))
</f>
        <v/>
      </c>
      <c r="C1360" s="51"/>
      <c r="D1360" s="102"/>
      <c r="E1360" s="102"/>
      <c r="H1360" s="102"/>
      <c r="J1360" s="102"/>
      <c r="K1360" s="450"/>
      <c r="L1360" s="443"/>
      <c r="M1360" s="450"/>
      <c r="N1360" s="452">
        <f t="array" ref="N1360">IFERROR(
  INDEX(
    'Valor Hora Real y Estimada'!$A$4:$Z$78,
    MATCH(TRIM(CLEAN(A1360)), 'Valor Hora Real y Estimada'!$A$4:$A$78, 0),
    MATCH(
      TEXT(C1360,"dd mmm")&amp;" "&amp;D1360,
      'Valor Hora Real y Estimada'!$A$3:$Z$3,
      0
    ) + 1
  ),
  0
)</f>
        <v>0</v>
      </c>
      <c r="O1360" s="453"/>
      <c r="P1360" s="113"/>
      <c r="Q1360" s="106" t="str">
        <f>IF(ISBLANK(O1360), "", VLOOKUP(C1360&amp;" "&amp;D1360, 'Info Tipo de Cambio y REM'!$A$24:$B$35, 2, FALSE))</f>
        <v/>
      </c>
      <c r="R1360" s="107" t="str">
        <f t="shared" si="32"/>
        <v/>
      </c>
    </row>
    <row r="1361" hidden="1">
      <c r="A1361" s="443"/>
      <c r="B1361" s="43" t="str">
        <f>IF(A1361="", "", IFERROR(VLOOKUP(A1361, Clasificaciones!A:B, 2, FALSE), "DATO NO CARGADO"))
</f>
        <v/>
      </c>
      <c r="C1361" s="51"/>
      <c r="D1361" s="102"/>
      <c r="E1361" s="102"/>
      <c r="H1361" s="102"/>
      <c r="J1361" s="102"/>
      <c r="K1361" s="450"/>
      <c r="L1361" s="443"/>
      <c r="M1361" s="450"/>
      <c r="N1361" s="452">
        <f t="array" ref="N1361">IFERROR(
  INDEX(
    'Valor Hora Real y Estimada'!$A$4:$Z$78,
    MATCH(TRIM(CLEAN(A1361)), 'Valor Hora Real y Estimada'!$A$4:$A$78, 0),
    MATCH(
      TEXT(C1361,"dd mmm")&amp;" "&amp;D1361,
      'Valor Hora Real y Estimada'!$A$3:$Z$3,
      0
    ) + 1
  ),
  0
)</f>
        <v>0</v>
      </c>
      <c r="O1361" s="453"/>
      <c r="P1361" s="113"/>
      <c r="Q1361" s="106" t="str">
        <f>IF(ISBLANK(O1361), "", VLOOKUP(C1361&amp;" "&amp;D1361, 'Info Tipo de Cambio y REM'!$A$24:$B$35, 2, FALSE))</f>
        <v/>
      </c>
      <c r="R1361" s="107" t="str">
        <f t="shared" si="32"/>
        <v/>
      </c>
    </row>
    <row r="1362" hidden="1">
      <c r="A1362" s="443"/>
      <c r="B1362" s="43" t="str">
        <f>IF(A1362="", "", IFERROR(VLOOKUP(A1362, Clasificaciones!A:B, 2, FALSE), "DATO NO CARGADO"))
</f>
        <v/>
      </c>
      <c r="C1362" s="51"/>
      <c r="D1362" s="102"/>
      <c r="E1362" s="102"/>
      <c r="H1362" s="102"/>
      <c r="J1362" s="102"/>
      <c r="K1362" s="450"/>
      <c r="L1362" s="443"/>
      <c r="M1362" s="450"/>
      <c r="N1362" s="452">
        <f t="array" ref="N1362">IFERROR(
  INDEX(
    'Valor Hora Real y Estimada'!$A$4:$Z$78,
    MATCH(TRIM(CLEAN(A1362)), 'Valor Hora Real y Estimada'!$A$4:$A$78, 0),
    MATCH(
      TEXT(C1362,"dd mmm")&amp;" "&amp;D1362,
      'Valor Hora Real y Estimada'!$A$3:$Z$3,
      0
    ) + 1
  ),
  0
)</f>
        <v>0</v>
      </c>
      <c r="O1362" s="453"/>
      <c r="P1362" s="113"/>
      <c r="Q1362" s="106" t="str">
        <f>IF(ISBLANK(O1362), "", VLOOKUP(C1362&amp;" "&amp;D1362, 'Info Tipo de Cambio y REM'!$A$24:$B$35, 2, FALSE))</f>
        <v/>
      </c>
      <c r="R1362" s="107" t="str">
        <f t="shared" si="32"/>
        <v/>
      </c>
    </row>
    <row r="1363" hidden="1">
      <c r="A1363" s="443"/>
      <c r="B1363" s="43" t="str">
        <f>IF(A1363="", "", IFERROR(VLOOKUP(A1363, Clasificaciones!A:B, 2, FALSE), "DATO NO CARGADO"))
</f>
        <v/>
      </c>
      <c r="C1363" s="51"/>
      <c r="D1363" s="102"/>
      <c r="E1363" s="102"/>
      <c r="H1363" s="102"/>
      <c r="J1363" s="102"/>
      <c r="K1363" s="450"/>
      <c r="L1363" s="443"/>
      <c r="M1363" s="450"/>
      <c r="N1363" s="452">
        <f t="array" ref="N1363">IFERROR(
  INDEX(
    'Valor Hora Real y Estimada'!$A$4:$Z$78,
    MATCH(TRIM(CLEAN(A1363)), 'Valor Hora Real y Estimada'!$A$4:$A$78, 0),
    MATCH(
      TEXT(C1363,"dd mmm")&amp;" "&amp;D1363,
      'Valor Hora Real y Estimada'!$A$3:$Z$3,
      0
    ) + 1
  ),
  0
)</f>
        <v>0</v>
      </c>
      <c r="O1363" s="453"/>
      <c r="P1363" s="113"/>
      <c r="Q1363" s="106" t="str">
        <f>IF(ISBLANK(O1363), "", VLOOKUP(C1363&amp;" "&amp;D1363, 'Info Tipo de Cambio y REM'!$A$24:$B$35, 2, FALSE))</f>
        <v/>
      </c>
      <c r="R1363" s="107" t="str">
        <f t="shared" si="32"/>
        <v/>
      </c>
    </row>
    <row r="1364" hidden="1">
      <c r="A1364" s="443"/>
      <c r="B1364" s="43" t="str">
        <f>IF(A1364="", "", IFERROR(VLOOKUP(A1364, Clasificaciones!A:B, 2, FALSE), "DATO NO CARGADO"))
</f>
        <v/>
      </c>
      <c r="C1364" s="51"/>
      <c r="D1364" s="102"/>
      <c r="E1364" s="102"/>
      <c r="H1364" s="102"/>
      <c r="J1364" s="102"/>
      <c r="K1364" s="450"/>
      <c r="L1364" s="443"/>
      <c r="M1364" s="450"/>
      <c r="N1364" s="452">
        <f t="array" ref="N1364">IFERROR(
  INDEX(
    'Valor Hora Real y Estimada'!$A$4:$Z$78,
    MATCH(TRIM(CLEAN(A1364)), 'Valor Hora Real y Estimada'!$A$4:$A$78, 0),
    MATCH(
      TEXT(C1364,"dd mmm")&amp;" "&amp;D1364,
      'Valor Hora Real y Estimada'!$A$3:$Z$3,
      0
    ) + 1
  ),
  0
)</f>
        <v>0</v>
      </c>
      <c r="O1364" s="453"/>
      <c r="P1364" s="113"/>
      <c r="Q1364" s="106" t="str">
        <f>IF(ISBLANK(O1364), "", VLOOKUP(C1364&amp;" "&amp;D1364, 'Info Tipo de Cambio y REM'!$A$24:$B$35, 2, FALSE))</f>
        <v/>
      </c>
      <c r="R1364" s="107" t="str">
        <f t="shared" si="32"/>
        <v/>
      </c>
    </row>
    <row r="1365" hidden="1">
      <c r="A1365" s="443"/>
      <c r="B1365" s="43" t="str">
        <f>IF(A1365="", "", IFERROR(VLOOKUP(A1365, Clasificaciones!A:B, 2, FALSE), "DATO NO CARGADO"))
</f>
        <v/>
      </c>
      <c r="C1365" s="51"/>
      <c r="D1365" s="102"/>
      <c r="E1365" s="102"/>
      <c r="H1365" s="102"/>
      <c r="J1365" s="102"/>
      <c r="K1365" s="450"/>
      <c r="L1365" s="443"/>
      <c r="M1365" s="450"/>
      <c r="N1365" s="452">
        <f t="array" ref="N1365">IFERROR(
  INDEX(
    'Valor Hora Real y Estimada'!$A$4:$Z$78,
    MATCH(TRIM(CLEAN(A1365)), 'Valor Hora Real y Estimada'!$A$4:$A$78, 0),
    MATCH(
      TEXT(C1365,"dd mmm")&amp;" "&amp;D1365,
      'Valor Hora Real y Estimada'!$A$3:$Z$3,
      0
    ) + 1
  ),
  0
)</f>
        <v>0</v>
      </c>
      <c r="O1365" s="453"/>
      <c r="P1365" s="113"/>
      <c r="Q1365" s="106" t="str">
        <f>IF(ISBLANK(O1365), "", VLOOKUP(C1365&amp;" "&amp;D1365, 'Info Tipo de Cambio y REM'!$A$24:$B$35, 2, FALSE))</f>
        <v/>
      </c>
      <c r="R1365" s="107" t="str">
        <f t="shared" si="32"/>
        <v/>
      </c>
    </row>
    <row r="1366" hidden="1">
      <c r="A1366" s="443"/>
      <c r="B1366" s="43" t="str">
        <f>IF(A1366="", "", IFERROR(VLOOKUP(A1366, Clasificaciones!A:B, 2, FALSE), "DATO NO CARGADO"))
</f>
        <v/>
      </c>
      <c r="C1366" s="51"/>
      <c r="D1366" s="102"/>
      <c r="E1366" s="102"/>
      <c r="H1366" s="102"/>
      <c r="J1366" s="102"/>
      <c r="K1366" s="450"/>
      <c r="L1366" s="443"/>
      <c r="M1366" s="450"/>
      <c r="N1366" s="452">
        <f t="array" ref="N1366">IFERROR(
  INDEX(
    'Valor Hora Real y Estimada'!$A$4:$Z$78,
    MATCH(TRIM(CLEAN(A1366)), 'Valor Hora Real y Estimada'!$A$4:$A$78, 0),
    MATCH(
      TEXT(C1366,"dd mmm")&amp;" "&amp;D1366,
      'Valor Hora Real y Estimada'!$A$3:$Z$3,
      0
    ) + 1
  ),
  0
)</f>
        <v>0</v>
      </c>
      <c r="O1366" s="453"/>
      <c r="P1366" s="113"/>
      <c r="Q1366" s="106" t="str">
        <f>IF(ISBLANK(O1366), "", VLOOKUP(C1366&amp;" "&amp;D1366, 'Info Tipo de Cambio y REM'!$A$24:$B$35, 2, FALSE))</f>
        <v/>
      </c>
      <c r="R1366" s="107" t="str">
        <f t="shared" si="32"/>
        <v/>
      </c>
    </row>
    <row r="1367" hidden="1">
      <c r="A1367" s="443"/>
      <c r="B1367" s="43" t="str">
        <f>IF(A1367="", "", IFERROR(VLOOKUP(A1367, Clasificaciones!A:B, 2, FALSE), "DATO NO CARGADO"))
</f>
        <v/>
      </c>
      <c r="C1367" s="51"/>
      <c r="D1367" s="102"/>
      <c r="E1367" s="102"/>
      <c r="H1367" s="102"/>
      <c r="J1367" s="102"/>
      <c r="K1367" s="450"/>
      <c r="L1367" s="443"/>
      <c r="M1367" s="450"/>
      <c r="N1367" s="452">
        <f t="array" ref="N1367">IFERROR(
  INDEX(
    'Valor Hora Real y Estimada'!$A$4:$Z$78,
    MATCH(TRIM(CLEAN(A1367)), 'Valor Hora Real y Estimada'!$A$4:$A$78, 0),
    MATCH(
      TEXT(C1367,"dd mmm")&amp;" "&amp;D1367,
      'Valor Hora Real y Estimada'!$A$3:$Z$3,
      0
    ) + 1
  ),
  0
)</f>
        <v>0</v>
      </c>
      <c r="O1367" s="453"/>
      <c r="P1367" s="113"/>
      <c r="Q1367" s="106" t="str">
        <f>IF(ISBLANK(O1367), "", VLOOKUP(C1367&amp;" "&amp;D1367, 'Info Tipo de Cambio y REM'!$A$24:$B$35, 2, FALSE))</f>
        <v/>
      </c>
      <c r="R1367" s="107" t="str">
        <f t="shared" si="32"/>
        <v/>
      </c>
    </row>
    <row r="1368" hidden="1">
      <c r="A1368" s="443"/>
      <c r="B1368" s="43" t="str">
        <f>IF(A1368="", "", IFERROR(VLOOKUP(A1368, Clasificaciones!A:B, 2, FALSE), "DATO NO CARGADO"))
</f>
        <v/>
      </c>
      <c r="C1368" s="51"/>
      <c r="D1368" s="102"/>
      <c r="E1368" s="102"/>
      <c r="H1368" s="102"/>
      <c r="J1368" s="102"/>
      <c r="K1368" s="450"/>
      <c r="L1368" s="443"/>
      <c r="M1368" s="450"/>
      <c r="N1368" s="452">
        <f t="array" ref="N1368">IFERROR(
  INDEX(
    'Valor Hora Real y Estimada'!$A$4:$Z$78,
    MATCH(TRIM(CLEAN(A1368)), 'Valor Hora Real y Estimada'!$A$4:$A$78, 0),
    MATCH(
      TEXT(C1368,"dd mmm")&amp;" "&amp;D1368,
      'Valor Hora Real y Estimada'!$A$3:$Z$3,
      0
    ) + 1
  ),
  0
)</f>
        <v>0</v>
      </c>
      <c r="O1368" s="453"/>
      <c r="P1368" s="113"/>
      <c r="Q1368" s="106" t="str">
        <f>IF(ISBLANK(O1368), "", VLOOKUP(C1368&amp;" "&amp;D1368, 'Info Tipo de Cambio y REM'!$A$24:$B$35, 2, FALSE))</f>
        <v/>
      </c>
      <c r="R1368" s="107" t="str">
        <f t="shared" si="32"/>
        <v/>
      </c>
    </row>
    <row r="1369" hidden="1">
      <c r="A1369" s="443"/>
      <c r="B1369" s="43" t="str">
        <f>IF(A1369="", "", IFERROR(VLOOKUP(A1369, Clasificaciones!A:B, 2, FALSE), "DATO NO CARGADO"))
</f>
        <v/>
      </c>
      <c r="C1369" s="51"/>
      <c r="D1369" s="102"/>
      <c r="E1369" s="102"/>
      <c r="H1369" s="102"/>
      <c r="J1369" s="102"/>
      <c r="K1369" s="450"/>
      <c r="L1369" s="443"/>
      <c r="M1369" s="450"/>
      <c r="N1369" s="452">
        <f t="array" ref="N1369">IFERROR(
  INDEX(
    'Valor Hora Real y Estimada'!$A$4:$Z$78,
    MATCH(TRIM(CLEAN(A1369)), 'Valor Hora Real y Estimada'!$A$4:$A$78, 0),
    MATCH(
      TEXT(C1369,"dd mmm")&amp;" "&amp;D1369,
      'Valor Hora Real y Estimada'!$A$3:$Z$3,
      0
    ) + 1
  ),
  0
)</f>
        <v>0</v>
      </c>
      <c r="O1369" s="453"/>
      <c r="P1369" s="113"/>
      <c r="Q1369" s="106" t="str">
        <f>IF(ISBLANK(O1369), "", VLOOKUP(C1369&amp;" "&amp;D1369, 'Info Tipo de Cambio y REM'!$A$24:$B$35, 2, FALSE))</f>
        <v/>
      </c>
      <c r="R1369" s="107" t="str">
        <f t="shared" si="32"/>
        <v/>
      </c>
    </row>
    <row r="1370" hidden="1">
      <c r="A1370" s="443"/>
      <c r="B1370" s="43" t="str">
        <f>IF(A1370="", "", IFERROR(VLOOKUP(A1370, Clasificaciones!A:B, 2, FALSE), "DATO NO CARGADO"))
</f>
        <v/>
      </c>
      <c r="C1370" s="51"/>
      <c r="D1370" s="102"/>
      <c r="E1370" s="102"/>
      <c r="H1370" s="102"/>
      <c r="J1370" s="102"/>
      <c r="K1370" s="450"/>
      <c r="L1370" s="443"/>
      <c r="M1370" s="450"/>
      <c r="N1370" s="452">
        <f t="array" ref="N1370">IFERROR(
  INDEX(
    'Valor Hora Real y Estimada'!$A$4:$Z$78,
    MATCH(TRIM(CLEAN(A1370)), 'Valor Hora Real y Estimada'!$A$4:$A$78, 0),
    MATCH(
      TEXT(C1370,"dd mmm")&amp;" "&amp;D1370,
      'Valor Hora Real y Estimada'!$A$3:$Z$3,
      0
    ) + 1
  ),
  0
)</f>
        <v>0</v>
      </c>
      <c r="O1370" s="453"/>
      <c r="P1370" s="113"/>
      <c r="Q1370" s="106" t="str">
        <f>IF(ISBLANK(O1370), "", VLOOKUP(C1370&amp;" "&amp;D1370, 'Info Tipo de Cambio y REM'!$A$24:$B$35, 2, FALSE))</f>
        <v/>
      </c>
      <c r="R1370" s="107" t="str">
        <f t="shared" si="32"/>
        <v/>
      </c>
    </row>
    <row r="1371" hidden="1">
      <c r="A1371" s="443"/>
      <c r="B1371" s="43" t="str">
        <f>IF(A1371="", "", IFERROR(VLOOKUP(A1371, Clasificaciones!A:B, 2, FALSE), "DATO NO CARGADO"))
</f>
        <v/>
      </c>
      <c r="C1371" s="51"/>
      <c r="D1371" s="102"/>
      <c r="E1371" s="102"/>
      <c r="H1371" s="102"/>
      <c r="J1371" s="102"/>
      <c r="K1371" s="450"/>
      <c r="L1371" s="443"/>
      <c r="M1371" s="450"/>
      <c r="N1371" s="452">
        <f t="array" ref="N1371">IFERROR(
  INDEX(
    'Valor Hora Real y Estimada'!$A$4:$Z$78,
    MATCH(TRIM(CLEAN(A1371)), 'Valor Hora Real y Estimada'!$A$4:$A$78, 0),
    MATCH(
      TEXT(C1371,"dd mmm")&amp;" "&amp;D1371,
      'Valor Hora Real y Estimada'!$A$3:$Z$3,
      0
    ) + 1
  ),
  0
)</f>
        <v>0</v>
      </c>
      <c r="O1371" s="453"/>
      <c r="P1371" s="113"/>
      <c r="Q1371" s="106" t="str">
        <f>IF(ISBLANK(O1371), "", VLOOKUP(C1371&amp;" "&amp;D1371, 'Info Tipo de Cambio y REM'!$A$24:$B$35, 2, FALSE))</f>
        <v/>
      </c>
      <c r="R1371" s="107" t="str">
        <f t="shared" si="32"/>
        <v/>
      </c>
    </row>
    <row r="1372" hidden="1">
      <c r="A1372" s="443"/>
      <c r="B1372" s="43" t="str">
        <f>IF(A1372="", "", IFERROR(VLOOKUP(A1372, Clasificaciones!A:B, 2, FALSE), "DATO NO CARGADO"))
</f>
        <v/>
      </c>
      <c r="C1372" s="51"/>
      <c r="D1372" s="102"/>
      <c r="E1372" s="102"/>
      <c r="H1372" s="102"/>
      <c r="J1372" s="102"/>
      <c r="K1372" s="450"/>
      <c r="L1372" s="443"/>
      <c r="M1372" s="450"/>
      <c r="N1372" s="452">
        <f t="array" ref="N1372">IFERROR(
  INDEX(
    'Valor Hora Real y Estimada'!$A$4:$Z$78,
    MATCH(TRIM(CLEAN(A1372)), 'Valor Hora Real y Estimada'!$A$4:$A$78, 0),
    MATCH(
      TEXT(C1372,"dd mmm")&amp;" "&amp;D1372,
      'Valor Hora Real y Estimada'!$A$3:$Z$3,
      0
    ) + 1
  ),
  0
)</f>
        <v>0</v>
      </c>
      <c r="O1372" s="453"/>
      <c r="P1372" s="113"/>
      <c r="Q1372" s="106" t="str">
        <f>IF(ISBLANK(O1372), "", VLOOKUP(C1372&amp;" "&amp;D1372, 'Info Tipo de Cambio y REM'!$A$24:$B$35, 2, FALSE))</f>
        <v/>
      </c>
      <c r="R1372" s="107" t="str">
        <f t="shared" si="32"/>
        <v/>
      </c>
    </row>
    <row r="1373" hidden="1">
      <c r="A1373" s="443"/>
      <c r="B1373" s="43" t="str">
        <f>IF(A1373="", "", IFERROR(VLOOKUP(A1373, Clasificaciones!A:B, 2, FALSE), "DATO NO CARGADO"))
</f>
        <v/>
      </c>
      <c r="C1373" s="51"/>
      <c r="D1373" s="102"/>
      <c r="E1373" s="102"/>
      <c r="H1373" s="102"/>
      <c r="J1373" s="102"/>
      <c r="K1373" s="450"/>
      <c r="L1373" s="443"/>
      <c r="M1373" s="450"/>
      <c r="N1373" s="452">
        <f t="array" ref="N1373">IFERROR(
  INDEX(
    'Valor Hora Real y Estimada'!$A$4:$Z$78,
    MATCH(TRIM(CLEAN(A1373)), 'Valor Hora Real y Estimada'!$A$4:$A$78, 0),
    MATCH(
      TEXT(C1373,"dd mmm")&amp;" "&amp;D1373,
      'Valor Hora Real y Estimada'!$A$3:$Z$3,
      0
    ) + 1
  ),
  0
)</f>
        <v>0</v>
      </c>
      <c r="O1373" s="453"/>
      <c r="P1373" s="113"/>
      <c r="Q1373" s="106" t="str">
        <f>IF(ISBLANK(O1373), "", VLOOKUP(C1373&amp;" "&amp;D1373, 'Info Tipo de Cambio y REM'!$A$24:$B$35, 2, FALSE))</f>
        <v/>
      </c>
      <c r="R1373" s="107" t="str">
        <f t="shared" si="32"/>
        <v/>
      </c>
    </row>
    <row r="1374" hidden="1">
      <c r="A1374" s="443"/>
      <c r="B1374" s="43" t="str">
        <f>IF(A1374="", "", IFERROR(VLOOKUP(A1374, Clasificaciones!A:B, 2, FALSE), "DATO NO CARGADO"))
</f>
        <v/>
      </c>
      <c r="C1374" s="51"/>
      <c r="D1374" s="102"/>
      <c r="E1374" s="102"/>
      <c r="H1374" s="102"/>
      <c r="J1374" s="102"/>
      <c r="K1374" s="450"/>
      <c r="L1374" s="443"/>
      <c r="M1374" s="450"/>
      <c r="N1374" s="452">
        <f t="array" ref="N1374">IFERROR(
  INDEX(
    'Valor Hora Real y Estimada'!$A$4:$Z$78,
    MATCH(TRIM(CLEAN(A1374)), 'Valor Hora Real y Estimada'!$A$4:$A$78, 0),
    MATCH(
      TEXT(C1374,"dd mmm")&amp;" "&amp;D1374,
      'Valor Hora Real y Estimada'!$A$3:$Z$3,
      0
    ) + 1
  ),
  0
)</f>
        <v>0</v>
      </c>
      <c r="O1374" s="453"/>
      <c r="P1374" s="113"/>
      <c r="Q1374" s="106" t="str">
        <f>IF(ISBLANK(O1374), "", VLOOKUP(C1374&amp;" "&amp;D1374, 'Info Tipo de Cambio y REM'!$A$24:$B$35, 2, FALSE))</f>
        <v/>
      </c>
      <c r="R1374" s="107" t="str">
        <f t="shared" si="32"/>
        <v/>
      </c>
    </row>
    <row r="1375" hidden="1">
      <c r="A1375" s="443"/>
      <c r="B1375" s="43" t="str">
        <f>IF(A1375="", "", IFERROR(VLOOKUP(A1375, Clasificaciones!A:B, 2, FALSE), "DATO NO CARGADO"))
</f>
        <v/>
      </c>
      <c r="C1375" s="51"/>
      <c r="D1375" s="102"/>
      <c r="E1375" s="102"/>
      <c r="H1375" s="102"/>
      <c r="J1375" s="102"/>
      <c r="K1375" s="450"/>
      <c r="L1375" s="443"/>
      <c r="M1375" s="450"/>
      <c r="N1375" s="452">
        <f t="array" ref="N1375">IFERROR(
  INDEX(
    'Valor Hora Real y Estimada'!$A$4:$Z$78,
    MATCH(TRIM(CLEAN(A1375)), 'Valor Hora Real y Estimada'!$A$4:$A$78, 0),
    MATCH(
      TEXT(C1375,"dd mmm")&amp;" "&amp;D1375,
      'Valor Hora Real y Estimada'!$A$3:$Z$3,
      0
    ) + 1
  ),
  0
)</f>
        <v>0</v>
      </c>
      <c r="O1375" s="453"/>
      <c r="P1375" s="113"/>
      <c r="Q1375" s="106" t="str">
        <f>IF(ISBLANK(O1375), "", VLOOKUP(C1375&amp;" "&amp;D1375, 'Info Tipo de Cambio y REM'!$A$24:$B$35, 2, FALSE))</f>
        <v/>
      </c>
      <c r="R1375" s="107" t="str">
        <f t="shared" si="32"/>
        <v/>
      </c>
    </row>
    <row r="1376" hidden="1">
      <c r="A1376" s="443"/>
      <c r="B1376" s="43" t="str">
        <f>IF(A1376="", "", IFERROR(VLOOKUP(A1376, Clasificaciones!A:B, 2, FALSE), "DATO NO CARGADO"))
</f>
        <v/>
      </c>
      <c r="C1376" s="51"/>
      <c r="D1376" s="102"/>
      <c r="E1376" s="102"/>
      <c r="H1376" s="102"/>
      <c r="J1376" s="102"/>
      <c r="K1376" s="450"/>
      <c r="L1376" s="443"/>
      <c r="M1376" s="450"/>
      <c r="N1376" s="452">
        <f t="array" ref="N1376">IFERROR(
  INDEX(
    'Valor Hora Real y Estimada'!$A$4:$Z$78,
    MATCH(TRIM(CLEAN(A1376)), 'Valor Hora Real y Estimada'!$A$4:$A$78, 0),
    MATCH(
      TEXT(C1376,"dd mmm")&amp;" "&amp;D1376,
      'Valor Hora Real y Estimada'!$A$3:$Z$3,
      0
    ) + 1
  ),
  0
)</f>
        <v>0</v>
      </c>
      <c r="O1376" s="453"/>
      <c r="P1376" s="113"/>
      <c r="Q1376" s="106" t="str">
        <f>IF(ISBLANK(O1376), "", VLOOKUP(C1376&amp;" "&amp;D1376, 'Info Tipo de Cambio y REM'!$A$24:$B$35, 2, FALSE))</f>
        <v/>
      </c>
      <c r="R1376" s="107" t="str">
        <f t="shared" si="32"/>
        <v/>
      </c>
    </row>
    <row r="1377" hidden="1">
      <c r="A1377" s="443"/>
      <c r="B1377" s="43" t="str">
        <f>IF(A1377="", "", IFERROR(VLOOKUP(A1377, Clasificaciones!A:B, 2, FALSE), "DATO NO CARGADO"))
</f>
        <v/>
      </c>
      <c r="C1377" s="51"/>
      <c r="D1377" s="102"/>
      <c r="E1377" s="102"/>
      <c r="H1377" s="102"/>
      <c r="J1377" s="102"/>
      <c r="K1377" s="450"/>
      <c r="L1377" s="443"/>
      <c r="M1377" s="450"/>
      <c r="N1377" s="452">
        <f t="array" ref="N1377">IFERROR(
  INDEX(
    'Valor Hora Real y Estimada'!$A$4:$Z$78,
    MATCH(TRIM(CLEAN(A1377)), 'Valor Hora Real y Estimada'!$A$4:$A$78, 0),
    MATCH(
      TEXT(C1377,"dd mmm")&amp;" "&amp;D1377,
      'Valor Hora Real y Estimada'!$A$3:$Z$3,
      0
    ) + 1
  ),
  0
)</f>
        <v>0</v>
      </c>
      <c r="O1377" s="453"/>
      <c r="P1377" s="113"/>
      <c r="Q1377" s="106" t="str">
        <f>IF(ISBLANK(O1377), "", VLOOKUP(C1377&amp;" "&amp;D1377, 'Info Tipo de Cambio y REM'!$A$24:$B$35, 2, FALSE))</f>
        <v/>
      </c>
      <c r="R1377" s="107" t="str">
        <f t="shared" si="32"/>
        <v/>
      </c>
    </row>
    <row r="1378" hidden="1">
      <c r="A1378" s="443"/>
      <c r="B1378" s="43" t="str">
        <f>IF(A1378="", "", IFERROR(VLOOKUP(A1378, Clasificaciones!A:B, 2, FALSE), "DATO NO CARGADO"))
</f>
        <v/>
      </c>
      <c r="C1378" s="51"/>
      <c r="D1378" s="102"/>
      <c r="E1378" s="102"/>
      <c r="H1378" s="102"/>
      <c r="J1378" s="102"/>
      <c r="K1378" s="450"/>
      <c r="L1378" s="443"/>
      <c r="M1378" s="450"/>
      <c r="N1378" s="452">
        <f t="array" ref="N1378">IFERROR(
  INDEX(
    'Valor Hora Real y Estimada'!$A$4:$Z$78,
    MATCH(TRIM(CLEAN(A1378)), 'Valor Hora Real y Estimada'!$A$4:$A$78, 0),
    MATCH(
      TEXT(C1378,"dd mmm")&amp;" "&amp;D1378,
      'Valor Hora Real y Estimada'!$A$3:$Z$3,
      0
    ) + 1
  ),
  0
)</f>
        <v>0</v>
      </c>
      <c r="O1378" s="453"/>
      <c r="P1378" s="113"/>
      <c r="Q1378" s="106" t="str">
        <f>IF(ISBLANK(O1378), "", VLOOKUP(C1378&amp;" "&amp;D1378, 'Info Tipo de Cambio y REM'!$A$24:$B$35, 2, FALSE))</f>
        <v/>
      </c>
      <c r="R1378" s="107" t="str">
        <f t="shared" si="32"/>
        <v/>
      </c>
    </row>
    <row r="1379" hidden="1">
      <c r="A1379" s="443"/>
      <c r="B1379" s="43" t="str">
        <f>IF(A1379="", "", IFERROR(VLOOKUP(A1379, Clasificaciones!A:B, 2, FALSE), "DATO NO CARGADO"))
</f>
        <v/>
      </c>
      <c r="C1379" s="51"/>
      <c r="D1379" s="102"/>
      <c r="E1379" s="102"/>
      <c r="H1379" s="102"/>
      <c r="J1379" s="102"/>
      <c r="K1379" s="450"/>
      <c r="L1379" s="443"/>
      <c r="M1379" s="450"/>
      <c r="N1379" s="452">
        <f t="array" ref="N1379">IFERROR(
  INDEX(
    'Valor Hora Real y Estimada'!$A$4:$Z$78,
    MATCH(TRIM(CLEAN(A1379)), 'Valor Hora Real y Estimada'!$A$4:$A$78, 0),
    MATCH(
      TEXT(C1379,"dd mmm")&amp;" "&amp;D1379,
      'Valor Hora Real y Estimada'!$A$3:$Z$3,
      0
    ) + 1
  ),
  0
)</f>
        <v>0</v>
      </c>
      <c r="O1379" s="453"/>
      <c r="P1379" s="113"/>
      <c r="Q1379" s="106" t="str">
        <f>IF(ISBLANK(O1379), "", VLOOKUP(C1379&amp;" "&amp;D1379, 'Info Tipo de Cambio y REM'!$A$24:$B$35, 2, FALSE))</f>
        <v/>
      </c>
      <c r="R1379" s="107" t="str">
        <f t="shared" si="32"/>
        <v/>
      </c>
    </row>
    <row r="1380" hidden="1">
      <c r="A1380" s="443"/>
      <c r="B1380" s="43" t="str">
        <f>IF(A1380="", "", IFERROR(VLOOKUP(A1380, Clasificaciones!A:B, 2, FALSE), "DATO NO CARGADO"))
</f>
        <v/>
      </c>
      <c r="C1380" s="51"/>
      <c r="D1380" s="102"/>
      <c r="E1380" s="102"/>
      <c r="H1380" s="102"/>
      <c r="J1380" s="102"/>
      <c r="K1380" s="450"/>
      <c r="L1380" s="443"/>
      <c r="M1380" s="450"/>
      <c r="N1380" s="452">
        <f t="array" ref="N1380">IFERROR(
  INDEX(
    'Valor Hora Real y Estimada'!$A$4:$Z$78,
    MATCH(TRIM(CLEAN(A1380)), 'Valor Hora Real y Estimada'!$A$4:$A$78, 0),
    MATCH(
      TEXT(C1380,"dd mmm")&amp;" "&amp;D1380,
      'Valor Hora Real y Estimada'!$A$3:$Z$3,
      0
    ) + 1
  ),
  0
)</f>
        <v>0</v>
      </c>
      <c r="O1380" s="453"/>
      <c r="P1380" s="113"/>
      <c r="Q1380" s="106" t="str">
        <f>IF(ISBLANK(O1380), "", VLOOKUP(C1380&amp;" "&amp;D1380, 'Info Tipo de Cambio y REM'!$A$24:$B$35, 2, FALSE))</f>
        <v/>
      </c>
      <c r="R1380" s="107" t="str">
        <f t="shared" si="32"/>
        <v/>
      </c>
    </row>
    <row r="1381" hidden="1">
      <c r="A1381" s="443"/>
      <c r="B1381" s="43" t="str">
        <f>IF(A1381="", "", IFERROR(VLOOKUP(A1381, Clasificaciones!A:B, 2, FALSE), "DATO NO CARGADO"))
</f>
        <v/>
      </c>
      <c r="C1381" s="51"/>
      <c r="D1381" s="102"/>
      <c r="E1381" s="102"/>
      <c r="H1381" s="102"/>
      <c r="J1381" s="102"/>
      <c r="K1381" s="450"/>
      <c r="L1381" s="443"/>
      <c r="M1381" s="450"/>
      <c r="N1381" s="452">
        <f t="array" ref="N1381">IFERROR(
  INDEX(
    'Valor Hora Real y Estimada'!$A$4:$Z$78,
    MATCH(TRIM(CLEAN(A1381)), 'Valor Hora Real y Estimada'!$A$4:$A$78, 0),
    MATCH(
      TEXT(C1381,"dd mmm")&amp;" "&amp;D1381,
      'Valor Hora Real y Estimada'!$A$3:$Z$3,
      0
    ) + 1
  ),
  0
)</f>
        <v>0</v>
      </c>
      <c r="O1381" s="453"/>
      <c r="P1381" s="113"/>
      <c r="Q1381" s="106" t="str">
        <f>IF(ISBLANK(O1381), "", VLOOKUP(C1381&amp;" "&amp;D1381, 'Info Tipo de Cambio y REM'!$A$24:$B$35, 2, FALSE))</f>
        <v/>
      </c>
      <c r="R1381" s="107" t="str">
        <f t="shared" si="32"/>
        <v/>
      </c>
    </row>
    <row r="1382" hidden="1">
      <c r="A1382" s="443"/>
      <c r="B1382" s="43" t="str">
        <f>IF(A1382="", "", IFERROR(VLOOKUP(A1382, Clasificaciones!A:B, 2, FALSE), "DATO NO CARGADO"))
</f>
        <v/>
      </c>
      <c r="C1382" s="51"/>
      <c r="D1382" s="102"/>
      <c r="E1382" s="102"/>
      <c r="H1382" s="102"/>
      <c r="J1382" s="102"/>
      <c r="K1382" s="450"/>
      <c r="L1382" s="443"/>
      <c r="M1382" s="450"/>
      <c r="N1382" s="452">
        <f t="array" ref="N1382">IFERROR(
  INDEX(
    'Valor Hora Real y Estimada'!$A$4:$Z$78,
    MATCH(TRIM(CLEAN(A1382)), 'Valor Hora Real y Estimada'!$A$4:$A$78, 0),
    MATCH(
      TEXT(C1382,"dd mmm")&amp;" "&amp;D1382,
      'Valor Hora Real y Estimada'!$A$3:$Z$3,
      0
    ) + 1
  ),
  0
)</f>
        <v>0</v>
      </c>
      <c r="O1382" s="453"/>
      <c r="P1382" s="113"/>
      <c r="Q1382" s="106" t="str">
        <f>IF(ISBLANK(O1382), "", VLOOKUP(C1382&amp;" "&amp;D1382, 'Info Tipo de Cambio y REM'!$A$24:$B$35, 2, FALSE))</f>
        <v/>
      </c>
      <c r="R1382" s="107" t="str">
        <f t="shared" si="32"/>
        <v/>
      </c>
    </row>
    <row r="1383" hidden="1">
      <c r="A1383" s="443"/>
      <c r="B1383" s="43" t="str">
        <f>IF(A1383="", "", IFERROR(VLOOKUP(A1383, Clasificaciones!A:B, 2, FALSE), "DATO NO CARGADO"))
</f>
        <v/>
      </c>
      <c r="C1383" s="51"/>
      <c r="D1383" s="102"/>
      <c r="E1383" s="102"/>
      <c r="H1383" s="102"/>
      <c r="J1383" s="102"/>
      <c r="K1383" s="450"/>
      <c r="L1383" s="443"/>
      <c r="M1383" s="450"/>
      <c r="N1383" s="452">
        <f t="array" ref="N1383">IFERROR(
  INDEX(
    'Valor Hora Real y Estimada'!$A$4:$Z$78,
    MATCH(TRIM(CLEAN(A1383)), 'Valor Hora Real y Estimada'!$A$4:$A$78, 0),
    MATCH(
      TEXT(C1383,"dd mmm")&amp;" "&amp;D1383,
      'Valor Hora Real y Estimada'!$A$3:$Z$3,
      0
    ) + 1
  ),
  0
)</f>
        <v>0</v>
      </c>
      <c r="O1383" s="453"/>
      <c r="P1383" s="113"/>
      <c r="Q1383" s="106" t="str">
        <f>IF(ISBLANK(O1383), "", VLOOKUP(C1383&amp;" "&amp;D1383, 'Info Tipo de Cambio y REM'!$A$24:$B$35, 2, FALSE))</f>
        <v/>
      </c>
      <c r="R1383" s="107" t="str">
        <f t="shared" si="32"/>
        <v/>
      </c>
    </row>
    <row r="1384" hidden="1">
      <c r="A1384" s="443"/>
      <c r="B1384" s="43" t="str">
        <f>IF(A1384="", "", IFERROR(VLOOKUP(A1384, Clasificaciones!A:B, 2, FALSE), "DATO NO CARGADO"))
</f>
        <v/>
      </c>
      <c r="C1384" s="51"/>
      <c r="D1384" s="102"/>
      <c r="E1384" s="102"/>
      <c r="H1384" s="102"/>
      <c r="J1384" s="102"/>
      <c r="K1384" s="450"/>
      <c r="L1384" s="443"/>
      <c r="M1384" s="450"/>
      <c r="N1384" s="452">
        <f t="array" ref="N1384">IFERROR(
  INDEX(
    'Valor Hora Real y Estimada'!$A$4:$Z$78,
    MATCH(TRIM(CLEAN(A1384)), 'Valor Hora Real y Estimada'!$A$4:$A$78, 0),
    MATCH(
      TEXT(C1384,"dd mmm")&amp;" "&amp;D1384,
      'Valor Hora Real y Estimada'!$A$3:$Z$3,
      0
    ) + 1
  ),
  0
)</f>
        <v>0</v>
      </c>
      <c r="O1384" s="453"/>
      <c r="P1384" s="113"/>
      <c r="Q1384" s="106" t="str">
        <f>IF(ISBLANK(O1384), "", VLOOKUP(C1384&amp;" "&amp;D1384, 'Info Tipo de Cambio y REM'!$A$24:$B$35, 2, FALSE))</f>
        <v/>
      </c>
      <c r="R1384" s="107" t="str">
        <f t="shared" si="32"/>
        <v/>
      </c>
    </row>
    <row r="1385" hidden="1">
      <c r="A1385" s="443"/>
      <c r="B1385" s="43" t="str">
        <f>IF(A1385="", "", IFERROR(VLOOKUP(A1385, Clasificaciones!A:B, 2, FALSE), "DATO NO CARGADO"))
</f>
        <v/>
      </c>
      <c r="C1385" s="51"/>
      <c r="D1385" s="102"/>
      <c r="E1385" s="102"/>
      <c r="H1385" s="102"/>
      <c r="J1385" s="102"/>
      <c r="K1385" s="450"/>
      <c r="L1385" s="443"/>
      <c r="M1385" s="450"/>
      <c r="N1385" s="452">
        <f t="array" ref="N1385">IFERROR(
  INDEX(
    'Valor Hora Real y Estimada'!$A$4:$Z$78,
    MATCH(TRIM(CLEAN(A1385)), 'Valor Hora Real y Estimada'!$A$4:$A$78, 0),
    MATCH(
      TEXT(C1385,"dd mmm")&amp;" "&amp;D1385,
      'Valor Hora Real y Estimada'!$A$3:$Z$3,
      0
    ) + 1
  ),
  0
)</f>
        <v>0</v>
      </c>
      <c r="O1385" s="453"/>
      <c r="P1385" s="113"/>
      <c r="Q1385" s="106" t="str">
        <f>IF(ISBLANK(O1385), "", VLOOKUP(C1385&amp;" "&amp;D1385, 'Info Tipo de Cambio y REM'!$A$24:$B$35, 2, FALSE))</f>
        <v/>
      </c>
      <c r="R1385" s="107" t="str">
        <f t="shared" si="32"/>
        <v/>
      </c>
    </row>
    <row r="1386" hidden="1">
      <c r="A1386" s="443"/>
      <c r="B1386" s="43" t="str">
        <f>IF(A1386="", "", IFERROR(VLOOKUP(A1386, Clasificaciones!A:B, 2, FALSE), "DATO NO CARGADO"))
</f>
        <v/>
      </c>
      <c r="C1386" s="51"/>
      <c r="D1386" s="102"/>
      <c r="E1386" s="102"/>
      <c r="H1386" s="102"/>
      <c r="J1386" s="102"/>
      <c r="K1386" s="450"/>
      <c r="L1386" s="443"/>
      <c r="M1386" s="450"/>
      <c r="N1386" s="452">
        <f t="array" ref="N1386">IFERROR(
  INDEX(
    'Valor Hora Real y Estimada'!$A$4:$Z$78,
    MATCH(TRIM(CLEAN(A1386)), 'Valor Hora Real y Estimada'!$A$4:$A$78, 0),
    MATCH(
      TEXT(C1386,"dd mmm")&amp;" "&amp;D1386,
      'Valor Hora Real y Estimada'!$A$3:$Z$3,
      0
    ) + 1
  ),
  0
)</f>
        <v>0</v>
      </c>
      <c r="O1386" s="453"/>
      <c r="P1386" s="113"/>
      <c r="Q1386" s="106" t="str">
        <f>IF(ISBLANK(O1386), "", VLOOKUP(C1386&amp;" "&amp;D1386, 'Info Tipo de Cambio y REM'!$A$24:$B$35, 2, FALSE))</f>
        <v/>
      </c>
      <c r="R1386" s="107" t="str">
        <f t="shared" si="32"/>
        <v/>
      </c>
    </row>
    <row r="1387" hidden="1">
      <c r="A1387" s="443"/>
      <c r="B1387" s="43" t="str">
        <f>IF(A1387="", "", IFERROR(VLOOKUP(A1387, Clasificaciones!A:B, 2, FALSE), "DATO NO CARGADO"))
</f>
        <v/>
      </c>
      <c r="C1387" s="51"/>
      <c r="D1387" s="102"/>
      <c r="E1387" s="102"/>
      <c r="H1387" s="102"/>
      <c r="J1387" s="102"/>
      <c r="K1387" s="450"/>
      <c r="L1387" s="443"/>
      <c r="M1387" s="450"/>
      <c r="N1387" s="452">
        <f t="array" ref="N1387">IFERROR(
  INDEX(
    'Valor Hora Real y Estimada'!$A$4:$Z$78,
    MATCH(TRIM(CLEAN(A1387)), 'Valor Hora Real y Estimada'!$A$4:$A$78, 0),
    MATCH(
      TEXT(C1387,"dd mmm")&amp;" "&amp;D1387,
      'Valor Hora Real y Estimada'!$A$3:$Z$3,
      0
    ) + 1
  ),
  0
)</f>
        <v>0</v>
      </c>
      <c r="O1387" s="453"/>
      <c r="P1387" s="113"/>
      <c r="Q1387" s="106" t="str">
        <f>IF(ISBLANK(O1387), "", VLOOKUP(C1387&amp;" "&amp;D1387, 'Info Tipo de Cambio y REM'!$A$24:$B$35, 2, FALSE))</f>
        <v/>
      </c>
      <c r="R1387" s="107" t="str">
        <f t="shared" si="32"/>
        <v/>
      </c>
    </row>
    <row r="1388" hidden="1">
      <c r="A1388" s="443"/>
      <c r="B1388" s="43" t="str">
        <f>IF(A1388="", "", IFERROR(VLOOKUP(A1388, Clasificaciones!A:B, 2, FALSE), "DATO NO CARGADO"))
</f>
        <v/>
      </c>
      <c r="C1388" s="51"/>
      <c r="D1388" s="102"/>
      <c r="E1388" s="102"/>
      <c r="H1388" s="102"/>
      <c r="J1388" s="102"/>
      <c r="K1388" s="450"/>
      <c r="L1388" s="443"/>
      <c r="M1388" s="450"/>
      <c r="N1388" s="452">
        <f t="array" ref="N1388">IFERROR(
  INDEX(
    'Valor Hora Real y Estimada'!$A$4:$Z$78,
    MATCH(TRIM(CLEAN(A1388)), 'Valor Hora Real y Estimada'!$A$4:$A$78, 0),
    MATCH(
      TEXT(C1388,"dd mmm")&amp;" "&amp;D1388,
      'Valor Hora Real y Estimada'!$A$3:$Z$3,
      0
    ) + 1
  ),
  0
)</f>
        <v>0</v>
      </c>
      <c r="O1388" s="453"/>
      <c r="P1388" s="113"/>
      <c r="Q1388" s="106" t="str">
        <f>IF(ISBLANK(O1388), "", VLOOKUP(C1388&amp;" "&amp;D1388, 'Info Tipo de Cambio y REM'!$A$24:$B$35, 2, FALSE))</f>
        <v/>
      </c>
      <c r="R1388" s="107" t="str">
        <f t="shared" si="32"/>
        <v/>
      </c>
    </row>
    <row r="1389" hidden="1">
      <c r="A1389" s="443"/>
      <c r="B1389" s="43" t="str">
        <f>IF(A1389="", "", IFERROR(VLOOKUP(A1389, Clasificaciones!A:B, 2, FALSE), "DATO NO CARGADO"))
</f>
        <v/>
      </c>
      <c r="C1389" s="51"/>
      <c r="D1389" s="102"/>
      <c r="E1389" s="102"/>
      <c r="H1389" s="102"/>
      <c r="J1389" s="102"/>
      <c r="K1389" s="450"/>
      <c r="L1389" s="443"/>
      <c r="M1389" s="450"/>
      <c r="N1389" s="452">
        <f t="array" ref="N1389">IFERROR(
  INDEX(
    'Valor Hora Real y Estimada'!$A$4:$Z$78,
    MATCH(TRIM(CLEAN(A1389)), 'Valor Hora Real y Estimada'!$A$4:$A$78, 0),
    MATCH(
      TEXT(C1389,"dd mmm")&amp;" "&amp;D1389,
      'Valor Hora Real y Estimada'!$A$3:$Z$3,
      0
    ) + 1
  ),
  0
)</f>
        <v>0</v>
      </c>
      <c r="O1389" s="453"/>
      <c r="P1389" s="113"/>
      <c r="Q1389" s="106" t="str">
        <f>IF(ISBLANK(O1389), "", VLOOKUP(C1389&amp;" "&amp;D1389, 'Info Tipo de Cambio y REM'!$A$24:$B$35, 2, FALSE))</f>
        <v/>
      </c>
      <c r="R1389" s="107" t="str">
        <f t="shared" si="32"/>
        <v/>
      </c>
    </row>
    <row r="1390" hidden="1">
      <c r="A1390" s="443"/>
      <c r="B1390" s="43" t="str">
        <f>IF(A1390="", "", IFERROR(VLOOKUP(A1390, Clasificaciones!A:B, 2, FALSE), "DATO NO CARGADO"))
</f>
        <v/>
      </c>
      <c r="C1390" s="51"/>
      <c r="D1390" s="102"/>
      <c r="E1390" s="102"/>
      <c r="H1390" s="102"/>
      <c r="J1390" s="102"/>
      <c r="K1390" s="450"/>
      <c r="L1390" s="443"/>
      <c r="M1390" s="450"/>
      <c r="N1390" s="452">
        <f t="array" ref="N1390">IFERROR(
  INDEX(
    'Valor Hora Real y Estimada'!$A$4:$Z$78,
    MATCH(TRIM(CLEAN(A1390)), 'Valor Hora Real y Estimada'!$A$4:$A$78, 0),
    MATCH(
      TEXT(C1390,"dd mmm")&amp;" "&amp;D1390,
      'Valor Hora Real y Estimada'!$A$3:$Z$3,
      0
    ) + 1
  ),
  0
)</f>
        <v>0</v>
      </c>
      <c r="O1390" s="453"/>
      <c r="P1390" s="113"/>
      <c r="Q1390" s="106" t="str">
        <f>IF(ISBLANK(O1390), "", VLOOKUP(C1390&amp;" "&amp;D1390, 'Info Tipo de Cambio y REM'!$A$24:$B$35, 2, FALSE))</f>
        <v/>
      </c>
      <c r="R1390" s="107" t="str">
        <f t="shared" si="32"/>
        <v/>
      </c>
    </row>
    <row r="1391" hidden="1">
      <c r="A1391" s="443"/>
      <c r="B1391" s="43" t="str">
        <f>IF(A1391="", "", IFERROR(VLOOKUP(A1391, Clasificaciones!A:B, 2, FALSE), "DATO NO CARGADO"))
</f>
        <v/>
      </c>
      <c r="C1391" s="51"/>
      <c r="D1391" s="102"/>
      <c r="E1391" s="102"/>
      <c r="H1391" s="102"/>
      <c r="J1391" s="102"/>
      <c r="K1391" s="450"/>
      <c r="L1391" s="443"/>
      <c r="M1391" s="450"/>
      <c r="N1391" s="452">
        <f t="array" ref="N1391">IFERROR(
  INDEX(
    'Valor Hora Real y Estimada'!$A$4:$Z$78,
    MATCH(TRIM(CLEAN(A1391)), 'Valor Hora Real y Estimada'!$A$4:$A$78, 0),
    MATCH(
      TEXT(C1391,"dd mmm")&amp;" "&amp;D1391,
      'Valor Hora Real y Estimada'!$A$3:$Z$3,
      0
    ) + 1
  ),
  0
)</f>
        <v>0</v>
      </c>
      <c r="O1391" s="453"/>
      <c r="P1391" s="113"/>
      <c r="Q1391" s="106" t="str">
        <f>IF(ISBLANK(O1391), "", VLOOKUP(C1391&amp;" "&amp;D1391, 'Info Tipo de Cambio y REM'!$A$24:$B$35, 2, FALSE))</f>
        <v/>
      </c>
      <c r="R1391" s="107" t="str">
        <f t="shared" si="32"/>
        <v/>
      </c>
    </row>
    <row r="1392" hidden="1">
      <c r="A1392" s="443"/>
      <c r="B1392" s="43" t="str">
        <f>IF(A1392="", "", IFERROR(VLOOKUP(A1392, Clasificaciones!A:B, 2, FALSE), "DATO NO CARGADO"))
</f>
        <v/>
      </c>
      <c r="C1392" s="51"/>
      <c r="D1392" s="102"/>
      <c r="E1392" s="102"/>
      <c r="H1392" s="102"/>
      <c r="J1392" s="102"/>
      <c r="K1392" s="450"/>
      <c r="L1392" s="443"/>
      <c r="M1392" s="450"/>
      <c r="N1392" s="452">
        <f t="array" ref="N1392">IFERROR(
  INDEX(
    'Valor Hora Real y Estimada'!$A$4:$Z$78,
    MATCH(TRIM(CLEAN(A1392)), 'Valor Hora Real y Estimada'!$A$4:$A$78, 0),
    MATCH(
      TEXT(C1392,"dd mmm")&amp;" "&amp;D1392,
      'Valor Hora Real y Estimada'!$A$3:$Z$3,
      0
    ) + 1
  ),
  0
)</f>
        <v>0</v>
      </c>
      <c r="O1392" s="453"/>
      <c r="P1392" s="113"/>
      <c r="Q1392" s="106" t="str">
        <f>IF(ISBLANK(O1392), "", VLOOKUP(C1392&amp;" "&amp;D1392, 'Info Tipo de Cambio y REM'!$A$24:$B$35, 2, FALSE))</f>
        <v/>
      </c>
      <c r="R1392" s="107" t="str">
        <f t="shared" si="32"/>
        <v/>
      </c>
    </row>
    <row r="1393" hidden="1">
      <c r="A1393" s="443"/>
      <c r="B1393" s="43" t="str">
        <f>IF(A1393="", "", IFERROR(VLOOKUP(A1393, Clasificaciones!A:B, 2, FALSE), "DATO NO CARGADO"))
</f>
        <v/>
      </c>
      <c r="C1393" s="51"/>
      <c r="D1393" s="102"/>
      <c r="E1393" s="102"/>
      <c r="H1393" s="102"/>
      <c r="J1393" s="102"/>
      <c r="K1393" s="450"/>
      <c r="L1393" s="443"/>
      <c r="M1393" s="450"/>
      <c r="N1393" s="452">
        <f t="array" ref="N1393">IFERROR(
  INDEX(
    'Valor Hora Real y Estimada'!$A$4:$Z$78,
    MATCH(TRIM(CLEAN(A1393)), 'Valor Hora Real y Estimada'!$A$4:$A$78, 0),
    MATCH(
      TEXT(C1393,"dd mmm")&amp;" "&amp;D1393,
      'Valor Hora Real y Estimada'!$A$3:$Z$3,
      0
    ) + 1
  ),
  0
)</f>
        <v>0</v>
      </c>
      <c r="O1393" s="453"/>
      <c r="P1393" s="113"/>
      <c r="Q1393" s="106" t="str">
        <f>IF(ISBLANK(O1393), "", VLOOKUP(C1393&amp;" "&amp;D1393, 'Info Tipo de Cambio y REM'!$A$24:$B$35, 2, FALSE))</f>
        <v/>
      </c>
      <c r="R1393" s="107" t="str">
        <f t="shared" si="32"/>
        <v/>
      </c>
    </row>
    <row r="1394" hidden="1">
      <c r="A1394" s="443"/>
      <c r="B1394" s="43" t="str">
        <f>IF(A1394="", "", IFERROR(VLOOKUP(A1394, Clasificaciones!A:B, 2, FALSE), "DATO NO CARGADO"))
</f>
        <v/>
      </c>
      <c r="C1394" s="51"/>
      <c r="D1394" s="102"/>
      <c r="E1394" s="102"/>
      <c r="H1394" s="102"/>
      <c r="J1394" s="102"/>
      <c r="K1394" s="450"/>
      <c r="L1394" s="443"/>
      <c r="M1394" s="450"/>
      <c r="N1394" s="452">
        <f t="array" ref="N1394">IFERROR(
  INDEX(
    'Valor Hora Real y Estimada'!$A$4:$Z$78,
    MATCH(TRIM(CLEAN(A1394)), 'Valor Hora Real y Estimada'!$A$4:$A$78, 0),
    MATCH(
      TEXT(C1394,"dd mmm")&amp;" "&amp;D1394,
      'Valor Hora Real y Estimada'!$A$3:$Z$3,
      0
    ) + 1
  ),
  0
)</f>
        <v>0</v>
      </c>
      <c r="O1394" s="453"/>
      <c r="P1394" s="113"/>
      <c r="Q1394" s="106" t="str">
        <f>IF(ISBLANK(O1394), "", VLOOKUP(C1394&amp;" "&amp;D1394, 'Info Tipo de Cambio y REM'!$A$24:$B$35, 2, FALSE))</f>
        <v/>
      </c>
      <c r="R1394" s="107" t="str">
        <f t="shared" si="32"/>
        <v/>
      </c>
    </row>
    <row r="1395" hidden="1">
      <c r="A1395" s="443"/>
      <c r="B1395" s="43" t="str">
        <f>IF(A1395="", "", IFERROR(VLOOKUP(A1395, Clasificaciones!A:B, 2, FALSE), "DATO NO CARGADO"))
</f>
        <v/>
      </c>
      <c r="C1395" s="51"/>
      <c r="D1395" s="102"/>
      <c r="E1395" s="102"/>
      <c r="H1395" s="102"/>
      <c r="J1395" s="102"/>
      <c r="K1395" s="450"/>
      <c r="L1395" s="443"/>
      <c r="M1395" s="450"/>
      <c r="N1395" s="452">
        <f t="array" ref="N1395">IFERROR(
  INDEX(
    'Valor Hora Real y Estimada'!$A$4:$Z$78,
    MATCH(TRIM(CLEAN(A1395)), 'Valor Hora Real y Estimada'!$A$4:$A$78, 0),
    MATCH(
      TEXT(C1395,"dd mmm")&amp;" "&amp;D1395,
      'Valor Hora Real y Estimada'!$A$3:$Z$3,
      0
    ) + 1
  ),
  0
)</f>
        <v>0</v>
      </c>
      <c r="O1395" s="453"/>
      <c r="P1395" s="113"/>
      <c r="Q1395" s="106" t="str">
        <f>IF(ISBLANK(O1395), "", VLOOKUP(C1395&amp;" "&amp;D1395, 'Info Tipo de Cambio y REM'!$A$24:$B$35, 2, FALSE))</f>
        <v/>
      </c>
      <c r="R1395" s="107" t="str">
        <f t="shared" si="32"/>
        <v/>
      </c>
    </row>
    <row r="1396" hidden="1">
      <c r="A1396" s="443"/>
      <c r="B1396" s="43" t="str">
        <f>IF(A1396="", "", IFERROR(VLOOKUP(A1396, Clasificaciones!A:B, 2, FALSE), "DATO NO CARGADO"))
</f>
        <v/>
      </c>
      <c r="C1396" s="51"/>
      <c r="D1396" s="102"/>
      <c r="E1396" s="102"/>
      <c r="H1396" s="102"/>
      <c r="J1396" s="102"/>
      <c r="K1396" s="450"/>
      <c r="L1396" s="443"/>
      <c r="M1396" s="450"/>
      <c r="N1396" s="452">
        <f t="array" ref="N1396">IFERROR(
  INDEX(
    'Valor Hora Real y Estimada'!$A$4:$Z$78,
    MATCH(TRIM(CLEAN(A1396)), 'Valor Hora Real y Estimada'!$A$4:$A$78, 0),
    MATCH(
      TEXT(C1396,"dd mmm")&amp;" "&amp;D1396,
      'Valor Hora Real y Estimada'!$A$3:$Z$3,
      0
    ) + 1
  ),
  0
)</f>
        <v>0</v>
      </c>
      <c r="O1396" s="453"/>
      <c r="P1396" s="113"/>
      <c r="Q1396" s="106" t="str">
        <f>IF(ISBLANK(O1396), "", VLOOKUP(C1396&amp;" "&amp;D1396, 'Info Tipo de Cambio y REM'!$A$24:$B$35, 2, FALSE))</f>
        <v/>
      </c>
      <c r="R1396" s="107" t="str">
        <f t="shared" si="32"/>
        <v/>
      </c>
    </row>
    <row r="1397" hidden="1">
      <c r="A1397" s="443"/>
      <c r="B1397" s="43" t="str">
        <f>IF(A1397="", "", IFERROR(VLOOKUP(A1397, Clasificaciones!A:B, 2, FALSE), "DATO NO CARGADO"))
</f>
        <v/>
      </c>
      <c r="C1397" s="51"/>
      <c r="D1397" s="102"/>
      <c r="E1397" s="102"/>
      <c r="H1397" s="102"/>
      <c r="J1397" s="102"/>
      <c r="K1397" s="450"/>
      <c r="L1397" s="443"/>
      <c r="M1397" s="450"/>
      <c r="N1397" s="452">
        <f t="array" ref="N1397">IFERROR(
  INDEX(
    'Valor Hora Real y Estimada'!$A$4:$Z$78,
    MATCH(TRIM(CLEAN(A1397)), 'Valor Hora Real y Estimada'!$A$4:$A$78, 0),
    MATCH(
      TEXT(C1397,"dd mmm")&amp;" "&amp;D1397,
      'Valor Hora Real y Estimada'!$A$3:$Z$3,
      0
    ) + 1
  ),
  0
)</f>
        <v>0</v>
      </c>
      <c r="O1397" s="453"/>
      <c r="P1397" s="113"/>
      <c r="Q1397" s="106" t="str">
        <f>IF(ISBLANK(O1397), "", VLOOKUP(C1397&amp;" "&amp;D1397, 'Info Tipo de Cambio y REM'!$A$24:$B$35, 2, FALSE))</f>
        <v/>
      </c>
      <c r="R1397" s="107" t="str">
        <f t="shared" si="32"/>
        <v/>
      </c>
    </row>
    <row r="1398" hidden="1">
      <c r="A1398" s="443"/>
      <c r="B1398" s="43" t="str">
        <f>IF(A1398="", "", IFERROR(VLOOKUP(A1398, Clasificaciones!A:B, 2, FALSE), "DATO NO CARGADO"))
</f>
        <v/>
      </c>
      <c r="C1398" s="51"/>
      <c r="D1398" s="102"/>
      <c r="E1398" s="102"/>
      <c r="H1398" s="102"/>
      <c r="J1398" s="102"/>
      <c r="K1398" s="450"/>
      <c r="L1398" s="443"/>
      <c r="M1398" s="450"/>
      <c r="N1398" s="452">
        <f t="array" ref="N1398">IFERROR(
  INDEX(
    'Valor Hora Real y Estimada'!$A$4:$Z$78,
    MATCH(TRIM(CLEAN(A1398)), 'Valor Hora Real y Estimada'!$A$4:$A$78, 0),
    MATCH(
      TEXT(C1398,"dd mmm")&amp;" "&amp;D1398,
      'Valor Hora Real y Estimada'!$A$3:$Z$3,
      0
    ) + 1
  ),
  0
)</f>
        <v>0</v>
      </c>
      <c r="O1398" s="453"/>
      <c r="P1398" s="113"/>
      <c r="Q1398" s="106" t="str">
        <f>IF(ISBLANK(O1398), "", VLOOKUP(C1398&amp;" "&amp;D1398, 'Info Tipo de Cambio y REM'!$A$24:$B$35, 2, FALSE))</f>
        <v/>
      </c>
      <c r="R1398" s="107" t="str">
        <f t="shared" si="32"/>
        <v/>
      </c>
    </row>
    <row r="1399" hidden="1">
      <c r="A1399" s="443"/>
      <c r="B1399" s="43" t="str">
        <f>IF(A1399="", "", IFERROR(VLOOKUP(A1399, Clasificaciones!A:B, 2, FALSE), "DATO NO CARGADO"))
</f>
        <v/>
      </c>
      <c r="C1399" s="51"/>
      <c r="D1399" s="102"/>
      <c r="E1399" s="102"/>
      <c r="H1399" s="102"/>
      <c r="J1399" s="102"/>
      <c r="K1399" s="450"/>
      <c r="L1399" s="443"/>
      <c r="M1399" s="450"/>
      <c r="N1399" s="452">
        <f t="array" ref="N1399">IFERROR(
  INDEX(
    'Valor Hora Real y Estimada'!$A$4:$Z$78,
    MATCH(TRIM(CLEAN(A1399)), 'Valor Hora Real y Estimada'!$A$4:$A$78, 0),
    MATCH(
      TEXT(C1399,"dd mmm")&amp;" "&amp;D1399,
      'Valor Hora Real y Estimada'!$A$3:$Z$3,
      0
    ) + 1
  ),
  0
)</f>
        <v>0</v>
      </c>
      <c r="O1399" s="453"/>
      <c r="P1399" s="113"/>
      <c r="Q1399" s="106" t="str">
        <f>IF(ISBLANK(O1399), "", VLOOKUP(C1399&amp;" "&amp;D1399, 'Info Tipo de Cambio y REM'!$A$24:$B$35, 2, FALSE))</f>
        <v/>
      </c>
      <c r="R1399" s="107" t="str">
        <f t="shared" si="32"/>
        <v/>
      </c>
    </row>
    <row r="1400" hidden="1">
      <c r="A1400" s="443"/>
      <c r="B1400" s="43" t="str">
        <f>IF(A1400="", "", IFERROR(VLOOKUP(A1400, Clasificaciones!A:B, 2, FALSE), "DATO NO CARGADO"))
</f>
        <v/>
      </c>
      <c r="C1400" s="51"/>
      <c r="D1400" s="102"/>
      <c r="E1400" s="102"/>
      <c r="H1400" s="102"/>
      <c r="J1400" s="102"/>
      <c r="K1400" s="450"/>
      <c r="L1400" s="443"/>
      <c r="M1400" s="450"/>
      <c r="N1400" s="452">
        <f t="array" ref="N1400">IFERROR(
  INDEX(
    'Valor Hora Real y Estimada'!$A$4:$Z$78,
    MATCH(TRIM(CLEAN(A1400)), 'Valor Hora Real y Estimada'!$A$4:$A$78, 0),
    MATCH(
      TEXT(C1400,"dd mmm")&amp;" "&amp;D1400,
      'Valor Hora Real y Estimada'!$A$3:$Z$3,
      0
    ) + 1
  ),
  0
)</f>
        <v>0</v>
      </c>
      <c r="O1400" s="453"/>
      <c r="P1400" s="113"/>
      <c r="Q1400" s="106" t="str">
        <f>IF(ISBLANK(O1400), "", VLOOKUP(C1400&amp;" "&amp;D1400, 'Info Tipo de Cambio y REM'!$A$24:$B$35, 2, FALSE))</f>
        <v/>
      </c>
      <c r="R1400" s="107" t="str">
        <f t="shared" si="32"/>
        <v/>
      </c>
    </row>
    <row r="1401" hidden="1">
      <c r="A1401" s="443"/>
      <c r="B1401" s="43" t="str">
        <f>IF(A1401="", "", IFERROR(VLOOKUP(A1401, Clasificaciones!A:B, 2, FALSE), "DATO NO CARGADO"))
</f>
        <v/>
      </c>
      <c r="C1401" s="51"/>
      <c r="D1401" s="102"/>
      <c r="E1401" s="102"/>
      <c r="H1401" s="102"/>
      <c r="J1401" s="102"/>
      <c r="K1401" s="450"/>
      <c r="L1401" s="443"/>
      <c r="M1401" s="450"/>
      <c r="N1401" s="452">
        <f t="array" ref="N1401">IFERROR(
  INDEX(
    'Valor Hora Real y Estimada'!$A$4:$Z$78,
    MATCH(TRIM(CLEAN(A1401)), 'Valor Hora Real y Estimada'!$A$4:$A$78, 0),
    MATCH(
      TEXT(C1401,"dd mmm")&amp;" "&amp;D1401,
      'Valor Hora Real y Estimada'!$A$3:$Z$3,
      0
    ) + 1
  ),
  0
)</f>
        <v>0</v>
      </c>
      <c r="O1401" s="453"/>
      <c r="P1401" s="113"/>
      <c r="Q1401" s="106" t="str">
        <f>IF(ISBLANK(O1401), "", VLOOKUP(C1401&amp;" "&amp;D1401, 'Info Tipo de Cambio y REM'!$A$24:$B$35, 2, FALSE))</f>
        <v/>
      </c>
      <c r="R1401" s="107" t="str">
        <f t="shared" si="32"/>
        <v/>
      </c>
    </row>
    <row r="1402" hidden="1">
      <c r="A1402" s="443"/>
      <c r="B1402" s="43" t="str">
        <f>IF(A1402="", "", IFERROR(VLOOKUP(A1402, Clasificaciones!A:B, 2, FALSE), "DATO NO CARGADO"))
</f>
        <v/>
      </c>
      <c r="C1402" s="51"/>
      <c r="D1402" s="102"/>
      <c r="E1402" s="102"/>
      <c r="H1402" s="102"/>
      <c r="J1402" s="102"/>
      <c r="K1402" s="450"/>
      <c r="L1402" s="443"/>
      <c r="M1402" s="450"/>
      <c r="N1402" s="452">
        <f t="array" ref="N1402">IFERROR(
  INDEX(
    'Valor Hora Real y Estimada'!$A$4:$Z$78,
    MATCH(TRIM(CLEAN(A1402)), 'Valor Hora Real y Estimada'!$A$4:$A$78, 0),
    MATCH(
      TEXT(C1402,"dd mmm")&amp;" "&amp;D1402,
      'Valor Hora Real y Estimada'!$A$3:$Z$3,
      0
    ) + 1
  ),
  0
)</f>
        <v>0</v>
      </c>
      <c r="O1402" s="453"/>
      <c r="P1402" s="113"/>
      <c r="Q1402" s="106" t="str">
        <f>IF(ISBLANK(O1402), "", VLOOKUP(C1402&amp;" "&amp;D1402, 'Info Tipo de Cambio y REM'!$A$24:$B$35, 2, FALSE))</f>
        <v/>
      </c>
      <c r="R1402" s="107" t="str">
        <f t="shared" si="32"/>
        <v/>
      </c>
    </row>
    <row r="1403" hidden="1">
      <c r="A1403" s="443"/>
      <c r="B1403" s="43" t="str">
        <f>IF(A1403="", "", IFERROR(VLOOKUP(A1403, Clasificaciones!A:B, 2, FALSE), "DATO NO CARGADO"))
</f>
        <v/>
      </c>
      <c r="C1403" s="51"/>
      <c r="D1403" s="102"/>
      <c r="E1403" s="102"/>
      <c r="H1403" s="102"/>
      <c r="J1403" s="102"/>
      <c r="K1403" s="450"/>
      <c r="L1403" s="443"/>
      <c r="M1403" s="450"/>
      <c r="N1403" s="452">
        <f t="array" ref="N1403">IFERROR(
  INDEX(
    'Valor Hora Real y Estimada'!$A$4:$Z$78,
    MATCH(TRIM(CLEAN(A1403)), 'Valor Hora Real y Estimada'!$A$4:$A$78, 0),
    MATCH(
      TEXT(C1403,"dd mmm")&amp;" "&amp;D1403,
      'Valor Hora Real y Estimada'!$A$3:$Z$3,
      0
    ) + 1
  ),
  0
)</f>
        <v>0</v>
      </c>
      <c r="O1403" s="453"/>
      <c r="P1403" s="113"/>
      <c r="Q1403" s="106" t="str">
        <f>IF(ISBLANK(O1403), "", VLOOKUP(C1403&amp;" "&amp;D1403, 'Info Tipo de Cambio y REM'!$A$24:$B$35, 2, FALSE))</f>
        <v/>
      </c>
      <c r="R1403" s="107" t="str">
        <f t="shared" si="32"/>
        <v/>
      </c>
    </row>
    <row r="1404" hidden="1">
      <c r="A1404" s="443"/>
      <c r="B1404" s="43" t="str">
        <f>IF(A1404="", "", IFERROR(VLOOKUP(A1404, Clasificaciones!A:B, 2, FALSE), "DATO NO CARGADO"))
</f>
        <v/>
      </c>
      <c r="C1404" s="51"/>
      <c r="D1404" s="102"/>
      <c r="E1404" s="102"/>
      <c r="H1404" s="102"/>
      <c r="J1404" s="102"/>
      <c r="K1404" s="450"/>
      <c r="L1404" s="443"/>
      <c r="M1404" s="450"/>
      <c r="N1404" s="452">
        <f t="array" ref="N1404">IFERROR(
  INDEX(
    'Valor Hora Real y Estimada'!$A$4:$Z$78,
    MATCH(TRIM(CLEAN(A1404)), 'Valor Hora Real y Estimada'!$A$4:$A$78, 0),
    MATCH(
      TEXT(C1404,"dd mmm")&amp;" "&amp;D1404,
      'Valor Hora Real y Estimada'!$A$3:$Z$3,
      0
    ) + 1
  ),
  0
)</f>
        <v>0</v>
      </c>
      <c r="O1404" s="453"/>
      <c r="P1404" s="113"/>
      <c r="Q1404" s="106" t="str">
        <f>IF(ISBLANK(O1404), "", VLOOKUP(C1404&amp;" "&amp;D1404, 'Info Tipo de Cambio y REM'!$A$24:$B$35, 2, FALSE))</f>
        <v/>
      </c>
      <c r="R1404" s="107" t="str">
        <f t="shared" si="32"/>
        <v/>
      </c>
    </row>
    <row r="1405" hidden="1">
      <c r="A1405" s="443"/>
      <c r="B1405" s="43" t="str">
        <f>IF(A1405="", "", IFERROR(VLOOKUP(A1405, Clasificaciones!A:B, 2, FALSE), "DATO NO CARGADO"))
</f>
        <v/>
      </c>
      <c r="C1405" s="51"/>
      <c r="D1405" s="102"/>
      <c r="E1405" s="102"/>
      <c r="H1405" s="102"/>
      <c r="J1405" s="102"/>
      <c r="K1405" s="450"/>
      <c r="L1405" s="443"/>
      <c r="M1405" s="450"/>
      <c r="N1405" s="452">
        <f t="array" ref="N1405">IFERROR(
  INDEX(
    'Valor Hora Real y Estimada'!$A$4:$Z$78,
    MATCH(TRIM(CLEAN(A1405)), 'Valor Hora Real y Estimada'!$A$4:$A$78, 0),
    MATCH(
      TEXT(C1405,"dd mmm")&amp;" "&amp;D1405,
      'Valor Hora Real y Estimada'!$A$3:$Z$3,
      0
    ) + 1
  ),
  0
)</f>
        <v>0</v>
      </c>
      <c r="O1405" s="453"/>
      <c r="P1405" s="113"/>
      <c r="Q1405" s="106" t="str">
        <f>IF(ISBLANK(O1405), "", VLOOKUP(C1405&amp;" "&amp;D1405, 'Info Tipo de Cambio y REM'!$A$24:$B$35, 2, FALSE))</f>
        <v/>
      </c>
      <c r="R1405" s="107" t="str">
        <f t="shared" si="32"/>
        <v/>
      </c>
    </row>
    <row r="1406" hidden="1">
      <c r="A1406" s="443"/>
      <c r="B1406" s="43" t="str">
        <f>IF(A1406="", "", IFERROR(VLOOKUP(A1406, Clasificaciones!A:B, 2, FALSE), "DATO NO CARGADO"))
</f>
        <v/>
      </c>
      <c r="C1406" s="51"/>
      <c r="D1406" s="102"/>
      <c r="E1406" s="102"/>
      <c r="H1406" s="102"/>
      <c r="J1406" s="102"/>
      <c r="K1406" s="450"/>
      <c r="L1406" s="443"/>
      <c r="M1406" s="450"/>
      <c r="N1406" s="452">
        <f t="array" ref="N1406">IFERROR(
  INDEX(
    'Valor Hora Real y Estimada'!$A$4:$Z$78,
    MATCH(TRIM(CLEAN(A1406)), 'Valor Hora Real y Estimada'!$A$4:$A$78, 0),
    MATCH(
      TEXT(C1406,"dd mmm")&amp;" "&amp;D1406,
      'Valor Hora Real y Estimada'!$A$3:$Z$3,
      0
    ) + 1
  ),
  0
)</f>
        <v>0</v>
      </c>
      <c r="O1406" s="453"/>
      <c r="P1406" s="113"/>
      <c r="Q1406" s="106" t="str">
        <f>IF(ISBLANK(O1406), "", VLOOKUP(C1406&amp;" "&amp;D1406, 'Info Tipo de Cambio y REM'!$A$24:$B$35, 2, FALSE))</f>
        <v/>
      </c>
      <c r="R1406" s="107" t="str">
        <f t="shared" si="32"/>
        <v/>
      </c>
    </row>
    <row r="1407" hidden="1">
      <c r="A1407" s="443"/>
      <c r="B1407" s="43" t="str">
        <f>IF(A1407="", "", IFERROR(VLOOKUP(A1407, Clasificaciones!A:B, 2, FALSE), "DATO NO CARGADO"))
</f>
        <v/>
      </c>
      <c r="C1407" s="51"/>
      <c r="D1407" s="102"/>
      <c r="E1407" s="102"/>
      <c r="H1407" s="102"/>
      <c r="J1407" s="102"/>
      <c r="K1407" s="450"/>
      <c r="L1407" s="443"/>
      <c r="M1407" s="450"/>
      <c r="N1407" s="452">
        <f t="array" ref="N1407">IFERROR(
  INDEX(
    'Valor Hora Real y Estimada'!$A$4:$Z$78,
    MATCH(TRIM(CLEAN(A1407)), 'Valor Hora Real y Estimada'!$A$4:$A$78, 0),
    MATCH(
      TEXT(C1407,"dd mmm")&amp;" "&amp;D1407,
      'Valor Hora Real y Estimada'!$A$3:$Z$3,
      0
    ) + 1
  ),
  0
)</f>
        <v>0</v>
      </c>
      <c r="O1407" s="453"/>
      <c r="P1407" s="113"/>
      <c r="Q1407" s="106" t="str">
        <f>IF(ISBLANK(O1407), "", VLOOKUP(C1407&amp;" "&amp;D1407, 'Info Tipo de Cambio y REM'!$A$24:$B$35, 2, FALSE))</f>
        <v/>
      </c>
      <c r="R1407" s="107" t="str">
        <f t="shared" si="32"/>
        <v/>
      </c>
    </row>
    <row r="1408" hidden="1">
      <c r="A1408" s="443"/>
      <c r="B1408" s="43" t="str">
        <f>IF(A1408="", "", IFERROR(VLOOKUP(A1408, Clasificaciones!A:B, 2, FALSE), "DATO NO CARGADO"))
</f>
        <v/>
      </c>
      <c r="C1408" s="51"/>
      <c r="D1408" s="102"/>
      <c r="E1408" s="102"/>
      <c r="H1408" s="102"/>
      <c r="J1408" s="102"/>
      <c r="K1408" s="450"/>
      <c r="L1408" s="443"/>
      <c r="M1408" s="450"/>
      <c r="N1408" s="452">
        <f t="array" ref="N1408">IFERROR(
  INDEX(
    'Valor Hora Real y Estimada'!$A$4:$Z$78,
    MATCH(TRIM(CLEAN(A1408)), 'Valor Hora Real y Estimada'!$A$4:$A$78, 0),
    MATCH(
      TEXT(C1408,"dd mmm")&amp;" "&amp;D1408,
      'Valor Hora Real y Estimada'!$A$3:$Z$3,
      0
    ) + 1
  ),
  0
)</f>
        <v>0</v>
      </c>
      <c r="O1408" s="453"/>
      <c r="P1408" s="113"/>
      <c r="Q1408" s="106" t="str">
        <f>IF(ISBLANK(O1408), "", VLOOKUP(C1408&amp;" "&amp;D1408, 'Info Tipo de Cambio y REM'!$A$24:$B$35, 2, FALSE))</f>
        <v/>
      </c>
      <c r="R1408" s="107" t="str">
        <f t="shared" si="32"/>
        <v/>
      </c>
    </row>
    <row r="1409" hidden="1">
      <c r="A1409" s="443"/>
      <c r="B1409" s="43" t="str">
        <f>IF(A1409="", "", IFERROR(VLOOKUP(A1409, Clasificaciones!A:B, 2, FALSE), "DATO NO CARGADO"))
</f>
        <v/>
      </c>
      <c r="C1409" s="51"/>
      <c r="D1409" s="102"/>
      <c r="E1409" s="102"/>
      <c r="H1409" s="102"/>
      <c r="J1409" s="102"/>
      <c r="K1409" s="450"/>
      <c r="L1409" s="443"/>
      <c r="M1409" s="450"/>
      <c r="N1409" s="452">
        <f t="array" ref="N1409">IFERROR(
  INDEX(
    'Valor Hora Real y Estimada'!$A$4:$Z$78,
    MATCH(TRIM(CLEAN(A1409)), 'Valor Hora Real y Estimada'!$A$4:$A$78, 0),
    MATCH(
      TEXT(C1409,"dd mmm")&amp;" "&amp;D1409,
      'Valor Hora Real y Estimada'!$A$3:$Z$3,
      0
    ) + 1
  ),
  0
)</f>
        <v>0</v>
      </c>
      <c r="O1409" s="453"/>
      <c r="P1409" s="113"/>
      <c r="Q1409" s="106" t="str">
        <f>IF(ISBLANK(O1409), "", VLOOKUP(C1409&amp;" "&amp;D1409, 'Info Tipo de Cambio y REM'!$A$24:$B$35, 2, FALSE))</f>
        <v/>
      </c>
      <c r="R1409" s="107" t="str">
        <f t="shared" si="32"/>
        <v/>
      </c>
    </row>
    <row r="1410" hidden="1">
      <c r="A1410" s="443"/>
      <c r="B1410" s="43" t="str">
        <f>IF(A1410="", "", IFERROR(VLOOKUP(A1410, Clasificaciones!A:B, 2, FALSE), "DATO NO CARGADO"))
</f>
        <v/>
      </c>
      <c r="C1410" s="51"/>
      <c r="D1410" s="102"/>
      <c r="E1410" s="102"/>
      <c r="H1410" s="102"/>
      <c r="J1410" s="102"/>
      <c r="K1410" s="450"/>
      <c r="L1410" s="443"/>
      <c r="M1410" s="450"/>
      <c r="N1410" s="452">
        <f t="array" ref="N1410">IFERROR(
  INDEX(
    'Valor Hora Real y Estimada'!$A$4:$Z$78,
    MATCH(TRIM(CLEAN(A1410)), 'Valor Hora Real y Estimada'!$A$4:$A$78, 0),
    MATCH(
      TEXT(C1410,"dd mmm")&amp;" "&amp;D1410,
      'Valor Hora Real y Estimada'!$A$3:$Z$3,
      0
    ) + 1
  ),
  0
)</f>
        <v>0</v>
      </c>
      <c r="O1410" s="453"/>
      <c r="P1410" s="113"/>
      <c r="Q1410" s="106" t="str">
        <f>IF(ISBLANK(O1410), "", VLOOKUP(C1410&amp;" "&amp;D1410, 'Info Tipo de Cambio y REM'!$A$24:$B$35, 2, FALSE))</f>
        <v/>
      </c>
      <c r="R1410" s="107" t="str">
        <f t="shared" si="32"/>
        <v/>
      </c>
    </row>
    <row r="1411" hidden="1">
      <c r="A1411" s="443"/>
      <c r="B1411" s="43" t="str">
        <f>IF(A1411="", "", IFERROR(VLOOKUP(A1411, Clasificaciones!A:B, 2, FALSE), "DATO NO CARGADO"))
</f>
        <v/>
      </c>
      <c r="C1411" s="51"/>
      <c r="D1411" s="102"/>
      <c r="E1411" s="102"/>
      <c r="H1411" s="102"/>
      <c r="J1411" s="102"/>
      <c r="K1411" s="450"/>
      <c r="L1411" s="443"/>
      <c r="M1411" s="450"/>
      <c r="N1411" s="452">
        <f t="array" ref="N1411">IFERROR(
  INDEX(
    'Valor Hora Real y Estimada'!$A$4:$Z$78,
    MATCH(TRIM(CLEAN(A1411)), 'Valor Hora Real y Estimada'!$A$4:$A$78, 0),
    MATCH(
      TEXT(C1411,"dd mmm")&amp;" "&amp;D1411,
      'Valor Hora Real y Estimada'!$A$3:$Z$3,
      0
    ) + 1
  ),
  0
)</f>
        <v>0</v>
      </c>
      <c r="O1411" s="453"/>
      <c r="P1411" s="113"/>
      <c r="Q1411" s="106" t="str">
        <f>IF(ISBLANK(O1411), "", VLOOKUP(C1411&amp;" "&amp;D1411, 'Info Tipo de Cambio y REM'!$A$24:$B$35, 2, FALSE))</f>
        <v/>
      </c>
      <c r="R1411" s="107" t="str">
        <f t="shared" si="32"/>
        <v/>
      </c>
    </row>
    <row r="1412" hidden="1">
      <c r="A1412" s="443"/>
      <c r="B1412" s="43" t="str">
        <f>IF(A1412="", "", IFERROR(VLOOKUP(A1412, Clasificaciones!A:B, 2, FALSE), "DATO NO CARGADO"))
</f>
        <v/>
      </c>
      <c r="C1412" s="51"/>
      <c r="D1412" s="102"/>
      <c r="E1412" s="102"/>
      <c r="H1412" s="102"/>
      <c r="J1412" s="102"/>
      <c r="K1412" s="450"/>
      <c r="L1412" s="443"/>
      <c r="M1412" s="450"/>
      <c r="N1412" s="452">
        <f t="array" ref="N1412">IFERROR(
  INDEX(
    'Valor Hora Real y Estimada'!$A$4:$Z$78,
    MATCH(TRIM(CLEAN(A1412)), 'Valor Hora Real y Estimada'!$A$4:$A$78, 0),
    MATCH(
      TEXT(C1412,"dd mmm")&amp;" "&amp;D1412,
      'Valor Hora Real y Estimada'!$A$3:$Z$3,
      0
    ) + 1
  ),
  0
)</f>
        <v>0</v>
      </c>
      <c r="O1412" s="453"/>
      <c r="P1412" s="113"/>
      <c r="Q1412" s="106" t="str">
        <f>IF(ISBLANK(O1412), "", VLOOKUP(C1412&amp;" "&amp;D1412, 'Info Tipo de Cambio y REM'!$A$24:$B$35, 2, FALSE))</f>
        <v/>
      </c>
      <c r="R1412" s="107" t="str">
        <f t="shared" si="32"/>
        <v/>
      </c>
    </row>
    <row r="1413" hidden="1">
      <c r="A1413" s="443"/>
      <c r="B1413" s="43" t="str">
        <f>IF(A1413="", "", IFERROR(VLOOKUP(A1413, Clasificaciones!A:B, 2, FALSE), "DATO NO CARGADO"))
</f>
        <v/>
      </c>
      <c r="C1413" s="51"/>
      <c r="D1413" s="102"/>
      <c r="E1413" s="102"/>
      <c r="H1413" s="102"/>
      <c r="J1413" s="102"/>
      <c r="K1413" s="450"/>
      <c r="L1413" s="443"/>
      <c r="M1413" s="450"/>
      <c r="N1413" s="452">
        <f t="array" ref="N1413">IFERROR(
  INDEX(
    'Valor Hora Real y Estimada'!$A$4:$Z$78,
    MATCH(TRIM(CLEAN(A1413)), 'Valor Hora Real y Estimada'!$A$4:$A$78, 0),
    MATCH(
      TEXT(C1413,"dd mmm")&amp;" "&amp;D1413,
      'Valor Hora Real y Estimada'!$A$3:$Z$3,
      0
    ) + 1
  ),
  0
)</f>
        <v>0</v>
      </c>
      <c r="O1413" s="453"/>
      <c r="P1413" s="113"/>
      <c r="Q1413" s="106" t="str">
        <f>IF(ISBLANK(O1413), "", VLOOKUP(C1413&amp;" "&amp;D1413, 'Info Tipo de Cambio y REM'!$A$24:$B$35, 2, FALSE))</f>
        <v/>
      </c>
      <c r="R1413" s="107" t="str">
        <f t="shared" si="32"/>
        <v/>
      </c>
    </row>
    <row r="1414" hidden="1">
      <c r="A1414" s="443"/>
      <c r="B1414" s="43" t="str">
        <f>IF(A1414="", "", IFERROR(VLOOKUP(A1414, Clasificaciones!A:B, 2, FALSE), "DATO NO CARGADO"))
</f>
        <v/>
      </c>
      <c r="C1414" s="51"/>
      <c r="D1414" s="102"/>
      <c r="E1414" s="102"/>
      <c r="H1414" s="102"/>
      <c r="J1414" s="102"/>
      <c r="K1414" s="450"/>
      <c r="L1414" s="443"/>
      <c r="M1414" s="450"/>
      <c r="N1414" s="452">
        <f t="array" ref="N1414">IFERROR(
  INDEX(
    'Valor Hora Real y Estimada'!$A$4:$Z$78,
    MATCH(TRIM(CLEAN(A1414)), 'Valor Hora Real y Estimada'!$A$4:$A$78, 0),
    MATCH(
      TEXT(C1414,"dd mmm")&amp;" "&amp;D1414,
      'Valor Hora Real y Estimada'!$A$3:$Z$3,
      0
    ) + 1
  ),
  0
)</f>
        <v>0</v>
      </c>
      <c r="O1414" s="453"/>
      <c r="P1414" s="113"/>
      <c r="Q1414" s="106" t="str">
        <f>IF(ISBLANK(O1414), "", VLOOKUP(C1414&amp;" "&amp;D1414, 'Info Tipo de Cambio y REM'!$A$24:$B$35, 2, FALSE))</f>
        <v/>
      </c>
      <c r="R1414" s="107" t="str">
        <f t="shared" si="32"/>
        <v/>
      </c>
    </row>
    <row r="1415" hidden="1">
      <c r="A1415" s="443"/>
      <c r="B1415" s="43" t="str">
        <f>IF(A1415="", "", IFERROR(VLOOKUP(A1415, Clasificaciones!A:B, 2, FALSE), "DATO NO CARGADO"))
</f>
        <v/>
      </c>
      <c r="C1415" s="51"/>
      <c r="D1415" s="102"/>
      <c r="E1415" s="102"/>
      <c r="H1415" s="102"/>
      <c r="J1415" s="102"/>
      <c r="K1415" s="450"/>
      <c r="L1415" s="443"/>
      <c r="M1415" s="450"/>
      <c r="N1415" s="452">
        <f t="array" ref="N1415">IFERROR(
  INDEX(
    'Valor Hora Real y Estimada'!$A$4:$Z$78,
    MATCH(TRIM(CLEAN(A1415)), 'Valor Hora Real y Estimada'!$A$4:$A$78, 0),
    MATCH(
      TEXT(C1415,"dd mmm")&amp;" "&amp;D1415,
      'Valor Hora Real y Estimada'!$A$3:$Z$3,
      0
    ) + 1
  ),
  0
)</f>
        <v>0</v>
      </c>
      <c r="O1415" s="453"/>
      <c r="P1415" s="113"/>
      <c r="Q1415" s="106" t="str">
        <f>IF(ISBLANK(O1415), "", VLOOKUP(C1415&amp;" "&amp;D1415, 'Info Tipo de Cambio y REM'!$A$24:$B$35, 2, FALSE))</f>
        <v/>
      </c>
      <c r="R1415" s="107" t="str">
        <f t="shared" si="32"/>
        <v/>
      </c>
    </row>
    <row r="1416" hidden="1">
      <c r="A1416" s="443"/>
      <c r="B1416" s="43" t="str">
        <f>IF(A1416="", "", IFERROR(VLOOKUP(A1416, Clasificaciones!A:B, 2, FALSE), "DATO NO CARGADO"))
</f>
        <v/>
      </c>
      <c r="C1416" s="51"/>
      <c r="D1416" s="102"/>
      <c r="E1416" s="102"/>
      <c r="H1416" s="102"/>
      <c r="J1416" s="102"/>
      <c r="K1416" s="450"/>
      <c r="L1416" s="443"/>
      <c r="M1416" s="450"/>
      <c r="N1416" s="452">
        <f t="array" ref="N1416">IFERROR(
  INDEX(
    'Valor Hora Real y Estimada'!$A$4:$Z$78,
    MATCH(TRIM(CLEAN(A1416)), 'Valor Hora Real y Estimada'!$A$4:$A$78, 0),
    MATCH(
      TEXT(C1416,"dd mmm")&amp;" "&amp;D1416,
      'Valor Hora Real y Estimada'!$A$3:$Z$3,
      0
    ) + 1
  ),
  0
)</f>
        <v>0</v>
      </c>
      <c r="O1416" s="453"/>
      <c r="P1416" s="113"/>
      <c r="Q1416" s="106" t="str">
        <f>IF(ISBLANK(O1416), "", VLOOKUP(C1416&amp;" "&amp;D1416, 'Info Tipo de Cambio y REM'!$A$24:$B$35, 2, FALSE))</f>
        <v/>
      </c>
      <c r="R1416" s="107" t="str">
        <f t="shared" si="32"/>
        <v/>
      </c>
    </row>
    <row r="1417" hidden="1">
      <c r="A1417" s="443"/>
      <c r="B1417" s="43" t="str">
        <f>IF(A1417="", "", IFERROR(VLOOKUP(A1417, Clasificaciones!A:B, 2, FALSE), "DATO NO CARGADO"))
</f>
        <v/>
      </c>
      <c r="C1417" s="51"/>
      <c r="D1417" s="102"/>
      <c r="E1417" s="102"/>
      <c r="H1417" s="102"/>
      <c r="J1417" s="102"/>
      <c r="K1417" s="450"/>
      <c r="L1417" s="443"/>
      <c r="M1417" s="450"/>
      <c r="N1417" s="452">
        <f t="array" ref="N1417">IFERROR(
  INDEX(
    'Valor Hora Real y Estimada'!$A$4:$Z$78,
    MATCH(TRIM(CLEAN(A1417)), 'Valor Hora Real y Estimada'!$A$4:$A$78, 0),
    MATCH(
      TEXT(C1417,"dd mmm")&amp;" "&amp;D1417,
      'Valor Hora Real y Estimada'!$A$3:$Z$3,
      0
    ) + 1
  ),
  0
)</f>
        <v>0</v>
      </c>
      <c r="O1417" s="453"/>
      <c r="P1417" s="113"/>
      <c r="Q1417" s="106" t="str">
        <f>IF(ISBLANK(O1417), "", VLOOKUP(C1417&amp;" "&amp;D1417, 'Info Tipo de Cambio y REM'!$A$24:$B$35, 2, FALSE))</f>
        <v/>
      </c>
      <c r="R1417" s="107" t="str">
        <f t="shared" si="32"/>
        <v/>
      </c>
    </row>
    <row r="1418" hidden="1">
      <c r="A1418" s="443"/>
      <c r="B1418" s="43" t="str">
        <f>IF(A1418="", "", IFERROR(VLOOKUP(A1418, Clasificaciones!A:B, 2, FALSE), "DATO NO CARGADO"))
</f>
        <v/>
      </c>
      <c r="C1418" s="51"/>
      <c r="D1418" s="102"/>
      <c r="E1418" s="102"/>
      <c r="H1418" s="102"/>
      <c r="J1418" s="102"/>
      <c r="K1418" s="450"/>
      <c r="L1418" s="443"/>
      <c r="M1418" s="450"/>
      <c r="N1418" s="452">
        <f t="array" ref="N1418">IFERROR(
  INDEX(
    'Valor Hora Real y Estimada'!$A$4:$Z$78,
    MATCH(TRIM(CLEAN(A1418)), 'Valor Hora Real y Estimada'!$A$4:$A$78, 0),
    MATCH(
      TEXT(C1418,"dd mmm")&amp;" "&amp;D1418,
      'Valor Hora Real y Estimada'!$A$3:$Z$3,
      0
    ) + 1
  ),
  0
)</f>
        <v>0</v>
      </c>
      <c r="O1418" s="453"/>
      <c r="P1418" s="113"/>
      <c r="Q1418" s="106" t="str">
        <f>IF(ISBLANK(O1418), "", VLOOKUP(C1418&amp;" "&amp;D1418, 'Info Tipo de Cambio y REM'!$A$24:$B$35, 2, FALSE))</f>
        <v/>
      </c>
      <c r="R1418" s="107" t="str">
        <f t="shared" si="32"/>
        <v/>
      </c>
    </row>
    <row r="1419" hidden="1">
      <c r="A1419" s="443"/>
      <c r="B1419" s="43" t="str">
        <f>IF(A1419="", "", IFERROR(VLOOKUP(A1419, Clasificaciones!A:B, 2, FALSE), "DATO NO CARGADO"))
</f>
        <v/>
      </c>
      <c r="C1419" s="51"/>
      <c r="D1419" s="102"/>
      <c r="E1419" s="102"/>
      <c r="H1419" s="102"/>
      <c r="J1419" s="102"/>
      <c r="K1419" s="450"/>
      <c r="L1419" s="443"/>
      <c r="M1419" s="450"/>
      <c r="N1419" s="452">
        <f t="array" ref="N1419">IFERROR(
  INDEX(
    'Valor Hora Real y Estimada'!$A$4:$Z$78,
    MATCH(TRIM(CLEAN(A1419)), 'Valor Hora Real y Estimada'!$A$4:$A$78, 0),
    MATCH(
      TEXT(C1419,"dd mmm")&amp;" "&amp;D1419,
      'Valor Hora Real y Estimada'!$A$3:$Z$3,
      0
    ) + 1
  ),
  0
)</f>
        <v>0</v>
      </c>
      <c r="O1419" s="453"/>
      <c r="P1419" s="113"/>
      <c r="Q1419" s="106" t="str">
        <f>IF(ISBLANK(O1419), "", VLOOKUP(C1419&amp;" "&amp;D1419, 'Info Tipo de Cambio y REM'!$A$24:$B$35, 2, FALSE))</f>
        <v/>
      </c>
      <c r="R1419" s="107" t="str">
        <f t="shared" si="32"/>
        <v/>
      </c>
    </row>
    <row r="1420" hidden="1">
      <c r="A1420" s="443"/>
      <c r="B1420" s="43" t="str">
        <f>IF(A1420="", "", IFERROR(VLOOKUP(A1420, Clasificaciones!A:B, 2, FALSE), "DATO NO CARGADO"))
</f>
        <v/>
      </c>
      <c r="C1420" s="51"/>
      <c r="D1420" s="102"/>
      <c r="E1420" s="102"/>
      <c r="H1420" s="102"/>
      <c r="J1420" s="102"/>
      <c r="K1420" s="450"/>
      <c r="L1420" s="443"/>
      <c r="M1420" s="450"/>
      <c r="N1420" s="452">
        <f t="array" ref="N1420">IFERROR(
  INDEX(
    'Valor Hora Real y Estimada'!$A$4:$Z$78,
    MATCH(TRIM(CLEAN(A1420)), 'Valor Hora Real y Estimada'!$A$4:$A$78, 0),
    MATCH(
      TEXT(C1420,"dd mmm")&amp;" "&amp;D1420,
      'Valor Hora Real y Estimada'!$A$3:$Z$3,
      0
    ) + 1
  ),
  0
)</f>
        <v>0</v>
      </c>
      <c r="O1420" s="453"/>
      <c r="P1420" s="113"/>
      <c r="Q1420" s="106" t="str">
        <f>IF(ISBLANK(O1420), "", VLOOKUP(C1420&amp;" "&amp;D1420, 'Info Tipo de Cambio y REM'!$A$24:$B$35, 2, FALSE))</f>
        <v/>
      </c>
      <c r="R1420" s="107" t="str">
        <f t="shared" si="32"/>
        <v/>
      </c>
    </row>
    <row r="1421" hidden="1">
      <c r="A1421" s="443"/>
      <c r="B1421" s="43" t="str">
        <f>IF(A1421="", "", IFERROR(VLOOKUP(A1421, Clasificaciones!A:B, 2, FALSE), "DATO NO CARGADO"))
</f>
        <v/>
      </c>
      <c r="C1421" s="51"/>
      <c r="D1421" s="102"/>
      <c r="E1421" s="102"/>
      <c r="H1421" s="102"/>
      <c r="J1421" s="102"/>
      <c r="K1421" s="450"/>
      <c r="L1421" s="443"/>
      <c r="M1421" s="450"/>
      <c r="N1421" s="452">
        <f t="array" ref="N1421">IFERROR(
  INDEX(
    'Valor Hora Real y Estimada'!$A$4:$Z$78,
    MATCH(TRIM(CLEAN(A1421)), 'Valor Hora Real y Estimada'!$A$4:$A$78, 0),
    MATCH(
      TEXT(C1421,"dd mmm")&amp;" "&amp;D1421,
      'Valor Hora Real y Estimada'!$A$3:$Z$3,
      0
    ) + 1
  ),
  0
)</f>
        <v>0</v>
      </c>
      <c r="O1421" s="453"/>
      <c r="P1421" s="113"/>
      <c r="Q1421" s="106" t="str">
        <f>IF(ISBLANK(O1421), "", VLOOKUP(C1421&amp;" "&amp;D1421, 'Info Tipo de Cambio y REM'!$A$24:$B$35, 2, FALSE))</f>
        <v/>
      </c>
      <c r="R1421" s="107" t="str">
        <f t="shared" si="32"/>
        <v/>
      </c>
    </row>
    <row r="1422" hidden="1">
      <c r="A1422" s="443"/>
      <c r="B1422" s="43" t="str">
        <f>IF(A1422="", "", IFERROR(VLOOKUP(A1422, Clasificaciones!A:B, 2, FALSE), "DATO NO CARGADO"))
</f>
        <v/>
      </c>
      <c r="C1422" s="51"/>
      <c r="D1422" s="102"/>
      <c r="E1422" s="102"/>
      <c r="H1422" s="102"/>
      <c r="J1422" s="102"/>
      <c r="K1422" s="450"/>
      <c r="L1422" s="443"/>
      <c r="M1422" s="450"/>
      <c r="N1422" s="452">
        <f t="array" ref="N1422">IFERROR(
  INDEX(
    'Valor Hora Real y Estimada'!$A$4:$Z$78,
    MATCH(TRIM(CLEAN(A1422)), 'Valor Hora Real y Estimada'!$A$4:$A$78, 0),
    MATCH(
      TEXT(C1422,"dd mmm")&amp;" "&amp;D1422,
      'Valor Hora Real y Estimada'!$A$3:$Z$3,
      0
    ) + 1
  ),
  0
)</f>
        <v>0</v>
      </c>
      <c r="O1422" s="453"/>
      <c r="P1422" s="113"/>
      <c r="Q1422" s="106" t="str">
        <f>IF(ISBLANK(O1422), "", VLOOKUP(C1422&amp;" "&amp;D1422, 'Info Tipo de Cambio y REM'!$A$24:$B$35, 2, FALSE))</f>
        <v/>
      </c>
      <c r="R1422" s="107" t="str">
        <f t="shared" si="32"/>
        <v/>
      </c>
    </row>
    <row r="1423" hidden="1">
      <c r="A1423" s="443"/>
      <c r="B1423" s="43" t="str">
        <f>IF(A1423="", "", IFERROR(VLOOKUP(A1423, Clasificaciones!A:B, 2, FALSE), "DATO NO CARGADO"))
</f>
        <v/>
      </c>
      <c r="C1423" s="51"/>
      <c r="D1423" s="102"/>
      <c r="E1423" s="102"/>
      <c r="H1423" s="102"/>
      <c r="J1423" s="102"/>
      <c r="K1423" s="450"/>
      <c r="L1423" s="443"/>
      <c r="M1423" s="450"/>
      <c r="N1423" s="452">
        <f t="array" ref="N1423">IFERROR(
  INDEX(
    'Valor Hora Real y Estimada'!$A$4:$Z$78,
    MATCH(TRIM(CLEAN(A1423)), 'Valor Hora Real y Estimada'!$A$4:$A$78, 0),
    MATCH(
      TEXT(C1423,"dd mmm")&amp;" "&amp;D1423,
      'Valor Hora Real y Estimada'!$A$3:$Z$3,
      0
    ) + 1
  ),
  0
)</f>
        <v>0</v>
      </c>
      <c r="O1423" s="453"/>
      <c r="P1423" s="113"/>
      <c r="Q1423" s="106" t="str">
        <f>IF(ISBLANK(O1423), "", VLOOKUP(C1423&amp;" "&amp;D1423, 'Info Tipo de Cambio y REM'!$A$24:$B$35, 2, FALSE))</f>
        <v/>
      </c>
      <c r="R1423" s="107" t="str">
        <f t="shared" si="32"/>
        <v/>
      </c>
    </row>
    <row r="1424" hidden="1">
      <c r="A1424" s="443"/>
      <c r="B1424" s="43" t="str">
        <f>IF(A1424="", "", IFERROR(VLOOKUP(A1424, Clasificaciones!A:B, 2, FALSE), "DATO NO CARGADO"))
</f>
        <v/>
      </c>
      <c r="C1424" s="51"/>
      <c r="D1424" s="102"/>
      <c r="E1424" s="102"/>
      <c r="H1424" s="102"/>
      <c r="J1424" s="102"/>
      <c r="K1424" s="450"/>
      <c r="L1424" s="443"/>
      <c r="M1424" s="450"/>
      <c r="N1424" s="452">
        <f t="array" ref="N1424">IFERROR(
  INDEX(
    'Valor Hora Real y Estimada'!$A$4:$Z$78,
    MATCH(TRIM(CLEAN(A1424)), 'Valor Hora Real y Estimada'!$A$4:$A$78, 0),
    MATCH(
      TEXT(C1424,"dd mmm")&amp;" "&amp;D1424,
      'Valor Hora Real y Estimada'!$A$3:$Z$3,
      0
    ) + 1
  ),
  0
)</f>
        <v>0</v>
      </c>
      <c r="O1424" s="453"/>
      <c r="P1424" s="113"/>
      <c r="Q1424" s="106" t="str">
        <f>IF(ISBLANK(O1424), "", VLOOKUP(C1424&amp;" "&amp;D1424, 'Info Tipo de Cambio y REM'!$A$24:$B$35, 2, FALSE))</f>
        <v/>
      </c>
      <c r="R1424" s="107" t="str">
        <f t="shared" si="32"/>
        <v/>
      </c>
    </row>
    <row r="1425" hidden="1">
      <c r="A1425" s="443"/>
      <c r="B1425" s="43" t="str">
        <f>IF(A1425="", "", IFERROR(VLOOKUP(A1425, Clasificaciones!A:B, 2, FALSE), "DATO NO CARGADO"))
</f>
        <v/>
      </c>
      <c r="C1425" s="51"/>
      <c r="D1425" s="102"/>
      <c r="E1425" s="102"/>
      <c r="H1425" s="102"/>
      <c r="J1425" s="102"/>
      <c r="K1425" s="450"/>
      <c r="L1425" s="443"/>
      <c r="M1425" s="450"/>
      <c r="N1425" s="452">
        <f t="array" ref="N1425">IFERROR(
  INDEX(
    'Valor Hora Real y Estimada'!$A$4:$Z$78,
    MATCH(TRIM(CLEAN(A1425)), 'Valor Hora Real y Estimada'!$A$4:$A$78, 0),
    MATCH(
      TEXT(C1425,"dd mmm")&amp;" "&amp;D1425,
      'Valor Hora Real y Estimada'!$A$3:$Z$3,
      0
    ) + 1
  ),
  0
)</f>
        <v>0</v>
      </c>
      <c r="O1425" s="453"/>
      <c r="P1425" s="113"/>
      <c r="Q1425" s="106" t="str">
        <f>IF(ISBLANK(O1425), "", VLOOKUP(C1425&amp;" "&amp;D1425, 'Info Tipo de Cambio y REM'!$A$24:$B$35, 2, FALSE))</f>
        <v/>
      </c>
      <c r="R1425" s="107" t="str">
        <f t="shared" si="32"/>
        <v/>
      </c>
    </row>
    <row r="1426" hidden="1">
      <c r="A1426" s="443"/>
      <c r="B1426" s="43" t="str">
        <f>IF(A1426="", "", IFERROR(VLOOKUP(A1426, Clasificaciones!A:B, 2, FALSE), "DATO NO CARGADO"))
</f>
        <v/>
      </c>
      <c r="C1426" s="51"/>
      <c r="D1426" s="102"/>
      <c r="E1426" s="102"/>
      <c r="H1426" s="102"/>
      <c r="J1426" s="102"/>
      <c r="K1426" s="450"/>
      <c r="L1426" s="443"/>
      <c r="M1426" s="450"/>
      <c r="N1426" s="452">
        <f t="array" ref="N1426">IFERROR(
  INDEX(
    'Valor Hora Real y Estimada'!$A$4:$Z$78,
    MATCH(TRIM(CLEAN(A1426)), 'Valor Hora Real y Estimada'!$A$4:$A$78, 0),
    MATCH(
      TEXT(C1426,"dd mmm")&amp;" "&amp;D1426,
      'Valor Hora Real y Estimada'!$A$3:$Z$3,
      0
    ) + 1
  ),
  0
)</f>
        <v>0</v>
      </c>
      <c r="O1426" s="453"/>
      <c r="P1426" s="113"/>
      <c r="Q1426" s="106" t="str">
        <f>IF(ISBLANK(O1426), "", VLOOKUP(C1426&amp;" "&amp;D1426, 'Info Tipo de Cambio y REM'!$A$24:$B$35, 2, FALSE))</f>
        <v/>
      </c>
      <c r="R1426" s="107" t="str">
        <f t="shared" si="32"/>
        <v/>
      </c>
    </row>
    <row r="1427" hidden="1">
      <c r="A1427" s="443"/>
      <c r="B1427" s="43" t="str">
        <f>IF(A1427="", "", IFERROR(VLOOKUP(A1427, Clasificaciones!A:B, 2, FALSE), "DATO NO CARGADO"))
</f>
        <v/>
      </c>
      <c r="C1427" s="51"/>
      <c r="D1427" s="102"/>
      <c r="E1427" s="102"/>
      <c r="H1427" s="102"/>
      <c r="J1427" s="102"/>
      <c r="K1427" s="450"/>
      <c r="L1427" s="443"/>
      <c r="M1427" s="450"/>
      <c r="N1427" s="452">
        <f t="array" ref="N1427">IFERROR(
  INDEX(
    'Valor Hora Real y Estimada'!$A$4:$Z$78,
    MATCH(TRIM(CLEAN(A1427)), 'Valor Hora Real y Estimada'!$A$4:$A$78, 0),
    MATCH(
      TEXT(C1427,"dd mmm")&amp;" "&amp;D1427,
      'Valor Hora Real y Estimada'!$A$3:$Z$3,
      0
    ) + 1
  ),
  0
)</f>
        <v>0</v>
      </c>
      <c r="O1427" s="453"/>
      <c r="P1427" s="113"/>
      <c r="Q1427" s="106" t="str">
        <f>IF(ISBLANK(O1427), "", VLOOKUP(C1427&amp;" "&amp;D1427, 'Info Tipo de Cambio y REM'!$A$24:$B$35, 2, FALSE))</f>
        <v/>
      </c>
      <c r="R1427" s="107" t="str">
        <f t="shared" si="32"/>
        <v/>
      </c>
    </row>
    <row r="1428" hidden="1">
      <c r="A1428" s="443"/>
      <c r="B1428" s="43" t="str">
        <f>IF(A1428="", "", IFERROR(VLOOKUP(A1428, Clasificaciones!A:B, 2, FALSE), "DATO NO CARGADO"))
</f>
        <v/>
      </c>
      <c r="C1428" s="51"/>
      <c r="D1428" s="102"/>
      <c r="E1428" s="102"/>
      <c r="H1428" s="102"/>
      <c r="J1428" s="102"/>
      <c r="K1428" s="450"/>
      <c r="L1428" s="443"/>
      <c r="M1428" s="450"/>
      <c r="N1428" s="452">
        <f t="array" ref="N1428">IFERROR(
  INDEX(
    'Valor Hora Real y Estimada'!$A$4:$Z$78,
    MATCH(TRIM(CLEAN(A1428)), 'Valor Hora Real y Estimada'!$A$4:$A$78, 0),
    MATCH(
      TEXT(C1428,"dd mmm")&amp;" "&amp;D1428,
      'Valor Hora Real y Estimada'!$A$3:$Z$3,
      0
    ) + 1
  ),
  0
)</f>
        <v>0</v>
      </c>
      <c r="O1428" s="453"/>
      <c r="P1428" s="113"/>
      <c r="Q1428" s="106" t="str">
        <f>IF(ISBLANK(O1428), "", VLOOKUP(C1428&amp;" "&amp;D1428, 'Info Tipo de Cambio y REM'!$A$24:$B$35, 2, FALSE))</f>
        <v/>
      </c>
      <c r="R1428" s="107" t="str">
        <f t="shared" si="32"/>
        <v/>
      </c>
    </row>
    <row r="1429" hidden="1">
      <c r="A1429" s="443"/>
      <c r="B1429" s="43" t="str">
        <f>IF(A1429="", "", IFERROR(VLOOKUP(A1429, Clasificaciones!A:B, 2, FALSE), "DATO NO CARGADO"))
</f>
        <v/>
      </c>
      <c r="C1429" s="51"/>
      <c r="D1429" s="102"/>
      <c r="E1429" s="102"/>
      <c r="H1429" s="102"/>
      <c r="J1429" s="102"/>
      <c r="K1429" s="450"/>
      <c r="L1429" s="443"/>
      <c r="M1429" s="450"/>
      <c r="N1429" s="452">
        <f t="array" ref="N1429">IFERROR(
  INDEX(
    'Valor Hora Real y Estimada'!$A$4:$Z$78,
    MATCH(TRIM(CLEAN(A1429)), 'Valor Hora Real y Estimada'!$A$4:$A$78, 0),
    MATCH(
      TEXT(C1429,"dd mmm")&amp;" "&amp;D1429,
      'Valor Hora Real y Estimada'!$A$3:$Z$3,
      0
    ) + 1
  ),
  0
)</f>
        <v>0</v>
      </c>
      <c r="O1429" s="453"/>
      <c r="P1429" s="113"/>
      <c r="Q1429" s="106" t="str">
        <f>IF(ISBLANK(O1429), "", VLOOKUP(C1429&amp;" "&amp;D1429, 'Info Tipo de Cambio y REM'!$A$24:$B$35, 2, FALSE))</f>
        <v/>
      </c>
      <c r="R1429" s="107" t="str">
        <f t="shared" si="32"/>
        <v/>
      </c>
    </row>
    <row r="1430" hidden="1">
      <c r="A1430" s="443"/>
      <c r="B1430" s="43" t="str">
        <f>IF(A1430="", "", IFERROR(VLOOKUP(A1430, Clasificaciones!A:B, 2, FALSE), "DATO NO CARGADO"))
</f>
        <v/>
      </c>
      <c r="C1430" s="51"/>
      <c r="D1430" s="102"/>
      <c r="E1430" s="102"/>
      <c r="H1430" s="102"/>
      <c r="J1430" s="102"/>
      <c r="K1430" s="450"/>
      <c r="L1430" s="443"/>
      <c r="M1430" s="450"/>
      <c r="N1430" s="452">
        <f t="array" ref="N1430">IFERROR(
  INDEX(
    'Valor Hora Real y Estimada'!$A$4:$Z$78,
    MATCH(TRIM(CLEAN(A1430)), 'Valor Hora Real y Estimada'!$A$4:$A$78, 0),
    MATCH(
      TEXT(C1430,"dd mmm")&amp;" "&amp;D1430,
      'Valor Hora Real y Estimada'!$A$3:$Z$3,
      0
    ) + 1
  ),
  0
)</f>
        <v>0</v>
      </c>
      <c r="O1430" s="453"/>
      <c r="P1430" s="113"/>
      <c r="Q1430" s="106" t="str">
        <f>IF(ISBLANK(O1430), "", VLOOKUP(C1430&amp;" "&amp;D1430, 'Info Tipo de Cambio y REM'!$A$24:$B$35, 2, FALSE))</f>
        <v/>
      </c>
      <c r="R1430" s="107" t="str">
        <f t="shared" si="32"/>
        <v/>
      </c>
    </row>
    <row r="1431" hidden="1">
      <c r="A1431" s="443"/>
      <c r="B1431" s="43" t="str">
        <f>IF(A1431="", "", IFERROR(VLOOKUP(A1431, Clasificaciones!A:B, 2, FALSE), "DATO NO CARGADO"))
</f>
        <v/>
      </c>
      <c r="C1431" s="51"/>
      <c r="D1431" s="102"/>
      <c r="E1431" s="102"/>
      <c r="H1431" s="102"/>
      <c r="J1431" s="102"/>
      <c r="K1431" s="450"/>
      <c r="L1431" s="443"/>
      <c r="M1431" s="450"/>
      <c r="N1431" s="452">
        <f t="array" ref="N1431">IFERROR(
  INDEX(
    'Valor Hora Real y Estimada'!$A$4:$Z$78,
    MATCH(TRIM(CLEAN(A1431)), 'Valor Hora Real y Estimada'!$A$4:$A$78, 0),
    MATCH(
      TEXT(C1431,"dd mmm")&amp;" "&amp;D1431,
      'Valor Hora Real y Estimada'!$A$3:$Z$3,
      0
    ) + 1
  ),
  0
)</f>
        <v>0</v>
      </c>
      <c r="O1431" s="453"/>
      <c r="P1431" s="113"/>
      <c r="Q1431" s="106" t="str">
        <f>IF(ISBLANK(O1431), "", VLOOKUP(C1431&amp;" "&amp;D1431, 'Info Tipo de Cambio y REM'!$A$24:$B$35, 2, FALSE))</f>
        <v/>
      </c>
      <c r="R1431" s="107" t="str">
        <f t="shared" si="32"/>
        <v/>
      </c>
    </row>
    <row r="1432" hidden="1">
      <c r="A1432" s="443"/>
      <c r="B1432" s="43" t="str">
        <f>IF(A1432="", "", IFERROR(VLOOKUP(A1432, Clasificaciones!A:B, 2, FALSE), "DATO NO CARGADO"))
</f>
        <v/>
      </c>
      <c r="C1432" s="51"/>
      <c r="D1432" s="102"/>
      <c r="E1432" s="102"/>
      <c r="H1432" s="102"/>
      <c r="J1432" s="102"/>
      <c r="K1432" s="450"/>
      <c r="L1432" s="443"/>
      <c r="M1432" s="450"/>
      <c r="N1432" s="452">
        <f t="array" ref="N1432">IFERROR(
  INDEX(
    'Valor Hora Real y Estimada'!$A$4:$Z$78,
    MATCH(TRIM(CLEAN(A1432)), 'Valor Hora Real y Estimada'!$A$4:$A$78, 0),
    MATCH(
      TEXT(C1432,"dd mmm")&amp;" "&amp;D1432,
      'Valor Hora Real y Estimada'!$A$3:$Z$3,
      0
    ) + 1
  ),
  0
)</f>
        <v>0</v>
      </c>
      <c r="O1432" s="453"/>
      <c r="P1432" s="113"/>
      <c r="Q1432" s="106" t="str">
        <f>IF(ISBLANK(O1432), "", VLOOKUP(C1432&amp;" "&amp;D1432, 'Info Tipo de Cambio y REM'!$A$24:$B$35, 2, FALSE))</f>
        <v/>
      </c>
      <c r="R1432" s="107" t="str">
        <f t="shared" si="32"/>
        <v/>
      </c>
    </row>
    <row r="1433" hidden="1">
      <c r="A1433" s="443"/>
      <c r="B1433" s="43" t="str">
        <f>IF(A1433="", "", IFERROR(VLOOKUP(A1433, Clasificaciones!A:B, 2, FALSE), "DATO NO CARGADO"))
</f>
        <v/>
      </c>
      <c r="C1433" s="51"/>
      <c r="D1433" s="102"/>
      <c r="E1433" s="102"/>
      <c r="H1433" s="102"/>
      <c r="J1433" s="102"/>
      <c r="K1433" s="450"/>
      <c r="L1433" s="443"/>
      <c r="M1433" s="450"/>
      <c r="N1433" s="452">
        <f t="array" ref="N1433">IFERROR(
  INDEX(
    'Valor Hora Real y Estimada'!$A$4:$Z$78,
    MATCH(TRIM(CLEAN(A1433)), 'Valor Hora Real y Estimada'!$A$4:$A$78, 0),
    MATCH(
      TEXT(C1433,"dd mmm")&amp;" "&amp;D1433,
      'Valor Hora Real y Estimada'!$A$3:$Z$3,
      0
    ) + 1
  ),
  0
)</f>
        <v>0</v>
      </c>
      <c r="O1433" s="453"/>
      <c r="P1433" s="113"/>
      <c r="Q1433" s="106" t="str">
        <f>IF(ISBLANK(O1433), "", VLOOKUP(C1433&amp;" "&amp;D1433, 'Info Tipo de Cambio y REM'!$A$24:$B$35, 2, FALSE))</f>
        <v/>
      </c>
      <c r="R1433" s="107" t="str">
        <f t="shared" si="32"/>
        <v/>
      </c>
    </row>
    <row r="1434" hidden="1">
      <c r="A1434" s="443"/>
      <c r="B1434" s="43" t="str">
        <f>IF(A1434="", "", IFERROR(VLOOKUP(A1434, Clasificaciones!A:B, 2, FALSE), "DATO NO CARGADO"))
</f>
        <v/>
      </c>
      <c r="C1434" s="51"/>
      <c r="D1434" s="102"/>
      <c r="E1434" s="102"/>
      <c r="H1434" s="102"/>
      <c r="J1434" s="102"/>
      <c r="K1434" s="450"/>
      <c r="L1434" s="443"/>
      <c r="M1434" s="450"/>
      <c r="N1434" s="452">
        <f t="array" ref="N1434">IFERROR(
  INDEX(
    'Valor Hora Real y Estimada'!$A$4:$Z$78,
    MATCH(TRIM(CLEAN(A1434)), 'Valor Hora Real y Estimada'!$A$4:$A$78, 0),
    MATCH(
      TEXT(C1434,"dd mmm")&amp;" "&amp;D1434,
      'Valor Hora Real y Estimada'!$A$3:$Z$3,
      0
    ) + 1
  ),
  0
)</f>
        <v>0</v>
      </c>
      <c r="O1434" s="453"/>
      <c r="P1434" s="113"/>
      <c r="Q1434" s="106" t="str">
        <f>IF(ISBLANK(O1434), "", VLOOKUP(C1434&amp;" "&amp;D1434, 'Info Tipo de Cambio y REM'!$A$24:$B$35, 2, FALSE))</f>
        <v/>
      </c>
      <c r="R1434" s="107" t="str">
        <f t="shared" si="32"/>
        <v/>
      </c>
    </row>
    <row r="1435" hidden="1">
      <c r="A1435" s="443"/>
      <c r="B1435" s="43" t="str">
        <f>IF(A1435="", "", IFERROR(VLOOKUP(A1435, Clasificaciones!A:B, 2, FALSE), "DATO NO CARGADO"))
</f>
        <v/>
      </c>
      <c r="C1435" s="51"/>
      <c r="D1435" s="102"/>
      <c r="E1435" s="102"/>
      <c r="H1435" s="102"/>
      <c r="J1435" s="102"/>
      <c r="K1435" s="450"/>
      <c r="L1435" s="443"/>
      <c r="M1435" s="450"/>
      <c r="N1435" s="452">
        <f t="array" ref="N1435">IFERROR(
  INDEX(
    'Valor Hora Real y Estimada'!$A$4:$Z$78,
    MATCH(TRIM(CLEAN(A1435)), 'Valor Hora Real y Estimada'!$A$4:$A$78, 0),
    MATCH(
      TEXT(C1435,"dd mmm")&amp;" "&amp;D1435,
      'Valor Hora Real y Estimada'!$A$3:$Z$3,
      0
    ) + 1
  ),
  0
)</f>
        <v>0</v>
      </c>
      <c r="O1435" s="453"/>
      <c r="P1435" s="113"/>
      <c r="Q1435" s="106" t="str">
        <f>IF(ISBLANK(O1435), "", VLOOKUP(C1435&amp;" "&amp;D1435, 'Info Tipo de Cambio y REM'!$A$24:$B$35, 2, FALSE))</f>
        <v/>
      </c>
      <c r="R1435" s="107" t="str">
        <f t="shared" si="32"/>
        <v/>
      </c>
    </row>
    <row r="1436" hidden="1">
      <c r="A1436" s="443"/>
      <c r="B1436" s="43" t="str">
        <f>IF(A1436="", "", IFERROR(VLOOKUP(A1436, Clasificaciones!A:B, 2, FALSE), "DATO NO CARGADO"))
</f>
        <v/>
      </c>
      <c r="C1436" s="51"/>
      <c r="D1436" s="102"/>
      <c r="E1436" s="102"/>
      <c r="H1436" s="102"/>
      <c r="J1436" s="102"/>
      <c r="K1436" s="450"/>
      <c r="L1436" s="443"/>
      <c r="M1436" s="450"/>
      <c r="N1436" s="452">
        <f t="array" ref="N1436">IFERROR(
  INDEX(
    'Valor Hora Real y Estimada'!$A$4:$Z$78,
    MATCH(TRIM(CLEAN(A1436)), 'Valor Hora Real y Estimada'!$A$4:$A$78, 0),
    MATCH(
      TEXT(C1436,"dd mmm")&amp;" "&amp;D1436,
      'Valor Hora Real y Estimada'!$A$3:$Z$3,
      0
    ) + 1
  ),
  0
)</f>
        <v>0</v>
      </c>
      <c r="O1436" s="453"/>
      <c r="P1436" s="113"/>
      <c r="Q1436" s="106" t="str">
        <f>IF(ISBLANK(O1436), "", VLOOKUP(C1436&amp;" "&amp;D1436, 'Info Tipo de Cambio y REM'!$A$24:$B$35, 2, FALSE))</f>
        <v/>
      </c>
      <c r="R1436" s="107" t="str">
        <f t="shared" si="32"/>
        <v/>
      </c>
    </row>
    <row r="1437" hidden="1">
      <c r="A1437" s="443"/>
      <c r="B1437" s="43" t="str">
        <f>IF(A1437="", "", IFERROR(VLOOKUP(A1437, Clasificaciones!A:B, 2, FALSE), "DATO NO CARGADO"))
</f>
        <v/>
      </c>
      <c r="C1437" s="51"/>
      <c r="D1437" s="102"/>
      <c r="E1437" s="102"/>
      <c r="H1437" s="102"/>
      <c r="J1437" s="102"/>
      <c r="K1437" s="450"/>
      <c r="L1437" s="443"/>
      <c r="M1437" s="450"/>
      <c r="N1437" s="452">
        <f t="array" ref="N1437">IFERROR(
  INDEX(
    'Valor Hora Real y Estimada'!$A$4:$Z$78,
    MATCH(TRIM(CLEAN(A1437)), 'Valor Hora Real y Estimada'!$A$4:$A$78, 0),
    MATCH(
      TEXT(C1437,"dd mmm")&amp;" "&amp;D1437,
      'Valor Hora Real y Estimada'!$A$3:$Z$3,
      0
    ) + 1
  ),
  0
)</f>
        <v>0</v>
      </c>
      <c r="O1437" s="453"/>
      <c r="P1437" s="113"/>
      <c r="Q1437" s="106" t="str">
        <f>IF(ISBLANK(O1437), "", VLOOKUP(C1437&amp;" "&amp;D1437, 'Info Tipo de Cambio y REM'!$A$24:$B$35, 2, FALSE))</f>
        <v/>
      </c>
      <c r="R1437" s="107" t="str">
        <f t="shared" si="32"/>
        <v/>
      </c>
    </row>
    <row r="1438" hidden="1">
      <c r="A1438" s="443"/>
      <c r="B1438" s="43" t="str">
        <f>IF(A1438="", "", IFERROR(VLOOKUP(A1438, Clasificaciones!A:B, 2, FALSE), "DATO NO CARGADO"))
</f>
        <v/>
      </c>
      <c r="C1438" s="51"/>
      <c r="D1438" s="102"/>
      <c r="E1438" s="102"/>
      <c r="H1438" s="102"/>
      <c r="J1438" s="102"/>
      <c r="K1438" s="450"/>
      <c r="L1438" s="443"/>
      <c r="M1438" s="450"/>
      <c r="N1438" s="452">
        <f t="array" ref="N1438">IFERROR(
  INDEX(
    'Valor Hora Real y Estimada'!$A$4:$Z$78,
    MATCH(TRIM(CLEAN(A1438)), 'Valor Hora Real y Estimada'!$A$4:$A$78, 0),
    MATCH(
      TEXT(C1438,"dd mmm")&amp;" "&amp;D1438,
      'Valor Hora Real y Estimada'!$A$3:$Z$3,
      0
    ) + 1
  ),
  0
)</f>
        <v>0</v>
      </c>
      <c r="O1438" s="453"/>
      <c r="P1438" s="113"/>
      <c r="Q1438" s="106" t="str">
        <f>IF(ISBLANK(O1438), "", VLOOKUP(C1438&amp;" "&amp;D1438, 'Info Tipo de Cambio y REM'!$A$24:$B$35, 2, FALSE))</f>
        <v/>
      </c>
      <c r="R1438" s="107" t="str">
        <f t="shared" si="32"/>
        <v/>
      </c>
    </row>
    <row r="1439" hidden="1">
      <c r="A1439" s="443"/>
      <c r="B1439" s="43" t="str">
        <f>IF(A1439="", "", IFERROR(VLOOKUP(A1439, Clasificaciones!A:B, 2, FALSE), "DATO NO CARGADO"))
</f>
        <v/>
      </c>
      <c r="C1439" s="51"/>
      <c r="D1439" s="102"/>
      <c r="E1439" s="102"/>
      <c r="H1439" s="102"/>
      <c r="J1439" s="102"/>
      <c r="K1439" s="450"/>
      <c r="L1439" s="443"/>
      <c r="M1439" s="450"/>
      <c r="N1439" s="452">
        <f t="array" ref="N1439">IFERROR(
  INDEX(
    'Valor Hora Real y Estimada'!$A$4:$Z$78,
    MATCH(TRIM(CLEAN(A1439)), 'Valor Hora Real y Estimada'!$A$4:$A$78, 0),
    MATCH(
      TEXT(C1439,"dd mmm")&amp;" "&amp;D1439,
      'Valor Hora Real y Estimada'!$A$3:$Z$3,
      0
    ) + 1
  ),
  0
)</f>
        <v>0</v>
      </c>
      <c r="O1439" s="453"/>
      <c r="P1439" s="113"/>
      <c r="Q1439" s="106" t="str">
        <f>IF(ISBLANK(O1439), "", VLOOKUP(C1439&amp;" "&amp;D1439, 'Info Tipo de Cambio y REM'!$A$24:$B$35, 2, FALSE))</f>
        <v/>
      </c>
      <c r="R1439" s="107" t="str">
        <f t="shared" si="32"/>
        <v/>
      </c>
    </row>
    <row r="1440" hidden="1">
      <c r="A1440" s="443"/>
      <c r="B1440" s="43" t="str">
        <f>IF(A1440="", "", IFERROR(VLOOKUP(A1440, Clasificaciones!A:B, 2, FALSE), "DATO NO CARGADO"))
</f>
        <v/>
      </c>
      <c r="C1440" s="51"/>
      <c r="D1440" s="102"/>
      <c r="E1440" s="102"/>
      <c r="H1440" s="102"/>
      <c r="J1440" s="102"/>
      <c r="K1440" s="450"/>
      <c r="L1440" s="443"/>
      <c r="M1440" s="450"/>
      <c r="N1440" s="452">
        <f t="array" ref="N1440">IFERROR(
  INDEX(
    'Valor Hora Real y Estimada'!$A$4:$Z$78,
    MATCH(TRIM(CLEAN(A1440)), 'Valor Hora Real y Estimada'!$A$4:$A$78, 0),
    MATCH(
      TEXT(C1440,"dd mmm")&amp;" "&amp;D1440,
      'Valor Hora Real y Estimada'!$A$3:$Z$3,
      0
    ) + 1
  ),
  0
)</f>
        <v>0</v>
      </c>
      <c r="O1440" s="453"/>
      <c r="P1440" s="113"/>
      <c r="Q1440" s="106" t="str">
        <f>IF(ISBLANK(O1440), "", VLOOKUP(C1440&amp;" "&amp;D1440, 'Info Tipo de Cambio y REM'!$A$24:$B$35, 2, FALSE))</f>
        <v/>
      </c>
      <c r="R1440" s="107" t="str">
        <f t="shared" si="32"/>
        <v/>
      </c>
    </row>
    <row r="1441" hidden="1">
      <c r="A1441" s="443"/>
      <c r="B1441" s="43" t="str">
        <f>IF(A1441="", "", IFERROR(VLOOKUP(A1441, Clasificaciones!A:B, 2, FALSE), "DATO NO CARGADO"))
</f>
        <v/>
      </c>
      <c r="C1441" s="51"/>
      <c r="D1441" s="102"/>
      <c r="E1441" s="102"/>
      <c r="H1441" s="102"/>
      <c r="J1441" s="102"/>
      <c r="K1441" s="450"/>
      <c r="L1441" s="443"/>
      <c r="M1441" s="450"/>
      <c r="N1441" s="452">
        <f t="array" ref="N1441">IFERROR(
  INDEX(
    'Valor Hora Real y Estimada'!$A$4:$Z$78,
    MATCH(TRIM(CLEAN(A1441)), 'Valor Hora Real y Estimada'!$A$4:$A$78, 0),
    MATCH(
      TEXT(C1441,"dd mmm")&amp;" "&amp;D1441,
      'Valor Hora Real y Estimada'!$A$3:$Z$3,
      0
    ) + 1
  ),
  0
)</f>
        <v>0</v>
      </c>
      <c r="O1441" s="453"/>
      <c r="P1441" s="113"/>
      <c r="Q1441" s="106" t="str">
        <f>IF(ISBLANK(O1441), "", VLOOKUP(C1441&amp;" "&amp;D1441, 'Info Tipo de Cambio y REM'!$A$24:$B$35, 2, FALSE))</f>
        <v/>
      </c>
      <c r="R1441" s="107" t="str">
        <f t="shared" si="32"/>
        <v/>
      </c>
    </row>
    <row r="1442" hidden="1">
      <c r="A1442" s="443"/>
      <c r="B1442" s="43" t="str">
        <f>IF(A1442="", "", IFERROR(VLOOKUP(A1442, Clasificaciones!A:B, 2, FALSE), "DATO NO CARGADO"))
</f>
        <v/>
      </c>
      <c r="C1442" s="51"/>
      <c r="D1442" s="102"/>
      <c r="E1442" s="102"/>
      <c r="H1442" s="102"/>
      <c r="J1442" s="102"/>
      <c r="K1442" s="450"/>
      <c r="L1442" s="443"/>
      <c r="M1442" s="450"/>
      <c r="N1442" s="452">
        <f t="array" ref="N1442">IFERROR(
  INDEX(
    'Valor Hora Real y Estimada'!$A$4:$Z$78,
    MATCH(TRIM(CLEAN(A1442)), 'Valor Hora Real y Estimada'!$A$4:$A$78, 0),
    MATCH(
      TEXT(C1442,"dd mmm")&amp;" "&amp;D1442,
      'Valor Hora Real y Estimada'!$A$3:$Z$3,
      0
    ) + 1
  ),
  0
)</f>
        <v>0</v>
      </c>
      <c r="O1442" s="453"/>
      <c r="P1442" s="113"/>
      <c r="Q1442" s="106" t="str">
        <f>IF(ISBLANK(O1442), "", VLOOKUP(C1442&amp;" "&amp;D1442, 'Info Tipo de Cambio y REM'!$A$24:$B$35, 2, FALSE))</f>
        <v/>
      </c>
      <c r="R1442" s="107" t="str">
        <f t="shared" si="32"/>
        <v/>
      </c>
    </row>
    <row r="1443" hidden="1">
      <c r="A1443" s="443"/>
      <c r="B1443" s="43" t="str">
        <f>IF(A1443="", "", IFERROR(VLOOKUP(A1443, Clasificaciones!A:B, 2, FALSE), "DATO NO CARGADO"))
</f>
        <v/>
      </c>
      <c r="C1443" s="51"/>
      <c r="D1443" s="102"/>
      <c r="E1443" s="102"/>
      <c r="H1443" s="102"/>
      <c r="J1443" s="102"/>
      <c r="K1443" s="450"/>
      <c r="L1443" s="443"/>
      <c r="M1443" s="450"/>
      <c r="N1443" s="452">
        <f t="array" ref="N1443">IFERROR(
  INDEX(
    'Valor Hora Real y Estimada'!$A$4:$Z$78,
    MATCH(TRIM(CLEAN(A1443)), 'Valor Hora Real y Estimada'!$A$4:$A$78, 0),
    MATCH(
      TEXT(C1443,"dd mmm")&amp;" "&amp;D1443,
      'Valor Hora Real y Estimada'!$A$3:$Z$3,
      0
    ) + 1
  ),
  0
)</f>
        <v>0</v>
      </c>
      <c r="O1443" s="453"/>
      <c r="P1443" s="113"/>
      <c r="Q1443" s="106" t="str">
        <f>IF(ISBLANK(O1443), "", VLOOKUP(C1443&amp;" "&amp;D1443, 'Info Tipo de Cambio y REM'!$A$24:$B$35, 2, FALSE))</f>
        <v/>
      </c>
      <c r="R1443" s="107" t="str">
        <f t="shared" si="32"/>
        <v/>
      </c>
    </row>
    <row r="1444" hidden="1">
      <c r="A1444" s="443"/>
      <c r="B1444" s="43" t="str">
        <f>IF(A1444="", "", IFERROR(VLOOKUP(A1444, Clasificaciones!A:B, 2, FALSE), "DATO NO CARGADO"))
</f>
        <v/>
      </c>
      <c r="C1444" s="51"/>
      <c r="D1444" s="102"/>
      <c r="E1444" s="102"/>
      <c r="H1444" s="102"/>
      <c r="J1444" s="102"/>
      <c r="K1444" s="450"/>
      <c r="L1444" s="443"/>
      <c r="M1444" s="450"/>
      <c r="N1444" s="452">
        <f t="array" ref="N1444">IFERROR(
  INDEX(
    'Valor Hora Real y Estimada'!$A$4:$Z$78,
    MATCH(TRIM(CLEAN(A1444)), 'Valor Hora Real y Estimada'!$A$4:$A$78, 0),
    MATCH(
      TEXT(C1444,"dd mmm")&amp;" "&amp;D1444,
      'Valor Hora Real y Estimada'!$A$3:$Z$3,
      0
    ) + 1
  ),
  0
)</f>
        <v>0</v>
      </c>
      <c r="O1444" s="453"/>
      <c r="P1444" s="113"/>
      <c r="Q1444" s="106" t="str">
        <f>IF(ISBLANK(O1444), "", VLOOKUP(C1444&amp;" "&amp;D1444, 'Info Tipo de Cambio y REM'!$A$24:$B$35, 2, FALSE))</f>
        <v/>
      </c>
      <c r="R1444" s="107" t="str">
        <f t="shared" si="32"/>
        <v/>
      </c>
    </row>
    <row r="1445" hidden="1">
      <c r="A1445" s="443"/>
      <c r="B1445" s="43" t="str">
        <f>IF(A1445="", "", IFERROR(VLOOKUP(A1445, Clasificaciones!A:B, 2, FALSE), "DATO NO CARGADO"))
</f>
        <v/>
      </c>
      <c r="C1445" s="51"/>
      <c r="D1445" s="102"/>
      <c r="E1445" s="102"/>
      <c r="H1445" s="102"/>
      <c r="J1445" s="102"/>
      <c r="K1445" s="450"/>
      <c r="L1445" s="443"/>
      <c r="M1445" s="450"/>
      <c r="N1445" s="452">
        <f t="array" ref="N1445">IFERROR(
  INDEX(
    'Valor Hora Real y Estimada'!$A$4:$Z$78,
    MATCH(TRIM(CLEAN(A1445)), 'Valor Hora Real y Estimada'!$A$4:$A$78, 0),
    MATCH(
      TEXT(C1445,"dd mmm")&amp;" "&amp;D1445,
      'Valor Hora Real y Estimada'!$A$3:$Z$3,
      0
    ) + 1
  ),
  0
)</f>
        <v>0</v>
      </c>
      <c r="O1445" s="453"/>
      <c r="P1445" s="113"/>
      <c r="Q1445" s="106" t="str">
        <f>IF(ISBLANK(O1445), "", VLOOKUP(C1445&amp;" "&amp;D1445, 'Info Tipo de Cambio y REM'!$A$24:$B$35, 2, FALSE))</f>
        <v/>
      </c>
      <c r="R1445" s="107" t="str">
        <f t="shared" si="32"/>
        <v/>
      </c>
    </row>
    <row r="1446" hidden="1">
      <c r="A1446" s="443"/>
      <c r="B1446" s="43" t="str">
        <f>IF(A1446="", "", IFERROR(VLOOKUP(A1446, Clasificaciones!A:B, 2, FALSE), "DATO NO CARGADO"))
</f>
        <v/>
      </c>
      <c r="C1446" s="51"/>
      <c r="D1446" s="102"/>
      <c r="E1446" s="102"/>
      <c r="H1446" s="102"/>
      <c r="J1446" s="102"/>
      <c r="K1446" s="450"/>
      <c r="L1446" s="443"/>
      <c r="M1446" s="450"/>
      <c r="N1446" s="452">
        <f t="array" ref="N1446">IFERROR(
  INDEX(
    'Valor Hora Real y Estimada'!$A$4:$Z$78,
    MATCH(TRIM(CLEAN(A1446)), 'Valor Hora Real y Estimada'!$A$4:$A$78, 0),
    MATCH(
      TEXT(C1446,"dd mmm")&amp;" "&amp;D1446,
      'Valor Hora Real y Estimada'!$A$3:$Z$3,
      0
    ) + 1
  ),
  0
)</f>
        <v>0</v>
      </c>
      <c r="O1446" s="453"/>
      <c r="P1446" s="113"/>
      <c r="Q1446" s="106" t="str">
        <f>IF(ISBLANK(O1446), "", VLOOKUP(C1446&amp;" "&amp;D1446, 'Info Tipo de Cambio y REM'!$A$24:$B$35, 2, FALSE))</f>
        <v/>
      </c>
      <c r="R1446" s="107" t="str">
        <f t="shared" si="32"/>
        <v/>
      </c>
    </row>
    <row r="1447" hidden="1">
      <c r="A1447" s="443"/>
      <c r="B1447" s="43" t="str">
        <f>IF(A1447="", "", IFERROR(VLOOKUP(A1447, Clasificaciones!A:B, 2, FALSE), "DATO NO CARGADO"))
</f>
        <v/>
      </c>
      <c r="C1447" s="51"/>
      <c r="D1447" s="102"/>
      <c r="E1447" s="102"/>
      <c r="H1447" s="102"/>
      <c r="J1447" s="102"/>
      <c r="K1447" s="450"/>
      <c r="L1447" s="443"/>
      <c r="M1447" s="450"/>
      <c r="N1447" s="452">
        <f t="array" ref="N1447">IFERROR(
  INDEX(
    'Valor Hora Real y Estimada'!$A$4:$Z$78,
    MATCH(TRIM(CLEAN(A1447)), 'Valor Hora Real y Estimada'!$A$4:$A$78, 0),
    MATCH(
      TEXT(C1447,"dd mmm")&amp;" "&amp;D1447,
      'Valor Hora Real y Estimada'!$A$3:$Z$3,
      0
    ) + 1
  ),
  0
)</f>
        <v>0</v>
      </c>
      <c r="O1447" s="453"/>
      <c r="P1447" s="113"/>
      <c r="Q1447" s="106" t="str">
        <f>IF(ISBLANK(O1447), "", VLOOKUP(C1447&amp;" "&amp;D1447, 'Info Tipo de Cambio y REM'!$A$24:$B$35, 2, FALSE))</f>
        <v/>
      </c>
      <c r="R1447" s="107" t="str">
        <f t="shared" si="32"/>
        <v/>
      </c>
    </row>
    <row r="1448" hidden="1">
      <c r="A1448" s="443"/>
      <c r="B1448" s="43" t="str">
        <f>IF(A1448="", "", IFERROR(VLOOKUP(A1448, Clasificaciones!A:B, 2, FALSE), "DATO NO CARGADO"))
</f>
        <v/>
      </c>
      <c r="C1448" s="51"/>
      <c r="D1448" s="102"/>
      <c r="E1448" s="102"/>
      <c r="H1448" s="102"/>
      <c r="J1448" s="102"/>
      <c r="K1448" s="450"/>
      <c r="L1448" s="443"/>
      <c r="M1448" s="450"/>
      <c r="N1448" s="452">
        <f t="array" ref="N1448">IFERROR(
  INDEX(
    'Valor Hora Real y Estimada'!$A$4:$Z$78,
    MATCH(TRIM(CLEAN(A1448)), 'Valor Hora Real y Estimada'!$A$4:$A$78, 0),
    MATCH(
      TEXT(C1448,"dd mmm")&amp;" "&amp;D1448,
      'Valor Hora Real y Estimada'!$A$3:$Z$3,
      0
    ) + 1
  ),
  0
)</f>
        <v>0</v>
      </c>
      <c r="O1448" s="453"/>
      <c r="P1448" s="113"/>
      <c r="Q1448" s="106" t="str">
        <f>IF(ISBLANK(O1448), "", VLOOKUP(C1448&amp;" "&amp;D1448, 'Info Tipo de Cambio y REM'!$A$24:$B$35, 2, FALSE))</f>
        <v/>
      </c>
      <c r="R1448" s="107" t="str">
        <f t="shared" si="32"/>
        <v/>
      </c>
    </row>
    <row r="1449" hidden="1">
      <c r="A1449" s="443"/>
      <c r="B1449" s="43" t="str">
        <f>IF(A1449="", "", IFERROR(VLOOKUP(A1449, Clasificaciones!A:B, 2, FALSE), "DATO NO CARGADO"))
</f>
        <v/>
      </c>
      <c r="C1449" s="51"/>
      <c r="D1449" s="102"/>
      <c r="E1449" s="102"/>
      <c r="H1449" s="102"/>
      <c r="J1449" s="102"/>
      <c r="K1449" s="450"/>
      <c r="L1449" s="443"/>
      <c r="M1449" s="450"/>
      <c r="N1449" s="452">
        <f t="array" ref="N1449">IFERROR(
  INDEX(
    'Valor Hora Real y Estimada'!$A$4:$Z$78,
    MATCH(TRIM(CLEAN(A1449)), 'Valor Hora Real y Estimada'!$A$4:$A$78, 0),
    MATCH(
      TEXT(C1449,"dd mmm")&amp;" "&amp;D1449,
      'Valor Hora Real y Estimada'!$A$3:$Z$3,
      0
    ) + 1
  ),
  0
)</f>
        <v>0</v>
      </c>
      <c r="O1449" s="453"/>
      <c r="P1449" s="113"/>
      <c r="Q1449" s="106" t="str">
        <f>IF(ISBLANK(O1449), "", VLOOKUP(C1449&amp;" "&amp;D1449, 'Info Tipo de Cambio y REM'!$A$24:$B$35, 2, FALSE))</f>
        <v/>
      </c>
      <c r="R1449" s="107" t="str">
        <f t="shared" si="32"/>
        <v/>
      </c>
    </row>
    <row r="1450" hidden="1">
      <c r="A1450" s="443"/>
      <c r="B1450" s="43" t="str">
        <f>IF(A1450="", "", IFERROR(VLOOKUP(A1450, Clasificaciones!A:B, 2, FALSE), "DATO NO CARGADO"))
</f>
        <v/>
      </c>
      <c r="C1450" s="51"/>
      <c r="D1450" s="102"/>
      <c r="E1450" s="102"/>
      <c r="H1450" s="102"/>
      <c r="J1450" s="102"/>
      <c r="K1450" s="450"/>
      <c r="L1450" s="443"/>
      <c r="M1450" s="450"/>
      <c r="N1450" s="452">
        <f t="array" ref="N1450">IFERROR(
  INDEX(
    'Valor Hora Real y Estimada'!$A$4:$Z$78,
    MATCH(TRIM(CLEAN(A1450)), 'Valor Hora Real y Estimada'!$A$4:$A$78, 0),
    MATCH(
      TEXT(C1450,"dd mmm")&amp;" "&amp;D1450,
      'Valor Hora Real y Estimada'!$A$3:$Z$3,
      0
    ) + 1
  ),
  0
)</f>
        <v>0</v>
      </c>
      <c r="O1450" s="453"/>
      <c r="P1450" s="113"/>
      <c r="Q1450" s="106" t="str">
        <f>IF(ISBLANK(O1450), "", VLOOKUP(C1450&amp;" "&amp;D1450, 'Info Tipo de Cambio y REM'!$A$24:$B$35, 2, FALSE))</f>
        <v/>
      </c>
      <c r="R1450" s="107" t="str">
        <f t="shared" si="32"/>
        <v/>
      </c>
    </row>
    <row r="1451" hidden="1">
      <c r="A1451" s="443"/>
      <c r="B1451" s="43" t="str">
        <f>IF(A1451="", "", IFERROR(VLOOKUP(A1451, Clasificaciones!A:B, 2, FALSE), "DATO NO CARGADO"))
</f>
        <v/>
      </c>
      <c r="C1451" s="51"/>
      <c r="D1451" s="102"/>
      <c r="E1451" s="102"/>
      <c r="H1451" s="102"/>
      <c r="J1451" s="102"/>
      <c r="K1451" s="450"/>
      <c r="L1451" s="443"/>
      <c r="M1451" s="450"/>
      <c r="N1451" s="452">
        <f t="array" ref="N1451">IFERROR(
  INDEX(
    'Valor Hora Real y Estimada'!$A$4:$Z$78,
    MATCH(TRIM(CLEAN(A1451)), 'Valor Hora Real y Estimada'!$A$4:$A$78, 0),
    MATCH(
      TEXT(C1451,"dd mmm")&amp;" "&amp;D1451,
      'Valor Hora Real y Estimada'!$A$3:$Z$3,
      0
    ) + 1
  ),
  0
)</f>
        <v>0</v>
      </c>
      <c r="O1451" s="453"/>
      <c r="P1451" s="113"/>
      <c r="Q1451" s="106" t="str">
        <f>IF(ISBLANK(O1451), "", VLOOKUP(C1451&amp;" "&amp;D1451, 'Info Tipo de Cambio y REM'!$A$24:$B$35, 2, FALSE))</f>
        <v/>
      </c>
      <c r="R1451" s="107" t="str">
        <f t="shared" si="32"/>
        <v/>
      </c>
    </row>
    <row r="1452" hidden="1">
      <c r="A1452" s="443"/>
      <c r="B1452" s="43" t="str">
        <f>IF(A1452="", "", IFERROR(VLOOKUP(A1452, Clasificaciones!A:B, 2, FALSE), "DATO NO CARGADO"))
</f>
        <v/>
      </c>
      <c r="C1452" s="51"/>
      <c r="D1452" s="102"/>
      <c r="E1452" s="102"/>
      <c r="H1452" s="102"/>
      <c r="J1452" s="102"/>
      <c r="K1452" s="450"/>
      <c r="L1452" s="443"/>
      <c r="M1452" s="450"/>
      <c r="N1452" s="452">
        <f t="array" ref="N1452">IFERROR(
  INDEX(
    'Valor Hora Real y Estimada'!$A$4:$Z$78,
    MATCH(TRIM(CLEAN(A1452)), 'Valor Hora Real y Estimada'!$A$4:$A$78, 0),
    MATCH(
      TEXT(C1452,"dd mmm")&amp;" "&amp;D1452,
      'Valor Hora Real y Estimada'!$A$3:$Z$3,
      0
    ) + 1
  ),
  0
)</f>
        <v>0</v>
      </c>
      <c r="O1452" s="453"/>
      <c r="P1452" s="113"/>
      <c r="Q1452" s="106" t="str">
        <f>IF(ISBLANK(O1452), "", VLOOKUP(C1452&amp;" "&amp;D1452, 'Info Tipo de Cambio y REM'!$A$24:$B$35, 2, FALSE))</f>
        <v/>
      </c>
      <c r="R1452" s="107" t="str">
        <f t="shared" si="32"/>
        <v/>
      </c>
    </row>
    <row r="1453" hidden="1">
      <c r="A1453" s="443"/>
      <c r="B1453" s="43" t="str">
        <f>IF(A1453="", "", IFERROR(VLOOKUP(A1453, Clasificaciones!A:B, 2, FALSE), "DATO NO CARGADO"))
</f>
        <v/>
      </c>
      <c r="C1453" s="51"/>
      <c r="D1453" s="102"/>
      <c r="E1453" s="102"/>
      <c r="H1453" s="102"/>
      <c r="J1453" s="102"/>
      <c r="K1453" s="450"/>
      <c r="L1453" s="443"/>
      <c r="M1453" s="450"/>
      <c r="N1453" s="452">
        <f t="array" ref="N1453">IFERROR(
  INDEX(
    'Valor Hora Real y Estimada'!$A$4:$Z$78,
    MATCH(TRIM(CLEAN(A1453)), 'Valor Hora Real y Estimada'!$A$4:$A$78, 0),
    MATCH(
      TEXT(C1453,"dd mmm")&amp;" "&amp;D1453,
      'Valor Hora Real y Estimada'!$A$3:$Z$3,
      0
    ) + 1
  ),
  0
)</f>
        <v>0</v>
      </c>
      <c r="O1453" s="453"/>
      <c r="P1453" s="113"/>
      <c r="Q1453" s="106" t="str">
        <f>IF(ISBLANK(O1453), "", VLOOKUP(C1453&amp;" "&amp;D1453, 'Info Tipo de Cambio y REM'!$A$24:$B$35, 2, FALSE))</f>
        <v/>
      </c>
      <c r="R1453" s="107" t="str">
        <f t="shared" si="32"/>
        <v/>
      </c>
    </row>
    <row r="1454" hidden="1">
      <c r="A1454" s="443"/>
      <c r="B1454" s="43" t="str">
        <f>IF(A1454="", "", IFERROR(VLOOKUP(A1454, Clasificaciones!A:B, 2, FALSE), "DATO NO CARGADO"))
</f>
        <v/>
      </c>
      <c r="C1454" s="51"/>
      <c r="D1454" s="102"/>
      <c r="E1454" s="102"/>
      <c r="H1454" s="102"/>
      <c r="J1454" s="102"/>
      <c r="K1454" s="450"/>
      <c r="L1454" s="443"/>
      <c r="M1454" s="450"/>
      <c r="N1454" s="452">
        <f t="array" ref="N1454">IFERROR(
  INDEX(
    'Valor Hora Real y Estimada'!$A$4:$Z$78,
    MATCH(TRIM(CLEAN(A1454)), 'Valor Hora Real y Estimada'!$A$4:$A$78, 0),
    MATCH(
      TEXT(C1454,"dd mmm")&amp;" "&amp;D1454,
      'Valor Hora Real y Estimada'!$A$3:$Z$3,
      0
    ) + 1
  ),
  0
)</f>
        <v>0</v>
      </c>
      <c r="O1454" s="453"/>
      <c r="P1454" s="113"/>
      <c r="Q1454" s="106" t="str">
        <f>IF(ISBLANK(O1454), "", VLOOKUP(C1454&amp;" "&amp;D1454, 'Info Tipo de Cambio y REM'!$A$24:$B$35, 2, FALSE))</f>
        <v/>
      </c>
      <c r="R1454" s="107" t="str">
        <f t="shared" si="32"/>
        <v/>
      </c>
    </row>
    <row r="1455" hidden="1">
      <c r="A1455" s="443"/>
      <c r="B1455" s="43" t="str">
        <f>IF(A1455="", "", IFERROR(VLOOKUP(A1455, Clasificaciones!A:B, 2, FALSE), "DATO NO CARGADO"))
</f>
        <v/>
      </c>
      <c r="C1455" s="51"/>
      <c r="D1455" s="102"/>
      <c r="E1455" s="102"/>
      <c r="H1455" s="102"/>
      <c r="J1455" s="102"/>
      <c r="K1455" s="450"/>
      <c r="L1455" s="443"/>
      <c r="M1455" s="450"/>
      <c r="N1455" s="452">
        <f t="array" ref="N1455">IFERROR(
  INDEX(
    'Valor Hora Real y Estimada'!$A$4:$Z$78,
    MATCH(TRIM(CLEAN(A1455)), 'Valor Hora Real y Estimada'!$A$4:$A$78, 0),
    MATCH(
      TEXT(C1455,"dd mmm")&amp;" "&amp;D1455,
      'Valor Hora Real y Estimada'!$A$3:$Z$3,
      0
    ) + 1
  ),
  0
)</f>
        <v>0</v>
      </c>
      <c r="O1455" s="453"/>
      <c r="P1455" s="113"/>
      <c r="Q1455" s="106" t="str">
        <f>IF(ISBLANK(O1455), "", VLOOKUP(C1455&amp;" "&amp;D1455, 'Info Tipo de Cambio y REM'!$A$24:$B$35, 2, FALSE))</f>
        <v/>
      </c>
      <c r="R1455" s="107" t="str">
        <f t="shared" si="32"/>
        <v/>
      </c>
    </row>
    <row r="1456" hidden="1">
      <c r="A1456" s="443"/>
      <c r="B1456" s="43" t="str">
        <f>IF(A1456="", "", IFERROR(VLOOKUP(A1456, Clasificaciones!A:B, 2, FALSE), "DATO NO CARGADO"))
</f>
        <v/>
      </c>
      <c r="C1456" s="51"/>
      <c r="D1456" s="102"/>
      <c r="E1456" s="102"/>
      <c r="H1456" s="102"/>
      <c r="J1456" s="102"/>
      <c r="K1456" s="450"/>
      <c r="L1456" s="443"/>
      <c r="M1456" s="450"/>
      <c r="N1456" s="452">
        <f t="array" ref="N1456">IFERROR(
  INDEX(
    'Valor Hora Real y Estimada'!$A$4:$Z$78,
    MATCH(TRIM(CLEAN(A1456)), 'Valor Hora Real y Estimada'!$A$4:$A$78, 0),
    MATCH(
      TEXT(C1456,"dd mmm")&amp;" "&amp;D1456,
      'Valor Hora Real y Estimada'!$A$3:$Z$3,
      0
    ) + 1
  ),
  0
)</f>
        <v>0</v>
      </c>
      <c r="O1456" s="453"/>
      <c r="P1456" s="113"/>
      <c r="Q1456" s="106" t="str">
        <f>IF(ISBLANK(O1456), "", VLOOKUP(C1456&amp;" "&amp;D1456, 'Info Tipo de Cambio y REM'!$A$24:$B$35, 2, FALSE))</f>
        <v/>
      </c>
      <c r="R1456" s="107" t="str">
        <f t="shared" si="32"/>
        <v/>
      </c>
    </row>
    <row r="1457" hidden="1">
      <c r="A1457" s="443"/>
      <c r="B1457" s="43" t="str">
        <f>IF(A1457="", "", IFERROR(VLOOKUP(A1457, Clasificaciones!A:B, 2, FALSE), "DATO NO CARGADO"))
</f>
        <v/>
      </c>
      <c r="C1457" s="51"/>
      <c r="D1457" s="102"/>
      <c r="E1457" s="102"/>
      <c r="H1457" s="102"/>
      <c r="J1457" s="102"/>
      <c r="K1457" s="450"/>
      <c r="L1457" s="443"/>
      <c r="M1457" s="450"/>
      <c r="N1457" s="452">
        <f t="array" ref="N1457">IFERROR(
  INDEX(
    'Valor Hora Real y Estimada'!$A$4:$Z$78,
    MATCH(TRIM(CLEAN(A1457)), 'Valor Hora Real y Estimada'!$A$4:$A$78, 0),
    MATCH(
      TEXT(C1457,"dd mmm")&amp;" "&amp;D1457,
      'Valor Hora Real y Estimada'!$A$3:$Z$3,
      0
    ) + 1
  ),
  0
)</f>
        <v>0</v>
      </c>
      <c r="O1457" s="453"/>
      <c r="P1457" s="113"/>
      <c r="Q1457" s="106" t="str">
        <f>IF(ISBLANK(O1457), "", VLOOKUP(C1457&amp;" "&amp;D1457, 'Info Tipo de Cambio y REM'!$A$24:$B$35, 2, FALSE))</f>
        <v/>
      </c>
      <c r="R1457" s="107" t="str">
        <f t="shared" si="32"/>
        <v/>
      </c>
    </row>
    <row r="1458" hidden="1">
      <c r="A1458" s="443"/>
      <c r="B1458" s="43" t="str">
        <f>IF(A1458="", "", IFERROR(VLOOKUP(A1458, Clasificaciones!A:B, 2, FALSE), "DATO NO CARGADO"))
</f>
        <v/>
      </c>
      <c r="C1458" s="51"/>
      <c r="D1458" s="102"/>
      <c r="E1458" s="102"/>
      <c r="H1458" s="102"/>
      <c r="J1458" s="102"/>
      <c r="K1458" s="450"/>
      <c r="L1458" s="443"/>
      <c r="M1458" s="450"/>
      <c r="N1458" s="452">
        <f t="array" ref="N1458">IFERROR(
  INDEX(
    'Valor Hora Real y Estimada'!$A$4:$Z$78,
    MATCH(TRIM(CLEAN(A1458)), 'Valor Hora Real y Estimada'!$A$4:$A$78, 0),
    MATCH(
      TEXT(C1458,"dd mmm")&amp;" "&amp;D1458,
      'Valor Hora Real y Estimada'!$A$3:$Z$3,
      0
    ) + 1
  ),
  0
)</f>
        <v>0</v>
      </c>
      <c r="O1458" s="453"/>
      <c r="P1458" s="113"/>
      <c r="Q1458" s="106" t="str">
        <f>IF(ISBLANK(O1458), "", VLOOKUP(C1458&amp;" "&amp;D1458, 'Info Tipo de Cambio y REM'!$A$24:$B$35, 2, FALSE))</f>
        <v/>
      </c>
      <c r="R1458" s="107" t="str">
        <f t="shared" si="32"/>
        <v/>
      </c>
    </row>
    <row r="1459" hidden="1">
      <c r="A1459" s="443"/>
      <c r="B1459" s="43" t="str">
        <f>IF(A1459="", "", IFERROR(VLOOKUP(A1459, Clasificaciones!A:B, 2, FALSE), "DATO NO CARGADO"))
</f>
        <v/>
      </c>
      <c r="C1459" s="51"/>
      <c r="D1459" s="102"/>
      <c r="E1459" s="102"/>
      <c r="H1459" s="102"/>
      <c r="J1459" s="102"/>
      <c r="K1459" s="450"/>
      <c r="L1459" s="443"/>
      <c r="M1459" s="450"/>
      <c r="N1459" s="452">
        <f t="array" ref="N1459">IFERROR(
  INDEX(
    'Valor Hora Real y Estimada'!$A$4:$Z$78,
    MATCH(TRIM(CLEAN(A1459)), 'Valor Hora Real y Estimada'!$A$4:$A$78, 0),
    MATCH(
      TEXT(C1459,"dd mmm")&amp;" "&amp;D1459,
      'Valor Hora Real y Estimada'!$A$3:$Z$3,
      0
    ) + 1
  ),
  0
)</f>
        <v>0</v>
      </c>
      <c r="O1459" s="453"/>
      <c r="P1459" s="113"/>
      <c r="Q1459" s="106" t="str">
        <f>IF(ISBLANK(O1459), "", VLOOKUP(C1459&amp;" "&amp;D1459, 'Info Tipo de Cambio y REM'!$A$24:$B$35, 2, FALSE))</f>
        <v/>
      </c>
      <c r="R1459" s="107" t="str">
        <f t="shared" si="32"/>
        <v/>
      </c>
    </row>
    <row r="1460" hidden="1">
      <c r="A1460" s="443"/>
      <c r="B1460" s="43" t="str">
        <f>IF(A1460="", "", IFERROR(VLOOKUP(A1460, Clasificaciones!A:B, 2, FALSE), "DATO NO CARGADO"))
</f>
        <v/>
      </c>
      <c r="C1460" s="51"/>
      <c r="D1460" s="102"/>
      <c r="E1460" s="102"/>
      <c r="H1460" s="102"/>
      <c r="J1460" s="102"/>
      <c r="K1460" s="450"/>
      <c r="L1460" s="443"/>
      <c r="M1460" s="450"/>
      <c r="N1460" s="452">
        <f t="array" ref="N1460">IFERROR(
  INDEX(
    'Valor Hora Real y Estimada'!$A$4:$Z$78,
    MATCH(TRIM(CLEAN(A1460)), 'Valor Hora Real y Estimada'!$A$4:$A$78, 0),
    MATCH(
      TEXT(C1460,"dd mmm")&amp;" "&amp;D1460,
      'Valor Hora Real y Estimada'!$A$3:$Z$3,
      0
    ) + 1
  ),
  0
)</f>
        <v>0</v>
      </c>
      <c r="O1460" s="453"/>
      <c r="P1460" s="113"/>
      <c r="Q1460" s="106" t="str">
        <f>IF(ISBLANK(O1460), "", VLOOKUP(C1460&amp;" "&amp;D1460, 'Info Tipo de Cambio y REM'!$A$24:$B$35, 2, FALSE))</f>
        <v/>
      </c>
      <c r="R1460" s="107" t="str">
        <f t="shared" si="32"/>
        <v/>
      </c>
    </row>
    <row r="1461" hidden="1">
      <c r="A1461" s="443"/>
      <c r="B1461" s="43" t="str">
        <f>IF(A1461="", "", IFERROR(VLOOKUP(A1461, Clasificaciones!A:B, 2, FALSE), "DATO NO CARGADO"))
</f>
        <v/>
      </c>
      <c r="C1461" s="51"/>
      <c r="D1461" s="102"/>
      <c r="E1461" s="102"/>
      <c r="H1461" s="102"/>
      <c r="J1461" s="102"/>
      <c r="K1461" s="450"/>
      <c r="L1461" s="443"/>
      <c r="M1461" s="450"/>
      <c r="N1461" s="452">
        <f t="array" ref="N1461">IFERROR(
  INDEX(
    'Valor Hora Real y Estimada'!$A$4:$Z$78,
    MATCH(TRIM(CLEAN(A1461)), 'Valor Hora Real y Estimada'!$A$4:$A$78, 0),
    MATCH(
      TEXT(C1461,"dd mmm")&amp;" "&amp;D1461,
      'Valor Hora Real y Estimada'!$A$3:$Z$3,
      0
    ) + 1
  ),
  0
)</f>
        <v>0</v>
      </c>
      <c r="O1461" s="453"/>
      <c r="P1461" s="113"/>
      <c r="Q1461" s="106" t="str">
        <f>IF(ISBLANK(O1461), "", VLOOKUP(C1461&amp;" "&amp;D1461, 'Info Tipo de Cambio y REM'!$A$24:$B$35, 2, FALSE))</f>
        <v/>
      </c>
      <c r="R1461" s="107" t="str">
        <f t="shared" si="32"/>
        <v/>
      </c>
    </row>
    <row r="1462" hidden="1">
      <c r="A1462" s="443"/>
      <c r="B1462" s="43" t="str">
        <f>IF(A1462="", "", IFERROR(VLOOKUP(A1462, Clasificaciones!A:B, 2, FALSE), "DATO NO CARGADO"))
</f>
        <v/>
      </c>
      <c r="C1462" s="51"/>
      <c r="D1462" s="102"/>
      <c r="E1462" s="102"/>
      <c r="H1462" s="102"/>
      <c r="J1462" s="102"/>
      <c r="K1462" s="450"/>
      <c r="L1462" s="443"/>
      <c r="M1462" s="450"/>
      <c r="N1462" s="452">
        <f t="array" ref="N1462">IFERROR(
  INDEX(
    'Valor Hora Real y Estimada'!$A$4:$Z$78,
    MATCH(TRIM(CLEAN(A1462)), 'Valor Hora Real y Estimada'!$A$4:$A$78, 0),
    MATCH(
      TEXT(C1462,"dd mmm")&amp;" "&amp;D1462,
      'Valor Hora Real y Estimada'!$A$3:$Z$3,
      0
    ) + 1
  ),
  0
)</f>
        <v>0</v>
      </c>
      <c r="O1462" s="453"/>
      <c r="P1462" s="113"/>
      <c r="Q1462" s="106" t="str">
        <f>IF(ISBLANK(O1462), "", VLOOKUP(C1462&amp;" "&amp;D1462, 'Info Tipo de Cambio y REM'!$A$24:$B$35, 2, FALSE))</f>
        <v/>
      </c>
      <c r="R1462" s="107" t="str">
        <f t="shared" si="32"/>
        <v/>
      </c>
    </row>
    <row r="1463" hidden="1">
      <c r="A1463" s="443"/>
      <c r="B1463" s="43" t="str">
        <f>IF(A1463="", "", IFERROR(VLOOKUP(A1463, Clasificaciones!A:B, 2, FALSE), "DATO NO CARGADO"))
</f>
        <v/>
      </c>
      <c r="C1463" s="51"/>
      <c r="D1463" s="102"/>
      <c r="E1463" s="102"/>
      <c r="H1463" s="102"/>
      <c r="J1463" s="102"/>
      <c r="K1463" s="450"/>
      <c r="L1463" s="443"/>
      <c r="M1463" s="450"/>
      <c r="N1463" s="452">
        <f t="array" ref="N1463">IFERROR(
  INDEX(
    'Valor Hora Real y Estimada'!$A$4:$Z$78,
    MATCH(TRIM(CLEAN(A1463)), 'Valor Hora Real y Estimada'!$A$4:$A$78, 0),
    MATCH(
      TEXT(C1463,"dd mmm")&amp;" "&amp;D1463,
      'Valor Hora Real y Estimada'!$A$3:$Z$3,
      0
    ) + 1
  ),
  0
)</f>
        <v>0</v>
      </c>
      <c r="O1463" s="453"/>
      <c r="P1463" s="113"/>
      <c r="Q1463" s="106" t="str">
        <f>IF(ISBLANK(O1463), "", VLOOKUP(C1463&amp;" "&amp;D1463, 'Info Tipo de Cambio y REM'!$A$24:$B$35, 2, FALSE))</f>
        <v/>
      </c>
      <c r="R1463" s="107" t="str">
        <f t="shared" si="32"/>
        <v/>
      </c>
    </row>
    <row r="1464" hidden="1">
      <c r="A1464" s="443"/>
      <c r="B1464" s="43" t="str">
        <f>IF(A1464="", "", IFERROR(VLOOKUP(A1464, Clasificaciones!A:B, 2, FALSE), "DATO NO CARGADO"))
</f>
        <v/>
      </c>
      <c r="C1464" s="51"/>
      <c r="D1464" s="102"/>
      <c r="E1464" s="102"/>
      <c r="H1464" s="102"/>
      <c r="J1464" s="102"/>
      <c r="K1464" s="450"/>
      <c r="L1464" s="443"/>
      <c r="M1464" s="450"/>
      <c r="N1464" s="452">
        <f t="array" ref="N1464">IFERROR(
  INDEX(
    'Valor Hora Real y Estimada'!$A$4:$Z$78,
    MATCH(TRIM(CLEAN(A1464)), 'Valor Hora Real y Estimada'!$A$4:$A$78, 0),
    MATCH(
      TEXT(C1464,"dd mmm")&amp;" "&amp;D1464,
      'Valor Hora Real y Estimada'!$A$3:$Z$3,
      0
    ) + 1
  ),
  0
)</f>
        <v>0</v>
      </c>
      <c r="O1464" s="453"/>
      <c r="P1464" s="113"/>
      <c r="Q1464" s="106" t="str">
        <f>IF(ISBLANK(O1464), "", VLOOKUP(C1464&amp;" "&amp;D1464, 'Info Tipo de Cambio y REM'!$A$24:$B$35, 2, FALSE))</f>
        <v/>
      </c>
      <c r="R1464" s="107" t="str">
        <f t="shared" si="32"/>
        <v/>
      </c>
    </row>
    <row r="1465" hidden="1">
      <c r="A1465" s="443"/>
      <c r="B1465" s="43" t="str">
        <f>IF(A1465="", "", IFERROR(VLOOKUP(A1465, Clasificaciones!A:B, 2, FALSE), "DATO NO CARGADO"))
</f>
        <v/>
      </c>
      <c r="C1465" s="51"/>
      <c r="D1465" s="102"/>
      <c r="E1465" s="102"/>
      <c r="H1465" s="102"/>
      <c r="J1465" s="102"/>
      <c r="K1465" s="450"/>
      <c r="L1465" s="443"/>
      <c r="M1465" s="450"/>
      <c r="N1465" s="452">
        <f t="array" ref="N1465">IFERROR(
  INDEX(
    'Valor Hora Real y Estimada'!$A$4:$Z$78,
    MATCH(TRIM(CLEAN(A1465)), 'Valor Hora Real y Estimada'!$A$4:$A$78, 0),
    MATCH(
      TEXT(C1465,"dd mmm")&amp;" "&amp;D1465,
      'Valor Hora Real y Estimada'!$A$3:$Z$3,
      0
    ) + 1
  ),
  0
)</f>
        <v>0</v>
      </c>
      <c r="O1465" s="453"/>
      <c r="P1465" s="113"/>
      <c r="Q1465" s="106" t="str">
        <f>IF(ISBLANK(O1465), "", VLOOKUP(C1465&amp;" "&amp;D1465, 'Info Tipo de Cambio y REM'!$A$24:$B$35, 2, FALSE))</f>
        <v/>
      </c>
      <c r="R1465" s="107" t="str">
        <f t="shared" si="32"/>
        <v/>
      </c>
    </row>
    <row r="1466" hidden="1">
      <c r="A1466" s="443"/>
      <c r="B1466" s="43" t="str">
        <f>IF(A1466="", "", IFERROR(VLOOKUP(A1466, Clasificaciones!A:B, 2, FALSE), "DATO NO CARGADO"))
</f>
        <v/>
      </c>
      <c r="C1466" s="51"/>
      <c r="D1466" s="102"/>
      <c r="E1466" s="102"/>
      <c r="H1466" s="102"/>
      <c r="J1466" s="102"/>
      <c r="K1466" s="450"/>
      <c r="L1466" s="443"/>
      <c r="M1466" s="450"/>
      <c r="N1466" s="452">
        <f t="array" ref="N1466">IFERROR(
  INDEX(
    'Valor Hora Real y Estimada'!$A$4:$Z$78,
    MATCH(TRIM(CLEAN(A1466)), 'Valor Hora Real y Estimada'!$A$4:$A$78, 0),
    MATCH(
      TEXT(C1466,"dd mmm")&amp;" "&amp;D1466,
      'Valor Hora Real y Estimada'!$A$3:$Z$3,
      0
    ) + 1
  ),
  0
)</f>
        <v>0</v>
      </c>
      <c r="O1466" s="453"/>
      <c r="P1466" s="113"/>
      <c r="Q1466" s="106" t="str">
        <f>IF(ISBLANK(O1466), "", VLOOKUP(C1466&amp;" "&amp;D1466, 'Info Tipo de Cambio y REM'!$A$24:$B$35, 2, FALSE))</f>
        <v/>
      </c>
      <c r="R1466" s="107" t="str">
        <f t="shared" si="32"/>
        <v/>
      </c>
    </row>
    <row r="1467" hidden="1">
      <c r="A1467" s="443"/>
      <c r="B1467" s="43" t="str">
        <f>IF(A1467="", "", IFERROR(VLOOKUP(A1467, Clasificaciones!A:B, 2, FALSE), "DATO NO CARGADO"))
</f>
        <v/>
      </c>
      <c r="C1467" s="51"/>
      <c r="D1467" s="102"/>
      <c r="E1467" s="102"/>
      <c r="H1467" s="102"/>
      <c r="J1467" s="102"/>
      <c r="K1467" s="450"/>
      <c r="L1467" s="443"/>
      <c r="M1467" s="450"/>
      <c r="N1467" s="452">
        <f t="array" ref="N1467">IFERROR(
  INDEX(
    'Valor Hora Real y Estimada'!$A$4:$Z$78,
    MATCH(TRIM(CLEAN(A1467)), 'Valor Hora Real y Estimada'!$A$4:$A$78, 0),
    MATCH(
      TEXT(C1467,"dd mmm")&amp;" "&amp;D1467,
      'Valor Hora Real y Estimada'!$A$3:$Z$3,
      0
    ) + 1
  ),
  0
)</f>
        <v>0</v>
      </c>
      <c r="O1467" s="453"/>
      <c r="P1467" s="113"/>
      <c r="Q1467" s="106" t="str">
        <f>IF(ISBLANK(O1467), "", VLOOKUP(C1467&amp;" "&amp;D1467, 'Info Tipo de Cambio y REM'!$A$24:$B$35, 2, FALSE))</f>
        <v/>
      </c>
      <c r="R1467" s="107" t="str">
        <f t="shared" si="32"/>
        <v/>
      </c>
    </row>
    <row r="1468" hidden="1">
      <c r="A1468" s="443"/>
      <c r="B1468" s="43" t="str">
        <f>IF(A1468="", "", IFERROR(VLOOKUP(A1468, Clasificaciones!A:B, 2, FALSE), "DATO NO CARGADO"))
</f>
        <v/>
      </c>
      <c r="C1468" s="51"/>
      <c r="D1468" s="102"/>
      <c r="E1468" s="102"/>
      <c r="H1468" s="102"/>
      <c r="J1468" s="102"/>
      <c r="K1468" s="450"/>
      <c r="L1468" s="443"/>
      <c r="M1468" s="450"/>
      <c r="N1468" s="452">
        <f t="array" ref="N1468">IFERROR(
  INDEX(
    'Valor Hora Real y Estimada'!$A$4:$Z$78,
    MATCH(TRIM(CLEAN(A1468)), 'Valor Hora Real y Estimada'!$A$4:$A$78, 0),
    MATCH(
      TEXT(C1468,"dd mmm")&amp;" "&amp;D1468,
      'Valor Hora Real y Estimada'!$A$3:$Z$3,
      0
    ) + 1
  ),
  0
)</f>
        <v>0</v>
      </c>
      <c r="O1468" s="453"/>
      <c r="P1468" s="113"/>
      <c r="Q1468" s="106" t="str">
        <f>IF(ISBLANK(O1468), "", VLOOKUP(C1468&amp;" "&amp;D1468, 'Info Tipo de Cambio y REM'!$A$24:$B$35, 2, FALSE))</f>
        <v/>
      </c>
      <c r="R1468" s="107" t="str">
        <f t="shared" si="32"/>
        <v/>
      </c>
    </row>
    <row r="1469" hidden="1">
      <c r="A1469" s="443"/>
      <c r="B1469" s="43" t="str">
        <f>IF(A1469="", "", IFERROR(VLOOKUP(A1469, Clasificaciones!A:B, 2, FALSE), "DATO NO CARGADO"))
</f>
        <v/>
      </c>
      <c r="C1469" s="51"/>
      <c r="D1469" s="102"/>
      <c r="E1469" s="102"/>
      <c r="H1469" s="102"/>
      <c r="J1469" s="102"/>
      <c r="K1469" s="450"/>
      <c r="L1469" s="443"/>
      <c r="M1469" s="450"/>
      <c r="N1469" s="452">
        <f t="array" ref="N1469">IFERROR(
  INDEX(
    'Valor Hora Real y Estimada'!$A$4:$Z$78,
    MATCH(TRIM(CLEAN(A1469)), 'Valor Hora Real y Estimada'!$A$4:$A$78, 0),
    MATCH(
      TEXT(C1469,"dd mmm")&amp;" "&amp;D1469,
      'Valor Hora Real y Estimada'!$A$3:$Z$3,
      0
    ) + 1
  ),
  0
)</f>
        <v>0</v>
      </c>
      <c r="O1469" s="453"/>
      <c r="P1469" s="113"/>
      <c r="Q1469" s="106" t="str">
        <f>IF(ISBLANK(O1469), "", VLOOKUP(C1469&amp;" "&amp;D1469, 'Info Tipo de Cambio y REM'!$A$24:$B$35, 2, FALSE))</f>
        <v/>
      </c>
      <c r="R1469" s="107" t="str">
        <f t="shared" si="32"/>
        <v/>
      </c>
    </row>
    <row r="1470" hidden="1">
      <c r="A1470" s="443"/>
      <c r="B1470" s="43" t="str">
        <f>IF(A1470="", "", IFERROR(VLOOKUP(A1470, Clasificaciones!A:B, 2, FALSE), "DATO NO CARGADO"))
</f>
        <v/>
      </c>
      <c r="C1470" s="51"/>
      <c r="D1470" s="102"/>
      <c r="E1470" s="102"/>
      <c r="H1470" s="102"/>
      <c r="J1470" s="102"/>
      <c r="K1470" s="450"/>
      <c r="L1470" s="443"/>
      <c r="M1470" s="450"/>
      <c r="N1470" s="452">
        <f t="array" ref="N1470">IFERROR(
  INDEX(
    'Valor Hora Real y Estimada'!$A$4:$Z$78,
    MATCH(TRIM(CLEAN(A1470)), 'Valor Hora Real y Estimada'!$A$4:$A$78, 0),
    MATCH(
      TEXT(C1470,"dd mmm")&amp;" "&amp;D1470,
      'Valor Hora Real y Estimada'!$A$3:$Z$3,
      0
    ) + 1
  ),
  0
)</f>
        <v>0</v>
      </c>
      <c r="O1470" s="453"/>
      <c r="P1470" s="113"/>
      <c r="Q1470" s="106" t="str">
        <f>IF(ISBLANK(O1470), "", VLOOKUP(C1470&amp;" "&amp;D1470, 'Info Tipo de Cambio y REM'!$A$24:$B$35, 2, FALSE))</f>
        <v/>
      </c>
      <c r="R1470" s="107" t="str">
        <f t="shared" si="32"/>
        <v/>
      </c>
    </row>
    <row r="1471" hidden="1">
      <c r="A1471" s="443"/>
      <c r="B1471" s="43" t="str">
        <f>IF(A1471="", "", IFERROR(VLOOKUP(A1471, Clasificaciones!A:B, 2, FALSE), "DATO NO CARGADO"))
</f>
        <v/>
      </c>
      <c r="C1471" s="51"/>
      <c r="D1471" s="102"/>
      <c r="E1471" s="102"/>
      <c r="H1471" s="102"/>
      <c r="J1471" s="102"/>
      <c r="K1471" s="450"/>
      <c r="L1471" s="443"/>
      <c r="M1471" s="450"/>
      <c r="N1471" s="452">
        <f t="array" ref="N1471">IFERROR(
  INDEX(
    'Valor Hora Real y Estimada'!$A$4:$Z$78,
    MATCH(TRIM(CLEAN(A1471)), 'Valor Hora Real y Estimada'!$A$4:$A$78, 0),
    MATCH(
      TEXT(C1471,"dd mmm")&amp;" "&amp;D1471,
      'Valor Hora Real y Estimada'!$A$3:$Z$3,
      0
    ) + 1
  ),
  0
)</f>
        <v>0</v>
      </c>
      <c r="O1471" s="453"/>
      <c r="P1471" s="113"/>
      <c r="Q1471" s="106" t="str">
        <f>IF(ISBLANK(O1471), "", VLOOKUP(C1471&amp;" "&amp;D1471, 'Info Tipo de Cambio y REM'!$A$24:$B$35, 2, FALSE))</f>
        <v/>
      </c>
      <c r="R1471" s="107" t="str">
        <f t="shared" si="32"/>
        <v/>
      </c>
    </row>
    <row r="1472" hidden="1">
      <c r="A1472" s="443"/>
      <c r="B1472" s="43" t="str">
        <f>IF(A1472="", "", IFERROR(VLOOKUP(A1472, Clasificaciones!A:B, 2, FALSE), "DATO NO CARGADO"))
</f>
        <v/>
      </c>
      <c r="C1472" s="51"/>
      <c r="D1472" s="102"/>
      <c r="E1472" s="102"/>
      <c r="H1472" s="102"/>
      <c r="J1472" s="102"/>
      <c r="K1472" s="450"/>
      <c r="L1472" s="443"/>
      <c r="M1472" s="450"/>
      <c r="N1472" s="452">
        <f t="array" ref="N1472">IFERROR(
  INDEX(
    'Valor Hora Real y Estimada'!$A$4:$Z$78,
    MATCH(TRIM(CLEAN(A1472)), 'Valor Hora Real y Estimada'!$A$4:$A$78, 0),
    MATCH(
      TEXT(C1472,"dd mmm")&amp;" "&amp;D1472,
      'Valor Hora Real y Estimada'!$A$3:$Z$3,
      0
    ) + 1
  ),
  0
)</f>
        <v>0</v>
      </c>
      <c r="O1472" s="453"/>
      <c r="P1472" s="113"/>
      <c r="Q1472" s="106" t="str">
        <f>IF(ISBLANK(O1472), "", VLOOKUP(C1472&amp;" "&amp;D1472, 'Info Tipo de Cambio y REM'!$A$24:$B$35, 2, FALSE))</f>
        <v/>
      </c>
      <c r="R1472" s="107" t="str">
        <f t="shared" si="32"/>
        <v/>
      </c>
    </row>
    <row r="1473" hidden="1">
      <c r="A1473" s="443"/>
      <c r="B1473" s="43" t="str">
        <f>IF(A1473="", "", IFERROR(VLOOKUP(A1473, Clasificaciones!A:B, 2, FALSE), "DATO NO CARGADO"))
</f>
        <v/>
      </c>
      <c r="C1473" s="51"/>
      <c r="D1473" s="102"/>
      <c r="E1473" s="102"/>
      <c r="H1473" s="102"/>
      <c r="J1473" s="102"/>
      <c r="K1473" s="450"/>
      <c r="L1473" s="443"/>
      <c r="M1473" s="450"/>
      <c r="N1473" s="452">
        <f t="array" ref="N1473">IFERROR(
  INDEX(
    'Valor Hora Real y Estimada'!$A$4:$Z$78,
    MATCH(TRIM(CLEAN(A1473)), 'Valor Hora Real y Estimada'!$A$4:$A$78, 0),
    MATCH(
      TEXT(C1473,"dd mmm")&amp;" "&amp;D1473,
      'Valor Hora Real y Estimada'!$A$3:$Z$3,
      0
    ) + 1
  ),
  0
)</f>
        <v>0</v>
      </c>
      <c r="O1473" s="453"/>
      <c r="P1473" s="113"/>
      <c r="Q1473" s="106" t="str">
        <f>IF(ISBLANK(O1473), "", VLOOKUP(C1473&amp;" "&amp;D1473, 'Info Tipo de Cambio y REM'!$A$24:$B$35, 2, FALSE))</f>
        <v/>
      </c>
      <c r="R1473" s="107" t="str">
        <f t="shared" si="32"/>
        <v/>
      </c>
    </row>
    <row r="1474" hidden="1">
      <c r="A1474" s="443"/>
      <c r="B1474" s="43" t="str">
        <f>IF(A1474="", "", IFERROR(VLOOKUP(A1474, Clasificaciones!A:B, 2, FALSE), "DATO NO CARGADO"))
</f>
        <v/>
      </c>
      <c r="C1474" s="51"/>
      <c r="D1474" s="102"/>
      <c r="E1474" s="102"/>
      <c r="H1474" s="102"/>
      <c r="J1474" s="102"/>
      <c r="K1474" s="450"/>
      <c r="L1474" s="443"/>
      <c r="M1474" s="450"/>
      <c r="N1474" s="452">
        <f t="array" ref="N1474">IFERROR(
  INDEX(
    'Valor Hora Real y Estimada'!$A$4:$Z$78,
    MATCH(TRIM(CLEAN(A1474)), 'Valor Hora Real y Estimada'!$A$4:$A$78, 0),
    MATCH(
      TEXT(C1474,"dd mmm")&amp;" "&amp;D1474,
      'Valor Hora Real y Estimada'!$A$3:$Z$3,
      0
    ) + 1
  ),
  0
)</f>
        <v>0</v>
      </c>
      <c r="O1474" s="453"/>
      <c r="P1474" s="113"/>
      <c r="Q1474" s="106" t="str">
        <f>IF(ISBLANK(O1474), "", VLOOKUP(C1474&amp;" "&amp;D1474, 'Info Tipo de Cambio y REM'!$A$24:$B$35, 2, FALSE))</f>
        <v/>
      </c>
      <c r="R1474" s="107" t="str">
        <f t="shared" si="32"/>
        <v/>
      </c>
    </row>
    <row r="1475" hidden="1">
      <c r="A1475" s="443"/>
      <c r="B1475" s="43" t="str">
        <f>IF(A1475="", "", IFERROR(VLOOKUP(A1475, Clasificaciones!A:B, 2, FALSE), "DATO NO CARGADO"))
</f>
        <v/>
      </c>
      <c r="C1475" s="51"/>
      <c r="D1475" s="102"/>
      <c r="E1475" s="102"/>
      <c r="H1475" s="102"/>
      <c r="J1475" s="102"/>
      <c r="K1475" s="450"/>
      <c r="L1475" s="443"/>
      <c r="M1475" s="450"/>
      <c r="N1475" s="452">
        <f t="array" ref="N1475">IFERROR(
  INDEX(
    'Valor Hora Real y Estimada'!$A$4:$Z$78,
    MATCH(TRIM(CLEAN(A1475)), 'Valor Hora Real y Estimada'!$A$4:$A$78, 0),
    MATCH(
      TEXT(C1475,"dd mmm")&amp;" "&amp;D1475,
      'Valor Hora Real y Estimada'!$A$3:$Z$3,
      0
    ) + 1
  ),
  0
)</f>
        <v>0</v>
      </c>
      <c r="O1475" s="453"/>
      <c r="P1475" s="113"/>
      <c r="Q1475" s="106" t="str">
        <f>IF(ISBLANK(O1475), "", VLOOKUP(C1475&amp;" "&amp;D1475, 'Info Tipo de Cambio y REM'!$A$24:$B$35, 2, FALSE))</f>
        <v/>
      </c>
      <c r="R1475" s="107" t="str">
        <f t="shared" si="32"/>
        <v/>
      </c>
    </row>
    <row r="1476" hidden="1">
      <c r="A1476" s="443"/>
      <c r="B1476" s="43" t="str">
        <f>IF(A1476="", "", IFERROR(VLOOKUP(A1476, Clasificaciones!A:B, 2, FALSE), "DATO NO CARGADO"))
</f>
        <v/>
      </c>
      <c r="C1476" s="51"/>
      <c r="D1476" s="102"/>
      <c r="E1476" s="102"/>
      <c r="H1476" s="102"/>
      <c r="J1476" s="102"/>
      <c r="K1476" s="450"/>
      <c r="L1476" s="443"/>
      <c r="M1476" s="450"/>
      <c r="N1476" s="452">
        <f t="array" ref="N1476">IFERROR(
  INDEX(
    'Valor Hora Real y Estimada'!$A$4:$Z$78,
    MATCH(TRIM(CLEAN(A1476)), 'Valor Hora Real y Estimada'!$A$4:$A$78, 0),
    MATCH(
      TEXT(C1476,"dd mmm")&amp;" "&amp;D1476,
      'Valor Hora Real y Estimada'!$A$3:$Z$3,
      0
    ) + 1
  ),
  0
)</f>
        <v>0</v>
      </c>
      <c r="O1476" s="453"/>
      <c r="P1476" s="113"/>
      <c r="Q1476" s="106" t="str">
        <f>IF(ISBLANK(O1476), "", VLOOKUP(C1476&amp;" "&amp;D1476, 'Info Tipo de Cambio y REM'!$A$24:$B$35, 2, FALSE))</f>
        <v/>
      </c>
      <c r="R1476" s="107" t="str">
        <f t="shared" si="32"/>
        <v/>
      </c>
    </row>
    <row r="1477" hidden="1">
      <c r="A1477" s="443"/>
      <c r="B1477" s="43" t="str">
        <f>IF(A1477="", "", IFERROR(VLOOKUP(A1477, Clasificaciones!A:B, 2, FALSE), "DATO NO CARGADO"))
</f>
        <v/>
      </c>
      <c r="C1477" s="51"/>
      <c r="D1477" s="102"/>
      <c r="E1477" s="102"/>
      <c r="H1477" s="102"/>
      <c r="J1477" s="102"/>
      <c r="K1477" s="450"/>
      <c r="L1477" s="443"/>
      <c r="M1477" s="450"/>
      <c r="N1477" s="452">
        <f t="array" ref="N1477">IFERROR(
  INDEX(
    'Valor Hora Real y Estimada'!$A$4:$Z$78,
    MATCH(TRIM(CLEAN(A1477)), 'Valor Hora Real y Estimada'!$A$4:$A$78, 0),
    MATCH(
      TEXT(C1477,"dd mmm")&amp;" "&amp;D1477,
      'Valor Hora Real y Estimada'!$A$3:$Z$3,
      0
    ) + 1
  ),
  0
)</f>
        <v>0</v>
      </c>
      <c r="O1477" s="453"/>
      <c r="P1477" s="113"/>
      <c r="Q1477" s="106" t="str">
        <f>IF(ISBLANK(O1477), "", VLOOKUP(C1477&amp;" "&amp;D1477, 'Info Tipo de Cambio y REM'!$A$24:$B$35, 2, FALSE))</f>
        <v/>
      </c>
      <c r="R1477" s="107" t="str">
        <f t="shared" si="32"/>
        <v/>
      </c>
    </row>
    <row r="1478" hidden="1">
      <c r="A1478" s="443"/>
      <c r="B1478" s="43" t="str">
        <f>IF(A1478="", "", IFERROR(VLOOKUP(A1478, Clasificaciones!A:B, 2, FALSE), "DATO NO CARGADO"))
</f>
        <v/>
      </c>
      <c r="C1478" s="51"/>
      <c r="D1478" s="102"/>
      <c r="E1478" s="102"/>
      <c r="H1478" s="102"/>
      <c r="J1478" s="102"/>
      <c r="K1478" s="450"/>
      <c r="L1478" s="443"/>
      <c r="M1478" s="450"/>
      <c r="N1478" s="452">
        <f t="array" ref="N1478">IFERROR(
  INDEX(
    'Valor Hora Real y Estimada'!$A$4:$Z$78,
    MATCH(TRIM(CLEAN(A1478)), 'Valor Hora Real y Estimada'!$A$4:$A$78, 0),
    MATCH(
      TEXT(C1478,"dd mmm")&amp;" "&amp;D1478,
      'Valor Hora Real y Estimada'!$A$3:$Z$3,
      0
    ) + 1
  ),
  0
)</f>
        <v>0</v>
      </c>
      <c r="O1478" s="453"/>
      <c r="P1478" s="113"/>
      <c r="Q1478" s="106" t="str">
        <f>IF(ISBLANK(O1478), "", VLOOKUP(C1478&amp;" "&amp;D1478, 'Info Tipo de Cambio y REM'!$A$24:$B$35, 2, FALSE))</f>
        <v/>
      </c>
      <c r="R1478" s="107" t="str">
        <f t="shared" si="32"/>
        <v/>
      </c>
    </row>
    <row r="1479" hidden="1">
      <c r="A1479" s="443"/>
      <c r="B1479" s="43" t="str">
        <f>IF(A1479="", "", IFERROR(VLOOKUP(A1479, Clasificaciones!A:B, 2, FALSE), "DATO NO CARGADO"))
</f>
        <v/>
      </c>
      <c r="C1479" s="51"/>
      <c r="D1479" s="102"/>
      <c r="E1479" s="102"/>
      <c r="H1479" s="102"/>
      <c r="J1479" s="102"/>
      <c r="K1479" s="450"/>
      <c r="L1479" s="443"/>
      <c r="M1479" s="450"/>
      <c r="N1479" s="452">
        <f t="array" ref="N1479">IFERROR(
  INDEX(
    'Valor Hora Real y Estimada'!$A$4:$Z$78,
    MATCH(TRIM(CLEAN(A1479)), 'Valor Hora Real y Estimada'!$A$4:$A$78, 0),
    MATCH(
      TEXT(C1479,"dd mmm")&amp;" "&amp;D1479,
      'Valor Hora Real y Estimada'!$A$3:$Z$3,
      0
    ) + 1
  ),
  0
)</f>
        <v>0</v>
      </c>
      <c r="O1479" s="453"/>
      <c r="P1479" s="113"/>
      <c r="Q1479" s="106" t="str">
        <f>IF(ISBLANK(O1479), "", VLOOKUP(C1479&amp;" "&amp;D1479, 'Info Tipo de Cambio y REM'!$A$24:$B$35, 2, FALSE))</f>
        <v/>
      </c>
      <c r="R1479" s="107" t="str">
        <f t="shared" si="32"/>
        <v/>
      </c>
    </row>
    <row r="1480" hidden="1">
      <c r="A1480" s="443"/>
      <c r="B1480" s="43" t="str">
        <f>IF(A1480="", "", IFERROR(VLOOKUP(A1480, Clasificaciones!A:B, 2, FALSE), "DATO NO CARGADO"))
</f>
        <v/>
      </c>
      <c r="C1480" s="51"/>
      <c r="D1480" s="102"/>
      <c r="E1480" s="102"/>
      <c r="H1480" s="102"/>
      <c r="J1480" s="102"/>
      <c r="K1480" s="450"/>
      <c r="L1480" s="443"/>
      <c r="M1480" s="450"/>
      <c r="N1480" s="452">
        <f t="array" ref="N1480">IFERROR(
  INDEX(
    'Valor Hora Real y Estimada'!$A$4:$Z$78,
    MATCH(TRIM(CLEAN(A1480)), 'Valor Hora Real y Estimada'!$A$4:$A$78, 0),
    MATCH(
      TEXT(C1480,"dd mmm")&amp;" "&amp;D1480,
      'Valor Hora Real y Estimada'!$A$3:$Z$3,
      0
    ) + 1
  ),
  0
)</f>
        <v>0</v>
      </c>
      <c r="O1480" s="453"/>
      <c r="P1480" s="113"/>
      <c r="Q1480" s="106" t="str">
        <f>IF(ISBLANK(O1480), "", VLOOKUP(C1480&amp;" "&amp;D1480, 'Info Tipo de Cambio y REM'!$A$24:$B$35, 2, FALSE))</f>
        <v/>
      </c>
      <c r="R1480" s="107" t="str">
        <f t="shared" si="32"/>
        <v/>
      </c>
    </row>
    <row r="1481" hidden="1">
      <c r="A1481" s="443"/>
      <c r="B1481" s="43" t="str">
        <f>IF(A1481="", "", IFERROR(VLOOKUP(A1481, Clasificaciones!A:B, 2, FALSE), "DATO NO CARGADO"))
</f>
        <v/>
      </c>
      <c r="C1481" s="51"/>
      <c r="D1481" s="102"/>
      <c r="E1481" s="102"/>
      <c r="H1481" s="102"/>
      <c r="J1481" s="102"/>
      <c r="K1481" s="450"/>
      <c r="L1481" s="443"/>
      <c r="M1481" s="450"/>
      <c r="N1481" s="452">
        <f t="array" ref="N1481">IFERROR(
  INDEX(
    'Valor Hora Real y Estimada'!$A$4:$Z$78,
    MATCH(TRIM(CLEAN(A1481)), 'Valor Hora Real y Estimada'!$A$4:$A$78, 0),
    MATCH(
      TEXT(C1481,"dd mmm")&amp;" "&amp;D1481,
      'Valor Hora Real y Estimada'!$A$3:$Z$3,
      0
    ) + 1
  ),
  0
)</f>
        <v>0</v>
      </c>
      <c r="O1481" s="453"/>
      <c r="P1481" s="113"/>
      <c r="Q1481" s="106" t="str">
        <f>IF(ISBLANK(O1481), "", VLOOKUP(C1481&amp;" "&amp;D1481, 'Info Tipo de Cambio y REM'!$A$24:$B$35, 2, FALSE))</f>
        <v/>
      </c>
      <c r="R1481" s="107" t="str">
        <f t="shared" si="32"/>
        <v/>
      </c>
    </row>
    <row r="1482" hidden="1">
      <c r="A1482" s="443"/>
      <c r="B1482" s="43" t="str">
        <f>IF(A1482="", "", IFERROR(VLOOKUP(A1482, Clasificaciones!A:B, 2, FALSE), "DATO NO CARGADO"))
</f>
        <v/>
      </c>
      <c r="C1482" s="51"/>
      <c r="D1482" s="102"/>
      <c r="E1482" s="102"/>
      <c r="H1482" s="102"/>
      <c r="J1482" s="102"/>
      <c r="K1482" s="450"/>
      <c r="L1482" s="443"/>
      <c r="M1482" s="450"/>
      <c r="N1482" s="452">
        <f t="array" ref="N1482">IFERROR(
  INDEX(
    'Valor Hora Real y Estimada'!$A$4:$Z$78,
    MATCH(TRIM(CLEAN(A1482)), 'Valor Hora Real y Estimada'!$A$4:$A$78, 0),
    MATCH(
      TEXT(C1482,"dd mmm")&amp;" "&amp;D1482,
      'Valor Hora Real y Estimada'!$A$3:$Z$3,
      0
    ) + 1
  ),
  0
)</f>
        <v>0</v>
      </c>
      <c r="O1482" s="453"/>
      <c r="P1482" s="113"/>
      <c r="Q1482" s="106" t="str">
        <f>IF(ISBLANK(O1482), "", VLOOKUP(C1482&amp;" "&amp;D1482, 'Info Tipo de Cambio y REM'!$A$24:$B$35, 2, FALSE))</f>
        <v/>
      </c>
      <c r="R1482" s="107" t="str">
        <f t="shared" si="32"/>
        <v/>
      </c>
    </row>
    <row r="1483" hidden="1">
      <c r="A1483" s="443"/>
      <c r="B1483" s="43" t="str">
        <f>IF(A1483="", "", IFERROR(VLOOKUP(A1483, Clasificaciones!A:B, 2, FALSE), "DATO NO CARGADO"))
</f>
        <v/>
      </c>
      <c r="C1483" s="51"/>
      <c r="D1483" s="102"/>
      <c r="E1483" s="102"/>
      <c r="H1483" s="102"/>
      <c r="J1483" s="102"/>
      <c r="K1483" s="450"/>
      <c r="L1483" s="443"/>
      <c r="M1483" s="450"/>
      <c r="N1483" s="452">
        <f t="array" ref="N1483">IFERROR(
  INDEX(
    'Valor Hora Real y Estimada'!$A$4:$Z$78,
    MATCH(TRIM(CLEAN(A1483)), 'Valor Hora Real y Estimada'!$A$4:$A$78, 0),
    MATCH(
      TEXT(C1483,"dd mmm")&amp;" "&amp;D1483,
      'Valor Hora Real y Estimada'!$A$3:$Z$3,
      0
    ) + 1
  ),
  0
)</f>
        <v>0</v>
      </c>
      <c r="O1483" s="453"/>
      <c r="P1483" s="113"/>
      <c r="Q1483" s="106" t="str">
        <f>IF(ISBLANK(O1483), "", VLOOKUP(C1483&amp;" "&amp;D1483, 'Info Tipo de Cambio y REM'!$A$24:$B$35, 2, FALSE))</f>
        <v/>
      </c>
      <c r="R1483" s="107" t="str">
        <f t="shared" si="32"/>
        <v/>
      </c>
    </row>
    <row r="1484" hidden="1">
      <c r="A1484" s="443"/>
      <c r="B1484" s="43" t="str">
        <f>IF(A1484="", "", IFERROR(VLOOKUP(A1484, Clasificaciones!A:B, 2, FALSE), "DATO NO CARGADO"))
</f>
        <v/>
      </c>
      <c r="C1484" s="51"/>
      <c r="D1484" s="102"/>
      <c r="E1484" s="102"/>
      <c r="H1484" s="102"/>
      <c r="J1484" s="102"/>
      <c r="K1484" s="450"/>
      <c r="L1484" s="443"/>
      <c r="M1484" s="450"/>
      <c r="N1484" s="452">
        <f t="array" ref="N1484">IFERROR(
  INDEX(
    'Valor Hora Real y Estimada'!$A$4:$Z$78,
    MATCH(TRIM(CLEAN(A1484)), 'Valor Hora Real y Estimada'!$A$4:$A$78, 0),
    MATCH(
      TEXT(C1484,"dd mmm")&amp;" "&amp;D1484,
      'Valor Hora Real y Estimada'!$A$3:$Z$3,
      0
    ) + 1
  ),
  0
)</f>
        <v>0</v>
      </c>
      <c r="O1484" s="453"/>
      <c r="P1484" s="113"/>
      <c r="Q1484" s="106" t="str">
        <f>IF(ISBLANK(O1484), "", VLOOKUP(C1484&amp;" "&amp;D1484, 'Info Tipo de Cambio y REM'!$A$24:$B$35, 2, FALSE))</f>
        <v/>
      </c>
      <c r="R1484" s="107" t="str">
        <f t="shared" si="32"/>
        <v/>
      </c>
    </row>
    <row r="1485" hidden="1">
      <c r="A1485" s="443"/>
      <c r="B1485" s="43" t="str">
        <f>IF(A1485="", "", IFERROR(VLOOKUP(A1485, Clasificaciones!A:B, 2, FALSE), "DATO NO CARGADO"))
</f>
        <v/>
      </c>
      <c r="C1485" s="51"/>
      <c r="D1485" s="102"/>
      <c r="E1485" s="102"/>
      <c r="H1485" s="102"/>
      <c r="J1485" s="102"/>
      <c r="K1485" s="450"/>
      <c r="L1485" s="443"/>
      <c r="M1485" s="450"/>
      <c r="N1485" s="452">
        <f t="array" ref="N1485">IFERROR(
  INDEX(
    'Valor Hora Real y Estimada'!$A$4:$Z$78,
    MATCH(TRIM(CLEAN(A1485)), 'Valor Hora Real y Estimada'!$A$4:$A$78, 0),
    MATCH(
      TEXT(C1485,"dd mmm")&amp;" "&amp;D1485,
      'Valor Hora Real y Estimada'!$A$3:$Z$3,
      0
    ) + 1
  ),
  0
)</f>
        <v>0</v>
      </c>
      <c r="O1485" s="453"/>
      <c r="P1485" s="113"/>
      <c r="Q1485" s="106" t="str">
        <f>IF(ISBLANK(O1485), "", VLOOKUP(C1485&amp;" "&amp;D1485, 'Info Tipo de Cambio y REM'!$A$24:$B$35, 2, FALSE))</f>
        <v/>
      </c>
      <c r="R1485" s="107" t="str">
        <f t="shared" si="32"/>
        <v/>
      </c>
    </row>
    <row r="1486" hidden="1">
      <c r="A1486" s="443"/>
      <c r="B1486" s="43" t="str">
        <f>IF(A1486="", "", IFERROR(VLOOKUP(A1486, Clasificaciones!A:B, 2, FALSE), "DATO NO CARGADO"))
</f>
        <v/>
      </c>
      <c r="C1486" s="51"/>
      <c r="D1486" s="102"/>
      <c r="E1486" s="102"/>
      <c r="H1486" s="102"/>
      <c r="J1486" s="102"/>
      <c r="K1486" s="450"/>
      <c r="L1486" s="443"/>
      <c r="M1486" s="450"/>
      <c r="N1486" s="452">
        <f t="array" ref="N1486">IFERROR(
  INDEX(
    'Valor Hora Real y Estimada'!$A$4:$Z$78,
    MATCH(TRIM(CLEAN(A1486)), 'Valor Hora Real y Estimada'!$A$4:$A$78, 0),
    MATCH(
      TEXT(C1486,"dd mmm")&amp;" "&amp;D1486,
      'Valor Hora Real y Estimada'!$A$3:$Z$3,
      0
    ) + 1
  ),
  0
)</f>
        <v>0</v>
      </c>
      <c r="O1486" s="453"/>
      <c r="P1486" s="113"/>
      <c r="Q1486" s="106" t="str">
        <f>IF(ISBLANK(O1486), "", VLOOKUP(C1486&amp;" "&amp;D1486, 'Info Tipo de Cambio y REM'!$A$24:$B$35, 2, FALSE))</f>
        <v/>
      </c>
      <c r="R1486" s="107" t="str">
        <f t="shared" si="32"/>
        <v/>
      </c>
    </row>
    <row r="1487" hidden="1">
      <c r="A1487" s="443"/>
      <c r="B1487" s="43" t="str">
        <f>IF(A1487="", "", IFERROR(VLOOKUP(A1487, Clasificaciones!A:B, 2, FALSE), "DATO NO CARGADO"))
</f>
        <v/>
      </c>
      <c r="C1487" s="51"/>
      <c r="D1487" s="102"/>
      <c r="E1487" s="102"/>
      <c r="H1487" s="102"/>
      <c r="J1487" s="102"/>
      <c r="K1487" s="450"/>
      <c r="L1487" s="443"/>
      <c r="M1487" s="450"/>
      <c r="N1487" s="452">
        <f t="array" ref="N1487">IFERROR(
  INDEX(
    'Valor Hora Real y Estimada'!$A$4:$Z$78,
    MATCH(TRIM(CLEAN(A1487)), 'Valor Hora Real y Estimada'!$A$4:$A$78, 0),
    MATCH(
      TEXT(C1487,"dd mmm")&amp;" "&amp;D1487,
      'Valor Hora Real y Estimada'!$A$3:$Z$3,
      0
    ) + 1
  ),
  0
)</f>
        <v>0</v>
      </c>
      <c r="O1487" s="453"/>
      <c r="P1487" s="113"/>
      <c r="Q1487" s="106" t="str">
        <f>IF(ISBLANK(O1487), "", VLOOKUP(C1487&amp;" "&amp;D1487, 'Info Tipo de Cambio y REM'!$A$24:$B$35, 2, FALSE))</f>
        <v/>
      </c>
      <c r="R1487" s="107" t="str">
        <f t="shared" si="32"/>
        <v/>
      </c>
    </row>
    <row r="1488" hidden="1">
      <c r="A1488" s="443"/>
      <c r="B1488" s="43" t="str">
        <f>IF(A1488="", "", IFERROR(VLOOKUP(A1488, Clasificaciones!A:B, 2, FALSE), "DATO NO CARGADO"))
</f>
        <v/>
      </c>
      <c r="C1488" s="51"/>
      <c r="D1488" s="102"/>
      <c r="E1488" s="102"/>
      <c r="H1488" s="102"/>
      <c r="J1488" s="102"/>
      <c r="K1488" s="450"/>
      <c r="L1488" s="443"/>
      <c r="M1488" s="450"/>
      <c r="N1488" s="452">
        <f t="array" ref="N1488">IFERROR(
  INDEX(
    'Valor Hora Real y Estimada'!$A$4:$Z$78,
    MATCH(TRIM(CLEAN(A1488)), 'Valor Hora Real y Estimada'!$A$4:$A$78, 0),
    MATCH(
      TEXT(C1488,"dd mmm")&amp;" "&amp;D1488,
      'Valor Hora Real y Estimada'!$A$3:$Z$3,
      0
    ) + 1
  ),
  0
)</f>
        <v>0</v>
      </c>
      <c r="O1488" s="453"/>
      <c r="P1488" s="113"/>
      <c r="Q1488" s="106" t="str">
        <f>IF(ISBLANK(O1488), "", VLOOKUP(C1488&amp;" "&amp;D1488, 'Info Tipo de Cambio y REM'!$A$24:$B$35, 2, FALSE))</f>
        <v/>
      </c>
      <c r="R1488" s="107" t="str">
        <f t="shared" si="32"/>
        <v/>
      </c>
    </row>
    <row r="1489" hidden="1">
      <c r="A1489" s="443"/>
      <c r="B1489" s="43" t="str">
        <f>IF(A1489="", "", IFERROR(VLOOKUP(A1489, Clasificaciones!A:B, 2, FALSE), "DATO NO CARGADO"))
</f>
        <v/>
      </c>
      <c r="C1489" s="51"/>
      <c r="D1489" s="102"/>
      <c r="E1489" s="102"/>
      <c r="H1489" s="102"/>
      <c r="J1489" s="102"/>
      <c r="K1489" s="450"/>
      <c r="L1489" s="443"/>
      <c r="M1489" s="450"/>
      <c r="N1489" s="452">
        <f t="array" ref="N1489">IFERROR(
  INDEX(
    'Valor Hora Real y Estimada'!$A$4:$Z$78,
    MATCH(TRIM(CLEAN(A1489)), 'Valor Hora Real y Estimada'!$A$4:$A$78, 0),
    MATCH(
      TEXT(C1489,"dd mmm")&amp;" "&amp;D1489,
      'Valor Hora Real y Estimada'!$A$3:$Z$3,
      0
    ) + 1
  ),
  0
)</f>
        <v>0</v>
      </c>
      <c r="O1489" s="453"/>
      <c r="P1489" s="113"/>
      <c r="Q1489" s="106" t="str">
        <f>IF(ISBLANK(O1489), "", VLOOKUP(C1489&amp;" "&amp;D1489, 'Info Tipo de Cambio y REM'!$A$24:$B$35, 2, FALSE))</f>
        <v/>
      </c>
      <c r="R1489" s="107" t="str">
        <f t="shared" si="32"/>
        <v/>
      </c>
    </row>
    <row r="1490" hidden="1">
      <c r="A1490" s="443"/>
      <c r="B1490" s="43" t="str">
        <f>IF(A1490="", "", IFERROR(VLOOKUP(A1490, Clasificaciones!A:B, 2, FALSE), "DATO NO CARGADO"))
</f>
        <v/>
      </c>
      <c r="C1490" s="51"/>
      <c r="D1490" s="102"/>
      <c r="E1490" s="102"/>
      <c r="H1490" s="102"/>
      <c r="J1490" s="102"/>
      <c r="K1490" s="450"/>
      <c r="L1490" s="443"/>
      <c r="M1490" s="450"/>
      <c r="N1490" s="452">
        <f t="array" ref="N1490">IFERROR(
  INDEX(
    'Valor Hora Real y Estimada'!$A$4:$Z$78,
    MATCH(TRIM(CLEAN(A1490)), 'Valor Hora Real y Estimada'!$A$4:$A$78, 0),
    MATCH(
      TEXT(C1490,"dd mmm")&amp;" "&amp;D1490,
      'Valor Hora Real y Estimada'!$A$3:$Z$3,
      0
    ) + 1
  ),
  0
)</f>
        <v>0</v>
      </c>
      <c r="O1490" s="453"/>
      <c r="P1490" s="113"/>
      <c r="Q1490" s="106" t="str">
        <f>IF(ISBLANK(O1490), "", VLOOKUP(C1490&amp;" "&amp;D1490, 'Info Tipo de Cambio y REM'!$A$24:$B$35, 2, FALSE))</f>
        <v/>
      </c>
      <c r="R1490" s="107" t="str">
        <f t="shared" si="32"/>
        <v/>
      </c>
    </row>
    <row r="1491" hidden="1">
      <c r="A1491" s="443"/>
      <c r="B1491" s="43" t="str">
        <f>IF(A1491="", "", IFERROR(VLOOKUP(A1491, Clasificaciones!A:B, 2, FALSE), "DATO NO CARGADO"))
</f>
        <v/>
      </c>
      <c r="C1491" s="51"/>
      <c r="D1491" s="102"/>
      <c r="E1491" s="102"/>
      <c r="H1491" s="102"/>
      <c r="J1491" s="102"/>
      <c r="K1491" s="450"/>
      <c r="L1491" s="443"/>
      <c r="M1491" s="450"/>
      <c r="N1491" s="452">
        <f t="array" ref="N1491">IFERROR(
  INDEX(
    'Valor Hora Real y Estimada'!$A$4:$Z$78,
    MATCH(TRIM(CLEAN(A1491)), 'Valor Hora Real y Estimada'!$A$4:$A$78, 0),
    MATCH(
      TEXT(C1491,"dd mmm")&amp;" "&amp;D1491,
      'Valor Hora Real y Estimada'!$A$3:$Z$3,
      0
    ) + 1
  ),
  0
)</f>
        <v>0</v>
      </c>
      <c r="O1491" s="453"/>
      <c r="P1491" s="113"/>
      <c r="Q1491" s="106" t="str">
        <f>IF(ISBLANK(O1491), "", VLOOKUP(C1491&amp;" "&amp;D1491, 'Info Tipo de Cambio y REM'!$A$24:$B$35, 2, FALSE))</f>
        <v/>
      </c>
      <c r="R1491" s="107" t="str">
        <f t="shared" si="32"/>
        <v/>
      </c>
    </row>
    <row r="1492" hidden="1">
      <c r="A1492" s="443"/>
      <c r="B1492" s="43" t="str">
        <f>IF(A1492="", "", IFERROR(VLOOKUP(A1492, Clasificaciones!A:B, 2, FALSE), "DATO NO CARGADO"))
</f>
        <v/>
      </c>
      <c r="C1492" s="51"/>
      <c r="D1492" s="102"/>
      <c r="E1492" s="102"/>
      <c r="H1492" s="102"/>
      <c r="J1492" s="102"/>
      <c r="K1492" s="450"/>
      <c r="L1492" s="443"/>
      <c r="M1492" s="450"/>
      <c r="N1492" s="452">
        <f t="array" ref="N1492">IFERROR(
  INDEX(
    'Valor Hora Real y Estimada'!$A$4:$Z$78,
    MATCH(TRIM(CLEAN(A1492)), 'Valor Hora Real y Estimada'!$A$4:$A$78, 0),
    MATCH(
      TEXT(C1492,"dd mmm")&amp;" "&amp;D1492,
      'Valor Hora Real y Estimada'!$A$3:$Z$3,
      0
    ) + 1
  ),
  0
)</f>
        <v>0</v>
      </c>
      <c r="O1492" s="453"/>
      <c r="P1492" s="113"/>
      <c r="Q1492" s="106" t="str">
        <f>IF(ISBLANK(O1492), "", VLOOKUP(C1492&amp;" "&amp;D1492, 'Info Tipo de Cambio y REM'!$A$24:$B$35, 2, FALSE))</f>
        <v/>
      </c>
      <c r="R1492" s="107" t="str">
        <f t="shared" si="32"/>
        <v/>
      </c>
    </row>
    <row r="1493" hidden="1">
      <c r="A1493" s="443"/>
      <c r="B1493" s="43" t="str">
        <f>IF(A1493="", "", IFERROR(VLOOKUP(A1493, Clasificaciones!A:B, 2, FALSE), "DATO NO CARGADO"))
</f>
        <v/>
      </c>
      <c r="C1493" s="51"/>
      <c r="D1493" s="102"/>
      <c r="E1493" s="102"/>
      <c r="H1493" s="102"/>
      <c r="J1493" s="102"/>
      <c r="K1493" s="450"/>
      <c r="L1493" s="443"/>
      <c r="M1493" s="450"/>
      <c r="N1493" s="452">
        <f t="array" ref="N1493">IFERROR(
  INDEX(
    'Valor Hora Real y Estimada'!$A$4:$Z$78,
    MATCH(TRIM(CLEAN(A1493)), 'Valor Hora Real y Estimada'!$A$4:$A$78, 0),
    MATCH(
      TEXT(C1493,"dd mmm")&amp;" "&amp;D1493,
      'Valor Hora Real y Estimada'!$A$3:$Z$3,
      0
    ) + 1
  ),
  0
)</f>
        <v>0</v>
      </c>
      <c r="O1493" s="453"/>
      <c r="P1493" s="113"/>
      <c r="Q1493" s="106" t="str">
        <f>IF(ISBLANK(O1493), "", VLOOKUP(C1493&amp;" "&amp;D1493, 'Info Tipo de Cambio y REM'!$A$24:$B$35, 2, FALSE))</f>
        <v/>
      </c>
      <c r="R1493" s="107" t="str">
        <f t="shared" si="32"/>
        <v/>
      </c>
    </row>
    <row r="1494" hidden="1">
      <c r="A1494" s="443"/>
      <c r="B1494" s="43" t="str">
        <f>IF(A1494="", "", IFERROR(VLOOKUP(A1494, Clasificaciones!A:B, 2, FALSE), "DATO NO CARGADO"))
</f>
        <v/>
      </c>
      <c r="C1494" s="51"/>
      <c r="D1494" s="102"/>
      <c r="E1494" s="102"/>
      <c r="H1494" s="102"/>
      <c r="J1494" s="102"/>
      <c r="K1494" s="450"/>
      <c r="L1494" s="443"/>
      <c r="M1494" s="450"/>
      <c r="N1494" s="452">
        <f t="array" ref="N1494">IFERROR(
  INDEX(
    'Valor Hora Real y Estimada'!$A$4:$Z$78,
    MATCH(TRIM(CLEAN(A1494)), 'Valor Hora Real y Estimada'!$A$4:$A$78, 0),
    MATCH(
      TEXT(C1494,"dd mmm")&amp;" "&amp;D1494,
      'Valor Hora Real y Estimada'!$A$3:$Z$3,
      0
    ) + 1
  ),
  0
)</f>
        <v>0</v>
      </c>
      <c r="O1494" s="453"/>
      <c r="P1494" s="113"/>
      <c r="Q1494" s="106" t="str">
        <f>IF(ISBLANK(O1494), "", VLOOKUP(C1494&amp;" "&amp;D1494, 'Info Tipo de Cambio y REM'!$A$24:$B$35, 2, FALSE))</f>
        <v/>
      </c>
      <c r="R1494" s="107" t="str">
        <f t="shared" si="32"/>
        <v/>
      </c>
    </row>
    <row r="1495" hidden="1">
      <c r="A1495" s="443"/>
      <c r="B1495" s="43" t="str">
        <f>IF(A1495="", "", IFERROR(VLOOKUP(A1495, Clasificaciones!A:B, 2, FALSE), "DATO NO CARGADO"))
</f>
        <v/>
      </c>
      <c r="C1495" s="51"/>
      <c r="D1495" s="102"/>
      <c r="E1495" s="102"/>
      <c r="H1495" s="102"/>
      <c r="J1495" s="102"/>
      <c r="K1495" s="450"/>
      <c r="L1495" s="443"/>
      <c r="M1495" s="450"/>
      <c r="N1495" s="452">
        <f t="array" ref="N1495">IFERROR(
  INDEX(
    'Valor Hora Real y Estimada'!$A$4:$Z$78,
    MATCH(TRIM(CLEAN(A1495)), 'Valor Hora Real y Estimada'!$A$4:$A$78, 0),
    MATCH(
      TEXT(C1495,"dd mmm")&amp;" "&amp;D1495,
      'Valor Hora Real y Estimada'!$A$3:$Z$3,
      0
    ) + 1
  ),
  0
)</f>
        <v>0</v>
      </c>
      <c r="O1495" s="453"/>
      <c r="P1495" s="113"/>
      <c r="Q1495" s="106" t="str">
        <f>IF(ISBLANK(O1495), "", VLOOKUP(C1495&amp;" "&amp;D1495, 'Info Tipo de Cambio y REM'!$A$24:$B$35, 2, FALSE))</f>
        <v/>
      </c>
      <c r="R1495" s="107" t="str">
        <f t="shared" si="32"/>
        <v/>
      </c>
    </row>
    <row r="1496" hidden="1">
      <c r="A1496" s="443"/>
      <c r="B1496" s="43" t="str">
        <f>IF(A1496="", "", IFERROR(VLOOKUP(A1496, Clasificaciones!A:B, 2, FALSE), "DATO NO CARGADO"))
</f>
        <v/>
      </c>
      <c r="C1496" s="51"/>
      <c r="D1496" s="102"/>
      <c r="E1496" s="102"/>
      <c r="H1496" s="102"/>
      <c r="J1496" s="102"/>
      <c r="K1496" s="450"/>
      <c r="L1496" s="443"/>
      <c r="M1496" s="450"/>
      <c r="N1496" s="452">
        <f t="array" ref="N1496">IFERROR(
  INDEX(
    'Valor Hora Real y Estimada'!$A$4:$Z$78,
    MATCH(TRIM(CLEAN(A1496)), 'Valor Hora Real y Estimada'!$A$4:$A$78, 0),
    MATCH(
      TEXT(C1496,"dd mmm")&amp;" "&amp;D1496,
      'Valor Hora Real y Estimada'!$A$3:$Z$3,
      0
    ) + 1
  ),
  0
)</f>
        <v>0</v>
      </c>
      <c r="O1496" s="453"/>
      <c r="P1496" s="113"/>
      <c r="Q1496" s="106" t="str">
        <f>IF(ISBLANK(O1496), "", VLOOKUP(C1496&amp;" "&amp;D1496, 'Info Tipo de Cambio y REM'!$A$24:$B$35, 2, FALSE))</f>
        <v/>
      </c>
      <c r="R1496" s="107" t="str">
        <f t="shared" si="32"/>
        <v/>
      </c>
    </row>
    <row r="1497" hidden="1">
      <c r="A1497" s="443"/>
      <c r="B1497" s="43" t="str">
        <f>IF(A1497="", "", IFERROR(VLOOKUP(A1497, Clasificaciones!A:B, 2, FALSE), "DATO NO CARGADO"))
</f>
        <v/>
      </c>
      <c r="C1497" s="51"/>
      <c r="D1497" s="102"/>
      <c r="E1497" s="102"/>
      <c r="H1497" s="102"/>
      <c r="J1497" s="102"/>
      <c r="K1497" s="450"/>
      <c r="L1497" s="443"/>
      <c r="M1497" s="450"/>
      <c r="N1497" s="452">
        <f t="array" ref="N1497">IFERROR(
  INDEX(
    'Valor Hora Real y Estimada'!$A$4:$Z$78,
    MATCH(TRIM(CLEAN(A1497)), 'Valor Hora Real y Estimada'!$A$4:$A$78, 0),
    MATCH(
      TEXT(C1497,"dd mmm")&amp;" "&amp;D1497,
      'Valor Hora Real y Estimada'!$A$3:$Z$3,
      0
    ) + 1
  ),
  0
)</f>
        <v>0</v>
      </c>
      <c r="O1497" s="453"/>
      <c r="P1497" s="113"/>
      <c r="Q1497" s="106" t="str">
        <f>IF(ISBLANK(O1497), "", VLOOKUP(C1497&amp;" "&amp;D1497, 'Info Tipo de Cambio y REM'!$A$24:$B$35, 2, FALSE))</f>
        <v/>
      </c>
      <c r="R1497" s="107" t="str">
        <f t="shared" si="32"/>
        <v/>
      </c>
    </row>
    <row r="1498" hidden="1">
      <c r="A1498" s="443"/>
      <c r="B1498" s="43" t="str">
        <f>IF(A1498="", "", IFERROR(VLOOKUP(A1498, Clasificaciones!A:B, 2, FALSE), "DATO NO CARGADO"))
</f>
        <v/>
      </c>
      <c r="C1498" s="51"/>
      <c r="D1498" s="102"/>
      <c r="E1498" s="102"/>
      <c r="H1498" s="102"/>
      <c r="J1498" s="102"/>
      <c r="K1498" s="450"/>
      <c r="L1498" s="443"/>
      <c r="M1498" s="450"/>
      <c r="N1498" s="452">
        <f t="array" ref="N1498">IFERROR(
  INDEX(
    'Valor Hora Real y Estimada'!$A$4:$Z$78,
    MATCH(TRIM(CLEAN(A1498)), 'Valor Hora Real y Estimada'!$A$4:$A$78, 0),
    MATCH(
      TEXT(C1498,"dd mmm")&amp;" "&amp;D1498,
      'Valor Hora Real y Estimada'!$A$3:$Z$3,
      0
    ) + 1
  ),
  0
)</f>
        <v>0</v>
      </c>
      <c r="O1498" s="453"/>
      <c r="P1498" s="113"/>
      <c r="Q1498" s="106" t="str">
        <f>IF(ISBLANK(O1498), "", VLOOKUP(C1498&amp;" "&amp;D1498, 'Info Tipo de Cambio y REM'!$A$24:$B$35, 2, FALSE))</f>
        <v/>
      </c>
      <c r="R1498" s="107" t="str">
        <f t="shared" si="32"/>
        <v/>
      </c>
    </row>
    <row r="1499" hidden="1">
      <c r="A1499" s="443"/>
      <c r="B1499" s="43" t="str">
        <f>IF(A1499="", "", IFERROR(VLOOKUP(A1499, Clasificaciones!A:B, 2, FALSE), "DATO NO CARGADO"))
</f>
        <v/>
      </c>
      <c r="C1499" s="51"/>
      <c r="D1499" s="102"/>
      <c r="E1499" s="102"/>
      <c r="H1499" s="102"/>
      <c r="J1499" s="102"/>
      <c r="K1499" s="450"/>
      <c r="L1499" s="443"/>
      <c r="M1499" s="450"/>
      <c r="N1499" s="452">
        <f t="array" ref="N1499">IFERROR(
  INDEX(
    'Valor Hora Real y Estimada'!$A$4:$Z$78,
    MATCH(TRIM(CLEAN(A1499)), 'Valor Hora Real y Estimada'!$A$4:$A$78, 0),
    MATCH(
      TEXT(C1499,"dd mmm")&amp;" "&amp;D1499,
      'Valor Hora Real y Estimada'!$A$3:$Z$3,
      0
    ) + 1
  ),
  0
)</f>
        <v>0</v>
      </c>
      <c r="O1499" s="453"/>
      <c r="P1499" s="113"/>
      <c r="Q1499" s="106" t="str">
        <f>IF(ISBLANK(O1499), "", VLOOKUP(C1499&amp;" "&amp;D1499, 'Info Tipo de Cambio y REM'!$A$24:$B$35, 2, FALSE))</f>
        <v/>
      </c>
      <c r="R1499" s="107" t="str">
        <f t="shared" si="32"/>
        <v/>
      </c>
    </row>
    <row r="1500" hidden="1">
      <c r="A1500" s="443"/>
      <c r="B1500" s="43" t="str">
        <f>IF(A1500="", "", IFERROR(VLOOKUP(A1500, Clasificaciones!A:B, 2, FALSE), "DATO NO CARGADO"))
</f>
        <v/>
      </c>
      <c r="C1500" s="51"/>
      <c r="D1500" s="102"/>
      <c r="E1500" s="102"/>
      <c r="H1500" s="102"/>
      <c r="J1500" s="102"/>
      <c r="K1500" s="450"/>
      <c r="L1500" s="443"/>
      <c r="M1500" s="450"/>
      <c r="N1500" s="452">
        <f t="array" ref="N1500">IFERROR(
  INDEX(
    'Valor Hora Real y Estimada'!$A$4:$Z$78,
    MATCH(TRIM(CLEAN(A1500)), 'Valor Hora Real y Estimada'!$A$4:$A$78, 0),
    MATCH(
      TEXT(C1500,"dd mmm")&amp;" "&amp;D1500,
      'Valor Hora Real y Estimada'!$A$3:$Z$3,
      0
    ) + 1
  ),
  0
)</f>
        <v>0</v>
      </c>
      <c r="O1500" s="453"/>
      <c r="P1500" s="113"/>
      <c r="Q1500" s="106" t="str">
        <f>IF(ISBLANK(O1500), "", VLOOKUP(C1500&amp;" "&amp;D1500, 'Info Tipo de Cambio y REM'!$A$24:$B$35, 2, FALSE))</f>
        <v/>
      </c>
      <c r="R1500" s="107" t="str">
        <f t="shared" si="32"/>
        <v/>
      </c>
    </row>
    <row r="1501" hidden="1">
      <c r="A1501" s="443"/>
      <c r="B1501" s="43" t="str">
        <f>IF(A1501="", "", IFERROR(VLOOKUP(A1501, Clasificaciones!A:B, 2, FALSE), "DATO NO CARGADO"))
</f>
        <v/>
      </c>
      <c r="C1501" s="51"/>
      <c r="D1501" s="102"/>
      <c r="E1501" s="102"/>
      <c r="H1501" s="102"/>
      <c r="J1501" s="102"/>
      <c r="K1501" s="450"/>
      <c r="L1501" s="443"/>
      <c r="M1501" s="450"/>
      <c r="N1501" s="452">
        <f t="array" ref="N1501">IFERROR(
  INDEX(
    'Valor Hora Real y Estimada'!$A$4:$Z$78,
    MATCH(TRIM(CLEAN(A1501)), 'Valor Hora Real y Estimada'!$A$4:$A$78, 0),
    MATCH(
      TEXT(C1501,"dd mmm")&amp;" "&amp;D1501,
      'Valor Hora Real y Estimada'!$A$3:$Z$3,
      0
    ) + 1
  ),
  0
)</f>
        <v>0</v>
      </c>
      <c r="O1501" s="453"/>
      <c r="P1501" s="113"/>
      <c r="Q1501" s="106" t="str">
        <f>IF(ISBLANK(O1501), "", VLOOKUP(C1501&amp;" "&amp;D1501, 'Info Tipo de Cambio y REM'!$A$24:$B$35, 2, FALSE))</f>
        <v/>
      </c>
      <c r="R1501" s="107" t="str">
        <f t="shared" si="32"/>
        <v/>
      </c>
    </row>
    <row r="1502" hidden="1">
      <c r="A1502" s="443"/>
      <c r="B1502" s="43" t="str">
        <f>IF(A1502="", "", IFERROR(VLOOKUP(A1502, Clasificaciones!A:B, 2, FALSE), "DATO NO CARGADO"))
</f>
        <v/>
      </c>
      <c r="C1502" s="51"/>
      <c r="D1502" s="102"/>
      <c r="E1502" s="102"/>
      <c r="H1502" s="102"/>
      <c r="J1502" s="102"/>
      <c r="K1502" s="450"/>
      <c r="L1502" s="443"/>
      <c r="M1502" s="450"/>
      <c r="N1502" s="452">
        <f t="array" ref="N1502">IFERROR(
  INDEX(
    'Valor Hora Real y Estimada'!$A$4:$Z$78,
    MATCH(TRIM(CLEAN(A1502)), 'Valor Hora Real y Estimada'!$A$4:$A$78, 0),
    MATCH(
      TEXT(C1502,"dd mmm")&amp;" "&amp;D1502,
      'Valor Hora Real y Estimada'!$A$3:$Z$3,
      0
    ) + 1
  ),
  0
)</f>
        <v>0</v>
      </c>
      <c r="O1502" s="453"/>
      <c r="P1502" s="113"/>
      <c r="Q1502" s="106" t="str">
        <f>IF(ISBLANK(O1502), "", VLOOKUP(C1502&amp;" "&amp;D1502, 'Info Tipo de Cambio y REM'!$A$24:$B$35, 2, FALSE))</f>
        <v/>
      </c>
      <c r="R1502" s="107" t="str">
        <f t="shared" si="32"/>
        <v/>
      </c>
    </row>
    <row r="1503" hidden="1">
      <c r="A1503" s="443"/>
      <c r="B1503" s="43" t="str">
        <f>IF(A1503="", "", IFERROR(VLOOKUP(A1503, Clasificaciones!A:B, 2, FALSE), "DATO NO CARGADO"))
</f>
        <v/>
      </c>
      <c r="C1503" s="51"/>
      <c r="D1503" s="102"/>
      <c r="E1503" s="102"/>
      <c r="H1503" s="102"/>
      <c r="J1503" s="102"/>
      <c r="K1503" s="450"/>
      <c r="L1503" s="443"/>
      <c r="M1503" s="450"/>
      <c r="N1503" s="452">
        <f t="array" ref="N1503">IFERROR(
  INDEX(
    'Valor Hora Real y Estimada'!$A$4:$Z$78,
    MATCH(TRIM(CLEAN(A1503)), 'Valor Hora Real y Estimada'!$A$4:$A$78, 0),
    MATCH(
      TEXT(C1503,"dd mmm")&amp;" "&amp;D1503,
      'Valor Hora Real y Estimada'!$A$3:$Z$3,
      0
    ) + 1
  ),
  0
)</f>
        <v>0</v>
      </c>
      <c r="O1503" s="453"/>
      <c r="P1503" s="113"/>
      <c r="Q1503" s="106" t="str">
        <f>IF(ISBLANK(O1503), "", VLOOKUP(C1503&amp;" "&amp;D1503, 'Info Tipo de Cambio y REM'!$A$24:$B$35, 2, FALSE))</f>
        <v/>
      </c>
      <c r="R1503" s="107" t="str">
        <f t="shared" si="32"/>
        <v/>
      </c>
    </row>
    <row r="1504" hidden="1">
      <c r="A1504" s="443"/>
      <c r="B1504" s="43" t="str">
        <f>IF(A1504="", "", IFERROR(VLOOKUP(A1504, Clasificaciones!A:B, 2, FALSE), "DATO NO CARGADO"))
</f>
        <v/>
      </c>
      <c r="C1504" s="51"/>
      <c r="D1504" s="102"/>
      <c r="E1504" s="102"/>
      <c r="H1504" s="102"/>
      <c r="J1504" s="102"/>
      <c r="K1504" s="450"/>
      <c r="L1504" s="443"/>
      <c r="M1504" s="450"/>
      <c r="N1504" s="452">
        <f t="array" ref="N1504">IFERROR(
  INDEX(
    'Valor Hora Real y Estimada'!$A$4:$Z$78,
    MATCH(TRIM(CLEAN(A1504)), 'Valor Hora Real y Estimada'!$A$4:$A$78, 0),
    MATCH(
      TEXT(C1504,"dd mmm")&amp;" "&amp;D1504,
      'Valor Hora Real y Estimada'!$A$3:$Z$3,
      0
    ) + 1
  ),
  0
)</f>
        <v>0</v>
      </c>
      <c r="O1504" s="453"/>
      <c r="P1504" s="113"/>
      <c r="Q1504" s="106" t="str">
        <f>IF(ISBLANK(O1504), "", VLOOKUP(C1504&amp;" "&amp;D1504, 'Info Tipo de Cambio y REM'!$A$24:$B$35, 2, FALSE))</f>
        <v/>
      </c>
      <c r="R1504" s="107" t="str">
        <f t="shared" si="32"/>
        <v/>
      </c>
    </row>
    <row r="1505" hidden="1">
      <c r="A1505" s="443"/>
      <c r="B1505" s="43" t="str">
        <f>IF(A1505="", "", IFERROR(VLOOKUP(A1505, Clasificaciones!A:B, 2, FALSE), "DATO NO CARGADO"))
</f>
        <v/>
      </c>
      <c r="C1505" s="51"/>
      <c r="D1505" s="102"/>
      <c r="E1505" s="102"/>
      <c r="H1505" s="102"/>
      <c r="J1505" s="102"/>
      <c r="K1505" s="450"/>
      <c r="L1505" s="443"/>
      <c r="M1505" s="450"/>
      <c r="N1505" s="452">
        <f t="array" ref="N1505">IFERROR(
  INDEX(
    'Valor Hora Real y Estimada'!$A$4:$Z$78,
    MATCH(TRIM(CLEAN(A1505)), 'Valor Hora Real y Estimada'!$A$4:$A$78, 0),
    MATCH(
      TEXT(C1505,"dd mmm")&amp;" "&amp;D1505,
      'Valor Hora Real y Estimada'!$A$3:$Z$3,
      0
    ) + 1
  ),
  0
)</f>
        <v>0</v>
      </c>
      <c r="O1505" s="453"/>
      <c r="P1505" s="113"/>
      <c r="Q1505" s="106" t="str">
        <f>IF(ISBLANK(O1505), "", VLOOKUP(C1505&amp;" "&amp;D1505, 'Info Tipo de Cambio y REM'!$A$24:$B$35, 2, FALSE))</f>
        <v/>
      </c>
      <c r="R1505" s="107" t="str">
        <f t="shared" si="32"/>
        <v/>
      </c>
    </row>
    <row r="1506" hidden="1">
      <c r="A1506" s="443"/>
      <c r="B1506" s="43" t="str">
        <f>IF(A1506="", "", IFERROR(VLOOKUP(A1506, Clasificaciones!A:B, 2, FALSE), "DATO NO CARGADO"))
</f>
        <v/>
      </c>
      <c r="C1506" s="51"/>
      <c r="D1506" s="102"/>
      <c r="E1506" s="102"/>
      <c r="H1506" s="102"/>
      <c r="J1506" s="102"/>
      <c r="K1506" s="450"/>
      <c r="L1506" s="443"/>
      <c r="M1506" s="450"/>
      <c r="N1506" s="452">
        <f t="array" ref="N1506">IFERROR(
  INDEX(
    'Valor Hora Real y Estimada'!$A$4:$Z$78,
    MATCH(TRIM(CLEAN(A1506)), 'Valor Hora Real y Estimada'!$A$4:$A$78, 0),
    MATCH(
      TEXT(C1506,"dd mmm")&amp;" "&amp;D1506,
      'Valor Hora Real y Estimada'!$A$3:$Z$3,
      0
    ) + 1
  ),
  0
)</f>
        <v>0</v>
      </c>
      <c r="O1506" s="453"/>
      <c r="P1506" s="113"/>
      <c r="Q1506" s="106" t="str">
        <f>IF(ISBLANK(O1506), "", VLOOKUP(C1506&amp;" "&amp;D1506, 'Info Tipo de Cambio y REM'!$A$24:$B$35, 2, FALSE))</f>
        <v/>
      </c>
      <c r="R1506" s="107" t="str">
        <f t="shared" si="32"/>
        <v/>
      </c>
    </row>
    <row r="1507" hidden="1">
      <c r="A1507" s="443"/>
      <c r="B1507" s="43" t="str">
        <f>IF(A1507="", "", IFERROR(VLOOKUP(A1507, Clasificaciones!A:B, 2, FALSE), "DATO NO CARGADO"))
</f>
        <v/>
      </c>
      <c r="C1507" s="51"/>
      <c r="D1507" s="102"/>
      <c r="E1507" s="102"/>
      <c r="H1507" s="102"/>
      <c r="J1507" s="102"/>
      <c r="K1507" s="450"/>
      <c r="L1507" s="443"/>
      <c r="M1507" s="450"/>
      <c r="N1507" s="452">
        <f t="array" ref="N1507">IFERROR(
  INDEX(
    'Valor Hora Real y Estimada'!$A$4:$Z$78,
    MATCH(TRIM(CLEAN(A1507)), 'Valor Hora Real y Estimada'!$A$4:$A$78, 0),
    MATCH(
      TEXT(C1507,"dd mmm")&amp;" "&amp;D1507,
      'Valor Hora Real y Estimada'!$A$3:$Z$3,
      0
    ) + 1
  ),
  0
)</f>
        <v>0</v>
      </c>
      <c r="O1507" s="453"/>
      <c r="P1507" s="113"/>
      <c r="Q1507" s="106" t="str">
        <f>IF(ISBLANK(O1507), "", VLOOKUP(C1507&amp;" "&amp;D1507, 'Info Tipo de Cambio y REM'!$A$24:$B$35, 2, FALSE))</f>
        <v/>
      </c>
      <c r="R1507" s="107" t="str">
        <f t="shared" si="32"/>
        <v/>
      </c>
    </row>
    <row r="1508" hidden="1">
      <c r="A1508" s="443"/>
      <c r="B1508" s="43" t="str">
        <f>IF(A1508="", "", IFERROR(VLOOKUP(A1508, Clasificaciones!A:B, 2, FALSE), "DATO NO CARGADO"))
</f>
        <v/>
      </c>
      <c r="C1508" s="51"/>
      <c r="D1508" s="102"/>
      <c r="E1508" s="102"/>
      <c r="H1508" s="102"/>
      <c r="J1508" s="102"/>
      <c r="K1508" s="450"/>
      <c r="L1508" s="443"/>
      <c r="M1508" s="450"/>
      <c r="N1508" s="452">
        <f t="array" ref="N1508">IFERROR(
  INDEX(
    'Valor Hora Real y Estimada'!$A$4:$Z$78,
    MATCH(TRIM(CLEAN(A1508)), 'Valor Hora Real y Estimada'!$A$4:$A$78, 0),
    MATCH(
      TEXT(C1508,"dd mmm")&amp;" "&amp;D1508,
      'Valor Hora Real y Estimada'!$A$3:$Z$3,
      0
    ) + 1
  ),
  0
)</f>
        <v>0</v>
      </c>
      <c r="O1508" s="453"/>
      <c r="P1508" s="113"/>
      <c r="Q1508" s="106" t="str">
        <f>IF(ISBLANK(O1508), "", VLOOKUP(C1508&amp;" "&amp;D1508, 'Info Tipo de Cambio y REM'!$A$24:$B$35, 2, FALSE))</f>
        <v/>
      </c>
      <c r="R1508" s="107" t="str">
        <f t="shared" si="32"/>
        <v/>
      </c>
    </row>
    <row r="1509" hidden="1">
      <c r="A1509" s="443"/>
      <c r="B1509" s="43" t="str">
        <f>IF(A1509="", "", IFERROR(VLOOKUP(A1509, Clasificaciones!A:B, 2, FALSE), "DATO NO CARGADO"))
</f>
        <v/>
      </c>
      <c r="C1509" s="51"/>
      <c r="D1509" s="102"/>
      <c r="E1509" s="102"/>
      <c r="H1509" s="102"/>
      <c r="J1509" s="102"/>
      <c r="K1509" s="450"/>
      <c r="L1509" s="443"/>
      <c r="M1509" s="450"/>
      <c r="N1509" s="452">
        <f t="array" ref="N1509">IFERROR(
  INDEX(
    'Valor Hora Real y Estimada'!$A$4:$Z$78,
    MATCH(TRIM(CLEAN(A1509)), 'Valor Hora Real y Estimada'!$A$4:$A$78, 0),
    MATCH(
      TEXT(C1509,"dd mmm")&amp;" "&amp;D1509,
      'Valor Hora Real y Estimada'!$A$3:$Z$3,
      0
    ) + 1
  ),
  0
)</f>
        <v>0</v>
      </c>
      <c r="O1509" s="453"/>
      <c r="P1509" s="113"/>
      <c r="Q1509" s="106" t="str">
        <f>IF(ISBLANK(O1509), "", VLOOKUP(C1509&amp;" "&amp;D1509, 'Info Tipo de Cambio y REM'!$A$24:$B$35, 2, FALSE))</f>
        <v/>
      </c>
      <c r="R1509" s="107" t="str">
        <f t="shared" si="32"/>
        <v/>
      </c>
    </row>
    <row r="1510" hidden="1">
      <c r="A1510" s="443"/>
      <c r="B1510" s="43" t="str">
        <f>IF(A1510="", "", IFERROR(VLOOKUP(A1510, Clasificaciones!A:B, 2, FALSE), "DATO NO CARGADO"))
</f>
        <v/>
      </c>
      <c r="C1510" s="51"/>
      <c r="D1510" s="102"/>
      <c r="E1510" s="102"/>
      <c r="H1510" s="102"/>
      <c r="J1510" s="102"/>
      <c r="K1510" s="450"/>
      <c r="L1510" s="443"/>
      <c r="M1510" s="450"/>
      <c r="N1510" s="452">
        <f t="array" ref="N1510">IFERROR(
  INDEX(
    'Valor Hora Real y Estimada'!$A$4:$Z$78,
    MATCH(TRIM(CLEAN(A1510)), 'Valor Hora Real y Estimada'!$A$4:$A$78, 0),
    MATCH(
      TEXT(C1510,"dd mmm")&amp;" "&amp;D1510,
      'Valor Hora Real y Estimada'!$A$3:$Z$3,
      0
    ) + 1
  ),
  0
)</f>
        <v>0</v>
      </c>
      <c r="O1510" s="453"/>
      <c r="P1510" s="113"/>
      <c r="Q1510" s="106" t="str">
        <f>IF(ISBLANK(O1510), "", VLOOKUP(C1510&amp;" "&amp;D1510, 'Info Tipo de Cambio y REM'!$A$24:$B$35, 2, FALSE))</f>
        <v/>
      </c>
      <c r="R1510" s="107" t="str">
        <f t="shared" si="32"/>
        <v/>
      </c>
    </row>
    <row r="1511" hidden="1">
      <c r="A1511" s="443"/>
      <c r="B1511" s="43" t="str">
        <f>IF(A1511="", "", IFERROR(VLOOKUP(A1511, Clasificaciones!A:B, 2, FALSE), "DATO NO CARGADO"))
</f>
        <v/>
      </c>
      <c r="C1511" s="51"/>
      <c r="D1511" s="102"/>
      <c r="E1511" s="102"/>
      <c r="H1511" s="102"/>
      <c r="J1511" s="102"/>
      <c r="K1511" s="450"/>
      <c r="L1511" s="443"/>
      <c r="M1511" s="450"/>
      <c r="N1511" s="452">
        <f t="array" ref="N1511">IFERROR(
  INDEX(
    'Valor Hora Real y Estimada'!$A$4:$Z$78,
    MATCH(TRIM(CLEAN(A1511)), 'Valor Hora Real y Estimada'!$A$4:$A$78, 0),
    MATCH(
      TEXT(C1511,"dd mmm")&amp;" "&amp;D1511,
      'Valor Hora Real y Estimada'!$A$3:$Z$3,
      0
    ) + 1
  ),
  0
)</f>
        <v>0</v>
      </c>
      <c r="O1511" s="453"/>
      <c r="P1511" s="113"/>
      <c r="Q1511" s="106" t="str">
        <f>IF(ISBLANK(O1511), "", VLOOKUP(C1511&amp;" "&amp;D1511, 'Info Tipo de Cambio y REM'!$A$24:$B$35, 2, FALSE))</f>
        <v/>
      </c>
      <c r="R1511" s="107" t="str">
        <f t="shared" si="32"/>
        <v/>
      </c>
    </row>
    <row r="1512" hidden="1">
      <c r="A1512" s="443"/>
      <c r="B1512" s="43" t="str">
        <f>IF(A1512="", "", IFERROR(VLOOKUP(A1512, Clasificaciones!A:B, 2, FALSE), "DATO NO CARGADO"))
</f>
        <v/>
      </c>
      <c r="C1512" s="51"/>
      <c r="D1512" s="102"/>
      <c r="E1512" s="102"/>
      <c r="H1512" s="102"/>
      <c r="J1512" s="102"/>
      <c r="K1512" s="450"/>
      <c r="L1512" s="443"/>
      <c r="M1512" s="450"/>
      <c r="N1512" s="452">
        <f t="array" ref="N1512">IFERROR(
  INDEX(
    'Valor Hora Real y Estimada'!$A$4:$Z$78,
    MATCH(TRIM(CLEAN(A1512)), 'Valor Hora Real y Estimada'!$A$4:$A$78, 0),
    MATCH(
      TEXT(C1512,"dd mmm")&amp;" "&amp;D1512,
      'Valor Hora Real y Estimada'!$A$3:$Z$3,
      0
    ) + 1
  ),
  0
)</f>
        <v>0</v>
      </c>
      <c r="O1512" s="453"/>
      <c r="P1512" s="113"/>
      <c r="Q1512" s="106" t="str">
        <f>IF(ISBLANK(O1512), "", VLOOKUP(C1512&amp;" "&amp;D1512, 'Info Tipo de Cambio y REM'!$A$24:$B$35, 2, FALSE))</f>
        <v/>
      </c>
      <c r="R1512" s="107" t="str">
        <f t="shared" si="32"/>
        <v/>
      </c>
    </row>
    <row r="1513" hidden="1">
      <c r="A1513" s="443"/>
      <c r="B1513" s="43" t="str">
        <f>IF(A1513="", "", IFERROR(VLOOKUP(A1513, Clasificaciones!A:B, 2, FALSE), "DATO NO CARGADO"))
</f>
        <v/>
      </c>
      <c r="C1513" s="51"/>
      <c r="D1513" s="102"/>
      <c r="E1513" s="102"/>
      <c r="H1513" s="102"/>
      <c r="J1513" s="102"/>
      <c r="K1513" s="450"/>
      <c r="L1513" s="443"/>
      <c r="M1513" s="450"/>
      <c r="N1513" s="452">
        <f t="array" ref="N1513">IFERROR(
  INDEX(
    'Valor Hora Real y Estimada'!$A$4:$Z$78,
    MATCH(TRIM(CLEAN(A1513)), 'Valor Hora Real y Estimada'!$A$4:$A$78, 0),
    MATCH(
      TEXT(C1513,"dd mmm")&amp;" "&amp;D1513,
      'Valor Hora Real y Estimada'!$A$3:$Z$3,
      0
    ) + 1
  ),
  0
)</f>
        <v>0</v>
      </c>
      <c r="O1513" s="453"/>
      <c r="P1513" s="113"/>
      <c r="Q1513" s="106" t="str">
        <f>IF(ISBLANK(O1513), "", VLOOKUP(C1513&amp;" "&amp;D1513, 'Info Tipo de Cambio y REM'!$A$24:$B$35, 2, FALSE))</f>
        <v/>
      </c>
      <c r="R1513" s="107" t="str">
        <f t="shared" si="32"/>
        <v/>
      </c>
    </row>
    <row r="1514" hidden="1">
      <c r="A1514" s="443"/>
      <c r="B1514" s="43" t="str">
        <f>IF(A1514="", "", IFERROR(VLOOKUP(A1514, Clasificaciones!A:B, 2, FALSE), "DATO NO CARGADO"))
</f>
        <v/>
      </c>
      <c r="C1514" s="51"/>
      <c r="D1514" s="102"/>
      <c r="E1514" s="102"/>
      <c r="H1514" s="102"/>
      <c r="J1514" s="102"/>
      <c r="K1514" s="450"/>
      <c r="L1514" s="443"/>
      <c r="M1514" s="450"/>
      <c r="N1514" s="452">
        <f t="array" ref="N1514">IFERROR(
  INDEX(
    'Valor Hora Real y Estimada'!$A$4:$Z$78,
    MATCH(TRIM(CLEAN(A1514)), 'Valor Hora Real y Estimada'!$A$4:$A$78, 0),
    MATCH(
      TEXT(C1514,"dd mmm")&amp;" "&amp;D1514,
      'Valor Hora Real y Estimada'!$A$3:$Z$3,
      0
    ) + 1
  ),
  0
)</f>
        <v>0</v>
      </c>
      <c r="O1514" s="453"/>
      <c r="P1514" s="113"/>
      <c r="Q1514" s="106" t="str">
        <f>IF(ISBLANK(O1514), "", VLOOKUP(C1514&amp;" "&amp;D1514, 'Info Tipo de Cambio y REM'!$A$24:$B$35, 2, FALSE))</f>
        <v/>
      </c>
      <c r="R1514" s="107" t="str">
        <f t="shared" si="32"/>
        <v/>
      </c>
    </row>
    <row r="1515" hidden="1">
      <c r="A1515" s="443"/>
      <c r="B1515" s="43" t="str">
        <f>IF(A1515="", "", IFERROR(VLOOKUP(A1515, Clasificaciones!A:B, 2, FALSE), "DATO NO CARGADO"))
</f>
        <v/>
      </c>
      <c r="C1515" s="51"/>
      <c r="D1515" s="102"/>
      <c r="E1515" s="102"/>
      <c r="H1515" s="102"/>
      <c r="J1515" s="102"/>
      <c r="K1515" s="450"/>
      <c r="L1515" s="443"/>
      <c r="M1515" s="450"/>
      <c r="N1515" s="452">
        <f t="array" ref="N1515">IFERROR(
  INDEX(
    'Valor Hora Real y Estimada'!$A$4:$Z$78,
    MATCH(TRIM(CLEAN(A1515)), 'Valor Hora Real y Estimada'!$A$4:$A$78, 0),
    MATCH(
      TEXT(C1515,"dd mmm")&amp;" "&amp;D1515,
      'Valor Hora Real y Estimada'!$A$3:$Z$3,
      0
    ) + 1
  ),
  0
)</f>
        <v>0</v>
      </c>
      <c r="O1515" s="453"/>
      <c r="P1515" s="113"/>
      <c r="Q1515" s="106" t="str">
        <f>IF(ISBLANK(O1515), "", VLOOKUP(C1515&amp;" "&amp;D1515, 'Info Tipo de Cambio y REM'!$A$24:$B$35, 2, FALSE))</f>
        <v/>
      </c>
      <c r="R1515" s="107" t="str">
        <f t="shared" si="32"/>
        <v/>
      </c>
    </row>
    <row r="1516" hidden="1">
      <c r="A1516" s="443"/>
      <c r="B1516" s="43" t="str">
        <f>IF(A1516="", "", IFERROR(VLOOKUP(A1516, Clasificaciones!A:B, 2, FALSE), "DATO NO CARGADO"))
</f>
        <v/>
      </c>
      <c r="C1516" s="51"/>
      <c r="D1516" s="102"/>
      <c r="E1516" s="102"/>
      <c r="H1516" s="102"/>
      <c r="J1516" s="102"/>
      <c r="K1516" s="450"/>
      <c r="L1516" s="443"/>
      <c r="M1516" s="450"/>
      <c r="N1516" s="452">
        <f t="array" ref="N1516">IFERROR(
  INDEX(
    'Valor Hora Real y Estimada'!$A$4:$Z$78,
    MATCH(TRIM(CLEAN(A1516)), 'Valor Hora Real y Estimada'!$A$4:$A$78, 0),
    MATCH(
      TEXT(C1516,"dd mmm")&amp;" "&amp;D1516,
      'Valor Hora Real y Estimada'!$A$3:$Z$3,
      0
    ) + 1
  ),
  0
)</f>
        <v>0</v>
      </c>
      <c r="O1516" s="453"/>
      <c r="P1516" s="113"/>
      <c r="Q1516" s="106" t="str">
        <f>IF(ISBLANK(O1516), "", VLOOKUP(C1516&amp;" "&amp;D1516, 'Info Tipo de Cambio y REM'!$A$24:$B$35, 2, FALSE))</f>
        <v/>
      </c>
      <c r="R1516" s="107" t="str">
        <f t="shared" si="32"/>
        <v/>
      </c>
    </row>
    <row r="1517" hidden="1">
      <c r="A1517" s="443"/>
      <c r="B1517" s="43" t="str">
        <f>IF(A1517="", "", IFERROR(VLOOKUP(A1517, Clasificaciones!A:B, 2, FALSE), "DATO NO CARGADO"))
</f>
        <v/>
      </c>
      <c r="C1517" s="51"/>
      <c r="D1517" s="102"/>
      <c r="E1517" s="102"/>
      <c r="H1517" s="102"/>
      <c r="J1517" s="102"/>
      <c r="K1517" s="450"/>
      <c r="L1517" s="443"/>
      <c r="M1517" s="450"/>
      <c r="N1517" s="452">
        <f t="array" ref="N1517">IFERROR(
  INDEX(
    'Valor Hora Real y Estimada'!$A$4:$Z$78,
    MATCH(TRIM(CLEAN(A1517)), 'Valor Hora Real y Estimada'!$A$4:$A$78, 0),
    MATCH(
      TEXT(C1517,"dd mmm")&amp;" "&amp;D1517,
      'Valor Hora Real y Estimada'!$A$3:$Z$3,
      0
    ) + 1
  ),
  0
)</f>
        <v>0</v>
      </c>
      <c r="O1517" s="453"/>
      <c r="P1517" s="113"/>
      <c r="Q1517" s="106" t="str">
        <f>IF(ISBLANK(O1517), "", VLOOKUP(C1517&amp;" "&amp;D1517, 'Info Tipo de Cambio y REM'!$A$24:$B$35, 2, FALSE))</f>
        <v/>
      </c>
      <c r="R1517" s="107" t="str">
        <f t="shared" si="32"/>
        <v/>
      </c>
    </row>
    <row r="1518" hidden="1">
      <c r="A1518" s="443"/>
      <c r="B1518" s="43" t="str">
        <f>IF(A1518="", "", IFERROR(VLOOKUP(A1518, Clasificaciones!A:B, 2, FALSE), "DATO NO CARGADO"))
</f>
        <v/>
      </c>
      <c r="C1518" s="51"/>
      <c r="D1518" s="102"/>
      <c r="E1518" s="102"/>
      <c r="H1518" s="102"/>
      <c r="J1518" s="102"/>
      <c r="K1518" s="450"/>
      <c r="L1518" s="443"/>
      <c r="M1518" s="450"/>
      <c r="N1518" s="452">
        <f t="array" ref="N1518">IFERROR(
  INDEX(
    'Valor Hora Real y Estimada'!$A$4:$Z$78,
    MATCH(TRIM(CLEAN(A1518)), 'Valor Hora Real y Estimada'!$A$4:$A$78, 0),
    MATCH(
      TEXT(C1518,"dd mmm")&amp;" "&amp;D1518,
      'Valor Hora Real y Estimada'!$A$3:$Z$3,
      0
    ) + 1
  ),
  0
)</f>
        <v>0</v>
      </c>
      <c r="O1518" s="453"/>
      <c r="P1518" s="113"/>
      <c r="Q1518" s="106" t="str">
        <f>IF(ISBLANK(O1518), "", VLOOKUP(C1518&amp;" "&amp;D1518, 'Info Tipo de Cambio y REM'!$A$24:$B$35, 2, FALSE))</f>
        <v/>
      </c>
      <c r="R1518" s="107" t="str">
        <f t="shared" si="32"/>
        <v/>
      </c>
    </row>
    <row r="1519" hidden="1">
      <c r="A1519" s="443"/>
      <c r="B1519" s="43" t="str">
        <f>IF(A1519="", "", IFERROR(VLOOKUP(A1519, Clasificaciones!A:B, 2, FALSE), "DATO NO CARGADO"))
</f>
        <v/>
      </c>
      <c r="C1519" s="51"/>
      <c r="D1519" s="102"/>
      <c r="E1519" s="102"/>
      <c r="H1519" s="102"/>
      <c r="J1519" s="102"/>
      <c r="K1519" s="450"/>
      <c r="L1519" s="443"/>
      <c r="M1519" s="450"/>
      <c r="N1519" s="452">
        <f t="array" ref="N1519">IFERROR(
  INDEX(
    'Valor Hora Real y Estimada'!$A$4:$Z$78,
    MATCH(TRIM(CLEAN(A1519)), 'Valor Hora Real y Estimada'!$A$4:$A$78, 0),
    MATCH(
      TEXT(C1519,"dd mmm")&amp;" "&amp;D1519,
      'Valor Hora Real y Estimada'!$A$3:$Z$3,
      0
    ) + 1
  ),
  0
)</f>
        <v>0</v>
      </c>
      <c r="O1519" s="453"/>
      <c r="P1519" s="113"/>
      <c r="Q1519" s="106" t="str">
        <f>IF(ISBLANK(O1519), "", VLOOKUP(C1519&amp;" "&amp;D1519, 'Info Tipo de Cambio y REM'!$A$24:$B$35, 2, FALSE))</f>
        <v/>
      </c>
      <c r="R1519" s="107" t="str">
        <f t="shared" si="32"/>
        <v/>
      </c>
    </row>
    <row r="1520" hidden="1">
      <c r="A1520" s="443"/>
      <c r="B1520" s="43" t="str">
        <f>IF(A1520="", "", IFERROR(VLOOKUP(A1520, Clasificaciones!A:B, 2, FALSE), "DATO NO CARGADO"))
</f>
        <v/>
      </c>
      <c r="C1520" s="51"/>
      <c r="D1520" s="102"/>
      <c r="E1520" s="102"/>
      <c r="H1520" s="102"/>
      <c r="J1520" s="102"/>
      <c r="K1520" s="450"/>
      <c r="L1520" s="443"/>
      <c r="M1520" s="450"/>
      <c r="N1520" s="452">
        <f t="array" ref="N1520">IFERROR(
  INDEX(
    'Valor Hora Real y Estimada'!$A$4:$Z$78,
    MATCH(TRIM(CLEAN(A1520)), 'Valor Hora Real y Estimada'!$A$4:$A$78, 0),
    MATCH(
      TEXT(C1520,"dd mmm")&amp;" "&amp;D1520,
      'Valor Hora Real y Estimada'!$A$3:$Z$3,
      0
    ) + 1
  ),
  0
)</f>
        <v>0</v>
      </c>
      <c r="O1520" s="453"/>
      <c r="P1520" s="113"/>
      <c r="Q1520" s="106" t="str">
        <f>IF(ISBLANK(O1520), "", VLOOKUP(C1520&amp;" "&amp;D1520, 'Info Tipo de Cambio y REM'!$A$24:$B$35, 2, FALSE))</f>
        <v/>
      </c>
      <c r="R1520" s="107" t="str">
        <f t="shared" si="32"/>
        <v/>
      </c>
    </row>
    <row r="1521" hidden="1">
      <c r="A1521" s="443"/>
      <c r="B1521" s="43" t="str">
        <f>IF(A1521="", "", IFERROR(VLOOKUP(A1521, Clasificaciones!A:B, 2, FALSE), "DATO NO CARGADO"))
</f>
        <v/>
      </c>
      <c r="C1521" s="51"/>
      <c r="D1521" s="102"/>
      <c r="E1521" s="102"/>
      <c r="H1521" s="102"/>
      <c r="J1521" s="102"/>
      <c r="K1521" s="450"/>
      <c r="L1521" s="443"/>
      <c r="M1521" s="450"/>
      <c r="N1521" s="452">
        <f t="array" ref="N1521">IFERROR(
  INDEX(
    'Valor Hora Real y Estimada'!$A$4:$Z$78,
    MATCH(TRIM(CLEAN(A1521)), 'Valor Hora Real y Estimada'!$A$4:$A$78, 0),
    MATCH(
      TEXT(C1521,"dd mmm")&amp;" "&amp;D1521,
      'Valor Hora Real y Estimada'!$A$3:$Z$3,
      0
    ) + 1
  ),
  0
)</f>
        <v>0</v>
      </c>
      <c r="O1521" s="453"/>
      <c r="P1521" s="113"/>
      <c r="Q1521" s="106" t="str">
        <f>IF(ISBLANK(O1521), "", VLOOKUP(C1521&amp;" "&amp;D1521, 'Info Tipo de Cambio y REM'!$A$24:$B$35, 2, FALSE))</f>
        <v/>
      </c>
      <c r="R1521" s="107" t="str">
        <f t="shared" si="32"/>
        <v/>
      </c>
    </row>
    <row r="1522" hidden="1">
      <c r="A1522" s="443"/>
      <c r="B1522" s="43" t="str">
        <f>IF(A1522="", "", IFERROR(VLOOKUP(A1522, Clasificaciones!A:B, 2, FALSE), "DATO NO CARGADO"))
</f>
        <v/>
      </c>
      <c r="C1522" s="51"/>
      <c r="D1522" s="102"/>
      <c r="E1522" s="102"/>
      <c r="H1522" s="102"/>
      <c r="J1522" s="102"/>
      <c r="K1522" s="450"/>
      <c r="L1522" s="443"/>
      <c r="M1522" s="450"/>
      <c r="N1522" s="452">
        <f t="array" ref="N1522">IFERROR(
  INDEX(
    'Valor Hora Real y Estimada'!$A$4:$Z$78,
    MATCH(TRIM(CLEAN(A1522)), 'Valor Hora Real y Estimada'!$A$4:$A$78, 0),
    MATCH(
      TEXT(C1522,"dd mmm")&amp;" "&amp;D1522,
      'Valor Hora Real y Estimada'!$A$3:$Z$3,
      0
    ) + 1
  ),
  0
)</f>
        <v>0</v>
      </c>
      <c r="O1522" s="453"/>
      <c r="P1522" s="113"/>
      <c r="Q1522" s="106" t="str">
        <f>IF(ISBLANK(O1522), "", VLOOKUP(C1522&amp;" "&amp;D1522, 'Info Tipo de Cambio y REM'!$A$24:$B$35, 2, FALSE))</f>
        <v/>
      </c>
      <c r="R1522" s="107" t="str">
        <f t="shared" si="32"/>
        <v/>
      </c>
    </row>
    <row r="1523" hidden="1">
      <c r="A1523" s="443"/>
      <c r="B1523" s="43" t="str">
        <f>IF(A1523="", "", IFERROR(VLOOKUP(A1523, Clasificaciones!A:B, 2, FALSE), "DATO NO CARGADO"))
</f>
        <v/>
      </c>
      <c r="C1523" s="51"/>
      <c r="D1523" s="102"/>
      <c r="E1523" s="102"/>
      <c r="H1523" s="102"/>
      <c r="J1523" s="102"/>
      <c r="K1523" s="450"/>
      <c r="L1523" s="443"/>
      <c r="M1523" s="450"/>
      <c r="N1523" s="452">
        <f t="array" ref="N1523">IFERROR(
  INDEX(
    'Valor Hora Real y Estimada'!$A$4:$Z$78,
    MATCH(TRIM(CLEAN(A1523)), 'Valor Hora Real y Estimada'!$A$4:$A$78, 0),
    MATCH(
      TEXT(C1523,"dd mmm")&amp;" "&amp;D1523,
      'Valor Hora Real y Estimada'!$A$3:$Z$3,
      0
    ) + 1
  ),
  0
)</f>
        <v>0</v>
      </c>
      <c r="O1523" s="453"/>
      <c r="P1523" s="113"/>
      <c r="Q1523" s="106" t="str">
        <f>IF(ISBLANK(O1523), "", VLOOKUP(C1523&amp;" "&amp;D1523, 'Info Tipo de Cambio y REM'!$A$24:$B$35, 2, FALSE))</f>
        <v/>
      </c>
      <c r="R1523" s="107" t="str">
        <f t="shared" si="32"/>
        <v/>
      </c>
    </row>
    <row r="1524" hidden="1">
      <c r="A1524" s="443"/>
      <c r="B1524" s="43" t="str">
        <f>IF(A1524="", "", IFERROR(VLOOKUP(A1524, Clasificaciones!A:B, 2, FALSE), "DATO NO CARGADO"))
</f>
        <v/>
      </c>
      <c r="C1524" s="51"/>
      <c r="D1524" s="102"/>
      <c r="E1524" s="102"/>
      <c r="H1524" s="102"/>
      <c r="J1524" s="102"/>
      <c r="K1524" s="450"/>
      <c r="L1524" s="443"/>
      <c r="M1524" s="450"/>
      <c r="N1524" s="452">
        <f t="array" ref="N1524">IFERROR(
  INDEX(
    'Valor Hora Real y Estimada'!$A$4:$Z$78,
    MATCH(TRIM(CLEAN(A1524)), 'Valor Hora Real y Estimada'!$A$4:$A$78, 0),
    MATCH(
      TEXT(C1524,"dd mmm")&amp;" "&amp;D1524,
      'Valor Hora Real y Estimada'!$A$3:$Z$3,
      0
    ) + 1
  ),
  0
)</f>
        <v>0</v>
      </c>
      <c r="O1524" s="453"/>
      <c r="P1524" s="113"/>
      <c r="Q1524" s="106" t="str">
        <f>IF(ISBLANK(O1524), "", VLOOKUP(C1524&amp;" "&amp;D1524, 'Info Tipo de Cambio y REM'!$A$24:$B$35, 2, FALSE))</f>
        <v/>
      </c>
      <c r="R1524" s="107" t="str">
        <f t="shared" si="32"/>
        <v/>
      </c>
    </row>
    <row r="1525" hidden="1">
      <c r="A1525" s="443"/>
      <c r="B1525" s="43" t="str">
        <f>IF(A1525="", "", IFERROR(VLOOKUP(A1525, Clasificaciones!A:B, 2, FALSE), "DATO NO CARGADO"))
</f>
        <v/>
      </c>
      <c r="C1525" s="51"/>
      <c r="D1525" s="102"/>
      <c r="E1525" s="102"/>
      <c r="H1525" s="102"/>
      <c r="J1525" s="102"/>
      <c r="K1525" s="450"/>
      <c r="L1525" s="443"/>
      <c r="M1525" s="450"/>
      <c r="N1525" s="452">
        <f t="array" ref="N1525">IFERROR(
  INDEX(
    'Valor Hora Real y Estimada'!$A$4:$Z$78,
    MATCH(TRIM(CLEAN(A1525)), 'Valor Hora Real y Estimada'!$A$4:$A$78, 0),
    MATCH(
      TEXT(C1525,"dd mmm")&amp;" "&amp;D1525,
      'Valor Hora Real y Estimada'!$A$3:$Z$3,
      0
    ) + 1
  ),
  0
)</f>
        <v>0</v>
      </c>
      <c r="O1525" s="453"/>
      <c r="P1525" s="113"/>
      <c r="Q1525" s="106" t="str">
        <f>IF(ISBLANK(O1525), "", VLOOKUP(C1525&amp;" "&amp;D1525, 'Info Tipo de Cambio y REM'!$A$24:$B$35, 2, FALSE))</f>
        <v/>
      </c>
      <c r="R1525" s="107" t="str">
        <f t="shared" si="32"/>
        <v/>
      </c>
    </row>
    <row r="1526" hidden="1">
      <c r="A1526" s="443"/>
      <c r="B1526" s="43" t="str">
        <f>IF(A1526="", "", IFERROR(VLOOKUP(A1526, Clasificaciones!A:B, 2, FALSE), "DATO NO CARGADO"))
</f>
        <v/>
      </c>
      <c r="C1526" s="51"/>
      <c r="D1526" s="102"/>
      <c r="E1526" s="102"/>
      <c r="H1526" s="102"/>
      <c r="J1526" s="102"/>
      <c r="K1526" s="450"/>
      <c r="L1526" s="443"/>
      <c r="M1526" s="450"/>
      <c r="N1526" s="452">
        <f t="array" ref="N1526">IFERROR(
  INDEX(
    'Valor Hora Real y Estimada'!$A$4:$Z$78,
    MATCH(TRIM(CLEAN(A1526)), 'Valor Hora Real y Estimada'!$A$4:$A$78, 0),
    MATCH(
      TEXT(C1526,"dd mmm")&amp;" "&amp;D1526,
      'Valor Hora Real y Estimada'!$A$3:$Z$3,
      0
    ) + 1
  ),
  0
)</f>
        <v>0</v>
      </c>
      <c r="O1526" s="453"/>
      <c r="P1526" s="113"/>
      <c r="Q1526" s="106" t="str">
        <f>IF(ISBLANK(O1526), "", VLOOKUP(C1526&amp;" "&amp;D1526, 'Info Tipo de Cambio y REM'!$A$24:$B$35, 2, FALSE))</f>
        <v/>
      </c>
      <c r="R1526" s="107" t="str">
        <f t="shared" si="32"/>
        <v/>
      </c>
    </row>
    <row r="1527" hidden="1">
      <c r="A1527" s="443"/>
      <c r="B1527" s="43" t="str">
        <f>IF(A1527="", "", IFERROR(VLOOKUP(A1527, Clasificaciones!A:B, 2, FALSE), "DATO NO CARGADO"))
</f>
        <v/>
      </c>
      <c r="C1527" s="51"/>
      <c r="D1527" s="102"/>
      <c r="E1527" s="102"/>
      <c r="H1527" s="102"/>
      <c r="J1527" s="102"/>
      <c r="K1527" s="450"/>
      <c r="L1527" s="443"/>
      <c r="M1527" s="450"/>
      <c r="N1527" s="452">
        <f t="array" ref="N1527">IFERROR(
  INDEX(
    'Valor Hora Real y Estimada'!$A$4:$Z$78,
    MATCH(TRIM(CLEAN(A1527)), 'Valor Hora Real y Estimada'!$A$4:$A$78, 0),
    MATCH(
      TEXT(C1527,"dd mmm")&amp;" "&amp;D1527,
      'Valor Hora Real y Estimada'!$A$3:$Z$3,
      0
    ) + 1
  ),
  0
)</f>
        <v>0</v>
      </c>
      <c r="O1527" s="453"/>
      <c r="P1527" s="113"/>
      <c r="Q1527" s="106" t="str">
        <f>IF(ISBLANK(O1527), "", VLOOKUP(C1527&amp;" "&amp;D1527, 'Info Tipo de Cambio y REM'!$A$24:$B$35, 2, FALSE))</f>
        <v/>
      </c>
      <c r="R1527" s="107" t="str">
        <f t="shared" si="32"/>
        <v/>
      </c>
    </row>
    <row r="1528" hidden="1">
      <c r="A1528" s="443"/>
      <c r="B1528" s="43" t="str">
        <f>IF(A1528="", "", IFERROR(VLOOKUP(A1528, Clasificaciones!A:B, 2, FALSE), "DATO NO CARGADO"))
</f>
        <v/>
      </c>
      <c r="C1528" s="51"/>
      <c r="D1528" s="102"/>
      <c r="E1528" s="102"/>
      <c r="H1528" s="102"/>
      <c r="J1528" s="102"/>
      <c r="K1528" s="450"/>
      <c r="L1528" s="443"/>
      <c r="M1528" s="450"/>
      <c r="N1528" s="452">
        <f t="array" ref="N1528">IFERROR(
  INDEX(
    'Valor Hora Real y Estimada'!$A$4:$Z$78,
    MATCH(TRIM(CLEAN(A1528)), 'Valor Hora Real y Estimada'!$A$4:$A$78, 0),
    MATCH(
      TEXT(C1528,"dd mmm")&amp;" "&amp;D1528,
      'Valor Hora Real y Estimada'!$A$3:$Z$3,
      0
    ) + 1
  ),
  0
)</f>
        <v>0</v>
      </c>
      <c r="O1528" s="453"/>
      <c r="P1528" s="113"/>
      <c r="Q1528" s="106" t="str">
        <f>IF(ISBLANK(O1528), "", VLOOKUP(C1528&amp;" "&amp;D1528, 'Info Tipo de Cambio y REM'!$A$24:$B$35, 2, FALSE))</f>
        <v/>
      </c>
      <c r="R1528" s="107" t="str">
        <f t="shared" si="32"/>
        <v/>
      </c>
    </row>
    <row r="1529" hidden="1">
      <c r="A1529" s="443"/>
      <c r="B1529" s="43" t="str">
        <f>IF(A1529="", "", IFERROR(VLOOKUP(A1529, Clasificaciones!A:B, 2, FALSE), "DATO NO CARGADO"))
</f>
        <v/>
      </c>
      <c r="C1529" s="51"/>
      <c r="D1529" s="102"/>
      <c r="E1529" s="102"/>
      <c r="H1529" s="102"/>
      <c r="J1529" s="102"/>
      <c r="K1529" s="450"/>
      <c r="L1529" s="443"/>
      <c r="M1529" s="450"/>
      <c r="N1529" s="452">
        <f t="array" ref="N1529">IFERROR(
  INDEX(
    'Valor Hora Real y Estimada'!$A$4:$Z$78,
    MATCH(TRIM(CLEAN(A1529)), 'Valor Hora Real y Estimada'!$A$4:$A$78, 0),
    MATCH(
      TEXT(C1529,"dd mmm")&amp;" "&amp;D1529,
      'Valor Hora Real y Estimada'!$A$3:$Z$3,
      0
    ) + 1
  ),
  0
)</f>
        <v>0</v>
      </c>
      <c r="O1529" s="453"/>
      <c r="P1529" s="113"/>
      <c r="Q1529" s="106" t="str">
        <f>IF(ISBLANK(O1529), "", VLOOKUP(C1529&amp;" "&amp;D1529, 'Info Tipo de Cambio y REM'!$A$24:$B$35, 2, FALSE))</f>
        <v/>
      </c>
      <c r="R1529" s="107" t="str">
        <f t="shared" si="32"/>
        <v/>
      </c>
    </row>
    <row r="1530" hidden="1">
      <c r="A1530" s="443"/>
      <c r="B1530" s="43" t="str">
        <f>IF(A1530="", "", IFERROR(VLOOKUP(A1530, Clasificaciones!A:B, 2, FALSE), "DATO NO CARGADO"))
</f>
        <v/>
      </c>
      <c r="C1530" s="51"/>
      <c r="D1530" s="102"/>
      <c r="E1530" s="102"/>
      <c r="H1530" s="102"/>
      <c r="J1530" s="102"/>
      <c r="K1530" s="450"/>
      <c r="L1530" s="443"/>
      <c r="M1530" s="450"/>
      <c r="N1530" s="452">
        <f t="array" ref="N1530">IFERROR(
  INDEX(
    'Valor Hora Real y Estimada'!$A$4:$Z$78,
    MATCH(TRIM(CLEAN(A1530)), 'Valor Hora Real y Estimada'!$A$4:$A$78, 0),
    MATCH(
      TEXT(C1530,"dd mmm")&amp;" "&amp;D1530,
      'Valor Hora Real y Estimada'!$A$3:$Z$3,
      0
    ) + 1
  ),
  0
)</f>
        <v>0</v>
      </c>
      <c r="O1530" s="453"/>
      <c r="P1530" s="113"/>
      <c r="Q1530" s="106" t="str">
        <f>IF(ISBLANK(O1530), "", VLOOKUP(C1530&amp;" "&amp;D1530, 'Info Tipo de Cambio y REM'!$A$24:$B$35, 2, FALSE))</f>
        <v/>
      </c>
      <c r="R1530" s="107" t="str">
        <f t="shared" si="32"/>
        <v/>
      </c>
    </row>
    <row r="1531" hidden="1">
      <c r="A1531" s="443"/>
      <c r="B1531" s="43" t="str">
        <f>IF(A1531="", "", IFERROR(VLOOKUP(A1531, Clasificaciones!A:B, 2, FALSE), "DATO NO CARGADO"))
</f>
        <v/>
      </c>
      <c r="C1531" s="51"/>
      <c r="D1531" s="102"/>
      <c r="E1531" s="102"/>
      <c r="H1531" s="102"/>
      <c r="J1531" s="102"/>
      <c r="K1531" s="450"/>
      <c r="L1531" s="443"/>
      <c r="M1531" s="450"/>
      <c r="N1531" s="452">
        <f t="array" ref="N1531">IFERROR(
  INDEX(
    'Valor Hora Real y Estimada'!$A$4:$Z$78,
    MATCH(TRIM(CLEAN(A1531)), 'Valor Hora Real y Estimada'!$A$4:$A$78, 0),
    MATCH(
      TEXT(C1531,"dd mmm")&amp;" "&amp;D1531,
      'Valor Hora Real y Estimada'!$A$3:$Z$3,
      0
    ) + 1
  ),
  0
)</f>
        <v>0</v>
      </c>
      <c r="O1531" s="453"/>
      <c r="P1531" s="113"/>
      <c r="Q1531" s="106" t="str">
        <f>IF(ISBLANK(O1531), "", VLOOKUP(C1531&amp;" "&amp;D1531, 'Info Tipo de Cambio y REM'!$A$24:$B$35, 2, FALSE))</f>
        <v/>
      </c>
      <c r="R1531" s="107" t="str">
        <f t="shared" si="32"/>
        <v/>
      </c>
    </row>
    <row r="1532" hidden="1">
      <c r="A1532" s="443"/>
      <c r="B1532" s="43" t="str">
        <f>IF(A1532="", "", IFERROR(VLOOKUP(A1532, Clasificaciones!A:B, 2, FALSE), "DATO NO CARGADO"))
</f>
        <v/>
      </c>
      <c r="C1532" s="51"/>
      <c r="D1532" s="102"/>
      <c r="E1532" s="102"/>
      <c r="H1532" s="102"/>
      <c r="J1532" s="102"/>
      <c r="K1532" s="450"/>
      <c r="L1532" s="443"/>
      <c r="M1532" s="450"/>
      <c r="N1532" s="452">
        <f t="array" ref="N1532">IFERROR(
  INDEX(
    'Valor Hora Real y Estimada'!$A$4:$Z$78,
    MATCH(TRIM(CLEAN(A1532)), 'Valor Hora Real y Estimada'!$A$4:$A$78, 0),
    MATCH(
      TEXT(C1532,"dd mmm")&amp;" "&amp;D1532,
      'Valor Hora Real y Estimada'!$A$3:$Z$3,
      0
    ) + 1
  ),
  0
)</f>
        <v>0</v>
      </c>
      <c r="O1532" s="453"/>
      <c r="P1532" s="113"/>
      <c r="Q1532" s="106" t="str">
        <f>IF(ISBLANK(O1532), "", VLOOKUP(C1532&amp;" "&amp;D1532, 'Info Tipo de Cambio y REM'!$A$24:$B$35, 2, FALSE))</f>
        <v/>
      </c>
      <c r="R1532" s="107" t="str">
        <f t="shared" si="32"/>
        <v/>
      </c>
    </row>
    <row r="1533" hidden="1">
      <c r="A1533" s="443"/>
      <c r="B1533" s="43" t="str">
        <f>IF(A1533="", "", IFERROR(VLOOKUP(A1533, Clasificaciones!A:B, 2, FALSE), "DATO NO CARGADO"))
</f>
        <v/>
      </c>
      <c r="C1533" s="51"/>
      <c r="D1533" s="102"/>
      <c r="E1533" s="102"/>
      <c r="H1533" s="102"/>
      <c r="J1533" s="102"/>
      <c r="K1533" s="450"/>
      <c r="L1533" s="443"/>
      <c r="M1533" s="450"/>
      <c r="N1533" s="452">
        <f t="array" ref="N1533">IFERROR(
  INDEX(
    'Valor Hora Real y Estimada'!$A$4:$Z$78,
    MATCH(TRIM(CLEAN(A1533)), 'Valor Hora Real y Estimada'!$A$4:$A$78, 0),
    MATCH(
      TEXT(C1533,"dd mmm")&amp;" "&amp;D1533,
      'Valor Hora Real y Estimada'!$A$3:$Z$3,
      0
    ) + 1
  ),
  0
)</f>
        <v>0</v>
      </c>
      <c r="O1533" s="453"/>
      <c r="P1533" s="113"/>
      <c r="Q1533" s="106" t="str">
        <f>IF(ISBLANK(O1533), "", VLOOKUP(C1533&amp;" "&amp;D1533, 'Info Tipo de Cambio y REM'!$A$24:$B$35, 2, FALSE))</f>
        <v/>
      </c>
      <c r="R1533" s="107" t="str">
        <f t="shared" si="32"/>
        <v/>
      </c>
    </row>
    <row r="1534" hidden="1">
      <c r="A1534" s="443"/>
      <c r="B1534" s="43" t="str">
        <f>IF(A1534="", "", IFERROR(VLOOKUP(A1534, Clasificaciones!A:B, 2, FALSE), "DATO NO CARGADO"))
</f>
        <v/>
      </c>
      <c r="C1534" s="51"/>
      <c r="D1534" s="102"/>
      <c r="E1534" s="102"/>
      <c r="H1534" s="102"/>
      <c r="J1534" s="102"/>
      <c r="K1534" s="450"/>
      <c r="L1534" s="443"/>
      <c r="M1534" s="450"/>
      <c r="N1534" s="452">
        <f t="array" ref="N1534">IFERROR(
  INDEX(
    'Valor Hora Real y Estimada'!$A$4:$Z$78,
    MATCH(TRIM(CLEAN(A1534)), 'Valor Hora Real y Estimada'!$A$4:$A$78, 0),
    MATCH(
      TEXT(C1534,"dd mmm")&amp;" "&amp;D1534,
      'Valor Hora Real y Estimada'!$A$3:$Z$3,
      0
    ) + 1
  ),
  0
)</f>
        <v>0</v>
      </c>
      <c r="O1534" s="453"/>
      <c r="P1534" s="113"/>
      <c r="Q1534" s="106" t="str">
        <f>IF(ISBLANK(O1534), "", VLOOKUP(C1534&amp;" "&amp;D1534, 'Info Tipo de Cambio y REM'!$A$24:$B$35, 2, FALSE))</f>
        <v/>
      </c>
      <c r="R1534" s="107" t="str">
        <f t="shared" si="32"/>
        <v/>
      </c>
    </row>
    <row r="1535" hidden="1">
      <c r="A1535" s="443"/>
      <c r="B1535" s="43" t="str">
        <f>IF(A1535="", "", IFERROR(VLOOKUP(A1535, Clasificaciones!A:B, 2, FALSE), "DATO NO CARGADO"))
</f>
        <v/>
      </c>
      <c r="C1535" s="51"/>
      <c r="D1535" s="102"/>
      <c r="E1535" s="102"/>
      <c r="H1535" s="102"/>
      <c r="J1535" s="102"/>
      <c r="K1535" s="450"/>
      <c r="L1535" s="443"/>
      <c r="M1535" s="450"/>
      <c r="N1535" s="452">
        <f t="array" ref="N1535">IFERROR(
  INDEX(
    'Valor Hora Real y Estimada'!$A$4:$Z$78,
    MATCH(TRIM(CLEAN(A1535)), 'Valor Hora Real y Estimada'!$A$4:$A$78, 0),
    MATCH(
      TEXT(C1535,"dd mmm")&amp;" "&amp;D1535,
      'Valor Hora Real y Estimada'!$A$3:$Z$3,
      0
    ) + 1
  ),
  0
)</f>
        <v>0</v>
      </c>
      <c r="O1535" s="453"/>
      <c r="P1535" s="113"/>
      <c r="Q1535" s="106" t="str">
        <f>IF(ISBLANK(O1535), "", VLOOKUP(C1535&amp;" "&amp;D1535, 'Info Tipo de Cambio y REM'!$A$24:$B$35, 2, FALSE))</f>
        <v/>
      </c>
      <c r="R1535" s="107" t="str">
        <f t="shared" si="32"/>
        <v/>
      </c>
    </row>
    <row r="1536" hidden="1">
      <c r="A1536" s="443"/>
      <c r="B1536" s="43" t="str">
        <f>IF(A1536="", "", IFERROR(VLOOKUP(A1536, Clasificaciones!A:B, 2, FALSE), "DATO NO CARGADO"))
</f>
        <v/>
      </c>
      <c r="C1536" s="51"/>
      <c r="D1536" s="102"/>
      <c r="E1536" s="102"/>
      <c r="H1536" s="102"/>
      <c r="J1536" s="102"/>
      <c r="K1536" s="450"/>
      <c r="L1536" s="443"/>
      <c r="M1536" s="450"/>
      <c r="N1536" s="452">
        <f t="array" ref="N1536">IFERROR(
  INDEX(
    'Valor Hora Real y Estimada'!$A$4:$Z$78,
    MATCH(TRIM(CLEAN(A1536)), 'Valor Hora Real y Estimada'!$A$4:$A$78, 0),
    MATCH(
      TEXT(C1536,"dd mmm")&amp;" "&amp;D1536,
      'Valor Hora Real y Estimada'!$A$3:$Z$3,
      0
    ) + 1
  ),
  0
)</f>
        <v>0</v>
      </c>
      <c r="O1536" s="453"/>
      <c r="P1536" s="113"/>
      <c r="Q1536" s="106" t="str">
        <f>IF(ISBLANK(O1536), "", VLOOKUP(C1536&amp;" "&amp;D1536, 'Info Tipo de Cambio y REM'!$A$24:$B$35, 2, FALSE))</f>
        <v/>
      </c>
      <c r="R1536" s="107" t="str">
        <f t="shared" si="32"/>
        <v/>
      </c>
    </row>
    <row r="1537" hidden="1">
      <c r="A1537" s="443"/>
      <c r="B1537" s="43" t="str">
        <f>IF(A1537="", "", IFERROR(VLOOKUP(A1537, Clasificaciones!A:B, 2, FALSE), "DATO NO CARGADO"))
</f>
        <v/>
      </c>
      <c r="C1537" s="51"/>
      <c r="D1537" s="102"/>
      <c r="E1537" s="102"/>
      <c r="H1537" s="102"/>
      <c r="J1537" s="102"/>
      <c r="K1537" s="450"/>
      <c r="L1537" s="443"/>
      <c r="M1537" s="450"/>
      <c r="N1537" s="452">
        <f t="array" ref="N1537">IFERROR(
  INDEX(
    'Valor Hora Real y Estimada'!$A$4:$Z$78,
    MATCH(TRIM(CLEAN(A1537)), 'Valor Hora Real y Estimada'!$A$4:$A$78, 0),
    MATCH(
      TEXT(C1537,"dd mmm")&amp;" "&amp;D1537,
      'Valor Hora Real y Estimada'!$A$3:$Z$3,
      0
    ) + 1
  ),
  0
)</f>
        <v>0</v>
      </c>
      <c r="O1537" s="453"/>
      <c r="P1537" s="113"/>
      <c r="Q1537" s="106" t="str">
        <f>IF(ISBLANK(O1537), "", VLOOKUP(C1537&amp;" "&amp;D1537, 'Info Tipo de Cambio y REM'!$A$24:$B$35, 2, FALSE))</f>
        <v/>
      </c>
      <c r="R1537" s="107" t="str">
        <f t="shared" si="32"/>
        <v/>
      </c>
    </row>
    <row r="1538" hidden="1">
      <c r="A1538" s="443"/>
      <c r="B1538" s="43" t="str">
        <f>IF(A1538="", "", IFERROR(VLOOKUP(A1538, Clasificaciones!A:B, 2, FALSE), "DATO NO CARGADO"))
</f>
        <v/>
      </c>
      <c r="C1538" s="51"/>
      <c r="D1538" s="102"/>
      <c r="E1538" s="102"/>
      <c r="H1538" s="102"/>
      <c r="J1538" s="102"/>
      <c r="K1538" s="450"/>
      <c r="L1538" s="443"/>
      <c r="M1538" s="450"/>
      <c r="N1538" s="452">
        <f t="array" ref="N1538">IFERROR(
  INDEX(
    'Valor Hora Real y Estimada'!$A$4:$Z$78,
    MATCH(TRIM(CLEAN(A1538)), 'Valor Hora Real y Estimada'!$A$4:$A$78, 0),
    MATCH(
      TEXT(C1538,"dd mmm")&amp;" "&amp;D1538,
      'Valor Hora Real y Estimada'!$A$3:$Z$3,
      0
    ) + 1
  ),
  0
)</f>
        <v>0</v>
      </c>
      <c r="O1538" s="453"/>
      <c r="P1538" s="113"/>
      <c r="Q1538" s="106" t="str">
        <f>IF(ISBLANK(O1538), "", VLOOKUP(C1538&amp;" "&amp;D1538, 'Info Tipo de Cambio y REM'!$A$24:$B$35, 2, FALSE))</f>
        <v/>
      </c>
      <c r="R1538" s="107" t="str">
        <f t="shared" si="32"/>
        <v/>
      </c>
    </row>
    <row r="1539" hidden="1">
      <c r="A1539" s="443"/>
      <c r="B1539" s="43" t="str">
        <f>IF(A1539="", "", IFERROR(VLOOKUP(A1539, Clasificaciones!A:B, 2, FALSE), "DATO NO CARGADO"))
</f>
        <v/>
      </c>
      <c r="C1539" s="51"/>
      <c r="D1539" s="102"/>
      <c r="E1539" s="102"/>
      <c r="H1539" s="102"/>
      <c r="J1539" s="102"/>
      <c r="K1539" s="450"/>
      <c r="L1539" s="443"/>
      <c r="M1539" s="450"/>
      <c r="N1539" s="452">
        <f t="array" ref="N1539">IFERROR(
  INDEX(
    'Valor Hora Real y Estimada'!$A$4:$Z$78,
    MATCH(TRIM(CLEAN(A1539)), 'Valor Hora Real y Estimada'!$A$4:$A$78, 0),
    MATCH(
      TEXT(C1539,"dd mmm")&amp;" "&amp;D1539,
      'Valor Hora Real y Estimada'!$A$3:$Z$3,
      0
    ) + 1
  ),
  0
)</f>
        <v>0</v>
      </c>
      <c r="O1539" s="453"/>
      <c r="P1539" s="113"/>
      <c r="Q1539" s="106" t="str">
        <f>IF(ISBLANK(O1539), "", VLOOKUP(C1539&amp;" "&amp;D1539, 'Info Tipo de Cambio y REM'!$A$24:$B$35, 2, FALSE))</f>
        <v/>
      </c>
      <c r="R1539" s="107" t="str">
        <f t="shared" si="32"/>
        <v/>
      </c>
    </row>
    <row r="1540" hidden="1">
      <c r="A1540" s="443"/>
      <c r="B1540" s="43" t="str">
        <f>IF(A1540="", "", IFERROR(VLOOKUP(A1540, Clasificaciones!A:B, 2, FALSE), "DATO NO CARGADO"))
</f>
        <v/>
      </c>
      <c r="C1540" s="51"/>
      <c r="D1540" s="102"/>
      <c r="E1540" s="102"/>
      <c r="H1540" s="102"/>
      <c r="J1540" s="102"/>
      <c r="K1540" s="450"/>
      <c r="L1540" s="443"/>
      <c r="M1540" s="450"/>
      <c r="N1540" s="452">
        <f t="array" ref="N1540">IFERROR(
  INDEX(
    'Valor Hora Real y Estimada'!$A$4:$Z$78,
    MATCH(TRIM(CLEAN(A1540)), 'Valor Hora Real y Estimada'!$A$4:$A$78, 0),
    MATCH(
      TEXT(C1540,"dd mmm")&amp;" "&amp;D1540,
      'Valor Hora Real y Estimada'!$A$3:$Z$3,
      0
    ) + 1
  ),
  0
)</f>
        <v>0</v>
      </c>
      <c r="O1540" s="453"/>
      <c r="P1540" s="113"/>
      <c r="Q1540" s="106" t="str">
        <f>IF(ISBLANK(O1540), "", VLOOKUP(C1540&amp;" "&amp;D1540, 'Info Tipo de Cambio y REM'!$A$24:$B$35, 2, FALSE))</f>
        <v/>
      </c>
      <c r="R1540" s="107" t="str">
        <f t="shared" si="32"/>
        <v/>
      </c>
    </row>
    <row r="1541" hidden="1">
      <c r="A1541" s="443"/>
      <c r="B1541" s="43" t="str">
        <f>IF(A1541="", "", IFERROR(VLOOKUP(A1541, Clasificaciones!A:B, 2, FALSE), "DATO NO CARGADO"))
</f>
        <v/>
      </c>
      <c r="C1541" s="51"/>
      <c r="D1541" s="102"/>
      <c r="E1541" s="102"/>
      <c r="H1541" s="102"/>
      <c r="J1541" s="102"/>
      <c r="K1541" s="450"/>
      <c r="L1541" s="443"/>
      <c r="M1541" s="450"/>
      <c r="N1541" s="452">
        <f t="array" ref="N1541">IFERROR(
  INDEX(
    'Valor Hora Real y Estimada'!$A$4:$Z$78,
    MATCH(TRIM(CLEAN(A1541)), 'Valor Hora Real y Estimada'!$A$4:$A$78, 0),
    MATCH(
      TEXT(C1541,"dd mmm")&amp;" "&amp;D1541,
      'Valor Hora Real y Estimada'!$A$3:$Z$3,
      0
    ) + 1
  ),
  0
)</f>
        <v>0</v>
      </c>
      <c r="O1541" s="453"/>
      <c r="P1541" s="113"/>
      <c r="Q1541" s="106" t="str">
        <f>IF(ISBLANK(O1541), "", VLOOKUP(C1541&amp;" "&amp;D1541, 'Info Tipo de Cambio y REM'!$A$24:$B$35, 2, FALSE))</f>
        <v/>
      </c>
      <c r="R1541" s="107" t="str">
        <f t="shared" si="32"/>
        <v/>
      </c>
    </row>
    <row r="1542" hidden="1">
      <c r="A1542" s="443"/>
      <c r="B1542" s="43" t="str">
        <f>IF(A1542="", "", IFERROR(VLOOKUP(A1542, Clasificaciones!A:B, 2, FALSE), "DATO NO CARGADO"))
</f>
        <v/>
      </c>
      <c r="C1542" s="51"/>
      <c r="D1542" s="102"/>
      <c r="E1542" s="102"/>
      <c r="H1542" s="102"/>
      <c r="J1542" s="102"/>
      <c r="K1542" s="450"/>
      <c r="L1542" s="443"/>
      <c r="M1542" s="450"/>
      <c r="N1542" s="452">
        <f t="array" ref="N1542">IFERROR(
  INDEX(
    'Valor Hora Real y Estimada'!$A$4:$Z$78,
    MATCH(TRIM(CLEAN(A1542)), 'Valor Hora Real y Estimada'!$A$4:$A$78, 0),
    MATCH(
      TEXT(C1542,"dd mmm")&amp;" "&amp;D1542,
      'Valor Hora Real y Estimada'!$A$3:$Z$3,
      0
    ) + 1
  ),
  0
)</f>
        <v>0</v>
      </c>
      <c r="O1542" s="453"/>
      <c r="P1542" s="113"/>
      <c r="Q1542" s="106" t="str">
        <f>IF(ISBLANK(O1542), "", VLOOKUP(C1542&amp;" "&amp;D1542, 'Info Tipo de Cambio y REM'!$A$24:$B$35, 2, FALSE))</f>
        <v/>
      </c>
      <c r="R1542" s="107" t="str">
        <f t="shared" si="32"/>
        <v/>
      </c>
    </row>
    <row r="1543" hidden="1">
      <c r="A1543" s="443"/>
      <c r="B1543" s="43" t="str">
        <f>IF(A1543="", "", IFERROR(VLOOKUP(A1543, Clasificaciones!A:B, 2, FALSE), "DATO NO CARGADO"))
</f>
        <v/>
      </c>
      <c r="C1543" s="51"/>
      <c r="D1543" s="102"/>
      <c r="E1543" s="102"/>
      <c r="H1543" s="102"/>
      <c r="J1543" s="102"/>
      <c r="K1543" s="450"/>
      <c r="L1543" s="443"/>
      <c r="M1543" s="450"/>
      <c r="N1543" s="452">
        <f t="array" ref="N1543">IFERROR(
  INDEX(
    'Valor Hora Real y Estimada'!$A$4:$Z$78,
    MATCH(TRIM(CLEAN(A1543)), 'Valor Hora Real y Estimada'!$A$4:$A$78, 0),
    MATCH(
      TEXT(C1543,"dd mmm")&amp;" "&amp;D1543,
      'Valor Hora Real y Estimada'!$A$3:$Z$3,
      0
    ) + 1
  ),
  0
)</f>
        <v>0</v>
      </c>
      <c r="O1543" s="453"/>
      <c r="P1543" s="113"/>
      <c r="Q1543" s="106" t="str">
        <f>IF(ISBLANK(O1543), "", VLOOKUP(C1543&amp;" "&amp;D1543, 'Info Tipo de Cambio y REM'!$A$24:$B$35, 2, FALSE))</f>
        <v/>
      </c>
      <c r="R1543" s="107" t="str">
        <f t="shared" si="32"/>
        <v/>
      </c>
    </row>
    <row r="1544" hidden="1">
      <c r="A1544" s="443"/>
      <c r="B1544" s="43" t="str">
        <f>IF(A1544="", "", IFERROR(VLOOKUP(A1544, Clasificaciones!A:B, 2, FALSE), "DATO NO CARGADO"))
</f>
        <v/>
      </c>
      <c r="C1544" s="51"/>
      <c r="D1544" s="102"/>
      <c r="E1544" s="102"/>
      <c r="H1544" s="102"/>
      <c r="J1544" s="102"/>
      <c r="K1544" s="450"/>
      <c r="L1544" s="443"/>
      <c r="M1544" s="450"/>
      <c r="N1544" s="452">
        <f t="array" ref="N1544">IFERROR(
  INDEX(
    'Valor Hora Real y Estimada'!$A$4:$Z$78,
    MATCH(TRIM(CLEAN(A1544)), 'Valor Hora Real y Estimada'!$A$4:$A$78, 0),
    MATCH(
      TEXT(C1544,"dd mmm")&amp;" "&amp;D1544,
      'Valor Hora Real y Estimada'!$A$3:$Z$3,
      0
    ) + 1
  ),
  0
)</f>
        <v>0</v>
      </c>
      <c r="O1544" s="453"/>
      <c r="P1544" s="113"/>
      <c r="Q1544" s="106" t="str">
        <f>IF(ISBLANK(O1544), "", VLOOKUP(C1544&amp;" "&amp;D1544, 'Info Tipo de Cambio y REM'!$A$24:$B$35, 2, FALSE))</f>
        <v/>
      </c>
      <c r="R1544" s="107" t="str">
        <f t="shared" si="32"/>
        <v/>
      </c>
    </row>
    <row r="1545" hidden="1">
      <c r="A1545" s="443"/>
      <c r="B1545" s="43" t="str">
        <f>IF(A1545="", "", IFERROR(VLOOKUP(A1545, Clasificaciones!A:B, 2, FALSE), "DATO NO CARGADO"))
</f>
        <v/>
      </c>
      <c r="C1545" s="51"/>
      <c r="D1545" s="102"/>
      <c r="E1545" s="102"/>
      <c r="H1545" s="102"/>
      <c r="J1545" s="102"/>
      <c r="K1545" s="450"/>
      <c r="L1545" s="443"/>
      <c r="M1545" s="450"/>
      <c r="N1545" s="452">
        <f t="array" ref="N1545">IFERROR(
  INDEX(
    'Valor Hora Real y Estimada'!$A$4:$Z$78,
    MATCH(TRIM(CLEAN(A1545)), 'Valor Hora Real y Estimada'!$A$4:$A$78, 0),
    MATCH(
      TEXT(C1545,"dd mmm")&amp;" "&amp;D1545,
      'Valor Hora Real y Estimada'!$A$3:$Z$3,
      0
    ) + 1
  ),
  0
)</f>
        <v>0</v>
      </c>
      <c r="O1545" s="453"/>
      <c r="P1545" s="113"/>
      <c r="Q1545" s="106" t="str">
        <f>IF(ISBLANK(O1545), "", VLOOKUP(C1545&amp;" "&amp;D1545, 'Info Tipo de Cambio y REM'!$A$24:$B$35, 2, FALSE))</f>
        <v/>
      </c>
      <c r="R1545" s="107" t="str">
        <f t="shared" si="32"/>
        <v/>
      </c>
    </row>
    <row r="1546" hidden="1">
      <c r="A1546" s="443"/>
      <c r="B1546" s="43" t="str">
        <f>IF(A1546="", "", IFERROR(VLOOKUP(A1546, Clasificaciones!A:B, 2, FALSE), "DATO NO CARGADO"))
</f>
        <v/>
      </c>
      <c r="C1546" s="51"/>
      <c r="D1546" s="102"/>
      <c r="E1546" s="102"/>
      <c r="H1546" s="102"/>
      <c r="J1546" s="102"/>
      <c r="K1546" s="450"/>
      <c r="L1546" s="443"/>
      <c r="M1546" s="450"/>
      <c r="N1546" s="452">
        <f t="array" ref="N1546">IFERROR(
  INDEX(
    'Valor Hora Real y Estimada'!$A$4:$Z$78,
    MATCH(TRIM(CLEAN(A1546)), 'Valor Hora Real y Estimada'!$A$4:$A$78, 0),
    MATCH(
      TEXT(C1546,"dd mmm")&amp;" "&amp;D1546,
      'Valor Hora Real y Estimada'!$A$3:$Z$3,
      0
    ) + 1
  ),
  0
)</f>
        <v>0</v>
      </c>
      <c r="O1546" s="453"/>
      <c r="P1546" s="113"/>
      <c r="Q1546" s="106" t="str">
        <f>IF(ISBLANK(O1546), "", VLOOKUP(C1546&amp;" "&amp;D1546, 'Info Tipo de Cambio y REM'!$A$24:$B$35, 2, FALSE))</f>
        <v/>
      </c>
      <c r="R1546" s="107" t="str">
        <f t="shared" si="32"/>
        <v/>
      </c>
    </row>
    <row r="1547" hidden="1">
      <c r="A1547" s="443"/>
      <c r="B1547" s="43" t="str">
        <f>IF(A1547="", "", IFERROR(VLOOKUP(A1547, Clasificaciones!A:B, 2, FALSE), "DATO NO CARGADO"))
</f>
        <v/>
      </c>
      <c r="C1547" s="51"/>
      <c r="D1547" s="102"/>
      <c r="E1547" s="102"/>
      <c r="H1547" s="102"/>
      <c r="J1547" s="102"/>
      <c r="K1547" s="450"/>
      <c r="L1547" s="443"/>
      <c r="M1547" s="450"/>
      <c r="N1547" s="452">
        <f t="array" ref="N1547">IFERROR(
  INDEX(
    'Valor Hora Real y Estimada'!$A$4:$Z$78,
    MATCH(TRIM(CLEAN(A1547)), 'Valor Hora Real y Estimada'!$A$4:$A$78, 0),
    MATCH(
      TEXT(C1547,"dd mmm")&amp;" "&amp;D1547,
      'Valor Hora Real y Estimada'!$A$3:$Z$3,
      0
    ) + 1
  ),
  0
)</f>
        <v>0</v>
      </c>
      <c r="O1547" s="453"/>
      <c r="P1547" s="113"/>
      <c r="Q1547" s="106" t="str">
        <f>IF(ISBLANK(O1547), "", VLOOKUP(C1547&amp;" "&amp;D1547, 'Info Tipo de Cambio y REM'!$A$24:$B$35, 2, FALSE))</f>
        <v/>
      </c>
      <c r="R1547" s="107" t="str">
        <f t="shared" si="32"/>
        <v/>
      </c>
    </row>
    <row r="1548" hidden="1">
      <c r="A1548" s="443"/>
      <c r="B1548" s="43" t="str">
        <f>IF(A1548="", "", IFERROR(VLOOKUP(A1548, Clasificaciones!A:B, 2, FALSE), "DATO NO CARGADO"))
</f>
        <v/>
      </c>
      <c r="C1548" s="51"/>
      <c r="D1548" s="102"/>
      <c r="E1548" s="102"/>
      <c r="H1548" s="102"/>
      <c r="J1548" s="102"/>
      <c r="K1548" s="450"/>
      <c r="L1548" s="443"/>
      <c r="M1548" s="450"/>
      <c r="N1548" s="452">
        <f t="array" ref="N1548">IFERROR(
  INDEX(
    'Valor Hora Real y Estimada'!$A$4:$Z$78,
    MATCH(TRIM(CLEAN(A1548)), 'Valor Hora Real y Estimada'!$A$4:$A$78, 0),
    MATCH(
      TEXT(C1548,"dd mmm")&amp;" "&amp;D1548,
      'Valor Hora Real y Estimada'!$A$3:$Z$3,
      0
    ) + 1
  ),
  0
)</f>
        <v>0</v>
      </c>
      <c r="O1548" s="453"/>
      <c r="P1548" s="113"/>
      <c r="Q1548" s="106" t="str">
        <f>IF(ISBLANK(O1548), "", VLOOKUP(C1548&amp;" "&amp;D1548, 'Info Tipo de Cambio y REM'!$A$24:$B$35, 2, FALSE))</f>
        <v/>
      </c>
      <c r="R1548" s="107" t="str">
        <f t="shared" si="32"/>
        <v/>
      </c>
    </row>
    <row r="1549" hidden="1">
      <c r="A1549" s="443"/>
      <c r="B1549" s="43" t="str">
        <f>IF(A1549="", "", IFERROR(VLOOKUP(A1549, Clasificaciones!A:B, 2, FALSE), "DATO NO CARGADO"))
</f>
        <v/>
      </c>
      <c r="C1549" s="51"/>
      <c r="D1549" s="102"/>
      <c r="E1549" s="102"/>
      <c r="H1549" s="102"/>
      <c r="J1549" s="102"/>
      <c r="K1549" s="450"/>
      <c r="L1549" s="443"/>
      <c r="M1549" s="450"/>
      <c r="N1549" s="452">
        <f t="array" ref="N1549">IFERROR(
  INDEX(
    'Valor Hora Real y Estimada'!$A$4:$Z$78,
    MATCH(TRIM(CLEAN(A1549)), 'Valor Hora Real y Estimada'!$A$4:$A$78, 0),
    MATCH(
      TEXT(C1549,"dd mmm")&amp;" "&amp;D1549,
      'Valor Hora Real y Estimada'!$A$3:$Z$3,
      0
    ) + 1
  ),
  0
)</f>
        <v>0</v>
      </c>
      <c r="O1549" s="453"/>
      <c r="P1549" s="113"/>
      <c r="Q1549" s="106" t="str">
        <f>IF(ISBLANK(O1549), "", VLOOKUP(C1549&amp;" "&amp;D1549, 'Info Tipo de Cambio y REM'!$A$24:$B$35, 2, FALSE))</f>
        <v/>
      </c>
      <c r="R1549" s="107" t="str">
        <f t="shared" si="32"/>
        <v/>
      </c>
    </row>
    <row r="1550" hidden="1">
      <c r="A1550" s="443"/>
      <c r="B1550" s="43" t="str">
        <f>IF(A1550="", "", IFERROR(VLOOKUP(A1550, Clasificaciones!A:B, 2, FALSE), "DATO NO CARGADO"))
</f>
        <v/>
      </c>
      <c r="C1550" s="51"/>
      <c r="D1550" s="102"/>
      <c r="E1550" s="102"/>
      <c r="H1550" s="102"/>
      <c r="J1550" s="102"/>
      <c r="K1550" s="450"/>
      <c r="L1550" s="443"/>
      <c r="M1550" s="450"/>
      <c r="N1550" s="452">
        <f t="array" ref="N1550">IFERROR(
  INDEX(
    'Valor Hora Real y Estimada'!$A$4:$Z$78,
    MATCH(TRIM(CLEAN(A1550)), 'Valor Hora Real y Estimada'!$A$4:$A$78, 0),
    MATCH(
      TEXT(C1550,"dd mmm")&amp;" "&amp;D1550,
      'Valor Hora Real y Estimada'!$A$3:$Z$3,
      0
    ) + 1
  ),
  0
)</f>
        <v>0</v>
      </c>
      <c r="O1550" s="453"/>
      <c r="P1550" s="113"/>
      <c r="Q1550" s="106" t="str">
        <f>IF(ISBLANK(O1550), "", VLOOKUP(C1550&amp;" "&amp;D1550, 'Info Tipo de Cambio y REM'!$A$24:$B$35, 2, FALSE))</f>
        <v/>
      </c>
      <c r="R1550" s="107" t="str">
        <f t="shared" si="32"/>
        <v/>
      </c>
    </row>
    <row r="1551" hidden="1">
      <c r="A1551" s="443"/>
      <c r="B1551" s="43" t="str">
        <f>IF(A1551="", "", IFERROR(VLOOKUP(A1551, Clasificaciones!A:B, 2, FALSE), "DATO NO CARGADO"))
</f>
        <v/>
      </c>
      <c r="C1551" s="51"/>
      <c r="D1551" s="102"/>
      <c r="E1551" s="102"/>
      <c r="H1551" s="102"/>
      <c r="J1551" s="102"/>
      <c r="K1551" s="450"/>
      <c r="L1551" s="443"/>
      <c r="M1551" s="450"/>
      <c r="N1551" s="452">
        <f t="array" ref="N1551">IFERROR(
  INDEX(
    'Valor Hora Real y Estimada'!$A$4:$Z$78,
    MATCH(TRIM(CLEAN(A1551)), 'Valor Hora Real y Estimada'!$A$4:$A$78, 0),
    MATCH(
      TEXT(C1551,"dd mmm")&amp;" "&amp;D1551,
      'Valor Hora Real y Estimada'!$A$3:$Z$3,
      0
    ) + 1
  ),
  0
)</f>
        <v>0</v>
      </c>
      <c r="O1551" s="453"/>
      <c r="P1551" s="113"/>
      <c r="Q1551" s="106" t="str">
        <f>IF(ISBLANK(O1551), "", VLOOKUP(C1551&amp;" "&amp;D1551, 'Info Tipo de Cambio y REM'!$A$24:$B$35, 2, FALSE))</f>
        <v/>
      </c>
      <c r="R1551" s="107" t="str">
        <f t="shared" si="32"/>
        <v/>
      </c>
    </row>
    <row r="1552" hidden="1">
      <c r="A1552" s="443"/>
      <c r="B1552" s="43" t="str">
        <f>IF(A1552="", "", IFERROR(VLOOKUP(A1552, Clasificaciones!A:B, 2, FALSE), "DATO NO CARGADO"))
</f>
        <v/>
      </c>
      <c r="C1552" s="51"/>
      <c r="D1552" s="102"/>
      <c r="E1552" s="102"/>
      <c r="H1552" s="102"/>
      <c r="J1552" s="102"/>
      <c r="K1552" s="450"/>
      <c r="L1552" s="443"/>
      <c r="M1552" s="450"/>
      <c r="N1552" s="452">
        <f t="array" ref="N1552">IFERROR(
  INDEX(
    'Valor Hora Real y Estimada'!$A$4:$Z$78,
    MATCH(TRIM(CLEAN(A1552)), 'Valor Hora Real y Estimada'!$A$4:$A$78, 0),
    MATCH(
      TEXT(C1552,"dd mmm")&amp;" "&amp;D1552,
      'Valor Hora Real y Estimada'!$A$3:$Z$3,
      0
    ) + 1
  ),
  0
)</f>
        <v>0</v>
      </c>
      <c r="O1552" s="453"/>
      <c r="P1552" s="113"/>
      <c r="Q1552" s="106" t="str">
        <f>IF(ISBLANK(O1552), "", VLOOKUP(C1552&amp;" "&amp;D1552, 'Info Tipo de Cambio y REM'!$A$24:$B$35, 2, FALSE))</f>
        <v/>
      </c>
      <c r="R1552" s="107" t="str">
        <f t="shared" si="32"/>
        <v/>
      </c>
    </row>
    <row r="1553" hidden="1">
      <c r="A1553" s="443"/>
      <c r="B1553" s="43" t="str">
        <f>IF(A1553="", "", IFERROR(VLOOKUP(A1553, Clasificaciones!A:B, 2, FALSE), "DATO NO CARGADO"))
</f>
        <v/>
      </c>
      <c r="C1553" s="51"/>
      <c r="D1553" s="102"/>
      <c r="E1553" s="102"/>
      <c r="H1553" s="102"/>
      <c r="J1553" s="102"/>
      <c r="K1553" s="450"/>
      <c r="L1553" s="443"/>
      <c r="M1553" s="450"/>
      <c r="N1553" s="452">
        <f t="array" ref="N1553">IFERROR(
  INDEX(
    'Valor Hora Real y Estimada'!$A$4:$Z$78,
    MATCH(TRIM(CLEAN(A1553)), 'Valor Hora Real y Estimada'!$A$4:$A$78, 0),
    MATCH(
      TEXT(C1553,"dd mmm")&amp;" "&amp;D1553,
      'Valor Hora Real y Estimada'!$A$3:$Z$3,
      0
    ) + 1
  ),
  0
)</f>
        <v>0</v>
      </c>
      <c r="O1553" s="453"/>
      <c r="P1553" s="113"/>
      <c r="Q1553" s="106" t="str">
        <f>IF(ISBLANK(O1553), "", VLOOKUP(C1553&amp;" "&amp;D1553, 'Info Tipo de Cambio y REM'!$A$24:$B$35, 2, FALSE))</f>
        <v/>
      </c>
      <c r="R1553" s="107" t="str">
        <f t="shared" si="32"/>
        <v/>
      </c>
    </row>
    <row r="1554" hidden="1">
      <c r="A1554" s="443"/>
      <c r="B1554" s="43" t="str">
        <f>IF(A1554="", "", IFERROR(VLOOKUP(A1554, Clasificaciones!A:B, 2, FALSE), "DATO NO CARGADO"))
</f>
        <v/>
      </c>
      <c r="C1554" s="51"/>
      <c r="D1554" s="102"/>
      <c r="E1554" s="102"/>
      <c r="H1554" s="102"/>
      <c r="J1554" s="102"/>
      <c r="K1554" s="450"/>
      <c r="L1554" s="443"/>
      <c r="M1554" s="450"/>
      <c r="N1554" s="452">
        <f t="array" ref="N1554">IFERROR(
  INDEX(
    'Valor Hora Real y Estimada'!$A$4:$Z$78,
    MATCH(TRIM(CLEAN(A1554)), 'Valor Hora Real y Estimada'!$A$4:$A$78, 0),
    MATCH(
      TEXT(C1554,"dd mmm")&amp;" "&amp;D1554,
      'Valor Hora Real y Estimada'!$A$3:$Z$3,
      0
    ) + 1
  ),
  0
)</f>
        <v>0</v>
      </c>
      <c r="O1554" s="453"/>
      <c r="P1554" s="113"/>
      <c r="Q1554" s="106" t="str">
        <f>IF(ISBLANK(O1554), "", VLOOKUP(C1554&amp;" "&amp;D1554, 'Info Tipo de Cambio y REM'!$A$24:$B$35, 2, FALSE))</f>
        <v/>
      </c>
      <c r="R1554" s="107" t="str">
        <f t="shared" si="32"/>
        <v/>
      </c>
    </row>
    <row r="1555" hidden="1">
      <c r="A1555" s="443"/>
      <c r="B1555" s="43" t="str">
        <f>IF(A1555="", "", IFERROR(VLOOKUP(A1555, Clasificaciones!A:B, 2, FALSE), "DATO NO CARGADO"))
</f>
        <v/>
      </c>
      <c r="C1555" s="51"/>
      <c r="D1555" s="102"/>
      <c r="E1555" s="102"/>
      <c r="H1555" s="102"/>
      <c r="J1555" s="102"/>
      <c r="K1555" s="450"/>
      <c r="L1555" s="443"/>
      <c r="M1555" s="450"/>
      <c r="N1555" s="452">
        <f t="array" ref="N1555">IFERROR(
  INDEX(
    'Valor Hora Real y Estimada'!$A$4:$Z$78,
    MATCH(TRIM(CLEAN(A1555)), 'Valor Hora Real y Estimada'!$A$4:$A$78, 0),
    MATCH(
      TEXT(C1555,"dd mmm")&amp;" "&amp;D1555,
      'Valor Hora Real y Estimada'!$A$3:$Z$3,
      0
    ) + 1
  ),
  0
)</f>
        <v>0</v>
      </c>
      <c r="O1555" s="453"/>
      <c r="P1555" s="113"/>
      <c r="Q1555" s="106" t="str">
        <f>IF(ISBLANK(O1555), "", VLOOKUP(C1555&amp;" "&amp;D1555, 'Info Tipo de Cambio y REM'!$A$24:$B$35, 2, FALSE))</f>
        <v/>
      </c>
      <c r="R1555" s="107" t="str">
        <f t="shared" si="32"/>
        <v/>
      </c>
    </row>
    <row r="1556" hidden="1">
      <c r="A1556" s="443"/>
      <c r="B1556" s="43" t="str">
        <f>IF(A1556="", "", IFERROR(VLOOKUP(A1556, Clasificaciones!A:B, 2, FALSE), "DATO NO CARGADO"))
</f>
        <v/>
      </c>
      <c r="C1556" s="51"/>
      <c r="D1556" s="102"/>
      <c r="E1556" s="102"/>
      <c r="H1556" s="102"/>
      <c r="J1556" s="102"/>
      <c r="K1556" s="450"/>
      <c r="L1556" s="443"/>
      <c r="M1556" s="450"/>
      <c r="N1556" s="452">
        <f t="array" ref="N1556">IFERROR(
  INDEX(
    'Valor Hora Real y Estimada'!$A$4:$Z$78,
    MATCH(TRIM(CLEAN(A1556)), 'Valor Hora Real y Estimada'!$A$4:$A$78, 0),
    MATCH(
      TEXT(C1556,"dd mmm")&amp;" "&amp;D1556,
      'Valor Hora Real y Estimada'!$A$3:$Z$3,
      0
    ) + 1
  ),
  0
)</f>
        <v>0</v>
      </c>
      <c r="O1556" s="453"/>
      <c r="P1556" s="113"/>
      <c r="Q1556" s="106" t="str">
        <f>IF(ISBLANK(O1556), "", VLOOKUP(C1556&amp;" "&amp;D1556, 'Info Tipo de Cambio y REM'!$A$24:$B$35, 2, FALSE))</f>
        <v/>
      </c>
      <c r="R1556" s="107" t="str">
        <f t="shared" si="32"/>
        <v/>
      </c>
    </row>
    <row r="1557" hidden="1">
      <c r="A1557" s="443"/>
      <c r="B1557" s="43" t="str">
        <f>IF(A1557="", "", IFERROR(VLOOKUP(A1557, Clasificaciones!A:B, 2, FALSE), "DATO NO CARGADO"))
</f>
        <v/>
      </c>
      <c r="C1557" s="51"/>
      <c r="D1557" s="102"/>
      <c r="E1557" s="102"/>
      <c r="H1557" s="102"/>
      <c r="J1557" s="102"/>
      <c r="K1557" s="450"/>
      <c r="L1557" s="443"/>
      <c r="M1557" s="450"/>
      <c r="N1557" s="452">
        <f t="array" ref="N1557">IFERROR(
  INDEX(
    'Valor Hora Real y Estimada'!$A$4:$Z$78,
    MATCH(TRIM(CLEAN(A1557)), 'Valor Hora Real y Estimada'!$A$4:$A$78, 0),
    MATCH(
      TEXT(C1557,"dd mmm")&amp;" "&amp;D1557,
      'Valor Hora Real y Estimada'!$A$3:$Z$3,
      0
    ) + 1
  ),
  0
)</f>
        <v>0</v>
      </c>
      <c r="O1557" s="453"/>
      <c r="P1557" s="113"/>
      <c r="Q1557" s="106" t="str">
        <f>IF(ISBLANK(O1557), "", VLOOKUP(C1557&amp;" "&amp;D1557, 'Info Tipo de Cambio y REM'!$A$24:$B$35, 2, FALSE))</f>
        <v/>
      </c>
      <c r="R1557" s="107" t="str">
        <f t="shared" si="32"/>
        <v/>
      </c>
    </row>
    <row r="1558" hidden="1">
      <c r="A1558" s="443"/>
      <c r="B1558" s="43" t="str">
        <f>IF(A1558="", "", IFERROR(VLOOKUP(A1558, Clasificaciones!A:B, 2, FALSE), "DATO NO CARGADO"))
</f>
        <v/>
      </c>
      <c r="C1558" s="51"/>
      <c r="D1558" s="102"/>
      <c r="E1558" s="102"/>
      <c r="H1558" s="102"/>
      <c r="J1558" s="102"/>
      <c r="K1558" s="450"/>
      <c r="L1558" s="443"/>
      <c r="M1558" s="450"/>
      <c r="N1558" s="452">
        <f t="array" ref="N1558">IFERROR(
  INDEX(
    'Valor Hora Real y Estimada'!$A$4:$Z$78,
    MATCH(TRIM(CLEAN(A1558)), 'Valor Hora Real y Estimada'!$A$4:$A$78, 0),
    MATCH(
      TEXT(C1558,"dd mmm")&amp;" "&amp;D1558,
      'Valor Hora Real y Estimada'!$A$3:$Z$3,
      0
    ) + 1
  ),
  0
)</f>
        <v>0</v>
      </c>
      <c r="O1558" s="453"/>
      <c r="P1558" s="113"/>
      <c r="Q1558" s="106" t="str">
        <f>IF(ISBLANK(O1558), "", VLOOKUP(C1558&amp;" "&amp;D1558, 'Info Tipo de Cambio y REM'!$A$24:$B$35, 2, FALSE))</f>
        <v/>
      </c>
      <c r="R1558" s="107" t="str">
        <f t="shared" si="32"/>
        <v/>
      </c>
    </row>
    <row r="1559" hidden="1">
      <c r="A1559" s="443"/>
      <c r="B1559" s="43" t="str">
        <f>IF(A1559="", "", IFERROR(VLOOKUP(A1559, Clasificaciones!A:B, 2, FALSE), "DATO NO CARGADO"))
</f>
        <v/>
      </c>
      <c r="C1559" s="51"/>
      <c r="D1559" s="102"/>
      <c r="E1559" s="102"/>
      <c r="H1559" s="102"/>
      <c r="J1559" s="102"/>
      <c r="K1559" s="450"/>
      <c r="L1559" s="443"/>
      <c r="M1559" s="450"/>
      <c r="N1559" s="452">
        <f t="array" ref="N1559">IFERROR(
  INDEX(
    'Valor Hora Real y Estimada'!$A$4:$Z$78,
    MATCH(TRIM(CLEAN(A1559)), 'Valor Hora Real y Estimada'!$A$4:$A$78, 0),
    MATCH(
      TEXT(C1559,"dd mmm")&amp;" "&amp;D1559,
      'Valor Hora Real y Estimada'!$A$3:$Z$3,
      0
    ) + 1
  ),
  0
)</f>
        <v>0</v>
      </c>
      <c r="O1559" s="453"/>
      <c r="P1559" s="113"/>
      <c r="Q1559" s="106" t="str">
        <f>IF(ISBLANK(O1559), "", VLOOKUP(C1559&amp;" "&amp;D1559, 'Info Tipo de Cambio y REM'!$A$24:$B$35, 2, FALSE))</f>
        <v/>
      </c>
      <c r="R1559" s="107" t="str">
        <f t="shared" si="32"/>
        <v/>
      </c>
    </row>
    <row r="1560" hidden="1">
      <c r="A1560" s="443"/>
      <c r="B1560" s="43" t="str">
        <f>IF(A1560="", "", IFERROR(VLOOKUP(A1560, Clasificaciones!A:B, 2, FALSE), "DATO NO CARGADO"))
</f>
        <v/>
      </c>
      <c r="C1560" s="51"/>
      <c r="D1560" s="102"/>
      <c r="E1560" s="102"/>
      <c r="H1560" s="102"/>
      <c r="J1560" s="102"/>
      <c r="K1560" s="450"/>
      <c r="L1560" s="443"/>
      <c r="M1560" s="450"/>
      <c r="N1560" s="452">
        <f t="array" ref="N1560">IFERROR(
  INDEX(
    'Valor Hora Real y Estimada'!$A$4:$Z$78,
    MATCH(TRIM(CLEAN(A1560)), 'Valor Hora Real y Estimada'!$A$4:$A$78, 0),
    MATCH(
      TEXT(C1560,"dd mmm")&amp;" "&amp;D1560,
      'Valor Hora Real y Estimada'!$A$3:$Z$3,
      0
    ) + 1
  ),
  0
)</f>
        <v>0</v>
      </c>
      <c r="O1560" s="453"/>
      <c r="P1560" s="113"/>
      <c r="Q1560" s="106" t="str">
        <f>IF(ISBLANK(O1560), "", VLOOKUP(C1560&amp;" "&amp;D1560, 'Info Tipo de Cambio y REM'!$A$24:$B$35, 2, FALSE))</f>
        <v/>
      </c>
      <c r="R1560" s="107" t="str">
        <f t="shared" si="32"/>
        <v/>
      </c>
    </row>
    <row r="1561" hidden="1">
      <c r="A1561" s="443"/>
      <c r="B1561" s="43" t="str">
        <f>IF(A1561="", "", IFERROR(VLOOKUP(A1561, Clasificaciones!A:B, 2, FALSE), "DATO NO CARGADO"))
</f>
        <v/>
      </c>
      <c r="C1561" s="51"/>
      <c r="D1561" s="102"/>
      <c r="E1561" s="102"/>
      <c r="H1561" s="102"/>
      <c r="J1561" s="102"/>
      <c r="K1561" s="450"/>
      <c r="L1561" s="443"/>
      <c r="M1561" s="450"/>
      <c r="N1561" s="452">
        <f t="array" ref="N1561">IFERROR(
  INDEX(
    'Valor Hora Real y Estimada'!$A$4:$Z$78,
    MATCH(TRIM(CLEAN(A1561)), 'Valor Hora Real y Estimada'!$A$4:$A$78, 0),
    MATCH(
      TEXT(C1561,"dd mmm")&amp;" "&amp;D1561,
      'Valor Hora Real y Estimada'!$A$3:$Z$3,
      0
    ) + 1
  ),
  0
)</f>
        <v>0</v>
      </c>
      <c r="O1561" s="453"/>
      <c r="P1561" s="113"/>
      <c r="Q1561" s="106" t="str">
        <f>IF(ISBLANK(O1561), "", VLOOKUP(C1561&amp;" "&amp;D1561, 'Info Tipo de Cambio y REM'!$A$24:$B$35, 2, FALSE))</f>
        <v/>
      </c>
      <c r="R1561" s="107" t="str">
        <f t="shared" si="32"/>
        <v/>
      </c>
    </row>
    <row r="1562" hidden="1">
      <c r="A1562" s="443"/>
      <c r="B1562" s="43" t="str">
        <f>IF(A1562="", "", IFERROR(VLOOKUP(A1562, Clasificaciones!A:B, 2, FALSE), "DATO NO CARGADO"))
</f>
        <v/>
      </c>
      <c r="C1562" s="51"/>
      <c r="D1562" s="102"/>
      <c r="E1562" s="102"/>
      <c r="H1562" s="102"/>
      <c r="J1562" s="102"/>
      <c r="K1562" s="450"/>
      <c r="L1562" s="443"/>
      <c r="M1562" s="450"/>
      <c r="N1562" s="452">
        <f t="array" ref="N1562">IFERROR(
  INDEX(
    'Valor Hora Real y Estimada'!$A$4:$Z$78,
    MATCH(TRIM(CLEAN(A1562)), 'Valor Hora Real y Estimada'!$A$4:$A$78, 0),
    MATCH(
      TEXT(C1562,"dd mmm")&amp;" "&amp;D1562,
      'Valor Hora Real y Estimada'!$A$3:$Z$3,
      0
    ) + 1
  ),
  0
)</f>
        <v>0</v>
      </c>
      <c r="O1562" s="453"/>
      <c r="P1562" s="113"/>
      <c r="Q1562" s="106" t="str">
        <f>IF(ISBLANK(O1562), "", VLOOKUP(C1562&amp;" "&amp;D1562, 'Info Tipo de Cambio y REM'!$A$24:$B$35, 2, FALSE))</f>
        <v/>
      </c>
      <c r="R1562" s="107" t="str">
        <f t="shared" si="32"/>
        <v/>
      </c>
    </row>
    <row r="1563" hidden="1">
      <c r="A1563" s="443"/>
      <c r="B1563" s="43" t="str">
        <f>IF(A1563="", "", IFERROR(VLOOKUP(A1563, Clasificaciones!A:B, 2, FALSE), "DATO NO CARGADO"))
</f>
        <v/>
      </c>
      <c r="C1563" s="51"/>
      <c r="D1563" s="102"/>
      <c r="E1563" s="102"/>
      <c r="H1563" s="102"/>
      <c r="J1563" s="102"/>
      <c r="K1563" s="450"/>
      <c r="L1563" s="443"/>
      <c r="M1563" s="450"/>
      <c r="N1563" s="452">
        <f t="array" ref="N1563">IFERROR(
  INDEX(
    'Valor Hora Real y Estimada'!$A$4:$Z$78,
    MATCH(TRIM(CLEAN(A1563)), 'Valor Hora Real y Estimada'!$A$4:$A$78, 0),
    MATCH(
      TEXT(C1563,"dd mmm")&amp;" "&amp;D1563,
      'Valor Hora Real y Estimada'!$A$3:$Z$3,
      0
    ) + 1
  ),
  0
)</f>
        <v>0</v>
      </c>
      <c r="O1563" s="453"/>
      <c r="P1563" s="113"/>
      <c r="Q1563" s="106" t="str">
        <f>IF(ISBLANK(O1563), "", VLOOKUP(C1563&amp;" "&amp;D1563, 'Info Tipo de Cambio y REM'!$A$24:$B$35, 2, FALSE))</f>
        <v/>
      </c>
      <c r="R1563" s="107" t="str">
        <f t="shared" si="32"/>
        <v/>
      </c>
    </row>
    <row r="1564" hidden="1">
      <c r="A1564" s="443"/>
      <c r="B1564" s="43" t="str">
        <f>IF(A1564="", "", IFERROR(VLOOKUP(A1564, Clasificaciones!A:B, 2, FALSE), "DATO NO CARGADO"))
</f>
        <v/>
      </c>
      <c r="C1564" s="51"/>
      <c r="D1564" s="102"/>
      <c r="E1564" s="102"/>
      <c r="H1564" s="102"/>
      <c r="J1564" s="102"/>
      <c r="K1564" s="450"/>
      <c r="L1564" s="443"/>
      <c r="M1564" s="450"/>
      <c r="N1564" s="452">
        <f t="array" ref="N1564">IFERROR(
  INDEX(
    'Valor Hora Real y Estimada'!$A$4:$Z$78,
    MATCH(TRIM(CLEAN(A1564)), 'Valor Hora Real y Estimada'!$A$4:$A$78, 0),
    MATCH(
      TEXT(C1564,"dd mmm")&amp;" "&amp;D1564,
      'Valor Hora Real y Estimada'!$A$3:$Z$3,
      0
    ) + 1
  ),
  0
)</f>
        <v>0</v>
      </c>
      <c r="O1564" s="453"/>
      <c r="P1564" s="113"/>
      <c r="Q1564" s="106" t="str">
        <f>IF(ISBLANK(O1564), "", VLOOKUP(C1564&amp;" "&amp;D1564, 'Info Tipo de Cambio y REM'!$A$24:$B$35, 2, FALSE))</f>
        <v/>
      </c>
      <c r="R1564" s="107" t="str">
        <f t="shared" si="32"/>
        <v/>
      </c>
    </row>
    <row r="1565" hidden="1">
      <c r="A1565" s="443"/>
      <c r="B1565" s="43" t="str">
        <f>IF(A1565="", "", IFERROR(VLOOKUP(A1565, Clasificaciones!A:B, 2, FALSE), "DATO NO CARGADO"))
</f>
        <v/>
      </c>
      <c r="C1565" s="51"/>
      <c r="D1565" s="102"/>
      <c r="E1565" s="102"/>
      <c r="H1565" s="102"/>
      <c r="J1565" s="102"/>
      <c r="K1565" s="450"/>
      <c r="L1565" s="443"/>
      <c r="M1565" s="450"/>
      <c r="N1565" s="452">
        <f t="array" ref="N1565">IFERROR(
  INDEX(
    'Valor Hora Real y Estimada'!$A$4:$Z$78,
    MATCH(TRIM(CLEAN(A1565)), 'Valor Hora Real y Estimada'!$A$4:$A$78, 0),
    MATCH(
      TEXT(C1565,"dd mmm")&amp;" "&amp;D1565,
      'Valor Hora Real y Estimada'!$A$3:$Z$3,
      0
    ) + 1
  ),
  0
)</f>
        <v>0</v>
      </c>
      <c r="O1565" s="453"/>
      <c r="P1565" s="113"/>
      <c r="Q1565" s="106" t="str">
        <f>IF(ISBLANK(O1565), "", VLOOKUP(C1565&amp;" "&amp;D1565, 'Info Tipo de Cambio y REM'!$A$24:$B$35, 2, FALSE))</f>
        <v/>
      </c>
      <c r="R1565" s="107" t="str">
        <f t="shared" si="32"/>
        <v/>
      </c>
    </row>
    <row r="1566" hidden="1">
      <c r="A1566" s="443"/>
      <c r="B1566" s="43" t="str">
        <f>IF(A1566="", "", IFERROR(VLOOKUP(A1566, Clasificaciones!A:B, 2, FALSE), "DATO NO CARGADO"))
</f>
        <v/>
      </c>
      <c r="C1566" s="51"/>
      <c r="D1566" s="102"/>
      <c r="E1566" s="102"/>
      <c r="H1566" s="102"/>
      <c r="J1566" s="102"/>
      <c r="K1566" s="450"/>
      <c r="L1566" s="443"/>
      <c r="M1566" s="450"/>
      <c r="N1566" s="452">
        <f t="array" ref="N1566">IFERROR(
  INDEX(
    'Valor Hora Real y Estimada'!$A$4:$Z$78,
    MATCH(TRIM(CLEAN(A1566)), 'Valor Hora Real y Estimada'!$A$4:$A$78, 0),
    MATCH(
      TEXT(C1566,"dd mmm")&amp;" "&amp;D1566,
      'Valor Hora Real y Estimada'!$A$3:$Z$3,
      0
    ) + 1
  ),
  0
)</f>
        <v>0</v>
      </c>
      <c r="O1566" s="453"/>
      <c r="P1566" s="113"/>
      <c r="Q1566" s="106" t="str">
        <f>IF(ISBLANK(O1566), "", VLOOKUP(C1566&amp;" "&amp;D1566, 'Info Tipo de Cambio y REM'!$A$24:$B$35, 2, FALSE))</f>
        <v/>
      </c>
      <c r="R1566" s="107" t="str">
        <f t="shared" si="32"/>
        <v/>
      </c>
    </row>
    <row r="1567" hidden="1">
      <c r="A1567" s="443"/>
      <c r="B1567" s="43" t="str">
        <f>IF(A1567="", "", IFERROR(VLOOKUP(A1567, Clasificaciones!A:B, 2, FALSE), "DATO NO CARGADO"))
</f>
        <v/>
      </c>
      <c r="C1567" s="51"/>
      <c r="D1567" s="102"/>
      <c r="E1567" s="102"/>
      <c r="H1567" s="102"/>
      <c r="J1567" s="102"/>
      <c r="K1567" s="450"/>
      <c r="L1567" s="443"/>
      <c r="M1567" s="450"/>
      <c r="N1567" s="452">
        <f t="array" ref="N1567">IFERROR(
  INDEX(
    'Valor Hora Real y Estimada'!$A$4:$Z$78,
    MATCH(TRIM(CLEAN(A1567)), 'Valor Hora Real y Estimada'!$A$4:$A$78, 0),
    MATCH(
      TEXT(C1567,"dd mmm")&amp;" "&amp;D1567,
      'Valor Hora Real y Estimada'!$A$3:$Z$3,
      0
    ) + 1
  ),
  0
)</f>
        <v>0</v>
      </c>
      <c r="O1567" s="453"/>
      <c r="P1567" s="113"/>
      <c r="Q1567" s="106" t="str">
        <f>IF(ISBLANK(O1567), "", VLOOKUP(C1567&amp;" "&amp;D1567, 'Info Tipo de Cambio y REM'!$A$24:$B$35, 2, FALSE))</f>
        <v/>
      </c>
      <c r="R1567" s="107" t="str">
        <f t="shared" si="32"/>
        <v/>
      </c>
    </row>
    <row r="1568" hidden="1">
      <c r="A1568" s="443"/>
      <c r="B1568" s="43" t="str">
        <f>IF(A1568="", "", IFERROR(VLOOKUP(A1568, Clasificaciones!A:B, 2, FALSE), "DATO NO CARGADO"))
</f>
        <v/>
      </c>
      <c r="C1568" s="51"/>
      <c r="D1568" s="102"/>
      <c r="E1568" s="102"/>
      <c r="H1568" s="102"/>
      <c r="J1568" s="102"/>
      <c r="K1568" s="450"/>
      <c r="L1568" s="443"/>
      <c r="M1568" s="450"/>
      <c r="N1568" s="452">
        <f t="array" ref="N1568">IFERROR(
  INDEX(
    'Valor Hora Real y Estimada'!$A$4:$Z$78,
    MATCH(TRIM(CLEAN(A1568)), 'Valor Hora Real y Estimada'!$A$4:$A$78, 0),
    MATCH(
      TEXT(C1568,"dd mmm")&amp;" "&amp;D1568,
      'Valor Hora Real y Estimada'!$A$3:$Z$3,
      0
    ) + 1
  ),
  0
)</f>
        <v>0</v>
      </c>
      <c r="O1568" s="453"/>
      <c r="P1568" s="113"/>
      <c r="Q1568" s="106" t="str">
        <f>IF(ISBLANK(O1568), "", VLOOKUP(C1568&amp;" "&amp;D1568, 'Info Tipo de Cambio y REM'!$A$24:$B$35, 2, FALSE))</f>
        <v/>
      </c>
      <c r="R1568" s="107" t="str">
        <f t="shared" si="32"/>
        <v/>
      </c>
    </row>
    <row r="1569" hidden="1">
      <c r="A1569" s="443"/>
      <c r="B1569" s="43" t="str">
        <f>IF(A1569="", "", IFERROR(VLOOKUP(A1569, Clasificaciones!A:B, 2, FALSE), "DATO NO CARGADO"))
</f>
        <v/>
      </c>
      <c r="C1569" s="51"/>
      <c r="D1569" s="102"/>
      <c r="E1569" s="102"/>
      <c r="H1569" s="102"/>
      <c r="J1569" s="102"/>
      <c r="K1569" s="450"/>
      <c r="L1569" s="443"/>
      <c r="M1569" s="450"/>
      <c r="N1569" s="452">
        <f t="array" ref="N1569">IFERROR(
  INDEX(
    'Valor Hora Real y Estimada'!$A$4:$Z$78,
    MATCH(TRIM(CLEAN(A1569)), 'Valor Hora Real y Estimada'!$A$4:$A$78, 0),
    MATCH(
      TEXT(C1569,"dd mmm")&amp;" "&amp;D1569,
      'Valor Hora Real y Estimada'!$A$3:$Z$3,
      0
    ) + 1
  ),
  0
)</f>
        <v>0</v>
      </c>
      <c r="O1569" s="453"/>
      <c r="P1569" s="113"/>
      <c r="Q1569" s="106" t="str">
        <f>IF(ISBLANK(O1569), "", VLOOKUP(C1569&amp;" "&amp;D1569, 'Info Tipo de Cambio y REM'!$A$24:$B$35, 2, FALSE))</f>
        <v/>
      </c>
      <c r="R1569" s="107" t="str">
        <f t="shared" si="32"/>
        <v/>
      </c>
    </row>
    <row r="1570" hidden="1">
      <c r="A1570" s="443"/>
      <c r="B1570" s="43" t="str">
        <f>IF(A1570="", "", IFERROR(VLOOKUP(A1570, Clasificaciones!A:B, 2, FALSE), "DATO NO CARGADO"))
</f>
        <v/>
      </c>
      <c r="C1570" s="51"/>
      <c r="D1570" s="102"/>
      <c r="E1570" s="102"/>
      <c r="H1570" s="102"/>
      <c r="J1570" s="102"/>
      <c r="K1570" s="450"/>
      <c r="L1570" s="443"/>
      <c r="M1570" s="450"/>
      <c r="N1570" s="452">
        <f t="array" ref="N1570">IFERROR(
  INDEX(
    'Valor Hora Real y Estimada'!$A$4:$Z$78,
    MATCH(TRIM(CLEAN(A1570)), 'Valor Hora Real y Estimada'!$A$4:$A$78, 0),
    MATCH(
      TEXT(C1570,"dd mmm")&amp;" "&amp;D1570,
      'Valor Hora Real y Estimada'!$A$3:$Z$3,
      0
    ) + 1
  ),
  0
)</f>
        <v>0</v>
      </c>
      <c r="O1570" s="453"/>
      <c r="P1570" s="113"/>
      <c r="Q1570" s="106" t="str">
        <f>IF(ISBLANK(O1570), "", VLOOKUP(C1570&amp;" "&amp;D1570, 'Info Tipo de Cambio y REM'!$A$24:$B$35, 2, FALSE))</f>
        <v/>
      </c>
      <c r="R1570" s="107" t="str">
        <f t="shared" si="32"/>
        <v/>
      </c>
    </row>
    <row r="1571" hidden="1">
      <c r="A1571" s="443"/>
      <c r="B1571" s="43" t="str">
        <f>IF(A1571="", "", IFERROR(VLOOKUP(A1571, Clasificaciones!A:B, 2, FALSE), "DATO NO CARGADO"))
</f>
        <v/>
      </c>
      <c r="C1571" s="51"/>
      <c r="D1571" s="102"/>
      <c r="E1571" s="102"/>
      <c r="H1571" s="102"/>
      <c r="J1571" s="102"/>
      <c r="K1571" s="450"/>
      <c r="L1571" s="443"/>
      <c r="M1571" s="450"/>
      <c r="N1571" s="452">
        <f t="array" ref="N1571">IFERROR(
  INDEX(
    'Valor Hora Real y Estimada'!$A$4:$Z$78,
    MATCH(TRIM(CLEAN(A1571)), 'Valor Hora Real y Estimada'!$A$4:$A$78, 0),
    MATCH(
      TEXT(C1571,"dd mmm")&amp;" "&amp;D1571,
      'Valor Hora Real y Estimada'!$A$3:$Z$3,
      0
    ) + 1
  ),
  0
)</f>
        <v>0</v>
      </c>
      <c r="O1571" s="453"/>
      <c r="P1571" s="113"/>
      <c r="Q1571" s="106" t="str">
        <f>IF(ISBLANK(O1571), "", VLOOKUP(C1571&amp;" "&amp;D1571, 'Info Tipo de Cambio y REM'!$A$24:$B$35, 2, FALSE))</f>
        <v/>
      </c>
      <c r="R1571" s="107" t="str">
        <f t="shared" si="32"/>
        <v/>
      </c>
    </row>
    <row r="1572" hidden="1">
      <c r="A1572" s="443"/>
      <c r="B1572" s="43" t="str">
        <f>IF(A1572="", "", IFERROR(VLOOKUP(A1572, Clasificaciones!A:B, 2, FALSE), "DATO NO CARGADO"))
</f>
        <v/>
      </c>
      <c r="C1572" s="51"/>
      <c r="D1572" s="102"/>
      <c r="E1572" s="102"/>
      <c r="H1572" s="102"/>
      <c r="J1572" s="102"/>
      <c r="K1572" s="450"/>
      <c r="L1572" s="443"/>
      <c r="M1572" s="450"/>
      <c r="N1572" s="452">
        <f t="array" ref="N1572">IFERROR(
  INDEX(
    'Valor Hora Real y Estimada'!$A$4:$Z$78,
    MATCH(TRIM(CLEAN(A1572)), 'Valor Hora Real y Estimada'!$A$4:$A$78, 0),
    MATCH(
      TEXT(C1572,"dd mmm")&amp;" "&amp;D1572,
      'Valor Hora Real y Estimada'!$A$3:$Z$3,
      0
    ) + 1
  ),
  0
)</f>
        <v>0</v>
      </c>
      <c r="O1572" s="453"/>
      <c r="P1572" s="113"/>
      <c r="Q1572" s="106" t="str">
        <f>IF(ISBLANK(O1572), "", VLOOKUP(C1572&amp;" "&amp;D1572, 'Info Tipo de Cambio y REM'!$A$24:$B$35, 2, FALSE))</f>
        <v/>
      </c>
      <c r="R1572" s="107" t="str">
        <f t="shared" si="32"/>
        <v/>
      </c>
    </row>
    <row r="1573" hidden="1">
      <c r="A1573" s="443"/>
      <c r="B1573" s="43" t="str">
        <f>IF(A1573="", "", IFERROR(VLOOKUP(A1573, Clasificaciones!A:B, 2, FALSE), "DATO NO CARGADO"))
</f>
        <v/>
      </c>
      <c r="C1573" s="51"/>
      <c r="D1573" s="102"/>
      <c r="E1573" s="102"/>
      <c r="H1573" s="102"/>
      <c r="J1573" s="102"/>
      <c r="K1573" s="450"/>
      <c r="L1573" s="443"/>
      <c r="M1573" s="450"/>
      <c r="N1573" s="452">
        <f t="array" ref="N1573">IFERROR(
  INDEX(
    'Valor Hora Real y Estimada'!$A$4:$Z$78,
    MATCH(TRIM(CLEAN(A1573)), 'Valor Hora Real y Estimada'!$A$4:$A$78, 0),
    MATCH(
      TEXT(C1573,"dd mmm")&amp;" "&amp;D1573,
      'Valor Hora Real y Estimada'!$A$3:$Z$3,
      0
    ) + 1
  ),
  0
)</f>
        <v>0</v>
      </c>
      <c r="O1573" s="453"/>
      <c r="P1573" s="113"/>
      <c r="Q1573" s="106" t="str">
        <f>IF(ISBLANK(O1573), "", VLOOKUP(C1573&amp;" "&amp;D1573, 'Info Tipo de Cambio y REM'!$A$24:$B$35, 2, FALSE))</f>
        <v/>
      </c>
      <c r="R1573" s="107" t="str">
        <f t="shared" si="32"/>
        <v/>
      </c>
    </row>
    <row r="1574" hidden="1">
      <c r="A1574" s="443"/>
      <c r="B1574" s="43" t="str">
        <f>IF(A1574="", "", IFERROR(VLOOKUP(A1574, Clasificaciones!A:B, 2, FALSE), "DATO NO CARGADO"))
</f>
        <v/>
      </c>
      <c r="C1574" s="51"/>
      <c r="D1574" s="102"/>
      <c r="E1574" s="102"/>
      <c r="H1574" s="102"/>
      <c r="J1574" s="102"/>
      <c r="K1574" s="450"/>
      <c r="L1574" s="443"/>
      <c r="M1574" s="450"/>
      <c r="N1574" s="452">
        <f t="array" ref="N1574">IFERROR(
  INDEX(
    'Valor Hora Real y Estimada'!$A$4:$Z$78,
    MATCH(TRIM(CLEAN(A1574)), 'Valor Hora Real y Estimada'!$A$4:$A$78, 0),
    MATCH(
      TEXT(C1574,"dd mmm")&amp;" "&amp;D1574,
      'Valor Hora Real y Estimada'!$A$3:$Z$3,
      0
    ) + 1
  ),
  0
)</f>
        <v>0</v>
      </c>
      <c r="O1574" s="453"/>
      <c r="P1574" s="113"/>
      <c r="Q1574" s="106" t="str">
        <f>IF(ISBLANK(O1574), "", VLOOKUP(C1574&amp;" "&amp;D1574, 'Info Tipo de Cambio y REM'!$A$24:$B$35, 2, FALSE))</f>
        <v/>
      </c>
      <c r="R1574" s="107" t="str">
        <f t="shared" si="32"/>
        <v/>
      </c>
    </row>
    <row r="1575" hidden="1">
      <c r="A1575" s="443"/>
      <c r="B1575" s="43" t="str">
        <f>IF(A1575="", "", IFERROR(VLOOKUP(A1575, Clasificaciones!A:B, 2, FALSE), "DATO NO CARGADO"))
</f>
        <v/>
      </c>
      <c r="C1575" s="51"/>
      <c r="D1575" s="102"/>
      <c r="E1575" s="102"/>
      <c r="H1575" s="102"/>
      <c r="J1575" s="102"/>
      <c r="K1575" s="450"/>
      <c r="L1575" s="443"/>
      <c r="M1575" s="450"/>
      <c r="N1575" s="452">
        <f t="array" ref="N1575">IFERROR(
  INDEX(
    'Valor Hora Real y Estimada'!$A$4:$Z$78,
    MATCH(TRIM(CLEAN(A1575)), 'Valor Hora Real y Estimada'!$A$4:$A$78, 0),
    MATCH(
      TEXT(C1575,"dd mmm")&amp;" "&amp;D1575,
      'Valor Hora Real y Estimada'!$A$3:$Z$3,
      0
    ) + 1
  ),
  0
)</f>
        <v>0</v>
      </c>
      <c r="O1575" s="453"/>
      <c r="P1575" s="113"/>
      <c r="Q1575" s="106" t="str">
        <f>IF(ISBLANK(O1575), "", VLOOKUP(C1575&amp;" "&amp;D1575, 'Info Tipo de Cambio y REM'!$A$24:$B$35, 2, FALSE))</f>
        <v/>
      </c>
      <c r="R1575" s="107" t="str">
        <f t="shared" si="32"/>
        <v/>
      </c>
    </row>
    <row r="1576" hidden="1">
      <c r="A1576" s="443"/>
      <c r="B1576" s="43" t="str">
        <f>IF(A1576="", "", IFERROR(VLOOKUP(A1576, Clasificaciones!A:B, 2, FALSE), "DATO NO CARGADO"))
</f>
        <v/>
      </c>
      <c r="C1576" s="51"/>
      <c r="D1576" s="102"/>
      <c r="E1576" s="102"/>
      <c r="H1576" s="102"/>
      <c r="J1576" s="102"/>
      <c r="K1576" s="450"/>
      <c r="L1576" s="443"/>
      <c r="M1576" s="450"/>
      <c r="N1576" s="452">
        <f t="array" ref="N1576">IFERROR(
  INDEX(
    'Valor Hora Real y Estimada'!$A$4:$Z$78,
    MATCH(TRIM(CLEAN(A1576)), 'Valor Hora Real y Estimada'!$A$4:$A$78, 0),
    MATCH(
      TEXT(C1576,"dd mmm")&amp;" "&amp;D1576,
      'Valor Hora Real y Estimada'!$A$3:$Z$3,
      0
    ) + 1
  ),
  0
)</f>
        <v>0</v>
      </c>
      <c r="O1576" s="453"/>
      <c r="P1576" s="113"/>
      <c r="Q1576" s="106" t="str">
        <f>IF(ISBLANK(O1576), "", VLOOKUP(C1576&amp;" "&amp;D1576, 'Info Tipo de Cambio y REM'!$A$24:$B$35, 2, FALSE))</f>
        <v/>
      </c>
      <c r="R1576" s="107" t="str">
        <f t="shared" si="32"/>
        <v/>
      </c>
    </row>
    <row r="1577" hidden="1">
      <c r="A1577" s="443"/>
      <c r="B1577" s="43" t="str">
        <f>IF(A1577="", "", IFERROR(VLOOKUP(A1577, Clasificaciones!A:B, 2, FALSE), "DATO NO CARGADO"))
</f>
        <v/>
      </c>
      <c r="C1577" s="51"/>
      <c r="D1577" s="102"/>
      <c r="E1577" s="102"/>
      <c r="H1577" s="102"/>
      <c r="J1577" s="102"/>
      <c r="K1577" s="450"/>
      <c r="L1577" s="443"/>
      <c r="M1577" s="450"/>
      <c r="N1577" s="452">
        <f t="array" ref="N1577">IFERROR(
  INDEX(
    'Valor Hora Real y Estimada'!$A$4:$Z$78,
    MATCH(TRIM(CLEAN(A1577)), 'Valor Hora Real y Estimada'!$A$4:$A$78, 0),
    MATCH(
      TEXT(C1577,"dd mmm")&amp;" "&amp;D1577,
      'Valor Hora Real y Estimada'!$A$3:$Z$3,
      0
    ) + 1
  ),
  0
)</f>
        <v>0</v>
      </c>
      <c r="O1577" s="453"/>
      <c r="P1577" s="113"/>
      <c r="Q1577" s="106" t="str">
        <f>IF(ISBLANK(O1577), "", VLOOKUP(C1577&amp;" "&amp;D1577, 'Info Tipo de Cambio y REM'!$A$24:$B$35, 2, FALSE))</f>
        <v/>
      </c>
      <c r="R1577" s="107" t="str">
        <f t="shared" si="32"/>
        <v/>
      </c>
    </row>
    <row r="1578" hidden="1">
      <c r="A1578" s="443"/>
      <c r="B1578" s="43" t="str">
        <f>IF(A1578="", "", IFERROR(VLOOKUP(A1578, Clasificaciones!A:B, 2, FALSE), "DATO NO CARGADO"))
</f>
        <v/>
      </c>
      <c r="C1578" s="51"/>
      <c r="D1578" s="102"/>
      <c r="E1578" s="102"/>
      <c r="H1578" s="102"/>
      <c r="J1578" s="102"/>
      <c r="K1578" s="450"/>
      <c r="L1578" s="443"/>
      <c r="M1578" s="450"/>
      <c r="N1578" s="452">
        <f t="array" ref="N1578">IFERROR(
  INDEX(
    'Valor Hora Real y Estimada'!$A$4:$Z$78,
    MATCH(TRIM(CLEAN(A1578)), 'Valor Hora Real y Estimada'!$A$4:$A$78, 0),
    MATCH(
      TEXT(C1578,"dd mmm")&amp;" "&amp;D1578,
      'Valor Hora Real y Estimada'!$A$3:$Z$3,
      0
    ) + 1
  ),
  0
)</f>
        <v>0</v>
      </c>
      <c r="O1578" s="453"/>
      <c r="P1578" s="113"/>
      <c r="Q1578" s="106" t="str">
        <f>IF(ISBLANK(O1578), "", VLOOKUP(C1578&amp;" "&amp;D1578, 'Info Tipo de Cambio y REM'!$A$24:$B$35, 2, FALSE))</f>
        <v/>
      </c>
      <c r="R1578" s="107" t="str">
        <f t="shared" si="32"/>
        <v/>
      </c>
    </row>
    <row r="1579" hidden="1">
      <c r="A1579" s="443"/>
      <c r="B1579" s="43" t="str">
        <f>IF(A1579="", "", IFERROR(VLOOKUP(A1579, Clasificaciones!A:B, 2, FALSE), "DATO NO CARGADO"))
</f>
        <v/>
      </c>
      <c r="C1579" s="51"/>
      <c r="D1579" s="102"/>
      <c r="E1579" s="102"/>
      <c r="H1579" s="102"/>
      <c r="J1579" s="102"/>
      <c r="K1579" s="450"/>
      <c r="L1579" s="443"/>
      <c r="M1579" s="450"/>
      <c r="N1579" s="452">
        <f t="array" ref="N1579">IFERROR(
  INDEX(
    'Valor Hora Real y Estimada'!$A$4:$Z$78,
    MATCH(TRIM(CLEAN(A1579)), 'Valor Hora Real y Estimada'!$A$4:$A$78, 0),
    MATCH(
      TEXT(C1579,"dd mmm")&amp;" "&amp;D1579,
      'Valor Hora Real y Estimada'!$A$3:$Z$3,
      0
    ) + 1
  ),
  0
)</f>
        <v>0</v>
      </c>
      <c r="O1579" s="453"/>
      <c r="P1579" s="113"/>
      <c r="Q1579" s="106" t="str">
        <f>IF(ISBLANK(O1579), "", VLOOKUP(C1579&amp;" "&amp;D1579, 'Info Tipo de Cambio y REM'!$A$24:$B$35, 2, FALSE))</f>
        <v/>
      </c>
      <c r="R1579" s="107" t="str">
        <f t="shared" si="32"/>
        <v/>
      </c>
    </row>
    <row r="1580" hidden="1">
      <c r="A1580" s="443"/>
      <c r="B1580" s="43" t="str">
        <f>IF(A1580="", "", IFERROR(VLOOKUP(A1580, Clasificaciones!A:B, 2, FALSE), "DATO NO CARGADO"))
</f>
        <v/>
      </c>
      <c r="C1580" s="51"/>
      <c r="D1580" s="102"/>
      <c r="E1580" s="102"/>
      <c r="H1580" s="102"/>
      <c r="J1580" s="102"/>
      <c r="K1580" s="450"/>
      <c r="L1580" s="443"/>
      <c r="M1580" s="450"/>
      <c r="N1580" s="452">
        <f t="array" ref="N1580">IFERROR(
  INDEX(
    'Valor Hora Real y Estimada'!$A$4:$Z$78,
    MATCH(TRIM(CLEAN(A1580)), 'Valor Hora Real y Estimada'!$A$4:$A$78, 0),
    MATCH(
      TEXT(C1580,"dd mmm")&amp;" "&amp;D1580,
      'Valor Hora Real y Estimada'!$A$3:$Z$3,
      0
    ) + 1
  ),
  0
)</f>
        <v>0</v>
      </c>
      <c r="O1580" s="453"/>
      <c r="P1580" s="113"/>
      <c r="Q1580" s="106" t="str">
        <f>IF(ISBLANK(O1580), "", VLOOKUP(C1580&amp;" "&amp;D1580, 'Info Tipo de Cambio y REM'!$A$24:$B$35, 2, FALSE))</f>
        <v/>
      </c>
      <c r="R1580" s="107" t="str">
        <f t="shared" si="32"/>
        <v/>
      </c>
    </row>
    <row r="1581" hidden="1">
      <c r="A1581" s="443"/>
      <c r="B1581" s="43" t="str">
        <f>IF(A1581="", "", IFERROR(VLOOKUP(A1581, Clasificaciones!A:B, 2, FALSE), "DATO NO CARGADO"))
</f>
        <v/>
      </c>
      <c r="C1581" s="51"/>
      <c r="D1581" s="102"/>
      <c r="E1581" s="102"/>
      <c r="H1581" s="102"/>
      <c r="J1581" s="102"/>
      <c r="K1581" s="450"/>
      <c r="L1581" s="443"/>
      <c r="M1581" s="450"/>
      <c r="N1581" s="452">
        <f t="array" ref="N1581">IFERROR(
  INDEX(
    'Valor Hora Real y Estimada'!$A$4:$Z$78,
    MATCH(TRIM(CLEAN(A1581)), 'Valor Hora Real y Estimada'!$A$4:$A$78, 0),
    MATCH(
      TEXT(C1581,"dd mmm")&amp;" "&amp;D1581,
      'Valor Hora Real y Estimada'!$A$3:$Z$3,
      0
    ) + 1
  ),
  0
)</f>
        <v>0</v>
      </c>
      <c r="O1581" s="453"/>
      <c r="P1581" s="113"/>
      <c r="Q1581" s="106" t="str">
        <f>IF(ISBLANK(O1581), "", VLOOKUP(C1581&amp;" "&amp;D1581, 'Info Tipo de Cambio y REM'!$A$24:$B$35, 2, FALSE))</f>
        <v/>
      </c>
      <c r="R1581" s="107" t="str">
        <f t="shared" si="32"/>
        <v/>
      </c>
    </row>
    <row r="1582" hidden="1">
      <c r="A1582" s="443"/>
      <c r="B1582" s="43" t="str">
        <f>IF(A1582="", "", IFERROR(VLOOKUP(A1582, Clasificaciones!A:B, 2, FALSE), "DATO NO CARGADO"))
</f>
        <v/>
      </c>
      <c r="C1582" s="51"/>
      <c r="D1582" s="102"/>
      <c r="E1582" s="102"/>
      <c r="H1582" s="102"/>
      <c r="J1582" s="102"/>
      <c r="K1582" s="450"/>
      <c r="L1582" s="443"/>
      <c r="M1582" s="450"/>
      <c r="N1582" s="452">
        <f t="array" ref="N1582">IFERROR(
  INDEX(
    'Valor Hora Real y Estimada'!$A$4:$Z$78,
    MATCH(TRIM(CLEAN(A1582)), 'Valor Hora Real y Estimada'!$A$4:$A$78, 0),
    MATCH(
      TEXT(C1582,"dd mmm")&amp;" "&amp;D1582,
      'Valor Hora Real y Estimada'!$A$3:$Z$3,
      0
    ) + 1
  ),
  0
)</f>
        <v>0</v>
      </c>
      <c r="O1582" s="453"/>
      <c r="P1582" s="113"/>
      <c r="Q1582" s="106" t="str">
        <f>IF(ISBLANK(O1582), "", VLOOKUP(C1582&amp;" "&amp;D1582, 'Info Tipo de Cambio y REM'!$A$24:$B$35, 2, FALSE))</f>
        <v/>
      </c>
      <c r="R1582" s="107" t="str">
        <f t="shared" si="32"/>
        <v/>
      </c>
    </row>
    <row r="1583" hidden="1">
      <c r="A1583" s="443"/>
      <c r="B1583" s="43" t="str">
        <f>IF(A1583="", "", IFERROR(VLOOKUP(A1583, Clasificaciones!A:B, 2, FALSE), "DATO NO CARGADO"))
</f>
        <v/>
      </c>
      <c r="C1583" s="51"/>
      <c r="D1583" s="102"/>
      <c r="E1583" s="102"/>
      <c r="H1583" s="102"/>
      <c r="J1583" s="102"/>
      <c r="K1583" s="450"/>
      <c r="L1583" s="443"/>
      <c r="M1583" s="450"/>
      <c r="N1583" s="452">
        <f t="array" ref="N1583">IFERROR(
  INDEX(
    'Valor Hora Real y Estimada'!$A$4:$Z$78,
    MATCH(TRIM(CLEAN(A1583)), 'Valor Hora Real y Estimada'!$A$4:$A$78, 0),
    MATCH(
      TEXT(C1583,"dd mmm")&amp;" "&amp;D1583,
      'Valor Hora Real y Estimada'!$A$3:$Z$3,
      0
    ) + 1
  ),
  0
)</f>
        <v>0</v>
      </c>
      <c r="O1583" s="453"/>
      <c r="P1583" s="113"/>
      <c r="Q1583" s="106" t="str">
        <f>IF(ISBLANK(O1583), "", VLOOKUP(C1583&amp;" "&amp;D1583, 'Info Tipo de Cambio y REM'!$A$24:$B$35, 2, FALSE))</f>
        <v/>
      </c>
      <c r="R1583" s="107" t="str">
        <f t="shared" si="32"/>
        <v/>
      </c>
    </row>
    <row r="1584" hidden="1">
      <c r="A1584" s="443"/>
      <c r="B1584" s="43" t="str">
        <f>IF(A1584="", "", IFERROR(VLOOKUP(A1584, Clasificaciones!A:B, 2, FALSE), "DATO NO CARGADO"))
</f>
        <v/>
      </c>
      <c r="C1584" s="51"/>
      <c r="D1584" s="102"/>
      <c r="E1584" s="102"/>
      <c r="H1584" s="102"/>
      <c r="J1584" s="102"/>
      <c r="K1584" s="450"/>
      <c r="L1584" s="443"/>
      <c r="M1584" s="450"/>
      <c r="N1584" s="452">
        <f t="array" ref="N1584">IFERROR(
  INDEX(
    'Valor Hora Real y Estimada'!$A$4:$Z$78,
    MATCH(TRIM(CLEAN(A1584)), 'Valor Hora Real y Estimada'!$A$4:$A$78, 0),
    MATCH(
      TEXT(C1584,"dd mmm")&amp;" "&amp;D1584,
      'Valor Hora Real y Estimada'!$A$3:$Z$3,
      0
    ) + 1
  ),
  0
)</f>
        <v>0</v>
      </c>
      <c r="O1584" s="453"/>
      <c r="P1584" s="113"/>
      <c r="Q1584" s="106" t="str">
        <f>IF(ISBLANK(O1584), "", VLOOKUP(C1584&amp;" "&amp;D1584, 'Info Tipo de Cambio y REM'!$A$24:$B$35, 2, FALSE))</f>
        <v/>
      </c>
      <c r="R1584" s="107" t="str">
        <f t="shared" si="32"/>
        <v/>
      </c>
    </row>
    <row r="1585" hidden="1">
      <c r="A1585" s="443"/>
      <c r="B1585" s="43" t="str">
        <f>IF(A1585="", "", IFERROR(VLOOKUP(A1585, Clasificaciones!A:B, 2, FALSE), "DATO NO CARGADO"))
</f>
        <v/>
      </c>
      <c r="C1585" s="51"/>
      <c r="D1585" s="102"/>
      <c r="E1585" s="102"/>
      <c r="H1585" s="102"/>
      <c r="J1585" s="102"/>
      <c r="K1585" s="450"/>
      <c r="L1585" s="443"/>
      <c r="M1585" s="450"/>
      <c r="N1585" s="452">
        <f t="array" ref="N1585">IFERROR(
  INDEX(
    'Valor Hora Real y Estimada'!$A$4:$Z$78,
    MATCH(TRIM(CLEAN(A1585)), 'Valor Hora Real y Estimada'!$A$4:$A$78, 0),
    MATCH(
      TEXT(C1585,"dd mmm")&amp;" "&amp;D1585,
      'Valor Hora Real y Estimada'!$A$3:$Z$3,
      0
    ) + 1
  ),
  0
)</f>
        <v>0</v>
      </c>
      <c r="O1585" s="453"/>
      <c r="P1585" s="113"/>
      <c r="Q1585" s="106" t="str">
        <f>IF(ISBLANK(O1585), "", VLOOKUP(C1585&amp;" "&amp;D1585, 'Info Tipo de Cambio y REM'!$A$24:$B$35, 2, FALSE))</f>
        <v/>
      </c>
      <c r="R1585" s="107" t="str">
        <f t="shared" si="32"/>
        <v/>
      </c>
    </row>
    <row r="1586" hidden="1">
      <c r="A1586" s="443"/>
      <c r="B1586" s="43" t="str">
        <f>IF(A1586="", "", IFERROR(VLOOKUP(A1586, Clasificaciones!A:B, 2, FALSE), "DATO NO CARGADO"))
</f>
        <v/>
      </c>
      <c r="C1586" s="51"/>
      <c r="D1586" s="102"/>
      <c r="E1586" s="102"/>
      <c r="H1586" s="102"/>
      <c r="J1586" s="102"/>
      <c r="K1586" s="450"/>
      <c r="L1586" s="443"/>
      <c r="M1586" s="450"/>
      <c r="N1586" s="452">
        <f t="array" ref="N1586">IFERROR(
  INDEX(
    'Valor Hora Real y Estimada'!$A$4:$Z$78,
    MATCH(TRIM(CLEAN(A1586)), 'Valor Hora Real y Estimada'!$A$4:$A$78, 0),
    MATCH(
      TEXT(C1586,"dd mmm")&amp;" "&amp;D1586,
      'Valor Hora Real y Estimada'!$A$3:$Z$3,
      0
    ) + 1
  ),
  0
)</f>
        <v>0</v>
      </c>
      <c r="O1586" s="453"/>
      <c r="P1586" s="113"/>
      <c r="Q1586" s="106" t="str">
        <f>IF(ISBLANK(O1586), "", VLOOKUP(C1586&amp;" "&amp;D1586, 'Info Tipo de Cambio y REM'!$A$24:$B$35, 2, FALSE))</f>
        <v/>
      </c>
      <c r="R1586" s="107" t="str">
        <f t="shared" si="32"/>
        <v/>
      </c>
    </row>
    <row r="1587" hidden="1">
      <c r="A1587" s="443"/>
      <c r="B1587" s="43" t="str">
        <f>IF(A1587="", "", IFERROR(VLOOKUP(A1587, Clasificaciones!A:B, 2, FALSE), "DATO NO CARGADO"))
</f>
        <v/>
      </c>
      <c r="C1587" s="51"/>
      <c r="D1587" s="102"/>
      <c r="E1587" s="102"/>
      <c r="H1587" s="102"/>
      <c r="J1587" s="102"/>
      <c r="K1587" s="450"/>
      <c r="L1587" s="443"/>
      <c r="M1587" s="450"/>
      <c r="N1587" s="452">
        <f t="array" ref="N1587">IFERROR(
  INDEX(
    'Valor Hora Real y Estimada'!$A$4:$Z$78,
    MATCH(TRIM(CLEAN(A1587)), 'Valor Hora Real y Estimada'!$A$4:$A$78, 0),
    MATCH(
      TEXT(C1587,"dd mmm")&amp;" "&amp;D1587,
      'Valor Hora Real y Estimada'!$A$3:$Z$3,
      0
    ) + 1
  ),
  0
)</f>
        <v>0</v>
      </c>
      <c r="O1587" s="453"/>
      <c r="P1587" s="113"/>
      <c r="Q1587" s="106" t="str">
        <f>IF(ISBLANK(O1587), "", VLOOKUP(C1587&amp;" "&amp;D1587, 'Info Tipo de Cambio y REM'!$A$24:$B$35, 2, FALSE))</f>
        <v/>
      </c>
      <c r="R1587" s="107" t="str">
        <f t="shared" si="32"/>
        <v/>
      </c>
    </row>
    <row r="1588" hidden="1">
      <c r="A1588" s="443"/>
      <c r="B1588" s="43" t="str">
        <f>IF(A1588="", "", IFERROR(VLOOKUP(A1588, Clasificaciones!A:B, 2, FALSE), "DATO NO CARGADO"))
</f>
        <v/>
      </c>
      <c r="C1588" s="51"/>
      <c r="D1588" s="102"/>
      <c r="E1588" s="102"/>
      <c r="H1588" s="102"/>
      <c r="J1588" s="102"/>
      <c r="K1588" s="450"/>
      <c r="L1588" s="443"/>
      <c r="M1588" s="450"/>
      <c r="N1588" s="452">
        <f t="array" ref="N1588">IFERROR(
  INDEX(
    'Valor Hora Real y Estimada'!$A$4:$Z$78,
    MATCH(TRIM(CLEAN(A1588)), 'Valor Hora Real y Estimada'!$A$4:$A$78, 0),
    MATCH(
      TEXT(C1588,"dd mmm")&amp;" "&amp;D1588,
      'Valor Hora Real y Estimada'!$A$3:$Z$3,
      0
    ) + 1
  ),
  0
)</f>
        <v>0</v>
      </c>
      <c r="O1588" s="453"/>
      <c r="P1588" s="113"/>
      <c r="Q1588" s="106" t="str">
        <f>IF(ISBLANK(O1588), "", VLOOKUP(C1588&amp;" "&amp;D1588, 'Info Tipo de Cambio y REM'!$A$24:$B$35, 2, FALSE))</f>
        <v/>
      </c>
      <c r="R1588" s="107" t="str">
        <f t="shared" si="32"/>
        <v/>
      </c>
    </row>
    <row r="1589" hidden="1">
      <c r="A1589" s="443"/>
      <c r="B1589" s="43" t="str">
        <f>IF(A1589="", "", IFERROR(VLOOKUP(A1589, Clasificaciones!A:B, 2, FALSE), "DATO NO CARGADO"))
</f>
        <v/>
      </c>
      <c r="C1589" s="51"/>
      <c r="D1589" s="102"/>
      <c r="E1589" s="102"/>
      <c r="H1589" s="102"/>
      <c r="J1589" s="102"/>
      <c r="K1589" s="450"/>
      <c r="L1589" s="443"/>
      <c r="M1589" s="450"/>
      <c r="N1589" s="452">
        <f t="array" ref="N1589">IFERROR(
  INDEX(
    'Valor Hora Real y Estimada'!$A$4:$Z$78,
    MATCH(TRIM(CLEAN(A1589)), 'Valor Hora Real y Estimada'!$A$4:$A$78, 0),
    MATCH(
      TEXT(C1589,"dd mmm")&amp;" "&amp;D1589,
      'Valor Hora Real y Estimada'!$A$3:$Z$3,
      0
    ) + 1
  ),
  0
)</f>
        <v>0</v>
      </c>
      <c r="O1589" s="453"/>
      <c r="P1589" s="113"/>
      <c r="Q1589" s="106" t="str">
        <f>IF(ISBLANK(O1589), "", VLOOKUP(C1589&amp;" "&amp;D1589, 'Info Tipo de Cambio y REM'!$A$24:$B$35, 2, FALSE))</f>
        <v/>
      </c>
      <c r="R1589" s="107" t="str">
        <f t="shared" si="32"/>
        <v/>
      </c>
    </row>
    <row r="1590" hidden="1">
      <c r="A1590" s="443"/>
      <c r="B1590" s="43" t="str">
        <f>IF(A1590="", "", IFERROR(VLOOKUP(A1590, Clasificaciones!A:B, 2, FALSE), "DATO NO CARGADO"))
</f>
        <v/>
      </c>
      <c r="C1590" s="51"/>
      <c r="D1590" s="102"/>
      <c r="E1590" s="102"/>
      <c r="H1590" s="102"/>
      <c r="J1590" s="102"/>
      <c r="K1590" s="450"/>
      <c r="L1590" s="443"/>
      <c r="M1590" s="450"/>
      <c r="N1590" s="452">
        <f t="array" ref="N1590">IFERROR(
  INDEX(
    'Valor Hora Real y Estimada'!$A$4:$Z$78,
    MATCH(TRIM(CLEAN(A1590)), 'Valor Hora Real y Estimada'!$A$4:$A$78, 0),
    MATCH(
      TEXT(C1590,"dd mmm")&amp;" "&amp;D1590,
      'Valor Hora Real y Estimada'!$A$3:$Z$3,
      0
    ) + 1
  ),
  0
)</f>
        <v>0</v>
      </c>
      <c r="O1590" s="453"/>
      <c r="P1590" s="113"/>
      <c r="Q1590" s="106" t="str">
        <f>IF(ISBLANK(O1590), "", VLOOKUP(C1590&amp;" "&amp;D1590, 'Info Tipo de Cambio y REM'!$A$24:$B$35, 2, FALSE))</f>
        <v/>
      </c>
      <c r="R1590" s="107" t="str">
        <f t="shared" si="32"/>
        <v/>
      </c>
    </row>
    <row r="1591" hidden="1">
      <c r="A1591" s="443"/>
      <c r="B1591" s="43" t="str">
        <f>IF(A1591="", "", IFERROR(VLOOKUP(A1591, Clasificaciones!A:B, 2, FALSE), "DATO NO CARGADO"))
</f>
        <v/>
      </c>
      <c r="C1591" s="51"/>
      <c r="D1591" s="102"/>
      <c r="E1591" s="102"/>
      <c r="H1591" s="102"/>
      <c r="J1591" s="102"/>
      <c r="K1591" s="450"/>
      <c r="L1591" s="443"/>
      <c r="M1591" s="450"/>
      <c r="N1591" s="452">
        <f t="array" ref="N1591">IFERROR(
  INDEX(
    'Valor Hora Real y Estimada'!$A$4:$Z$78,
    MATCH(TRIM(CLEAN(A1591)), 'Valor Hora Real y Estimada'!$A$4:$A$78, 0),
    MATCH(
      TEXT(C1591,"dd mmm")&amp;" "&amp;D1591,
      'Valor Hora Real y Estimada'!$A$3:$Z$3,
      0
    ) + 1
  ),
  0
)</f>
        <v>0</v>
      </c>
      <c r="O1591" s="453"/>
      <c r="P1591" s="113"/>
      <c r="Q1591" s="106" t="str">
        <f>IF(ISBLANK(O1591), "", VLOOKUP(C1591&amp;" "&amp;D1591, 'Info Tipo de Cambio y REM'!$A$24:$B$35, 2, FALSE))</f>
        <v/>
      </c>
      <c r="R1591" s="107" t="str">
        <f t="shared" si="32"/>
        <v/>
      </c>
    </row>
    <row r="1592" hidden="1">
      <c r="A1592" s="443"/>
      <c r="B1592" s="43" t="str">
        <f>IF(A1592="", "", IFERROR(VLOOKUP(A1592, Clasificaciones!A:B, 2, FALSE), "DATO NO CARGADO"))
</f>
        <v/>
      </c>
      <c r="C1592" s="51"/>
      <c r="D1592" s="102"/>
      <c r="E1592" s="102"/>
      <c r="H1592" s="102"/>
      <c r="J1592" s="102"/>
      <c r="K1592" s="450"/>
      <c r="L1592" s="443"/>
      <c r="M1592" s="450"/>
      <c r="N1592" s="452">
        <f t="array" ref="N1592">IFERROR(
  INDEX(
    'Valor Hora Real y Estimada'!$A$4:$Z$78,
    MATCH(TRIM(CLEAN(A1592)), 'Valor Hora Real y Estimada'!$A$4:$A$78, 0),
    MATCH(
      TEXT(C1592,"dd mmm")&amp;" "&amp;D1592,
      'Valor Hora Real y Estimada'!$A$3:$Z$3,
      0
    ) + 1
  ),
  0
)</f>
        <v>0</v>
      </c>
      <c r="O1592" s="453"/>
      <c r="P1592" s="113"/>
      <c r="Q1592" s="106" t="str">
        <f>IF(ISBLANK(O1592), "", VLOOKUP(C1592&amp;" "&amp;D1592, 'Info Tipo de Cambio y REM'!$A$24:$B$35, 2, FALSE))</f>
        <v/>
      </c>
      <c r="R1592" s="107" t="str">
        <f t="shared" si="32"/>
        <v/>
      </c>
    </row>
    <row r="1593" hidden="1">
      <c r="A1593" s="443"/>
      <c r="B1593" s="43" t="str">
        <f>IF(A1593="", "", IFERROR(VLOOKUP(A1593, Clasificaciones!A:B, 2, FALSE), "DATO NO CARGADO"))
</f>
        <v/>
      </c>
      <c r="C1593" s="51"/>
      <c r="D1593" s="102"/>
      <c r="E1593" s="102"/>
      <c r="H1593" s="102"/>
      <c r="J1593" s="102"/>
      <c r="K1593" s="450"/>
      <c r="L1593" s="443"/>
      <c r="M1593" s="450"/>
      <c r="N1593" s="452">
        <f t="array" ref="N1593">IFERROR(
  INDEX(
    'Valor Hora Real y Estimada'!$A$4:$Z$78,
    MATCH(TRIM(CLEAN(A1593)), 'Valor Hora Real y Estimada'!$A$4:$A$78, 0),
    MATCH(
      TEXT(C1593,"dd mmm")&amp;" "&amp;D1593,
      'Valor Hora Real y Estimada'!$A$3:$Z$3,
      0
    ) + 1
  ),
  0
)</f>
        <v>0</v>
      </c>
      <c r="O1593" s="453"/>
      <c r="P1593" s="113"/>
      <c r="Q1593" s="106" t="str">
        <f>IF(ISBLANK(O1593), "", VLOOKUP(C1593&amp;" "&amp;D1593, 'Info Tipo de Cambio y REM'!$A$24:$B$35, 2, FALSE))</f>
        <v/>
      </c>
      <c r="R1593" s="107" t="str">
        <f t="shared" si="32"/>
        <v/>
      </c>
    </row>
    <row r="1594" hidden="1">
      <c r="A1594" s="443"/>
      <c r="B1594" s="43" t="str">
        <f>IF(A1594="", "", IFERROR(VLOOKUP(A1594, Clasificaciones!A:B, 2, FALSE), "DATO NO CARGADO"))
</f>
        <v/>
      </c>
      <c r="C1594" s="51"/>
      <c r="D1594" s="102"/>
      <c r="E1594" s="102"/>
      <c r="H1594" s="102"/>
      <c r="J1594" s="102"/>
      <c r="K1594" s="450"/>
      <c r="L1594" s="443"/>
      <c r="M1594" s="450"/>
      <c r="N1594" s="452">
        <f t="array" ref="N1594">IFERROR(
  INDEX(
    'Valor Hora Real y Estimada'!$A$4:$Z$78,
    MATCH(TRIM(CLEAN(A1594)), 'Valor Hora Real y Estimada'!$A$4:$A$78, 0),
    MATCH(
      TEXT(C1594,"dd mmm")&amp;" "&amp;D1594,
      'Valor Hora Real y Estimada'!$A$3:$Z$3,
      0
    ) + 1
  ),
  0
)</f>
        <v>0</v>
      </c>
      <c r="O1594" s="453"/>
      <c r="P1594" s="113"/>
      <c r="Q1594" s="106" t="str">
        <f>IF(ISBLANK(O1594), "", VLOOKUP(C1594&amp;" "&amp;D1594, 'Info Tipo de Cambio y REM'!$A$24:$B$35, 2, FALSE))</f>
        <v/>
      </c>
      <c r="R1594" s="107" t="str">
        <f t="shared" si="32"/>
        <v/>
      </c>
    </row>
    <row r="1595" hidden="1">
      <c r="A1595" s="443"/>
      <c r="B1595" s="43" t="str">
        <f>IF(A1595="", "", IFERROR(VLOOKUP(A1595, Clasificaciones!A:B, 2, FALSE), "DATO NO CARGADO"))
</f>
        <v/>
      </c>
      <c r="C1595" s="51"/>
      <c r="D1595" s="102"/>
      <c r="E1595" s="102"/>
      <c r="H1595" s="102"/>
      <c r="J1595" s="102"/>
      <c r="K1595" s="450"/>
      <c r="L1595" s="443"/>
      <c r="M1595" s="450"/>
      <c r="N1595" s="452">
        <f t="array" ref="N1595">IFERROR(
  INDEX(
    'Valor Hora Real y Estimada'!$A$4:$Z$78,
    MATCH(TRIM(CLEAN(A1595)), 'Valor Hora Real y Estimada'!$A$4:$A$78, 0),
    MATCH(
      TEXT(C1595,"dd mmm")&amp;" "&amp;D1595,
      'Valor Hora Real y Estimada'!$A$3:$Z$3,
      0
    ) + 1
  ),
  0
)</f>
        <v>0</v>
      </c>
      <c r="O1595" s="453"/>
      <c r="P1595" s="113"/>
      <c r="Q1595" s="106" t="str">
        <f>IF(ISBLANK(O1595), "", VLOOKUP(C1595&amp;" "&amp;D1595, 'Info Tipo de Cambio y REM'!$A$24:$B$35, 2, FALSE))</f>
        <v/>
      </c>
      <c r="R1595" s="107" t="str">
        <f t="shared" si="32"/>
        <v/>
      </c>
    </row>
    <row r="1596" hidden="1">
      <c r="A1596" s="443"/>
      <c r="B1596" s="43" t="str">
        <f>IF(A1596="", "", IFERROR(VLOOKUP(A1596, Clasificaciones!A:B, 2, FALSE), "DATO NO CARGADO"))
</f>
        <v/>
      </c>
      <c r="C1596" s="51"/>
      <c r="D1596" s="102"/>
      <c r="E1596" s="102"/>
      <c r="H1596" s="102"/>
      <c r="J1596" s="102"/>
      <c r="K1596" s="450"/>
      <c r="L1596" s="443"/>
      <c r="M1596" s="450"/>
      <c r="N1596" s="452">
        <f t="array" ref="N1596">IFERROR(
  INDEX(
    'Valor Hora Real y Estimada'!$A$4:$Z$78,
    MATCH(TRIM(CLEAN(A1596)), 'Valor Hora Real y Estimada'!$A$4:$A$78, 0),
    MATCH(
      TEXT(C1596,"dd mmm")&amp;" "&amp;D1596,
      'Valor Hora Real y Estimada'!$A$3:$Z$3,
      0
    ) + 1
  ),
  0
)</f>
        <v>0</v>
      </c>
      <c r="O1596" s="453"/>
      <c r="P1596" s="113"/>
      <c r="Q1596" s="106" t="str">
        <f>IF(ISBLANK(O1596), "", VLOOKUP(C1596&amp;" "&amp;D1596, 'Info Tipo de Cambio y REM'!$A$24:$B$35, 2, FALSE))</f>
        <v/>
      </c>
      <c r="R1596" s="107" t="str">
        <f t="shared" si="32"/>
        <v/>
      </c>
    </row>
    <row r="1597" hidden="1">
      <c r="A1597" s="443"/>
      <c r="B1597" s="43" t="str">
        <f>IF(A1597="", "", IFERROR(VLOOKUP(A1597, Clasificaciones!A:B, 2, FALSE), "DATO NO CARGADO"))
</f>
        <v/>
      </c>
      <c r="C1597" s="51"/>
      <c r="D1597" s="102"/>
      <c r="E1597" s="102"/>
      <c r="H1597" s="102"/>
      <c r="J1597" s="102"/>
      <c r="K1597" s="450"/>
      <c r="L1597" s="443"/>
      <c r="M1597" s="450"/>
      <c r="N1597" s="452">
        <f t="array" ref="N1597">IFERROR(
  INDEX(
    'Valor Hora Real y Estimada'!$A$4:$Z$78,
    MATCH(TRIM(CLEAN(A1597)), 'Valor Hora Real y Estimada'!$A$4:$A$78, 0),
    MATCH(
      TEXT(C1597,"dd mmm")&amp;" "&amp;D1597,
      'Valor Hora Real y Estimada'!$A$3:$Z$3,
      0
    ) + 1
  ),
  0
)</f>
        <v>0</v>
      </c>
      <c r="O1597" s="453"/>
      <c r="P1597" s="113"/>
      <c r="Q1597" s="106" t="str">
        <f>IF(ISBLANK(O1597), "", VLOOKUP(C1597&amp;" "&amp;D1597, 'Info Tipo de Cambio y REM'!$A$24:$B$35, 2, FALSE))</f>
        <v/>
      </c>
      <c r="R1597" s="107" t="str">
        <f t="shared" si="32"/>
        <v/>
      </c>
    </row>
    <row r="1598" hidden="1">
      <c r="A1598" s="443"/>
      <c r="B1598" s="43" t="str">
        <f>IF(A1598="", "", IFERROR(VLOOKUP(A1598, Clasificaciones!A:B, 2, FALSE), "DATO NO CARGADO"))
</f>
        <v/>
      </c>
      <c r="C1598" s="51"/>
      <c r="D1598" s="102"/>
      <c r="E1598" s="102"/>
      <c r="H1598" s="102"/>
      <c r="J1598" s="102"/>
      <c r="K1598" s="450"/>
      <c r="L1598" s="443"/>
      <c r="M1598" s="450"/>
      <c r="N1598" s="452">
        <f t="array" ref="N1598">IFERROR(
  INDEX(
    'Valor Hora Real y Estimada'!$A$4:$Z$78,
    MATCH(TRIM(CLEAN(A1598)), 'Valor Hora Real y Estimada'!$A$4:$A$78, 0),
    MATCH(
      TEXT(C1598,"dd mmm")&amp;" "&amp;D1598,
      'Valor Hora Real y Estimada'!$A$3:$Z$3,
      0
    ) + 1
  ),
  0
)</f>
        <v>0</v>
      </c>
      <c r="O1598" s="453"/>
      <c r="P1598" s="113"/>
      <c r="Q1598" s="106" t="str">
        <f>IF(ISBLANK(O1598), "", VLOOKUP(C1598&amp;" "&amp;D1598, 'Info Tipo de Cambio y REM'!$A$24:$B$35, 2, FALSE))</f>
        <v/>
      </c>
      <c r="R1598" s="107" t="str">
        <f t="shared" si="32"/>
        <v/>
      </c>
    </row>
    <row r="1599" hidden="1">
      <c r="A1599" s="443"/>
      <c r="B1599" s="43" t="str">
        <f>IF(A1599="", "", IFERROR(VLOOKUP(A1599, Clasificaciones!A:B, 2, FALSE), "DATO NO CARGADO"))
</f>
        <v/>
      </c>
      <c r="C1599" s="51"/>
      <c r="D1599" s="102"/>
      <c r="E1599" s="102"/>
      <c r="H1599" s="102"/>
      <c r="J1599" s="102"/>
      <c r="K1599" s="450"/>
      <c r="L1599" s="443"/>
      <c r="M1599" s="450"/>
      <c r="N1599" s="452">
        <f t="array" ref="N1599">IFERROR(
  INDEX(
    'Valor Hora Real y Estimada'!$A$4:$Z$78,
    MATCH(TRIM(CLEAN(A1599)), 'Valor Hora Real y Estimada'!$A$4:$A$78, 0),
    MATCH(
      TEXT(C1599,"dd mmm")&amp;" "&amp;D1599,
      'Valor Hora Real y Estimada'!$A$3:$Z$3,
      0
    ) + 1
  ),
  0
)</f>
        <v>0</v>
      </c>
      <c r="O1599" s="453"/>
      <c r="P1599" s="113"/>
      <c r="Q1599" s="106" t="str">
        <f>IF(ISBLANK(O1599), "", VLOOKUP(C1599&amp;" "&amp;D1599, 'Info Tipo de Cambio y REM'!$A$24:$B$35, 2, FALSE))</f>
        <v/>
      </c>
      <c r="R1599" s="107" t="str">
        <f t="shared" si="32"/>
        <v/>
      </c>
    </row>
    <row r="1600" hidden="1">
      <c r="A1600" s="443"/>
      <c r="B1600" s="43" t="str">
        <f>IF(A1600="", "", IFERROR(VLOOKUP(A1600, Clasificaciones!A:B, 2, FALSE), "DATO NO CARGADO"))
</f>
        <v/>
      </c>
      <c r="C1600" s="51"/>
      <c r="D1600" s="102"/>
      <c r="E1600" s="102"/>
      <c r="H1600" s="102"/>
      <c r="J1600" s="102"/>
      <c r="K1600" s="450"/>
      <c r="L1600" s="443"/>
      <c r="M1600" s="450"/>
      <c r="N1600" s="452">
        <f t="array" ref="N1600">IFERROR(
  INDEX(
    'Valor Hora Real y Estimada'!$A$4:$Z$78,
    MATCH(TRIM(CLEAN(A1600)), 'Valor Hora Real y Estimada'!$A$4:$A$78, 0),
    MATCH(
      TEXT(C1600,"dd mmm")&amp;" "&amp;D1600,
      'Valor Hora Real y Estimada'!$A$3:$Z$3,
      0
    ) + 1
  ),
  0
)</f>
        <v>0</v>
      </c>
      <c r="O1600" s="453"/>
      <c r="P1600" s="113"/>
      <c r="Q1600" s="106" t="str">
        <f>IF(ISBLANK(O1600), "", VLOOKUP(C1600&amp;" "&amp;D1600, 'Info Tipo de Cambio y REM'!$A$24:$B$35, 2, FALSE))</f>
        <v/>
      </c>
      <c r="R1600" s="107" t="str">
        <f t="shared" si="32"/>
        <v/>
      </c>
    </row>
    <row r="1601" hidden="1">
      <c r="A1601" s="443"/>
      <c r="B1601" s="43" t="str">
        <f>IF(A1601="", "", IFERROR(VLOOKUP(A1601, Clasificaciones!A:B, 2, FALSE), "DATO NO CARGADO"))
</f>
        <v/>
      </c>
      <c r="C1601" s="51"/>
      <c r="D1601" s="102"/>
      <c r="E1601" s="102"/>
      <c r="H1601" s="102"/>
      <c r="J1601" s="102"/>
      <c r="K1601" s="450"/>
      <c r="L1601" s="443"/>
      <c r="M1601" s="450"/>
      <c r="N1601" s="452">
        <f t="array" ref="N1601">IFERROR(
  INDEX(
    'Valor Hora Real y Estimada'!$A$4:$Z$78,
    MATCH(TRIM(CLEAN(A1601)), 'Valor Hora Real y Estimada'!$A$4:$A$78, 0),
    MATCH(
      TEXT(C1601,"dd mmm")&amp;" "&amp;D1601,
      'Valor Hora Real y Estimada'!$A$3:$Z$3,
      0
    ) + 1
  ),
  0
)</f>
        <v>0</v>
      </c>
      <c r="O1601" s="453"/>
      <c r="P1601" s="113"/>
      <c r="Q1601" s="106" t="str">
        <f>IF(ISBLANK(O1601), "", VLOOKUP(C1601&amp;" "&amp;D1601, 'Info Tipo de Cambio y REM'!$A$24:$B$35, 2, FALSE))</f>
        <v/>
      </c>
      <c r="R1601" s="107" t="str">
        <f t="shared" si="32"/>
        <v/>
      </c>
    </row>
    <row r="1602" hidden="1">
      <c r="A1602" s="443"/>
      <c r="B1602" s="43" t="str">
        <f>IF(A1602="", "", IFERROR(VLOOKUP(A1602, Clasificaciones!A:B, 2, FALSE), "DATO NO CARGADO"))
</f>
        <v/>
      </c>
      <c r="C1602" s="51"/>
      <c r="D1602" s="102"/>
      <c r="E1602" s="102"/>
      <c r="H1602" s="102"/>
      <c r="J1602" s="102"/>
      <c r="K1602" s="450"/>
      <c r="L1602" s="443"/>
      <c r="M1602" s="450"/>
      <c r="N1602" s="452">
        <f t="array" ref="N1602">IFERROR(
  INDEX(
    'Valor Hora Real y Estimada'!$A$4:$Z$78,
    MATCH(TRIM(CLEAN(A1602)), 'Valor Hora Real y Estimada'!$A$4:$A$78, 0),
    MATCH(
      TEXT(C1602,"dd mmm")&amp;" "&amp;D1602,
      'Valor Hora Real y Estimada'!$A$3:$Z$3,
      0
    ) + 1
  ),
  0
)</f>
        <v>0</v>
      </c>
      <c r="O1602" s="453"/>
      <c r="P1602" s="113"/>
      <c r="Q1602" s="106" t="str">
        <f>IF(ISBLANK(O1602), "", VLOOKUP(C1602&amp;" "&amp;D1602, 'Info Tipo de Cambio y REM'!$A$24:$B$35, 2, FALSE))</f>
        <v/>
      </c>
      <c r="R1602" s="107" t="str">
        <f t="shared" si="32"/>
        <v/>
      </c>
    </row>
    <row r="1603" hidden="1">
      <c r="A1603" s="443"/>
      <c r="B1603" s="43" t="str">
        <f>IF(A1603="", "", IFERROR(VLOOKUP(A1603, Clasificaciones!A:B, 2, FALSE), "DATO NO CARGADO"))
</f>
        <v/>
      </c>
      <c r="C1603" s="51"/>
      <c r="D1603" s="102"/>
      <c r="E1603" s="102"/>
      <c r="H1603" s="102"/>
      <c r="J1603" s="102"/>
      <c r="K1603" s="450"/>
      <c r="L1603" s="443"/>
      <c r="M1603" s="450"/>
      <c r="N1603" s="452">
        <f t="array" ref="N1603">IFERROR(
  INDEX(
    'Valor Hora Real y Estimada'!$A$4:$Z$78,
    MATCH(TRIM(CLEAN(A1603)), 'Valor Hora Real y Estimada'!$A$4:$A$78, 0),
    MATCH(
      TEXT(C1603,"dd mmm")&amp;" "&amp;D1603,
      'Valor Hora Real y Estimada'!$A$3:$Z$3,
      0
    ) + 1
  ),
  0
)</f>
        <v>0</v>
      </c>
      <c r="O1603" s="453"/>
      <c r="P1603" s="113"/>
      <c r="Q1603" s="106" t="str">
        <f>IF(ISBLANK(O1603), "", VLOOKUP(C1603&amp;" "&amp;D1603, 'Info Tipo de Cambio y REM'!$A$24:$B$35, 2, FALSE))</f>
        <v/>
      </c>
      <c r="R1603" s="107" t="str">
        <f t="shared" si="32"/>
        <v/>
      </c>
    </row>
    <row r="1604" hidden="1">
      <c r="A1604" s="443"/>
      <c r="B1604" s="43" t="str">
        <f>IF(A1604="", "", IFERROR(VLOOKUP(A1604, Clasificaciones!A:B, 2, FALSE), "DATO NO CARGADO"))
</f>
        <v/>
      </c>
      <c r="C1604" s="51"/>
      <c r="D1604" s="102"/>
      <c r="E1604" s="102"/>
      <c r="H1604" s="102"/>
      <c r="J1604" s="102"/>
      <c r="K1604" s="450"/>
      <c r="L1604" s="443"/>
      <c r="M1604" s="450"/>
      <c r="N1604" s="452">
        <f t="array" ref="N1604">IFERROR(
  INDEX(
    'Valor Hora Real y Estimada'!$A$4:$Z$78,
    MATCH(TRIM(CLEAN(A1604)), 'Valor Hora Real y Estimada'!$A$4:$A$78, 0),
    MATCH(
      TEXT(C1604,"dd mmm")&amp;" "&amp;D1604,
      'Valor Hora Real y Estimada'!$A$3:$Z$3,
      0
    ) + 1
  ),
  0
)</f>
        <v>0</v>
      </c>
      <c r="O1604" s="453"/>
      <c r="P1604" s="113"/>
      <c r="Q1604" s="106" t="str">
        <f>IF(ISBLANK(O1604), "", VLOOKUP(C1604&amp;" "&amp;D1604, 'Info Tipo de Cambio y REM'!$A$24:$B$35, 2, FALSE))</f>
        <v/>
      </c>
      <c r="R1604" s="107" t="str">
        <f t="shared" si="32"/>
        <v/>
      </c>
    </row>
    <row r="1605" hidden="1">
      <c r="A1605" s="443"/>
      <c r="B1605" s="43" t="str">
        <f>IF(A1605="", "", IFERROR(VLOOKUP(A1605, Clasificaciones!A:B, 2, FALSE), "DATO NO CARGADO"))
</f>
        <v/>
      </c>
      <c r="C1605" s="51"/>
      <c r="D1605" s="102"/>
      <c r="E1605" s="102"/>
      <c r="H1605" s="102"/>
      <c r="J1605" s="102"/>
      <c r="K1605" s="450"/>
      <c r="L1605" s="443"/>
      <c r="M1605" s="450"/>
      <c r="N1605" s="452">
        <f t="array" ref="N1605">IFERROR(
  INDEX(
    'Valor Hora Real y Estimada'!$A$4:$Z$78,
    MATCH(TRIM(CLEAN(A1605)), 'Valor Hora Real y Estimada'!$A$4:$A$78, 0),
    MATCH(
      TEXT(C1605,"dd mmm")&amp;" "&amp;D1605,
      'Valor Hora Real y Estimada'!$A$3:$Z$3,
      0
    ) + 1
  ),
  0
)</f>
        <v>0</v>
      </c>
      <c r="O1605" s="453"/>
      <c r="P1605" s="113"/>
      <c r="Q1605" s="106" t="str">
        <f>IF(ISBLANK(O1605), "", VLOOKUP(C1605&amp;" "&amp;D1605, 'Info Tipo de Cambio y REM'!$A$24:$B$35, 2, FALSE))</f>
        <v/>
      </c>
      <c r="R1605" s="107" t="str">
        <f t="shared" si="32"/>
        <v/>
      </c>
    </row>
    <row r="1606" hidden="1">
      <c r="A1606" s="443"/>
      <c r="B1606" s="43" t="str">
        <f>IF(A1606="", "", IFERROR(VLOOKUP(A1606, Clasificaciones!A:B, 2, FALSE), "DATO NO CARGADO"))
</f>
        <v/>
      </c>
      <c r="C1606" s="51"/>
      <c r="D1606" s="102"/>
      <c r="E1606" s="102"/>
      <c r="H1606" s="102"/>
      <c r="J1606" s="102"/>
      <c r="K1606" s="450"/>
      <c r="L1606" s="443"/>
      <c r="M1606" s="450"/>
      <c r="N1606" s="452">
        <f t="array" ref="N1606">IFERROR(
  INDEX(
    'Valor Hora Real y Estimada'!$A$4:$Z$78,
    MATCH(TRIM(CLEAN(A1606)), 'Valor Hora Real y Estimada'!$A$4:$A$78, 0),
    MATCH(
      TEXT(C1606,"dd mmm")&amp;" "&amp;D1606,
      'Valor Hora Real y Estimada'!$A$3:$Z$3,
      0
    ) + 1
  ),
  0
)</f>
        <v>0</v>
      </c>
      <c r="O1606" s="453"/>
      <c r="P1606" s="113"/>
      <c r="Q1606" s="106" t="str">
        <f>IF(ISBLANK(O1606), "", VLOOKUP(C1606&amp;" "&amp;D1606, 'Info Tipo de Cambio y REM'!$A$24:$B$35, 2, FALSE))</f>
        <v/>
      </c>
      <c r="R1606" s="107" t="str">
        <f t="shared" si="32"/>
        <v/>
      </c>
    </row>
    <row r="1607" hidden="1">
      <c r="A1607" s="443"/>
      <c r="B1607" s="43" t="str">
        <f>IF(A1607="", "", IFERROR(VLOOKUP(A1607, Clasificaciones!A:B, 2, FALSE), "DATO NO CARGADO"))
</f>
        <v/>
      </c>
      <c r="C1607" s="51"/>
      <c r="D1607" s="102"/>
      <c r="E1607" s="102"/>
      <c r="H1607" s="102"/>
      <c r="J1607" s="102"/>
      <c r="K1607" s="450"/>
      <c r="L1607" s="443"/>
      <c r="M1607" s="450"/>
      <c r="N1607" s="452">
        <f t="array" ref="N1607">IFERROR(
  INDEX(
    'Valor Hora Real y Estimada'!$A$4:$Z$78,
    MATCH(TRIM(CLEAN(A1607)), 'Valor Hora Real y Estimada'!$A$4:$A$78, 0),
    MATCH(
      TEXT(C1607,"dd mmm")&amp;" "&amp;D1607,
      'Valor Hora Real y Estimada'!$A$3:$Z$3,
      0
    ) + 1
  ),
  0
)</f>
        <v>0</v>
      </c>
      <c r="O1607" s="453"/>
      <c r="P1607" s="113"/>
      <c r="Q1607" s="106" t="str">
        <f>IF(ISBLANK(O1607), "", VLOOKUP(C1607&amp;" "&amp;D1607, 'Info Tipo de Cambio y REM'!$A$24:$B$35, 2, FALSE))</f>
        <v/>
      </c>
      <c r="R1607" s="107" t="str">
        <f t="shared" si="32"/>
        <v/>
      </c>
    </row>
    <row r="1608" hidden="1">
      <c r="A1608" s="443"/>
      <c r="B1608" s="43" t="str">
        <f>IF(A1608="", "", IFERROR(VLOOKUP(A1608, Clasificaciones!A:B, 2, FALSE), "DATO NO CARGADO"))
</f>
        <v/>
      </c>
      <c r="C1608" s="51"/>
      <c r="D1608" s="102"/>
      <c r="E1608" s="102"/>
      <c r="H1608" s="102"/>
      <c r="J1608" s="102"/>
      <c r="K1608" s="450"/>
      <c r="L1608" s="443"/>
      <c r="M1608" s="450"/>
      <c r="N1608" s="452">
        <f t="array" ref="N1608">IFERROR(
  INDEX(
    'Valor Hora Real y Estimada'!$A$4:$Z$78,
    MATCH(TRIM(CLEAN(A1608)), 'Valor Hora Real y Estimada'!$A$4:$A$78, 0),
    MATCH(
      TEXT(C1608,"dd mmm")&amp;" "&amp;D1608,
      'Valor Hora Real y Estimada'!$A$3:$Z$3,
      0
    ) + 1
  ),
  0
)</f>
        <v>0</v>
      </c>
      <c r="O1608" s="453"/>
      <c r="P1608" s="113"/>
      <c r="Q1608" s="106" t="str">
        <f>IF(ISBLANK(O1608), "", VLOOKUP(C1608&amp;" "&amp;D1608, 'Info Tipo de Cambio y REM'!$A$24:$B$35, 2, FALSE))</f>
        <v/>
      </c>
      <c r="R1608" s="107" t="str">
        <f t="shared" si="32"/>
        <v/>
      </c>
    </row>
    <row r="1609" hidden="1">
      <c r="A1609" s="443"/>
      <c r="B1609" s="43" t="str">
        <f>IF(A1609="", "", IFERROR(VLOOKUP(A1609, Clasificaciones!A:B, 2, FALSE), "DATO NO CARGADO"))
</f>
        <v/>
      </c>
      <c r="C1609" s="51"/>
      <c r="D1609" s="102"/>
      <c r="E1609" s="102"/>
      <c r="H1609" s="102"/>
      <c r="J1609" s="102"/>
      <c r="K1609" s="450"/>
      <c r="L1609" s="443"/>
      <c r="M1609" s="450"/>
      <c r="N1609" s="452">
        <f t="array" ref="N1609">IFERROR(
  INDEX(
    'Valor Hora Real y Estimada'!$A$4:$Z$78,
    MATCH(TRIM(CLEAN(A1609)), 'Valor Hora Real y Estimada'!$A$4:$A$78, 0),
    MATCH(
      TEXT(C1609,"dd mmm")&amp;" "&amp;D1609,
      'Valor Hora Real y Estimada'!$A$3:$Z$3,
      0
    ) + 1
  ),
  0
)</f>
        <v>0</v>
      </c>
      <c r="O1609" s="453"/>
      <c r="P1609" s="113"/>
      <c r="Q1609" s="106" t="str">
        <f>IF(ISBLANK(O1609), "", VLOOKUP(C1609&amp;" "&amp;D1609, 'Info Tipo de Cambio y REM'!$A$24:$B$35, 2, FALSE))</f>
        <v/>
      </c>
      <c r="R1609" s="107" t="str">
        <f t="shared" si="32"/>
        <v/>
      </c>
    </row>
    <row r="1610" hidden="1">
      <c r="A1610" s="443"/>
      <c r="B1610" s="43" t="str">
        <f>IF(A1610="", "", IFERROR(VLOOKUP(A1610, Clasificaciones!A:B, 2, FALSE), "DATO NO CARGADO"))
</f>
        <v/>
      </c>
      <c r="C1610" s="51"/>
      <c r="D1610" s="102"/>
      <c r="E1610" s="102"/>
      <c r="H1610" s="102"/>
      <c r="J1610" s="102"/>
      <c r="K1610" s="450"/>
      <c r="L1610" s="443"/>
      <c r="M1610" s="450"/>
      <c r="N1610" s="452">
        <f t="array" ref="N1610">IFERROR(
  INDEX(
    'Valor Hora Real y Estimada'!$A$4:$Z$78,
    MATCH(TRIM(CLEAN(A1610)), 'Valor Hora Real y Estimada'!$A$4:$A$78, 0),
    MATCH(
      TEXT(C1610,"dd mmm")&amp;" "&amp;D1610,
      'Valor Hora Real y Estimada'!$A$3:$Z$3,
      0
    ) + 1
  ),
  0
)</f>
        <v>0</v>
      </c>
      <c r="O1610" s="453"/>
      <c r="P1610" s="113"/>
      <c r="Q1610" s="106" t="str">
        <f>IF(ISBLANK(O1610), "", VLOOKUP(C1610&amp;" "&amp;D1610, 'Info Tipo de Cambio y REM'!$A$24:$B$35, 2, FALSE))</f>
        <v/>
      </c>
      <c r="R1610" s="107" t="str">
        <f t="shared" si="32"/>
        <v/>
      </c>
    </row>
    <row r="1611" hidden="1">
      <c r="A1611" s="443"/>
      <c r="B1611" s="43" t="str">
        <f>IF(A1611="", "", IFERROR(VLOOKUP(A1611, Clasificaciones!A:B, 2, FALSE), "DATO NO CARGADO"))
</f>
        <v/>
      </c>
      <c r="C1611" s="51"/>
      <c r="D1611" s="102"/>
      <c r="E1611" s="102"/>
      <c r="H1611" s="102"/>
      <c r="J1611" s="102"/>
      <c r="K1611" s="450"/>
      <c r="L1611" s="443"/>
      <c r="M1611" s="450"/>
      <c r="N1611" s="452">
        <f t="array" ref="N1611">IFERROR(
  INDEX(
    'Valor Hora Real y Estimada'!$A$4:$Z$78,
    MATCH(TRIM(CLEAN(A1611)), 'Valor Hora Real y Estimada'!$A$4:$A$78, 0),
    MATCH(
      TEXT(C1611,"dd mmm")&amp;" "&amp;D1611,
      'Valor Hora Real y Estimada'!$A$3:$Z$3,
      0
    ) + 1
  ),
  0
)</f>
        <v>0</v>
      </c>
      <c r="O1611" s="453"/>
      <c r="P1611" s="113"/>
      <c r="Q1611" s="106" t="str">
        <f>IF(ISBLANK(O1611), "", VLOOKUP(C1611&amp;" "&amp;D1611, 'Info Tipo de Cambio y REM'!$A$24:$B$35, 2, FALSE))</f>
        <v/>
      </c>
      <c r="R1611" s="107" t="str">
        <f t="shared" si="32"/>
        <v/>
      </c>
    </row>
    <row r="1612" hidden="1">
      <c r="A1612" s="443"/>
      <c r="B1612" s="43" t="str">
        <f>IF(A1612="", "", IFERROR(VLOOKUP(A1612, Clasificaciones!A:B, 2, FALSE), "DATO NO CARGADO"))
</f>
        <v/>
      </c>
      <c r="C1612" s="51"/>
      <c r="D1612" s="102"/>
      <c r="E1612" s="102"/>
      <c r="H1612" s="102"/>
      <c r="J1612" s="102"/>
      <c r="K1612" s="450"/>
      <c r="L1612" s="443"/>
      <c r="M1612" s="450"/>
      <c r="N1612" s="452">
        <f t="array" ref="N1612">IFERROR(
  INDEX(
    'Valor Hora Real y Estimada'!$A$4:$Z$78,
    MATCH(TRIM(CLEAN(A1612)), 'Valor Hora Real y Estimada'!$A$4:$A$78, 0),
    MATCH(
      TEXT(C1612,"dd mmm")&amp;" "&amp;D1612,
      'Valor Hora Real y Estimada'!$A$3:$Z$3,
      0
    ) + 1
  ),
  0
)</f>
        <v>0</v>
      </c>
      <c r="O1612" s="453"/>
      <c r="P1612" s="113"/>
      <c r="Q1612" s="106" t="str">
        <f>IF(ISBLANK(O1612), "", VLOOKUP(C1612&amp;" "&amp;D1612, 'Info Tipo de Cambio y REM'!$A$24:$B$35, 2, FALSE))</f>
        <v/>
      </c>
      <c r="R1612" s="107" t="str">
        <f t="shared" si="32"/>
        <v/>
      </c>
    </row>
    <row r="1613" hidden="1">
      <c r="A1613" s="443"/>
      <c r="B1613" s="43" t="str">
        <f>IF(A1613="", "", IFERROR(VLOOKUP(A1613, Clasificaciones!A:B, 2, FALSE), "DATO NO CARGADO"))
</f>
        <v/>
      </c>
      <c r="C1613" s="51"/>
      <c r="D1613" s="102"/>
      <c r="E1613" s="102"/>
      <c r="H1613" s="102"/>
      <c r="J1613" s="102"/>
      <c r="K1613" s="450"/>
      <c r="L1613" s="443"/>
      <c r="M1613" s="450"/>
      <c r="N1613" s="452">
        <f t="array" ref="N1613">IFERROR(
  INDEX(
    'Valor Hora Real y Estimada'!$A$4:$Z$78,
    MATCH(TRIM(CLEAN(A1613)), 'Valor Hora Real y Estimada'!$A$4:$A$78, 0),
    MATCH(
      TEXT(C1613,"dd mmm")&amp;" "&amp;D1613,
      'Valor Hora Real y Estimada'!$A$3:$Z$3,
      0
    ) + 1
  ),
  0
)</f>
        <v>0</v>
      </c>
      <c r="O1613" s="453"/>
      <c r="P1613" s="113"/>
      <c r="Q1613" s="106" t="str">
        <f>IF(ISBLANK(O1613), "", VLOOKUP(C1613&amp;" "&amp;D1613, 'Info Tipo de Cambio y REM'!$A$24:$B$35, 2, FALSE))</f>
        <v/>
      </c>
      <c r="R1613" s="107" t="str">
        <f t="shared" si="32"/>
        <v/>
      </c>
    </row>
    <row r="1614" hidden="1">
      <c r="A1614" s="443"/>
      <c r="B1614" s="43" t="str">
        <f>IF(A1614="", "", IFERROR(VLOOKUP(A1614, Clasificaciones!A:B, 2, FALSE), "DATO NO CARGADO"))
</f>
        <v/>
      </c>
      <c r="C1614" s="51"/>
      <c r="D1614" s="102"/>
      <c r="E1614" s="102"/>
      <c r="H1614" s="102"/>
      <c r="J1614" s="102"/>
      <c r="K1614" s="450"/>
      <c r="L1614" s="443"/>
      <c r="M1614" s="450"/>
      <c r="N1614" s="452">
        <f t="array" ref="N1614">IFERROR(
  INDEX(
    'Valor Hora Real y Estimada'!$A$4:$Z$78,
    MATCH(TRIM(CLEAN(A1614)), 'Valor Hora Real y Estimada'!$A$4:$A$78, 0),
    MATCH(
      TEXT(C1614,"dd mmm")&amp;" "&amp;D1614,
      'Valor Hora Real y Estimada'!$A$3:$Z$3,
      0
    ) + 1
  ),
  0
)</f>
        <v>0</v>
      </c>
      <c r="O1614" s="453"/>
      <c r="P1614" s="113"/>
      <c r="Q1614" s="106" t="str">
        <f>IF(ISBLANK(O1614), "", VLOOKUP(C1614&amp;" "&amp;D1614, 'Info Tipo de Cambio y REM'!$A$24:$B$35, 2, FALSE))</f>
        <v/>
      </c>
      <c r="R1614" s="107" t="str">
        <f t="shared" si="32"/>
        <v/>
      </c>
    </row>
    <row r="1615" hidden="1">
      <c r="A1615" s="443"/>
      <c r="B1615" s="43" t="str">
        <f>IF(A1615="", "", IFERROR(VLOOKUP(A1615, Clasificaciones!A:B, 2, FALSE), "DATO NO CARGADO"))
</f>
        <v/>
      </c>
      <c r="C1615" s="51"/>
      <c r="D1615" s="102"/>
      <c r="E1615" s="102"/>
      <c r="H1615" s="102"/>
      <c r="J1615" s="102"/>
      <c r="K1615" s="450"/>
      <c r="L1615" s="443"/>
      <c r="M1615" s="450"/>
      <c r="N1615" s="452">
        <f t="array" ref="N1615">IFERROR(
  INDEX(
    'Valor Hora Real y Estimada'!$A$4:$Z$78,
    MATCH(TRIM(CLEAN(A1615)), 'Valor Hora Real y Estimada'!$A$4:$A$78, 0),
    MATCH(
      TEXT(C1615,"dd mmm")&amp;" "&amp;D1615,
      'Valor Hora Real y Estimada'!$A$3:$Z$3,
      0
    ) + 1
  ),
  0
)</f>
        <v>0</v>
      </c>
      <c r="O1615" s="453"/>
      <c r="P1615" s="113"/>
      <c r="Q1615" s="106" t="str">
        <f>IF(ISBLANK(O1615), "", VLOOKUP(C1615&amp;" "&amp;D1615, 'Info Tipo de Cambio y REM'!$A$24:$B$35, 2, FALSE))</f>
        <v/>
      </c>
      <c r="R1615" s="107" t="str">
        <f t="shared" si="32"/>
        <v/>
      </c>
    </row>
    <row r="1616" hidden="1">
      <c r="A1616" s="443"/>
      <c r="B1616" s="43" t="str">
        <f>IF(A1616="", "", IFERROR(VLOOKUP(A1616, Clasificaciones!A:B, 2, FALSE), "DATO NO CARGADO"))
</f>
        <v/>
      </c>
      <c r="C1616" s="51"/>
      <c r="D1616" s="102"/>
      <c r="E1616" s="102"/>
      <c r="H1616" s="102"/>
      <c r="J1616" s="102"/>
      <c r="K1616" s="450"/>
      <c r="L1616" s="443"/>
      <c r="M1616" s="450"/>
      <c r="N1616" s="452">
        <f t="array" ref="N1616">IFERROR(
  INDEX(
    'Valor Hora Real y Estimada'!$A$4:$Z$78,
    MATCH(TRIM(CLEAN(A1616)), 'Valor Hora Real y Estimada'!$A$4:$A$78, 0),
    MATCH(
      TEXT(C1616,"dd mmm")&amp;" "&amp;D1616,
      'Valor Hora Real y Estimada'!$A$3:$Z$3,
      0
    ) + 1
  ),
  0
)</f>
        <v>0</v>
      </c>
      <c r="O1616" s="453"/>
      <c r="P1616" s="113"/>
      <c r="Q1616" s="106" t="str">
        <f>IF(ISBLANK(O1616), "", VLOOKUP(C1616&amp;" "&amp;D1616, 'Info Tipo de Cambio y REM'!$A$24:$B$35, 2, FALSE))</f>
        <v/>
      </c>
      <c r="R1616" s="107" t="str">
        <f t="shared" si="32"/>
        <v/>
      </c>
    </row>
    <row r="1617" hidden="1">
      <c r="A1617" s="443"/>
      <c r="B1617" s="43" t="str">
        <f>IF(A1617="", "", IFERROR(VLOOKUP(A1617, Clasificaciones!A:B, 2, FALSE), "DATO NO CARGADO"))
</f>
        <v/>
      </c>
      <c r="C1617" s="51"/>
      <c r="D1617" s="102"/>
      <c r="E1617" s="102"/>
      <c r="H1617" s="102"/>
      <c r="J1617" s="102"/>
      <c r="K1617" s="450"/>
      <c r="L1617" s="443"/>
      <c r="M1617" s="450"/>
      <c r="N1617" s="452">
        <f t="array" ref="N1617">IFERROR(
  INDEX(
    'Valor Hora Real y Estimada'!$A$4:$Z$78,
    MATCH(TRIM(CLEAN(A1617)), 'Valor Hora Real y Estimada'!$A$4:$A$78, 0),
    MATCH(
      TEXT(C1617,"dd mmm")&amp;" "&amp;D1617,
      'Valor Hora Real y Estimada'!$A$3:$Z$3,
      0
    ) + 1
  ),
  0
)</f>
        <v>0</v>
      </c>
      <c r="O1617" s="453"/>
      <c r="P1617" s="113"/>
      <c r="Q1617" s="106" t="str">
        <f>IF(ISBLANK(O1617), "", VLOOKUP(C1617&amp;" "&amp;D1617, 'Info Tipo de Cambio y REM'!$A$24:$B$35, 2, FALSE))</f>
        <v/>
      </c>
      <c r="R1617" s="107" t="str">
        <f t="shared" si="32"/>
        <v/>
      </c>
    </row>
    <row r="1618" hidden="1">
      <c r="A1618" s="443"/>
      <c r="B1618" s="43" t="str">
        <f>IF(A1618="", "", IFERROR(VLOOKUP(A1618, Clasificaciones!A:B, 2, FALSE), "DATO NO CARGADO"))
</f>
        <v/>
      </c>
      <c r="C1618" s="51"/>
      <c r="D1618" s="102"/>
      <c r="E1618" s="102"/>
      <c r="H1618" s="102"/>
      <c r="J1618" s="102"/>
      <c r="K1618" s="450"/>
      <c r="L1618" s="443"/>
      <c r="M1618" s="450"/>
      <c r="N1618" s="452">
        <f t="array" ref="N1618">IFERROR(
  INDEX(
    'Valor Hora Real y Estimada'!$A$4:$Z$78,
    MATCH(TRIM(CLEAN(A1618)), 'Valor Hora Real y Estimada'!$A$4:$A$78, 0),
    MATCH(
      TEXT(C1618,"dd mmm")&amp;" "&amp;D1618,
      'Valor Hora Real y Estimada'!$A$3:$Z$3,
      0
    ) + 1
  ),
  0
)</f>
        <v>0</v>
      </c>
      <c r="O1618" s="453"/>
      <c r="P1618" s="113"/>
      <c r="Q1618" s="106" t="str">
        <f>IF(ISBLANK(O1618), "", VLOOKUP(C1618&amp;" "&amp;D1618, 'Info Tipo de Cambio y REM'!$A$24:$B$35, 2, FALSE))</f>
        <v/>
      </c>
      <c r="R1618" s="107" t="str">
        <f t="shared" si="32"/>
        <v/>
      </c>
    </row>
    <row r="1619" hidden="1">
      <c r="A1619" s="443"/>
      <c r="B1619" s="43" t="str">
        <f>IF(A1619="", "", IFERROR(VLOOKUP(A1619, Clasificaciones!A:B, 2, FALSE), "DATO NO CARGADO"))
</f>
        <v/>
      </c>
      <c r="C1619" s="51"/>
      <c r="D1619" s="102"/>
      <c r="E1619" s="102"/>
      <c r="H1619" s="102"/>
      <c r="J1619" s="102"/>
      <c r="K1619" s="450"/>
      <c r="L1619" s="443"/>
      <c r="M1619" s="450"/>
      <c r="N1619" s="452">
        <f t="array" ref="N1619">IFERROR(
  INDEX(
    'Valor Hora Real y Estimada'!$A$4:$Z$78,
    MATCH(TRIM(CLEAN(A1619)), 'Valor Hora Real y Estimada'!$A$4:$A$78, 0),
    MATCH(
      TEXT(C1619,"dd mmm")&amp;" "&amp;D1619,
      'Valor Hora Real y Estimada'!$A$3:$Z$3,
      0
    ) + 1
  ),
  0
)</f>
        <v>0</v>
      </c>
      <c r="O1619" s="453"/>
      <c r="P1619" s="113"/>
      <c r="Q1619" s="106" t="str">
        <f>IF(ISBLANK(O1619), "", VLOOKUP(C1619&amp;" "&amp;D1619, 'Info Tipo de Cambio y REM'!$A$24:$B$35, 2, FALSE))</f>
        <v/>
      </c>
      <c r="R1619" s="107" t="str">
        <f t="shared" si="32"/>
        <v/>
      </c>
    </row>
    <row r="1620" hidden="1">
      <c r="A1620" s="443"/>
      <c r="B1620" s="43" t="str">
        <f>IF(A1620="", "", IFERROR(VLOOKUP(A1620, Clasificaciones!A:B, 2, FALSE), "DATO NO CARGADO"))
</f>
        <v/>
      </c>
      <c r="C1620" s="51"/>
      <c r="D1620" s="102"/>
      <c r="E1620" s="102"/>
      <c r="H1620" s="102"/>
      <c r="J1620" s="102"/>
      <c r="K1620" s="450"/>
      <c r="L1620" s="443"/>
      <c r="M1620" s="450"/>
      <c r="N1620" s="452">
        <f t="array" ref="N1620">IFERROR(
  INDEX(
    'Valor Hora Real y Estimada'!$A$4:$Z$78,
    MATCH(TRIM(CLEAN(A1620)), 'Valor Hora Real y Estimada'!$A$4:$A$78, 0),
    MATCH(
      TEXT(C1620,"dd mmm")&amp;" "&amp;D1620,
      'Valor Hora Real y Estimada'!$A$3:$Z$3,
      0
    ) + 1
  ),
  0
)</f>
        <v>0</v>
      </c>
      <c r="O1620" s="453"/>
      <c r="P1620" s="113"/>
      <c r="Q1620" s="106" t="str">
        <f>IF(ISBLANK(O1620), "", VLOOKUP(C1620&amp;" "&amp;D1620, 'Info Tipo de Cambio y REM'!$A$24:$B$35, 2, FALSE))</f>
        <v/>
      </c>
      <c r="R1620" s="107" t="str">
        <f t="shared" si="32"/>
        <v/>
      </c>
    </row>
    <row r="1621" hidden="1">
      <c r="A1621" s="443"/>
      <c r="B1621" s="43" t="str">
        <f>IF(A1621="", "", IFERROR(VLOOKUP(A1621, Clasificaciones!A:B, 2, FALSE), "DATO NO CARGADO"))
</f>
        <v/>
      </c>
      <c r="C1621" s="51"/>
      <c r="D1621" s="102"/>
      <c r="E1621" s="102"/>
      <c r="H1621" s="102"/>
      <c r="J1621" s="102"/>
      <c r="K1621" s="450"/>
      <c r="L1621" s="443"/>
      <c r="M1621" s="450"/>
      <c r="N1621" s="452">
        <f t="array" ref="N1621">IFERROR(
  INDEX(
    'Valor Hora Real y Estimada'!$A$4:$Z$78,
    MATCH(TRIM(CLEAN(A1621)), 'Valor Hora Real y Estimada'!$A$4:$A$78, 0),
    MATCH(
      TEXT(C1621,"dd mmm")&amp;" "&amp;D1621,
      'Valor Hora Real y Estimada'!$A$3:$Z$3,
      0
    ) + 1
  ),
  0
)</f>
        <v>0</v>
      </c>
      <c r="O1621" s="453"/>
      <c r="P1621" s="113"/>
      <c r="Q1621" s="106" t="str">
        <f>IF(ISBLANK(O1621), "", VLOOKUP(C1621&amp;" "&amp;D1621, 'Info Tipo de Cambio y REM'!$A$24:$B$35, 2, FALSE))</f>
        <v/>
      </c>
      <c r="R1621" s="107" t="str">
        <f t="shared" si="32"/>
        <v/>
      </c>
    </row>
    <row r="1622" hidden="1">
      <c r="A1622" s="443"/>
      <c r="B1622" s="43" t="str">
        <f>IF(A1622="", "", IFERROR(VLOOKUP(A1622, Clasificaciones!A:B, 2, FALSE), "DATO NO CARGADO"))
</f>
        <v/>
      </c>
      <c r="C1622" s="51"/>
      <c r="D1622" s="102"/>
      <c r="E1622" s="102"/>
      <c r="H1622" s="102"/>
      <c r="J1622" s="102"/>
      <c r="K1622" s="450"/>
      <c r="L1622" s="443"/>
      <c r="M1622" s="450"/>
      <c r="N1622" s="452">
        <f t="array" ref="N1622">IFERROR(
  INDEX(
    'Valor Hora Real y Estimada'!$A$4:$Z$78,
    MATCH(TRIM(CLEAN(A1622)), 'Valor Hora Real y Estimada'!$A$4:$A$78, 0),
    MATCH(
      TEXT(C1622,"dd mmm")&amp;" "&amp;D1622,
      'Valor Hora Real y Estimada'!$A$3:$Z$3,
      0
    ) + 1
  ),
  0
)</f>
        <v>0</v>
      </c>
      <c r="O1622" s="453"/>
      <c r="P1622" s="113"/>
      <c r="Q1622" s="106" t="str">
        <f>IF(ISBLANK(O1622), "", VLOOKUP(C1622&amp;" "&amp;D1622, 'Info Tipo de Cambio y REM'!$A$24:$B$35, 2, FALSE))</f>
        <v/>
      </c>
      <c r="R1622" s="107" t="str">
        <f t="shared" si="32"/>
        <v/>
      </c>
    </row>
    <row r="1623" hidden="1">
      <c r="A1623" s="443"/>
      <c r="B1623" s="43" t="str">
        <f>IF(A1623="", "", IFERROR(VLOOKUP(A1623, Clasificaciones!A:B, 2, FALSE), "DATO NO CARGADO"))
</f>
        <v/>
      </c>
      <c r="C1623" s="51"/>
      <c r="D1623" s="102"/>
      <c r="E1623" s="102"/>
      <c r="H1623" s="102"/>
      <c r="J1623" s="102"/>
      <c r="K1623" s="450"/>
      <c r="L1623" s="443"/>
      <c r="M1623" s="450"/>
      <c r="N1623" s="452">
        <f t="array" ref="N1623">IFERROR(
  INDEX(
    'Valor Hora Real y Estimada'!$A$4:$Z$78,
    MATCH(TRIM(CLEAN(A1623)), 'Valor Hora Real y Estimada'!$A$4:$A$78, 0),
    MATCH(
      TEXT(C1623,"dd mmm")&amp;" "&amp;D1623,
      'Valor Hora Real y Estimada'!$A$3:$Z$3,
      0
    ) + 1
  ),
  0
)</f>
        <v>0</v>
      </c>
      <c r="O1623" s="453"/>
      <c r="P1623" s="113"/>
      <c r="Q1623" s="106" t="str">
        <f>IF(ISBLANK(O1623), "", VLOOKUP(C1623&amp;" "&amp;D1623, 'Info Tipo de Cambio y REM'!$A$24:$B$35, 2, FALSE))</f>
        <v/>
      </c>
      <c r="R1623" s="107" t="str">
        <f t="shared" si="32"/>
        <v/>
      </c>
    </row>
    <row r="1624" hidden="1">
      <c r="A1624" s="443"/>
      <c r="B1624" s="43" t="str">
        <f>IF(A1624="", "", IFERROR(VLOOKUP(A1624, Clasificaciones!A:B, 2, FALSE), "DATO NO CARGADO"))
</f>
        <v/>
      </c>
      <c r="C1624" s="51"/>
      <c r="D1624" s="102"/>
      <c r="E1624" s="102"/>
      <c r="H1624" s="102"/>
      <c r="J1624" s="102"/>
      <c r="K1624" s="450"/>
      <c r="L1624" s="443"/>
      <c r="M1624" s="450"/>
      <c r="N1624" s="452">
        <f t="array" ref="N1624">IFERROR(
  INDEX(
    'Valor Hora Real y Estimada'!$A$4:$Z$78,
    MATCH(TRIM(CLEAN(A1624)), 'Valor Hora Real y Estimada'!$A$4:$A$78, 0),
    MATCH(
      TEXT(C1624,"dd mmm")&amp;" "&amp;D1624,
      'Valor Hora Real y Estimada'!$A$3:$Z$3,
      0
    ) + 1
  ),
  0
)</f>
        <v>0</v>
      </c>
      <c r="O1624" s="453"/>
      <c r="P1624" s="113"/>
      <c r="Q1624" s="106" t="str">
        <f>IF(ISBLANK(O1624), "", VLOOKUP(C1624&amp;" "&amp;D1624, 'Info Tipo de Cambio y REM'!$A$24:$B$35, 2, FALSE))</f>
        <v/>
      </c>
      <c r="R1624" s="107" t="str">
        <f t="shared" si="32"/>
        <v/>
      </c>
    </row>
    <row r="1625" hidden="1">
      <c r="A1625" s="443"/>
      <c r="B1625" s="43" t="str">
        <f>IF(A1625="", "", IFERROR(VLOOKUP(A1625, Clasificaciones!A:B, 2, FALSE), "DATO NO CARGADO"))
</f>
        <v/>
      </c>
      <c r="C1625" s="51"/>
      <c r="D1625" s="102"/>
      <c r="E1625" s="102"/>
      <c r="H1625" s="102"/>
      <c r="J1625" s="102"/>
      <c r="K1625" s="450"/>
      <c r="L1625" s="443"/>
      <c r="M1625" s="450"/>
      <c r="N1625" s="452">
        <f t="array" ref="N1625">IFERROR(
  INDEX(
    'Valor Hora Real y Estimada'!$A$4:$Z$78,
    MATCH(TRIM(CLEAN(A1625)), 'Valor Hora Real y Estimada'!$A$4:$A$78, 0),
    MATCH(
      TEXT(C1625,"dd mmm")&amp;" "&amp;D1625,
      'Valor Hora Real y Estimada'!$A$3:$Z$3,
      0
    ) + 1
  ),
  0
)</f>
        <v>0</v>
      </c>
      <c r="O1625" s="453"/>
      <c r="P1625" s="113"/>
      <c r="Q1625" s="106" t="str">
        <f>IF(ISBLANK(O1625), "", VLOOKUP(C1625&amp;" "&amp;D1625, 'Info Tipo de Cambio y REM'!$A$24:$B$35, 2, FALSE))</f>
        <v/>
      </c>
      <c r="R1625" s="107" t="str">
        <f t="shared" si="32"/>
        <v/>
      </c>
    </row>
    <row r="1626" hidden="1">
      <c r="A1626" s="443"/>
      <c r="B1626" s="43" t="str">
        <f>IF(A1626="", "", IFERROR(VLOOKUP(A1626, Clasificaciones!A:B, 2, FALSE), "DATO NO CARGADO"))
</f>
        <v/>
      </c>
      <c r="C1626" s="51"/>
      <c r="D1626" s="102"/>
      <c r="E1626" s="102"/>
      <c r="H1626" s="102"/>
      <c r="J1626" s="102"/>
      <c r="K1626" s="450"/>
      <c r="L1626" s="443"/>
      <c r="M1626" s="450"/>
      <c r="N1626" s="452">
        <f t="array" ref="N1626">IFERROR(
  INDEX(
    'Valor Hora Real y Estimada'!$A$4:$Z$78,
    MATCH(TRIM(CLEAN(A1626)), 'Valor Hora Real y Estimada'!$A$4:$A$78, 0),
    MATCH(
      TEXT(C1626,"dd mmm")&amp;" "&amp;D1626,
      'Valor Hora Real y Estimada'!$A$3:$Z$3,
      0
    ) + 1
  ),
  0
)</f>
        <v>0</v>
      </c>
      <c r="O1626" s="453"/>
      <c r="P1626" s="113"/>
      <c r="Q1626" s="106" t="str">
        <f>IF(ISBLANK(O1626), "", VLOOKUP(C1626&amp;" "&amp;D1626, 'Info Tipo de Cambio y REM'!$A$24:$B$35, 2, FALSE))</f>
        <v/>
      </c>
      <c r="R1626" s="107" t="str">
        <f t="shared" si="32"/>
        <v/>
      </c>
    </row>
    <row r="1627" hidden="1">
      <c r="A1627" s="443"/>
      <c r="B1627" s="43" t="str">
        <f>IF(A1627="", "", IFERROR(VLOOKUP(A1627, Clasificaciones!A:B, 2, FALSE), "DATO NO CARGADO"))
</f>
        <v/>
      </c>
      <c r="C1627" s="51"/>
      <c r="D1627" s="102"/>
      <c r="E1627" s="102"/>
      <c r="H1627" s="102"/>
      <c r="J1627" s="102"/>
      <c r="K1627" s="450"/>
      <c r="L1627" s="443"/>
      <c r="M1627" s="450"/>
      <c r="N1627" s="452">
        <f t="array" ref="N1627">IFERROR(
  INDEX(
    'Valor Hora Real y Estimada'!$A$4:$Z$78,
    MATCH(TRIM(CLEAN(A1627)), 'Valor Hora Real y Estimada'!$A$4:$A$78, 0),
    MATCH(
      TEXT(C1627,"dd mmm")&amp;" "&amp;D1627,
      'Valor Hora Real y Estimada'!$A$3:$Z$3,
      0
    ) + 1
  ),
  0
)</f>
        <v>0</v>
      </c>
      <c r="O1627" s="453"/>
      <c r="P1627" s="113"/>
      <c r="Q1627" s="106" t="str">
        <f>IF(ISBLANK(O1627), "", VLOOKUP(C1627&amp;" "&amp;D1627, 'Info Tipo de Cambio y REM'!$A$24:$B$35, 2, FALSE))</f>
        <v/>
      </c>
      <c r="R1627" s="107" t="str">
        <f t="shared" si="32"/>
        <v/>
      </c>
    </row>
    <row r="1628" hidden="1">
      <c r="A1628" s="443"/>
      <c r="B1628" s="43" t="str">
        <f>IF(A1628="", "", IFERROR(VLOOKUP(A1628, Clasificaciones!A:B, 2, FALSE), "DATO NO CARGADO"))
</f>
        <v/>
      </c>
      <c r="C1628" s="51"/>
      <c r="D1628" s="102"/>
      <c r="E1628" s="102"/>
      <c r="H1628" s="102"/>
      <c r="J1628" s="102"/>
      <c r="K1628" s="450"/>
      <c r="L1628" s="443"/>
      <c r="M1628" s="450"/>
      <c r="N1628" s="452">
        <f t="array" ref="N1628">IFERROR(
  INDEX(
    'Valor Hora Real y Estimada'!$A$4:$Z$78,
    MATCH(TRIM(CLEAN(A1628)), 'Valor Hora Real y Estimada'!$A$4:$A$78, 0),
    MATCH(
      TEXT(C1628,"dd mmm")&amp;" "&amp;D1628,
      'Valor Hora Real y Estimada'!$A$3:$Z$3,
      0
    ) + 1
  ),
  0
)</f>
        <v>0</v>
      </c>
      <c r="O1628" s="453"/>
      <c r="P1628" s="113"/>
      <c r="Q1628" s="106" t="str">
        <f>IF(ISBLANK(O1628), "", VLOOKUP(C1628&amp;" "&amp;D1628, 'Info Tipo de Cambio y REM'!$A$24:$B$35, 2, FALSE))</f>
        <v/>
      </c>
      <c r="R1628" s="107" t="str">
        <f t="shared" si="32"/>
        <v/>
      </c>
    </row>
    <row r="1629" hidden="1">
      <c r="A1629" s="443"/>
      <c r="B1629" s="43" t="str">
        <f>IF(A1629="", "", IFERROR(VLOOKUP(A1629, Clasificaciones!A:B, 2, FALSE), "DATO NO CARGADO"))
</f>
        <v/>
      </c>
      <c r="C1629" s="51"/>
      <c r="D1629" s="102"/>
      <c r="E1629" s="102"/>
      <c r="H1629" s="102"/>
      <c r="J1629" s="102"/>
      <c r="K1629" s="450"/>
      <c r="L1629" s="443"/>
      <c r="M1629" s="450"/>
      <c r="N1629" s="452">
        <f t="array" ref="N1629">IFERROR(
  INDEX(
    'Valor Hora Real y Estimada'!$A$4:$Z$78,
    MATCH(TRIM(CLEAN(A1629)), 'Valor Hora Real y Estimada'!$A$4:$A$78, 0),
    MATCH(
      TEXT(C1629,"dd mmm")&amp;" "&amp;D1629,
      'Valor Hora Real y Estimada'!$A$3:$Z$3,
      0
    ) + 1
  ),
  0
)</f>
        <v>0</v>
      </c>
      <c r="O1629" s="453"/>
      <c r="P1629" s="113"/>
      <c r="Q1629" s="106" t="str">
        <f>IF(ISBLANK(O1629), "", VLOOKUP(C1629&amp;" "&amp;D1629, 'Info Tipo de Cambio y REM'!$A$24:$B$35, 2, FALSE))</f>
        <v/>
      </c>
      <c r="R1629" s="107" t="str">
        <f t="shared" si="32"/>
        <v/>
      </c>
    </row>
    <row r="1630" hidden="1">
      <c r="A1630" s="443"/>
      <c r="B1630" s="43" t="str">
        <f>IF(A1630="", "", IFERROR(VLOOKUP(A1630, Clasificaciones!A:B, 2, FALSE), "DATO NO CARGADO"))
</f>
        <v/>
      </c>
      <c r="C1630" s="51"/>
      <c r="D1630" s="102"/>
      <c r="E1630" s="102"/>
      <c r="H1630" s="102"/>
      <c r="J1630" s="102"/>
      <c r="K1630" s="450"/>
      <c r="L1630" s="443"/>
      <c r="M1630" s="450"/>
      <c r="N1630" s="452">
        <f t="array" ref="N1630">IFERROR(
  INDEX(
    'Valor Hora Real y Estimada'!$A$4:$Z$78,
    MATCH(TRIM(CLEAN(A1630)), 'Valor Hora Real y Estimada'!$A$4:$A$78, 0),
    MATCH(
      TEXT(C1630,"dd mmm")&amp;" "&amp;D1630,
      'Valor Hora Real y Estimada'!$A$3:$Z$3,
      0
    ) + 1
  ),
  0
)</f>
        <v>0</v>
      </c>
      <c r="O1630" s="453"/>
      <c r="P1630" s="113"/>
      <c r="Q1630" s="106" t="str">
        <f>IF(ISBLANK(O1630), "", VLOOKUP(C1630&amp;" "&amp;D1630, 'Info Tipo de Cambio y REM'!$A$24:$B$35, 2, FALSE))</f>
        <v/>
      </c>
      <c r="R1630" s="107" t="str">
        <f t="shared" si="32"/>
        <v/>
      </c>
    </row>
    <row r="1631" hidden="1">
      <c r="A1631" s="443"/>
      <c r="B1631" s="43" t="str">
        <f>IF(A1631="", "", IFERROR(VLOOKUP(A1631, Clasificaciones!A:B, 2, FALSE), "DATO NO CARGADO"))
</f>
        <v/>
      </c>
      <c r="C1631" s="51"/>
      <c r="D1631" s="102"/>
      <c r="E1631" s="102"/>
      <c r="H1631" s="102"/>
      <c r="J1631" s="102"/>
      <c r="K1631" s="450"/>
      <c r="L1631" s="443"/>
      <c r="M1631" s="450"/>
      <c r="N1631" s="452">
        <f t="array" ref="N1631">IFERROR(
  INDEX(
    'Valor Hora Real y Estimada'!$A$4:$Z$78,
    MATCH(TRIM(CLEAN(A1631)), 'Valor Hora Real y Estimada'!$A$4:$A$78, 0),
    MATCH(
      TEXT(C1631,"dd mmm")&amp;" "&amp;D1631,
      'Valor Hora Real y Estimada'!$A$3:$Z$3,
      0
    ) + 1
  ),
  0
)</f>
        <v>0</v>
      </c>
      <c r="O1631" s="453"/>
      <c r="P1631" s="113"/>
      <c r="Q1631" s="106" t="str">
        <f>IF(ISBLANK(O1631), "", VLOOKUP(C1631&amp;" "&amp;D1631, 'Info Tipo de Cambio y REM'!$A$24:$B$35, 2, FALSE))</f>
        <v/>
      </c>
      <c r="R1631" s="107" t="str">
        <f t="shared" si="32"/>
        <v/>
      </c>
    </row>
    <row r="1632" hidden="1">
      <c r="A1632" s="443"/>
      <c r="B1632" s="43" t="str">
        <f>IF(A1632="", "", IFERROR(VLOOKUP(A1632, Clasificaciones!A:B, 2, FALSE), "DATO NO CARGADO"))
</f>
        <v/>
      </c>
      <c r="C1632" s="51"/>
      <c r="D1632" s="102"/>
      <c r="E1632" s="102"/>
      <c r="H1632" s="102"/>
      <c r="J1632" s="102"/>
      <c r="K1632" s="450"/>
      <c r="L1632" s="443"/>
      <c r="M1632" s="450"/>
      <c r="N1632" s="452">
        <f t="array" ref="N1632">IFERROR(
  INDEX(
    'Valor Hora Real y Estimada'!$A$4:$Z$78,
    MATCH(TRIM(CLEAN(A1632)), 'Valor Hora Real y Estimada'!$A$4:$A$78, 0),
    MATCH(
      TEXT(C1632,"dd mmm")&amp;" "&amp;D1632,
      'Valor Hora Real y Estimada'!$A$3:$Z$3,
      0
    ) + 1
  ),
  0
)</f>
        <v>0</v>
      </c>
      <c r="O1632" s="453"/>
      <c r="P1632" s="113"/>
      <c r="Q1632" s="106" t="str">
        <f>IF(ISBLANK(O1632), "", VLOOKUP(C1632&amp;" "&amp;D1632, 'Info Tipo de Cambio y REM'!$A$24:$B$35, 2, FALSE))</f>
        <v/>
      </c>
      <c r="R1632" s="107" t="str">
        <f t="shared" si="32"/>
        <v/>
      </c>
    </row>
    <row r="1633" hidden="1">
      <c r="A1633" s="443"/>
      <c r="B1633" s="43" t="str">
        <f>IF(A1633="", "", IFERROR(VLOOKUP(A1633, Clasificaciones!A:B, 2, FALSE), "DATO NO CARGADO"))
</f>
        <v/>
      </c>
      <c r="C1633" s="51"/>
      <c r="D1633" s="102"/>
      <c r="E1633" s="102"/>
      <c r="H1633" s="102"/>
      <c r="J1633" s="102"/>
      <c r="K1633" s="450"/>
      <c r="L1633" s="443"/>
      <c r="M1633" s="450"/>
      <c r="N1633" s="452">
        <f t="array" ref="N1633">IFERROR(
  INDEX(
    'Valor Hora Real y Estimada'!$A$4:$Z$78,
    MATCH(TRIM(CLEAN(A1633)), 'Valor Hora Real y Estimada'!$A$4:$A$78, 0),
    MATCH(
      TEXT(C1633,"dd mmm")&amp;" "&amp;D1633,
      'Valor Hora Real y Estimada'!$A$3:$Z$3,
      0
    ) + 1
  ),
  0
)</f>
        <v>0</v>
      </c>
      <c r="O1633" s="453"/>
      <c r="P1633" s="113"/>
      <c r="Q1633" s="106" t="str">
        <f>IF(ISBLANK(O1633), "", VLOOKUP(C1633&amp;" "&amp;D1633, 'Info Tipo de Cambio y REM'!$A$24:$B$35, 2, FALSE))</f>
        <v/>
      </c>
      <c r="R1633" s="107" t="str">
        <f t="shared" si="32"/>
        <v/>
      </c>
    </row>
    <row r="1634" hidden="1">
      <c r="A1634" s="443"/>
      <c r="B1634" s="43" t="str">
        <f>IF(A1634="", "", IFERROR(VLOOKUP(A1634, Clasificaciones!A:B, 2, FALSE), "DATO NO CARGADO"))
</f>
        <v/>
      </c>
      <c r="C1634" s="51"/>
      <c r="D1634" s="102"/>
      <c r="E1634" s="102"/>
      <c r="H1634" s="102"/>
      <c r="J1634" s="102"/>
      <c r="K1634" s="450"/>
      <c r="L1634" s="443"/>
      <c r="M1634" s="450"/>
      <c r="N1634" s="452">
        <f t="array" ref="N1634">IFERROR(
  INDEX(
    'Valor Hora Real y Estimada'!$A$4:$Z$78,
    MATCH(TRIM(CLEAN(A1634)), 'Valor Hora Real y Estimada'!$A$4:$A$78, 0),
    MATCH(
      TEXT(C1634,"dd mmm")&amp;" "&amp;D1634,
      'Valor Hora Real y Estimada'!$A$3:$Z$3,
      0
    ) + 1
  ),
  0
)</f>
        <v>0</v>
      </c>
      <c r="O1634" s="453"/>
      <c r="P1634" s="113"/>
      <c r="Q1634" s="106" t="str">
        <f>IF(ISBLANK(O1634), "", VLOOKUP(C1634&amp;" "&amp;D1634, 'Info Tipo de Cambio y REM'!$A$24:$B$35, 2, FALSE))</f>
        <v/>
      </c>
      <c r="R1634" s="107" t="str">
        <f t="shared" si="32"/>
        <v/>
      </c>
    </row>
    <row r="1635" hidden="1">
      <c r="A1635" s="443"/>
      <c r="B1635" s="43" t="str">
        <f>IF(A1635="", "", IFERROR(VLOOKUP(A1635, Clasificaciones!A:B, 2, FALSE), "DATO NO CARGADO"))
</f>
        <v/>
      </c>
      <c r="C1635" s="51"/>
      <c r="D1635" s="102"/>
      <c r="E1635" s="102"/>
      <c r="H1635" s="102"/>
      <c r="J1635" s="102"/>
      <c r="K1635" s="450"/>
      <c r="L1635" s="443"/>
      <c r="M1635" s="450"/>
      <c r="N1635" s="452">
        <f t="array" ref="N1635">IFERROR(
  INDEX(
    'Valor Hora Real y Estimada'!$A$4:$Z$78,
    MATCH(TRIM(CLEAN(A1635)), 'Valor Hora Real y Estimada'!$A$4:$A$78, 0),
    MATCH(
      TEXT(C1635,"dd mmm")&amp;" "&amp;D1635,
      'Valor Hora Real y Estimada'!$A$3:$Z$3,
      0
    ) + 1
  ),
  0
)</f>
        <v>0</v>
      </c>
      <c r="O1635" s="453"/>
      <c r="P1635" s="113"/>
      <c r="Q1635" s="106" t="str">
        <f>IF(ISBLANK(O1635), "", VLOOKUP(C1635&amp;" "&amp;D1635, 'Info Tipo de Cambio y REM'!$A$24:$B$35, 2, FALSE))</f>
        <v/>
      </c>
      <c r="R1635" s="107" t="str">
        <f t="shared" si="32"/>
        <v/>
      </c>
    </row>
    <row r="1636" hidden="1">
      <c r="A1636" s="443"/>
      <c r="B1636" s="43" t="str">
        <f>IF(A1636="", "", IFERROR(VLOOKUP(A1636, Clasificaciones!A:B, 2, FALSE), "DATO NO CARGADO"))
</f>
        <v/>
      </c>
      <c r="C1636" s="51"/>
      <c r="D1636" s="102"/>
      <c r="E1636" s="102"/>
      <c r="H1636" s="102"/>
      <c r="J1636" s="102"/>
      <c r="K1636" s="450"/>
      <c r="L1636" s="443"/>
      <c r="M1636" s="450"/>
      <c r="N1636" s="452">
        <f t="array" ref="N1636">IFERROR(
  INDEX(
    'Valor Hora Real y Estimada'!$A$4:$Z$78,
    MATCH(TRIM(CLEAN(A1636)), 'Valor Hora Real y Estimada'!$A$4:$A$78, 0),
    MATCH(
      TEXT(C1636,"dd mmm")&amp;" "&amp;D1636,
      'Valor Hora Real y Estimada'!$A$3:$Z$3,
      0
    ) + 1
  ),
  0
)</f>
        <v>0</v>
      </c>
      <c r="O1636" s="453"/>
      <c r="P1636" s="113"/>
      <c r="Q1636" s="106" t="str">
        <f>IF(ISBLANK(O1636), "", VLOOKUP(C1636&amp;" "&amp;D1636, 'Info Tipo de Cambio y REM'!$A$24:$B$35, 2, FALSE))</f>
        <v/>
      </c>
      <c r="R1636" s="107" t="str">
        <f t="shared" si="32"/>
        <v/>
      </c>
    </row>
    <row r="1637" hidden="1">
      <c r="A1637" s="443"/>
      <c r="B1637" s="43" t="str">
        <f>IF(A1637="", "", IFERROR(VLOOKUP(A1637, Clasificaciones!A:B, 2, FALSE), "DATO NO CARGADO"))
</f>
        <v/>
      </c>
      <c r="C1637" s="51"/>
      <c r="D1637" s="102"/>
      <c r="E1637" s="102"/>
      <c r="H1637" s="102"/>
      <c r="J1637" s="102"/>
      <c r="K1637" s="450"/>
      <c r="L1637" s="443"/>
      <c r="M1637" s="450"/>
      <c r="N1637" s="452">
        <f t="array" ref="N1637">IFERROR(
  INDEX(
    'Valor Hora Real y Estimada'!$A$4:$Z$78,
    MATCH(TRIM(CLEAN(A1637)), 'Valor Hora Real y Estimada'!$A$4:$A$78, 0),
    MATCH(
      TEXT(C1637,"dd mmm")&amp;" "&amp;D1637,
      'Valor Hora Real y Estimada'!$A$3:$Z$3,
      0
    ) + 1
  ),
  0
)</f>
        <v>0</v>
      </c>
      <c r="O1637" s="453"/>
      <c r="P1637" s="113"/>
      <c r="Q1637" s="106" t="str">
        <f>IF(ISBLANK(O1637), "", VLOOKUP(C1637&amp;" "&amp;D1637, 'Info Tipo de Cambio y REM'!$A$24:$B$35, 2, FALSE))</f>
        <v/>
      </c>
      <c r="R1637" s="107" t="str">
        <f t="shared" si="32"/>
        <v/>
      </c>
    </row>
    <row r="1638" hidden="1">
      <c r="A1638" s="443"/>
      <c r="B1638" s="43" t="str">
        <f>IF(A1638="", "", IFERROR(VLOOKUP(A1638, Clasificaciones!A:B, 2, FALSE), "DATO NO CARGADO"))
</f>
        <v/>
      </c>
      <c r="C1638" s="51"/>
      <c r="D1638" s="102"/>
      <c r="E1638" s="102"/>
      <c r="H1638" s="102"/>
      <c r="J1638" s="102"/>
      <c r="K1638" s="450"/>
      <c r="L1638" s="443"/>
      <c r="M1638" s="450"/>
      <c r="N1638" s="452">
        <f t="array" ref="N1638">IFERROR(
  INDEX(
    'Valor Hora Real y Estimada'!$A$4:$Z$78,
    MATCH(TRIM(CLEAN(A1638)), 'Valor Hora Real y Estimada'!$A$4:$A$78, 0),
    MATCH(
      TEXT(C1638,"dd mmm")&amp;" "&amp;D1638,
      'Valor Hora Real y Estimada'!$A$3:$Z$3,
      0
    ) + 1
  ),
  0
)</f>
        <v>0</v>
      </c>
      <c r="O1638" s="453"/>
      <c r="P1638" s="113"/>
      <c r="Q1638" s="106" t="str">
        <f>IF(ISBLANK(O1638), "", VLOOKUP(C1638&amp;" "&amp;D1638, 'Info Tipo de Cambio y REM'!$A$24:$B$35, 2, FALSE))</f>
        <v/>
      </c>
      <c r="R1638" s="107" t="str">
        <f t="shared" si="32"/>
        <v/>
      </c>
    </row>
    <row r="1639" hidden="1">
      <c r="A1639" s="443"/>
      <c r="B1639" s="43" t="str">
        <f>IF(A1639="", "", IFERROR(VLOOKUP(A1639, Clasificaciones!A:B, 2, FALSE), "DATO NO CARGADO"))
</f>
        <v/>
      </c>
      <c r="C1639" s="51"/>
      <c r="D1639" s="102"/>
      <c r="E1639" s="102"/>
      <c r="H1639" s="102"/>
      <c r="J1639" s="102"/>
      <c r="K1639" s="450"/>
      <c r="L1639" s="443"/>
      <c r="M1639" s="450"/>
      <c r="N1639" s="452">
        <f t="array" ref="N1639">IFERROR(
  INDEX(
    'Valor Hora Real y Estimada'!$A$4:$Z$78,
    MATCH(TRIM(CLEAN(A1639)), 'Valor Hora Real y Estimada'!$A$4:$A$78, 0),
    MATCH(
      TEXT(C1639,"dd mmm")&amp;" "&amp;D1639,
      'Valor Hora Real y Estimada'!$A$3:$Z$3,
      0
    ) + 1
  ),
  0
)</f>
        <v>0</v>
      </c>
      <c r="O1639" s="453"/>
      <c r="P1639" s="113"/>
      <c r="Q1639" s="106" t="str">
        <f>IF(ISBLANK(O1639), "", VLOOKUP(C1639&amp;" "&amp;D1639, 'Info Tipo de Cambio y REM'!$A$24:$B$35, 2, FALSE))</f>
        <v/>
      </c>
      <c r="R1639" s="107" t="str">
        <f t="shared" si="32"/>
        <v/>
      </c>
    </row>
    <row r="1640" hidden="1">
      <c r="A1640" s="443"/>
      <c r="B1640" s="43" t="str">
        <f>IF(A1640="", "", IFERROR(VLOOKUP(A1640, Clasificaciones!A:B, 2, FALSE), "DATO NO CARGADO"))
</f>
        <v/>
      </c>
      <c r="C1640" s="51"/>
      <c r="D1640" s="102"/>
      <c r="E1640" s="102"/>
      <c r="H1640" s="102"/>
      <c r="J1640" s="102"/>
      <c r="K1640" s="450"/>
      <c r="L1640" s="443"/>
      <c r="M1640" s="450"/>
      <c r="N1640" s="452">
        <f t="array" ref="N1640">IFERROR(
  INDEX(
    'Valor Hora Real y Estimada'!$A$4:$Z$78,
    MATCH(TRIM(CLEAN(A1640)), 'Valor Hora Real y Estimada'!$A$4:$A$78, 0),
    MATCH(
      TEXT(C1640,"dd mmm")&amp;" "&amp;D1640,
      'Valor Hora Real y Estimada'!$A$3:$Z$3,
      0
    ) + 1
  ),
  0
)</f>
        <v>0</v>
      </c>
      <c r="O1640" s="453"/>
      <c r="P1640" s="113"/>
      <c r="Q1640" s="106" t="str">
        <f>IF(ISBLANK(O1640), "", VLOOKUP(C1640&amp;" "&amp;D1640, 'Info Tipo de Cambio y REM'!$A$24:$B$35, 2, FALSE))</f>
        <v/>
      </c>
      <c r="R1640" s="107" t="str">
        <f t="shared" si="32"/>
        <v/>
      </c>
    </row>
    <row r="1641" hidden="1">
      <c r="A1641" s="443"/>
      <c r="B1641" s="43" t="str">
        <f>IF(A1641="", "", IFERROR(VLOOKUP(A1641, Clasificaciones!A:B, 2, FALSE), "DATO NO CARGADO"))
</f>
        <v/>
      </c>
      <c r="C1641" s="51"/>
      <c r="D1641" s="102"/>
      <c r="E1641" s="102"/>
      <c r="H1641" s="102"/>
      <c r="J1641" s="102"/>
      <c r="K1641" s="450"/>
      <c r="L1641" s="443"/>
      <c r="M1641" s="450"/>
      <c r="N1641" s="452">
        <f t="array" ref="N1641">IFERROR(
  INDEX(
    'Valor Hora Real y Estimada'!$A$4:$Z$78,
    MATCH(TRIM(CLEAN(A1641)), 'Valor Hora Real y Estimada'!$A$4:$A$78, 0),
    MATCH(
      TEXT(C1641,"dd mmm")&amp;" "&amp;D1641,
      'Valor Hora Real y Estimada'!$A$3:$Z$3,
      0
    ) + 1
  ),
  0
)</f>
        <v>0</v>
      </c>
      <c r="O1641" s="453"/>
      <c r="P1641" s="113"/>
      <c r="Q1641" s="106" t="str">
        <f>IF(ISBLANK(O1641), "", VLOOKUP(C1641&amp;" "&amp;D1641, 'Info Tipo de Cambio y REM'!$A$24:$B$35, 2, FALSE))</f>
        <v/>
      </c>
      <c r="R1641" s="107" t="str">
        <f t="shared" si="32"/>
        <v/>
      </c>
    </row>
    <row r="1642" hidden="1">
      <c r="A1642" s="443"/>
      <c r="B1642" s="43" t="str">
        <f>IF(A1642="", "", IFERROR(VLOOKUP(A1642, Clasificaciones!A:B, 2, FALSE), "DATO NO CARGADO"))
</f>
        <v/>
      </c>
      <c r="C1642" s="51"/>
      <c r="D1642" s="102"/>
      <c r="E1642" s="102"/>
      <c r="H1642" s="102"/>
      <c r="J1642" s="102"/>
      <c r="K1642" s="450"/>
      <c r="L1642" s="443"/>
      <c r="M1642" s="450"/>
      <c r="N1642" s="452">
        <f t="array" ref="N1642">IFERROR(
  INDEX(
    'Valor Hora Real y Estimada'!$A$4:$Z$78,
    MATCH(TRIM(CLEAN(A1642)), 'Valor Hora Real y Estimada'!$A$4:$A$78, 0),
    MATCH(
      TEXT(C1642,"dd mmm")&amp;" "&amp;D1642,
      'Valor Hora Real y Estimada'!$A$3:$Z$3,
      0
    ) + 1
  ),
  0
)</f>
        <v>0</v>
      </c>
      <c r="O1642" s="453"/>
      <c r="P1642" s="113"/>
      <c r="Q1642" s="106" t="str">
        <f>IF(ISBLANK(O1642), "", VLOOKUP(C1642&amp;" "&amp;D1642, 'Info Tipo de Cambio y REM'!$A$24:$B$35, 2, FALSE))</f>
        <v/>
      </c>
      <c r="R1642" s="107" t="str">
        <f t="shared" si="32"/>
        <v/>
      </c>
    </row>
    <row r="1643" hidden="1">
      <c r="A1643" s="443"/>
      <c r="B1643" s="43" t="str">
        <f>IF(A1643="", "", IFERROR(VLOOKUP(A1643, Clasificaciones!A:B, 2, FALSE), "DATO NO CARGADO"))
</f>
        <v/>
      </c>
      <c r="C1643" s="51"/>
      <c r="D1643" s="102"/>
      <c r="E1643" s="102"/>
      <c r="H1643" s="102"/>
      <c r="J1643" s="102"/>
      <c r="K1643" s="450"/>
      <c r="L1643" s="443"/>
      <c r="M1643" s="450"/>
      <c r="N1643" s="452">
        <f t="array" ref="N1643">IFERROR(
  INDEX(
    'Valor Hora Real y Estimada'!$A$4:$Z$78,
    MATCH(TRIM(CLEAN(A1643)), 'Valor Hora Real y Estimada'!$A$4:$A$78, 0),
    MATCH(
      TEXT(C1643,"dd mmm")&amp;" "&amp;D1643,
      'Valor Hora Real y Estimada'!$A$3:$Z$3,
      0
    ) + 1
  ),
  0
)</f>
        <v>0</v>
      </c>
      <c r="O1643" s="453"/>
      <c r="P1643" s="113"/>
      <c r="Q1643" s="106" t="str">
        <f>IF(ISBLANK(O1643), "", VLOOKUP(C1643&amp;" "&amp;D1643, 'Info Tipo de Cambio y REM'!$A$24:$B$35, 2, FALSE))</f>
        <v/>
      </c>
      <c r="R1643" s="107" t="str">
        <f t="shared" si="32"/>
        <v/>
      </c>
    </row>
    <row r="1644" hidden="1">
      <c r="A1644" s="443"/>
      <c r="B1644" s="43" t="str">
        <f>IF(A1644="", "", IFERROR(VLOOKUP(A1644, Clasificaciones!A:B, 2, FALSE), "DATO NO CARGADO"))
</f>
        <v/>
      </c>
      <c r="C1644" s="51"/>
      <c r="D1644" s="102"/>
      <c r="E1644" s="102"/>
      <c r="H1644" s="102"/>
      <c r="J1644" s="102"/>
      <c r="K1644" s="450"/>
      <c r="L1644" s="443"/>
      <c r="M1644" s="450"/>
      <c r="N1644" s="452">
        <f t="array" ref="N1644">IFERROR(
  INDEX(
    'Valor Hora Real y Estimada'!$A$4:$Z$78,
    MATCH(TRIM(CLEAN(A1644)), 'Valor Hora Real y Estimada'!$A$4:$A$78, 0),
    MATCH(
      TEXT(C1644,"dd mmm")&amp;" "&amp;D1644,
      'Valor Hora Real y Estimada'!$A$3:$Z$3,
      0
    ) + 1
  ),
  0
)</f>
        <v>0</v>
      </c>
      <c r="O1644" s="453"/>
      <c r="P1644" s="113"/>
      <c r="Q1644" s="106" t="str">
        <f>IF(ISBLANK(O1644), "", VLOOKUP(C1644&amp;" "&amp;D1644, 'Info Tipo de Cambio y REM'!$A$24:$B$35, 2, FALSE))</f>
        <v/>
      </c>
      <c r="R1644" s="107" t="str">
        <f t="shared" si="32"/>
        <v/>
      </c>
    </row>
    <row r="1645" hidden="1">
      <c r="A1645" s="443"/>
      <c r="B1645" s="43" t="str">
        <f>IF(A1645="", "", IFERROR(VLOOKUP(A1645, Clasificaciones!A:B, 2, FALSE), "DATO NO CARGADO"))
</f>
        <v/>
      </c>
      <c r="C1645" s="51"/>
      <c r="D1645" s="102"/>
      <c r="E1645" s="102"/>
      <c r="H1645" s="102"/>
      <c r="J1645" s="102"/>
      <c r="K1645" s="450"/>
      <c r="L1645" s="443"/>
      <c r="M1645" s="450"/>
      <c r="N1645" s="452">
        <f t="array" ref="N1645">IFERROR(
  INDEX(
    'Valor Hora Real y Estimada'!$A$4:$Z$78,
    MATCH(TRIM(CLEAN(A1645)), 'Valor Hora Real y Estimada'!$A$4:$A$78, 0),
    MATCH(
      TEXT(C1645,"dd mmm")&amp;" "&amp;D1645,
      'Valor Hora Real y Estimada'!$A$3:$Z$3,
      0
    ) + 1
  ),
  0
)</f>
        <v>0</v>
      </c>
      <c r="O1645" s="453"/>
      <c r="P1645" s="113"/>
      <c r="Q1645" s="106" t="str">
        <f>IF(ISBLANK(O1645), "", VLOOKUP(C1645&amp;" "&amp;D1645, 'Info Tipo de Cambio y REM'!$A$24:$B$35, 2, FALSE))</f>
        <v/>
      </c>
      <c r="R1645" s="107" t="str">
        <f t="shared" si="32"/>
        <v/>
      </c>
    </row>
    <row r="1646" hidden="1">
      <c r="A1646" s="443"/>
      <c r="B1646" s="43" t="str">
        <f>IF(A1646="", "", IFERROR(VLOOKUP(A1646, Clasificaciones!A:B, 2, FALSE), "DATO NO CARGADO"))
</f>
        <v/>
      </c>
      <c r="C1646" s="51"/>
      <c r="D1646" s="102"/>
      <c r="E1646" s="102"/>
      <c r="H1646" s="102"/>
      <c r="J1646" s="102"/>
      <c r="K1646" s="450"/>
      <c r="L1646" s="443"/>
      <c r="M1646" s="450"/>
      <c r="N1646" s="452">
        <f t="array" ref="N1646">IFERROR(
  INDEX(
    'Valor Hora Real y Estimada'!$A$4:$Z$78,
    MATCH(TRIM(CLEAN(A1646)), 'Valor Hora Real y Estimada'!$A$4:$A$78, 0),
    MATCH(
      TEXT(C1646,"dd mmm")&amp;" "&amp;D1646,
      'Valor Hora Real y Estimada'!$A$3:$Z$3,
      0
    ) + 1
  ),
  0
)</f>
        <v>0</v>
      </c>
      <c r="O1646" s="453"/>
      <c r="P1646" s="113"/>
      <c r="Q1646" s="106" t="str">
        <f>IF(ISBLANK(O1646), "", VLOOKUP(C1646&amp;" "&amp;D1646, 'Info Tipo de Cambio y REM'!$A$24:$B$35, 2, FALSE))</f>
        <v/>
      </c>
      <c r="R1646" s="107" t="str">
        <f t="shared" si="32"/>
        <v/>
      </c>
    </row>
    <row r="1647" hidden="1">
      <c r="A1647" s="443"/>
      <c r="B1647" s="43" t="str">
        <f>IF(A1647="", "", IFERROR(VLOOKUP(A1647, Clasificaciones!A:B, 2, FALSE), "DATO NO CARGADO"))
</f>
        <v/>
      </c>
      <c r="C1647" s="51"/>
      <c r="D1647" s="102"/>
      <c r="E1647" s="102"/>
      <c r="H1647" s="102"/>
      <c r="J1647" s="102"/>
      <c r="K1647" s="450"/>
      <c r="L1647" s="443"/>
      <c r="M1647" s="450"/>
      <c r="N1647" s="452">
        <f t="array" ref="N1647">IFERROR(
  INDEX(
    'Valor Hora Real y Estimada'!$A$4:$Z$78,
    MATCH(TRIM(CLEAN(A1647)), 'Valor Hora Real y Estimada'!$A$4:$A$78, 0),
    MATCH(
      TEXT(C1647,"dd mmm")&amp;" "&amp;D1647,
      'Valor Hora Real y Estimada'!$A$3:$Z$3,
      0
    ) + 1
  ),
  0
)</f>
        <v>0</v>
      </c>
      <c r="O1647" s="453"/>
      <c r="P1647" s="113"/>
      <c r="Q1647" s="106" t="str">
        <f>IF(ISBLANK(O1647), "", VLOOKUP(C1647&amp;" "&amp;D1647, 'Info Tipo de Cambio y REM'!$A$24:$B$35, 2, FALSE))</f>
        <v/>
      </c>
      <c r="R1647" s="107" t="str">
        <f t="shared" si="32"/>
        <v/>
      </c>
    </row>
    <row r="1648" hidden="1">
      <c r="A1648" s="443"/>
      <c r="B1648" s="43" t="str">
        <f>IF(A1648="", "", IFERROR(VLOOKUP(A1648, Clasificaciones!A:B, 2, FALSE), "DATO NO CARGADO"))
</f>
        <v/>
      </c>
      <c r="C1648" s="51"/>
      <c r="D1648" s="102"/>
      <c r="E1648" s="102"/>
      <c r="H1648" s="102"/>
      <c r="J1648" s="102"/>
      <c r="K1648" s="450"/>
      <c r="L1648" s="443"/>
      <c r="M1648" s="450"/>
      <c r="N1648" s="452">
        <f t="array" ref="N1648">IFERROR(
  INDEX(
    'Valor Hora Real y Estimada'!$A$4:$Z$78,
    MATCH(TRIM(CLEAN(A1648)), 'Valor Hora Real y Estimada'!$A$4:$A$78, 0),
    MATCH(
      TEXT(C1648,"dd mmm")&amp;" "&amp;D1648,
      'Valor Hora Real y Estimada'!$A$3:$Z$3,
      0
    ) + 1
  ),
  0
)</f>
        <v>0</v>
      </c>
      <c r="O1648" s="453"/>
      <c r="P1648" s="113"/>
      <c r="Q1648" s="106" t="str">
        <f>IF(ISBLANK(O1648), "", VLOOKUP(C1648&amp;" "&amp;D1648, 'Info Tipo de Cambio y REM'!$A$24:$B$35, 2, FALSE))</f>
        <v/>
      </c>
      <c r="R1648" s="107" t="str">
        <f t="shared" si="32"/>
        <v/>
      </c>
    </row>
    <row r="1649" hidden="1">
      <c r="A1649" s="443"/>
      <c r="B1649" s="43" t="str">
        <f>IF(A1649="", "", IFERROR(VLOOKUP(A1649, Clasificaciones!A:B, 2, FALSE), "DATO NO CARGADO"))
</f>
        <v/>
      </c>
      <c r="C1649" s="51"/>
      <c r="D1649" s="102"/>
      <c r="E1649" s="102"/>
      <c r="H1649" s="102"/>
      <c r="J1649" s="102"/>
      <c r="K1649" s="450"/>
      <c r="L1649" s="443"/>
      <c r="M1649" s="450"/>
      <c r="N1649" s="452">
        <f t="array" ref="N1649">IFERROR(
  INDEX(
    'Valor Hora Real y Estimada'!$A$4:$Z$78,
    MATCH(TRIM(CLEAN(A1649)), 'Valor Hora Real y Estimada'!$A$4:$A$78, 0),
    MATCH(
      TEXT(C1649,"dd mmm")&amp;" "&amp;D1649,
      'Valor Hora Real y Estimada'!$A$3:$Z$3,
      0
    ) + 1
  ),
  0
)</f>
        <v>0</v>
      </c>
      <c r="O1649" s="453"/>
      <c r="P1649" s="113"/>
      <c r="Q1649" s="106" t="str">
        <f>IF(ISBLANK(O1649), "", VLOOKUP(C1649&amp;" "&amp;D1649, 'Info Tipo de Cambio y REM'!$A$24:$B$35, 2, FALSE))</f>
        <v/>
      </c>
      <c r="R1649" s="107" t="str">
        <f t="shared" si="32"/>
        <v/>
      </c>
    </row>
    <row r="1650" hidden="1">
      <c r="A1650" s="443"/>
      <c r="B1650" s="43" t="str">
        <f>IF(A1650="", "", IFERROR(VLOOKUP(A1650, Clasificaciones!A:B, 2, FALSE), "DATO NO CARGADO"))
</f>
        <v/>
      </c>
      <c r="C1650" s="51"/>
      <c r="D1650" s="102"/>
      <c r="E1650" s="102"/>
      <c r="H1650" s="102"/>
      <c r="J1650" s="102"/>
      <c r="K1650" s="450"/>
      <c r="L1650" s="443"/>
      <c r="M1650" s="450"/>
      <c r="N1650" s="452">
        <f t="array" ref="N1650">IFERROR(
  INDEX(
    'Valor Hora Real y Estimada'!$A$4:$Z$78,
    MATCH(TRIM(CLEAN(A1650)), 'Valor Hora Real y Estimada'!$A$4:$A$78, 0),
    MATCH(
      TEXT(C1650,"dd mmm")&amp;" "&amp;D1650,
      'Valor Hora Real y Estimada'!$A$3:$Z$3,
      0
    ) + 1
  ),
  0
)</f>
        <v>0</v>
      </c>
      <c r="O1650" s="453"/>
      <c r="P1650" s="113"/>
      <c r="Q1650" s="106" t="str">
        <f>IF(ISBLANK(O1650), "", VLOOKUP(C1650&amp;" "&amp;D1650, 'Info Tipo de Cambio y REM'!$A$24:$B$35, 2, FALSE))</f>
        <v/>
      </c>
      <c r="R1650" s="107" t="str">
        <f t="shared" si="32"/>
        <v/>
      </c>
    </row>
    <row r="1651" hidden="1">
      <c r="A1651" s="443"/>
      <c r="B1651" s="43" t="str">
        <f>IF(A1651="", "", IFERROR(VLOOKUP(A1651, Clasificaciones!A:B, 2, FALSE), "DATO NO CARGADO"))
</f>
        <v/>
      </c>
      <c r="C1651" s="51"/>
      <c r="D1651" s="102"/>
      <c r="E1651" s="102"/>
      <c r="H1651" s="102"/>
      <c r="J1651" s="102"/>
      <c r="K1651" s="450"/>
      <c r="L1651" s="443"/>
      <c r="M1651" s="450"/>
      <c r="N1651" s="452">
        <f t="array" ref="N1651">IFERROR(
  INDEX(
    'Valor Hora Real y Estimada'!$A$4:$Z$78,
    MATCH(TRIM(CLEAN(A1651)), 'Valor Hora Real y Estimada'!$A$4:$A$78, 0),
    MATCH(
      TEXT(C1651,"dd mmm")&amp;" "&amp;D1651,
      'Valor Hora Real y Estimada'!$A$3:$Z$3,
      0
    ) + 1
  ),
  0
)</f>
        <v>0</v>
      </c>
      <c r="O1651" s="453"/>
      <c r="P1651" s="113"/>
      <c r="Q1651" s="106" t="str">
        <f>IF(ISBLANK(O1651), "", VLOOKUP(C1651&amp;" "&amp;D1651, 'Info Tipo de Cambio y REM'!$A$24:$B$35, 2, FALSE))</f>
        <v/>
      </c>
      <c r="R1651" s="107" t="str">
        <f t="shared" si="32"/>
        <v/>
      </c>
    </row>
    <row r="1652" hidden="1">
      <c r="A1652" s="443"/>
      <c r="B1652" s="43" t="str">
        <f>IF(A1652="", "", IFERROR(VLOOKUP(A1652, Clasificaciones!A:B, 2, FALSE), "DATO NO CARGADO"))
</f>
        <v/>
      </c>
      <c r="C1652" s="51"/>
      <c r="D1652" s="102"/>
      <c r="E1652" s="102"/>
      <c r="H1652" s="102"/>
      <c r="J1652" s="102"/>
      <c r="K1652" s="450"/>
      <c r="L1652" s="443"/>
      <c r="M1652" s="450"/>
      <c r="N1652" s="452">
        <f t="array" ref="N1652">IFERROR(
  INDEX(
    'Valor Hora Real y Estimada'!$A$4:$Z$78,
    MATCH(TRIM(CLEAN(A1652)), 'Valor Hora Real y Estimada'!$A$4:$A$78, 0),
    MATCH(
      TEXT(C1652,"dd mmm")&amp;" "&amp;D1652,
      'Valor Hora Real y Estimada'!$A$3:$Z$3,
      0
    ) + 1
  ),
  0
)</f>
        <v>0</v>
      </c>
      <c r="O1652" s="453"/>
      <c r="P1652" s="113"/>
      <c r="Q1652" s="106" t="str">
        <f>IF(ISBLANK(O1652), "", VLOOKUP(C1652&amp;" "&amp;D1652, 'Info Tipo de Cambio y REM'!$A$24:$B$35, 2, FALSE))</f>
        <v/>
      </c>
      <c r="R1652" s="107" t="str">
        <f t="shared" si="32"/>
        <v/>
      </c>
    </row>
    <row r="1653" hidden="1">
      <c r="A1653" s="443"/>
      <c r="B1653" s="43" t="str">
        <f>IF(A1653="", "", IFERROR(VLOOKUP(A1653, Clasificaciones!A:B, 2, FALSE), "DATO NO CARGADO"))
</f>
        <v/>
      </c>
      <c r="C1653" s="51"/>
      <c r="D1653" s="102"/>
      <c r="E1653" s="102"/>
      <c r="H1653" s="102"/>
      <c r="J1653" s="102"/>
      <c r="K1653" s="450"/>
      <c r="L1653" s="443"/>
      <c r="M1653" s="450"/>
      <c r="N1653" s="452">
        <f t="array" ref="N1653">IFERROR(
  INDEX(
    'Valor Hora Real y Estimada'!$A$4:$Z$78,
    MATCH(TRIM(CLEAN(A1653)), 'Valor Hora Real y Estimada'!$A$4:$A$78, 0),
    MATCH(
      TEXT(C1653,"dd mmm")&amp;" "&amp;D1653,
      'Valor Hora Real y Estimada'!$A$3:$Z$3,
      0
    ) + 1
  ),
  0
)</f>
        <v>0</v>
      </c>
      <c r="O1653" s="453"/>
      <c r="P1653" s="113"/>
      <c r="Q1653" s="106" t="str">
        <f>IF(ISBLANK(O1653), "", VLOOKUP(C1653&amp;" "&amp;D1653, 'Info Tipo de Cambio y REM'!$A$24:$B$35, 2, FALSE))</f>
        <v/>
      </c>
      <c r="R1653" s="107" t="str">
        <f t="shared" si="32"/>
        <v/>
      </c>
    </row>
    <row r="1654" hidden="1">
      <c r="A1654" s="443"/>
      <c r="B1654" s="43" t="str">
        <f>IF(A1654="", "", IFERROR(VLOOKUP(A1654, Clasificaciones!A:B, 2, FALSE), "DATO NO CARGADO"))
</f>
        <v/>
      </c>
      <c r="C1654" s="51"/>
      <c r="D1654" s="102"/>
      <c r="E1654" s="102"/>
      <c r="H1654" s="102"/>
      <c r="J1654" s="102"/>
      <c r="K1654" s="450"/>
      <c r="L1654" s="443"/>
      <c r="M1654" s="450"/>
      <c r="N1654" s="452">
        <f t="array" ref="N1654">IFERROR(
  INDEX(
    'Valor Hora Real y Estimada'!$A$4:$Z$78,
    MATCH(TRIM(CLEAN(A1654)), 'Valor Hora Real y Estimada'!$A$4:$A$78, 0),
    MATCH(
      TEXT(C1654,"dd mmm")&amp;" "&amp;D1654,
      'Valor Hora Real y Estimada'!$A$3:$Z$3,
      0
    ) + 1
  ),
  0
)</f>
        <v>0</v>
      </c>
      <c r="O1654" s="453"/>
      <c r="P1654" s="113"/>
      <c r="Q1654" s="106" t="str">
        <f>IF(ISBLANK(O1654), "", VLOOKUP(C1654&amp;" "&amp;D1654, 'Info Tipo de Cambio y REM'!$A$24:$B$35, 2, FALSE))</f>
        <v/>
      </c>
      <c r="R1654" s="107" t="str">
        <f t="shared" si="32"/>
        <v/>
      </c>
    </row>
    <row r="1655" hidden="1">
      <c r="A1655" s="443"/>
      <c r="B1655" s="43" t="str">
        <f>IF(A1655="", "", IFERROR(VLOOKUP(A1655, Clasificaciones!A:B, 2, FALSE), "DATO NO CARGADO"))
</f>
        <v/>
      </c>
      <c r="C1655" s="51"/>
      <c r="D1655" s="102"/>
      <c r="E1655" s="102"/>
      <c r="H1655" s="102"/>
      <c r="J1655" s="102"/>
      <c r="K1655" s="450"/>
      <c r="L1655" s="443"/>
      <c r="M1655" s="450"/>
      <c r="N1655" s="452">
        <f t="array" ref="N1655">IFERROR(
  INDEX(
    'Valor Hora Real y Estimada'!$A$4:$Z$78,
    MATCH(TRIM(CLEAN(A1655)), 'Valor Hora Real y Estimada'!$A$4:$A$78, 0),
    MATCH(
      TEXT(C1655,"dd mmm")&amp;" "&amp;D1655,
      'Valor Hora Real y Estimada'!$A$3:$Z$3,
      0
    ) + 1
  ),
  0
)</f>
        <v>0</v>
      </c>
      <c r="O1655" s="453"/>
      <c r="P1655" s="113"/>
      <c r="Q1655" s="106" t="str">
        <f>IF(ISBLANK(O1655), "", VLOOKUP(C1655&amp;" "&amp;D1655, 'Info Tipo de Cambio y REM'!$A$24:$B$35, 2, FALSE))</f>
        <v/>
      </c>
      <c r="R1655" s="107" t="str">
        <f t="shared" si="32"/>
        <v/>
      </c>
    </row>
    <row r="1656" hidden="1">
      <c r="A1656" s="443"/>
      <c r="B1656" s="43" t="str">
        <f>IF(A1656="", "", IFERROR(VLOOKUP(A1656, Clasificaciones!A:B, 2, FALSE), "DATO NO CARGADO"))
</f>
        <v/>
      </c>
      <c r="C1656" s="51"/>
      <c r="D1656" s="102"/>
      <c r="E1656" s="102"/>
      <c r="H1656" s="102"/>
      <c r="J1656" s="102"/>
      <c r="K1656" s="450"/>
      <c r="L1656" s="443"/>
      <c r="M1656" s="450"/>
      <c r="N1656" s="452">
        <f t="array" ref="N1656">IFERROR(
  INDEX(
    'Valor Hora Real y Estimada'!$A$4:$Z$78,
    MATCH(TRIM(CLEAN(A1656)), 'Valor Hora Real y Estimada'!$A$4:$A$78, 0),
    MATCH(
      TEXT(C1656,"dd mmm")&amp;" "&amp;D1656,
      'Valor Hora Real y Estimada'!$A$3:$Z$3,
      0
    ) + 1
  ),
  0
)</f>
        <v>0</v>
      </c>
      <c r="O1656" s="453"/>
      <c r="P1656" s="113"/>
      <c r="Q1656" s="106" t="str">
        <f>IF(ISBLANK(O1656), "", VLOOKUP(C1656&amp;" "&amp;D1656, 'Info Tipo de Cambio y REM'!$A$24:$B$35, 2, FALSE))</f>
        <v/>
      </c>
      <c r="R1656" s="107" t="str">
        <f t="shared" si="32"/>
        <v/>
      </c>
    </row>
    <row r="1657" hidden="1">
      <c r="A1657" s="443"/>
      <c r="B1657" s="43" t="str">
        <f>IF(A1657="", "", IFERROR(VLOOKUP(A1657, Clasificaciones!A:B, 2, FALSE), "DATO NO CARGADO"))
</f>
        <v/>
      </c>
      <c r="C1657" s="51"/>
      <c r="D1657" s="102"/>
      <c r="E1657" s="102"/>
      <c r="H1657" s="102"/>
      <c r="J1657" s="102"/>
      <c r="K1657" s="450"/>
      <c r="L1657" s="443"/>
      <c r="M1657" s="450"/>
      <c r="N1657" s="452">
        <f t="array" ref="N1657">IFERROR(
  INDEX(
    'Valor Hora Real y Estimada'!$A$4:$Z$78,
    MATCH(TRIM(CLEAN(A1657)), 'Valor Hora Real y Estimada'!$A$4:$A$78, 0),
    MATCH(
      TEXT(C1657,"dd mmm")&amp;" "&amp;D1657,
      'Valor Hora Real y Estimada'!$A$3:$Z$3,
      0
    ) + 1
  ),
  0
)</f>
        <v>0</v>
      </c>
      <c r="O1657" s="453"/>
      <c r="P1657" s="113"/>
      <c r="Q1657" s="106" t="str">
        <f>IF(ISBLANK(O1657), "", VLOOKUP(C1657&amp;" "&amp;D1657, 'Info Tipo de Cambio y REM'!$A$24:$B$35, 2, FALSE))</f>
        <v/>
      </c>
      <c r="R1657" s="107" t="str">
        <f t="shared" si="32"/>
        <v/>
      </c>
    </row>
    <row r="1658" hidden="1">
      <c r="A1658" s="443"/>
      <c r="B1658" s="43" t="str">
        <f>IF(A1658="", "", IFERROR(VLOOKUP(A1658, Clasificaciones!A:B, 2, FALSE), "DATO NO CARGADO"))
</f>
        <v/>
      </c>
      <c r="C1658" s="51"/>
      <c r="D1658" s="102"/>
      <c r="E1658" s="102"/>
      <c r="H1658" s="102"/>
      <c r="J1658" s="102"/>
      <c r="K1658" s="450"/>
      <c r="L1658" s="443"/>
      <c r="M1658" s="450"/>
      <c r="N1658" s="452">
        <f t="array" ref="N1658">IFERROR(
  INDEX(
    'Valor Hora Real y Estimada'!$A$4:$Z$78,
    MATCH(TRIM(CLEAN(A1658)), 'Valor Hora Real y Estimada'!$A$4:$A$78, 0),
    MATCH(
      TEXT(C1658,"dd mmm")&amp;" "&amp;D1658,
      'Valor Hora Real y Estimada'!$A$3:$Z$3,
      0
    ) + 1
  ),
  0
)</f>
        <v>0</v>
      </c>
      <c r="O1658" s="453"/>
      <c r="P1658" s="113"/>
      <c r="Q1658" s="106" t="str">
        <f>IF(ISBLANK(O1658), "", VLOOKUP(C1658&amp;" "&amp;D1658, 'Info Tipo de Cambio y REM'!$A$24:$B$35, 2, FALSE))</f>
        <v/>
      </c>
      <c r="R1658" s="107" t="str">
        <f t="shared" si="32"/>
        <v/>
      </c>
    </row>
    <row r="1659" hidden="1">
      <c r="A1659" s="443"/>
      <c r="B1659" s="43" t="str">
        <f>IF(A1659="", "", IFERROR(VLOOKUP(A1659, Clasificaciones!A:B, 2, FALSE), "DATO NO CARGADO"))
</f>
        <v/>
      </c>
      <c r="C1659" s="51"/>
      <c r="D1659" s="102"/>
      <c r="E1659" s="102"/>
      <c r="H1659" s="102"/>
      <c r="J1659" s="102"/>
      <c r="K1659" s="450"/>
      <c r="L1659" s="443"/>
      <c r="M1659" s="450"/>
      <c r="N1659" s="452">
        <f t="array" ref="N1659">IFERROR(
  INDEX(
    'Valor Hora Real y Estimada'!$A$4:$Z$78,
    MATCH(TRIM(CLEAN(A1659)), 'Valor Hora Real y Estimada'!$A$4:$A$78, 0),
    MATCH(
      TEXT(C1659,"dd mmm")&amp;" "&amp;D1659,
      'Valor Hora Real y Estimada'!$A$3:$Z$3,
      0
    ) + 1
  ),
  0
)</f>
        <v>0</v>
      </c>
      <c r="O1659" s="453"/>
      <c r="P1659" s="113"/>
      <c r="Q1659" s="106" t="str">
        <f>IF(ISBLANK(O1659), "", VLOOKUP(C1659&amp;" "&amp;D1659, 'Info Tipo de Cambio y REM'!$A$24:$B$35, 2, FALSE))</f>
        <v/>
      </c>
      <c r="R1659" s="107" t="str">
        <f t="shared" si="32"/>
        <v/>
      </c>
    </row>
    <row r="1660" hidden="1">
      <c r="A1660" s="443"/>
      <c r="B1660" s="43" t="str">
        <f>IF(A1660="", "", IFERROR(VLOOKUP(A1660, Clasificaciones!A:B, 2, FALSE), "DATO NO CARGADO"))
</f>
        <v/>
      </c>
      <c r="C1660" s="51"/>
      <c r="D1660" s="102"/>
      <c r="E1660" s="102"/>
      <c r="H1660" s="102"/>
      <c r="J1660" s="102"/>
      <c r="K1660" s="450"/>
      <c r="L1660" s="443"/>
      <c r="M1660" s="450"/>
      <c r="N1660" s="452">
        <f t="array" ref="N1660">IFERROR(
  INDEX(
    'Valor Hora Real y Estimada'!$A$4:$Z$78,
    MATCH(TRIM(CLEAN(A1660)), 'Valor Hora Real y Estimada'!$A$4:$A$78, 0),
    MATCH(
      TEXT(C1660,"dd mmm")&amp;" "&amp;D1660,
      'Valor Hora Real y Estimada'!$A$3:$Z$3,
      0
    ) + 1
  ),
  0
)</f>
        <v>0</v>
      </c>
      <c r="O1660" s="453"/>
      <c r="P1660" s="113"/>
      <c r="Q1660" s="106" t="str">
        <f>IF(ISBLANK(O1660), "", VLOOKUP(C1660&amp;" "&amp;D1660, 'Info Tipo de Cambio y REM'!$A$24:$B$35, 2, FALSE))</f>
        <v/>
      </c>
      <c r="R1660" s="107" t="str">
        <f t="shared" si="32"/>
        <v/>
      </c>
    </row>
    <row r="1661" hidden="1">
      <c r="A1661" s="443"/>
      <c r="B1661" s="43" t="str">
        <f>IF(A1661="", "", IFERROR(VLOOKUP(A1661, Clasificaciones!A:B, 2, FALSE), "DATO NO CARGADO"))
</f>
        <v/>
      </c>
      <c r="C1661" s="51"/>
      <c r="D1661" s="102"/>
      <c r="E1661" s="102"/>
      <c r="H1661" s="102"/>
      <c r="J1661" s="102"/>
      <c r="K1661" s="450"/>
      <c r="L1661" s="443"/>
      <c r="M1661" s="450"/>
      <c r="N1661" s="452">
        <f t="array" ref="N1661">IFERROR(
  INDEX(
    'Valor Hora Real y Estimada'!$A$4:$Z$78,
    MATCH(TRIM(CLEAN(A1661)), 'Valor Hora Real y Estimada'!$A$4:$A$78, 0),
    MATCH(
      TEXT(C1661,"dd mmm")&amp;" "&amp;D1661,
      'Valor Hora Real y Estimada'!$A$3:$Z$3,
      0
    ) + 1
  ),
  0
)</f>
        <v>0</v>
      </c>
      <c r="O1661" s="453"/>
      <c r="P1661" s="113"/>
      <c r="Q1661" s="106" t="str">
        <f>IF(ISBLANK(O1661), "", VLOOKUP(C1661&amp;" "&amp;D1661, 'Info Tipo de Cambio y REM'!$A$24:$B$35, 2, FALSE))</f>
        <v/>
      </c>
      <c r="R1661" s="107" t="str">
        <f t="shared" si="32"/>
        <v/>
      </c>
    </row>
    <row r="1662" hidden="1">
      <c r="A1662" s="443"/>
      <c r="B1662" s="43" t="str">
        <f>IF(A1662="", "", IFERROR(VLOOKUP(A1662, Clasificaciones!A:B, 2, FALSE), "DATO NO CARGADO"))
</f>
        <v/>
      </c>
      <c r="C1662" s="51"/>
      <c r="D1662" s="102"/>
      <c r="E1662" s="102"/>
      <c r="H1662" s="102"/>
      <c r="J1662" s="102"/>
      <c r="K1662" s="450"/>
      <c r="L1662" s="443"/>
      <c r="M1662" s="450"/>
      <c r="N1662" s="452">
        <f t="array" ref="N1662">IFERROR(
  INDEX(
    'Valor Hora Real y Estimada'!$A$4:$Z$78,
    MATCH(TRIM(CLEAN(A1662)), 'Valor Hora Real y Estimada'!$A$4:$A$78, 0),
    MATCH(
      TEXT(C1662,"dd mmm")&amp;" "&amp;D1662,
      'Valor Hora Real y Estimada'!$A$3:$Z$3,
      0
    ) + 1
  ),
  0
)</f>
        <v>0</v>
      </c>
      <c r="O1662" s="453"/>
      <c r="P1662" s="113"/>
      <c r="Q1662" s="106" t="str">
        <f>IF(ISBLANK(O1662), "", VLOOKUP(C1662&amp;" "&amp;D1662, 'Info Tipo de Cambio y REM'!$A$24:$B$35, 2, FALSE))</f>
        <v/>
      </c>
      <c r="R1662" s="107" t="str">
        <f t="shared" si="32"/>
        <v/>
      </c>
    </row>
    <row r="1663" hidden="1">
      <c r="A1663" s="443"/>
      <c r="B1663" s="43" t="str">
        <f>IF(A1663="", "", IFERROR(VLOOKUP(A1663, Clasificaciones!A:B, 2, FALSE), "DATO NO CARGADO"))
</f>
        <v/>
      </c>
      <c r="C1663" s="51"/>
      <c r="D1663" s="102"/>
      <c r="E1663" s="102"/>
      <c r="H1663" s="102"/>
      <c r="J1663" s="102"/>
      <c r="K1663" s="450"/>
      <c r="L1663" s="443"/>
      <c r="M1663" s="450"/>
      <c r="N1663" s="452">
        <f t="array" ref="N1663">IFERROR(
  INDEX(
    'Valor Hora Real y Estimada'!$A$4:$Z$78,
    MATCH(TRIM(CLEAN(A1663)), 'Valor Hora Real y Estimada'!$A$4:$A$78, 0),
    MATCH(
      TEXT(C1663,"dd mmm")&amp;" "&amp;D1663,
      'Valor Hora Real y Estimada'!$A$3:$Z$3,
      0
    ) + 1
  ),
  0
)</f>
        <v>0</v>
      </c>
      <c r="O1663" s="453"/>
      <c r="P1663" s="113"/>
      <c r="Q1663" s="106" t="str">
        <f>IF(ISBLANK(O1663), "", VLOOKUP(C1663&amp;" "&amp;D1663, 'Info Tipo de Cambio y REM'!$A$24:$B$35, 2, FALSE))</f>
        <v/>
      </c>
      <c r="R1663" s="107" t="str">
        <f t="shared" si="32"/>
        <v/>
      </c>
    </row>
    <row r="1664" hidden="1">
      <c r="A1664" s="443"/>
      <c r="B1664" s="43" t="str">
        <f>IF(A1664="", "", IFERROR(VLOOKUP(A1664, Clasificaciones!A:B, 2, FALSE), "DATO NO CARGADO"))
</f>
        <v/>
      </c>
      <c r="C1664" s="51"/>
      <c r="D1664" s="102"/>
      <c r="E1664" s="102"/>
      <c r="H1664" s="102"/>
      <c r="J1664" s="102"/>
      <c r="K1664" s="450"/>
      <c r="L1664" s="443"/>
      <c r="M1664" s="450"/>
      <c r="N1664" s="452">
        <f t="array" ref="N1664">IFERROR(
  INDEX(
    'Valor Hora Real y Estimada'!$A$4:$Z$78,
    MATCH(TRIM(CLEAN(A1664)), 'Valor Hora Real y Estimada'!$A$4:$A$78, 0),
    MATCH(
      TEXT(C1664,"dd mmm")&amp;" "&amp;D1664,
      'Valor Hora Real y Estimada'!$A$3:$Z$3,
      0
    ) + 1
  ),
  0
)</f>
        <v>0</v>
      </c>
      <c r="O1664" s="453"/>
      <c r="P1664" s="113"/>
      <c r="Q1664" s="106" t="str">
        <f>IF(ISBLANK(O1664), "", VLOOKUP(C1664&amp;" "&amp;D1664, 'Info Tipo de Cambio y REM'!$A$24:$B$35, 2, FALSE))</f>
        <v/>
      </c>
      <c r="R1664" s="107" t="str">
        <f t="shared" si="32"/>
        <v/>
      </c>
    </row>
    <row r="1665" hidden="1">
      <c r="A1665" s="443"/>
      <c r="B1665" s="43" t="str">
        <f>IF(A1665="", "", IFERROR(VLOOKUP(A1665, Clasificaciones!A:B, 2, FALSE), "DATO NO CARGADO"))
</f>
        <v/>
      </c>
      <c r="C1665" s="51"/>
      <c r="D1665" s="102"/>
      <c r="E1665" s="102"/>
      <c r="H1665" s="102"/>
      <c r="J1665" s="102"/>
      <c r="K1665" s="450"/>
      <c r="L1665" s="443"/>
      <c r="M1665" s="450"/>
      <c r="N1665" s="452">
        <f t="array" ref="N1665">IFERROR(
  INDEX(
    'Valor Hora Real y Estimada'!$A$4:$Z$78,
    MATCH(TRIM(CLEAN(A1665)), 'Valor Hora Real y Estimada'!$A$4:$A$78, 0),
    MATCH(
      TEXT(C1665,"dd mmm")&amp;" "&amp;D1665,
      'Valor Hora Real y Estimada'!$A$3:$Z$3,
      0
    ) + 1
  ),
  0
)</f>
        <v>0</v>
      </c>
      <c r="O1665" s="453"/>
      <c r="P1665" s="113"/>
      <c r="Q1665" s="106" t="str">
        <f>IF(ISBLANK(O1665), "", VLOOKUP(C1665&amp;" "&amp;D1665, 'Info Tipo de Cambio y REM'!$A$24:$B$35, 2, FALSE))</f>
        <v/>
      </c>
      <c r="R1665" s="107" t="str">
        <f t="shared" si="32"/>
        <v/>
      </c>
    </row>
    <row r="1666" hidden="1">
      <c r="A1666" s="443"/>
      <c r="B1666" s="43" t="str">
        <f>IF(A1666="", "", IFERROR(VLOOKUP(A1666, Clasificaciones!A:B, 2, FALSE), "DATO NO CARGADO"))
</f>
        <v/>
      </c>
      <c r="C1666" s="51"/>
      <c r="D1666" s="102"/>
      <c r="E1666" s="102"/>
      <c r="H1666" s="102"/>
      <c r="J1666" s="102"/>
      <c r="K1666" s="450"/>
      <c r="L1666" s="443"/>
      <c r="M1666" s="450"/>
      <c r="N1666" s="452">
        <f t="array" ref="N1666">IFERROR(
  INDEX(
    'Valor Hora Real y Estimada'!$A$4:$Z$78,
    MATCH(TRIM(CLEAN(A1666)), 'Valor Hora Real y Estimada'!$A$4:$A$78, 0),
    MATCH(
      TEXT(C1666,"dd mmm")&amp;" "&amp;D1666,
      'Valor Hora Real y Estimada'!$A$3:$Z$3,
      0
    ) + 1
  ),
  0
)</f>
        <v>0</v>
      </c>
      <c r="O1666" s="453"/>
      <c r="P1666" s="113"/>
      <c r="Q1666" s="106" t="str">
        <f>IF(ISBLANK(O1666), "", VLOOKUP(C1666&amp;" "&amp;D1666, 'Info Tipo de Cambio y REM'!$A$24:$B$35, 2, FALSE))</f>
        <v/>
      </c>
      <c r="R1666" s="107" t="str">
        <f t="shared" si="32"/>
        <v/>
      </c>
    </row>
    <row r="1667" hidden="1">
      <c r="A1667" s="443"/>
      <c r="B1667" s="43" t="str">
        <f>IF(A1667="", "", IFERROR(VLOOKUP(A1667, Clasificaciones!A:B, 2, FALSE), "DATO NO CARGADO"))
</f>
        <v/>
      </c>
      <c r="C1667" s="51"/>
      <c r="D1667" s="102"/>
      <c r="E1667" s="102"/>
      <c r="H1667" s="102"/>
      <c r="J1667" s="102"/>
      <c r="K1667" s="450"/>
      <c r="L1667" s="443"/>
      <c r="M1667" s="450"/>
      <c r="N1667" s="452">
        <f t="array" ref="N1667">IFERROR(
  INDEX(
    'Valor Hora Real y Estimada'!$A$4:$Z$78,
    MATCH(TRIM(CLEAN(A1667)), 'Valor Hora Real y Estimada'!$A$4:$A$78, 0),
    MATCH(
      TEXT(C1667,"dd mmm")&amp;" "&amp;D1667,
      'Valor Hora Real y Estimada'!$A$3:$Z$3,
      0
    ) + 1
  ),
  0
)</f>
        <v>0</v>
      </c>
      <c r="O1667" s="453"/>
      <c r="P1667" s="113"/>
      <c r="Q1667" s="106" t="str">
        <f>IF(ISBLANK(O1667), "", VLOOKUP(C1667&amp;" "&amp;D1667, 'Info Tipo de Cambio y REM'!$A$24:$B$35, 2, FALSE))</f>
        <v/>
      </c>
      <c r="R1667" s="107" t="str">
        <f t="shared" si="32"/>
        <v/>
      </c>
    </row>
    <row r="1668" hidden="1">
      <c r="A1668" s="443"/>
      <c r="B1668" s="43" t="str">
        <f>IF(A1668="", "", IFERROR(VLOOKUP(A1668, Clasificaciones!A:B, 2, FALSE), "DATO NO CARGADO"))
</f>
        <v/>
      </c>
      <c r="C1668" s="51"/>
      <c r="D1668" s="102"/>
      <c r="E1668" s="102"/>
      <c r="H1668" s="102"/>
      <c r="J1668" s="102"/>
      <c r="K1668" s="450"/>
      <c r="L1668" s="443"/>
      <c r="M1668" s="450"/>
      <c r="N1668" s="452">
        <f t="array" ref="N1668">IFERROR(
  INDEX(
    'Valor Hora Real y Estimada'!$A$4:$Z$78,
    MATCH(TRIM(CLEAN(A1668)), 'Valor Hora Real y Estimada'!$A$4:$A$78, 0),
    MATCH(
      TEXT(C1668,"dd mmm")&amp;" "&amp;D1668,
      'Valor Hora Real y Estimada'!$A$3:$Z$3,
      0
    ) + 1
  ),
  0
)</f>
        <v>0</v>
      </c>
      <c r="O1668" s="453"/>
      <c r="P1668" s="113"/>
      <c r="Q1668" s="106" t="str">
        <f>IF(ISBLANK(O1668), "", VLOOKUP(C1668&amp;" "&amp;D1668, 'Info Tipo de Cambio y REM'!$A$24:$B$35, 2, FALSE))</f>
        <v/>
      </c>
      <c r="R1668" s="107" t="str">
        <f t="shared" si="32"/>
        <v/>
      </c>
    </row>
    <row r="1669" hidden="1">
      <c r="A1669" s="443"/>
      <c r="B1669" s="43" t="str">
        <f>IF(A1669="", "", IFERROR(VLOOKUP(A1669, Clasificaciones!A:B, 2, FALSE), "DATO NO CARGADO"))
</f>
        <v/>
      </c>
      <c r="C1669" s="51"/>
      <c r="D1669" s="102"/>
      <c r="E1669" s="102"/>
      <c r="H1669" s="102"/>
      <c r="J1669" s="102"/>
      <c r="K1669" s="450"/>
      <c r="L1669" s="443"/>
      <c r="M1669" s="450"/>
      <c r="N1669" s="452">
        <f t="array" ref="N1669">IFERROR(
  INDEX(
    'Valor Hora Real y Estimada'!$A$4:$Z$78,
    MATCH(TRIM(CLEAN(A1669)), 'Valor Hora Real y Estimada'!$A$4:$A$78, 0),
    MATCH(
      TEXT(C1669,"dd mmm")&amp;" "&amp;D1669,
      'Valor Hora Real y Estimada'!$A$3:$Z$3,
      0
    ) + 1
  ),
  0
)</f>
        <v>0</v>
      </c>
      <c r="O1669" s="453"/>
      <c r="P1669" s="113"/>
      <c r="Q1669" s="106" t="str">
        <f>IF(ISBLANK(O1669), "", VLOOKUP(C1669&amp;" "&amp;D1669, 'Info Tipo de Cambio y REM'!$A$24:$B$35, 2, FALSE))</f>
        <v/>
      </c>
      <c r="R1669" s="107" t="str">
        <f t="shared" si="32"/>
        <v/>
      </c>
    </row>
    <row r="1670" hidden="1">
      <c r="A1670" s="443"/>
      <c r="B1670" s="43" t="str">
        <f>IF(A1670="", "", IFERROR(VLOOKUP(A1670, Clasificaciones!A:B, 2, FALSE), "DATO NO CARGADO"))
</f>
        <v/>
      </c>
      <c r="C1670" s="51"/>
      <c r="D1670" s="102"/>
      <c r="E1670" s="102"/>
      <c r="H1670" s="102"/>
      <c r="J1670" s="102"/>
      <c r="K1670" s="450"/>
      <c r="L1670" s="443"/>
      <c r="M1670" s="450"/>
      <c r="N1670" s="452">
        <f t="array" ref="N1670">IFERROR(
  INDEX(
    'Valor Hora Real y Estimada'!$A$4:$Z$78,
    MATCH(TRIM(CLEAN(A1670)), 'Valor Hora Real y Estimada'!$A$4:$A$78, 0),
    MATCH(
      TEXT(C1670,"dd mmm")&amp;" "&amp;D1670,
      'Valor Hora Real y Estimada'!$A$3:$Z$3,
      0
    ) + 1
  ),
  0
)</f>
        <v>0</v>
      </c>
      <c r="O1670" s="453"/>
      <c r="P1670" s="113"/>
      <c r="Q1670" s="106" t="str">
        <f>IF(ISBLANK(O1670), "", VLOOKUP(C1670&amp;" "&amp;D1670, 'Info Tipo de Cambio y REM'!$A$24:$B$35, 2, FALSE))</f>
        <v/>
      </c>
      <c r="R1670" s="107" t="str">
        <f t="shared" si="32"/>
        <v/>
      </c>
    </row>
    <row r="1671" hidden="1">
      <c r="A1671" s="443"/>
      <c r="B1671" s="43" t="str">
        <f>IF(A1671="", "", IFERROR(VLOOKUP(A1671, Clasificaciones!A:B, 2, FALSE), "DATO NO CARGADO"))
</f>
        <v/>
      </c>
      <c r="C1671" s="51"/>
      <c r="D1671" s="102"/>
      <c r="E1671" s="102"/>
      <c r="H1671" s="102"/>
      <c r="J1671" s="102"/>
      <c r="K1671" s="450"/>
      <c r="L1671" s="443"/>
      <c r="M1671" s="450"/>
      <c r="N1671" s="452">
        <f t="array" ref="N1671">IFERROR(
  INDEX(
    'Valor Hora Real y Estimada'!$A$4:$Z$78,
    MATCH(TRIM(CLEAN(A1671)), 'Valor Hora Real y Estimada'!$A$4:$A$78, 0),
    MATCH(
      TEXT(C1671,"dd mmm")&amp;" "&amp;D1671,
      'Valor Hora Real y Estimada'!$A$3:$Z$3,
      0
    ) + 1
  ),
  0
)</f>
        <v>0</v>
      </c>
      <c r="O1671" s="453"/>
      <c r="P1671" s="113"/>
      <c r="Q1671" s="106" t="str">
        <f>IF(ISBLANK(O1671), "", VLOOKUP(C1671&amp;" "&amp;D1671, 'Info Tipo de Cambio y REM'!$A$24:$B$35, 2, FALSE))</f>
        <v/>
      </c>
      <c r="R1671" s="107" t="str">
        <f t="shared" si="32"/>
        <v/>
      </c>
    </row>
    <row r="1672" hidden="1">
      <c r="A1672" s="443"/>
      <c r="B1672" s="43" t="str">
        <f>IF(A1672="", "", IFERROR(VLOOKUP(A1672, Clasificaciones!A:B, 2, FALSE), "DATO NO CARGADO"))
</f>
        <v/>
      </c>
      <c r="C1672" s="51"/>
      <c r="D1672" s="102"/>
      <c r="E1672" s="102"/>
      <c r="H1672" s="102"/>
      <c r="J1672" s="102"/>
      <c r="K1672" s="450"/>
      <c r="L1672" s="443"/>
      <c r="M1672" s="450"/>
      <c r="N1672" s="452">
        <f t="array" ref="N1672">IFERROR(
  INDEX(
    'Valor Hora Real y Estimada'!$A$4:$Z$78,
    MATCH(TRIM(CLEAN(A1672)), 'Valor Hora Real y Estimada'!$A$4:$A$78, 0),
    MATCH(
      TEXT(C1672,"dd mmm")&amp;" "&amp;D1672,
      'Valor Hora Real y Estimada'!$A$3:$Z$3,
      0
    ) + 1
  ),
  0
)</f>
        <v>0</v>
      </c>
      <c r="O1672" s="453"/>
      <c r="P1672" s="113"/>
      <c r="Q1672" s="106" t="str">
        <f>IF(ISBLANK(O1672), "", VLOOKUP(C1672&amp;" "&amp;D1672, 'Info Tipo de Cambio y REM'!$A$24:$B$35, 2, FALSE))</f>
        <v/>
      </c>
      <c r="R1672" s="107" t="str">
        <f t="shared" si="32"/>
        <v/>
      </c>
    </row>
    <row r="1673" hidden="1">
      <c r="A1673" s="443"/>
      <c r="B1673" s="43" t="str">
        <f>IF(A1673="", "", IFERROR(VLOOKUP(A1673, Clasificaciones!A:B, 2, FALSE), "DATO NO CARGADO"))
</f>
        <v/>
      </c>
      <c r="C1673" s="51"/>
      <c r="D1673" s="102"/>
      <c r="E1673" s="102"/>
      <c r="H1673" s="102"/>
      <c r="J1673" s="102"/>
      <c r="K1673" s="450"/>
      <c r="L1673" s="443"/>
      <c r="M1673" s="450"/>
      <c r="N1673" s="452">
        <f t="array" ref="N1673">IFERROR(
  INDEX(
    'Valor Hora Real y Estimada'!$A$4:$Z$78,
    MATCH(TRIM(CLEAN(A1673)), 'Valor Hora Real y Estimada'!$A$4:$A$78, 0),
    MATCH(
      TEXT(C1673,"dd mmm")&amp;" "&amp;D1673,
      'Valor Hora Real y Estimada'!$A$3:$Z$3,
      0
    ) + 1
  ),
  0
)</f>
        <v>0</v>
      </c>
      <c r="O1673" s="453"/>
      <c r="P1673" s="113"/>
      <c r="Q1673" s="106" t="str">
        <f>IF(ISBLANK(O1673), "", VLOOKUP(C1673&amp;" "&amp;D1673, 'Info Tipo de Cambio y REM'!$A$24:$B$35, 2, FALSE))</f>
        <v/>
      </c>
      <c r="R1673" s="107" t="str">
        <f t="shared" si="32"/>
        <v/>
      </c>
    </row>
    <row r="1674" hidden="1">
      <c r="A1674" s="443"/>
      <c r="B1674" s="43" t="str">
        <f>IF(A1674="", "", IFERROR(VLOOKUP(A1674, Clasificaciones!A:B, 2, FALSE), "DATO NO CARGADO"))
</f>
        <v/>
      </c>
      <c r="C1674" s="51"/>
      <c r="D1674" s="102"/>
      <c r="E1674" s="102"/>
      <c r="H1674" s="102"/>
      <c r="J1674" s="102"/>
      <c r="K1674" s="450"/>
      <c r="L1674" s="443"/>
      <c r="M1674" s="450"/>
      <c r="N1674" s="452">
        <f t="array" ref="N1674">IFERROR(
  INDEX(
    'Valor Hora Real y Estimada'!$A$4:$Z$78,
    MATCH(TRIM(CLEAN(A1674)), 'Valor Hora Real y Estimada'!$A$4:$A$78, 0),
    MATCH(
      TEXT(C1674,"dd mmm")&amp;" "&amp;D1674,
      'Valor Hora Real y Estimada'!$A$3:$Z$3,
      0
    ) + 1
  ),
  0
)</f>
        <v>0</v>
      </c>
      <c r="O1674" s="453"/>
      <c r="P1674" s="113"/>
      <c r="Q1674" s="106" t="str">
        <f>IF(ISBLANK(O1674), "", VLOOKUP(C1674&amp;" "&amp;D1674, 'Info Tipo de Cambio y REM'!$A$24:$B$35, 2, FALSE))</f>
        <v/>
      </c>
      <c r="R1674" s="107" t="str">
        <f t="shared" si="32"/>
        <v/>
      </c>
    </row>
    <row r="1675" hidden="1">
      <c r="A1675" s="443"/>
      <c r="B1675" s="43" t="str">
        <f>IF(A1675="", "", IFERROR(VLOOKUP(A1675, Clasificaciones!A:B, 2, FALSE), "DATO NO CARGADO"))
</f>
        <v/>
      </c>
      <c r="C1675" s="51"/>
      <c r="D1675" s="102"/>
      <c r="E1675" s="102"/>
      <c r="H1675" s="102"/>
      <c r="J1675" s="102"/>
      <c r="K1675" s="450"/>
      <c r="L1675" s="443"/>
      <c r="M1675" s="450"/>
      <c r="N1675" s="452">
        <f t="array" ref="N1675">IFERROR(
  INDEX(
    'Valor Hora Real y Estimada'!$A$4:$Z$78,
    MATCH(TRIM(CLEAN(A1675)), 'Valor Hora Real y Estimada'!$A$4:$A$78, 0),
    MATCH(
      TEXT(C1675,"dd mmm")&amp;" "&amp;D1675,
      'Valor Hora Real y Estimada'!$A$3:$Z$3,
      0
    ) + 1
  ),
  0
)</f>
        <v>0</v>
      </c>
      <c r="O1675" s="453"/>
      <c r="P1675" s="113"/>
      <c r="Q1675" s="106" t="str">
        <f>IF(ISBLANK(O1675), "", VLOOKUP(C1675&amp;" "&amp;D1675, 'Info Tipo de Cambio y REM'!$A$24:$B$35, 2, FALSE))</f>
        <v/>
      </c>
      <c r="R1675" s="107" t="str">
        <f t="shared" si="32"/>
        <v/>
      </c>
    </row>
    <row r="1676" hidden="1">
      <c r="A1676" s="443"/>
      <c r="B1676" s="43" t="str">
        <f>IF(A1676="", "", IFERROR(VLOOKUP(A1676, Clasificaciones!A:B, 2, FALSE), "DATO NO CARGADO"))
</f>
        <v/>
      </c>
      <c r="C1676" s="51"/>
      <c r="D1676" s="102"/>
      <c r="E1676" s="102"/>
      <c r="H1676" s="102"/>
      <c r="J1676" s="102"/>
      <c r="K1676" s="450"/>
      <c r="L1676" s="443"/>
      <c r="M1676" s="450"/>
      <c r="N1676" s="452">
        <f t="array" ref="N1676">IFERROR(
  INDEX(
    'Valor Hora Real y Estimada'!$A$4:$Z$78,
    MATCH(TRIM(CLEAN(A1676)), 'Valor Hora Real y Estimada'!$A$4:$A$78, 0),
    MATCH(
      TEXT(C1676,"dd mmm")&amp;" "&amp;D1676,
      'Valor Hora Real y Estimada'!$A$3:$Z$3,
      0
    ) + 1
  ),
  0
)</f>
        <v>0</v>
      </c>
      <c r="O1676" s="453"/>
      <c r="P1676" s="113"/>
      <c r="Q1676" s="106" t="str">
        <f>IF(ISBLANK(O1676), "", VLOOKUP(C1676&amp;" "&amp;D1676, 'Info Tipo de Cambio y REM'!$A$24:$B$35, 2, FALSE))</f>
        <v/>
      </c>
      <c r="R1676" s="107" t="str">
        <f t="shared" si="32"/>
        <v/>
      </c>
    </row>
    <row r="1677" hidden="1">
      <c r="A1677" s="443"/>
      <c r="B1677" s="43" t="str">
        <f>IF(A1677="", "", IFERROR(VLOOKUP(A1677, Clasificaciones!A:B, 2, FALSE), "DATO NO CARGADO"))
</f>
        <v/>
      </c>
      <c r="C1677" s="51"/>
      <c r="D1677" s="102"/>
      <c r="E1677" s="102"/>
      <c r="H1677" s="102"/>
      <c r="J1677" s="102"/>
      <c r="K1677" s="450"/>
      <c r="L1677" s="443"/>
      <c r="M1677" s="450"/>
      <c r="N1677" s="452">
        <f t="array" ref="N1677">IFERROR(
  INDEX(
    'Valor Hora Real y Estimada'!$A$4:$Z$78,
    MATCH(TRIM(CLEAN(A1677)), 'Valor Hora Real y Estimada'!$A$4:$A$78, 0),
    MATCH(
      TEXT(C1677,"dd mmm")&amp;" "&amp;D1677,
      'Valor Hora Real y Estimada'!$A$3:$Z$3,
      0
    ) + 1
  ),
  0
)</f>
        <v>0</v>
      </c>
      <c r="O1677" s="453"/>
      <c r="P1677" s="113"/>
      <c r="Q1677" s="106" t="str">
        <f>IF(ISBLANK(O1677), "", VLOOKUP(C1677&amp;" "&amp;D1677, 'Info Tipo de Cambio y REM'!$A$24:$B$35, 2, FALSE))</f>
        <v/>
      </c>
      <c r="R1677" s="107" t="str">
        <f t="shared" si="32"/>
        <v/>
      </c>
    </row>
    <row r="1678" hidden="1">
      <c r="A1678" s="443"/>
      <c r="B1678" s="43" t="str">
        <f>IF(A1678="", "", IFERROR(VLOOKUP(A1678, Clasificaciones!A:B, 2, FALSE), "DATO NO CARGADO"))
</f>
        <v/>
      </c>
      <c r="C1678" s="51"/>
      <c r="D1678" s="102"/>
      <c r="E1678" s="102"/>
      <c r="H1678" s="102"/>
      <c r="J1678" s="102"/>
      <c r="K1678" s="450"/>
      <c r="L1678" s="443"/>
      <c r="M1678" s="450"/>
      <c r="N1678" s="452">
        <f t="array" ref="N1678">IFERROR(
  INDEX(
    'Valor Hora Real y Estimada'!$A$4:$Z$78,
    MATCH(TRIM(CLEAN(A1678)), 'Valor Hora Real y Estimada'!$A$4:$A$78, 0),
    MATCH(
      TEXT(C1678,"dd mmm")&amp;" "&amp;D1678,
      'Valor Hora Real y Estimada'!$A$3:$Z$3,
      0
    ) + 1
  ),
  0
)</f>
        <v>0</v>
      </c>
      <c r="O1678" s="453"/>
      <c r="P1678" s="113"/>
      <c r="Q1678" s="106" t="str">
        <f>IF(ISBLANK(O1678), "", VLOOKUP(C1678&amp;" "&amp;D1678, 'Info Tipo de Cambio y REM'!$A$24:$B$35, 2, FALSE))</f>
        <v/>
      </c>
      <c r="R1678" s="107" t="str">
        <f t="shared" si="32"/>
        <v/>
      </c>
    </row>
    <row r="1679" hidden="1">
      <c r="A1679" s="443"/>
      <c r="B1679" s="43" t="str">
        <f>IF(A1679="", "", IFERROR(VLOOKUP(A1679, Clasificaciones!A:B, 2, FALSE), "DATO NO CARGADO"))
</f>
        <v/>
      </c>
      <c r="C1679" s="51"/>
      <c r="D1679" s="102"/>
      <c r="E1679" s="102"/>
      <c r="H1679" s="102"/>
      <c r="J1679" s="102"/>
      <c r="K1679" s="450"/>
      <c r="L1679" s="443"/>
      <c r="M1679" s="450"/>
      <c r="N1679" s="452">
        <f t="array" ref="N1679">IFERROR(
  INDEX(
    'Valor Hora Real y Estimada'!$A$4:$Z$78,
    MATCH(TRIM(CLEAN(A1679)), 'Valor Hora Real y Estimada'!$A$4:$A$78, 0),
    MATCH(
      TEXT(C1679,"dd mmm")&amp;" "&amp;D1679,
      'Valor Hora Real y Estimada'!$A$3:$Z$3,
      0
    ) + 1
  ),
  0
)</f>
        <v>0</v>
      </c>
      <c r="O1679" s="453"/>
      <c r="P1679" s="113"/>
      <c r="Q1679" s="106" t="str">
        <f>IF(ISBLANK(O1679), "", VLOOKUP(C1679&amp;" "&amp;D1679, 'Info Tipo de Cambio y REM'!$A$24:$B$35, 2, FALSE))</f>
        <v/>
      </c>
      <c r="R1679" s="107" t="str">
        <f t="shared" si="32"/>
        <v/>
      </c>
    </row>
    <row r="1680" hidden="1">
      <c r="A1680" s="443"/>
      <c r="B1680" s="43" t="str">
        <f>IF(A1680="", "", IFERROR(VLOOKUP(A1680, Clasificaciones!A:B, 2, FALSE), "DATO NO CARGADO"))
</f>
        <v/>
      </c>
      <c r="C1680" s="51"/>
      <c r="D1680" s="102"/>
      <c r="E1680" s="102"/>
      <c r="H1680" s="102"/>
      <c r="J1680" s="102"/>
      <c r="K1680" s="450"/>
      <c r="L1680" s="443"/>
      <c r="M1680" s="450"/>
      <c r="N1680" s="452">
        <f t="array" ref="N1680">IFERROR(
  INDEX(
    'Valor Hora Real y Estimada'!$A$4:$Z$78,
    MATCH(TRIM(CLEAN(A1680)), 'Valor Hora Real y Estimada'!$A$4:$A$78, 0),
    MATCH(
      TEXT(C1680,"dd mmm")&amp;" "&amp;D1680,
      'Valor Hora Real y Estimada'!$A$3:$Z$3,
      0
    ) + 1
  ),
  0
)</f>
        <v>0</v>
      </c>
      <c r="O1680" s="453"/>
      <c r="P1680" s="113"/>
      <c r="Q1680" s="106" t="str">
        <f>IF(ISBLANK(O1680), "", VLOOKUP(C1680&amp;" "&amp;D1680, 'Info Tipo de Cambio y REM'!$A$24:$B$35, 2, FALSE))</f>
        <v/>
      </c>
      <c r="R1680" s="107" t="str">
        <f t="shared" si="32"/>
        <v/>
      </c>
    </row>
    <row r="1681" hidden="1">
      <c r="A1681" s="443"/>
      <c r="B1681" s="43" t="str">
        <f>IF(A1681="", "", IFERROR(VLOOKUP(A1681, Clasificaciones!A:B, 2, FALSE), "DATO NO CARGADO"))
</f>
        <v/>
      </c>
      <c r="C1681" s="51"/>
      <c r="D1681" s="102"/>
      <c r="E1681" s="102"/>
      <c r="H1681" s="102"/>
      <c r="J1681" s="102"/>
      <c r="K1681" s="450"/>
      <c r="L1681" s="443"/>
      <c r="M1681" s="450"/>
      <c r="N1681" s="452">
        <f t="array" ref="N1681">IFERROR(
  INDEX(
    'Valor Hora Real y Estimada'!$A$4:$Z$78,
    MATCH(TRIM(CLEAN(A1681)), 'Valor Hora Real y Estimada'!$A$4:$A$78, 0),
    MATCH(
      TEXT(C1681,"dd mmm")&amp;" "&amp;D1681,
      'Valor Hora Real y Estimada'!$A$3:$Z$3,
      0
    ) + 1
  ),
  0
)</f>
        <v>0</v>
      </c>
      <c r="O1681" s="453"/>
      <c r="P1681" s="113"/>
      <c r="Q1681" s="106" t="str">
        <f>IF(ISBLANK(O1681), "", VLOOKUP(C1681&amp;" "&amp;D1681, 'Info Tipo de Cambio y REM'!$A$24:$B$35, 2, FALSE))</f>
        <v/>
      </c>
      <c r="R1681" s="107" t="str">
        <f t="shared" si="32"/>
        <v/>
      </c>
    </row>
    <row r="1682" hidden="1">
      <c r="A1682" s="443"/>
      <c r="B1682" s="43" t="str">
        <f>IF(A1682="", "", IFERROR(VLOOKUP(A1682, Clasificaciones!A:B, 2, FALSE), "DATO NO CARGADO"))
</f>
        <v/>
      </c>
      <c r="C1682" s="51"/>
      <c r="D1682" s="102"/>
      <c r="E1682" s="102"/>
      <c r="H1682" s="102"/>
      <c r="J1682" s="102"/>
      <c r="K1682" s="450"/>
      <c r="L1682" s="443"/>
      <c r="M1682" s="450"/>
      <c r="N1682" s="452">
        <f t="array" ref="N1682">IFERROR(
  INDEX(
    'Valor Hora Real y Estimada'!$A$4:$Z$78,
    MATCH(TRIM(CLEAN(A1682)), 'Valor Hora Real y Estimada'!$A$4:$A$78, 0),
    MATCH(
      TEXT(C1682,"dd mmm")&amp;" "&amp;D1682,
      'Valor Hora Real y Estimada'!$A$3:$Z$3,
      0
    ) + 1
  ),
  0
)</f>
        <v>0</v>
      </c>
      <c r="O1682" s="453"/>
      <c r="P1682" s="113"/>
      <c r="Q1682" s="106" t="str">
        <f>IF(ISBLANK(O1682), "", VLOOKUP(C1682&amp;" "&amp;D1682, 'Info Tipo de Cambio y REM'!$A$24:$B$35, 2, FALSE))</f>
        <v/>
      </c>
      <c r="R1682" s="107" t="str">
        <f t="shared" si="32"/>
        <v/>
      </c>
    </row>
    <row r="1683" hidden="1">
      <c r="A1683" s="443"/>
      <c r="B1683" s="43" t="str">
        <f>IF(A1683="", "", IFERROR(VLOOKUP(A1683, Clasificaciones!A:B, 2, FALSE), "DATO NO CARGADO"))
</f>
        <v/>
      </c>
      <c r="C1683" s="51"/>
      <c r="D1683" s="102"/>
      <c r="E1683" s="102"/>
      <c r="H1683" s="102"/>
      <c r="J1683" s="102"/>
      <c r="K1683" s="450"/>
      <c r="L1683" s="443"/>
      <c r="M1683" s="450"/>
      <c r="N1683" s="452">
        <f t="array" ref="N1683">IFERROR(
  INDEX(
    'Valor Hora Real y Estimada'!$A$4:$Z$78,
    MATCH(TRIM(CLEAN(A1683)), 'Valor Hora Real y Estimada'!$A$4:$A$78, 0),
    MATCH(
      TEXT(C1683,"dd mmm")&amp;" "&amp;D1683,
      'Valor Hora Real y Estimada'!$A$3:$Z$3,
      0
    ) + 1
  ),
  0
)</f>
        <v>0</v>
      </c>
      <c r="O1683" s="453"/>
      <c r="P1683" s="113"/>
      <c r="Q1683" s="106" t="str">
        <f>IF(ISBLANK(O1683), "", VLOOKUP(C1683&amp;" "&amp;D1683, 'Info Tipo de Cambio y REM'!$A$24:$B$35, 2, FALSE))</f>
        <v/>
      </c>
      <c r="R1683" s="107" t="str">
        <f t="shared" si="32"/>
        <v/>
      </c>
    </row>
    <row r="1684" hidden="1">
      <c r="A1684" s="443"/>
      <c r="B1684" s="43" t="str">
        <f>IF(A1684="", "", IFERROR(VLOOKUP(A1684, Clasificaciones!A:B, 2, FALSE), "DATO NO CARGADO"))
</f>
        <v/>
      </c>
      <c r="C1684" s="51"/>
      <c r="D1684" s="102"/>
      <c r="E1684" s="102"/>
      <c r="H1684" s="102"/>
      <c r="J1684" s="102"/>
      <c r="K1684" s="450"/>
      <c r="L1684" s="443"/>
      <c r="M1684" s="450"/>
      <c r="N1684" s="452">
        <f t="array" ref="N1684">IFERROR(
  INDEX(
    'Valor Hora Real y Estimada'!$A$4:$Z$78,
    MATCH(TRIM(CLEAN(A1684)), 'Valor Hora Real y Estimada'!$A$4:$A$78, 0),
    MATCH(
      TEXT(C1684,"dd mmm")&amp;" "&amp;D1684,
      'Valor Hora Real y Estimada'!$A$3:$Z$3,
      0
    ) + 1
  ),
  0
)</f>
        <v>0</v>
      </c>
      <c r="O1684" s="453"/>
      <c r="P1684" s="113"/>
      <c r="Q1684" s="106" t="str">
        <f>IF(ISBLANK(O1684), "", VLOOKUP(C1684&amp;" "&amp;D1684, 'Info Tipo de Cambio y REM'!$A$24:$B$35, 2, FALSE))</f>
        <v/>
      </c>
      <c r="R1684" s="107" t="str">
        <f t="shared" si="32"/>
        <v/>
      </c>
    </row>
    <row r="1685" hidden="1">
      <c r="A1685" s="443"/>
      <c r="B1685" s="43" t="str">
        <f>IF(A1685="", "", IFERROR(VLOOKUP(A1685, Clasificaciones!A:B, 2, FALSE), "DATO NO CARGADO"))
</f>
        <v/>
      </c>
      <c r="C1685" s="51"/>
      <c r="D1685" s="102"/>
      <c r="E1685" s="102"/>
      <c r="H1685" s="102"/>
      <c r="J1685" s="102"/>
      <c r="K1685" s="450"/>
      <c r="L1685" s="443"/>
      <c r="M1685" s="450"/>
      <c r="N1685" s="452">
        <f t="array" ref="N1685">IFERROR(
  INDEX(
    'Valor Hora Real y Estimada'!$A$4:$Z$78,
    MATCH(TRIM(CLEAN(A1685)), 'Valor Hora Real y Estimada'!$A$4:$A$78, 0),
    MATCH(
      TEXT(C1685,"dd mmm")&amp;" "&amp;D1685,
      'Valor Hora Real y Estimada'!$A$3:$Z$3,
      0
    ) + 1
  ),
  0
)</f>
        <v>0</v>
      </c>
      <c r="O1685" s="453"/>
      <c r="P1685" s="113"/>
      <c r="Q1685" s="106" t="str">
        <f>IF(ISBLANK(O1685), "", VLOOKUP(C1685&amp;" "&amp;D1685, 'Info Tipo de Cambio y REM'!$A$24:$B$35, 2, FALSE))</f>
        <v/>
      </c>
      <c r="R1685" s="107" t="str">
        <f t="shared" si="32"/>
        <v/>
      </c>
    </row>
    <row r="1686" hidden="1">
      <c r="A1686" s="443"/>
      <c r="B1686" s="43" t="str">
        <f>IF(A1686="", "", IFERROR(VLOOKUP(A1686, Clasificaciones!A:B, 2, FALSE), "DATO NO CARGADO"))
</f>
        <v/>
      </c>
      <c r="C1686" s="51"/>
      <c r="D1686" s="102"/>
      <c r="E1686" s="102"/>
      <c r="H1686" s="102"/>
      <c r="J1686" s="102"/>
      <c r="K1686" s="450"/>
      <c r="L1686" s="443"/>
      <c r="M1686" s="450"/>
      <c r="N1686" s="452">
        <f t="array" ref="N1686">IFERROR(
  INDEX(
    'Valor Hora Real y Estimada'!$A$4:$Z$78,
    MATCH(TRIM(CLEAN(A1686)), 'Valor Hora Real y Estimada'!$A$4:$A$78, 0),
    MATCH(
      TEXT(C1686,"dd mmm")&amp;" "&amp;D1686,
      'Valor Hora Real y Estimada'!$A$3:$Z$3,
      0
    ) + 1
  ),
  0
)</f>
        <v>0</v>
      </c>
      <c r="O1686" s="453"/>
      <c r="P1686" s="113"/>
      <c r="Q1686" s="106" t="str">
        <f>IF(ISBLANK(O1686), "", VLOOKUP(C1686&amp;" "&amp;D1686, 'Info Tipo de Cambio y REM'!$A$24:$B$35, 2, FALSE))</f>
        <v/>
      </c>
      <c r="R1686" s="107" t="str">
        <f t="shared" si="32"/>
        <v/>
      </c>
    </row>
    <row r="1687" hidden="1">
      <c r="A1687" s="443"/>
      <c r="B1687" s="43" t="str">
        <f>IF(A1687="", "", IFERROR(VLOOKUP(A1687, Clasificaciones!A:B, 2, FALSE), "DATO NO CARGADO"))
</f>
        <v/>
      </c>
      <c r="C1687" s="51"/>
      <c r="D1687" s="102"/>
      <c r="E1687" s="102"/>
      <c r="H1687" s="102"/>
      <c r="J1687" s="102"/>
      <c r="K1687" s="450"/>
      <c r="L1687" s="443"/>
      <c r="M1687" s="450"/>
      <c r="N1687" s="452">
        <f t="array" ref="N1687">IFERROR(
  INDEX(
    'Valor Hora Real y Estimada'!$A$4:$Z$78,
    MATCH(TRIM(CLEAN(A1687)), 'Valor Hora Real y Estimada'!$A$4:$A$78, 0),
    MATCH(
      TEXT(C1687,"dd mmm")&amp;" "&amp;D1687,
      'Valor Hora Real y Estimada'!$A$3:$Z$3,
      0
    ) + 1
  ),
  0
)</f>
        <v>0</v>
      </c>
      <c r="O1687" s="453"/>
      <c r="P1687" s="113"/>
      <c r="Q1687" s="106" t="str">
        <f>IF(ISBLANK(O1687), "", VLOOKUP(C1687&amp;" "&amp;D1687, 'Info Tipo de Cambio y REM'!$A$24:$B$35, 2, FALSE))</f>
        <v/>
      </c>
      <c r="R1687" s="107" t="str">
        <f t="shared" si="32"/>
        <v/>
      </c>
    </row>
    <row r="1688" hidden="1">
      <c r="A1688" s="443"/>
      <c r="B1688" s="43" t="str">
        <f>IF(A1688="", "", IFERROR(VLOOKUP(A1688, Clasificaciones!A:B, 2, FALSE), "DATO NO CARGADO"))
</f>
        <v/>
      </c>
      <c r="C1688" s="51"/>
      <c r="D1688" s="102"/>
      <c r="E1688" s="102"/>
      <c r="H1688" s="102"/>
      <c r="J1688" s="102"/>
      <c r="K1688" s="450"/>
      <c r="L1688" s="443"/>
      <c r="M1688" s="450"/>
      <c r="N1688" s="452">
        <f t="array" ref="N1688">IFERROR(
  INDEX(
    'Valor Hora Real y Estimada'!$A$4:$Z$78,
    MATCH(TRIM(CLEAN(A1688)), 'Valor Hora Real y Estimada'!$A$4:$A$78, 0),
    MATCH(
      TEXT(C1688,"dd mmm")&amp;" "&amp;D1688,
      'Valor Hora Real y Estimada'!$A$3:$Z$3,
      0
    ) + 1
  ),
  0
)</f>
        <v>0</v>
      </c>
      <c r="O1688" s="453"/>
      <c r="P1688" s="113"/>
      <c r="Q1688" s="106" t="str">
        <f>IF(ISBLANK(O1688), "", VLOOKUP(C1688&amp;" "&amp;D1688, 'Info Tipo de Cambio y REM'!$A$24:$B$35, 2, FALSE))</f>
        <v/>
      </c>
      <c r="R1688" s="107" t="str">
        <f t="shared" si="32"/>
        <v/>
      </c>
    </row>
    <row r="1689" hidden="1">
      <c r="A1689" s="443"/>
      <c r="B1689" s="43" t="str">
        <f>IF(A1689="", "", IFERROR(VLOOKUP(A1689, Clasificaciones!A:B, 2, FALSE), "DATO NO CARGADO"))
</f>
        <v/>
      </c>
      <c r="C1689" s="51"/>
      <c r="D1689" s="102"/>
      <c r="E1689" s="102"/>
      <c r="H1689" s="102"/>
      <c r="J1689" s="102"/>
      <c r="K1689" s="450"/>
      <c r="L1689" s="443"/>
      <c r="M1689" s="450"/>
      <c r="N1689" s="452">
        <f t="array" ref="N1689">IFERROR(
  INDEX(
    'Valor Hora Real y Estimada'!$A$4:$Z$78,
    MATCH(TRIM(CLEAN(A1689)), 'Valor Hora Real y Estimada'!$A$4:$A$78, 0),
    MATCH(
      TEXT(C1689,"dd mmm")&amp;" "&amp;D1689,
      'Valor Hora Real y Estimada'!$A$3:$Z$3,
      0
    ) + 1
  ),
  0
)</f>
        <v>0</v>
      </c>
      <c r="O1689" s="453"/>
      <c r="P1689" s="113"/>
      <c r="Q1689" s="106" t="str">
        <f>IF(ISBLANK(O1689), "", VLOOKUP(C1689&amp;" "&amp;D1689, 'Info Tipo de Cambio y REM'!$A$24:$B$35, 2, FALSE))</f>
        <v/>
      </c>
      <c r="R1689" s="107" t="str">
        <f t="shared" si="32"/>
        <v/>
      </c>
    </row>
    <row r="1690" hidden="1">
      <c r="A1690" s="443"/>
      <c r="B1690" s="43" t="str">
        <f>IF(A1690="", "", IFERROR(VLOOKUP(A1690, Clasificaciones!A:B, 2, FALSE), "DATO NO CARGADO"))
</f>
        <v/>
      </c>
      <c r="C1690" s="51"/>
      <c r="D1690" s="102"/>
      <c r="E1690" s="102"/>
      <c r="H1690" s="102"/>
      <c r="J1690" s="102"/>
      <c r="K1690" s="450"/>
      <c r="L1690" s="443"/>
      <c r="M1690" s="450"/>
      <c r="N1690" s="452">
        <f t="array" ref="N1690">IFERROR(
  INDEX(
    'Valor Hora Real y Estimada'!$A$4:$Z$78,
    MATCH(TRIM(CLEAN(A1690)), 'Valor Hora Real y Estimada'!$A$4:$A$78, 0),
    MATCH(
      TEXT(C1690,"dd mmm")&amp;" "&amp;D1690,
      'Valor Hora Real y Estimada'!$A$3:$Z$3,
      0
    ) + 1
  ),
  0
)</f>
        <v>0</v>
      </c>
      <c r="O1690" s="453"/>
      <c r="P1690" s="113"/>
      <c r="Q1690" s="106" t="str">
        <f>IF(ISBLANK(O1690), "", VLOOKUP(C1690&amp;" "&amp;D1690, 'Info Tipo de Cambio y REM'!$A$24:$B$35, 2, FALSE))</f>
        <v/>
      </c>
      <c r="R1690" s="107" t="str">
        <f t="shared" si="32"/>
        <v/>
      </c>
    </row>
    <row r="1691" hidden="1">
      <c r="A1691" s="443"/>
      <c r="B1691" s="43" t="str">
        <f>IF(A1691="", "", IFERROR(VLOOKUP(A1691, Clasificaciones!A:B, 2, FALSE), "DATO NO CARGADO"))
</f>
        <v/>
      </c>
      <c r="C1691" s="51"/>
      <c r="D1691" s="102"/>
      <c r="E1691" s="102"/>
      <c r="H1691" s="102"/>
      <c r="J1691" s="102"/>
      <c r="K1691" s="450"/>
      <c r="L1691" s="443"/>
      <c r="M1691" s="450"/>
      <c r="N1691" s="452">
        <f t="array" ref="N1691">IFERROR(
  INDEX(
    'Valor Hora Real y Estimada'!$A$4:$Z$78,
    MATCH(TRIM(CLEAN(A1691)), 'Valor Hora Real y Estimada'!$A$4:$A$78, 0),
    MATCH(
      TEXT(C1691,"dd mmm")&amp;" "&amp;D1691,
      'Valor Hora Real y Estimada'!$A$3:$Z$3,
      0
    ) + 1
  ),
  0
)</f>
        <v>0</v>
      </c>
      <c r="O1691" s="453"/>
      <c r="P1691" s="113"/>
      <c r="Q1691" s="106" t="str">
        <f>IF(ISBLANK(O1691), "", VLOOKUP(C1691&amp;" "&amp;D1691, 'Info Tipo de Cambio y REM'!$A$24:$B$35, 2, FALSE))</f>
        <v/>
      </c>
      <c r="R1691" s="107" t="str">
        <f t="shared" si="32"/>
        <v/>
      </c>
    </row>
    <row r="1692" hidden="1">
      <c r="A1692" s="443"/>
      <c r="B1692" s="43" t="str">
        <f>IF(A1692="", "", IFERROR(VLOOKUP(A1692, Clasificaciones!A:B, 2, FALSE), "DATO NO CARGADO"))
</f>
        <v/>
      </c>
      <c r="C1692" s="51"/>
      <c r="D1692" s="102"/>
      <c r="E1692" s="102"/>
      <c r="H1692" s="102"/>
      <c r="J1692" s="102"/>
      <c r="K1692" s="450"/>
      <c r="L1692" s="443"/>
      <c r="M1692" s="450"/>
      <c r="N1692" s="452">
        <f t="array" ref="N1692">IFERROR(
  INDEX(
    'Valor Hora Real y Estimada'!$A$4:$Z$78,
    MATCH(TRIM(CLEAN(A1692)), 'Valor Hora Real y Estimada'!$A$4:$A$78, 0),
    MATCH(
      TEXT(C1692,"dd mmm")&amp;" "&amp;D1692,
      'Valor Hora Real y Estimada'!$A$3:$Z$3,
      0
    ) + 1
  ),
  0
)</f>
        <v>0</v>
      </c>
      <c r="O1692" s="453"/>
      <c r="P1692" s="113"/>
      <c r="Q1692" s="106" t="str">
        <f>IF(ISBLANK(O1692), "", VLOOKUP(C1692&amp;" "&amp;D1692, 'Info Tipo de Cambio y REM'!$A$24:$B$35, 2, FALSE))</f>
        <v/>
      </c>
      <c r="R1692" s="107" t="str">
        <f t="shared" si="32"/>
        <v/>
      </c>
    </row>
    <row r="1693" hidden="1">
      <c r="A1693" s="443"/>
      <c r="B1693" s="43" t="str">
        <f>IF(A1693="", "", IFERROR(VLOOKUP(A1693, Clasificaciones!A:B, 2, FALSE), "DATO NO CARGADO"))
</f>
        <v/>
      </c>
      <c r="C1693" s="51"/>
      <c r="D1693" s="102"/>
      <c r="E1693" s="102"/>
      <c r="H1693" s="102"/>
      <c r="J1693" s="102"/>
      <c r="K1693" s="450"/>
      <c r="L1693" s="443"/>
      <c r="M1693" s="450"/>
      <c r="N1693" s="452">
        <f t="array" ref="N1693">IFERROR(
  INDEX(
    'Valor Hora Real y Estimada'!$A$4:$Z$78,
    MATCH(TRIM(CLEAN(A1693)), 'Valor Hora Real y Estimada'!$A$4:$A$78, 0),
    MATCH(
      TEXT(C1693,"dd mmm")&amp;" "&amp;D1693,
      'Valor Hora Real y Estimada'!$A$3:$Z$3,
      0
    ) + 1
  ),
  0
)</f>
        <v>0</v>
      </c>
      <c r="O1693" s="453"/>
      <c r="P1693" s="113"/>
      <c r="Q1693" s="106" t="str">
        <f>IF(ISBLANK(O1693), "", VLOOKUP(C1693&amp;" "&amp;D1693, 'Info Tipo de Cambio y REM'!$A$24:$B$35, 2, FALSE))</f>
        <v/>
      </c>
      <c r="R1693" s="107" t="str">
        <f t="shared" si="32"/>
        <v/>
      </c>
    </row>
    <row r="1694" hidden="1">
      <c r="A1694" s="443"/>
      <c r="B1694" s="43" t="str">
        <f>IF(A1694="", "", IFERROR(VLOOKUP(A1694, Clasificaciones!A:B, 2, FALSE), "DATO NO CARGADO"))
</f>
        <v/>
      </c>
      <c r="C1694" s="51"/>
      <c r="D1694" s="102"/>
      <c r="E1694" s="102"/>
      <c r="H1694" s="102"/>
      <c r="J1694" s="102"/>
      <c r="K1694" s="450"/>
      <c r="L1694" s="443"/>
      <c r="M1694" s="450"/>
      <c r="N1694" s="452">
        <f t="array" ref="N1694">IFERROR(
  INDEX(
    'Valor Hora Real y Estimada'!$A$4:$Z$78,
    MATCH(TRIM(CLEAN(A1694)), 'Valor Hora Real y Estimada'!$A$4:$A$78, 0),
    MATCH(
      TEXT(C1694,"dd mmm")&amp;" "&amp;D1694,
      'Valor Hora Real y Estimada'!$A$3:$Z$3,
      0
    ) + 1
  ),
  0
)</f>
        <v>0</v>
      </c>
      <c r="O1694" s="453"/>
      <c r="P1694" s="113"/>
      <c r="Q1694" s="106" t="str">
        <f>IF(ISBLANK(O1694), "", VLOOKUP(C1694&amp;" "&amp;D1694, 'Info Tipo de Cambio y REM'!$A$24:$B$35, 2, FALSE))</f>
        <v/>
      </c>
      <c r="R1694" s="107" t="str">
        <f t="shared" si="32"/>
        <v/>
      </c>
    </row>
    <row r="1695" hidden="1">
      <c r="A1695" s="443"/>
      <c r="B1695" s="43" t="str">
        <f>IF(A1695="", "", IFERROR(VLOOKUP(A1695, Clasificaciones!A:B, 2, FALSE), "DATO NO CARGADO"))
</f>
        <v/>
      </c>
      <c r="C1695" s="51"/>
      <c r="D1695" s="102"/>
      <c r="E1695" s="102"/>
      <c r="H1695" s="102"/>
      <c r="J1695" s="102"/>
      <c r="K1695" s="450"/>
      <c r="L1695" s="443"/>
      <c r="M1695" s="450"/>
      <c r="N1695" s="452">
        <f t="array" ref="N1695">IFERROR(
  INDEX(
    'Valor Hora Real y Estimada'!$A$4:$Z$78,
    MATCH(TRIM(CLEAN(A1695)), 'Valor Hora Real y Estimada'!$A$4:$A$78, 0),
    MATCH(
      TEXT(C1695,"dd mmm")&amp;" "&amp;D1695,
      'Valor Hora Real y Estimada'!$A$3:$Z$3,
      0
    ) + 1
  ),
  0
)</f>
        <v>0</v>
      </c>
      <c r="O1695" s="453"/>
      <c r="P1695" s="113"/>
      <c r="Q1695" s="106" t="str">
        <f>IF(ISBLANK(O1695), "", VLOOKUP(C1695&amp;" "&amp;D1695, 'Info Tipo de Cambio y REM'!$A$24:$B$35, 2, FALSE))</f>
        <v/>
      </c>
      <c r="R1695" s="107" t="str">
        <f t="shared" si="32"/>
        <v/>
      </c>
    </row>
    <row r="1696" hidden="1">
      <c r="A1696" s="443"/>
      <c r="B1696" s="43" t="str">
        <f>IF(A1696="", "", IFERROR(VLOOKUP(A1696, Clasificaciones!A:B, 2, FALSE), "DATO NO CARGADO"))
</f>
        <v/>
      </c>
      <c r="C1696" s="51"/>
      <c r="D1696" s="102"/>
      <c r="E1696" s="102"/>
      <c r="H1696" s="102"/>
      <c r="J1696" s="102"/>
      <c r="K1696" s="450"/>
      <c r="L1696" s="443"/>
      <c r="M1696" s="450"/>
      <c r="N1696" s="452">
        <f t="array" ref="N1696">IFERROR(
  INDEX(
    'Valor Hora Real y Estimada'!$A$4:$Z$78,
    MATCH(TRIM(CLEAN(A1696)), 'Valor Hora Real y Estimada'!$A$4:$A$78, 0),
    MATCH(
      TEXT(C1696,"dd mmm")&amp;" "&amp;D1696,
      'Valor Hora Real y Estimada'!$A$3:$Z$3,
      0
    ) + 1
  ),
  0
)</f>
        <v>0</v>
      </c>
      <c r="O1696" s="453"/>
      <c r="P1696" s="113"/>
      <c r="Q1696" s="106" t="str">
        <f>IF(ISBLANK(O1696), "", VLOOKUP(C1696&amp;" "&amp;D1696, 'Info Tipo de Cambio y REM'!$A$24:$B$35, 2, FALSE))</f>
        <v/>
      </c>
      <c r="R1696" s="107" t="str">
        <f t="shared" si="32"/>
        <v/>
      </c>
    </row>
    <row r="1697" hidden="1">
      <c r="A1697" s="443"/>
      <c r="B1697" s="43" t="str">
        <f>IF(A1697="", "", IFERROR(VLOOKUP(A1697, Clasificaciones!A:B, 2, FALSE), "DATO NO CARGADO"))
</f>
        <v/>
      </c>
      <c r="C1697" s="51"/>
      <c r="D1697" s="102"/>
      <c r="E1697" s="102"/>
      <c r="H1697" s="102"/>
      <c r="J1697" s="102"/>
      <c r="K1697" s="450"/>
      <c r="L1697" s="443"/>
      <c r="M1697" s="450"/>
      <c r="N1697" s="452">
        <f t="array" ref="N1697">IFERROR(
  INDEX(
    'Valor Hora Real y Estimada'!$A$4:$Z$78,
    MATCH(TRIM(CLEAN(A1697)), 'Valor Hora Real y Estimada'!$A$4:$A$78, 0),
    MATCH(
      TEXT(C1697,"dd mmm")&amp;" "&amp;D1697,
      'Valor Hora Real y Estimada'!$A$3:$Z$3,
      0
    ) + 1
  ),
  0
)</f>
        <v>0</v>
      </c>
      <c r="O1697" s="453"/>
      <c r="P1697" s="113"/>
      <c r="Q1697" s="106" t="str">
        <f>IF(ISBLANK(O1697), "", VLOOKUP(C1697&amp;" "&amp;D1697, 'Info Tipo de Cambio y REM'!$A$24:$B$35, 2, FALSE))</f>
        <v/>
      </c>
      <c r="R1697" s="107" t="str">
        <f t="shared" si="32"/>
        <v/>
      </c>
    </row>
    <row r="1698" hidden="1">
      <c r="A1698" s="443"/>
      <c r="B1698" s="43" t="str">
        <f>IF(A1698="", "", IFERROR(VLOOKUP(A1698, Clasificaciones!A:B, 2, FALSE), "DATO NO CARGADO"))
</f>
        <v/>
      </c>
      <c r="C1698" s="51"/>
      <c r="D1698" s="102"/>
      <c r="E1698" s="102"/>
      <c r="H1698" s="102"/>
      <c r="J1698" s="102"/>
      <c r="K1698" s="450"/>
      <c r="L1698" s="443"/>
      <c r="M1698" s="450"/>
      <c r="N1698" s="452">
        <f t="array" ref="N1698">IFERROR(
  INDEX(
    'Valor Hora Real y Estimada'!$A$4:$Z$78,
    MATCH(TRIM(CLEAN(A1698)), 'Valor Hora Real y Estimada'!$A$4:$A$78, 0),
    MATCH(
      TEXT(C1698,"dd mmm")&amp;" "&amp;D1698,
      'Valor Hora Real y Estimada'!$A$3:$Z$3,
      0
    ) + 1
  ),
  0
)</f>
        <v>0</v>
      </c>
      <c r="O1698" s="453"/>
      <c r="P1698" s="113"/>
      <c r="Q1698" s="106" t="str">
        <f>IF(ISBLANK(O1698), "", VLOOKUP(C1698&amp;" "&amp;D1698, 'Info Tipo de Cambio y REM'!$A$24:$B$35, 2, FALSE))</f>
        <v/>
      </c>
      <c r="R1698" s="107" t="str">
        <f t="shared" si="32"/>
        <v/>
      </c>
    </row>
    <row r="1699" hidden="1">
      <c r="A1699" s="443"/>
      <c r="B1699" s="43" t="str">
        <f>IF(A1699="", "", IFERROR(VLOOKUP(A1699, Clasificaciones!A:B, 2, FALSE), "DATO NO CARGADO"))
</f>
        <v/>
      </c>
      <c r="C1699" s="51"/>
      <c r="D1699" s="102"/>
      <c r="E1699" s="102"/>
      <c r="H1699" s="102"/>
      <c r="J1699" s="102"/>
      <c r="K1699" s="450"/>
      <c r="L1699" s="443"/>
      <c r="M1699" s="450"/>
      <c r="N1699" s="452">
        <f t="array" ref="N1699">IFERROR(
  INDEX(
    'Valor Hora Real y Estimada'!$A$4:$Z$78,
    MATCH(TRIM(CLEAN(A1699)), 'Valor Hora Real y Estimada'!$A$4:$A$78, 0),
    MATCH(
      TEXT(C1699,"dd mmm")&amp;" "&amp;D1699,
      'Valor Hora Real y Estimada'!$A$3:$Z$3,
      0
    ) + 1
  ),
  0
)</f>
        <v>0</v>
      </c>
      <c r="O1699" s="453"/>
      <c r="P1699" s="113"/>
      <c r="Q1699" s="106" t="str">
        <f>IF(ISBLANK(O1699), "", VLOOKUP(C1699&amp;" "&amp;D1699, 'Info Tipo de Cambio y REM'!$A$24:$B$35, 2, FALSE))</f>
        <v/>
      </c>
      <c r="R1699" s="107" t="str">
        <f t="shared" si="32"/>
        <v/>
      </c>
    </row>
    <row r="1700" hidden="1">
      <c r="A1700" s="443"/>
      <c r="B1700" s="43" t="str">
        <f>IF(A1700="", "", IFERROR(VLOOKUP(A1700, Clasificaciones!A:B, 2, FALSE), "DATO NO CARGADO"))
</f>
        <v/>
      </c>
      <c r="C1700" s="51"/>
      <c r="D1700" s="102"/>
      <c r="E1700" s="102"/>
      <c r="H1700" s="102"/>
      <c r="J1700" s="102"/>
      <c r="K1700" s="450"/>
      <c r="L1700" s="443"/>
      <c r="M1700" s="450"/>
      <c r="N1700" s="452">
        <f t="array" ref="N1700">IFERROR(
  INDEX(
    'Valor Hora Real y Estimada'!$A$4:$Z$78,
    MATCH(TRIM(CLEAN(A1700)), 'Valor Hora Real y Estimada'!$A$4:$A$78, 0),
    MATCH(
      TEXT(C1700,"dd mmm")&amp;" "&amp;D1700,
      'Valor Hora Real y Estimada'!$A$3:$Z$3,
      0
    ) + 1
  ),
  0
)</f>
        <v>0</v>
      </c>
      <c r="O1700" s="453"/>
      <c r="P1700" s="113"/>
      <c r="Q1700" s="106" t="str">
        <f>IF(ISBLANK(O1700), "", VLOOKUP(C1700&amp;" "&amp;D1700, 'Info Tipo de Cambio y REM'!$A$24:$B$35, 2, FALSE))</f>
        <v/>
      </c>
      <c r="R1700" s="107" t="str">
        <f t="shared" si="32"/>
        <v/>
      </c>
    </row>
    <row r="1701" hidden="1">
      <c r="A1701" s="443"/>
      <c r="B1701" s="43" t="str">
        <f>IF(A1701="", "", IFERROR(VLOOKUP(A1701, Clasificaciones!A:B, 2, FALSE), "DATO NO CARGADO"))
</f>
        <v/>
      </c>
      <c r="C1701" s="51"/>
      <c r="D1701" s="102"/>
      <c r="E1701" s="102"/>
      <c r="H1701" s="102"/>
      <c r="J1701" s="102"/>
      <c r="K1701" s="450"/>
      <c r="L1701" s="443"/>
      <c r="M1701" s="450"/>
      <c r="N1701" s="452">
        <f t="array" ref="N1701">IFERROR(
  INDEX(
    'Valor Hora Real y Estimada'!$A$4:$Z$78,
    MATCH(TRIM(CLEAN(A1701)), 'Valor Hora Real y Estimada'!$A$4:$A$78, 0),
    MATCH(
      TEXT(C1701,"dd mmm")&amp;" "&amp;D1701,
      'Valor Hora Real y Estimada'!$A$3:$Z$3,
      0
    ) + 1
  ),
  0
)</f>
        <v>0</v>
      </c>
      <c r="O1701" s="453"/>
      <c r="P1701" s="113"/>
      <c r="Q1701" s="106" t="str">
        <f>IF(ISBLANK(O1701), "", VLOOKUP(C1701&amp;" "&amp;D1701, 'Info Tipo de Cambio y REM'!$A$24:$B$35, 2, FALSE))</f>
        <v/>
      </c>
      <c r="R1701" s="107" t="str">
        <f t="shared" si="32"/>
        <v/>
      </c>
    </row>
    <row r="1702" hidden="1">
      <c r="A1702" s="443"/>
      <c r="B1702" s="43" t="str">
        <f>IF(A1702="", "", IFERROR(VLOOKUP(A1702, Clasificaciones!A:B, 2, FALSE), "DATO NO CARGADO"))
</f>
        <v/>
      </c>
      <c r="C1702" s="51"/>
      <c r="D1702" s="102"/>
      <c r="E1702" s="102"/>
      <c r="H1702" s="102"/>
      <c r="J1702" s="102"/>
      <c r="K1702" s="450"/>
      <c r="L1702" s="443"/>
      <c r="M1702" s="450"/>
      <c r="N1702" s="452">
        <f t="array" ref="N1702">IFERROR(
  INDEX(
    'Valor Hora Real y Estimada'!$A$4:$Z$78,
    MATCH(TRIM(CLEAN(A1702)), 'Valor Hora Real y Estimada'!$A$4:$A$78, 0),
    MATCH(
      TEXT(C1702,"dd mmm")&amp;" "&amp;D1702,
      'Valor Hora Real y Estimada'!$A$3:$Z$3,
      0
    ) + 1
  ),
  0
)</f>
        <v>0</v>
      </c>
      <c r="O1702" s="453"/>
      <c r="P1702" s="113"/>
      <c r="Q1702" s="106" t="str">
        <f>IF(ISBLANK(O1702), "", VLOOKUP(C1702&amp;" "&amp;D1702, 'Info Tipo de Cambio y REM'!$A$24:$B$35, 2, FALSE))</f>
        <v/>
      </c>
      <c r="R1702" s="107" t="str">
        <f t="shared" si="32"/>
        <v/>
      </c>
    </row>
    <row r="1703" hidden="1">
      <c r="A1703" s="443"/>
      <c r="B1703" s="43" t="str">
        <f>IF(A1703="", "", IFERROR(VLOOKUP(A1703, Clasificaciones!A:B, 2, FALSE), "DATO NO CARGADO"))
</f>
        <v/>
      </c>
      <c r="C1703" s="51"/>
      <c r="D1703" s="102"/>
      <c r="E1703" s="102"/>
      <c r="H1703" s="102"/>
      <c r="J1703" s="102"/>
      <c r="K1703" s="450"/>
      <c r="L1703" s="443"/>
      <c r="M1703" s="450"/>
      <c r="N1703" s="452">
        <f t="array" ref="N1703">IFERROR(
  INDEX(
    'Valor Hora Real y Estimada'!$A$4:$Z$78,
    MATCH(TRIM(CLEAN(A1703)), 'Valor Hora Real y Estimada'!$A$4:$A$78, 0),
    MATCH(
      TEXT(C1703,"dd mmm")&amp;" "&amp;D1703,
      'Valor Hora Real y Estimada'!$A$3:$Z$3,
      0
    ) + 1
  ),
  0
)</f>
        <v>0</v>
      </c>
      <c r="O1703" s="453"/>
      <c r="P1703" s="113"/>
      <c r="Q1703" s="106" t="str">
        <f>IF(ISBLANK(O1703), "", VLOOKUP(C1703&amp;" "&amp;D1703, 'Info Tipo de Cambio y REM'!$A$24:$B$35, 2, FALSE))</f>
        <v/>
      </c>
      <c r="R1703" s="107" t="str">
        <f t="shared" si="32"/>
        <v/>
      </c>
    </row>
    <row r="1704" hidden="1">
      <c r="A1704" s="443"/>
      <c r="B1704" s="43" t="str">
        <f>IF(A1704="", "", IFERROR(VLOOKUP(A1704, Clasificaciones!A:B, 2, FALSE), "DATO NO CARGADO"))
</f>
        <v/>
      </c>
      <c r="C1704" s="51"/>
      <c r="D1704" s="102"/>
      <c r="E1704" s="102"/>
      <c r="H1704" s="102"/>
      <c r="J1704" s="102"/>
      <c r="K1704" s="450"/>
      <c r="L1704" s="443"/>
      <c r="M1704" s="450"/>
      <c r="N1704" s="452">
        <f t="array" ref="N1704">IFERROR(
  INDEX(
    'Valor Hora Real y Estimada'!$A$4:$Z$78,
    MATCH(TRIM(CLEAN(A1704)), 'Valor Hora Real y Estimada'!$A$4:$A$78, 0),
    MATCH(
      TEXT(C1704,"dd mmm")&amp;" "&amp;D1704,
      'Valor Hora Real y Estimada'!$A$3:$Z$3,
      0
    ) + 1
  ),
  0
)</f>
        <v>0</v>
      </c>
      <c r="O1704" s="453"/>
      <c r="P1704" s="113"/>
      <c r="Q1704" s="106" t="str">
        <f>IF(ISBLANK(O1704), "", VLOOKUP(C1704&amp;" "&amp;D1704, 'Info Tipo de Cambio y REM'!$A$24:$B$35, 2, FALSE))</f>
        <v/>
      </c>
      <c r="R1704" s="107" t="str">
        <f t="shared" si="32"/>
        <v/>
      </c>
    </row>
    <row r="1705" hidden="1">
      <c r="A1705" s="443"/>
      <c r="B1705" s="43" t="str">
        <f>IF(A1705="", "", IFERROR(VLOOKUP(A1705, Clasificaciones!A:B, 2, FALSE), "DATO NO CARGADO"))
</f>
        <v/>
      </c>
      <c r="C1705" s="51"/>
      <c r="D1705" s="102"/>
      <c r="E1705" s="102"/>
      <c r="H1705" s="102"/>
      <c r="J1705" s="102"/>
      <c r="K1705" s="450"/>
      <c r="L1705" s="443"/>
      <c r="M1705" s="450"/>
      <c r="N1705" s="452">
        <f t="array" ref="N1705">IFERROR(
  INDEX(
    'Valor Hora Real y Estimada'!$A$4:$Z$78,
    MATCH(TRIM(CLEAN(A1705)), 'Valor Hora Real y Estimada'!$A$4:$A$78, 0),
    MATCH(
      TEXT(C1705,"dd mmm")&amp;" "&amp;D1705,
      'Valor Hora Real y Estimada'!$A$3:$Z$3,
      0
    ) + 1
  ),
  0
)</f>
        <v>0</v>
      </c>
      <c r="O1705" s="453"/>
      <c r="P1705" s="113"/>
      <c r="Q1705" s="106" t="str">
        <f>IF(ISBLANK(O1705), "", VLOOKUP(C1705&amp;" "&amp;D1705, 'Info Tipo de Cambio y REM'!$A$24:$B$35, 2, FALSE))</f>
        <v/>
      </c>
      <c r="R1705" s="107" t="str">
        <f t="shared" si="32"/>
        <v/>
      </c>
    </row>
    <row r="1706" hidden="1">
      <c r="A1706" s="443"/>
      <c r="B1706" s="43" t="str">
        <f>IF(A1706="", "", IFERROR(VLOOKUP(A1706, Clasificaciones!A:B, 2, FALSE), "DATO NO CARGADO"))
</f>
        <v/>
      </c>
      <c r="C1706" s="51"/>
      <c r="D1706" s="102"/>
      <c r="E1706" s="102"/>
      <c r="H1706" s="102"/>
      <c r="J1706" s="102"/>
      <c r="K1706" s="450"/>
      <c r="L1706" s="443"/>
      <c r="M1706" s="450"/>
      <c r="N1706" s="452">
        <f t="array" ref="N1706">IFERROR(
  INDEX(
    'Valor Hora Real y Estimada'!$A$4:$Z$78,
    MATCH(TRIM(CLEAN(A1706)), 'Valor Hora Real y Estimada'!$A$4:$A$78, 0),
    MATCH(
      TEXT(C1706,"dd mmm")&amp;" "&amp;D1706,
      'Valor Hora Real y Estimada'!$A$3:$Z$3,
      0
    ) + 1
  ),
  0
)</f>
        <v>0</v>
      </c>
      <c r="O1706" s="453"/>
      <c r="P1706" s="113"/>
      <c r="Q1706" s="106" t="str">
        <f>IF(ISBLANK(O1706), "", VLOOKUP(C1706&amp;" "&amp;D1706, 'Info Tipo de Cambio y REM'!$A$24:$B$35, 2, FALSE))</f>
        <v/>
      </c>
      <c r="R1706" s="107" t="str">
        <f t="shared" si="32"/>
        <v/>
      </c>
    </row>
    <row r="1707" hidden="1">
      <c r="A1707" s="443"/>
      <c r="B1707" s="43" t="str">
        <f>IF(A1707="", "", IFERROR(VLOOKUP(A1707, Clasificaciones!A:B, 2, FALSE), "DATO NO CARGADO"))
</f>
        <v/>
      </c>
      <c r="C1707" s="51"/>
      <c r="D1707" s="102"/>
      <c r="E1707" s="102"/>
      <c r="H1707" s="102"/>
      <c r="J1707" s="102"/>
      <c r="K1707" s="450"/>
      <c r="L1707" s="443"/>
      <c r="M1707" s="450"/>
      <c r="N1707" s="452">
        <f t="array" ref="N1707">IFERROR(
  INDEX(
    'Valor Hora Real y Estimada'!$A$4:$Z$78,
    MATCH(TRIM(CLEAN(A1707)), 'Valor Hora Real y Estimada'!$A$4:$A$78, 0),
    MATCH(
      TEXT(C1707,"dd mmm")&amp;" "&amp;D1707,
      'Valor Hora Real y Estimada'!$A$3:$Z$3,
      0
    ) + 1
  ),
  0
)</f>
        <v>0</v>
      </c>
      <c r="O1707" s="453"/>
      <c r="P1707" s="113"/>
      <c r="Q1707" s="106" t="str">
        <f>IF(ISBLANK(O1707), "", VLOOKUP(C1707&amp;" "&amp;D1707, 'Info Tipo de Cambio y REM'!$A$24:$B$35, 2, FALSE))</f>
        <v/>
      </c>
      <c r="R1707" s="107" t="str">
        <f t="shared" si="32"/>
        <v/>
      </c>
    </row>
    <row r="1708" hidden="1">
      <c r="A1708" s="443"/>
      <c r="B1708" s="43" t="str">
        <f>IF(A1708="", "", IFERROR(VLOOKUP(A1708, Clasificaciones!A:B, 2, FALSE), "DATO NO CARGADO"))
</f>
        <v/>
      </c>
      <c r="C1708" s="51"/>
      <c r="D1708" s="102"/>
      <c r="E1708" s="102"/>
      <c r="H1708" s="102"/>
      <c r="J1708" s="102"/>
      <c r="K1708" s="450"/>
      <c r="L1708" s="443"/>
      <c r="M1708" s="450"/>
      <c r="N1708" s="452">
        <f t="array" ref="N1708">IFERROR(
  INDEX(
    'Valor Hora Real y Estimada'!$A$4:$Z$78,
    MATCH(TRIM(CLEAN(A1708)), 'Valor Hora Real y Estimada'!$A$4:$A$78, 0),
    MATCH(
      TEXT(C1708,"dd mmm")&amp;" "&amp;D1708,
      'Valor Hora Real y Estimada'!$A$3:$Z$3,
      0
    ) + 1
  ),
  0
)</f>
        <v>0</v>
      </c>
      <c r="O1708" s="453"/>
      <c r="P1708" s="113"/>
      <c r="Q1708" s="106" t="str">
        <f>IF(ISBLANK(O1708), "", VLOOKUP(C1708&amp;" "&amp;D1708, 'Info Tipo de Cambio y REM'!$A$24:$B$35, 2, FALSE))</f>
        <v/>
      </c>
      <c r="R1708" s="107" t="str">
        <f t="shared" si="32"/>
        <v/>
      </c>
    </row>
    <row r="1709" hidden="1">
      <c r="A1709" s="443"/>
      <c r="B1709" s="43" t="str">
        <f>IF(A1709="", "", IFERROR(VLOOKUP(A1709, Clasificaciones!A:B, 2, FALSE), "DATO NO CARGADO"))
</f>
        <v/>
      </c>
      <c r="C1709" s="51"/>
      <c r="D1709" s="102"/>
      <c r="E1709" s="102"/>
      <c r="H1709" s="102"/>
      <c r="J1709" s="102"/>
      <c r="K1709" s="450"/>
      <c r="L1709" s="443"/>
      <c r="M1709" s="450"/>
      <c r="N1709" s="452">
        <f t="array" ref="N1709">IFERROR(
  INDEX(
    'Valor Hora Real y Estimada'!$A$4:$Z$78,
    MATCH(TRIM(CLEAN(A1709)), 'Valor Hora Real y Estimada'!$A$4:$A$78, 0),
    MATCH(
      TEXT(C1709,"dd mmm")&amp;" "&amp;D1709,
      'Valor Hora Real y Estimada'!$A$3:$Z$3,
      0
    ) + 1
  ),
  0
)</f>
        <v>0</v>
      </c>
      <c r="O1709" s="453"/>
      <c r="P1709" s="113"/>
      <c r="Q1709" s="106" t="str">
        <f>IF(ISBLANK(O1709), "", VLOOKUP(C1709&amp;" "&amp;D1709, 'Info Tipo de Cambio y REM'!$A$24:$B$35, 2, FALSE))</f>
        <v/>
      </c>
      <c r="R1709" s="107" t="str">
        <f t="shared" si="32"/>
        <v/>
      </c>
    </row>
    <row r="1710" hidden="1">
      <c r="A1710" s="443"/>
      <c r="B1710" s="43" t="str">
        <f>IF(A1710="", "", IFERROR(VLOOKUP(A1710, Clasificaciones!A:B, 2, FALSE), "DATO NO CARGADO"))
</f>
        <v/>
      </c>
      <c r="C1710" s="51"/>
      <c r="D1710" s="102"/>
      <c r="E1710" s="102"/>
      <c r="H1710" s="102"/>
      <c r="J1710" s="102"/>
      <c r="K1710" s="450"/>
      <c r="L1710" s="443"/>
      <c r="M1710" s="450"/>
      <c r="N1710" s="452">
        <f t="array" ref="N1710">IFERROR(
  INDEX(
    'Valor Hora Real y Estimada'!$A$4:$Z$78,
    MATCH(TRIM(CLEAN(A1710)), 'Valor Hora Real y Estimada'!$A$4:$A$78, 0),
    MATCH(
      TEXT(C1710,"dd mmm")&amp;" "&amp;D1710,
      'Valor Hora Real y Estimada'!$A$3:$Z$3,
      0
    ) + 1
  ),
  0
)</f>
        <v>0</v>
      </c>
      <c r="O1710" s="453"/>
      <c r="P1710" s="113"/>
      <c r="Q1710" s="106" t="str">
        <f>IF(ISBLANK(O1710), "", VLOOKUP(C1710&amp;" "&amp;D1710, 'Info Tipo de Cambio y REM'!$A$24:$B$35, 2, FALSE))</f>
        <v/>
      </c>
      <c r="R1710" s="107" t="str">
        <f t="shared" si="32"/>
        <v/>
      </c>
    </row>
    <row r="1711" hidden="1">
      <c r="A1711" s="443"/>
      <c r="B1711" s="43" t="str">
        <f>IF(A1711="", "", IFERROR(VLOOKUP(A1711, Clasificaciones!A:B, 2, FALSE), "DATO NO CARGADO"))
</f>
        <v/>
      </c>
      <c r="C1711" s="51"/>
      <c r="D1711" s="102"/>
      <c r="E1711" s="102"/>
      <c r="H1711" s="102"/>
      <c r="J1711" s="102"/>
      <c r="K1711" s="450"/>
      <c r="L1711" s="443"/>
      <c r="M1711" s="450"/>
      <c r="N1711" s="452">
        <f t="array" ref="N1711">IFERROR(
  INDEX(
    'Valor Hora Real y Estimada'!$A$4:$Z$78,
    MATCH(TRIM(CLEAN(A1711)), 'Valor Hora Real y Estimada'!$A$4:$A$78, 0),
    MATCH(
      TEXT(C1711,"dd mmm")&amp;" "&amp;D1711,
      'Valor Hora Real y Estimada'!$A$3:$Z$3,
      0
    ) + 1
  ),
  0
)</f>
        <v>0</v>
      </c>
      <c r="O1711" s="453"/>
      <c r="P1711" s="113"/>
      <c r="Q1711" s="106" t="str">
        <f>IF(ISBLANK(O1711), "", VLOOKUP(C1711&amp;" "&amp;D1711, 'Info Tipo de Cambio y REM'!$A$24:$B$35, 2, FALSE))</f>
        <v/>
      </c>
      <c r="R1711" s="107" t="str">
        <f t="shared" si="32"/>
        <v/>
      </c>
    </row>
    <row r="1712" hidden="1">
      <c r="A1712" s="443"/>
      <c r="B1712" s="43" t="str">
        <f>IF(A1712="", "", IFERROR(VLOOKUP(A1712, Clasificaciones!A:B, 2, FALSE), "DATO NO CARGADO"))
</f>
        <v/>
      </c>
      <c r="C1712" s="51"/>
      <c r="D1712" s="102"/>
      <c r="E1712" s="102"/>
      <c r="H1712" s="102"/>
      <c r="J1712" s="102"/>
      <c r="K1712" s="450"/>
      <c r="L1712" s="443"/>
      <c r="M1712" s="450"/>
      <c r="N1712" s="452">
        <f t="array" ref="N1712">IFERROR(
  INDEX(
    'Valor Hora Real y Estimada'!$A$4:$Z$78,
    MATCH(TRIM(CLEAN(A1712)), 'Valor Hora Real y Estimada'!$A$4:$A$78, 0),
    MATCH(
      TEXT(C1712,"dd mmm")&amp;" "&amp;D1712,
      'Valor Hora Real y Estimada'!$A$3:$Z$3,
      0
    ) + 1
  ),
  0
)</f>
        <v>0</v>
      </c>
      <c r="O1712" s="453"/>
      <c r="P1712" s="113"/>
      <c r="Q1712" s="106" t="str">
        <f>IF(ISBLANK(O1712), "", VLOOKUP(C1712&amp;" "&amp;D1712, 'Info Tipo de Cambio y REM'!$A$24:$B$35, 2, FALSE))</f>
        <v/>
      </c>
      <c r="R1712" s="107" t="str">
        <f t="shared" si="32"/>
        <v/>
      </c>
    </row>
    <row r="1713" hidden="1">
      <c r="A1713" s="443"/>
      <c r="B1713" s="43" t="str">
        <f>IF(A1713="", "", IFERROR(VLOOKUP(A1713, Clasificaciones!A:B, 2, FALSE), "DATO NO CARGADO"))
</f>
        <v/>
      </c>
      <c r="C1713" s="51"/>
      <c r="D1713" s="102"/>
      <c r="E1713" s="102"/>
      <c r="H1713" s="102"/>
      <c r="J1713" s="102"/>
      <c r="K1713" s="450"/>
      <c r="L1713" s="443"/>
      <c r="M1713" s="450"/>
      <c r="N1713" s="452">
        <f t="array" ref="N1713">IFERROR(
  INDEX(
    'Valor Hora Real y Estimada'!$A$4:$Z$78,
    MATCH(TRIM(CLEAN(A1713)), 'Valor Hora Real y Estimada'!$A$4:$A$78, 0),
    MATCH(
      TEXT(C1713,"dd mmm")&amp;" "&amp;D1713,
      'Valor Hora Real y Estimada'!$A$3:$Z$3,
      0
    ) + 1
  ),
  0
)</f>
        <v>0</v>
      </c>
      <c r="O1713" s="453"/>
      <c r="P1713" s="113"/>
      <c r="Q1713" s="106" t="str">
        <f>IF(ISBLANK(O1713), "", VLOOKUP(C1713&amp;" "&amp;D1713, 'Info Tipo de Cambio y REM'!$A$24:$B$35, 2, FALSE))</f>
        <v/>
      </c>
      <c r="R1713" s="107" t="str">
        <f t="shared" si="32"/>
        <v/>
      </c>
    </row>
    <row r="1714" hidden="1">
      <c r="A1714" s="443"/>
      <c r="B1714" s="43" t="str">
        <f>IF(A1714="", "", IFERROR(VLOOKUP(A1714, Clasificaciones!A:B, 2, FALSE), "DATO NO CARGADO"))
</f>
        <v/>
      </c>
      <c r="C1714" s="51"/>
      <c r="D1714" s="102"/>
      <c r="E1714" s="102"/>
      <c r="H1714" s="102"/>
      <c r="J1714" s="102"/>
      <c r="K1714" s="450"/>
      <c r="L1714" s="443"/>
      <c r="M1714" s="450"/>
      <c r="N1714" s="452">
        <f t="array" ref="N1714">IFERROR(
  INDEX(
    'Valor Hora Real y Estimada'!$A$4:$Z$78,
    MATCH(TRIM(CLEAN(A1714)), 'Valor Hora Real y Estimada'!$A$4:$A$78, 0),
    MATCH(
      TEXT(C1714,"dd mmm")&amp;" "&amp;D1714,
      'Valor Hora Real y Estimada'!$A$3:$Z$3,
      0
    ) + 1
  ),
  0
)</f>
        <v>0</v>
      </c>
      <c r="O1714" s="453"/>
      <c r="P1714" s="113"/>
      <c r="Q1714" s="106" t="str">
        <f>IF(ISBLANK(O1714), "", VLOOKUP(C1714&amp;" "&amp;D1714, 'Info Tipo de Cambio y REM'!$A$24:$B$35, 2, FALSE))</f>
        <v/>
      </c>
      <c r="R1714" s="107" t="str">
        <f t="shared" si="32"/>
        <v/>
      </c>
    </row>
    <row r="1715" hidden="1">
      <c r="A1715" s="443"/>
      <c r="B1715" s="43" t="str">
        <f>IF(A1715="", "", IFERROR(VLOOKUP(A1715, Clasificaciones!A:B, 2, FALSE), "DATO NO CARGADO"))
</f>
        <v/>
      </c>
      <c r="C1715" s="51"/>
      <c r="D1715" s="102"/>
      <c r="E1715" s="102"/>
      <c r="H1715" s="102"/>
      <c r="J1715" s="102"/>
      <c r="K1715" s="450"/>
      <c r="L1715" s="443"/>
      <c r="M1715" s="450"/>
      <c r="N1715" s="452">
        <f t="array" ref="N1715">IFERROR(
  INDEX(
    'Valor Hora Real y Estimada'!$A$4:$Z$78,
    MATCH(TRIM(CLEAN(A1715)), 'Valor Hora Real y Estimada'!$A$4:$A$78, 0),
    MATCH(
      TEXT(C1715,"dd mmm")&amp;" "&amp;D1715,
      'Valor Hora Real y Estimada'!$A$3:$Z$3,
      0
    ) + 1
  ),
  0
)</f>
        <v>0</v>
      </c>
      <c r="O1715" s="453"/>
      <c r="P1715" s="113"/>
      <c r="Q1715" s="106" t="str">
        <f>IF(ISBLANK(O1715), "", VLOOKUP(C1715&amp;" "&amp;D1715, 'Info Tipo de Cambio y REM'!$A$24:$B$35, 2, FALSE))</f>
        <v/>
      </c>
      <c r="R1715" s="107" t="str">
        <f t="shared" si="32"/>
        <v/>
      </c>
    </row>
    <row r="1716" hidden="1">
      <c r="A1716" s="443"/>
      <c r="B1716" s="43" t="str">
        <f>IF(A1716="", "", IFERROR(VLOOKUP(A1716, Clasificaciones!A:B, 2, FALSE), "DATO NO CARGADO"))
</f>
        <v/>
      </c>
      <c r="C1716" s="51"/>
      <c r="D1716" s="102"/>
      <c r="E1716" s="102"/>
      <c r="H1716" s="102"/>
      <c r="J1716" s="102"/>
      <c r="K1716" s="450"/>
      <c r="L1716" s="443"/>
      <c r="M1716" s="450"/>
      <c r="N1716" s="452">
        <f t="array" ref="N1716">IFERROR(
  INDEX(
    'Valor Hora Real y Estimada'!$A$4:$Z$78,
    MATCH(TRIM(CLEAN(A1716)), 'Valor Hora Real y Estimada'!$A$4:$A$78, 0),
    MATCH(
      TEXT(C1716,"dd mmm")&amp;" "&amp;D1716,
      'Valor Hora Real y Estimada'!$A$3:$Z$3,
      0
    ) + 1
  ),
  0
)</f>
        <v>0</v>
      </c>
      <c r="O1716" s="453"/>
      <c r="P1716" s="113"/>
      <c r="Q1716" s="106" t="str">
        <f>IF(ISBLANK(O1716), "", VLOOKUP(C1716&amp;" "&amp;D1716, 'Info Tipo de Cambio y REM'!$A$24:$B$35, 2, FALSE))</f>
        <v/>
      </c>
      <c r="R1716" s="107" t="str">
        <f t="shared" si="32"/>
        <v/>
      </c>
    </row>
    <row r="1717" hidden="1">
      <c r="A1717" s="443"/>
      <c r="B1717" s="43" t="str">
        <f>IF(A1717="", "", IFERROR(VLOOKUP(A1717, Clasificaciones!A:B, 2, FALSE), "DATO NO CARGADO"))
</f>
        <v/>
      </c>
      <c r="C1717" s="51"/>
      <c r="D1717" s="102"/>
      <c r="E1717" s="102"/>
      <c r="H1717" s="102"/>
      <c r="J1717" s="102"/>
      <c r="K1717" s="450"/>
      <c r="L1717" s="443"/>
      <c r="M1717" s="450"/>
      <c r="N1717" s="452">
        <f t="array" ref="N1717">IFERROR(
  INDEX(
    'Valor Hora Real y Estimada'!$A$4:$Z$78,
    MATCH(TRIM(CLEAN(A1717)), 'Valor Hora Real y Estimada'!$A$4:$A$78, 0),
    MATCH(
      TEXT(C1717,"dd mmm")&amp;" "&amp;D1717,
      'Valor Hora Real y Estimada'!$A$3:$Z$3,
      0
    ) + 1
  ),
  0
)</f>
        <v>0</v>
      </c>
      <c r="O1717" s="453"/>
      <c r="P1717" s="113"/>
      <c r="Q1717" s="106" t="str">
        <f>IF(ISBLANK(O1717), "", VLOOKUP(C1717&amp;" "&amp;D1717, 'Info Tipo de Cambio y REM'!$A$24:$B$35, 2, FALSE))</f>
        <v/>
      </c>
      <c r="R1717" s="107" t="str">
        <f t="shared" si="32"/>
        <v/>
      </c>
    </row>
    <row r="1718" hidden="1">
      <c r="A1718" s="443"/>
      <c r="B1718" s="43" t="str">
        <f>IF(A1718="", "", IFERROR(VLOOKUP(A1718, Clasificaciones!A:B, 2, FALSE), "DATO NO CARGADO"))
</f>
        <v/>
      </c>
      <c r="C1718" s="51"/>
      <c r="D1718" s="102"/>
      <c r="E1718" s="102"/>
      <c r="H1718" s="102"/>
      <c r="J1718" s="102"/>
      <c r="K1718" s="450"/>
      <c r="L1718" s="443"/>
      <c r="M1718" s="450"/>
      <c r="N1718" s="452">
        <f t="array" ref="N1718">IFERROR(
  INDEX(
    'Valor Hora Real y Estimada'!$A$4:$Z$78,
    MATCH(TRIM(CLEAN(A1718)), 'Valor Hora Real y Estimada'!$A$4:$A$78, 0),
    MATCH(
      TEXT(C1718,"dd mmm")&amp;" "&amp;D1718,
      'Valor Hora Real y Estimada'!$A$3:$Z$3,
      0
    ) + 1
  ),
  0
)</f>
        <v>0</v>
      </c>
      <c r="O1718" s="453"/>
      <c r="P1718" s="113"/>
      <c r="Q1718" s="106" t="str">
        <f>IF(ISBLANK(O1718), "", VLOOKUP(C1718&amp;" "&amp;D1718, 'Info Tipo de Cambio y REM'!$A$24:$B$35, 2, FALSE))</f>
        <v/>
      </c>
      <c r="R1718" s="107" t="str">
        <f t="shared" si="32"/>
        <v/>
      </c>
    </row>
    <row r="1719" hidden="1">
      <c r="A1719" s="443"/>
      <c r="B1719" s="43" t="str">
        <f>IF(A1719="", "", IFERROR(VLOOKUP(A1719, Clasificaciones!A:B, 2, FALSE), "DATO NO CARGADO"))
</f>
        <v/>
      </c>
      <c r="C1719" s="51"/>
      <c r="D1719" s="102"/>
      <c r="E1719" s="102"/>
      <c r="H1719" s="102"/>
      <c r="J1719" s="102"/>
      <c r="K1719" s="450"/>
      <c r="L1719" s="443"/>
      <c r="M1719" s="450"/>
      <c r="N1719" s="452">
        <f t="array" ref="N1719">IFERROR(
  INDEX(
    'Valor Hora Real y Estimada'!$A$4:$Z$78,
    MATCH(TRIM(CLEAN(A1719)), 'Valor Hora Real y Estimada'!$A$4:$A$78, 0),
    MATCH(
      TEXT(C1719,"dd mmm")&amp;" "&amp;D1719,
      'Valor Hora Real y Estimada'!$A$3:$Z$3,
      0
    ) + 1
  ),
  0
)</f>
        <v>0</v>
      </c>
      <c r="O1719" s="453"/>
      <c r="P1719" s="113"/>
      <c r="Q1719" s="106" t="str">
        <f>IF(ISBLANK(O1719), "", VLOOKUP(C1719&amp;" "&amp;D1719, 'Info Tipo de Cambio y REM'!$A$24:$B$35, 2, FALSE))</f>
        <v/>
      </c>
      <c r="R1719" s="107" t="str">
        <f t="shared" si="32"/>
        <v/>
      </c>
    </row>
    <row r="1720" hidden="1">
      <c r="A1720" s="443"/>
      <c r="B1720" s="43" t="str">
        <f>IF(A1720="", "", IFERROR(VLOOKUP(A1720, Clasificaciones!A:B, 2, FALSE), "DATO NO CARGADO"))
</f>
        <v/>
      </c>
      <c r="C1720" s="51"/>
      <c r="D1720" s="102"/>
      <c r="E1720" s="102"/>
      <c r="H1720" s="102"/>
      <c r="J1720" s="102"/>
      <c r="K1720" s="450"/>
      <c r="L1720" s="443"/>
      <c r="M1720" s="450"/>
      <c r="N1720" s="452">
        <f t="array" ref="N1720">IFERROR(
  INDEX(
    'Valor Hora Real y Estimada'!$A$4:$Z$78,
    MATCH(TRIM(CLEAN(A1720)), 'Valor Hora Real y Estimada'!$A$4:$A$78, 0),
    MATCH(
      TEXT(C1720,"dd mmm")&amp;" "&amp;D1720,
      'Valor Hora Real y Estimada'!$A$3:$Z$3,
      0
    ) + 1
  ),
  0
)</f>
        <v>0</v>
      </c>
      <c r="O1720" s="453"/>
      <c r="P1720" s="113"/>
      <c r="Q1720" s="106" t="str">
        <f>IF(ISBLANK(O1720), "", VLOOKUP(C1720&amp;" "&amp;D1720, 'Info Tipo de Cambio y REM'!$A$24:$B$35, 2, FALSE))</f>
        <v/>
      </c>
      <c r="R1720" s="107" t="str">
        <f t="shared" si="32"/>
        <v/>
      </c>
    </row>
    <row r="1721" hidden="1">
      <c r="A1721" s="443"/>
      <c r="B1721" s="43" t="str">
        <f>IF(A1721="", "", IFERROR(VLOOKUP(A1721, Clasificaciones!A:B, 2, FALSE), "DATO NO CARGADO"))
</f>
        <v/>
      </c>
      <c r="C1721" s="51"/>
      <c r="D1721" s="102"/>
      <c r="E1721" s="102"/>
      <c r="H1721" s="102"/>
      <c r="J1721" s="102"/>
      <c r="K1721" s="450"/>
      <c r="L1721" s="443"/>
      <c r="M1721" s="450"/>
      <c r="N1721" s="452">
        <f t="array" ref="N1721">IFERROR(
  INDEX(
    'Valor Hora Real y Estimada'!$A$4:$Z$78,
    MATCH(TRIM(CLEAN(A1721)), 'Valor Hora Real y Estimada'!$A$4:$A$78, 0),
    MATCH(
      TEXT(C1721,"dd mmm")&amp;" "&amp;D1721,
      'Valor Hora Real y Estimada'!$A$3:$Z$3,
      0
    ) + 1
  ),
  0
)</f>
        <v>0</v>
      </c>
      <c r="O1721" s="453"/>
      <c r="P1721" s="113"/>
      <c r="Q1721" s="106" t="str">
        <f>IF(ISBLANK(O1721), "", VLOOKUP(C1721&amp;" "&amp;D1721, 'Info Tipo de Cambio y REM'!$A$24:$B$35, 2, FALSE))</f>
        <v/>
      </c>
      <c r="R1721" s="107" t="str">
        <f t="shared" si="32"/>
        <v/>
      </c>
    </row>
    <row r="1722" hidden="1">
      <c r="A1722" s="443"/>
      <c r="B1722" s="43" t="str">
        <f>IF(A1722="", "", IFERROR(VLOOKUP(A1722, Clasificaciones!A:B, 2, FALSE), "DATO NO CARGADO"))
</f>
        <v/>
      </c>
      <c r="C1722" s="51"/>
      <c r="D1722" s="102"/>
      <c r="E1722" s="102"/>
      <c r="H1722" s="102"/>
      <c r="J1722" s="102"/>
      <c r="K1722" s="450"/>
      <c r="L1722" s="443"/>
      <c r="M1722" s="450"/>
      <c r="N1722" s="452">
        <f t="array" ref="N1722">IFERROR(
  INDEX(
    'Valor Hora Real y Estimada'!$A$4:$Z$78,
    MATCH(TRIM(CLEAN(A1722)), 'Valor Hora Real y Estimada'!$A$4:$A$78, 0),
    MATCH(
      TEXT(C1722,"dd mmm")&amp;" "&amp;D1722,
      'Valor Hora Real y Estimada'!$A$3:$Z$3,
      0
    ) + 1
  ),
  0
)</f>
        <v>0</v>
      </c>
      <c r="O1722" s="453"/>
      <c r="P1722" s="113"/>
      <c r="Q1722" s="106" t="str">
        <f>IF(ISBLANK(O1722), "", VLOOKUP(C1722&amp;" "&amp;D1722, 'Info Tipo de Cambio y REM'!$A$24:$B$35, 2, FALSE))</f>
        <v/>
      </c>
      <c r="R1722" s="107" t="str">
        <f t="shared" si="32"/>
        <v/>
      </c>
    </row>
    <row r="1723" hidden="1">
      <c r="A1723" s="443"/>
      <c r="B1723" s="43" t="str">
        <f>IF(A1723="", "", IFERROR(VLOOKUP(A1723, Clasificaciones!A:B, 2, FALSE), "DATO NO CARGADO"))
</f>
        <v/>
      </c>
      <c r="C1723" s="51"/>
      <c r="D1723" s="102"/>
      <c r="E1723" s="102"/>
      <c r="H1723" s="102"/>
      <c r="J1723" s="102"/>
      <c r="K1723" s="450"/>
      <c r="L1723" s="443"/>
      <c r="M1723" s="450"/>
      <c r="N1723" s="452">
        <f t="array" ref="N1723">IFERROR(
  INDEX(
    'Valor Hora Real y Estimada'!$A$4:$Z$78,
    MATCH(TRIM(CLEAN(A1723)), 'Valor Hora Real y Estimada'!$A$4:$A$78, 0),
    MATCH(
      TEXT(C1723,"dd mmm")&amp;" "&amp;D1723,
      'Valor Hora Real y Estimada'!$A$3:$Z$3,
      0
    ) + 1
  ),
  0
)</f>
        <v>0</v>
      </c>
      <c r="O1723" s="453"/>
      <c r="P1723" s="113"/>
      <c r="Q1723" s="106" t="str">
        <f>IF(ISBLANK(O1723), "", VLOOKUP(C1723&amp;" "&amp;D1723, 'Info Tipo de Cambio y REM'!$A$24:$B$35, 2, FALSE))</f>
        <v/>
      </c>
      <c r="R1723" s="107" t="str">
        <f t="shared" si="32"/>
        <v/>
      </c>
    </row>
    <row r="1724" hidden="1">
      <c r="A1724" s="443"/>
      <c r="B1724" s="43" t="str">
        <f>IF(A1724="", "", IFERROR(VLOOKUP(A1724, Clasificaciones!A:B, 2, FALSE), "DATO NO CARGADO"))
</f>
        <v/>
      </c>
      <c r="C1724" s="51"/>
      <c r="D1724" s="102"/>
      <c r="E1724" s="102"/>
      <c r="H1724" s="102"/>
      <c r="J1724" s="102"/>
      <c r="K1724" s="450"/>
      <c r="L1724" s="443"/>
      <c r="M1724" s="450"/>
      <c r="N1724" s="452">
        <f t="array" ref="N1724">IFERROR(
  INDEX(
    'Valor Hora Real y Estimada'!$A$4:$Z$78,
    MATCH(TRIM(CLEAN(A1724)), 'Valor Hora Real y Estimada'!$A$4:$A$78, 0),
    MATCH(
      TEXT(C1724,"dd mmm")&amp;" "&amp;D1724,
      'Valor Hora Real y Estimada'!$A$3:$Z$3,
      0
    ) + 1
  ),
  0
)</f>
        <v>0</v>
      </c>
      <c r="O1724" s="453"/>
      <c r="P1724" s="113"/>
      <c r="Q1724" s="106" t="str">
        <f>IF(ISBLANK(O1724), "", VLOOKUP(C1724&amp;" "&amp;D1724, 'Info Tipo de Cambio y REM'!$A$24:$B$35, 2, FALSE))</f>
        <v/>
      </c>
      <c r="R1724" s="107" t="str">
        <f t="shared" si="32"/>
        <v/>
      </c>
    </row>
    <row r="1725" hidden="1">
      <c r="A1725" s="443"/>
      <c r="B1725" s="43" t="str">
        <f>IF(A1725="", "", IFERROR(VLOOKUP(A1725, Clasificaciones!A:B, 2, FALSE), "DATO NO CARGADO"))
</f>
        <v/>
      </c>
      <c r="C1725" s="51"/>
      <c r="D1725" s="102"/>
      <c r="E1725" s="102"/>
      <c r="H1725" s="102"/>
      <c r="J1725" s="102"/>
      <c r="K1725" s="450"/>
      <c r="L1725" s="443"/>
      <c r="M1725" s="450"/>
      <c r="N1725" s="452">
        <f t="array" ref="N1725">IFERROR(
  INDEX(
    'Valor Hora Real y Estimada'!$A$4:$Z$78,
    MATCH(TRIM(CLEAN(A1725)), 'Valor Hora Real y Estimada'!$A$4:$A$78, 0),
    MATCH(
      TEXT(C1725,"dd mmm")&amp;" "&amp;D1725,
      'Valor Hora Real y Estimada'!$A$3:$Z$3,
      0
    ) + 1
  ),
  0
)</f>
        <v>0</v>
      </c>
      <c r="O1725" s="453"/>
      <c r="P1725" s="113"/>
      <c r="Q1725" s="106" t="str">
        <f>IF(ISBLANK(O1725), "", VLOOKUP(C1725&amp;" "&amp;D1725, 'Info Tipo de Cambio y REM'!$A$24:$B$35, 2, FALSE))</f>
        <v/>
      </c>
      <c r="R1725" s="107" t="str">
        <f t="shared" si="32"/>
        <v/>
      </c>
    </row>
    <row r="1726" hidden="1">
      <c r="A1726" s="443"/>
      <c r="B1726" s="43" t="str">
        <f>IF(A1726="", "", IFERROR(VLOOKUP(A1726, Clasificaciones!A:B, 2, FALSE), "DATO NO CARGADO"))
</f>
        <v/>
      </c>
      <c r="C1726" s="51"/>
      <c r="D1726" s="102"/>
      <c r="E1726" s="102"/>
      <c r="H1726" s="102"/>
      <c r="J1726" s="102"/>
      <c r="K1726" s="450"/>
      <c r="L1726" s="443"/>
      <c r="M1726" s="450"/>
      <c r="N1726" s="452">
        <f t="array" ref="N1726">IFERROR(
  INDEX(
    'Valor Hora Real y Estimada'!$A$4:$Z$78,
    MATCH(TRIM(CLEAN(A1726)), 'Valor Hora Real y Estimada'!$A$4:$A$78, 0),
    MATCH(
      TEXT(C1726,"dd mmm")&amp;" "&amp;D1726,
      'Valor Hora Real y Estimada'!$A$3:$Z$3,
      0
    ) + 1
  ),
  0
)</f>
        <v>0</v>
      </c>
      <c r="O1726" s="453"/>
      <c r="P1726" s="113"/>
      <c r="Q1726" s="106" t="str">
        <f>IF(ISBLANK(O1726), "", VLOOKUP(C1726&amp;" "&amp;D1726, 'Info Tipo de Cambio y REM'!$A$24:$B$35, 2, FALSE))</f>
        <v/>
      </c>
      <c r="R1726" s="107" t="str">
        <f t="shared" si="32"/>
        <v/>
      </c>
    </row>
    <row r="1727" hidden="1">
      <c r="A1727" s="443"/>
      <c r="B1727" s="43" t="str">
        <f>IF(A1727="", "", IFERROR(VLOOKUP(A1727, Clasificaciones!A:B, 2, FALSE), "DATO NO CARGADO"))
</f>
        <v/>
      </c>
      <c r="C1727" s="51"/>
      <c r="D1727" s="102"/>
      <c r="E1727" s="102"/>
      <c r="H1727" s="102"/>
      <c r="J1727" s="102"/>
      <c r="K1727" s="450"/>
      <c r="L1727" s="443"/>
      <c r="M1727" s="450"/>
      <c r="N1727" s="452">
        <f t="array" ref="N1727">IFERROR(
  INDEX(
    'Valor Hora Real y Estimada'!$A$4:$Z$78,
    MATCH(TRIM(CLEAN(A1727)), 'Valor Hora Real y Estimada'!$A$4:$A$78, 0),
    MATCH(
      TEXT(C1727,"dd mmm")&amp;" "&amp;D1727,
      'Valor Hora Real y Estimada'!$A$3:$Z$3,
      0
    ) + 1
  ),
  0
)</f>
        <v>0</v>
      </c>
      <c r="O1727" s="453"/>
      <c r="P1727" s="113"/>
      <c r="Q1727" s="106" t="str">
        <f>IF(ISBLANK(O1727), "", VLOOKUP(C1727&amp;" "&amp;D1727, 'Info Tipo de Cambio y REM'!$A$24:$B$35, 2, FALSE))</f>
        <v/>
      </c>
      <c r="R1727" s="107" t="str">
        <f t="shared" si="32"/>
        <v/>
      </c>
    </row>
    <row r="1728" hidden="1">
      <c r="A1728" s="443"/>
      <c r="B1728" s="43" t="str">
        <f>IF(A1728="", "", IFERROR(VLOOKUP(A1728, Clasificaciones!A:B, 2, FALSE), "DATO NO CARGADO"))
</f>
        <v/>
      </c>
      <c r="C1728" s="51"/>
      <c r="D1728" s="102"/>
      <c r="E1728" s="102"/>
      <c r="H1728" s="102"/>
      <c r="J1728" s="102"/>
      <c r="K1728" s="450"/>
      <c r="L1728" s="443"/>
      <c r="M1728" s="450"/>
      <c r="N1728" s="452">
        <f t="array" ref="N1728">IFERROR(
  INDEX(
    'Valor Hora Real y Estimada'!$A$4:$Z$78,
    MATCH(TRIM(CLEAN(A1728)), 'Valor Hora Real y Estimada'!$A$4:$A$78, 0),
    MATCH(
      TEXT(C1728,"dd mmm")&amp;" "&amp;D1728,
      'Valor Hora Real y Estimada'!$A$3:$Z$3,
      0
    ) + 1
  ),
  0
)</f>
        <v>0</v>
      </c>
      <c r="O1728" s="453"/>
      <c r="P1728" s="113"/>
      <c r="Q1728" s="106" t="str">
        <f>IF(ISBLANK(O1728), "", VLOOKUP(C1728&amp;" "&amp;D1728, 'Info Tipo de Cambio y REM'!$A$24:$B$35, 2, FALSE))</f>
        <v/>
      </c>
      <c r="R1728" s="107" t="str">
        <f t="shared" si="32"/>
        <v/>
      </c>
    </row>
    <row r="1729" hidden="1">
      <c r="A1729" s="443"/>
      <c r="B1729" s="43" t="str">
        <f>IF(A1729="", "", IFERROR(VLOOKUP(A1729, Clasificaciones!A:B, 2, FALSE), "DATO NO CARGADO"))
</f>
        <v/>
      </c>
      <c r="C1729" s="51"/>
      <c r="D1729" s="102"/>
      <c r="E1729" s="102"/>
      <c r="H1729" s="102"/>
      <c r="J1729" s="102"/>
      <c r="K1729" s="450"/>
      <c r="L1729" s="443"/>
      <c r="M1729" s="450"/>
      <c r="N1729" s="452">
        <f t="array" ref="N1729">IFERROR(
  INDEX(
    'Valor Hora Real y Estimada'!$A$4:$Z$78,
    MATCH(TRIM(CLEAN(A1729)), 'Valor Hora Real y Estimada'!$A$4:$A$78, 0),
    MATCH(
      TEXT(C1729,"dd mmm")&amp;" "&amp;D1729,
      'Valor Hora Real y Estimada'!$A$3:$Z$3,
      0
    ) + 1
  ),
  0
)</f>
        <v>0</v>
      </c>
      <c r="O1729" s="453"/>
      <c r="P1729" s="113"/>
      <c r="Q1729" s="106" t="str">
        <f>IF(ISBLANK(O1729), "", VLOOKUP(C1729&amp;" "&amp;D1729, 'Info Tipo de Cambio y REM'!$A$24:$B$35, 2, FALSE))</f>
        <v/>
      </c>
      <c r="R1729" s="107" t="str">
        <f t="shared" si="32"/>
        <v/>
      </c>
    </row>
    <row r="1730" hidden="1">
      <c r="A1730" s="443"/>
      <c r="B1730" s="43" t="str">
        <f>IF(A1730="", "", IFERROR(VLOOKUP(A1730, Clasificaciones!A:B, 2, FALSE), "DATO NO CARGADO"))
</f>
        <v/>
      </c>
      <c r="C1730" s="51"/>
      <c r="D1730" s="102"/>
      <c r="E1730" s="102"/>
      <c r="H1730" s="102"/>
      <c r="J1730" s="102"/>
      <c r="K1730" s="450"/>
      <c r="L1730" s="443"/>
      <c r="M1730" s="450"/>
      <c r="N1730" s="452">
        <f t="array" ref="N1730">IFERROR(
  INDEX(
    'Valor Hora Real y Estimada'!$A$4:$Z$78,
    MATCH(TRIM(CLEAN(A1730)), 'Valor Hora Real y Estimada'!$A$4:$A$78, 0),
    MATCH(
      TEXT(C1730,"dd mmm")&amp;" "&amp;D1730,
      'Valor Hora Real y Estimada'!$A$3:$Z$3,
      0
    ) + 1
  ),
  0
)</f>
        <v>0</v>
      </c>
      <c r="O1730" s="453"/>
      <c r="P1730" s="113"/>
      <c r="Q1730" s="106" t="str">
        <f>IF(ISBLANK(O1730), "", VLOOKUP(C1730&amp;" "&amp;D1730, 'Info Tipo de Cambio y REM'!$A$24:$B$35, 2, FALSE))</f>
        <v/>
      </c>
      <c r="R1730" s="107" t="str">
        <f t="shared" si="32"/>
        <v/>
      </c>
    </row>
    <row r="1731" hidden="1">
      <c r="A1731" s="443"/>
      <c r="B1731" s="43" t="str">
        <f>IF(A1731="", "", IFERROR(VLOOKUP(A1731, Clasificaciones!A:B, 2, FALSE), "DATO NO CARGADO"))
</f>
        <v/>
      </c>
      <c r="C1731" s="51"/>
      <c r="D1731" s="102"/>
      <c r="E1731" s="102"/>
      <c r="H1731" s="102"/>
      <c r="J1731" s="102"/>
      <c r="K1731" s="450"/>
      <c r="L1731" s="443"/>
      <c r="M1731" s="450"/>
      <c r="N1731" s="452">
        <f t="array" ref="N1731">IFERROR(
  INDEX(
    'Valor Hora Real y Estimada'!$A$4:$Z$78,
    MATCH(TRIM(CLEAN(A1731)), 'Valor Hora Real y Estimada'!$A$4:$A$78, 0),
    MATCH(
      TEXT(C1731,"dd mmm")&amp;" "&amp;D1731,
      'Valor Hora Real y Estimada'!$A$3:$Z$3,
      0
    ) + 1
  ),
  0
)</f>
        <v>0</v>
      </c>
      <c r="O1731" s="453"/>
      <c r="P1731" s="113"/>
      <c r="Q1731" s="106" t="str">
        <f>IF(ISBLANK(O1731), "", VLOOKUP(C1731&amp;" "&amp;D1731, 'Info Tipo de Cambio y REM'!$A$24:$B$35, 2, FALSE))</f>
        <v/>
      </c>
      <c r="R1731" s="107" t="str">
        <f t="shared" si="32"/>
        <v/>
      </c>
    </row>
    <row r="1732" hidden="1">
      <c r="A1732" s="443"/>
      <c r="B1732" s="43" t="str">
        <f>IF(A1732="", "", IFERROR(VLOOKUP(A1732, Clasificaciones!A:B, 2, FALSE), "DATO NO CARGADO"))
</f>
        <v/>
      </c>
      <c r="C1732" s="51"/>
      <c r="D1732" s="102"/>
      <c r="E1732" s="102"/>
      <c r="H1732" s="102"/>
      <c r="J1732" s="102"/>
      <c r="K1732" s="450"/>
      <c r="L1732" s="443"/>
      <c r="M1732" s="450"/>
      <c r="N1732" s="452">
        <f t="array" ref="N1732">IFERROR(
  INDEX(
    'Valor Hora Real y Estimada'!$A$4:$Z$78,
    MATCH(TRIM(CLEAN(A1732)), 'Valor Hora Real y Estimada'!$A$4:$A$78, 0),
    MATCH(
      TEXT(C1732,"dd mmm")&amp;" "&amp;D1732,
      'Valor Hora Real y Estimada'!$A$3:$Z$3,
      0
    ) + 1
  ),
  0
)</f>
        <v>0</v>
      </c>
      <c r="O1732" s="453"/>
      <c r="P1732" s="113"/>
      <c r="Q1732" s="106" t="str">
        <f>IF(ISBLANK(O1732), "", VLOOKUP(C1732&amp;" "&amp;D1732, 'Info Tipo de Cambio y REM'!$A$24:$B$35, 2, FALSE))</f>
        <v/>
      </c>
      <c r="R1732" s="107" t="str">
        <f t="shared" si="32"/>
        <v/>
      </c>
    </row>
    <row r="1733" hidden="1">
      <c r="A1733" s="443"/>
      <c r="B1733" s="43" t="str">
        <f>IF(A1733="", "", IFERROR(VLOOKUP(A1733, Clasificaciones!A:B, 2, FALSE), "DATO NO CARGADO"))
</f>
        <v/>
      </c>
      <c r="C1733" s="51"/>
      <c r="D1733" s="102"/>
      <c r="E1733" s="102"/>
      <c r="H1733" s="102"/>
      <c r="J1733" s="102"/>
      <c r="K1733" s="450"/>
      <c r="L1733" s="443"/>
      <c r="M1733" s="450"/>
      <c r="N1733" s="452">
        <f t="array" ref="N1733">IFERROR(
  INDEX(
    'Valor Hora Real y Estimada'!$A$4:$Z$78,
    MATCH(TRIM(CLEAN(A1733)), 'Valor Hora Real y Estimada'!$A$4:$A$78, 0),
    MATCH(
      TEXT(C1733,"dd mmm")&amp;" "&amp;D1733,
      'Valor Hora Real y Estimada'!$A$3:$Z$3,
      0
    ) + 1
  ),
  0
)</f>
        <v>0</v>
      </c>
      <c r="O1733" s="453"/>
      <c r="P1733" s="113"/>
      <c r="Q1733" s="106" t="str">
        <f>IF(ISBLANK(O1733), "", VLOOKUP(C1733&amp;" "&amp;D1733, 'Info Tipo de Cambio y REM'!$A$24:$B$35, 2, FALSE))</f>
        <v/>
      </c>
      <c r="R1733" s="107" t="str">
        <f t="shared" si="32"/>
        <v/>
      </c>
    </row>
    <row r="1734" hidden="1">
      <c r="A1734" s="443"/>
      <c r="B1734" s="43" t="str">
        <f>IF(A1734="", "", IFERROR(VLOOKUP(A1734, Clasificaciones!A:B, 2, FALSE), "DATO NO CARGADO"))
</f>
        <v/>
      </c>
      <c r="C1734" s="51"/>
      <c r="D1734" s="102"/>
      <c r="E1734" s="102"/>
      <c r="H1734" s="102"/>
      <c r="J1734" s="102"/>
      <c r="K1734" s="450"/>
      <c r="L1734" s="443"/>
      <c r="M1734" s="450"/>
      <c r="N1734" s="452">
        <f t="array" ref="N1734">IFERROR(
  INDEX(
    'Valor Hora Real y Estimada'!$A$4:$Z$78,
    MATCH(TRIM(CLEAN(A1734)), 'Valor Hora Real y Estimada'!$A$4:$A$78, 0),
    MATCH(
      TEXT(C1734,"dd mmm")&amp;" "&amp;D1734,
      'Valor Hora Real y Estimada'!$A$3:$Z$3,
      0
    ) + 1
  ),
  0
)</f>
        <v>0</v>
      </c>
      <c r="O1734" s="453"/>
      <c r="P1734" s="113"/>
      <c r="Q1734" s="106" t="str">
        <f>IF(ISBLANK(O1734), "", VLOOKUP(C1734&amp;" "&amp;D1734, 'Info Tipo de Cambio y REM'!$A$24:$B$35, 2, FALSE))</f>
        <v/>
      </c>
      <c r="R1734" s="107" t="str">
        <f t="shared" si="32"/>
        <v/>
      </c>
    </row>
    <row r="1735" hidden="1">
      <c r="A1735" s="443"/>
      <c r="B1735" s="43" t="str">
        <f>IF(A1735="", "", IFERROR(VLOOKUP(A1735, Clasificaciones!A:B, 2, FALSE), "DATO NO CARGADO"))
</f>
        <v/>
      </c>
      <c r="C1735" s="51"/>
      <c r="D1735" s="102"/>
      <c r="E1735" s="102"/>
      <c r="H1735" s="102"/>
      <c r="J1735" s="102"/>
      <c r="K1735" s="450"/>
      <c r="L1735" s="443"/>
      <c r="M1735" s="450"/>
      <c r="N1735" s="452">
        <f t="array" ref="N1735">IFERROR(
  INDEX(
    'Valor Hora Real y Estimada'!$A$4:$Z$78,
    MATCH(TRIM(CLEAN(A1735)), 'Valor Hora Real y Estimada'!$A$4:$A$78, 0),
    MATCH(
      TEXT(C1735,"dd mmm")&amp;" "&amp;D1735,
      'Valor Hora Real y Estimada'!$A$3:$Z$3,
      0
    ) + 1
  ),
  0
)</f>
        <v>0</v>
      </c>
      <c r="O1735" s="453"/>
      <c r="P1735" s="113"/>
      <c r="Q1735" s="106" t="str">
        <f>IF(ISBLANK(O1735), "", VLOOKUP(C1735&amp;" "&amp;D1735, 'Info Tipo de Cambio y REM'!$A$24:$B$35, 2, FALSE))</f>
        <v/>
      </c>
      <c r="R1735" s="107" t="str">
        <f t="shared" si="32"/>
        <v/>
      </c>
    </row>
    <row r="1736" hidden="1">
      <c r="A1736" s="443"/>
      <c r="B1736" s="43" t="str">
        <f>IF(A1736="", "", IFERROR(VLOOKUP(A1736, Clasificaciones!A:B, 2, FALSE), "DATO NO CARGADO"))
</f>
        <v/>
      </c>
      <c r="C1736" s="51"/>
      <c r="D1736" s="102"/>
      <c r="E1736" s="102"/>
      <c r="H1736" s="102"/>
      <c r="J1736" s="102"/>
      <c r="K1736" s="450"/>
      <c r="L1736" s="443"/>
      <c r="M1736" s="450"/>
      <c r="N1736" s="452">
        <f t="array" ref="N1736">IFERROR(
  INDEX(
    'Valor Hora Real y Estimada'!$A$4:$Z$78,
    MATCH(TRIM(CLEAN(A1736)), 'Valor Hora Real y Estimada'!$A$4:$A$78, 0),
    MATCH(
      TEXT(C1736,"dd mmm")&amp;" "&amp;D1736,
      'Valor Hora Real y Estimada'!$A$3:$Z$3,
      0
    ) + 1
  ),
  0
)</f>
        <v>0</v>
      </c>
      <c r="O1736" s="453"/>
      <c r="P1736" s="113"/>
      <c r="Q1736" s="106" t="str">
        <f>IF(ISBLANK(O1736), "", VLOOKUP(C1736&amp;" "&amp;D1736, 'Info Tipo de Cambio y REM'!$A$24:$B$35, 2, FALSE))</f>
        <v/>
      </c>
      <c r="R1736" s="107" t="str">
        <f t="shared" si="32"/>
        <v/>
      </c>
    </row>
    <row r="1737" hidden="1">
      <c r="A1737" s="443"/>
      <c r="B1737" s="43" t="str">
        <f>IF(A1737="", "", IFERROR(VLOOKUP(A1737, Clasificaciones!A:B, 2, FALSE), "DATO NO CARGADO"))
</f>
        <v/>
      </c>
      <c r="C1737" s="51"/>
      <c r="D1737" s="102"/>
      <c r="E1737" s="102"/>
      <c r="H1737" s="102"/>
      <c r="J1737" s="102"/>
      <c r="K1737" s="450"/>
      <c r="L1737" s="443"/>
      <c r="M1737" s="450"/>
      <c r="N1737" s="452">
        <f t="array" ref="N1737">IFERROR(
  INDEX(
    'Valor Hora Real y Estimada'!$A$4:$Z$78,
    MATCH(TRIM(CLEAN(A1737)), 'Valor Hora Real y Estimada'!$A$4:$A$78, 0),
    MATCH(
      TEXT(C1737,"dd mmm")&amp;" "&amp;D1737,
      'Valor Hora Real y Estimada'!$A$3:$Z$3,
      0
    ) + 1
  ),
  0
)</f>
        <v>0</v>
      </c>
      <c r="O1737" s="453"/>
      <c r="P1737" s="113"/>
      <c r="Q1737" s="106" t="str">
        <f>IF(ISBLANK(O1737), "", VLOOKUP(C1737&amp;" "&amp;D1737, 'Info Tipo de Cambio y REM'!$A$24:$B$35, 2, FALSE))</f>
        <v/>
      </c>
      <c r="R1737" s="107" t="str">
        <f t="shared" si="32"/>
        <v/>
      </c>
    </row>
    <row r="1738" hidden="1">
      <c r="A1738" s="443"/>
      <c r="B1738" s="43" t="str">
        <f>IF(A1738="", "", IFERROR(VLOOKUP(A1738, Clasificaciones!A:B, 2, FALSE), "DATO NO CARGADO"))
</f>
        <v/>
      </c>
      <c r="C1738" s="51"/>
      <c r="D1738" s="102"/>
      <c r="E1738" s="102"/>
      <c r="H1738" s="102"/>
      <c r="J1738" s="102"/>
      <c r="K1738" s="450"/>
      <c r="L1738" s="443"/>
      <c r="M1738" s="450"/>
      <c r="N1738" s="452">
        <f t="array" ref="N1738">IFERROR(
  INDEX(
    'Valor Hora Real y Estimada'!$A$4:$Z$78,
    MATCH(TRIM(CLEAN(A1738)), 'Valor Hora Real y Estimada'!$A$4:$A$78, 0),
    MATCH(
      TEXT(C1738,"dd mmm")&amp;" "&amp;D1738,
      'Valor Hora Real y Estimada'!$A$3:$Z$3,
      0
    ) + 1
  ),
  0
)</f>
        <v>0</v>
      </c>
      <c r="O1738" s="453"/>
      <c r="P1738" s="113"/>
      <c r="Q1738" s="106" t="str">
        <f>IF(ISBLANK(O1738), "", VLOOKUP(C1738&amp;" "&amp;D1738, 'Info Tipo de Cambio y REM'!$A$24:$B$35, 2, FALSE))</f>
        <v/>
      </c>
      <c r="R1738" s="107" t="str">
        <f t="shared" si="32"/>
        <v/>
      </c>
    </row>
    <row r="1739" hidden="1">
      <c r="A1739" s="443"/>
      <c r="B1739" s="43" t="str">
        <f>IF(A1739="", "", IFERROR(VLOOKUP(A1739, Clasificaciones!A:B, 2, FALSE), "DATO NO CARGADO"))
</f>
        <v/>
      </c>
      <c r="C1739" s="51"/>
      <c r="D1739" s="102"/>
      <c r="E1739" s="102"/>
      <c r="H1739" s="102"/>
      <c r="J1739" s="102"/>
      <c r="K1739" s="450"/>
      <c r="L1739" s="443"/>
      <c r="M1739" s="450"/>
      <c r="N1739" s="452">
        <f t="array" ref="N1739">IFERROR(
  INDEX(
    'Valor Hora Real y Estimada'!$A$4:$Z$78,
    MATCH(TRIM(CLEAN(A1739)), 'Valor Hora Real y Estimada'!$A$4:$A$78, 0),
    MATCH(
      TEXT(C1739,"dd mmm")&amp;" "&amp;D1739,
      'Valor Hora Real y Estimada'!$A$3:$Z$3,
      0
    ) + 1
  ),
  0
)</f>
        <v>0</v>
      </c>
      <c r="O1739" s="453"/>
      <c r="P1739" s="113"/>
      <c r="Q1739" s="106" t="str">
        <f>IF(ISBLANK(O1739), "", VLOOKUP(C1739&amp;" "&amp;D1739, 'Info Tipo de Cambio y REM'!$A$24:$B$35, 2, FALSE))</f>
        <v/>
      </c>
      <c r="R1739" s="107" t="str">
        <f t="shared" si="32"/>
        <v/>
      </c>
    </row>
    <row r="1740" hidden="1">
      <c r="A1740" s="443"/>
      <c r="B1740" s="43" t="str">
        <f>IF(A1740="", "", IFERROR(VLOOKUP(A1740, Clasificaciones!A:B, 2, FALSE), "DATO NO CARGADO"))
</f>
        <v/>
      </c>
      <c r="C1740" s="51"/>
      <c r="D1740" s="102"/>
      <c r="E1740" s="102"/>
      <c r="H1740" s="102"/>
      <c r="J1740" s="102"/>
      <c r="K1740" s="450"/>
      <c r="L1740" s="443"/>
      <c r="M1740" s="450"/>
      <c r="N1740" s="452">
        <f t="array" ref="N1740">IFERROR(
  INDEX(
    'Valor Hora Real y Estimada'!$A$4:$Z$78,
    MATCH(TRIM(CLEAN(A1740)), 'Valor Hora Real y Estimada'!$A$4:$A$78, 0),
    MATCH(
      TEXT(C1740,"dd mmm")&amp;" "&amp;D1740,
      'Valor Hora Real y Estimada'!$A$3:$Z$3,
      0
    ) + 1
  ),
  0
)</f>
        <v>0</v>
      </c>
      <c r="O1740" s="453"/>
      <c r="P1740" s="113"/>
      <c r="Q1740" s="106" t="str">
        <f>IF(ISBLANK(O1740), "", VLOOKUP(C1740&amp;" "&amp;D1740, 'Info Tipo de Cambio y REM'!$A$24:$B$35, 2, FALSE))</f>
        <v/>
      </c>
      <c r="R1740" s="107" t="str">
        <f t="shared" si="32"/>
        <v/>
      </c>
    </row>
    <row r="1741" hidden="1">
      <c r="A1741" s="443"/>
      <c r="B1741" s="43" t="str">
        <f>IF(A1741="", "", IFERROR(VLOOKUP(A1741, Clasificaciones!A:B, 2, FALSE), "DATO NO CARGADO"))
</f>
        <v/>
      </c>
      <c r="C1741" s="51"/>
      <c r="D1741" s="102"/>
      <c r="E1741" s="102"/>
      <c r="H1741" s="102"/>
      <c r="J1741" s="102"/>
      <c r="K1741" s="450"/>
      <c r="L1741" s="443"/>
      <c r="M1741" s="450"/>
      <c r="N1741" s="452">
        <f t="array" ref="N1741">IFERROR(
  INDEX(
    'Valor Hora Real y Estimada'!$A$4:$Z$78,
    MATCH(TRIM(CLEAN(A1741)), 'Valor Hora Real y Estimada'!$A$4:$A$78, 0),
    MATCH(
      TEXT(C1741,"dd mmm")&amp;" "&amp;D1741,
      'Valor Hora Real y Estimada'!$A$3:$Z$3,
      0
    ) + 1
  ),
  0
)</f>
        <v>0</v>
      </c>
      <c r="O1741" s="453"/>
      <c r="P1741" s="113"/>
      <c r="Q1741" s="106" t="str">
        <f>IF(ISBLANK(O1741), "", VLOOKUP(C1741&amp;" "&amp;D1741, 'Info Tipo de Cambio y REM'!$A$24:$B$35, 2, FALSE))</f>
        <v/>
      </c>
      <c r="R1741" s="107" t="str">
        <f t="shared" si="32"/>
        <v/>
      </c>
    </row>
    <row r="1742" hidden="1">
      <c r="A1742" s="443"/>
      <c r="B1742" s="43" t="str">
        <f>IF(A1742="", "", IFERROR(VLOOKUP(A1742, Clasificaciones!A:B, 2, FALSE), "DATO NO CARGADO"))
</f>
        <v/>
      </c>
      <c r="C1742" s="51"/>
      <c r="D1742" s="102"/>
      <c r="E1742" s="102"/>
      <c r="H1742" s="102"/>
      <c r="J1742" s="102"/>
      <c r="K1742" s="450"/>
      <c r="L1742" s="443"/>
      <c r="M1742" s="450"/>
      <c r="N1742" s="452">
        <f t="array" ref="N1742">IFERROR(
  INDEX(
    'Valor Hora Real y Estimada'!$A$4:$Z$78,
    MATCH(TRIM(CLEAN(A1742)), 'Valor Hora Real y Estimada'!$A$4:$A$78, 0),
    MATCH(
      TEXT(C1742,"dd mmm")&amp;" "&amp;D1742,
      'Valor Hora Real y Estimada'!$A$3:$Z$3,
      0
    ) + 1
  ),
  0
)</f>
        <v>0</v>
      </c>
      <c r="O1742" s="453"/>
      <c r="P1742" s="113"/>
      <c r="Q1742" s="106" t="str">
        <f>IF(ISBLANK(O1742), "", VLOOKUP(C1742&amp;" "&amp;D1742, 'Info Tipo de Cambio y REM'!$A$24:$B$35, 2, FALSE))</f>
        <v/>
      </c>
      <c r="R1742" s="107" t="str">
        <f t="shared" si="32"/>
        <v/>
      </c>
    </row>
    <row r="1743" hidden="1">
      <c r="A1743" s="443"/>
      <c r="B1743" s="43" t="str">
        <f>IF(A1743="", "", IFERROR(VLOOKUP(A1743, Clasificaciones!A:B, 2, FALSE), "DATO NO CARGADO"))
</f>
        <v/>
      </c>
      <c r="C1743" s="51"/>
      <c r="D1743" s="102"/>
      <c r="E1743" s="102"/>
      <c r="H1743" s="102"/>
      <c r="J1743" s="102"/>
      <c r="K1743" s="450"/>
      <c r="L1743" s="443"/>
      <c r="M1743" s="450"/>
      <c r="N1743" s="452">
        <f t="array" ref="N1743">IFERROR(
  INDEX(
    'Valor Hora Real y Estimada'!$A$4:$Z$78,
    MATCH(TRIM(CLEAN(A1743)), 'Valor Hora Real y Estimada'!$A$4:$A$78, 0),
    MATCH(
      TEXT(C1743,"dd mmm")&amp;" "&amp;D1743,
      'Valor Hora Real y Estimada'!$A$3:$Z$3,
      0
    ) + 1
  ),
  0
)</f>
        <v>0</v>
      </c>
      <c r="O1743" s="453"/>
      <c r="P1743" s="113"/>
      <c r="Q1743" s="106" t="str">
        <f>IF(ISBLANK(O1743), "", VLOOKUP(C1743&amp;" "&amp;D1743, 'Info Tipo de Cambio y REM'!$A$24:$B$35, 2, FALSE))</f>
        <v/>
      </c>
      <c r="R1743" s="107" t="str">
        <f t="shared" si="32"/>
        <v/>
      </c>
    </row>
    <row r="1744" hidden="1">
      <c r="A1744" s="443"/>
      <c r="B1744" s="43" t="str">
        <f>IF(A1744="", "", IFERROR(VLOOKUP(A1744, Clasificaciones!A:B, 2, FALSE), "DATO NO CARGADO"))
</f>
        <v/>
      </c>
      <c r="C1744" s="51"/>
      <c r="D1744" s="102"/>
      <c r="E1744" s="102"/>
      <c r="H1744" s="102"/>
      <c r="J1744" s="102"/>
      <c r="K1744" s="450"/>
      <c r="L1744" s="443"/>
      <c r="M1744" s="450"/>
      <c r="N1744" s="452">
        <f t="array" ref="N1744">IFERROR(
  INDEX(
    'Valor Hora Real y Estimada'!$A$4:$Z$78,
    MATCH(TRIM(CLEAN(A1744)), 'Valor Hora Real y Estimada'!$A$4:$A$78, 0),
    MATCH(
      TEXT(C1744,"dd mmm")&amp;" "&amp;D1744,
      'Valor Hora Real y Estimada'!$A$3:$Z$3,
      0
    ) + 1
  ),
  0
)</f>
        <v>0</v>
      </c>
      <c r="O1744" s="453"/>
      <c r="P1744" s="113"/>
      <c r="Q1744" s="106" t="str">
        <f>IF(ISBLANK(O1744), "", VLOOKUP(C1744&amp;" "&amp;D1744, 'Info Tipo de Cambio y REM'!$A$24:$B$35, 2, FALSE))</f>
        <v/>
      </c>
      <c r="R1744" s="107" t="str">
        <f t="shared" si="32"/>
        <v/>
      </c>
    </row>
    <row r="1745" hidden="1">
      <c r="A1745" s="443"/>
      <c r="B1745" s="43" t="str">
        <f>IF(A1745="", "", IFERROR(VLOOKUP(A1745, Clasificaciones!A:B, 2, FALSE), "DATO NO CARGADO"))
</f>
        <v/>
      </c>
      <c r="C1745" s="51"/>
      <c r="D1745" s="102"/>
      <c r="E1745" s="102"/>
      <c r="H1745" s="102"/>
      <c r="J1745" s="102"/>
      <c r="K1745" s="450"/>
      <c r="L1745" s="443"/>
      <c r="M1745" s="450"/>
      <c r="N1745" s="452">
        <f t="array" ref="N1745">IFERROR(
  INDEX(
    'Valor Hora Real y Estimada'!$A$4:$Z$78,
    MATCH(TRIM(CLEAN(A1745)), 'Valor Hora Real y Estimada'!$A$4:$A$78, 0),
    MATCH(
      TEXT(C1745,"dd mmm")&amp;" "&amp;D1745,
      'Valor Hora Real y Estimada'!$A$3:$Z$3,
      0
    ) + 1
  ),
  0
)</f>
        <v>0</v>
      </c>
      <c r="O1745" s="453"/>
      <c r="P1745" s="113"/>
      <c r="Q1745" s="106" t="str">
        <f>IF(ISBLANK(O1745), "", VLOOKUP(C1745&amp;" "&amp;D1745, 'Info Tipo de Cambio y REM'!$A$24:$B$35, 2, FALSE))</f>
        <v/>
      </c>
      <c r="R1745" s="107" t="str">
        <f t="shared" si="32"/>
        <v/>
      </c>
    </row>
    <row r="1746" hidden="1">
      <c r="A1746" s="443"/>
      <c r="B1746" s="43" t="str">
        <f>IF(A1746="", "", IFERROR(VLOOKUP(A1746, Clasificaciones!A:B, 2, FALSE), "DATO NO CARGADO"))
</f>
        <v/>
      </c>
      <c r="C1746" s="51"/>
      <c r="D1746" s="102"/>
      <c r="E1746" s="102"/>
      <c r="H1746" s="102"/>
      <c r="J1746" s="102"/>
      <c r="K1746" s="450"/>
      <c r="L1746" s="443"/>
      <c r="M1746" s="450"/>
      <c r="N1746" s="452">
        <f t="array" ref="N1746">IFERROR(
  INDEX(
    'Valor Hora Real y Estimada'!$A$4:$Z$78,
    MATCH(TRIM(CLEAN(A1746)), 'Valor Hora Real y Estimada'!$A$4:$A$78, 0),
    MATCH(
      TEXT(C1746,"dd mmm")&amp;" "&amp;D1746,
      'Valor Hora Real y Estimada'!$A$3:$Z$3,
      0
    ) + 1
  ),
  0
)</f>
        <v>0</v>
      </c>
      <c r="O1746" s="453"/>
      <c r="P1746" s="113"/>
      <c r="Q1746" s="106" t="str">
        <f>IF(ISBLANK(O1746), "", VLOOKUP(C1746&amp;" "&amp;D1746, 'Info Tipo de Cambio y REM'!$A$24:$B$35, 2, FALSE))</f>
        <v/>
      </c>
      <c r="R1746" s="107" t="str">
        <f t="shared" si="32"/>
        <v/>
      </c>
    </row>
    <row r="1747" hidden="1">
      <c r="A1747" s="443"/>
      <c r="B1747" s="43" t="str">
        <f>IF(A1747="", "", IFERROR(VLOOKUP(A1747, Clasificaciones!A:B, 2, FALSE), "DATO NO CARGADO"))
</f>
        <v/>
      </c>
      <c r="C1747" s="51"/>
      <c r="D1747" s="102"/>
      <c r="E1747" s="102"/>
      <c r="H1747" s="102"/>
      <c r="J1747" s="102"/>
      <c r="K1747" s="450"/>
      <c r="L1747" s="443"/>
      <c r="M1747" s="450"/>
      <c r="N1747" s="452">
        <f t="array" ref="N1747">IFERROR(
  INDEX(
    'Valor Hora Real y Estimada'!$A$4:$Z$78,
    MATCH(TRIM(CLEAN(A1747)), 'Valor Hora Real y Estimada'!$A$4:$A$78, 0),
    MATCH(
      TEXT(C1747,"dd mmm")&amp;" "&amp;D1747,
      'Valor Hora Real y Estimada'!$A$3:$Z$3,
      0
    ) + 1
  ),
  0
)</f>
        <v>0</v>
      </c>
      <c r="O1747" s="453"/>
      <c r="P1747" s="113"/>
      <c r="Q1747" s="106" t="str">
        <f>IF(ISBLANK(O1747), "", VLOOKUP(C1747&amp;" "&amp;D1747, 'Info Tipo de Cambio y REM'!$A$24:$B$35, 2, FALSE))</f>
        <v/>
      </c>
      <c r="R1747" s="107" t="str">
        <f t="shared" si="32"/>
        <v/>
      </c>
    </row>
    <row r="1748" hidden="1">
      <c r="A1748" s="443"/>
      <c r="B1748" s="43" t="str">
        <f>IF(A1748="", "", IFERROR(VLOOKUP(A1748, Clasificaciones!A:B, 2, FALSE), "DATO NO CARGADO"))
</f>
        <v/>
      </c>
      <c r="C1748" s="51"/>
      <c r="D1748" s="102"/>
      <c r="E1748" s="102"/>
      <c r="H1748" s="102"/>
      <c r="J1748" s="102"/>
      <c r="K1748" s="450"/>
      <c r="L1748" s="443"/>
      <c r="M1748" s="450"/>
      <c r="N1748" s="452">
        <f t="array" ref="N1748">IFERROR(
  INDEX(
    'Valor Hora Real y Estimada'!$A$4:$Z$78,
    MATCH(TRIM(CLEAN(A1748)), 'Valor Hora Real y Estimada'!$A$4:$A$78, 0),
    MATCH(
      TEXT(C1748,"dd mmm")&amp;" "&amp;D1748,
      'Valor Hora Real y Estimada'!$A$3:$Z$3,
      0
    ) + 1
  ),
  0
)</f>
        <v>0</v>
      </c>
      <c r="O1748" s="453"/>
      <c r="P1748" s="113"/>
      <c r="Q1748" s="106" t="str">
        <f>IF(ISBLANK(O1748), "", VLOOKUP(C1748&amp;" "&amp;D1748, 'Info Tipo de Cambio y REM'!$A$24:$B$35, 2, FALSE))</f>
        <v/>
      </c>
      <c r="R1748" s="107" t="str">
        <f t="shared" si="32"/>
        <v/>
      </c>
    </row>
    <row r="1749" hidden="1">
      <c r="A1749" s="443"/>
      <c r="B1749" s="43" t="str">
        <f>IF(A1749="", "", IFERROR(VLOOKUP(A1749, Clasificaciones!A:B, 2, FALSE), "DATO NO CARGADO"))
</f>
        <v/>
      </c>
      <c r="C1749" s="51"/>
      <c r="D1749" s="102"/>
      <c r="E1749" s="102"/>
      <c r="H1749" s="102"/>
      <c r="J1749" s="102"/>
      <c r="K1749" s="450"/>
      <c r="L1749" s="443"/>
      <c r="M1749" s="450"/>
      <c r="N1749" s="452">
        <f t="array" ref="N1749">IFERROR(
  INDEX(
    'Valor Hora Real y Estimada'!$A$4:$Z$78,
    MATCH(TRIM(CLEAN(A1749)), 'Valor Hora Real y Estimada'!$A$4:$A$78, 0),
    MATCH(
      TEXT(C1749,"dd mmm")&amp;" "&amp;D1749,
      'Valor Hora Real y Estimada'!$A$3:$Z$3,
      0
    ) + 1
  ),
  0
)</f>
        <v>0</v>
      </c>
      <c r="O1749" s="453"/>
      <c r="P1749" s="113"/>
      <c r="Q1749" s="106" t="str">
        <f>IF(ISBLANK(O1749), "", VLOOKUP(C1749&amp;" "&amp;D1749, 'Info Tipo de Cambio y REM'!$A$24:$B$35, 2, FALSE))</f>
        <v/>
      </c>
      <c r="R1749" s="107" t="str">
        <f t="shared" si="32"/>
        <v/>
      </c>
    </row>
    <row r="1750" hidden="1">
      <c r="A1750" s="443"/>
      <c r="B1750" s="43" t="str">
        <f>IF(A1750="", "", IFERROR(VLOOKUP(A1750, Clasificaciones!A:B, 2, FALSE), "DATO NO CARGADO"))
</f>
        <v/>
      </c>
      <c r="C1750" s="51"/>
      <c r="D1750" s="102"/>
      <c r="E1750" s="102"/>
      <c r="H1750" s="102"/>
      <c r="J1750" s="102"/>
      <c r="K1750" s="450"/>
      <c r="L1750" s="443"/>
      <c r="M1750" s="450"/>
      <c r="N1750" s="452">
        <f t="array" ref="N1750">IFERROR(
  INDEX(
    'Valor Hora Real y Estimada'!$A$4:$Z$78,
    MATCH(TRIM(CLEAN(A1750)), 'Valor Hora Real y Estimada'!$A$4:$A$78, 0),
    MATCH(
      TEXT(C1750,"dd mmm")&amp;" "&amp;D1750,
      'Valor Hora Real y Estimada'!$A$3:$Z$3,
      0
    ) + 1
  ),
  0
)</f>
        <v>0</v>
      </c>
      <c r="O1750" s="453"/>
      <c r="P1750" s="113"/>
      <c r="Q1750" s="106" t="str">
        <f>IF(ISBLANK(O1750), "", VLOOKUP(C1750&amp;" "&amp;D1750, 'Info Tipo de Cambio y REM'!$A$24:$B$35, 2, FALSE))</f>
        <v/>
      </c>
      <c r="R1750" s="107" t="str">
        <f t="shared" si="32"/>
        <v/>
      </c>
    </row>
    <row r="1751" hidden="1">
      <c r="A1751" s="443"/>
      <c r="B1751" s="43" t="str">
        <f>IF(A1751="", "", IFERROR(VLOOKUP(A1751, Clasificaciones!A:B, 2, FALSE), "DATO NO CARGADO"))
</f>
        <v/>
      </c>
      <c r="C1751" s="51"/>
      <c r="D1751" s="102"/>
      <c r="E1751" s="102"/>
      <c r="H1751" s="102"/>
      <c r="J1751" s="102"/>
      <c r="K1751" s="450"/>
      <c r="L1751" s="443"/>
      <c r="M1751" s="450"/>
      <c r="N1751" s="452">
        <f t="array" ref="N1751">IFERROR(
  INDEX(
    'Valor Hora Real y Estimada'!$A$4:$Z$78,
    MATCH(TRIM(CLEAN(A1751)), 'Valor Hora Real y Estimada'!$A$4:$A$78, 0),
    MATCH(
      TEXT(C1751,"dd mmm")&amp;" "&amp;D1751,
      'Valor Hora Real y Estimada'!$A$3:$Z$3,
      0
    ) + 1
  ),
  0
)</f>
        <v>0</v>
      </c>
      <c r="O1751" s="453"/>
      <c r="P1751" s="113"/>
      <c r="Q1751" s="106" t="str">
        <f>IF(ISBLANK(O1751), "", VLOOKUP(C1751&amp;" "&amp;D1751, 'Info Tipo de Cambio y REM'!$A$24:$B$35, 2, FALSE))</f>
        <v/>
      </c>
      <c r="R1751" s="107" t="str">
        <f t="shared" si="32"/>
        <v/>
      </c>
    </row>
    <row r="1752" hidden="1">
      <c r="A1752" s="443"/>
      <c r="B1752" s="43" t="str">
        <f>IF(A1752="", "", IFERROR(VLOOKUP(A1752, Clasificaciones!A:B, 2, FALSE), "DATO NO CARGADO"))
</f>
        <v/>
      </c>
      <c r="C1752" s="51"/>
      <c r="D1752" s="102"/>
      <c r="E1752" s="102"/>
      <c r="H1752" s="102"/>
      <c r="J1752" s="102"/>
      <c r="K1752" s="450"/>
      <c r="L1752" s="443"/>
      <c r="M1752" s="450"/>
      <c r="N1752" s="452">
        <f t="array" ref="N1752">IFERROR(
  INDEX(
    'Valor Hora Real y Estimada'!$A$4:$Z$78,
    MATCH(TRIM(CLEAN(A1752)), 'Valor Hora Real y Estimada'!$A$4:$A$78, 0),
    MATCH(
      TEXT(C1752,"dd mmm")&amp;" "&amp;D1752,
      'Valor Hora Real y Estimada'!$A$3:$Z$3,
      0
    ) + 1
  ),
  0
)</f>
        <v>0</v>
      </c>
      <c r="O1752" s="453"/>
      <c r="P1752" s="113"/>
      <c r="Q1752" s="106" t="str">
        <f>IF(ISBLANK(O1752), "", VLOOKUP(C1752&amp;" "&amp;D1752, 'Info Tipo de Cambio y REM'!$A$24:$B$35, 2, FALSE))</f>
        <v/>
      </c>
      <c r="R1752" s="107" t="str">
        <f t="shared" si="32"/>
        <v/>
      </c>
    </row>
    <row r="1753" hidden="1">
      <c r="A1753" s="443"/>
      <c r="B1753" s="43" t="str">
        <f>IF(A1753="", "", IFERROR(VLOOKUP(A1753, Clasificaciones!A:B, 2, FALSE), "DATO NO CARGADO"))
</f>
        <v/>
      </c>
      <c r="C1753" s="51"/>
      <c r="D1753" s="102"/>
      <c r="E1753" s="102"/>
      <c r="H1753" s="102"/>
      <c r="J1753" s="102"/>
      <c r="K1753" s="450"/>
      <c r="L1753" s="443"/>
      <c r="M1753" s="450"/>
      <c r="N1753" s="452">
        <f t="array" ref="N1753">IFERROR(
  INDEX(
    'Valor Hora Real y Estimada'!$A$4:$Z$78,
    MATCH(TRIM(CLEAN(A1753)), 'Valor Hora Real y Estimada'!$A$4:$A$78, 0),
    MATCH(
      TEXT(C1753,"dd mmm")&amp;" "&amp;D1753,
      'Valor Hora Real y Estimada'!$A$3:$Z$3,
      0
    ) + 1
  ),
  0
)</f>
        <v>0</v>
      </c>
      <c r="O1753" s="453"/>
      <c r="P1753" s="113"/>
      <c r="Q1753" s="106" t="str">
        <f>IF(ISBLANK(O1753), "", VLOOKUP(C1753&amp;" "&amp;D1753, 'Info Tipo de Cambio y REM'!$A$24:$B$35, 2, FALSE))</f>
        <v/>
      </c>
      <c r="R1753" s="107" t="str">
        <f t="shared" si="32"/>
        <v/>
      </c>
    </row>
    <row r="1754" hidden="1">
      <c r="A1754" s="443"/>
      <c r="B1754" s="43" t="str">
        <f>IF(A1754="", "", IFERROR(VLOOKUP(A1754, Clasificaciones!A:B, 2, FALSE), "DATO NO CARGADO"))
</f>
        <v/>
      </c>
      <c r="C1754" s="51"/>
      <c r="D1754" s="102"/>
      <c r="E1754" s="102"/>
      <c r="H1754" s="102"/>
      <c r="J1754" s="102"/>
      <c r="K1754" s="450"/>
      <c r="L1754" s="443"/>
      <c r="M1754" s="450"/>
      <c r="N1754" s="452">
        <f t="array" ref="N1754">IFERROR(
  INDEX(
    'Valor Hora Real y Estimada'!$A$4:$Z$78,
    MATCH(TRIM(CLEAN(A1754)), 'Valor Hora Real y Estimada'!$A$4:$A$78, 0),
    MATCH(
      TEXT(C1754,"dd mmm")&amp;" "&amp;D1754,
      'Valor Hora Real y Estimada'!$A$3:$Z$3,
      0
    ) + 1
  ),
  0
)</f>
        <v>0</v>
      </c>
      <c r="O1754" s="453"/>
      <c r="P1754" s="113"/>
      <c r="Q1754" s="106" t="str">
        <f>IF(ISBLANK(O1754), "", VLOOKUP(C1754&amp;" "&amp;D1754, 'Info Tipo de Cambio y REM'!$A$24:$B$35, 2, FALSE))</f>
        <v/>
      </c>
      <c r="R1754" s="107" t="str">
        <f t="shared" si="32"/>
        <v/>
      </c>
    </row>
    <row r="1755" hidden="1">
      <c r="A1755" s="443"/>
      <c r="B1755" s="43" t="str">
        <f>IF(A1755="", "", IFERROR(VLOOKUP(A1755, Clasificaciones!A:B, 2, FALSE), "DATO NO CARGADO"))
</f>
        <v/>
      </c>
      <c r="C1755" s="51"/>
      <c r="D1755" s="102"/>
      <c r="E1755" s="102"/>
      <c r="H1755" s="102"/>
      <c r="J1755" s="102"/>
      <c r="K1755" s="450"/>
      <c r="L1755" s="443"/>
      <c r="M1755" s="450"/>
      <c r="N1755" s="452">
        <f t="array" ref="N1755">IFERROR(
  INDEX(
    'Valor Hora Real y Estimada'!$A$4:$Z$78,
    MATCH(TRIM(CLEAN(A1755)), 'Valor Hora Real y Estimada'!$A$4:$A$78, 0),
    MATCH(
      TEXT(C1755,"dd mmm")&amp;" "&amp;D1755,
      'Valor Hora Real y Estimada'!$A$3:$Z$3,
      0
    ) + 1
  ),
  0
)</f>
        <v>0</v>
      </c>
      <c r="O1755" s="453"/>
      <c r="P1755" s="113"/>
      <c r="Q1755" s="106" t="str">
        <f>IF(ISBLANK(O1755), "", VLOOKUP(C1755&amp;" "&amp;D1755, 'Info Tipo de Cambio y REM'!$A$24:$B$35, 2, FALSE))</f>
        <v/>
      </c>
      <c r="R1755" s="107" t="str">
        <f t="shared" si="32"/>
        <v/>
      </c>
    </row>
    <row r="1756" hidden="1">
      <c r="A1756" s="443"/>
      <c r="B1756" s="43" t="str">
        <f>IF(A1756="", "", IFERROR(VLOOKUP(A1756, Clasificaciones!A:B, 2, FALSE), "DATO NO CARGADO"))
</f>
        <v/>
      </c>
      <c r="C1756" s="51"/>
      <c r="D1756" s="102"/>
      <c r="E1756" s="102"/>
      <c r="H1756" s="102"/>
      <c r="J1756" s="102"/>
      <c r="K1756" s="450"/>
      <c r="L1756" s="443"/>
      <c r="M1756" s="450"/>
      <c r="N1756" s="452">
        <f t="array" ref="N1756">IFERROR(
  INDEX(
    'Valor Hora Real y Estimada'!$A$4:$Z$78,
    MATCH(TRIM(CLEAN(A1756)), 'Valor Hora Real y Estimada'!$A$4:$A$78, 0),
    MATCH(
      TEXT(C1756,"dd mmm")&amp;" "&amp;D1756,
      'Valor Hora Real y Estimada'!$A$3:$Z$3,
      0
    ) + 1
  ),
  0
)</f>
        <v>0</v>
      </c>
      <c r="O1756" s="453"/>
      <c r="P1756" s="113"/>
      <c r="Q1756" s="106" t="str">
        <f>IF(ISBLANK(O1756), "", VLOOKUP(C1756&amp;" "&amp;D1756, 'Info Tipo de Cambio y REM'!$A$24:$B$35, 2, FALSE))</f>
        <v/>
      </c>
      <c r="R1756" s="107" t="str">
        <f t="shared" si="32"/>
        <v/>
      </c>
    </row>
    <row r="1757" hidden="1">
      <c r="A1757" s="443"/>
      <c r="B1757" s="43" t="str">
        <f>IF(A1757="", "", IFERROR(VLOOKUP(A1757, Clasificaciones!A:B, 2, FALSE), "DATO NO CARGADO"))
</f>
        <v/>
      </c>
      <c r="C1757" s="51"/>
      <c r="D1757" s="102"/>
      <c r="E1757" s="102"/>
      <c r="H1757" s="102"/>
      <c r="J1757" s="102"/>
      <c r="K1757" s="450"/>
      <c r="L1757" s="443"/>
      <c r="M1757" s="450"/>
      <c r="N1757" s="452">
        <f t="array" ref="N1757">IFERROR(
  INDEX(
    'Valor Hora Real y Estimada'!$A$4:$Z$78,
    MATCH(TRIM(CLEAN(A1757)), 'Valor Hora Real y Estimada'!$A$4:$A$78, 0),
    MATCH(
      TEXT(C1757,"dd mmm")&amp;" "&amp;D1757,
      'Valor Hora Real y Estimada'!$A$3:$Z$3,
      0
    ) + 1
  ),
  0
)</f>
        <v>0</v>
      </c>
      <c r="O1757" s="453"/>
      <c r="P1757" s="113"/>
      <c r="Q1757" s="106" t="str">
        <f>IF(ISBLANK(O1757), "", VLOOKUP(C1757&amp;" "&amp;D1757, 'Info Tipo de Cambio y REM'!$A$24:$B$35, 2, FALSE))</f>
        <v/>
      </c>
      <c r="R1757" s="107" t="str">
        <f t="shared" si="32"/>
        <v/>
      </c>
    </row>
    <row r="1758" hidden="1">
      <c r="A1758" s="443"/>
      <c r="B1758" s="43" t="str">
        <f>IF(A1758="", "", IFERROR(VLOOKUP(A1758, Clasificaciones!A:B, 2, FALSE), "DATO NO CARGADO"))
</f>
        <v/>
      </c>
      <c r="C1758" s="51"/>
      <c r="D1758" s="102"/>
      <c r="E1758" s="102"/>
      <c r="H1758" s="102"/>
      <c r="J1758" s="102"/>
      <c r="K1758" s="450"/>
      <c r="L1758" s="443"/>
      <c r="M1758" s="450"/>
      <c r="N1758" s="452">
        <f t="array" ref="N1758">IFERROR(
  INDEX(
    'Valor Hora Real y Estimada'!$A$4:$Z$78,
    MATCH(TRIM(CLEAN(A1758)), 'Valor Hora Real y Estimada'!$A$4:$A$78, 0),
    MATCH(
      TEXT(C1758,"dd mmm")&amp;" "&amp;D1758,
      'Valor Hora Real y Estimada'!$A$3:$Z$3,
      0
    ) + 1
  ),
  0
)</f>
        <v>0</v>
      </c>
      <c r="O1758" s="453"/>
      <c r="P1758" s="113"/>
      <c r="Q1758" s="106" t="str">
        <f>IF(ISBLANK(O1758), "", VLOOKUP(C1758&amp;" "&amp;D1758, 'Info Tipo de Cambio y REM'!$A$24:$B$35, 2, FALSE))</f>
        <v/>
      </c>
      <c r="R1758" s="107" t="str">
        <f t="shared" si="32"/>
        <v/>
      </c>
    </row>
    <row r="1759" hidden="1">
      <c r="A1759" s="443"/>
      <c r="B1759" s="43" t="str">
        <f>IF(A1759="", "", IFERROR(VLOOKUP(A1759, Clasificaciones!A:B, 2, FALSE), "DATO NO CARGADO"))
</f>
        <v/>
      </c>
      <c r="C1759" s="51"/>
      <c r="D1759" s="102"/>
      <c r="E1759" s="102"/>
      <c r="H1759" s="102"/>
      <c r="J1759" s="102"/>
      <c r="K1759" s="450"/>
      <c r="L1759" s="443"/>
      <c r="M1759" s="450"/>
      <c r="N1759" s="452">
        <f t="array" ref="N1759">IFERROR(
  INDEX(
    'Valor Hora Real y Estimada'!$A$4:$Z$78,
    MATCH(TRIM(CLEAN(A1759)), 'Valor Hora Real y Estimada'!$A$4:$A$78, 0),
    MATCH(
      TEXT(C1759,"dd mmm")&amp;" "&amp;D1759,
      'Valor Hora Real y Estimada'!$A$3:$Z$3,
      0
    ) + 1
  ),
  0
)</f>
        <v>0</v>
      </c>
      <c r="O1759" s="453"/>
      <c r="P1759" s="113"/>
      <c r="Q1759" s="106" t="str">
        <f>IF(ISBLANK(O1759), "", VLOOKUP(C1759&amp;" "&amp;D1759, 'Info Tipo de Cambio y REM'!$A$24:$B$35, 2, FALSE))</f>
        <v/>
      </c>
      <c r="R1759" s="107" t="str">
        <f t="shared" si="32"/>
        <v/>
      </c>
    </row>
    <row r="1760" hidden="1">
      <c r="A1760" s="443"/>
      <c r="B1760" s="43" t="str">
        <f>IF(A1760="", "", IFERROR(VLOOKUP(A1760, Clasificaciones!A:B, 2, FALSE), "DATO NO CARGADO"))
</f>
        <v/>
      </c>
      <c r="C1760" s="51"/>
      <c r="D1760" s="102"/>
      <c r="E1760" s="102"/>
      <c r="H1760" s="102"/>
      <c r="J1760" s="102"/>
      <c r="K1760" s="450"/>
      <c r="L1760" s="443"/>
      <c r="M1760" s="450"/>
      <c r="N1760" s="452">
        <f t="array" ref="N1760">IFERROR(
  INDEX(
    'Valor Hora Real y Estimada'!$A$4:$Z$78,
    MATCH(TRIM(CLEAN(A1760)), 'Valor Hora Real y Estimada'!$A$4:$A$78, 0),
    MATCH(
      TEXT(C1760,"dd mmm")&amp;" "&amp;D1760,
      'Valor Hora Real y Estimada'!$A$3:$Z$3,
      0
    ) + 1
  ),
  0
)</f>
        <v>0</v>
      </c>
      <c r="O1760" s="453"/>
      <c r="P1760" s="113"/>
      <c r="Q1760" s="106" t="str">
        <f>IF(ISBLANK(O1760), "", VLOOKUP(C1760&amp;" "&amp;D1760, 'Info Tipo de Cambio y REM'!$A$24:$B$35, 2, FALSE))</f>
        <v/>
      </c>
      <c r="R1760" s="107" t="str">
        <f t="shared" si="32"/>
        <v/>
      </c>
    </row>
    <row r="1761" hidden="1">
      <c r="A1761" s="443"/>
      <c r="B1761" s="43" t="str">
        <f>IF(A1761="", "", IFERROR(VLOOKUP(A1761, Clasificaciones!A:B, 2, FALSE), "DATO NO CARGADO"))
</f>
        <v/>
      </c>
      <c r="C1761" s="51"/>
      <c r="D1761" s="102"/>
      <c r="E1761" s="102"/>
      <c r="H1761" s="102"/>
      <c r="J1761" s="102"/>
      <c r="K1761" s="450"/>
      <c r="L1761" s="443"/>
      <c r="M1761" s="450"/>
      <c r="N1761" s="452">
        <f t="array" ref="N1761">IFERROR(
  INDEX(
    'Valor Hora Real y Estimada'!$A$4:$Z$78,
    MATCH(TRIM(CLEAN(A1761)), 'Valor Hora Real y Estimada'!$A$4:$A$78, 0),
    MATCH(
      TEXT(C1761,"dd mmm")&amp;" "&amp;D1761,
      'Valor Hora Real y Estimada'!$A$3:$Z$3,
      0
    ) + 1
  ),
  0
)</f>
        <v>0</v>
      </c>
      <c r="O1761" s="453"/>
      <c r="P1761" s="113"/>
      <c r="Q1761" s="106" t="str">
        <f>IF(ISBLANK(O1761), "", VLOOKUP(C1761&amp;" "&amp;D1761, 'Info Tipo de Cambio y REM'!$A$24:$B$35, 2, FALSE))</f>
        <v/>
      </c>
      <c r="R1761" s="107" t="str">
        <f t="shared" si="32"/>
        <v/>
      </c>
    </row>
    <row r="1762" hidden="1">
      <c r="A1762" s="443"/>
      <c r="B1762" s="43" t="str">
        <f>IF(A1762="", "", IFERROR(VLOOKUP(A1762, Clasificaciones!A:B, 2, FALSE), "DATO NO CARGADO"))
</f>
        <v/>
      </c>
      <c r="C1762" s="51"/>
      <c r="D1762" s="102"/>
      <c r="E1762" s="102"/>
      <c r="H1762" s="102"/>
      <c r="J1762" s="102"/>
      <c r="K1762" s="450"/>
      <c r="L1762" s="443"/>
      <c r="M1762" s="450"/>
      <c r="N1762" s="452">
        <f t="array" ref="N1762">IFERROR(
  INDEX(
    'Valor Hora Real y Estimada'!$A$4:$Z$78,
    MATCH(TRIM(CLEAN(A1762)), 'Valor Hora Real y Estimada'!$A$4:$A$78, 0),
    MATCH(
      TEXT(C1762,"dd mmm")&amp;" "&amp;D1762,
      'Valor Hora Real y Estimada'!$A$3:$Z$3,
      0
    ) + 1
  ),
  0
)</f>
        <v>0</v>
      </c>
      <c r="O1762" s="453"/>
      <c r="P1762" s="113"/>
      <c r="Q1762" s="106" t="str">
        <f>IF(ISBLANK(O1762), "", VLOOKUP(C1762&amp;" "&amp;D1762, 'Info Tipo de Cambio y REM'!$A$24:$B$35, 2, FALSE))</f>
        <v/>
      </c>
      <c r="R1762" s="107" t="str">
        <f t="shared" si="32"/>
        <v/>
      </c>
    </row>
    <row r="1763" hidden="1">
      <c r="A1763" s="443"/>
      <c r="B1763" s="43" t="str">
        <f>IF(A1763="", "", IFERROR(VLOOKUP(A1763, Clasificaciones!A:B, 2, FALSE), "DATO NO CARGADO"))
</f>
        <v/>
      </c>
      <c r="C1763" s="51"/>
      <c r="D1763" s="102"/>
      <c r="E1763" s="102"/>
      <c r="H1763" s="102"/>
      <c r="J1763" s="102"/>
      <c r="K1763" s="450"/>
      <c r="L1763" s="443"/>
      <c r="M1763" s="450"/>
      <c r="N1763" s="452">
        <f t="array" ref="N1763">IFERROR(
  INDEX(
    'Valor Hora Real y Estimada'!$A$4:$Z$78,
    MATCH(TRIM(CLEAN(A1763)), 'Valor Hora Real y Estimada'!$A$4:$A$78, 0),
    MATCH(
      TEXT(C1763,"dd mmm")&amp;" "&amp;D1763,
      'Valor Hora Real y Estimada'!$A$3:$Z$3,
      0
    ) + 1
  ),
  0
)</f>
        <v>0</v>
      </c>
      <c r="O1763" s="453"/>
      <c r="P1763" s="113"/>
      <c r="Q1763" s="106" t="str">
        <f>IF(ISBLANK(O1763), "", VLOOKUP(C1763&amp;" "&amp;D1763, 'Info Tipo de Cambio y REM'!$A$24:$B$35, 2, FALSE))</f>
        <v/>
      </c>
      <c r="R1763" s="107" t="str">
        <f t="shared" si="32"/>
        <v/>
      </c>
    </row>
    <row r="1764" hidden="1">
      <c r="A1764" s="443"/>
      <c r="B1764" s="43" t="str">
        <f>IF(A1764="", "", IFERROR(VLOOKUP(A1764, Clasificaciones!A:B, 2, FALSE), "DATO NO CARGADO"))
</f>
        <v/>
      </c>
      <c r="C1764" s="51"/>
      <c r="D1764" s="102"/>
      <c r="E1764" s="102"/>
      <c r="H1764" s="102"/>
      <c r="J1764" s="102"/>
      <c r="K1764" s="450"/>
      <c r="L1764" s="443"/>
      <c r="M1764" s="450"/>
      <c r="N1764" s="452">
        <f t="array" ref="N1764">IFERROR(
  INDEX(
    'Valor Hora Real y Estimada'!$A$4:$Z$78,
    MATCH(TRIM(CLEAN(A1764)), 'Valor Hora Real y Estimada'!$A$4:$A$78, 0),
    MATCH(
      TEXT(C1764,"dd mmm")&amp;" "&amp;D1764,
      'Valor Hora Real y Estimada'!$A$3:$Z$3,
      0
    ) + 1
  ),
  0
)</f>
        <v>0</v>
      </c>
      <c r="O1764" s="453"/>
      <c r="P1764" s="113"/>
      <c r="Q1764" s="106" t="str">
        <f>IF(ISBLANK(O1764), "", VLOOKUP(C1764&amp;" "&amp;D1764, 'Info Tipo de Cambio y REM'!$A$24:$B$35, 2, FALSE))</f>
        <v/>
      </c>
      <c r="R1764" s="107" t="str">
        <f t="shared" si="32"/>
        <v/>
      </c>
    </row>
    <row r="1765" hidden="1">
      <c r="A1765" s="443"/>
      <c r="B1765" s="43" t="str">
        <f>IF(A1765="", "", IFERROR(VLOOKUP(A1765, Clasificaciones!A:B, 2, FALSE), "DATO NO CARGADO"))
</f>
        <v/>
      </c>
      <c r="C1765" s="51"/>
      <c r="D1765" s="102"/>
      <c r="E1765" s="102"/>
      <c r="H1765" s="102"/>
      <c r="J1765" s="102"/>
      <c r="K1765" s="450"/>
      <c r="L1765" s="443"/>
      <c r="M1765" s="450"/>
      <c r="N1765" s="452">
        <f t="array" ref="N1765">IFERROR(
  INDEX(
    'Valor Hora Real y Estimada'!$A$4:$Z$78,
    MATCH(TRIM(CLEAN(A1765)), 'Valor Hora Real y Estimada'!$A$4:$A$78, 0),
    MATCH(
      TEXT(C1765,"dd mmm")&amp;" "&amp;D1765,
      'Valor Hora Real y Estimada'!$A$3:$Z$3,
      0
    ) + 1
  ),
  0
)</f>
        <v>0</v>
      </c>
      <c r="O1765" s="453"/>
      <c r="P1765" s="113"/>
      <c r="Q1765" s="106" t="str">
        <f>IF(ISBLANK(O1765), "", VLOOKUP(C1765&amp;" "&amp;D1765, 'Info Tipo de Cambio y REM'!$A$24:$B$35, 2, FALSE))</f>
        <v/>
      </c>
      <c r="R1765" s="107" t="str">
        <f t="shared" si="32"/>
        <v/>
      </c>
    </row>
    <row r="1766" hidden="1">
      <c r="A1766" s="443"/>
      <c r="B1766" s="43" t="str">
        <f>IF(A1766="", "", IFERROR(VLOOKUP(A1766, Clasificaciones!A:B, 2, FALSE), "DATO NO CARGADO"))
</f>
        <v/>
      </c>
      <c r="C1766" s="51"/>
      <c r="D1766" s="102"/>
      <c r="E1766" s="102"/>
      <c r="H1766" s="102"/>
      <c r="J1766" s="102"/>
      <c r="K1766" s="450"/>
      <c r="L1766" s="443"/>
      <c r="M1766" s="450"/>
      <c r="N1766" s="452">
        <f t="array" ref="N1766">IFERROR(
  INDEX(
    'Valor Hora Real y Estimada'!$A$4:$Z$78,
    MATCH(TRIM(CLEAN(A1766)), 'Valor Hora Real y Estimada'!$A$4:$A$78, 0),
    MATCH(
      TEXT(C1766,"dd mmm")&amp;" "&amp;D1766,
      'Valor Hora Real y Estimada'!$A$3:$Z$3,
      0
    ) + 1
  ),
  0
)</f>
        <v>0</v>
      </c>
      <c r="O1766" s="453"/>
      <c r="P1766" s="113"/>
      <c r="Q1766" s="106" t="str">
        <f>IF(ISBLANK(O1766), "", VLOOKUP(C1766&amp;" "&amp;D1766, 'Info Tipo de Cambio y REM'!$A$24:$B$35, 2, FALSE))</f>
        <v/>
      </c>
      <c r="R1766" s="107" t="str">
        <f t="shared" si="32"/>
        <v/>
      </c>
    </row>
    <row r="1767" hidden="1">
      <c r="A1767" s="443"/>
      <c r="B1767" s="43" t="str">
        <f>IF(A1767="", "", IFERROR(VLOOKUP(A1767, Clasificaciones!A:B, 2, FALSE), "DATO NO CARGADO"))
</f>
        <v/>
      </c>
      <c r="C1767" s="51"/>
      <c r="D1767" s="102"/>
      <c r="E1767" s="102"/>
      <c r="H1767" s="102"/>
      <c r="J1767" s="102"/>
      <c r="K1767" s="450"/>
      <c r="L1767" s="443"/>
      <c r="M1767" s="450"/>
      <c r="N1767" s="452">
        <f t="array" ref="N1767">IFERROR(
  INDEX(
    'Valor Hora Real y Estimada'!$A$4:$Z$78,
    MATCH(TRIM(CLEAN(A1767)), 'Valor Hora Real y Estimada'!$A$4:$A$78, 0),
    MATCH(
      TEXT(C1767,"dd mmm")&amp;" "&amp;D1767,
      'Valor Hora Real y Estimada'!$A$3:$Z$3,
      0
    ) + 1
  ),
  0
)</f>
        <v>0</v>
      </c>
      <c r="O1767" s="453"/>
      <c r="P1767" s="113"/>
      <c r="Q1767" s="106" t="str">
        <f>IF(ISBLANK(O1767), "", VLOOKUP(C1767&amp;" "&amp;D1767, 'Info Tipo de Cambio y REM'!$A$24:$B$35, 2, FALSE))</f>
        <v/>
      </c>
      <c r="R1767" s="107" t="str">
        <f t="shared" si="32"/>
        <v/>
      </c>
    </row>
    <row r="1768" hidden="1">
      <c r="A1768" s="443"/>
      <c r="B1768" s="43" t="str">
        <f>IF(A1768="", "", IFERROR(VLOOKUP(A1768, Clasificaciones!A:B, 2, FALSE), "DATO NO CARGADO"))
</f>
        <v/>
      </c>
      <c r="C1768" s="51"/>
      <c r="D1768" s="102"/>
      <c r="E1768" s="102"/>
      <c r="H1768" s="102"/>
      <c r="J1768" s="102"/>
      <c r="K1768" s="450"/>
      <c r="L1768" s="443"/>
      <c r="M1768" s="450"/>
      <c r="N1768" s="452">
        <f t="array" ref="N1768">IFERROR(
  INDEX(
    'Valor Hora Real y Estimada'!$A$4:$Z$78,
    MATCH(TRIM(CLEAN(A1768)), 'Valor Hora Real y Estimada'!$A$4:$A$78, 0),
    MATCH(
      TEXT(C1768,"dd mmm")&amp;" "&amp;D1768,
      'Valor Hora Real y Estimada'!$A$3:$Z$3,
      0
    ) + 1
  ),
  0
)</f>
        <v>0</v>
      </c>
      <c r="O1768" s="453"/>
      <c r="P1768" s="113"/>
      <c r="Q1768" s="106" t="str">
        <f>IF(ISBLANK(O1768), "", VLOOKUP(C1768&amp;" "&amp;D1768, 'Info Tipo de Cambio y REM'!$A$24:$B$35, 2, FALSE))</f>
        <v/>
      </c>
      <c r="R1768" s="107" t="str">
        <f t="shared" si="32"/>
        <v/>
      </c>
    </row>
    <row r="1769" hidden="1">
      <c r="A1769" s="443"/>
      <c r="B1769" s="43" t="str">
        <f>IF(A1769="", "", IFERROR(VLOOKUP(A1769, Clasificaciones!A:B, 2, FALSE), "DATO NO CARGADO"))
</f>
        <v/>
      </c>
      <c r="C1769" s="51"/>
      <c r="D1769" s="102"/>
      <c r="E1769" s="102"/>
      <c r="H1769" s="102"/>
      <c r="J1769" s="102"/>
      <c r="K1769" s="450"/>
      <c r="L1769" s="443"/>
      <c r="M1769" s="450"/>
      <c r="N1769" s="452">
        <f t="array" ref="N1769">IFERROR(
  INDEX(
    'Valor Hora Real y Estimada'!$A$4:$Z$78,
    MATCH(TRIM(CLEAN(A1769)), 'Valor Hora Real y Estimada'!$A$4:$A$78, 0),
    MATCH(
      TEXT(C1769,"dd mmm")&amp;" "&amp;D1769,
      'Valor Hora Real y Estimada'!$A$3:$Z$3,
      0
    ) + 1
  ),
  0
)</f>
        <v>0</v>
      </c>
      <c r="O1769" s="453"/>
      <c r="P1769" s="113"/>
      <c r="Q1769" s="106" t="str">
        <f>IF(ISBLANK(O1769), "", VLOOKUP(C1769&amp;" "&amp;D1769, 'Info Tipo de Cambio y REM'!$A$24:$B$35, 2, FALSE))</f>
        <v/>
      </c>
      <c r="R1769" s="107" t="str">
        <f t="shared" si="32"/>
        <v/>
      </c>
    </row>
    <row r="1770" hidden="1">
      <c r="A1770" s="443"/>
      <c r="B1770" s="43" t="str">
        <f>IF(A1770="", "", IFERROR(VLOOKUP(A1770, Clasificaciones!A:B, 2, FALSE), "DATO NO CARGADO"))
</f>
        <v/>
      </c>
      <c r="C1770" s="51"/>
      <c r="D1770" s="102"/>
      <c r="E1770" s="102"/>
      <c r="H1770" s="102"/>
      <c r="J1770" s="102"/>
      <c r="K1770" s="450"/>
      <c r="L1770" s="443"/>
      <c r="M1770" s="450"/>
      <c r="N1770" s="452">
        <f t="array" ref="N1770">IFERROR(
  INDEX(
    'Valor Hora Real y Estimada'!$A$4:$Z$78,
    MATCH(TRIM(CLEAN(A1770)), 'Valor Hora Real y Estimada'!$A$4:$A$78, 0),
    MATCH(
      TEXT(C1770,"dd mmm")&amp;" "&amp;D1770,
      'Valor Hora Real y Estimada'!$A$3:$Z$3,
      0
    ) + 1
  ),
  0
)</f>
        <v>0</v>
      </c>
      <c r="O1770" s="453"/>
      <c r="P1770" s="113"/>
      <c r="Q1770" s="106" t="str">
        <f>IF(ISBLANK(O1770), "", VLOOKUP(C1770&amp;" "&amp;D1770, 'Info Tipo de Cambio y REM'!$A$24:$B$35, 2, FALSE))</f>
        <v/>
      </c>
      <c r="R1770" s="107" t="str">
        <f t="shared" si="32"/>
        <v/>
      </c>
    </row>
    <row r="1771" hidden="1">
      <c r="A1771" s="443"/>
      <c r="B1771" s="43" t="str">
        <f>IF(A1771="", "", IFERROR(VLOOKUP(A1771, Clasificaciones!A:B, 2, FALSE), "DATO NO CARGADO"))
</f>
        <v/>
      </c>
      <c r="C1771" s="51"/>
      <c r="D1771" s="102"/>
      <c r="E1771" s="102"/>
      <c r="H1771" s="102"/>
      <c r="J1771" s="102"/>
      <c r="K1771" s="450"/>
      <c r="L1771" s="443"/>
      <c r="M1771" s="450"/>
      <c r="N1771" s="452">
        <f t="array" ref="N1771">IFERROR(
  INDEX(
    'Valor Hora Real y Estimada'!$A$4:$Z$78,
    MATCH(TRIM(CLEAN(A1771)), 'Valor Hora Real y Estimada'!$A$4:$A$78, 0),
    MATCH(
      TEXT(C1771,"dd mmm")&amp;" "&amp;D1771,
      'Valor Hora Real y Estimada'!$A$3:$Z$3,
      0
    ) + 1
  ),
  0
)</f>
        <v>0</v>
      </c>
      <c r="O1771" s="453"/>
      <c r="P1771" s="113"/>
      <c r="Q1771" s="106" t="str">
        <f>IF(ISBLANK(O1771), "", VLOOKUP(C1771&amp;" "&amp;D1771, 'Info Tipo de Cambio y REM'!$A$24:$B$35, 2, FALSE))</f>
        <v/>
      </c>
      <c r="R1771" s="107" t="str">
        <f t="shared" si="32"/>
        <v/>
      </c>
    </row>
    <row r="1772" hidden="1">
      <c r="A1772" s="443"/>
      <c r="B1772" s="43" t="str">
        <f>IF(A1772="", "", IFERROR(VLOOKUP(A1772, Clasificaciones!A:B, 2, FALSE), "DATO NO CARGADO"))
</f>
        <v/>
      </c>
      <c r="C1772" s="51"/>
      <c r="D1772" s="102"/>
      <c r="E1772" s="102"/>
      <c r="H1772" s="102"/>
      <c r="J1772" s="102"/>
      <c r="K1772" s="450"/>
      <c r="L1772" s="443"/>
      <c r="M1772" s="450"/>
      <c r="N1772" s="452">
        <f t="array" ref="N1772">IFERROR(
  INDEX(
    'Valor Hora Real y Estimada'!$A$4:$Z$78,
    MATCH(TRIM(CLEAN(A1772)), 'Valor Hora Real y Estimada'!$A$4:$A$78, 0),
    MATCH(
      TEXT(C1772,"dd mmm")&amp;" "&amp;D1772,
      'Valor Hora Real y Estimada'!$A$3:$Z$3,
      0
    ) + 1
  ),
  0
)</f>
        <v>0</v>
      </c>
      <c r="O1772" s="453"/>
      <c r="P1772" s="113"/>
      <c r="Q1772" s="106" t="str">
        <f>IF(ISBLANK(O1772), "", VLOOKUP(C1772&amp;" "&amp;D1772, 'Info Tipo de Cambio y REM'!$A$24:$B$35, 2, FALSE))</f>
        <v/>
      </c>
      <c r="R1772" s="107" t="str">
        <f t="shared" si="32"/>
        <v/>
      </c>
    </row>
    <row r="1773" hidden="1">
      <c r="A1773" s="443"/>
      <c r="B1773" s="43" t="str">
        <f>IF(A1773="", "", IFERROR(VLOOKUP(A1773, Clasificaciones!A:B, 2, FALSE), "DATO NO CARGADO"))
</f>
        <v/>
      </c>
      <c r="C1773" s="51"/>
      <c r="D1773" s="102"/>
      <c r="E1773" s="102"/>
      <c r="H1773" s="102"/>
      <c r="J1773" s="102"/>
      <c r="K1773" s="450"/>
      <c r="L1773" s="443"/>
      <c r="M1773" s="450"/>
      <c r="N1773" s="452">
        <f t="array" ref="N1773">IFERROR(
  INDEX(
    'Valor Hora Real y Estimada'!$A$4:$Z$78,
    MATCH(TRIM(CLEAN(A1773)), 'Valor Hora Real y Estimada'!$A$4:$A$78, 0),
    MATCH(
      TEXT(C1773,"dd mmm")&amp;" "&amp;D1773,
      'Valor Hora Real y Estimada'!$A$3:$Z$3,
      0
    ) + 1
  ),
  0
)</f>
        <v>0</v>
      </c>
      <c r="O1773" s="453"/>
      <c r="P1773" s="113"/>
      <c r="Q1773" s="106" t="str">
        <f>IF(ISBLANK(O1773), "", VLOOKUP(C1773&amp;" "&amp;D1773, 'Info Tipo de Cambio y REM'!$A$24:$B$35, 2, FALSE))</f>
        <v/>
      </c>
      <c r="R1773" s="107" t="str">
        <f t="shared" si="32"/>
        <v/>
      </c>
    </row>
    <row r="1774" hidden="1">
      <c r="A1774" s="443"/>
      <c r="B1774" s="43" t="str">
        <f>IF(A1774="", "", IFERROR(VLOOKUP(A1774, Clasificaciones!A:B, 2, FALSE), "DATO NO CARGADO"))
</f>
        <v/>
      </c>
      <c r="C1774" s="51"/>
      <c r="D1774" s="102"/>
      <c r="E1774" s="102"/>
      <c r="H1774" s="102"/>
      <c r="J1774" s="102"/>
      <c r="K1774" s="450"/>
      <c r="L1774" s="443"/>
      <c r="M1774" s="450"/>
      <c r="N1774" s="452">
        <f t="array" ref="N1774">IFERROR(
  INDEX(
    'Valor Hora Real y Estimada'!$A$4:$Z$78,
    MATCH(TRIM(CLEAN(A1774)), 'Valor Hora Real y Estimada'!$A$4:$A$78, 0),
    MATCH(
      TEXT(C1774,"dd mmm")&amp;" "&amp;D1774,
      'Valor Hora Real y Estimada'!$A$3:$Z$3,
      0
    ) + 1
  ),
  0
)</f>
        <v>0</v>
      </c>
      <c r="O1774" s="453"/>
      <c r="P1774" s="113"/>
      <c r="Q1774" s="106" t="str">
        <f>IF(ISBLANK(O1774), "", VLOOKUP(C1774&amp;" "&amp;D1774, 'Info Tipo de Cambio y REM'!$A$24:$B$35, 2, FALSE))</f>
        <v/>
      </c>
      <c r="R1774" s="107" t="str">
        <f t="shared" si="32"/>
        <v/>
      </c>
    </row>
    <row r="1775" hidden="1">
      <c r="A1775" s="443"/>
      <c r="B1775" s="43" t="str">
        <f>IF(A1775="", "", IFERROR(VLOOKUP(A1775, Clasificaciones!A:B, 2, FALSE), "DATO NO CARGADO"))
</f>
        <v/>
      </c>
      <c r="C1775" s="51"/>
      <c r="D1775" s="102"/>
      <c r="E1775" s="102"/>
      <c r="H1775" s="102"/>
      <c r="J1775" s="102"/>
      <c r="K1775" s="450"/>
      <c r="L1775" s="443"/>
      <c r="M1775" s="450"/>
      <c r="N1775" s="452">
        <f t="array" ref="N1775">IFERROR(
  INDEX(
    'Valor Hora Real y Estimada'!$A$4:$Z$78,
    MATCH(TRIM(CLEAN(A1775)), 'Valor Hora Real y Estimada'!$A$4:$A$78, 0),
    MATCH(
      TEXT(C1775,"dd mmm")&amp;" "&amp;D1775,
      'Valor Hora Real y Estimada'!$A$3:$Z$3,
      0
    ) + 1
  ),
  0
)</f>
        <v>0</v>
      </c>
      <c r="O1775" s="453"/>
      <c r="P1775" s="113"/>
      <c r="Q1775" s="106" t="str">
        <f>IF(ISBLANK(O1775), "", VLOOKUP(C1775&amp;" "&amp;D1775, 'Info Tipo de Cambio y REM'!$A$24:$B$35, 2, FALSE))</f>
        <v/>
      </c>
      <c r="R1775" s="107" t="str">
        <f t="shared" si="32"/>
        <v/>
      </c>
    </row>
    <row r="1776" hidden="1">
      <c r="A1776" s="443"/>
      <c r="B1776" s="43" t="str">
        <f>IF(A1776="", "", IFERROR(VLOOKUP(A1776, Clasificaciones!A:B, 2, FALSE), "DATO NO CARGADO"))
</f>
        <v/>
      </c>
      <c r="C1776" s="51"/>
      <c r="D1776" s="102"/>
      <c r="E1776" s="102"/>
      <c r="H1776" s="102"/>
      <c r="J1776" s="102"/>
      <c r="K1776" s="450"/>
      <c r="L1776" s="443"/>
      <c r="M1776" s="450"/>
      <c r="N1776" s="452">
        <f t="array" ref="N1776">IFERROR(
  INDEX(
    'Valor Hora Real y Estimada'!$A$4:$Z$78,
    MATCH(TRIM(CLEAN(A1776)), 'Valor Hora Real y Estimada'!$A$4:$A$78, 0),
    MATCH(
      TEXT(C1776,"dd mmm")&amp;" "&amp;D1776,
      'Valor Hora Real y Estimada'!$A$3:$Z$3,
      0
    ) + 1
  ),
  0
)</f>
        <v>0</v>
      </c>
      <c r="O1776" s="453"/>
      <c r="P1776" s="113"/>
      <c r="Q1776" s="106" t="str">
        <f>IF(ISBLANK(O1776), "", VLOOKUP(C1776&amp;" "&amp;D1776, 'Info Tipo de Cambio y REM'!$A$24:$B$35, 2, FALSE))</f>
        <v/>
      </c>
      <c r="R1776" s="107" t="str">
        <f t="shared" si="32"/>
        <v/>
      </c>
    </row>
    <row r="1777" hidden="1">
      <c r="A1777" s="443"/>
      <c r="B1777" s="43" t="str">
        <f>IF(A1777="", "", IFERROR(VLOOKUP(A1777, Clasificaciones!A:B, 2, FALSE), "DATO NO CARGADO"))
</f>
        <v/>
      </c>
      <c r="C1777" s="51"/>
      <c r="D1777" s="102"/>
      <c r="E1777" s="102"/>
      <c r="H1777" s="102"/>
      <c r="J1777" s="102"/>
      <c r="K1777" s="450"/>
      <c r="L1777" s="443"/>
      <c r="M1777" s="450"/>
      <c r="N1777" s="452">
        <f t="array" ref="N1777">IFERROR(
  INDEX(
    'Valor Hora Real y Estimada'!$A$4:$Z$78,
    MATCH(TRIM(CLEAN(A1777)), 'Valor Hora Real y Estimada'!$A$4:$A$78, 0),
    MATCH(
      TEXT(C1777,"dd mmm")&amp;" "&amp;D1777,
      'Valor Hora Real y Estimada'!$A$3:$Z$3,
      0
    ) + 1
  ),
  0
)</f>
        <v>0</v>
      </c>
      <c r="O1777" s="453"/>
      <c r="P1777" s="113"/>
      <c r="Q1777" s="106" t="str">
        <f>IF(ISBLANK(O1777), "", VLOOKUP(C1777&amp;" "&amp;D1777, 'Info Tipo de Cambio y REM'!$A$24:$B$35, 2, FALSE))</f>
        <v/>
      </c>
      <c r="R1777" s="107" t="str">
        <f t="shared" si="32"/>
        <v/>
      </c>
    </row>
    <row r="1778" hidden="1">
      <c r="A1778" s="443"/>
      <c r="B1778" s="43" t="str">
        <f>IF(A1778="", "", IFERROR(VLOOKUP(A1778, Clasificaciones!A:B, 2, FALSE), "DATO NO CARGADO"))
</f>
        <v/>
      </c>
      <c r="C1778" s="51"/>
      <c r="D1778" s="102"/>
      <c r="E1778" s="102"/>
      <c r="H1778" s="102"/>
      <c r="J1778" s="102"/>
      <c r="K1778" s="450"/>
      <c r="L1778" s="443"/>
      <c r="M1778" s="450"/>
      <c r="N1778" s="452">
        <f t="array" ref="N1778">IFERROR(
  INDEX(
    'Valor Hora Real y Estimada'!$A$4:$Z$78,
    MATCH(TRIM(CLEAN(A1778)), 'Valor Hora Real y Estimada'!$A$4:$A$78, 0),
    MATCH(
      TEXT(C1778,"dd mmm")&amp;" "&amp;D1778,
      'Valor Hora Real y Estimada'!$A$3:$Z$3,
      0
    ) + 1
  ),
  0
)</f>
        <v>0</v>
      </c>
      <c r="O1778" s="453"/>
      <c r="P1778" s="113"/>
      <c r="Q1778" s="106" t="str">
        <f>IF(ISBLANK(O1778), "", VLOOKUP(C1778&amp;" "&amp;D1778, 'Info Tipo de Cambio y REM'!$A$24:$B$35, 2, FALSE))</f>
        <v/>
      </c>
      <c r="R1778" s="107" t="str">
        <f t="shared" si="32"/>
        <v/>
      </c>
    </row>
    <row r="1779" hidden="1">
      <c r="A1779" s="443"/>
      <c r="B1779" s="43" t="str">
        <f>IF(A1779="", "", IFERROR(VLOOKUP(A1779, Clasificaciones!A:B, 2, FALSE), "DATO NO CARGADO"))
</f>
        <v/>
      </c>
      <c r="C1779" s="51"/>
      <c r="D1779" s="102"/>
      <c r="E1779" s="102"/>
      <c r="H1779" s="102"/>
      <c r="J1779" s="102"/>
      <c r="K1779" s="450"/>
      <c r="L1779" s="443"/>
      <c r="M1779" s="450"/>
      <c r="N1779" s="452">
        <f t="array" ref="N1779">IFERROR(
  INDEX(
    'Valor Hora Real y Estimada'!$A$4:$Z$78,
    MATCH(TRIM(CLEAN(A1779)), 'Valor Hora Real y Estimada'!$A$4:$A$78, 0),
    MATCH(
      TEXT(C1779,"dd mmm")&amp;" "&amp;D1779,
      'Valor Hora Real y Estimada'!$A$3:$Z$3,
      0
    ) + 1
  ),
  0
)</f>
        <v>0</v>
      </c>
      <c r="O1779" s="453"/>
      <c r="P1779" s="113"/>
      <c r="Q1779" s="106" t="str">
        <f>IF(ISBLANK(O1779), "", VLOOKUP(C1779&amp;" "&amp;D1779, 'Info Tipo de Cambio y REM'!$A$24:$B$35, 2, FALSE))</f>
        <v/>
      </c>
      <c r="R1779" s="107" t="str">
        <f t="shared" si="32"/>
        <v/>
      </c>
    </row>
    <row r="1780" hidden="1">
      <c r="A1780" s="443"/>
      <c r="B1780" s="43" t="str">
        <f>IF(A1780="", "", IFERROR(VLOOKUP(A1780, Clasificaciones!A:B, 2, FALSE), "DATO NO CARGADO"))
</f>
        <v/>
      </c>
      <c r="C1780" s="51"/>
      <c r="D1780" s="102"/>
      <c r="E1780" s="102"/>
      <c r="H1780" s="102"/>
      <c r="J1780" s="102"/>
      <c r="K1780" s="450"/>
      <c r="L1780" s="443"/>
      <c r="M1780" s="450"/>
      <c r="N1780" s="452">
        <f t="array" ref="N1780">IFERROR(
  INDEX(
    'Valor Hora Real y Estimada'!$A$4:$Z$78,
    MATCH(TRIM(CLEAN(A1780)), 'Valor Hora Real y Estimada'!$A$4:$A$78, 0),
    MATCH(
      TEXT(C1780,"dd mmm")&amp;" "&amp;D1780,
      'Valor Hora Real y Estimada'!$A$3:$Z$3,
      0
    ) + 1
  ),
  0
)</f>
        <v>0</v>
      </c>
      <c r="O1780" s="453"/>
      <c r="P1780" s="113"/>
      <c r="Q1780" s="106" t="str">
        <f>IF(ISBLANK(O1780), "", VLOOKUP(C1780&amp;" "&amp;D1780, 'Info Tipo de Cambio y REM'!$A$24:$B$35, 2, FALSE))</f>
        <v/>
      </c>
      <c r="R1780" s="107" t="str">
        <f t="shared" si="32"/>
        <v/>
      </c>
    </row>
    <row r="1781" hidden="1">
      <c r="A1781" s="443"/>
      <c r="B1781" s="43" t="str">
        <f>IF(A1781="", "", IFERROR(VLOOKUP(A1781, Clasificaciones!A:B, 2, FALSE), "DATO NO CARGADO"))
</f>
        <v/>
      </c>
      <c r="C1781" s="51"/>
      <c r="D1781" s="102"/>
      <c r="E1781" s="102"/>
      <c r="H1781" s="102"/>
      <c r="J1781" s="102"/>
      <c r="K1781" s="450"/>
      <c r="L1781" s="443"/>
      <c r="M1781" s="450"/>
      <c r="N1781" s="452">
        <f t="array" ref="N1781">IFERROR(
  INDEX(
    'Valor Hora Real y Estimada'!$A$4:$Z$78,
    MATCH(TRIM(CLEAN(A1781)), 'Valor Hora Real y Estimada'!$A$4:$A$78, 0),
    MATCH(
      TEXT(C1781,"dd mmm")&amp;" "&amp;D1781,
      'Valor Hora Real y Estimada'!$A$3:$Z$3,
      0
    ) + 1
  ),
  0
)</f>
        <v>0</v>
      </c>
      <c r="O1781" s="453"/>
      <c r="P1781" s="113"/>
      <c r="Q1781" s="106" t="str">
        <f>IF(ISBLANK(O1781), "", VLOOKUP(C1781&amp;" "&amp;D1781, 'Info Tipo de Cambio y REM'!$A$24:$B$35, 2, FALSE))</f>
        <v/>
      </c>
      <c r="R1781" s="107" t="str">
        <f t="shared" si="32"/>
        <v/>
      </c>
    </row>
    <row r="1782" hidden="1">
      <c r="A1782" s="443"/>
      <c r="B1782" s="43" t="str">
        <f>IF(A1782="", "", IFERROR(VLOOKUP(A1782, Clasificaciones!A:B, 2, FALSE), "DATO NO CARGADO"))
</f>
        <v/>
      </c>
      <c r="C1782" s="51"/>
      <c r="D1782" s="102"/>
      <c r="E1782" s="102"/>
      <c r="H1782" s="102"/>
      <c r="J1782" s="102"/>
      <c r="K1782" s="450"/>
      <c r="L1782" s="443"/>
      <c r="M1782" s="450"/>
      <c r="N1782" s="452">
        <f t="array" ref="N1782">IFERROR(
  INDEX(
    'Valor Hora Real y Estimada'!$A$4:$Z$78,
    MATCH(TRIM(CLEAN(A1782)), 'Valor Hora Real y Estimada'!$A$4:$A$78, 0),
    MATCH(
      TEXT(C1782,"dd mmm")&amp;" "&amp;D1782,
      'Valor Hora Real y Estimada'!$A$3:$Z$3,
      0
    ) + 1
  ),
  0
)</f>
        <v>0</v>
      </c>
      <c r="O1782" s="453"/>
      <c r="P1782" s="113"/>
      <c r="Q1782" s="106" t="str">
        <f>IF(ISBLANK(O1782), "", VLOOKUP(C1782&amp;" "&amp;D1782, 'Info Tipo de Cambio y REM'!$A$24:$B$35, 2, FALSE))</f>
        <v/>
      </c>
      <c r="R1782" s="107" t="str">
        <f t="shared" si="32"/>
        <v/>
      </c>
    </row>
    <row r="1783" hidden="1">
      <c r="A1783" s="443"/>
      <c r="B1783" s="43" t="str">
        <f>IF(A1783="", "", IFERROR(VLOOKUP(A1783, Clasificaciones!A:B, 2, FALSE), "DATO NO CARGADO"))
</f>
        <v/>
      </c>
      <c r="C1783" s="51"/>
      <c r="D1783" s="102"/>
      <c r="E1783" s="102"/>
      <c r="H1783" s="102"/>
      <c r="J1783" s="102"/>
      <c r="K1783" s="450"/>
      <c r="L1783" s="443"/>
      <c r="M1783" s="450"/>
      <c r="N1783" s="452">
        <f t="array" ref="N1783">IFERROR(
  INDEX(
    'Valor Hora Real y Estimada'!$A$4:$Z$78,
    MATCH(TRIM(CLEAN(A1783)), 'Valor Hora Real y Estimada'!$A$4:$A$78, 0),
    MATCH(
      TEXT(C1783,"dd mmm")&amp;" "&amp;D1783,
      'Valor Hora Real y Estimada'!$A$3:$Z$3,
      0
    ) + 1
  ),
  0
)</f>
        <v>0</v>
      </c>
      <c r="O1783" s="453"/>
      <c r="P1783" s="113"/>
      <c r="Q1783" s="106" t="str">
        <f>IF(ISBLANK(O1783), "", VLOOKUP(C1783&amp;" "&amp;D1783, 'Info Tipo de Cambio y REM'!$A$24:$B$35, 2, FALSE))</f>
        <v/>
      </c>
      <c r="R1783" s="107" t="str">
        <f t="shared" si="32"/>
        <v/>
      </c>
    </row>
    <row r="1784" hidden="1">
      <c r="A1784" s="443"/>
      <c r="B1784" s="43" t="str">
        <f>IF(A1784="", "", IFERROR(VLOOKUP(A1784, Clasificaciones!A:B, 2, FALSE), "DATO NO CARGADO"))
</f>
        <v/>
      </c>
      <c r="C1784" s="51"/>
      <c r="D1784" s="102"/>
      <c r="E1784" s="102"/>
      <c r="H1784" s="102"/>
      <c r="J1784" s="102"/>
      <c r="K1784" s="450"/>
      <c r="L1784" s="443"/>
      <c r="M1784" s="450"/>
      <c r="N1784" s="452">
        <f t="array" ref="N1784">IFERROR(
  INDEX(
    'Valor Hora Real y Estimada'!$A$4:$Z$78,
    MATCH(TRIM(CLEAN(A1784)), 'Valor Hora Real y Estimada'!$A$4:$A$78, 0),
    MATCH(
      TEXT(C1784,"dd mmm")&amp;" "&amp;D1784,
      'Valor Hora Real y Estimada'!$A$3:$Z$3,
      0
    ) + 1
  ),
  0
)</f>
        <v>0</v>
      </c>
      <c r="O1784" s="453"/>
      <c r="P1784" s="113"/>
      <c r="Q1784" s="106" t="str">
        <f>IF(ISBLANK(O1784), "", VLOOKUP(C1784&amp;" "&amp;D1784, 'Info Tipo de Cambio y REM'!$A$24:$B$35, 2, FALSE))</f>
        <v/>
      </c>
      <c r="R1784" s="107" t="str">
        <f t="shared" si="32"/>
        <v/>
      </c>
    </row>
    <row r="1785" hidden="1">
      <c r="A1785" s="443"/>
      <c r="B1785" s="43" t="str">
        <f>IF(A1785="", "", IFERROR(VLOOKUP(A1785, Clasificaciones!A:B, 2, FALSE), "DATO NO CARGADO"))
</f>
        <v/>
      </c>
      <c r="C1785" s="51"/>
      <c r="D1785" s="102"/>
      <c r="E1785" s="102"/>
      <c r="H1785" s="102"/>
      <c r="J1785" s="102"/>
      <c r="K1785" s="450"/>
      <c r="L1785" s="443"/>
      <c r="M1785" s="450"/>
      <c r="N1785" s="452">
        <f t="array" ref="N1785">IFERROR(
  INDEX(
    'Valor Hora Real y Estimada'!$A$4:$Z$78,
    MATCH(TRIM(CLEAN(A1785)), 'Valor Hora Real y Estimada'!$A$4:$A$78, 0),
    MATCH(
      TEXT(C1785,"dd mmm")&amp;" "&amp;D1785,
      'Valor Hora Real y Estimada'!$A$3:$Z$3,
      0
    ) + 1
  ),
  0
)</f>
        <v>0</v>
      </c>
      <c r="O1785" s="453"/>
      <c r="P1785" s="113"/>
      <c r="Q1785" s="106" t="str">
        <f>IF(ISBLANK(O1785), "", VLOOKUP(C1785&amp;" "&amp;D1785, 'Info Tipo de Cambio y REM'!$A$24:$B$35, 2, FALSE))</f>
        <v/>
      </c>
      <c r="R1785" s="107" t="str">
        <f t="shared" si="32"/>
        <v/>
      </c>
    </row>
    <row r="1786" hidden="1">
      <c r="A1786" s="443"/>
      <c r="B1786" s="43" t="str">
        <f>IF(A1786="", "", IFERROR(VLOOKUP(A1786, Clasificaciones!A:B, 2, FALSE), "DATO NO CARGADO"))
</f>
        <v/>
      </c>
      <c r="C1786" s="51"/>
      <c r="D1786" s="102"/>
      <c r="E1786" s="102"/>
      <c r="H1786" s="102"/>
      <c r="J1786" s="102"/>
      <c r="K1786" s="450"/>
      <c r="L1786" s="443"/>
      <c r="M1786" s="450"/>
      <c r="N1786" s="452">
        <f t="array" ref="N1786">IFERROR(
  INDEX(
    'Valor Hora Real y Estimada'!$A$4:$Z$78,
    MATCH(TRIM(CLEAN(A1786)), 'Valor Hora Real y Estimada'!$A$4:$A$78, 0),
    MATCH(
      TEXT(C1786,"dd mmm")&amp;" "&amp;D1786,
      'Valor Hora Real y Estimada'!$A$3:$Z$3,
      0
    ) + 1
  ),
  0
)</f>
        <v>0</v>
      </c>
      <c r="O1786" s="453"/>
      <c r="P1786" s="113"/>
      <c r="Q1786" s="106" t="str">
        <f>IF(ISBLANK(O1786), "", VLOOKUP(C1786&amp;" "&amp;D1786, 'Info Tipo de Cambio y REM'!$A$24:$B$35, 2, FALSE))</f>
        <v/>
      </c>
      <c r="R1786" s="107" t="str">
        <f t="shared" si="32"/>
        <v/>
      </c>
    </row>
    <row r="1787" hidden="1">
      <c r="A1787" s="443"/>
      <c r="B1787" s="43" t="str">
        <f>IF(A1787="", "", IFERROR(VLOOKUP(A1787, Clasificaciones!A:B, 2, FALSE), "DATO NO CARGADO"))
</f>
        <v/>
      </c>
      <c r="C1787" s="51"/>
      <c r="D1787" s="102"/>
      <c r="E1787" s="102"/>
      <c r="H1787" s="102"/>
      <c r="J1787" s="102"/>
      <c r="K1787" s="450"/>
      <c r="L1787" s="443"/>
      <c r="M1787" s="450"/>
      <c r="N1787" s="452">
        <f t="array" ref="N1787">IFERROR(
  INDEX(
    'Valor Hora Real y Estimada'!$A$4:$Z$78,
    MATCH(TRIM(CLEAN(A1787)), 'Valor Hora Real y Estimada'!$A$4:$A$78, 0),
    MATCH(
      TEXT(C1787,"dd mmm")&amp;" "&amp;D1787,
      'Valor Hora Real y Estimada'!$A$3:$Z$3,
      0
    ) + 1
  ),
  0
)</f>
        <v>0</v>
      </c>
      <c r="O1787" s="453"/>
      <c r="P1787" s="113"/>
      <c r="Q1787" s="106" t="str">
        <f>IF(ISBLANK(O1787), "", VLOOKUP(C1787&amp;" "&amp;D1787, 'Info Tipo de Cambio y REM'!$A$24:$B$35, 2, FALSE))</f>
        <v/>
      </c>
      <c r="R1787" s="107" t="str">
        <f t="shared" si="32"/>
        <v/>
      </c>
    </row>
    <row r="1788" hidden="1">
      <c r="A1788" s="443"/>
      <c r="B1788" s="43" t="str">
        <f>IF(A1788="", "", IFERROR(VLOOKUP(A1788, Clasificaciones!A:B, 2, FALSE), "DATO NO CARGADO"))
</f>
        <v/>
      </c>
      <c r="C1788" s="51"/>
      <c r="D1788" s="102"/>
      <c r="E1788" s="102"/>
      <c r="H1788" s="102"/>
      <c r="J1788" s="102"/>
      <c r="K1788" s="450"/>
      <c r="L1788" s="443"/>
      <c r="M1788" s="450"/>
      <c r="N1788" s="452">
        <f t="array" ref="N1788">IFERROR(
  INDEX(
    'Valor Hora Real y Estimada'!$A$4:$Z$78,
    MATCH(TRIM(CLEAN(A1788)), 'Valor Hora Real y Estimada'!$A$4:$A$78, 0),
    MATCH(
      TEXT(C1788,"dd mmm")&amp;" "&amp;D1788,
      'Valor Hora Real y Estimada'!$A$3:$Z$3,
      0
    ) + 1
  ),
  0
)</f>
        <v>0</v>
      </c>
      <c r="O1788" s="453"/>
      <c r="P1788" s="113"/>
      <c r="Q1788" s="106" t="str">
        <f>IF(ISBLANK(O1788), "", VLOOKUP(C1788&amp;" "&amp;D1788, 'Info Tipo de Cambio y REM'!$A$24:$B$35, 2, FALSE))</f>
        <v/>
      </c>
      <c r="R1788" s="107" t="str">
        <f t="shared" si="32"/>
        <v/>
      </c>
    </row>
    <row r="1789" hidden="1">
      <c r="A1789" s="443"/>
      <c r="B1789" s="43" t="str">
        <f>IF(A1789="", "", IFERROR(VLOOKUP(A1789, Clasificaciones!A:B, 2, FALSE), "DATO NO CARGADO"))
</f>
        <v/>
      </c>
      <c r="C1789" s="51"/>
      <c r="D1789" s="102"/>
      <c r="E1789" s="102"/>
      <c r="H1789" s="102"/>
      <c r="J1789" s="102"/>
      <c r="K1789" s="450"/>
      <c r="L1789" s="443"/>
      <c r="M1789" s="450"/>
      <c r="N1789" s="452">
        <f t="array" ref="N1789">IFERROR(
  INDEX(
    'Valor Hora Real y Estimada'!$A$4:$Z$78,
    MATCH(TRIM(CLEAN(A1789)), 'Valor Hora Real y Estimada'!$A$4:$A$78, 0),
    MATCH(
      TEXT(C1789,"dd mmm")&amp;" "&amp;D1789,
      'Valor Hora Real y Estimada'!$A$3:$Z$3,
      0
    ) + 1
  ),
  0
)</f>
        <v>0</v>
      </c>
      <c r="O1789" s="453"/>
      <c r="P1789" s="113"/>
      <c r="Q1789" s="106" t="str">
        <f>IF(ISBLANK(O1789), "", VLOOKUP(C1789&amp;" "&amp;D1789, 'Info Tipo de Cambio y REM'!$A$24:$B$35, 2, FALSE))</f>
        <v/>
      </c>
      <c r="R1789" s="107" t="str">
        <f t="shared" si="32"/>
        <v/>
      </c>
    </row>
    <row r="1790" hidden="1">
      <c r="A1790" s="443"/>
      <c r="B1790" s="43" t="str">
        <f>IF(A1790="", "", IFERROR(VLOOKUP(A1790, Clasificaciones!A:B, 2, FALSE), "DATO NO CARGADO"))
</f>
        <v/>
      </c>
      <c r="C1790" s="51"/>
      <c r="D1790" s="102"/>
      <c r="E1790" s="102"/>
      <c r="H1790" s="102"/>
      <c r="J1790" s="102"/>
      <c r="K1790" s="450"/>
      <c r="L1790" s="443"/>
      <c r="M1790" s="450"/>
      <c r="N1790" s="452">
        <f t="array" ref="N1790">IFERROR(
  INDEX(
    'Valor Hora Real y Estimada'!$A$4:$Z$78,
    MATCH(TRIM(CLEAN(A1790)), 'Valor Hora Real y Estimada'!$A$4:$A$78, 0),
    MATCH(
      TEXT(C1790,"dd mmm")&amp;" "&amp;D1790,
      'Valor Hora Real y Estimada'!$A$3:$Z$3,
      0
    ) + 1
  ),
  0
)</f>
        <v>0</v>
      </c>
      <c r="O1790" s="453"/>
      <c r="P1790" s="113"/>
      <c r="Q1790" s="106" t="str">
        <f>IF(ISBLANK(O1790), "", VLOOKUP(C1790&amp;" "&amp;D1790, 'Info Tipo de Cambio y REM'!$A$24:$B$35, 2, FALSE))</f>
        <v/>
      </c>
      <c r="R1790" s="107" t="str">
        <f t="shared" si="32"/>
        <v/>
      </c>
    </row>
    <row r="1791" hidden="1">
      <c r="A1791" s="443"/>
      <c r="B1791" s="43" t="str">
        <f>IF(A1791="", "", IFERROR(VLOOKUP(A1791, Clasificaciones!A:B, 2, FALSE), "DATO NO CARGADO"))
</f>
        <v/>
      </c>
      <c r="C1791" s="51"/>
      <c r="D1791" s="102"/>
      <c r="E1791" s="102"/>
      <c r="H1791" s="102"/>
      <c r="J1791" s="102"/>
      <c r="K1791" s="450"/>
      <c r="L1791" s="443"/>
      <c r="M1791" s="450"/>
      <c r="N1791" s="452">
        <f t="array" ref="N1791">IFERROR(
  INDEX(
    'Valor Hora Real y Estimada'!$A$4:$Z$78,
    MATCH(TRIM(CLEAN(A1791)), 'Valor Hora Real y Estimada'!$A$4:$A$78, 0),
    MATCH(
      TEXT(C1791,"dd mmm")&amp;" "&amp;D1791,
      'Valor Hora Real y Estimada'!$A$3:$Z$3,
      0
    ) + 1
  ),
  0
)</f>
        <v>0</v>
      </c>
      <c r="O1791" s="453"/>
      <c r="P1791" s="113"/>
      <c r="Q1791" s="106" t="str">
        <f>IF(ISBLANK(O1791), "", VLOOKUP(C1791&amp;" "&amp;D1791, 'Info Tipo de Cambio y REM'!$A$24:$B$35, 2, FALSE))</f>
        <v/>
      </c>
      <c r="R1791" s="107" t="str">
        <f t="shared" si="32"/>
        <v/>
      </c>
    </row>
    <row r="1792" hidden="1">
      <c r="A1792" s="443"/>
      <c r="B1792" s="43" t="str">
        <f>IF(A1792="", "", IFERROR(VLOOKUP(A1792, Clasificaciones!A:B, 2, FALSE), "DATO NO CARGADO"))
</f>
        <v/>
      </c>
      <c r="C1792" s="51"/>
      <c r="D1792" s="102"/>
      <c r="E1792" s="102"/>
      <c r="H1792" s="102"/>
      <c r="J1792" s="102"/>
      <c r="K1792" s="450"/>
      <c r="L1792" s="443"/>
      <c r="M1792" s="450"/>
      <c r="N1792" s="452">
        <f t="array" ref="N1792">IFERROR(
  INDEX(
    'Valor Hora Real y Estimada'!$A$4:$Z$78,
    MATCH(TRIM(CLEAN(A1792)), 'Valor Hora Real y Estimada'!$A$4:$A$78, 0),
    MATCH(
      TEXT(C1792,"dd mmm")&amp;" "&amp;D1792,
      'Valor Hora Real y Estimada'!$A$3:$Z$3,
      0
    ) + 1
  ),
  0
)</f>
        <v>0</v>
      </c>
      <c r="O1792" s="453"/>
      <c r="P1792" s="113"/>
      <c r="Q1792" s="106" t="str">
        <f>IF(ISBLANK(O1792), "", VLOOKUP(C1792&amp;" "&amp;D1792, 'Info Tipo de Cambio y REM'!$A$24:$B$35, 2, FALSE))</f>
        <v/>
      </c>
      <c r="R1792" s="107" t="str">
        <f t="shared" si="32"/>
        <v/>
      </c>
    </row>
    <row r="1793" hidden="1">
      <c r="A1793" s="443"/>
      <c r="B1793" s="43" t="str">
        <f>IF(A1793="", "", IFERROR(VLOOKUP(A1793, Clasificaciones!A:B, 2, FALSE), "DATO NO CARGADO"))
</f>
        <v/>
      </c>
      <c r="C1793" s="51"/>
      <c r="D1793" s="102"/>
      <c r="E1793" s="102"/>
      <c r="H1793" s="102"/>
      <c r="J1793" s="102"/>
      <c r="K1793" s="450"/>
      <c r="L1793" s="443"/>
      <c r="M1793" s="450"/>
      <c r="N1793" s="452">
        <f t="array" ref="N1793">IFERROR(
  INDEX(
    'Valor Hora Real y Estimada'!$A$4:$Z$78,
    MATCH(TRIM(CLEAN(A1793)), 'Valor Hora Real y Estimada'!$A$4:$A$78, 0),
    MATCH(
      TEXT(C1793,"dd mmm")&amp;" "&amp;D1793,
      'Valor Hora Real y Estimada'!$A$3:$Z$3,
      0
    ) + 1
  ),
  0
)</f>
        <v>0</v>
      </c>
      <c r="O1793" s="453"/>
      <c r="P1793" s="113"/>
      <c r="Q1793" s="106" t="str">
        <f>IF(ISBLANK(O1793), "", VLOOKUP(C1793&amp;" "&amp;D1793, 'Info Tipo de Cambio y REM'!$A$24:$B$35, 2, FALSE))</f>
        <v/>
      </c>
      <c r="R1793" s="107" t="str">
        <f t="shared" si="32"/>
        <v/>
      </c>
    </row>
    <row r="1794" hidden="1">
      <c r="A1794" s="443"/>
      <c r="B1794" s="43" t="str">
        <f>IF(A1794="", "", IFERROR(VLOOKUP(A1794, Clasificaciones!A:B, 2, FALSE), "DATO NO CARGADO"))
</f>
        <v/>
      </c>
      <c r="C1794" s="51"/>
      <c r="D1794" s="102"/>
      <c r="E1794" s="102"/>
      <c r="H1794" s="102"/>
      <c r="J1794" s="102"/>
      <c r="K1794" s="450"/>
      <c r="L1794" s="443"/>
      <c r="M1794" s="450"/>
      <c r="N1794" s="452">
        <f t="array" ref="N1794">IFERROR(
  INDEX(
    'Valor Hora Real y Estimada'!$A$4:$Z$78,
    MATCH(TRIM(CLEAN(A1794)), 'Valor Hora Real y Estimada'!$A$4:$A$78, 0),
    MATCH(
      TEXT(C1794,"dd mmm")&amp;" "&amp;D1794,
      'Valor Hora Real y Estimada'!$A$3:$Z$3,
      0
    ) + 1
  ),
  0
)</f>
        <v>0</v>
      </c>
      <c r="O1794" s="453"/>
      <c r="P1794" s="113"/>
      <c r="Q1794" s="106" t="str">
        <f>IF(ISBLANK(O1794), "", VLOOKUP(C1794&amp;" "&amp;D1794, 'Info Tipo de Cambio y REM'!$A$24:$B$35, 2, FALSE))</f>
        <v/>
      </c>
      <c r="R1794" s="107" t="str">
        <f t="shared" si="32"/>
        <v/>
      </c>
    </row>
    <row r="1795" hidden="1">
      <c r="A1795" s="443"/>
      <c r="B1795" s="43" t="str">
        <f>IF(A1795="", "", IFERROR(VLOOKUP(A1795, Clasificaciones!A:B, 2, FALSE), "DATO NO CARGADO"))
</f>
        <v/>
      </c>
      <c r="C1795" s="51"/>
      <c r="D1795" s="102"/>
      <c r="E1795" s="102"/>
      <c r="H1795" s="102"/>
      <c r="J1795" s="102"/>
      <c r="K1795" s="450"/>
      <c r="L1795" s="443"/>
      <c r="M1795" s="450"/>
      <c r="N1795" s="452">
        <f t="array" ref="N1795">IFERROR(
  INDEX(
    'Valor Hora Real y Estimada'!$A$4:$Z$78,
    MATCH(TRIM(CLEAN(A1795)), 'Valor Hora Real y Estimada'!$A$4:$A$78, 0),
    MATCH(
      TEXT(C1795,"dd mmm")&amp;" "&amp;D1795,
      'Valor Hora Real y Estimada'!$A$3:$Z$3,
      0
    ) + 1
  ),
  0
)</f>
        <v>0</v>
      </c>
      <c r="O1795" s="453"/>
      <c r="P1795" s="113"/>
      <c r="Q1795" s="106" t="str">
        <f>IF(ISBLANK(O1795), "", VLOOKUP(C1795&amp;" "&amp;D1795, 'Info Tipo de Cambio y REM'!$A$24:$B$35, 2, FALSE))</f>
        <v/>
      </c>
      <c r="R1795" s="107" t="str">
        <f t="shared" si="32"/>
        <v/>
      </c>
    </row>
    <row r="1796" hidden="1">
      <c r="A1796" s="443"/>
      <c r="B1796" s="43" t="str">
        <f>IF(A1796="", "", IFERROR(VLOOKUP(A1796, Clasificaciones!A:B, 2, FALSE), "DATO NO CARGADO"))
</f>
        <v/>
      </c>
      <c r="C1796" s="51"/>
      <c r="D1796" s="102"/>
      <c r="E1796" s="102"/>
      <c r="H1796" s="102"/>
      <c r="J1796" s="102"/>
      <c r="K1796" s="450"/>
      <c r="L1796" s="443"/>
      <c r="M1796" s="450"/>
      <c r="N1796" s="452">
        <f t="array" ref="N1796">IFERROR(
  INDEX(
    'Valor Hora Real y Estimada'!$A$4:$Z$78,
    MATCH(TRIM(CLEAN(A1796)), 'Valor Hora Real y Estimada'!$A$4:$A$78, 0),
    MATCH(
      TEXT(C1796,"dd mmm")&amp;" "&amp;D1796,
      'Valor Hora Real y Estimada'!$A$3:$Z$3,
      0
    ) + 1
  ),
  0
)</f>
        <v>0</v>
      </c>
      <c r="O1796" s="453"/>
      <c r="P1796" s="113"/>
      <c r="Q1796" s="106" t="str">
        <f>IF(ISBLANK(O1796), "", VLOOKUP(C1796&amp;" "&amp;D1796, 'Info Tipo de Cambio y REM'!$A$24:$B$35, 2, FALSE))</f>
        <v/>
      </c>
      <c r="R1796" s="107" t="str">
        <f t="shared" si="32"/>
        <v/>
      </c>
    </row>
    <row r="1797" hidden="1">
      <c r="A1797" s="443"/>
      <c r="B1797" s="43" t="str">
        <f>IF(A1797="", "", IFERROR(VLOOKUP(A1797, Clasificaciones!A:B, 2, FALSE), "DATO NO CARGADO"))
</f>
        <v/>
      </c>
      <c r="C1797" s="51"/>
      <c r="D1797" s="102"/>
      <c r="E1797" s="102"/>
      <c r="H1797" s="102"/>
      <c r="J1797" s="102"/>
      <c r="K1797" s="450"/>
      <c r="L1797" s="443"/>
      <c r="M1797" s="450"/>
      <c r="N1797" s="452">
        <f t="array" ref="N1797">IFERROR(
  INDEX(
    'Valor Hora Real y Estimada'!$A$4:$Z$78,
    MATCH(TRIM(CLEAN(A1797)), 'Valor Hora Real y Estimada'!$A$4:$A$78, 0),
    MATCH(
      TEXT(C1797,"dd mmm")&amp;" "&amp;D1797,
      'Valor Hora Real y Estimada'!$A$3:$Z$3,
      0
    ) + 1
  ),
  0
)</f>
        <v>0</v>
      </c>
      <c r="O1797" s="453"/>
      <c r="P1797" s="113"/>
      <c r="Q1797" s="106" t="str">
        <f>IF(ISBLANK(O1797), "", VLOOKUP(C1797&amp;" "&amp;D1797, 'Info Tipo de Cambio y REM'!$A$24:$B$35, 2, FALSE))</f>
        <v/>
      </c>
      <c r="R1797" s="107" t="str">
        <f t="shared" si="32"/>
        <v/>
      </c>
    </row>
    <row r="1798" hidden="1">
      <c r="A1798" s="443"/>
      <c r="B1798" s="43" t="str">
        <f>IF(A1798="", "", IFERROR(VLOOKUP(A1798, Clasificaciones!A:B, 2, FALSE), "DATO NO CARGADO"))
</f>
        <v/>
      </c>
      <c r="C1798" s="51"/>
      <c r="D1798" s="102"/>
      <c r="E1798" s="102"/>
      <c r="H1798" s="102"/>
      <c r="J1798" s="102"/>
      <c r="K1798" s="450"/>
      <c r="L1798" s="443"/>
      <c r="M1798" s="450"/>
      <c r="N1798" s="452">
        <f t="array" ref="N1798">IFERROR(
  INDEX(
    'Valor Hora Real y Estimada'!$A$4:$Z$78,
    MATCH(TRIM(CLEAN(A1798)), 'Valor Hora Real y Estimada'!$A$4:$A$78, 0),
    MATCH(
      TEXT(C1798,"dd mmm")&amp;" "&amp;D1798,
      'Valor Hora Real y Estimada'!$A$3:$Z$3,
      0
    ) + 1
  ),
  0
)</f>
        <v>0</v>
      </c>
      <c r="O1798" s="453"/>
      <c r="P1798" s="113"/>
      <c r="Q1798" s="106" t="str">
        <f>IF(ISBLANK(O1798), "", VLOOKUP(C1798&amp;" "&amp;D1798, 'Info Tipo de Cambio y REM'!$A$24:$B$35, 2, FALSE))</f>
        <v/>
      </c>
      <c r="R1798" s="107" t="str">
        <f t="shared" si="32"/>
        <v/>
      </c>
    </row>
    <row r="1799" hidden="1">
      <c r="A1799" s="443"/>
      <c r="B1799" s="43" t="str">
        <f>IF(A1799="", "", IFERROR(VLOOKUP(A1799, Clasificaciones!A:B, 2, FALSE), "DATO NO CARGADO"))
</f>
        <v/>
      </c>
      <c r="C1799" s="51"/>
      <c r="D1799" s="102"/>
      <c r="E1799" s="102"/>
      <c r="H1799" s="102"/>
      <c r="J1799" s="102"/>
      <c r="K1799" s="450"/>
      <c r="L1799" s="443"/>
      <c r="M1799" s="450"/>
      <c r="N1799" s="452">
        <f t="array" ref="N1799">IFERROR(
  INDEX(
    'Valor Hora Real y Estimada'!$A$4:$Z$78,
    MATCH(TRIM(CLEAN(A1799)), 'Valor Hora Real y Estimada'!$A$4:$A$78, 0),
    MATCH(
      TEXT(C1799,"dd mmm")&amp;" "&amp;D1799,
      'Valor Hora Real y Estimada'!$A$3:$Z$3,
      0
    ) + 1
  ),
  0
)</f>
        <v>0</v>
      </c>
      <c r="O1799" s="453"/>
      <c r="P1799" s="113"/>
      <c r="Q1799" s="106" t="str">
        <f>IF(ISBLANK(O1799), "", VLOOKUP(C1799&amp;" "&amp;D1799, 'Info Tipo de Cambio y REM'!$A$24:$B$35, 2, FALSE))</f>
        <v/>
      </c>
      <c r="R1799" s="107" t="str">
        <f t="shared" si="32"/>
        <v/>
      </c>
    </row>
    <row r="1800" hidden="1">
      <c r="A1800" s="443"/>
      <c r="B1800" s="43" t="str">
        <f>IF(A1800="", "", IFERROR(VLOOKUP(A1800, Clasificaciones!A:B, 2, FALSE), "DATO NO CARGADO"))
</f>
        <v/>
      </c>
      <c r="C1800" s="51"/>
      <c r="D1800" s="102"/>
      <c r="E1800" s="102"/>
      <c r="H1800" s="102"/>
      <c r="J1800" s="102"/>
      <c r="K1800" s="450"/>
      <c r="L1800" s="443"/>
      <c r="M1800" s="450"/>
      <c r="N1800" s="452">
        <f t="array" ref="N1800">IFERROR(
  INDEX(
    'Valor Hora Real y Estimada'!$A$4:$Z$78,
    MATCH(TRIM(CLEAN(A1800)), 'Valor Hora Real y Estimada'!$A$4:$A$78, 0),
    MATCH(
      TEXT(C1800,"dd mmm")&amp;" "&amp;D1800,
      'Valor Hora Real y Estimada'!$A$3:$Z$3,
      0
    ) + 1
  ),
  0
)</f>
        <v>0</v>
      </c>
      <c r="O1800" s="453"/>
      <c r="P1800" s="113"/>
      <c r="Q1800" s="106" t="str">
        <f>IF(ISBLANK(O1800), "", VLOOKUP(C1800&amp;" "&amp;D1800, 'Info Tipo de Cambio y REM'!$A$24:$B$35, 2, FALSE))</f>
        <v/>
      </c>
      <c r="R1800" s="107" t="str">
        <f t="shared" si="32"/>
        <v/>
      </c>
    </row>
    <row r="1801" hidden="1">
      <c r="A1801" s="443"/>
      <c r="B1801" s="43" t="str">
        <f>IF(A1801="", "", IFERROR(VLOOKUP(A1801, Clasificaciones!A:B, 2, FALSE), "DATO NO CARGADO"))
</f>
        <v/>
      </c>
      <c r="C1801" s="51"/>
      <c r="D1801" s="102"/>
      <c r="E1801" s="102"/>
      <c r="H1801" s="102"/>
      <c r="J1801" s="102"/>
      <c r="K1801" s="450"/>
      <c r="L1801" s="443"/>
      <c r="M1801" s="450"/>
      <c r="N1801" s="452">
        <f t="array" ref="N1801">IFERROR(
  INDEX(
    'Valor Hora Real y Estimada'!$A$4:$Z$78,
    MATCH(TRIM(CLEAN(A1801)), 'Valor Hora Real y Estimada'!$A$4:$A$78, 0),
    MATCH(
      TEXT(C1801,"dd mmm")&amp;" "&amp;D1801,
      'Valor Hora Real y Estimada'!$A$3:$Z$3,
      0
    ) + 1
  ),
  0
)</f>
        <v>0</v>
      </c>
      <c r="O1801" s="453"/>
      <c r="P1801" s="113"/>
      <c r="Q1801" s="106" t="str">
        <f>IF(ISBLANK(O1801), "", VLOOKUP(C1801&amp;" "&amp;D1801, 'Info Tipo de Cambio y REM'!$A$24:$B$35, 2, FALSE))</f>
        <v/>
      </c>
      <c r="R1801" s="107" t="str">
        <f t="shared" si="32"/>
        <v/>
      </c>
    </row>
    <row r="1802" hidden="1">
      <c r="A1802" s="443"/>
      <c r="B1802" s="43" t="str">
        <f>IF(A1802="", "", IFERROR(VLOOKUP(A1802, Clasificaciones!A:B, 2, FALSE), "DATO NO CARGADO"))
</f>
        <v/>
      </c>
      <c r="C1802" s="51"/>
      <c r="D1802" s="102"/>
      <c r="E1802" s="102"/>
      <c r="H1802" s="102"/>
      <c r="J1802" s="102"/>
      <c r="K1802" s="450"/>
      <c r="L1802" s="443"/>
      <c r="M1802" s="450"/>
      <c r="N1802" s="452">
        <f t="array" ref="N1802">IFERROR(
  INDEX(
    'Valor Hora Real y Estimada'!$A$4:$Z$78,
    MATCH(TRIM(CLEAN(A1802)), 'Valor Hora Real y Estimada'!$A$4:$A$78, 0),
    MATCH(
      TEXT(C1802,"dd mmm")&amp;" "&amp;D1802,
      'Valor Hora Real y Estimada'!$A$3:$Z$3,
      0
    ) + 1
  ),
  0
)</f>
        <v>0</v>
      </c>
      <c r="O1802" s="453"/>
      <c r="P1802" s="113"/>
      <c r="Q1802" s="106" t="str">
        <f>IF(ISBLANK(O1802), "", VLOOKUP(C1802&amp;" "&amp;D1802, 'Info Tipo de Cambio y REM'!$A$24:$B$35, 2, FALSE))</f>
        <v/>
      </c>
      <c r="R1802" s="107" t="str">
        <f t="shared" si="32"/>
        <v/>
      </c>
    </row>
    <row r="1803" hidden="1">
      <c r="A1803" s="443"/>
      <c r="B1803" s="43" t="str">
        <f>IF(A1803="", "", IFERROR(VLOOKUP(A1803, Clasificaciones!A:B, 2, FALSE), "DATO NO CARGADO"))
</f>
        <v/>
      </c>
      <c r="C1803" s="51"/>
      <c r="D1803" s="102"/>
      <c r="E1803" s="102"/>
      <c r="H1803" s="102"/>
      <c r="J1803" s="102"/>
      <c r="K1803" s="450"/>
      <c r="L1803" s="443"/>
      <c r="M1803" s="450"/>
      <c r="N1803" s="452">
        <f t="array" ref="N1803">IFERROR(
  INDEX(
    'Valor Hora Real y Estimada'!$A$4:$Z$78,
    MATCH(TRIM(CLEAN(A1803)), 'Valor Hora Real y Estimada'!$A$4:$A$78, 0),
    MATCH(
      TEXT(C1803,"dd mmm")&amp;" "&amp;D1803,
      'Valor Hora Real y Estimada'!$A$3:$Z$3,
      0
    ) + 1
  ),
  0
)</f>
        <v>0</v>
      </c>
      <c r="O1803" s="453"/>
      <c r="P1803" s="113"/>
      <c r="Q1803" s="106" t="str">
        <f>IF(ISBLANK(O1803), "", VLOOKUP(C1803&amp;" "&amp;D1803, 'Info Tipo de Cambio y REM'!$A$24:$B$35, 2, FALSE))</f>
        <v/>
      </c>
      <c r="R1803" s="107" t="str">
        <f t="shared" si="32"/>
        <v/>
      </c>
    </row>
    <row r="1804" hidden="1">
      <c r="A1804" s="443"/>
      <c r="B1804" s="43" t="str">
        <f>IF(A1804="", "", IFERROR(VLOOKUP(A1804, Clasificaciones!A:B, 2, FALSE), "DATO NO CARGADO"))
</f>
        <v/>
      </c>
      <c r="C1804" s="51"/>
      <c r="D1804" s="102"/>
      <c r="E1804" s="102"/>
      <c r="H1804" s="102"/>
      <c r="J1804" s="102"/>
      <c r="K1804" s="450"/>
      <c r="L1804" s="443"/>
      <c r="M1804" s="450"/>
      <c r="N1804" s="452">
        <f t="array" ref="N1804">IFERROR(
  INDEX(
    'Valor Hora Real y Estimada'!$A$4:$Z$78,
    MATCH(TRIM(CLEAN(A1804)), 'Valor Hora Real y Estimada'!$A$4:$A$78, 0),
    MATCH(
      TEXT(C1804,"dd mmm")&amp;" "&amp;D1804,
      'Valor Hora Real y Estimada'!$A$3:$Z$3,
      0
    ) + 1
  ),
  0
)</f>
        <v>0</v>
      </c>
      <c r="O1804" s="453"/>
      <c r="P1804" s="113"/>
      <c r="Q1804" s="106" t="str">
        <f>IF(ISBLANK(O1804), "", VLOOKUP(C1804&amp;" "&amp;D1804, 'Info Tipo de Cambio y REM'!$A$24:$B$35, 2, FALSE))</f>
        <v/>
      </c>
      <c r="R1804" s="107" t="str">
        <f t="shared" si="32"/>
        <v/>
      </c>
    </row>
    <row r="1805" hidden="1">
      <c r="A1805" s="443"/>
      <c r="B1805" s="43" t="str">
        <f>IF(A1805="", "", IFERROR(VLOOKUP(A1805, Clasificaciones!A:B, 2, FALSE), "DATO NO CARGADO"))
</f>
        <v/>
      </c>
      <c r="C1805" s="51"/>
      <c r="D1805" s="102"/>
      <c r="E1805" s="102"/>
      <c r="H1805" s="102"/>
      <c r="J1805" s="102"/>
      <c r="K1805" s="450"/>
      <c r="L1805" s="443"/>
      <c r="M1805" s="450"/>
      <c r="N1805" s="452">
        <f t="array" ref="N1805">IFERROR(
  INDEX(
    'Valor Hora Real y Estimada'!$A$4:$Z$78,
    MATCH(TRIM(CLEAN(A1805)), 'Valor Hora Real y Estimada'!$A$4:$A$78, 0),
    MATCH(
      TEXT(C1805,"dd mmm")&amp;" "&amp;D1805,
      'Valor Hora Real y Estimada'!$A$3:$Z$3,
      0
    ) + 1
  ),
  0
)</f>
        <v>0</v>
      </c>
      <c r="O1805" s="453"/>
      <c r="P1805" s="113"/>
      <c r="Q1805" s="106" t="str">
        <f>IF(ISBLANK(O1805), "", VLOOKUP(C1805&amp;" "&amp;D1805, 'Info Tipo de Cambio y REM'!$A$24:$B$35, 2, FALSE))</f>
        <v/>
      </c>
      <c r="R1805" s="107" t="str">
        <f t="shared" si="32"/>
        <v/>
      </c>
    </row>
    <row r="1806" hidden="1">
      <c r="A1806" s="443"/>
      <c r="B1806" s="43" t="str">
        <f>IF(A1806="", "", IFERROR(VLOOKUP(A1806, Clasificaciones!A:B, 2, FALSE), "DATO NO CARGADO"))
</f>
        <v/>
      </c>
      <c r="C1806" s="51"/>
      <c r="D1806" s="102"/>
      <c r="E1806" s="102"/>
      <c r="H1806" s="102"/>
      <c r="J1806" s="102"/>
      <c r="K1806" s="450"/>
      <c r="L1806" s="443"/>
      <c r="M1806" s="450"/>
      <c r="N1806" s="452">
        <f t="array" ref="N1806">IFERROR(
  INDEX(
    'Valor Hora Real y Estimada'!$A$4:$Z$78,
    MATCH(TRIM(CLEAN(A1806)), 'Valor Hora Real y Estimada'!$A$4:$A$78, 0),
    MATCH(
      TEXT(C1806,"dd mmm")&amp;" "&amp;D1806,
      'Valor Hora Real y Estimada'!$A$3:$Z$3,
      0
    ) + 1
  ),
  0
)</f>
        <v>0</v>
      </c>
      <c r="O1806" s="453"/>
      <c r="P1806" s="113"/>
      <c r="Q1806" s="106" t="str">
        <f>IF(ISBLANK(O1806), "", VLOOKUP(C1806&amp;" "&amp;D1806, 'Info Tipo de Cambio y REM'!$A$24:$B$35, 2, FALSE))</f>
        <v/>
      </c>
      <c r="R1806" s="107" t="str">
        <f t="shared" si="32"/>
        <v/>
      </c>
    </row>
    <row r="1807" hidden="1">
      <c r="A1807" s="443"/>
      <c r="B1807" s="43" t="str">
        <f>IF(A1807="", "", IFERROR(VLOOKUP(A1807, Clasificaciones!A:B, 2, FALSE), "DATO NO CARGADO"))
</f>
        <v/>
      </c>
      <c r="C1807" s="51"/>
      <c r="D1807" s="102"/>
      <c r="E1807" s="102"/>
      <c r="H1807" s="102"/>
      <c r="J1807" s="102"/>
      <c r="K1807" s="450"/>
      <c r="L1807" s="443"/>
      <c r="M1807" s="450"/>
      <c r="N1807" s="452">
        <f t="array" ref="N1807">IFERROR(
  INDEX(
    'Valor Hora Real y Estimada'!$A$4:$Z$78,
    MATCH(TRIM(CLEAN(A1807)), 'Valor Hora Real y Estimada'!$A$4:$A$78, 0),
    MATCH(
      TEXT(C1807,"dd mmm")&amp;" "&amp;D1807,
      'Valor Hora Real y Estimada'!$A$3:$Z$3,
      0
    ) + 1
  ),
  0
)</f>
        <v>0</v>
      </c>
      <c r="O1807" s="453"/>
      <c r="P1807" s="113"/>
      <c r="Q1807" s="106" t="str">
        <f>IF(ISBLANK(O1807), "", VLOOKUP(C1807&amp;" "&amp;D1807, 'Info Tipo de Cambio y REM'!$A$24:$B$35, 2, FALSE))</f>
        <v/>
      </c>
      <c r="R1807" s="107" t="str">
        <f t="shared" si="32"/>
        <v/>
      </c>
    </row>
    <row r="1808" hidden="1">
      <c r="A1808" s="443"/>
      <c r="B1808" s="43" t="str">
        <f>IF(A1808="", "", IFERROR(VLOOKUP(A1808, Clasificaciones!A:B, 2, FALSE), "DATO NO CARGADO"))
</f>
        <v/>
      </c>
      <c r="C1808" s="51"/>
      <c r="D1808" s="102"/>
      <c r="E1808" s="102"/>
      <c r="H1808" s="102"/>
      <c r="J1808" s="102"/>
      <c r="K1808" s="450"/>
      <c r="L1808" s="443"/>
      <c r="M1808" s="450"/>
      <c r="N1808" s="452">
        <f t="array" ref="N1808">IFERROR(
  INDEX(
    'Valor Hora Real y Estimada'!$A$4:$Z$78,
    MATCH(TRIM(CLEAN(A1808)), 'Valor Hora Real y Estimada'!$A$4:$A$78, 0),
    MATCH(
      TEXT(C1808,"dd mmm")&amp;" "&amp;D1808,
      'Valor Hora Real y Estimada'!$A$3:$Z$3,
      0
    ) + 1
  ),
  0
)</f>
        <v>0</v>
      </c>
      <c r="O1808" s="453"/>
      <c r="P1808" s="113"/>
      <c r="Q1808" s="106" t="str">
        <f>IF(ISBLANK(O1808), "", VLOOKUP(C1808&amp;" "&amp;D1808, 'Info Tipo de Cambio y REM'!$A$24:$B$35, 2, FALSE))</f>
        <v/>
      </c>
      <c r="R1808" s="107" t="str">
        <f t="shared" si="32"/>
        <v/>
      </c>
    </row>
    <row r="1809" hidden="1">
      <c r="A1809" s="443"/>
      <c r="B1809" s="43" t="str">
        <f>IF(A1809="", "", IFERROR(VLOOKUP(A1809, Clasificaciones!A:B, 2, FALSE), "DATO NO CARGADO"))
</f>
        <v/>
      </c>
      <c r="C1809" s="51"/>
      <c r="D1809" s="102"/>
      <c r="E1809" s="102"/>
      <c r="H1809" s="102"/>
      <c r="J1809" s="102"/>
      <c r="K1809" s="450"/>
      <c r="L1809" s="443"/>
      <c r="M1809" s="450"/>
      <c r="N1809" s="452">
        <f t="array" ref="N1809">IFERROR(
  INDEX(
    'Valor Hora Real y Estimada'!$A$4:$Z$78,
    MATCH(TRIM(CLEAN(A1809)), 'Valor Hora Real y Estimada'!$A$4:$A$78, 0),
    MATCH(
      TEXT(C1809,"dd mmm")&amp;" "&amp;D1809,
      'Valor Hora Real y Estimada'!$A$3:$Z$3,
      0
    ) + 1
  ),
  0
)</f>
        <v>0</v>
      </c>
      <c r="O1809" s="453"/>
      <c r="P1809" s="113"/>
      <c r="Q1809" s="106" t="str">
        <f>IF(ISBLANK(O1809), "", VLOOKUP(C1809&amp;" "&amp;D1809, 'Info Tipo de Cambio y REM'!$A$24:$B$35, 2, FALSE))</f>
        <v/>
      </c>
      <c r="R1809" s="107" t="str">
        <f t="shared" si="32"/>
        <v/>
      </c>
    </row>
    <row r="1810" hidden="1">
      <c r="A1810" s="443"/>
      <c r="B1810" s="43" t="str">
        <f>IF(A1810="", "", IFERROR(VLOOKUP(A1810, Clasificaciones!A:B, 2, FALSE), "DATO NO CARGADO"))
</f>
        <v/>
      </c>
      <c r="C1810" s="51"/>
      <c r="D1810" s="102"/>
      <c r="E1810" s="102"/>
      <c r="H1810" s="102"/>
      <c r="J1810" s="102"/>
      <c r="K1810" s="450"/>
      <c r="L1810" s="443"/>
      <c r="M1810" s="450"/>
      <c r="N1810" s="452">
        <f t="array" ref="N1810">IFERROR(
  INDEX(
    'Valor Hora Real y Estimada'!$A$4:$Z$78,
    MATCH(TRIM(CLEAN(A1810)), 'Valor Hora Real y Estimada'!$A$4:$A$78, 0),
    MATCH(
      TEXT(C1810,"dd mmm")&amp;" "&amp;D1810,
      'Valor Hora Real y Estimada'!$A$3:$Z$3,
      0
    ) + 1
  ),
  0
)</f>
        <v>0</v>
      </c>
      <c r="O1810" s="453"/>
      <c r="P1810" s="113"/>
      <c r="Q1810" s="106" t="str">
        <f>IF(ISBLANK(O1810), "", VLOOKUP(C1810&amp;" "&amp;D1810, 'Info Tipo de Cambio y REM'!$A$24:$B$35, 2, FALSE))</f>
        <v/>
      </c>
      <c r="R1810" s="107" t="str">
        <f t="shared" si="32"/>
        <v/>
      </c>
    </row>
    <row r="1811" hidden="1">
      <c r="A1811" s="443"/>
      <c r="B1811" s="43" t="str">
        <f>IF(A1811="", "", IFERROR(VLOOKUP(A1811, Clasificaciones!A:B, 2, FALSE), "DATO NO CARGADO"))
</f>
        <v/>
      </c>
      <c r="C1811" s="51"/>
      <c r="D1811" s="102"/>
      <c r="E1811" s="102"/>
      <c r="H1811" s="102"/>
      <c r="J1811" s="102"/>
      <c r="K1811" s="450"/>
      <c r="L1811" s="443"/>
      <c r="M1811" s="450"/>
      <c r="N1811" s="452">
        <f t="array" ref="N1811">IFERROR(
  INDEX(
    'Valor Hora Real y Estimada'!$A$4:$Z$78,
    MATCH(TRIM(CLEAN(A1811)), 'Valor Hora Real y Estimada'!$A$4:$A$78, 0),
    MATCH(
      TEXT(C1811,"dd mmm")&amp;" "&amp;D1811,
      'Valor Hora Real y Estimada'!$A$3:$Z$3,
      0
    ) + 1
  ),
  0
)</f>
        <v>0</v>
      </c>
      <c r="O1811" s="453"/>
      <c r="P1811" s="113"/>
      <c r="Q1811" s="106" t="str">
        <f>IF(ISBLANK(O1811), "", VLOOKUP(C1811&amp;" "&amp;D1811, 'Info Tipo de Cambio y REM'!$A$24:$B$35, 2, FALSE))</f>
        <v/>
      </c>
      <c r="R1811" s="107" t="str">
        <f t="shared" si="32"/>
        <v/>
      </c>
    </row>
    <row r="1812" hidden="1">
      <c r="A1812" s="443"/>
      <c r="B1812" s="43" t="str">
        <f>IF(A1812="", "", IFERROR(VLOOKUP(A1812, Clasificaciones!A:B, 2, FALSE), "DATO NO CARGADO"))
</f>
        <v/>
      </c>
      <c r="C1812" s="51"/>
      <c r="D1812" s="102"/>
      <c r="E1812" s="102"/>
      <c r="H1812" s="102"/>
      <c r="J1812" s="102"/>
      <c r="K1812" s="450"/>
      <c r="L1812" s="443"/>
      <c r="M1812" s="450"/>
      <c r="N1812" s="452">
        <f t="array" ref="N1812">IFERROR(
  INDEX(
    'Valor Hora Real y Estimada'!$A$4:$Z$78,
    MATCH(TRIM(CLEAN(A1812)), 'Valor Hora Real y Estimada'!$A$4:$A$78, 0),
    MATCH(
      TEXT(C1812,"dd mmm")&amp;" "&amp;D1812,
      'Valor Hora Real y Estimada'!$A$3:$Z$3,
      0
    ) + 1
  ),
  0
)</f>
        <v>0</v>
      </c>
      <c r="O1812" s="453"/>
      <c r="P1812" s="113"/>
      <c r="Q1812" s="106" t="str">
        <f>IF(ISBLANK(O1812), "", VLOOKUP(C1812&amp;" "&amp;D1812, 'Info Tipo de Cambio y REM'!$A$24:$B$35, 2, FALSE))</f>
        <v/>
      </c>
      <c r="R1812" s="107" t="str">
        <f t="shared" si="32"/>
        <v/>
      </c>
    </row>
    <row r="1813" hidden="1">
      <c r="A1813" s="443"/>
      <c r="B1813" s="43" t="str">
        <f>IF(A1813="", "", IFERROR(VLOOKUP(A1813, Clasificaciones!A:B, 2, FALSE), "DATO NO CARGADO"))
</f>
        <v/>
      </c>
      <c r="C1813" s="51"/>
      <c r="D1813" s="102"/>
      <c r="E1813" s="102"/>
      <c r="H1813" s="102"/>
      <c r="J1813" s="102"/>
      <c r="K1813" s="450"/>
      <c r="L1813" s="443"/>
      <c r="M1813" s="450"/>
      <c r="N1813" s="452">
        <f t="array" ref="N1813">IFERROR(
  INDEX(
    'Valor Hora Real y Estimada'!$A$4:$Z$78,
    MATCH(TRIM(CLEAN(A1813)), 'Valor Hora Real y Estimada'!$A$4:$A$78, 0),
    MATCH(
      TEXT(C1813,"dd mmm")&amp;" "&amp;D1813,
      'Valor Hora Real y Estimada'!$A$3:$Z$3,
      0
    ) + 1
  ),
  0
)</f>
        <v>0</v>
      </c>
      <c r="O1813" s="453"/>
      <c r="P1813" s="113"/>
      <c r="Q1813" s="106" t="str">
        <f>IF(ISBLANK(O1813), "", VLOOKUP(C1813&amp;" "&amp;D1813, 'Info Tipo de Cambio y REM'!$A$24:$B$35, 2, FALSE))</f>
        <v/>
      </c>
      <c r="R1813" s="107" t="str">
        <f t="shared" si="32"/>
        <v/>
      </c>
    </row>
    <row r="1814" hidden="1">
      <c r="A1814" s="443"/>
      <c r="B1814" s="43" t="str">
        <f>IF(A1814="", "", IFERROR(VLOOKUP(A1814, Clasificaciones!A:B, 2, FALSE), "DATO NO CARGADO"))
</f>
        <v/>
      </c>
      <c r="C1814" s="51"/>
      <c r="D1814" s="102"/>
      <c r="E1814" s="102"/>
      <c r="H1814" s="102"/>
      <c r="J1814" s="102"/>
      <c r="K1814" s="450"/>
      <c r="L1814" s="443"/>
      <c r="M1814" s="450"/>
      <c r="N1814" s="452">
        <f t="array" ref="N1814">IFERROR(
  INDEX(
    'Valor Hora Real y Estimada'!$A$4:$Z$78,
    MATCH(TRIM(CLEAN(A1814)), 'Valor Hora Real y Estimada'!$A$4:$A$78, 0),
    MATCH(
      TEXT(C1814,"dd mmm")&amp;" "&amp;D1814,
      'Valor Hora Real y Estimada'!$A$3:$Z$3,
      0
    ) + 1
  ),
  0
)</f>
        <v>0</v>
      </c>
      <c r="O1814" s="453"/>
      <c r="P1814" s="113"/>
      <c r="Q1814" s="106" t="str">
        <f>IF(ISBLANK(O1814), "", VLOOKUP(C1814&amp;" "&amp;D1814, 'Info Tipo de Cambio y REM'!$A$24:$B$35, 2, FALSE))</f>
        <v/>
      </c>
      <c r="R1814" s="107" t="str">
        <f t="shared" si="32"/>
        <v/>
      </c>
    </row>
    <row r="1815" hidden="1">
      <c r="A1815" s="443"/>
      <c r="B1815" s="43" t="str">
        <f>IF(A1815="", "", IFERROR(VLOOKUP(A1815, Clasificaciones!A:B, 2, FALSE), "DATO NO CARGADO"))
</f>
        <v/>
      </c>
      <c r="C1815" s="51"/>
      <c r="D1815" s="102"/>
      <c r="E1815" s="102"/>
      <c r="H1815" s="102"/>
      <c r="J1815" s="102"/>
      <c r="K1815" s="450"/>
      <c r="L1815" s="443"/>
      <c r="M1815" s="450"/>
      <c r="N1815" s="452">
        <f t="array" ref="N1815">IFERROR(
  INDEX(
    'Valor Hora Real y Estimada'!$A$4:$Z$78,
    MATCH(TRIM(CLEAN(A1815)), 'Valor Hora Real y Estimada'!$A$4:$A$78, 0),
    MATCH(
      TEXT(C1815,"dd mmm")&amp;" "&amp;D1815,
      'Valor Hora Real y Estimada'!$A$3:$Z$3,
      0
    ) + 1
  ),
  0
)</f>
        <v>0</v>
      </c>
      <c r="O1815" s="453"/>
      <c r="P1815" s="113"/>
      <c r="Q1815" s="106" t="str">
        <f>IF(ISBLANK(O1815), "", VLOOKUP(C1815&amp;" "&amp;D1815, 'Info Tipo de Cambio y REM'!$A$24:$B$35, 2, FALSE))</f>
        <v/>
      </c>
      <c r="R1815" s="107" t="str">
        <f t="shared" si="32"/>
        <v/>
      </c>
    </row>
    <row r="1816" hidden="1">
      <c r="A1816" s="443"/>
      <c r="B1816" s="43" t="str">
        <f>IF(A1816="", "", IFERROR(VLOOKUP(A1816, Clasificaciones!A:B, 2, FALSE), "DATO NO CARGADO"))
</f>
        <v/>
      </c>
      <c r="C1816" s="51"/>
      <c r="D1816" s="102"/>
      <c r="E1816" s="102"/>
      <c r="H1816" s="102"/>
      <c r="J1816" s="102"/>
      <c r="K1816" s="450"/>
      <c r="L1816" s="443"/>
      <c r="M1816" s="450"/>
      <c r="N1816" s="452">
        <f t="array" ref="N1816">IFERROR(
  INDEX(
    'Valor Hora Real y Estimada'!$A$4:$Z$78,
    MATCH(TRIM(CLEAN(A1816)), 'Valor Hora Real y Estimada'!$A$4:$A$78, 0),
    MATCH(
      TEXT(C1816,"dd mmm")&amp;" "&amp;D1816,
      'Valor Hora Real y Estimada'!$A$3:$Z$3,
      0
    ) + 1
  ),
  0
)</f>
        <v>0</v>
      </c>
      <c r="O1816" s="453"/>
      <c r="P1816" s="113"/>
      <c r="Q1816" s="106" t="str">
        <f>IF(ISBLANK(O1816), "", VLOOKUP(C1816&amp;" "&amp;D1816, 'Info Tipo de Cambio y REM'!$A$24:$B$35, 2, FALSE))</f>
        <v/>
      </c>
      <c r="R1816" s="107" t="str">
        <f t="shared" si="32"/>
        <v/>
      </c>
    </row>
    <row r="1817" hidden="1">
      <c r="A1817" s="443"/>
      <c r="B1817" s="43" t="str">
        <f>IF(A1817="", "", IFERROR(VLOOKUP(A1817, Clasificaciones!A:B, 2, FALSE), "DATO NO CARGADO"))
</f>
        <v/>
      </c>
      <c r="C1817" s="51"/>
      <c r="D1817" s="102"/>
      <c r="E1817" s="102"/>
      <c r="H1817" s="102"/>
      <c r="J1817" s="102"/>
      <c r="K1817" s="450"/>
      <c r="L1817" s="443"/>
      <c r="M1817" s="450"/>
      <c r="N1817" s="452">
        <f t="array" ref="N1817">IFERROR(
  INDEX(
    'Valor Hora Real y Estimada'!$A$4:$Z$78,
    MATCH(TRIM(CLEAN(A1817)), 'Valor Hora Real y Estimada'!$A$4:$A$78, 0),
    MATCH(
      TEXT(C1817,"dd mmm")&amp;" "&amp;D1817,
      'Valor Hora Real y Estimada'!$A$3:$Z$3,
      0
    ) + 1
  ),
  0
)</f>
        <v>0</v>
      </c>
      <c r="O1817" s="453"/>
      <c r="P1817" s="113"/>
      <c r="Q1817" s="106" t="str">
        <f>IF(ISBLANK(O1817), "", VLOOKUP(C1817&amp;" "&amp;D1817, 'Info Tipo de Cambio y REM'!$A$24:$B$35, 2, FALSE))</f>
        <v/>
      </c>
      <c r="R1817" s="107" t="str">
        <f t="shared" si="32"/>
        <v/>
      </c>
    </row>
    <row r="1818" hidden="1">
      <c r="A1818" s="443"/>
      <c r="B1818" s="43" t="str">
        <f>IF(A1818="", "", IFERROR(VLOOKUP(A1818, Clasificaciones!A:B, 2, FALSE), "DATO NO CARGADO"))
</f>
        <v/>
      </c>
      <c r="C1818" s="51"/>
      <c r="D1818" s="102"/>
      <c r="E1818" s="102"/>
      <c r="H1818" s="102"/>
      <c r="J1818" s="102"/>
      <c r="K1818" s="450"/>
      <c r="L1818" s="443"/>
      <c r="M1818" s="450"/>
      <c r="N1818" s="452">
        <f t="array" ref="N1818">IFERROR(
  INDEX(
    'Valor Hora Real y Estimada'!$A$4:$Z$78,
    MATCH(TRIM(CLEAN(A1818)), 'Valor Hora Real y Estimada'!$A$4:$A$78, 0),
    MATCH(
      TEXT(C1818,"dd mmm")&amp;" "&amp;D1818,
      'Valor Hora Real y Estimada'!$A$3:$Z$3,
      0
    ) + 1
  ),
  0
)</f>
        <v>0</v>
      </c>
      <c r="O1818" s="453"/>
      <c r="P1818" s="113"/>
      <c r="Q1818" s="106" t="str">
        <f>IF(ISBLANK(O1818), "", VLOOKUP(C1818&amp;" "&amp;D1818, 'Info Tipo de Cambio y REM'!$A$24:$B$35, 2, FALSE))</f>
        <v/>
      </c>
      <c r="R1818" s="107" t="str">
        <f t="shared" si="32"/>
        <v/>
      </c>
    </row>
    <row r="1819" hidden="1">
      <c r="A1819" s="443"/>
      <c r="B1819" s="43" t="str">
        <f>IF(A1819="", "", IFERROR(VLOOKUP(A1819, Clasificaciones!A:B, 2, FALSE), "DATO NO CARGADO"))
</f>
        <v/>
      </c>
      <c r="C1819" s="51"/>
      <c r="D1819" s="102"/>
      <c r="E1819" s="102"/>
      <c r="H1819" s="102"/>
      <c r="J1819" s="102"/>
      <c r="K1819" s="450"/>
      <c r="L1819" s="443"/>
      <c r="M1819" s="450"/>
      <c r="N1819" s="452">
        <f t="array" ref="N1819">IFERROR(
  INDEX(
    'Valor Hora Real y Estimada'!$A$4:$Z$78,
    MATCH(TRIM(CLEAN(A1819)), 'Valor Hora Real y Estimada'!$A$4:$A$78, 0),
    MATCH(
      TEXT(C1819,"dd mmm")&amp;" "&amp;D1819,
      'Valor Hora Real y Estimada'!$A$3:$Z$3,
      0
    ) + 1
  ),
  0
)</f>
        <v>0</v>
      </c>
      <c r="O1819" s="453"/>
      <c r="P1819" s="113"/>
      <c r="Q1819" s="106" t="str">
        <f>IF(ISBLANK(O1819), "", VLOOKUP(C1819&amp;" "&amp;D1819, 'Info Tipo de Cambio y REM'!$A$24:$B$35, 2, FALSE))</f>
        <v/>
      </c>
      <c r="R1819" s="107" t="str">
        <f t="shared" si="32"/>
        <v/>
      </c>
    </row>
    <row r="1820" hidden="1">
      <c r="A1820" s="443"/>
      <c r="B1820" s="43" t="str">
        <f>IF(A1820="", "", IFERROR(VLOOKUP(A1820, Clasificaciones!A:B, 2, FALSE), "DATO NO CARGADO"))
</f>
        <v/>
      </c>
      <c r="C1820" s="51"/>
      <c r="D1820" s="102"/>
      <c r="E1820" s="102"/>
      <c r="H1820" s="102"/>
      <c r="J1820" s="102"/>
      <c r="K1820" s="450"/>
      <c r="L1820" s="443"/>
      <c r="M1820" s="450"/>
      <c r="N1820" s="452">
        <f t="array" ref="N1820">IFERROR(
  INDEX(
    'Valor Hora Real y Estimada'!$A$4:$Z$78,
    MATCH(TRIM(CLEAN(A1820)), 'Valor Hora Real y Estimada'!$A$4:$A$78, 0),
    MATCH(
      TEXT(C1820,"dd mmm")&amp;" "&amp;D1820,
      'Valor Hora Real y Estimada'!$A$3:$Z$3,
      0
    ) + 1
  ),
  0
)</f>
        <v>0</v>
      </c>
      <c r="O1820" s="453"/>
      <c r="P1820" s="113"/>
      <c r="Q1820" s="106" t="str">
        <f>IF(ISBLANK(O1820), "", VLOOKUP(C1820&amp;" "&amp;D1820, 'Info Tipo de Cambio y REM'!$A$24:$B$35, 2, FALSE))</f>
        <v/>
      </c>
      <c r="R1820" s="107" t="str">
        <f t="shared" si="32"/>
        <v/>
      </c>
    </row>
    <row r="1821" hidden="1">
      <c r="A1821" s="443"/>
      <c r="B1821" s="43" t="str">
        <f>IF(A1821="", "", IFERROR(VLOOKUP(A1821, Clasificaciones!A:B, 2, FALSE), "DATO NO CARGADO"))
</f>
        <v/>
      </c>
      <c r="C1821" s="51"/>
      <c r="D1821" s="102"/>
      <c r="E1821" s="102"/>
      <c r="H1821" s="102"/>
      <c r="J1821" s="102"/>
      <c r="K1821" s="450"/>
      <c r="L1821" s="443"/>
      <c r="M1821" s="450"/>
      <c r="N1821" s="452">
        <f t="array" ref="N1821">IFERROR(
  INDEX(
    'Valor Hora Real y Estimada'!$A$4:$Z$78,
    MATCH(TRIM(CLEAN(A1821)), 'Valor Hora Real y Estimada'!$A$4:$A$78, 0),
    MATCH(
      TEXT(C1821,"dd mmm")&amp;" "&amp;D1821,
      'Valor Hora Real y Estimada'!$A$3:$Z$3,
      0
    ) + 1
  ),
  0
)</f>
        <v>0</v>
      </c>
      <c r="O1821" s="453"/>
      <c r="P1821" s="113"/>
      <c r="Q1821" s="106" t="str">
        <f>IF(ISBLANK(O1821), "", VLOOKUP(C1821&amp;" "&amp;D1821, 'Info Tipo de Cambio y REM'!$A$24:$B$35, 2, FALSE))</f>
        <v/>
      </c>
      <c r="R1821" s="107" t="str">
        <f t="shared" si="32"/>
        <v/>
      </c>
    </row>
    <row r="1822" hidden="1">
      <c r="A1822" s="443"/>
      <c r="B1822" s="43" t="str">
        <f>IF(A1822="", "", IFERROR(VLOOKUP(A1822, Clasificaciones!A:B, 2, FALSE), "DATO NO CARGADO"))
</f>
        <v/>
      </c>
      <c r="C1822" s="51"/>
      <c r="D1822" s="102"/>
      <c r="E1822" s="102"/>
      <c r="H1822" s="102"/>
      <c r="J1822" s="102"/>
      <c r="K1822" s="450"/>
      <c r="L1822" s="443"/>
      <c r="M1822" s="450"/>
      <c r="N1822" s="452">
        <f t="array" ref="N1822">IFERROR(
  INDEX(
    'Valor Hora Real y Estimada'!$A$4:$Z$78,
    MATCH(TRIM(CLEAN(A1822)), 'Valor Hora Real y Estimada'!$A$4:$A$78, 0),
    MATCH(
      TEXT(C1822,"dd mmm")&amp;" "&amp;D1822,
      'Valor Hora Real y Estimada'!$A$3:$Z$3,
      0
    ) + 1
  ),
  0
)</f>
        <v>0</v>
      </c>
      <c r="O1822" s="453"/>
      <c r="P1822" s="113"/>
      <c r="Q1822" s="106" t="str">
        <f>IF(ISBLANK(O1822), "", VLOOKUP(C1822&amp;" "&amp;D1822, 'Info Tipo de Cambio y REM'!$A$24:$B$35, 2, FALSE))</f>
        <v/>
      </c>
      <c r="R1822" s="107" t="str">
        <f t="shared" si="32"/>
        <v/>
      </c>
    </row>
    <row r="1823" hidden="1">
      <c r="A1823" s="443"/>
      <c r="B1823" s="43" t="str">
        <f>IF(A1823="", "", IFERROR(VLOOKUP(A1823, Clasificaciones!A:B, 2, FALSE), "DATO NO CARGADO"))
</f>
        <v/>
      </c>
      <c r="C1823" s="51"/>
      <c r="D1823" s="102"/>
      <c r="E1823" s="102"/>
      <c r="H1823" s="102"/>
      <c r="J1823" s="102"/>
      <c r="K1823" s="450"/>
      <c r="L1823" s="443"/>
      <c r="M1823" s="450"/>
      <c r="N1823" s="452">
        <f t="array" ref="N1823">IFERROR(
  INDEX(
    'Valor Hora Real y Estimada'!$A$4:$Z$78,
    MATCH(TRIM(CLEAN(A1823)), 'Valor Hora Real y Estimada'!$A$4:$A$78, 0),
    MATCH(
      TEXT(C1823,"dd mmm")&amp;" "&amp;D1823,
      'Valor Hora Real y Estimada'!$A$3:$Z$3,
      0
    ) + 1
  ),
  0
)</f>
        <v>0</v>
      </c>
      <c r="O1823" s="453"/>
      <c r="P1823" s="113"/>
      <c r="Q1823" s="106" t="str">
        <f>IF(ISBLANK(O1823), "", VLOOKUP(C1823&amp;" "&amp;D1823, 'Info Tipo de Cambio y REM'!$A$24:$B$35, 2, FALSE))</f>
        <v/>
      </c>
      <c r="R1823" s="107" t="str">
        <f t="shared" si="32"/>
        <v/>
      </c>
    </row>
    <row r="1824" hidden="1">
      <c r="A1824" s="443"/>
      <c r="B1824" s="43" t="str">
        <f>IF(A1824="", "", IFERROR(VLOOKUP(A1824, Clasificaciones!A:B, 2, FALSE), "DATO NO CARGADO"))
</f>
        <v/>
      </c>
      <c r="C1824" s="51"/>
      <c r="D1824" s="102"/>
      <c r="E1824" s="102"/>
      <c r="H1824" s="102"/>
      <c r="J1824" s="102"/>
      <c r="K1824" s="450"/>
      <c r="L1824" s="443"/>
      <c r="M1824" s="450"/>
      <c r="N1824" s="452">
        <f t="array" ref="N1824">IFERROR(
  INDEX(
    'Valor Hora Real y Estimada'!$A$4:$Z$78,
    MATCH(TRIM(CLEAN(A1824)), 'Valor Hora Real y Estimada'!$A$4:$A$78, 0),
    MATCH(
      TEXT(C1824,"dd mmm")&amp;" "&amp;D1824,
      'Valor Hora Real y Estimada'!$A$3:$Z$3,
      0
    ) + 1
  ),
  0
)</f>
        <v>0</v>
      </c>
      <c r="O1824" s="453"/>
      <c r="P1824" s="113"/>
      <c r="Q1824" s="106" t="str">
        <f>IF(ISBLANK(O1824), "", VLOOKUP(C1824&amp;" "&amp;D1824, 'Info Tipo de Cambio y REM'!$A$24:$B$35, 2, FALSE))</f>
        <v/>
      </c>
      <c r="R1824" s="107" t="str">
        <f t="shared" si="32"/>
        <v/>
      </c>
    </row>
    <row r="1825" hidden="1">
      <c r="A1825" s="443"/>
      <c r="B1825" s="43" t="str">
        <f>IF(A1825="", "", IFERROR(VLOOKUP(A1825, Clasificaciones!A:B, 2, FALSE), "DATO NO CARGADO"))
</f>
        <v/>
      </c>
      <c r="C1825" s="51"/>
      <c r="D1825" s="102"/>
      <c r="E1825" s="102"/>
      <c r="H1825" s="102"/>
      <c r="J1825" s="102"/>
      <c r="K1825" s="450"/>
      <c r="L1825" s="443"/>
      <c r="M1825" s="450"/>
      <c r="N1825" s="452">
        <f t="array" ref="N1825">IFERROR(
  INDEX(
    'Valor Hora Real y Estimada'!$A$4:$Z$78,
    MATCH(TRIM(CLEAN(A1825)), 'Valor Hora Real y Estimada'!$A$4:$A$78, 0),
    MATCH(
      TEXT(C1825,"dd mmm")&amp;" "&amp;D1825,
      'Valor Hora Real y Estimada'!$A$3:$Z$3,
      0
    ) + 1
  ),
  0
)</f>
        <v>0</v>
      </c>
      <c r="O1825" s="453"/>
      <c r="P1825" s="113"/>
      <c r="Q1825" s="106" t="str">
        <f>IF(ISBLANK(O1825), "", VLOOKUP(C1825&amp;" "&amp;D1825, 'Info Tipo de Cambio y REM'!$A$24:$B$35, 2, FALSE))</f>
        <v/>
      </c>
      <c r="R1825" s="107" t="str">
        <f t="shared" si="32"/>
        <v/>
      </c>
    </row>
    <row r="1826" hidden="1">
      <c r="A1826" s="443"/>
      <c r="B1826" s="43" t="str">
        <f>IF(A1826="", "", IFERROR(VLOOKUP(A1826, Clasificaciones!A:B, 2, FALSE), "DATO NO CARGADO"))
</f>
        <v/>
      </c>
      <c r="C1826" s="51"/>
      <c r="D1826" s="102"/>
      <c r="E1826" s="102"/>
      <c r="H1826" s="102"/>
      <c r="J1826" s="102"/>
      <c r="K1826" s="450"/>
      <c r="L1826" s="443"/>
      <c r="M1826" s="450"/>
      <c r="N1826" s="452">
        <f t="array" ref="N1826">IFERROR(
  INDEX(
    'Valor Hora Real y Estimada'!$A$4:$Z$78,
    MATCH(TRIM(CLEAN(A1826)), 'Valor Hora Real y Estimada'!$A$4:$A$78, 0),
    MATCH(
      TEXT(C1826,"dd mmm")&amp;" "&amp;D1826,
      'Valor Hora Real y Estimada'!$A$3:$Z$3,
      0
    ) + 1
  ),
  0
)</f>
        <v>0</v>
      </c>
      <c r="O1826" s="453"/>
      <c r="P1826" s="113"/>
      <c r="Q1826" s="106" t="str">
        <f>IF(ISBLANK(O1826), "", VLOOKUP(C1826&amp;" "&amp;D1826, 'Info Tipo de Cambio y REM'!$A$24:$B$35, 2, FALSE))</f>
        <v/>
      </c>
      <c r="R1826" s="107" t="str">
        <f t="shared" si="32"/>
        <v/>
      </c>
    </row>
    <row r="1827" hidden="1">
      <c r="A1827" s="443"/>
      <c r="B1827" s="43" t="str">
        <f>IF(A1827="", "", IFERROR(VLOOKUP(A1827, Clasificaciones!A:B, 2, FALSE), "DATO NO CARGADO"))
</f>
        <v/>
      </c>
      <c r="C1827" s="51"/>
      <c r="D1827" s="102"/>
      <c r="E1827" s="102"/>
      <c r="H1827" s="102"/>
      <c r="J1827" s="102"/>
      <c r="K1827" s="450"/>
      <c r="L1827" s="443"/>
      <c r="M1827" s="450"/>
      <c r="N1827" s="452">
        <f t="array" ref="N1827">IFERROR(
  INDEX(
    'Valor Hora Real y Estimada'!$A$4:$Z$78,
    MATCH(TRIM(CLEAN(A1827)), 'Valor Hora Real y Estimada'!$A$4:$A$78, 0),
    MATCH(
      TEXT(C1827,"dd mmm")&amp;" "&amp;D1827,
      'Valor Hora Real y Estimada'!$A$3:$Z$3,
      0
    ) + 1
  ),
  0
)</f>
        <v>0</v>
      </c>
      <c r="O1827" s="453"/>
      <c r="P1827" s="113"/>
      <c r="Q1827" s="106" t="str">
        <f>IF(ISBLANK(O1827), "", VLOOKUP(C1827&amp;" "&amp;D1827, 'Info Tipo de Cambio y REM'!$A$24:$B$35, 2, FALSE))</f>
        <v/>
      </c>
      <c r="R1827" s="107" t="str">
        <f t="shared" si="32"/>
        <v/>
      </c>
    </row>
    <row r="1828" hidden="1">
      <c r="A1828" s="443"/>
      <c r="B1828" s="43" t="str">
        <f>IF(A1828="", "", IFERROR(VLOOKUP(A1828, Clasificaciones!A:B, 2, FALSE), "DATO NO CARGADO"))
</f>
        <v/>
      </c>
      <c r="C1828" s="51"/>
      <c r="D1828" s="102"/>
      <c r="E1828" s="102"/>
      <c r="H1828" s="102"/>
      <c r="J1828" s="102"/>
      <c r="K1828" s="450"/>
      <c r="L1828" s="443"/>
      <c r="M1828" s="450"/>
      <c r="N1828" s="452">
        <f t="array" ref="N1828">IFERROR(
  INDEX(
    'Valor Hora Real y Estimada'!$A$4:$Z$78,
    MATCH(TRIM(CLEAN(A1828)), 'Valor Hora Real y Estimada'!$A$4:$A$78, 0),
    MATCH(
      TEXT(C1828,"dd mmm")&amp;" "&amp;D1828,
      'Valor Hora Real y Estimada'!$A$3:$Z$3,
      0
    ) + 1
  ),
  0
)</f>
        <v>0</v>
      </c>
      <c r="O1828" s="453"/>
      <c r="P1828" s="113"/>
      <c r="Q1828" s="106" t="str">
        <f>IF(ISBLANK(O1828), "", VLOOKUP(C1828&amp;" "&amp;D1828, 'Info Tipo de Cambio y REM'!$A$24:$B$35, 2, FALSE))</f>
        <v/>
      </c>
      <c r="R1828" s="107" t="str">
        <f t="shared" si="32"/>
        <v/>
      </c>
    </row>
    <row r="1829" hidden="1">
      <c r="A1829" s="443"/>
      <c r="B1829" s="43" t="str">
        <f>IF(A1829="", "", IFERROR(VLOOKUP(A1829, Clasificaciones!A:B, 2, FALSE), "DATO NO CARGADO"))
</f>
        <v/>
      </c>
      <c r="C1829" s="51"/>
      <c r="D1829" s="102"/>
      <c r="E1829" s="102"/>
      <c r="H1829" s="102"/>
      <c r="J1829" s="102"/>
      <c r="K1829" s="450"/>
      <c r="L1829" s="443"/>
      <c r="M1829" s="450"/>
      <c r="N1829" s="452">
        <f t="array" ref="N1829">IFERROR(
  INDEX(
    'Valor Hora Real y Estimada'!$A$4:$Z$78,
    MATCH(TRIM(CLEAN(A1829)), 'Valor Hora Real y Estimada'!$A$4:$A$78, 0),
    MATCH(
      TEXT(C1829,"dd mmm")&amp;" "&amp;D1829,
      'Valor Hora Real y Estimada'!$A$3:$Z$3,
      0
    ) + 1
  ),
  0
)</f>
        <v>0</v>
      </c>
      <c r="O1829" s="453"/>
      <c r="P1829" s="113"/>
      <c r="Q1829" s="106" t="str">
        <f>IF(ISBLANK(O1829), "", VLOOKUP(C1829&amp;" "&amp;D1829, 'Info Tipo de Cambio y REM'!$A$24:$B$35, 2, FALSE))</f>
        <v/>
      </c>
      <c r="R1829" s="107" t="str">
        <f t="shared" si="32"/>
        <v/>
      </c>
    </row>
    <row r="1830" hidden="1">
      <c r="A1830" s="443"/>
      <c r="B1830" s="43" t="str">
        <f>IF(A1830="", "", IFERROR(VLOOKUP(A1830, Clasificaciones!A:B, 2, FALSE), "DATO NO CARGADO"))
</f>
        <v/>
      </c>
      <c r="C1830" s="51"/>
      <c r="D1830" s="102"/>
      <c r="E1830" s="102"/>
      <c r="H1830" s="102"/>
      <c r="J1830" s="102"/>
      <c r="K1830" s="450"/>
      <c r="L1830" s="443"/>
      <c r="M1830" s="450"/>
      <c r="N1830" s="452">
        <f t="array" ref="N1830">IFERROR(
  INDEX(
    'Valor Hora Real y Estimada'!$A$4:$Z$78,
    MATCH(TRIM(CLEAN(A1830)), 'Valor Hora Real y Estimada'!$A$4:$A$78, 0),
    MATCH(
      TEXT(C1830,"dd mmm")&amp;" "&amp;D1830,
      'Valor Hora Real y Estimada'!$A$3:$Z$3,
      0
    ) + 1
  ),
  0
)</f>
        <v>0</v>
      </c>
      <c r="O1830" s="453"/>
      <c r="P1830" s="113"/>
      <c r="Q1830" s="106" t="str">
        <f>IF(ISBLANK(O1830), "", VLOOKUP(C1830&amp;" "&amp;D1830, 'Info Tipo de Cambio y REM'!$A$24:$B$35, 2, FALSE))</f>
        <v/>
      </c>
      <c r="R1830" s="107" t="str">
        <f t="shared" si="32"/>
        <v/>
      </c>
    </row>
    <row r="1831" hidden="1">
      <c r="A1831" s="443"/>
      <c r="B1831" s="43" t="str">
        <f>IF(A1831="", "", IFERROR(VLOOKUP(A1831, Clasificaciones!A:B, 2, FALSE), "DATO NO CARGADO"))
</f>
        <v/>
      </c>
      <c r="C1831" s="51"/>
      <c r="D1831" s="102"/>
      <c r="E1831" s="102"/>
      <c r="H1831" s="102"/>
      <c r="J1831" s="102"/>
      <c r="K1831" s="450"/>
      <c r="L1831" s="443"/>
      <c r="M1831" s="450"/>
      <c r="N1831" s="452">
        <f t="array" ref="N1831">IFERROR(
  INDEX(
    'Valor Hora Real y Estimada'!$A$4:$Z$78,
    MATCH(TRIM(CLEAN(A1831)), 'Valor Hora Real y Estimada'!$A$4:$A$78, 0),
    MATCH(
      TEXT(C1831,"dd mmm")&amp;" "&amp;D1831,
      'Valor Hora Real y Estimada'!$A$3:$Z$3,
      0
    ) + 1
  ),
  0
)</f>
        <v>0</v>
      </c>
      <c r="O1831" s="453"/>
      <c r="P1831" s="113"/>
      <c r="Q1831" s="106" t="str">
        <f>IF(ISBLANK(O1831), "", VLOOKUP(C1831&amp;" "&amp;D1831, 'Info Tipo de Cambio y REM'!$A$24:$B$35, 2, FALSE))</f>
        <v/>
      </c>
      <c r="R1831" s="107" t="str">
        <f t="shared" si="32"/>
        <v/>
      </c>
    </row>
    <row r="1832" hidden="1">
      <c r="A1832" s="443"/>
      <c r="B1832" s="43" t="str">
        <f>IF(A1832="", "", IFERROR(VLOOKUP(A1832, Clasificaciones!A:B, 2, FALSE), "DATO NO CARGADO"))
</f>
        <v/>
      </c>
      <c r="C1832" s="51"/>
      <c r="D1832" s="102"/>
      <c r="E1832" s="102"/>
      <c r="H1832" s="102"/>
      <c r="J1832" s="102"/>
      <c r="K1832" s="450"/>
      <c r="L1832" s="443"/>
      <c r="M1832" s="450"/>
      <c r="N1832" s="452">
        <f t="array" ref="N1832">IFERROR(
  INDEX(
    'Valor Hora Real y Estimada'!$A$4:$Z$78,
    MATCH(TRIM(CLEAN(A1832)), 'Valor Hora Real y Estimada'!$A$4:$A$78, 0),
    MATCH(
      TEXT(C1832,"dd mmm")&amp;" "&amp;D1832,
      'Valor Hora Real y Estimada'!$A$3:$Z$3,
      0
    ) + 1
  ),
  0
)</f>
        <v>0</v>
      </c>
      <c r="O1832" s="453"/>
      <c r="P1832" s="113"/>
      <c r="Q1832" s="106" t="str">
        <f>IF(ISBLANK(O1832), "", VLOOKUP(C1832&amp;" "&amp;D1832, 'Info Tipo de Cambio y REM'!$A$24:$B$35, 2, FALSE))</f>
        <v/>
      </c>
      <c r="R1832" s="107" t="str">
        <f t="shared" si="32"/>
        <v/>
      </c>
    </row>
    <row r="1833" hidden="1">
      <c r="A1833" s="443"/>
      <c r="B1833" s="43" t="str">
        <f>IF(A1833="", "", IFERROR(VLOOKUP(A1833, Clasificaciones!A:B, 2, FALSE), "DATO NO CARGADO"))
</f>
        <v/>
      </c>
      <c r="C1833" s="51"/>
      <c r="D1833" s="102"/>
      <c r="E1833" s="102"/>
      <c r="H1833" s="102"/>
      <c r="J1833" s="102"/>
      <c r="K1833" s="450"/>
      <c r="L1833" s="443"/>
      <c r="M1833" s="450"/>
      <c r="N1833" s="452">
        <f t="array" ref="N1833">IFERROR(
  INDEX(
    'Valor Hora Real y Estimada'!$A$4:$Z$78,
    MATCH(TRIM(CLEAN(A1833)), 'Valor Hora Real y Estimada'!$A$4:$A$78, 0),
    MATCH(
      TEXT(C1833,"dd mmm")&amp;" "&amp;D1833,
      'Valor Hora Real y Estimada'!$A$3:$Z$3,
      0
    ) + 1
  ),
  0
)</f>
        <v>0</v>
      </c>
      <c r="O1833" s="453"/>
      <c r="P1833" s="113"/>
      <c r="Q1833" s="106" t="str">
        <f>IF(ISBLANK(O1833), "", VLOOKUP(C1833&amp;" "&amp;D1833, 'Info Tipo de Cambio y REM'!$A$24:$B$35, 2, FALSE))</f>
        <v/>
      </c>
      <c r="R1833" s="107" t="str">
        <f t="shared" si="32"/>
        <v/>
      </c>
    </row>
    <row r="1834" hidden="1">
      <c r="A1834" s="443"/>
      <c r="B1834" s="43" t="str">
        <f>IF(A1834="", "", IFERROR(VLOOKUP(A1834, Clasificaciones!A:B, 2, FALSE), "DATO NO CARGADO"))
</f>
        <v/>
      </c>
      <c r="C1834" s="51"/>
      <c r="D1834" s="102"/>
      <c r="E1834" s="102"/>
      <c r="H1834" s="102"/>
      <c r="J1834" s="102"/>
      <c r="K1834" s="450"/>
      <c r="L1834" s="443"/>
      <c r="M1834" s="450"/>
      <c r="N1834" s="452">
        <f t="array" ref="N1834">IFERROR(
  INDEX(
    'Valor Hora Real y Estimada'!$A$4:$Z$78,
    MATCH(TRIM(CLEAN(A1834)), 'Valor Hora Real y Estimada'!$A$4:$A$78, 0),
    MATCH(
      TEXT(C1834,"dd mmm")&amp;" "&amp;D1834,
      'Valor Hora Real y Estimada'!$A$3:$Z$3,
      0
    ) + 1
  ),
  0
)</f>
        <v>0</v>
      </c>
      <c r="O1834" s="453"/>
      <c r="P1834" s="113"/>
      <c r="Q1834" s="106" t="str">
        <f>IF(ISBLANK(O1834), "", VLOOKUP(C1834&amp;" "&amp;D1834, 'Info Tipo de Cambio y REM'!$A$24:$B$35, 2, FALSE))</f>
        <v/>
      </c>
      <c r="R1834" s="107" t="str">
        <f t="shared" si="32"/>
        <v/>
      </c>
    </row>
    <row r="1835" hidden="1">
      <c r="A1835" s="443"/>
      <c r="B1835" s="43" t="str">
        <f>IF(A1835="", "", IFERROR(VLOOKUP(A1835, Clasificaciones!A:B, 2, FALSE), "DATO NO CARGADO"))
</f>
        <v/>
      </c>
      <c r="C1835" s="51"/>
      <c r="D1835" s="102"/>
      <c r="E1835" s="102"/>
      <c r="H1835" s="102"/>
      <c r="J1835" s="102"/>
      <c r="K1835" s="450"/>
      <c r="L1835" s="443"/>
      <c r="M1835" s="450"/>
      <c r="N1835" s="452">
        <f t="array" ref="N1835">IFERROR(
  INDEX(
    'Valor Hora Real y Estimada'!$A$4:$Z$78,
    MATCH(TRIM(CLEAN(A1835)), 'Valor Hora Real y Estimada'!$A$4:$A$78, 0),
    MATCH(
      TEXT(C1835,"dd mmm")&amp;" "&amp;D1835,
      'Valor Hora Real y Estimada'!$A$3:$Z$3,
      0
    ) + 1
  ),
  0
)</f>
        <v>0</v>
      </c>
      <c r="O1835" s="453"/>
      <c r="P1835" s="113"/>
      <c r="Q1835" s="106" t="str">
        <f>IF(ISBLANK(O1835), "", VLOOKUP(C1835&amp;" "&amp;D1835, 'Info Tipo de Cambio y REM'!$A$24:$B$35, 2, FALSE))</f>
        <v/>
      </c>
      <c r="R1835" s="107" t="str">
        <f t="shared" si="32"/>
        <v/>
      </c>
    </row>
    <row r="1836" hidden="1">
      <c r="A1836" s="443"/>
      <c r="B1836" s="43" t="str">
        <f>IF(A1836="", "", IFERROR(VLOOKUP(A1836, Clasificaciones!A:B, 2, FALSE), "DATO NO CARGADO"))
</f>
        <v/>
      </c>
      <c r="C1836" s="51"/>
      <c r="D1836" s="102"/>
      <c r="E1836" s="102"/>
      <c r="H1836" s="102"/>
      <c r="J1836" s="102"/>
      <c r="K1836" s="450"/>
      <c r="L1836" s="443"/>
      <c r="M1836" s="450"/>
      <c r="N1836" s="452">
        <f t="array" ref="N1836">IFERROR(
  INDEX(
    'Valor Hora Real y Estimada'!$A$4:$Z$78,
    MATCH(TRIM(CLEAN(A1836)), 'Valor Hora Real y Estimada'!$A$4:$A$78, 0),
    MATCH(
      TEXT(C1836,"dd mmm")&amp;" "&amp;D1836,
      'Valor Hora Real y Estimada'!$A$3:$Z$3,
      0
    ) + 1
  ),
  0
)</f>
        <v>0</v>
      </c>
      <c r="O1836" s="453"/>
      <c r="P1836" s="113"/>
      <c r="Q1836" s="106" t="str">
        <f>IF(ISBLANK(O1836), "", VLOOKUP(C1836&amp;" "&amp;D1836, 'Info Tipo de Cambio y REM'!$A$24:$B$35, 2, FALSE))</f>
        <v/>
      </c>
      <c r="R1836" s="107" t="str">
        <f t="shared" si="32"/>
        <v/>
      </c>
    </row>
    <row r="1837" hidden="1">
      <c r="A1837" s="443"/>
      <c r="B1837" s="43" t="str">
        <f>IF(A1837="", "", IFERROR(VLOOKUP(A1837, Clasificaciones!A:B, 2, FALSE), "DATO NO CARGADO"))
</f>
        <v/>
      </c>
      <c r="C1837" s="51"/>
      <c r="D1837" s="102"/>
      <c r="E1837" s="102"/>
      <c r="H1837" s="102"/>
      <c r="J1837" s="102"/>
      <c r="K1837" s="450"/>
      <c r="L1837" s="443"/>
      <c r="M1837" s="450"/>
      <c r="N1837" s="452">
        <f t="array" ref="N1837">IFERROR(
  INDEX(
    'Valor Hora Real y Estimada'!$A$4:$Z$78,
    MATCH(TRIM(CLEAN(A1837)), 'Valor Hora Real y Estimada'!$A$4:$A$78, 0),
    MATCH(
      TEXT(C1837,"dd mmm")&amp;" "&amp;D1837,
      'Valor Hora Real y Estimada'!$A$3:$Z$3,
      0
    ) + 1
  ),
  0
)</f>
        <v>0</v>
      </c>
      <c r="O1837" s="453"/>
      <c r="P1837" s="113"/>
      <c r="Q1837" s="106" t="str">
        <f>IF(ISBLANK(O1837), "", VLOOKUP(C1837&amp;" "&amp;D1837, 'Info Tipo de Cambio y REM'!$A$24:$B$35, 2, FALSE))</f>
        <v/>
      </c>
      <c r="R1837" s="107" t="str">
        <f t="shared" si="32"/>
        <v/>
      </c>
    </row>
    <row r="1838" hidden="1">
      <c r="A1838" s="443"/>
      <c r="B1838" s="43" t="str">
        <f>IF(A1838="", "", IFERROR(VLOOKUP(A1838, Clasificaciones!A:B, 2, FALSE), "DATO NO CARGADO"))
</f>
        <v/>
      </c>
      <c r="C1838" s="51"/>
      <c r="D1838" s="102"/>
      <c r="E1838" s="102"/>
      <c r="H1838" s="102"/>
      <c r="J1838" s="102"/>
      <c r="K1838" s="450"/>
      <c r="L1838" s="443"/>
      <c r="M1838" s="450"/>
      <c r="N1838" s="452">
        <f t="array" ref="N1838">IFERROR(
  INDEX(
    'Valor Hora Real y Estimada'!$A$4:$Z$78,
    MATCH(TRIM(CLEAN(A1838)), 'Valor Hora Real y Estimada'!$A$4:$A$78, 0),
    MATCH(
      TEXT(C1838,"dd mmm")&amp;" "&amp;D1838,
      'Valor Hora Real y Estimada'!$A$3:$Z$3,
      0
    ) + 1
  ),
  0
)</f>
        <v>0</v>
      </c>
      <c r="O1838" s="453"/>
      <c r="P1838" s="113"/>
      <c r="Q1838" s="106" t="str">
        <f>IF(ISBLANK(O1838), "", VLOOKUP(C1838&amp;" "&amp;D1838, 'Info Tipo de Cambio y REM'!$A$24:$B$35, 2, FALSE))</f>
        <v/>
      </c>
      <c r="R1838" s="107" t="str">
        <f t="shared" si="32"/>
        <v/>
      </c>
    </row>
    <row r="1839" hidden="1">
      <c r="A1839" s="443"/>
      <c r="B1839" s="43" t="str">
        <f>IF(A1839="", "", IFERROR(VLOOKUP(A1839, Clasificaciones!A:B, 2, FALSE), "DATO NO CARGADO"))
</f>
        <v/>
      </c>
      <c r="C1839" s="51"/>
      <c r="D1839" s="102"/>
      <c r="E1839" s="102"/>
      <c r="H1839" s="102"/>
      <c r="J1839" s="102"/>
      <c r="K1839" s="450"/>
      <c r="L1839" s="443"/>
      <c r="M1839" s="450"/>
      <c r="N1839" s="452">
        <f t="array" ref="N1839">IFERROR(
  INDEX(
    'Valor Hora Real y Estimada'!$A$4:$Z$78,
    MATCH(TRIM(CLEAN(A1839)), 'Valor Hora Real y Estimada'!$A$4:$A$78, 0),
    MATCH(
      TEXT(C1839,"dd mmm")&amp;" "&amp;D1839,
      'Valor Hora Real y Estimada'!$A$3:$Z$3,
      0
    ) + 1
  ),
  0
)</f>
        <v>0</v>
      </c>
      <c r="O1839" s="453"/>
      <c r="P1839" s="113"/>
      <c r="Q1839" s="106" t="str">
        <f>IF(ISBLANK(O1839), "", VLOOKUP(C1839&amp;" "&amp;D1839, 'Info Tipo de Cambio y REM'!$A$24:$B$35, 2, FALSE))</f>
        <v/>
      </c>
      <c r="R1839" s="107" t="str">
        <f t="shared" si="32"/>
        <v/>
      </c>
    </row>
    <row r="1840" hidden="1">
      <c r="A1840" s="443"/>
      <c r="B1840" s="43" t="str">
        <f>IF(A1840="", "", IFERROR(VLOOKUP(A1840, Clasificaciones!A:B, 2, FALSE), "DATO NO CARGADO"))
</f>
        <v/>
      </c>
      <c r="C1840" s="51"/>
      <c r="D1840" s="102"/>
      <c r="E1840" s="102"/>
      <c r="H1840" s="102"/>
      <c r="J1840" s="102"/>
      <c r="K1840" s="450"/>
      <c r="L1840" s="443"/>
      <c r="M1840" s="450"/>
      <c r="N1840" s="452">
        <f t="array" ref="N1840">IFERROR(
  INDEX(
    'Valor Hora Real y Estimada'!$A$4:$Z$78,
    MATCH(TRIM(CLEAN(A1840)), 'Valor Hora Real y Estimada'!$A$4:$A$78, 0),
    MATCH(
      TEXT(C1840,"dd mmm")&amp;" "&amp;D1840,
      'Valor Hora Real y Estimada'!$A$3:$Z$3,
      0
    ) + 1
  ),
  0
)</f>
        <v>0</v>
      </c>
      <c r="O1840" s="453"/>
      <c r="P1840" s="113"/>
      <c r="Q1840" s="106" t="str">
        <f>IF(ISBLANK(O1840), "", VLOOKUP(C1840&amp;" "&amp;D1840, 'Info Tipo de Cambio y REM'!$A$24:$B$35, 2, FALSE))</f>
        <v/>
      </c>
      <c r="R1840" s="107" t="str">
        <f t="shared" si="32"/>
        <v/>
      </c>
    </row>
    <row r="1841" hidden="1">
      <c r="A1841" s="443"/>
      <c r="B1841" s="43" t="str">
        <f>IF(A1841="", "", IFERROR(VLOOKUP(A1841, Clasificaciones!A:B, 2, FALSE), "DATO NO CARGADO"))
</f>
        <v/>
      </c>
      <c r="C1841" s="51"/>
      <c r="D1841" s="102"/>
      <c r="E1841" s="102"/>
      <c r="H1841" s="102"/>
      <c r="J1841" s="102"/>
      <c r="K1841" s="450"/>
      <c r="L1841" s="443"/>
      <c r="M1841" s="450"/>
      <c r="N1841" s="452">
        <f t="array" ref="N1841">IFERROR(
  INDEX(
    'Valor Hora Real y Estimada'!$A$4:$Z$78,
    MATCH(TRIM(CLEAN(A1841)), 'Valor Hora Real y Estimada'!$A$4:$A$78, 0),
    MATCH(
      TEXT(C1841,"dd mmm")&amp;" "&amp;D1841,
      'Valor Hora Real y Estimada'!$A$3:$Z$3,
      0
    ) + 1
  ),
  0
)</f>
        <v>0</v>
      </c>
      <c r="O1841" s="453"/>
      <c r="P1841" s="113"/>
      <c r="Q1841" s="106" t="str">
        <f>IF(ISBLANK(O1841), "", VLOOKUP(C1841&amp;" "&amp;D1841, 'Info Tipo de Cambio y REM'!$A$24:$B$35, 2, FALSE))</f>
        <v/>
      </c>
      <c r="R1841" s="107" t="str">
        <f t="shared" si="32"/>
        <v/>
      </c>
    </row>
    <row r="1842" hidden="1">
      <c r="A1842" s="443"/>
      <c r="B1842" s="43" t="str">
        <f>IF(A1842="", "", IFERROR(VLOOKUP(A1842, Clasificaciones!A:B, 2, FALSE), "DATO NO CARGADO"))
</f>
        <v/>
      </c>
      <c r="C1842" s="51"/>
      <c r="D1842" s="102"/>
      <c r="E1842" s="102"/>
      <c r="H1842" s="102"/>
      <c r="J1842" s="102"/>
      <c r="K1842" s="450"/>
      <c r="L1842" s="443"/>
      <c r="M1842" s="450"/>
      <c r="N1842" s="452">
        <f t="array" ref="N1842">IFERROR(
  INDEX(
    'Valor Hora Real y Estimada'!$A$4:$Z$78,
    MATCH(TRIM(CLEAN(A1842)), 'Valor Hora Real y Estimada'!$A$4:$A$78, 0),
    MATCH(
      TEXT(C1842,"dd mmm")&amp;" "&amp;D1842,
      'Valor Hora Real y Estimada'!$A$3:$Z$3,
      0
    ) + 1
  ),
  0
)</f>
        <v>0</v>
      </c>
      <c r="O1842" s="453"/>
      <c r="P1842" s="113"/>
      <c r="Q1842" s="106" t="str">
        <f>IF(ISBLANK(O1842), "", VLOOKUP(C1842&amp;" "&amp;D1842, 'Info Tipo de Cambio y REM'!$A$24:$B$35, 2, FALSE))</f>
        <v/>
      </c>
      <c r="R1842" s="107" t="str">
        <f t="shared" si="32"/>
        <v/>
      </c>
    </row>
    <row r="1843" hidden="1">
      <c r="A1843" s="443"/>
      <c r="B1843" s="43" t="str">
        <f>IF(A1843="", "", IFERROR(VLOOKUP(A1843, Clasificaciones!A:B, 2, FALSE), "DATO NO CARGADO"))
</f>
        <v/>
      </c>
      <c r="C1843" s="51"/>
      <c r="D1843" s="102"/>
      <c r="E1843" s="102"/>
      <c r="H1843" s="102"/>
      <c r="J1843" s="102"/>
      <c r="K1843" s="450"/>
      <c r="L1843" s="443"/>
      <c r="M1843" s="450"/>
      <c r="N1843" s="452">
        <f t="array" ref="N1843">IFERROR(
  INDEX(
    'Valor Hora Real y Estimada'!$A$4:$Z$78,
    MATCH(TRIM(CLEAN(A1843)), 'Valor Hora Real y Estimada'!$A$4:$A$78, 0),
    MATCH(
      TEXT(C1843,"dd mmm")&amp;" "&amp;D1843,
      'Valor Hora Real y Estimada'!$A$3:$Z$3,
      0
    ) + 1
  ),
  0
)</f>
        <v>0</v>
      </c>
      <c r="O1843" s="453"/>
      <c r="P1843" s="113"/>
      <c r="Q1843" s="106" t="str">
        <f>IF(ISBLANK(O1843), "", VLOOKUP(C1843&amp;" "&amp;D1843, 'Info Tipo de Cambio y REM'!$A$24:$B$35, 2, FALSE))</f>
        <v/>
      </c>
      <c r="R1843" s="107" t="str">
        <f t="shared" si="32"/>
        <v/>
      </c>
    </row>
    <row r="1844" hidden="1">
      <c r="A1844" s="443"/>
      <c r="B1844" s="43" t="str">
        <f>IF(A1844="", "", IFERROR(VLOOKUP(A1844, Clasificaciones!A:B, 2, FALSE), "DATO NO CARGADO"))
</f>
        <v/>
      </c>
      <c r="C1844" s="51"/>
      <c r="D1844" s="102"/>
      <c r="E1844" s="102"/>
      <c r="H1844" s="102"/>
      <c r="J1844" s="102"/>
      <c r="K1844" s="450"/>
      <c r="L1844" s="443"/>
      <c r="M1844" s="450"/>
      <c r="N1844" s="452">
        <f t="array" ref="N1844">IFERROR(
  INDEX(
    'Valor Hora Real y Estimada'!$A$4:$Z$78,
    MATCH(TRIM(CLEAN(A1844)), 'Valor Hora Real y Estimada'!$A$4:$A$78, 0),
    MATCH(
      TEXT(C1844,"dd mmm")&amp;" "&amp;D1844,
      'Valor Hora Real y Estimada'!$A$3:$Z$3,
      0
    ) + 1
  ),
  0
)</f>
        <v>0</v>
      </c>
      <c r="O1844" s="453"/>
      <c r="P1844" s="113"/>
      <c r="Q1844" s="106" t="str">
        <f>IF(ISBLANK(O1844), "", VLOOKUP(C1844&amp;" "&amp;D1844, 'Info Tipo de Cambio y REM'!$A$24:$B$35, 2, FALSE))</f>
        <v/>
      </c>
      <c r="R1844" s="107" t="str">
        <f t="shared" si="32"/>
        <v/>
      </c>
    </row>
    <row r="1845" hidden="1">
      <c r="A1845" s="443"/>
      <c r="B1845" s="43" t="str">
        <f>IF(A1845="", "", IFERROR(VLOOKUP(A1845, Clasificaciones!A:B, 2, FALSE), "DATO NO CARGADO"))
</f>
        <v/>
      </c>
      <c r="C1845" s="51"/>
      <c r="D1845" s="102"/>
      <c r="E1845" s="102"/>
      <c r="H1845" s="102"/>
      <c r="J1845" s="102"/>
      <c r="K1845" s="450"/>
      <c r="L1845" s="443"/>
      <c r="M1845" s="450"/>
      <c r="N1845" s="452">
        <f t="array" ref="N1845">IFERROR(
  INDEX(
    'Valor Hora Real y Estimada'!$A$4:$Z$78,
    MATCH(TRIM(CLEAN(A1845)), 'Valor Hora Real y Estimada'!$A$4:$A$78, 0),
    MATCH(
      TEXT(C1845,"dd mmm")&amp;" "&amp;D1845,
      'Valor Hora Real y Estimada'!$A$3:$Z$3,
      0
    ) + 1
  ),
  0
)</f>
        <v>0</v>
      </c>
      <c r="O1845" s="453"/>
      <c r="P1845" s="113"/>
      <c r="Q1845" s="106" t="str">
        <f>IF(ISBLANK(O1845), "", VLOOKUP(C1845&amp;" "&amp;D1845, 'Info Tipo de Cambio y REM'!$A$24:$B$35, 2, FALSE))</f>
        <v/>
      </c>
      <c r="R1845" s="107" t="str">
        <f t="shared" si="32"/>
        <v/>
      </c>
    </row>
    <row r="1846" hidden="1">
      <c r="A1846" s="443"/>
      <c r="B1846" s="43" t="str">
        <f>IF(A1846="", "", IFERROR(VLOOKUP(A1846, Clasificaciones!A:B, 2, FALSE), "DATO NO CARGADO"))
</f>
        <v/>
      </c>
      <c r="C1846" s="51"/>
      <c r="D1846" s="102"/>
      <c r="E1846" s="102"/>
      <c r="H1846" s="102"/>
      <c r="J1846" s="102"/>
      <c r="K1846" s="450"/>
      <c r="L1846" s="443"/>
      <c r="M1846" s="450"/>
      <c r="N1846" s="452">
        <f t="array" ref="N1846">IFERROR(
  INDEX(
    'Valor Hora Real y Estimada'!$A$4:$Z$78,
    MATCH(TRIM(CLEAN(A1846)), 'Valor Hora Real y Estimada'!$A$4:$A$78, 0),
    MATCH(
      TEXT(C1846,"dd mmm")&amp;" "&amp;D1846,
      'Valor Hora Real y Estimada'!$A$3:$Z$3,
      0
    ) + 1
  ),
  0
)</f>
        <v>0</v>
      </c>
      <c r="O1846" s="453"/>
      <c r="P1846" s="113"/>
      <c r="Q1846" s="106" t="str">
        <f>IF(ISBLANK(O1846), "", VLOOKUP(C1846&amp;" "&amp;D1846, 'Info Tipo de Cambio y REM'!$A$24:$B$35, 2, FALSE))</f>
        <v/>
      </c>
      <c r="R1846" s="107" t="str">
        <f t="shared" si="32"/>
        <v/>
      </c>
    </row>
    <row r="1847" hidden="1">
      <c r="A1847" s="443"/>
      <c r="B1847" s="43" t="str">
        <f>IF(A1847="", "", IFERROR(VLOOKUP(A1847, Clasificaciones!A:B, 2, FALSE), "DATO NO CARGADO"))
</f>
        <v/>
      </c>
      <c r="C1847" s="51"/>
      <c r="D1847" s="102"/>
      <c r="E1847" s="102"/>
      <c r="H1847" s="102"/>
      <c r="J1847" s="102"/>
      <c r="K1847" s="450"/>
      <c r="L1847" s="443"/>
      <c r="M1847" s="450"/>
      <c r="N1847" s="452">
        <f t="array" ref="N1847">IFERROR(
  INDEX(
    'Valor Hora Real y Estimada'!$A$4:$Z$78,
    MATCH(TRIM(CLEAN(A1847)), 'Valor Hora Real y Estimada'!$A$4:$A$78, 0),
    MATCH(
      TEXT(C1847,"dd mmm")&amp;" "&amp;D1847,
      'Valor Hora Real y Estimada'!$A$3:$Z$3,
      0
    ) + 1
  ),
  0
)</f>
        <v>0</v>
      </c>
      <c r="O1847" s="453"/>
      <c r="P1847" s="113"/>
      <c r="Q1847" s="106" t="str">
        <f>IF(ISBLANK(O1847), "", VLOOKUP(C1847&amp;" "&amp;D1847, 'Info Tipo de Cambio y REM'!$A$24:$B$35, 2, FALSE))</f>
        <v/>
      </c>
      <c r="R1847" s="107" t="str">
        <f t="shared" si="32"/>
        <v/>
      </c>
    </row>
    <row r="1848" hidden="1">
      <c r="A1848" s="443"/>
      <c r="B1848" s="43" t="str">
        <f>IF(A1848="", "", IFERROR(VLOOKUP(A1848, Clasificaciones!A:B, 2, FALSE), "DATO NO CARGADO"))
</f>
        <v/>
      </c>
      <c r="C1848" s="51"/>
      <c r="D1848" s="102"/>
      <c r="E1848" s="102"/>
      <c r="H1848" s="102"/>
      <c r="J1848" s="102"/>
      <c r="K1848" s="450"/>
      <c r="L1848" s="443"/>
      <c r="M1848" s="450"/>
      <c r="N1848" s="452">
        <f t="array" ref="N1848">IFERROR(
  INDEX(
    'Valor Hora Real y Estimada'!$A$4:$Z$78,
    MATCH(TRIM(CLEAN(A1848)), 'Valor Hora Real y Estimada'!$A$4:$A$78, 0),
    MATCH(
      TEXT(C1848,"dd mmm")&amp;" "&amp;D1848,
      'Valor Hora Real y Estimada'!$A$3:$Z$3,
      0
    ) + 1
  ),
  0
)</f>
        <v>0</v>
      </c>
      <c r="O1848" s="453"/>
      <c r="P1848" s="113"/>
      <c r="Q1848" s="106" t="str">
        <f>IF(ISBLANK(O1848), "", VLOOKUP(C1848&amp;" "&amp;D1848, 'Info Tipo de Cambio y REM'!$A$24:$B$35, 2, FALSE))</f>
        <v/>
      </c>
      <c r="R1848" s="107" t="str">
        <f t="shared" si="32"/>
        <v/>
      </c>
    </row>
    <row r="1849" hidden="1">
      <c r="A1849" s="443"/>
      <c r="B1849" s="43" t="str">
        <f>IF(A1849="", "", IFERROR(VLOOKUP(A1849, Clasificaciones!A:B, 2, FALSE), "DATO NO CARGADO"))
</f>
        <v/>
      </c>
      <c r="C1849" s="51"/>
      <c r="D1849" s="102"/>
      <c r="E1849" s="102"/>
      <c r="H1849" s="102"/>
      <c r="J1849" s="102"/>
      <c r="K1849" s="450"/>
      <c r="L1849" s="443"/>
      <c r="M1849" s="450"/>
      <c r="N1849" s="452">
        <f t="array" ref="N1849">IFERROR(
  INDEX(
    'Valor Hora Real y Estimada'!$A$4:$Z$78,
    MATCH(TRIM(CLEAN(A1849)), 'Valor Hora Real y Estimada'!$A$4:$A$78, 0),
    MATCH(
      TEXT(C1849,"dd mmm")&amp;" "&amp;D1849,
      'Valor Hora Real y Estimada'!$A$3:$Z$3,
      0
    ) + 1
  ),
  0
)</f>
        <v>0</v>
      </c>
      <c r="O1849" s="453"/>
      <c r="P1849" s="113"/>
      <c r="Q1849" s="106" t="str">
        <f>IF(ISBLANK(O1849), "", VLOOKUP(C1849&amp;" "&amp;D1849, 'Info Tipo de Cambio y REM'!$A$24:$B$35, 2, FALSE))</f>
        <v/>
      </c>
      <c r="R1849" s="107" t="str">
        <f t="shared" si="32"/>
        <v/>
      </c>
    </row>
    <row r="1850" hidden="1">
      <c r="A1850" s="443"/>
      <c r="B1850" s="43" t="str">
        <f>IF(A1850="", "", IFERROR(VLOOKUP(A1850, Clasificaciones!A:B, 2, FALSE), "DATO NO CARGADO"))
</f>
        <v/>
      </c>
      <c r="C1850" s="51"/>
      <c r="D1850" s="102"/>
      <c r="E1850" s="102"/>
      <c r="H1850" s="102"/>
      <c r="J1850" s="102"/>
      <c r="K1850" s="450"/>
      <c r="L1850" s="443"/>
      <c r="M1850" s="450"/>
      <c r="N1850" s="452">
        <f t="array" ref="N1850">IFERROR(
  INDEX(
    'Valor Hora Real y Estimada'!$A$4:$Z$78,
    MATCH(TRIM(CLEAN(A1850)), 'Valor Hora Real y Estimada'!$A$4:$A$78, 0),
    MATCH(
      TEXT(C1850,"dd mmm")&amp;" "&amp;D1850,
      'Valor Hora Real y Estimada'!$A$3:$Z$3,
      0
    ) + 1
  ),
  0
)</f>
        <v>0</v>
      </c>
      <c r="O1850" s="453"/>
      <c r="P1850" s="113"/>
      <c r="Q1850" s="106" t="str">
        <f>IF(ISBLANK(O1850), "", VLOOKUP(C1850&amp;" "&amp;D1850, 'Info Tipo de Cambio y REM'!$A$24:$B$35, 2, FALSE))</f>
        <v/>
      </c>
      <c r="R1850" s="107" t="str">
        <f t="shared" si="32"/>
        <v/>
      </c>
    </row>
    <row r="1851" hidden="1">
      <c r="A1851" s="443"/>
      <c r="B1851" s="43" t="str">
        <f>IF(A1851="", "", IFERROR(VLOOKUP(A1851, Clasificaciones!A:B, 2, FALSE), "DATO NO CARGADO"))
</f>
        <v/>
      </c>
      <c r="C1851" s="51"/>
      <c r="D1851" s="102"/>
      <c r="E1851" s="102"/>
      <c r="H1851" s="102"/>
      <c r="J1851" s="102"/>
      <c r="K1851" s="450"/>
      <c r="L1851" s="443"/>
      <c r="M1851" s="450"/>
      <c r="N1851" s="452">
        <f t="array" ref="N1851">IFERROR(
  INDEX(
    'Valor Hora Real y Estimada'!$A$4:$Z$78,
    MATCH(TRIM(CLEAN(A1851)), 'Valor Hora Real y Estimada'!$A$4:$A$78, 0),
    MATCH(
      TEXT(C1851,"dd mmm")&amp;" "&amp;D1851,
      'Valor Hora Real y Estimada'!$A$3:$Z$3,
      0
    ) + 1
  ),
  0
)</f>
        <v>0</v>
      </c>
      <c r="O1851" s="453"/>
      <c r="P1851" s="113"/>
      <c r="Q1851" s="106" t="str">
        <f>IF(ISBLANK(O1851), "", VLOOKUP(C1851&amp;" "&amp;D1851, 'Info Tipo de Cambio y REM'!$A$24:$B$35, 2, FALSE))</f>
        <v/>
      </c>
      <c r="R1851" s="107" t="str">
        <f t="shared" si="32"/>
        <v/>
      </c>
    </row>
    <row r="1852" hidden="1">
      <c r="A1852" s="443"/>
      <c r="B1852" s="43" t="str">
        <f>IF(A1852="", "", IFERROR(VLOOKUP(A1852, Clasificaciones!A:B, 2, FALSE), "DATO NO CARGADO"))
</f>
        <v/>
      </c>
      <c r="C1852" s="51"/>
      <c r="D1852" s="102"/>
      <c r="E1852" s="102"/>
      <c r="H1852" s="102"/>
      <c r="J1852" s="102"/>
      <c r="K1852" s="450"/>
      <c r="L1852" s="443"/>
      <c r="M1852" s="450"/>
      <c r="N1852" s="452">
        <f t="array" ref="N1852">IFERROR(
  INDEX(
    'Valor Hora Real y Estimada'!$A$4:$Z$78,
    MATCH(TRIM(CLEAN(A1852)), 'Valor Hora Real y Estimada'!$A$4:$A$78, 0),
    MATCH(
      TEXT(C1852,"dd mmm")&amp;" "&amp;D1852,
      'Valor Hora Real y Estimada'!$A$3:$Z$3,
      0
    ) + 1
  ),
  0
)</f>
        <v>0</v>
      </c>
      <c r="O1852" s="453"/>
      <c r="P1852" s="113"/>
      <c r="Q1852" s="106" t="str">
        <f>IF(ISBLANK(O1852), "", VLOOKUP(C1852&amp;" "&amp;D1852, 'Info Tipo de Cambio y REM'!$A$24:$B$35, 2, FALSE))</f>
        <v/>
      </c>
      <c r="R1852" s="107" t="str">
        <f t="shared" si="32"/>
        <v/>
      </c>
    </row>
    <row r="1853" hidden="1">
      <c r="A1853" s="443"/>
      <c r="B1853" s="43" t="str">
        <f>IF(A1853="", "", IFERROR(VLOOKUP(A1853, Clasificaciones!A:B, 2, FALSE), "DATO NO CARGADO"))
</f>
        <v/>
      </c>
      <c r="C1853" s="51"/>
      <c r="D1853" s="102"/>
      <c r="E1853" s="102"/>
      <c r="H1853" s="102"/>
      <c r="J1853" s="102"/>
      <c r="K1853" s="450"/>
      <c r="L1853" s="443"/>
      <c r="M1853" s="450"/>
      <c r="N1853" s="452">
        <f t="array" ref="N1853">IFERROR(
  INDEX(
    'Valor Hora Real y Estimada'!$A$4:$Z$78,
    MATCH(TRIM(CLEAN(A1853)), 'Valor Hora Real y Estimada'!$A$4:$A$78, 0),
    MATCH(
      TEXT(C1853,"dd mmm")&amp;" "&amp;D1853,
      'Valor Hora Real y Estimada'!$A$3:$Z$3,
      0
    ) + 1
  ),
  0
)</f>
        <v>0</v>
      </c>
      <c r="O1853" s="453"/>
      <c r="P1853" s="113"/>
      <c r="Q1853" s="106" t="str">
        <f>IF(ISBLANK(O1853), "", VLOOKUP(C1853&amp;" "&amp;D1853, 'Info Tipo de Cambio y REM'!$A$24:$B$35, 2, FALSE))</f>
        <v/>
      </c>
      <c r="R1853" s="107" t="str">
        <f t="shared" si="32"/>
        <v/>
      </c>
    </row>
    <row r="1854" hidden="1">
      <c r="A1854" s="443"/>
      <c r="B1854" s="43" t="str">
        <f>IF(A1854="", "", IFERROR(VLOOKUP(A1854, Clasificaciones!A:B, 2, FALSE), "DATO NO CARGADO"))
</f>
        <v/>
      </c>
      <c r="C1854" s="51"/>
      <c r="D1854" s="102"/>
      <c r="E1854" s="102"/>
      <c r="H1854" s="102"/>
      <c r="J1854" s="102"/>
      <c r="K1854" s="450"/>
      <c r="L1854" s="443"/>
      <c r="M1854" s="450"/>
      <c r="N1854" s="452">
        <f t="array" ref="N1854">IFERROR(
  INDEX(
    'Valor Hora Real y Estimada'!$A$4:$Z$78,
    MATCH(TRIM(CLEAN(A1854)), 'Valor Hora Real y Estimada'!$A$4:$A$78, 0),
    MATCH(
      TEXT(C1854,"dd mmm")&amp;" "&amp;D1854,
      'Valor Hora Real y Estimada'!$A$3:$Z$3,
      0
    ) + 1
  ),
  0
)</f>
        <v>0</v>
      </c>
      <c r="O1854" s="453"/>
      <c r="P1854" s="113"/>
      <c r="Q1854" s="106" t="str">
        <f>IF(ISBLANK(O1854), "", VLOOKUP(C1854&amp;" "&amp;D1854, 'Info Tipo de Cambio y REM'!$A$24:$B$35, 2, FALSE))</f>
        <v/>
      </c>
      <c r="R1854" s="107" t="str">
        <f t="shared" si="32"/>
        <v/>
      </c>
    </row>
    <row r="1855" hidden="1">
      <c r="A1855" s="443"/>
      <c r="B1855" s="43" t="str">
        <f>IF(A1855="", "", IFERROR(VLOOKUP(A1855, Clasificaciones!A:B, 2, FALSE), "DATO NO CARGADO"))
</f>
        <v/>
      </c>
      <c r="C1855" s="51"/>
      <c r="D1855" s="102"/>
      <c r="E1855" s="102"/>
      <c r="H1855" s="102"/>
      <c r="J1855" s="102"/>
      <c r="K1855" s="450"/>
      <c r="L1855" s="443"/>
      <c r="M1855" s="450"/>
      <c r="N1855" s="452">
        <f t="array" ref="N1855">IFERROR(
  INDEX(
    'Valor Hora Real y Estimada'!$A$4:$Z$78,
    MATCH(TRIM(CLEAN(A1855)), 'Valor Hora Real y Estimada'!$A$4:$A$78, 0),
    MATCH(
      TEXT(C1855,"dd mmm")&amp;" "&amp;D1855,
      'Valor Hora Real y Estimada'!$A$3:$Z$3,
      0
    ) + 1
  ),
  0
)</f>
        <v>0</v>
      </c>
      <c r="O1855" s="453"/>
      <c r="P1855" s="113"/>
      <c r="Q1855" s="106" t="str">
        <f>IF(ISBLANK(O1855), "", VLOOKUP(C1855&amp;" "&amp;D1855, 'Info Tipo de Cambio y REM'!$A$24:$B$35, 2, FALSE))</f>
        <v/>
      </c>
      <c r="R1855" s="107" t="str">
        <f t="shared" si="32"/>
        <v/>
      </c>
    </row>
    <row r="1856" hidden="1">
      <c r="A1856" s="443"/>
      <c r="B1856" s="43" t="str">
        <f>IF(A1856="", "", IFERROR(VLOOKUP(A1856, Clasificaciones!A:B, 2, FALSE), "DATO NO CARGADO"))
</f>
        <v/>
      </c>
      <c r="C1856" s="51"/>
      <c r="D1856" s="102"/>
      <c r="E1856" s="102"/>
      <c r="H1856" s="102"/>
      <c r="J1856" s="102"/>
      <c r="K1856" s="450"/>
      <c r="L1856" s="443"/>
      <c r="M1856" s="450"/>
      <c r="N1856" s="452">
        <f t="array" ref="N1856">IFERROR(
  INDEX(
    'Valor Hora Real y Estimada'!$A$4:$Z$78,
    MATCH(TRIM(CLEAN(A1856)), 'Valor Hora Real y Estimada'!$A$4:$A$78, 0),
    MATCH(
      TEXT(C1856,"dd mmm")&amp;" "&amp;D1856,
      'Valor Hora Real y Estimada'!$A$3:$Z$3,
      0
    ) + 1
  ),
  0
)</f>
        <v>0</v>
      </c>
      <c r="O1856" s="453"/>
      <c r="P1856" s="113"/>
      <c r="Q1856" s="106" t="str">
        <f>IF(ISBLANK(O1856), "", VLOOKUP(C1856&amp;" "&amp;D1856, 'Info Tipo de Cambio y REM'!$A$24:$B$35, 2, FALSE))</f>
        <v/>
      </c>
      <c r="R1856" s="107" t="str">
        <f t="shared" si="32"/>
        <v/>
      </c>
    </row>
    <row r="1857" hidden="1">
      <c r="A1857" s="443"/>
      <c r="B1857" s="43" t="str">
        <f>IF(A1857="", "", IFERROR(VLOOKUP(A1857, Clasificaciones!A:B, 2, FALSE), "DATO NO CARGADO"))
</f>
        <v/>
      </c>
      <c r="C1857" s="51"/>
      <c r="D1857" s="102"/>
      <c r="E1857" s="102"/>
      <c r="H1857" s="102"/>
      <c r="J1857" s="102"/>
      <c r="K1857" s="450"/>
      <c r="L1857" s="443"/>
      <c r="M1857" s="450"/>
      <c r="N1857" s="452">
        <f t="array" ref="N1857">IFERROR(
  INDEX(
    'Valor Hora Real y Estimada'!$A$4:$Z$78,
    MATCH(TRIM(CLEAN(A1857)), 'Valor Hora Real y Estimada'!$A$4:$A$78, 0),
    MATCH(
      TEXT(C1857,"dd mmm")&amp;" "&amp;D1857,
      'Valor Hora Real y Estimada'!$A$3:$Z$3,
      0
    ) + 1
  ),
  0
)</f>
        <v>0</v>
      </c>
      <c r="O1857" s="453"/>
      <c r="P1857" s="113"/>
      <c r="Q1857" s="106" t="str">
        <f>IF(ISBLANK(O1857), "", VLOOKUP(C1857&amp;" "&amp;D1857, 'Info Tipo de Cambio y REM'!$A$24:$B$35, 2, FALSE))</f>
        <v/>
      </c>
      <c r="R1857" s="107" t="str">
        <f t="shared" si="32"/>
        <v/>
      </c>
    </row>
    <row r="1858" hidden="1">
      <c r="A1858" s="443"/>
      <c r="B1858" s="43" t="str">
        <f>IF(A1858="", "", IFERROR(VLOOKUP(A1858, Clasificaciones!A:B, 2, FALSE), "DATO NO CARGADO"))
</f>
        <v/>
      </c>
      <c r="C1858" s="51"/>
      <c r="D1858" s="102"/>
      <c r="E1858" s="102"/>
      <c r="H1858" s="102"/>
      <c r="J1858" s="102"/>
      <c r="K1858" s="450"/>
      <c r="L1858" s="443"/>
      <c r="M1858" s="450"/>
      <c r="N1858" s="452">
        <f t="array" ref="N1858">IFERROR(
  INDEX(
    'Valor Hora Real y Estimada'!$A$4:$Z$78,
    MATCH(TRIM(CLEAN(A1858)), 'Valor Hora Real y Estimada'!$A$4:$A$78, 0),
    MATCH(
      TEXT(C1858,"dd mmm")&amp;" "&amp;D1858,
      'Valor Hora Real y Estimada'!$A$3:$Z$3,
      0
    ) + 1
  ),
  0
)</f>
        <v>0</v>
      </c>
      <c r="O1858" s="453"/>
      <c r="P1858" s="113"/>
      <c r="Q1858" s="106" t="str">
        <f>IF(ISBLANK(O1858), "", VLOOKUP(C1858&amp;" "&amp;D1858, 'Info Tipo de Cambio y REM'!$A$24:$B$35, 2, FALSE))</f>
        <v/>
      </c>
      <c r="R1858" s="107" t="str">
        <f t="shared" si="32"/>
        <v/>
      </c>
    </row>
    <row r="1859" hidden="1">
      <c r="A1859" s="443"/>
      <c r="B1859" s="43" t="str">
        <f>IF(A1859="", "", IFERROR(VLOOKUP(A1859, Clasificaciones!A:B, 2, FALSE), "DATO NO CARGADO"))
</f>
        <v/>
      </c>
      <c r="C1859" s="51"/>
      <c r="D1859" s="102"/>
      <c r="E1859" s="102"/>
      <c r="H1859" s="102"/>
      <c r="J1859" s="102"/>
      <c r="K1859" s="450"/>
      <c r="L1859" s="443"/>
      <c r="M1859" s="450"/>
      <c r="N1859" s="452">
        <f t="array" ref="N1859">IFERROR(
  INDEX(
    'Valor Hora Real y Estimada'!$A$4:$Z$78,
    MATCH(TRIM(CLEAN(A1859)), 'Valor Hora Real y Estimada'!$A$4:$A$78, 0),
    MATCH(
      TEXT(C1859,"dd mmm")&amp;" "&amp;D1859,
      'Valor Hora Real y Estimada'!$A$3:$Z$3,
      0
    ) + 1
  ),
  0
)</f>
        <v>0</v>
      </c>
      <c r="O1859" s="453"/>
      <c r="P1859" s="113"/>
      <c r="Q1859" s="106" t="str">
        <f>IF(ISBLANK(O1859), "", VLOOKUP(C1859&amp;" "&amp;D1859, 'Info Tipo de Cambio y REM'!$A$24:$B$35, 2, FALSE))</f>
        <v/>
      </c>
      <c r="R1859" s="107" t="str">
        <f t="shared" si="32"/>
        <v/>
      </c>
    </row>
    <row r="1860" hidden="1">
      <c r="A1860" s="443"/>
      <c r="B1860" s="43" t="str">
        <f>IF(A1860="", "", IFERROR(VLOOKUP(A1860, Clasificaciones!A:B, 2, FALSE), "DATO NO CARGADO"))
</f>
        <v/>
      </c>
      <c r="C1860" s="51"/>
      <c r="D1860" s="102"/>
      <c r="E1860" s="102"/>
      <c r="H1860" s="102"/>
      <c r="J1860" s="102"/>
      <c r="K1860" s="450"/>
      <c r="L1860" s="443"/>
      <c r="M1860" s="450"/>
      <c r="N1860" s="452">
        <f t="array" ref="N1860">IFERROR(
  INDEX(
    'Valor Hora Real y Estimada'!$A$4:$Z$78,
    MATCH(TRIM(CLEAN(A1860)), 'Valor Hora Real y Estimada'!$A$4:$A$78, 0),
    MATCH(
      TEXT(C1860,"dd mmm")&amp;" "&amp;D1860,
      'Valor Hora Real y Estimada'!$A$3:$Z$3,
      0
    ) + 1
  ),
  0
)</f>
        <v>0</v>
      </c>
      <c r="O1860" s="453"/>
      <c r="P1860" s="113"/>
      <c r="Q1860" s="106" t="str">
        <f>IF(ISBLANK(O1860), "", VLOOKUP(C1860&amp;" "&amp;D1860, 'Info Tipo de Cambio y REM'!$A$24:$B$35, 2, FALSE))</f>
        <v/>
      </c>
      <c r="R1860" s="107" t="str">
        <f t="shared" si="32"/>
        <v/>
      </c>
    </row>
    <row r="1861" hidden="1">
      <c r="A1861" s="443"/>
      <c r="B1861" s="43" t="str">
        <f>IF(A1861="", "", IFERROR(VLOOKUP(A1861, Clasificaciones!A:B, 2, FALSE), "DATO NO CARGADO"))
</f>
        <v/>
      </c>
      <c r="C1861" s="51"/>
      <c r="D1861" s="102"/>
      <c r="E1861" s="102"/>
      <c r="H1861" s="102"/>
      <c r="J1861" s="102"/>
      <c r="K1861" s="450"/>
      <c r="L1861" s="443"/>
      <c r="M1861" s="450"/>
      <c r="N1861" s="452">
        <f t="array" ref="N1861">IFERROR(
  INDEX(
    'Valor Hora Real y Estimada'!$A$4:$Z$78,
    MATCH(TRIM(CLEAN(A1861)), 'Valor Hora Real y Estimada'!$A$4:$A$78, 0),
    MATCH(
      TEXT(C1861,"dd mmm")&amp;" "&amp;D1861,
      'Valor Hora Real y Estimada'!$A$3:$Z$3,
      0
    ) + 1
  ),
  0
)</f>
        <v>0</v>
      </c>
      <c r="O1861" s="453"/>
      <c r="P1861" s="113"/>
      <c r="Q1861" s="106" t="str">
        <f>IF(ISBLANK(O1861), "", VLOOKUP(C1861&amp;" "&amp;D1861, 'Info Tipo de Cambio y REM'!$A$24:$B$35, 2, FALSE))</f>
        <v/>
      </c>
      <c r="R1861" s="107" t="str">
        <f t="shared" si="32"/>
        <v/>
      </c>
    </row>
    <row r="1862" hidden="1">
      <c r="A1862" s="443"/>
      <c r="B1862" s="43" t="str">
        <f>IF(A1862="", "", IFERROR(VLOOKUP(A1862, Clasificaciones!A:B, 2, FALSE), "DATO NO CARGADO"))
</f>
        <v/>
      </c>
      <c r="C1862" s="51"/>
      <c r="D1862" s="102"/>
      <c r="E1862" s="102"/>
      <c r="H1862" s="102"/>
      <c r="J1862" s="102"/>
      <c r="K1862" s="450"/>
      <c r="L1862" s="443"/>
      <c r="M1862" s="450"/>
      <c r="N1862" s="452">
        <f t="array" ref="N1862">IFERROR(
  INDEX(
    'Valor Hora Real y Estimada'!$A$4:$Z$78,
    MATCH(TRIM(CLEAN(A1862)), 'Valor Hora Real y Estimada'!$A$4:$A$78, 0),
    MATCH(
      TEXT(C1862,"dd mmm")&amp;" "&amp;D1862,
      'Valor Hora Real y Estimada'!$A$3:$Z$3,
      0
    ) + 1
  ),
  0
)</f>
        <v>0</v>
      </c>
      <c r="O1862" s="453"/>
      <c r="P1862" s="113"/>
      <c r="Q1862" s="106" t="str">
        <f>IF(ISBLANK(O1862), "", VLOOKUP(C1862&amp;" "&amp;D1862, 'Info Tipo de Cambio y REM'!$A$24:$B$35, 2, FALSE))</f>
        <v/>
      </c>
      <c r="R1862" s="107" t="str">
        <f t="shared" si="32"/>
        <v/>
      </c>
    </row>
    <row r="1863" hidden="1">
      <c r="A1863" s="443"/>
      <c r="B1863" s="43" t="str">
        <f>IF(A1863="", "", IFERROR(VLOOKUP(A1863, Clasificaciones!A:B, 2, FALSE), "DATO NO CARGADO"))
</f>
        <v/>
      </c>
      <c r="C1863" s="51"/>
      <c r="D1863" s="102"/>
      <c r="E1863" s="102"/>
      <c r="H1863" s="102"/>
      <c r="J1863" s="102"/>
      <c r="K1863" s="450"/>
      <c r="L1863" s="443"/>
      <c r="M1863" s="450"/>
      <c r="N1863" s="452">
        <f t="array" ref="N1863">IFERROR(
  INDEX(
    'Valor Hora Real y Estimada'!$A$4:$Z$78,
    MATCH(TRIM(CLEAN(A1863)), 'Valor Hora Real y Estimada'!$A$4:$A$78, 0),
    MATCH(
      TEXT(C1863,"dd mmm")&amp;" "&amp;D1863,
      'Valor Hora Real y Estimada'!$A$3:$Z$3,
      0
    ) + 1
  ),
  0
)</f>
        <v>0</v>
      </c>
      <c r="O1863" s="453"/>
      <c r="P1863" s="113"/>
      <c r="Q1863" s="106" t="str">
        <f>IF(ISBLANK(O1863), "", VLOOKUP(C1863&amp;" "&amp;D1863, 'Info Tipo de Cambio y REM'!$A$24:$B$35, 2, FALSE))</f>
        <v/>
      </c>
      <c r="R1863" s="107" t="str">
        <f t="shared" si="32"/>
        <v/>
      </c>
    </row>
    <row r="1864" hidden="1">
      <c r="A1864" s="443"/>
      <c r="B1864" s="43" t="str">
        <f>IF(A1864="", "", IFERROR(VLOOKUP(A1864, Clasificaciones!A:B, 2, FALSE), "DATO NO CARGADO"))
</f>
        <v/>
      </c>
      <c r="C1864" s="51"/>
      <c r="D1864" s="102"/>
      <c r="E1864" s="102"/>
      <c r="H1864" s="102"/>
      <c r="J1864" s="102"/>
      <c r="K1864" s="450"/>
      <c r="L1864" s="443"/>
      <c r="M1864" s="450"/>
      <c r="N1864" s="452">
        <f t="array" ref="N1864">IFERROR(
  INDEX(
    'Valor Hora Real y Estimada'!$A$4:$Z$78,
    MATCH(TRIM(CLEAN(A1864)), 'Valor Hora Real y Estimada'!$A$4:$A$78, 0),
    MATCH(
      TEXT(C1864,"dd mmm")&amp;" "&amp;D1864,
      'Valor Hora Real y Estimada'!$A$3:$Z$3,
      0
    ) + 1
  ),
  0
)</f>
        <v>0</v>
      </c>
      <c r="O1864" s="453"/>
      <c r="P1864" s="113"/>
      <c r="Q1864" s="106" t="str">
        <f>IF(ISBLANK(O1864), "", VLOOKUP(C1864&amp;" "&amp;D1864, 'Info Tipo de Cambio y REM'!$A$24:$B$35, 2, FALSE))</f>
        <v/>
      </c>
      <c r="R1864" s="107" t="str">
        <f t="shared" si="32"/>
        <v/>
      </c>
    </row>
    <row r="1865" hidden="1">
      <c r="A1865" s="443"/>
      <c r="B1865" s="43" t="str">
        <f>IF(A1865="", "", IFERROR(VLOOKUP(A1865, Clasificaciones!A:B, 2, FALSE), "DATO NO CARGADO"))
</f>
        <v/>
      </c>
      <c r="C1865" s="51"/>
      <c r="D1865" s="102"/>
      <c r="E1865" s="102"/>
      <c r="H1865" s="102"/>
      <c r="J1865" s="102"/>
      <c r="K1865" s="450"/>
      <c r="L1865" s="443"/>
      <c r="M1865" s="450"/>
      <c r="N1865" s="452">
        <f t="array" ref="N1865">IFERROR(
  INDEX(
    'Valor Hora Real y Estimada'!$A$4:$Z$78,
    MATCH(TRIM(CLEAN(A1865)), 'Valor Hora Real y Estimada'!$A$4:$A$78, 0),
    MATCH(
      TEXT(C1865,"dd mmm")&amp;" "&amp;D1865,
      'Valor Hora Real y Estimada'!$A$3:$Z$3,
      0
    ) + 1
  ),
  0
)</f>
        <v>0</v>
      </c>
      <c r="O1865" s="453"/>
      <c r="P1865" s="113"/>
      <c r="Q1865" s="106" t="str">
        <f>IF(ISBLANK(O1865), "", VLOOKUP(C1865&amp;" "&amp;D1865, 'Info Tipo de Cambio y REM'!$A$24:$B$35, 2, FALSE))</f>
        <v/>
      </c>
      <c r="R1865" s="107" t="str">
        <f t="shared" si="32"/>
        <v/>
      </c>
    </row>
    <row r="1866" hidden="1">
      <c r="A1866" s="443"/>
      <c r="B1866" s="43" t="str">
        <f>IF(A1866="", "", IFERROR(VLOOKUP(A1866, Clasificaciones!A:B, 2, FALSE), "DATO NO CARGADO"))
</f>
        <v/>
      </c>
      <c r="C1866" s="51"/>
      <c r="D1866" s="102"/>
      <c r="E1866" s="102"/>
      <c r="H1866" s="102"/>
      <c r="J1866" s="102"/>
      <c r="K1866" s="450"/>
      <c r="L1866" s="443"/>
      <c r="M1866" s="450"/>
      <c r="N1866" s="452">
        <f t="array" ref="N1866">IFERROR(
  INDEX(
    'Valor Hora Real y Estimada'!$A$4:$Z$78,
    MATCH(TRIM(CLEAN(A1866)), 'Valor Hora Real y Estimada'!$A$4:$A$78, 0),
    MATCH(
      TEXT(C1866,"dd mmm")&amp;" "&amp;D1866,
      'Valor Hora Real y Estimada'!$A$3:$Z$3,
      0
    ) + 1
  ),
  0
)</f>
        <v>0</v>
      </c>
      <c r="O1866" s="453"/>
      <c r="P1866" s="113"/>
      <c r="Q1866" s="106" t="str">
        <f>IF(ISBLANK(O1866), "", VLOOKUP(C1866&amp;" "&amp;D1866, 'Info Tipo de Cambio y REM'!$A$24:$B$35, 2, FALSE))</f>
        <v/>
      </c>
      <c r="R1866" s="107" t="str">
        <f t="shared" si="32"/>
        <v/>
      </c>
    </row>
    <row r="1867" hidden="1">
      <c r="A1867" s="443"/>
      <c r="B1867" s="43" t="str">
        <f>IF(A1867="", "", IFERROR(VLOOKUP(A1867, Clasificaciones!A:B, 2, FALSE), "DATO NO CARGADO"))
</f>
        <v/>
      </c>
      <c r="C1867" s="51"/>
      <c r="D1867" s="102"/>
      <c r="E1867" s="102"/>
      <c r="H1867" s="102"/>
      <c r="J1867" s="102"/>
      <c r="K1867" s="450"/>
      <c r="L1867" s="443"/>
      <c r="M1867" s="450"/>
      <c r="N1867" s="452">
        <f t="array" ref="N1867">IFERROR(
  INDEX(
    'Valor Hora Real y Estimada'!$A$4:$Z$78,
    MATCH(TRIM(CLEAN(A1867)), 'Valor Hora Real y Estimada'!$A$4:$A$78, 0),
    MATCH(
      TEXT(C1867,"dd mmm")&amp;" "&amp;D1867,
      'Valor Hora Real y Estimada'!$A$3:$Z$3,
      0
    ) + 1
  ),
  0
)</f>
        <v>0</v>
      </c>
      <c r="O1867" s="453"/>
      <c r="P1867" s="113"/>
      <c r="Q1867" s="106" t="str">
        <f>IF(ISBLANK(O1867), "", VLOOKUP(C1867&amp;" "&amp;D1867, 'Info Tipo de Cambio y REM'!$A$24:$B$35, 2, FALSE))</f>
        <v/>
      </c>
      <c r="R1867" s="107" t="str">
        <f t="shared" si="32"/>
        <v/>
      </c>
    </row>
    <row r="1868" hidden="1">
      <c r="A1868" s="443"/>
      <c r="B1868" s="43" t="str">
        <f>IF(A1868="", "", IFERROR(VLOOKUP(A1868, Clasificaciones!A:B, 2, FALSE), "DATO NO CARGADO"))
</f>
        <v/>
      </c>
      <c r="C1868" s="51"/>
      <c r="D1868" s="102"/>
      <c r="E1868" s="102"/>
      <c r="H1868" s="102"/>
      <c r="J1868" s="102"/>
      <c r="K1868" s="450"/>
      <c r="L1868" s="443"/>
      <c r="M1868" s="450"/>
      <c r="N1868" s="452">
        <f t="array" ref="N1868">IFERROR(
  INDEX(
    'Valor Hora Real y Estimada'!$A$4:$Z$78,
    MATCH(TRIM(CLEAN(A1868)), 'Valor Hora Real y Estimada'!$A$4:$A$78, 0),
    MATCH(
      TEXT(C1868,"dd mmm")&amp;" "&amp;D1868,
      'Valor Hora Real y Estimada'!$A$3:$Z$3,
      0
    ) + 1
  ),
  0
)</f>
        <v>0</v>
      </c>
      <c r="O1868" s="453"/>
      <c r="P1868" s="113"/>
      <c r="Q1868" s="106" t="str">
        <f>IF(ISBLANK(O1868), "", VLOOKUP(C1868&amp;" "&amp;D1868, 'Info Tipo de Cambio y REM'!$A$24:$B$35, 2, FALSE))</f>
        <v/>
      </c>
      <c r="R1868" s="107" t="str">
        <f t="shared" si="32"/>
        <v/>
      </c>
    </row>
    <row r="1869" hidden="1">
      <c r="A1869" s="443"/>
      <c r="B1869" s="43" t="str">
        <f>IF(A1869="", "", IFERROR(VLOOKUP(A1869, Clasificaciones!A:B, 2, FALSE), "DATO NO CARGADO"))
</f>
        <v/>
      </c>
      <c r="C1869" s="51"/>
      <c r="D1869" s="102"/>
      <c r="E1869" s="102"/>
      <c r="H1869" s="102"/>
      <c r="J1869" s="102"/>
      <c r="K1869" s="450"/>
      <c r="L1869" s="443"/>
      <c r="M1869" s="450"/>
      <c r="N1869" s="452">
        <f t="array" ref="N1869">IFERROR(
  INDEX(
    'Valor Hora Real y Estimada'!$A$4:$Z$78,
    MATCH(TRIM(CLEAN(A1869)), 'Valor Hora Real y Estimada'!$A$4:$A$78, 0),
    MATCH(
      TEXT(C1869,"dd mmm")&amp;" "&amp;D1869,
      'Valor Hora Real y Estimada'!$A$3:$Z$3,
      0
    ) + 1
  ),
  0
)</f>
        <v>0</v>
      </c>
      <c r="O1869" s="453"/>
      <c r="P1869" s="113"/>
      <c r="Q1869" s="106" t="str">
        <f>IF(ISBLANK(O1869), "", VLOOKUP(C1869&amp;" "&amp;D1869, 'Info Tipo de Cambio y REM'!$A$24:$B$35, 2, FALSE))</f>
        <v/>
      </c>
      <c r="R1869" s="107" t="str">
        <f t="shared" si="32"/>
        <v/>
      </c>
    </row>
    <row r="1870" hidden="1">
      <c r="A1870" s="443"/>
      <c r="B1870" s="43" t="str">
        <f>IF(A1870="", "", IFERROR(VLOOKUP(A1870, Clasificaciones!A:B, 2, FALSE), "DATO NO CARGADO"))
</f>
        <v/>
      </c>
      <c r="C1870" s="51"/>
      <c r="D1870" s="102"/>
      <c r="E1870" s="102"/>
      <c r="H1870" s="102"/>
      <c r="J1870" s="102"/>
      <c r="K1870" s="450"/>
      <c r="L1870" s="443"/>
      <c r="M1870" s="450"/>
      <c r="N1870" s="452">
        <f t="array" ref="N1870">IFERROR(
  INDEX(
    'Valor Hora Real y Estimada'!$A$4:$Z$78,
    MATCH(TRIM(CLEAN(A1870)), 'Valor Hora Real y Estimada'!$A$4:$A$78, 0),
    MATCH(
      TEXT(C1870,"dd mmm")&amp;" "&amp;D1870,
      'Valor Hora Real y Estimada'!$A$3:$Z$3,
      0
    ) + 1
  ),
  0
)</f>
        <v>0</v>
      </c>
      <c r="O1870" s="453"/>
      <c r="P1870" s="113"/>
      <c r="Q1870" s="106" t="str">
        <f>IF(ISBLANK(O1870), "", VLOOKUP(C1870&amp;" "&amp;D1870, 'Info Tipo de Cambio y REM'!$A$24:$B$35, 2, FALSE))</f>
        <v/>
      </c>
      <c r="R1870" s="107" t="str">
        <f t="shared" si="32"/>
        <v/>
      </c>
    </row>
    <row r="1871" hidden="1">
      <c r="A1871" s="443"/>
      <c r="B1871" s="43" t="str">
        <f>IF(A1871="", "", IFERROR(VLOOKUP(A1871, Clasificaciones!A:B, 2, FALSE), "DATO NO CARGADO"))
</f>
        <v/>
      </c>
      <c r="C1871" s="51"/>
      <c r="D1871" s="102"/>
      <c r="E1871" s="102"/>
      <c r="H1871" s="102"/>
      <c r="J1871" s="102"/>
      <c r="K1871" s="450"/>
      <c r="L1871" s="443"/>
      <c r="M1871" s="450"/>
      <c r="N1871" s="452">
        <f t="array" ref="N1871">IFERROR(
  INDEX(
    'Valor Hora Real y Estimada'!$A$4:$Z$78,
    MATCH(TRIM(CLEAN(A1871)), 'Valor Hora Real y Estimada'!$A$4:$A$78, 0),
    MATCH(
      TEXT(C1871,"dd mmm")&amp;" "&amp;D1871,
      'Valor Hora Real y Estimada'!$A$3:$Z$3,
      0
    ) + 1
  ),
  0
)</f>
        <v>0</v>
      </c>
      <c r="O1871" s="453"/>
      <c r="P1871" s="113"/>
      <c r="Q1871" s="106" t="str">
        <f>IF(ISBLANK(O1871), "", VLOOKUP(C1871&amp;" "&amp;D1871, 'Info Tipo de Cambio y REM'!$A$24:$B$35, 2, FALSE))</f>
        <v/>
      </c>
      <c r="R1871" s="107" t="str">
        <f t="shared" si="32"/>
        <v/>
      </c>
    </row>
    <row r="1872" hidden="1">
      <c r="A1872" s="443"/>
      <c r="B1872" s="43" t="str">
        <f>IF(A1872="", "", IFERROR(VLOOKUP(A1872, Clasificaciones!A:B, 2, FALSE), "DATO NO CARGADO"))
</f>
        <v/>
      </c>
      <c r="C1872" s="51"/>
      <c r="D1872" s="102"/>
      <c r="E1872" s="102"/>
      <c r="H1872" s="102"/>
      <c r="J1872" s="102"/>
      <c r="K1872" s="450"/>
      <c r="L1872" s="443"/>
      <c r="M1872" s="450"/>
      <c r="N1872" s="452">
        <f t="array" ref="N1872">IFERROR(
  INDEX(
    'Valor Hora Real y Estimada'!$A$4:$Z$78,
    MATCH(TRIM(CLEAN(A1872)), 'Valor Hora Real y Estimada'!$A$4:$A$78, 0),
    MATCH(
      TEXT(C1872,"dd mmm")&amp;" "&amp;D1872,
      'Valor Hora Real y Estimada'!$A$3:$Z$3,
      0
    ) + 1
  ),
  0
)</f>
        <v>0</v>
      </c>
      <c r="O1872" s="453"/>
      <c r="P1872" s="113"/>
      <c r="Q1872" s="106" t="str">
        <f>IF(ISBLANK(O1872), "", VLOOKUP(C1872&amp;" "&amp;D1872, 'Info Tipo de Cambio y REM'!$A$24:$B$35, 2, FALSE))</f>
        <v/>
      </c>
      <c r="R1872" s="107" t="str">
        <f t="shared" si="32"/>
        <v/>
      </c>
    </row>
    <row r="1873" hidden="1">
      <c r="A1873" s="443"/>
      <c r="B1873" s="43" t="str">
        <f>IF(A1873="", "", IFERROR(VLOOKUP(A1873, Clasificaciones!A:B, 2, FALSE), "DATO NO CARGADO"))
</f>
        <v/>
      </c>
      <c r="C1873" s="51"/>
      <c r="D1873" s="102"/>
      <c r="E1873" s="102"/>
      <c r="H1873" s="102"/>
      <c r="J1873" s="102"/>
      <c r="K1873" s="450"/>
      <c r="L1873" s="443"/>
      <c r="M1873" s="450"/>
      <c r="N1873" s="452">
        <f t="array" ref="N1873">IFERROR(
  INDEX(
    'Valor Hora Real y Estimada'!$A$4:$Z$78,
    MATCH(TRIM(CLEAN(A1873)), 'Valor Hora Real y Estimada'!$A$4:$A$78, 0),
    MATCH(
      TEXT(C1873,"dd mmm")&amp;" "&amp;D1873,
      'Valor Hora Real y Estimada'!$A$3:$Z$3,
      0
    ) + 1
  ),
  0
)</f>
        <v>0</v>
      </c>
      <c r="O1873" s="453"/>
      <c r="P1873" s="113"/>
      <c r="Q1873" s="106" t="str">
        <f>IF(ISBLANK(O1873), "", VLOOKUP(C1873&amp;" "&amp;D1873, 'Info Tipo de Cambio y REM'!$A$24:$B$35, 2, FALSE))</f>
        <v/>
      </c>
      <c r="R1873" s="107" t="str">
        <f t="shared" si="32"/>
        <v/>
      </c>
    </row>
    <row r="1874" hidden="1">
      <c r="A1874" s="443"/>
      <c r="B1874" s="43" t="str">
        <f>IF(A1874="", "", IFERROR(VLOOKUP(A1874, Clasificaciones!A:B, 2, FALSE), "DATO NO CARGADO"))
</f>
        <v/>
      </c>
      <c r="C1874" s="51"/>
      <c r="D1874" s="102"/>
      <c r="E1874" s="102"/>
      <c r="H1874" s="102"/>
      <c r="J1874" s="102"/>
      <c r="K1874" s="450"/>
      <c r="L1874" s="443"/>
      <c r="M1874" s="450"/>
      <c r="N1874" s="452">
        <f t="array" ref="N1874">IFERROR(
  INDEX(
    'Valor Hora Real y Estimada'!$A$4:$Z$78,
    MATCH(TRIM(CLEAN(A1874)), 'Valor Hora Real y Estimada'!$A$4:$A$78, 0),
    MATCH(
      TEXT(C1874,"dd mmm")&amp;" "&amp;D1874,
      'Valor Hora Real y Estimada'!$A$3:$Z$3,
      0
    ) + 1
  ),
  0
)</f>
        <v>0</v>
      </c>
      <c r="O1874" s="453"/>
      <c r="P1874" s="113"/>
      <c r="Q1874" s="106" t="str">
        <f>IF(ISBLANK(O1874), "", VLOOKUP(C1874&amp;" "&amp;D1874, 'Info Tipo de Cambio y REM'!$A$24:$B$35, 2, FALSE))</f>
        <v/>
      </c>
      <c r="R1874" s="107" t="str">
        <f t="shared" si="32"/>
        <v/>
      </c>
    </row>
    <row r="1875" hidden="1">
      <c r="A1875" s="443"/>
      <c r="B1875" s="43" t="str">
        <f>IF(A1875="", "", IFERROR(VLOOKUP(A1875, Clasificaciones!A:B, 2, FALSE), "DATO NO CARGADO"))
</f>
        <v/>
      </c>
      <c r="C1875" s="51"/>
      <c r="D1875" s="102"/>
      <c r="E1875" s="102"/>
      <c r="H1875" s="102"/>
      <c r="J1875" s="102"/>
      <c r="K1875" s="450"/>
      <c r="L1875" s="443"/>
      <c r="M1875" s="450"/>
      <c r="N1875" s="452">
        <f t="array" ref="N1875">IFERROR(
  INDEX(
    'Valor Hora Real y Estimada'!$A$4:$Z$78,
    MATCH(TRIM(CLEAN(A1875)), 'Valor Hora Real y Estimada'!$A$4:$A$78, 0),
    MATCH(
      TEXT(C1875,"dd mmm")&amp;" "&amp;D1875,
      'Valor Hora Real y Estimada'!$A$3:$Z$3,
      0
    ) + 1
  ),
  0
)</f>
        <v>0</v>
      </c>
      <c r="O1875" s="453"/>
      <c r="P1875" s="113"/>
      <c r="Q1875" s="106" t="str">
        <f>IF(ISBLANK(O1875), "", VLOOKUP(C1875&amp;" "&amp;D1875, 'Info Tipo de Cambio y REM'!$A$24:$B$35, 2, FALSE))</f>
        <v/>
      </c>
      <c r="R1875" s="107" t="str">
        <f t="shared" si="32"/>
        <v/>
      </c>
    </row>
    <row r="1876" hidden="1">
      <c r="A1876" s="443"/>
      <c r="B1876" s="43" t="str">
        <f>IF(A1876="", "", IFERROR(VLOOKUP(A1876, Clasificaciones!A:B, 2, FALSE), "DATO NO CARGADO"))
</f>
        <v/>
      </c>
      <c r="C1876" s="51"/>
      <c r="D1876" s="102"/>
      <c r="E1876" s="102"/>
      <c r="H1876" s="102"/>
      <c r="J1876" s="102"/>
      <c r="K1876" s="450"/>
      <c r="L1876" s="443"/>
      <c r="M1876" s="450"/>
      <c r="N1876" s="452">
        <f t="array" ref="N1876">IFERROR(
  INDEX(
    'Valor Hora Real y Estimada'!$A$4:$Z$78,
    MATCH(TRIM(CLEAN(A1876)), 'Valor Hora Real y Estimada'!$A$4:$A$78, 0),
    MATCH(
      TEXT(C1876,"dd mmm")&amp;" "&amp;D1876,
      'Valor Hora Real y Estimada'!$A$3:$Z$3,
      0
    ) + 1
  ),
  0
)</f>
        <v>0</v>
      </c>
      <c r="O1876" s="453"/>
      <c r="P1876" s="113"/>
      <c r="Q1876" s="106" t="str">
        <f>IF(ISBLANK(O1876), "", VLOOKUP(C1876&amp;" "&amp;D1876, 'Info Tipo de Cambio y REM'!$A$24:$B$35, 2, FALSE))</f>
        <v/>
      </c>
      <c r="R1876" s="107" t="str">
        <f t="shared" si="32"/>
        <v/>
      </c>
    </row>
    <row r="1877" hidden="1">
      <c r="A1877" s="443"/>
      <c r="B1877" s="43" t="str">
        <f>IF(A1877="", "", IFERROR(VLOOKUP(A1877, Clasificaciones!A:B, 2, FALSE), "DATO NO CARGADO"))
</f>
        <v/>
      </c>
      <c r="C1877" s="51"/>
      <c r="D1877" s="102"/>
      <c r="E1877" s="102"/>
      <c r="H1877" s="102"/>
      <c r="J1877" s="102"/>
      <c r="K1877" s="450"/>
      <c r="L1877" s="443"/>
      <c r="M1877" s="450"/>
      <c r="N1877" s="452">
        <f t="array" ref="N1877">IFERROR(
  INDEX(
    'Valor Hora Real y Estimada'!$A$4:$Z$78,
    MATCH(TRIM(CLEAN(A1877)), 'Valor Hora Real y Estimada'!$A$4:$A$78, 0),
    MATCH(
      TEXT(C1877,"dd mmm")&amp;" "&amp;D1877,
      'Valor Hora Real y Estimada'!$A$3:$Z$3,
      0
    ) + 1
  ),
  0
)</f>
        <v>0</v>
      </c>
      <c r="O1877" s="453"/>
      <c r="P1877" s="113"/>
      <c r="Q1877" s="106" t="str">
        <f>IF(ISBLANK(O1877), "", VLOOKUP(C1877&amp;" "&amp;D1877, 'Info Tipo de Cambio y REM'!$A$24:$B$35, 2, FALSE))</f>
        <v/>
      </c>
      <c r="R1877" s="107" t="str">
        <f t="shared" si="32"/>
        <v/>
      </c>
    </row>
    <row r="1878" hidden="1">
      <c r="A1878" s="443"/>
      <c r="B1878" s="43" t="str">
        <f>IF(A1878="", "", IFERROR(VLOOKUP(A1878, Clasificaciones!A:B, 2, FALSE), "DATO NO CARGADO"))
</f>
        <v/>
      </c>
      <c r="C1878" s="51"/>
      <c r="D1878" s="102"/>
      <c r="E1878" s="102"/>
      <c r="H1878" s="102"/>
      <c r="J1878" s="102"/>
      <c r="K1878" s="450"/>
      <c r="L1878" s="443"/>
      <c r="M1878" s="450"/>
      <c r="N1878" s="452">
        <f t="array" ref="N1878">IFERROR(
  INDEX(
    'Valor Hora Real y Estimada'!$A$4:$Z$78,
    MATCH(TRIM(CLEAN(A1878)), 'Valor Hora Real y Estimada'!$A$4:$A$78, 0),
    MATCH(
      TEXT(C1878,"dd mmm")&amp;" "&amp;D1878,
      'Valor Hora Real y Estimada'!$A$3:$Z$3,
      0
    ) + 1
  ),
  0
)</f>
        <v>0</v>
      </c>
      <c r="O1878" s="453"/>
      <c r="P1878" s="113"/>
      <c r="Q1878" s="106" t="str">
        <f>IF(ISBLANK(O1878), "", VLOOKUP(C1878&amp;" "&amp;D1878, 'Info Tipo de Cambio y REM'!$A$24:$B$35, 2, FALSE))</f>
        <v/>
      </c>
      <c r="R1878" s="107" t="str">
        <f t="shared" si="32"/>
        <v/>
      </c>
    </row>
    <row r="1879" hidden="1">
      <c r="A1879" s="443"/>
      <c r="B1879" s="43" t="str">
        <f>IF(A1879="", "", IFERROR(VLOOKUP(A1879, Clasificaciones!A:B, 2, FALSE), "DATO NO CARGADO"))
</f>
        <v/>
      </c>
      <c r="C1879" s="51"/>
      <c r="D1879" s="102"/>
      <c r="E1879" s="102"/>
      <c r="H1879" s="102"/>
      <c r="J1879" s="102"/>
      <c r="K1879" s="450"/>
      <c r="L1879" s="443"/>
      <c r="M1879" s="450"/>
      <c r="N1879" s="452">
        <f t="array" ref="N1879">IFERROR(
  INDEX(
    'Valor Hora Real y Estimada'!$A$4:$Z$78,
    MATCH(TRIM(CLEAN(A1879)), 'Valor Hora Real y Estimada'!$A$4:$A$78, 0),
    MATCH(
      TEXT(C1879,"dd mmm")&amp;" "&amp;D1879,
      'Valor Hora Real y Estimada'!$A$3:$Z$3,
      0
    ) + 1
  ),
  0
)</f>
        <v>0</v>
      </c>
      <c r="O1879" s="453"/>
      <c r="P1879" s="113"/>
      <c r="Q1879" s="106" t="str">
        <f>IF(ISBLANK(O1879), "", VLOOKUP(C1879&amp;" "&amp;D1879, 'Info Tipo de Cambio y REM'!$A$24:$B$35, 2, FALSE))</f>
        <v/>
      </c>
      <c r="R1879" s="107" t="str">
        <f t="shared" si="32"/>
        <v/>
      </c>
    </row>
    <row r="1880" hidden="1">
      <c r="A1880" s="443"/>
      <c r="B1880" s="43" t="str">
        <f>IF(A1880="", "", IFERROR(VLOOKUP(A1880, Clasificaciones!A:B, 2, FALSE), "DATO NO CARGADO"))
</f>
        <v/>
      </c>
      <c r="C1880" s="51"/>
      <c r="D1880" s="102"/>
      <c r="E1880" s="102"/>
      <c r="H1880" s="102"/>
      <c r="J1880" s="102"/>
      <c r="K1880" s="450"/>
      <c r="L1880" s="443"/>
      <c r="M1880" s="450"/>
      <c r="N1880" s="452">
        <f t="array" ref="N1880">IFERROR(
  INDEX(
    'Valor Hora Real y Estimada'!$A$4:$Z$78,
    MATCH(TRIM(CLEAN(A1880)), 'Valor Hora Real y Estimada'!$A$4:$A$78, 0),
    MATCH(
      TEXT(C1880,"dd mmm")&amp;" "&amp;D1880,
      'Valor Hora Real y Estimada'!$A$3:$Z$3,
      0
    ) + 1
  ),
  0
)</f>
        <v>0</v>
      </c>
      <c r="O1880" s="453"/>
      <c r="P1880" s="113"/>
      <c r="Q1880" s="106" t="str">
        <f>IF(ISBLANK(O1880), "", VLOOKUP(C1880&amp;" "&amp;D1880, 'Info Tipo de Cambio y REM'!$A$24:$B$35, 2, FALSE))</f>
        <v/>
      </c>
      <c r="R1880" s="107" t="str">
        <f t="shared" si="32"/>
        <v/>
      </c>
    </row>
    <row r="1881" hidden="1">
      <c r="A1881" s="443"/>
      <c r="B1881" s="43" t="str">
        <f>IF(A1881="", "", IFERROR(VLOOKUP(A1881, Clasificaciones!A:B, 2, FALSE), "DATO NO CARGADO"))
</f>
        <v/>
      </c>
      <c r="C1881" s="51"/>
      <c r="D1881" s="102"/>
      <c r="E1881" s="102"/>
      <c r="H1881" s="102"/>
      <c r="J1881" s="102"/>
      <c r="K1881" s="450"/>
      <c r="L1881" s="443"/>
      <c r="M1881" s="450"/>
      <c r="N1881" s="452">
        <f t="array" ref="N1881">IFERROR(
  INDEX(
    'Valor Hora Real y Estimada'!$A$4:$Z$78,
    MATCH(TRIM(CLEAN(A1881)), 'Valor Hora Real y Estimada'!$A$4:$A$78, 0),
    MATCH(
      TEXT(C1881,"dd mmm")&amp;" "&amp;D1881,
      'Valor Hora Real y Estimada'!$A$3:$Z$3,
      0
    ) + 1
  ),
  0
)</f>
        <v>0</v>
      </c>
      <c r="O1881" s="453"/>
      <c r="P1881" s="113"/>
      <c r="Q1881" s="106" t="str">
        <f>IF(ISBLANK(O1881), "", VLOOKUP(C1881&amp;" "&amp;D1881, 'Info Tipo de Cambio y REM'!$A$24:$B$35, 2, FALSE))</f>
        <v/>
      </c>
      <c r="R1881" s="107" t="str">
        <f t="shared" si="32"/>
        <v/>
      </c>
    </row>
    <row r="1882" hidden="1">
      <c r="A1882" s="443"/>
      <c r="B1882" s="43" t="str">
        <f>IF(A1882="", "", IFERROR(VLOOKUP(A1882, Clasificaciones!A:B, 2, FALSE), "DATO NO CARGADO"))
</f>
        <v/>
      </c>
      <c r="C1882" s="51"/>
      <c r="D1882" s="102"/>
      <c r="E1882" s="102"/>
      <c r="H1882" s="102"/>
      <c r="J1882" s="102"/>
      <c r="K1882" s="450"/>
      <c r="L1882" s="443"/>
      <c r="M1882" s="450"/>
      <c r="N1882" s="452">
        <f t="array" ref="N1882">IFERROR(
  INDEX(
    'Valor Hora Real y Estimada'!$A$4:$Z$78,
    MATCH(TRIM(CLEAN(A1882)), 'Valor Hora Real y Estimada'!$A$4:$A$78, 0),
    MATCH(
      TEXT(C1882,"dd mmm")&amp;" "&amp;D1882,
      'Valor Hora Real y Estimada'!$A$3:$Z$3,
      0
    ) + 1
  ),
  0
)</f>
        <v>0</v>
      </c>
      <c r="O1882" s="453"/>
      <c r="P1882" s="113"/>
      <c r="Q1882" s="106" t="str">
        <f>IF(ISBLANK(O1882), "", VLOOKUP(C1882&amp;" "&amp;D1882, 'Info Tipo de Cambio y REM'!$A$24:$B$35, 2, FALSE))</f>
        <v/>
      </c>
      <c r="R1882" s="107" t="str">
        <f t="shared" si="32"/>
        <v/>
      </c>
    </row>
    <row r="1883" hidden="1">
      <c r="A1883" s="443"/>
      <c r="B1883" s="43" t="str">
        <f>IF(A1883="", "", IFERROR(VLOOKUP(A1883, Clasificaciones!A:B, 2, FALSE), "DATO NO CARGADO"))
</f>
        <v/>
      </c>
      <c r="C1883" s="51"/>
      <c r="D1883" s="102"/>
      <c r="E1883" s="102"/>
      <c r="H1883" s="102"/>
      <c r="J1883" s="102"/>
      <c r="K1883" s="450"/>
      <c r="L1883" s="443"/>
      <c r="M1883" s="450"/>
      <c r="N1883" s="452">
        <f t="array" ref="N1883">IFERROR(
  INDEX(
    'Valor Hora Real y Estimada'!$A$4:$Z$78,
    MATCH(TRIM(CLEAN(A1883)), 'Valor Hora Real y Estimada'!$A$4:$A$78, 0),
    MATCH(
      TEXT(C1883,"dd mmm")&amp;" "&amp;D1883,
      'Valor Hora Real y Estimada'!$A$3:$Z$3,
      0
    ) + 1
  ),
  0
)</f>
        <v>0</v>
      </c>
      <c r="O1883" s="453"/>
      <c r="P1883" s="113"/>
      <c r="Q1883" s="106" t="str">
        <f>IF(ISBLANK(O1883), "", VLOOKUP(C1883&amp;" "&amp;D1883, 'Info Tipo de Cambio y REM'!$A$24:$B$35, 2, FALSE))</f>
        <v/>
      </c>
      <c r="R1883" s="107" t="str">
        <f t="shared" si="32"/>
        <v/>
      </c>
    </row>
    <row r="1884" hidden="1">
      <c r="A1884" s="443"/>
      <c r="B1884" s="43" t="str">
        <f>IF(A1884="", "", IFERROR(VLOOKUP(A1884, Clasificaciones!A:B, 2, FALSE), "DATO NO CARGADO"))
</f>
        <v/>
      </c>
      <c r="C1884" s="51"/>
      <c r="D1884" s="102"/>
      <c r="E1884" s="102"/>
      <c r="H1884" s="102"/>
      <c r="J1884" s="102"/>
      <c r="K1884" s="450"/>
      <c r="L1884" s="443"/>
      <c r="M1884" s="450"/>
      <c r="N1884" s="452">
        <f t="array" ref="N1884">IFERROR(
  INDEX(
    'Valor Hora Real y Estimada'!$A$4:$Z$78,
    MATCH(TRIM(CLEAN(A1884)), 'Valor Hora Real y Estimada'!$A$4:$A$78, 0),
    MATCH(
      TEXT(C1884,"dd mmm")&amp;" "&amp;D1884,
      'Valor Hora Real y Estimada'!$A$3:$Z$3,
      0
    ) + 1
  ),
  0
)</f>
        <v>0</v>
      </c>
      <c r="O1884" s="453"/>
      <c r="P1884" s="113"/>
      <c r="Q1884" s="106" t="str">
        <f>IF(ISBLANK(O1884), "", VLOOKUP(C1884&amp;" "&amp;D1884, 'Info Tipo de Cambio y REM'!$A$24:$B$35, 2, FALSE))</f>
        <v/>
      </c>
      <c r="R1884" s="107" t="str">
        <f t="shared" si="32"/>
        <v/>
      </c>
    </row>
    <row r="1885" hidden="1">
      <c r="A1885" s="443"/>
      <c r="B1885" s="43" t="str">
        <f>IF(A1885="", "", IFERROR(VLOOKUP(A1885, Clasificaciones!A:B, 2, FALSE), "DATO NO CARGADO"))
</f>
        <v/>
      </c>
      <c r="C1885" s="51"/>
      <c r="D1885" s="102"/>
      <c r="E1885" s="102"/>
      <c r="H1885" s="102"/>
      <c r="J1885" s="102"/>
      <c r="K1885" s="450"/>
      <c r="L1885" s="443"/>
      <c r="M1885" s="450"/>
      <c r="N1885" s="452">
        <f t="array" ref="N1885">IFERROR(
  INDEX(
    'Valor Hora Real y Estimada'!$A$4:$Z$78,
    MATCH(TRIM(CLEAN(A1885)), 'Valor Hora Real y Estimada'!$A$4:$A$78, 0),
    MATCH(
      TEXT(C1885,"dd mmm")&amp;" "&amp;D1885,
      'Valor Hora Real y Estimada'!$A$3:$Z$3,
      0
    ) + 1
  ),
  0
)</f>
        <v>0</v>
      </c>
      <c r="O1885" s="453"/>
      <c r="P1885" s="113"/>
      <c r="Q1885" s="106" t="str">
        <f>IF(ISBLANK(O1885), "", VLOOKUP(C1885&amp;" "&amp;D1885, 'Info Tipo de Cambio y REM'!$A$24:$B$35, 2, FALSE))</f>
        <v/>
      </c>
      <c r="R1885" s="107" t="str">
        <f t="shared" si="32"/>
        <v/>
      </c>
    </row>
    <row r="1886" hidden="1">
      <c r="A1886" s="443"/>
      <c r="B1886" s="43" t="str">
        <f>IF(A1886="", "", IFERROR(VLOOKUP(A1886, Clasificaciones!A:B, 2, FALSE), "DATO NO CARGADO"))
</f>
        <v/>
      </c>
      <c r="C1886" s="51"/>
      <c r="D1886" s="102"/>
      <c r="E1886" s="102"/>
      <c r="H1886" s="102"/>
      <c r="J1886" s="102"/>
      <c r="K1886" s="450"/>
      <c r="L1886" s="443"/>
      <c r="M1886" s="450"/>
      <c r="N1886" s="452">
        <f t="array" ref="N1886">IFERROR(
  INDEX(
    'Valor Hora Real y Estimada'!$A$4:$Z$78,
    MATCH(TRIM(CLEAN(A1886)), 'Valor Hora Real y Estimada'!$A$4:$A$78, 0),
    MATCH(
      TEXT(C1886,"dd mmm")&amp;" "&amp;D1886,
      'Valor Hora Real y Estimada'!$A$3:$Z$3,
      0
    ) + 1
  ),
  0
)</f>
        <v>0</v>
      </c>
      <c r="O1886" s="453"/>
      <c r="P1886" s="113"/>
      <c r="Q1886" s="106" t="str">
        <f>IF(ISBLANK(O1886), "", VLOOKUP(C1886&amp;" "&amp;D1886, 'Info Tipo de Cambio y REM'!$A$24:$B$35, 2, FALSE))</f>
        <v/>
      </c>
      <c r="R1886" s="107" t="str">
        <f t="shared" si="32"/>
        <v/>
      </c>
    </row>
    <row r="1887" hidden="1">
      <c r="A1887" s="443"/>
      <c r="B1887" s="43" t="str">
        <f>IF(A1887="", "", IFERROR(VLOOKUP(A1887, Clasificaciones!A:B, 2, FALSE), "DATO NO CARGADO"))
</f>
        <v/>
      </c>
      <c r="C1887" s="51"/>
      <c r="D1887" s="102"/>
      <c r="E1887" s="102"/>
      <c r="H1887" s="102"/>
      <c r="J1887" s="102"/>
      <c r="K1887" s="450"/>
      <c r="L1887" s="443"/>
      <c r="M1887" s="450"/>
      <c r="N1887" s="452">
        <f t="array" ref="N1887">IFERROR(
  INDEX(
    'Valor Hora Real y Estimada'!$A$4:$Z$78,
    MATCH(TRIM(CLEAN(A1887)), 'Valor Hora Real y Estimada'!$A$4:$A$78, 0),
    MATCH(
      TEXT(C1887,"dd mmm")&amp;" "&amp;D1887,
      'Valor Hora Real y Estimada'!$A$3:$Z$3,
      0
    ) + 1
  ),
  0
)</f>
        <v>0</v>
      </c>
      <c r="O1887" s="453"/>
      <c r="P1887" s="113"/>
      <c r="Q1887" s="106" t="str">
        <f>IF(ISBLANK(O1887), "", VLOOKUP(C1887&amp;" "&amp;D1887, 'Info Tipo de Cambio y REM'!$A$24:$B$35, 2, FALSE))</f>
        <v/>
      </c>
      <c r="R1887" s="107" t="str">
        <f t="shared" si="32"/>
        <v/>
      </c>
    </row>
    <row r="1888" hidden="1">
      <c r="A1888" s="443"/>
      <c r="B1888" s="43" t="str">
        <f>IF(A1888="", "", IFERROR(VLOOKUP(A1888, Clasificaciones!A:B, 2, FALSE), "DATO NO CARGADO"))
</f>
        <v/>
      </c>
      <c r="C1888" s="51"/>
      <c r="D1888" s="102"/>
      <c r="E1888" s="102"/>
      <c r="H1888" s="102"/>
      <c r="J1888" s="102"/>
      <c r="K1888" s="450"/>
      <c r="L1888" s="443"/>
      <c r="M1888" s="450"/>
      <c r="N1888" s="452">
        <f t="array" ref="N1888">IFERROR(
  INDEX(
    'Valor Hora Real y Estimada'!$A$4:$Z$78,
    MATCH(TRIM(CLEAN(A1888)), 'Valor Hora Real y Estimada'!$A$4:$A$78, 0),
    MATCH(
      TEXT(C1888,"dd mmm")&amp;" "&amp;D1888,
      'Valor Hora Real y Estimada'!$A$3:$Z$3,
      0
    ) + 1
  ),
  0
)</f>
        <v>0</v>
      </c>
      <c r="O1888" s="453"/>
      <c r="P1888" s="113"/>
      <c r="Q1888" s="106" t="str">
        <f>IF(ISBLANK(O1888), "", VLOOKUP(C1888&amp;" "&amp;D1888, 'Info Tipo de Cambio y REM'!$A$24:$B$35, 2, FALSE))</f>
        <v/>
      </c>
      <c r="R1888" s="107" t="str">
        <f t="shared" si="32"/>
        <v/>
      </c>
    </row>
    <row r="1889" hidden="1">
      <c r="A1889" s="443"/>
      <c r="B1889" s="43" t="str">
        <f>IF(A1889="", "", IFERROR(VLOOKUP(A1889, Clasificaciones!A:B, 2, FALSE), "DATO NO CARGADO"))
</f>
        <v/>
      </c>
      <c r="C1889" s="51"/>
      <c r="D1889" s="102"/>
      <c r="E1889" s="102"/>
      <c r="H1889" s="102"/>
      <c r="J1889" s="102"/>
      <c r="K1889" s="450"/>
      <c r="L1889" s="443"/>
      <c r="M1889" s="450"/>
      <c r="N1889" s="452">
        <f t="array" ref="N1889">IFERROR(
  INDEX(
    'Valor Hora Real y Estimada'!$A$4:$Z$78,
    MATCH(TRIM(CLEAN(A1889)), 'Valor Hora Real y Estimada'!$A$4:$A$78, 0),
    MATCH(
      TEXT(C1889,"dd mmm")&amp;" "&amp;D1889,
      'Valor Hora Real y Estimada'!$A$3:$Z$3,
      0
    ) + 1
  ),
  0
)</f>
        <v>0</v>
      </c>
      <c r="O1889" s="453"/>
      <c r="P1889" s="113"/>
      <c r="Q1889" s="106" t="str">
        <f>IF(ISBLANK(O1889), "", VLOOKUP(C1889&amp;" "&amp;D1889, 'Info Tipo de Cambio y REM'!$A$24:$B$35, 2, FALSE))</f>
        <v/>
      </c>
      <c r="R1889" s="107" t="str">
        <f t="shared" si="32"/>
        <v/>
      </c>
    </row>
    <row r="1890" hidden="1">
      <c r="A1890" s="443"/>
      <c r="B1890" s="43" t="str">
        <f>IF(A1890="", "", IFERROR(VLOOKUP(A1890, Clasificaciones!A:B, 2, FALSE), "DATO NO CARGADO"))
</f>
        <v/>
      </c>
      <c r="C1890" s="51"/>
      <c r="D1890" s="102"/>
      <c r="E1890" s="102"/>
      <c r="H1890" s="102"/>
      <c r="J1890" s="102"/>
      <c r="K1890" s="450"/>
      <c r="L1890" s="443"/>
      <c r="M1890" s="450"/>
      <c r="N1890" s="452">
        <f t="array" ref="N1890">IFERROR(
  INDEX(
    'Valor Hora Real y Estimada'!$A$4:$Z$78,
    MATCH(TRIM(CLEAN(A1890)), 'Valor Hora Real y Estimada'!$A$4:$A$78, 0),
    MATCH(
      TEXT(C1890,"dd mmm")&amp;" "&amp;D1890,
      'Valor Hora Real y Estimada'!$A$3:$Z$3,
      0
    ) + 1
  ),
  0
)</f>
        <v>0</v>
      </c>
      <c r="O1890" s="453"/>
      <c r="P1890" s="113"/>
      <c r="Q1890" s="106" t="str">
        <f>IF(ISBLANK(O1890), "", VLOOKUP(C1890&amp;" "&amp;D1890, 'Info Tipo de Cambio y REM'!$A$24:$B$35, 2, FALSE))</f>
        <v/>
      </c>
      <c r="R1890" s="107" t="str">
        <f t="shared" si="32"/>
        <v/>
      </c>
    </row>
    <row r="1891" hidden="1">
      <c r="A1891" s="443"/>
      <c r="B1891" s="43" t="str">
        <f>IF(A1891="", "", IFERROR(VLOOKUP(A1891, Clasificaciones!A:B, 2, FALSE), "DATO NO CARGADO"))
</f>
        <v/>
      </c>
      <c r="C1891" s="51"/>
      <c r="D1891" s="102"/>
      <c r="E1891" s="102"/>
      <c r="H1891" s="102"/>
      <c r="J1891" s="102"/>
      <c r="K1891" s="450"/>
      <c r="L1891" s="443"/>
      <c r="M1891" s="450"/>
      <c r="N1891" s="452">
        <f t="array" ref="N1891">IFERROR(
  INDEX(
    'Valor Hora Real y Estimada'!$A$4:$Z$78,
    MATCH(TRIM(CLEAN(A1891)), 'Valor Hora Real y Estimada'!$A$4:$A$78, 0),
    MATCH(
      TEXT(C1891,"dd mmm")&amp;" "&amp;D1891,
      'Valor Hora Real y Estimada'!$A$3:$Z$3,
      0
    ) + 1
  ),
  0
)</f>
        <v>0</v>
      </c>
      <c r="O1891" s="453"/>
      <c r="P1891" s="113"/>
      <c r="Q1891" s="106" t="str">
        <f>IF(ISBLANK(O1891), "", VLOOKUP(C1891&amp;" "&amp;D1891, 'Info Tipo de Cambio y REM'!$A$24:$B$35, 2, FALSE))</f>
        <v/>
      </c>
      <c r="R1891" s="107" t="str">
        <f t="shared" si="32"/>
        <v/>
      </c>
    </row>
    <row r="1892" hidden="1">
      <c r="A1892" s="443"/>
      <c r="B1892" s="43" t="str">
        <f>IF(A1892="", "", IFERROR(VLOOKUP(A1892, Clasificaciones!A:B, 2, FALSE), "DATO NO CARGADO"))
</f>
        <v/>
      </c>
      <c r="C1892" s="51"/>
      <c r="D1892" s="102"/>
      <c r="E1892" s="102"/>
      <c r="H1892" s="102"/>
      <c r="J1892" s="102"/>
      <c r="K1892" s="450"/>
      <c r="L1892" s="443"/>
      <c r="M1892" s="450"/>
      <c r="N1892" s="452">
        <f t="array" ref="N1892">IFERROR(
  INDEX(
    'Valor Hora Real y Estimada'!$A$4:$Z$78,
    MATCH(TRIM(CLEAN(A1892)), 'Valor Hora Real y Estimada'!$A$4:$A$78, 0),
    MATCH(
      TEXT(C1892,"dd mmm")&amp;" "&amp;D1892,
      'Valor Hora Real y Estimada'!$A$3:$Z$3,
      0
    ) + 1
  ),
  0
)</f>
        <v>0</v>
      </c>
      <c r="O1892" s="453"/>
      <c r="P1892" s="113"/>
      <c r="Q1892" s="106" t="str">
        <f>IF(ISBLANK(O1892), "", VLOOKUP(C1892&amp;" "&amp;D1892, 'Info Tipo de Cambio y REM'!$A$24:$B$35, 2, FALSE))</f>
        <v/>
      </c>
      <c r="R1892" s="107" t="str">
        <f t="shared" si="32"/>
        <v/>
      </c>
    </row>
    <row r="1893" hidden="1">
      <c r="A1893" s="443"/>
      <c r="B1893" s="43" t="str">
        <f>IF(A1893="", "", IFERROR(VLOOKUP(A1893, Clasificaciones!A:B, 2, FALSE), "DATO NO CARGADO"))
</f>
        <v/>
      </c>
      <c r="C1893" s="51"/>
      <c r="D1893" s="102"/>
      <c r="E1893" s="102"/>
      <c r="H1893" s="102"/>
      <c r="J1893" s="102"/>
      <c r="K1893" s="450"/>
      <c r="L1893" s="443"/>
      <c r="M1893" s="450"/>
      <c r="N1893" s="452">
        <f t="array" ref="N1893">IFERROR(
  INDEX(
    'Valor Hora Real y Estimada'!$A$4:$Z$78,
    MATCH(TRIM(CLEAN(A1893)), 'Valor Hora Real y Estimada'!$A$4:$A$78, 0),
    MATCH(
      TEXT(C1893,"dd mmm")&amp;" "&amp;D1893,
      'Valor Hora Real y Estimada'!$A$3:$Z$3,
      0
    ) + 1
  ),
  0
)</f>
        <v>0</v>
      </c>
      <c r="O1893" s="453"/>
      <c r="P1893" s="113"/>
      <c r="Q1893" s="106" t="str">
        <f>IF(ISBLANK(O1893), "", VLOOKUP(C1893&amp;" "&amp;D1893, 'Info Tipo de Cambio y REM'!$A$24:$B$35, 2, FALSE))</f>
        <v/>
      </c>
      <c r="R1893" s="107" t="str">
        <f t="shared" si="32"/>
        <v/>
      </c>
    </row>
    <row r="1894" hidden="1">
      <c r="A1894" s="443"/>
      <c r="B1894" s="43" t="str">
        <f>IF(A1894="", "", IFERROR(VLOOKUP(A1894, Clasificaciones!A:B, 2, FALSE), "DATO NO CARGADO"))
</f>
        <v/>
      </c>
      <c r="C1894" s="51"/>
      <c r="D1894" s="102"/>
      <c r="E1894" s="102"/>
      <c r="H1894" s="102"/>
      <c r="J1894" s="102"/>
      <c r="K1894" s="450"/>
      <c r="L1894" s="443"/>
      <c r="M1894" s="450"/>
      <c r="N1894" s="452">
        <f t="array" ref="N1894">IFERROR(
  INDEX(
    'Valor Hora Real y Estimada'!$A$4:$Z$78,
    MATCH(TRIM(CLEAN(A1894)), 'Valor Hora Real y Estimada'!$A$4:$A$78, 0),
    MATCH(
      TEXT(C1894,"dd mmm")&amp;" "&amp;D1894,
      'Valor Hora Real y Estimada'!$A$3:$Z$3,
      0
    ) + 1
  ),
  0
)</f>
        <v>0</v>
      </c>
      <c r="O1894" s="453"/>
      <c r="P1894" s="113"/>
      <c r="Q1894" s="106" t="str">
        <f>IF(ISBLANK(O1894), "", VLOOKUP(C1894&amp;" "&amp;D1894, 'Info Tipo de Cambio y REM'!$A$24:$B$35, 2, FALSE))</f>
        <v/>
      </c>
      <c r="R1894" s="107" t="str">
        <f t="shared" si="32"/>
        <v/>
      </c>
    </row>
    <row r="1895" hidden="1">
      <c r="A1895" s="443"/>
      <c r="B1895" s="43" t="str">
        <f>IF(A1895="", "", IFERROR(VLOOKUP(A1895, Clasificaciones!A:B, 2, FALSE), "DATO NO CARGADO"))
</f>
        <v/>
      </c>
      <c r="C1895" s="51"/>
      <c r="D1895" s="102"/>
      <c r="E1895" s="102"/>
      <c r="H1895" s="102"/>
      <c r="J1895" s="102"/>
      <c r="K1895" s="450"/>
      <c r="L1895" s="443"/>
      <c r="M1895" s="450"/>
      <c r="N1895" s="452">
        <f t="array" ref="N1895">IFERROR(
  INDEX(
    'Valor Hora Real y Estimada'!$A$4:$Z$78,
    MATCH(TRIM(CLEAN(A1895)), 'Valor Hora Real y Estimada'!$A$4:$A$78, 0),
    MATCH(
      TEXT(C1895,"dd mmm")&amp;" "&amp;D1895,
      'Valor Hora Real y Estimada'!$A$3:$Z$3,
      0
    ) + 1
  ),
  0
)</f>
        <v>0</v>
      </c>
      <c r="O1895" s="453"/>
      <c r="P1895" s="113"/>
      <c r="Q1895" s="106" t="str">
        <f>IF(ISBLANK(O1895), "", VLOOKUP(C1895&amp;" "&amp;D1895, 'Info Tipo de Cambio y REM'!$A$24:$B$35, 2, FALSE))</f>
        <v/>
      </c>
      <c r="R1895" s="107" t="str">
        <f t="shared" si="32"/>
        <v/>
      </c>
    </row>
    <row r="1896" hidden="1">
      <c r="A1896" s="443"/>
      <c r="B1896" s="43" t="str">
        <f>IF(A1896="", "", IFERROR(VLOOKUP(A1896, Clasificaciones!A:B, 2, FALSE), "DATO NO CARGADO"))
</f>
        <v/>
      </c>
      <c r="C1896" s="51"/>
      <c r="D1896" s="102"/>
      <c r="E1896" s="102"/>
      <c r="H1896" s="102"/>
      <c r="J1896" s="102"/>
      <c r="K1896" s="450"/>
      <c r="L1896" s="443"/>
      <c r="M1896" s="450"/>
      <c r="N1896" s="452">
        <f t="array" ref="N1896">IFERROR(
  INDEX(
    'Valor Hora Real y Estimada'!$A$4:$Z$78,
    MATCH(TRIM(CLEAN(A1896)), 'Valor Hora Real y Estimada'!$A$4:$A$78, 0),
    MATCH(
      TEXT(C1896,"dd mmm")&amp;" "&amp;D1896,
      'Valor Hora Real y Estimada'!$A$3:$Z$3,
      0
    ) + 1
  ),
  0
)</f>
        <v>0</v>
      </c>
      <c r="O1896" s="453"/>
      <c r="P1896" s="113"/>
      <c r="Q1896" s="106" t="str">
        <f>IF(ISBLANK(O1896), "", VLOOKUP(C1896&amp;" "&amp;D1896, 'Info Tipo de Cambio y REM'!$A$24:$B$35, 2, FALSE))</f>
        <v/>
      </c>
      <c r="R1896" s="107" t="str">
        <f t="shared" si="32"/>
        <v/>
      </c>
    </row>
    <row r="1897" hidden="1">
      <c r="A1897" s="443"/>
      <c r="B1897" s="43" t="str">
        <f>IF(A1897="", "", IFERROR(VLOOKUP(A1897, Clasificaciones!A:B, 2, FALSE), "DATO NO CARGADO"))
</f>
        <v/>
      </c>
      <c r="C1897" s="51"/>
      <c r="D1897" s="102"/>
      <c r="E1897" s="102"/>
      <c r="H1897" s="102"/>
      <c r="J1897" s="102"/>
      <c r="K1897" s="450"/>
      <c r="L1897" s="443"/>
      <c r="M1897" s="450"/>
      <c r="N1897" s="452">
        <f t="array" ref="N1897">IFERROR(
  INDEX(
    'Valor Hora Real y Estimada'!$A$4:$Z$78,
    MATCH(TRIM(CLEAN(A1897)), 'Valor Hora Real y Estimada'!$A$4:$A$78, 0),
    MATCH(
      TEXT(C1897,"dd mmm")&amp;" "&amp;D1897,
      'Valor Hora Real y Estimada'!$A$3:$Z$3,
      0
    ) + 1
  ),
  0
)</f>
        <v>0</v>
      </c>
      <c r="O1897" s="453"/>
      <c r="P1897" s="113"/>
      <c r="Q1897" s="106" t="str">
        <f>IF(ISBLANK(O1897), "", VLOOKUP(C1897&amp;" "&amp;D1897, 'Info Tipo de Cambio y REM'!$A$24:$B$35, 2, FALSE))</f>
        <v/>
      </c>
      <c r="R1897" s="107" t="str">
        <f t="shared" si="32"/>
        <v/>
      </c>
    </row>
    <row r="1898" hidden="1">
      <c r="A1898" s="443"/>
      <c r="B1898" s="43" t="str">
        <f>IF(A1898="", "", IFERROR(VLOOKUP(A1898, Clasificaciones!A:B, 2, FALSE), "DATO NO CARGADO"))
</f>
        <v/>
      </c>
      <c r="C1898" s="51"/>
      <c r="D1898" s="102"/>
      <c r="E1898" s="102"/>
      <c r="H1898" s="102"/>
      <c r="J1898" s="102"/>
      <c r="K1898" s="450"/>
      <c r="L1898" s="443"/>
      <c r="M1898" s="450"/>
      <c r="N1898" s="452">
        <f t="array" ref="N1898">IFERROR(
  INDEX(
    'Valor Hora Real y Estimada'!$A$4:$Z$78,
    MATCH(TRIM(CLEAN(A1898)), 'Valor Hora Real y Estimada'!$A$4:$A$78, 0),
    MATCH(
      TEXT(C1898,"dd mmm")&amp;" "&amp;D1898,
      'Valor Hora Real y Estimada'!$A$3:$Z$3,
      0
    ) + 1
  ),
  0
)</f>
        <v>0</v>
      </c>
      <c r="O1898" s="453"/>
      <c r="P1898" s="113"/>
      <c r="Q1898" s="106" t="str">
        <f>IF(ISBLANK(O1898), "", VLOOKUP(C1898&amp;" "&amp;D1898, 'Info Tipo de Cambio y REM'!$A$24:$B$35, 2, FALSE))</f>
        <v/>
      </c>
      <c r="R1898" s="107" t="str">
        <f t="shared" si="32"/>
        <v/>
      </c>
    </row>
    <row r="1899" hidden="1">
      <c r="A1899" s="443"/>
      <c r="B1899" s="43" t="str">
        <f>IF(A1899="", "", IFERROR(VLOOKUP(A1899, Clasificaciones!A:B, 2, FALSE), "DATO NO CARGADO"))
</f>
        <v/>
      </c>
      <c r="C1899" s="51"/>
      <c r="D1899" s="102"/>
      <c r="E1899" s="102"/>
      <c r="H1899" s="102"/>
      <c r="J1899" s="102"/>
      <c r="K1899" s="450"/>
      <c r="L1899" s="443"/>
      <c r="M1899" s="450"/>
      <c r="N1899" s="452">
        <f t="array" ref="N1899">IFERROR(
  INDEX(
    'Valor Hora Real y Estimada'!$A$4:$Z$78,
    MATCH(TRIM(CLEAN(A1899)), 'Valor Hora Real y Estimada'!$A$4:$A$78, 0),
    MATCH(
      TEXT(C1899,"dd mmm")&amp;" "&amp;D1899,
      'Valor Hora Real y Estimada'!$A$3:$Z$3,
      0
    ) + 1
  ),
  0
)</f>
        <v>0</v>
      </c>
      <c r="O1899" s="453"/>
      <c r="P1899" s="113"/>
      <c r="Q1899" s="106" t="str">
        <f>IF(ISBLANK(O1899), "", VLOOKUP(C1899&amp;" "&amp;D1899, 'Info Tipo de Cambio y REM'!$A$24:$B$35, 2, FALSE))</f>
        <v/>
      </c>
      <c r="R1899" s="107" t="str">
        <f t="shared" si="32"/>
        <v/>
      </c>
    </row>
    <row r="1900" hidden="1">
      <c r="A1900" s="443"/>
      <c r="B1900" s="43" t="str">
        <f>IF(A1900="", "", IFERROR(VLOOKUP(A1900, Clasificaciones!A:B, 2, FALSE), "DATO NO CARGADO"))
</f>
        <v/>
      </c>
      <c r="C1900" s="51"/>
      <c r="D1900" s="102"/>
      <c r="E1900" s="102"/>
      <c r="H1900" s="102"/>
      <c r="J1900" s="102"/>
      <c r="K1900" s="450"/>
      <c r="L1900" s="443"/>
      <c r="M1900" s="450"/>
      <c r="N1900" s="452">
        <f t="array" ref="N1900">IFERROR(
  INDEX(
    'Valor Hora Real y Estimada'!$A$4:$Z$78,
    MATCH(TRIM(CLEAN(A1900)), 'Valor Hora Real y Estimada'!$A$4:$A$78, 0),
    MATCH(
      TEXT(C1900,"dd mmm")&amp;" "&amp;D1900,
      'Valor Hora Real y Estimada'!$A$3:$Z$3,
      0
    ) + 1
  ),
  0
)</f>
        <v>0</v>
      </c>
      <c r="O1900" s="453"/>
      <c r="P1900" s="113"/>
      <c r="Q1900" s="106" t="str">
        <f>IF(ISBLANK(O1900), "", VLOOKUP(C1900&amp;" "&amp;D1900, 'Info Tipo de Cambio y REM'!$A$24:$B$35, 2, FALSE))</f>
        <v/>
      </c>
      <c r="R1900" s="107" t="str">
        <f t="shared" si="32"/>
        <v/>
      </c>
    </row>
    <row r="1901" hidden="1">
      <c r="A1901" s="443"/>
      <c r="B1901" s="43" t="str">
        <f>IF(A1901="", "", IFERROR(VLOOKUP(A1901, Clasificaciones!A:B, 2, FALSE), "DATO NO CARGADO"))
</f>
        <v/>
      </c>
      <c r="C1901" s="51"/>
      <c r="D1901" s="102"/>
      <c r="E1901" s="102"/>
      <c r="H1901" s="102"/>
      <c r="J1901" s="102"/>
      <c r="K1901" s="450"/>
      <c r="L1901" s="443"/>
      <c r="M1901" s="450"/>
      <c r="N1901" s="452">
        <f t="array" ref="N1901">IFERROR(
  INDEX(
    'Valor Hora Real y Estimada'!$A$4:$Z$78,
    MATCH(TRIM(CLEAN(A1901)), 'Valor Hora Real y Estimada'!$A$4:$A$78, 0),
    MATCH(
      TEXT(C1901,"dd mmm")&amp;" "&amp;D1901,
      'Valor Hora Real y Estimada'!$A$3:$Z$3,
      0
    ) + 1
  ),
  0
)</f>
        <v>0</v>
      </c>
      <c r="O1901" s="453"/>
      <c r="P1901" s="113"/>
      <c r="Q1901" s="106" t="str">
        <f>IF(ISBLANK(O1901), "", VLOOKUP(C1901&amp;" "&amp;D1901, 'Info Tipo de Cambio y REM'!$A$24:$B$35, 2, FALSE))</f>
        <v/>
      </c>
      <c r="R1901" s="107" t="str">
        <f t="shared" si="32"/>
        <v/>
      </c>
    </row>
    <row r="1902" hidden="1">
      <c r="A1902" s="443"/>
      <c r="B1902" s="43" t="str">
        <f>IF(A1902="", "", IFERROR(VLOOKUP(A1902, Clasificaciones!A:B, 2, FALSE), "DATO NO CARGADO"))
</f>
        <v/>
      </c>
      <c r="C1902" s="51"/>
      <c r="D1902" s="102"/>
      <c r="E1902" s="102"/>
      <c r="H1902" s="102"/>
      <c r="J1902" s="102"/>
      <c r="K1902" s="450"/>
      <c r="L1902" s="443"/>
      <c r="M1902" s="450"/>
      <c r="N1902" s="452">
        <f t="array" ref="N1902">IFERROR(
  INDEX(
    'Valor Hora Real y Estimada'!$A$4:$Z$78,
    MATCH(TRIM(CLEAN(A1902)), 'Valor Hora Real y Estimada'!$A$4:$A$78, 0),
    MATCH(
      TEXT(C1902,"dd mmm")&amp;" "&amp;D1902,
      'Valor Hora Real y Estimada'!$A$3:$Z$3,
      0
    ) + 1
  ),
  0
)</f>
        <v>0</v>
      </c>
      <c r="O1902" s="453"/>
      <c r="P1902" s="113"/>
      <c r="Q1902" s="106" t="str">
        <f>IF(ISBLANK(O1902), "", VLOOKUP(C1902&amp;" "&amp;D1902, 'Info Tipo de Cambio y REM'!$A$24:$B$35, 2, FALSE))</f>
        <v/>
      </c>
      <c r="R1902" s="107" t="str">
        <f t="shared" si="32"/>
        <v/>
      </c>
    </row>
    <row r="1903" hidden="1">
      <c r="A1903" s="443"/>
      <c r="B1903" s="43" t="str">
        <f>IF(A1903="", "", IFERROR(VLOOKUP(A1903, Clasificaciones!A:B, 2, FALSE), "DATO NO CARGADO"))
</f>
        <v/>
      </c>
      <c r="C1903" s="51"/>
      <c r="D1903" s="102"/>
      <c r="E1903" s="102"/>
      <c r="H1903" s="102"/>
      <c r="J1903" s="102"/>
      <c r="K1903" s="450"/>
      <c r="L1903" s="443"/>
      <c r="M1903" s="450"/>
      <c r="N1903" s="452">
        <f t="array" ref="N1903">IFERROR(
  INDEX(
    'Valor Hora Real y Estimada'!$A$4:$Z$78,
    MATCH(TRIM(CLEAN(A1903)), 'Valor Hora Real y Estimada'!$A$4:$A$78, 0),
    MATCH(
      TEXT(C1903,"dd mmm")&amp;" "&amp;D1903,
      'Valor Hora Real y Estimada'!$A$3:$Z$3,
      0
    ) + 1
  ),
  0
)</f>
        <v>0</v>
      </c>
      <c r="O1903" s="453"/>
      <c r="P1903" s="113"/>
      <c r="Q1903" s="106" t="str">
        <f>IF(ISBLANK(O1903), "", VLOOKUP(C1903&amp;" "&amp;D1903, 'Info Tipo de Cambio y REM'!$A$24:$B$35, 2, FALSE))</f>
        <v/>
      </c>
      <c r="R1903" s="107" t="str">
        <f t="shared" si="32"/>
        <v/>
      </c>
    </row>
    <row r="1904" hidden="1">
      <c r="A1904" s="443"/>
      <c r="B1904" s="43" t="str">
        <f>IF(A1904="", "", IFERROR(VLOOKUP(A1904, Clasificaciones!A:B, 2, FALSE), "DATO NO CARGADO"))
</f>
        <v/>
      </c>
      <c r="C1904" s="51"/>
      <c r="D1904" s="102"/>
      <c r="E1904" s="102"/>
      <c r="H1904" s="102"/>
      <c r="J1904" s="102"/>
      <c r="K1904" s="450"/>
      <c r="L1904" s="443"/>
      <c r="M1904" s="450"/>
      <c r="N1904" s="452">
        <f t="array" ref="N1904">IFERROR(
  INDEX(
    'Valor Hora Real y Estimada'!$A$4:$Z$78,
    MATCH(TRIM(CLEAN(A1904)), 'Valor Hora Real y Estimada'!$A$4:$A$78, 0),
    MATCH(
      TEXT(C1904,"dd mmm")&amp;" "&amp;D1904,
      'Valor Hora Real y Estimada'!$A$3:$Z$3,
      0
    ) + 1
  ),
  0
)</f>
        <v>0</v>
      </c>
      <c r="O1904" s="453"/>
      <c r="P1904" s="113"/>
      <c r="Q1904" s="106" t="str">
        <f>IF(ISBLANK(O1904), "", VLOOKUP(C1904&amp;" "&amp;D1904, 'Info Tipo de Cambio y REM'!$A$24:$B$35, 2, FALSE))</f>
        <v/>
      </c>
      <c r="R1904" s="107" t="str">
        <f t="shared" si="32"/>
        <v/>
      </c>
    </row>
    <row r="1905" hidden="1">
      <c r="A1905" s="443"/>
      <c r="B1905" s="43" t="str">
        <f>IF(A1905="", "", IFERROR(VLOOKUP(A1905, Clasificaciones!A:B, 2, FALSE), "DATO NO CARGADO"))
</f>
        <v/>
      </c>
      <c r="C1905" s="51"/>
      <c r="D1905" s="102"/>
      <c r="E1905" s="102"/>
      <c r="H1905" s="102"/>
      <c r="J1905" s="102"/>
      <c r="K1905" s="450"/>
      <c r="L1905" s="443"/>
      <c r="M1905" s="450"/>
      <c r="N1905" s="452">
        <f t="array" ref="N1905">IFERROR(
  INDEX(
    'Valor Hora Real y Estimada'!$A$4:$Z$78,
    MATCH(TRIM(CLEAN(A1905)), 'Valor Hora Real y Estimada'!$A$4:$A$78, 0),
    MATCH(
      TEXT(C1905,"dd mmm")&amp;" "&amp;D1905,
      'Valor Hora Real y Estimada'!$A$3:$Z$3,
      0
    ) + 1
  ),
  0
)</f>
        <v>0</v>
      </c>
      <c r="O1905" s="453"/>
      <c r="P1905" s="113"/>
      <c r="Q1905" s="106" t="str">
        <f>IF(ISBLANK(O1905), "", VLOOKUP(C1905&amp;" "&amp;D1905, 'Info Tipo de Cambio y REM'!$A$24:$B$35, 2, FALSE))</f>
        <v/>
      </c>
      <c r="R1905" s="107" t="str">
        <f t="shared" si="32"/>
        <v/>
      </c>
    </row>
    <row r="1906" hidden="1">
      <c r="A1906" s="443"/>
      <c r="B1906" s="43" t="str">
        <f>IF(A1906="", "", IFERROR(VLOOKUP(A1906, Clasificaciones!A:B, 2, FALSE), "DATO NO CARGADO"))
</f>
        <v/>
      </c>
      <c r="C1906" s="51"/>
      <c r="D1906" s="102"/>
      <c r="E1906" s="102"/>
      <c r="H1906" s="102"/>
      <c r="J1906" s="102"/>
      <c r="K1906" s="450"/>
      <c r="L1906" s="443"/>
      <c r="M1906" s="450"/>
      <c r="N1906" s="452">
        <f t="array" ref="N1906">IFERROR(
  INDEX(
    'Valor Hora Real y Estimada'!$A$4:$Z$78,
    MATCH(TRIM(CLEAN(A1906)), 'Valor Hora Real y Estimada'!$A$4:$A$78, 0),
    MATCH(
      TEXT(C1906,"dd mmm")&amp;" "&amp;D1906,
      'Valor Hora Real y Estimada'!$A$3:$Z$3,
      0
    ) + 1
  ),
  0
)</f>
        <v>0</v>
      </c>
      <c r="O1906" s="453"/>
      <c r="P1906" s="113"/>
      <c r="Q1906" s="106" t="str">
        <f>IF(ISBLANK(O1906), "", VLOOKUP(C1906&amp;" "&amp;D1906, 'Info Tipo de Cambio y REM'!$A$24:$B$35, 2, FALSE))</f>
        <v/>
      </c>
      <c r="R1906" s="107" t="str">
        <f t="shared" si="32"/>
        <v/>
      </c>
    </row>
    <row r="1907" hidden="1">
      <c r="A1907" s="443"/>
      <c r="B1907" s="43" t="str">
        <f>IF(A1907="", "", IFERROR(VLOOKUP(A1907, Clasificaciones!A:B, 2, FALSE), "DATO NO CARGADO"))
</f>
        <v/>
      </c>
      <c r="C1907" s="51"/>
      <c r="D1907" s="102"/>
      <c r="E1907" s="102"/>
      <c r="H1907" s="102"/>
      <c r="J1907" s="102"/>
      <c r="K1907" s="450"/>
      <c r="L1907" s="443"/>
      <c r="M1907" s="450"/>
      <c r="N1907" s="452">
        <f t="array" ref="N1907">IFERROR(
  INDEX(
    'Valor Hora Real y Estimada'!$A$4:$Z$78,
    MATCH(TRIM(CLEAN(A1907)), 'Valor Hora Real y Estimada'!$A$4:$A$78, 0),
    MATCH(
      TEXT(C1907,"dd mmm")&amp;" "&amp;D1907,
      'Valor Hora Real y Estimada'!$A$3:$Z$3,
      0
    ) + 1
  ),
  0
)</f>
        <v>0</v>
      </c>
      <c r="O1907" s="453"/>
      <c r="P1907" s="113"/>
      <c r="Q1907" s="106" t="str">
        <f>IF(ISBLANK(O1907), "", VLOOKUP(C1907&amp;" "&amp;D1907, 'Info Tipo de Cambio y REM'!$A$24:$B$35, 2, FALSE))</f>
        <v/>
      </c>
      <c r="R1907" s="107" t="str">
        <f t="shared" si="32"/>
        <v/>
      </c>
    </row>
    <row r="1908" hidden="1">
      <c r="A1908" s="443"/>
      <c r="B1908" s="43" t="str">
        <f>IF(A1908="", "", IFERROR(VLOOKUP(A1908, Clasificaciones!A:B, 2, FALSE), "DATO NO CARGADO"))
</f>
        <v/>
      </c>
      <c r="C1908" s="51"/>
      <c r="D1908" s="102"/>
      <c r="E1908" s="102"/>
      <c r="H1908" s="102"/>
      <c r="J1908" s="102"/>
      <c r="K1908" s="450"/>
      <c r="L1908" s="443"/>
      <c r="M1908" s="450"/>
      <c r="N1908" s="452">
        <f t="array" ref="N1908">IFERROR(
  INDEX(
    'Valor Hora Real y Estimada'!$A$4:$Z$78,
    MATCH(TRIM(CLEAN(A1908)), 'Valor Hora Real y Estimada'!$A$4:$A$78, 0),
    MATCH(
      TEXT(C1908,"dd mmm")&amp;" "&amp;D1908,
      'Valor Hora Real y Estimada'!$A$3:$Z$3,
      0
    ) + 1
  ),
  0
)</f>
        <v>0</v>
      </c>
      <c r="O1908" s="453"/>
      <c r="P1908" s="113"/>
      <c r="Q1908" s="106" t="str">
        <f>IF(ISBLANK(O1908), "", VLOOKUP(C1908&amp;" "&amp;D1908, 'Info Tipo de Cambio y REM'!$A$24:$B$35, 2, FALSE))</f>
        <v/>
      </c>
      <c r="R1908" s="107" t="str">
        <f t="shared" si="32"/>
        <v/>
      </c>
    </row>
    <row r="1909" hidden="1">
      <c r="A1909" s="443"/>
      <c r="B1909" s="43" t="str">
        <f>IF(A1909="", "", IFERROR(VLOOKUP(A1909, Clasificaciones!A:B, 2, FALSE), "DATO NO CARGADO"))
</f>
        <v/>
      </c>
      <c r="C1909" s="51"/>
      <c r="D1909" s="102"/>
      <c r="E1909" s="102"/>
      <c r="H1909" s="102"/>
      <c r="J1909" s="102"/>
      <c r="K1909" s="450"/>
      <c r="L1909" s="443"/>
      <c r="M1909" s="450"/>
      <c r="N1909" s="452">
        <f t="array" ref="N1909">IFERROR(
  INDEX(
    'Valor Hora Real y Estimada'!$A$4:$Z$78,
    MATCH(TRIM(CLEAN(A1909)), 'Valor Hora Real y Estimada'!$A$4:$A$78, 0),
    MATCH(
      TEXT(C1909,"dd mmm")&amp;" "&amp;D1909,
      'Valor Hora Real y Estimada'!$A$3:$Z$3,
      0
    ) + 1
  ),
  0
)</f>
        <v>0</v>
      </c>
      <c r="O1909" s="453"/>
      <c r="P1909" s="113"/>
      <c r="Q1909" s="106" t="str">
        <f>IF(ISBLANK(O1909), "", VLOOKUP(C1909&amp;" "&amp;D1909, 'Info Tipo de Cambio y REM'!$A$24:$B$35, 2, FALSE))</f>
        <v/>
      </c>
      <c r="R1909" s="107" t="str">
        <f t="shared" si="32"/>
        <v/>
      </c>
    </row>
    <row r="1910" hidden="1">
      <c r="A1910" s="443"/>
      <c r="B1910" s="43" t="str">
        <f>IF(A1910="", "", IFERROR(VLOOKUP(A1910, Clasificaciones!A:B, 2, FALSE), "DATO NO CARGADO"))
</f>
        <v/>
      </c>
      <c r="C1910" s="51"/>
      <c r="D1910" s="102"/>
      <c r="E1910" s="102"/>
      <c r="H1910" s="102"/>
      <c r="J1910" s="102"/>
      <c r="K1910" s="450"/>
      <c r="L1910" s="443"/>
      <c r="M1910" s="450"/>
      <c r="N1910" s="452">
        <f t="array" ref="N1910">IFERROR(
  INDEX(
    'Valor Hora Real y Estimada'!$A$4:$Z$78,
    MATCH(TRIM(CLEAN(A1910)), 'Valor Hora Real y Estimada'!$A$4:$A$78, 0),
    MATCH(
      TEXT(C1910,"dd mmm")&amp;" "&amp;D1910,
      'Valor Hora Real y Estimada'!$A$3:$Z$3,
      0
    ) + 1
  ),
  0
)</f>
        <v>0</v>
      </c>
      <c r="O1910" s="453"/>
      <c r="P1910" s="113"/>
      <c r="Q1910" s="106" t="str">
        <f>IF(ISBLANK(O1910), "", VLOOKUP(C1910&amp;" "&amp;D1910, 'Info Tipo de Cambio y REM'!$A$24:$B$35, 2, FALSE))</f>
        <v/>
      </c>
      <c r="R1910" s="107" t="str">
        <f t="shared" si="32"/>
        <v/>
      </c>
    </row>
    <row r="1911" hidden="1">
      <c r="A1911" s="443"/>
      <c r="B1911" s="43" t="str">
        <f>IF(A1911="", "", IFERROR(VLOOKUP(A1911, Clasificaciones!A:B, 2, FALSE), "DATO NO CARGADO"))
</f>
        <v/>
      </c>
      <c r="C1911" s="51"/>
      <c r="D1911" s="102"/>
      <c r="E1911" s="102"/>
      <c r="H1911" s="102"/>
      <c r="J1911" s="102"/>
      <c r="K1911" s="450"/>
      <c r="L1911" s="443"/>
      <c r="M1911" s="450"/>
      <c r="N1911" s="452">
        <f t="array" ref="N1911">IFERROR(
  INDEX(
    'Valor Hora Real y Estimada'!$A$4:$Z$78,
    MATCH(TRIM(CLEAN(A1911)), 'Valor Hora Real y Estimada'!$A$4:$A$78, 0),
    MATCH(
      TEXT(C1911,"dd mmm")&amp;" "&amp;D1911,
      'Valor Hora Real y Estimada'!$A$3:$Z$3,
      0
    ) + 1
  ),
  0
)</f>
        <v>0</v>
      </c>
      <c r="O1911" s="453"/>
      <c r="P1911" s="113"/>
      <c r="Q1911" s="106" t="str">
        <f>IF(ISBLANK(O1911), "", VLOOKUP(C1911&amp;" "&amp;D1911, 'Info Tipo de Cambio y REM'!$A$24:$B$35, 2, FALSE))</f>
        <v/>
      </c>
      <c r="R1911" s="107" t="str">
        <f t="shared" si="32"/>
        <v/>
      </c>
    </row>
    <row r="1912" hidden="1">
      <c r="A1912" s="443"/>
      <c r="B1912" s="43" t="str">
        <f>IF(A1912="", "", IFERROR(VLOOKUP(A1912, Clasificaciones!A:B, 2, FALSE), "DATO NO CARGADO"))
</f>
        <v/>
      </c>
      <c r="C1912" s="51"/>
      <c r="D1912" s="102"/>
      <c r="E1912" s="102"/>
      <c r="H1912" s="102"/>
      <c r="J1912" s="102"/>
      <c r="K1912" s="450"/>
      <c r="L1912" s="443"/>
      <c r="M1912" s="450"/>
      <c r="N1912" s="452">
        <f t="array" ref="N1912">IFERROR(
  INDEX(
    'Valor Hora Real y Estimada'!$A$4:$Z$78,
    MATCH(TRIM(CLEAN(A1912)), 'Valor Hora Real y Estimada'!$A$4:$A$78, 0),
    MATCH(
      TEXT(C1912,"dd mmm")&amp;" "&amp;D1912,
      'Valor Hora Real y Estimada'!$A$3:$Z$3,
      0
    ) + 1
  ),
  0
)</f>
        <v>0</v>
      </c>
      <c r="O1912" s="453"/>
      <c r="P1912" s="113"/>
      <c r="Q1912" s="106" t="str">
        <f>IF(ISBLANK(O1912), "", VLOOKUP(C1912&amp;" "&amp;D1912, 'Info Tipo de Cambio y REM'!$A$24:$B$35, 2, FALSE))</f>
        <v/>
      </c>
      <c r="R1912" s="107" t="str">
        <f t="shared" si="32"/>
        <v/>
      </c>
    </row>
    <row r="1913" hidden="1">
      <c r="A1913" s="443"/>
      <c r="B1913" s="43" t="str">
        <f>IF(A1913="", "", IFERROR(VLOOKUP(A1913, Clasificaciones!A:B, 2, FALSE), "DATO NO CARGADO"))
</f>
        <v/>
      </c>
      <c r="C1913" s="51"/>
      <c r="D1913" s="102"/>
      <c r="E1913" s="102"/>
      <c r="H1913" s="102"/>
      <c r="J1913" s="102"/>
      <c r="K1913" s="450"/>
      <c r="L1913" s="443"/>
      <c r="M1913" s="450"/>
      <c r="N1913" s="452">
        <f t="array" ref="N1913">IFERROR(
  INDEX(
    'Valor Hora Real y Estimada'!$A$4:$Z$78,
    MATCH(TRIM(CLEAN(A1913)), 'Valor Hora Real y Estimada'!$A$4:$A$78, 0),
    MATCH(
      TEXT(C1913,"dd mmm")&amp;" "&amp;D1913,
      'Valor Hora Real y Estimada'!$A$3:$Z$3,
      0
    ) + 1
  ),
  0
)</f>
        <v>0</v>
      </c>
      <c r="O1913" s="453"/>
      <c r="P1913" s="113"/>
      <c r="Q1913" s="106" t="str">
        <f>IF(ISBLANK(O1913), "", VLOOKUP(C1913&amp;" "&amp;D1913, 'Info Tipo de Cambio y REM'!$A$24:$B$35, 2, FALSE))</f>
        <v/>
      </c>
      <c r="R1913" s="107" t="str">
        <f t="shared" si="32"/>
        <v/>
      </c>
    </row>
    <row r="1914" hidden="1">
      <c r="A1914" s="443"/>
      <c r="B1914" s="43" t="str">
        <f>IF(A1914="", "", IFERROR(VLOOKUP(A1914, Clasificaciones!A:B, 2, FALSE), "DATO NO CARGADO"))
</f>
        <v/>
      </c>
      <c r="C1914" s="51"/>
      <c r="D1914" s="102"/>
      <c r="E1914" s="102"/>
      <c r="H1914" s="102"/>
      <c r="J1914" s="102"/>
      <c r="K1914" s="450"/>
      <c r="L1914" s="443"/>
      <c r="M1914" s="450"/>
      <c r="N1914" s="452">
        <f t="array" ref="N1914">IFERROR(
  INDEX(
    'Valor Hora Real y Estimada'!$A$4:$Z$78,
    MATCH(TRIM(CLEAN(A1914)), 'Valor Hora Real y Estimada'!$A$4:$A$78, 0),
    MATCH(
      TEXT(C1914,"dd mmm")&amp;" "&amp;D1914,
      'Valor Hora Real y Estimada'!$A$3:$Z$3,
      0
    ) + 1
  ),
  0
)</f>
        <v>0</v>
      </c>
      <c r="O1914" s="453"/>
      <c r="P1914" s="113"/>
      <c r="Q1914" s="106" t="str">
        <f>IF(ISBLANK(O1914), "", VLOOKUP(C1914&amp;" "&amp;D1914, 'Info Tipo de Cambio y REM'!$A$24:$B$35, 2, FALSE))</f>
        <v/>
      </c>
      <c r="R1914" s="107" t="str">
        <f t="shared" si="32"/>
        <v/>
      </c>
    </row>
    <row r="1915" hidden="1">
      <c r="A1915" s="443"/>
      <c r="B1915" s="43" t="str">
        <f>IF(A1915="", "", IFERROR(VLOOKUP(A1915, Clasificaciones!A:B, 2, FALSE), "DATO NO CARGADO"))
</f>
        <v/>
      </c>
      <c r="C1915" s="51"/>
      <c r="D1915" s="102"/>
      <c r="E1915" s="102"/>
      <c r="H1915" s="102"/>
      <c r="J1915" s="102"/>
      <c r="K1915" s="450"/>
      <c r="L1915" s="443"/>
      <c r="M1915" s="450"/>
      <c r="N1915" s="452">
        <f t="array" ref="N1915">IFERROR(
  INDEX(
    'Valor Hora Real y Estimada'!$A$4:$Z$78,
    MATCH(TRIM(CLEAN(A1915)), 'Valor Hora Real y Estimada'!$A$4:$A$78, 0),
    MATCH(
      TEXT(C1915,"dd mmm")&amp;" "&amp;D1915,
      'Valor Hora Real y Estimada'!$A$3:$Z$3,
      0
    ) + 1
  ),
  0
)</f>
        <v>0</v>
      </c>
      <c r="O1915" s="453"/>
      <c r="P1915" s="113"/>
      <c r="Q1915" s="106" t="str">
        <f>IF(ISBLANK(O1915), "", VLOOKUP(C1915&amp;" "&amp;D1915, 'Info Tipo de Cambio y REM'!$A$24:$B$35, 2, FALSE))</f>
        <v/>
      </c>
      <c r="R1915" s="107" t="str">
        <f t="shared" si="32"/>
        <v/>
      </c>
    </row>
    <row r="1916" hidden="1">
      <c r="A1916" s="443"/>
      <c r="B1916" s="43" t="str">
        <f>IF(A1916="", "", IFERROR(VLOOKUP(A1916, Clasificaciones!A:B, 2, FALSE), "DATO NO CARGADO"))
</f>
        <v/>
      </c>
      <c r="C1916" s="51"/>
      <c r="D1916" s="102"/>
      <c r="E1916" s="102"/>
      <c r="H1916" s="102"/>
      <c r="J1916" s="102"/>
      <c r="K1916" s="450"/>
      <c r="L1916" s="443"/>
      <c r="M1916" s="450"/>
      <c r="N1916" s="452">
        <f t="array" ref="N1916">IFERROR(
  INDEX(
    'Valor Hora Real y Estimada'!$A$4:$Z$78,
    MATCH(TRIM(CLEAN(A1916)), 'Valor Hora Real y Estimada'!$A$4:$A$78, 0),
    MATCH(
      TEXT(C1916,"dd mmm")&amp;" "&amp;D1916,
      'Valor Hora Real y Estimada'!$A$3:$Z$3,
      0
    ) + 1
  ),
  0
)</f>
        <v>0</v>
      </c>
      <c r="O1916" s="453"/>
      <c r="P1916" s="113"/>
      <c r="Q1916" s="106" t="str">
        <f>IF(ISBLANK(O1916), "", VLOOKUP(C1916&amp;" "&amp;D1916, 'Info Tipo de Cambio y REM'!$A$24:$B$35, 2, FALSE))</f>
        <v/>
      </c>
      <c r="R1916" s="107" t="str">
        <f t="shared" si="32"/>
        <v/>
      </c>
    </row>
    <row r="1917" hidden="1">
      <c r="A1917" s="443"/>
      <c r="B1917" s="43" t="str">
        <f>IF(A1917="", "", IFERROR(VLOOKUP(A1917, Clasificaciones!A:B, 2, FALSE), "DATO NO CARGADO"))
</f>
        <v/>
      </c>
      <c r="C1917" s="51"/>
      <c r="D1917" s="102"/>
      <c r="E1917" s="102"/>
      <c r="H1917" s="102"/>
      <c r="J1917" s="102"/>
      <c r="K1917" s="450"/>
      <c r="L1917" s="443"/>
      <c r="M1917" s="450"/>
      <c r="N1917" s="452">
        <f t="array" ref="N1917">IFERROR(
  INDEX(
    'Valor Hora Real y Estimada'!$A$4:$Z$78,
    MATCH(TRIM(CLEAN(A1917)), 'Valor Hora Real y Estimada'!$A$4:$A$78, 0),
    MATCH(
      TEXT(C1917,"dd mmm")&amp;" "&amp;D1917,
      'Valor Hora Real y Estimada'!$A$3:$Z$3,
      0
    ) + 1
  ),
  0
)</f>
        <v>0</v>
      </c>
      <c r="O1917" s="453"/>
      <c r="P1917" s="113"/>
      <c r="Q1917" s="106" t="str">
        <f>IF(ISBLANK(O1917), "", VLOOKUP(C1917&amp;" "&amp;D1917, 'Info Tipo de Cambio y REM'!$A$24:$B$35, 2, FALSE))</f>
        <v/>
      </c>
      <c r="R1917" s="107" t="str">
        <f t="shared" si="32"/>
        <v/>
      </c>
    </row>
    <row r="1918" hidden="1">
      <c r="A1918" s="443"/>
      <c r="B1918" s="43" t="str">
        <f>IF(A1918="", "", IFERROR(VLOOKUP(A1918, Clasificaciones!A:B, 2, FALSE), "DATO NO CARGADO"))
</f>
        <v/>
      </c>
      <c r="C1918" s="51"/>
      <c r="D1918" s="102"/>
      <c r="E1918" s="102"/>
      <c r="H1918" s="102"/>
      <c r="J1918" s="102"/>
      <c r="K1918" s="450"/>
      <c r="L1918" s="443"/>
      <c r="M1918" s="450"/>
      <c r="N1918" s="452">
        <f t="array" ref="N1918">IFERROR(
  INDEX(
    'Valor Hora Real y Estimada'!$A$4:$Z$78,
    MATCH(TRIM(CLEAN(A1918)), 'Valor Hora Real y Estimada'!$A$4:$A$78, 0),
    MATCH(
      TEXT(C1918,"dd mmm")&amp;" "&amp;D1918,
      'Valor Hora Real y Estimada'!$A$3:$Z$3,
      0
    ) + 1
  ),
  0
)</f>
        <v>0</v>
      </c>
      <c r="O1918" s="453"/>
      <c r="P1918" s="113"/>
      <c r="Q1918" s="106" t="str">
        <f>IF(ISBLANK(O1918), "", VLOOKUP(C1918&amp;" "&amp;D1918, 'Info Tipo de Cambio y REM'!$A$24:$B$35, 2, FALSE))</f>
        <v/>
      </c>
      <c r="R1918" s="107" t="str">
        <f t="shared" si="32"/>
        <v/>
      </c>
    </row>
    <row r="1919" hidden="1">
      <c r="A1919" s="443"/>
      <c r="B1919" s="43" t="str">
        <f>IF(A1919="", "", IFERROR(VLOOKUP(A1919, Clasificaciones!A:B, 2, FALSE), "DATO NO CARGADO"))
</f>
        <v/>
      </c>
      <c r="C1919" s="51"/>
      <c r="D1919" s="102"/>
      <c r="E1919" s="102"/>
      <c r="H1919" s="102"/>
      <c r="J1919" s="102"/>
      <c r="K1919" s="450"/>
      <c r="L1919" s="443"/>
      <c r="M1919" s="450"/>
      <c r="N1919" s="452">
        <f t="array" ref="N1919">IFERROR(
  INDEX(
    'Valor Hora Real y Estimada'!$A$4:$Z$78,
    MATCH(TRIM(CLEAN(A1919)), 'Valor Hora Real y Estimada'!$A$4:$A$78, 0),
    MATCH(
      TEXT(C1919,"dd mmm")&amp;" "&amp;D1919,
      'Valor Hora Real y Estimada'!$A$3:$Z$3,
      0
    ) + 1
  ),
  0
)</f>
        <v>0</v>
      </c>
      <c r="O1919" s="453"/>
      <c r="P1919" s="113"/>
      <c r="Q1919" s="106" t="str">
        <f>IF(ISBLANK(O1919), "", VLOOKUP(C1919&amp;" "&amp;D1919, 'Info Tipo de Cambio y REM'!$A$24:$B$35, 2, FALSE))</f>
        <v/>
      </c>
      <c r="R1919" s="107" t="str">
        <f t="shared" si="32"/>
        <v/>
      </c>
    </row>
    <row r="1920" hidden="1">
      <c r="A1920" s="443"/>
      <c r="B1920" s="43" t="str">
        <f>IF(A1920="", "", IFERROR(VLOOKUP(A1920, Clasificaciones!A:B, 2, FALSE), "DATO NO CARGADO"))
</f>
        <v/>
      </c>
      <c r="C1920" s="51"/>
      <c r="D1920" s="102"/>
      <c r="E1920" s="102"/>
      <c r="H1920" s="102"/>
      <c r="J1920" s="102"/>
      <c r="K1920" s="450"/>
      <c r="L1920" s="443"/>
      <c r="M1920" s="450"/>
      <c r="N1920" s="452">
        <f t="array" ref="N1920">IFERROR(
  INDEX(
    'Valor Hora Real y Estimada'!$A$4:$Z$78,
    MATCH(TRIM(CLEAN(A1920)), 'Valor Hora Real y Estimada'!$A$4:$A$78, 0),
    MATCH(
      TEXT(C1920,"dd mmm")&amp;" "&amp;D1920,
      'Valor Hora Real y Estimada'!$A$3:$Z$3,
      0
    ) + 1
  ),
  0
)</f>
        <v>0</v>
      </c>
      <c r="O1920" s="453"/>
      <c r="P1920" s="113"/>
      <c r="Q1920" s="106" t="str">
        <f>IF(ISBLANK(O1920), "", VLOOKUP(C1920&amp;" "&amp;D1920, 'Info Tipo de Cambio y REM'!$A$24:$B$35, 2, FALSE))</f>
        <v/>
      </c>
      <c r="R1920" s="107" t="str">
        <f t="shared" si="32"/>
        <v/>
      </c>
    </row>
    <row r="1921" hidden="1">
      <c r="A1921" s="443"/>
      <c r="B1921" s="43" t="str">
        <f>IF(A1921="", "", IFERROR(VLOOKUP(A1921, Clasificaciones!A:B, 2, FALSE), "DATO NO CARGADO"))
</f>
        <v/>
      </c>
      <c r="C1921" s="51"/>
      <c r="D1921" s="102"/>
      <c r="E1921" s="102"/>
      <c r="H1921" s="102"/>
      <c r="J1921" s="102"/>
      <c r="K1921" s="450"/>
      <c r="L1921" s="443"/>
      <c r="M1921" s="450"/>
      <c r="N1921" s="452">
        <f t="array" ref="N1921">IFERROR(
  INDEX(
    'Valor Hora Real y Estimada'!$A$4:$Z$78,
    MATCH(TRIM(CLEAN(A1921)), 'Valor Hora Real y Estimada'!$A$4:$A$78, 0),
    MATCH(
      TEXT(C1921,"dd mmm")&amp;" "&amp;D1921,
      'Valor Hora Real y Estimada'!$A$3:$Z$3,
      0
    ) + 1
  ),
  0
)</f>
        <v>0</v>
      </c>
      <c r="O1921" s="453"/>
      <c r="P1921" s="113"/>
      <c r="Q1921" s="106" t="str">
        <f>IF(ISBLANK(O1921), "", VLOOKUP(C1921&amp;" "&amp;D1921, 'Info Tipo de Cambio y REM'!$A$24:$B$35, 2, FALSE))</f>
        <v/>
      </c>
      <c r="R1921" s="107" t="str">
        <f t="shared" si="32"/>
        <v/>
      </c>
    </row>
    <row r="1922" hidden="1">
      <c r="A1922" s="443"/>
      <c r="B1922" s="43" t="str">
        <f>IF(A1922="", "", IFERROR(VLOOKUP(A1922, Clasificaciones!A:B, 2, FALSE), "DATO NO CARGADO"))
</f>
        <v/>
      </c>
      <c r="C1922" s="51"/>
      <c r="D1922" s="102"/>
      <c r="E1922" s="102"/>
      <c r="H1922" s="102"/>
      <c r="J1922" s="102"/>
      <c r="K1922" s="450"/>
      <c r="L1922" s="443"/>
      <c r="M1922" s="450"/>
      <c r="N1922" s="452">
        <f t="array" ref="N1922">IFERROR(
  INDEX(
    'Valor Hora Real y Estimada'!$A$4:$Z$78,
    MATCH(TRIM(CLEAN(A1922)), 'Valor Hora Real y Estimada'!$A$4:$A$78, 0),
    MATCH(
      TEXT(C1922,"dd mmm")&amp;" "&amp;D1922,
      'Valor Hora Real y Estimada'!$A$3:$Z$3,
      0
    ) + 1
  ),
  0
)</f>
        <v>0</v>
      </c>
      <c r="O1922" s="453"/>
      <c r="P1922" s="113"/>
      <c r="Q1922" s="106" t="str">
        <f>IF(ISBLANK(O1922), "", VLOOKUP(C1922&amp;" "&amp;D1922, 'Info Tipo de Cambio y REM'!$A$24:$B$35, 2, FALSE))</f>
        <v/>
      </c>
      <c r="R1922" s="107" t="str">
        <f t="shared" si="32"/>
        <v/>
      </c>
    </row>
    <row r="1923" hidden="1">
      <c r="A1923" s="443"/>
      <c r="B1923" s="43" t="str">
        <f>IF(A1923="", "", IFERROR(VLOOKUP(A1923, Clasificaciones!A:B, 2, FALSE), "DATO NO CARGADO"))
</f>
        <v/>
      </c>
      <c r="C1923" s="51"/>
      <c r="D1923" s="102"/>
      <c r="E1923" s="102"/>
      <c r="H1923" s="102"/>
      <c r="J1923" s="102"/>
      <c r="K1923" s="450"/>
      <c r="L1923" s="443"/>
      <c r="M1923" s="450"/>
      <c r="N1923" s="452">
        <f t="array" ref="N1923">IFERROR(
  INDEX(
    'Valor Hora Real y Estimada'!$A$4:$Z$78,
    MATCH(TRIM(CLEAN(A1923)), 'Valor Hora Real y Estimada'!$A$4:$A$78, 0),
    MATCH(
      TEXT(C1923,"dd mmm")&amp;" "&amp;D1923,
      'Valor Hora Real y Estimada'!$A$3:$Z$3,
      0
    ) + 1
  ),
  0
)</f>
        <v>0</v>
      </c>
      <c r="O1923" s="453"/>
      <c r="P1923" s="113"/>
      <c r="Q1923" s="106" t="str">
        <f>IF(ISBLANK(O1923), "", VLOOKUP(C1923&amp;" "&amp;D1923, 'Info Tipo de Cambio y REM'!$A$24:$B$35, 2, FALSE))</f>
        <v/>
      </c>
      <c r="R1923" s="107" t="str">
        <f t="shared" si="32"/>
        <v/>
      </c>
    </row>
    <row r="1924" hidden="1">
      <c r="A1924" s="443"/>
      <c r="B1924" s="43" t="str">
        <f>IF(A1924="", "", IFERROR(VLOOKUP(A1924, Clasificaciones!A:B, 2, FALSE), "DATO NO CARGADO"))
</f>
        <v/>
      </c>
      <c r="C1924" s="51"/>
      <c r="D1924" s="102"/>
      <c r="E1924" s="102"/>
      <c r="H1924" s="102"/>
      <c r="J1924" s="102"/>
      <c r="K1924" s="450"/>
      <c r="L1924" s="443"/>
      <c r="M1924" s="450"/>
      <c r="N1924" s="452">
        <f t="array" ref="N1924">IFERROR(
  INDEX(
    'Valor Hora Real y Estimada'!$A$4:$Z$78,
    MATCH(TRIM(CLEAN(A1924)), 'Valor Hora Real y Estimada'!$A$4:$A$78, 0),
    MATCH(
      TEXT(C1924,"dd mmm")&amp;" "&amp;D1924,
      'Valor Hora Real y Estimada'!$A$3:$Z$3,
      0
    ) + 1
  ),
  0
)</f>
        <v>0</v>
      </c>
      <c r="O1924" s="453"/>
      <c r="P1924" s="113"/>
      <c r="Q1924" s="106" t="str">
        <f>IF(ISBLANK(O1924), "", VLOOKUP(C1924&amp;" "&amp;D1924, 'Info Tipo de Cambio y REM'!$A$24:$B$35, 2, FALSE))</f>
        <v/>
      </c>
      <c r="R1924" s="107" t="str">
        <f t="shared" si="32"/>
        <v/>
      </c>
    </row>
    <row r="1925" hidden="1">
      <c r="A1925" s="443"/>
      <c r="B1925" s="43" t="str">
        <f>IF(A1925="", "", IFERROR(VLOOKUP(A1925, Clasificaciones!A:B, 2, FALSE), "DATO NO CARGADO"))
</f>
        <v/>
      </c>
      <c r="C1925" s="51"/>
      <c r="D1925" s="102"/>
      <c r="E1925" s="102"/>
      <c r="H1925" s="102"/>
      <c r="J1925" s="102"/>
      <c r="K1925" s="450"/>
      <c r="L1925" s="443"/>
      <c r="M1925" s="450"/>
      <c r="N1925" s="452">
        <f t="array" ref="N1925">IFERROR(
  INDEX(
    'Valor Hora Real y Estimada'!$A$4:$Z$78,
    MATCH(TRIM(CLEAN(A1925)), 'Valor Hora Real y Estimada'!$A$4:$A$78, 0),
    MATCH(
      TEXT(C1925,"dd mmm")&amp;" "&amp;D1925,
      'Valor Hora Real y Estimada'!$A$3:$Z$3,
      0
    ) + 1
  ),
  0
)</f>
        <v>0</v>
      </c>
      <c r="O1925" s="453"/>
      <c r="P1925" s="113"/>
      <c r="Q1925" s="106" t="str">
        <f>IF(ISBLANK(O1925), "", VLOOKUP(C1925&amp;" "&amp;D1925, 'Info Tipo de Cambio y REM'!$A$24:$B$35, 2, FALSE))</f>
        <v/>
      </c>
      <c r="R1925" s="107" t="str">
        <f t="shared" si="32"/>
        <v/>
      </c>
    </row>
    <row r="1926" hidden="1">
      <c r="A1926" s="443"/>
      <c r="B1926" s="43" t="str">
        <f>IF(A1926="", "", IFERROR(VLOOKUP(A1926, Clasificaciones!A:B, 2, FALSE), "DATO NO CARGADO"))
</f>
        <v/>
      </c>
      <c r="C1926" s="51"/>
      <c r="D1926" s="102"/>
      <c r="E1926" s="102"/>
      <c r="H1926" s="102"/>
      <c r="J1926" s="102"/>
      <c r="K1926" s="450"/>
      <c r="L1926" s="443"/>
      <c r="M1926" s="450"/>
      <c r="N1926" s="452">
        <f t="array" ref="N1926">IFERROR(
  INDEX(
    'Valor Hora Real y Estimada'!$A$4:$Z$78,
    MATCH(TRIM(CLEAN(A1926)), 'Valor Hora Real y Estimada'!$A$4:$A$78, 0),
    MATCH(
      TEXT(C1926,"dd mmm")&amp;" "&amp;D1926,
      'Valor Hora Real y Estimada'!$A$3:$Z$3,
      0
    ) + 1
  ),
  0
)</f>
        <v>0</v>
      </c>
      <c r="O1926" s="453"/>
      <c r="P1926" s="113"/>
      <c r="Q1926" s="106" t="str">
        <f>IF(ISBLANK(O1926), "", VLOOKUP(C1926&amp;" "&amp;D1926, 'Info Tipo de Cambio y REM'!$A$24:$B$35, 2, FALSE))</f>
        <v/>
      </c>
      <c r="R1926" s="107" t="str">
        <f t="shared" si="32"/>
        <v/>
      </c>
    </row>
    <row r="1927" hidden="1">
      <c r="A1927" s="443"/>
      <c r="B1927" s="43" t="str">
        <f>IF(A1927="", "", IFERROR(VLOOKUP(A1927, Clasificaciones!A:B, 2, FALSE), "DATO NO CARGADO"))
</f>
        <v/>
      </c>
      <c r="C1927" s="51"/>
      <c r="D1927" s="102"/>
      <c r="E1927" s="102"/>
      <c r="H1927" s="102"/>
      <c r="J1927" s="102"/>
      <c r="K1927" s="450"/>
      <c r="L1927" s="443"/>
      <c r="M1927" s="450"/>
      <c r="N1927" s="452">
        <f t="array" ref="N1927">IFERROR(
  INDEX(
    'Valor Hora Real y Estimada'!$A$4:$Z$78,
    MATCH(TRIM(CLEAN(A1927)), 'Valor Hora Real y Estimada'!$A$4:$A$78, 0),
    MATCH(
      TEXT(C1927,"dd mmm")&amp;" "&amp;D1927,
      'Valor Hora Real y Estimada'!$A$3:$Z$3,
      0
    ) + 1
  ),
  0
)</f>
        <v>0</v>
      </c>
      <c r="O1927" s="453"/>
      <c r="P1927" s="113"/>
      <c r="Q1927" s="106" t="str">
        <f>IF(ISBLANK(O1927), "", VLOOKUP(C1927&amp;" "&amp;D1927, 'Info Tipo de Cambio y REM'!$A$24:$B$35, 2, FALSE))</f>
        <v/>
      </c>
      <c r="R1927" s="107" t="str">
        <f t="shared" si="32"/>
        <v/>
      </c>
    </row>
    <row r="1928" hidden="1">
      <c r="A1928" s="443"/>
      <c r="B1928" s="43" t="str">
        <f>IF(A1928="", "", IFERROR(VLOOKUP(A1928, Clasificaciones!A:B, 2, FALSE), "DATO NO CARGADO"))
</f>
        <v/>
      </c>
      <c r="C1928" s="51"/>
      <c r="D1928" s="102"/>
      <c r="E1928" s="102"/>
      <c r="H1928" s="102"/>
      <c r="J1928" s="102"/>
      <c r="K1928" s="450"/>
      <c r="L1928" s="443"/>
      <c r="M1928" s="450"/>
      <c r="N1928" s="452">
        <f t="array" ref="N1928">IFERROR(
  INDEX(
    'Valor Hora Real y Estimada'!$A$4:$Z$78,
    MATCH(TRIM(CLEAN(A1928)), 'Valor Hora Real y Estimada'!$A$4:$A$78, 0),
    MATCH(
      TEXT(C1928,"dd mmm")&amp;" "&amp;D1928,
      'Valor Hora Real y Estimada'!$A$3:$Z$3,
      0
    ) + 1
  ),
  0
)</f>
        <v>0</v>
      </c>
      <c r="O1928" s="453"/>
      <c r="P1928" s="113"/>
      <c r="Q1928" s="106" t="str">
        <f>IF(ISBLANK(O1928), "", VLOOKUP(C1928&amp;" "&amp;D1928, 'Info Tipo de Cambio y REM'!$A$24:$B$35, 2, FALSE))</f>
        <v/>
      </c>
      <c r="R1928" s="107" t="str">
        <f t="shared" si="32"/>
        <v/>
      </c>
    </row>
    <row r="1929" hidden="1">
      <c r="A1929" s="443"/>
      <c r="B1929" s="43" t="str">
        <f>IF(A1929="", "", IFERROR(VLOOKUP(A1929, Clasificaciones!A:B, 2, FALSE), "DATO NO CARGADO"))
</f>
        <v/>
      </c>
      <c r="C1929" s="51"/>
      <c r="D1929" s="102"/>
      <c r="E1929" s="102"/>
      <c r="H1929" s="102"/>
      <c r="J1929" s="102"/>
      <c r="K1929" s="450"/>
      <c r="L1929" s="443"/>
      <c r="M1929" s="450"/>
      <c r="N1929" s="452">
        <f t="array" ref="N1929">IFERROR(
  INDEX(
    'Valor Hora Real y Estimada'!$A$4:$Z$78,
    MATCH(TRIM(CLEAN(A1929)), 'Valor Hora Real y Estimada'!$A$4:$A$78, 0),
    MATCH(
      TEXT(C1929,"dd mmm")&amp;" "&amp;D1929,
      'Valor Hora Real y Estimada'!$A$3:$Z$3,
      0
    ) + 1
  ),
  0
)</f>
        <v>0</v>
      </c>
      <c r="O1929" s="453"/>
      <c r="P1929" s="113"/>
      <c r="Q1929" s="106" t="str">
        <f>IF(ISBLANK(O1929), "", VLOOKUP(C1929&amp;" "&amp;D1929, 'Info Tipo de Cambio y REM'!$A$24:$B$35, 2, FALSE))</f>
        <v/>
      </c>
      <c r="R1929" s="107" t="str">
        <f t="shared" si="32"/>
        <v/>
      </c>
    </row>
    <row r="1930" hidden="1">
      <c r="A1930" s="443"/>
      <c r="B1930" s="43" t="str">
        <f>IF(A1930="", "", IFERROR(VLOOKUP(A1930, Clasificaciones!A:B, 2, FALSE), "DATO NO CARGADO"))
</f>
        <v/>
      </c>
      <c r="C1930" s="51"/>
      <c r="D1930" s="102"/>
      <c r="E1930" s="102"/>
      <c r="H1930" s="102"/>
      <c r="J1930" s="102"/>
      <c r="K1930" s="450"/>
      <c r="L1930" s="443"/>
      <c r="M1930" s="450"/>
      <c r="N1930" s="452">
        <f t="array" ref="N1930">IFERROR(
  INDEX(
    'Valor Hora Real y Estimada'!$A$4:$Z$78,
    MATCH(TRIM(CLEAN(A1930)), 'Valor Hora Real y Estimada'!$A$4:$A$78, 0),
    MATCH(
      TEXT(C1930,"dd mmm")&amp;" "&amp;D1930,
      'Valor Hora Real y Estimada'!$A$3:$Z$3,
      0
    ) + 1
  ),
  0
)</f>
        <v>0</v>
      </c>
      <c r="O1930" s="453"/>
      <c r="P1930" s="113"/>
      <c r="Q1930" s="106" t="str">
        <f>IF(ISBLANK(O1930), "", VLOOKUP(C1930&amp;" "&amp;D1930, 'Info Tipo de Cambio y REM'!$A$24:$B$35, 2, FALSE))</f>
        <v/>
      </c>
      <c r="R1930" s="107" t="str">
        <f t="shared" si="32"/>
        <v/>
      </c>
    </row>
    <row r="1931" hidden="1">
      <c r="A1931" s="443"/>
      <c r="B1931" s="43" t="str">
        <f>IF(A1931="", "", IFERROR(VLOOKUP(A1931, Clasificaciones!A:B, 2, FALSE), "DATO NO CARGADO"))
</f>
        <v/>
      </c>
      <c r="C1931" s="51"/>
      <c r="D1931" s="102"/>
      <c r="E1931" s="102"/>
      <c r="H1931" s="102"/>
      <c r="J1931" s="102"/>
      <c r="K1931" s="450"/>
      <c r="L1931" s="443"/>
      <c r="M1931" s="450"/>
      <c r="N1931" s="452">
        <f t="array" ref="N1931">IFERROR(
  INDEX(
    'Valor Hora Real y Estimada'!$A$4:$Z$78,
    MATCH(TRIM(CLEAN(A1931)), 'Valor Hora Real y Estimada'!$A$4:$A$78, 0),
    MATCH(
      TEXT(C1931,"dd mmm")&amp;" "&amp;D1931,
      'Valor Hora Real y Estimada'!$A$3:$Z$3,
      0
    ) + 1
  ),
  0
)</f>
        <v>0</v>
      </c>
      <c r="O1931" s="453"/>
      <c r="P1931" s="113"/>
      <c r="Q1931" s="106" t="str">
        <f>IF(ISBLANK(O1931), "", VLOOKUP(C1931&amp;" "&amp;D1931, 'Info Tipo de Cambio y REM'!$A$24:$B$35, 2, FALSE))</f>
        <v/>
      </c>
      <c r="R1931" s="107" t="str">
        <f t="shared" si="32"/>
        <v/>
      </c>
    </row>
    <row r="1932" hidden="1">
      <c r="A1932" s="443"/>
      <c r="B1932" s="43" t="str">
        <f>IF(A1932="", "", IFERROR(VLOOKUP(A1932, Clasificaciones!A:B, 2, FALSE), "DATO NO CARGADO"))
</f>
        <v/>
      </c>
      <c r="C1932" s="51"/>
      <c r="D1932" s="102"/>
      <c r="E1932" s="102"/>
      <c r="H1932" s="102"/>
      <c r="J1932" s="102"/>
      <c r="K1932" s="450"/>
      <c r="L1932" s="443"/>
      <c r="M1932" s="450"/>
      <c r="N1932" s="452">
        <f t="array" ref="N1932">IFERROR(
  INDEX(
    'Valor Hora Real y Estimada'!$A$4:$Z$78,
    MATCH(TRIM(CLEAN(A1932)), 'Valor Hora Real y Estimada'!$A$4:$A$78, 0),
    MATCH(
      TEXT(C1932,"dd mmm")&amp;" "&amp;D1932,
      'Valor Hora Real y Estimada'!$A$3:$Z$3,
      0
    ) + 1
  ),
  0
)</f>
        <v>0</v>
      </c>
      <c r="O1932" s="453"/>
      <c r="P1932" s="113"/>
      <c r="Q1932" s="106" t="str">
        <f>IF(ISBLANK(O1932), "", VLOOKUP(C1932&amp;" "&amp;D1932, 'Info Tipo de Cambio y REM'!$A$24:$B$35, 2, FALSE))</f>
        <v/>
      </c>
      <c r="R1932" s="107" t="str">
        <f t="shared" si="32"/>
        <v/>
      </c>
    </row>
    <row r="1933" hidden="1">
      <c r="A1933" s="443"/>
      <c r="B1933" s="43" t="str">
        <f>IF(A1933="", "", IFERROR(VLOOKUP(A1933, Clasificaciones!A:B, 2, FALSE), "DATO NO CARGADO"))
</f>
        <v/>
      </c>
      <c r="C1933" s="51"/>
      <c r="D1933" s="102"/>
      <c r="E1933" s="102"/>
      <c r="H1933" s="102"/>
      <c r="J1933" s="102"/>
      <c r="K1933" s="450"/>
      <c r="L1933" s="443"/>
      <c r="M1933" s="450"/>
      <c r="N1933" s="452">
        <f t="array" ref="N1933">IFERROR(
  INDEX(
    'Valor Hora Real y Estimada'!$A$4:$Z$78,
    MATCH(TRIM(CLEAN(A1933)), 'Valor Hora Real y Estimada'!$A$4:$A$78, 0),
    MATCH(
      TEXT(C1933,"dd mmm")&amp;" "&amp;D1933,
      'Valor Hora Real y Estimada'!$A$3:$Z$3,
      0
    ) + 1
  ),
  0
)</f>
        <v>0</v>
      </c>
      <c r="O1933" s="453"/>
      <c r="P1933" s="113"/>
      <c r="Q1933" s="106" t="str">
        <f>IF(ISBLANK(O1933), "", VLOOKUP(C1933&amp;" "&amp;D1933, 'Info Tipo de Cambio y REM'!$A$24:$B$35, 2, FALSE))</f>
        <v/>
      </c>
      <c r="R1933" s="107" t="str">
        <f t="shared" si="32"/>
        <v/>
      </c>
    </row>
    <row r="1934" hidden="1">
      <c r="A1934" s="443"/>
      <c r="B1934" s="43" t="str">
        <f>IF(A1934="", "", IFERROR(VLOOKUP(A1934, Clasificaciones!A:B, 2, FALSE), "DATO NO CARGADO"))
</f>
        <v/>
      </c>
      <c r="C1934" s="51"/>
      <c r="D1934" s="102"/>
      <c r="E1934" s="102"/>
      <c r="H1934" s="102"/>
      <c r="J1934" s="102"/>
      <c r="K1934" s="450"/>
      <c r="L1934" s="443"/>
      <c r="M1934" s="450"/>
      <c r="N1934" s="452">
        <f t="array" ref="N1934">IFERROR(
  INDEX(
    'Valor Hora Real y Estimada'!$A$4:$Z$78,
    MATCH(TRIM(CLEAN(A1934)), 'Valor Hora Real y Estimada'!$A$4:$A$78, 0),
    MATCH(
      TEXT(C1934,"dd mmm")&amp;" "&amp;D1934,
      'Valor Hora Real y Estimada'!$A$3:$Z$3,
      0
    ) + 1
  ),
  0
)</f>
        <v>0</v>
      </c>
      <c r="O1934" s="453"/>
      <c r="P1934" s="113"/>
      <c r="Q1934" s="106" t="str">
        <f>IF(ISBLANK(O1934), "", VLOOKUP(C1934&amp;" "&amp;D1934, 'Info Tipo de Cambio y REM'!$A$24:$B$35, 2, FALSE))</f>
        <v/>
      </c>
      <c r="R1934" s="107" t="str">
        <f t="shared" si="32"/>
        <v/>
      </c>
    </row>
    <row r="1935" hidden="1">
      <c r="A1935" s="443"/>
      <c r="B1935" s="43" t="str">
        <f>IF(A1935="", "", IFERROR(VLOOKUP(A1935, Clasificaciones!A:B, 2, FALSE), "DATO NO CARGADO"))
</f>
        <v/>
      </c>
      <c r="C1935" s="51"/>
      <c r="D1935" s="102"/>
      <c r="E1935" s="102"/>
      <c r="H1935" s="102"/>
      <c r="J1935" s="102"/>
      <c r="K1935" s="450"/>
      <c r="L1935" s="443"/>
      <c r="M1935" s="450"/>
      <c r="N1935" s="452">
        <f t="array" ref="N1935">IFERROR(
  INDEX(
    'Valor Hora Real y Estimada'!$A$4:$Z$78,
    MATCH(TRIM(CLEAN(A1935)), 'Valor Hora Real y Estimada'!$A$4:$A$78, 0),
    MATCH(
      TEXT(C1935,"dd mmm")&amp;" "&amp;D1935,
      'Valor Hora Real y Estimada'!$A$3:$Z$3,
      0
    ) + 1
  ),
  0
)</f>
        <v>0</v>
      </c>
      <c r="O1935" s="453"/>
      <c r="P1935" s="113"/>
      <c r="Q1935" s="106" t="str">
        <f>IF(ISBLANK(O1935), "", VLOOKUP(C1935&amp;" "&amp;D1935, 'Info Tipo de Cambio y REM'!$A$24:$B$35, 2, FALSE))</f>
        <v/>
      </c>
      <c r="R1935" s="107" t="str">
        <f t="shared" si="32"/>
        <v/>
      </c>
    </row>
    <row r="1936" hidden="1">
      <c r="A1936" s="443"/>
      <c r="B1936" s="43" t="str">
        <f>IF(A1936="", "", IFERROR(VLOOKUP(A1936, Clasificaciones!A:B, 2, FALSE), "DATO NO CARGADO"))
</f>
        <v/>
      </c>
      <c r="C1936" s="51"/>
      <c r="D1936" s="102"/>
      <c r="E1936" s="102"/>
      <c r="H1936" s="102"/>
      <c r="J1936" s="102"/>
      <c r="K1936" s="450"/>
      <c r="L1936" s="443"/>
      <c r="M1936" s="450"/>
      <c r="N1936" s="452">
        <f t="array" ref="N1936">IFERROR(
  INDEX(
    'Valor Hora Real y Estimada'!$A$4:$Z$78,
    MATCH(TRIM(CLEAN(A1936)), 'Valor Hora Real y Estimada'!$A$4:$A$78, 0),
    MATCH(
      TEXT(C1936,"dd mmm")&amp;" "&amp;D1936,
      'Valor Hora Real y Estimada'!$A$3:$Z$3,
      0
    ) + 1
  ),
  0
)</f>
        <v>0</v>
      </c>
      <c r="O1936" s="453"/>
      <c r="P1936" s="113"/>
      <c r="Q1936" s="106" t="str">
        <f>IF(ISBLANK(O1936), "", VLOOKUP(C1936&amp;" "&amp;D1936, 'Info Tipo de Cambio y REM'!$A$24:$B$35, 2, FALSE))</f>
        <v/>
      </c>
      <c r="R1936" s="107" t="str">
        <f t="shared" si="32"/>
        <v/>
      </c>
    </row>
    <row r="1937" hidden="1">
      <c r="A1937" s="443"/>
      <c r="B1937" s="43" t="str">
        <f>IF(A1937="", "", IFERROR(VLOOKUP(A1937, Clasificaciones!A:B, 2, FALSE), "DATO NO CARGADO"))
</f>
        <v/>
      </c>
      <c r="C1937" s="51"/>
      <c r="D1937" s="102"/>
      <c r="E1937" s="102"/>
      <c r="H1937" s="102"/>
      <c r="J1937" s="102"/>
      <c r="K1937" s="450"/>
      <c r="L1937" s="443"/>
      <c r="M1937" s="450"/>
      <c r="N1937" s="452">
        <f t="array" ref="N1937">IFERROR(
  INDEX(
    'Valor Hora Real y Estimada'!$A$4:$Z$78,
    MATCH(TRIM(CLEAN(A1937)), 'Valor Hora Real y Estimada'!$A$4:$A$78, 0),
    MATCH(
      TEXT(C1937,"dd mmm")&amp;" "&amp;D1937,
      'Valor Hora Real y Estimada'!$A$3:$Z$3,
      0
    ) + 1
  ),
  0
)</f>
        <v>0</v>
      </c>
      <c r="O1937" s="453"/>
      <c r="P1937" s="113"/>
      <c r="Q1937" s="106" t="str">
        <f>IF(ISBLANK(O1937), "", VLOOKUP(C1937&amp;" "&amp;D1937, 'Info Tipo de Cambio y REM'!$A$24:$B$35, 2, FALSE))</f>
        <v/>
      </c>
      <c r="R1937" s="107" t="str">
        <f t="shared" si="32"/>
        <v/>
      </c>
    </row>
    <row r="1938" hidden="1">
      <c r="A1938" s="443"/>
      <c r="B1938" s="43" t="str">
        <f>IF(A1938="", "", IFERROR(VLOOKUP(A1938, Clasificaciones!A:B, 2, FALSE), "DATO NO CARGADO"))
</f>
        <v/>
      </c>
      <c r="C1938" s="51"/>
      <c r="D1938" s="102"/>
      <c r="E1938" s="102"/>
      <c r="H1938" s="102"/>
      <c r="J1938" s="102"/>
      <c r="K1938" s="450"/>
      <c r="L1938" s="443"/>
      <c r="M1938" s="450"/>
      <c r="N1938" s="452">
        <f t="array" ref="N1938">IFERROR(
  INDEX(
    'Valor Hora Real y Estimada'!$A$4:$Z$78,
    MATCH(TRIM(CLEAN(A1938)), 'Valor Hora Real y Estimada'!$A$4:$A$78, 0),
    MATCH(
      TEXT(C1938,"dd mmm")&amp;" "&amp;D1938,
      'Valor Hora Real y Estimada'!$A$3:$Z$3,
      0
    ) + 1
  ),
  0
)</f>
        <v>0</v>
      </c>
      <c r="O1938" s="453"/>
      <c r="P1938" s="113"/>
      <c r="Q1938" s="106" t="str">
        <f>IF(ISBLANK(O1938), "", VLOOKUP(C1938&amp;" "&amp;D1938, 'Info Tipo de Cambio y REM'!$A$24:$B$35, 2, FALSE))</f>
        <v/>
      </c>
      <c r="R1938" s="107" t="str">
        <f t="shared" si="32"/>
        <v/>
      </c>
    </row>
    <row r="1939" hidden="1">
      <c r="A1939" s="443"/>
      <c r="B1939" s="43" t="str">
        <f>IF(A1939="", "", IFERROR(VLOOKUP(A1939, Clasificaciones!A:B, 2, FALSE), "DATO NO CARGADO"))
</f>
        <v/>
      </c>
      <c r="C1939" s="51"/>
      <c r="D1939" s="102"/>
      <c r="E1939" s="102"/>
      <c r="H1939" s="102"/>
      <c r="J1939" s="102"/>
      <c r="K1939" s="450"/>
      <c r="L1939" s="443"/>
      <c r="M1939" s="450"/>
      <c r="N1939" s="452">
        <f t="array" ref="N1939">IFERROR(
  INDEX(
    'Valor Hora Real y Estimada'!$A$4:$Z$78,
    MATCH(TRIM(CLEAN(A1939)), 'Valor Hora Real y Estimada'!$A$4:$A$78, 0),
    MATCH(
      TEXT(C1939,"dd mmm")&amp;" "&amp;D1939,
      'Valor Hora Real y Estimada'!$A$3:$Z$3,
      0
    ) + 1
  ),
  0
)</f>
        <v>0</v>
      </c>
      <c r="O1939" s="453"/>
      <c r="P1939" s="113"/>
      <c r="Q1939" s="106" t="str">
        <f>IF(ISBLANK(O1939), "", VLOOKUP(C1939&amp;" "&amp;D1939, 'Info Tipo de Cambio y REM'!$A$24:$B$35, 2, FALSE))</f>
        <v/>
      </c>
      <c r="R1939" s="107" t="str">
        <f t="shared" si="32"/>
        <v/>
      </c>
    </row>
    <row r="1940" hidden="1">
      <c r="A1940" s="443"/>
      <c r="B1940" s="43" t="str">
        <f>IF(A1940="", "", IFERROR(VLOOKUP(A1940, Clasificaciones!A:B, 2, FALSE), "DATO NO CARGADO"))
</f>
        <v/>
      </c>
      <c r="C1940" s="51"/>
      <c r="D1940" s="102"/>
      <c r="E1940" s="102"/>
      <c r="H1940" s="102"/>
      <c r="J1940" s="102"/>
      <c r="K1940" s="450"/>
      <c r="L1940" s="443"/>
      <c r="M1940" s="450"/>
      <c r="N1940" s="452">
        <f t="array" ref="N1940">IFERROR(
  INDEX(
    'Valor Hora Real y Estimada'!$A$4:$Z$78,
    MATCH(TRIM(CLEAN(A1940)), 'Valor Hora Real y Estimada'!$A$4:$A$78, 0),
    MATCH(
      TEXT(C1940,"dd mmm")&amp;" "&amp;D1940,
      'Valor Hora Real y Estimada'!$A$3:$Z$3,
      0
    ) + 1
  ),
  0
)</f>
        <v>0</v>
      </c>
      <c r="O1940" s="453"/>
      <c r="P1940" s="113"/>
      <c r="Q1940" s="106" t="str">
        <f>IF(ISBLANK(O1940), "", VLOOKUP(C1940&amp;" "&amp;D1940, 'Info Tipo de Cambio y REM'!$A$24:$B$35, 2, FALSE))</f>
        <v/>
      </c>
      <c r="R1940" s="107" t="str">
        <f t="shared" si="32"/>
        <v/>
      </c>
    </row>
    <row r="1941" hidden="1">
      <c r="A1941" s="443"/>
      <c r="B1941" s="43" t="str">
        <f>IF(A1941="", "", IFERROR(VLOOKUP(A1941, Clasificaciones!A:B, 2, FALSE), "DATO NO CARGADO"))
</f>
        <v/>
      </c>
      <c r="C1941" s="51"/>
      <c r="D1941" s="102"/>
      <c r="E1941" s="102"/>
      <c r="H1941" s="102"/>
      <c r="J1941" s="102"/>
      <c r="K1941" s="450"/>
      <c r="L1941" s="443"/>
      <c r="M1941" s="450"/>
      <c r="N1941" s="452">
        <f t="array" ref="N1941">IFERROR(
  INDEX(
    'Valor Hora Real y Estimada'!$A$4:$Z$78,
    MATCH(TRIM(CLEAN(A1941)), 'Valor Hora Real y Estimada'!$A$4:$A$78, 0),
    MATCH(
      TEXT(C1941,"dd mmm")&amp;" "&amp;D1941,
      'Valor Hora Real y Estimada'!$A$3:$Z$3,
      0
    ) + 1
  ),
  0
)</f>
        <v>0</v>
      </c>
      <c r="O1941" s="453"/>
      <c r="P1941" s="113"/>
      <c r="Q1941" s="106" t="str">
        <f>IF(ISBLANK(O1941), "", VLOOKUP(C1941&amp;" "&amp;D1941, 'Info Tipo de Cambio y REM'!$A$24:$B$35, 2, FALSE))</f>
        <v/>
      </c>
      <c r="R1941" s="107" t="str">
        <f t="shared" si="32"/>
        <v/>
      </c>
    </row>
    <row r="1942" hidden="1">
      <c r="A1942" s="443"/>
      <c r="B1942" s="43" t="str">
        <f>IF(A1942="", "", IFERROR(VLOOKUP(A1942, Clasificaciones!A:B, 2, FALSE), "DATO NO CARGADO"))
</f>
        <v/>
      </c>
      <c r="C1942" s="51"/>
      <c r="D1942" s="102"/>
      <c r="E1942" s="102"/>
      <c r="H1942" s="102"/>
      <c r="J1942" s="102"/>
      <c r="K1942" s="450"/>
      <c r="L1942" s="443"/>
      <c r="M1942" s="450"/>
      <c r="N1942" s="452">
        <f t="array" ref="N1942">IFERROR(
  INDEX(
    'Valor Hora Real y Estimada'!$A$4:$Z$78,
    MATCH(TRIM(CLEAN(A1942)), 'Valor Hora Real y Estimada'!$A$4:$A$78, 0),
    MATCH(
      TEXT(C1942,"dd mmm")&amp;" "&amp;D1942,
      'Valor Hora Real y Estimada'!$A$3:$Z$3,
      0
    ) + 1
  ),
  0
)</f>
        <v>0</v>
      </c>
      <c r="O1942" s="453"/>
      <c r="P1942" s="113"/>
      <c r="Q1942" s="106" t="str">
        <f>IF(ISBLANK(O1942), "", VLOOKUP(C1942&amp;" "&amp;D1942, 'Info Tipo de Cambio y REM'!$A$24:$B$35, 2, FALSE))</f>
        <v/>
      </c>
      <c r="R1942" s="107" t="str">
        <f t="shared" si="32"/>
        <v/>
      </c>
    </row>
    <row r="1943" hidden="1">
      <c r="A1943" s="443"/>
      <c r="B1943" s="43" t="str">
        <f>IF(A1943="", "", IFERROR(VLOOKUP(A1943, Clasificaciones!A:B, 2, FALSE), "DATO NO CARGADO"))
</f>
        <v/>
      </c>
      <c r="C1943" s="51"/>
      <c r="D1943" s="102"/>
      <c r="E1943" s="102"/>
      <c r="H1943" s="102"/>
      <c r="J1943" s="102"/>
      <c r="K1943" s="450"/>
      <c r="L1943" s="443"/>
      <c r="M1943" s="450"/>
      <c r="N1943" s="452">
        <f t="array" ref="N1943">IFERROR(
  INDEX(
    'Valor Hora Real y Estimada'!$A$4:$Z$78,
    MATCH(TRIM(CLEAN(A1943)), 'Valor Hora Real y Estimada'!$A$4:$A$78, 0),
    MATCH(
      TEXT(C1943,"dd mmm")&amp;" "&amp;D1943,
      'Valor Hora Real y Estimada'!$A$3:$Z$3,
      0
    ) + 1
  ),
  0
)</f>
        <v>0</v>
      </c>
      <c r="O1943" s="453"/>
      <c r="P1943" s="113"/>
      <c r="Q1943" s="106" t="str">
        <f>IF(ISBLANK(O1943), "", VLOOKUP(C1943&amp;" "&amp;D1943, 'Info Tipo de Cambio y REM'!$A$24:$B$35, 2, FALSE))</f>
        <v/>
      </c>
      <c r="R1943" s="107" t="str">
        <f t="shared" si="32"/>
        <v/>
      </c>
    </row>
    <row r="1944" hidden="1">
      <c r="A1944" s="443"/>
      <c r="B1944" s="43" t="str">
        <f>IF(A1944="", "", IFERROR(VLOOKUP(A1944, Clasificaciones!A:B, 2, FALSE), "DATO NO CARGADO"))
</f>
        <v/>
      </c>
      <c r="C1944" s="51"/>
      <c r="D1944" s="102"/>
      <c r="E1944" s="102"/>
      <c r="H1944" s="102"/>
      <c r="J1944" s="102"/>
      <c r="K1944" s="450"/>
      <c r="L1944" s="443"/>
      <c r="M1944" s="450"/>
      <c r="N1944" s="452">
        <f t="array" ref="N1944">IFERROR(
  INDEX(
    'Valor Hora Real y Estimada'!$A$4:$Z$78,
    MATCH(TRIM(CLEAN(A1944)), 'Valor Hora Real y Estimada'!$A$4:$A$78, 0),
    MATCH(
      TEXT(C1944,"dd mmm")&amp;" "&amp;D1944,
      'Valor Hora Real y Estimada'!$A$3:$Z$3,
      0
    ) + 1
  ),
  0
)</f>
        <v>0</v>
      </c>
      <c r="O1944" s="453"/>
      <c r="P1944" s="113"/>
      <c r="Q1944" s="106" t="str">
        <f>IF(ISBLANK(O1944), "", VLOOKUP(C1944&amp;" "&amp;D1944, 'Info Tipo de Cambio y REM'!$A$24:$B$35, 2, FALSE))</f>
        <v/>
      </c>
      <c r="R1944" s="107" t="str">
        <f t="shared" si="32"/>
        <v/>
      </c>
    </row>
    <row r="1945" hidden="1">
      <c r="A1945" s="443"/>
      <c r="B1945" s="43" t="str">
        <f>IF(A1945="", "", IFERROR(VLOOKUP(A1945, Clasificaciones!A:B, 2, FALSE), "DATO NO CARGADO"))
</f>
        <v/>
      </c>
      <c r="C1945" s="51"/>
      <c r="D1945" s="102"/>
      <c r="E1945" s="102"/>
      <c r="H1945" s="102"/>
      <c r="J1945" s="102"/>
      <c r="K1945" s="450"/>
      <c r="L1945" s="443"/>
      <c r="M1945" s="450"/>
      <c r="N1945" s="452">
        <f t="array" ref="N1945">IFERROR(
  INDEX(
    'Valor Hora Real y Estimada'!$A$4:$Z$78,
    MATCH(TRIM(CLEAN(A1945)), 'Valor Hora Real y Estimada'!$A$4:$A$78, 0),
    MATCH(
      TEXT(C1945,"dd mmm")&amp;" "&amp;D1945,
      'Valor Hora Real y Estimada'!$A$3:$Z$3,
      0
    ) + 1
  ),
  0
)</f>
        <v>0</v>
      </c>
      <c r="O1945" s="453"/>
      <c r="P1945" s="113"/>
      <c r="Q1945" s="106" t="str">
        <f>IF(ISBLANK(O1945), "", VLOOKUP(C1945&amp;" "&amp;D1945, 'Info Tipo de Cambio y REM'!$A$24:$B$35, 2, FALSE))</f>
        <v/>
      </c>
      <c r="R1945" s="107" t="str">
        <f t="shared" si="32"/>
        <v/>
      </c>
    </row>
    <row r="1946" hidden="1">
      <c r="A1946" s="443"/>
      <c r="B1946" s="43" t="str">
        <f>IF(A1946="", "", IFERROR(VLOOKUP(A1946, Clasificaciones!A:B, 2, FALSE), "DATO NO CARGADO"))
</f>
        <v/>
      </c>
      <c r="C1946" s="51"/>
      <c r="D1946" s="102"/>
      <c r="E1946" s="102"/>
      <c r="H1946" s="102"/>
      <c r="J1946" s="102"/>
      <c r="K1946" s="450"/>
      <c r="L1946" s="443"/>
      <c r="M1946" s="450"/>
      <c r="N1946" s="452">
        <f t="array" ref="N1946">IFERROR(
  INDEX(
    'Valor Hora Real y Estimada'!$A$4:$Z$78,
    MATCH(TRIM(CLEAN(A1946)), 'Valor Hora Real y Estimada'!$A$4:$A$78, 0),
    MATCH(
      TEXT(C1946,"dd mmm")&amp;" "&amp;D1946,
      'Valor Hora Real y Estimada'!$A$3:$Z$3,
      0
    ) + 1
  ),
  0
)</f>
        <v>0</v>
      </c>
      <c r="O1946" s="453"/>
      <c r="P1946" s="113"/>
      <c r="Q1946" s="106" t="str">
        <f>IF(ISBLANK(O1946), "", VLOOKUP(C1946&amp;" "&amp;D1946, 'Info Tipo de Cambio y REM'!$A$24:$B$35, 2, FALSE))</f>
        <v/>
      </c>
      <c r="R1946" s="107" t="str">
        <f t="shared" si="32"/>
        <v/>
      </c>
    </row>
    <row r="1947" hidden="1">
      <c r="A1947" s="443"/>
      <c r="B1947" s="43" t="str">
        <f>IF(A1947="", "", IFERROR(VLOOKUP(A1947, Clasificaciones!A:B, 2, FALSE), "DATO NO CARGADO"))
</f>
        <v/>
      </c>
      <c r="C1947" s="51"/>
      <c r="D1947" s="102"/>
      <c r="E1947" s="102"/>
      <c r="H1947" s="102"/>
      <c r="J1947" s="102"/>
      <c r="K1947" s="450"/>
      <c r="L1947" s="443"/>
      <c r="M1947" s="450"/>
      <c r="N1947" s="452">
        <f t="array" ref="N1947">IFERROR(
  INDEX(
    'Valor Hora Real y Estimada'!$A$4:$Z$78,
    MATCH(TRIM(CLEAN(A1947)), 'Valor Hora Real y Estimada'!$A$4:$A$78, 0),
    MATCH(
      TEXT(C1947,"dd mmm")&amp;" "&amp;D1947,
      'Valor Hora Real y Estimada'!$A$3:$Z$3,
      0
    ) + 1
  ),
  0
)</f>
        <v>0</v>
      </c>
      <c r="O1947" s="453"/>
      <c r="P1947" s="113"/>
      <c r="Q1947" s="106" t="str">
        <f>IF(ISBLANK(O1947), "", VLOOKUP(C1947&amp;" "&amp;D1947, 'Info Tipo de Cambio y REM'!$A$24:$B$35, 2, FALSE))</f>
        <v/>
      </c>
      <c r="R1947" s="107" t="str">
        <f t="shared" si="32"/>
        <v/>
      </c>
    </row>
    <row r="1948" hidden="1">
      <c r="A1948" s="443"/>
      <c r="B1948" s="43" t="str">
        <f>IF(A1948="", "", IFERROR(VLOOKUP(A1948, Clasificaciones!A:B, 2, FALSE), "DATO NO CARGADO"))
</f>
        <v/>
      </c>
      <c r="C1948" s="51"/>
      <c r="D1948" s="102"/>
      <c r="E1948" s="102"/>
      <c r="H1948" s="102"/>
      <c r="J1948" s="102"/>
      <c r="K1948" s="450"/>
      <c r="L1948" s="443"/>
      <c r="M1948" s="450"/>
      <c r="N1948" s="452">
        <f t="array" ref="N1948">IFERROR(
  INDEX(
    'Valor Hora Real y Estimada'!$A$4:$Z$78,
    MATCH(TRIM(CLEAN(A1948)), 'Valor Hora Real y Estimada'!$A$4:$A$78, 0),
    MATCH(
      TEXT(C1948,"dd mmm")&amp;" "&amp;D1948,
      'Valor Hora Real y Estimada'!$A$3:$Z$3,
      0
    ) + 1
  ),
  0
)</f>
        <v>0</v>
      </c>
      <c r="O1948" s="453"/>
      <c r="P1948" s="113"/>
      <c r="Q1948" s="106" t="str">
        <f>IF(ISBLANK(O1948), "", VLOOKUP(C1948&amp;" "&amp;D1948, 'Info Tipo de Cambio y REM'!$A$24:$B$35, 2, FALSE))</f>
        <v/>
      </c>
      <c r="R1948" s="107" t="str">
        <f t="shared" si="32"/>
        <v/>
      </c>
    </row>
    <row r="1949" hidden="1">
      <c r="A1949" s="443"/>
      <c r="B1949" s="43" t="str">
        <f>IF(A1949="", "", IFERROR(VLOOKUP(A1949, Clasificaciones!A:B, 2, FALSE), "DATO NO CARGADO"))
</f>
        <v/>
      </c>
      <c r="C1949" s="51"/>
      <c r="D1949" s="102"/>
      <c r="E1949" s="102"/>
      <c r="H1949" s="102"/>
      <c r="J1949" s="102"/>
      <c r="K1949" s="450"/>
      <c r="L1949" s="443"/>
      <c r="M1949" s="450"/>
      <c r="N1949" s="452">
        <f t="array" ref="N1949">IFERROR(
  INDEX(
    'Valor Hora Real y Estimada'!$A$4:$Z$78,
    MATCH(TRIM(CLEAN(A1949)), 'Valor Hora Real y Estimada'!$A$4:$A$78, 0),
    MATCH(
      TEXT(C1949,"dd mmm")&amp;" "&amp;D1949,
      'Valor Hora Real y Estimada'!$A$3:$Z$3,
      0
    ) + 1
  ),
  0
)</f>
        <v>0</v>
      </c>
      <c r="O1949" s="453"/>
      <c r="P1949" s="113"/>
      <c r="Q1949" s="106" t="str">
        <f>IF(ISBLANK(O1949), "", VLOOKUP(C1949&amp;" "&amp;D1949, 'Info Tipo de Cambio y REM'!$A$24:$B$35, 2, FALSE))</f>
        <v/>
      </c>
      <c r="R1949" s="107" t="str">
        <f t="shared" si="32"/>
        <v/>
      </c>
    </row>
    <row r="1950" hidden="1">
      <c r="A1950" s="443"/>
      <c r="B1950" s="43" t="str">
        <f>IF(A1950="", "", IFERROR(VLOOKUP(A1950, Clasificaciones!A:B, 2, FALSE), "DATO NO CARGADO"))
</f>
        <v/>
      </c>
      <c r="C1950" s="51"/>
      <c r="D1950" s="102"/>
      <c r="E1950" s="102"/>
      <c r="H1950" s="102"/>
      <c r="J1950" s="102"/>
      <c r="K1950" s="450"/>
      <c r="L1950" s="443"/>
      <c r="M1950" s="450"/>
      <c r="N1950" s="452">
        <f t="array" ref="N1950">IFERROR(
  INDEX(
    'Valor Hora Real y Estimada'!$A$4:$Z$78,
    MATCH(TRIM(CLEAN(A1950)), 'Valor Hora Real y Estimada'!$A$4:$A$78, 0),
    MATCH(
      TEXT(C1950,"dd mmm")&amp;" "&amp;D1950,
      'Valor Hora Real y Estimada'!$A$3:$Z$3,
      0
    ) + 1
  ),
  0
)</f>
        <v>0</v>
      </c>
      <c r="O1950" s="453"/>
      <c r="P1950" s="113"/>
      <c r="Q1950" s="106" t="str">
        <f>IF(ISBLANK(O1950), "", VLOOKUP(C1950&amp;" "&amp;D1950, 'Info Tipo de Cambio y REM'!$A$24:$B$35, 2, FALSE))</f>
        <v/>
      </c>
      <c r="R1950" s="107" t="str">
        <f t="shared" si="32"/>
        <v/>
      </c>
    </row>
    <row r="1951" hidden="1">
      <c r="A1951" s="443"/>
      <c r="B1951" s="43" t="str">
        <f>IF(A1951="", "", IFERROR(VLOOKUP(A1951, Clasificaciones!A:B, 2, FALSE), "DATO NO CARGADO"))
</f>
        <v/>
      </c>
      <c r="C1951" s="51"/>
      <c r="D1951" s="102"/>
      <c r="E1951" s="102"/>
      <c r="H1951" s="102"/>
      <c r="J1951" s="102"/>
      <c r="K1951" s="450"/>
      <c r="L1951" s="443"/>
      <c r="M1951" s="450"/>
      <c r="N1951" s="452">
        <f t="array" ref="N1951">IFERROR(
  INDEX(
    'Valor Hora Real y Estimada'!$A$4:$Z$78,
    MATCH(TRIM(CLEAN(A1951)), 'Valor Hora Real y Estimada'!$A$4:$A$78, 0),
    MATCH(
      TEXT(C1951,"dd mmm")&amp;" "&amp;D1951,
      'Valor Hora Real y Estimada'!$A$3:$Z$3,
      0
    ) + 1
  ),
  0
)</f>
        <v>0</v>
      </c>
      <c r="O1951" s="453"/>
      <c r="P1951" s="113"/>
      <c r="Q1951" s="106" t="str">
        <f>IF(ISBLANK(O1951), "", VLOOKUP(C1951&amp;" "&amp;D1951, 'Info Tipo de Cambio y REM'!$A$24:$B$35, 2, FALSE))</f>
        <v/>
      </c>
      <c r="R1951" s="107" t="str">
        <f t="shared" si="32"/>
        <v/>
      </c>
    </row>
    <row r="1952" hidden="1">
      <c r="A1952" s="443"/>
      <c r="B1952" s="43" t="str">
        <f>IF(A1952="", "", IFERROR(VLOOKUP(A1952, Clasificaciones!A:B, 2, FALSE), "DATO NO CARGADO"))
</f>
        <v/>
      </c>
      <c r="C1952" s="51"/>
      <c r="D1952" s="102"/>
      <c r="E1952" s="102"/>
      <c r="H1952" s="102"/>
      <c r="J1952" s="102"/>
      <c r="K1952" s="450"/>
      <c r="L1952" s="443"/>
      <c r="M1952" s="450"/>
      <c r="N1952" s="452">
        <f t="array" ref="N1952">IFERROR(
  INDEX(
    'Valor Hora Real y Estimada'!$A$4:$Z$78,
    MATCH(TRIM(CLEAN(A1952)), 'Valor Hora Real y Estimada'!$A$4:$A$78, 0),
    MATCH(
      TEXT(C1952,"dd mmm")&amp;" "&amp;D1952,
      'Valor Hora Real y Estimada'!$A$3:$Z$3,
      0
    ) + 1
  ),
  0
)</f>
        <v>0</v>
      </c>
      <c r="O1952" s="453"/>
      <c r="P1952" s="113"/>
      <c r="Q1952" s="106" t="str">
        <f>IF(ISBLANK(O1952), "", VLOOKUP(C1952&amp;" "&amp;D1952, 'Info Tipo de Cambio y REM'!$A$24:$B$35, 2, FALSE))</f>
        <v/>
      </c>
      <c r="R1952" s="107" t="str">
        <f t="shared" si="32"/>
        <v/>
      </c>
    </row>
    <row r="1953" hidden="1">
      <c r="A1953" s="443"/>
      <c r="B1953" s="43" t="str">
        <f>IF(A1953="", "", IFERROR(VLOOKUP(A1953, Clasificaciones!A:B, 2, FALSE), "DATO NO CARGADO"))
</f>
        <v/>
      </c>
      <c r="C1953" s="51"/>
      <c r="D1953" s="102"/>
      <c r="E1953" s="102"/>
      <c r="H1953" s="102"/>
      <c r="J1953" s="102"/>
      <c r="K1953" s="450"/>
      <c r="L1953" s="443"/>
      <c r="M1953" s="450"/>
      <c r="N1953" s="452">
        <f t="array" ref="N1953">IFERROR(
  INDEX(
    'Valor Hora Real y Estimada'!$A$4:$Z$78,
    MATCH(TRIM(CLEAN(A1953)), 'Valor Hora Real y Estimada'!$A$4:$A$78, 0),
    MATCH(
      TEXT(C1953,"dd mmm")&amp;" "&amp;D1953,
      'Valor Hora Real y Estimada'!$A$3:$Z$3,
      0
    ) + 1
  ),
  0
)</f>
        <v>0</v>
      </c>
      <c r="O1953" s="453"/>
      <c r="P1953" s="113"/>
      <c r="Q1953" s="106" t="str">
        <f>IF(ISBLANK(O1953), "", VLOOKUP(C1953&amp;" "&amp;D1953, 'Info Tipo de Cambio y REM'!$A$24:$B$35, 2, FALSE))</f>
        <v/>
      </c>
      <c r="R1953" s="107" t="str">
        <f t="shared" si="32"/>
        <v/>
      </c>
    </row>
    <row r="1954" hidden="1">
      <c r="A1954" s="443"/>
      <c r="B1954" s="43" t="str">
        <f>IF(A1954="", "", IFERROR(VLOOKUP(A1954, Clasificaciones!A:B, 2, FALSE), "DATO NO CARGADO"))
</f>
        <v/>
      </c>
      <c r="C1954" s="51"/>
      <c r="D1954" s="102"/>
      <c r="E1954" s="102"/>
      <c r="H1954" s="102"/>
      <c r="J1954" s="102"/>
      <c r="K1954" s="450"/>
      <c r="L1954" s="443"/>
      <c r="M1954" s="450"/>
      <c r="N1954" s="452">
        <f t="array" ref="N1954">IFERROR(
  INDEX(
    'Valor Hora Real y Estimada'!$A$4:$Z$78,
    MATCH(TRIM(CLEAN(A1954)), 'Valor Hora Real y Estimada'!$A$4:$A$78, 0),
    MATCH(
      TEXT(C1954,"dd mmm")&amp;" "&amp;D1954,
      'Valor Hora Real y Estimada'!$A$3:$Z$3,
      0
    ) + 1
  ),
  0
)</f>
        <v>0</v>
      </c>
      <c r="O1954" s="453"/>
      <c r="P1954" s="113"/>
      <c r="Q1954" s="106" t="str">
        <f>IF(ISBLANK(O1954), "", VLOOKUP(C1954&amp;" "&amp;D1954, 'Info Tipo de Cambio y REM'!$A$24:$B$35, 2, FALSE))</f>
        <v/>
      </c>
      <c r="R1954" s="107" t="str">
        <f t="shared" si="32"/>
        <v/>
      </c>
    </row>
    <row r="1955" hidden="1">
      <c r="A1955" s="443"/>
      <c r="B1955" s="43" t="str">
        <f>IF(A1955="", "", IFERROR(VLOOKUP(A1955, Clasificaciones!A:B, 2, FALSE), "DATO NO CARGADO"))
</f>
        <v/>
      </c>
      <c r="C1955" s="51"/>
      <c r="D1955" s="102"/>
      <c r="E1955" s="102"/>
      <c r="H1955" s="102"/>
      <c r="J1955" s="102"/>
      <c r="K1955" s="450"/>
      <c r="L1955" s="443"/>
      <c r="M1955" s="450"/>
      <c r="N1955" s="452">
        <f t="array" ref="N1955">IFERROR(
  INDEX(
    'Valor Hora Real y Estimada'!$A$4:$Z$78,
    MATCH(TRIM(CLEAN(A1955)), 'Valor Hora Real y Estimada'!$A$4:$A$78, 0),
    MATCH(
      TEXT(C1955,"dd mmm")&amp;" "&amp;D1955,
      'Valor Hora Real y Estimada'!$A$3:$Z$3,
      0
    ) + 1
  ),
  0
)</f>
        <v>0</v>
      </c>
      <c r="O1955" s="453"/>
      <c r="P1955" s="113"/>
      <c r="Q1955" s="106" t="str">
        <f>IF(ISBLANK(O1955), "", VLOOKUP(C1955&amp;" "&amp;D1955, 'Info Tipo de Cambio y REM'!$A$24:$B$35, 2, FALSE))</f>
        <v/>
      </c>
      <c r="R1955" s="107" t="str">
        <f t="shared" si="32"/>
        <v/>
      </c>
    </row>
    <row r="1956" hidden="1">
      <c r="A1956" s="443"/>
      <c r="B1956" s="43" t="str">
        <f>IF(A1956="", "", IFERROR(VLOOKUP(A1956, Clasificaciones!A:B, 2, FALSE), "DATO NO CARGADO"))
</f>
        <v/>
      </c>
      <c r="C1956" s="51"/>
      <c r="D1956" s="102"/>
      <c r="E1956" s="102"/>
      <c r="H1956" s="102"/>
      <c r="J1956" s="102"/>
      <c r="K1956" s="450"/>
      <c r="L1956" s="443"/>
      <c r="M1956" s="450"/>
      <c r="N1956" s="452">
        <f t="array" ref="N1956">IFERROR(
  INDEX(
    'Valor Hora Real y Estimada'!$A$4:$Z$78,
    MATCH(TRIM(CLEAN(A1956)), 'Valor Hora Real y Estimada'!$A$4:$A$78, 0),
    MATCH(
      TEXT(C1956,"dd mmm")&amp;" "&amp;D1956,
      'Valor Hora Real y Estimada'!$A$3:$Z$3,
      0
    ) + 1
  ),
  0
)</f>
        <v>0</v>
      </c>
      <c r="O1956" s="453"/>
      <c r="P1956" s="113"/>
      <c r="Q1956" s="106" t="str">
        <f>IF(ISBLANK(O1956), "", VLOOKUP(C1956&amp;" "&amp;D1956, 'Info Tipo de Cambio y REM'!$A$24:$B$35, 2, FALSE))</f>
        <v/>
      </c>
      <c r="R1956" s="107" t="str">
        <f t="shared" si="32"/>
        <v/>
      </c>
    </row>
    <row r="1957" hidden="1">
      <c r="A1957" s="443"/>
      <c r="B1957" s="43" t="str">
        <f>IF(A1957="", "", IFERROR(VLOOKUP(A1957, Clasificaciones!A:B, 2, FALSE), "DATO NO CARGADO"))
</f>
        <v/>
      </c>
      <c r="C1957" s="51"/>
      <c r="D1957" s="102"/>
      <c r="E1957" s="102"/>
      <c r="H1957" s="102"/>
      <c r="J1957" s="102"/>
      <c r="K1957" s="450"/>
      <c r="L1957" s="443"/>
      <c r="M1957" s="450"/>
      <c r="N1957" s="452">
        <f t="array" ref="N1957">IFERROR(
  INDEX(
    'Valor Hora Real y Estimada'!$A$4:$Z$78,
    MATCH(TRIM(CLEAN(A1957)), 'Valor Hora Real y Estimada'!$A$4:$A$78, 0),
    MATCH(
      TEXT(C1957,"dd mmm")&amp;" "&amp;D1957,
      'Valor Hora Real y Estimada'!$A$3:$Z$3,
      0
    ) + 1
  ),
  0
)</f>
        <v>0</v>
      </c>
      <c r="O1957" s="453"/>
      <c r="P1957" s="113"/>
      <c r="Q1957" s="106" t="str">
        <f>IF(ISBLANK(O1957), "", VLOOKUP(C1957&amp;" "&amp;D1957, 'Info Tipo de Cambio y REM'!$A$24:$B$35, 2, FALSE))</f>
        <v/>
      </c>
      <c r="R1957" s="107" t="str">
        <f t="shared" si="32"/>
        <v/>
      </c>
    </row>
    <row r="1958" hidden="1">
      <c r="A1958" s="443"/>
      <c r="B1958" s="43" t="str">
        <f>IF(A1958="", "", IFERROR(VLOOKUP(A1958, Clasificaciones!A:B, 2, FALSE), "DATO NO CARGADO"))
</f>
        <v/>
      </c>
      <c r="C1958" s="51"/>
      <c r="D1958" s="102"/>
      <c r="E1958" s="102"/>
      <c r="H1958" s="102"/>
      <c r="J1958" s="102"/>
      <c r="K1958" s="450"/>
      <c r="L1958" s="443"/>
      <c r="M1958" s="450"/>
      <c r="N1958" s="452">
        <f t="array" ref="N1958">IFERROR(
  INDEX(
    'Valor Hora Real y Estimada'!$A$4:$Z$78,
    MATCH(TRIM(CLEAN(A1958)), 'Valor Hora Real y Estimada'!$A$4:$A$78, 0),
    MATCH(
      TEXT(C1958,"dd mmm")&amp;" "&amp;D1958,
      'Valor Hora Real y Estimada'!$A$3:$Z$3,
      0
    ) + 1
  ),
  0
)</f>
        <v>0</v>
      </c>
      <c r="O1958" s="453"/>
      <c r="P1958" s="113"/>
      <c r="Q1958" s="106" t="str">
        <f>IF(ISBLANK(O1958), "", VLOOKUP(C1958&amp;" "&amp;D1958, 'Info Tipo de Cambio y REM'!$A$24:$B$35, 2, FALSE))</f>
        <v/>
      </c>
      <c r="R1958" s="107" t="str">
        <f t="shared" si="32"/>
        <v/>
      </c>
    </row>
    <row r="1959" hidden="1">
      <c r="A1959" s="443"/>
      <c r="B1959" s="43" t="str">
        <f>IF(A1959="", "", IFERROR(VLOOKUP(A1959, Clasificaciones!A:B, 2, FALSE), "DATO NO CARGADO"))
</f>
        <v/>
      </c>
      <c r="C1959" s="51"/>
      <c r="D1959" s="102"/>
      <c r="E1959" s="102"/>
      <c r="H1959" s="102"/>
      <c r="J1959" s="102"/>
      <c r="K1959" s="450"/>
      <c r="L1959" s="443"/>
      <c r="M1959" s="450"/>
      <c r="N1959" s="452">
        <f t="array" ref="N1959">IFERROR(
  INDEX(
    'Valor Hora Real y Estimada'!$A$4:$Z$78,
    MATCH(TRIM(CLEAN(A1959)), 'Valor Hora Real y Estimada'!$A$4:$A$78, 0),
    MATCH(
      TEXT(C1959,"dd mmm")&amp;" "&amp;D1959,
      'Valor Hora Real y Estimada'!$A$3:$Z$3,
      0
    ) + 1
  ),
  0
)</f>
        <v>0</v>
      </c>
      <c r="O1959" s="453"/>
      <c r="P1959" s="113"/>
      <c r="Q1959" s="106" t="str">
        <f>IF(ISBLANK(O1959), "", VLOOKUP(C1959&amp;" "&amp;D1959, 'Info Tipo de Cambio y REM'!$A$24:$B$35, 2, FALSE))</f>
        <v/>
      </c>
      <c r="R1959" s="107" t="str">
        <f t="shared" si="32"/>
        <v/>
      </c>
    </row>
    <row r="1960" hidden="1">
      <c r="A1960" s="443"/>
      <c r="B1960" s="43" t="str">
        <f>IF(A1960="", "", IFERROR(VLOOKUP(A1960, Clasificaciones!A:B, 2, FALSE), "DATO NO CARGADO"))
</f>
        <v/>
      </c>
      <c r="C1960" s="51"/>
      <c r="D1960" s="102"/>
      <c r="E1960" s="102"/>
      <c r="H1960" s="102"/>
      <c r="J1960" s="102"/>
      <c r="K1960" s="450"/>
      <c r="L1960" s="443"/>
      <c r="M1960" s="450"/>
      <c r="N1960" s="452">
        <f t="array" ref="N1960">IFERROR(
  INDEX(
    'Valor Hora Real y Estimada'!$A$4:$Z$78,
    MATCH(TRIM(CLEAN(A1960)), 'Valor Hora Real y Estimada'!$A$4:$A$78, 0),
    MATCH(
      TEXT(C1960,"dd mmm")&amp;" "&amp;D1960,
      'Valor Hora Real y Estimada'!$A$3:$Z$3,
      0
    ) + 1
  ),
  0
)</f>
        <v>0</v>
      </c>
      <c r="O1960" s="453"/>
      <c r="P1960" s="113"/>
      <c r="Q1960" s="106" t="str">
        <f>IF(ISBLANK(O1960), "", VLOOKUP(C1960&amp;" "&amp;D1960, 'Info Tipo de Cambio y REM'!$A$24:$B$35, 2, FALSE))</f>
        <v/>
      </c>
      <c r="R1960" s="107" t="str">
        <f t="shared" si="32"/>
        <v/>
      </c>
    </row>
    <row r="1961" hidden="1">
      <c r="A1961" s="443"/>
      <c r="B1961" s="43" t="str">
        <f>IF(A1961="", "", IFERROR(VLOOKUP(A1961, Clasificaciones!A:B, 2, FALSE), "DATO NO CARGADO"))
</f>
        <v/>
      </c>
      <c r="C1961" s="51"/>
      <c r="D1961" s="102"/>
      <c r="E1961" s="102"/>
      <c r="H1961" s="102"/>
      <c r="J1961" s="102"/>
      <c r="K1961" s="450"/>
      <c r="L1961" s="443"/>
      <c r="M1961" s="450"/>
      <c r="N1961" s="452">
        <f t="array" ref="N1961">IFERROR(
  INDEX(
    'Valor Hora Real y Estimada'!$A$4:$Z$78,
    MATCH(TRIM(CLEAN(A1961)), 'Valor Hora Real y Estimada'!$A$4:$A$78, 0),
    MATCH(
      TEXT(C1961,"dd mmm")&amp;" "&amp;D1961,
      'Valor Hora Real y Estimada'!$A$3:$Z$3,
      0
    ) + 1
  ),
  0
)</f>
        <v>0</v>
      </c>
      <c r="O1961" s="453"/>
      <c r="P1961" s="113"/>
      <c r="Q1961" s="106" t="str">
        <f>IF(ISBLANK(O1961), "", VLOOKUP(C1961&amp;" "&amp;D1961, 'Info Tipo de Cambio y REM'!$A$24:$B$35, 2, FALSE))</f>
        <v/>
      </c>
      <c r="R1961" s="107" t="str">
        <f t="shared" si="32"/>
        <v/>
      </c>
    </row>
    <row r="1962" hidden="1">
      <c r="A1962" s="443"/>
      <c r="B1962" s="43" t="str">
        <f>IF(A1962="", "", IFERROR(VLOOKUP(A1962, Clasificaciones!A:B, 2, FALSE), "DATO NO CARGADO"))
</f>
        <v/>
      </c>
      <c r="C1962" s="51"/>
      <c r="D1962" s="102"/>
      <c r="E1962" s="102"/>
      <c r="H1962" s="102"/>
      <c r="J1962" s="102"/>
      <c r="K1962" s="450"/>
      <c r="L1962" s="443"/>
      <c r="M1962" s="450"/>
      <c r="N1962" s="452">
        <f t="array" ref="N1962">IFERROR(
  INDEX(
    'Valor Hora Real y Estimada'!$A$4:$Z$78,
    MATCH(TRIM(CLEAN(A1962)), 'Valor Hora Real y Estimada'!$A$4:$A$78, 0),
    MATCH(
      TEXT(C1962,"dd mmm")&amp;" "&amp;D1962,
      'Valor Hora Real y Estimada'!$A$3:$Z$3,
      0
    ) + 1
  ),
  0
)</f>
        <v>0</v>
      </c>
      <c r="O1962" s="453"/>
      <c r="P1962" s="113"/>
      <c r="Q1962" s="106" t="str">
        <f>IF(ISBLANK(O1962), "", VLOOKUP(C1962&amp;" "&amp;D1962, 'Info Tipo de Cambio y REM'!$A$24:$B$35, 2, FALSE))</f>
        <v/>
      </c>
      <c r="R1962" s="107" t="str">
        <f t="shared" si="32"/>
        <v/>
      </c>
    </row>
    <row r="1963" hidden="1">
      <c r="A1963" s="443"/>
      <c r="B1963" s="43" t="str">
        <f>IF(A1963="", "", IFERROR(VLOOKUP(A1963, Clasificaciones!A:B, 2, FALSE), "DATO NO CARGADO"))
</f>
        <v/>
      </c>
      <c r="C1963" s="51"/>
      <c r="D1963" s="102"/>
      <c r="E1963" s="102"/>
      <c r="H1963" s="102"/>
      <c r="J1963" s="102"/>
      <c r="K1963" s="450"/>
      <c r="L1963" s="443"/>
      <c r="M1963" s="450"/>
      <c r="N1963" s="452">
        <f t="array" ref="N1963">IFERROR(
  INDEX(
    'Valor Hora Real y Estimada'!$A$4:$Z$78,
    MATCH(TRIM(CLEAN(A1963)), 'Valor Hora Real y Estimada'!$A$4:$A$78, 0),
    MATCH(
      TEXT(C1963,"dd mmm")&amp;" "&amp;D1963,
      'Valor Hora Real y Estimada'!$A$3:$Z$3,
      0
    ) + 1
  ),
  0
)</f>
        <v>0</v>
      </c>
      <c r="O1963" s="453"/>
      <c r="P1963" s="113"/>
      <c r="Q1963" s="106" t="str">
        <f>IF(ISBLANK(O1963), "", VLOOKUP(C1963&amp;" "&amp;D1963, 'Info Tipo de Cambio y REM'!$A$24:$B$35, 2, FALSE))</f>
        <v/>
      </c>
      <c r="R1963" s="107" t="str">
        <f t="shared" si="32"/>
        <v/>
      </c>
    </row>
    <row r="1964" hidden="1">
      <c r="A1964" s="443"/>
      <c r="B1964" s="43" t="str">
        <f>IF(A1964="", "", IFERROR(VLOOKUP(A1964, Clasificaciones!A:B, 2, FALSE), "DATO NO CARGADO"))
</f>
        <v/>
      </c>
      <c r="C1964" s="51"/>
      <c r="D1964" s="102"/>
      <c r="E1964" s="102"/>
      <c r="H1964" s="102"/>
      <c r="J1964" s="102"/>
      <c r="K1964" s="450"/>
      <c r="L1964" s="443"/>
      <c r="M1964" s="450"/>
      <c r="N1964" s="452">
        <f t="array" ref="N1964">IFERROR(
  INDEX(
    'Valor Hora Real y Estimada'!$A$4:$Z$78,
    MATCH(TRIM(CLEAN(A1964)), 'Valor Hora Real y Estimada'!$A$4:$A$78, 0),
    MATCH(
      TEXT(C1964,"dd mmm")&amp;" "&amp;D1964,
      'Valor Hora Real y Estimada'!$A$3:$Z$3,
      0
    ) + 1
  ),
  0
)</f>
        <v>0</v>
      </c>
      <c r="O1964" s="453"/>
      <c r="P1964" s="113"/>
      <c r="Q1964" s="106" t="str">
        <f>IF(ISBLANK(O1964), "", VLOOKUP(C1964&amp;" "&amp;D1964, 'Info Tipo de Cambio y REM'!$A$24:$B$35, 2, FALSE))</f>
        <v/>
      </c>
      <c r="R1964" s="107" t="str">
        <f t="shared" si="32"/>
        <v/>
      </c>
    </row>
    <row r="1965" hidden="1">
      <c r="A1965" s="443"/>
      <c r="B1965" s="43" t="str">
        <f>IF(A1965="", "", IFERROR(VLOOKUP(A1965, Clasificaciones!A:B, 2, FALSE), "DATO NO CARGADO"))
</f>
        <v/>
      </c>
      <c r="C1965" s="51"/>
      <c r="D1965" s="102"/>
      <c r="E1965" s="102"/>
      <c r="H1965" s="102"/>
      <c r="J1965" s="102"/>
      <c r="K1965" s="450"/>
      <c r="L1965" s="443"/>
      <c r="M1965" s="450"/>
      <c r="N1965" s="452">
        <f t="array" ref="N1965">IFERROR(
  INDEX(
    'Valor Hora Real y Estimada'!$A$4:$Z$78,
    MATCH(TRIM(CLEAN(A1965)), 'Valor Hora Real y Estimada'!$A$4:$A$78, 0),
    MATCH(
      TEXT(C1965,"dd mmm")&amp;" "&amp;D1965,
      'Valor Hora Real y Estimada'!$A$3:$Z$3,
      0
    ) + 1
  ),
  0
)</f>
        <v>0</v>
      </c>
      <c r="O1965" s="453"/>
      <c r="P1965" s="113"/>
      <c r="Q1965" s="106" t="str">
        <f>IF(ISBLANK(O1965), "", VLOOKUP(C1965&amp;" "&amp;D1965, 'Info Tipo de Cambio y REM'!$A$24:$B$35, 2, FALSE))</f>
        <v/>
      </c>
      <c r="R1965" s="107" t="str">
        <f t="shared" si="32"/>
        <v/>
      </c>
    </row>
    <row r="1966" hidden="1">
      <c r="A1966" s="443"/>
      <c r="B1966" s="43" t="str">
        <f>IF(A1966="", "", IFERROR(VLOOKUP(A1966, Clasificaciones!A:B, 2, FALSE), "DATO NO CARGADO"))
</f>
        <v/>
      </c>
      <c r="C1966" s="51"/>
      <c r="D1966" s="102"/>
      <c r="E1966" s="102"/>
      <c r="H1966" s="102"/>
      <c r="J1966" s="102"/>
      <c r="K1966" s="450"/>
      <c r="L1966" s="443"/>
      <c r="M1966" s="450"/>
      <c r="N1966" s="452">
        <f t="array" ref="N1966">IFERROR(
  INDEX(
    'Valor Hora Real y Estimada'!$A$4:$Z$78,
    MATCH(TRIM(CLEAN(A1966)), 'Valor Hora Real y Estimada'!$A$4:$A$78, 0),
    MATCH(
      TEXT(C1966,"dd mmm")&amp;" "&amp;D1966,
      'Valor Hora Real y Estimada'!$A$3:$Z$3,
      0
    ) + 1
  ),
  0
)</f>
        <v>0</v>
      </c>
      <c r="O1966" s="453"/>
      <c r="P1966" s="113"/>
      <c r="Q1966" s="106" t="str">
        <f>IF(ISBLANK(O1966), "", VLOOKUP(C1966&amp;" "&amp;D1966, 'Info Tipo de Cambio y REM'!$A$24:$B$35, 2, FALSE))</f>
        <v/>
      </c>
      <c r="R1966" s="107" t="str">
        <f t="shared" si="32"/>
        <v/>
      </c>
    </row>
    <row r="1967" hidden="1">
      <c r="A1967" s="443"/>
      <c r="B1967" s="43" t="str">
        <f>IF(A1967="", "", IFERROR(VLOOKUP(A1967, Clasificaciones!A:B, 2, FALSE), "DATO NO CARGADO"))
</f>
        <v/>
      </c>
      <c r="C1967" s="51"/>
      <c r="D1967" s="102"/>
      <c r="E1967" s="102"/>
      <c r="H1967" s="102"/>
      <c r="J1967" s="102"/>
      <c r="K1967" s="450"/>
      <c r="L1967" s="443"/>
      <c r="M1967" s="450"/>
      <c r="N1967" s="452">
        <f t="array" ref="N1967">IFERROR(
  INDEX(
    'Valor Hora Real y Estimada'!$A$4:$Z$78,
    MATCH(TRIM(CLEAN(A1967)), 'Valor Hora Real y Estimada'!$A$4:$A$78, 0),
    MATCH(
      TEXT(C1967,"dd mmm")&amp;" "&amp;D1967,
      'Valor Hora Real y Estimada'!$A$3:$Z$3,
      0
    ) + 1
  ),
  0
)</f>
        <v>0</v>
      </c>
      <c r="O1967" s="453"/>
      <c r="P1967" s="113"/>
      <c r="Q1967" s="106" t="str">
        <f>IF(ISBLANK(O1967), "", VLOOKUP(C1967&amp;" "&amp;D1967, 'Info Tipo de Cambio y REM'!$A$24:$B$35, 2, FALSE))</f>
        <v/>
      </c>
      <c r="R1967" s="107" t="str">
        <f t="shared" si="32"/>
        <v/>
      </c>
    </row>
    <row r="1968" hidden="1">
      <c r="A1968" s="443"/>
      <c r="B1968" s="43" t="str">
        <f>IF(A1968="", "", IFERROR(VLOOKUP(A1968, Clasificaciones!A:B, 2, FALSE), "DATO NO CARGADO"))
</f>
        <v/>
      </c>
      <c r="C1968" s="51"/>
      <c r="D1968" s="102"/>
      <c r="E1968" s="102"/>
      <c r="H1968" s="102"/>
      <c r="J1968" s="102"/>
      <c r="K1968" s="450"/>
      <c r="L1968" s="443"/>
      <c r="M1968" s="450"/>
      <c r="N1968" s="452">
        <f t="array" ref="N1968">IFERROR(
  INDEX(
    'Valor Hora Real y Estimada'!$A$4:$Z$78,
    MATCH(TRIM(CLEAN(A1968)), 'Valor Hora Real y Estimada'!$A$4:$A$78, 0),
    MATCH(
      TEXT(C1968,"dd mmm")&amp;" "&amp;D1968,
      'Valor Hora Real y Estimada'!$A$3:$Z$3,
      0
    ) + 1
  ),
  0
)</f>
        <v>0</v>
      </c>
      <c r="O1968" s="453"/>
      <c r="P1968" s="113"/>
      <c r="Q1968" s="106" t="str">
        <f>IF(ISBLANK(O1968), "", VLOOKUP(C1968&amp;" "&amp;D1968, 'Info Tipo de Cambio y REM'!$A$24:$B$35, 2, FALSE))</f>
        <v/>
      </c>
      <c r="R1968" s="107" t="str">
        <f t="shared" si="32"/>
        <v/>
      </c>
    </row>
    <row r="1969" hidden="1">
      <c r="A1969" s="443"/>
      <c r="B1969" s="43" t="str">
        <f>IF(A1969="", "", IFERROR(VLOOKUP(A1969, Clasificaciones!A:B, 2, FALSE), "DATO NO CARGADO"))
</f>
        <v/>
      </c>
      <c r="C1969" s="51"/>
      <c r="D1969" s="102"/>
      <c r="E1969" s="102"/>
      <c r="H1969" s="102"/>
      <c r="J1969" s="102"/>
      <c r="K1969" s="450"/>
      <c r="L1969" s="443"/>
      <c r="M1969" s="450"/>
      <c r="N1969" s="452">
        <f t="array" ref="N1969">IFERROR(
  INDEX(
    'Valor Hora Real y Estimada'!$A$4:$Z$78,
    MATCH(TRIM(CLEAN(A1969)), 'Valor Hora Real y Estimada'!$A$4:$A$78, 0),
    MATCH(
      TEXT(C1969,"dd mmm")&amp;" "&amp;D1969,
      'Valor Hora Real y Estimada'!$A$3:$Z$3,
      0
    ) + 1
  ),
  0
)</f>
        <v>0</v>
      </c>
      <c r="O1969" s="453"/>
      <c r="P1969" s="113"/>
      <c r="Q1969" s="106" t="str">
        <f>IF(ISBLANK(O1969), "", VLOOKUP(C1969&amp;" "&amp;D1969, 'Info Tipo de Cambio y REM'!$A$24:$B$35, 2, FALSE))</f>
        <v/>
      </c>
      <c r="R1969" s="107" t="str">
        <f t="shared" si="32"/>
        <v/>
      </c>
    </row>
    <row r="1970" hidden="1">
      <c r="A1970" s="443"/>
      <c r="B1970" s="43" t="str">
        <f>IF(A1970="", "", IFERROR(VLOOKUP(A1970, Clasificaciones!A:B, 2, FALSE), "DATO NO CARGADO"))
</f>
        <v/>
      </c>
      <c r="C1970" s="51"/>
      <c r="D1970" s="102"/>
      <c r="E1970" s="102"/>
      <c r="H1970" s="102"/>
      <c r="J1970" s="102"/>
      <c r="K1970" s="450"/>
      <c r="L1970" s="443"/>
      <c r="M1970" s="450"/>
      <c r="N1970" s="452">
        <f t="array" ref="N1970">IFERROR(
  INDEX(
    'Valor Hora Real y Estimada'!$A$4:$Z$78,
    MATCH(TRIM(CLEAN(A1970)), 'Valor Hora Real y Estimada'!$A$4:$A$78, 0),
    MATCH(
      TEXT(C1970,"dd mmm")&amp;" "&amp;D1970,
      'Valor Hora Real y Estimada'!$A$3:$Z$3,
      0
    ) + 1
  ),
  0
)</f>
        <v>0</v>
      </c>
      <c r="O1970" s="453"/>
      <c r="P1970" s="113"/>
      <c r="Q1970" s="106" t="str">
        <f>IF(ISBLANK(O1970), "", VLOOKUP(C1970&amp;" "&amp;D1970, 'Info Tipo de Cambio y REM'!$A$24:$B$35, 2, FALSE))</f>
        <v/>
      </c>
      <c r="R1970" s="107" t="str">
        <f t="shared" si="32"/>
        <v/>
      </c>
    </row>
    <row r="1971" hidden="1">
      <c r="A1971" s="443"/>
      <c r="B1971" s="43" t="str">
        <f>IF(A1971="", "", IFERROR(VLOOKUP(A1971, Clasificaciones!A:B, 2, FALSE), "DATO NO CARGADO"))
</f>
        <v/>
      </c>
      <c r="C1971" s="51"/>
      <c r="D1971" s="102"/>
      <c r="E1971" s="102"/>
      <c r="H1971" s="102"/>
      <c r="J1971" s="102"/>
      <c r="K1971" s="450"/>
      <c r="L1971" s="443"/>
      <c r="M1971" s="450"/>
      <c r="N1971" s="452">
        <f t="array" ref="N1971">IFERROR(
  INDEX(
    'Valor Hora Real y Estimada'!$A$4:$Z$78,
    MATCH(TRIM(CLEAN(A1971)), 'Valor Hora Real y Estimada'!$A$4:$A$78, 0),
    MATCH(
      TEXT(C1971,"dd mmm")&amp;" "&amp;D1971,
      'Valor Hora Real y Estimada'!$A$3:$Z$3,
      0
    ) + 1
  ),
  0
)</f>
        <v>0</v>
      </c>
      <c r="O1971" s="453"/>
      <c r="P1971" s="113"/>
      <c r="Q1971" s="106" t="str">
        <f>IF(ISBLANK(O1971), "", VLOOKUP(C1971&amp;" "&amp;D1971, 'Info Tipo de Cambio y REM'!$A$24:$B$35, 2, FALSE))</f>
        <v/>
      </c>
      <c r="R1971" s="107" t="str">
        <f t="shared" si="32"/>
        <v/>
      </c>
    </row>
    <row r="1972" hidden="1">
      <c r="A1972" s="443"/>
      <c r="B1972" s="43" t="str">
        <f>IF(A1972="", "", IFERROR(VLOOKUP(A1972, Clasificaciones!A:B, 2, FALSE), "DATO NO CARGADO"))
</f>
        <v/>
      </c>
      <c r="C1972" s="51"/>
      <c r="D1972" s="102"/>
      <c r="E1972" s="102"/>
      <c r="H1972" s="102"/>
      <c r="J1972" s="102"/>
      <c r="K1972" s="450"/>
      <c r="L1972" s="443"/>
      <c r="M1972" s="450"/>
      <c r="N1972" s="452">
        <f t="array" ref="N1972">IFERROR(
  INDEX(
    'Valor Hora Real y Estimada'!$A$4:$Z$78,
    MATCH(TRIM(CLEAN(A1972)), 'Valor Hora Real y Estimada'!$A$4:$A$78, 0),
    MATCH(
      TEXT(C1972,"dd mmm")&amp;" "&amp;D1972,
      'Valor Hora Real y Estimada'!$A$3:$Z$3,
      0
    ) + 1
  ),
  0
)</f>
        <v>0</v>
      </c>
      <c r="O1972" s="453"/>
      <c r="P1972" s="113"/>
      <c r="Q1972" s="106" t="str">
        <f>IF(ISBLANK(O1972), "", VLOOKUP(C1972&amp;" "&amp;D1972, 'Info Tipo de Cambio y REM'!$A$24:$B$35, 2, FALSE))</f>
        <v/>
      </c>
      <c r="R1972" s="107" t="str">
        <f t="shared" si="32"/>
        <v/>
      </c>
    </row>
    <row r="1973" hidden="1">
      <c r="A1973" s="443"/>
      <c r="B1973" s="43" t="str">
        <f>IF(A1973="", "", IFERROR(VLOOKUP(A1973, Clasificaciones!A:B, 2, FALSE), "DATO NO CARGADO"))
</f>
        <v/>
      </c>
      <c r="C1973" s="51"/>
      <c r="D1973" s="102"/>
      <c r="E1973" s="102"/>
      <c r="H1973" s="102"/>
      <c r="J1973" s="102"/>
      <c r="K1973" s="450"/>
      <c r="L1973" s="443"/>
      <c r="M1973" s="450"/>
      <c r="N1973" s="452">
        <f t="array" ref="N1973">IFERROR(
  INDEX(
    'Valor Hora Real y Estimada'!$A$4:$Z$78,
    MATCH(TRIM(CLEAN(A1973)), 'Valor Hora Real y Estimada'!$A$4:$A$78, 0),
    MATCH(
      TEXT(C1973,"dd mmm")&amp;" "&amp;D1973,
      'Valor Hora Real y Estimada'!$A$3:$Z$3,
      0
    ) + 1
  ),
  0
)</f>
        <v>0</v>
      </c>
      <c r="O1973" s="453"/>
      <c r="P1973" s="113"/>
      <c r="Q1973" s="106" t="str">
        <f>IF(ISBLANK(O1973), "", VLOOKUP(C1973&amp;" "&amp;D1973, 'Info Tipo de Cambio y REM'!$A$24:$B$35, 2, FALSE))</f>
        <v/>
      </c>
      <c r="R1973" s="107" t="str">
        <f t="shared" si="32"/>
        <v/>
      </c>
    </row>
    <row r="1974" hidden="1">
      <c r="A1974" s="443"/>
      <c r="B1974" s="43" t="str">
        <f>IF(A1974="", "", IFERROR(VLOOKUP(A1974, Clasificaciones!A:B, 2, FALSE), "DATO NO CARGADO"))
</f>
        <v/>
      </c>
      <c r="C1974" s="51"/>
      <c r="D1974" s="102"/>
      <c r="E1974" s="102"/>
      <c r="H1974" s="102"/>
      <c r="J1974" s="102"/>
      <c r="K1974" s="450"/>
      <c r="L1974" s="443"/>
      <c r="M1974" s="450"/>
      <c r="N1974" s="452">
        <f t="array" ref="N1974">IFERROR(
  INDEX(
    'Valor Hora Real y Estimada'!$A$4:$Z$78,
    MATCH(TRIM(CLEAN(A1974)), 'Valor Hora Real y Estimada'!$A$4:$A$78, 0),
    MATCH(
      TEXT(C1974,"dd mmm")&amp;" "&amp;D1974,
      'Valor Hora Real y Estimada'!$A$3:$Z$3,
      0
    ) + 1
  ),
  0
)</f>
        <v>0</v>
      </c>
      <c r="O1974" s="453"/>
      <c r="P1974" s="113"/>
      <c r="Q1974" s="106" t="str">
        <f>IF(ISBLANK(O1974), "", VLOOKUP(C1974&amp;" "&amp;D1974, 'Info Tipo de Cambio y REM'!$A$24:$B$35, 2, FALSE))</f>
        <v/>
      </c>
      <c r="R1974" s="107" t="str">
        <f t="shared" si="32"/>
        <v/>
      </c>
    </row>
    <row r="1975" hidden="1">
      <c r="A1975" s="443"/>
      <c r="B1975" s="43" t="str">
        <f>IF(A1975="", "", IFERROR(VLOOKUP(A1975, Clasificaciones!A:B, 2, FALSE), "DATO NO CARGADO"))
</f>
        <v/>
      </c>
      <c r="C1975" s="51"/>
      <c r="D1975" s="102"/>
      <c r="E1975" s="102"/>
      <c r="H1975" s="102"/>
      <c r="J1975" s="102"/>
      <c r="K1975" s="450"/>
      <c r="L1975" s="443"/>
      <c r="M1975" s="450"/>
      <c r="N1975" s="452">
        <f t="array" ref="N1975">IFERROR(
  INDEX(
    'Valor Hora Real y Estimada'!$A$4:$Z$78,
    MATCH(TRIM(CLEAN(A1975)), 'Valor Hora Real y Estimada'!$A$4:$A$78, 0),
    MATCH(
      TEXT(C1975,"dd mmm")&amp;" "&amp;D1975,
      'Valor Hora Real y Estimada'!$A$3:$Z$3,
      0
    ) + 1
  ),
  0
)</f>
        <v>0</v>
      </c>
      <c r="O1975" s="453"/>
      <c r="P1975" s="113"/>
      <c r="Q1975" s="106" t="str">
        <f>IF(ISBLANK(O1975), "", VLOOKUP(C1975&amp;" "&amp;D1975, 'Info Tipo de Cambio y REM'!$A$24:$B$35, 2, FALSE))</f>
        <v/>
      </c>
      <c r="R1975" s="107" t="str">
        <f t="shared" si="32"/>
        <v/>
      </c>
    </row>
    <row r="1976" hidden="1">
      <c r="A1976" s="443"/>
      <c r="B1976" s="43" t="str">
        <f>IF(A1976="", "", IFERROR(VLOOKUP(A1976, Clasificaciones!A:B, 2, FALSE), "DATO NO CARGADO"))
</f>
        <v/>
      </c>
      <c r="C1976" s="51"/>
      <c r="D1976" s="102"/>
      <c r="E1976" s="102"/>
      <c r="H1976" s="102"/>
      <c r="J1976" s="102"/>
      <c r="K1976" s="450"/>
      <c r="L1976" s="443"/>
      <c r="M1976" s="450"/>
      <c r="N1976" s="452">
        <f t="array" ref="N1976">IFERROR(
  INDEX(
    'Valor Hora Real y Estimada'!$A$4:$Z$78,
    MATCH(TRIM(CLEAN(A1976)), 'Valor Hora Real y Estimada'!$A$4:$A$78, 0),
    MATCH(
      TEXT(C1976,"dd mmm")&amp;" "&amp;D1976,
      'Valor Hora Real y Estimada'!$A$3:$Z$3,
      0
    ) + 1
  ),
  0
)</f>
        <v>0</v>
      </c>
      <c r="O1976" s="453"/>
      <c r="P1976" s="113"/>
      <c r="Q1976" s="106" t="str">
        <f>IF(ISBLANK(O1976), "", VLOOKUP(C1976&amp;" "&amp;D1976, 'Info Tipo de Cambio y REM'!$A$24:$B$35, 2, FALSE))</f>
        <v/>
      </c>
      <c r="R1976" s="107" t="str">
        <f t="shared" si="32"/>
        <v/>
      </c>
    </row>
    <row r="1977" hidden="1">
      <c r="A1977" s="443"/>
      <c r="B1977" s="43" t="str">
        <f>IF(A1977="", "", IFERROR(VLOOKUP(A1977, Clasificaciones!A:B, 2, FALSE), "DATO NO CARGADO"))
</f>
        <v/>
      </c>
      <c r="C1977" s="51"/>
      <c r="D1977" s="102"/>
      <c r="E1977" s="102"/>
      <c r="H1977" s="102"/>
      <c r="J1977" s="102"/>
      <c r="K1977" s="450"/>
      <c r="L1977" s="443"/>
      <c r="M1977" s="450"/>
      <c r="N1977" s="452">
        <f t="array" ref="N1977">IFERROR(
  INDEX(
    'Valor Hora Real y Estimada'!$A$4:$Z$78,
    MATCH(TRIM(CLEAN(A1977)), 'Valor Hora Real y Estimada'!$A$4:$A$78, 0),
    MATCH(
      TEXT(C1977,"dd mmm")&amp;" "&amp;D1977,
      'Valor Hora Real y Estimada'!$A$3:$Z$3,
      0
    ) + 1
  ),
  0
)</f>
        <v>0</v>
      </c>
      <c r="O1977" s="453"/>
      <c r="P1977" s="113"/>
      <c r="Q1977" s="106" t="str">
        <f>IF(ISBLANK(O1977), "", VLOOKUP(C1977&amp;" "&amp;D1977, 'Info Tipo de Cambio y REM'!$A$24:$B$35, 2, FALSE))</f>
        <v/>
      </c>
      <c r="R1977" s="107" t="str">
        <f t="shared" si="32"/>
        <v/>
      </c>
    </row>
    <row r="1978" hidden="1">
      <c r="A1978" s="443"/>
      <c r="B1978" s="43" t="str">
        <f>IF(A1978="", "", IFERROR(VLOOKUP(A1978, Clasificaciones!A:B, 2, FALSE), "DATO NO CARGADO"))
</f>
        <v/>
      </c>
      <c r="C1978" s="51"/>
      <c r="D1978" s="102"/>
      <c r="E1978" s="102"/>
      <c r="H1978" s="102"/>
      <c r="J1978" s="102"/>
      <c r="K1978" s="450"/>
      <c r="L1978" s="443"/>
      <c r="M1978" s="450"/>
      <c r="N1978" s="452">
        <f t="array" ref="N1978">IFERROR(
  INDEX(
    'Valor Hora Real y Estimada'!$A$4:$Z$78,
    MATCH(TRIM(CLEAN(A1978)), 'Valor Hora Real y Estimada'!$A$4:$A$78, 0),
    MATCH(
      TEXT(C1978,"dd mmm")&amp;" "&amp;D1978,
      'Valor Hora Real y Estimada'!$A$3:$Z$3,
      0
    ) + 1
  ),
  0
)</f>
        <v>0</v>
      </c>
      <c r="O1978" s="453"/>
      <c r="P1978" s="113"/>
      <c r="Q1978" s="106" t="str">
        <f>IF(ISBLANK(O1978), "", VLOOKUP(C1978&amp;" "&amp;D1978, 'Info Tipo de Cambio y REM'!$A$24:$B$35, 2, FALSE))</f>
        <v/>
      </c>
      <c r="R1978" s="107" t="str">
        <f t="shared" si="32"/>
        <v/>
      </c>
    </row>
    <row r="1979" hidden="1">
      <c r="A1979" s="443"/>
      <c r="B1979" s="43" t="str">
        <f>IF(A1979="", "", IFERROR(VLOOKUP(A1979, Clasificaciones!A:B, 2, FALSE), "DATO NO CARGADO"))
</f>
        <v/>
      </c>
      <c r="C1979" s="51"/>
      <c r="D1979" s="102"/>
      <c r="E1979" s="102"/>
      <c r="H1979" s="102"/>
      <c r="J1979" s="102"/>
      <c r="K1979" s="450"/>
      <c r="L1979" s="443"/>
      <c r="M1979" s="450"/>
      <c r="N1979" s="452">
        <f t="array" ref="N1979">IFERROR(
  INDEX(
    'Valor Hora Real y Estimada'!$A$4:$Z$78,
    MATCH(TRIM(CLEAN(A1979)), 'Valor Hora Real y Estimada'!$A$4:$A$78, 0),
    MATCH(
      TEXT(C1979,"dd mmm")&amp;" "&amp;D1979,
      'Valor Hora Real y Estimada'!$A$3:$Z$3,
      0
    ) + 1
  ),
  0
)</f>
        <v>0</v>
      </c>
      <c r="O1979" s="453"/>
      <c r="P1979" s="113"/>
      <c r="Q1979" s="106" t="str">
        <f>IF(ISBLANK(O1979), "", VLOOKUP(C1979&amp;" "&amp;D1979, 'Info Tipo de Cambio y REM'!$A$24:$B$35, 2, FALSE))</f>
        <v/>
      </c>
      <c r="R1979" s="107" t="str">
        <f t="shared" si="32"/>
        <v/>
      </c>
    </row>
    <row r="1980" hidden="1">
      <c r="A1980" s="443"/>
      <c r="B1980" s="43" t="str">
        <f>IF(A1980="", "", IFERROR(VLOOKUP(A1980, Clasificaciones!A:B, 2, FALSE), "DATO NO CARGADO"))
</f>
        <v/>
      </c>
      <c r="C1980" s="51"/>
      <c r="D1980" s="102"/>
      <c r="E1980" s="102"/>
      <c r="H1980" s="102"/>
      <c r="J1980" s="102"/>
      <c r="K1980" s="450"/>
      <c r="L1980" s="443"/>
      <c r="M1980" s="450"/>
      <c r="N1980" s="452">
        <f t="array" ref="N1980">IFERROR(
  INDEX(
    'Valor Hora Real y Estimada'!$A$4:$Z$78,
    MATCH(TRIM(CLEAN(A1980)), 'Valor Hora Real y Estimada'!$A$4:$A$78, 0),
    MATCH(
      TEXT(C1980,"dd mmm")&amp;" "&amp;D1980,
      'Valor Hora Real y Estimada'!$A$3:$Z$3,
      0
    ) + 1
  ),
  0
)</f>
        <v>0</v>
      </c>
      <c r="O1980" s="453"/>
      <c r="P1980" s="113"/>
      <c r="Q1980" s="106" t="str">
        <f>IF(ISBLANK(O1980), "", VLOOKUP(C1980&amp;" "&amp;D1980, 'Info Tipo de Cambio y REM'!$A$24:$B$35, 2, FALSE))</f>
        <v/>
      </c>
      <c r="R1980" s="107" t="str">
        <f t="shared" si="32"/>
        <v/>
      </c>
    </row>
    <row r="1981" hidden="1">
      <c r="A1981" s="443"/>
      <c r="B1981" s="43" t="str">
        <f>IF(A1981="", "", IFERROR(VLOOKUP(A1981, Clasificaciones!A:B, 2, FALSE), "DATO NO CARGADO"))
</f>
        <v/>
      </c>
      <c r="C1981" s="51"/>
      <c r="D1981" s="102"/>
      <c r="E1981" s="102"/>
      <c r="H1981" s="102"/>
      <c r="J1981" s="102"/>
      <c r="K1981" s="450"/>
      <c r="L1981" s="443"/>
      <c r="M1981" s="450"/>
      <c r="N1981" s="452">
        <f t="array" ref="N1981">IFERROR(
  INDEX(
    'Valor Hora Real y Estimada'!$A$4:$Z$78,
    MATCH(TRIM(CLEAN(A1981)), 'Valor Hora Real y Estimada'!$A$4:$A$78, 0),
    MATCH(
      TEXT(C1981,"dd mmm")&amp;" "&amp;D1981,
      'Valor Hora Real y Estimada'!$A$3:$Z$3,
      0
    ) + 1
  ),
  0
)</f>
        <v>0</v>
      </c>
      <c r="O1981" s="453"/>
      <c r="P1981" s="113"/>
      <c r="Q1981" s="106" t="str">
        <f>IF(ISBLANK(O1981), "", VLOOKUP(C1981&amp;" "&amp;D1981, 'Info Tipo de Cambio y REM'!$A$24:$B$35, 2, FALSE))</f>
        <v/>
      </c>
      <c r="R1981" s="107" t="str">
        <f t="shared" si="32"/>
        <v/>
      </c>
    </row>
    <row r="1982" hidden="1">
      <c r="A1982" s="443"/>
      <c r="B1982" s="43" t="str">
        <f>IF(A1982="", "", IFERROR(VLOOKUP(A1982, Clasificaciones!A:B, 2, FALSE), "DATO NO CARGADO"))
</f>
        <v/>
      </c>
      <c r="C1982" s="51"/>
      <c r="D1982" s="102"/>
      <c r="E1982" s="102"/>
      <c r="H1982" s="102"/>
      <c r="J1982" s="102"/>
      <c r="K1982" s="450"/>
      <c r="L1982" s="443"/>
      <c r="M1982" s="450"/>
      <c r="N1982" s="452">
        <f t="array" ref="N1982">IFERROR(
  INDEX(
    'Valor Hora Real y Estimada'!$A$4:$Z$78,
    MATCH(TRIM(CLEAN(A1982)), 'Valor Hora Real y Estimada'!$A$4:$A$78, 0),
    MATCH(
      TEXT(C1982,"dd mmm")&amp;" "&amp;D1982,
      'Valor Hora Real y Estimada'!$A$3:$Z$3,
      0
    ) + 1
  ),
  0
)</f>
        <v>0</v>
      </c>
      <c r="O1982" s="453"/>
      <c r="P1982" s="113"/>
      <c r="Q1982" s="106" t="str">
        <f>IF(ISBLANK(O1982), "", VLOOKUP(C1982&amp;" "&amp;D1982, 'Info Tipo de Cambio y REM'!$A$24:$B$35, 2, FALSE))</f>
        <v/>
      </c>
      <c r="R1982" s="107" t="str">
        <f t="shared" si="32"/>
        <v/>
      </c>
    </row>
    <row r="1983" hidden="1">
      <c r="A1983" s="443"/>
      <c r="B1983" s="43" t="str">
        <f>IF(A1983="", "", IFERROR(VLOOKUP(A1983, Clasificaciones!A:B, 2, FALSE), "DATO NO CARGADO"))
</f>
        <v/>
      </c>
      <c r="C1983" s="51"/>
      <c r="D1983" s="102"/>
      <c r="E1983" s="102"/>
      <c r="H1983" s="102"/>
      <c r="J1983" s="102"/>
      <c r="K1983" s="450"/>
      <c r="L1983" s="443"/>
      <c r="M1983" s="450"/>
      <c r="N1983" s="452">
        <f t="array" ref="N1983">IFERROR(
  INDEX(
    'Valor Hora Real y Estimada'!$A$4:$Z$78,
    MATCH(TRIM(CLEAN(A1983)), 'Valor Hora Real y Estimada'!$A$4:$A$78, 0),
    MATCH(
      TEXT(C1983,"dd mmm")&amp;" "&amp;D1983,
      'Valor Hora Real y Estimada'!$A$3:$Z$3,
      0
    ) + 1
  ),
  0
)</f>
        <v>0</v>
      </c>
      <c r="O1983" s="453"/>
      <c r="P1983" s="113"/>
      <c r="Q1983" s="106" t="str">
        <f>IF(ISBLANK(O1983), "", VLOOKUP(C1983&amp;" "&amp;D1983, 'Info Tipo de Cambio y REM'!$A$24:$B$35, 2, FALSE))</f>
        <v/>
      </c>
      <c r="R1983" s="107" t="str">
        <f t="shared" si="32"/>
        <v/>
      </c>
    </row>
    <row r="1984" hidden="1">
      <c r="A1984" s="443"/>
      <c r="B1984" s="43" t="str">
        <f>IF(A1984="", "", IFERROR(VLOOKUP(A1984, Clasificaciones!A:B, 2, FALSE), "DATO NO CARGADO"))
</f>
        <v/>
      </c>
      <c r="C1984" s="51"/>
      <c r="D1984" s="102"/>
      <c r="E1984" s="102"/>
      <c r="H1984" s="102"/>
      <c r="J1984" s="102"/>
      <c r="K1984" s="450"/>
      <c r="L1984" s="443"/>
      <c r="M1984" s="450"/>
      <c r="N1984" s="452">
        <f t="array" ref="N1984">IFERROR(
  INDEX(
    'Valor Hora Real y Estimada'!$A$4:$Z$78,
    MATCH(TRIM(CLEAN(A1984)), 'Valor Hora Real y Estimada'!$A$4:$A$78, 0),
    MATCH(
      TEXT(C1984,"dd mmm")&amp;" "&amp;D1984,
      'Valor Hora Real y Estimada'!$A$3:$Z$3,
      0
    ) + 1
  ),
  0
)</f>
        <v>0</v>
      </c>
      <c r="O1984" s="453"/>
      <c r="P1984" s="113"/>
      <c r="Q1984" s="106" t="str">
        <f>IF(ISBLANK(O1984), "", VLOOKUP(C1984&amp;" "&amp;D1984, 'Info Tipo de Cambio y REM'!$A$24:$B$35, 2, FALSE))</f>
        <v/>
      </c>
      <c r="R1984" s="107" t="str">
        <f t="shared" si="32"/>
        <v/>
      </c>
    </row>
    <row r="1985" hidden="1">
      <c r="A1985" s="443"/>
      <c r="B1985" s="43" t="str">
        <f>IF(A1985="", "", IFERROR(VLOOKUP(A1985, Clasificaciones!A:B, 2, FALSE), "DATO NO CARGADO"))
</f>
        <v/>
      </c>
      <c r="C1985" s="51"/>
      <c r="D1985" s="102"/>
      <c r="E1985" s="102"/>
      <c r="H1985" s="102"/>
      <c r="J1985" s="102"/>
      <c r="K1985" s="450"/>
      <c r="L1985" s="443"/>
      <c r="M1985" s="450"/>
      <c r="N1985" s="452">
        <f t="array" ref="N1985">IFERROR(
  INDEX(
    'Valor Hora Real y Estimada'!$A$4:$Z$78,
    MATCH(TRIM(CLEAN(A1985)), 'Valor Hora Real y Estimada'!$A$4:$A$78, 0),
    MATCH(
      TEXT(C1985,"dd mmm")&amp;" "&amp;D1985,
      'Valor Hora Real y Estimada'!$A$3:$Z$3,
      0
    ) + 1
  ),
  0
)</f>
        <v>0</v>
      </c>
      <c r="O1985" s="453"/>
      <c r="P1985" s="113"/>
      <c r="Q1985" s="106" t="str">
        <f>IF(ISBLANK(O1985), "", VLOOKUP(C1985&amp;" "&amp;D1985, 'Info Tipo de Cambio y REM'!$A$24:$B$35, 2, FALSE))</f>
        <v/>
      </c>
      <c r="R1985" s="107" t="str">
        <f t="shared" si="32"/>
        <v/>
      </c>
    </row>
    <row r="1986" hidden="1">
      <c r="A1986" s="443"/>
      <c r="B1986" s="43" t="str">
        <f>IF(A1986="", "", IFERROR(VLOOKUP(A1986, Clasificaciones!A:B, 2, FALSE), "DATO NO CARGADO"))
</f>
        <v/>
      </c>
      <c r="C1986" s="51"/>
      <c r="D1986" s="102"/>
      <c r="E1986" s="102"/>
      <c r="H1986" s="102"/>
      <c r="J1986" s="102"/>
      <c r="K1986" s="450"/>
      <c r="L1986" s="443"/>
      <c r="M1986" s="450"/>
      <c r="N1986" s="452">
        <f t="array" ref="N1986">IFERROR(
  INDEX(
    'Valor Hora Real y Estimada'!$A$4:$Z$78,
    MATCH(TRIM(CLEAN(A1986)), 'Valor Hora Real y Estimada'!$A$4:$A$78, 0),
    MATCH(
      TEXT(C1986,"dd mmm")&amp;" "&amp;D1986,
      'Valor Hora Real y Estimada'!$A$3:$Z$3,
      0
    ) + 1
  ),
  0
)</f>
        <v>0</v>
      </c>
      <c r="O1986" s="453"/>
      <c r="P1986" s="113"/>
      <c r="Q1986" s="106" t="str">
        <f>IF(ISBLANK(O1986), "", VLOOKUP(C1986&amp;" "&amp;D1986, 'Info Tipo de Cambio y REM'!$A$24:$B$35, 2, FALSE))</f>
        <v/>
      </c>
      <c r="R1986" s="107" t="str">
        <f t="shared" si="32"/>
        <v/>
      </c>
    </row>
    <row r="1987" hidden="1">
      <c r="A1987" s="443"/>
      <c r="B1987" s="43" t="str">
        <f>IF(A1987="", "", IFERROR(VLOOKUP(A1987, Clasificaciones!A:B, 2, FALSE), "DATO NO CARGADO"))
</f>
        <v/>
      </c>
      <c r="C1987" s="51"/>
      <c r="D1987" s="102"/>
      <c r="E1987" s="102"/>
      <c r="H1987" s="102"/>
      <c r="J1987" s="102"/>
      <c r="K1987" s="450"/>
      <c r="L1987" s="443"/>
      <c r="M1987" s="450"/>
      <c r="N1987" s="452">
        <f t="array" ref="N1987">IFERROR(
  INDEX(
    'Valor Hora Real y Estimada'!$A$4:$Z$78,
    MATCH(TRIM(CLEAN(A1987)), 'Valor Hora Real y Estimada'!$A$4:$A$78, 0),
    MATCH(
      TEXT(C1987,"dd mmm")&amp;" "&amp;D1987,
      'Valor Hora Real y Estimada'!$A$3:$Z$3,
      0
    ) + 1
  ),
  0
)</f>
        <v>0</v>
      </c>
      <c r="O1987" s="453"/>
      <c r="P1987" s="113"/>
      <c r="Q1987" s="106" t="str">
        <f>IF(ISBLANK(O1987), "", VLOOKUP(C1987&amp;" "&amp;D1987, 'Info Tipo de Cambio y REM'!$A$24:$B$35, 2, FALSE))</f>
        <v/>
      </c>
      <c r="R1987" s="107" t="str">
        <f t="shared" si="32"/>
        <v/>
      </c>
    </row>
    <row r="1988" hidden="1">
      <c r="A1988" s="443"/>
      <c r="B1988" s="43" t="str">
        <f>IF(A1988="", "", IFERROR(VLOOKUP(A1988, Clasificaciones!A:B, 2, FALSE), "DATO NO CARGADO"))
</f>
        <v/>
      </c>
      <c r="C1988" s="51"/>
      <c r="D1988" s="102"/>
      <c r="E1988" s="102"/>
      <c r="H1988" s="102"/>
      <c r="J1988" s="102"/>
      <c r="K1988" s="450"/>
      <c r="L1988" s="443"/>
      <c r="M1988" s="450"/>
      <c r="N1988" s="452">
        <f t="array" ref="N1988">IFERROR(
  INDEX(
    'Valor Hora Real y Estimada'!$A$4:$Z$78,
    MATCH(TRIM(CLEAN(A1988)), 'Valor Hora Real y Estimada'!$A$4:$A$78, 0),
    MATCH(
      TEXT(C1988,"dd mmm")&amp;" "&amp;D1988,
      'Valor Hora Real y Estimada'!$A$3:$Z$3,
      0
    ) + 1
  ),
  0
)</f>
        <v>0</v>
      </c>
      <c r="O1988" s="453"/>
      <c r="P1988" s="113"/>
      <c r="Q1988" s="106" t="str">
        <f>IF(ISBLANK(O1988), "", VLOOKUP(C1988&amp;" "&amp;D1988, 'Info Tipo de Cambio y REM'!$A$24:$B$35, 2, FALSE))</f>
        <v/>
      </c>
      <c r="R1988" s="107" t="str">
        <f t="shared" si="32"/>
        <v/>
      </c>
    </row>
    <row r="1989" hidden="1">
      <c r="A1989" s="443"/>
      <c r="B1989" s="43" t="str">
        <f>IF(A1989="", "", IFERROR(VLOOKUP(A1989, Clasificaciones!A:B, 2, FALSE), "DATO NO CARGADO"))
</f>
        <v/>
      </c>
      <c r="C1989" s="51"/>
      <c r="D1989" s="102"/>
      <c r="E1989" s="102"/>
      <c r="H1989" s="102"/>
      <c r="J1989" s="102"/>
      <c r="K1989" s="450"/>
      <c r="L1989" s="443"/>
      <c r="M1989" s="450"/>
      <c r="N1989" s="452">
        <f t="array" ref="N1989">IFERROR(
  INDEX(
    'Valor Hora Real y Estimada'!$A$4:$Z$78,
    MATCH(TRIM(CLEAN(A1989)), 'Valor Hora Real y Estimada'!$A$4:$A$78, 0),
    MATCH(
      TEXT(C1989,"dd mmm")&amp;" "&amp;D1989,
      'Valor Hora Real y Estimada'!$A$3:$Z$3,
      0
    ) + 1
  ),
  0
)</f>
        <v>0</v>
      </c>
      <c r="O1989" s="453"/>
      <c r="P1989" s="113"/>
      <c r="Q1989" s="106" t="str">
        <f>IF(ISBLANK(O1989), "", VLOOKUP(C1989&amp;" "&amp;D1989, 'Info Tipo de Cambio y REM'!$A$24:$B$35, 2, FALSE))</f>
        <v/>
      </c>
      <c r="R1989" s="107" t="str">
        <f t="shared" si="32"/>
        <v/>
      </c>
    </row>
    <row r="1990" hidden="1">
      <c r="A1990" s="443"/>
      <c r="B1990" s="43" t="str">
        <f>IF(A1990="", "", IFERROR(VLOOKUP(A1990, Clasificaciones!A:B, 2, FALSE), "DATO NO CARGADO"))
</f>
        <v/>
      </c>
      <c r="C1990" s="51"/>
      <c r="D1990" s="102"/>
      <c r="E1990" s="102"/>
      <c r="H1990" s="102"/>
      <c r="J1990" s="102"/>
      <c r="K1990" s="450"/>
      <c r="L1990" s="443"/>
      <c r="M1990" s="450"/>
      <c r="N1990" s="452">
        <f t="array" ref="N1990">IFERROR(
  INDEX(
    'Valor Hora Real y Estimada'!$A$4:$Z$78,
    MATCH(TRIM(CLEAN(A1990)), 'Valor Hora Real y Estimada'!$A$4:$A$78, 0),
    MATCH(
      TEXT(C1990,"dd mmm")&amp;" "&amp;D1990,
      'Valor Hora Real y Estimada'!$A$3:$Z$3,
      0
    ) + 1
  ),
  0
)</f>
        <v>0</v>
      </c>
      <c r="O1990" s="453"/>
      <c r="P1990" s="113"/>
      <c r="Q1990" s="106" t="str">
        <f>IF(ISBLANK(O1990), "", VLOOKUP(C1990&amp;" "&amp;D1990, 'Info Tipo de Cambio y REM'!$A$24:$B$35, 2, FALSE))</f>
        <v/>
      </c>
      <c r="R1990" s="107" t="str">
        <f t="shared" si="32"/>
        <v/>
      </c>
    </row>
    <row r="1991" hidden="1">
      <c r="A1991" s="443"/>
      <c r="B1991" s="43" t="str">
        <f>IF(A1991="", "", IFERROR(VLOOKUP(A1991, Clasificaciones!A:B, 2, FALSE), "DATO NO CARGADO"))
</f>
        <v/>
      </c>
      <c r="C1991" s="51"/>
      <c r="D1991" s="102"/>
      <c r="E1991" s="102"/>
      <c r="H1991" s="102"/>
      <c r="J1991" s="102"/>
      <c r="K1991" s="450"/>
      <c r="L1991" s="443"/>
      <c r="M1991" s="450"/>
      <c r="N1991" s="452">
        <f t="array" ref="N1991">IFERROR(
  INDEX(
    'Valor Hora Real y Estimada'!$A$4:$Z$78,
    MATCH(TRIM(CLEAN(A1991)), 'Valor Hora Real y Estimada'!$A$4:$A$78, 0),
    MATCH(
      TEXT(C1991,"dd mmm")&amp;" "&amp;D1991,
      'Valor Hora Real y Estimada'!$A$3:$Z$3,
      0
    ) + 1
  ),
  0
)</f>
        <v>0</v>
      </c>
      <c r="O1991" s="453"/>
      <c r="P1991" s="113"/>
      <c r="Q1991" s="106" t="str">
        <f>IF(ISBLANK(O1991), "", VLOOKUP(C1991&amp;" "&amp;D1991, 'Info Tipo de Cambio y REM'!$A$24:$B$35, 2, FALSE))</f>
        <v/>
      </c>
      <c r="R1991" s="107" t="str">
        <f t="shared" si="32"/>
        <v/>
      </c>
    </row>
    <row r="1992" hidden="1">
      <c r="A1992" s="443"/>
      <c r="B1992" s="43" t="str">
        <f>IF(A1992="", "", IFERROR(VLOOKUP(A1992, Clasificaciones!A:B, 2, FALSE), "DATO NO CARGADO"))
</f>
        <v/>
      </c>
      <c r="C1992" s="51"/>
      <c r="D1992" s="102"/>
      <c r="E1992" s="102"/>
      <c r="H1992" s="102"/>
      <c r="J1992" s="102"/>
      <c r="K1992" s="450"/>
      <c r="L1992" s="443"/>
      <c r="M1992" s="450"/>
      <c r="N1992" s="452">
        <f t="array" ref="N1992">IFERROR(
  INDEX(
    'Valor Hora Real y Estimada'!$A$4:$Z$78,
    MATCH(TRIM(CLEAN(A1992)), 'Valor Hora Real y Estimada'!$A$4:$A$78, 0),
    MATCH(
      TEXT(C1992,"dd mmm")&amp;" "&amp;D1992,
      'Valor Hora Real y Estimada'!$A$3:$Z$3,
      0
    ) + 1
  ),
  0
)</f>
        <v>0</v>
      </c>
      <c r="O1992" s="453"/>
      <c r="P1992" s="113"/>
      <c r="Q1992" s="106" t="str">
        <f>IF(ISBLANK(O1992), "", VLOOKUP(C1992&amp;" "&amp;D1992, 'Info Tipo de Cambio y REM'!$A$24:$B$35, 2, FALSE))</f>
        <v/>
      </c>
      <c r="R1992" s="107" t="str">
        <f t="shared" si="32"/>
        <v/>
      </c>
    </row>
    <row r="1993" hidden="1">
      <c r="A1993" s="443"/>
      <c r="B1993" s="43" t="str">
        <f>IF(A1993="", "", IFERROR(VLOOKUP(A1993, Clasificaciones!A:B, 2, FALSE), "DATO NO CARGADO"))
</f>
        <v/>
      </c>
      <c r="C1993" s="51"/>
      <c r="D1993" s="102"/>
      <c r="E1993" s="102"/>
      <c r="H1993" s="102"/>
      <c r="J1993" s="102"/>
      <c r="K1993" s="450"/>
      <c r="L1993" s="443"/>
      <c r="M1993" s="450"/>
      <c r="N1993" s="452">
        <f t="array" ref="N1993">IFERROR(
  INDEX(
    'Valor Hora Real y Estimada'!$A$4:$Z$78,
    MATCH(TRIM(CLEAN(A1993)), 'Valor Hora Real y Estimada'!$A$4:$A$78, 0),
    MATCH(
      TEXT(C1993,"dd mmm")&amp;" "&amp;D1993,
      'Valor Hora Real y Estimada'!$A$3:$Z$3,
      0
    ) + 1
  ),
  0
)</f>
        <v>0</v>
      </c>
      <c r="O1993" s="453"/>
      <c r="P1993" s="113"/>
      <c r="Q1993" s="106" t="str">
        <f>IF(ISBLANK(O1993), "", VLOOKUP(C1993&amp;" "&amp;D1993, 'Info Tipo de Cambio y REM'!$A$24:$B$35, 2, FALSE))</f>
        <v/>
      </c>
      <c r="R1993" s="107" t="str">
        <f t="shared" si="32"/>
        <v/>
      </c>
    </row>
    <row r="1994" hidden="1">
      <c r="A1994" s="443"/>
      <c r="B1994" s="43" t="str">
        <f>IF(A1994="", "", IFERROR(VLOOKUP(A1994, Clasificaciones!A:B, 2, FALSE), "DATO NO CARGADO"))
</f>
        <v/>
      </c>
      <c r="C1994" s="51"/>
      <c r="D1994" s="102"/>
      <c r="E1994" s="102"/>
      <c r="H1994" s="102"/>
      <c r="J1994" s="102"/>
      <c r="K1994" s="450"/>
      <c r="L1994" s="443"/>
      <c r="M1994" s="450"/>
      <c r="N1994" s="452">
        <f t="array" ref="N1994">IFERROR(
  INDEX(
    'Valor Hora Real y Estimada'!$A$4:$Z$78,
    MATCH(TRIM(CLEAN(A1994)), 'Valor Hora Real y Estimada'!$A$4:$A$78, 0),
    MATCH(
      TEXT(C1994,"dd mmm")&amp;" "&amp;D1994,
      'Valor Hora Real y Estimada'!$A$3:$Z$3,
      0
    ) + 1
  ),
  0
)</f>
        <v>0</v>
      </c>
      <c r="O1994" s="453"/>
      <c r="P1994" s="113"/>
      <c r="Q1994" s="106" t="str">
        <f>IF(ISBLANK(O1994), "", VLOOKUP(C1994&amp;" "&amp;D1994, 'Info Tipo de Cambio y REM'!$A$24:$B$35, 2, FALSE))</f>
        <v/>
      </c>
      <c r="R1994" s="107" t="str">
        <f t="shared" si="32"/>
        <v/>
      </c>
    </row>
    <row r="1995" hidden="1">
      <c r="A1995" s="443"/>
      <c r="B1995" s="43" t="str">
        <f>IF(A1995="", "", IFERROR(VLOOKUP(A1995, Clasificaciones!A:B, 2, FALSE), "DATO NO CARGADO"))
</f>
        <v/>
      </c>
      <c r="C1995" s="51"/>
      <c r="D1995" s="102"/>
      <c r="E1995" s="102"/>
      <c r="H1995" s="102"/>
      <c r="J1995" s="102"/>
      <c r="K1995" s="450"/>
      <c r="L1995" s="443"/>
      <c r="M1995" s="450"/>
      <c r="N1995" s="452">
        <f t="array" ref="N1995">IFERROR(
  INDEX(
    'Valor Hora Real y Estimada'!$A$4:$Z$78,
    MATCH(TRIM(CLEAN(A1995)), 'Valor Hora Real y Estimada'!$A$4:$A$78, 0),
    MATCH(
      TEXT(C1995,"dd mmm")&amp;" "&amp;D1995,
      'Valor Hora Real y Estimada'!$A$3:$Z$3,
      0
    ) + 1
  ),
  0
)</f>
        <v>0</v>
      </c>
      <c r="O1995" s="453"/>
      <c r="P1995" s="113"/>
      <c r="Q1995" s="106" t="str">
        <f>IF(ISBLANK(O1995), "", VLOOKUP(C1995&amp;" "&amp;D1995, 'Info Tipo de Cambio y REM'!$A$24:$B$35, 2, FALSE))</f>
        <v/>
      </c>
      <c r="R1995" s="107" t="str">
        <f t="shared" si="32"/>
        <v/>
      </c>
    </row>
    <row r="1996" hidden="1">
      <c r="A1996" s="443"/>
      <c r="B1996" s="43" t="str">
        <f>IF(A1996="", "", IFERROR(VLOOKUP(A1996, Clasificaciones!A:B, 2, FALSE), "DATO NO CARGADO"))
</f>
        <v/>
      </c>
      <c r="C1996" s="51"/>
      <c r="D1996" s="102"/>
      <c r="E1996" s="102"/>
      <c r="H1996" s="102"/>
      <c r="J1996" s="102"/>
      <c r="K1996" s="450"/>
      <c r="L1996" s="443"/>
      <c r="M1996" s="450"/>
      <c r="N1996" s="452">
        <f t="array" ref="N1996">IFERROR(
  INDEX(
    'Valor Hora Real y Estimada'!$A$4:$Z$78,
    MATCH(TRIM(CLEAN(A1996)), 'Valor Hora Real y Estimada'!$A$4:$A$78, 0),
    MATCH(
      TEXT(C1996,"dd mmm")&amp;" "&amp;D1996,
      'Valor Hora Real y Estimada'!$A$3:$Z$3,
      0
    ) + 1
  ),
  0
)</f>
        <v>0</v>
      </c>
      <c r="O1996" s="453"/>
      <c r="P1996" s="113"/>
      <c r="Q1996" s="106" t="str">
        <f>IF(ISBLANK(O1996), "", VLOOKUP(C1996&amp;" "&amp;D1996, 'Info Tipo de Cambio y REM'!$A$24:$B$35, 2, FALSE))</f>
        <v/>
      </c>
      <c r="R1996" s="107" t="str">
        <f t="shared" si="32"/>
        <v/>
      </c>
    </row>
    <row r="1997" hidden="1">
      <c r="A1997" s="443"/>
      <c r="B1997" s="43" t="str">
        <f>IF(A1997="", "", IFERROR(VLOOKUP(A1997, Clasificaciones!A:B, 2, FALSE), "DATO NO CARGADO"))
</f>
        <v/>
      </c>
      <c r="C1997" s="51"/>
      <c r="D1997" s="102"/>
      <c r="E1997" s="102"/>
      <c r="H1997" s="102"/>
      <c r="J1997" s="102"/>
      <c r="K1997" s="450"/>
      <c r="L1997" s="443"/>
      <c r="M1997" s="450"/>
      <c r="N1997" s="452">
        <f t="array" ref="N1997">IFERROR(
  INDEX(
    'Valor Hora Real y Estimada'!$A$4:$Z$78,
    MATCH(TRIM(CLEAN(A1997)), 'Valor Hora Real y Estimada'!$A$4:$A$78, 0),
    MATCH(
      TEXT(C1997,"dd mmm")&amp;" "&amp;D1997,
      'Valor Hora Real y Estimada'!$A$3:$Z$3,
      0
    ) + 1
  ),
  0
)</f>
        <v>0</v>
      </c>
      <c r="O1997" s="453"/>
      <c r="P1997" s="113"/>
      <c r="Q1997" s="106" t="str">
        <f>IF(ISBLANK(O1997), "", VLOOKUP(C1997&amp;" "&amp;D1997, 'Info Tipo de Cambio y REM'!$A$24:$B$35, 2, FALSE))</f>
        <v/>
      </c>
      <c r="R1997" s="107" t="str">
        <f t="shared" si="32"/>
        <v/>
      </c>
    </row>
    <row r="1998" hidden="1">
      <c r="A1998" s="443"/>
      <c r="B1998" s="43" t="str">
        <f>IF(A1998="", "", IFERROR(VLOOKUP(A1998, Clasificaciones!A:B, 2, FALSE), "DATO NO CARGADO"))
</f>
        <v/>
      </c>
      <c r="C1998" s="51"/>
      <c r="D1998" s="102"/>
      <c r="E1998" s="102"/>
      <c r="H1998" s="102"/>
      <c r="J1998" s="102"/>
      <c r="K1998" s="450"/>
      <c r="L1998" s="443"/>
      <c r="M1998" s="450"/>
      <c r="N1998" s="452">
        <f t="array" ref="N1998">IFERROR(
  INDEX(
    'Valor Hora Real y Estimada'!$A$4:$Z$78,
    MATCH(TRIM(CLEAN(A1998)), 'Valor Hora Real y Estimada'!$A$4:$A$78, 0),
    MATCH(
      TEXT(C1998,"dd mmm")&amp;" "&amp;D1998,
      'Valor Hora Real y Estimada'!$A$3:$Z$3,
      0
    ) + 1
  ),
  0
)</f>
        <v>0</v>
      </c>
      <c r="O1998" s="453"/>
      <c r="P1998" s="113"/>
      <c r="Q1998" s="106" t="str">
        <f>IF(ISBLANK(O1998), "", VLOOKUP(C1998&amp;" "&amp;D1998, 'Info Tipo de Cambio y REM'!$A$24:$B$35, 2, FALSE))</f>
        <v/>
      </c>
      <c r="R1998" s="107" t="str">
        <f t="shared" si="32"/>
        <v/>
      </c>
    </row>
    <row r="1999" hidden="1">
      <c r="A1999" s="443"/>
      <c r="B1999" s="43" t="str">
        <f>IF(A1999="", "", IFERROR(VLOOKUP(A1999, Clasificaciones!A:B, 2, FALSE), "DATO NO CARGADO"))
</f>
        <v/>
      </c>
      <c r="C1999" s="51"/>
      <c r="D1999" s="102"/>
      <c r="E1999" s="102"/>
      <c r="H1999" s="102"/>
      <c r="J1999" s="102"/>
      <c r="K1999" s="450"/>
      <c r="L1999" s="443"/>
      <c r="M1999" s="450"/>
      <c r="N1999" s="452">
        <f t="array" ref="N1999">IFERROR(
  INDEX(
    'Valor Hora Real y Estimada'!$A$4:$Z$78,
    MATCH(TRIM(CLEAN(A1999)), 'Valor Hora Real y Estimada'!$A$4:$A$78, 0),
    MATCH(
      TEXT(C1999,"dd mmm")&amp;" "&amp;D1999,
      'Valor Hora Real y Estimada'!$A$3:$Z$3,
      0
    ) + 1
  ),
  0
)</f>
        <v>0</v>
      </c>
      <c r="O1999" s="453"/>
      <c r="P1999" s="113"/>
      <c r="Q1999" s="106" t="str">
        <f>IF(ISBLANK(O1999), "", VLOOKUP(C1999&amp;" "&amp;D1999, 'Info Tipo de Cambio y REM'!$A$24:$B$35, 2, FALSE))</f>
        <v/>
      </c>
      <c r="R1999" s="107" t="str">
        <f t="shared" si="32"/>
        <v/>
      </c>
    </row>
    <row r="2000" hidden="1">
      <c r="A2000" s="443"/>
      <c r="B2000" s="43" t="str">
        <f>IF(A2000="", "", IFERROR(VLOOKUP(A2000, Clasificaciones!A:B, 2, FALSE), "DATO NO CARGADO"))
</f>
        <v/>
      </c>
      <c r="C2000" s="51"/>
      <c r="D2000" s="102"/>
      <c r="E2000" s="102"/>
      <c r="H2000" s="102"/>
      <c r="J2000" s="102"/>
      <c r="K2000" s="450"/>
      <c r="L2000" s="443"/>
      <c r="M2000" s="450"/>
      <c r="N2000" s="452">
        <f t="array" ref="N2000">IFERROR(
  INDEX(
    'Valor Hora Real y Estimada'!$A$4:$Z$78,
    MATCH(TRIM(CLEAN(A2000)), 'Valor Hora Real y Estimada'!$A$4:$A$78, 0),
    MATCH(
      TEXT(C2000,"dd mmm")&amp;" "&amp;D2000,
      'Valor Hora Real y Estimada'!$A$3:$Z$3,
      0
    ) + 1
  ),
  0
)</f>
        <v>0</v>
      </c>
      <c r="O2000" s="453"/>
      <c r="P2000" s="113"/>
      <c r="Q2000" s="106" t="str">
        <f>IF(ISBLANK(O2000), "", VLOOKUP(C2000&amp;" "&amp;D2000, 'Info Tipo de Cambio y REM'!$A$24:$B$35, 2, FALSE))</f>
        <v/>
      </c>
      <c r="R2000" s="107" t="str">
        <f t="shared" si="32"/>
        <v/>
      </c>
    </row>
    <row r="2001" hidden="1">
      <c r="A2001" s="443"/>
      <c r="B2001" s="43" t="str">
        <f>IF(A2001="", "", IFERROR(VLOOKUP(A2001, Clasificaciones!A:B, 2, FALSE), "DATO NO CARGADO"))
</f>
        <v/>
      </c>
      <c r="C2001" s="51"/>
      <c r="D2001" s="102"/>
      <c r="E2001" s="102"/>
      <c r="H2001" s="102"/>
      <c r="J2001" s="102"/>
      <c r="K2001" s="450"/>
      <c r="L2001" s="443"/>
      <c r="M2001" s="450"/>
      <c r="N2001" s="452">
        <f t="array" ref="N2001">IFERROR(
  INDEX(
    'Valor Hora Real y Estimada'!$A$4:$Z$78,
    MATCH(TRIM(CLEAN(A2001)), 'Valor Hora Real y Estimada'!$A$4:$A$78, 0),
    MATCH(
      TEXT(C2001,"dd mmm")&amp;" "&amp;D2001,
      'Valor Hora Real y Estimada'!$A$3:$Z$3,
      0
    ) + 1
  ),
  0
)</f>
        <v>0</v>
      </c>
      <c r="O2001" s="453"/>
      <c r="P2001" s="113"/>
      <c r="Q2001" s="106" t="str">
        <f>IF(ISBLANK(O2001), "", VLOOKUP(C2001&amp;" "&amp;D2001, 'Info Tipo de Cambio y REM'!$A$24:$B$35, 2, FALSE))</f>
        <v/>
      </c>
      <c r="R2001" s="107" t="str">
        <f t="shared" si="32"/>
        <v/>
      </c>
    </row>
    <row r="2002" hidden="1">
      <c r="A2002" s="443"/>
      <c r="B2002" s="43" t="str">
        <f>IF(A2002="", "", IFERROR(VLOOKUP(A2002, Clasificaciones!A:B, 2, FALSE), "DATO NO CARGADO"))
</f>
        <v/>
      </c>
      <c r="C2002" s="51"/>
      <c r="D2002" s="102"/>
      <c r="E2002" s="102"/>
      <c r="H2002" s="102"/>
      <c r="J2002" s="102"/>
      <c r="K2002" s="450"/>
      <c r="L2002" s="443"/>
      <c r="M2002" s="450"/>
      <c r="N2002" s="452">
        <f t="array" ref="N2002">IFERROR(
  INDEX(
    'Valor Hora Real y Estimada'!$A$4:$Z$78,
    MATCH(TRIM(CLEAN(A2002)), 'Valor Hora Real y Estimada'!$A$4:$A$78, 0),
    MATCH(
      TEXT(C2002,"dd mmm")&amp;" "&amp;D2002,
      'Valor Hora Real y Estimada'!$A$3:$Z$3,
      0
    ) + 1
  ),
  0
)</f>
        <v>0</v>
      </c>
      <c r="O2002" s="453"/>
      <c r="P2002" s="113"/>
      <c r="Q2002" s="106" t="str">
        <f>IF(ISBLANK(O2002), "", VLOOKUP(C2002&amp;" "&amp;D2002, 'Info Tipo de Cambio y REM'!$A$24:$B$35, 2, FALSE))</f>
        <v/>
      </c>
      <c r="R2002" s="107" t="str">
        <f t="shared" si="32"/>
        <v/>
      </c>
    </row>
    <row r="2003" hidden="1">
      <c r="A2003" s="443"/>
      <c r="B2003" s="43" t="str">
        <f>IF(A2003="", "", IFERROR(VLOOKUP(A2003, Clasificaciones!A:B, 2, FALSE), "DATO NO CARGADO"))
</f>
        <v/>
      </c>
      <c r="C2003" s="51"/>
      <c r="D2003" s="102"/>
      <c r="E2003" s="102"/>
      <c r="H2003" s="102"/>
      <c r="J2003" s="102"/>
      <c r="K2003" s="450"/>
      <c r="L2003" s="443"/>
      <c r="M2003" s="450"/>
      <c r="N2003" s="452">
        <f t="array" ref="N2003">IFERROR(
  INDEX(
    'Valor Hora Real y Estimada'!$A$4:$Z$78,
    MATCH(TRIM(CLEAN(A2003)), 'Valor Hora Real y Estimada'!$A$4:$A$78, 0),
    MATCH(
      TEXT(C2003,"dd mmm")&amp;" "&amp;D2003,
      'Valor Hora Real y Estimada'!$A$3:$Z$3,
      0
    ) + 1
  ),
  0
)</f>
        <v>0</v>
      </c>
      <c r="O2003" s="453"/>
      <c r="P2003" s="113"/>
      <c r="Q2003" s="106" t="str">
        <f>IF(ISBLANK(O2003), "", VLOOKUP(C2003&amp;" "&amp;D2003, 'Info Tipo de Cambio y REM'!$A$24:$B$35, 2, FALSE))</f>
        <v/>
      </c>
      <c r="R2003" s="107" t="str">
        <f t="shared" si="32"/>
        <v/>
      </c>
    </row>
    <row r="2004" hidden="1">
      <c r="A2004" s="443"/>
      <c r="B2004" s="43" t="str">
        <f>IF(A2004="", "", IFERROR(VLOOKUP(A2004, Clasificaciones!A:B, 2, FALSE), "DATO NO CARGADO"))
</f>
        <v/>
      </c>
      <c r="C2004" s="51"/>
      <c r="D2004" s="102"/>
      <c r="E2004" s="102"/>
      <c r="H2004" s="102"/>
      <c r="J2004" s="102"/>
      <c r="K2004" s="450"/>
      <c r="L2004" s="443"/>
      <c r="M2004" s="450"/>
      <c r="N2004" s="452">
        <f t="array" ref="N2004">IFERROR(
  INDEX(
    'Valor Hora Real y Estimada'!$A$4:$Z$78,
    MATCH(TRIM(CLEAN(A2004)), 'Valor Hora Real y Estimada'!$A$4:$A$78, 0),
    MATCH(
      TEXT(C2004,"dd mmm")&amp;" "&amp;D2004,
      'Valor Hora Real y Estimada'!$A$3:$Z$3,
      0
    ) + 1
  ),
  0
)</f>
        <v>0</v>
      </c>
      <c r="O2004" s="453"/>
      <c r="P2004" s="113"/>
      <c r="Q2004" s="106" t="str">
        <f>IF(ISBLANK(O2004), "", VLOOKUP(C2004&amp;" "&amp;D2004, 'Info Tipo de Cambio y REM'!$A$24:$B$35, 2, FALSE))</f>
        <v/>
      </c>
      <c r="R2004" s="107" t="str">
        <f t="shared" si="32"/>
        <v/>
      </c>
    </row>
    <row r="2005" hidden="1">
      <c r="A2005" s="443"/>
      <c r="B2005" s="43" t="str">
        <f>IF(A2005="", "", IFERROR(VLOOKUP(A2005, Clasificaciones!A:B, 2, FALSE), "DATO NO CARGADO"))
</f>
        <v/>
      </c>
      <c r="C2005" s="51"/>
      <c r="D2005" s="102"/>
      <c r="E2005" s="102"/>
      <c r="H2005" s="102"/>
      <c r="J2005" s="102"/>
      <c r="K2005" s="450"/>
      <c r="L2005" s="443"/>
      <c r="M2005" s="450"/>
      <c r="N2005" s="452">
        <f t="array" ref="N2005">IFERROR(
  INDEX(
    'Valor Hora Real y Estimada'!$A$4:$Z$78,
    MATCH(TRIM(CLEAN(A2005)), 'Valor Hora Real y Estimada'!$A$4:$A$78, 0),
    MATCH(
      TEXT(C2005,"dd mmm")&amp;" "&amp;D2005,
      'Valor Hora Real y Estimada'!$A$3:$Z$3,
      0
    ) + 1
  ),
  0
)</f>
        <v>0</v>
      </c>
      <c r="O2005" s="453"/>
      <c r="P2005" s="113"/>
      <c r="Q2005" s="106" t="str">
        <f>IF(ISBLANK(O2005), "", VLOOKUP(C2005&amp;" "&amp;D2005, 'Info Tipo de Cambio y REM'!$A$24:$B$35, 2, FALSE))</f>
        <v/>
      </c>
      <c r="R2005" s="107" t="str">
        <f t="shared" si="32"/>
        <v/>
      </c>
    </row>
    <row r="2006" hidden="1">
      <c r="A2006" s="443"/>
      <c r="B2006" s="43" t="str">
        <f>IF(A2006="", "", IFERROR(VLOOKUP(A2006, Clasificaciones!A:B, 2, FALSE), "DATO NO CARGADO"))
</f>
        <v/>
      </c>
      <c r="C2006" s="51"/>
      <c r="D2006" s="102"/>
      <c r="E2006" s="102"/>
      <c r="H2006" s="102"/>
      <c r="J2006" s="102"/>
      <c r="K2006" s="450"/>
      <c r="L2006" s="443"/>
      <c r="M2006" s="450"/>
      <c r="N2006" s="452">
        <f t="array" ref="N2006">IFERROR(
  INDEX(
    'Valor Hora Real y Estimada'!$A$4:$Z$78,
    MATCH(TRIM(CLEAN(A2006)), 'Valor Hora Real y Estimada'!$A$4:$A$78, 0),
    MATCH(
      TEXT(C2006,"dd mmm")&amp;" "&amp;D2006,
      'Valor Hora Real y Estimada'!$A$3:$Z$3,
      0
    ) + 1
  ),
  0
)</f>
        <v>0</v>
      </c>
      <c r="O2006" s="453"/>
      <c r="P2006" s="113"/>
      <c r="Q2006" s="106" t="str">
        <f>IF(ISBLANK(O2006), "", VLOOKUP(C2006&amp;" "&amp;D2006, 'Info Tipo de Cambio y REM'!$A$24:$B$35, 2, FALSE))</f>
        <v/>
      </c>
      <c r="R2006" s="107" t="str">
        <f t="shared" si="32"/>
        <v/>
      </c>
    </row>
    <row r="2007" hidden="1">
      <c r="A2007" s="443"/>
      <c r="B2007" s="43" t="str">
        <f>IF(A2007="", "", IFERROR(VLOOKUP(A2007, Clasificaciones!A:B, 2, FALSE), "DATO NO CARGADO"))
</f>
        <v/>
      </c>
      <c r="C2007" s="51"/>
      <c r="D2007" s="102"/>
      <c r="E2007" s="102"/>
      <c r="H2007" s="102"/>
      <c r="J2007" s="102"/>
      <c r="K2007" s="450"/>
      <c r="L2007" s="443"/>
      <c r="M2007" s="450"/>
      <c r="N2007" s="452">
        <f t="array" ref="N2007">IFERROR(
  INDEX(
    'Valor Hora Real y Estimada'!$A$4:$Z$78,
    MATCH(TRIM(CLEAN(A2007)), 'Valor Hora Real y Estimada'!$A$4:$A$78, 0),
    MATCH(
      TEXT(C2007,"dd mmm")&amp;" "&amp;D2007,
      'Valor Hora Real y Estimada'!$A$3:$Z$3,
      0
    ) + 1
  ),
  0
)</f>
        <v>0</v>
      </c>
      <c r="O2007" s="453"/>
      <c r="P2007" s="113"/>
      <c r="Q2007" s="106" t="str">
        <f>IF(ISBLANK(O2007), "", VLOOKUP(C2007&amp;" "&amp;D2007, 'Info Tipo de Cambio y REM'!$A$24:$B$35, 2, FALSE))</f>
        <v/>
      </c>
      <c r="R2007" s="107" t="str">
        <f t="shared" si="32"/>
        <v/>
      </c>
    </row>
    <row r="2008" hidden="1">
      <c r="A2008" s="443"/>
      <c r="B2008" s="43" t="str">
        <f>IF(A2008="", "", IFERROR(VLOOKUP(A2008, Clasificaciones!A:B, 2, FALSE), "DATO NO CARGADO"))
</f>
        <v/>
      </c>
      <c r="C2008" s="51"/>
      <c r="D2008" s="102"/>
      <c r="E2008" s="102"/>
      <c r="H2008" s="102"/>
      <c r="J2008" s="102"/>
      <c r="K2008" s="450"/>
      <c r="L2008" s="443"/>
      <c r="M2008" s="450"/>
      <c r="N2008" s="452">
        <f t="array" ref="N2008">IFERROR(
  INDEX(
    'Valor Hora Real y Estimada'!$A$4:$Z$78,
    MATCH(TRIM(CLEAN(A2008)), 'Valor Hora Real y Estimada'!$A$4:$A$78, 0),
    MATCH(
      TEXT(C2008,"dd mmm")&amp;" "&amp;D2008,
      'Valor Hora Real y Estimada'!$A$3:$Z$3,
      0
    ) + 1
  ),
  0
)</f>
        <v>0</v>
      </c>
      <c r="O2008" s="453"/>
      <c r="P2008" s="113"/>
      <c r="Q2008" s="106" t="str">
        <f>IF(ISBLANK(O2008), "", VLOOKUP(C2008&amp;" "&amp;D2008, 'Info Tipo de Cambio y REM'!$A$24:$B$35, 2, FALSE))</f>
        <v/>
      </c>
      <c r="R2008" s="107" t="str">
        <f t="shared" si="32"/>
        <v/>
      </c>
    </row>
    <row r="2009" hidden="1">
      <c r="A2009" s="443"/>
      <c r="B2009" s="43" t="str">
        <f>IF(A2009="", "", IFERROR(VLOOKUP(A2009, Clasificaciones!A:B, 2, FALSE), "DATO NO CARGADO"))
</f>
        <v/>
      </c>
      <c r="C2009" s="51"/>
      <c r="D2009" s="102"/>
      <c r="E2009" s="102"/>
      <c r="H2009" s="102"/>
      <c r="J2009" s="102"/>
      <c r="K2009" s="450"/>
      <c r="L2009" s="443"/>
      <c r="M2009" s="450"/>
      <c r="N2009" s="452">
        <f t="array" ref="N2009">IFERROR(
  INDEX(
    'Valor Hora Real y Estimada'!$A$4:$Z$78,
    MATCH(TRIM(CLEAN(A2009)), 'Valor Hora Real y Estimada'!$A$4:$A$78, 0),
    MATCH(
      TEXT(C2009,"dd mmm")&amp;" "&amp;D2009,
      'Valor Hora Real y Estimada'!$A$3:$Z$3,
      0
    ) + 1
  ),
  0
)</f>
        <v>0</v>
      </c>
      <c r="O2009" s="453"/>
      <c r="P2009" s="113"/>
      <c r="Q2009" s="106" t="str">
        <f>IF(ISBLANK(O2009), "", VLOOKUP(C2009&amp;" "&amp;D2009, 'Info Tipo de Cambio y REM'!$A$24:$B$35, 2, FALSE))</f>
        <v/>
      </c>
      <c r="R2009" s="107" t="str">
        <f t="shared" si="32"/>
        <v/>
      </c>
    </row>
    <row r="2010" hidden="1">
      <c r="A2010" s="443"/>
      <c r="B2010" s="43" t="str">
        <f>IF(A2010="", "", IFERROR(VLOOKUP(A2010, Clasificaciones!A:B, 2, FALSE), "DATO NO CARGADO"))
</f>
        <v/>
      </c>
      <c r="C2010" s="51"/>
      <c r="D2010" s="102"/>
      <c r="E2010" s="102"/>
      <c r="H2010" s="102"/>
      <c r="J2010" s="102"/>
      <c r="K2010" s="450"/>
      <c r="L2010" s="443"/>
      <c r="M2010" s="450"/>
      <c r="N2010" s="452">
        <f t="array" ref="N2010">IFERROR(
  INDEX(
    'Valor Hora Real y Estimada'!$A$4:$Z$78,
    MATCH(TRIM(CLEAN(A2010)), 'Valor Hora Real y Estimada'!$A$4:$A$78, 0),
    MATCH(
      TEXT(C2010,"dd mmm")&amp;" "&amp;D2010,
      'Valor Hora Real y Estimada'!$A$3:$Z$3,
      0
    ) + 1
  ),
  0
)</f>
        <v>0</v>
      </c>
      <c r="O2010" s="453"/>
      <c r="P2010" s="113"/>
      <c r="Q2010" s="106" t="str">
        <f>IF(ISBLANK(O2010), "", VLOOKUP(C2010&amp;" "&amp;D2010, 'Info Tipo de Cambio y REM'!$A$24:$B$35, 2, FALSE))</f>
        <v/>
      </c>
      <c r="R2010" s="107" t="str">
        <f t="shared" si="32"/>
        <v/>
      </c>
    </row>
    <row r="2011" hidden="1">
      <c r="A2011" s="443"/>
      <c r="B2011" s="43" t="str">
        <f>IF(A2011="", "", IFERROR(VLOOKUP(A2011, Clasificaciones!A:B, 2, FALSE), "DATO NO CARGADO"))
</f>
        <v/>
      </c>
      <c r="C2011" s="51"/>
      <c r="D2011" s="102"/>
      <c r="E2011" s="102"/>
      <c r="H2011" s="102"/>
      <c r="J2011" s="102"/>
      <c r="K2011" s="450"/>
      <c r="L2011" s="443"/>
      <c r="M2011" s="450"/>
      <c r="N2011" s="452">
        <f t="array" ref="N2011">IFERROR(
  INDEX(
    'Valor Hora Real y Estimada'!$A$4:$Z$78,
    MATCH(TRIM(CLEAN(A2011)), 'Valor Hora Real y Estimada'!$A$4:$A$78, 0),
    MATCH(
      TEXT(C2011,"dd mmm")&amp;" "&amp;D2011,
      'Valor Hora Real y Estimada'!$A$3:$Z$3,
      0
    ) + 1
  ),
  0
)</f>
        <v>0</v>
      </c>
      <c r="O2011" s="453"/>
      <c r="P2011" s="113"/>
      <c r="Q2011" s="106" t="str">
        <f>IF(ISBLANK(O2011), "", VLOOKUP(C2011&amp;" "&amp;D2011, 'Info Tipo de Cambio y REM'!$A$24:$B$35, 2, FALSE))</f>
        <v/>
      </c>
      <c r="R2011" s="107" t="str">
        <f t="shared" si="32"/>
        <v/>
      </c>
    </row>
    <row r="2012" hidden="1">
      <c r="A2012" s="443"/>
      <c r="B2012" s="43" t="str">
        <f>IF(A2012="", "", IFERROR(VLOOKUP(A2012, Clasificaciones!A:B, 2, FALSE), "DATO NO CARGADO"))
</f>
        <v/>
      </c>
      <c r="C2012" s="51"/>
      <c r="D2012" s="102"/>
      <c r="E2012" s="102"/>
      <c r="H2012" s="102"/>
      <c r="J2012" s="102"/>
      <c r="K2012" s="450"/>
      <c r="L2012" s="443"/>
      <c r="M2012" s="450"/>
      <c r="N2012" s="452">
        <f t="array" ref="N2012">IFERROR(
  INDEX(
    'Valor Hora Real y Estimada'!$A$4:$Z$78,
    MATCH(TRIM(CLEAN(A2012)), 'Valor Hora Real y Estimada'!$A$4:$A$78, 0),
    MATCH(
      TEXT(C2012,"dd mmm")&amp;" "&amp;D2012,
      'Valor Hora Real y Estimada'!$A$3:$Z$3,
      0
    ) + 1
  ),
  0
)</f>
        <v>0</v>
      </c>
      <c r="O2012" s="453"/>
      <c r="P2012" s="113"/>
      <c r="Q2012" s="106" t="str">
        <f>IF(ISBLANK(O2012), "", VLOOKUP(C2012&amp;" "&amp;D2012, 'Info Tipo de Cambio y REM'!$A$24:$B$35, 2, FALSE))</f>
        <v/>
      </c>
      <c r="R2012" s="107" t="str">
        <f t="shared" si="32"/>
        <v/>
      </c>
    </row>
    <row r="2013" hidden="1">
      <c r="A2013" s="443"/>
      <c r="B2013" s="43" t="str">
        <f>IF(A2013="", "", IFERROR(VLOOKUP(A2013, Clasificaciones!A:B, 2, FALSE), "DATO NO CARGADO"))
</f>
        <v/>
      </c>
      <c r="C2013" s="51"/>
      <c r="D2013" s="102"/>
      <c r="E2013" s="102"/>
      <c r="H2013" s="102"/>
      <c r="J2013" s="102"/>
      <c r="K2013" s="450"/>
      <c r="L2013" s="443"/>
      <c r="M2013" s="450"/>
      <c r="N2013" s="452">
        <f t="array" ref="N2013">IFERROR(
  INDEX(
    'Valor Hora Real y Estimada'!$A$4:$Z$78,
    MATCH(TRIM(CLEAN(A2013)), 'Valor Hora Real y Estimada'!$A$4:$A$78, 0),
    MATCH(
      TEXT(C2013,"dd mmm")&amp;" "&amp;D2013,
      'Valor Hora Real y Estimada'!$A$3:$Z$3,
      0
    ) + 1
  ),
  0
)</f>
        <v>0</v>
      </c>
      <c r="O2013" s="453"/>
      <c r="P2013" s="113"/>
      <c r="Q2013" s="106" t="str">
        <f>IF(ISBLANK(O2013), "", VLOOKUP(C2013&amp;" "&amp;D2013, 'Info Tipo de Cambio y REM'!$A$24:$B$35, 2, FALSE))</f>
        <v/>
      </c>
      <c r="R2013" s="107" t="str">
        <f t="shared" si="32"/>
        <v/>
      </c>
    </row>
    <row r="2014" hidden="1">
      <c r="A2014" s="443"/>
      <c r="B2014" s="43" t="str">
        <f>IF(A2014="", "", IFERROR(VLOOKUP(A2014, Clasificaciones!A:B, 2, FALSE), "DATO NO CARGADO"))
</f>
        <v/>
      </c>
      <c r="C2014" s="51"/>
      <c r="D2014" s="102"/>
      <c r="E2014" s="102"/>
      <c r="H2014" s="102"/>
      <c r="J2014" s="102"/>
      <c r="K2014" s="450"/>
      <c r="L2014" s="443"/>
      <c r="M2014" s="450"/>
      <c r="N2014" s="452">
        <f t="array" ref="N2014">IFERROR(
  INDEX(
    'Valor Hora Real y Estimada'!$A$4:$Z$78,
    MATCH(TRIM(CLEAN(A2014)), 'Valor Hora Real y Estimada'!$A$4:$A$78, 0),
    MATCH(
      TEXT(C2014,"dd mmm")&amp;" "&amp;D2014,
      'Valor Hora Real y Estimada'!$A$3:$Z$3,
      0
    ) + 1
  ),
  0
)</f>
        <v>0</v>
      </c>
      <c r="O2014" s="453"/>
      <c r="P2014" s="113"/>
      <c r="Q2014" s="106" t="str">
        <f>IF(ISBLANK(O2014), "", VLOOKUP(C2014&amp;" "&amp;D2014, 'Info Tipo de Cambio y REM'!$A$24:$B$35, 2, FALSE))</f>
        <v/>
      </c>
      <c r="R2014" s="107" t="str">
        <f t="shared" si="32"/>
        <v/>
      </c>
    </row>
    <row r="2015" hidden="1">
      <c r="A2015" s="443"/>
      <c r="B2015" s="43" t="str">
        <f>IF(A2015="", "", IFERROR(VLOOKUP(A2015, Clasificaciones!A:B, 2, FALSE), "DATO NO CARGADO"))
</f>
        <v/>
      </c>
      <c r="C2015" s="51"/>
      <c r="D2015" s="102"/>
      <c r="E2015" s="102"/>
      <c r="H2015" s="102"/>
      <c r="J2015" s="102"/>
      <c r="K2015" s="450"/>
      <c r="L2015" s="443"/>
      <c r="M2015" s="450"/>
      <c r="N2015" s="452">
        <f t="array" ref="N2015">IFERROR(
  INDEX(
    'Valor Hora Real y Estimada'!$A$4:$Z$78,
    MATCH(TRIM(CLEAN(A2015)), 'Valor Hora Real y Estimada'!$A$4:$A$78, 0),
    MATCH(
      TEXT(C2015,"dd mmm")&amp;" "&amp;D2015,
      'Valor Hora Real y Estimada'!$A$3:$Z$3,
      0
    ) + 1
  ),
  0
)</f>
        <v>0</v>
      </c>
      <c r="O2015" s="453"/>
      <c r="P2015" s="113"/>
      <c r="Q2015" s="106" t="str">
        <f>IF(ISBLANK(O2015), "", VLOOKUP(C2015&amp;" "&amp;D2015, 'Info Tipo de Cambio y REM'!$A$24:$B$35, 2, FALSE))</f>
        <v/>
      </c>
      <c r="R2015" s="107" t="str">
        <f t="shared" si="32"/>
        <v/>
      </c>
    </row>
    <row r="2016" hidden="1">
      <c r="A2016" s="443"/>
      <c r="B2016" s="43" t="str">
        <f>IF(A2016="", "", IFERROR(VLOOKUP(A2016, Clasificaciones!A:B, 2, FALSE), "DATO NO CARGADO"))
</f>
        <v/>
      </c>
      <c r="C2016" s="51"/>
      <c r="D2016" s="102"/>
      <c r="E2016" s="102"/>
      <c r="H2016" s="102"/>
      <c r="J2016" s="102"/>
      <c r="K2016" s="450"/>
      <c r="L2016" s="443"/>
      <c r="M2016" s="450"/>
      <c r="N2016" s="452">
        <f t="array" ref="N2016">IFERROR(
  INDEX(
    'Valor Hora Real y Estimada'!$A$4:$Z$78,
    MATCH(TRIM(CLEAN(A2016)), 'Valor Hora Real y Estimada'!$A$4:$A$78, 0),
    MATCH(
      TEXT(C2016,"dd mmm")&amp;" "&amp;D2016,
      'Valor Hora Real y Estimada'!$A$3:$Z$3,
      0
    ) + 1
  ),
  0
)</f>
        <v>0</v>
      </c>
      <c r="O2016" s="453"/>
      <c r="P2016" s="113"/>
      <c r="Q2016" s="106" t="str">
        <f>IF(ISBLANK(O2016), "", VLOOKUP(C2016&amp;" "&amp;D2016, 'Info Tipo de Cambio y REM'!$A$24:$B$35, 2, FALSE))</f>
        <v/>
      </c>
      <c r="R2016" s="107" t="str">
        <f t="shared" si="32"/>
        <v/>
      </c>
    </row>
    <row r="2017" hidden="1">
      <c r="A2017" s="443"/>
      <c r="B2017" s="43" t="str">
        <f>IF(A2017="", "", IFERROR(VLOOKUP(A2017, Clasificaciones!A:B, 2, FALSE), "DATO NO CARGADO"))
</f>
        <v/>
      </c>
      <c r="C2017" s="51"/>
      <c r="D2017" s="102"/>
      <c r="E2017" s="102"/>
      <c r="H2017" s="102"/>
      <c r="J2017" s="102"/>
      <c r="K2017" s="450"/>
      <c r="L2017" s="443"/>
      <c r="M2017" s="450"/>
      <c r="N2017" s="452">
        <f t="array" ref="N2017">IFERROR(
  INDEX(
    'Valor Hora Real y Estimada'!$A$4:$Z$78,
    MATCH(TRIM(CLEAN(A2017)), 'Valor Hora Real y Estimada'!$A$4:$A$78, 0),
    MATCH(
      TEXT(C2017,"dd mmm")&amp;" "&amp;D2017,
      'Valor Hora Real y Estimada'!$A$3:$Z$3,
      0
    ) + 1
  ),
  0
)</f>
        <v>0</v>
      </c>
      <c r="O2017" s="453"/>
      <c r="P2017" s="113"/>
      <c r="Q2017" s="106" t="str">
        <f>IF(ISBLANK(O2017), "", VLOOKUP(C2017&amp;" "&amp;D2017, 'Info Tipo de Cambio y REM'!$A$24:$B$35, 2, FALSE))</f>
        <v/>
      </c>
      <c r="R2017" s="107" t="str">
        <f t="shared" si="32"/>
        <v/>
      </c>
    </row>
    <row r="2018" hidden="1">
      <c r="A2018" s="443"/>
      <c r="B2018" s="43" t="str">
        <f>IF(A2018="", "", IFERROR(VLOOKUP(A2018, Clasificaciones!A:B, 2, FALSE), "DATO NO CARGADO"))
</f>
        <v/>
      </c>
      <c r="C2018" s="51"/>
      <c r="D2018" s="102"/>
      <c r="E2018" s="102"/>
      <c r="H2018" s="102"/>
      <c r="J2018" s="102"/>
      <c r="K2018" s="450"/>
      <c r="L2018" s="443"/>
      <c r="M2018" s="450"/>
      <c r="N2018" s="452">
        <f t="array" ref="N2018">IFERROR(
  INDEX(
    'Valor Hora Real y Estimada'!$A$4:$Z$78,
    MATCH(TRIM(CLEAN(A2018)), 'Valor Hora Real y Estimada'!$A$4:$A$78, 0),
    MATCH(
      TEXT(C2018,"dd mmm")&amp;" "&amp;D2018,
      'Valor Hora Real y Estimada'!$A$3:$Z$3,
      0
    ) + 1
  ),
  0
)</f>
        <v>0</v>
      </c>
      <c r="O2018" s="453"/>
      <c r="P2018" s="113"/>
      <c r="Q2018" s="106" t="str">
        <f>IF(ISBLANK(O2018), "", VLOOKUP(C2018&amp;" "&amp;D2018, 'Info Tipo de Cambio y REM'!$A$24:$B$35, 2, FALSE))</f>
        <v/>
      </c>
      <c r="R2018" s="107" t="str">
        <f t="shared" si="32"/>
        <v/>
      </c>
    </row>
    <row r="2019" hidden="1">
      <c r="A2019" s="443"/>
      <c r="B2019" s="43" t="str">
        <f>IF(A2019="", "", IFERROR(VLOOKUP(A2019, Clasificaciones!A:B, 2, FALSE), "DATO NO CARGADO"))
</f>
        <v/>
      </c>
      <c r="C2019" s="51"/>
      <c r="D2019" s="102"/>
      <c r="E2019" s="102"/>
      <c r="H2019" s="102"/>
      <c r="J2019" s="102"/>
      <c r="K2019" s="450"/>
      <c r="L2019" s="443"/>
      <c r="M2019" s="450"/>
      <c r="N2019" s="452">
        <f t="array" ref="N2019">IFERROR(
  INDEX(
    'Valor Hora Real y Estimada'!$A$4:$Z$78,
    MATCH(TRIM(CLEAN(A2019)), 'Valor Hora Real y Estimada'!$A$4:$A$78, 0),
    MATCH(
      TEXT(C2019,"dd mmm")&amp;" "&amp;D2019,
      'Valor Hora Real y Estimada'!$A$3:$Z$3,
      0
    ) + 1
  ),
  0
)</f>
        <v>0</v>
      </c>
      <c r="O2019" s="453"/>
      <c r="P2019" s="113"/>
      <c r="Q2019" s="106" t="str">
        <f>IF(ISBLANK(O2019), "", VLOOKUP(C2019&amp;" "&amp;D2019, 'Info Tipo de Cambio y REM'!$A$24:$B$35, 2, FALSE))</f>
        <v/>
      </c>
      <c r="R2019" s="107" t="str">
        <f t="shared" si="32"/>
        <v/>
      </c>
    </row>
    <row r="2020" hidden="1">
      <c r="A2020" s="443"/>
      <c r="B2020" s="43" t="str">
        <f>IF(A2020="", "", IFERROR(VLOOKUP(A2020, Clasificaciones!A:B, 2, FALSE), "DATO NO CARGADO"))
</f>
        <v/>
      </c>
      <c r="C2020" s="51"/>
      <c r="D2020" s="102"/>
      <c r="E2020" s="102"/>
      <c r="H2020" s="102"/>
      <c r="J2020" s="102"/>
      <c r="K2020" s="450"/>
      <c r="L2020" s="443"/>
      <c r="M2020" s="450"/>
      <c r="N2020" s="452">
        <f t="array" ref="N2020">IFERROR(
  INDEX(
    'Valor Hora Real y Estimada'!$A$4:$Z$78,
    MATCH(TRIM(CLEAN(A2020)), 'Valor Hora Real y Estimada'!$A$4:$A$78, 0),
    MATCH(
      TEXT(C2020,"dd mmm")&amp;" "&amp;D2020,
      'Valor Hora Real y Estimada'!$A$3:$Z$3,
      0
    ) + 1
  ),
  0
)</f>
        <v>0</v>
      </c>
      <c r="O2020" s="453"/>
      <c r="P2020" s="113"/>
      <c r="Q2020" s="106" t="str">
        <f>IF(ISBLANK(O2020), "", VLOOKUP(C2020&amp;" "&amp;D2020, 'Info Tipo de Cambio y REM'!$A$24:$B$35, 2, FALSE))</f>
        <v/>
      </c>
      <c r="R2020" s="107" t="str">
        <f t="shared" si="32"/>
        <v/>
      </c>
    </row>
    <row r="2021" hidden="1">
      <c r="A2021" s="443"/>
      <c r="B2021" s="43" t="str">
        <f>IF(A2021="", "", IFERROR(VLOOKUP(A2021, Clasificaciones!A:B, 2, FALSE), "DATO NO CARGADO"))
</f>
        <v/>
      </c>
      <c r="C2021" s="51"/>
      <c r="D2021" s="102"/>
      <c r="E2021" s="102"/>
      <c r="H2021" s="102"/>
      <c r="J2021" s="102"/>
      <c r="K2021" s="450"/>
      <c r="L2021" s="443"/>
      <c r="M2021" s="450"/>
      <c r="N2021" s="452">
        <f t="array" ref="N2021">IFERROR(
  INDEX(
    'Valor Hora Real y Estimada'!$A$4:$Z$78,
    MATCH(TRIM(CLEAN(A2021)), 'Valor Hora Real y Estimada'!$A$4:$A$78, 0),
    MATCH(
      TEXT(C2021,"dd mmm")&amp;" "&amp;D2021,
      'Valor Hora Real y Estimada'!$A$3:$Z$3,
      0
    ) + 1
  ),
  0
)</f>
        <v>0</v>
      </c>
      <c r="O2021" s="453"/>
      <c r="P2021" s="113"/>
      <c r="Q2021" s="106" t="str">
        <f>IF(ISBLANK(O2021), "", VLOOKUP(C2021&amp;" "&amp;D2021, 'Info Tipo de Cambio y REM'!$A$24:$B$35, 2, FALSE))</f>
        <v/>
      </c>
      <c r="R2021" s="107" t="str">
        <f t="shared" si="32"/>
        <v/>
      </c>
    </row>
    <row r="2022" hidden="1">
      <c r="A2022" s="443"/>
      <c r="B2022" s="43" t="str">
        <f>IF(A2022="", "", IFERROR(VLOOKUP(A2022, Clasificaciones!A:B, 2, FALSE), "DATO NO CARGADO"))
</f>
        <v/>
      </c>
      <c r="C2022" s="51"/>
      <c r="D2022" s="102"/>
      <c r="E2022" s="102"/>
      <c r="H2022" s="102"/>
      <c r="J2022" s="102"/>
      <c r="K2022" s="450"/>
      <c r="L2022" s="443"/>
      <c r="M2022" s="450"/>
      <c r="N2022" s="452">
        <f t="array" ref="N2022">IFERROR(
  INDEX(
    'Valor Hora Real y Estimada'!$A$4:$Z$78,
    MATCH(TRIM(CLEAN(A2022)), 'Valor Hora Real y Estimada'!$A$4:$A$78, 0),
    MATCH(
      TEXT(C2022,"dd mmm")&amp;" "&amp;D2022,
      'Valor Hora Real y Estimada'!$A$3:$Z$3,
      0
    ) + 1
  ),
  0
)</f>
        <v>0</v>
      </c>
      <c r="O2022" s="453"/>
      <c r="P2022" s="113"/>
      <c r="Q2022" s="106" t="str">
        <f>IF(ISBLANK(O2022), "", VLOOKUP(C2022&amp;" "&amp;D2022, 'Info Tipo de Cambio y REM'!$A$24:$B$35, 2, FALSE))</f>
        <v/>
      </c>
      <c r="R2022" s="107" t="str">
        <f t="shared" si="32"/>
        <v/>
      </c>
    </row>
    <row r="2023" hidden="1">
      <c r="A2023" s="443"/>
      <c r="B2023" s="43" t="str">
        <f>IF(A2023="", "", IFERROR(VLOOKUP(A2023, Clasificaciones!A:B, 2, FALSE), "DATO NO CARGADO"))
</f>
        <v/>
      </c>
      <c r="C2023" s="51"/>
      <c r="D2023" s="102"/>
      <c r="E2023" s="102"/>
      <c r="H2023" s="102"/>
      <c r="J2023" s="102"/>
      <c r="K2023" s="450"/>
      <c r="L2023" s="443"/>
      <c r="M2023" s="450"/>
      <c r="N2023" s="452">
        <f t="array" ref="N2023">IFERROR(
  INDEX(
    'Valor Hora Real y Estimada'!$A$4:$Z$78,
    MATCH(TRIM(CLEAN(A2023)), 'Valor Hora Real y Estimada'!$A$4:$A$78, 0),
    MATCH(
      TEXT(C2023,"dd mmm")&amp;" "&amp;D2023,
      'Valor Hora Real y Estimada'!$A$3:$Z$3,
      0
    ) + 1
  ),
  0
)</f>
        <v>0</v>
      </c>
      <c r="O2023" s="453"/>
      <c r="P2023" s="113"/>
      <c r="Q2023" s="106" t="str">
        <f>IF(ISBLANK(O2023), "", VLOOKUP(C2023&amp;" "&amp;D2023, 'Info Tipo de Cambio y REM'!$A$24:$B$35, 2, FALSE))</f>
        <v/>
      </c>
      <c r="R2023" s="107" t="str">
        <f t="shared" si="32"/>
        <v/>
      </c>
    </row>
    <row r="2024" hidden="1">
      <c r="A2024" s="443"/>
      <c r="B2024" s="43" t="str">
        <f>IF(A2024="", "", IFERROR(VLOOKUP(A2024, Clasificaciones!A:B, 2, FALSE), "DATO NO CARGADO"))
</f>
        <v/>
      </c>
      <c r="C2024" s="51"/>
      <c r="D2024" s="102"/>
      <c r="E2024" s="102"/>
      <c r="H2024" s="102"/>
      <c r="J2024" s="102"/>
      <c r="K2024" s="450"/>
      <c r="L2024" s="443"/>
      <c r="M2024" s="450"/>
      <c r="N2024" s="452">
        <f t="array" ref="N2024">IFERROR(
  INDEX(
    'Valor Hora Real y Estimada'!$A$4:$Z$78,
    MATCH(TRIM(CLEAN(A2024)), 'Valor Hora Real y Estimada'!$A$4:$A$78, 0),
    MATCH(
      TEXT(C2024,"dd mmm")&amp;" "&amp;D2024,
      'Valor Hora Real y Estimada'!$A$3:$Z$3,
      0
    ) + 1
  ),
  0
)</f>
        <v>0</v>
      </c>
      <c r="O2024" s="453"/>
      <c r="P2024" s="113"/>
      <c r="Q2024" s="106" t="str">
        <f>IF(ISBLANK(O2024), "", VLOOKUP(C2024&amp;" "&amp;D2024, 'Info Tipo de Cambio y REM'!$A$24:$B$35, 2, FALSE))</f>
        <v/>
      </c>
      <c r="R2024" s="107" t="str">
        <f t="shared" si="32"/>
        <v/>
      </c>
    </row>
    <row r="2025" hidden="1">
      <c r="A2025" s="443"/>
      <c r="B2025" s="43" t="str">
        <f>IF(A2025="", "", IFERROR(VLOOKUP(A2025, Clasificaciones!A:B, 2, FALSE), "DATO NO CARGADO"))
</f>
        <v/>
      </c>
      <c r="C2025" s="51"/>
      <c r="D2025" s="102"/>
      <c r="E2025" s="102"/>
      <c r="H2025" s="102"/>
      <c r="J2025" s="102"/>
      <c r="K2025" s="450"/>
      <c r="L2025" s="443"/>
      <c r="M2025" s="450"/>
      <c r="N2025" s="452">
        <f t="array" ref="N2025">IFERROR(
  INDEX(
    'Valor Hora Real y Estimada'!$A$4:$Z$78,
    MATCH(TRIM(CLEAN(A2025)), 'Valor Hora Real y Estimada'!$A$4:$A$78, 0),
    MATCH(
      TEXT(C2025,"dd mmm")&amp;" "&amp;D2025,
      'Valor Hora Real y Estimada'!$A$3:$Z$3,
      0
    ) + 1
  ),
  0
)</f>
        <v>0</v>
      </c>
      <c r="O2025" s="453"/>
      <c r="P2025" s="113"/>
      <c r="Q2025" s="106" t="str">
        <f>IF(ISBLANK(O2025), "", VLOOKUP(C2025&amp;" "&amp;D2025, 'Info Tipo de Cambio y REM'!$A$24:$B$35, 2, FALSE))</f>
        <v/>
      </c>
      <c r="R2025" s="107" t="str">
        <f t="shared" si="32"/>
        <v/>
      </c>
    </row>
    <row r="2026" hidden="1">
      <c r="A2026" s="443"/>
      <c r="B2026" s="43" t="str">
        <f>IF(A2026="", "", IFERROR(VLOOKUP(A2026, Clasificaciones!A:B, 2, FALSE), "DATO NO CARGADO"))
</f>
        <v/>
      </c>
      <c r="C2026" s="51"/>
      <c r="D2026" s="102"/>
      <c r="E2026" s="102"/>
      <c r="H2026" s="102"/>
      <c r="J2026" s="102"/>
      <c r="K2026" s="450"/>
      <c r="L2026" s="443"/>
      <c r="M2026" s="450"/>
      <c r="N2026" s="452">
        <f t="array" ref="N2026">IFERROR(
  INDEX(
    'Valor Hora Real y Estimada'!$A$4:$Z$78,
    MATCH(TRIM(CLEAN(A2026)), 'Valor Hora Real y Estimada'!$A$4:$A$78, 0),
    MATCH(
      TEXT(C2026,"dd mmm")&amp;" "&amp;D2026,
      'Valor Hora Real y Estimada'!$A$3:$Z$3,
      0
    ) + 1
  ),
  0
)</f>
        <v>0</v>
      </c>
      <c r="O2026" s="453"/>
      <c r="P2026" s="113"/>
      <c r="Q2026" s="106" t="str">
        <f>IF(ISBLANK(O2026), "", VLOOKUP(C2026&amp;" "&amp;D2026, 'Info Tipo de Cambio y REM'!$A$24:$B$35, 2, FALSE))</f>
        <v/>
      </c>
      <c r="R2026" s="107" t="str">
        <f t="shared" si="32"/>
        <v/>
      </c>
    </row>
    <row r="2027" hidden="1">
      <c r="A2027" s="443"/>
      <c r="B2027" s="43" t="str">
        <f>IF(A2027="", "", IFERROR(VLOOKUP(A2027, Clasificaciones!A:B, 2, FALSE), "DATO NO CARGADO"))
</f>
        <v/>
      </c>
      <c r="C2027" s="51"/>
      <c r="D2027" s="102"/>
      <c r="E2027" s="102"/>
      <c r="H2027" s="102"/>
      <c r="J2027" s="102"/>
      <c r="K2027" s="450"/>
      <c r="L2027" s="443"/>
      <c r="M2027" s="450"/>
      <c r="N2027" s="452">
        <f t="array" ref="N2027">IFERROR(
  INDEX(
    'Valor Hora Real y Estimada'!$A$4:$Z$78,
    MATCH(TRIM(CLEAN(A2027)), 'Valor Hora Real y Estimada'!$A$4:$A$78, 0),
    MATCH(
      TEXT(C2027,"dd mmm")&amp;" "&amp;D2027,
      'Valor Hora Real y Estimada'!$A$3:$Z$3,
      0
    ) + 1
  ),
  0
)</f>
        <v>0</v>
      </c>
      <c r="O2027" s="453"/>
      <c r="P2027" s="113"/>
      <c r="Q2027" s="106" t="str">
        <f>IF(ISBLANK(O2027), "", VLOOKUP(C2027&amp;" "&amp;D2027, 'Info Tipo de Cambio y REM'!$A$24:$B$35, 2, FALSE))</f>
        <v/>
      </c>
      <c r="R2027" s="107" t="str">
        <f t="shared" si="32"/>
        <v/>
      </c>
    </row>
    <row r="2028" hidden="1">
      <c r="A2028" s="443"/>
      <c r="B2028" s="43" t="str">
        <f>IF(A2028="", "", IFERROR(VLOOKUP(A2028, Clasificaciones!A:B, 2, FALSE), "DATO NO CARGADO"))
</f>
        <v/>
      </c>
      <c r="C2028" s="51"/>
      <c r="D2028" s="102"/>
      <c r="E2028" s="102"/>
      <c r="H2028" s="102"/>
      <c r="J2028" s="102"/>
      <c r="K2028" s="450"/>
      <c r="L2028" s="443"/>
      <c r="M2028" s="450"/>
      <c r="N2028" s="452">
        <f t="array" ref="N2028">IFERROR(
  INDEX(
    'Valor Hora Real y Estimada'!$A$4:$Z$78,
    MATCH(TRIM(CLEAN(A2028)), 'Valor Hora Real y Estimada'!$A$4:$A$78, 0),
    MATCH(
      TEXT(C2028,"dd mmm")&amp;" "&amp;D2028,
      'Valor Hora Real y Estimada'!$A$3:$Z$3,
      0
    ) + 1
  ),
  0
)</f>
        <v>0</v>
      </c>
      <c r="O2028" s="453"/>
      <c r="P2028" s="113"/>
      <c r="Q2028" s="106" t="str">
        <f>IF(ISBLANK(O2028), "", VLOOKUP(C2028&amp;" "&amp;D2028, 'Info Tipo de Cambio y REM'!$A$24:$B$35, 2, FALSE))</f>
        <v/>
      </c>
      <c r="R2028" s="107" t="str">
        <f t="shared" si="32"/>
        <v/>
      </c>
    </row>
    <row r="2029" hidden="1">
      <c r="A2029" s="443"/>
      <c r="B2029" s="43" t="str">
        <f>IF(A2029="", "", IFERROR(VLOOKUP(A2029, Clasificaciones!A:B, 2, FALSE), "DATO NO CARGADO"))
</f>
        <v/>
      </c>
      <c r="C2029" s="51"/>
      <c r="D2029" s="102"/>
      <c r="E2029" s="102"/>
      <c r="H2029" s="102"/>
      <c r="J2029" s="102"/>
      <c r="K2029" s="450"/>
      <c r="L2029" s="443"/>
      <c r="M2029" s="450"/>
      <c r="N2029" s="452">
        <f t="array" ref="N2029">IFERROR(
  INDEX(
    'Valor Hora Real y Estimada'!$A$4:$Z$78,
    MATCH(TRIM(CLEAN(A2029)), 'Valor Hora Real y Estimada'!$A$4:$A$78, 0),
    MATCH(
      TEXT(C2029,"dd mmm")&amp;" "&amp;D2029,
      'Valor Hora Real y Estimada'!$A$3:$Z$3,
      0
    ) + 1
  ),
  0
)</f>
        <v>0</v>
      </c>
      <c r="O2029" s="453"/>
      <c r="P2029" s="113"/>
      <c r="Q2029" s="106" t="str">
        <f>IF(ISBLANK(O2029), "", VLOOKUP(C2029&amp;" "&amp;D2029, 'Info Tipo de Cambio y REM'!$A$24:$B$35, 2, FALSE))</f>
        <v/>
      </c>
      <c r="R2029" s="107" t="str">
        <f t="shared" si="32"/>
        <v/>
      </c>
    </row>
    <row r="2030" hidden="1">
      <c r="A2030" s="443"/>
      <c r="B2030" s="43" t="str">
        <f>IF(A2030="", "", IFERROR(VLOOKUP(A2030, Clasificaciones!A:B, 2, FALSE), "DATO NO CARGADO"))
</f>
        <v/>
      </c>
      <c r="C2030" s="51"/>
      <c r="D2030" s="102"/>
      <c r="E2030" s="102"/>
      <c r="H2030" s="102"/>
      <c r="J2030" s="102"/>
      <c r="K2030" s="450"/>
      <c r="L2030" s="443"/>
      <c r="M2030" s="450"/>
      <c r="N2030" s="452">
        <f t="array" ref="N2030">IFERROR(
  INDEX(
    'Valor Hora Real y Estimada'!$A$4:$Z$78,
    MATCH(TRIM(CLEAN(A2030)), 'Valor Hora Real y Estimada'!$A$4:$A$78, 0),
    MATCH(
      TEXT(C2030,"dd mmm")&amp;" "&amp;D2030,
      'Valor Hora Real y Estimada'!$A$3:$Z$3,
      0
    ) + 1
  ),
  0
)</f>
        <v>0</v>
      </c>
      <c r="O2030" s="453"/>
      <c r="P2030" s="113"/>
      <c r="Q2030" s="106" t="str">
        <f>IF(ISBLANK(O2030), "", VLOOKUP(C2030&amp;" "&amp;D2030, 'Info Tipo de Cambio y REM'!$A$24:$B$35, 2, FALSE))</f>
        <v/>
      </c>
      <c r="R2030" s="107" t="str">
        <f t="shared" si="32"/>
        <v/>
      </c>
    </row>
    <row r="2031" hidden="1">
      <c r="A2031" s="443"/>
      <c r="B2031" s="43" t="str">
        <f>IF(A2031="", "", IFERROR(VLOOKUP(A2031, Clasificaciones!A:B, 2, FALSE), "DATO NO CARGADO"))
</f>
        <v/>
      </c>
      <c r="C2031" s="51"/>
      <c r="D2031" s="102"/>
      <c r="E2031" s="102"/>
      <c r="H2031" s="102"/>
      <c r="J2031" s="102"/>
      <c r="K2031" s="450"/>
      <c r="L2031" s="443"/>
      <c r="M2031" s="450"/>
      <c r="N2031" s="452">
        <f t="array" ref="N2031">IFERROR(
  INDEX(
    'Valor Hora Real y Estimada'!$A$4:$Z$78,
    MATCH(TRIM(CLEAN(A2031)), 'Valor Hora Real y Estimada'!$A$4:$A$78, 0),
    MATCH(
      TEXT(C2031,"dd mmm")&amp;" "&amp;D2031,
      'Valor Hora Real y Estimada'!$A$3:$Z$3,
      0
    ) + 1
  ),
  0
)</f>
        <v>0</v>
      </c>
      <c r="O2031" s="453"/>
      <c r="P2031" s="113"/>
      <c r="Q2031" s="106" t="str">
        <f>IF(ISBLANK(O2031), "", VLOOKUP(C2031&amp;" "&amp;D2031, 'Info Tipo de Cambio y REM'!$A$24:$B$35, 2, FALSE))</f>
        <v/>
      </c>
      <c r="R2031" s="107" t="str">
        <f t="shared" si="32"/>
        <v/>
      </c>
    </row>
    <row r="2032" hidden="1">
      <c r="A2032" s="443"/>
      <c r="B2032" s="43" t="str">
        <f>IF(A2032="", "", IFERROR(VLOOKUP(A2032, Clasificaciones!A:B, 2, FALSE), "DATO NO CARGADO"))
</f>
        <v/>
      </c>
      <c r="C2032" s="51"/>
      <c r="D2032" s="102"/>
      <c r="E2032" s="102"/>
      <c r="H2032" s="102"/>
      <c r="J2032" s="102"/>
      <c r="K2032" s="450"/>
      <c r="L2032" s="443"/>
      <c r="M2032" s="450"/>
      <c r="N2032" s="452">
        <f t="array" ref="N2032">IFERROR(
  INDEX(
    'Valor Hora Real y Estimada'!$A$4:$Z$78,
    MATCH(TRIM(CLEAN(A2032)), 'Valor Hora Real y Estimada'!$A$4:$A$78, 0),
    MATCH(
      TEXT(C2032,"dd mmm")&amp;" "&amp;D2032,
      'Valor Hora Real y Estimada'!$A$3:$Z$3,
      0
    ) + 1
  ),
  0
)</f>
        <v>0</v>
      </c>
      <c r="O2032" s="453"/>
      <c r="P2032" s="113"/>
      <c r="Q2032" s="106" t="str">
        <f>IF(ISBLANK(O2032), "", VLOOKUP(C2032&amp;" "&amp;D2032, 'Info Tipo de Cambio y REM'!$A$24:$B$35, 2, FALSE))</f>
        <v/>
      </c>
      <c r="R2032" s="107" t="str">
        <f t="shared" si="32"/>
        <v/>
      </c>
    </row>
    <row r="2033" hidden="1">
      <c r="A2033" s="443"/>
      <c r="B2033" s="43" t="str">
        <f>IF(A2033="", "", IFERROR(VLOOKUP(A2033, Clasificaciones!A:B, 2, FALSE), "DATO NO CARGADO"))
</f>
        <v/>
      </c>
      <c r="C2033" s="51"/>
      <c r="D2033" s="102"/>
      <c r="E2033" s="102"/>
      <c r="H2033" s="102"/>
      <c r="J2033" s="102"/>
      <c r="K2033" s="450"/>
      <c r="L2033" s="443"/>
      <c r="M2033" s="450"/>
      <c r="N2033" s="452">
        <f t="array" ref="N2033">IFERROR(
  INDEX(
    'Valor Hora Real y Estimada'!$A$4:$Z$78,
    MATCH(TRIM(CLEAN(A2033)), 'Valor Hora Real y Estimada'!$A$4:$A$78, 0),
    MATCH(
      TEXT(C2033,"dd mmm")&amp;" "&amp;D2033,
      'Valor Hora Real y Estimada'!$A$3:$Z$3,
      0
    ) + 1
  ),
  0
)</f>
        <v>0</v>
      </c>
      <c r="O2033" s="453"/>
      <c r="P2033" s="113"/>
      <c r="Q2033" s="106" t="str">
        <f>IF(ISBLANK(O2033), "", VLOOKUP(C2033&amp;" "&amp;D2033, 'Info Tipo de Cambio y REM'!$A$24:$B$35, 2, FALSE))</f>
        <v/>
      </c>
      <c r="R2033" s="107" t="str">
        <f t="shared" si="32"/>
        <v/>
      </c>
    </row>
    <row r="2034" hidden="1">
      <c r="A2034" s="443"/>
      <c r="B2034" s="43" t="str">
        <f>IF(A2034="", "", IFERROR(VLOOKUP(A2034, Clasificaciones!A:B, 2, FALSE), "DATO NO CARGADO"))
</f>
        <v/>
      </c>
      <c r="C2034" s="51"/>
      <c r="D2034" s="102"/>
      <c r="E2034" s="102"/>
      <c r="H2034" s="102"/>
      <c r="J2034" s="102"/>
      <c r="K2034" s="450"/>
      <c r="L2034" s="443"/>
      <c r="M2034" s="450"/>
      <c r="N2034" s="452">
        <f t="array" ref="N2034">IFERROR(
  INDEX(
    'Valor Hora Real y Estimada'!$A$4:$Z$78,
    MATCH(TRIM(CLEAN(A2034)), 'Valor Hora Real y Estimada'!$A$4:$A$78, 0),
    MATCH(
      TEXT(C2034,"dd mmm")&amp;" "&amp;D2034,
      'Valor Hora Real y Estimada'!$A$3:$Z$3,
      0
    ) + 1
  ),
  0
)</f>
        <v>0</v>
      </c>
      <c r="O2034" s="453"/>
      <c r="P2034" s="113"/>
      <c r="Q2034" s="106" t="str">
        <f>IF(ISBLANK(O2034), "", VLOOKUP(C2034&amp;" "&amp;D2034, 'Info Tipo de Cambio y REM'!$A$24:$B$35, 2, FALSE))</f>
        <v/>
      </c>
      <c r="R2034" s="107" t="str">
        <f t="shared" si="32"/>
        <v/>
      </c>
    </row>
    <row r="2035" hidden="1">
      <c r="A2035" s="443"/>
      <c r="B2035" s="43" t="str">
        <f>IF(A2035="", "", IFERROR(VLOOKUP(A2035, Clasificaciones!A:B, 2, FALSE), "DATO NO CARGADO"))
</f>
        <v/>
      </c>
      <c r="C2035" s="51"/>
      <c r="D2035" s="102"/>
      <c r="E2035" s="102"/>
      <c r="H2035" s="102"/>
      <c r="J2035" s="102"/>
      <c r="K2035" s="450"/>
      <c r="L2035" s="443"/>
      <c r="M2035" s="450"/>
      <c r="N2035" s="452">
        <f t="array" ref="N2035">IFERROR(
  INDEX(
    'Valor Hora Real y Estimada'!$A$4:$Z$78,
    MATCH(TRIM(CLEAN(A2035)), 'Valor Hora Real y Estimada'!$A$4:$A$78, 0),
    MATCH(
      TEXT(C2035,"dd mmm")&amp;" "&amp;D2035,
      'Valor Hora Real y Estimada'!$A$3:$Z$3,
      0
    ) + 1
  ),
  0
)</f>
        <v>0</v>
      </c>
      <c r="O2035" s="453"/>
      <c r="P2035" s="113"/>
      <c r="Q2035" s="106" t="str">
        <f>IF(ISBLANK(O2035), "", VLOOKUP(C2035&amp;" "&amp;D2035, 'Info Tipo de Cambio y REM'!$A$24:$B$35, 2, FALSE))</f>
        <v/>
      </c>
      <c r="R2035" s="107" t="str">
        <f t="shared" si="32"/>
        <v/>
      </c>
    </row>
    <row r="2036" hidden="1">
      <c r="A2036" s="443"/>
      <c r="B2036" s="43" t="str">
        <f>IF(A2036="", "", IFERROR(VLOOKUP(A2036, Clasificaciones!A:B, 2, FALSE), "DATO NO CARGADO"))
</f>
        <v/>
      </c>
      <c r="C2036" s="51"/>
      <c r="D2036" s="102"/>
      <c r="E2036" s="102"/>
      <c r="H2036" s="102"/>
      <c r="J2036" s="102"/>
      <c r="K2036" s="450"/>
      <c r="L2036" s="443"/>
      <c r="M2036" s="450"/>
      <c r="N2036" s="452">
        <f t="array" ref="N2036">IFERROR(
  INDEX(
    'Valor Hora Real y Estimada'!$A$4:$Z$78,
    MATCH(TRIM(CLEAN(A2036)), 'Valor Hora Real y Estimada'!$A$4:$A$78, 0),
    MATCH(
      TEXT(C2036,"dd mmm")&amp;" "&amp;D2036,
      'Valor Hora Real y Estimada'!$A$3:$Z$3,
      0
    ) + 1
  ),
  0
)</f>
        <v>0</v>
      </c>
      <c r="O2036" s="453"/>
      <c r="P2036" s="113"/>
      <c r="Q2036" s="106" t="str">
        <f>IF(ISBLANK(O2036), "", VLOOKUP(C2036&amp;" "&amp;D2036, 'Info Tipo de Cambio y REM'!$A$24:$B$35, 2, FALSE))</f>
        <v/>
      </c>
      <c r="R2036" s="107" t="str">
        <f t="shared" si="32"/>
        <v/>
      </c>
    </row>
    <row r="2037" hidden="1">
      <c r="A2037" s="443"/>
      <c r="B2037" s="43" t="str">
        <f>IF(A2037="", "", IFERROR(VLOOKUP(A2037, Clasificaciones!A:B, 2, FALSE), "DATO NO CARGADO"))
</f>
        <v/>
      </c>
      <c r="C2037" s="51"/>
      <c r="D2037" s="102"/>
      <c r="E2037" s="102"/>
      <c r="H2037" s="102"/>
      <c r="J2037" s="102"/>
      <c r="K2037" s="450"/>
      <c r="L2037" s="443"/>
      <c r="M2037" s="450"/>
      <c r="N2037" s="452">
        <f t="array" ref="N2037">IFERROR(
  INDEX(
    'Valor Hora Real y Estimada'!$A$4:$Z$78,
    MATCH(TRIM(CLEAN(A2037)), 'Valor Hora Real y Estimada'!$A$4:$A$78, 0),
    MATCH(
      TEXT(C2037,"dd mmm")&amp;" "&amp;D2037,
      'Valor Hora Real y Estimada'!$A$3:$Z$3,
      0
    ) + 1
  ),
  0
)</f>
        <v>0</v>
      </c>
      <c r="O2037" s="453"/>
      <c r="P2037" s="113"/>
      <c r="Q2037" s="106" t="str">
        <f>IF(ISBLANK(O2037), "", VLOOKUP(C2037&amp;" "&amp;D2037, 'Info Tipo de Cambio y REM'!$A$24:$B$35, 2, FALSE))</f>
        <v/>
      </c>
      <c r="R2037" s="107" t="str">
        <f t="shared" si="32"/>
        <v/>
      </c>
    </row>
    <row r="2038" hidden="1">
      <c r="A2038" s="443"/>
      <c r="B2038" s="43" t="str">
        <f>IF(A2038="", "", IFERROR(VLOOKUP(A2038, Clasificaciones!A:B, 2, FALSE), "DATO NO CARGADO"))
</f>
        <v/>
      </c>
      <c r="C2038" s="51"/>
      <c r="D2038" s="102"/>
      <c r="E2038" s="102"/>
      <c r="H2038" s="102"/>
      <c r="J2038" s="102"/>
      <c r="K2038" s="450"/>
      <c r="L2038" s="443"/>
      <c r="M2038" s="450"/>
      <c r="N2038" s="452">
        <f t="array" ref="N2038">IFERROR(
  INDEX(
    'Valor Hora Real y Estimada'!$A$4:$Z$78,
    MATCH(TRIM(CLEAN(A2038)), 'Valor Hora Real y Estimada'!$A$4:$A$78, 0),
    MATCH(
      TEXT(C2038,"dd mmm")&amp;" "&amp;D2038,
      'Valor Hora Real y Estimada'!$A$3:$Z$3,
      0
    ) + 1
  ),
  0
)</f>
        <v>0</v>
      </c>
      <c r="O2038" s="453"/>
      <c r="P2038" s="113"/>
      <c r="Q2038" s="106" t="str">
        <f>IF(ISBLANK(O2038), "", VLOOKUP(C2038&amp;" "&amp;D2038, 'Info Tipo de Cambio y REM'!$A$24:$B$35, 2, FALSE))</f>
        <v/>
      </c>
      <c r="R2038" s="107" t="str">
        <f t="shared" si="32"/>
        <v/>
      </c>
    </row>
    <row r="2039" hidden="1">
      <c r="A2039" s="443"/>
      <c r="B2039" s="43" t="str">
        <f>IF(A2039="", "", IFERROR(VLOOKUP(A2039, Clasificaciones!A:B, 2, FALSE), "DATO NO CARGADO"))
</f>
        <v/>
      </c>
      <c r="C2039" s="51"/>
      <c r="D2039" s="102"/>
      <c r="E2039" s="102"/>
      <c r="H2039" s="102"/>
      <c r="J2039" s="102"/>
      <c r="K2039" s="450"/>
      <c r="L2039" s="443"/>
      <c r="M2039" s="450"/>
      <c r="N2039" s="452">
        <f t="array" ref="N2039">IFERROR(
  INDEX(
    'Valor Hora Real y Estimada'!$A$4:$Z$78,
    MATCH(TRIM(CLEAN(A2039)), 'Valor Hora Real y Estimada'!$A$4:$A$78, 0),
    MATCH(
      TEXT(C2039,"dd mmm")&amp;" "&amp;D2039,
      'Valor Hora Real y Estimada'!$A$3:$Z$3,
      0
    ) + 1
  ),
  0
)</f>
        <v>0</v>
      </c>
      <c r="O2039" s="453"/>
      <c r="P2039" s="113"/>
      <c r="Q2039" s="106" t="str">
        <f>IF(ISBLANK(O2039), "", VLOOKUP(C2039&amp;" "&amp;D2039, 'Info Tipo de Cambio y REM'!$A$24:$B$35, 2, FALSE))</f>
        <v/>
      </c>
      <c r="R2039" s="107" t="str">
        <f t="shared" si="32"/>
        <v/>
      </c>
    </row>
    <row r="2040" hidden="1">
      <c r="A2040" s="443"/>
      <c r="B2040" s="43" t="str">
        <f>IF(A2040="", "", IFERROR(VLOOKUP(A2040, Clasificaciones!A:B, 2, FALSE), "DATO NO CARGADO"))
</f>
        <v/>
      </c>
      <c r="C2040" s="51"/>
      <c r="D2040" s="102"/>
      <c r="E2040" s="102"/>
      <c r="H2040" s="102"/>
      <c r="J2040" s="102"/>
      <c r="K2040" s="450"/>
      <c r="L2040" s="443"/>
      <c r="M2040" s="450"/>
      <c r="N2040" s="452">
        <f t="array" ref="N2040">IFERROR(
  INDEX(
    'Valor Hora Real y Estimada'!$A$4:$Z$78,
    MATCH(TRIM(CLEAN(A2040)), 'Valor Hora Real y Estimada'!$A$4:$A$78, 0),
    MATCH(
      TEXT(C2040,"dd mmm")&amp;" "&amp;D2040,
      'Valor Hora Real y Estimada'!$A$3:$Z$3,
      0
    ) + 1
  ),
  0
)</f>
        <v>0</v>
      </c>
      <c r="O2040" s="453"/>
      <c r="P2040" s="113"/>
      <c r="Q2040" s="106" t="str">
        <f>IF(ISBLANK(O2040), "", VLOOKUP(C2040&amp;" "&amp;D2040, 'Info Tipo de Cambio y REM'!$A$24:$B$35, 2, FALSE))</f>
        <v/>
      </c>
      <c r="R2040" s="107" t="str">
        <f t="shared" si="32"/>
        <v/>
      </c>
    </row>
    <row r="2041" hidden="1">
      <c r="A2041" s="443"/>
      <c r="B2041" s="43" t="str">
        <f>IF(A2041="", "", IFERROR(VLOOKUP(A2041, Clasificaciones!A:B, 2, FALSE), "DATO NO CARGADO"))
</f>
        <v/>
      </c>
      <c r="C2041" s="51"/>
      <c r="D2041" s="102"/>
      <c r="E2041" s="102"/>
      <c r="H2041" s="102"/>
      <c r="J2041" s="102"/>
      <c r="K2041" s="450"/>
      <c r="L2041" s="443"/>
      <c r="M2041" s="450"/>
      <c r="N2041" s="452">
        <f t="array" ref="N2041">IFERROR(
  INDEX(
    'Valor Hora Real y Estimada'!$A$4:$Z$78,
    MATCH(TRIM(CLEAN(A2041)), 'Valor Hora Real y Estimada'!$A$4:$A$78, 0),
    MATCH(
      TEXT(C2041,"dd mmm")&amp;" "&amp;D2041,
      'Valor Hora Real y Estimada'!$A$3:$Z$3,
      0
    ) + 1
  ),
  0
)</f>
        <v>0</v>
      </c>
      <c r="O2041" s="453"/>
      <c r="P2041" s="113"/>
      <c r="Q2041" s="106" t="str">
        <f>IF(ISBLANK(O2041), "", VLOOKUP(C2041&amp;" "&amp;D2041, 'Info Tipo de Cambio y REM'!$A$24:$B$35, 2, FALSE))</f>
        <v/>
      </c>
      <c r="R2041" s="107" t="str">
        <f t="shared" si="32"/>
        <v/>
      </c>
    </row>
    <row r="2042" hidden="1">
      <c r="A2042" s="443"/>
      <c r="B2042" s="43" t="str">
        <f>IF(A2042="", "", IFERROR(VLOOKUP(A2042, Clasificaciones!A:B, 2, FALSE), "DATO NO CARGADO"))
</f>
        <v/>
      </c>
      <c r="C2042" s="51"/>
      <c r="D2042" s="102"/>
      <c r="E2042" s="102"/>
      <c r="H2042" s="102"/>
      <c r="J2042" s="102"/>
      <c r="K2042" s="450"/>
      <c r="L2042" s="443"/>
      <c r="M2042" s="450"/>
      <c r="N2042" s="452">
        <f t="array" ref="N2042">IFERROR(
  INDEX(
    'Valor Hora Real y Estimada'!$A$4:$Z$78,
    MATCH(TRIM(CLEAN(A2042)), 'Valor Hora Real y Estimada'!$A$4:$A$78, 0),
    MATCH(
      TEXT(C2042,"dd mmm")&amp;" "&amp;D2042,
      'Valor Hora Real y Estimada'!$A$3:$Z$3,
      0
    ) + 1
  ),
  0
)</f>
        <v>0</v>
      </c>
      <c r="O2042" s="453"/>
      <c r="P2042" s="113"/>
      <c r="Q2042" s="106" t="str">
        <f>IF(ISBLANK(O2042), "", VLOOKUP(C2042&amp;" "&amp;D2042, 'Info Tipo de Cambio y REM'!$A$24:$B$35, 2, FALSE))</f>
        <v/>
      </c>
      <c r="R2042" s="107" t="str">
        <f t="shared" si="32"/>
        <v/>
      </c>
    </row>
    <row r="2043" hidden="1">
      <c r="A2043" s="443"/>
      <c r="B2043" s="43" t="str">
        <f>IF(A2043="", "", IFERROR(VLOOKUP(A2043, Clasificaciones!A:B, 2, FALSE), "DATO NO CARGADO"))
</f>
        <v/>
      </c>
      <c r="C2043" s="51"/>
      <c r="D2043" s="102"/>
      <c r="E2043" s="102"/>
      <c r="H2043" s="102"/>
      <c r="J2043" s="102"/>
      <c r="K2043" s="450"/>
      <c r="L2043" s="443"/>
      <c r="M2043" s="450"/>
      <c r="N2043" s="452">
        <f t="array" ref="N2043">IFERROR(
  INDEX(
    'Valor Hora Real y Estimada'!$A$4:$Z$78,
    MATCH(TRIM(CLEAN(A2043)), 'Valor Hora Real y Estimada'!$A$4:$A$78, 0),
    MATCH(
      TEXT(C2043,"dd mmm")&amp;" "&amp;D2043,
      'Valor Hora Real y Estimada'!$A$3:$Z$3,
      0
    ) + 1
  ),
  0
)</f>
        <v>0</v>
      </c>
      <c r="O2043" s="453"/>
      <c r="P2043" s="113"/>
      <c r="Q2043" s="106" t="str">
        <f>IF(ISBLANK(O2043), "", VLOOKUP(C2043&amp;" "&amp;D2043, 'Info Tipo de Cambio y REM'!$A$24:$B$35, 2, FALSE))</f>
        <v/>
      </c>
      <c r="R2043" s="107" t="str">
        <f t="shared" si="32"/>
        <v/>
      </c>
    </row>
    <row r="2044" hidden="1">
      <c r="A2044" s="443"/>
      <c r="B2044" s="43" t="str">
        <f>IF(A2044="", "", IFERROR(VLOOKUP(A2044, Clasificaciones!A:B, 2, FALSE), "DATO NO CARGADO"))
</f>
        <v/>
      </c>
      <c r="C2044" s="51"/>
      <c r="D2044" s="102"/>
      <c r="E2044" s="102"/>
      <c r="H2044" s="102"/>
      <c r="J2044" s="102"/>
      <c r="K2044" s="450"/>
      <c r="L2044" s="443"/>
      <c r="M2044" s="450"/>
      <c r="N2044" s="452">
        <f t="array" ref="N2044">IFERROR(
  INDEX(
    'Valor Hora Real y Estimada'!$A$4:$Z$78,
    MATCH(TRIM(CLEAN(A2044)), 'Valor Hora Real y Estimada'!$A$4:$A$78, 0),
    MATCH(
      TEXT(C2044,"dd mmm")&amp;" "&amp;D2044,
      'Valor Hora Real y Estimada'!$A$3:$Z$3,
      0
    ) + 1
  ),
  0
)</f>
        <v>0</v>
      </c>
      <c r="O2044" s="453"/>
      <c r="P2044" s="113"/>
      <c r="Q2044" s="106" t="str">
        <f>IF(ISBLANK(O2044), "", VLOOKUP(C2044&amp;" "&amp;D2044, 'Info Tipo de Cambio y REM'!$A$24:$B$35, 2, FALSE))</f>
        <v/>
      </c>
      <c r="R2044" s="107" t="str">
        <f t="shared" si="32"/>
        <v/>
      </c>
    </row>
    <row r="2045" hidden="1">
      <c r="A2045" s="443"/>
      <c r="B2045" s="43" t="str">
        <f>IF(A2045="", "", IFERROR(VLOOKUP(A2045, Clasificaciones!A:B, 2, FALSE), "DATO NO CARGADO"))
</f>
        <v/>
      </c>
      <c r="C2045" s="51"/>
      <c r="D2045" s="102"/>
      <c r="E2045" s="102"/>
      <c r="H2045" s="102"/>
      <c r="J2045" s="102"/>
      <c r="K2045" s="450"/>
      <c r="L2045" s="443"/>
      <c r="M2045" s="450"/>
      <c r="N2045" s="452">
        <f t="array" ref="N2045">IFERROR(
  INDEX(
    'Valor Hora Real y Estimada'!$A$4:$Z$78,
    MATCH(TRIM(CLEAN(A2045)), 'Valor Hora Real y Estimada'!$A$4:$A$78, 0),
    MATCH(
      TEXT(C2045,"dd mmm")&amp;" "&amp;D2045,
      'Valor Hora Real y Estimada'!$A$3:$Z$3,
      0
    ) + 1
  ),
  0
)</f>
        <v>0</v>
      </c>
      <c r="O2045" s="453"/>
      <c r="P2045" s="113"/>
      <c r="Q2045" s="106" t="str">
        <f>IF(ISBLANK(O2045), "", VLOOKUP(C2045&amp;" "&amp;D2045, 'Info Tipo de Cambio y REM'!$A$24:$B$35, 2, FALSE))</f>
        <v/>
      </c>
      <c r="R2045" s="107" t="str">
        <f t="shared" si="32"/>
        <v/>
      </c>
    </row>
    <row r="2046" hidden="1">
      <c r="A2046" s="443"/>
      <c r="B2046" s="43" t="str">
        <f>IF(A2046="", "", IFERROR(VLOOKUP(A2046, Clasificaciones!A:B, 2, FALSE), "DATO NO CARGADO"))
</f>
        <v/>
      </c>
      <c r="C2046" s="51"/>
      <c r="D2046" s="102"/>
      <c r="E2046" s="102"/>
      <c r="H2046" s="102"/>
      <c r="J2046" s="102"/>
      <c r="K2046" s="450"/>
      <c r="L2046" s="443"/>
      <c r="M2046" s="450"/>
      <c r="N2046" s="452">
        <f t="array" ref="N2046">IFERROR(
  INDEX(
    'Valor Hora Real y Estimada'!$A$4:$Z$78,
    MATCH(TRIM(CLEAN(A2046)), 'Valor Hora Real y Estimada'!$A$4:$A$78, 0),
    MATCH(
      TEXT(C2046,"dd mmm")&amp;" "&amp;D2046,
      'Valor Hora Real y Estimada'!$A$3:$Z$3,
      0
    ) + 1
  ),
  0
)</f>
        <v>0</v>
      </c>
      <c r="O2046" s="453"/>
      <c r="P2046" s="113"/>
      <c r="Q2046" s="106" t="str">
        <f>IF(ISBLANK(O2046), "", VLOOKUP(C2046&amp;" "&amp;D2046, 'Info Tipo de Cambio y REM'!$A$24:$B$35, 2, FALSE))</f>
        <v/>
      </c>
      <c r="R2046" s="107" t="str">
        <f t="shared" si="32"/>
        <v/>
      </c>
    </row>
    <row r="2047" hidden="1">
      <c r="A2047" s="443"/>
      <c r="B2047" s="43" t="str">
        <f>IF(A2047="", "", IFERROR(VLOOKUP(A2047, Clasificaciones!A:B, 2, FALSE), "DATO NO CARGADO"))
</f>
        <v/>
      </c>
      <c r="C2047" s="51"/>
      <c r="D2047" s="102"/>
      <c r="E2047" s="102"/>
      <c r="H2047" s="102"/>
      <c r="J2047" s="102"/>
      <c r="K2047" s="450"/>
      <c r="L2047" s="443"/>
      <c r="M2047" s="450"/>
      <c r="N2047" s="452">
        <f t="array" ref="N2047">IFERROR(
  INDEX(
    'Valor Hora Real y Estimada'!$A$4:$Z$78,
    MATCH(TRIM(CLEAN(A2047)), 'Valor Hora Real y Estimada'!$A$4:$A$78, 0),
    MATCH(
      TEXT(C2047,"dd mmm")&amp;" "&amp;D2047,
      'Valor Hora Real y Estimada'!$A$3:$Z$3,
      0
    ) + 1
  ),
  0
)</f>
        <v>0</v>
      </c>
      <c r="O2047" s="453"/>
      <c r="P2047" s="113"/>
      <c r="Q2047" s="106" t="str">
        <f>IF(ISBLANK(O2047), "", VLOOKUP(C2047&amp;" "&amp;D2047, 'Info Tipo de Cambio y REM'!$A$24:$B$35, 2, FALSE))</f>
        <v/>
      </c>
      <c r="R2047" s="107" t="str">
        <f t="shared" si="32"/>
        <v/>
      </c>
    </row>
    <row r="2048" hidden="1">
      <c r="A2048" s="443"/>
      <c r="B2048" s="43" t="str">
        <f>IF(A2048="", "", IFERROR(VLOOKUP(A2048, Clasificaciones!A:B, 2, FALSE), "DATO NO CARGADO"))
</f>
        <v/>
      </c>
      <c r="C2048" s="51"/>
      <c r="D2048" s="102"/>
      <c r="E2048" s="102"/>
      <c r="H2048" s="102"/>
      <c r="J2048" s="102"/>
      <c r="K2048" s="450"/>
      <c r="L2048" s="443"/>
      <c r="M2048" s="450"/>
      <c r="N2048" s="452">
        <f t="array" ref="N2048">IFERROR(
  INDEX(
    'Valor Hora Real y Estimada'!$A$4:$Z$78,
    MATCH(TRIM(CLEAN(A2048)), 'Valor Hora Real y Estimada'!$A$4:$A$78, 0),
    MATCH(
      TEXT(C2048,"dd mmm")&amp;" "&amp;D2048,
      'Valor Hora Real y Estimada'!$A$3:$Z$3,
      0
    ) + 1
  ),
  0
)</f>
        <v>0</v>
      </c>
      <c r="O2048" s="453"/>
      <c r="P2048" s="113"/>
      <c r="Q2048" s="106" t="str">
        <f>IF(ISBLANK(O2048), "", VLOOKUP(C2048&amp;" "&amp;D2048, 'Info Tipo de Cambio y REM'!$A$24:$B$35, 2, FALSE))</f>
        <v/>
      </c>
      <c r="R2048" s="107" t="str">
        <f t="shared" si="32"/>
        <v/>
      </c>
    </row>
    <row r="2049" hidden="1">
      <c r="A2049" s="443"/>
      <c r="B2049" s="43" t="str">
        <f>IF(A2049="", "", IFERROR(VLOOKUP(A2049, Clasificaciones!A:B, 2, FALSE), "DATO NO CARGADO"))
</f>
        <v/>
      </c>
      <c r="C2049" s="51"/>
      <c r="D2049" s="102"/>
      <c r="E2049" s="102"/>
      <c r="H2049" s="102"/>
      <c r="J2049" s="102"/>
      <c r="K2049" s="450"/>
      <c r="L2049" s="443"/>
      <c r="M2049" s="450"/>
      <c r="N2049" s="452">
        <f t="array" ref="N2049">IFERROR(
  INDEX(
    'Valor Hora Real y Estimada'!$A$4:$Z$78,
    MATCH(TRIM(CLEAN(A2049)), 'Valor Hora Real y Estimada'!$A$4:$A$78, 0),
    MATCH(
      TEXT(C2049,"dd mmm")&amp;" "&amp;D2049,
      'Valor Hora Real y Estimada'!$A$3:$Z$3,
      0
    ) + 1
  ),
  0
)</f>
        <v>0</v>
      </c>
      <c r="O2049" s="453"/>
      <c r="P2049" s="113"/>
      <c r="Q2049" s="106" t="str">
        <f>IF(ISBLANK(O2049), "", VLOOKUP(C2049&amp;" "&amp;D2049, 'Info Tipo de Cambio y REM'!$A$24:$B$35, 2, FALSE))</f>
        <v/>
      </c>
      <c r="R2049" s="107" t="str">
        <f t="shared" si="32"/>
        <v/>
      </c>
    </row>
    <row r="2050" hidden="1">
      <c r="A2050" s="443"/>
      <c r="B2050" s="43" t="str">
        <f>IF(A2050="", "", IFERROR(VLOOKUP(A2050, Clasificaciones!A:B, 2, FALSE), "DATO NO CARGADO"))
</f>
        <v/>
      </c>
      <c r="C2050" s="51"/>
      <c r="D2050" s="102"/>
      <c r="E2050" s="102"/>
      <c r="H2050" s="102"/>
      <c r="J2050" s="102"/>
      <c r="K2050" s="450"/>
      <c r="L2050" s="443"/>
      <c r="M2050" s="450"/>
      <c r="N2050" s="452">
        <f t="array" ref="N2050">IFERROR(
  INDEX(
    'Valor Hora Real y Estimada'!$A$4:$Z$78,
    MATCH(TRIM(CLEAN(A2050)), 'Valor Hora Real y Estimada'!$A$4:$A$78, 0),
    MATCH(
      TEXT(C2050,"dd mmm")&amp;" "&amp;D2050,
      'Valor Hora Real y Estimada'!$A$3:$Z$3,
      0
    ) + 1
  ),
  0
)</f>
        <v>0</v>
      </c>
      <c r="O2050" s="453"/>
      <c r="P2050" s="113"/>
      <c r="Q2050" s="106" t="str">
        <f>IF(ISBLANK(O2050), "", VLOOKUP(C2050&amp;" "&amp;D2050, 'Info Tipo de Cambio y REM'!$A$24:$B$35, 2, FALSE))</f>
        <v/>
      </c>
      <c r="R2050" s="107" t="str">
        <f t="shared" si="32"/>
        <v/>
      </c>
    </row>
    <row r="2051" hidden="1">
      <c r="A2051" s="443"/>
      <c r="B2051" s="43" t="str">
        <f>IF(A2051="", "", IFERROR(VLOOKUP(A2051, Clasificaciones!A:B, 2, FALSE), "DATO NO CARGADO"))
</f>
        <v/>
      </c>
      <c r="C2051" s="51"/>
      <c r="D2051" s="102"/>
      <c r="E2051" s="102"/>
      <c r="H2051" s="102"/>
      <c r="J2051" s="102"/>
      <c r="K2051" s="450"/>
      <c r="L2051" s="443"/>
      <c r="M2051" s="450"/>
      <c r="N2051" s="452">
        <f t="array" ref="N2051">IFERROR(
  INDEX(
    'Valor Hora Real y Estimada'!$A$4:$Z$78,
    MATCH(TRIM(CLEAN(A2051)), 'Valor Hora Real y Estimada'!$A$4:$A$78, 0),
    MATCH(
      TEXT(C2051,"dd mmm")&amp;" "&amp;D2051,
      'Valor Hora Real y Estimada'!$A$3:$Z$3,
      0
    ) + 1
  ),
  0
)</f>
        <v>0</v>
      </c>
      <c r="O2051" s="453"/>
      <c r="P2051" s="113"/>
      <c r="Q2051" s="106" t="str">
        <f>IF(ISBLANK(O2051), "", VLOOKUP(C2051&amp;" "&amp;D2051, 'Info Tipo de Cambio y REM'!$A$24:$B$35, 2, FALSE))</f>
        <v/>
      </c>
      <c r="R2051" s="107" t="str">
        <f t="shared" si="32"/>
        <v/>
      </c>
    </row>
    <row r="2052" hidden="1">
      <c r="A2052" s="443"/>
      <c r="B2052" s="43" t="str">
        <f>IF(A2052="", "", IFERROR(VLOOKUP(A2052, Clasificaciones!A:B, 2, FALSE), "DATO NO CARGADO"))
</f>
        <v/>
      </c>
      <c r="C2052" s="51"/>
      <c r="D2052" s="102"/>
      <c r="E2052" s="102"/>
      <c r="H2052" s="102"/>
      <c r="J2052" s="102"/>
      <c r="K2052" s="450"/>
      <c r="L2052" s="443"/>
      <c r="M2052" s="450"/>
      <c r="N2052" s="452">
        <f t="array" ref="N2052">IFERROR(
  INDEX(
    'Valor Hora Real y Estimada'!$A$4:$Z$78,
    MATCH(TRIM(CLEAN(A2052)), 'Valor Hora Real y Estimada'!$A$4:$A$78, 0),
    MATCH(
      TEXT(C2052,"dd mmm")&amp;" "&amp;D2052,
      'Valor Hora Real y Estimada'!$A$3:$Z$3,
      0
    ) + 1
  ),
  0
)</f>
        <v>0</v>
      </c>
      <c r="O2052" s="453"/>
      <c r="P2052" s="113"/>
      <c r="Q2052" s="106" t="str">
        <f>IF(ISBLANK(O2052), "", VLOOKUP(C2052&amp;" "&amp;D2052, 'Info Tipo de Cambio y REM'!$A$24:$B$35, 2, FALSE))</f>
        <v/>
      </c>
      <c r="R2052" s="107" t="str">
        <f t="shared" si="32"/>
        <v/>
      </c>
    </row>
    <row r="2053" hidden="1">
      <c r="A2053" s="443"/>
      <c r="B2053" s="43" t="str">
        <f>IF(A2053="", "", IFERROR(VLOOKUP(A2053, Clasificaciones!A:B, 2, FALSE), "DATO NO CARGADO"))
</f>
        <v/>
      </c>
      <c r="C2053" s="51"/>
      <c r="D2053" s="102"/>
      <c r="E2053" s="102"/>
      <c r="H2053" s="102"/>
      <c r="J2053" s="102"/>
      <c r="K2053" s="450"/>
      <c r="L2053" s="443"/>
      <c r="M2053" s="450"/>
      <c r="N2053" s="452">
        <f t="array" ref="N2053">IFERROR(
  INDEX(
    'Valor Hora Real y Estimada'!$A$4:$Z$78,
    MATCH(TRIM(CLEAN(A2053)), 'Valor Hora Real y Estimada'!$A$4:$A$78, 0),
    MATCH(
      TEXT(C2053,"dd mmm")&amp;" "&amp;D2053,
      'Valor Hora Real y Estimada'!$A$3:$Z$3,
      0
    ) + 1
  ),
  0
)</f>
        <v>0</v>
      </c>
      <c r="O2053" s="453"/>
      <c r="P2053" s="113"/>
      <c r="Q2053" s="106" t="str">
        <f>IF(ISBLANK(O2053), "", VLOOKUP(C2053&amp;" "&amp;D2053, 'Info Tipo de Cambio y REM'!$A$24:$B$35, 2, FALSE))</f>
        <v/>
      </c>
      <c r="R2053" s="107" t="str">
        <f t="shared" si="32"/>
        <v/>
      </c>
    </row>
    <row r="2054" hidden="1">
      <c r="A2054" s="443"/>
      <c r="B2054" s="43" t="str">
        <f>IF(A2054="", "", IFERROR(VLOOKUP(A2054, Clasificaciones!A:B, 2, FALSE), "DATO NO CARGADO"))
</f>
        <v/>
      </c>
      <c r="C2054" s="51"/>
      <c r="D2054" s="102"/>
      <c r="E2054" s="102"/>
      <c r="H2054" s="102"/>
      <c r="J2054" s="102"/>
      <c r="K2054" s="450"/>
      <c r="L2054" s="443"/>
      <c r="M2054" s="450"/>
      <c r="N2054" s="452">
        <f t="array" ref="N2054">IFERROR(
  INDEX(
    'Valor Hora Real y Estimada'!$A$4:$Z$78,
    MATCH(TRIM(CLEAN(A2054)), 'Valor Hora Real y Estimada'!$A$4:$A$78, 0),
    MATCH(
      TEXT(C2054,"dd mmm")&amp;" "&amp;D2054,
      'Valor Hora Real y Estimada'!$A$3:$Z$3,
      0
    ) + 1
  ),
  0
)</f>
        <v>0</v>
      </c>
      <c r="O2054" s="453"/>
      <c r="P2054" s="113"/>
      <c r="Q2054" s="106" t="str">
        <f>IF(ISBLANK(O2054), "", VLOOKUP(C2054&amp;" "&amp;D2054, 'Info Tipo de Cambio y REM'!$A$24:$B$35, 2, FALSE))</f>
        <v/>
      </c>
      <c r="R2054" s="107" t="str">
        <f t="shared" si="32"/>
        <v/>
      </c>
    </row>
    <row r="2055" hidden="1">
      <c r="A2055" s="443"/>
      <c r="B2055" s="43" t="str">
        <f>IF(A2055="", "", IFERROR(VLOOKUP(A2055, Clasificaciones!A:B, 2, FALSE), "DATO NO CARGADO"))
</f>
        <v/>
      </c>
      <c r="C2055" s="51"/>
      <c r="D2055" s="102"/>
      <c r="E2055" s="102"/>
      <c r="H2055" s="102"/>
      <c r="J2055" s="102"/>
      <c r="K2055" s="450"/>
      <c r="L2055" s="443"/>
      <c r="M2055" s="450"/>
      <c r="N2055" s="452">
        <f t="array" ref="N2055">IFERROR(
  INDEX(
    'Valor Hora Real y Estimada'!$A$4:$Z$78,
    MATCH(TRIM(CLEAN(A2055)), 'Valor Hora Real y Estimada'!$A$4:$A$78, 0),
    MATCH(
      TEXT(C2055,"dd mmm")&amp;" "&amp;D2055,
      'Valor Hora Real y Estimada'!$A$3:$Z$3,
      0
    ) + 1
  ),
  0
)</f>
        <v>0</v>
      </c>
      <c r="O2055" s="453"/>
      <c r="P2055" s="113"/>
      <c r="Q2055" s="106" t="str">
        <f>IF(ISBLANK(O2055), "", VLOOKUP(C2055&amp;" "&amp;D2055, 'Info Tipo de Cambio y REM'!$A$24:$B$35, 2, FALSE))</f>
        <v/>
      </c>
      <c r="R2055" s="107" t="str">
        <f t="shared" si="32"/>
        <v/>
      </c>
    </row>
    <row r="2056" hidden="1">
      <c r="A2056" s="443"/>
      <c r="B2056" s="43" t="str">
        <f>IF(A2056="", "", IFERROR(VLOOKUP(A2056, Clasificaciones!A:B, 2, FALSE), "DATO NO CARGADO"))
</f>
        <v/>
      </c>
      <c r="C2056" s="51"/>
      <c r="D2056" s="102"/>
      <c r="E2056" s="102"/>
      <c r="H2056" s="102"/>
      <c r="J2056" s="102"/>
      <c r="K2056" s="450"/>
      <c r="L2056" s="443"/>
      <c r="M2056" s="450"/>
      <c r="N2056" s="452">
        <f t="array" ref="N2056">IFERROR(
  INDEX(
    'Valor Hora Real y Estimada'!$A$4:$Z$78,
    MATCH(TRIM(CLEAN(A2056)), 'Valor Hora Real y Estimada'!$A$4:$A$78, 0),
    MATCH(
      TEXT(C2056,"dd mmm")&amp;" "&amp;D2056,
      'Valor Hora Real y Estimada'!$A$3:$Z$3,
      0
    ) + 1
  ),
  0
)</f>
        <v>0</v>
      </c>
      <c r="O2056" s="453"/>
      <c r="P2056" s="113"/>
      <c r="Q2056" s="106" t="str">
        <f>IF(ISBLANK(O2056), "", VLOOKUP(C2056&amp;" "&amp;D2056, 'Info Tipo de Cambio y REM'!$A$24:$B$35, 2, FALSE))</f>
        <v/>
      </c>
      <c r="R2056" s="107" t="str">
        <f t="shared" si="32"/>
        <v/>
      </c>
    </row>
    <row r="2057" hidden="1">
      <c r="A2057" s="443"/>
      <c r="B2057" s="43" t="str">
        <f>IF(A2057="", "", IFERROR(VLOOKUP(A2057, Clasificaciones!A:B, 2, FALSE), "DATO NO CARGADO"))
</f>
        <v/>
      </c>
      <c r="C2057" s="51"/>
      <c r="D2057" s="102"/>
      <c r="E2057" s="102"/>
      <c r="H2057" s="102"/>
      <c r="J2057" s="102"/>
      <c r="K2057" s="450"/>
      <c r="L2057" s="443"/>
      <c r="M2057" s="450"/>
      <c r="N2057" s="452">
        <f t="array" ref="N2057">IFERROR(
  INDEX(
    'Valor Hora Real y Estimada'!$A$4:$Z$78,
    MATCH(TRIM(CLEAN(A2057)), 'Valor Hora Real y Estimada'!$A$4:$A$78, 0),
    MATCH(
      TEXT(C2057,"dd mmm")&amp;" "&amp;D2057,
      'Valor Hora Real y Estimada'!$A$3:$Z$3,
      0
    ) + 1
  ),
  0
)</f>
        <v>0</v>
      </c>
      <c r="O2057" s="453"/>
      <c r="P2057" s="113"/>
      <c r="Q2057" s="106" t="str">
        <f>IF(ISBLANK(O2057), "", VLOOKUP(C2057&amp;" "&amp;D2057, 'Info Tipo de Cambio y REM'!$A$24:$B$35, 2, FALSE))</f>
        <v/>
      </c>
      <c r="R2057" s="107" t="str">
        <f t="shared" si="32"/>
        <v/>
      </c>
    </row>
    <row r="2058" hidden="1">
      <c r="A2058" s="443"/>
      <c r="B2058" s="43" t="str">
        <f>IF(A2058="", "", IFERROR(VLOOKUP(A2058, Clasificaciones!A:B, 2, FALSE), "DATO NO CARGADO"))
</f>
        <v/>
      </c>
      <c r="C2058" s="51"/>
      <c r="D2058" s="102"/>
      <c r="E2058" s="102"/>
      <c r="H2058" s="102"/>
      <c r="J2058" s="102"/>
      <c r="K2058" s="450"/>
      <c r="L2058" s="443"/>
      <c r="M2058" s="450"/>
      <c r="N2058" s="452">
        <f t="array" ref="N2058">IFERROR(
  INDEX(
    'Valor Hora Real y Estimada'!$A$4:$Z$78,
    MATCH(TRIM(CLEAN(A2058)), 'Valor Hora Real y Estimada'!$A$4:$A$78, 0),
    MATCH(
      TEXT(C2058,"dd mmm")&amp;" "&amp;D2058,
      'Valor Hora Real y Estimada'!$A$3:$Z$3,
      0
    ) + 1
  ),
  0
)</f>
        <v>0</v>
      </c>
      <c r="O2058" s="453"/>
      <c r="P2058" s="113"/>
      <c r="Q2058" s="106" t="str">
        <f>IF(ISBLANK(O2058), "", VLOOKUP(C2058&amp;" "&amp;D2058, 'Info Tipo de Cambio y REM'!$A$24:$B$35, 2, FALSE))</f>
        <v/>
      </c>
      <c r="R2058" s="107" t="str">
        <f t="shared" si="32"/>
        <v/>
      </c>
    </row>
    <row r="2059" hidden="1">
      <c r="A2059" s="443"/>
      <c r="B2059" s="43" t="str">
        <f>IF(A2059="", "", IFERROR(VLOOKUP(A2059, Clasificaciones!A:B, 2, FALSE), "DATO NO CARGADO"))
</f>
        <v/>
      </c>
      <c r="C2059" s="51"/>
      <c r="D2059" s="102"/>
      <c r="E2059" s="102"/>
      <c r="H2059" s="102"/>
      <c r="J2059" s="102"/>
      <c r="K2059" s="450"/>
      <c r="L2059" s="443"/>
      <c r="M2059" s="450"/>
      <c r="N2059" s="452">
        <f t="array" ref="N2059">IFERROR(
  INDEX(
    'Valor Hora Real y Estimada'!$A$4:$Z$78,
    MATCH(TRIM(CLEAN(A2059)), 'Valor Hora Real y Estimada'!$A$4:$A$78, 0),
    MATCH(
      TEXT(C2059,"dd mmm")&amp;" "&amp;D2059,
      'Valor Hora Real y Estimada'!$A$3:$Z$3,
      0
    ) + 1
  ),
  0
)</f>
        <v>0</v>
      </c>
      <c r="O2059" s="453"/>
      <c r="P2059" s="113"/>
      <c r="Q2059" s="106" t="str">
        <f>IF(ISBLANK(O2059), "", VLOOKUP(C2059&amp;" "&amp;D2059, 'Info Tipo de Cambio y REM'!$A$24:$B$35, 2, FALSE))</f>
        <v/>
      </c>
      <c r="R2059" s="107" t="str">
        <f t="shared" si="32"/>
        <v/>
      </c>
    </row>
    <row r="2060" hidden="1">
      <c r="A2060" s="443"/>
      <c r="B2060" s="43" t="str">
        <f>IF(A2060="", "", IFERROR(VLOOKUP(A2060, Clasificaciones!A:B, 2, FALSE), "DATO NO CARGADO"))
</f>
        <v/>
      </c>
      <c r="C2060" s="51"/>
      <c r="D2060" s="102"/>
      <c r="E2060" s="102"/>
      <c r="H2060" s="102"/>
      <c r="J2060" s="102"/>
      <c r="K2060" s="450"/>
      <c r="L2060" s="443"/>
      <c r="M2060" s="450"/>
      <c r="N2060" s="452">
        <f t="array" ref="N2060">IFERROR(
  INDEX(
    'Valor Hora Real y Estimada'!$A$4:$Z$78,
    MATCH(TRIM(CLEAN(A2060)), 'Valor Hora Real y Estimada'!$A$4:$A$78, 0),
    MATCH(
      TEXT(C2060,"dd mmm")&amp;" "&amp;D2060,
      'Valor Hora Real y Estimada'!$A$3:$Z$3,
      0
    ) + 1
  ),
  0
)</f>
        <v>0</v>
      </c>
      <c r="O2060" s="453"/>
      <c r="P2060" s="113"/>
      <c r="Q2060" s="106" t="str">
        <f>IF(ISBLANK(O2060), "", VLOOKUP(C2060&amp;" "&amp;D2060, 'Info Tipo de Cambio y REM'!$A$24:$B$35, 2, FALSE))</f>
        <v/>
      </c>
      <c r="R2060" s="107" t="str">
        <f t="shared" si="32"/>
        <v/>
      </c>
    </row>
    <row r="2061" hidden="1">
      <c r="A2061" s="443"/>
      <c r="B2061" s="43" t="str">
        <f>IF(A2061="", "", IFERROR(VLOOKUP(A2061, Clasificaciones!A:B, 2, FALSE), "DATO NO CARGADO"))
</f>
        <v/>
      </c>
      <c r="C2061" s="51"/>
      <c r="D2061" s="102"/>
      <c r="E2061" s="102"/>
      <c r="H2061" s="102"/>
      <c r="J2061" s="102"/>
      <c r="K2061" s="450"/>
      <c r="L2061" s="443"/>
      <c r="M2061" s="450"/>
      <c r="N2061" s="452">
        <f t="array" ref="N2061">IFERROR(
  INDEX(
    'Valor Hora Real y Estimada'!$A$4:$Z$78,
    MATCH(TRIM(CLEAN(A2061)), 'Valor Hora Real y Estimada'!$A$4:$A$78, 0),
    MATCH(
      TEXT(C2061,"dd mmm")&amp;" "&amp;D2061,
      'Valor Hora Real y Estimada'!$A$3:$Z$3,
      0
    ) + 1
  ),
  0
)</f>
        <v>0</v>
      </c>
      <c r="O2061" s="453"/>
      <c r="P2061" s="113"/>
      <c r="Q2061" s="106" t="str">
        <f>IF(ISBLANK(O2061), "", VLOOKUP(C2061&amp;" "&amp;D2061, 'Info Tipo de Cambio y REM'!$A$24:$B$35, 2, FALSE))</f>
        <v/>
      </c>
      <c r="R2061" s="107" t="str">
        <f t="shared" si="32"/>
        <v/>
      </c>
    </row>
    <row r="2062" hidden="1">
      <c r="A2062" s="443"/>
      <c r="B2062" s="43" t="str">
        <f>IF(A2062="", "", IFERROR(VLOOKUP(A2062, Clasificaciones!A:B, 2, FALSE), "DATO NO CARGADO"))
</f>
        <v/>
      </c>
      <c r="C2062" s="51"/>
      <c r="D2062" s="102"/>
      <c r="E2062" s="102"/>
      <c r="H2062" s="102"/>
      <c r="J2062" s="102"/>
      <c r="K2062" s="450"/>
      <c r="L2062" s="443"/>
      <c r="M2062" s="450"/>
      <c r="N2062" s="452">
        <f t="array" ref="N2062">IFERROR(
  INDEX(
    'Valor Hora Real y Estimada'!$A$4:$Z$78,
    MATCH(TRIM(CLEAN(A2062)), 'Valor Hora Real y Estimada'!$A$4:$A$78, 0),
    MATCH(
      TEXT(C2062,"dd mmm")&amp;" "&amp;D2062,
      'Valor Hora Real y Estimada'!$A$3:$Z$3,
      0
    ) + 1
  ),
  0
)</f>
        <v>0</v>
      </c>
      <c r="O2062" s="453"/>
      <c r="P2062" s="113"/>
      <c r="Q2062" s="106" t="str">
        <f>IF(ISBLANK(O2062), "", VLOOKUP(C2062&amp;" "&amp;D2062, 'Info Tipo de Cambio y REM'!$A$24:$B$35, 2, FALSE))</f>
        <v/>
      </c>
      <c r="R2062" s="107" t="str">
        <f t="shared" si="32"/>
        <v/>
      </c>
    </row>
    <row r="2063" hidden="1">
      <c r="A2063" s="443"/>
      <c r="B2063" s="43" t="str">
        <f>IF(A2063="", "", IFERROR(VLOOKUP(A2063, Clasificaciones!A:B, 2, FALSE), "DATO NO CARGADO"))
</f>
        <v/>
      </c>
      <c r="C2063" s="51"/>
      <c r="D2063" s="102"/>
      <c r="E2063" s="102"/>
      <c r="H2063" s="102"/>
      <c r="J2063" s="102"/>
      <c r="K2063" s="450"/>
      <c r="L2063" s="443"/>
      <c r="M2063" s="450"/>
      <c r="N2063" s="452">
        <f t="array" ref="N2063">IFERROR(
  INDEX(
    'Valor Hora Real y Estimada'!$A$4:$Z$78,
    MATCH(TRIM(CLEAN(A2063)), 'Valor Hora Real y Estimada'!$A$4:$A$78, 0),
    MATCH(
      TEXT(C2063,"dd mmm")&amp;" "&amp;D2063,
      'Valor Hora Real y Estimada'!$A$3:$Z$3,
      0
    ) + 1
  ),
  0
)</f>
        <v>0</v>
      </c>
      <c r="O2063" s="453"/>
      <c r="P2063" s="113"/>
      <c r="Q2063" s="106" t="str">
        <f>IF(ISBLANK(O2063), "", VLOOKUP(C2063&amp;" "&amp;D2063, 'Info Tipo de Cambio y REM'!$A$24:$B$35, 2, FALSE))</f>
        <v/>
      </c>
      <c r="R2063" s="107" t="str">
        <f t="shared" si="32"/>
        <v/>
      </c>
    </row>
    <row r="2064" hidden="1">
      <c r="A2064" s="443"/>
      <c r="B2064" s="43" t="str">
        <f>IF(A2064="", "", IFERROR(VLOOKUP(A2064, Clasificaciones!A:B, 2, FALSE), "DATO NO CARGADO"))
</f>
        <v/>
      </c>
      <c r="C2064" s="51"/>
      <c r="D2064" s="102"/>
      <c r="E2064" s="102"/>
      <c r="H2064" s="102"/>
      <c r="J2064" s="102"/>
      <c r="K2064" s="450"/>
      <c r="L2064" s="443"/>
      <c r="M2064" s="450"/>
      <c r="N2064" s="452">
        <f t="array" ref="N2064">IFERROR(
  INDEX(
    'Valor Hora Real y Estimada'!$A$4:$Z$78,
    MATCH(TRIM(CLEAN(A2064)), 'Valor Hora Real y Estimada'!$A$4:$A$78, 0),
    MATCH(
      TEXT(C2064,"dd mmm")&amp;" "&amp;D2064,
      'Valor Hora Real y Estimada'!$A$3:$Z$3,
      0
    ) + 1
  ),
  0
)</f>
        <v>0</v>
      </c>
      <c r="O2064" s="453"/>
      <c r="P2064" s="113"/>
      <c r="Q2064" s="106" t="str">
        <f>IF(ISBLANK(O2064), "", VLOOKUP(C2064&amp;" "&amp;D2064, 'Info Tipo de Cambio y REM'!$A$24:$B$35, 2, FALSE))</f>
        <v/>
      </c>
      <c r="R2064" s="107" t="str">
        <f t="shared" si="32"/>
        <v/>
      </c>
    </row>
    <row r="2065" hidden="1">
      <c r="A2065" s="443"/>
      <c r="B2065" s="43" t="str">
        <f>IF(A2065="", "", IFERROR(VLOOKUP(A2065, Clasificaciones!A:B, 2, FALSE), "DATO NO CARGADO"))
</f>
        <v/>
      </c>
      <c r="C2065" s="51"/>
      <c r="D2065" s="102"/>
      <c r="E2065" s="102"/>
      <c r="H2065" s="102"/>
      <c r="J2065" s="102"/>
      <c r="K2065" s="450"/>
      <c r="L2065" s="443"/>
      <c r="M2065" s="450"/>
      <c r="N2065" s="452">
        <f t="array" ref="N2065">IFERROR(
  INDEX(
    'Valor Hora Real y Estimada'!$A$4:$Z$78,
    MATCH(TRIM(CLEAN(A2065)), 'Valor Hora Real y Estimada'!$A$4:$A$78, 0),
    MATCH(
      TEXT(C2065,"dd mmm")&amp;" "&amp;D2065,
      'Valor Hora Real y Estimada'!$A$3:$Z$3,
      0
    ) + 1
  ),
  0
)</f>
        <v>0</v>
      </c>
      <c r="O2065" s="453"/>
      <c r="P2065" s="113"/>
      <c r="Q2065" s="106" t="str">
        <f>IF(ISBLANK(O2065), "", VLOOKUP(C2065&amp;" "&amp;D2065, 'Info Tipo de Cambio y REM'!$A$24:$B$35, 2, FALSE))</f>
        <v/>
      </c>
      <c r="R2065" s="107" t="str">
        <f t="shared" si="32"/>
        <v/>
      </c>
    </row>
    <row r="2066" hidden="1">
      <c r="A2066" s="443"/>
      <c r="B2066" s="43" t="str">
        <f>IF(A2066="", "", IFERROR(VLOOKUP(A2066, Clasificaciones!A:B, 2, FALSE), "DATO NO CARGADO"))
</f>
        <v/>
      </c>
      <c r="C2066" s="51"/>
      <c r="D2066" s="102"/>
      <c r="E2066" s="102"/>
      <c r="H2066" s="102"/>
      <c r="J2066" s="102"/>
      <c r="K2066" s="450"/>
      <c r="L2066" s="443"/>
      <c r="M2066" s="450"/>
      <c r="N2066" s="452">
        <f t="array" ref="N2066">IFERROR(
  INDEX(
    'Valor Hora Real y Estimada'!$A$4:$Z$78,
    MATCH(TRIM(CLEAN(A2066)), 'Valor Hora Real y Estimada'!$A$4:$A$78, 0),
    MATCH(
      TEXT(C2066,"dd mmm")&amp;" "&amp;D2066,
      'Valor Hora Real y Estimada'!$A$3:$Z$3,
      0
    ) + 1
  ),
  0
)</f>
        <v>0</v>
      </c>
      <c r="O2066" s="453"/>
      <c r="P2066" s="113"/>
      <c r="Q2066" s="106" t="str">
        <f>IF(ISBLANK(O2066), "", VLOOKUP(C2066&amp;" "&amp;D2066, 'Info Tipo de Cambio y REM'!$A$24:$B$35, 2, FALSE))</f>
        <v/>
      </c>
      <c r="R2066" s="107" t="str">
        <f t="shared" si="32"/>
        <v/>
      </c>
    </row>
    <row r="2067" hidden="1">
      <c r="A2067" s="443"/>
      <c r="B2067" s="43" t="str">
        <f>IF(A2067="", "", IFERROR(VLOOKUP(A2067, Clasificaciones!A:B, 2, FALSE), "DATO NO CARGADO"))
</f>
        <v/>
      </c>
      <c r="C2067" s="51"/>
      <c r="D2067" s="102"/>
      <c r="E2067" s="102"/>
      <c r="H2067" s="102"/>
      <c r="J2067" s="102"/>
      <c r="K2067" s="450"/>
      <c r="L2067" s="443"/>
      <c r="M2067" s="450"/>
      <c r="N2067" s="452">
        <f t="array" ref="N2067">IFERROR(
  INDEX(
    'Valor Hora Real y Estimada'!$A$4:$Z$78,
    MATCH(TRIM(CLEAN(A2067)), 'Valor Hora Real y Estimada'!$A$4:$A$78, 0),
    MATCH(
      TEXT(C2067,"dd mmm")&amp;" "&amp;D2067,
      'Valor Hora Real y Estimada'!$A$3:$Z$3,
      0
    ) + 1
  ),
  0
)</f>
        <v>0</v>
      </c>
      <c r="O2067" s="453"/>
      <c r="P2067" s="113"/>
      <c r="Q2067" s="106" t="str">
        <f>IF(ISBLANK(O2067), "", VLOOKUP(C2067&amp;" "&amp;D2067, 'Info Tipo de Cambio y REM'!$A$24:$B$35, 2, FALSE))</f>
        <v/>
      </c>
      <c r="R2067" s="107" t="str">
        <f t="shared" si="32"/>
        <v/>
      </c>
    </row>
    <row r="2068" hidden="1">
      <c r="A2068" s="443"/>
      <c r="B2068" s="43" t="str">
        <f>IF(A2068="", "", IFERROR(VLOOKUP(A2068, Clasificaciones!A:B, 2, FALSE), "DATO NO CARGADO"))
</f>
        <v/>
      </c>
      <c r="C2068" s="51"/>
      <c r="D2068" s="102"/>
      <c r="E2068" s="102"/>
      <c r="H2068" s="102"/>
      <c r="J2068" s="102"/>
      <c r="K2068" s="450"/>
      <c r="L2068" s="443"/>
      <c r="M2068" s="450"/>
      <c r="N2068" s="452">
        <f t="array" ref="N2068">IFERROR(
  INDEX(
    'Valor Hora Real y Estimada'!$A$4:$Z$78,
    MATCH(TRIM(CLEAN(A2068)), 'Valor Hora Real y Estimada'!$A$4:$A$78, 0),
    MATCH(
      TEXT(C2068,"dd mmm")&amp;" "&amp;D2068,
      'Valor Hora Real y Estimada'!$A$3:$Z$3,
      0
    ) + 1
  ),
  0
)</f>
        <v>0</v>
      </c>
      <c r="O2068" s="453"/>
      <c r="P2068" s="113"/>
      <c r="Q2068" s="106" t="str">
        <f>IF(ISBLANK(O2068), "", VLOOKUP(C2068&amp;" "&amp;D2068, 'Info Tipo de Cambio y REM'!$A$24:$B$35, 2, FALSE))</f>
        <v/>
      </c>
      <c r="R2068" s="107" t="str">
        <f t="shared" si="32"/>
        <v/>
      </c>
    </row>
    <row r="2069" hidden="1">
      <c r="A2069" s="443"/>
      <c r="B2069" s="43" t="str">
        <f>IF(A2069="", "", IFERROR(VLOOKUP(A2069, Clasificaciones!A:B, 2, FALSE), "DATO NO CARGADO"))
</f>
        <v/>
      </c>
      <c r="C2069" s="51"/>
      <c r="D2069" s="102"/>
      <c r="E2069" s="102"/>
      <c r="H2069" s="102"/>
      <c r="J2069" s="102"/>
      <c r="K2069" s="450"/>
      <c r="L2069" s="443"/>
      <c r="M2069" s="450"/>
      <c r="N2069" s="452">
        <f t="array" ref="N2069">IFERROR(
  INDEX(
    'Valor Hora Real y Estimada'!$A$4:$Z$78,
    MATCH(TRIM(CLEAN(A2069)), 'Valor Hora Real y Estimada'!$A$4:$A$78, 0),
    MATCH(
      TEXT(C2069,"dd mmm")&amp;" "&amp;D2069,
      'Valor Hora Real y Estimada'!$A$3:$Z$3,
      0
    ) + 1
  ),
  0
)</f>
        <v>0</v>
      </c>
      <c r="O2069" s="453"/>
      <c r="P2069" s="113"/>
      <c r="Q2069" s="106" t="str">
        <f>IF(ISBLANK(O2069), "", VLOOKUP(C2069&amp;" "&amp;D2069, 'Info Tipo de Cambio y REM'!$A$24:$B$35, 2, FALSE))</f>
        <v/>
      </c>
      <c r="R2069" s="107" t="str">
        <f t="shared" si="32"/>
        <v/>
      </c>
    </row>
    <row r="2070" hidden="1">
      <c r="A2070" s="443"/>
      <c r="B2070" s="43" t="str">
        <f>IF(A2070="", "", IFERROR(VLOOKUP(A2070, Clasificaciones!A:B, 2, FALSE), "DATO NO CARGADO"))
</f>
        <v/>
      </c>
      <c r="C2070" s="51"/>
      <c r="D2070" s="102"/>
      <c r="E2070" s="102"/>
      <c r="H2070" s="102"/>
      <c r="J2070" s="102"/>
      <c r="K2070" s="450"/>
      <c r="L2070" s="443"/>
      <c r="M2070" s="450"/>
      <c r="N2070" s="452">
        <f t="array" ref="N2070">IFERROR(
  INDEX(
    'Valor Hora Real y Estimada'!$A$4:$Z$78,
    MATCH(TRIM(CLEAN(A2070)), 'Valor Hora Real y Estimada'!$A$4:$A$78, 0),
    MATCH(
      TEXT(C2070,"dd mmm")&amp;" "&amp;D2070,
      'Valor Hora Real y Estimada'!$A$3:$Z$3,
      0
    ) + 1
  ),
  0
)</f>
        <v>0</v>
      </c>
      <c r="O2070" s="453"/>
      <c r="P2070" s="113"/>
      <c r="Q2070" s="106" t="str">
        <f>IF(ISBLANK(O2070), "", VLOOKUP(C2070&amp;" "&amp;D2070, 'Info Tipo de Cambio y REM'!$A$24:$B$35, 2, FALSE))</f>
        <v/>
      </c>
      <c r="R2070" s="107" t="str">
        <f t="shared" si="32"/>
        <v/>
      </c>
    </row>
    <row r="2071" hidden="1">
      <c r="A2071" s="443"/>
      <c r="B2071" s="43" t="str">
        <f>IF(A2071="", "", IFERROR(VLOOKUP(A2071, Clasificaciones!A:B, 2, FALSE), "DATO NO CARGADO"))
</f>
        <v/>
      </c>
      <c r="C2071" s="51"/>
      <c r="D2071" s="102"/>
      <c r="E2071" s="102"/>
      <c r="H2071" s="102"/>
      <c r="J2071" s="102"/>
      <c r="K2071" s="450"/>
      <c r="L2071" s="443"/>
      <c r="M2071" s="450"/>
      <c r="N2071" s="452">
        <f t="array" ref="N2071">IFERROR(
  INDEX(
    'Valor Hora Real y Estimada'!$A$4:$Z$78,
    MATCH(TRIM(CLEAN(A2071)), 'Valor Hora Real y Estimada'!$A$4:$A$78, 0),
    MATCH(
      TEXT(C2071,"dd mmm")&amp;" "&amp;D2071,
      'Valor Hora Real y Estimada'!$A$3:$Z$3,
      0
    ) + 1
  ),
  0
)</f>
        <v>0</v>
      </c>
      <c r="O2071" s="453"/>
      <c r="P2071" s="113"/>
      <c r="Q2071" s="106" t="str">
        <f>IF(ISBLANK(O2071), "", VLOOKUP(C2071&amp;" "&amp;D2071, 'Info Tipo de Cambio y REM'!$A$24:$B$35, 2, FALSE))</f>
        <v/>
      </c>
      <c r="R2071" s="107" t="str">
        <f t="shared" si="32"/>
        <v/>
      </c>
    </row>
    <row r="2072" hidden="1">
      <c r="A2072" s="443"/>
      <c r="B2072" s="43" t="str">
        <f>IF(A2072="", "", IFERROR(VLOOKUP(A2072, Clasificaciones!A:B, 2, FALSE), "DATO NO CARGADO"))
</f>
        <v/>
      </c>
      <c r="C2072" s="51"/>
      <c r="D2072" s="102"/>
      <c r="E2072" s="102"/>
      <c r="H2072" s="102"/>
      <c r="J2072" s="102"/>
      <c r="K2072" s="450"/>
      <c r="L2072" s="443"/>
      <c r="M2072" s="450"/>
      <c r="N2072" s="452">
        <f t="array" ref="N2072">IFERROR(
  INDEX(
    'Valor Hora Real y Estimada'!$A$4:$Z$78,
    MATCH(TRIM(CLEAN(A2072)), 'Valor Hora Real y Estimada'!$A$4:$A$78, 0),
    MATCH(
      TEXT(C2072,"dd mmm")&amp;" "&amp;D2072,
      'Valor Hora Real y Estimada'!$A$3:$Z$3,
      0
    ) + 1
  ),
  0
)</f>
        <v>0</v>
      </c>
      <c r="O2072" s="453"/>
      <c r="P2072" s="113"/>
      <c r="Q2072" s="106" t="str">
        <f>IF(ISBLANK(O2072), "", VLOOKUP(C2072&amp;" "&amp;D2072, 'Info Tipo de Cambio y REM'!$A$24:$B$35, 2, FALSE))</f>
        <v/>
      </c>
      <c r="R2072" s="107" t="str">
        <f t="shared" si="32"/>
        <v/>
      </c>
    </row>
    <row r="2073" hidden="1">
      <c r="A2073" s="443"/>
      <c r="B2073" s="43" t="str">
        <f>IF(A2073="", "", IFERROR(VLOOKUP(A2073, Clasificaciones!A:B, 2, FALSE), "DATO NO CARGADO"))
</f>
        <v/>
      </c>
      <c r="C2073" s="51"/>
      <c r="D2073" s="102"/>
      <c r="E2073" s="102"/>
      <c r="H2073" s="102"/>
      <c r="J2073" s="102"/>
      <c r="K2073" s="450"/>
      <c r="L2073" s="443"/>
      <c r="M2073" s="450"/>
      <c r="N2073" s="452">
        <f t="array" ref="N2073">IFERROR(
  INDEX(
    'Valor Hora Real y Estimada'!$A$4:$Z$78,
    MATCH(TRIM(CLEAN(A2073)), 'Valor Hora Real y Estimada'!$A$4:$A$78, 0),
    MATCH(
      TEXT(C2073,"dd mmm")&amp;" "&amp;D2073,
      'Valor Hora Real y Estimada'!$A$3:$Z$3,
      0
    ) + 1
  ),
  0
)</f>
        <v>0</v>
      </c>
      <c r="O2073" s="453"/>
      <c r="P2073" s="113"/>
      <c r="Q2073" s="106" t="str">
        <f>IF(ISBLANK(O2073), "", VLOOKUP(C2073&amp;" "&amp;D2073, 'Info Tipo de Cambio y REM'!$A$24:$B$35, 2, FALSE))</f>
        <v/>
      </c>
      <c r="R2073" s="107" t="str">
        <f t="shared" si="32"/>
        <v/>
      </c>
    </row>
    <row r="2074" hidden="1">
      <c r="A2074" s="443"/>
      <c r="B2074" s="43" t="str">
        <f>IF(A2074="", "", IFERROR(VLOOKUP(A2074, Clasificaciones!A:B, 2, FALSE), "DATO NO CARGADO"))
</f>
        <v/>
      </c>
      <c r="C2074" s="51"/>
      <c r="D2074" s="102"/>
      <c r="E2074" s="102"/>
      <c r="H2074" s="102"/>
      <c r="J2074" s="102"/>
      <c r="K2074" s="450"/>
      <c r="L2074" s="443"/>
      <c r="M2074" s="450"/>
      <c r="N2074" s="452">
        <f t="array" ref="N2074">IFERROR(
  INDEX(
    'Valor Hora Real y Estimada'!$A$4:$Z$78,
    MATCH(TRIM(CLEAN(A2074)), 'Valor Hora Real y Estimada'!$A$4:$A$78, 0),
    MATCH(
      TEXT(C2074,"dd mmm")&amp;" "&amp;D2074,
      'Valor Hora Real y Estimada'!$A$3:$Z$3,
      0
    ) + 1
  ),
  0
)</f>
        <v>0</v>
      </c>
      <c r="O2074" s="453"/>
      <c r="P2074" s="113"/>
      <c r="Q2074" s="106" t="str">
        <f>IF(ISBLANK(O2074), "", VLOOKUP(C2074&amp;" "&amp;D2074, 'Info Tipo de Cambio y REM'!$A$24:$B$35, 2, FALSE))</f>
        <v/>
      </c>
      <c r="R2074" s="107" t="str">
        <f t="shared" si="32"/>
        <v/>
      </c>
    </row>
    <row r="2075" hidden="1">
      <c r="A2075" s="443"/>
      <c r="B2075" s="43" t="str">
        <f>IF(A2075="", "", IFERROR(VLOOKUP(A2075, Clasificaciones!A:B, 2, FALSE), "DATO NO CARGADO"))
</f>
        <v/>
      </c>
      <c r="C2075" s="51"/>
      <c r="D2075" s="102"/>
      <c r="E2075" s="102"/>
      <c r="H2075" s="102"/>
      <c r="J2075" s="102"/>
      <c r="K2075" s="450"/>
      <c r="L2075" s="443"/>
      <c r="M2075" s="450"/>
      <c r="N2075" s="452">
        <f t="array" ref="N2075">IFERROR(
  INDEX(
    'Valor Hora Real y Estimada'!$A$4:$Z$78,
    MATCH(TRIM(CLEAN(A2075)), 'Valor Hora Real y Estimada'!$A$4:$A$78, 0),
    MATCH(
      TEXT(C2075,"dd mmm")&amp;" "&amp;D2075,
      'Valor Hora Real y Estimada'!$A$3:$Z$3,
      0
    ) + 1
  ),
  0
)</f>
        <v>0</v>
      </c>
      <c r="O2075" s="453"/>
      <c r="P2075" s="113"/>
      <c r="Q2075" s="106" t="str">
        <f>IF(ISBLANK(O2075), "", VLOOKUP(C2075&amp;" "&amp;D2075, 'Info Tipo de Cambio y REM'!$A$24:$B$35, 2, FALSE))</f>
        <v/>
      </c>
      <c r="R2075" s="107" t="str">
        <f t="shared" si="32"/>
        <v/>
      </c>
    </row>
    <row r="2076" hidden="1">
      <c r="A2076" s="443"/>
      <c r="B2076" s="43" t="str">
        <f>IF(A2076="", "", IFERROR(VLOOKUP(A2076, Clasificaciones!A:B, 2, FALSE), "DATO NO CARGADO"))
</f>
        <v/>
      </c>
      <c r="C2076" s="51"/>
      <c r="D2076" s="102"/>
      <c r="E2076" s="102"/>
      <c r="H2076" s="102"/>
      <c r="J2076" s="102"/>
      <c r="K2076" s="450"/>
      <c r="L2076" s="443"/>
      <c r="M2076" s="450"/>
      <c r="N2076" s="452">
        <f t="array" ref="N2076">IFERROR(
  INDEX(
    'Valor Hora Real y Estimada'!$A$4:$Z$78,
    MATCH(TRIM(CLEAN(A2076)), 'Valor Hora Real y Estimada'!$A$4:$A$78, 0),
    MATCH(
      TEXT(C2076,"dd mmm")&amp;" "&amp;D2076,
      'Valor Hora Real y Estimada'!$A$3:$Z$3,
      0
    ) + 1
  ),
  0
)</f>
        <v>0</v>
      </c>
      <c r="O2076" s="453"/>
      <c r="P2076" s="113"/>
      <c r="Q2076" s="106" t="str">
        <f>IF(ISBLANK(O2076), "", VLOOKUP(C2076&amp;" "&amp;D2076, 'Info Tipo de Cambio y REM'!$A$24:$B$35, 2, FALSE))</f>
        <v/>
      </c>
      <c r="R2076" s="107" t="str">
        <f t="shared" si="32"/>
        <v/>
      </c>
    </row>
    <row r="2077" hidden="1">
      <c r="A2077" s="443"/>
      <c r="B2077" s="43" t="str">
        <f>IF(A2077="", "", IFERROR(VLOOKUP(A2077, Clasificaciones!A:B, 2, FALSE), "DATO NO CARGADO"))
</f>
        <v/>
      </c>
      <c r="C2077" s="51"/>
      <c r="D2077" s="102"/>
      <c r="E2077" s="102"/>
      <c r="H2077" s="102"/>
      <c r="J2077" s="102"/>
      <c r="K2077" s="450"/>
      <c r="L2077" s="443"/>
      <c r="M2077" s="450"/>
      <c r="N2077" s="452">
        <f t="array" ref="N2077">IFERROR(
  INDEX(
    'Valor Hora Real y Estimada'!$A$4:$Z$78,
    MATCH(TRIM(CLEAN(A2077)), 'Valor Hora Real y Estimada'!$A$4:$A$78, 0),
    MATCH(
      TEXT(C2077,"dd mmm")&amp;" "&amp;D2077,
      'Valor Hora Real y Estimada'!$A$3:$Z$3,
      0
    ) + 1
  ),
  0
)</f>
        <v>0</v>
      </c>
      <c r="O2077" s="453"/>
      <c r="P2077" s="113"/>
      <c r="Q2077" s="106" t="str">
        <f>IF(ISBLANK(O2077), "", VLOOKUP(C2077&amp;" "&amp;D2077, 'Info Tipo de Cambio y REM'!$A$24:$B$35, 2, FALSE))</f>
        <v/>
      </c>
      <c r="R2077" s="107" t="str">
        <f t="shared" si="32"/>
        <v/>
      </c>
    </row>
    <row r="2078" hidden="1">
      <c r="A2078" s="443"/>
      <c r="B2078" s="43" t="str">
        <f>IF(A2078="", "", IFERROR(VLOOKUP(A2078, Clasificaciones!A:B, 2, FALSE), "DATO NO CARGADO"))
</f>
        <v/>
      </c>
      <c r="C2078" s="51"/>
      <c r="D2078" s="102"/>
      <c r="E2078" s="102"/>
      <c r="H2078" s="102"/>
      <c r="J2078" s="102"/>
      <c r="K2078" s="450"/>
      <c r="L2078" s="443"/>
      <c r="M2078" s="450"/>
      <c r="N2078" s="452">
        <f t="array" ref="N2078">IFERROR(
  INDEX(
    'Valor Hora Real y Estimada'!$A$4:$Z$78,
    MATCH(TRIM(CLEAN(A2078)), 'Valor Hora Real y Estimada'!$A$4:$A$78, 0),
    MATCH(
      TEXT(C2078,"dd mmm")&amp;" "&amp;D2078,
      'Valor Hora Real y Estimada'!$A$3:$Z$3,
      0
    ) + 1
  ),
  0
)</f>
        <v>0</v>
      </c>
      <c r="O2078" s="453"/>
      <c r="P2078" s="113"/>
      <c r="Q2078" s="106" t="str">
        <f>IF(ISBLANK(O2078), "", VLOOKUP(C2078&amp;" "&amp;D2078, 'Info Tipo de Cambio y REM'!$A$24:$B$35, 2, FALSE))</f>
        <v/>
      </c>
      <c r="R2078" s="107" t="str">
        <f t="shared" si="32"/>
        <v/>
      </c>
    </row>
    <row r="2079" hidden="1">
      <c r="A2079" s="443"/>
      <c r="B2079" s="43" t="str">
        <f>IF(A2079="", "", IFERROR(VLOOKUP(A2079, Clasificaciones!A:B, 2, FALSE), "DATO NO CARGADO"))
</f>
        <v/>
      </c>
      <c r="C2079" s="51"/>
      <c r="D2079" s="102"/>
      <c r="E2079" s="102"/>
      <c r="H2079" s="102"/>
      <c r="J2079" s="102"/>
      <c r="K2079" s="450"/>
      <c r="L2079" s="443"/>
      <c r="M2079" s="450"/>
      <c r="N2079" s="452">
        <f t="array" ref="N2079">IFERROR(
  INDEX(
    'Valor Hora Real y Estimada'!$A$4:$Z$78,
    MATCH(TRIM(CLEAN(A2079)), 'Valor Hora Real y Estimada'!$A$4:$A$78, 0),
    MATCH(
      TEXT(C2079,"dd mmm")&amp;" "&amp;D2079,
      'Valor Hora Real y Estimada'!$A$3:$Z$3,
      0
    ) + 1
  ),
  0
)</f>
        <v>0</v>
      </c>
      <c r="O2079" s="453"/>
      <c r="P2079" s="113"/>
      <c r="Q2079" s="106" t="str">
        <f>IF(ISBLANK(O2079), "", VLOOKUP(C2079&amp;" "&amp;D2079, 'Info Tipo de Cambio y REM'!$A$24:$B$35, 2, FALSE))</f>
        <v/>
      </c>
      <c r="R2079" s="107" t="str">
        <f t="shared" si="32"/>
        <v/>
      </c>
    </row>
    <row r="2080" hidden="1">
      <c r="A2080" s="443"/>
      <c r="B2080" s="43" t="str">
        <f>IF(A2080="", "", IFERROR(VLOOKUP(A2080, Clasificaciones!A:B, 2, FALSE), "DATO NO CARGADO"))
</f>
        <v/>
      </c>
      <c r="C2080" s="51"/>
      <c r="D2080" s="102"/>
      <c r="E2080" s="102"/>
      <c r="H2080" s="102"/>
      <c r="J2080" s="102"/>
      <c r="K2080" s="450"/>
      <c r="L2080" s="443"/>
      <c r="M2080" s="450"/>
      <c r="N2080" s="452">
        <f t="array" ref="N2080">IFERROR(
  INDEX(
    'Valor Hora Real y Estimada'!$A$4:$Z$78,
    MATCH(TRIM(CLEAN(A2080)), 'Valor Hora Real y Estimada'!$A$4:$A$78, 0),
    MATCH(
      TEXT(C2080,"dd mmm")&amp;" "&amp;D2080,
      'Valor Hora Real y Estimada'!$A$3:$Z$3,
      0
    ) + 1
  ),
  0
)</f>
        <v>0</v>
      </c>
      <c r="O2080" s="453"/>
      <c r="P2080" s="113"/>
      <c r="Q2080" s="106" t="str">
        <f>IF(ISBLANK(O2080), "", VLOOKUP(C2080&amp;" "&amp;D2080, 'Info Tipo de Cambio y REM'!$A$24:$B$35, 2, FALSE))</f>
        <v/>
      </c>
      <c r="R2080" s="107" t="str">
        <f t="shared" si="32"/>
        <v/>
      </c>
    </row>
    <row r="2081" hidden="1">
      <c r="A2081" s="443"/>
      <c r="B2081" s="43" t="str">
        <f>IF(A2081="", "", IFERROR(VLOOKUP(A2081, Clasificaciones!A:B, 2, FALSE), "DATO NO CARGADO"))
</f>
        <v/>
      </c>
      <c r="C2081" s="51"/>
      <c r="D2081" s="102"/>
      <c r="E2081" s="102"/>
      <c r="H2081" s="102"/>
      <c r="J2081" s="102"/>
      <c r="K2081" s="450"/>
      <c r="L2081" s="443"/>
      <c r="M2081" s="450"/>
      <c r="N2081" s="452">
        <f t="array" ref="N2081">IFERROR(
  INDEX(
    'Valor Hora Real y Estimada'!$A$4:$Z$78,
    MATCH(TRIM(CLEAN(A2081)), 'Valor Hora Real y Estimada'!$A$4:$A$78, 0),
    MATCH(
      TEXT(C2081,"dd mmm")&amp;" "&amp;D2081,
      'Valor Hora Real y Estimada'!$A$3:$Z$3,
      0
    ) + 1
  ),
  0
)</f>
        <v>0</v>
      </c>
      <c r="O2081" s="453"/>
      <c r="P2081" s="113"/>
      <c r="Q2081" s="106" t="str">
        <f>IF(ISBLANK(O2081), "", VLOOKUP(C2081&amp;" "&amp;D2081, 'Info Tipo de Cambio y REM'!$A$24:$B$35, 2, FALSE))</f>
        <v/>
      </c>
      <c r="R2081" s="107" t="str">
        <f t="shared" si="32"/>
        <v/>
      </c>
    </row>
    <row r="2082" hidden="1">
      <c r="A2082" s="443"/>
      <c r="B2082" s="43" t="str">
        <f>IF(A2082="", "", IFERROR(VLOOKUP(A2082, Clasificaciones!A:B, 2, FALSE), "DATO NO CARGADO"))
</f>
        <v/>
      </c>
      <c r="C2082" s="51"/>
      <c r="D2082" s="102"/>
      <c r="E2082" s="102"/>
      <c r="H2082" s="102"/>
      <c r="J2082" s="102"/>
      <c r="K2082" s="450"/>
      <c r="L2082" s="443"/>
      <c r="M2082" s="450"/>
      <c r="N2082" s="452">
        <f t="array" ref="N2082">IFERROR(
  INDEX(
    'Valor Hora Real y Estimada'!$A$4:$Z$78,
    MATCH(TRIM(CLEAN(A2082)), 'Valor Hora Real y Estimada'!$A$4:$A$78, 0),
    MATCH(
      TEXT(C2082,"dd mmm")&amp;" "&amp;D2082,
      'Valor Hora Real y Estimada'!$A$3:$Z$3,
      0
    ) + 1
  ),
  0
)</f>
        <v>0</v>
      </c>
      <c r="O2082" s="453"/>
      <c r="P2082" s="113"/>
      <c r="Q2082" s="106" t="str">
        <f>IF(ISBLANK(O2082), "", VLOOKUP(C2082&amp;" "&amp;D2082, 'Info Tipo de Cambio y REM'!$A$24:$B$35, 2, FALSE))</f>
        <v/>
      </c>
      <c r="R2082" s="107" t="str">
        <f t="shared" si="32"/>
        <v/>
      </c>
    </row>
    <row r="2083" hidden="1">
      <c r="A2083" s="443"/>
      <c r="B2083" s="43" t="str">
        <f>IF(A2083="", "", IFERROR(VLOOKUP(A2083, Clasificaciones!A:B, 2, FALSE), "DATO NO CARGADO"))
</f>
        <v/>
      </c>
      <c r="C2083" s="51"/>
      <c r="D2083" s="102"/>
      <c r="E2083" s="102"/>
      <c r="H2083" s="102"/>
      <c r="J2083" s="102"/>
      <c r="K2083" s="450"/>
      <c r="L2083" s="443"/>
      <c r="M2083" s="450"/>
      <c r="N2083" s="452">
        <f t="array" ref="N2083">IFERROR(
  INDEX(
    'Valor Hora Real y Estimada'!$A$4:$Z$78,
    MATCH(TRIM(CLEAN(A2083)), 'Valor Hora Real y Estimada'!$A$4:$A$78, 0),
    MATCH(
      TEXT(C2083,"dd mmm")&amp;" "&amp;D2083,
      'Valor Hora Real y Estimada'!$A$3:$Z$3,
      0
    ) + 1
  ),
  0
)</f>
        <v>0</v>
      </c>
      <c r="O2083" s="453"/>
      <c r="P2083" s="113"/>
      <c r="Q2083" s="106" t="str">
        <f>IF(ISBLANK(O2083), "", VLOOKUP(C2083&amp;" "&amp;D2083, 'Info Tipo de Cambio y REM'!$A$24:$B$35, 2, FALSE))</f>
        <v/>
      </c>
      <c r="R2083" s="107" t="str">
        <f t="shared" si="32"/>
        <v/>
      </c>
    </row>
    <row r="2084" hidden="1">
      <c r="A2084" s="443"/>
      <c r="B2084" s="43" t="str">
        <f>IF(A2084="", "", IFERROR(VLOOKUP(A2084, Clasificaciones!A:B, 2, FALSE), "DATO NO CARGADO"))
</f>
        <v/>
      </c>
      <c r="C2084" s="51"/>
      <c r="D2084" s="102"/>
      <c r="E2084" s="102"/>
      <c r="H2084" s="102"/>
      <c r="J2084" s="102"/>
      <c r="K2084" s="450"/>
      <c r="L2084" s="443"/>
      <c r="M2084" s="450"/>
      <c r="N2084" s="452">
        <f t="array" ref="N2084">IFERROR(
  INDEX(
    'Valor Hora Real y Estimada'!$A$4:$Z$78,
    MATCH(TRIM(CLEAN(A2084)), 'Valor Hora Real y Estimada'!$A$4:$A$78, 0),
    MATCH(
      TEXT(C2084,"dd mmm")&amp;" "&amp;D2084,
      'Valor Hora Real y Estimada'!$A$3:$Z$3,
      0
    ) + 1
  ),
  0
)</f>
        <v>0</v>
      </c>
      <c r="O2084" s="453"/>
      <c r="P2084" s="113"/>
      <c r="Q2084" s="106" t="str">
        <f>IF(ISBLANK(O2084), "", VLOOKUP(C2084&amp;" "&amp;D2084, 'Info Tipo de Cambio y REM'!$A$24:$B$35, 2, FALSE))</f>
        <v/>
      </c>
      <c r="R2084" s="107" t="str">
        <f t="shared" si="32"/>
        <v/>
      </c>
    </row>
    <row r="2085" hidden="1">
      <c r="A2085" s="443"/>
      <c r="B2085" s="43" t="str">
        <f>IF(A2085="", "", IFERROR(VLOOKUP(A2085, Clasificaciones!A:B, 2, FALSE), "DATO NO CARGADO"))
</f>
        <v/>
      </c>
      <c r="C2085" s="51"/>
      <c r="D2085" s="102"/>
      <c r="E2085" s="102"/>
      <c r="H2085" s="102"/>
      <c r="J2085" s="102"/>
      <c r="K2085" s="450"/>
      <c r="L2085" s="443"/>
      <c r="M2085" s="450"/>
      <c r="N2085" s="452">
        <f t="array" ref="N2085">IFERROR(
  INDEX(
    'Valor Hora Real y Estimada'!$A$4:$Z$78,
    MATCH(TRIM(CLEAN(A2085)), 'Valor Hora Real y Estimada'!$A$4:$A$78, 0),
    MATCH(
      TEXT(C2085,"dd mmm")&amp;" "&amp;D2085,
      'Valor Hora Real y Estimada'!$A$3:$Z$3,
      0
    ) + 1
  ),
  0
)</f>
        <v>0</v>
      </c>
      <c r="O2085" s="453"/>
      <c r="P2085" s="113"/>
      <c r="Q2085" s="106" t="str">
        <f>IF(ISBLANK(O2085), "", VLOOKUP(C2085&amp;" "&amp;D2085, 'Info Tipo de Cambio y REM'!$A$24:$B$35, 2, FALSE))</f>
        <v/>
      </c>
      <c r="R2085" s="107" t="str">
        <f t="shared" si="32"/>
        <v/>
      </c>
    </row>
    <row r="2086" hidden="1">
      <c r="A2086" s="443"/>
      <c r="B2086" s="43" t="str">
        <f>IF(A2086="", "", IFERROR(VLOOKUP(A2086, Clasificaciones!A:B, 2, FALSE), "DATO NO CARGADO"))
</f>
        <v/>
      </c>
      <c r="C2086" s="51"/>
      <c r="D2086" s="102"/>
      <c r="E2086" s="102"/>
      <c r="H2086" s="102"/>
      <c r="J2086" s="102"/>
      <c r="K2086" s="450"/>
      <c r="L2086" s="443"/>
      <c r="M2086" s="450"/>
      <c r="N2086" s="452">
        <f t="array" ref="N2086">IFERROR(
  INDEX(
    'Valor Hora Real y Estimada'!$A$4:$Z$78,
    MATCH(TRIM(CLEAN(A2086)), 'Valor Hora Real y Estimada'!$A$4:$A$78, 0),
    MATCH(
      TEXT(C2086,"dd mmm")&amp;" "&amp;D2086,
      'Valor Hora Real y Estimada'!$A$3:$Z$3,
      0
    ) + 1
  ),
  0
)</f>
        <v>0</v>
      </c>
      <c r="O2086" s="453"/>
      <c r="P2086" s="113"/>
      <c r="Q2086" s="106" t="str">
        <f>IF(ISBLANK(O2086), "", VLOOKUP(C2086&amp;" "&amp;D2086, 'Info Tipo de Cambio y REM'!$A$24:$B$35, 2, FALSE))</f>
        <v/>
      </c>
      <c r="R2086" s="107" t="str">
        <f t="shared" si="32"/>
        <v/>
      </c>
    </row>
    <row r="2087" hidden="1">
      <c r="A2087" s="443"/>
      <c r="B2087" s="43" t="str">
        <f>IF(A2087="", "", IFERROR(VLOOKUP(A2087, Clasificaciones!A:B, 2, FALSE), "DATO NO CARGADO"))
</f>
        <v/>
      </c>
      <c r="C2087" s="51"/>
      <c r="D2087" s="102"/>
      <c r="E2087" s="102"/>
      <c r="H2087" s="102"/>
      <c r="J2087" s="102"/>
      <c r="K2087" s="450"/>
      <c r="L2087" s="443"/>
      <c r="M2087" s="450"/>
      <c r="N2087" s="452">
        <f t="array" ref="N2087">IFERROR(
  INDEX(
    'Valor Hora Real y Estimada'!$A$4:$Z$78,
    MATCH(TRIM(CLEAN(A2087)), 'Valor Hora Real y Estimada'!$A$4:$A$78, 0),
    MATCH(
      TEXT(C2087,"dd mmm")&amp;" "&amp;D2087,
      'Valor Hora Real y Estimada'!$A$3:$Z$3,
      0
    ) + 1
  ),
  0
)</f>
        <v>0</v>
      </c>
      <c r="O2087" s="453"/>
      <c r="P2087" s="113"/>
      <c r="Q2087" s="106" t="str">
        <f>IF(ISBLANK(O2087), "", VLOOKUP(C2087&amp;" "&amp;D2087, 'Info Tipo de Cambio y REM'!$A$24:$B$35, 2, FALSE))</f>
        <v/>
      </c>
      <c r="R2087" s="107" t="str">
        <f t="shared" si="32"/>
        <v/>
      </c>
    </row>
    <row r="2088" hidden="1">
      <c r="A2088" s="443"/>
      <c r="B2088" s="43" t="str">
        <f>IF(A2088="", "", IFERROR(VLOOKUP(A2088, Clasificaciones!A:B, 2, FALSE), "DATO NO CARGADO"))
</f>
        <v/>
      </c>
      <c r="C2088" s="51"/>
      <c r="D2088" s="102"/>
      <c r="E2088" s="102"/>
      <c r="H2088" s="102"/>
      <c r="J2088" s="102"/>
      <c r="K2088" s="450"/>
      <c r="L2088" s="443"/>
      <c r="M2088" s="450"/>
      <c r="N2088" s="452">
        <f t="array" ref="N2088">IFERROR(
  INDEX(
    'Valor Hora Real y Estimada'!$A$4:$Z$78,
    MATCH(TRIM(CLEAN(A2088)), 'Valor Hora Real y Estimada'!$A$4:$A$78, 0),
    MATCH(
      TEXT(C2088,"dd mmm")&amp;" "&amp;D2088,
      'Valor Hora Real y Estimada'!$A$3:$Z$3,
      0
    ) + 1
  ),
  0
)</f>
        <v>0</v>
      </c>
      <c r="O2088" s="453"/>
      <c r="P2088" s="113"/>
      <c r="Q2088" s="106" t="str">
        <f>IF(ISBLANK(O2088), "", VLOOKUP(C2088&amp;" "&amp;D2088, 'Info Tipo de Cambio y REM'!$A$24:$B$35, 2, FALSE))</f>
        <v/>
      </c>
      <c r="R2088" s="107" t="str">
        <f t="shared" si="32"/>
        <v/>
      </c>
    </row>
    <row r="2089" hidden="1">
      <c r="A2089" s="443"/>
      <c r="B2089" s="43" t="str">
        <f>IF(A2089="", "", IFERROR(VLOOKUP(A2089, Clasificaciones!A:B, 2, FALSE), "DATO NO CARGADO"))
</f>
        <v/>
      </c>
      <c r="C2089" s="51"/>
      <c r="D2089" s="102"/>
      <c r="E2089" s="102"/>
      <c r="H2089" s="102"/>
      <c r="J2089" s="102"/>
      <c r="K2089" s="450"/>
      <c r="L2089" s="443"/>
      <c r="M2089" s="450"/>
      <c r="N2089" s="452">
        <f t="array" ref="N2089">IFERROR(
  INDEX(
    'Valor Hora Real y Estimada'!$A$4:$Z$78,
    MATCH(TRIM(CLEAN(A2089)), 'Valor Hora Real y Estimada'!$A$4:$A$78, 0),
    MATCH(
      TEXT(C2089,"dd mmm")&amp;" "&amp;D2089,
      'Valor Hora Real y Estimada'!$A$3:$Z$3,
      0
    ) + 1
  ),
  0
)</f>
        <v>0</v>
      </c>
      <c r="O2089" s="453"/>
      <c r="P2089" s="113"/>
      <c r="Q2089" s="106" t="str">
        <f>IF(ISBLANK(O2089), "", VLOOKUP(C2089&amp;" "&amp;D2089, 'Info Tipo de Cambio y REM'!$A$24:$B$35, 2, FALSE))</f>
        <v/>
      </c>
      <c r="R2089" s="107" t="str">
        <f t="shared" si="32"/>
        <v/>
      </c>
    </row>
    <row r="2090" hidden="1">
      <c r="A2090" s="443"/>
      <c r="B2090" s="43" t="str">
        <f>IF(A2090="", "", IFERROR(VLOOKUP(A2090, Clasificaciones!A:B, 2, FALSE), "DATO NO CARGADO"))
</f>
        <v/>
      </c>
      <c r="C2090" s="51"/>
      <c r="D2090" s="102"/>
      <c r="E2090" s="102"/>
      <c r="H2090" s="102"/>
      <c r="J2090" s="102"/>
      <c r="K2090" s="450"/>
      <c r="L2090" s="443"/>
      <c r="M2090" s="450"/>
      <c r="N2090" s="452">
        <f t="array" ref="N2090">IFERROR(
  INDEX(
    'Valor Hora Real y Estimada'!$A$4:$Z$78,
    MATCH(TRIM(CLEAN(A2090)), 'Valor Hora Real y Estimada'!$A$4:$A$78, 0),
    MATCH(
      TEXT(C2090,"dd mmm")&amp;" "&amp;D2090,
      'Valor Hora Real y Estimada'!$A$3:$Z$3,
      0
    ) + 1
  ),
  0
)</f>
        <v>0</v>
      </c>
      <c r="O2090" s="453"/>
      <c r="P2090" s="113"/>
      <c r="Q2090" s="106" t="str">
        <f>IF(ISBLANK(O2090), "", VLOOKUP(C2090&amp;" "&amp;D2090, 'Info Tipo de Cambio y REM'!$A$24:$B$35, 2, FALSE))</f>
        <v/>
      </c>
      <c r="R2090" s="107" t="str">
        <f t="shared" si="32"/>
        <v/>
      </c>
    </row>
    <row r="2091" hidden="1">
      <c r="A2091" s="443"/>
      <c r="B2091" s="43" t="str">
        <f>IF(A2091="", "", IFERROR(VLOOKUP(A2091, Clasificaciones!A:B, 2, FALSE), "DATO NO CARGADO"))
</f>
        <v/>
      </c>
      <c r="C2091" s="51"/>
      <c r="D2091" s="102"/>
      <c r="E2091" s="102"/>
      <c r="H2091" s="102"/>
      <c r="J2091" s="102"/>
      <c r="K2091" s="450"/>
      <c r="L2091" s="443"/>
      <c r="M2091" s="450"/>
      <c r="N2091" s="452">
        <f t="array" ref="N2091">IFERROR(
  INDEX(
    'Valor Hora Real y Estimada'!$A$4:$Z$78,
    MATCH(TRIM(CLEAN(A2091)), 'Valor Hora Real y Estimada'!$A$4:$A$78, 0),
    MATCH(
      TEXT(C2091,"dd mmm")&amp;" "&amp;D2091,
      'Valor Hora Real y Estimada'!$A$3:$Z$3,
      0
    ) + 1
  ),
  0
)</f>
        <v>0</v>
      </c>
      <c r="O2091" s="453"/>
      <c r="P2091" s="113"/>
      <c r="Q2091" s="106" t="str">
        <f>IF(ISBLANK(O2091), "", VLOOKUP(C2091&amp;" "&amp;D2091, 'Info Tipo de Cambio y REM'!$A$24:$B$35, 2, FALSE))</f>
        <v/>
      </c>
      <c r="R2091" s="107" t="str">
        <f t="shared" si="32"/>
        <v/>
      </c>
    </row>
    <row r="2092" hidden="1">
      <c r="A2092" s="443"/>
      <c r="B2092" s="43" t="str">
        <f>IF(A2092="", "", IFERROR(VLOOKUP(A2092, Clasificaciones!A:B, 2, FALSE), "DATO NO CARGADO"))
</f>
        <v/>
      </c>
      <c r="C2092" s="51"/>
      <c r="D2092" s="102"/>
      <c r="E2092" s="102"/>
      <c r="H2092" s="102"/>
      <c r="J2092" s="102"/>
      <c r="K2092" s="450"/>
      <c r="L2092" s="443"/>
      <c r="M2092" s="450"/>
      <c r="N2092" s="452">
        <f t="array" ref="N2092">IFERROR(
  INDEX(
    'Valor Hora Real y Estimada'!$A$4:$Z$78,
    MATCH(TRIM(CLEAN(A2092)), 'Valor Hora Real y Estimada'!$A$4:$A$78, 0),
    MATCH(
      TEXT(C2092,"dd mmm")&amp;" "&amp;D2092,
      'Valor Hora Real y Estimada'!$A$3:$Z$3,
      0
    ) + 1
  ),
  0
)</f>
        <v>0</v>
      </c>
      <c r="O2092" s="453"/>
      <c r="P2092" s="113"/>
      <c r="Q2092" s="106" t="str">
        <f>IF(ISBLANK(O2092), "", VLOOKUP(C2092&amp;" "&amp;D2092, 'Info Tipo de Cambio y REM'!$A$24:$B$35, 2, FALSE))</f>
        <v/>
      </c>
      <c r="R2092" s="107" t="str">
        <f t="shared" si="32"/>
        <v/>
      </c>
    </row>
    <row r="2093" hidden="1">
      <c r="A2093" s="443"/>
      <c r="B2093" s="43" t="str">
        <f>IF(A2093="", "", IFERROR(VLOOKUP(A2093, Clasificaciones!A:B, 2, FALSE), "DATO NO CARGADO"))
</f>
        <v/>
      </c>
      <c r="C2093" s="51"/>
      <c r="D2093" s="102"/>
      <c r="E2093" s="102"/>
      <c r="H2093" s="102"/>
      <c r="J2093" s="102"/>
      <c r="K2093" s="450"/>
      <c r="L2093" s="443"/>
      <c r="M2093" s="450"/>
      <c r="N2093" s="452">
        <f t="array" ref="N2093">IFERROR(
  INDEX(
    'Valor Hora Real y Estimada'!$A$4:$Z$78,
    MATCH(TRIM(CLEAN(A2093)), 'Valor Hora Real y Estimada'!$A$4:$A$78, 0),
    MATCH(
      TEXT(C2093,"dd mmm")&amp;" "&amp;D2093,
      'Valor Hora Real y Estimada'!$A$3:$Z$3,
      0
    ) + 1
  ),
  0
)</f>
        <v>0</v>
      </c>
      <c r="O2093" s="453"/>
      <c r="P2093" s="113"/>
      <c r="Q2093" s="106" t="str">
        <f>IF(ISBLANK(O2093), "", VLOOKUP(C2093&amp;" "&amp;D2093, 'Info Tipo de Cambio y REM'!$A$24:$B$35, 2, FALSE))</f>
        <v/>
      </c>
      <c r="R2093" s="107" t="str">
        <f t="shared" si="32"/>
        <v/>
      </c>
    </row>
    <row r="2094" hidden="1">
      <c r="A2094" s="443"/>
      <c r="B2094" s="43" t="str">
        <f>IF(A2094="", "", IFERROR(VLOOKUP(A2094, Clasificaciones!A:B, 2, FALSE), "DATO NO CARGADO"))
</f>
        <v/>
      </c>
      <c r="C2094" s="51"/>
      <c r="D2094" s="102"/>
      <c r="E2094" s="102"/>
      <c r="H2094" s="102"/>
      <c r="J2094" s="102"/>
      <c r="K2094" s="450"/>
      <c r="L2094" s="443"/>
      <c r="M2094" s="450"/>
      <c r="N2094" s="452">
        <f t="array" ref="N2094">IFERROR(
  INDEX(
    'Valor Hora Real y Estimada'!$A$4:$Z$78,
    MATCH(TRIM(CLEAN(A2094)), 'Valor Hora Real y Estimada'!$A$4:$A$78, 0),
    MATCH(
      TEXT(C2094,"dd mmm")&amp;" "&amp;D2094,
      'Valor Hora Real y Estimada'!$A$3:$Z$3,
      0
    ) + 1
  ),
  0
)</f>
        <v>0</v>
      </c>
      <c r="O2094" s="453"/>
      <c r="P2094" s="113"/>
      <c r="Q2094" s="106" t="str">
        <f>IF(ISBLANK(O2094), "", VLOOKUP(C2094&amp;" "&amp;D2094, 'Info Tipo de Cambio y REM'!$A$24:$B$35, 2, FALSE))</f>
        <v/>
      </c>
      <c r="R2094" s="107" t="str">
        <f t="shared" si="32"/>
        <v/>
      </c>
    </row>
    <row r="2095" hidden="1">
      <c r="A2095" s="443"/>
      <c r="B2095" s="43" t="str">
        <f>IF(A2095="", "", IFERROR(VLOOKUP(A2095, Clasificaciones!A:B, 2, FALSE), "DATO NO CARGADO"))
</f>
        <v/>
      </c>
      <c r="C2095" s="51"/>
      <c r="D2095" s="102"/>
      <c r="E2095" s="102"/>
      <c r="H2095" s="102"/>
      <c r="J2095" s="102"/>
      <c r="K2095" s="450"/>
      <c r="L2095" s="443"/>
      <c r="M2095" s="450"/>
      <c r="N2095" s="452">
        <f t="array" ref="N2095">IFERROR(
  INDEX(
    'Valor Hora Real y Estimada'!$A$4:$Z$78,
    MATCH(TRIM(CLEAN(A2095)), 'Valor Hora Real y Estimada'!$A$4:$A$78, 0),
    MATCH(
      TEXT(C2095,"dd mmm")&amp;" "&amp;D2095,
      'Valor Hora Real y Estimada'!$A$3:$Z$3,
      0
    ) + 1
  ),
  0
)</f>
        <v>0</v>
      </c>
      <c r="O2095" s="453"/>
      <c r="P2095" s="113"/>
      <c r="Q2095" s="106" t="str">
        <f>IF(ISBLANK(O2095), "", VLOOKUP(C2095&amp;" "&amp;D2095, 'Info Tipo de Cambio y REM'!$A$24:$B$35, 2, FALSE))</f>
        <v/>
      </c>
      <c r="R2095" s="107" t="str">
        <f t="shared" si="32"/>
        <v/>
      </c>
    </row>
    <row r="2096" hidden="1">
      <c r="A2096" s="443"/>
      <c r="B2096" s="43" t="str">
        <f>IF(A2096="", "", IFERROR(VLOOKUP(A2096, Clasificaciones!A:B, 2, FALSE), "DATO NO CARGADO"))
</f>
        <v/>
      </c>
      <c r="C2096" s="51"/>
      <c r="D2096" s="102"/>
      <c r="E2096" s="102"/>
      <c r="H2096" s="102"/>
      <c r="J2096" s="102"/>
      <c r="K2096" s="450"/>
      <c r="L2096" s="443"/>
      <c r="M2096" s="450"/>
      <c r="N2096" s="452">
        <f t="array" ref="N2096">IFERROR(
  INDEX(
    'Valor Hora Real y Estimada'!$A$4:$Z$78,
    MATCH(TRIM(CLEAN(A2096)), 'Valor Hora Real y Estimada'!$A$4:$A$78, 0),
    MATCH(
      TEXT(C2096,"dd mmm")&amp;" "&amp;D2096,
      'Valor Hora Real y Estimada'!$A$3:$Z$3,
      0
    ) + 1
  ),
  0
)</f>
        <v>0</v>
      </c>
      <c r="O2096" s="453"/>
      <c r="P2096" s="113"/>
      <c r="Q2096" s="106" t="str">
        <f>IF(ISBLANK(O2096), "", VLOOKUP(C2096&amp;" "&amp;D2096, 'Info Tipo de Cambio y REM'!$A$24:$B$35, 2, FALSE))</f>
        <v/>
      </c>
      <c r="R2096" s="107" t="str">
        <f t="shared" si="32"/>
        <v/>
      </c>
    </row>
    <row r="2097" hidden="1">
      <c r="A2097" s="443"/>
      <c r="B2097" s="43" t="str">
        <f>IF(A2097="", "", IFERROR(VLOOKUP(A2097, Clasificaciones!A:B, 2, FALSE), "DATO NO CARGADO"))
</f>
        <v/>
      </c>
      <c r="C2097" s="51"/>
      <c r="D2097" s="102"/>
      <c r="E2097" s="102"/>
      <c r="H2097" s="102"/>
      <c r="J2097" s="102"/>
      <c r="K2097" s="450"/>
      <c r="L2097" s="443"/>
      <c r="M2097" s="450"/>
      <c r="N2097" s="452">
        <f t="array" ref="N2097">IFERROR(
  INDEX(
    'Valor Hora Real y Estimada'!$A$4:$Z$78,
    MATCH(TRIM(CLEAN(A2097)), 'Valor Hora Real y Estimada'!$A$4:$A$78, 0),
    MATCH(
      TEXT(C2097,"dd mmm")&amp;" "&amp;D2097,
      'Valor Hora Real y Estimada'!$A$3:$Z$3,
      0
    ) + 1
  ),
  0
)</f>
        <v>0</v>
      </c>
      <c r="O2097" s="453"/>
      <c r="P2097" s="113"/>
      <c r="Q2097" s="106" t="str">
        <f>IF(ISBLANK(O2097), "", VLOOKUP(C2097&amp;" "&amp;D2097, 'Info Tipo de Cambio y REM'!$A$24:$B$35, 2, FALSE))</f>
        <v/>
      </c>
      <c r="R2097" s="107" t="str">
        <f t="shared" si="32"/>
        <v/>
      </c>
    </row>
    <row r="2098" hidden="1">
      <c r="A2098" s="443"/>
      <c r="B2098" s="43" t="str">
        <f>IF(A2098="", "", IFERROR(VLOOKUP(A2098, Clasificaciones!A:B, 2, FALSE), "DATO NO CARGADO"))
</f>
        <v/>
      </c>
      <c r="C2098" s="51"/>
      <c r="D2098" s="102"/>
      <c r="E2098" s="102"/>
      <c r="H2098" s="102"/>
      <c r="J2098" s="102"/>
      <c r="K2098" s="450"/>
      <c r="L2098" s="443"/>
      <c r="M2098" s="450"/>
      <c r="N2098" s="452">
        <f t="array" ref="N2098">IFERROR(
  INDEX(
    'Valor Hora Real y Estimada'!$A$4:$Z$78,
    MATCH(TRIM(CLEAN(A2098)), 'Valor Hora Real y Estimada'!$A$4:$A$78, 0),
    MATCH(
      TEXT(C2098,"dd mmm")&amp;" "&amp;D2098,
      'Valor Hora Real y Estimada'!$A$3:$Z$3,
      0
    ) + 1
  ),
  0
)</f>
        <v>0</v>
      </c>
      <c r="O2098" s="453"/>
      <c r="P2098" s="113"/>
      <c r="Q2098" s="106" t="str">
        <f>IF(ISBLANK(O2098), "", VLOOKUP(C2098&amp;" "&amp;D2098, 'Info Tipo de Cambio y REM'!$A$24:$B$35, 2, FALSE))</f>
        <v/>
      </c>
      <c r="R2098" s="107" t="str">
        <f t="shared" si="32"/>
        <v/>
      </c>
    </row>
    <row r="2099" hidden="1">
      <c r="A2099" s="443"/>
      <c r="B2099" s="43" t="str">
        <f>IF(A2099="", "", IFERROR(VLOOKUP(A2099, Clasificaciones!A:B, 2, FALSE), "DATO NO CARGADO"))
</f>
        <v/>
      </c>
      <c r="C2099" s="51"/>
      <c r="D2099" s="102"/>
      <c r="E2099" s="102"/>
      <c r="H2099" s="102"/>
      <c r="J2099" s="102"/>
      <c r="K2099" s="450"/>
      <c r="L2099" s="443"/>
      <c r="M2099" s="450"/>
      <c r="N2099" s="452">
        <f t="array" ref="N2099">IFERROR(
  INDEX(
    'Valor Hora Real y Estimada'!$A$4:$Z$78,
    MATCH(TRIM(CLEAN(A2099)), 'Valor Hora Real y Estimada'!$A$4:$A$78, 0),
    MATCH(
      TEXT(C2099,"dd mmm")&amp;" "&amp;D2099,
      'Valor Hora Real y Estimada'!$A$3:$Z$3,
      0
    ) + 1
  ),
  0
)</f>
        <v>0</v>
      </c>
      <c r="O2099" s="453"/>
      <c r="P2099" s="113"/>
      <c r="Q2099" s="106" t="str">
        <f>IF(ISBLANK(O2099), "", VLOOKUP(C2099&amp;" "&amp;D2099, 'Info Tipo de Cambio y REM'!$A$24:$B$35, 2, FALSE))</f>
        <v/>
      </c>
      <c r="R2099" s="107" t="str">
        <f t="shared" si="32"/>
        <v/>
      </c>
    </row>
    <row r="2100" hidden="1">
      <c r="A2100" s="443"/>
      <c r="B2100" s="43" t="str">
        <f>IF(A2100="", "", IFERROR(VLOOKUP(A2100, Clasificaciones!A:B, 2, FALSE), "DATO NO CARGADO"))
</f>
        <v/>
      </c>
      <c r="C2100" s="51"/>
      <c r="D2100" s="102"/>
      <c r="E2100" s="102"/>
      <c r="H2100" s="102"/>
      <c r="J2100" s="102"/>
      <c r="K2100" s="450"/>
      <c r="L2100" s="443"/>
      <c r="M2100" s="450"/>
      <c r="N2100" s="452">
        <f t="array" ref="N2100">IFERROR(
  INDEX(
    'Valor Hora Real y Estimada'!$A$4:$Z$78,
    MATCH(TRIM(CLEAN(A2100)), 'Valor Hora Real y Estimada'!$A$4:$A$78, 0),
    MATCH(
      TEXT(C2100,"dd mmm")&amp;" "&amp;D2100,
      'Valor Hora Real y Estimada'!$A$3:$Z$3,
      0
    ) + 1
  ),
  0
)</f>
        <v>0</v>
      </c>
      <c r="O2100" s="453"/>
      <c r="P2100" s="113"/>
      <c r="Q2100" s="106" t="str">
        <f>IF(ISBLANK(O2100), "", VLOOKUP(C2100&amp;" "&amp;D2100, 'Info Tipo de Cambio y REM'!$A$24:$B$35, 2, FALSE))</f>
        <v/>
      </c>
      <c r="R2100" s="107" t="str">
        <f t="shared" si="32"/>
        <v/>
      </c>
    </row>
    <row r="2101" hidden="1">
      <c r="A2101" s="443"/>
      <c r="B2101" s="43" t="str">
        <f>IF(A2101="", "", IFERROR(VLOOKUP(A2101, Clasificaciones!A:B, 2, FALSE), "DATO NO CARGADO"))
</f>
        <v/>
      </c>
      <c r="C2101" s="51"/>
      <c r="D2101" s="102"/>
      <c r="E2101" s="102"/>
      <c r="H2101" s="102"/>
      <c r="J2101" s="102"/>
      <c r="K2101" s="450"/>
      <c r="L2101" s="443"/>
      <c r="M2101" s="450"/>
      <c r="N2101" s="452">
        <f t="array" ref="N2101">IFERROR(
  INDEX(
    'Valor Hora Real y Estimada'!$A$4:$Z$78,
    MATCH(TRIM(CLEAN(A2101)), 'Valor Hora Real y Estimada'!$A$4:$A$78, 0),
    MATCH(
      TEXT(C2101,"dd mmm")&amp;" "&amp;D2101,
      'Valor Hora Real y Estimada'!$A$3:$Z$3,
      0
    ) + 1
  ),
  0
)</f>
        <v>0</v>
      </c>
      <c r="O2101" s="453"/>
      <c r="P2101" s="113"/>
      <c r="Q2101" s="106" t="str">
        <f>IF(ISBLANK(O2101), "", VLOOKUP(C2101&amp;" "&amp;D2101, 'Info Tipo de Cambio y REM'!$A$24:$B$35, 2, FALSE))</f>
        <v/>
      </c>
      <c r="R2101" s="107" t="str">
        <f t="shared" si="32"/>
        <v/>
      </c>
    </row>
    <row r="2102" hidden="1">
      <c r="A2102" s="443"/>
      <c r="B2102" s="43" t="str">
        <f>IF(A2102="", "", IFERROR(VLOOKUP(A2102, Clasificaciones!A:B, 2, FALSE), "DATO NO CARGADO"))
</f>
        <v/>
      </c>
      <c r="C2102" s="51"/>
      <c r="D2102" s="102"/>
      <c r="E2102" s="102"/>
      <c r="H2102" s="102"/>
      <c r="J2102" s="102"/>
      <c r="K2102" s="450"/>
      <c r="L2102" s="443"/>
      <c r="M2102" s="450"/>
      <c r="N2102" s="452">
        <f t="array" ref="N2102">IFERROR(
  INDEX(
    'Valor Hora Real y Estimada'!$A$4:$Z$78,
    MATCH(TRIM(CLEAN(A2102)), 'Valor Hora Real y Estimada'!$A$4:$A$78, 0),
    MATCH(
      TEXT(C2102,"dd mmm")&amp;" "&amp;D2102,
      'Valor Hora Real y Estimada'!$A$3:$Z$3,
      0
    ) + 1
  ),
  0
)</f>
        <v>0</v>
      </c>
      <c r="O2102" s="453"/>
      <c r="P2102" s="113"/>
      <c r="Q2102" s="106" t="str">
        <f>IF(ISBLANK(O2102), "", VLOOKUP(C2102&amp;" "&amp;D2102, 'Info Tipo de Cambio y REM'!$A$24:$B$35, 2, FALSE))</f>
        <v/>
      </c>
      <c r="R2102" s="107" t="str">
        <f t="shared" si="32"/>
        <v/>
      </c>
    </row>
    <row r="2103" hidden="1">
      <c r="A2103" s="443"/>
      <c r="B2103" s="43" t="str">
        <f>IF(A2103="", "", IFERROR(VLOOKUP(A2103, Clasificaciones!A:B, 2, FALSE), "DATO NO CARGADO"))
</f>
        <v/>
      </c>
      <c r="C2103" s="51"/>
      <c r="D2103" s="102"/>
      <c r="E2103" s="102"/>
      <c r="H2103" s="102"/>
      <c r="J2103" s="102"/>
      <c r="K2103" s="450"/>
      <c r="L2103" s="443"/>
      <c r="M2103" s="450"/>
      <c r="N2103" s="452">
        <f t="array" ref="N2103">IFERROR(
  INDEX(
    'Valor Hora Real y Estimada'!$A$4:$Z$78,
    MATCH(TRIM(CLEAN(A2103)), 'Valor Hora Real y Estimada'!$A$4:$A$78, 0),
    MATCH(
      TEXT(C2103,"dd mmm")&amp;" "&amp;D2103,
      'Valor Hora Real y Estimada'!$A$3:$Z$3,
      0
    ) + 1
  ),
  0
)</f>
        <v>0</v>
      </c>
      <c r="O2103" s="453"/>
      <c r="P2103" s="113"/>
      <c r="Q2103" s="106" t="str">
        <f>IF(ISBLANK(O2103), "", VLOOKUP(C2103&amp;" "&amp;D2103, 'Info Tipo de Cambio y REM'!$A$24:$B$35, 2, FALSE))</f>
        <v/>
      </c>
      <c r="R2103" s="107" t="str">
        <f t="shared" si="32"/>
        <v/>
      </c>
    </row>
    <row r="2104" hidden="1">
      <c r="A2104" s="443"/>
      <c r="B2104" s="43" t="str">
        <f>IF(A2104="", "", IFERROR(VLOOKUP(A2104, Clasificaciones!A:B, 2, FALSE), "DATO NO CARGADO"))
</f>
        <v/>
      </c>
      <c r="C2104" s="51"/>
      <c r="D2104" s="102"/>
      <c r="E2104" s="102"/>
      <c r="H2104" s="102"/>
      <c r="J2104" s="102"/>
      <c r="K2104" s="450"/>
      <c r="L2104" s="443"/>
      <c r="M2104" s="450"/>
      <c r="N2104" s="452">
        <f t="array" ref="N2104">IFERROR(
  INDEX(
    'Valor Hora Real y Estimada'!$A$4:$Z$78,
    MATCH(TRIM(CLEAN(A2104)), 'Valor Hora Real y Estimada'!$A$4:$A$78, 0),
    MATCH(
      TEXT(C2104,"dd mmm")&amp;" "&amp;D2104,
      'Valor Hora Real y Estimada'!$A$3:$Z$3,
      0
    ) + 1
  ),
  0
)</f>
        <v>0</v>
      </c>
      <c r="O2104" s="453"/>
      <c r="P2104" s="113"/>
      <c r="Q2104" s="106" t="str">
        <f>IF(ISBLANK(O2104), "", VLOOKUP(C2104&amp;" "&amp;D2104, 'Info Tipo de Cambio y REM'!$A$24:$B$35, 2, FALSE))</f>
        <v/>
      </c>
      <c r="R2104" s="107" t="str">
        <f t="shared" si="32"/>
        <v/>
      </c>
    </row>
    <row r="2105" hidden="1">
      <c r="A2105" s="443"/>
      <c r="B2105" s="43" t="str">
        <f>IF(A2105="", "", IFERROR(VLOOKUP(A2105, Clasificaciones!A:B, 2, FALSE), "DATO NO CARGADO"))
</f>
        <v/>
      </c>
      <c r="C2105" s="51"/>
      <c r="D2105" s="102"/>
      <c r="E2105" s="102"/>
      <c r="H2105" s="102"/>
      <c r="J2105" s="102"/>
      <c r="K2105" s="450"/>
      <c r="L2105" s="443"/>
      <c r="M2105" s="450"/>
      <c r="N2105" s="452">
        <f t="array" ref="N2105">IFERROR(
  INDEX(
    'Valor Hora Real y Estimada'!$A$4:$Z$78,
    MATCH(TRIM(CLEAN(A2105)), 'Valor Hora Real y Estimada'!$A$4:$A$78, 0),
    MATCH(
      TEXT(C2105,"dd mmm")&amp;" "&amp;D2105,
      'Valor Hora Real y Estimada'!$A$3:$Z$3,
      0
    ) + 1
  ),
  0
)</f>
        <v>0</v>
      </c>
      <c r="O2105" s="453"/>
      <c r="P2105" s="113"/>
      <c r="Q2105" s="106" t="str">
        <f>IF(ISBLANK(O2105), "", VLOOKUP(C2105&amp;" "&amp;D2105, 'Info Tipo de Cambio y REM'!$A$24:$B$35, 2, FALSE))</f>
        <v/>
      </c>
      <c r="R2105" s="107" t="str">
        <f t="shared" si="32"/>
        <v/>
      </c>
    </row>
    <row r="2106" hidden="1">
      <c r="A2106" s="443"/>
      <c r="B2106" s="43" t="str">
        <f>IF(A2106="", "", IFERROR(VLOOKUP(A2106, Clasificaciones!A:B, 2, FALSE), "DATO NO CARGADO"))
</f>
        <v/>
      </c>
      <c r="C2106" s="51"/>
      <c r="D2106" s="102"/>
      <c r="E2106" s="102"/>
      <c r="H2106" s="102"/>
      <c r="J2106" s="102"/>
      <c r="K2106" s="450"/>
      <c r="L2106" s="443"/>
      <c r="M2106" s="450"/>
      <c r="N2106" s="452">
        <f t="array" ref="N2106">IFERROR(
  INDEX(
    'Valor Hora Real y Estimada'!$A$4:$Z$78,
    MATCH(TRIM(CLEAN(A2106)), 'Valor Hora Real y Estimada'!$A$4:$A$78, 0),
    MATCH(
      TEXT(C2106,"dd mmm")&amp;" "&amp;D2106,
      'Valor Hora Real y Estimada'!$A$3:$Z$3,
      0
    ) + 1
  ),
  0
)</f>
        <v>0</v>
      </c>
      <c r="O2106" s="453"/>
      <c r="P2106" s="113"/>
      <c r="Q2106" s="106" t="str">
        <f>IF(ISBLANK(O2106), "", VLOOKUP(C2106&amp;" "&amp;D2106, 'Info Tipo de Cambio y REM'!$A$24:$B$35, 2, FALSE))</f>
        <v/>
      </c>
      <c r="R2106" s="107" t="str">
        <f t="shared" si="32"/>
        <v/>
      </c>
    </row>
    <row r="2107" hidden="1">
      <c r="A2107" s="443"/>
      <c r="B2107" s="43" t="str">
        <f>IF(A2107="", "", IFERROR(VLOOKUP(A2107, Clasificaciones!A:B, 2, FALSE), "DATO NO CARGADO"))
</f>
        <v/>
      </c>
      <c r="C2107" s="51"/>
      <c r="D2107" s="102"/>
      <c r="E2107" s="102"/>
      <c r="H2107" s="102"/>
      <c r="J2107" s="102"/>
      <c r="K2107" s="450"/>
      <c r="L2107" s="443"/>
      <c r="M2107" s="450"/>
      <c r="N2107" s="452">
        <f t="array" ref="N2107">IFERROR(
  INDEX(
    'Valor Hora Real y Estimada'!$A$4:$Z$78,
    MATCH(TRIM(CLEAN(A2107)), 'Valor Hora Real y Estimada'!$A$4:$A$78, 0),
    MATCH(
      TEXT(C2107,"dd mmm")&amp;" "&amp;D2107,
      'Valor Hora Real y Estimada'!$A$3:$Z$3,
      0
    ) + 1
  ),
  0
)</f>
        <v>0</v>
      </c>
      <c r="O2107" s="453"/>
      <c r="P2107" s="113"/>
      <c r="Q2107" s="106" t="str">
        <f>IF(ISBLANK(O2107), "", VLOOKUP(C2107&amp;" "&amp;D2107, 'Info Tipo de Cambio y REM'!$A$24:$B$35, 2, FALSE))</f>
        <v/>
      </c>
      <c r="R2107" s="107" t="str">
        <f t="shared" si="32"/>
        <v/>
      </c>
    </row>
    <row r="2108" hidden="1">
      <c r="A2108" s="443"/>
      <c r="B2108" s="43" t="str">
        <f>IF(A2108="", "", IFERROR(VLOOKUP(A2108, Clasificaciones!A:B, 2, FALSE), "DATO NO CARGADO"))
</f>
        <v/>
      </c>
      <c r="C2108" s="51"/>
      <c r="D2108" s="102"/>
      <c r="E2108" s="102"/>
      <c r="H2108" s="102"/>
      <c r="J2108" s="102"/>
      <c r="K2108" s="450"/>
      <c r="L2108" s="443"/>
      <c r="M2108" s="450"/>
      <c r="N2108" s="452">
        <f t="array" ref="N2108">IFERROR(
  INDEX(
    'Valor Hora Real y Estimada'!$A$4:$Z$78,
    MATCH(TRIM(CLEAN(A2108)), 'Valor Hora Real y Estimada'!$A$4:$A$78, 0),
    MATCH(
      TEXT(C2108,"dd mmm")&amp;" "&amp;D2108,
      'Valor Hora Real y Estimada'!$A$3:$Z$3,
      0
    ) + 1
  ),
  0
)</f>
        <v>0</v>
      </c>
      <c r="O2108" s="453"/>
      <c r="P2108" s="113"/>
      <c r="Q2108" s="106" t="str">
        <f>IF(ISBLANK(O2108), "", VLOOKUP(C2108&amp;" "&amp;D2108, 'Info Tipo de Cambio y REM'!$A$24:$B$35, 2, FALSE))</f>
        <v/>
      </c>
      <c r="R2108" s="107" t="str">
        <f t="shared" si="32"/>
        <v/>
      </c>
    </row>
    <row r="2109" hidden="1">
      <c r="A2109" s="443"/>
      <c r="B2109" s="43" t="str">
        <f>IF(A2109="", "", IFERROR(VLOOKUP(A2109, Clasificaciones!A:B, 2, FALSE), "DATO NO CARGADO"))
</f>
        <v/>
      </c>
      <c r="C2109" s="51"/>
      <c r="D2109" s="102"/>
      <c r="E2109" s="102"/>
      <c r="H2109" s="102"/>
      <c r="J2109" s="102"/>
      <c r="K2109" s="450"/>
      <c r="L2109" s="443"/>
      <c r="M2109" s="450"/>
      <c r="N2109" s="452">
        <f t="array" ref="N2109">IFERROR(
  INDEX(
    'Valor Hora Real y Estimada'!$A$4:$Z$78,
    MATCH(TRIM(CLEAN(A2109)), 'Valor Hora Real y Estimada'!$A$4:$A$78, 0),
    MATCH(
      TEXT(C2109,"dd mmm")&amp;" "&amp;D2109,
      'Valor Hora Real y Estimada'!$A$3:$Z$3,
      0
    ) + 1
  ),
  0
)</f>
        <v>0</v>
      </c>
      <c r="O2109" s="453"/>
      <c r="P2109" s="113"/>
      <c r="Q2109" s="106" t="str">
        <f>IF(ISBLANK(O2109), "", VLOOKUP(C2109&amp;" "&amp;D2109, 'Info Tipo de Cambio y REM'!$A$24:$B$35, 2, FALSE))</f>
        <v/>
      </c>
      <c r="R2109" s="107" t="str">
        <f t="shared" si="32"/>
        <v/>
      </c>
    </row>
    <row r="2110" hidden="1">
      <c r="A2110" s="443"/>
      <c r="B2110" s="43" t="str">
        <f>IF(A2110="", "", IFERROR(VLOOKUP(A2110, Clasificaciones!A:B, 2, FALSE), "DATO NO CARGADO"))
</f>
        <v/>
      </c>
      <c r="C2110" s="51"/>
      <c r="D2110" s="102"/>
      <c r="E2110" s="102"/>
      <c r="H2110" s="102"/>
      <c r="J2110" s="102"/>
      <c r="K2110" s="450"/>
      <c r="L2110" s="443"/>
      <c r="M2110" s="450"/>
      <c r="N2110" s="452">
        <f t="array" ref="N2110">IFERROR(
  INDEX(
    'Valor Hora Real y Estimada'!$A$4:$Z$78,
    MATCH(TRIM(CLEAN(A2110)), 'Valor Hora Real y Estimada'!$A$4:$A$78, 0),
    MATCH(
      TEXT(C2110,"dd mmm")&amp;" "&amp;D2110,
      'Valor Hora Real y Estimada'!$A$3:$Z$3,
      0
    ) + 1
  ),
  0
)</f>
        <v>0</v>
      </c>
      <c r="O2110" s="453"/>
      <c r="P2110" s="113"/>
      <c r="Q2110" s="106" t="str">
        <f>IF(ISBLANK(O2110), "", VLOOKUP(C2110&amp;" "&amp;D2110, 'Info Tipo de Cambio y REM'!$A$24:$B$35, 2, FALSE))</f>
        <v/>
      </c>
      <c r="R2110" s="107" t="str">
        <f t="shared" si="32"/>
        <v/>
      </c>
    </row>
    <row r="2111" hidden="1">
      <c r="A2111" s="443"/>
      <c r="B2111" s="43" t="str">
        <f>IF(A2111="", "", IFERROR(VLOOKUP(A2111, Clasificaciones!A:B, 2, FALSE), "DATO NO CARGADO"))
</f>
        <v/>
      </c>
      <c r="C2111" s="51"/>
      <c r="D2111" s="102"/>
      <c r="E2111" s="102"/>
      <c r="H2111" s="102"/>
      <c r="J2111" s="102"/>
      <c r="K2111" s="450"/>
      <c r="L2111" s="443"/>
      <c r="M2111" s="450"/>
      <c r="N2111" s="452">
        <f t="array" ref="N2111">IFERROR(
  INDEX(
    'Valor Hora Real y Estimada'!$A$4:$Z$78,
    MATCH(TRIM(CLEAN(A2111)), 'Valor Hora Real y Estimada'!$A$4:$A$78, 0),
    MATCH(
      TEXT(C2111,"dd mmm")&amp;" "&amp;D2111,
      'Valor Hora Real y Estimada'!$A$3:$Z$3,
      0
    ) + 1
  ),
  0
)</f>
        <v>0</v>
      </c>
      <c r="O2111" s="453"/>
      <c r="P2111" s="113"/>
      <c r="Q2111" s="106" t="str">
        <f>IF(ISBLANK(O2111), "", VLOOKUP(C2111&amp;" "&amp;D2111, 'Info Tipo de Cambio y REM'!$A$24:$B$35, 2, FALSE))</f>
        <v/>
      </c>
      <c r="R2111" s="107" t="str">
        <f t="shared" si="32"/>
        <v/>
      </c>
    </row>
    <row r="2112" hidden="1">
      <c r="A2112" s="443"/>
      <c r="B2112" s="43" t="str">
        <f>IF(A2112="", "", IFERROR(VLOOKUP(A2112, Clasificaciones!A:B, 2, FALSE), "DATO NO CARGADO"))
</f>
        <v/>
      </c>
      <c r="C2112" s="51"/>
      <c r="D2112" s="102"/>
      <c r="E2112" s="102"/>
      <c r="H2112" s="102"/>
      <c r="J2112" s="102"/>
      <c r="K2112" s="450"/>
      <c r="L2112" s="443"/>
      <c r="M2112" s="450"/>
      <c r="N2112" s="452">
        <f t="array" ref="N2112">IFERROR(
  INDEX(
    'Valor Hora Real y Estimada'!$A$4:$Z$78,
    MATCH(TRIM(CLEAN(A2112)), 'Valor Hora Real y Estimada'!$A$4:$A$78, 0),
    MATCH(
      TEXT(C2112,"dd mmm")&amp;" "&amp;D2112,
      'Valor Hora Real y Estimada'!$A$3:$Z$3,
      0
    ) + 1
  ),
  0
)</f>
        <v>0</v>
      </c>
      <c r="O2112" s="453"/>
      <c r="P2112" s="113"/>
      <c r="Q2112" s="106" t="str">
        <f>IF(ISBLANK(O2112), "", VLOOKUP(C2112&amp;" "&amp;D2112, 'Info Tipo de Cambio y REM'!$A$24:$B$35, 2, FALSE))</f>
        <v/>
      </c>
      <c r="R2112" s="107" t="str">
        <f t="shared" si="32"/>
        <v/>
      </c>
    </row>
    <row r="2113" hidden="1">
      <c r="A2113" s="443"/>
      <c r="B2113" s="43" t="str">
        <f>IF(A2113="", "", IFERROR(VLOOKUP(A2113, Clasificaciones!A:B, 2, FALSE), "DATO NO CARGADO"))
</f>
        <v/>
      </c>
      <c r="C2113" s="51"/>
      <c r="D2113" s="102"/>
      <c r="E2113" s="102"/>
      <c r="H2113" s="102"/>
      <c r="J2113" s="102"/>
      <c r="K2113" s="450"/>
      <c r="L2113" s="443"/>
      <c r="M2113" s="450"/>
      <c r="N2113" s="452">
        <f t="array" ref="N2113">IFERROR(
  INDEX(
    'Valor Hora Real y Estimada'!$A$4:$Z$78,
    MATCH(TRIM(CLEAN(A2113)), 'Valor Hora Real y Estimada'!$A$4:$A$78, 0),
    MATCH(
      TEXT(C2113,"dd mmm")&amp;" "&amp;D2113,
      'Valor Hora Real y Estimada'!$A$3:$Z$3,
      0
    ) + 1
  ),
  0
)</f>
        <v>0</v>
      </c>
      <c r="O2113" s="453"/>
      <c r="P2113" s="113"/>
      <c r="Q2113" s="106" t="str">
        <f>IF(ISBLANK(O2113), "", VLOOKUP(C2113&amp;" "&amp;D2113, 'Info Tipo de Cambio y REM'!$A$24:$B$35, 2, FALSE))</f>
        <v/>
      </c>
      <c r="R2113" s="107" t="str">
        <f t="shared" si="32"/>
        <v/>
      </c>
    </row>
    <row r="2114" hidden="1">
      <c r="A2114" s="443"/>
      <c r="B2114" s="43" t="str">
        <f>IF(A2114="", "", IFERROR(VLOOKUP(A2114, Clasificaciones!A:B, 2, FALSE), "DATO NO CARGADO"))
</f>
        <v/>
      </c>
      <c r="C2114" s="51"/>
      <c r="D2114" s="102"/>
      <c r="E2114" s="102"/>
      <c r="H2114" s="102"/>
      <c r="J2114" s="102"/>
      <c r="K2114" s="450"/>
      <c r="L2114" s="443"/>
      <c r="M2114" s="450"/>
      <c r="N2114" s="452">
        <f t="array" ref="N2114">IFERROR(
  INDEX(
    'Valor Hora Real y Estimada'!$A$4:$Z$78,
    MATCH(TRIM(CLEAN(A2114)), 'Valor Hora Real y Estimada'!$A$4:$A$78, 0),
    MATCH(
      TEXT(C2114,"dd mmm")&amp;" "&amp;D2114,
      'Valor Hora Real y Estimada'!$A$3:$Z$3,
      0
    ) + 1
  ),
  0
)</f>
        <v>0</v>
      </c>
      <c r="O2114" s="453"/>
      <c r="P2114" s="113"/>
      <c r="Q2114" s="106" t="str">
        <f>IF(ISBLANK(O2114), "", VLOOKUP(C2114&amp;" "&amp;D2114, 'Info Tipo de Cambio y REM'!$A$24:$B$35, 2, FALSE))</f>
        <v/>
      </c>
      <c r="R2114" s="107" t="str">
        <f t="shared" si="32"/>
        <v/>
      </c>
    </row>
    <row r="2115" hidden="1">
      <c r="A2115" s="443"/>
      <c r="B2115" s="43" t="str">
        <f>IF(A2115="", "", IFERROR(VLOOKUP(A2115, Clasificaciones!A:B, 2, FALSE), "DATO NO CARGADO"))
</f>
        <v/>
      </c>
      <c r="C2115" s="51"/>
      <c r="D2115" s="102"/>
      <c r="E2115" s="102"/>
      <c r="H2115" s="102"/>
      <c r="J2115" s="102"/>
      <c r="K2115" s="450"/>
      <c r="L2115" s="443"/>
      <c r="M2115" s="450"/>
      <c r="N2115" s="452">
        <f t="array" ref="N2115">IFERROR(
  INDEX(
    'Valor Hora Real y Estimada'!$A$4:$Z$78,
    MATCH(TRIM(CLEAN(A2115)), 'Valor Hora Real y Estimada'!$A$4:$A$78, 0),
    MATCH(
      TEXT(C2115,"dd mmm")&amp;" "&amp;D2115,
      'Valor Hora Real y Estimada'!$A$3:$Z$3,
      0
    ) + 1
  ),
  0
)</f>
        <v>0</v>
      </c>
      <c r="O2115" s="453"/>
      <c r="P2115" s="113"/>
      <c r="Q2115" s="106" t="str">
        <f>IF(ISBLANK(O2115), "", VLOOKUP(C2115&amp;" "&amp;D2115, 'Info Tipo de Cambio y REM'!$A$24:$B$35, 2, FALSE))</f>
        <v/>
      </c>
      <c r="R2115" s="107" t="str">
        <f t="shared" si="32"/>
        <v/>
      </c>
    </row>
    <row r="2116" hidden="1">
      <c r="A2116" s="443"/>
      <c r="B2116" s="43" t="str">
        <f>IF(A2116="", "", IFERROR(VLOOKUP(A2116, Clasificaciones!A:B, 2, FALSE), "DATO NO CARGADO"))
</f>
        <v/>
      </c>
      <c r="C2116" s="51"/>
      <c r="D2116" s="102"/>
      <c r="E2116" s="102"/>
      <c r="H2116" s="102"/>
      <c r="J2116" s="102"/>
      <c r="K2116" s="450"/>
      <c r="L2116" s="443"/>
      <c r="M2116" s="450"/>
      <c r="N2116" s="452">
        <f t="array" ref="N2116">IFERROR(
  INDEX(
    'Valor Hora Real y Estimada'!$A$4:$Z$78,
    MATCH(TRIM(CLEAN(A2116)), 'Valor Hora Real y Estimada'!$A$4:$A$78, 0),
    MATCH(
      TEXT(C2116,"dd mmm")&amp;" "&amp;D2116,
      'Valor Hora Real y Estimada'!$A$3:$Z$3,
      0
    ) + 1
  ),
  0
)</f>
        <v>0</v>
      </c>
      <c r="O2116" s="453"/>
      <c r="P2116" s="113"/>
      <c r="Q2116" s="106" t="str">
        <f>IF(ISBLANK(O2116), "", VLOOKUP(C2116&amp;" "&amp;D2116, 'Info Tipo de Cambio y REM'!$A$24:$B$35, 2, FALSE))</f>
        <v/>
      </c>
      <c r="R2116" s="107" t="str">
        <f t="shared" si="32"/>
        <v/>
      </c>
    </row>
    <row r="2117" hidden="1">
      <c r="A2117" s="443"/>
      <c r="B2117" s="43" t="str">
        <f>IF(A2117="", "", IFERROR(VLOOKUP(A2117, Clasificaciones!A:B, 2, FALSE), "DATO NO CARGADO"))
</f>
        <v/>
      </c>
      <c r="C2117" s="51"/>
      <c r="D2117" s="102"/>
      <c r="E2117" s="102"/>
      <c r="H2117" s="102"/>
      <c r="J2117" s="102"/>
      <c r="K2117" s="450"/>
      <c r="L2117" s="443"/>
      <c r="M2117" s="450"/>
      <c r="N2117" s="452">
        <f t="array" ref="N2117">IFERROR(
  INDEX(
    'Valor Hora Real y Estimada'!$A$4:$Z$78,
    MATCH(TRIM(CLEAN(A2117)), 'Valor Hora Real y Estimada'!$A$4:$A$78, 0),
    MATCH(
      TEXT(C2117,"dd mmm")&amp;" "&amp;D2117,
      'Valor Hora Real y Estimada'!$A$3:$Z$3,
      0
    ) + 1
  ),
  0
)</f>
        <v>0</v>
      </c>
      <c r="O2117" s="453"/>
      <c r="P2117" s="113"/>
      <c r="Q2117" s="106" t="str">
        <f>IF(ISBLANK(O2117), "", VLOOKUP(C2117&amp;" "&amp;D2117, 'Info Tipo de Cambio y REM'!$A$24:$B$35, 2, FALSE))</f>
        <v/>
      </c>
      <c r="R2117" s="107" t="str">
        <f t="shared" si="32"/>
        <v/>
      </c>
    </row>
    <row r="2118" hidden="1">
      <c r="A2118" s="443"/>
      <c r="B2118" s="43" t="str">
        <f>IF(A2118="", "", IFERROR(VLOOKUP(A2118, Clasificaciones!A:B, 2, FALSE), "DATO NO CARGADO"))
</f>
        <v/>
      </c>
      <c r="C2118" s="51"/>
      <c r="D2118" s="102"/>
      <c r="E2118" s="102"/>
      <c r="H2118" s="102"/>
      <c r="J2118" s="102"/>
      <c r="K2118" s="450"/>
      <c r="L2118" s="443"/>
      <c r="M2118" s="450"/>
      <c r="N2118" s="452">
        <f t="array" ref="N2118">IFERROR(
  INDEX(
    'Valor Hora Real y Estimada'!$A$4:$Z$78,
    MATCH(TRIM(CLEAN(A2118)), 'Valor Hora Real y Estimada'!$A$4:$A$78, 0),
    MATCH(
      TEXT(C2118,"dd mmm")&amp;" "&amp;D2118,
      'Valor Hora Real y Estimada'!$A$3:$Z$3,
      0
    ) + 1
  ),
  0
)</f>
        <v>0</v>
      </c>
      <c r="O2118" s="453"/>
      <c r="P2118" s="113"/>
      <c r="Q2118" s="106" t="str">
        <f>IF(ISBLANK(O2118), "", VLOOKUP(C2118&amp;" "&amp;D2118, 'Info Tipo de Cambio y REM'!$A$24:$B$35, 2, FALSE))</f>
        <v/>
      </c>
      <c r="R2118" s="107" t="str">
        <f t="shared" si="32"/>
        <v/>
      </c>
    </row>
    <row r="2119" hidden="1">
      <c r="A2119" s="443"/>
      <c r="B2119" s="43" t="str">
        <f>IF(A2119="", "", IFERROR(VLOOKUP(A2119, Clasificaciones!A:B, 2, FALSE), "DATO NO CARGADO"))
</f>
        <v/>
      </c>
      <c r="C2119" s="51"/>
      <c r="D2119" s="102"/>
      <c r="E2119" s="102"/>
      <c r="H2119" s="102"/>
      <c r="J2119" s="102"/>
      <c r="K2119" s="450"/>
      <c r="L2119" s="443"/>
      <c r="M2119" s="450"/>
      <c r="N2119" s="452">
        <f t="array" ref="N2119">IFERROR(
  INDEX(
    'Valor Hora Real y Estimada'!$A$4:$Z$78,
    MATCH(TRIM(CLEAN(A2119)), 'Valor Hora Real y Estimada'!$A$4:$A$78, 0),
    MATCH(
      TEXT(C2119,"dd mmm")&amp;" "&amp;D2119,
      'Valor Hora Real y Estimada'!$A$3:$Z$3,
      0
    ) + 1
  ),
  0
)</f>
        <v>0</v>
      </c>
      <c r="O2119" s="453"/>
      <c r="P2119" s="113"/>
      <c r="Q2119" s="106" t="str">
        <f>IF(ISBLANK(O2119), "", VLOOKUP(C2119&amp;" "&amp;D2119, 'Info Tipo de Cambio y REM'!$A$24:$B$35, 2, FALSE))</f>
        <v/>
      </c>
      <c r="R2119" s="107" t="str">
        <f t="shared" si="32"/>
        <v/>
      </c>
    </row>
    <row r="2120" hidden="1">
      <c r="A2120" s="443"/>
      <c r="B2120" s="43" t="str">
        <f>IF(A2120="", "", IFERROR(VLOOKUP(A2120, Clasificaciones!A:B, 2, FALSE), "DATO NO CARGADO"))
</f>
        <v/>
      </c>
      <c r="C2120" s="51"/>
      <c r="D2120" s="102"/>
      <c r="E2120" s="102"/>
      <c r="H2120" s="102"/>
      <c r="J2120" s="102"/>
      <c r="K2120" s="450"/>
      <c r="L2120" s="443"/>
      <c r="M2120" s="450"/>
      <c r="N2120" s="452">
        <f t="array" ref="N2120">IFERROR(
  INDEX(
    'Valor Hora Real y Estimada'!$A$4:$Z$78,
    MATCH(TRIM(CLEAN(A2120)), 'Valor Hora Real y Estimada'!$A$4:$A$78, 0),
    MATCH(
      TEXT(C2120,"dd mmm")&amp;" "&amp;D2120,
      'Valor Hora Real y Estimada'!$A$3:$Z$3,
      0
    ) + 1
  ),
  0
)</f>
        <v>0</v>
      </c>
      <c r="O2120" s="453"/>
      <c r="P2120" s="113"/>
      <c r="Q2120" s="106" t="str">
        <f>IF(ISBLANK(O2120), "", VLOOKUP(C2120&amp;" "&amp;D2120, 'Info Tipo de Cambio y REM'!$A$24:$B$35, 2, FALSE))</f>
        <v/>
      </c>
      <c r="R2120" s="107" t="str">
        <f t="shared" si="32"/>
        <v/>
      </c>
    </row>
    <row r="2121" hidden="1">
      <c r="A2121" s="443"/>
      <c r="B2121" s="43" t="str">
        <f>IF(A2121="", "", IFERROR(VLOOKUP(A2121, Clasificaciones!A:B, 2, FALSE), "DATO NO CARGADO"))
</f>
        <v/>
      </c>
      <c r="C2121" s="51"/>
      <c r="D2121" s="102"/>
      <c r="E2121" s="102"/>
      <c r="H2121" s="102"/>
      <c r="J2121" s="102"/>
      <c r="K2121" s="450"/>
      <c r="L2121" s="443"/>
      <c r="M2121" s="450"/>
      <c r="N2121" s="452">
        <f t="array" ref="N2121">IFERROR(
  INDEX(
    'Valor Hora Real y Estimada'!$A$4:$Z$78,
    MATCH(TRIM(CLEAN(A2121)), 'Valor Hora Real y Estimada'!$A$4:$A$78, 0),
    MATCH(
      TEXT(C2121,"dd mmm")&amp;" "&amp;D2121,
      'Valor Hora Real y Estimada'!$A$3:$Z$3,
      0
    ) + 1
  ),
  0
)</f>
        <v>0</v>
      </c>
      <c r="O2121" s="453"/>
      <c r="P2121" s="113"/>
      <c r="Q2121" s="106" t="str">
        <f>IF(ISBLANK(O2121), "", VLOOKUP(C2121&amp;" "&amp;D2121, 'Info Tipo de Cambio y REM'!$A$24:$B$35, 2, FALSE))</f>
        <v/>
      </c>
      <c r="R2121" s="107" t="str">
        <f t="shared" si="32"/>
        <v/>
      </c>
    </row>
    <row r="2122" hidden="1">
      <c r="A2122" s="443"/>
      <c r="B2122" s="43" t="str">
        <f>IF(A2122="", "", IFERROR(VLOOKUP(A2122, Clasificaciones!A:B, 2, FALSE), "DATO NO CARGADO"))
</f>
        <v/>
      </c>
      <c r="C2122" s="51"/>
      <c r="D2122" s="102"/>
      <c r="E2122" s="102"/>
      <c r="H2122" s="102"/>
      <c r="J2122" s="102"/>
      <c r="K2122" s="450"/>
      <c r="L2122" s="443"/>
      <c r="M2122" s="450"/>
      <c r="N2122" s="452">
        <f t="array" ref="N2122">IFERROR(
  INDEX(
    'Valor Hora Real y Estimada'!$A$4:$Z$78,
    MATCH(TRIM(CLEAN(A2122)), 'Valor Hora Real y Estimada'!$A$4:$A$78, 0),
    MATCH(
      TEXT(C2122,"dd mmm")&amp;" "&amp;D2122,
      'Valor Hora Real y Estimada'!$A$3:$Z$3,
      0
    ) + 1
  ),
  0
)</f>
        <v>0</v>
      </c>
      <c r="O2122" s="453"/>
      <c r="P2122" s="113"/>
      <c r="Q2122" s="106" t="str">
        <f>IF(ISBLANK(O2122), "", VLOOKUP(C2122&amp;" "&amp;D2122, 'Info Tipo de Cambio y REM'!$A$24:$B$35, 2, FALSE))</f>
        <v/>
      </c>
      <c r="R2122" s="107" t="str">
        <f t="shared" si="32"/>
        <v/>
      </c>
    </row>
    <row r="2123" hidden="1">
      <c r="A2123" s="443"/>
      <c r="B2123" s="43" t="str">
        <f>IF(A2123="", "", IFERROR(VLOOKUP(A2123, Clasificaciones!A:B, 2, FALSE), "DATO NO CARGADO"))
</f>
        <v/>
      </c>
      <c r="C2123" s="51"/>
      <c r="D2123" s="102"/>
      <c r="E2123" s="102"/>
      <c r="H2123" s="102"/>
      <c r="J2123" s="102"/>
      <c r="K2123" s="450"/>
      <c r="L2123" s="443"/>
      <c r="M2123" s="450"/>
      <c r="N2123" s="452">
        <f t="array" ref="N2123">IFERROR(
  INDEX(
    'Valor Hora Real y Estimada'!$A$4:$Z$78,
    MATCH(TRIM(CLEAN(A2123)), 'Valor Hora Real y Estimada'!$A$4:$A$78, 0),
    MATCH(
      TEXT(C2123,"dd mmm")&amp;" "&amp;D2123,
      'Valor Hora Real y Estimada'!$A$3:$Z$3,
      0
    ) + 1
  ),
  0
)</f>
        <v>0</v>
      </c>
      <c r="O2123" s="453"/>
      <c r="P2123" s="113"/>
      <c r="Q2123" s="106" t="str">
        <f>IF(ISBLANK(O2123), "", VLOOKUP(C2123&amp;" "&amp;D2123, 'Info Tipo de Cambio y REM'!$A$24:$B$35, 2, FALSE))</f>
        <v/>
      </c>
      <c r="R2123" s="107" t="str">
        <f t="shared" si="32"/>
        <v/>
      </c>
    </row>
    <row r="2124" hidden="1">
      <c r="A2124" s="443"/>
      <c r="B2124" s="43" t="str">
        <f>IF(A2124="", "", IFERROR(VLOOKUP(A2124, Clasificaciones!A:B, 2, FALSE), "DATO NO CARGADO"))
</f>
        <v/>
      </c>
      <c r="C2124" s="51"/>
      <c r="D2124" s="102"/>
      <c r="E2124" s="102"/>
      <c r="H2124" s="102"/>
      <c r="J2124" s="102"/>
      <c r="K2124" s="450"/>
      <c r="L2124" s="443"/>
      <c r="M2124" s="450"/>
      <c r="N2124" s="452">
        <f t="array" ref="N2124">IFERROR(
  INDEX(
    'Valor Hora Real y Estimada'!$A$4:$Z$78,
    MATCH(TRIM(CLEAN(A2124)), 'Valor Hora Real y Estimada'!$A$4:$A$78, 0),
    MATCH(
      TEXT(C2124,"dd mmm")&amp;" "&amp;D2124,
      'Valor Hora Real y Estimada'!$A$3:$Z$3,
      0
    ) + 1
  ),
  0
)</f>
        <v>0</v>
      </c>
      <c r="O2124" s="453"/>
      <c r="P2124" s="113"/>
      <c r="Q2124" s="106" t="str">
        <f>IF(ISBLANK(O2124), "", VLOOKUP(C2124&amp;" "&amp;D2124, 'Info Tipo de Cambio y REM'!$A$24:$B$35, 2, FALSE))</f>
        <v/>
      </c>
      <c r="R2124" s="107" t="str">
        <f t="shared" si="32"/>
        <v/>
      </c>
    </row>
    <row r="2125" hidden="1">
      <c r="A2125" s="443"/>
      <c r="B2125" s="43" t="str">
        <f>IF(A2125="", "", IFERROR(VLOOKUP(A2125, Clasificaciones!A:B, 2, FALSE), "DATO NO CARGADO"))
</f>
        <v/>
      </c>
      <c r="C2125" s="51"/>
      <c r="D2125" s="102"/>
      <c r="E2125" s="102"/>
      <c r="H2125" s="102"/>
      <c r="J2125" s="102"/>
      <c r="K2125" s="450"/>
      <c r="L2125" s="443"/>
      <c r="M2125" s="450"/>
      <c r="N2125" s="452">
        <f t="array" ref="N2125">IFERROR(
  INDEX(
    'Valor Hora Real y Estimada'!$A$4:$Z$78,
    MATCH(TRIM(CLEAN(A2125)), 'Valor Hora Real y Estimada'!$A$4:$A$78, 0),
    MATCH(
      TEXT(C2125,"dd mmm")&amp;" "&amp;D2125,
      'Valor Hora Real y Estimada'!$A$3:$Z$3,
      0
    ) + 1
  ),
  0
)</f>
        <v>0</v>
      </c>
      <c r="O2125" s="453"/>
      <c r="P2125" s="113"/>
      <c r="Q2125" s="106" t="str">
        <f>IF(ISBLANK(O2125), "", VLOOKUP(C2125&amp;" "&amp;D2125, 'Info Tipo de Cambio y REM'!$A$24:$B$35, 2, FALSE))</f>
        <v/>
      </c>
      <c r="R2125" s="107" t="str">
        <f t="shared" si="32"/>
        <v/>
      </c>
    </row>
    <row r="2126" hidden="1">
      <c r="A2126" s="443"/>
      <c r="B2126" s="43" t="str">
        <f>IF(A2126="", "", IFERROR(VLOOKUP(A2126, Clasificaciones!A:B, 2, FALSE), "DATO NO CARGADO"))
</f>
        <v/>
      </c>
      <c r="C2126" s="51"/>
      <c r="D2126" s="102"/>
      <c r="E2126" s="102"/>
      <c r="H2126" s="102"/>
      <c r="J2126" s="102"/>
      <c r="K2126" s="450"/>
      <c r="L2126" s="443"/>
      <c r="M2126" s="450"/>
      <c r="N2126" s="452">
        <f t="array" ref="N2126">IFERROR(
  INDEX(
    'Valor Hora Real y Estimada'!$A$4:$Z$78,
    MATCH(TRIM(CLEAN(A2126)), 'Valor Hora Real y Estimada'!$A$4:$A$78, 0),
    MATCH(
      TEXT(C2126,"dd mmm")&amp;" "&amp;D2126,
      'Valor Hora Real y Estimada'!$A$3:$Z$3,
      0
    ) + 1
  ),
  0
)</f>
        <v>0</v>
      </c>
      <c r="O2126" s="453"/>
      <c r="P2126" s="113"/>
      <c r="Q2126" s="106" t="str">
        <f>IF(ISBLANK(O2126), "", VLOOKUP(C2126&amp;" "&amp;D2126, 'Info Tipo de Cambio y REM'!$A$24:$B$35, 2, FALSE))</f>
        <v/>
      </c>
      <c r="R2126" s="107" t="str">
        <f t="shared" si="32"/>
        <v/>
      </c>
    </row>
    <row r="2127" hidden="1">
      <c r="A2127" s="443"/>
      <c r="B2127" s="43" t="str">
        <f>IF(A2127="", "", IFERROR(VLOOKUP(A2127, Clasificaciones!A:B, 2, FALSE), "DATO NO CARGADO"))
</f>
        <v/>
      </c>
      <c r="C2127" s="51"/>
      <c r="D2127" s="102"/>
      <c r="E2127" s="102"/>
      <c r="H2127" s="102"/>
      <c r="J2127" s="102"/>
      <c r="K2127" s="450"/>
      <c r="L2127" s="443"/>
      <c r="M2127" s="450"/>
      <c r="N2127" s="452">
        <f t="array" ref="N2127">IFERROR(
  INDEX(
    'Valor Hora Real y Estimada'!$A$4:$Z$78,
    MATCH(TRIM(CLEAN(A2127)), 'Valor Hora Real y Estimada'!$A$4:$A$78, 0),
    MATCH(
      TEXT(C2127,"dd mmm")&amp;" "&amp;D2127,
      'Valor Hora Real y Estimada'!$A$3:$Z$3,
      0
    ) + 1
  ),
  0
)</f>
        <v>0</v>
      </c>
      <c r="O2127" s="453"/>
      <c r="P2127" s="113"/>
      <c r="Q2127" s="106" t="str">
        <f>IF(ISBLANK(O2127), "", VLOOKUP(C2127&amp;" "&amp;D2127, 'Info Tipo de Cambio y REM'!$A$24:$B$35, 2, FALSE))</f>
        <v/>
      </c>
      <c r="R2127" s="107" t="str">
        <f t="shared" si="32"/>
        <v/>
      </c>
    </row>
    <row r="2128" hidden="1">
      <c r="A2128" s="443"/>
      <c r="B2128" s="43" t="str">
        <f>IF(A2128="", "", IFERROR(VLOOKUP(A2128, Clasificaciones!A:B, 2, FALSE), "DATO NO CARGADO"))
</f>
        <v/>
      </c>
      <c r="C2128" s="51"/>
      <c r="D2128" s="102"/>
      <c r="E2128" s="102"/>
      <c r="H2128" s="102"/>
      <c r="J2128" s="102"/>
      <c r="K2128" s="450"/>
      <c r="L2128" s="443"/>
      <c r="M2128" s="450"/>
      <c r="N2128" s="452">
        <f t="array" ref="N2128">IFERROR(
  INDEX(
    'Valor Hora Real y Estimada'!$A$4:$Z$78,
    MATCH(TRIM(CLEAN(A2128)), 'Valor Hora Real y Estimada'!$A$4:$A$78, 0),
    MATCH(
      TEXT(C2128,"dd mmm")&amp;" "&amp;D2128,
      'Valor Hora Real y Estimada'!$A$3:$Z$3,
      0
    ) + 1
  ),
  0
)</f>
        <v>0</v>
      </c>
      <c r="O2128" s="453"/>
      <c r="P2128" s="113"/>
      <c r="Q2128" s="106" t="str">
        <f>IF(ISBLANK(O2128), "", VLOOKUP(C2128&amp;" "&amp;D2128, 'Info Tipo de Cambio y REM'!$A$24:$B$35, 2, FALSE))</f>
        <v/>
      </c>
      <c r="R2128" s="107" t="str">
        <f t="shared" si="32"/>
        <v/>
      </c>
    </row>
    <row r="2129" hidden="1">
      <c r="A2129" s="443"/>
      <c r="B2129" s="43" t="str">
        <f>IF(A2129="", "", IFERROR(VLOOKUP(A2129, Clasificaciones!A:B, 2, FALSE), "DATO NO CARGADO"))
</f>
        <v/>
      </c>
      <c r="C2129" s="51"/>
      <c r="D2129" s="102"/>
      <c r="E2129" s="102"/>
      <c r="H2129" s="102"/>
      <c r="J2129" s="102"/>
      <c r="K2129" s="450"/>
      <c r="L2129" s="443"/>
      <c r="M2129" s="450"/>
      <c r="N2129" s="452">
        <f t="array" ref="N2129">IFERROR(
  INDEX(
    'Valor Hora Real y Estimada'!$A$4:$Z$78,
    MATCH(TRIM(CLEAN(A2129)), 'Valor Hora Real y Estimada'!$A$4:$A$78, 0),
    MATCH(
      TEXT(C2129,"dd mmm")&amp;" "&amp;D2129,
      'Valor Hora Real y Estimada'!$A$3:$Z$3,
      0
    ) + 1
  ),
  0
)</f>
        <v>0</v>
      </c>
      <c r="O2129" s="453"/>
      <c r="P2129" s="113"/>
      <c r="Q2129" s="106" t="str">
        <f>IF(ISBLANK(O2129), "", VLOOKUP(C2129&amp;" "&amp;D2129, 'Info Tipo de Cambio y REM'!$A$24:$B$35, 2, FALSE))</f>
        <v/>
      </c>
      <c r="R2129" s="107" t="str">
        <f t="shared" si="32"/>
        <v/>
      </c>
    </row>
    <row r="2130" hidden="1">
      <c r="A2130" s="443"/>
      <c r="B2130" s="43" t="str">
        <f>IF(A2130="", "", IFERROR(VLOOKUP(A2130, Clasificaciones!A:B, 2, FALSE), "DATO NO CARGADO"))
</f>
        <v/>
      </c>
      <c r="C2130" s="51"/>
      <c r="D2130" s="102"/>
      <c r="E2130" s="102"/>
      <c r="H2130" s="102"/>
      <c r="J2130" s="102"/>
      <c r="K2130" s="450"/>
      <c r="L2130" s="443"/>
      <c r="M2130" s="450"/>
      <c r="N2130" s="452">
        <f t="array" ref="N2130">IFERROR(
  INDEX(
    'Valor Hora Real y Estimada'!$A$4:$Z$78,
    MATCH(TRIM(CLEAN(A2130)), 'Valor Hora Real y Estimada'!$A$4:$A$78, 0),
    MATCH(
      TEXT(C2130,"dd mmm")&amp;" "&amp;D2130,
      'Valor Hora Real y Estimada'!$A$3:$Z$3,
      0
    ) + 1
  ),
  0
)</f>
        <v>0</v>
      </c>
      <c r="O2130" s="453"/>
      <c r="P2130" s="113"/>
      <c r="Q2130" s="106" t="str">
        <f>IF(ISBLANK(O2130), "", VLOOKUP(C2130&amp;" "&amp;D2130, 'Info Tipo de Cambio y REM'!$A$24:$B$35, 2, FALSE))</f>
        <v/>
      </c>
      <c r="R2130" s="107" t="str">
        <f t="shared" si="32"/>
        <v/>
      </c>
    </row>
    <row r="2131" hidden="1">
      <c r="A2131" s="443"/>
      <c r="B2131" s="43" t="str">
        <f>IF(A2131="", "", IFERROR(VLOOKUP(A2131, Clasificaciones!A:B, 2, FALSE), "DATO NO CARGADO"))
</f>
        <v/>
      </c>
      <c r="C2131" s="51"/>
      <c r="D2131" s="102"/>
      <c r="E2131" s="102"/>
      <c r="H2131" s="102"/>
      <c r="J2131" s="102"/>
      <c r="K2131" s="450"/>
      <c r="L2131" s="443"/>
      <c r="M2131" s="450"/>
      <c r="N2131" s="452">
        <f t="array" ref="N2131">IFERROR(
  INDEX(
    'Valor Hora Real y Estimada'!$A$4:$Z$78,
    MATCH(TRIM(CLEAN(A2131)), 'Valor Hora Real y Estimada'!$A$4:$A$78, 0),
    MATCH(
      TEXT(C2131,"dd mmm")&amp;" "&amp;D2131,
      'Valor Hora Real y Estimada'!$A$3:$Z$3,
      0
    ) + 1
  ),
  0
)</f>
        <v>0</v>
      </c>
      <c r="O2131" s="453"/>
      <c r="P2131" s="113"/>
      <c r="Q2131" s="106" t="str">
        <f>IF(ISBLANK(O2131), "", VLOOKUP(C2131&amp;" "&amp;D2131, 'Info Tipo de Cambio y REM'!$A$24:$B$35, 2, FALSE))</f>
        <v/>
      </c>
      <c r="R2131" s="107" t="str">
        <f t="shared" si="32"/>
        <v/>
      </c>
    </row>
    <row r="2132" hidden="1">
      <c r="A2132" s="443"/>
      <c r="B2132" s="43" t="str">
        <f>IF(A2132="", "", IFERROR(VLOOKUP(A2132, Clasificaciones!A:B, 2, FALSE), "DATO NO CARGADO"))
</f>
        <v/>
      </c>
      <c r="C2132" s="51"/>
      <c r="D2132" s="102"/>
      <c r="E2132" s="102"/>
      <c r="H2132" s="102"/>
      <c r="J2132" s="102"/>
      <c r="K2132" s="450"/>
      <c r="L2132" s="443"/>
      <c r="M2132" s="450"/>
      <c r="N2132" s="452">
        <f t="array" ref="N2132">IFERROR(
  INDEX(
    'Valor Hora Real y Estimada'!$A$4:$Z$78,
    MATCH(TRIM(CLEAN(A2132)), 'Valor Hora Real y Estimada'!$A$4:$A$78, 0),
    MATCH(
      TEXT(C2132,"dd mmm")&amp;" "&amp;D2132,
      'Valor Hora Real y Estimada'!$A$3:$Z$3,
      0
    ) + 1
  ),
  0
)</f>
        <v>0</v>
      </c>
      <c r="O2132" s="453"/>
      <c r="P2132" s="113"/>
      <c r="Q2132" s="106" t="str">
        <f>IF(ISBLANK(O2132), "", VLOOKUP(C2132&amp;" "&amp;D2132, 'Info Tipo de Cambio y REM'!$A$24:$B$35, 2, FALSE))</f>
        <v/>
      </c>
      <c r="R2132" s="107" t="str">
        <f t="shared" si="32"/>
        <v/>
      </c>
    </row>
    <row r="2133" hidden="1">
      <c r="A2133" s="443"/>
      <c r="B2133" s="43" t="str">
        <f>IF(A2133="", "", IFERROR(VLOOKUP(A2133, Clasificaciones!A:B, 2, FALSE), "DATO NO CARGADO"))
</f>
        <v/>
      </c>
      <c r="C2133" s="51"/>
      <c r="D2133" s="102"/>
      <c r="E2133" s="102"/>
      <c r="H2133" s="102"/>
      <c r="J2133" s="102"/>
      <c r="K2133" s="450"/>
      <c r="L2133" s="443"/>
      <c r="M2133" s="450"/>
      <c r="N2133" s="452">
        <f t="array" ref="N2133">IFERROR(
  INDEX(
    'Valor Hora Real y Estimada'!$A$4:$Z$78,
    MATCH(TRIM(CLEAN(A2133)), 'Valor Hora Real y Estimada'!$A$4:$A$78, 0),
    MATCH(
      TEXT(C2133,"dd mmm")&amp;" "&amp;D2133,
      'Valor Hora Real y Estimada'!$A$3:$Z$3,
      0
    ) + 1
  ),
  0
)</f>
        <v>0</v>
      </c>
      <c r="O2133" s="453"/>
      <c r="P2133" s="113"/>
      <c r="Q2133" s="106" t="str">
        <f>IF(ISBLANK(O2133), "", VLOOKUP(C2133&amp;" "&amp;D2133, 'Info Tipo de Cambio y REM'!$A$24:$B$35, 2, FALSE))</f>
        <v/>
      </c>
      <c r="R2133" s="107" t="str">
        <f t="shared" si="32"/>
        <v/>
      </c>
    </row>
    <row r="2134" hidden="1">
      <c r="A2134" s="443"/>
      <c r="B2134" s="43" t="str">
        <f>IF(A2134="", "", IFERROR(VLOOKUP(A2134, Clasificaciones!A:B, 2, FALSE), "DATO NO CARGADO"))
</f>
        <v/>
      </c>
      <c r="C2134" s="51"/>
      <c r="D2134" s="102"/>
      <c r="E2134" s="102"/>
      <c r="H2134" s="102"/>
      <c r="J2134" s="102"/>
      <c r="K2134" s="450"/>
      <c r="L2134" s="443"/>
      <c r="M2134" s="450"/>
      <c r="N2134" s="452">
        <f t="array" ref="N2134">IFERROR(
  INDEX(
    'Valor Hora Real y Estimada'!$A$4:$Z$78,
    MATCH(TRIM(CLEAN(A2134)), 'Valor Hora Real y Estimada'!$A$4:$A$78, 0),
    MATCH(
      TEXT(C2134,"dd mmm")&amp;" "&amp;D2134,
      'Valor Hora Real y Estimada'!$A$3:$Z$3,
      0
    ) + 1
  ),
  0
)</f>
        <v>0</v>
      </c>
      <c r="O2134" s="453"/>
      <c r="P2134" s="113"/>
      <c r="Q2134" s="106" t="str">
        <f>IF(ISBLANK(O2134), "", VLOOKUP(C2134&amp;" "&amp;D2134, 'Info Tipo de Cambio y REM'!$A$24:$B$35, 2, FALSE))</f>
        <v/>
      </c>
      <c r="R2134" s="107" t="str">
        <f t="shared" si="32"/>
        <v/>
      </c>
    </row>
    <row r="2135" hidden="1">
      <c r="A2135" s="443"/>
      <c r="B2135" s="43" t="str">
        <f>IF(A2135="", "", IFERROR(VLOOKUP(A2135, Clasificaciones!A:B, 2, FALSE), "DATO NO CARGADO"))
</f>
        <v/>
      </c>
      <c r="C2135" s="51"/>
      <c r="D2135" s="102"/>
      <c r="E2135" s="102"/>
      <c r="H2135" s="102"/>
      <c r="J2135" s="102"/>
      <c r="K2135" s="450"/>
      <c r="L2135" s="443"/>
      <c r="M2135" s="450"/>
      <c r="N2135" s="452">
        <f t="array" ref="N2135">IFERROR(
  INDEX(
    'Valor Hora Real y Estimada'!$A$4:$Z$78,
    MATCH(TRIM(CLEAN(A2135)), 'Valor Hora Real y Estimada'!$A$4:$A$78, 0),
    MATCH(
      TEXT(C2135,"dd mmm")&amp;" "&amp;D2135,
      'Valor Hora Real y Estimada'!$A$3:$Z$3,
      0
    ) + 1
  ),
  0
)</f>
        <v>0</v>
      </c>
      <c r="O2135" s="453"/>
      <c r="P2135" s="113"/>
      <c r="Q2135" s="106" t="str">
        <f>IF(ISBLANK(O2135), "", VLOOKUP(C2135&amp;" "&amp;D2135, 'Info Tipo de Cambio y REM'!$A$24:$B$35, 2, FALSE))</f>
        <v/>
      </c>
      <c r="R2135" s="107" t="str">
        <f t="shared" si="32"/>
        <v/>
      </c>
    </row>
    <row r="2136" hidden="1">
      <c r="A2136" s="443"/>
      <c r="B2136" s="43" t="str">
        <f>IF(A2136="", "", IFERROR(VLOOKUP(A2136, Clasificaciones!A:B, 2, FALSE), "DATO NO CARGADO"))
</f>
        <v/>
      </c>
      <c r="C2136" s="51"/>
      <c r="D2136" s="102"/>
      <c r="E2136" s="102"/>
      <c r="H2136" s="102"/>
      <c r="J2136" s="102"/>
      <c r="K2136" s="450"/>
      <c r="L2136" s="443"/>
      <c r="M2136" s="450"/>
      <c r="N2136" s="452">
        <f t="array" ref="N2136">IFERROR(
  INDEX(
    'Valor Hora Real y Estimada'!$A$4:$Z$78,
    MATCH(TRIM(CLEAN(A2136)), 'Valor Hora Real y Estimada'!$A$4:$A$78, 0),
    MATCH(
      TEXT(C2136,"dd mmm")&amp;" "&amp;D2136,
      'Valor Hora Real y Estimada'!$A$3:$Z$3,
      0
    ) + 1
  ),
  0
)</f>
        <v>0</v>
      </c>
      <c r="O2136" s="453"/>
      <c r="P2136" s="113"/>
      <c r="Q2136" s="106" t="str">
        <f>IF(ISBLANK(O2136), "", VLOOKUP(C2136&amp;" "&amp;D2136, 'Info Tipo de Cambio y REM'!$A$24:$B$35, 2, FALSE))</f>
        <v/>
      </c>
      <c r="R2136" s="107" t="str">
        <f t="shared" si="32"/>
        <v/>
      </c>
    </row>
    <row r="2137" hidden="1">
      <c r="A2137" s="443"/>
      <c r="B2137" s="43" t="str">
        <f>IF(A2137="", "", IFERROR(VLOOKUP(A2137, Clasificaciones!A:B, 2, FALSE), "DATO NO CARGADO"))
</f>
        <v/>
      </c>
      <c r="C2137" s="51"/>
      <c r="D2137" s="102"/>
      <c r="E2137" s="102"/>
      <c r="H2137" s="102"/>
      <c r="J2137" s="102"/>
      <c r="K2137" s="450"/>
      <c r="L2137" s="443"/>
      <c r="M2137" s="450"/>
      <c r="N2137" s="452">
        <f t="array" ref="N2137">IFERROR(
  INDEX(
    'Valor Hora Real y Estimada'!$A$4:$Z$78,
    MATCH(TRIM(CLEAN(A2137)), 'Valor Hora Real y Estimada'!$A$4:$A$78, 0),
    MATCH(
      TEXT(C2137,"dd mmm")&amp;" "&amp;D2137,
      'Valor Hora Real y Estimada'!$A$3:$Z$3,
      0
    ) + 1
  ),
  0
)</f>
        <v>0</v>
      </c>
      <c r="O2137" s="453"/>
      <c r="P2137" s="113"/>
      <c r="Q2137" s="106" t="str">
        <f>IF(ISBLANK(O2137), "", VLOOKUP(C2137&amp;" "&amp;D2137, 'Info Tipo de Cambio y REM'!$A$24:$B$35, 2, FALSE))</f>
        <v/>
      </c>
      <c r="R2137" s="107" t="str">
        <f t="shared" si="32"/>
        <v/>
      </c>
    </row>
    <row r="2138" hidden="1">
      <c r="A2138" s="443"/>
      <c r="B2138" s="43" t="str">
        <f>IF(A2138="", "", IFERROR(VLOOKUP(A2138, Clasificaciones!A:B, 2, FALSE), "DATO NO CARGADO"))
</f>
        <v/>
      </c>
      <c r="C2138" s="51"/>
      <c r="D2138" s="102"/>
      <c r="E2138" s="102"/>
      <c r="H2138" s="102"/>
      <c r="J2138" s="102"/>
      <c r="K2138" s="450"/>
      <c r="L2138" s="443"/>
      <c r="M2138" s="450"/>
      <c r="N2138" s="452">
        <f t="array" ref="N2138">IFERROR(
  INDEX(
    'Valor Hora Real y Estimada'!$A$4:$Z$78,
    MATCH(TRIM(CLEAN(A2138)), 'Valor Hora Real y Estimada'!$A$4:$A$78, 0),
    MATCH(
      TEXT(C2138,"dd mmm")&amp;" "&amp;D2138,
      'Valor Hora Real y Estimada'!$A$3:$Z$3,
      0
    ) + 1
  ),
  0
)</f>
        <v>0</v>
      </c>
      <c r="O2138" s="453"/>
      <c r="P2138" s="113"/>
      <c r="Q2138" s="106" t="str">
        <f>IF(ISBLANK(O2138), "", VLOOKUP(C2138&amp;" "&amp;D2138, 'Info Tipo de Cambio y REM'!$A$24:$B$35, 2, FALSE))</f>
        <v/>
      </c>
      <c r="R2138" s="107" t="str">
        <f t="shared" si="32"/>
        <v/>
      </c>
    </row>
    <row r="2139" hidden="1">
      <c r="A2139" s="443"/>
      <c r="B2139" s="43" t="str">
        <f>IF(A2139="", "", IFERROR(VLOOKUP(A2139, Clasificaciones!A:B, 2, FALSE), "DATO NO CARGADO"))
</f>
        <v/>
      </c>
      <c r="C2139" s="51"/>
      <c r="D2139" s="102"/>
      <c r="E2139" s="102"/>
      <c r="H2139" s="102"/>
      <c r="J2139" s="102"/>
      <c r="K2139" s="450"/>
      <c r="L2139" s="443"/>
      <c r="M2139" s="450"/>
      <c r="N2139" s="452">
        <f t="array" ref="N2139">IFERROR(
  INDEX(
    'Valor Hora Real y Estimada'!$A$4:$Z$78,
    MATCH(TRIM(CLEAN(A2139)), 'Valor Hora Real y Estimada'!$A$4:$A$78, 0),
    MATCH(
      TEXT(C2139,"dd mmm")&amp;" "&amp;D2139,
      'Valor Hora Real y Estimada'!$A$3:$Z$3,
      0
    ) + 1
  ),
  0
)</f>
        <v>0</v>
      </c>
      <c r="O2139" s="453"/>
      <c r="P2139" s="113"/>
      <c r="Q2139" s="106" t="str">
        <f>IF(ISBLANK(O2139), "", VLOOKUP(C2139&amp;" "&amp;D2139, 'Info Tipo de Cambio y REM'!$A$24:$B$35, 2, FALSE))</f>
        <v/>
      </c>
      <c r="R2139" s="107" t="str">
        <f t="shared" si="32"/>
        <v/>
      </c>
    </row>
    <row r="2140" hidden="1">
      <c r="A2140" s="443"/>
      <c r="B2140" s="43" t="str">
        <f>IF(A2140="", "", IFERROR(VLOOKUP(A2140, Clasificaciones!A:B, 2, FALSE), "DATO NO CARGADO"))
</f>
        <v/>
      </c>
      <c r="C2140" s="51"/>
      <c r="D2140" s="102"/>
      <c r="E2140" s="102"/>
      <c r="H2140" s="102"/>
      <c r="J2140" s="102"/>
      <c r="K2140" s="450"/>
      <c r="L2140" s="443"/>
      <c r="M2140" s="450"/>
      <c r="N2140" s="452">
        <f t="array" ref="N2140">IFERROR(
  INDEX(
    'Valor Hora Real y Estimada'!$A$4:$Z$78,
    MATCH(TRIM(CLEAN(A2140)), 'Valor Hora Real y Estimada'!$A$4:$A$78, 0),
    MATCH(
      TEXT(C2140,"dd mmm")&amp;" "&amp;D2140,
      'Valor Hora Real y Estimada'!$A$3:$Z$3,
      0
    ) + 1
  ),
  0
)</f>
        <v>0</v>
      </c>
      <c r="O2140" s="453"/>
      <c r="P2140" s="113"/>
      <c r="Q2140" s="106" t="str">
        <f>IF(ISBLANK(O2140), "", VLOOKUP(C2140&amp;" "&amp;D2140, 'Info Tipo de Cambio y REM'!$A$24:$B$35, 2, FALSE))</f>
        <v/>
      </c>
      <c r="R2140" s="107" t="str">
        <f t="shared" si="32"/>
        <v/>
      </c>
    </row>
    <row r="2141" hidden="1">
      <c r="A2141" s="443"/>
      <c r="B2141" s="43" t="str">
        <f>IF(A2141="", "", IFERROR(VLOOKUP(A2141, Clasificaciones!A:B, 2, FALSE), "DATO NO CARGADO"))
</f>
        <v/>
      </c>
      <c r="C2141" s="51"/>
      <c r="D2141" s="102"/>
      <c r="E2141" s="102"/>
      <c r="H2141" s="102"/>
      <c r="J2141" s="102"/>
      <c r="K2141" s="450"/>
      <c r="L2141" s="443"/>
      <c r="M2141" s="450"/>
      <c r="N2141" s="452">
        <f t="array" ref="N2141">IFERROR(
  INDEX(
    'Valor Hora Real y Estimada'!$A$4:$Z$78,
    MATCH(TRIM(CLEAN(A2141)), 'Valor Hora Real y Estimada'!$A$4:$A$78, 0),
    MATCH(
      TEXT(C2141,"dd mmm")&amp;" "&amp;D2141,
      'Valor Hora Real y Estimada'!$A$3:$Z$3,
      0
    ) + 1
  ),
  0
)</f>
        <v>0</v>
      </c>
      <c r="O2141" s="453"/>
      <c r="P2141" s="113"/>
      <c r="Q2141" s="106" t="str">
        <f>IF(ISBLANK(O2141), "", VLOOKUP(C2141&amp;" "&amp;D2141, 'Info Tipo de Cambio y REM'!$A$24:$B$35, 2, FALSE))</f>
        <v/>
      </c>
      <c r="R2141" s="107" t="str">
        <f t="shared" si="32"/>
        <v/>
      </c>
    </row>
    <row r="2142" hidden="1">
      <c r="A2142" s="443"/>
      <c r="B2142" s="43" t="str">
        <f>IF(A2142="", "", IFERROR(VLOOKUP(A2142, Clasificaciones!A:B, 2, FALSE), "DATO NO CARGADO"))
</f>
        <v/>
      </c>
      <c r="C2142" s="51"/>
      <c r="D2142" s="102"/>
      <c r="E2142" s="102"/>
      <c r="H2142" s="102"/>
      <c r="J2142" s="102"/>
      <c r="K2142" s="450"/>
      <c r="L2142" s="443"/>
      <c r="M2142" s="450"/>
      <c r="N2142" s="452">
        <f t="array" ref="N2142">IFERROR(
  INDEX(
    'Valor Hora Real y Estimada'!$A$4:$Z$78,
    MATCH(TRIM(CLEAN(A2142)), 'Valor Hora Real y Estimada'!$A$4:$A$78, 0),
    MATCH(
      TEXT(C2142,"dd mmm")&amp;" "&amp;D2142,
      'Valor Hora Real y Estimada'!$A$3:$Z$3,
      0
    ) + 1
  ),
  0
)</f>
        <v>0</v>
      </c>
      <c r="O2142" s="453"/>
      <c r="P2142" s="113"/>
      <c r="Q2142" s="106" t="str">
        <f>IF(ISBLANK(O2142), "", VLOOKUP(C2142&amp;" "&amp;D2142, 'Info Tipo de Cambio y REM'!$A$24:$B$35, 2, FALSE))</f>
        <v/>
      </c>
      <c r="R2142" s="107" t="str">
        <f t="shared" si="32"/>
        <v/>
      </c>
    </row>
    <row r="2143" hidden="1">
      <c r="A2143" s="443"/>
      <c r="B2143" s="43" t="str">
        <f>IF(A2143="", "", IFERROR(VLOOKUP(A2143, Clasificaciones!A:B, 2, FALSE), "DATO NO CARGADO"))
</f>
        <v/>
      </c>
      <c r="C2143" s="51"/>
      <c r="D2143" s="102"/>
      <c r="E2143" s="102"/>
      <c r="H2143" s="102"/>
      <c r="J2143" s="102"/>
      <c r="K2143" s="450"/>
      <c r="L2143" s="443"/>
      <c r="M2143" s="450"/>
      <c r="N2143" s="452">
        <f t="array" ref="N2143">IFERROR(
  INDEX(
    'Valor Hora Real y Estimada'!$A$4:$Z$78,
    MATCH(TRIM(CLEAN(A2143)), 'Valor Hora Real y Estimada'!$A$4:$A$78, 0),
    MATCH(
      TEXT(C2143,"dd mmm")&amp;" "&amp;D2143,
      'Valor Hora Real y Estimada'!$A$3:$Z$3,
      0
    ) + 1
  ),
  0
)</f>
        <v>0</v>
      </c>
      <c r="O2143" s="453"/>
      <c r="P2143" s="113"/>
      <c r="Q2143" s="106" t="str">
        <f>IF(ISBLANK(O2143), "", VLOOKUP(C2143&amp;" "&amp;D2143, 'Info Tipo de Cambio y REM'!$A$24:$B$35, 2, FALSE))</f>
        <v/>
      </c>
      <c r="R2143" s="107" t="str">
        <f t="shared" si="32"/>
        <v/>
      </c>
    </row>
    <row r="2144" hidden="1">
      <c r="A2144" s="443"/>
      <c r="B2144" s="43" t="str">
        <f>IF(A2144="", "", IFERROR(VLOOKUP(A2144, Clasificaciones!A:B, 2, FALSE), "DATO NO CARGADO"))
</f>
        <v/>
      </c>
      <c r="C2144" s="51"/>
      <c r="D2144" s="102"/>
      <c r="E2144" s="102"/>
      <c r="H2144" s="102"/>
      <c r="J2144" s="102"/>
      <c r="K2144" s="450"/>
      <c r="L2144" s="443"/>
      <c r="M2144" s="450"/>
      <c r="N2144" s="452">
        <f t="array" ref="N2144">IFERROR(
  INDEX(
    'Valor Hora Real y Estimada'!$A$4:$Z$78,
    MATCH(TRIM(CLEAN(A2144)), 'Valor Hora Real y Estimada'!$A$4:$A$78, 0),
    MATCH(
      TEXT(C2144,"dd mmm")&amp;" "&amp;D2144,
      'Valor Hora Real y Estimada'!$A$3:$Z$3,
      0
    ) + 1
  ),
  0
)</f>
        <v>0</v>
      </c>
      <c r="O2144" s="453"/>
      <c r="P2144" s="113"/>
      <c r="Q2144" s="106" t="str">
        <f>IF(ISBLANK(O2144), "", VLOOKUP(C2144&amp;" "&amp;D2144, 'Info Tipo de Cambio y REM'!$A$24:$B$35, 2, FALSE))</f>
        <v/>
      </c>
      <c r="R2144" s="107" t="str">
        <f t="shared" si="32"/>
        <v/>
      </c>
    </row>
    <row r="2145" hidden="1">
      <c r="A2145" s="443"/>
      <c r="B2145" s="43" t="str">
        <f>IF(A2145="", "", IFERROR(VLOOKUP(A2145, Clasificaciones!A:B, 2, FALSE), "DATO NO CARGADO"))
</f>
        <v/>
      </c>
      <c r="C2145" s="51"/>
      <c r="D2145" s="102"/>
      <c r="E2145" s="102"/>
      <c r="H2145" s="102"/>
      <c r="J2145" s="102"/>
      <c r="K2145" s="450"/>
      <c r="L2145" s="443"/>
      <c r="M2145" s="450"/>
      <c r="N2145" s="452">
        <f t="array" ref="N2145">IFERROR(
  INDEX(
    'Valor Hora Real y Estimada'!$A$4:$Z$78,
    MATCH(TRIM(CLEAN(A2145)), 'Valor Hora Real y Estimada'!$A$4:$A$78, 0),
    MATCH(
      TEXT(C2145,"dd mmm")&amp;" "&amp;D2145,
      'Valor Hora Real y Estimada'!$A$3:$Z$3,
      0
    ) + 1
  ),
  0
)</f>
        <v>0</v>
      </c>
      <c r="O2145" s="453"/>
      <c r="P2145" s="113"/>
      <c r="Q2145" s="106" t="str">
        <f>IF(ISBLANK(O2145), "", VLOOKUP(C2145&amp;" "&amp;D2145, 'Info Tipo de Cambio y REM'!$A$24:$B$35, 2, FALSE))</f>
        <v/>
      </c>
      <c r="R2145" s="107" t="str">
        <f t="shared" si="32"/>
        <v/>
      </c>
    </row>
    <row r="2146" hidden="1">
      <c r="A2146" s="443"/>
      <c r="B2146" s="43" t="str">
        <f>IF(A2146="", "", IFERROR(VLOOKUP(A2146, Clasificaciones!A:B, 2, FALSE), "DATO NO CARGADO"))
</f>
        <v/>
      </c>
      <c r="C2146" s="51"/>
      <c r="D2146" s="102"/>
      <c r="E2146" s="102"/>
      <c r="H2146" s="102"/>
      <c r="J2146" s="102"/>
      <c r="K2146" s="450"/>
      <c r="L2146" s="443"/>
      <c r="M2146" s="450"/>
      <c r="N2146" s="452">
        <f t="array" ref="N2146">IFERROR(
  INDEX(
    'Valor Hora Real y Estimada'!$A$4:$Z$78,
    MATCH(TRIM(CLEAN(A2146)), 'Valor Hora Real y Estimada'!$A$4:$A$78, 0),
    MATCH(
      TEXT(C2146,"dd mmm")&amp;" "&amp;D2146,
      'Valor Hora Real y Estimada'!$A$3:$Z$3,
      0
    ) + 1
  ),
  0
)</f>
        <v>0</v>
      </c>
      <c r="O2146" s="453"/>
      <c r="P2146" s="113"/>
      <c r="Q2146" s="106" t="str">
        <f>IF(ISBLANK(O2146), "", VLOOKUP(C2146&amp;" "&amp;D2146, 'Info Tipo de Cambio y REM'!$A$24:$B$35, 2, FALSE))</f>
        <v/>
      </c>
      <c r="R2146" s="107" t="str">
        <f t="shared" si="32"/>
        <v/>
      </c>
    </row>
    <row r="2147" hidden="1">
      <c r="A2147" s="443"/>
      <c r="B2147" s="43" t="str">
        <f>IF(A2147="", "", IFERROR(VLOOKUP(A2147, Clasificaciones!A:B, 2, FALSE), "DATO NO CARGADO"))
</f>
        <v/>
      </c>
      <c r="C2147" s="51"/>
      <c r="D2147" s="102"/>
      <c r="E2147" s="102"/>
      <c r="H2147" s="102"/>
      <c r="J2147" s="102"/>
      <c r="K2147" s="450"/>
      <c r="L2147" s="443"/>
      <c r="M2147" s="450"/>
      <c r="N2147" s="452">
        <f t="array" ref="N2147">IFERROR(
  INDEX(
    'Valor Hora Real y Estimada'!$A$4:$Z$78,
    MATCH(TRIM(CLEAN(A2147)), 'Valor Hora Real y Estimada'!$A$4:$A$78, 0),
    MATCH(
      TEXT(C2147,"dd mmm")&amp;" "&amp;D2147,
      'Valor Hora Real y Estimada'!$A$3:$Z$3,
      0
    ) + 1
  ),
  0
)</f>
        <v>0</v>
      </c>
      <c r="O2147" s="453"/>
      <c r="P2147" s="113"/>
      <c r="Q2147" s="106" t="str">
        <f>IF(ISBLANK(O2147), "", VLOOKUP(C2147&amp;" "&amp;D2147, 'Info Tipo de Cambio y REM'!$A$24:$B$35, 2, FALSE))</f>
        <v/>
      </c>
      <c r="R2147" s="107" t="str">
        <f t="shared" si="32"/>
        <v/>
      </c>
    </row>
    <row r="2148" hidden="1">
      <c r="A2148" s="443"/>
      <c r="B2148" s="43" t="str">
        <f>IF(A2148="", "", IFERROR(VLOOKUP(A2148, Clasificaciones!A:B, 2, FALSE), "DATO NO CARGADO"))
</f>
        <v/>
      </c>
      <c r="C2148" s="51"/>
      <c r="D2148" s="102"/>
      <c r="E2148" s="102"/>
      <c r="H2148" s="102"/>
      <c r="J2148" s="102"/>
      <c r="K2148" s="450"/>
      <c r="L2148" s="443"/>
      <c r="M2148" s="450"/>
      <c r="N2148" s="452">
        <f t="array" ref="N2148">IFERROR(
  INDEX(
    'Valor Hora Real y Estimada'!$A$4:$Z$78,
    MATCH(TRIM(CLEAN(A2148)), 'Valor Hora Real y Estimada'!$A$4:$A$78, 0),
    MATCH(
      TEXT(C2148,"dd mmm")&amp;" "&amp;D2148,
      'Valor Hora Real y Estimada'!$A$3:$Z$3,
      0
    ) + 1
  ),
  0
)</f>
        <v>0</v>
      </c>
      <c r="O2148" s="453"/>
      <c r="P2148" s="113"/>
      <c r="Q2148" s="106" t="str">
        <f>IF(ISBLANK(O2148), "", VLOOKUP(C2148&amp;" "&amp;D2148, 'Info Tipo de Cambio y REM'!$A$24:$B$35, 2, FALSE))</f>
        <v/>
      </c>
      <c r="R2148" s="107" t="str">
        <f t="shared" si="32"/>
        <v/>
      </c>
    </row>
    <row r="2149" hidden="1">
      <c r="A2149" s="443"/>
      <c r="B2149" s="43" t="str">
        <f>IF(A2149="", "", IFERROR(VLOOKUP(A2149, Clasificaciones!A:B, 2, FALSE), "DATO NO CARGADO"))
</f>
        <v/>
      </c>
      <c r="C2149" s="51"/>
      <c r="D2149" s="102"/>
      <c r="E2149" s="102"/>
      <c r="H2149" s="102"/>
      <c r="J2149" s="102"/>
      <c r="K2149" s="450"/>
      <c r="L2149" s="443"/>
      <c r="M2149" s="450"/>
      <c r="N2149" s="452">
        <f t="array" ref="N2149">IFERROR(
  INDEX(
    'Valor Hora Real y Estimada'!$A$4:$Z$78,
    MATCH(TRIM(CLEAN(A2149)), 'Valor Hora Real y Estimada'!$A$4:$A$78, 0),
    MATCH(
      TEXT(C2149,"dd mmm")&amp;" "&amp;D2149,
      'Valor Hora Real y Estimada'!$A$3:$Z$3,
      0
    ) + 1
  ),
  0
)</f>
        <v>0</v>
      </c>
      <c r="O2149" s="453"/>
      <c r="P2149" s="113"/>
      <c r="Q2149" s="106" t="str">
        <f>IF(ISBLANK(O2149), "", VLOOKUP(C2149&amp;" "&amp;D2149, 'Info Tipo de Cambio y REM'!$A$24:$B$35, 2, FALSE))</f>
        <v/>
      </c>
      <c r="R2149" s="107" t="str">
        <f t="shared" si="32"/>
        <v/>
      </c>
    </row>
    <row r="2150" hidden="1">
      <c r="A2150" s="443"/>
      <c r="B2150" s="43" t="str">
        <f>IF(A2150="", "", IFERROR(VLOOKUP(A2150, Clasificaciones!A:B, 2, FALSE), "DATO NO CARGADO"))
</f>
        <v/>
      </c>
      <c r="C2150" s="51"/>
      <c r="D2150" s="102"/>
      <c r="E2150" s="102"/>
      <c r="H2150" s="102"/>
      <c r="J2150" s="102"/>
      <c r="K2150" s="450"/>
      <c r="L2150" s="443"/>
      <c r="M2150" s="450"/>
      <c r="N2150" s="452">
        <f t="array" ref="N2150">IFERROR(
  INDEX(
    'Valor Hora Real y Estimada'!$A$4:$Z$78,
    MATCH(TRIM(CLEAN(A2150)), 'Valor Hora Real y Estimada'!$A$4:$A$78, 0),
    MATCH(
      TEXT(C2150,"dd mmm")&amp;" "&amp;D2150,
      'Valor Hora Real y Estimada'!$A$3:$Z$3,
      0
    ) + 1
  ),
  0
)</f>
        <v>0</v>
      </c>
      <c r="O2150" s="453"/>
      <c r="P2150" s="113"/>
      <c r="Q2150" s="106" t="str">
        <f>IF(ISBLANK(O2150), "", VLOOKUP(C2150&amp;" "&amp;D2150, 'Info Tipo de Cambio y REM'!$A$24:$B$35, 2, FALSE))</f>
        <v/>
      </c>
      <c r="R2150" s="107" t="str">
        <f t="shared" si="32"/>
        <v/>
      </c>
    </row>
    <row r="2151" hidden="1">
      <c r="A2151" s="443"/>
      <c r="B2151" s="43" t="str">
        <f>IF(A2151="", "", IFERROR(VLOOKUP(A2151, Clasificaciones!A:B, 2, FALSE), "DATO NO CARGADO"))
</f>
        <v/>
      </c>
      <c r="C2151" s="51"/>
      <c r="D2151" s="102"/>
      <c r="E2151" s="102"/>
      <c r="H2151" s="102"/>
      <c r="J2151" s="102"/>
      <c r="K2151" s="450"/>
      <c r="L2151" s="443"/>
      <c r="M2151" s="450"/>
      <c r="N2151" s="452">
        <f t="array" ref="N2151">IFERROR(
  INDEX(
    'Valor Hora Real y Estimada'!$A$4:$Z$78,
    MATCH(TRIM(CLEAN(A2151)), 'Valor Hora Real y Estimada'!$A$4:$A$78, 0),
    MATCH(
      TEXT(C2151,"dd mmm")&amp;" "&amp;D2151,
      'Valor Hora Real y Estimada'!$A$3:$Z$3,
      0
    ) + 1
  ),
  0
)</f>
        <v>0</v>
      </c>
      <c r="O2151" s="453"/>
      <c r="P2151" s="113"/>
      <c r="Q2151" s="106" t="str">
        <f>IF(ISBLANK(O2151), "", VLOOKUP(C2151&amp;" "&amp;D2151, 'Info Tipo de Cambio y REM'!$A$24:$B$35, 2, FALSE))</f>
        <v/>
      </c>
      <c r="R2151" s="107" t="str">
        <f t="shared" si="32"/>
        <v/>
      </c>
    </row>
    <row r="2152" hidden="1">
      <c r="A2152" s="443"/>
      <c r="B2152" s="43" t="str">
        <f>IF(A2152="", "", IFERROR(VLOOKUP(A2152, Clasificaciones!A:B, 2, FALSE), "DATO NO CARGADO"))
</f>
        <v/>
      </c>
      <c r="C2152" s="51"/>
      <c r="D2152" s="102"/>
      <c r="E2152" s="102"/>
      <c r="H2152" s="102"/>
      <c r="J2152" s="102"/>
      <c r="K2152" s="450"/>
      <c r="L2152" s="443"/>
      <c r="M2152" s="450"/>
      <c r="N2152" s="452">
        <f t="array" ref="N2152">IFERROR(
  INDEX(
    'Valor Hora Real y Estimada'!$A$4:$Z$78,
    MATCH(TRIM(CLEAN(A2152)), 'Valor Hora Real y Estimada'!$A$4:$A$78, 0),
    MATCH(
      TEXT(C2152,"dd mmm")&amp;" "&amp;D2152,
      'Valor Hora Real y Estimada'!$A$3:$Z$3,
      0
    ) + 1
  ),
  0
)</f>
        <v>0</v>
      </c>
      <c r="O2152" s="453"/>
      <c r="P2152" s="113"/>
      <c r="Q2152" s="106" t="str">
        <f>IF(ISBLANK(O2152), "", VLOOKUP(C2152&amp;" "&amp;D2152, 'Info Tipo de Cambio y REM'!$A$24:$B$35, 2, FALSE))</f>
        <v/>
      </c>
      <c r="R2152" s="107" t="str">
        <f t="shared" si="32"/>
        <v/>
      </c>
    </row>
    <row r="2153" hidden="1">
      <c r="A2153" s="443"/>
      <c r="B2153" s="43" t="str">
        <f>IF(A2153="", "", IFERROR(VLOOKUP(A2153, Clasificaciones!A:B, 2, FALSE), "DATO NO CARGADO"))
</f>
        <v/>
      </c>
      <c r="C2153" s="51"/>
      <c r="D2153" s="102"/>
      <c r="E2153" s="102"/>
      <c r="H2153" s="102"/>
      <c r="J2153" s="102"/>
      <c r="K2153" s="450"/>
      <c r="L2153" s="443"/>
      <c r="M2153" s="450"/>
      <c r="N2153" s="452">
        <f t="array" ref="N2153">IFERROR(
  INDEX(
    'Valor Hora Real y Estimada'!$A$4:$Z$78,
    MATCH(TRIM(CLEAN(A2153)), 'Valor Hora Real y Estimada'!$A$4:$A$78, 0),
    MATCH(
      TEXT(C2153,"dd mmm")&amp;" "&amp;D2153,
      'Valor Hora Real y Estimada'!$A$3:$Z$3,
      0
    ) + 1
  ),
  0
)</f>
        <v>0</v>
      </c>
      <c r="O2153" s="453"/>
      <c r="P2153" s="113"/>
      <c r="Q2153" s="106" t="str">
        <f>IF(ISBLANK(O2153), "", VLOOKUP(C2153&amp;" "&amp;D2153, 'Info Tipo de Cambio y REM'!$A$24:$B$35, 2, FALSE))</f>
        <v/>
      </c>
      <c r="R2153" s="107" t="str">
        <f t="shared" si="32"/>
        <v/>
      </c>
    </row>
    <row r="2154" hidden="1">
      <c r="A2154" s="443"/>
      <c r="B2154" s="43" t="str">
        <f>IF(A2154="", "", IFERROR(VLOOKUP(A2154, Clasificaciones!A:B, 2, FALSE), "DATO NO CARGADO"))
</f>
        <v/>
      </c>
      <c r="C2154" s="51"/>
      <c r="D2154" s="102"/>
      <c r="E2154" s="102"/>
      <c r="H2154" s="102"/>
      <c r="J2154" s="102"/>
      <c r="K2154" s="450"/>
      <c r="L2154" s="443"/>
      <c r="M2154" s="450"/>
      <c r="N2154" s="452">
        <f t="array" ref="N2154">IFERROR(
  INDEX(
    'Valor Hora Real y Estimada'!$A$4:$Z$78,
    MATCH(TRIM(CLEAN(A2154)), 'Valor Hora Real y Estimada'!$A$4:$A$78, 0),
    MATCH(
      TEXT(C2154,"dd mmm")&amp;" "&amp;D2154,
      'Valor Hora Real y Estimada'!$A$3:$Z$3,
      0
    ) + 1
  ),
  0
)</f>
        <v>0</v>
      </c>
      <c r="O2154" s="453"/>
      <c r="P2154" s="113"/>
      <c r="Q2154" s="106" t="str">
        <f>IF(ISBLANK(O2154), "", VLOOKUP(C2154&amp;" "&amp;D2154, 'Info Tipo de Cambio y REM'!$A$24:$B$35, 2, FALSE))</f>
        <v/>
      </c>
      <c r="R2154" s="107" t="str">
        <f t="shared" si="32"/>
        <v/>
      </c>
    </row>
    <row r="2155" hidden="1">
      <c r="A2155" s="443"/>
      <c r="B2155" s="43" t="str">
        <f>IF(A2155="", "", IFERROR(VLOOKUP(A2155, Clasificaciones!A:B, 2, FALSE), "DATO NO CARGADO"))
</f>
        <v/>
      </c>
      <c r="C2155" s="51"/>
      <c r="D2155" s="102"/>
      <c r="E2155" s="102"/>
      <c r="H2155" s="102"/>
      <c r="J2155" s="102"/>
      <c r="K2155" s="450"/>
      <c r="L2155" s="443"/>
      <c r="M2155" s="450"/>
      <c r="N2155" s="452">
        <f t="array" ref="N2155">IFERROR(
  INDEX(
    'Valor Hora Real y Estimada'!$A$4:$Z$78,
    MATCH(TRIM(CLEAN(A2155)), 'Valor Hora Real y Estimada'!$A$4:$A$78, 0),
    MATCH(
      TEXT(C2155,"dd mmm")&amp;" "&amp;D2155,
      'Valor Hora Real y Estimada'!$A$3:$Z$3,
      0
    ) + 1
  ),
  0
)</f>
        <v>0</v>
      </c>
      <c r="O2155" s="453"/>
      <c r="P2155" s="113"/>
      <c r="Q2155" s="106" t="str">
        <f>IF(ISBLANK(O2155), "", VLOOKUP(C2155&amp;" "&amp;D2155, 'Info Tipo de Cambio y REM'!$A$24:$B$35, 2, FALSE))</f>
        <v/>
      </c>
      <c r="R2155" s="107" t="str">
        <f t="shared" si="32"/>
        <v/>
      </c>
    </row>
    <row r="2156" hidden="1">
      <c r="A2156" s="443"/>
      <c r="B2156" s="43" t="str">
        <f>IF(A2156="", "", IFERROR(VLOOKUP(A2156, Clasificaciones!A:B, 2, FALSE), "DATO NO CARGADO"))
</f>
        <v/>
      </c>
      <c r="C2156" s="51"/>
      <c r="D2156" s="102"/>
      <c r="E2156" s="102"/>
      <c r="H2156" s="102"/>
      <c r="J2156" s="102"/>
      <c r="K2156" s="450"/>
      <c r="L2156" s="443"/>
      <c r="M2156" s="450"/>
      <c r="N2156" s="452">
        <f t="array" ref="N2156">IFERROR(
  INDEX(
    'Valor Hora Real y Estimada'!$A$4:$Z$78,
    MATCH(TRIM(CLEAN(A2156)), 'Valor Hora Real y Estimada'!$A$4:$A$78, 0),
    MATCH(
      TEXT(C2156,"dd mmm")&amp;" "&amp;D2156,
      'Valor Hora Real y Estimada'!$A$3:$Z$3,
      0
    ) + 1
  ),
  0
)</f>
        <v>0</v>
      </c>
      <c r="O2156" s="453"/>
      <c r="P2156" s="113"/>
      <c r="Q2156" s="106" t="str">
        <f>IF(ISBLANK(O2156), "", VLOOKUP(C2156&amp;" "&amp;D2156, 'Info Tipo de Cambio y REM'!$A$24:$B$35, 2, FALSE))</f>
        <v/>
      </c>
      <c r="R2156" s="107" t="str">
        <f t="shared" si="32"/>
        <v/>
      </c>
    </row>
    <row r="2157" hidden="1">
      <c r="A2157" s="443"/>
      <c r="B2157" s="43" t="str">
        <f>IF(A2157="", "", IFERROR(VLOOKUP(A2157, Clasificaciones!A:B, 2, FALSE), "DATO NO CARGADO"))
</f>
        <v/>
      </c>
      <c r="C2157" s="51"/>
      <c r="D2157" s="102"/>
      <c r="E2157" s="102"/>
      <c r="H2157" s="102"/>
      <c r="J2157" s="102"/>
      <c r="K2157" s="450"/>
      <c r="L2157" s="443"/>
      <c r="M2157" s="450"/>
      <c r="N2157" s="452">
        <f t="array" ref="N2157">IFERROR(
  INDEX(
    'Valor Hora Real y Estimada'!$A$4:$Z$78,
    MATCH(TRIM(CLEAN(A2157)), 'Valor Hora Real y Estimada'!$A$4:$A$78, 0),
    MATCH(
      TEXT(C2157,"dd mmm")&amp;" "&amp;D2157,
      'Valor Hora Real y Estimada'!$A$3:$Z$3,
      0
    ) + 1
  ),
  0
)</f>
        <v>0</v>
      </c>
      <c r="O2157" s="453"/>
      <c r="P2157" s="113"/>
      <c r="Q2157" s="106" t="str">
        <f>IF(ISBLANK(O2157), "", VLOOKUP(C2157&amp;" "&amp;D2157, 'Info Tipo de Cambio y REM'!$A$24:$B$35, 2, FALSE))</f>
        <v/>
      </c>
      <c r="R2157" s="107" t="str">
        <f t="shared" si="32"/>
        <v/>
      </c>
    </row>
    <row r="2158" hidden="1">
      <c r="A2158" s="443"/>
      <c r="B2158" s="43" t="str">
        <f>IF(A2158="", "", IFERROR(VLOOKUP(A2158, Clasificaciones!A:B, 2, FALSE), "DATO NO CARGADO"))
</f>
        <v/>
      </c>
      <c r="C2158" s="51"/>
      <c r="D2158" s="102"/>
      <c r="E2158" s="102"/>
      <c r="H2158" s="102"/>
      <c r="J2158" s="102"/>
      <c r="K2158" s="450"/>
      <c r="L2158" s="443"/>
      <c r="M2158" s="450"/>
      <c r="N2158" s="452">
        <f t="array" ref="N2158">IFERROR(
  INDEX(
    'Valor Hora Real y Estimada'!$A$4:$Z$78,
    MATCH(TRIM(CLEAN(A2158)), 'Valor Hora Real y Estimada'!$A$4:$A$78, 0),
    MATCH(
      TEXT(C2158,"dd mmm")&amp;" "&amp;D2158,
      'Valor Hora Real y Estimada'!$A$3:$Z$3,
      0
    ) + 1
  ),
  0
)</f>
        <v>0</v>
      </c>
      <c r="O2158" s="453"/>
      <c r="P2158" s="113"/>
      <c r="Q2158" s="106" t="str">
        <f>IF(ISBLANK(O2158), "", VLOOKUP(C2158&amp;" "&amp;D2158, 'Info Tipo de Cambio y REM'!$A$24:$B$35, 2, FALSE))</f>
        <v/>
      </c>
      <c r="R2158" s="107" t="str">
        <f t="shared" si="32"/>
        <v/>
      </c>
    </row>
    <row r="2159" hidden="1">
      <c r="A2159" s="443"/>
      <c r="B2159" s="43" t="str">
        <f>IF(A2159="", "", IFERROR(VLOOKUP(A2159, Clasificaciones!A:B, 2, FALSE), "DATO NO CARGADO"))
</f>
        <v/>
      </c>
      <c r="C2159" s="51"/>
      <c r="D2159" s="102"/>
      <c r="E2159" s="102"/>
      <c r="H2159" s="102"/>
      <c r="J2159" s="102"/>
      <c r="K2159" s="450"/>
      <c r="L2159" s="443"/>
      <c r="M2159" s="450"/>
      <c r="N2159" s="452">
        <f t="array" ref="N2159">IFERROR(
  INDEX(
    'Valor Hora Real y Estimada'!$A$4:$Z$78,
    MATCH(TRIM(CLEAN(A2159)), 'Valor Hora Real y Estimada'!$A$4:$A$78, 0),
    MATCH(
      TEXT(C2159,"dd mmm")&amp;" "&amp;D2159,
      'Valor Hora Real y Estimada'!$A$3:$Z$3,
      0
    ) + 1
  ),
  0
)</f>
        <v>0</v>
      </c>
      <c r="O2159" s="453"/>
      <c r="P2159" s="113"/>
      <c r="Q2159" s="106" t="str">
        <f>IF(ISBLANK(O2159), "", VLOOKUP(C2159&amp;" "&amp;D2159, 'Info Tipo de Cambio y REM'!$A$24:$B$35, 2, FALSE))</f>
        <v/>
      </c>
      <c r="R2159" s="107" t="str">
        <f t="shared" si="32"/>
        <v/>
      </c>
    </row>
    <row r="2160" hidden="1">
      <c r="A2160" s="443"/>
      <c r="B2160" s="43" t="str">
        <f>IF(A2160="", "", IFERROR(VLOOKUP(A2160, Clasificaciones!A:B, 2, FALSE), "DATO NO CARGADO"))
</f>
        <v/>
      </c>
      <c r="C2160" s="51"/>
      <c r="D2160" s="102"/>
      <c r="E2160" s="102"/>
      <c r="H2160" s="102"/>
      <c r="J2160" s="102"/>
      <c r="K2160" s="450"/>
      <c r="L2160" s="443"/>
      <c r="M2160" s="450"/>
      <c r="N2160" s="452">
        <f t="array" ref="N2160">IFERROR(
  INDEX(
    'Valor Hora Real y Estimada'!$A$4:$Z$78,
    MATCH(TRIM(CLEAN(A2160)), 'Valor Hora Real y Estimada'!$A$4:$A$78, 0),
    MATCH(
      TEXT(C2160,"dd mmm")&amp;" "&amp;D2160,
      'Valor Hora Real y Estimada'!$A$3:$Z$3,
      0
    ) + 1
  ),
  0
)</f>
        <v>0</v>
      </c>
      <c r="O2160" s="453"/>
      <c r="P2160" s="113"/>
      <c r="Q2160" s="106" t="str">
        <f>IF(ISBLANK(O2160), "", VLOOKUP(C2160&amp;" "&amp;D2160, 'Info Tipo de Cambio y REM'!$A$24:$B$35, 2, FALSE))</f>
        <v/>
      </c>
      <c r="R2160" s="107" t="str">
        <f t="shared" si="32"/>
        <v/>
      </c>
    </row>
    <row r="2161" hidden="1">
      <c r="A2161" s="443"/>
      <c r="B2161" s="43" t="str">
        <f>IF(A2161="", "", IFERROR(VLOOKUP(A2161, Clasificaciones!A:B, 2, FALSE), "DATO NO CARGADO"))
</f>
        <v/>
      </c>
      <c r="C2161" s="51"/>
      <c r="D2161" s="102"/>
      <c r="E2161" s="102"/>
      <c r="H2161" s="102"/>
      <c r="J2161" s="102"/>
      <c r="K2161" s="450"/>
      <c r="L2161" s="443"/>
      <c r="M2161" s="450"/>
      <c r="N2161" s="452">
        <f t="array" ref="N2161">IFERROR(
  INDEX(
    'Valor Hora Real y Estimada'!$A$4:$Z$78,
    MATCH(TRIM(CLEAN(A2161)), 'Valor Hora Real y Estimada'!$A$4:$A$78, 0),
    MATCH(
      TEXT(C2161,"dd mmm")&amp;" "&amp;D2161,
      'Valor Hora Real y Estimada'!$A$3:$Z$3,
      0
    ) + 1
  ),
  0
)</f>
        <v>0</v>
      </c>
      <c r="O2161" s="453"/>
      <c r="P2161" s="113"/>
      <c r="Q2161" s="106" t="str">
        <f>IF(ISBLANK(O2161), "", VLOOKUP(C2161&amp;" "&amp;D2161, 'Info Tipo de Cambio y REM'!$A$24:$B$35, 2, FALSE))</f>
        <v/>
      </c>
      <c r="R2161" s="107" t="str">
        <f t="shared" si="32"/>
        <v/>
      </c>
    </row>
    <row r="2162" hidden="1">
      <c r="A2162" s="443"/>
      <c r="B2162" s="43" t="str">
        <f>IF(A2162="", "", IFERROR(VLOOKUP(A2162, Clasificaciones!A:B, 2, FALSE), "DATO NO CARGADO"))
</f>
        <v/>
      </c>
      <c r="C2162" s="51"/>
      <c r="D2162" s="102"/>
      <c r="E2162" s="102"/>
      <c r="H2162" s="102"/>
      <c r="J2162" s="102"/>
      <c r="K2162" s="450"/>
      <c r="L2162" s="443"/>
      <c r="M2162" s="450"/>
      <c r="N2162" s="452">
        <f t="array" ref="N2162">IFERROR(
  INDEX(
    'Valor Hora Real y Estimada'!$A$4:$Z$78,
    MATCH(TRIM(CLEAN(A2162)), 'Valor Hora Real y Estimada'!$A$4:$A$78, 0),
    MATCH(
      TEXT(C2162,"dd mmm")&amp;" "&amp;D2162,
      'Valor Hora Real y Estimada'!$A$3:$Z$3,
      0
    ) + 1
  ),
  0
)</f>
        <v>0</v>
      </c>
      <c r="O2162" s="453"/>
      <c r="P2162" s="113"/>
      <c r="Q2162" s="106" t="str">
        <f>IF(ISBLANK(O2162), "", VLOOKUP(C2162&amp;" "&amp;D2162, 'Info Tipo de Cambio y REM'!$A$24:$B$35, 2, FALSE))</f>
        <v/>
      </c>
      <c r="R2162" s="107" t="str">
        <f t="shared" si="32"/>
        <v/>
      </c>
    </row>
    <row r="2163" hidden="1">
      <c r="A2163" s="443"/>
      <c r="B2163" s="43" t="str">
        <f>IF(A2163="", "", IFERROR(VLOOKUP(A2163, Clasificaciones!A:B, 2, FALSE), "DATO NO CARGADO"))
</f>
        <v/>
      </c>
      <c r="C2163" s="51"/>
      <c r="D2163" s="102"/>
      <c r="E2163" s="102"/>
      <c r="H2163" s="102"/>
      <c r="J2163" s="102"/>
      <c r="K2163" s="450"/>
      <c r="L2163" s="443"/>
      <c r="M2163" s="450"/>
      <c r="N2163" s="452">
        <f t="array" ref="N2163">IFERROR(
  INDEX(
    'Valor Hora Real y Estimada'!$A$4:$Z$78,
    MATCH(TRIM(CLEAN(A2163)), 'Valor Hora Real y Estimada'!$A$4:$A$78, 0),
    MATCH(
      TEXT(C2163,"dd mmm")&amp;" "&amp;D2163,
      'Valor Hora Real y Estimada'!$A$3:$Z$3,
      0
    ) + 1
  ),
  0
)</f>
        <v>0</v>
      </c>
      <c r="O2163" s="453"/>
      <c r="P2163" s="113"/>
      <c r="Q2163" s="106" t="str">
        <f>IF(ISBLANK(O2163), "", VLOOKUP(C2163&amp;" "&amp;D2163, 'Info Tipo de Cambio y REM'!$A$24:$B$35, 2, FALSE))</f>
        <v/>
      </c>
      <c r="R2163" s="107" t="str">
        <f t="shared" si="32"/>
        <v/>
      </c>
    </row>
    <row r="2164" hidden="1">
      <c r="A2164" s="443"/>
      <c r="B2164" s="43" t="str">
        <f>IF(A2164="", "", IFERROR(VLOOKUP(A2164, Clasificaciones!A:B, 2, FALSE), "DATO NO CARGADO"))
</f>
        <v/>
      </c>
      <c r="C2164" s="51"/>
      <c r="D2164" s="102"/>
      <c r="E2164" s="102"/>
      <c r="H2164" s="102"/>
      <c r="J2164" s="102"/>
      <c r="K2164" s="450"/>
      <c r="L2164" s="443"/>
      <c r="M2164" s="450"/>
      <c r="N2164" s="452">
        <f t="array" ref="N2164">IFERROR(
  INDEX(
    'Valor Hora Real y Estimada'!$A$4:$Z$78,
    MATCH(TRIM(CLEAN(A2164)), 'Valor Hora Real y Estimada'!$A$4:$A$78, 0),
    MATCH(
      TEXT(C2164,"dd mmm")&amp;" "&amp;D2164,
      'Valor Hora Real y Estimada'!$A$3:$Z$3,
      0
    ) + 1
  ),
  0
)</f>
        <v>0</v>
      </c>
      <c r="O2164" s="453"/>
      <c r="P2164" s="113"/>
      <c r="Q2164" s="106" t="str">
        <f>IF(ISBLANK(O2164), "", VLOOKUP(C2164&amp;" "&amp;D2164, 'Info Tipo de Cambio y REM'!$A$24:$B$35, 2, FALSE))</f>
        <v/>
      </c>
      <c r="R2164" s="107" t="str">
        <f t="shared" si="32"/>
        <v/>
      </c>
    </row>
    <row r="2165" hidden="1">
      <c r="A2165" s="443"/>
      <c r="B2165" s="43" t="str">
        <f>IF(A2165="", "", IFERROR(VLOOKUP(A2165, Clasificaciones!A:B, 2, FALSE), "DATO NO CARGADO"))
</f>
        <v/>
      </c>
      <c r="C2165" s="51"/>
      <c r="D2165" s="102"/>
      <c r="E2165" s="102"/>
      <c r="H2165" s="102"/>
      <c r="J2165" s="102"/>
      <c r="K2165" s="450"/>
      <c r="L2165" s="443"/>
      <c r="M2165" s="450"/>
      <c r="N2165" s="452">
        <f t="array" ref="N2165">IFERROR(
  INDEX(
    'Valor Hora Real y Estimada'!$A$4:$Z$78,
    MATCH(TRIM(CLEAN(A2165)), 'Valor Hora Real y Estimada'!$A$4:$A$78, 0),
    MATCH(
      TEXT(C2165,"dd mmm")&amp;" "&amp;D2165,
      'Valor Hora Real y Estimada'!$A$3:$Z$3,
      0
    ) + 1
  ),
  0
)</f>
        <v>0</v>
      </c>
      <c r="O2165" s="453"/>
      <c r="P2165" s="113"/>
      <c r="Q2165" s="106" t="str">
        <f>IF(ISBLANK(O2165), "", VLOOKUP(C2165&amp;" "&amp;D2165, 'Info Tipo de Cambio y REM'!$A$24:$B$35, 2, FALSE))</f>
        <v/>
      </c>
      <c r="R2165" s="107" t="str">
        <f t="shared" si="32"/>
        <v/>
      </c>
    </row>
    <row r="2166" hidden="1">
      <c r="A2166" s="443"/>
      <c r="B2166" s="43" t="str">
        <f>IF(A2166="", "", IFERROR(VLOOKUP(A2166, Clasificaciones!A:B, 2, FALSE), "DATO NO CARGADO"))
</f>
        <v/>
      </c>
      <c r="C2166" s="51"/>
      <c r="D2166" s="102"/>
      <c r="E2166" s="102"/>
      <c r="H2166" s="102"/>
      <c r="J2166" s="102"/>
      <c r="K2166" s="450"/>
      <c r="L2166" s="443"/>
      <c r="M2166" s="450"/>
      <c r="N2166" s="452">
        <f t="array" ref="N2166">IFERROR(
  INDEX(
    'Valor Hora Real y Estimada'!$A$4:$Z$78,
    MATCH(TRIM(CLEAN(A2166)), 'Valor Hora Real y Estimada'!$A$4:$A$78, 0),
    MATCH(
      TEXT(C2166,"dd mmm")&amp;" "&amp;D2166,
      'Valor Hora Real y Estimada'!$A$3:$Z$3,
      0
    ) + 1
  ),
  0
)</f>
        <v>0</v>
      </c>
      <c r="O2166" s="453"/>
      <c r="P2166" s="113"/>
      <c r="Q2166" s="106" t="str">
        <f>IF(ISBLANK(O2166), "", VLOOKUP(C2166&amp;" "&amp;D2166, 'Info Tipo de Cambio y REM'!$A$24:$B$35, 2, FALSE))</f>
        <v/>
      </c>
      <c r="R2166" s="107" t="str">
        <f t="shared" si="32"/>
        <v/>
      </c>
    </row>
    <row r="2167" hidden="1">
      <c r="A2167" s="443"/>
      <c r="B2167" s="43" t="str">
        <f>IF(A2167="", "", IFERROR(VLOOKUP(A2167, Clasificaciones!A:B, 2, FALSE), "DATO NO CARGADO"))
</f>
        <v/>
      </c>
      <c r="C2167" s="51"/>
      <c r="D2167" s="102"/>
      <c r="E2167" s="102"/>
      <c r="H2167" s="102"/>
      <c r="J2167" s="102"/>
      <c r="K2167" s="450"/>
      <c r="L2167" s="443"/>
      <c r="M2167" s="450"/>
      <c r="N2167" s="452">
        <f t="array" ref="N2167">IFERROR(
  INDEX(
    'Valor Hora Real y Estimada'!$A$4:$Z$78,
    MATCH(TRIM(CLEAN(A2167)), 'Valor Hora Real y Estimada'!$A$4:$A$78, 0),
    MATCH(
      TEXT(C2167,"dd mmm")&amp;" "&amp;D2167,
      'Valor Hora Real y Estimada'!$A$3:$Z$3,
      0
    ) + 1
  ),
  0
)</f>
        <v>0</v>
      </c>
      <c r="O2167" s="453"/>
      <c r="P2167" s="113"/>
      <c r="Q2167" s="106" t="str">
        <f>IF(ISBLANK(O2167), "", VLOOKUP(C2167&amp;" "&amp;D2167, 'Info Tipo de Cambio y REM'!$A$24:$B$35, 2, FALSE))</f>
        <v/>
      </c>
      <c r="R2167" s="107" t="str">
        <f t="shared" si="32"/>
        <v/>
      </c>
    </row>
    <row r="2168" hidden="1">
      <c r="A2168" s="443"/>
      <c r="B2168" s="43" t="str">
        <f>IF(A2168="", "", IFERROR(VLOOKUP(A2168, Clasificaciones!A:B, 2, FALSE), "DATO NO CARGADO"))
</f>
        <v/>
      </c>
      <c r="C2168" s="51"/>
      <c r="D2168" s="102"/>
      <c r="E2168" s="102"/>
      <c r="H2168" s="102"/>
      <c r="J2168" s="102"/>
      <c r="K2168" s="450"/>
      <c r="L2168" s="443"/>
      <c r="M2168" s="450"/>
      <c r="N2168" s="452">
        <f t="array" ref="N2168">IFERROR(
  INDEX(
    'Valor Hora Real y Estimada'!$A$4:$Z$78,
    MATCH(TRIM(CLEAN(A2168)), 'Valor Hora Real y Estimada'!$A$4:$A$78, 0),
    MATCH(
      TEXT(C2168,"dd mmm")&amp;" "&amp;D2168,
      'Valor Hora Real y Estimada'!$A$3:$Z$3,
      0
    ) + 1
  ),
  0
)</f>
        <v>0</v>
      </c>
      <c r="O2168" s="453"/>
      <c r="P2168" s="113"/>
      <c r="Q2168" s="106" t="str">
        <f>IF(ISBLANK(O2168), "", VLOOKUP(C2168&amp;" "&amp;D2168, 'Info Tipo de Cambio y REM'!$A$24:$B$35, 2, FALSE))</f>
        <v/>
      </c>
      <c r="R2168" s="107" t="str">
        <f t="shared" si="32"/>
        <v/>
      </c>
    </row>
    <row r="2169" hidden="1">
      <c r="A2169" s="443"/>
      <c r="B2169" s="43" t="str">
        <f>IF(A2169="", "", IFERROR(VLOOKUP(A2169, Clasificaciones!A:B, 2, FALSE), "DATO NO CARGADO"))
</f>
        <v/>
      </c>
      <c r="C2169" s="51"/>
      <c r="D2169" s="102"/>
      <c r="E2169" s="102"/>
      <c r="H2169" s="102"/>
      <c r="J2169" s="102"/>
      <c r="K2169" s="450"/>
      <c r="L2169" s="443"/>
      <c r="M2169" s="450"/>
      <c r="N2169" s="452">
        <f t="array" ref="N2169">IFERROR(
  INDEX(
    'Valor Hora Real y Estimada'!$A$4:$Z$78,
    MATCH(TRIM(CLEAN(A2169)), 'Valor Hora Real y Estimada'!$A$4:$A$78, 0),
    MATCH(
      TEXT(C2169,"dd mmm")&amp;" "&amp;D2169,
      'Valor Hora Real y Estimada'!$A$3:$Z$3,
      0
    ) + 1
  ),
  0
)</f>
        <v>0</v>
      </c>
      <c r="O2169" s="453"/>
      <c r="P2169" s="113"/>
      <c r="Q2169" s="106" t="str">
        <f>IF(ISBLANK(O2169), "", VLOOKUP(C2169&amp;" "&amp;D2169, 'Info Tipo de Cambio y REM'!$A$24:$B$35, 2, FALSE))</f>
        <v/>
      </c>
      <c r="R2169" s="107" t="str">
        <f t="shared" si="32"/>
        <v/>
      </c>
    </row>
    <row r="2170" hidden="1">
      <c r="A2170" s="443"/>
      <c r="B2170" s="43" t="str">
        <f>IF(A2170="", "", IFERROR(VLOOKUP(A2170, Clasificaciones!A:B, 2, FALSE), "DATO NO CARGADO"))
</f>
        <v/>
      </c>
      <c r="C2170" s="51"/>
      <c r="D2170" s="102"/>
      <c r="E2170" s="102"/>
      <c r="H2170" s="102"/>
      <c r="J2170" s="102"/>
      <c r="K2170" s="450"/>
      <c r="L2170" s="443"/>
      <c r="M2170" s="450"/>
      <c r="N2170" s="452">
        <f t="array" ref="N2170">IFERROR(
  INDEX(
    'Valor Hora Real y Estimada'!$A$4:$Z$78,
    MATCH(TRIM(CLEAN(A2170)), 'Valor Hora Real y Estimada'!$A$4:$A$78, 0),
    MATCH(
      TEXT(C2170,"dd mmm")&amp;" "&amp;D2170,
      'Valor Hora Real y Estimada'!$A$3:$Z$3,
      0
    ) + 1
  ),
  0
)</f>
        <v>0</v>
      </c>
      <c r="O2170" s="453"/>
      <c r="P2170" s="113"/>
      <c r="Q2170" s="106" t="str">
        <f>IF(ISBLANK(O2170), "", VLOOKUP(C2170&amp;" "&amp;D2170, 'Info Tipo de Cambio y REM'!$A$24:$B$35, 2, FALSE))</f>
        <v/>
      </c>
      <c r="R2170" s="107" t="str">
        <f t="shared" si="32"/>
        <v/>
      </c>
    </row>
    <row r="2171" hidden="1">
      <c r="A2171" s="443"/>
      <c r="B2171" s="43" t="str">
        <f>IF(A2171="", "", IFERROR(VLOOKUP(A2171, Clasificaciones!A:B, 2, FALSE), "DATO NO CARGADO"))
</f>
        <v/>
      </c>
      <c r="C2171" s="51"/>
      <c r="D2171" s="102"/>
      <c r="E2171" s="102"/>
      <c r="H2171" s="102"/>
      <c r="J2171" s="102"/>
      <c r="K2171" s="450"/>
      <c r="L2171" s="443"/>
      <c r="M2171" s="450"/>
      <c r="N2171" s="452">
        <f t="array" ref="N2171">IFERROR(
  INDEX(
    'Valor Hora Real y Estimada'!$A$4:$Z$78,
    MATCH(TRIM(CLEAN(A2171)), 'Valor Hora Real y Estimada'!$A$4:$A$78, 0),
    MATCH(
      TEXT(C2171,"dd mmm")&amp;" "&amp;D2171,
      'Valor Hora Real y Estimada'!$A$3:$Z$3,
      0
    ) + 1
  ),
  0
)</f>
        <v>0</v>
      </c>
      <c r="O2171" s="453"/>
      <c r="P2171" s="113"/>
      <c r="Q2171" s="106" t="str">
        <f>IF(ISBLANK(O2171), "", VLOOKUP(C2171&amp;" "&amp;D2171, 'Info Tipo de Cambio y REM'!$A$24:$B$35, 2, FALSE))</f>
        <v/>
      </c>
      <c r="R2171" s="107" t="str">
        <f t="shared" si="32"/>
        <v/>
      </c>
    </row>
    <row r="2172" hidden="1">
      <c r="A2172" s="443"/>
      <c r="B2172" s="43" t="str">
        <f>IF(A2172="", "", IFERROR(VLOOKUP(A2172, Clasificaciones!A:B, 2, FALSE), "DATO NO CARGADO"))
</f>
        <v/>
      </c>
      <c r="C2172" s="51"/>
      <c r="D2172" s="102"/>
      <c r="E2172" s="102"/>
      <c r="H2172" s="102"/>
      <c r="J2172" s="102"/>
      <c r="K2172" s="450"/>
      <c r="L2172" s="443"/>
      <c r="M2172" s="450"/>
      <c r="N2172" s="452">
        <f t="array" ref="N2172">IFERROR(
  INDEX(
    'Valor Hora Real y Estimada'!$A$4:$Z$78,
    MATCH(TRIM(CLEAN(A2172)), 'Valor Hora Real y Estimada'!$A$4:$A$78, 0),
    MATCH(
      TEXT(C2172,"dd mmm")&amp;" "&amp;D2172,
      'Valor Hora Real y Estimada'!$A$3:$Z$3,
      0
    ) + 1
  ),
  0
)</f>
        <v>0</v>
      </c>
      <c r="O2172" s="453"/>
      <c r="P2172" s="113"/>
      <c r="Q2172" s="106" t="str">
        <f>IF(ISBLANK(O2172), "", VLOOKUP(C2172&amp;" "&amp;D2172, 'Info Tipo de Cambio y REM'!$A$24:$B$35, 2, FALSE))</f>
        <v/>
      </c>
      <c r="R2172" s="107" t="str">
        <f t="shared" si="32"/>
        <v/>
      </c>
    </row>
    <row r="2173" hidden="1">
      <c r="A2173" s="443"/>
      <c r="B2173" s="43" t="str">
        <f>IF(A2173="", "", IFERROR(VLOOKUP(A2173, Clasificaciones!A:B, 2, FALSE), "DATO NO CARGADO"))
</f>
        <v/>
      </c>
      <c r="C2173" s="51"/>
      <c r="D2173" s="102"/>
      <c r="E2173" s="102"/>
      <c r="H2173" s="102"/>
      <c r="J2173" s="102"/>
      <c r="K2173" s="450"/>
      <c r="L2173" s="443"/>
      <c r="M2173" s="450"/>
      <c r="N2173" s="452">
        <f t="array" ref="N2173">IFERROR(
  INDEX(
    'Valor Hora Real y Estimada'!$A$4:$Z$78,
    MATCH(TRIM(CLEAN(A2173)), 'Valor Hora Real y Estimada'!$A$4:$A$78, 0),
    MATCH(
      TEXT(C2173,"dd mmm")&amp;" "&amp;D2173,
      'Valor Hora Real y Estimada'!$A$3:$Z$3,
      0
    ) + 1
  ),
  0
)</f>
        <v>0</v>
      </c>
      <c r="O2173" s="453"/>
      <c r="P2173" s="113"/>
      <c r="Q2173" s="106" t="str">
        <f>IF(ISBLANK(O2173), "", VLOOKUP(C2173&amp;" "&amp;D2173, 'Info Tipo de Cambio y REM'!$A$24:$B$35, 2, FALSE))</f>
        <v/>
      </c>
      <c r="R2173" s="107" t="str">
        <f t="shared" si="32"/>
        <v/>
      </c>
    </row>
    <row r="2174" hidden="1">
      <c r="A2174" s="443"/>
      <c r="B2174" s="43" t="str">
        <f>IF(A2174="", "", IFERROR(VLOOKUP(A2174, Clasificaciones!A:B, 2, FALSE), "DATO NO CARGADO"))
</f>
        <v/>
      </c>
      <c r="C2174" s="51"/>
      <c r="D2174" s="102"/>
      <c r="E2174" s="102"/>
      <c r="H2174" s="102"/>
      <c r="J2174" s="102"/>
      <c r="K2174" s="450"/>
      <c r="L2174" s="443"/>
      <c r="M2174" s="450"/>
      <c r="N2174" s="452">
        <f t="array" ref="N2174">IFERROR(
  INDEX(
    'Valor Hora Real y Estimada'!$A$4:$Z$78,
    MATCH(TRIM(CLEAN(A2174)), 'Valor Hora Real y Estimada'!$A$4:$A$78, 0),
    MATCH(
      TEXT(C2174,"dd mmm")&amp;" "&amp;D2174,
      'Valor Hora Real y Estimada'!$A$3:$Z$3,
      0
    ) + 1
  ),
  0
)</f>
        <v>0</v>
      </c>
      <c r="O2174" s="453"/>
      <c r="P2174" s="113"/>
      <c r="Q2174" s="106" t="str">
        <f>IF(ISBLANK(O2174), "", VLOOKUP(C2174&amp;" "&amp;D2174, 'Info Tipo de Cambio y REM'!$A$24:$B$35, 2, FALSE))</f>
        <v/>
      </c>
      <c r="R2174" s="107" t="str">
        <f t="shared" si="32"/>
        <v/>
      </c>
    </row>
    <row r="2175" hidden="1">
      <c r="A2175" s="443"/>
      <c r="B2175" s="43" t="str">
        <f>IF(A2175="", "", IFERROR(VLOOKUP(A2175, Clasificaciones!A:B, 2, FALSE), "DATO NO CARGADO"))
</f>
        <v/>
      </c>
      <c r="C2175" s="51"/>
      <c r="D2175" s="102"/>
      <c r="E2175" s="102"/>
      <c r="H2175" s="102"/>
      <c r="J2175" s="102"/>
      <c r="K2175" s="450"/>
      <c r="L2175" s="443"/>
      <c r="M2175" s="450"/>
      <c r="N2175" s="452">
        <f t="array" ref="N2175">IFERROR(
  INDEX(
    'Valor Hora Real y Estimada'!$A$4:$Z$78,
    MATCH(TRIM(CLEAN(A2175)), 'Valor Hora Real y Estimada'!$A$4:$A$78, 0),
    MATCH(
      TEXT(C2175,"dd mmm")&amp;" "&amp;D2175,
      'Valor Hora Real y Estimada'!$A$3:$Z$3,
      0
    ) + 1
  ),
  0
)</f>
        <v>0</v>
      </c>
      <c r="O2175" s="453"/>
      <c r="P2175" s="113"/>
      <c r="Q2175" s="106" t="str">
        <f>IF(ISBLANK(O2175), "", VLOOKUP(C2175&amp;" "&amp;D2175, 'Info Tipo de Cambio y REM'!$A$24:$B$35, 2, FALSE))</f>
        <v/>
      </c>
      <c r="R2175" s="107" t="str">
        <f t="shared" si="32"/>
        <v/>
      </c>
    </row>
    <row r="2176" hidden="1">
      <c r="A2176" s="443"/>
      <c r="B2176" s="43" t="str">
        <f>IF(A2176="", "", IFERROR(VLOOKUP(A2176, Clasificaciones!A:B, 2, FALSE), "DATO NO CARGADO"))
</f>
        <v/>
      </c>
      <c r="C2176" s="51"/>
      <c r="D2176" s="102"/>
      <c r="E2176" s="102"/>
      <c r="H2176" s="102"/>
      <c r="J2176" s="102"/>
      <c r="K2176" s="450"/>
      <c r="L2176" s="443"/>
      <c r="M2176" s="450"/>
      <c r="N2176" s="452">
        <f t="array" ref="N2176">IFERROR(
  INDEX(
    'Valor Hora Real y Estimada'!$A$4:$Z$78,
    MATCH(TRIM(CLEAN(A2176)), 'Valor Hora Real y Estimada'!$A$4:$A$78, 0),
    MATCH(
      TEXT(C2176,"dd mmm")&amp;" "&amp;D2176,
      'Valor Hora Real y Estimada'!$A$3:$Z$3,
      0
    ) + 1
  ),
  0
)</f>
        <v>0</v>
      </c>
      <c r="O2176" s="453"/>
      <c r="P2176" s="113"/>
      <c r="Q2176" s="106" t="str">
        <f>IF(ISBLANK(O2176), "", VLOOKUP(C2176&amp;" "&amp;D2176, 'Info Tipo de Cambio y REM'!$A$24:$B$35, 2, FALSE))</f>
        <v/>
      </c>
      <c r="R2176" s="107" t="str">
        <f t="shared" si="32"/>
        <v/>
      </c>
    </row>
    <row r="2177" hidden="1">
      <c r="A2177" s="443"/>
      <c r="B2177" s="43" t="str">
        <f>IF(A2177="", "", IFERROR(VLOOKUP(A2177, Clasificaciones!A:B, 2, FALSE), "DATO NO CARGADO"))
</f>
        <v/>
      </c>
      <c r="C2177" s="51"/>
      <c r="D2177" s="102"/>
      <c r="E2177" s="102"/>
      <c r="H2177" s="102"/>
      <c r="J2177" s="102"/>
      <c r="K2177" s="450"/>
      <c r="L2177" s="443"/>
      <c r="M2177" s="450"/>
      <c r="N2177" s="452">
        <f t="array" ref="N2177">IFERROR(
  INDEX(
    'Valor Hora Real y Estimada'!$A$4:$Z$78,
    MATCH(TRIM(CLEAN(A2177)), 'Valor Hora Real y Estimada'!$A$4:$A$78, 0),
    MATCH(
      TEXT(C2177,"dd mmm")&amp;" "&amp;D2177,
      'Valor Hora Real y Estimada'!$A$3:$Z$3,
      0
    ) + 1
  ),
  0
)</f>
        <v>0</v>
      </c>
      <c r="O2177" s="453"/>
      <c r="P2177" s="113"/>
      <c r="Q2177" s="106" t="str">
        <f>IF(ISBLANK(O2177), "", VLOOKUP(C2177&amp;" "&amp;D2177, 'Info Tipo de Cambio y REM'!$A$24:$B$35, 2, FALSE))</f>
        <v/>
      </c>
      <c r="R2177" s="107" t="str">
        <f t="shared" si="32"/>
        <v/>
      </c>
    </row>
    <row r="2178" hidden="1">
      <c r="A2178" s="443"/>
      <c r="B2178" s="43" t="str">
        <f>IF(A2178="", "", IFERROR(VLOOKUP(A2178, Clasificaciones!A:B, 2, FALSE), "DATO NO CARGADO"))
</f>
        <v/>
      </c>
      <c r="C2178" s="51"/>
      <c r="D2178" s="102"/>
      <c r="E2178" s="102"/>
      <c r="H2178" s="102"/>
      <c r="J2178" s="102"/>
      <c r="K2178" s="450"/>
      <c r="L2178" s="443"/>
      <c r="M2178" s="450"/>
      <c r="N2178" s="452">
        <f t="array" ref="N2178">IFERROR(
  INDEX(
    'Valor Hora Real y Estimada'!$A$4:$Z$78,
    MATCH(TRIM(CLEAN(A2178)), 'Valor Hora Real y Estimada'!$A$4:$A$78, 0),
    MATCH(
      TEXT(C2178,"dd mmm")&amp;" "&amp;D2178,
      'Valor Hora Real y Estimada'!$A$3:$Z$3,
      0
    ) + 1
  ),
  0
)</f>
        <v>0</v>
      </c>
      <c r="O2178" s="453"/>
      <c r="P2178" s="113"/>
      <c r="Q2178" s="106" t="str">
        <f>IF(ISBLANK(O2178), "", VLOOKUP(C2178&amp;" "&amp;D2178, 'Info Tipo de Cambio y REM'!$A$24:$B$35, 2, FALSE))</f>
        <v/>
      </c>
      <c r="R2178" s="107" t="str">
        <f t="shared" si="32"/>
        <v/>
      </c>
    </row>
    <row r="2179" hidden="1">
      <c r="A2179" s="443"/>
      <c r="B2179" s="43" t="str">
        <f>IF(A2179="", "", IFERROR(VLOOKUP(A2179, Clasificaciones!A:B, 2, FALSE), "DATO NO CARGADO"))
</f>
        <v/>
      </c>
      <c r="C2179" s="51"/>
      <c r="D2179" s="102"/>
      <c r="E2179" s="102"/>
      <c r="H2179" s="102"/>
      <c r="J2179" s="102"/>
      <c r="K2179" s="450"/>
      <c r="L2179" s="443"/>
      <c r="M2179" s="450"/>
      <c r="N2179" s="452">
        <f t="array" ref="N2179">IFERROR(
  INDEX(
    'Valor Hora Real y Estimada'!$A$4:$Z$78,
    MATCH(TRIM(CLEAN(A2179)), 'Valor Hora Real y Estimada'!$A$4:$A$78, 0),
    MATCH(
      TEXT(C2179,"dd mmm")&amp;" "&amp;D2179,
      'Valor Hora Real y Estimada'!$A$3:$Z$3,
      0
    ) + 1
  ),
  0
)</f>
        <v>0</v>
      </c>
      <c r="O2179" s="453"/>
      <c r="P2179" s="113"/>
      <c r="Q2179" s="106" t="str">
        <f>IF(ISBLANK(O2179), "", VLOOKUP(C2179&amp;" "&amp;D2179, 'Info Tipo de Cambio y REM'!$A$24:$B$35, 2, FALSE))</f>
        <v/>
      </c>
      <c r="R2179" s="107" t="str">
        <f t="shared" si="32"/>
        <v/>
      </c>
    </row>
    <row r="2180" hidden="1">
      <c r="A2180" s="443"/>
      <c r="B2180" s="43" t="str">
        <f>IF(A2180="", "", IFERROR(VLOOKUP(A2180, Clasificaciones!A:B, 2, FALSE), "DATO NO CARGADO"))
</f>
        <v/>
      </c>
      <c r="C2180" s="51"/>
      <c r="D2180" s="102"/>
      <c r="E2180" s="102"/>
      <c r="H2180" s="102"/>
      <c r="J2180" s="102"/>
      <c r="K2180" s="450"/>
      <c r="L2180" s="443"/>
      <c r="M2180" s="450"/>
      <c r="N2180" s="452">
        <f t="array" ref="N2180">IFERROR(
  INDEX(
    'Valor Hora Real y Estimada'!$A$4:$Z$78,
    MATCH(TRIM(CLEAN(A2180)), 'Valor Hora Real y Estimada'!$A$4:$A$78, 0),
    MATCH(
      TEXT(C2180,"dd mmm")&amp;" "&amp;D2180,
      'Valor Hora Real y Estimada'!$A$3:$Z$3,
      0
    ) + 1
  ),
  0
)</f>
        <v>0</v>
      </c>
      <c r="O2180" s="453"/>
      <c r="P2180" s="113"/>
      <c r="Q2180" s="106" t="str">
        <f>IF(ISBLANK(O2180), "", VLOOKUP(C2180&amp;" "&amp;D2180, 'Info Tipo de Cambio y REM'!$A$24:$B$35, 2, FALSE))</f>
        <v/>
      </c>
      <c r="R2180" s="107" t="str">
        <f t="shared" si="32"/>
        <v/>
      </c>
    </row>
    <row r="2181" hidden="1">
      <c r="A2181" s="443"/>
      <c r="B2181" s="43" t="str">
        <f>IF(A2181="", "", IFERROR(VLOOKUP(A2181, Clasificaciones!A:B, 2, FALSE), "DATO NO CARGADO"))
</f>
        <v/>
      </c>
      <c r="C2181" s="51"/>
      <c r="D2181" s="102"/>
      <c r="E2181" s="102"/>
      <c r="H2181" s="102"/>
      <c r="J2181" s="102"/>
      <c r="K2181" s="450"/>
      <c r="L2181" s="443"/>
      <c r="M2181" s="450"/>
      <c r="N2181" s="452">
        <f t="array" ref="N2181">IFERROR(
  INDEX(
    'Valor Hora Real y Estimada'!$A$4:$Z$78,
    MATCH(TRIM(CLEAN(A2181)), 'Valor Hora Real y Estimada'!$A$4:$A$78, 0),
    MATCH(
      TEXT(C2181,"dd mmm")&amp;" "&amp;D2181,
      'Valor Hora Real y Estimada'!$A$3:$Z$3,
      0
    ) + 1
  ),
  0
)</f>
        <v>0</v>
      </c>
      <c r="O2181" s="453"/>
      <c r="P2181" s="113"/>
      <c r="Q2181" s="106" t="str">
        <f>IF(ISBLANK(O2181), "", VLOOKUP(C2181&amp;" "&amp;D2181, 'Info Tipo de Cambio y REM'!$A$24:$B$35, 2, FALSE))</f>
        <v/>
      </c>
      <c r="R2181" s="107" t="str">
        <f t="shared" si="32"/>
        <v/>
      </c>
    </row>
    <row r="2182" hidden="1">
      <c r="A2182" s="443"/>
      <c r="B2182" s="43" t="str">
        <f>IF(A2182="", "", IFERROR(VLOOKUP(A2182, Clasificaciones!A:B, 2, FALSE), "DATO NO CARGADO"))
</f>
        <v/>
      </c>
      <c r="C2182" s="51"/>
      <c r="D2182" s="102"/>
      <c r="E2182" s="102"/>
      <c r="H2182" s="102"/>
      <c r="J2182" s="102"/>
      <c r="K2182" s="450"/>
      <c r="L2182" s="443"/>
      <c r="M2182" s="450"/>
      <c r="N2182" s="452">
        <f t="array" ref="N2182">IFERROR(
  INDEX(
    'Valor Hora Real y Estimada'!$A$4:$Z$78,
    MATCH(TRIM(CLEAN(A2182)), 'Valor Hora Real y Estimada'!$A$4:$A$78, 0),
    MATCH(
      TEXT(C2182,"dd mmm")&amp;" "&amp;D2182,
      'Valor Hora Real y Estimada'!$A$3:$Z$3,
      0
    ) + 1
  ),
  0
)</f>
        <v>0</v>
      </c>
      <c r="O2182" s="453"/>
      <c r="P2182" s="113"/>
      <c r="Q2182" s="106" t="str">
        <f>IF(ISBLANK(O2182), "", VLOOKUP(C2182&amp;" "&amp;D2182, 'Info Tipo de Cambio y REM'!$A$24:$B$35, 2, FALSE))</f>
        <v/>
      </c>
      <c r="R2182" s="107" t="str">
        <f t="shared" si="32"/>
        <v/>
      </c>
    </row>
    <row r="2183" hidden="1">
      <c r="A2183" s="443"/>
      <c r="B2183" s="43" t="str">
        <f>IF(A2183="", "", IFERROR(VLOOKUP(A2183, Clasificaciones!A:B, 2, FALSE), "DATO NO CARGADO"))
</f>
        <v/>
      </c>
      <c r="C2183" s="51"/>
      <c r="D2183" s="102"/>
      <c r="E2183" s="102"/>
      <c r="H2183" s="102"/>
      <c r="J2183" s="102"/>
      <c r="K2183" s="450"/>
      <c r="L2183" s="443"/>
      <c r="M2183" s="450"/>
      <c r="N2183" s="452">
        <f t="array" ref="N2183">IFERROR(
  INDEX(
    'Valor Hora Real y Estimada'!$A$4:$Z$78,
    MATCH(TRIM(CLEAN(A2183)), 'Valor Hora Real y Estimada'!$A$4:$A$78, 0),
    MATCH(
      TEXT(C2183,"dd mmm")&amp;" "&amp;D2183,
      'Valor Hora Real y Estimada'!$A$3:$Z$3,
      0
    ) + 1
  ),
  0
)</f>
        <v>0</v>
      </c>
      <c r="O2183" s="453"/>
      <c r="P2183" s="113"/>
      <c r="Q2183" s="106" t="str">
        <f>IF(ISBLANK(O2183), "", VLOOKUP(C2183&amp;" "&amp;D2183, 'Info Tipo de Cambio y REM'!$A$24:$B$35, 2, FALSE))</f>
        <v/>
      </c>
      <c r="R2183" s="107" t="str">
        <f t="shared" si="32"/>
        <v/>
      </c>
    </row>
    <row r="2184" hidden="1">
      <c r="A2184" s="443"/>
      <c r="B2184" s="43" t="str">
        <f>IF(A2184="", "", IFERROR(VLOOKUP(A2184, Clasificaciones!A:B, 2, FALSE), "DATO NO CARGADO"))
</f>
        <v/>
      </c>
      <c r="C2184" s="51"/>
      <c r="D2184" s="102"/>
      <c r="E2184" s="102"/>
      <c r="H2184" s="102"/>
      <c r="J2184" s="102"/>
      <c r="K2184" s="450"/>
      <c r="L2184" s="443"/>
      <c r="M2184" s="450"/>
      <c r="N2184" s="452">
        <f t="array" ref="N2184">IFERROR(
  INDEX(
    'Valor Hora Real y Estimada'!$A$4:$Z$78,
    MATCH(TRIM(CLEAN(A2184)), 'Valor Hora Real y Estimada'!$A$4:$A$78, 0),
    MATCH(
      TEXT(C2184,"dd mmm")&amp;" "&amp;D2184,
      'Valor Hora Real y Estimada'!$A$3:$Z$3,
      0
    ) + 1
  ),
  0
)</f>
        <v>0</v>
      </c>
      <c r="O2184" s="453"/>
      <c r="P2184" s="113"/>
      <c r="Q2184" s="106" t="str">
        <f>IF(ISBLANK(O2184), "", VLOOKUP(C2184&amp;" "&amp;D2184, 'Info Tipo de Cambio y REM'!$A$24:$B$35, 2, FALSE))</f>
        <v/>
      </c>
      <c r="R2184" s="107" t="str">
        <f t="shared" si="32"/>
        <v/>
      </c>
    </row>
    <row r="2185" hidden="1">
      <c r="A2185" s="443"/>
      <c r="B2185" s="43" t="str">
        <f>IF(A2185="", "", IFERROR(VLOOKUP(A2185, Clasificaciones!A:B, 2, FALSE), "DATO NO CARGADO"))
</f>
        <v/>
      </c>
      <c r="C2185" s="51"/>
      <c r="D2185" s="102"/>
      <c r="E2185" s="102"/>
      <c r="H2185" s="102"/>
      <c r="J2185" s="102"/>
      <c r="K2185" s="450"/>
      <c r="L2185" s="443"/>
      <c r="M2185" s="450"/>
      <c r="N2185" s="452">
        <f t="array" ref="N2185">IFERROR(
  INDEX(
    'Valor Hora Real y Estimada'!$A$4:$Z$78,
    MATCH(TRIM(CLEAN(A2185)), 'Valor Hora Real y Estimada'!$A$4:$A$78, 0),
    MATCH(
      TEXT(C2185,"dd mmm")&amp;" "&amp;D2185,
      'Valor Hora Real y Estimada'!$A$3:$Z$3,
      0
    ) + 1
  ),
  0
)</f>
        <v>0</v>
      </c>
      <c r="O2185" s="453"/>
      <c r="P2185" s="113"/>
      <c r="Q2185" s="106" t="str">
        <f>IF(ISBLANK(O2185), "", VLOOKUP(C2185&amp;" "&amp;D2185, 'Info Tipo de Cambio y REM'!$A$24:$B$35, 2, FALSE))</f>
        <v/>
      </c>
      <c r="R2185" s="107" t="str">
        <f t="shared" si="32"/>
        <v/>
      </c>
    </row>
    <row r="2186" hidden="1">
      <c r="A2186" s="443"/>
      <c r="B2186" s="43" t="str">
        <f>IF(A2186="", "", IFERROR(VLOOKUP(A2186, Clasificaciones!A:B, 2, FALSE), "DATO NO CARGADO"))
</f>
        <v/>
      </c>
      <c r="C2186" s="51"/>
      <c r="D2186" s="102"/>
      <c r="E2186" s="102"/>
      <c r="H2186" s="102"/>
      <c r="J2186" s="102"/>
      <c r="K2186" s="450"/>
      <c r="L2186" s="443"/>
      <c r="M2186" s="450"/>
      <c r="N2186" s="452">
        <f t="array" ref="N2186">IFERROR(
  INDEX(
    'Valor Hora Real y Estimada'!$A$4:$Z$78,
    MATCH(TRIM(CLEAN(A2186)), 'Valor Hora Real y Estimada'!$A$4:$A$78, 0),
    MATCH(
      TEXT(C2186,"dd mmm")&amp;" "&amp;D2186,
      'Valor Hora Real y Estimada'!$A$3:$Z$3,
      0
    ) + 1
  ),
  0
)</f>
        <v>0</v>
      </c>
      <c r="O2186" s="453"/>
      <c r="P2186" s="113"/>
      <c r="Q2186" s="106" t="str">
        <f>IF(ISBLANK(O2186), "", VLOOKUP(C2186&amp;" "&amp;D2186, 'Info Tipo de Cambio y REM'!$A$24:$B$35, 2, FALSE))</f>
        <v/>
      </c>
      <c r="R2186" s="107" t="str">
        <f t="shared" si="32"/>
        <v/>
      </c>
    </row>
    <row r="2187" hidden="1">
      <c r="A2187" s="443"/>
      <c r="B2187" s="43" t="str">
        <f>IF(A2187="", "", IFERROR(VLOOKUP(A2187, Clasificaciones!A:B, 2, FALSE), "DATO NO CARGADO"))
</f>
        <v/>
      </c>
      <c r="C2187" s="51"/>
      <c r="D2187" s="102"/>
      <c r="E2187" s="102"/>
      <c r="H2187" s="102"/>
      <c r="J2187" s="102"/>
      <c r="K2187" s="450"/>
      <c r="L2187" s="443"/>
      <c r="M2187" s="450"/>
      <c r="N2187" s="452">
        <f t="array" ref="N2187">IFERROR(
  INDEX(
    'Valor Hora Real y Estimada'!$A$4:$Z$78,
    MATCH(TRIM(CLEAN(A2187)), 'Valor Hora Real y Estimada'!$A$4:$A$78, 0),
    MATCH(
      TEXT(C2187,"dd mmm")&amp;" "&amp;D2187,
      'Valor Hora Real y Estimada'!$A$3:$Z$3,
      0
    ) + 1
  ),
  0
)</f>
        <v>0</v>
      </c>
      <c r="O2187" s="453"/>
      <c r="P2187" s="113"/>
      <c r="Q2187" s="106" t="str">
        <f>IF(ISBLANK(O2187), "", VLOOKUP(C2187&amp;" "&amp;D2187, 'Info Tipo de Cambio y REM'!$A$24:$B$35, 2, FALSE))</f>
        <v/>
      </c>
      <c r="R2187" s="107" t="str">
        <f t="shared" si="32"/>
        <v/>
      </c>
    </row>
    <row r="2188" hidden="1">
      <c r="A2188" s="443"/>
      <c r="B2188" s="43" t="str">
        <f>IF(A2188="", "", IFERROR(VLOOKUP(A2188, Clasificaciones!A:B, 2, FALSE), "DATO NO CARGADO"))
</f>
        <v/>
      </c>
      <c r="C2188" s="51"/>
      <c r="D2188" s="102"/>
      <c r="E2188" s="102"/>
      <c r="H2188" s="102"/>
      <c r="J2188" s="102"/>
      <c r="K2188" s="450"/>
      <c r="L2188" s="443"/>
      <c r="M2188" s="450"/>
      <c r="N2188" s="452">
        <f t="array" ref="N2188">IFERROR(
  INDEX(
    'Valor Hora Real y Estimada'!$A$4:$Z$78,
    MATCH(TRIM(CLEAN(A2188)), 'Valor Hora Real y Estimada'!$A$4:$A$78, 0),
    MATCH(
      TEXT(C2188,"dd mmm")&amp;" "&amp;D2188,
      'Valor Hora Real y Estimada'!$A$3:$Z$3,
      0
    ) + 1
  ),
  0
)</f>
        <v>0</v>
      </c>
      <c r="O2188" s="453"/>
      <c r="P2188" s="113"/>
      <c r="Q2188" s="106" t="str">
        <f>IF(ISBLANK(O2188), "", VLOOKUP(C2188&amp;" "&amp;D2188, 'Info Tipo de Cambio y REM'!$A$24:$B$35, 2, FALSE))</f>
        <v/>
      </c>
      <c r="R2188" s="107" t="str">
        <f t="shared" si="32"/>
        <v/>
      </c>
    </row>
    <row r="2189" hidden="1">
      <c r="A2189" s="443"/>
      <c r="B2189" s="43" t="str">
        <f>IF(A2189="", "", IFERROR(VLOOKUP(A2189, Clasificaciones!A:B, 2, FALSE), "DATO NO CARGADO"))
</f>
        <v/>
      </c>
      <c r="C2189" s="51"/>
      <c r="D2189" s="102"/>
      <c r="E2189" s="102"/>
      <c r="H2189" s="102"/>
      <c r="J2189" s="102"/>
      <c r="K2189" s="450"/>
      <c r="L2189" s="443"/>
      <c r="M2189" s="450"/>
      <c r="N2189" s="452">
        <f t="array" ref="N2189">IFERROR(
  INDEX(
    'Valor Hora Real y Estimada'!$A$4:$Z$78,
    MATCH(TRIM(CLEAN(A2189)), 'Valor Hora Real y Estimada'!$A$4:$A$78, 0),
    MATCH(
      TEXT(C2189,"dd mmm")&amp;" "&amp;D2189,
      'Valor Hora Real y Estimada'!$A$3:$Z$3,
      0
    ) + 1
  ),
  0
)</f>
        <v>0</v>
      </c>
      <c r="O2189" s="453"/>
      <c r="P2189" s="113"/>
      <c r="Q2189" s="106" t="str">
        <f>IF(ISBLANK(O2189), "", VLOOKUP(C2189&amp;" "&amp;D2189, 'Info Tipo de Cambio y REM'!$A$24:$B$35, 2, FALSE))</f>
        <v/>
      </c>
      <c r="R2189" s="107" t="str">
        <f t="shared" si="32"/>
        <v/>
      </c>
    </row>
    <row r="2190" hidden="1">
      <c r="A2190" s="443"/>
      <c r="B2190" s="43" t="str">
        <f>IF(A2190="", "", IFERROR(VLOOKUP(A2190, Clasificaciones!A:B, 2, FALSE), "DATO NO CARGADO"))
</f>
        <v/>
      </c>
      <c r="C2190" s="51"/>
      <c r="D2190" s="102"/>
      <c r="E2190" s="102"/>
      <c r="H2190" s="102"/>
      <c r="J2190" s="102"/>
      <c r="K2190" s="450"/>
      <c r="L2190" s="443"/>
      <c r="M2190" s="450"/>
      <c r="N2190" s="452">
        <f t="array" ref="N2190">IFERROR(
  INDEX(
    'Valor Hora Real y Estimada'!$A$4:$Z$78,
    MATCH(TRIM(CLEAN(A2190)), 'Valor Hora Real y Estimada'!$A$4:$A$78, 0),
    MATCH(
      TEXT(C2190,"dd mmm")&amp;" "&amp;D2190,
      'Valor Hora Real y Estimada'!$A$3:$Z$3,
      0
    ) + 1
  ),
  0
)</f>
        <v>0</v>
      </c>
      <c r="O2190" s="453"/>
      <c r="P2190" s="113"/>
      <c r="Q2190" s="106" t="str">
        <f>IF(ISBLANK(O2190), "", VLOOKUP(C2190&amp;" "&amp;D2190, 'Info Tipo de Cambio y REM'!$A$24:$B$35, 2, FALSE))</f>
        <v/>
      </c>
      <c r="R2190" s="107" t="str">
        <f t="shared" si="32"/>
        <v/>
      </c>
    </row>
    <row r="2191" hidden="1">
      <c r="A2191" s="443"/>
      <c r="B2191" s="43" t="str">
        <f>IF(A2191="", "", IFERROR(VLOOKUP(A2191, Clasificaciones!A:B, 2, FALSE), "DATO NO CARGADO"))
</f>
        <v/>
      </c>
      <c r="C2191" s="51"/>
      <c r="D2191" s="102"/>
      <c r="E2191" s="102"/>
      <c r="H2191" s="102"/>
      <c r="J2191" s="102"/>
      <c r="K2191" s="450"/>
      <c r="L2191" s="443"/>
      <c r="M2191" s="450"/>
      <c r="N2191" s="452">
        <f t="array" ref="N2191">IFERROR(
  INDEX(
    'Valor Hora Real y Estimada'!$A$4:$Z$78,
    MATCH(TRIM(CLEAN(A2191)), 'Valor Hora Real y Estimada'!$A$4:$A$78, 0),
    MATCH(
      TEXT(C2191,"dd mmm")&amp;" "&amp;D2191,
      'Valor Hora Real y Estimada'!$A$3:$Z$3,
      0
    ) + 1
  ),
  0
)</f>
        <v>0</v>
      </c>
      <c r="O2191" s="453"/>
      <c r="P2191" s="113"/>
      <c r="Q2191" s="106" t="str">
        <f>IF(ISBLANK(O2191), "", VLOOKUP(C2191&amp;" "&amp;D2191, 'Info Tipo de Cambio y REM'!$A$24:$B$35, 2, FALSE))</f>
        <v/>
      </c>
      <c r="R2191" s="107" t="str">
        <f t="shared" si="32"/>
        <v/>
      </c>
    </row>
    <row r="2192" hidden="1">
      <c r="A2192" s="443"/>
      <c r="B2192" s="43" t="str">
        <f>IF(A2192="", "", IFERROR(VLOOKUP(A2192, Clasificaciones!A:B, 2, FALSE), "DATO NO CARGADO"))
</f>
        <v/>
      </c>
      <c r="C2192" s="51"/>
      <c r="D2192" s="102"/>
      <c r="E2192" s="102"/>
      <c r="H2192" s="102"/>
      <c r="J2192" s="102"/>
      <c r="K2192" s="450"/>
      <c r="L2192" s="443"/>
      <c r="M2192" s="450"/>
      <c r="N2192" s="452">
        <f t="array" ref="N2192">IFERROR(
  INDEX(
    'Valor Hora Real y Estimada'!$A$4:$Z$78,
    MATCH(TRIM(CLEAN(A2192)), 'Valor Hora Real y Estimada'!$A$4:$A$78, 0),
    MATCH(
      TEXT(C2192,"dd mmm")&amp;" "&amp;D2192,
      'Valor Hora Real y Estimada'!$A$3:$Z$3,
      0
    ) + 1
  ),
  0
)</f>
        <v>0</v>
      </c>
      <c r="O2192" s="453"/>
      <c r="P2192" s="113"/>
      <c r="Q2192" s="106" t="str">
        <f>IF(ISBLANK(O2192), "", VLOOKUP(C2192&amp;" "&amp;D2192, 'Info Tipo de Cambio y REM'!$A$24:$B$35, 2, FALSE))</f>
        <v/>
      </c>
      <c r="R2192" s="107" t="str">
        <f t="shared" si="32"/>
        <v/>
      </c>
    </row>
    <row r="2193" hidden="1">
      <c r="A2193" s="443"/>
      <c r="B2193" s="43" t="str">
        <f>IF(A2193="", "", IFERROR(VLOOKUP(A2193, Clasificaciones!A:B, 2, FALSE), "DATO NO CARGADO"))
</f>
        <v/>
      </c>
      <c r="C2193" s="51"/>
      <c r="D2193" s="102"/>
      <c r="E2193" s="102"/>
      <c r="H2193" s="102"/>
      <c r="J2193" s="102"/>
      <c r="K2193" s="450"/>
      <c r="L2193" s="443"/>
      <c r="M2193" s="450"/>
      <c r="N2193" s="452">
        <f t="array" ref="N2193">IFERROR(
  INDEX(
    'Valor Hora Real y Estimada'!$A$4:$Z$78,
    MATCH(TRIM(CLEAN(A2193)), 'Valor Hora Real y Estimada'!$A$4:$A$78, 0),
    MATCH(
      TEXT(C2193,"dd mmm")&amp;" "&amp;D2193,
      'Valor Hora Real y Estimada'!$A$3:$Z$3,
      0
    ) + 1
  ),
  0
)</f>
        <v>0</v>
      </c>
      <c r="O2193" s="453"/>
      <c r="P2193" s="113"/>
      <c r="Q2193" s="106" t="str">
        <f>IF(ISBLANK(O2193), "", VLOOKUP(C2193&amp;" "&amp;D2193, 'Info Tipo de Cambio y REM'!$A$24:$B$35, 2, FALSE))</f>
        <v/>
      </c>
      <c r="R2193" s="107" t="str">
        <f t="shared" si="32"/>
        <v/>
      </c>
    </row>
    <row r="2194" hidden="1">
      <c r="A2194" s="443"/>
      <c r="B2194" s="43" t="str">
        <f>IF(A2194="", "", IFERROR(VLOOKUP(A2194, Clasificaciones!A:B, 2, FALSE), "DATO NO CARGADO"))
</f>
        <v/>
      </c>
      <c r="C2194" s="51"/>
      <c r="D2194" s="102"/>
      <c r="E2194" s="102"/>
      <c r="H2194" s="102"/>
      <c r="J2194" s="102"/>
      <c r="K2194" s="450"/>
      <c r="L2194" s="443"/>
      <c r="M2194" s="450"/>
      <c r="N2194" s="452">
        <f t="array" ref="N2194">IFERROR(
  INDEX(
    'Valor Hora Real y Estimada'!$A$4:$Z$78,
    MATCH(TRIM(CLEAN(A2194)), 'Valor Hora Real y Estimada'!$A$4:$A$78, 0),
    MATCH(
      TEXT(C2194,"dd mmm")&amp;" "&amp;D2194,
      'Valor Hora Real y Estimada'!$A$3:$Z$3,
      0
    ) + 1
  ),
  0
)</f>
        <v>0</v>
      </c>
      <c r="O2194" s="453"/>
      <c r="P2194" s="113"/>
      <c r="Q2194" s="106" t="str">
        <f>IF(ISBLANK(O2194), "", VLOOKUP(C2194&amp;" "&amp;D2194, 'Info Tipo de Cambio y REM'!$A$24:$B$35, 2, FALSE))</f>
        <v/>
      </c>
      <c r="R2194" s="107" t="str">
        <f t="shared" si="32"/>
        <v/>
      </c>
    </row>
    <row r="2195" hidden="1">
      <c r="A2195" s="443"/>
      <c r="B2195" s="43" t="str">
        <f>IF(A2195="", "", IFERROR(VLOOKUP(A2195, Clasificaciones!A:B, 2, FALSE), "DATO NO CARGADO"))
</f>
        <v/>
      </c>
      <c r="C2195" s="51"/>
      <c r="D2195" s="102"/>
      <c r="E2195" s="102"/>
      <c r="H2195" s="102"/>
      <c r="J2195" s="102"/>
      <c r="K2195" s="450"/>
      <c r="L2195" s="443"/>
      <c r="M2195" s="450"/>
      <c r="N2195" s="452">
        <f t="array" ref="N2195">IFERROR(
  INDEX(
    'Valor Hora Real y Estimada'!$A$4:$Z$78,
    MATCH(TRIM(CLEAN(A2195)), 'Valor Hora Real y Estimada'!$A$4:$A$78, 0),
    MATCH(
      TEXT(C2195,"dd mmm")&amp;" "&amp;D2195,
      'Valor Hora Real y Estimada'!$A$3:$Z$3,
      0
    ) + 1
  ),
  0
)</f>
        <v>0</v>
      </c>
      <c r="O2195" s="453"/>
      <c r="P2195" s="113"/>
      <c r="Q2195" s="106" t="str">
        <f>IF(ISBLANK(O2195), "", VLOOKUP(C2195&amp;" "&amp;D2195, 'Info Tipo de Cambio y REM'!$A$24:$B$35, 2, FALSE))</f>
        <v/>
      </c>
      <c r="R2195" s="107" t="str">
        <f t="shared" si="32"/>
        <v/>
      </c>
    </row>
    <row r="2196" hidden="1">
      <c r="A2196" s="443"/>
      <c r="B2196" s="43" t="str">
        <f>IF(A2196="", "", IFERROR(VLOOKUP(A2196, Clasificaciones!A:B, 2, FALSE), "DATO NO CARGADO"))
</f>
        <v/>
      </c>
      <c r="C2196" s="51"/>
      <c r="D2196" s="102"/>
      <c r="E2196" s="102"/>
      <c r="H2196" s="102"/>
      <c r="J2196" s="102"/>
      <c r="K2196" s="450"/>
      <c r="L2196" s="443"/>
      <c r="M2196" s="450"/>
      <c r="N2196" s="452">
        <f t="array" ref="N2196">IFERROR(
  INDEX(
    'Valor Hora Real y Estimada'!$A$4:$Z$78,
    MATCH(TRIM(CLEAN(A2196)), 'Valor Hora Real y Estimada'!$A$4:$A$78, 0),
    MATCH(
      TEXT(C2196,"dd mmm")&amp;" "&amp;D2196,
      'Valor Hora Real y Estimada'!$A$3:$Z$3,
      0
    ) + 1
  ),
  0
)</f>
        <v>0</v>
      </c>
      <c r="O2196" s="453"/>
      <c r="P2196" s="113"/>
      <c r="Q2196" s="106" t="str">
        <f>IF(ISBLANK(O2196), "", VLOOKUP(C2196&amp;" "&amp;D2196, 'Info Tipo de Cambio y REM'!$A$24:$B$35, 2, FALSE))</f>
        <v/>
      </c>
      <c r="R2196" s="107" t="str">
        <f t="shared" si="32"/>
        <v/>
      </c>
    </row>
    <row r="2197" hidden="1">
      <c r="A2197" s="443"/>
      <c r="B2197" s="43" t="str">
        <f>IF(A2197="", "", IFERROR(VLOOKUP(A2197, Clasificaciones!A:B, 2, FALSE), "DATO NO CARGADO"))
</f>
        <v/>
      </c>
      <c r="C2197" s="51"/>
      <c r="D2197" s="102"/>
      <c r="E2197" s="102"/>
      <c r="H2197" s="102"/>
      <c r="J2197" s="102"/>
      <c r="K2197" s="450"/>
      <c r="L2197" s="443"/>
      <c r="M2197" s="450"/>
      <c r="N2197" s="452">
        <f t="array" ref="N2197">IFERROR(
  INDEX(
    'Valor Hora Real y Estimada'!$A$4:$Z$78,
    MATCH(TRIM(CLEAN(A2197)), 'Valor Hora Real y Estimada'!$A$4:$A$78, 0),
    MATCH(
      TEXT(C2197,"dd mmm")&amp;" "&amp;D2197,
      'Valor Hora Real y Estimada'!$A$3:$Z$3,
      0
    ) + 1
  ),
  0
)</f>
        <v>0</v>
      </c>
      <c r="O2197" s="453"/>
      <c r="P2197" s="113"/>
      <c r="Q2197" s="106" t="str">
        <f>IF(ISBLANK(O2197), "", VLOOKUP(C2197&amp;" "&amp;D2197, 'Info Tipo de Cambio y REM'!$A$24:$B$35, 2, FALSE))</f>
        <v/>
      </c>
      <c r="R2197" s="107" t="str">
        <f t="shared" si="32"/>
        <v/>
      </c>
    </row>
    <row r="2198" hidden="1">
      <c r="A2198" s="443"/>
      <c r="B2198" s="43" t="str">
        <f>IF(A2198="", "", IFERROR(VLOOKUP(A2198, Clasificaciones!A:B, 2, FALSE), "DATO NO CARGADO"))
</f>
        <v/>
      </c>
      <c r="C2198" s="51"/>
      <c r="D2198" s="102"/>
      <c r="E2198" s="102"/>
      <c r="H2198" s="102"/>
      <c r="J2198" s="102"/>
      <c r="K2198" s="450"/>
      <c r="L2198" s="443"/>
      <c r="M2198" s="450"/>
      <c r="N2198" s="452">
        <f t="array" ref="N2198">IFERROR(
  INDEX(
    'Valor Hora Real y Estimada'!$A$4:$Z$78,
    MATCH(TRIM(CLEAN(A2198)), 'Valor Hora Real y Estimada'!$A$4:$A$78, 0),
    MATCH(
      TEXT(C2198,"dd mmm")&amp;" "&amp;D2198,
      'Valor Hora Real y Estimada'!$A$3:$Z$3,
      0
    ) + 1
  ),
  0
)</f>
        <v>0</v>
      </c>
      <c r="O2198" s="453"/>
      <c r="P2198" s="113"/>
      <c r="Q2198" s="106" t="str">
        <f>IF(ISBLANK(O2198), "", VLOOKUP(C2198&amp;" "&amp;D2198, 'Info Tipo de Cambio y REM'!$A$24:$B$35, 2, FALSE))</f>
        <v/>
      </c>
      <c r="R2198" s="107" t="str">
        <f t="shared" si="32"/>
        <v/>
      </c>
    </row>
    <row r="2199" hidden="1">
      <c r="A2199" s="443"/>
      <c r="B2199" s="43" t="str">
        <f>IF(A2199="", "", IFERROR(VLOOKUP(A2199, Clasificaciones!A:B, 2, FALSE), "DATO NO CARGADO"))
</f>
        <v/>
      </c>
      <c r="C2199" s="51"/>
      <c r="D2199" s="102"/>
      <c r="E2199" s="102"/>
      <c r="H2199" s="102"/>
      <c r="J2199" s="102"/>
      <c r="K2199" s="450"/>
      <c r="L2199" s="443"/>
      <c r="M2199" s="450"/>
      <c r="N2199" s="452">
        <f t="array" ref="N2199">IFERROR(
  INDEX(
    'Valor Hora Real y Estimada'!$A$4:$Z$78,
    MATCH(TRIM(CLEAN(A2199)), 'Valor Hora Real y Estimada'!$A$4:$A$78, 0),
    MATCH(
      TEXT(C2199,"dd mmm")&amp;" "&amp;D2199,
      'Valor Hora Real y Estimada'!$A$3:$Z$3,
      0
    ) + 1
  ),
  0
)</f>
        <v>0</v>
      </c>
      <c r="O2199" s="453"/>
      <c r="P2199" s="113"/>
      <c r="Q2199" s="106" t="str">
        <f>IF(ISBLANK(O2199), "", VLOOKUP(C2199&amp;" "&amp;D2199, 'Info Tipo de Cambio y REM'!$A$24:$B$35, 2, FALSE))</f>
        <v/>
      </c>
      <c r="R2199" s="107" t="str">
        <f t="shared" si="32"/>
        <v/>
      </c>
    </row>
    <row r="2200" hidden="1">
      <c r="A2200" s="443"/>
      <c r="B2200" s="43" t="str">
        <f>IF(A2200="", "", IFERROR(VLOOKUP(A2200, Clasificaciones!A:B, 2, FALSE), "DATO NO CARGADO"))
</f>
        <v/>
      </c>
      <c r="C2200" s="51"/>
      <c r="D2200" s="102"/>
      <c r="E2200" s="102"/>
      <c r="H2200" s="102"/>
      <c r="J2200" s="102"/>
      <c r="K2200" s="450"/>
      <c r="L2200" s="443"/>
      <c r="M2200" s="450"/>
      <c r="N2200" s="452">
        <f t="array" ref="N2200">IFERROR(
  INDEX(
    'Valor Hora Real y Estimada'!$A$4:$Z$78,
    MATCH(TRIM(CLEAN(A2200)), 'Valor Hora Real y Estimada'!$A$4:$A$78, 0),
    MATCH(
      TEXT(C2200,"dd mmm")&amp;" "&amp;D2200,
      'Valor Hora Real y Estimada'!$A$3:$Z$3,
      0
    ) + 1
  ),
  0
)</f>
        <v>0</v>
      </c>
      <c r="O2200" s="453"/>
      <c r="P2200" s="113"/>
      <c r="Q2200" s="106" t="str">
        <f>IF(ISBLANK(O2200), "", VLOOKUP(C2200&amp;" "&amp;D2200, 'Info Tipo de Cambio y REM'!$A$24:$B$35, 2, FALSE))</f>
        <v/>
      </c>
      <c r="R2200" s="107" t="str">
        <f t="shared" si="32"/>
        <v/>
      </c>
    </row>
    <row r="2201" hidden="1">
      <c r="A2201" s="443"/>
      <c r="B2201" s="43" t="str">
        <f>IF(A2201="", "", IFERROR(VLOOKUP(A2201, Clasificaciones!A:B, 2, FALSE), "DATO NO CARGADO"))
</f>
        <v/>
      </c>
      <c r="C2201" s="51"/>
      <c r="D2201" s="102"/>
      <c r="E2201" s="102"/>
      <c r="H2201" s="102"/>
      <c r="J2201" s="102"/>
      <c r="K2201" s="450"/>
      <c r="L2201" s="443"/>
      <c r="M2201" s="450"/>
      <c r="N2201" s="452">
        <f t="array" ref="N2201">IFERROR(
  INDEX(
    'Valor Hora Real y Estimada'!$A$4:$Z$78,
    MATCH(TRIM(CLEAN(A2201)), 'Valor Hora Real y Estimada'!$A$4:$A$78, 0),
    MATCH(
      TEXT(C2201,"dd mmm")&amp;" "&amp;D2201,
      'Valor Hora Real y Estimada'!$A$3:$Z$3,
      0
    ) + 1
  ),
  0
)</f>
        <v>0</v>
      </c>
      <c r="O2201" s="453"/>
      <c r="P2201" s="113"/>
      <c r="Q2201" s="106" t="str">
        <f>IF(ISBLANK(O2201), "", VLOOKUP(C2201&amp;" "&amp;D2201, 'Info Tipo de Cambio y REM'!$A$24:$B$35, 2, FALSE))</f>
        <v/>
      </c>
      <c r="R2201" s="107" t="str">
        <f t="shared" si="32"/>
        <v/>
      </c>
    </row>
    <row r="2202" hidden="1">
      <c r="A2202" s="443"/>
      <c r="B2202" s="43" t="str">
        <f>IF(A2202="", "", IFERROR(VLOOKUP(A2202, Clasificaciones!A:B, 2, FALSE), "DATO NO CARGADO"))
</f>
        <v/>
      </c>
      <c r="C2202" s="51"/>
      <c r="D2202" s="102"/>
      <c r="E2202" s="102"/>
      <c r="H2202" s="102"/>
      <c r="J2202" s="102"/>
      <c r="K2202" s="450"/>
      <c r="L2202" s="443"/>
      <c r="M2202" s="450"/>
      <c r="N2202" s="452">
        <f t="array" ref="N2202">IFERROR(
  INDEX(
    'Valor Hora Real y Estimada'!$A$4:$Z$78,
    MATCH(TRIM(CLEAN(A2202)), 'Valor Hora Real y Estimada'!$A$4:$A$78, 0),
    MATCH(
      TEXT(C2202,"dd mmm")&amp;" "&amp;D2202,
      'Valor Hora Real y Estimada'!$A$3:$Z$3,
      0
    ) + 1
  ),
  0
)</f>
        <v>0</v>
      </c>
      <c r="O2202" s="453"/>
      <c r="P2202" s="113"/>
      <c r="Q2202" s="106" t="str">
        <f>IF(ISBLANK(O2202), "", VLOOKUP(C2202&amp;" "&amp;D2202, 'Info Tipo de Cambio y REM'!$A$24:$B$35, 2, FALSE))</f>
        <v/>
      </c>
      <c r="R2202" s="107" t="str">
        <f t="shared" si="32"/>
        <v/>
      </c>
    </row>
    <row r="2203" hidden="1">
      <c r="A2203" s="443"/>
      <c r="B2203" s="43" t="str">
        <f>IF(A2203="", "", IFERROR(VLOOKUP(A2203, Clasificaciones!A:B, 2, FALSE), "DATO NO CARGADO"))
</f>
        <v/>
      </c>
      <c r="C2203" s="51"/>
      <c r="D2203" s="102"/>
      <c r="E2203" s="102"/>
      <c r="H2203" s="102"/>
      <c r="J2203" s="102"/>
      <c r="K2203" s="450"/>
      <c r="L2203" s="443"/>
      <c r="M2203" s="450"/>
      <c r="N2203" s="452">
        <f t="array" ref="N2203">IFERROR(
  INDEX(
    'Valor Hora Real y Estimada'!$A$4:$Z$78,
    MATCH(TRIM(CLEAN(A2203)), 'Valor Hora Real y Estimada'!$A$4:$A$78, 0),
    MATCH(
      TEXT(C2203,"dd mmm")&amp;" "&amp;D2203,
      'Valor Hora Real y Estimada'!$A$3:$Z$3,
      0
    ) + 1
  ),
  0
)</f>
        <v>0</v>
      </c>
      <c r="O2203" s="453"/>
      <c r="P2203" s="113"/>
      <c r="Q2203" s="106" t="str">
        <f>IF(ISBLANK(O2203), "", VLOOKUP(C2203&amp;" "&amp;D2203, 'Info Tipo de Cambio y REM'!$A$24:$B$35, 2, FALSE))</f>
        <v/>
      </c>
      <c r="R2203" s="107" t="str">
        <f t="shared" si="32"/>
        <v/>
      </c>
    </row>
    <row r="2204" hidden="1">
      <c r="A2204" s="443"/>
      <c r="B2204" s="43" t="str">
        <f>IF(A2204="", "", IFERROR(VLOOKUP(A2204, Clasificaciones!A:B, 2, FALSE), "DATO NO CARGADO"))
</f>
        <v/>
      </c>
      <c r="C2204" s="51"/>
      <c r="D2204" s="102"/>
      <c r="E2204" s="102"/>
      <c r="H2204" s="102"/>
      <c r="J2204" s="102"/>
      <c r="K2204" s="450"/>
      <c r="L2204" s="443"/>
      <c r="M2204" s="450"/>
      <c r="N2204" s="452">
        <f t="array" ref="N2204">IFERROR(
  INDEX(
    'Valor Hora Real y Estimada'!$A$4:$Z$78,
    MATCH(TRIM(CLEAN(A2204)), 'Valor Hora Real y Estimada'!$A$4:$A$78, 0),
    MATCH(
      TEXT(C2204,"dd mmm")&amp;" "&amp;D2204,
      'Valor Hora Real y Estimada'!$A$3:$Z$3,
      0
    ) + 1
  ),
  0
)</f>
        <v>0</v>
      </c>
      <c r="O2204" s="453"/>
      <c r="P2204" s="113"/>
      <c r="Q2204" s="106" t="str">
        <f>IF(ISBLANK(O2204), "", VLOOKUP(C2204&amp;" "&amp;D2204, 'Info Tipo de Cambio y REM'!$A$24:$B$35, 2, FALSE))</f>
        <v/>
      </c>
      <c r="R2204" s="107" t="str">
        <f t="shared" si="32"/>
        <v/>
      </c>
    </row>
    <row r="2205" hidden="1">
      <c r="A2205" s="443"/>
      <c r="B2205" s="43" t="str">
        <f>IF(A2205="", "", IFERROR(VLOOKUP(A2205, Clasificaciones!A:B, 2, FALSE), "DATO NO CARGADO"))
</f>
        <v/>
      </c>
      <c r="C2205" s="51"/>
      <c r="D2205" s="102"/>
      <c r="E2205" s="102"/>
      <c r="H2205" s="102"/>
      <c r="J2205" s="102"/>
      <c r="K2205" s="450"/>
      <c r="L2205" s="443"/>
      <c r="M2205" s="450"/>
      <c r="N2205" s="452">
        <f t="array" ref="N2205">IFERROR(
  INDEX(
    'Valor Hora Real y Estimada'!$A$4:$Z$78,
    MATCH(TRIM(CLEAN(A2205)), 'Valor Hora Real y Estimada'!$A$4:$A$78, 0),
    MATCH(
      TEXT(C2205,"dd mmm")&amp;" "&amp;D2205,
      'Valor Hora Real y Estimada'!$A$3:$Z$3,
      0
    ) + 1
  ),
  0
)</f>
        <v>0</v>
      </c>
      <c r="O2205" s="453"/>
      <c r="P2205" s="113"/>
      <c r="Q2205" s="106" t="str">
        <f>IF(ISBLANK(O2205), "", VLOOKUP(C2205&amp;" "&amp;D2205, 'Info Tipo de Cambio y REM'!$A$24:$B$35, 2, FALSE))</f>
        <v/>
      </c>
      <c r="R2205" s="107" t="str">
        <f t="shared" si="32"/>
        <v/>
      </c>
    </row>
    <row r="2206" hidden="1">
      <c r="A2206" s="443"/>
      <c r="B2206" s="43" t="str">
        <f>IF(A2206="", "", IFERROR(VLOOKUP(A2206, Clasificaciones!A:B, 2, FALSE), "DATO NO CARGADO"))
</f>
        <v/>
      </c>
      <c r="C2206" s="51"/>
      <c r="D2206" s="102"/>
      <c r="E2206" s="102"/>
      <c r="H2206" s="102"/>
      <c r="J2206" s="102"/>
      <c r="K2206" s="450"/>
      <c r="L2206" s="443"/>
      <c r="M2206" s="450"/>
      <c r="N2206" s="452">
        <f t="array" ref="N2206">IFERROR(
  INDEX(
    'Valor Hora Real y Estimada'!$A$4:$Z$78,
    MATCH(TRIM(CLEAN(A2206)), 'Valor Hora Real y Estimada'!$A$4:$A$78, 0),
    MATCH(
      TEXT(C2206,"dd mmm")&amp;" "&amp;D2206,
      'Valor Hora Real y Estimada'!$A$3:$Z$3,
      0
    ) + 1
  ),
  0
)</f>
        <v>0</v>
      </c>
      <c r="O2206" s="453"/>
      <c r="P2206" s="113"/>
      <c r="Q2206" s="106" t="str">
        <f>IF(ISBLANK(O2206), "", VLOOKUP(C2206&amp;" "&amp;D2206, 'Info Tipo de Cambio y REM'!$A$24:$B$35, 2, FALSE))</f>
        <v/>
      </c>
      <c r="R2206" s="107" t="str">
        <f t="shared" si="32"/>
        <v/>
      </c>
    </row>
    <row r="2207" hidden="1">
      <c r="A2207" s="443"/>
      <c r="B2207" s="43" t="str">
        <f>IF(A2207="", "", IFERROR(VLOOKUP(A2207, Clasificaciones!A:B, 2, FALSE), "DATO NO CARGADO"))
</f>
        <v/>
      </c>
      <c r="C2207" s="51"/>
      <c r="D2207" s="102"/>
      <c r="E2207" s="102"/>
      <c r="H2207" s="102"/>
      <c r="J2207" s="102"/>
      <c r="K2207" s="450"/>
      <c r="L2207" s="443"/>
      <c r="M2207" s="450"/>
      <c r="N2207" s="452">
        <f t="array" ref="N2207">IFERROR(
  INDEX(
    'Valor Hora Real y Estimada'!$A$4:$Z$78,
    MATCH(TRIM(CLEAN(A2207)), 'Valor Hora Real y Estimada'!$A$4:$A$78, 0),
    MATCH(
      TEXT(C2207,"dd mmm")&amp;" "&amp;D2207,
      'Valor Hora Real y Estimada'!$A$3:$Z$3,
      0
    ) + 1
  ),
  0
)</f>
        <v>0</v>
      </c>
      <c r="O2207" s="453"/>
      <c r="P2207" s="113"/>
      <c r="Q2207" s="106" t="str">
        <f>IF(ISBLANK(O2207), "", VLOOKUP(C2207&amp;" "&amp;D2207, 'Info Tipo de Cambio y REM'!$A$24:$B$35, 2, FALSE))</f>
        <v/>
      </c>
      <c r="R2207" s="107" t="str">
        <f t="shared" si="32"/>
        <v/>
      </c>
    </row>
    <row r="2208" hidden="1">
      <c r="A2208" s="443"/>
      <c r="B2208" s="43" t="str">
        <f>IF(A2208="", "", IFERROR(VLOOKUP(A2208, Clasificaciones!A:B, 2, FALSE), "DATO NO CARGADO"))
</f>
        <v/>
      </c>
      <c r="C2208" s="51"/>
      <c r="D2208" s="102"/>
      <c r="E2208" s="102"/>
      <c r="H2208" s="102"/>
      <c r="J2208" s="102"/>
      <c r="K2208" s="450"/>
      <c r="L2208" s="443"/>
      <c r="M2208" s="450"/>
      <c r="N2208" s="452">
        <f t="array" ref="N2208">IFERROR(
  INDEX(
    'Valor Hora Real y Estimada'!$A$4:$Z$78,
    MATCH(TRIM(CLEAN(A2208)), 'Valor Hora Real y Estimada'!$A$4:$A$78, 0),
    MATCH(
      TEXT(C2208,"dd mmm")&amp;" "&amp;D2208,
      'Valor Hora Real y Estimada'!$A$3:$Z$3,
      0
    ) + 1
  ),
  0
)</f>
        <v>0</v>
      </c>
      <c r="O2208" s="453"/>
      <c r="P2208" s="113"/>
      <c r="Q2208" s="106" t="str">
        <f>IF(ISBLANK(O2208), "", VLOOKUP(C2208&amp;" "&amp;D2208, 'Info Tipo de Cambio y REM'!$A$24:$B$35, 2, FALSE))</f>
        <v/>
      </c>
      <c r="R2208" s="107" t="str">
        <f t="shared" si="32"/>
        <v/>
      </c>
    </row>
    <row r="2209" hidden="1">
      <c r="A2209" s="443"/>
      <c r="B2209" s="43" t="str">
        <f>IF(A2209="", "", IFERROR(VLOOKUP(A2209, Clasificaciones!A:B, 2, FALSE), "DATO NO CARGADO"))
</f>
        <v/>
      </c>
      <c r="C2209" s="51"/>
      <c r="D2209" s="102"/>
      <c r="E2209" s="102"/>
      <c r="H2209" s="102"/>
      <c r="J2209" s="102"/>
      <c r="K2209" s="450"/>
      <c r="L2209" s="443"/>
      <c r="M2209" s="450"/>
      <c r="N2209" s="452">
        <f t="array" ref="N2209">IFERROR(
  INDEX(
    'Valor Hora Real y Estimada'!$A$4:$Z$78,
    MATCH(TRIM(CLEAN(A2209)), 'Valor Hora Real y Estimada'!$A$4:$A$78, 0),
    MATCH(
      TEXT(C2209,"dd mmm")&amp;" "&amp;D2209,
      'Valor Hora Real y Estimada'!$A$3:$Z$3,
      0
    ) + 1
  ),
  0
)</f>
        <v>0</v>
      </c>
      <c r="O2209" s="453"/>
      <c r="P2209" s="113"/>
      <c r="Q2209" s="106" t="str">
        <f>IF(ISBLANK(O2209), "", VLOOKUP(C2209&amp;" "&amp;D2209, 'Info Tipo de Cambio y REM'!$A$24:$B$35, 2, FALSE))</f>
        <v/>
      </c>
      <c r="R2209" s="107" t="str">
        <f t="shared" si="32"/>
        <v/>
      </c>
    </row>
    <row r="2210" hidden="1">
      <c r="A2210" s="443"/>
      <c r="B2210" s="43" t="str">
        <f>IF(A2210="", "", IFERROR(VLOOKUP(A2210, Clasificaciones!A:B, 2, FALSE), "DATO NO CARGADO"))
</f>
        <v/>
      </c>
      <c r="C2210" s="51"/>
      <c r="D2210" s="102"/>
      <c r="E2210" s="102"/>
      <c r="H2210" s="102"/>
      <c r="J2210" s="102"/>
      <c r="K2210" s="450"/>
      <c r="L2210" s="443"/>
      <c r="M2210" s="450"/>
      <c r="N2210" s="452">
        <f t="array" ref="N2210">IFERROR(
  INDEX(
    'Valor Hora Real y Estimada'!$A$4:$Z$78,
    MATCH(TRIM(CLEAN(A2210)), 'Valor Hora Real y Estimada'!$A$4:$A$78, 0),
    MATCH(
      TEXT(C2210,"dd mmm")&amp;" "&amp;D2210,
      'Valor Hora Real y Estimada'!$A$3:$Z$3,
      0
    ) + 1
  ),
  0
)</f>
        <v>0</v>
      </c>
      <c r="O2210" s="453"/>
      <c r="P2210" s="113"/>
      <c r="Q2210" s="106" t="str">
        <f>IF(ISBLANK(O2210), "", VLOOKUP(C2210&amp;" "&amp;D2210, 'Info Tipo de Cambio y REM'!$A$24:$B$35, 2, FALSE))</f>
        <v/>
      </c>
      <c r="R2210" s="107" t="str">
        <f t="shared" si="32"/>
        <v/>
      </c>
    </row>
    <row r="2211" hidden="1">
      <c r="A2211" s="443"/>
      <c r="B2211" s="43" t="str">
        <f>IF(A2211="", "", IFERROR(VLOOKUP(A2211, Clasificaciones!A:B, 2, FALSE), "DATO NO CARGADO"))
</f>
        <v/>
      </c>
      <c r="C2211" s="51"/>
      <c r="D2211" s="102"/>
      <c r="E2211" s="102"/>
      <c r="H2211" s="102"/>
      <c r="J2211" s="102"/>
      <c r="K2211" s="450"/>
      <c r="L2211" s="443"/>
      <c r="M2211" s="450"/>
      <c r="N2211" s="452">
        <f t="array" ref="N2211">IFERROR(
  INDEX(
    'Valor Hora Real y Estimada'!$A$4:$Z$78,
    MATCH(TRIM(CLEAN(A2211)), 'Valor Hora Real y Estimada'!$A$4:$A$78, 0),
    MATCH(
      TEXT(C2211,"dd mmm")&amp;" "&amp;D2211,
      'Valor Hora Real y Estimada'!$A$3:$Z$3,
      0
    ) + 1
  ),
  0
)</f>
        <v>0</v>
      </c>
      <c r="O2211" s="453"/>
      <c r="P2211" s="113"/>
      <c r="Q2211" s="106" t="str">
        <f>IF(ISBLANK(O2211), "", VLOOKUP(C2211&amp;" "&amp;D2211, 'Info Tipo de Cambio y REM'!$A$24:$B$35, 2, FALSE))</f>
        <v/>
      </c>
      <c r="R2211" s="107" t="str">
        <f t="shared" si="32"/>
        <v/>
      </c>
    </row>
    <row r="2212" hidden="1">
      <c r="A2212" s="443"/>
      <c r="B2212" s="43" t="str">
        <f>IF(A2212="", "", IFERROR(VLOOKUP(A2212, Clasificaciones!A:B, 2, FALSE), "DATO NO CARGADO"))
</f>
        <v/>
      </c>
      <c r="C2212" s="51"/>
      <c r="D2212" s="102"/>
      <c r="E2212" s="102"/>
      <c r="H2212" s="102"/>
      <c r="J2212" s="102"/>
      <c r="K2212" s="450"/>
      <c r="L2212" s="443"/>
      <c r="M2212" s="450"/>
      <c r="N2212" s="452">
        <f t="array" ref="N2212">IFERROR(
  INDEX(
    'Valor Hora Real y Estimada'!$A$4:$Z$78,
    MATCH(TRIM(CLEAN(A2212)), 'Valor Hora Real y Estimada'!$A$4:$A$78, 0),
    MATCH(
      TEXT(C2212,"dd mmm")&amp;" "&amp;D2212,
      'Valor Hora Real y Estimada'!$A$3:$Z$3,
      0
    ) + 1
  ),
  0
)</f>
        <v>0</v>
      </c>
      <c r="O2212" s="453"/>
      <c r="P2212" s="113"/>
      <c r="Q2212" s="106" t="str">
        <f>IF(ISBLANK(O2212), "", VLOOKUP(C2212&amp;" "&amp;D2212, 'Info Tipo de Cambio y REM'!$A$24:$B$35, 2, FALSE))</f>
        <v/>
      </c>
      <c r="R2212" s="107" t="str">
        <f t="shared" si="32"/>
        <v/>
      </c>
    </row>
    <row r="2213" hidden="1">
      <c r="A2213" s="443"/>
      <c r="B2213" s="43" t="str">
        <f>IF(A2213="", "", IFERROR(VLOOKUP(A2213, Clasificaciones!A:B, 2, FALSE), "DATO NO CARGADO"))
</f>
        <v/>
      </c>
      <c r="C2213" s="51"/>
      <c r="D2213" s="102"/>
      <c r="E2213" s="102"/>
      <c r="H2213" s="102"/>
      <c r="J2213" s="102"/>
      <c r="K2213" s="450"/>
      <c r="L2213" s="443"/>
      <c r="M2213" s="450"/>
      <c r="N2213" s="452">
        <f t="array" ref="N2213">IFERROR(
  INDEX(
    'Valor Hora Real y Estimada'!$A$4:$Z$78,
    MATCH(TRIM(CLEAN(A2213)), 'Valor Hora Real y Estimada'!$A$4:$A$78, 0),
    MATCH(
      TEXT(C2213,"dd mmm")&amp;" "&amp;D2213,
      'Valor Hora Real y Estimada'!$A$3:$Z$3,
      0
    ) + 1
  ),
  0
)</f>
        <v>0</v>
      </c>
      <c r="O2213" s="453"/>
      <c r="P2213" s="113"/>
      <c r="Q2213" s="106" t="str">
        <f>IF(ISBLANK(O2213), "", VLOOKUP(C2213&amp;" "&amp;D2213, 'Info Tipo de Cambio y REM'!$A$24:$B$35, 2, FALSE))</f>
        <v/>
      </c>
      <c r="R2213" s="107" t="str">
        <f t="shared" si="32"/>
        <v/>
      </c>
    </row>
    <row r="2214" hidden="1">
      <c r="A2214" s="443"/>
      <c r="B2214" s="43" t="str">
        <f>IF(A2214="", "", IFERROR(VLOOKUP(A2214, Clasificaciones!A:B, 2, FALSE), "DATO NO CARGADO"))
</f>
        <v/>
      </c>
      <c r="C2214" s="51"/>
      <c r="D2214" s="102"/>
      <c r="E2214" s="102"/>
      <c r="H2214" s="102"/>
      <c r="J2214" s="102"/>
      <c r="K2214" s="450"/>
      <c r="L2214" s="443"/>
      <c r="M2214" s="450"/>
      <c r="N2214" s="452">
        <f t="array" ref="N2214">IFERROR(
  INDEX(
    'Valor Hora Real y Estimada'!$A$4:$Z$78,
    MATCH(TRIM(CLEAN(A2214)), 'Valor Hora Real y Estimada'!$A$4:$A$78, 0),
    MATCH(
      TEXT(C2214,"dd mmm")&amp;" "&amp;D2214,
      'Valor Hora Real y Estimada'!$A$3:$Z$3,
      0
    ) + 1
  ),
  0
)</f>
        <v>0</v>
      </c>
      <c r="O2214" s="453"/>
      <c r="P2214" s="113"/>
      <c r="Q2214" s="106" t="str">
        <f>IF(ISBLANK(O2214), "", VLOOKUP(C2214&amp;" "&amp;D2214, 'Info Tipo de Cambio y REM'!$A$24:$B$35, 2, FALSE))</f>
        <v/>
      </c>
      <c r="R2214" s="107" t="str">
        <f t="shared" si="32"/>
        <v/>
      </c>
    </row>
    <row r="2215" hidden="1">
      <c r="A2215" s="443"/>
      <c r="B2215" s="43" t="str">
        <f>IF(A2215="", "", IFERROR(VLOOKUP(A2215, Clasificaciones!A:B, 2, FALSE), "DATO NO CARGADO"))
</f>
        <v/>
      </c>
      <c r="C2215" s="51"/>
      <c r="D2215" s="102"/>
      <c r="E2215" s="102"/>
      <c r="H2215" s="102"/>
      <c r="J2215" s="102"/>
      <c r="K2215" s="450"/>
      <c r="L2215" s="443"/>
      <c r="M2215" s="450"/>
      <c r="N2215" s="452">
        <f t="array" ref="N2215">IFERROR(
  INDEX(
    'Valor Hora Real y Estimada'!$A$4:$Z$78,
    MATCH(TRIM(CLEAN(A2215)), 'Valor Hora Real y Estimada'!$A$4:$A$78, 0),
    MATCH(
      TEXT(C2215,"dd mmm")&amp;" "&amp;D2215,
      'Valor Hora Real y Estimada'!$A$3:$Z$3,
      0
    ) + 1
  ),
  0
)</f>
        <v>0</v>
      </c>
      <c r="O2215" s="453"/>
      <c r="P2215" s="113"/>
      <c r="Q2215" s="106" t="str">
        <f>IF(ISBLANK(O2215), "", VLOOKUP(C2215&amp;" "&amp;D2215, 'Info Tipo de Cambio y REM'!$A$24:$B$35, 2, FALSE))</f>
        <v/>
      </c>
      <c r="R2215" s="107" t="str">
        <f t="shared" si="32"/>
        <v/>
      </c>
    </row>
    <row r="2216" hidden="1">
      <c r="A2216" s="443"/>
      <c r="B2216" s="43" t="str">
        <f>IF(A2216="", "", IFERROR(VLOOKUP(A2216, Clasificaciones!A:B, 2, FALSE), "DATO NO CARGADO"))
</f>
        <v/>
      </c>
      <c r="C2216" s="51"/>
      <c r="D2216" s="102"/>
      <c r="E2216" s="102"/>
      <c r="H2216" s="102"/>
      <c r="J2216" s="102"/>
      <c r="K2216" s="450"/>
      <c r="L2216" s="443"/>
      <c r="M2216" s="450"/>
      <c r="N2216" s="452">
        <f t="array" ref="N2216">IFERROR(
  INDEX(
    'Valor Hora Real y Estimada'!$A$4:$Z$78,
    MATCH(TRIM(CLEAN(A2216)), 'Valor Hora Real y Estimada'!$A$4:$A$78, 0),
    MATCH(
      TEXT(C2216,"dd mmm")&amp;" "&amp;D2216,
      'Valor Hora Real y Estimada'!$A$3:$Z$3,
      0
    ) + 1
  ),
  0
)</f>
        <v>0</v>
      </c>
      <c r="O2216" s="453"/>
      <c r="P2216" s="113"/>
      <c r="Q2216" s="106" t="str">
        <f>IF(ISBLANK(O2216), "", VLOOKUP(C2216&amp;" "&amp;D2216, 'Info Tipo de Cambio y REM'!$A$24:$B$35, 2, FALSE))</f>
        <v/>
      </c>
      <c r="R2216" s="107" t="str">
        <f t="shared" si="32"/>
        <v/>
      </c>
    </row>
    <row r="2217" hidden="1">
      <c r="A2217" s="443"/>
      <c r="B2217" s="43" t="str">
        <f>IF(A2217="", "", IFERROR(VLOOKUP(A2217, Clasificaciones!A:B, 2, FALSE), "DATO NO CARGADO"))
</f>
        <v/>
      </c>
      <c r="C2217" s="51"/>
      <c r="D2217" s="102"/>
      <c r="E2217" s="102"/>
      <c r="H2217" s="102"/>
      <c r="J2217" s="102"/>
      <c r="K2217" s="450"/>
      <c r="L2217" s="443"/>
      <c r="M2217" s="450"/>
      <c r="N2217" s="452">
        <f t="array" ref="N2217">IFERROR(
  INDEX(
    'Valor Hora Real y Estimada'!$A$4:$Z$78,
    MATCH(TRIM(CLEAN(A2217)), 'Valor Hora Real y Estimada'!$A$4:$A$78, 0),
    MATCH(
      TEXT(C2217,"dd mmm")&amp;" "&amp;D2217,
      'Valor Hora Real y Estimada'!$A$3:$Z$3,
      0
    ) + 1
  ),
  0
)</f>
        <v>0</v>
      </c>
      <c r="O2217" s="453"/>
      <c r="P2217" s="113"/>
      <c r="Q2217" s="106" t="str">
        <f>IF(ISBLANK(O2217), "", VLOOKUP(C2217&amp;" "&amp;D2217, 'Info Tipo de Cambio y REM'!$A$24:$B$35, 2, FALSE))</f>
        <v/>
      </c>
      <c r="R2217" s="107" t="str">
        <f t="shared" si="32"/>
        <v/>
      </c>
    </row>
    <row r="2218" hidden="1">
      <c r="A2218" s="443"/>
      <c r="B2218" s="43" t="str">
        <f>IF(A2218="", "", IFERROR(VLOOKUP(A2218, Clasificaciones!A:B, 2, FALSE), "DATO NO CARGADO"))
</f>
        <v/>
      </c>
      <c r="C2218" s="51"/>
      <c r="D2218" s="102"/>
      <c r="E2218" s="102"/>
      <c r="H2218" s="102"/>
      <c r="J2218" s="102"/>
      <c r="K2218" s="450"/>
      <c r="L2218" s="443"/>
      <c r="M2218" s="450"/>
      <c r="N2218" s="452">
        <f t="array" ref="N2218">IFERROR(
  INDEX(
    'Valor Hora Real y Estimada'!$A$4:$Z$78,
    MATCH(TRIM(CLEAN(A2218)), 'Valor Hora Real y Estimada'!$A$4:$A$78, 0),
    MATCH(
      TEXT(C2218,"dd mmm")&amp;" "&amp;D2218,
      'Valor Hora Real y Estimada'!$A$3:$Z$3,
      0
    ) + 1
  ),
  0
)</f>
        <v>0</v>
      </c>
      <c r="O2218" s="453"/>
      <c r="P2218" s="113"/>
      <c r="Q2218" s="106" t="str">
        <f>IF(ISBLANK(O2218), "", VLOOKUP(C2218&amp;" "&amp;D2218, 'Info Tipo de Cambio y REM'!$A$24:$B$35, 2, FALSE))</f>
        <v/>
      </c>
      <c r="R2218" s="107" t="str">
        <f t="shared" si="32"/>
        <v/>
      </c>
    </row>
    <row r="2219" hidden="1">
      <c r="A2219" s="443"/>
      <c r="B2219" s="43" t="str">
        <f>IF(A2219="", "", IFERROR(VLOOKUP(A2219, Clasificaciones!A:B, 2, FALSE), "DATO NO CARGADO"))
</f>
        <v/>
      </c>
      <c r="C2219" s="51"/>
      <c r="D2219" s="102"/>
      <c r="E2219" s="102"/>
      <c r="H2219" s="102"/>
      <c r="J2219" s="102"/>
      <c r="K2219" s="450"/>
      <c r="L2219" s="443"/>
      <c r="M2219" s="450"/>
      <c r="N2219" s="452">
        <f t="array" ref="N2219">IFERROR(
  INDEX(
    'Valor Hora Real y Estimada'!$A$4:$Z$78,
    MATCH(TRIM(CLEAN(A2219)), 'Valor Hora Real y Estimada'!$A$4:$A$78, 0),
    MATCH(
      TEXT(C2219,"dd mmm")&amp;" "&amp;D2219,
      'Valor Hora Real y Estimada'!$A$3:$Z$3,
      0
    ) + 1
  ),
  0
)</f>
        <v>0</v>
      </c>
      <c r="O2219" s="453"/>
      <c r="P2219" s="113"/>
      <c r="Q2219" s="106" t="str">
        <f>IF(ISBLANK(O2219), "", VLOOKUP(C2219&amp;" "&amp;D2219, 'Info Tipo de Cambio y REM'!$A$24:$B$35, 2, FALSE))</f>
        <v/>
      </c>
      <c r="R2219" s="107" t="str">
        <f t="shared" si="32"/>
        <v/>
      </c>
    </row>
    <row r="2220" hidden="1">
      <c r="A2220" s="443"/>
      <c r="B2220" s="43" t="str">
        <f>IF(A2220="", "", IFERROR(VLOOKUP(A2220, Clasificaciones!A:B, 2, FALSE), "DATO NO CARGADO"))
</f>
        <v/>
      </c>
      <c r="C2220" s="51"/>
      <c r="D2220" s="102"/>
      <c r="E2220" s="102"/>
      <c r="H2220" s="102"/>
      <c r="J2220" s="102"/>
      <c r="K2220" s="450"/>
      <c r="L2220" s="443"/>
      <c r="M2220" s="450"/>
      <c r="N2220" s="452">
        <f t="array" ref="N2220">IFERROR(
  INDEX(
    'Valor Hora Real y Estimada'!$A$4:$Z$78,
    MATCH(TRIM(CLEAN(A2220)), 'Valor Hora Real y Estimada'!$A$4:$A$78, 0),
    MATCH(
      TEXT(C2220,"dd mmm")&amp;" "&amp;D2220,
      'Valor Hora Real y Estimada'!$A$3:$Z$3,
      0
    ) + 1
  ),
  0
)</f>
        <v>0</v>
      </c>
      <c r="O2220" s="453"/>
      <c r="P2220" s="113"/>
      <c r="Q2220" s="106" t="str">
        <f>IF(ISBLANK(O2220), "", VLOOKUP(C2220&amp;" "&amp;D2220, 'Info Tipo de Cambio y REM'!$A$24:$B$35, 2, FALSE))</f>
        <v/>
      </c>
      <c r="R2220" s="107"/>
    </row>
    <row r="2221" hidden="1">
      <c r="A2221" s="443"/>
      <c r="B2221" s="43" t="str">
        <f>IF(A2221="", "", IFERROR(VLOOKUP(A2221, Clasificaciones!A:B, 2, FALSE), "DATO NO CARGADO"))
</f>
        <v/>
      </c>
      <c r="C2221" s="51"/>
      <c r="D2221" s="102"/>
      <c r="E2221" s="102"/>
      <c r="H2221" s="102"/>
      <c r="J2221" s="102"/>
      <c r="K2221" s="450"/>
      <c r="L2221" s="443"/>
      <c r="M2221" s="450"/>
      <c r="N2221" s="452">
        <f t="array" ref="N2221">IFERROR(
  INDEX(
    'Valor Hora Real y Estimada'!$A$4:$Z$78,
    MATCH(TRIM(CLEAN(A2221)), 'Valor Hora Real y Estimada'!$A$4:$A$78, 0),
    MATCH(
      TEXT(C2221,"dd mmm")&amp;" "&amp;D2221,
      'Valor Hora Real y Estimada'!$A$3:$Z$3,
      0
    ) + 1
  ),
  0
)</f>
        <v>0</v>
      </c>
      <c r="O2221" s="453"/>
      <c r="P2221" s="113"/>
      <c r="Q2221" s="106" t="str">
        <f>IF(ISBLANK(O2221), "", VLOOKUP(C2221&amp;" "&amp;D2221, 'Info Tipo de Cambio y REM'!$A$24:$B$35, 2, FALSE))</f>
        <v/>
      </c>
      <c r="R2221" s="107"/>
    </row>
    <row r="2222" hidden="1">
      <c r="A2222" s="443"/>
      <c r="B2222" s="43" t="str">
        <f>IF(A2222="", "", IFERROR(VLOOKUP(A2222, Clasificaciones!A:B, 2, FALSE), "DATO NO CARGADO"))
</f>
        <v/>
      </c>
      <c r="C2222" s="51"/>
      <c r="D2222" s="102"/>
      <c r="E2222" s="102"/>
      <c r="H2222" s="102"/>
      <c r="J2222" s="102"/>
      <c r="K2222" s="450"/>
      <c r="L2222" s="443"/>
      <c r="M2222" s="450"/>
      <c r="N2222" s="452">
        <f t="array" ref="N2222">IFERROR(
  INDEX(
    'Valor Hora Real y Estimada'!$A$4:$Z$78,
    MATCH(TRIM(CLEAN(A2222)), 'Valor Hora Real y Estimada'!$A$4:$A$78, 0),
    MATCH(
      TEXT(C2222,"dd mmm")&amp;" "&amp;D2222,
      'Valor Hora Real y Estimada'!$A$3:$Z$3,
      0
    ) + 1
  ),
  0
)</f>
        <v>0</v>
      </c>
      <c r="O2222" s="453"/>
      <c r="P2222" s="113"/>
      <c r="Q2222" s="106" t="str">
        <f>IF(ISBLANK(O2222), "", VLOOKUP(C2222&amp;" "&amp;D2222, 'Info Tipo de Cambio y REM'!$A$24:$B$35, 2, FALSE))</f>
        <v/>
      </c>
      <c r="R2222" s="107"/>
    </row>
    <row r="2223" hidden="1">
      <c r="A2223" s="443"/>
      <c r="B2223" s="43" t="str">
        <f>IF(A2223="", "", IFERROR(VLOOKUP(A2223, Clasificaciones!A:B, 2, FALSE), "DATO NO CARGADO"))
</f>
        <v/>
      </c>
      <c r="C2223" s="51"/>
      <c r="D2223" s="102"/>
      <c r="E2223" s="102"/>
      <c r="H2223" s="102"/>
      <c r="J2223" s="102"/>
      <c r="K2223" s="450"/>
      <c r="L2223" s="443"/>
      <c r="M2223" s="450"/>
      <c r="N2223" s="452">
        <f t="array" ref="N2223">IFERROR(
  INDEX(
    'Valor Hora Real y Estimada'!$A$4:$Z$78,
    MATCH(TRIM(CLEAN(A2223)), 'Valor Hora Real y Estimada'!$A$4:$A$78, 0),
    MATCH(
      TEXT(C2223,"dd mmm")&amp;" "&amp;D2223,
      'Valor Hora Real y Estimada'!$A$3:$Z$3,
      0
    ) + 1
  ),
  0
)</f>
        <v>0</v>
      </c>
      <c r="O2223" s="453"/>
      <c r="P2223" s="113"/>
      <c r="Q2223" s="106" t="str">
        <f>IF(ISBLANK(O2223), "", VLOOKUP(C2223&amp;" "&amp;D2223, 'Info Tipo de Cambio y REM'!$A$24:$B$35, 2, FALSE))</f>
        <v/>
      </c>
      <c r="R2223" s="107"/>
    </row>
    <row r="2224" hidden="1">
      <c r="A2224" s="443"/>
      <c r="B2224" s="43" t="str">
        <f>IF(A2224="", "", IFERROR(VLOOKUP(A2224, Clasificaciones!A:B, 2, FALSE), "DATO NO CARGADO"))
</f>
        <v/>
      </c>
      <c r="C2224" s="51"/>
      <c r="D2224" s="102"/>
      <c r="E2224" s="102"/>
      <c r="H2224" s="102"/>
      <c r="J2224" s="102"/>
      <c r="K2224" s="450"/>
      <c r="L2224" s="443"/>
      <c r="M2224" s="450"/>
      <c r="N2224" s="452">
        <f t="array" ref="N2224">IFERROR(
  INDEX(
    'Valor Hora Real y Estimada'!$A$4:$Z$78,
    MATCH(TRIM(CLEAN(A2224)), 'Valor Hora Real y Estimada'!$A$4:$A$78, 0),
    MATCH(
      TEXT(C2224,"dd mmm")&amp;" "&amp;D2224,
      'Valor Hora Real y Estimada'!$A$3:$Z$3,
      0
    ) + 1
  ),
  0
)</f>
        <v>0</v>
      </c>
      <c r="O2224" s="453"/>
      <c r="P2224" s="113"/>
      <c r="Q2224" s="106" t="str">
        <f>IF(ISBLANK(O2224), "", VLOOKUP(C2224&amp;" "&amp;D2224, 'Info Tipo de Cambio y REM'!$A$24:$B$35, 2, FALSE))</f>
        <v/>
      </c>
      <c r="R2224" s="107"/>
    </row>
    <row r="2225" hidden="1">
      <c r="A2225" s="443"/>
      <c r="B2225" s="43" t="str">
        <f>IF(A2225="", "", IFERROR(VLOOKUP(A2225, Clasificaciones!A:B, 2, FALSE), "DATO NO CARGADO"))
</f>
        <v/>
      </c>
      <c r="C2225" s="51"/>
      <c r="D2225" s="102"/>
      <c r="E2225" s="102"/>
      <c r="H2225" s="102"/>
      <c r="J2225" s="102"/>
      <c r="K2225" s="450"/>
      <c r="L2225" s="443"/>
      <c r="M2225" s="450"/>
      <c r="N2225" s="452">
        <f t="array" ref="N2225">IFERROR(
  INDEX(
    'Valor Hora Real y Estimada'!$A$4:$Z$78,
    MATCH(TRIM(CLEAN(A2225)), 'Valor Hora Real y Estimada'!$A$4:$A$78, 0),
    MATCH(
      TEXT(C2225,"dd mmm")&amp;" "&amp;D2225,
      'Valor Hora Real y Estimada'!$A$3:$Z$3,
      0
    ) + 1
  ),
  0
)</f>
        <v>0</v>
      </c>
      <c r="O2225" s="453"/>
      <c r="P2225" s="113"/>
      <c r="Q2225" s="106" t="str">
        <f>IF(ISBLANK(O2225), "", VLOOKUP(C2225&amp;" "&amp;D2225, 'Info Tipo de Cambio y REM'!$A$24:$B$35, 2, FALSE))</f>
        <v/>
      </c>
      <c r="R2225" s="107"/>
    </row>
    <row r="2226" hidden="1">
      <c r="A2226" s="443"/>
      <c r="B2226" s="43" t="str">
        <f>IF(A2226="", "", IFERROR(VLOOKUP(A2226, Clasificaciones!A:B, 2, FALSE), "DATO NO CARGADO"))
</f>
        <v/>
      </c>
      <c r="C2226" s="51"/>
      <c r="D2226" s="102"/>
      <c r="E2226" s="102"/>
      <c r="H2226" s="102"/>
      <c r="J2226" s="102"/>
      <c r="K2226" s="450"/>
      <c r="L2226" s="443"/>
      <c r="M2226" s="450"/>
      <c r="N2226" s="452">
        <f t="array" ref="N2226">IFERROR(
  INDEX(
    'Valor Hora Real y Estimada'!$A$4:$Z$78,
    MATCH(TRIM(CLEAN(A2226)), 'Valor Hora Real y Estimada'!$A$4:$A$78, 0),
    MATCH(
      TEXT(C2226,"dd mmm")&amp;" "&amp;D2226,
      'Valor Hora Real y Estimada'!$A$3:$Z$3,
      0
    ) + 1
  ),
  0
)</f>
        <v>0</v>
      </c>
      <c r="O2226" s="453"/>
      <c r="P2226" s="113"/>
      <c r="Q2226" s="106" t="str">
        <f>IF(ISBLANK(O2226), "", VLOOKUP(C2226&amp;" "&amp;D2226, 'Info Tipo de Cambio y REM'!$A$24:$B$35, 2, FALSE))</f>
        <v/>
      </c>
      <c r="R2226" s="107"/>
    </row>
    <row r="2227" hidden="1">
      <c r="A2227" s="443"/>
      <c r="B2227" s="43" t="str">
        <f>IF(A2227="", "", IFERROR(VLOOKUP(A2227, Clasificaciones!A:B, 2, FALSE), "DATO NO CARGADO"))
</f>
        <v/>
      </c>
      <c r="C2227" s="51"/>
      <c r="D2227" s="102"/>
      <c r="E2227" s="102"/>
      <c r="H2227" s="102"/>
      <c r="J2227" s="102"/>
      <c r="K2227" s="450"/>
      <c r="L2227" s="443"/>
      <c r="M2227" s="450"/>
      <c r="N2227" s="452">
        <f t="array" ref="N2227">IFERROR(
  INDEX(
    'Valor Hora Real y Estimada'!$A$4:$Z$78,
    MATCH(TRIM(CLEAN(A2227)), 'Valor Hora Real y Estimada'!$A$4:$A$78, 0),
    MATCH(
      TEXT(C2227,"dd mmm")&amp;" "&amp;D2227,
      'Valor Hora Real y Estimada'!$A$3:$Z$3,
      0
    ) + 1
  ),
  0
)</f>
        <v>0</v>
      </c>
      <c r="O2227" s="453"/>
      <c r="P2227" s="113"/>
      <c r="Q2227" s="106" t="str">
        <f>IF(ISBLANK(O2227), "", VLOOKUP(C2227&amp;" "&amp;D2227, 'Info Tipo de Cambio y REM'!$A$24:$B$35, 2, FALSE))</f>
        <v/>
      </c>
      <c r="R2227" s="107"/>
    </row>
    <row r="2228" hidden="1">
      <c r="A2228" s="443"/>
      <c r="B2228" s="43" t="str">
        <f>IF(A2228="", "", IFERROR(VLOOKUP(A2228, Clasificaciones!A:B, 2, FALSE), "DATO NO CARGADO"))
</f>
        <v/>
      </c>
      <c r="C2228" s="51"/>
      <c r="D2228" s="102"/>
      <c r="E2228" s="102"/>
      <c r="H2228" s="102"/>
      <c r="J2228" s="102"/>
      <c r="K2228" s="450"/>
      <c r="L2228" s="443"/>
      <c r="M2228" s="450"/>
      <c r="N2228" s="452">
        <f t="array" ref="N2228">IFERROR(
  INDEX(
    'Valor Hora Real y Estimada'!$A$4:$Z$78,
    MATCH(TRIM(CLEAN(A2228)), 'Valor Hora Real y Estimada'!$A$4:$A$78, 0),
    MATCH(
      TEXT(C2228,"dd mmm")&amp;" "&amp;D2228,
      'Valor Hora Real y Estimada'!$A$3:$Z$3,
      0
    ) + 1
  ),
  0
)</f>
        <v>0</v>
      </c>
      <c r="O2228" s="453"/>
      <c r="P2228" s="113"/>
      <c r="Q2228" s="106" t="str">
        <f>IF(ISBLANK(O2228), "", VLOOKUP(C2228&amp;" "&amp;D2228, 'Info Tipo de Cambio y REM'!$A$24:$B$35, 2, FALSE))</f>
        <v/>
      </c>
      <c r="R2228" s="107"/>
    </row>
    <row r="2229" hidden="1">
      <c r="A2229" s="443"/>
      <c r="B2229" s="43" t="str">
        <f>IF(A2229="", "", IFERROR(VLOOKUP(A2229, Clasificaciones!A:B, 2, FALSE), "DATO NO CARGADO"))
</f>
        <v/>
      </c>
      <c r="C2229" s="51"/>
      <c r="D2229" s="102"/>
      <c r="E2229" s="102"/>
      <c r="H2229" s="102"/>
      <c r="J2229" s="102"/>
      <c r="K2229" s="450"/>
      <c r="L2229" s="443"/>
      <c r="M2229" s="450"/>
      <c r="N2229" s="452">
        <f t="array" ref="N2229">IFERROR(
  INDEX(
    'Valor Hora Real y Estimada'!$A$4:$Z$78,
    MATCH(TRIM(CLEAN(A2229)), 'Valor Hora Real y Estimada'!$A$4:$A$78, 0),
    MATCH(
      TEXT(C2229,"dd mmm")&amp;" "&amp;D2229,
      'Valor Hora Real y Estimada'!$A$3:$Z$3,
      0
    ) + 1
  ),
  0
)</f>
        <v>0</v>
      </c>
      <c r="O2229" s="453"/>
      <c r="P2229" s="113"/>
      <c r="Q2229" s="106" t="str">
        <f>IF(ISBLANK(O2229), "", VLOOKUP(C2229&amp;" "&amp;D2229, 'Info Tipo de Cambio y REM'!$A$24:$B$35, 2, FALSE))</f>
        <v/>
      </c>
      <c r="R2229" s="107"/>
    </row>
    <row r="2230" hidden="1">
      <c r="A2230" s="443"/>
      <c r="B2230" s="43" t="str">
        <f>IF(A2230="", "", IFERROR(VLOOKUP(A2230, Clasificaciones!A:B, 2, FALSE), "DATO NO CARGADO"))
</f>
        <v/>
      </c>
      <c r="C2230" s="51"/>
      <c r="D2230" s="102"/>
      <c r="E2230" s="102"/>
      <c r="H2230" s="102"/>
      <c r="J2230" s="102"/>
      <c r="K2230" s="450"/>
      <c r="L2230" s="443"/>
      <c r="M2230" s="450"/>
      <c r="N2230" s="452">
        <f t="array" ref="N2230">IFERROR(
  INDEX(
    'Valor Hora Real y Estimada'!$A$4:$Z$78,
    MATCH(TRIM(CLEAN(A2230)), 'Valor Hora Real y Estimada'!$A$4:$A$78, 0),
    MATCH(
      TEXT(C2230,"dd mmm")&amp;" "&amp;D2230,
      'Valor Hora Real y Estimada'!$A$3:$Z$3,
      0
    ) + 1
  ),
  0
)</f>
        <v>0</v>
      </c>
      <c r="O2230" s="453"/>
      <c r="P2230" s="113"/>
      <c r="Q2230" s="106" t="str">
        <f>IF(ISBLANK(O2230), "", VLOOKUP(C2230&amp;" "&amp;D2230, 'Info Tipo de Cambio y REM'!$A$24:$B$35, 2, FALSE))</f>
        <v/>
      </c>
      <c r="R2230" s="107"/>
    </row>
    <row r="2231" hidden="1">
      <c r="A2231" s="443"/>
      <c r="B2231" s="43" t="str">
        <f>IF(A2231="", "", IFERROR(VLOOKUP(A2231, Clasificaciones!A:B, 2, FALSE), "DATO NO CARGADO"))
</f>
        <v/>
      </c>
      <c r="C2231" s="51"/>
      <c r="D2231" s="102"/>
      <c r="E2231" s="102"/>
      <c r="H2231" s="102"/>
      <c r="J2231" s="102"/>
      <c r="K2231" s="450"/>
      <c r="L2231" s="443"/>
      <c r="M2231" s="450"/>
      <c r="N2231" s="452">
        <f t="array" ref="N2231">IFERROR(
  INDEX(
    'Valor Hora Real y Estimada'!$A$4:$Z$78,
    MATCH(TRIM(CLEAN(A2231)), 'Valor Hora Real y Estimada'!$A$4:$A$78, 0),
    MATCH(
      TEXT(C2231,"dd mmm")&amp;" "&amp;D2231,
      'Valor Hora Real y Estimada'!$A$3:$Z$3,
      0
    ) + 1
  ),
  0
)</f>
        <v>0</v>
      </c>
      <c r="O2231" s="453"/>
      <c r="P2231" s="113"/>
      <c r="Q2231" s="106" t="str">
        <f>IF(ISBLANK(O2231), "", VLOOKUP(C2231&amp;" "&amp;D2231, 'Info Tipo de Cambio y REM'!$A$24:$B$35, 2, FALSE))</f>
        <v/>
      </c>
      <c r="R2231" s="107"/>
    </row>
    <row r="2232" hidden="1">
      <c r="A2232" s="443"/>
      <c r="B2232" s="43" t="str">
        <f>IF(A2232="", "", IFERROR(VLOOKUP(A2232, Clasificaciones!A:B, 2, FALSE), "DATO NO CARGADO"))
</f>
        <v/>
      </c>
      <c r="C2232" s="51"/>
      <c r="D2232" s="102"/>
      <c r="E2232" s="102"/>
      <c r="H2232" s="102"/>
      <c r="J2232" s="102"/>
      <c r="K2232" s="450"/>
      <c r="L2232" s="443"/>
      <c r="M2232" s="450"/>
      <c r="N2232" s="452">
        <f t="array" ref="N2232">IFERROR(
  INDEX(
    'Valor Hora Real y Estimada'!$A$4:$Z$78,
    MATCH(TRIM(CLEAN(A2232)), 'Valor Hora Real y Estimada'!$A$4:$A$78, 0),
    MATCH(
      TEXT(C2232,"dd mmm")&amp;" "&amp;D2232,
      'Valor Hora Real y Estimada'!$A$3:$Z$3,
      0
    ) + 1
  ),
  0
)</f>
        <v>0</v>
      </c>
      <c r="O2232" s="453"/>
      <c r="P2232" s="113"/>
      <c r="Q2232" s="106" t="str">
        <f>IF(ISBLANK(O2232), "", VLOOKUP(C2232&amp;" "&amp;D2232, 'Info Tipo de Cambio y REM'!$A$24:$B$35, 2, FALSE))</f>
        <v/>
      </c>
      <c r="R2232" s="107"/>
    </row>
    <row r="2233" hidden="1">
      <c r="A2233" s="443"/>
      <c r="B2233" s="43" t="str">
        <f>IF(A2233="", "", IFERROR(VLOOKUP(A2233, Clasificaciones!A:B, 2, FALSE), "DATO NO CARGADO"))
</f>
        <v/>
      </c>
      <c r="C2233" s="51"/>
      <c r="D2233" s="102"/>
      <c r="E2233" s="102"/>
      <c r="H2233" s="102"/>
      <c r="J2233" s="102"/>
      <c r="K2233" s="450"/>
      <c r="L2233" s="443"/>
      <c r="M2233" s="450"/>
      <c r="N2233" s="452">
        <f t="array" ref="N2233">IFERROR(
  INDEX(
    'Valor Hora Real y Estimada'!$A$4:$Z$78,
    MATCH(TRIM(CLEAN(A2233)), 'Valor Hora Real y Estimada'!$A$4:$A$78, 0),
    MATCH(
      TEXT(C2233,"dd mmm")&amp;" "&amp;D2233,
      'Valor Hora Real y Estimada'!$A$3:$Z$3,
      0
    ) + 1
  ),
  0
)</f>
        <v>0</v>
      </c>
      <c r="O2233" s="453"/>
      <c r="P2233" s="113"/>
      <c r="Q2233" s="106" t="str">
        <f>IF(ISBLANK(O2233), "", VLOOKUP(C2233&amp;" "&amp;D2233, 'Info Tipo de Cambio y REM'!$A$24:$B$35, 2, FALSE))</f>
        <v/>
      </c>
      <c r="R2233" s="107"/>
    </row>
    <row r="2234" hidden="1">
      <c r="A2234" s="443"/>
      <c r="B2234" s="43" t="str">
        <f>IF(A2234="", "", IFERROR(VLOOKUP(A2234, Clasificaciones!A:B, 2, FALSE), "DATO NO CARGADO"))
</f>
        <v/>
      </c>
      <c r="C2234" s="51"/>
      <c r="D2234" s="102"/>
      <c r="E2234" s="102"/>
      <c r="H2234" s="102"/>
      <c r="J2234" s="102"/>
      <c r="K2234" s="450"/>
      <c r="L2234" s="443"/>
      <c r="M2234" s="450"/>
      <c r="N2234" s="452">
        <f t="array" ref="N2234">IFERROR(
  INDEX(
    'Valor Hora Real y Estimada'!$A$4:$Z$78,
    MATCH(TRIM(CLEAN(A2234)), 'Valor Hora Real y Estimada'!$A$4:$A$78, 0),
    MATCH(
      TEXT(C2234,"dd mmm")&amp;" "&amp;D2234,
      'Valor Hora Real y Estimada'!$A$3:$Z$3,
      0
    ) + 1
  ),
  0
)</f>
        <v>0</v>
      </c>
      <c r="O2234" s="453"/>
      <c r="P2234" s="113"/>
      <c r="Q2234" s="106" t="str">
        <f>IF(ISBLANK(O2234), "", VLOOKUP(C2234&amp;" "&amp;D2234, 'Info Tipo de Cambio y REM'!$A$24:$B$35, 2, FALSE))</f>
        <v/>
      </c>
      <c r="R2234" s="107"/>
    </row>
    <row r="2235" hidden="1">
      <c r="A2235" s="443"/>
      <c r="B2235" s="43" t="str">
        <f>IF(A2235="", "", IFERROR(VLOOKUP(A2235, Clasificaciones!A:B, 2, FALSE), "DATO NO CARGADO"))
</f>
        <v/>
      </c>
      <c r="C2235" s="51"/>
      <c r="D2235" s="102"/>
      <c r="E2235" s="102"/>
      <c r="H2235" s="102"/>
      <c r="J2235" s="102"/>
      <c r="K2235" s="450"/>
      <c r="L2235" s="443"/>
      <c r="M2235" s="450"/>
      <c r="N2235" s="452">
        <f t="array" ref="N2235">IFERROR(
  INDEX(
    'Valor Hora Real y Estimada'!$A$4:$Z$78,
    MATCH(TRIM(CLEAN(A2235)), 'Valor Hora Real y Estimada'!$A$4:$A$78, 0),
    MATCH(
      TEXT(C2235,"dd mmm")&amp;" "&amp;D2235,
      'Valor Hora Real y Estimada'!$A$3:$Z$3,
      0
    ) + 1
  ),
  0
)</f>
        <v>0</v>
      </c>
      <c r="O2235" s="453"/>
      <c r="P2235" s="113"/>
      <c r="Q2235" s="106" t="str">
        <f>IF(ISBLANK(O2235), "", VLOOKUP(C2235&amp;" "&amp;D2235, 'Info Tipo de Cambio y REM'!$A$24:$B$35, 2, FALSE))</f>
        <v/>
      </c>
      <c r="R2235" s="107"/>
    </row>
    <row r="2236" hidden="1">
      <c r="A2236" s="443"/>
      <c r="B2236" s="43" t="str">
        <f>IF(A2236="", "", IFERROR(VLOOKUP(A2236, Clasificaciones!A:B, 2, FALSE), "DATO NO CARGADO"))
</f>
        <v/>
      </c>
      <c r="C2236" s="51"/>
      <c r="D2236" s="102"/>
      <c r="E2236" s="102"/>
      <c r="H2236" s="102"/>
      <c r="J2236" s="102"/>
      <c r="K2236" s="450"/>
      <c r="L2236" s="443"/>
      <c r="M2236" s="450"/>
      <c r="N2236" s="452">
        <f t="array" ref="N2236">IFERROR(
  INDEX(
    'Valor Hora Real y Estimada'!$A$4:$Z$78,
    MATCH(TRIM(CLEAN(A2236)), 'Valor Hora Real y Estimada'!$A$4:$A$78, 0),
    MATCH(
      TEXT(C2236,"dd mmm")&amp;" "&amp;D2236,
      'Valor Hora Real y Estimada'!$A$3:$Z$3,
      0
    ) + 1
  ),
  0
)</f>
        <v>0</v>
      </c>
      <c r="O2236" s="453"/>
      <c r="P2236" s="113"/>
      <c r="Q2236" s="106" t="str">
        <f>IF(ISBLANK(O2236), "", VLOOKUP(C2236&amp;" "&amp;D2236, 'Info Tipo de Cambio y REM'!$A$24:$B$35, 2, FALSE))</f>
        <v/>
      </c>
      <c r="R2236" s="107"/>
    </row>
    <row r="2237" hidden="1">
      <c r="A2237" s="443"/>
      <c r="B2237" s="43" t="str">
        <f>IF(A2237="", "", IFERROR(VLOOKUP(A2237, Clasificaciones!A:B, 2, FALSE), "DATO NO CARGADO"))
</f>
        <v/>
      </c>
      <c r="C2237" s="51"/>
      <c r="D2237" s="102"/>
      <c r="E2237" s="102"/>
      <c r="H2237" s="102"/>
      <c r="J2237" s="102"/>
      <c r="K2237" s="450"/>
      <c r="L2237" s="443"/>
      <c r="M2237" s="450"/>
      <c r="N2237" s="452">
        <f t="array" ref="N2237">IFERROR(
  INDEX(
    'Valor Hora Real y Estimada'!$A$4:$Z$78,
    MATCH(TRIM(CLEAN(A2237)), 'Valor Hora Real y Estimada'!$A$4:$A$78, 0),
    MATCH(
      TEXT(C2237,"dd mmm")&amp;" "&amp;D2237,
      'Valor Hora Real y Estimada'!$A$3:$Z$3,
      0
    ) + 1
  ),
  0
)</f>
        <v>0</v>
      </c>
      <c r="O2237" s="453"/>
      <c r="P2237" s="113"/>
      <c r="Q2237" s="106" t="str">
        <f>IF(ISBLANK(O2237), "", VLOOKUP(C2237&amp;" "&amp;D2237, 'Info Tipo de Cambio y REM'!$A$24:$B$35, 2, FALSE))</f>
        <v/>
      </c>
      <c r="R2237" s="107"/>
    </row>
    <row r="2238" hidden="1">
      <c r="A2238" s="443"/>
      <c r="B2238" s="43" t="str">
        <f>IF(A2238="", "", IFERROR(VLOOKUP(A2238, Clasificaciones!A:B, 2, FALSE), "DATO NO CARGADO"))
</f>
        <v/>
      </c>
      <c r="C2238" s="51"/>
      <c r="D2238" s="102"/>
      <c r="E2238" s="102"/>
      <c r="H2238" s="102"/>
      <c r="J2238" s="102"/>
      <c r="K2238" s="450"/>
      <c r="L2238" s="443"/>
      <c r="M2238" s="450"/>
      <c r="N2238" s="452">
        <f t="array" ref="N2238">IFERROR(
  INDEX(
    'Valor Hora Real y Estimada'!$A$4:$Z$78,
    MATCH(TRIM(CLEAN(A2238)), 'Valor Hora Real y Estimada'!$A$4:$A$78, 0),
    MATCH(
      TEXT(C2238,"dd mmm")&amp;" "&amp;D2238,
      'Valor Hora Real y Estimada'!$A$3:$Z$3,
      0
    ) + 1
  ),
  0
)</f>
        <v>0</v>
      </c>
      <c r="O2238" s="453"/>
      <c r="P2238" s="113"/>
      <c r="Q2238" s="106" t="str">
        <f>IF(ISBLANK(O2238), "", VLOOKUP(C2238&amp;" "&amp;D2238, 'Info Tipo de Cambio y REM'!$A$24:$B$35, 2, FALSE))</f>
        <v/>
      </c>
      <c r="R2238" s="107"/>
    </row>
    <row r="2239" hidden="1">
      <c r="A2239" s="443"/>
      <c r="B2239" s="43" t="str">
        <f>IF(A2239="", "", IFERROR(VLOOKUP(A2239, Clasificaciones!A:B, 2, FALSE), "DATO NO CARGADO"))
</f>
        <v/>
      </c>
      <c r="C2239" s="51"/>
      <c r="D2239" s="102"/>
      <c r="E2239" s="102"/>
      <c r="H2239" s="102"/>
      <c r="J2239" s="102"/>
      <c r="K2239" s="450"/>
      <c r="L2239" s="443"/>
      <c r="M2239" s="450"/>
      <c r="N2239" s="452">
        <f t="array" ref="N2239">IFERROR(
  INDEX(
    'Valor Hora Real y Estimada'!$A$4:$Z$78,
    MATCH(TRIM(CLEAN(A2239)), 'Valor Hora Real y Estimada'!$A$4:$A$78, 0),
    MATCH(
      TEXT(C2239,"dd mmm")&amp;" "&amp;D2239,
      'Valor Hora Real y Estimada'!$A$3:$Z$3,
      0
    ) + 1
  ),
  0
)</f>
        <v>0</v>
      </c>
      <c r="O2239" s="453"/>
      <c r="P2239" s="113"/>
      <c r="Q2239" s="106" t="str">
        <f>IF(ISBLANK(O2239), "", VLOOKUP(C2239&amp;" "&amp;D2239, 'Info Tipo de Cambio y REM'!$A$24:$B$35, 2, FALSE))</f>
        <v/>
      </c>
      <c r="R2239" s="107"/>
    </row>
    <row r="2240" hidden="1">
      <c r="A2240" s="443"/>
      <c r="B2240" s="43" t="str">
        <f>IF(A2240="", "", IFERROR(VLOOKUP(A2240, Clasificaciones!A:B, 2, FALSE), "DATO NO CARGADO"))
</f>
        <v/>
      </c>
      <c r="C2240" s="51"/>
      <c r="D2240" s="102"/>
      <c r="E2240" s="102"/>
      <c r="H2240" s="102"/>
      <c r="J2240" s="102"/>
      <c r="K2240" s="450"/>
      <c r="L2240" s="443"/>
      <c r="M2240" s="450"/>
      <c r="N2240" s="452">
        <f t="array" ref="N2240">IFERROR(
  INDEX(
    'Valor Hora Real y Estimada'!$A$4:$Z$78,
    MATCH(TRIM(CLEAN(A2240)), 'Valor Hora Real y Estimada'!$A$4:$A$78, 0),
    MATCH(
      TEXT(C2240,"dd mmm")&amp;" "&amp;D2240,
      'Valor Hora Real y Estimada'!$A$3:$Z$3,
      0
    ) + 1
  ),
  0
)</f>
        <v>0</v>
      </c>
      <c r="O2240" s="453"/>
      <c r="P2240" s="113"/>
      <c r="Q2240" s="106" t="str">
        <f>IF(ISBLANK(O2240), "", VLOOKUP(C2240&amp;" "&amp;D2240, 'Info Tipo de Cambio y REM'!$A$24:$B$35, 2, FALSE))</f>
        <v/>
      </c>
      <c r="R2240" s="107"/>
    </row>
    <row r="2241" hidden="1">
      <c r="A2241" s="443"/>
      <c r="B2241" s="43" t="str">
        <f>IF(A2241="", "", IFERROR(VLOOKUP(A2241, Clasificaciones!A:B, 2, FALSE), "DATO NO CARGADO"))
</f>
        <v/>
      </c>
      <c r="C2241" s="51"/>
      <c r="D2241" s="102"/>
      <c r="E2241" s="102"/>
      <c r="H2241" s="102"/>
      <c r="J2241" s="102"/>
      <c r="K2241" s="450"/>
      <c r="L2241" s="443"/>
      <c r="M2241" s="450"/>
      <c r="N2241" s="452">
        <f t="array" ref="N2241">IFERROR(
  INDEX(
    'Valor Hora Real y Estimada'!$A$4:$Z$78,
    MATCH(TRIM(CLEAN(A2241)), 'Valor Hora Real y Estimada'!$A$4:$A$78, 0),
    MATCH(
      TEXT(C2241,"dd mmm")&amp;" "&amp;D2241,
      'Valor Hora Real y Estimada'!$A$3:$Z$3,
      0
    ) + 1
  ),
  0
)</f>
        <v>0</v>
      </c>
      <c r="O2241" s="453"/>
      <c r="P2241" s="113"/>
      <c r="Q2241" s="106" t="str">
        <f>IF(ISBLANK(O2241), "", VLOOKUP(C2241&amp;" "&amp;D2241, 'Info Tipo de Cambio y REM'!$A$24:$B$35, 2, FALSE))</f>
        <v/>
      </c>
      <c r="R2241" s="107"/>
    </row>
    <row r="2242" hidden="1">
      <c r="A2242" s="443"/>
      <c r="B2242" s="43" t="str">
        <f>IF(A2242="", "", IFERROR(VLOOKUP(A2242, Clasificaciones!A:B, 2, FALSE), "DATO NO CARGADO"))
</f>
        <v/>
      </c>
      <c r="C2242" s="51"/>
      <c r="D2242" s="102"/>
      <c r="E2242" s="102"/>
      <c r="H2242" s="102"/>
      <c r="J2242" s="102"/>
      <c r="K2242" s="450"/>
      <c r="L2242" s="443"/>
      <c r="M2242" s="450"/>
      <c r="N2242" s="452">
        <f t="array" ref="N2242">IFERROR(
  INDEX(
    'Valor Hora Real y Estimada'!$A$4:$Z$78,
    MATCH(TRIM(CLEAN(A2242)), 'Valor Hora Real y Estimada'!$A$4:$A$78, 0),
    MATCH(
      TEXT(C2242,"dd mmm")&amp;" "&amp;D2242,
      'Valor Hora Real y Estimada'!$A$3:$Z$3,
      0
    ) + 1
  ),
  0
)</f>
        <v>0</v>
      </c>
      <c r="O2242" s="453"/>
      <c r="P2242" s="113"/>
      <c r="Q2242" s="106" t="str">
        <f>IF(ISBLANK(O2242), "", VLOOKUP(C2242&amp;" "&amp;D2242, 'Info Tipo de Cambio y REM'!$A$24:$B$35, 2, FALSE))</f>
        <v/>
      </c>
      <c r="R2242" s="107"/>
    </row>
    <row r="2243" hidden="1">
      <c r="A2243" s="443"/>
      <c r="B2243" s="43" t="str">
        <f>IF(A2243="", "", IFERROR(VLOOKUP(A2243, Clasificaciones!A:B, 2, FALSE), "DATO NO CARGADO"))
</f>
        <v/>
      </c>
      <c r="C2243" s="51"/>
      <c r="D2243" s="102"/>
      <c r="E2243" s="102"/>
      <c r="H2243" s="102"/>
      <c r="J2243" s="102"/>
      <c r="K2243" s="450"/>
      <c r="L2243" s="443"/>
      <c r="M2243" s="450"/>
      <c r="N2243" s="452">
        <f t="array" ref="N2243">IFERROR(
  INDEX(
    'Valor Hora Real y Estimada'!$A$4:$Z$78,
    MATCH(TRIM(CLEAN(A2243)), 'Valor Hora Real y Estimada'!$A$4:$A$78, 0),
    MATCH(
      TEXT(C2243,"dd mmm")&amp;" "&amp;D2243,
      'Valor Hora Real y Estimada'!$A$3:$Z$3,
      0
    ) + 1
  ),
  0
)</f>
        <v>0</v>
      </c>
      <c r="O2243" s="453"/>
      <c r="P2243" s="113"/>
      <c r="Q2243" s="106" t="str">
        <f>IF(ISBLANK(O2243), "", VLOOKUP(C2243&amp;" "&amp;D2243, 'Info Tipo de Cambio y REM'!$A$24:$B$35, 2, FALSE))</f>
        <v/>
      </c>
      <c r="R2243" s="107"/>
    </row>
    <row r="2244" hidden="1">
      <c r="A2244" s="443"/>
      <c r="B2244" s="43" t="str">
        <f>IF(A2244="", "", IFERROR(VLOOKUP(A2244, Clasificaciones!A:B, 2, FALSE), "DATO NO CARGADO"))
</f>
        <v/>
      </c>
      <c r="C2244" s="51"/>
      <c r="D2244" s="102"/>
      <c r="E2244" s="102"/>
      <c r="H2244" s="102"/>
      <c r="J2244" s="102"/>
      <c r="K2244" s="450"/>
      <c r="L2244" s="443"/>
      <c r="M2244" s="450"/>
      <c r="N2244" s="452">
        <f t="array" ref="N2244">IFERROR(
  INDEX(
    'Valor Hora Real y Estimada'!$A$4:$Z$78,
    MATCH(TRIM(CLEAN(A2244)), 'Valor Hora Real y Estimada'!$A$4:$A$78, 0),
    MATCH(
      TEXT(C2244,"dd mmm")&amp;" "&amp;D2244,
      'Valor Hora Real y Estimada'!$A$3:$Z$3,
      0
    ) + 1
  ),
  0
)</f>
        <v>0</v>
      </c>
      <c r="O2244" s="453"/>
      <c r="P2244" s="113"/>
      <c r="Q2244" s="106" t="str">
        <f>IF(ISBLANK(O2244), "", VLOOKUP(C2244&amp;" "&amp;D2244, 'Info Tipo de Cambio y REM'!$A$24:$B$35, 2, FALSE))</f>
        <v/>
      </c>
      <c r="R2244" s="107"/>
    </row>
    <row r="2245" hidden="1">
      <c r="A2245" s="443"/>
      <c r="B2245" s="43" t="str">
        <f>IF(A2245="", "", IFERROR(VLOOKUP(A2245, Clasificaciones!A:B, 2, FALSE), "DATO NO CARGADO"))
</f>
        <v/>
      </c>
      <c r="C2245" s="51"/>
      <c r="D2245" s="102"/>
      <c r="E2245" s="102"/>
      <c r="H2245" s="102"/>
      <c r="J2245" s="102"/>
      <c r="K2245" s="450"/>
      <c r="L2245" s="443"/>
      <c r="M2245" s="450"/>
      <c r="N2245" s="452">
        <f t="array" ref="N2245">IFERROR(
  INDEX(
    'Valor Hora Real y Estimada'!$A$4:$Z$78,
    MATCH(TRIM(CLEAN(A2245)), 'Valor Hora Real y Estimada'!$A$4:$A$78, 0),
    MATCH(
      TEXT(C2245,"dd mmm")&amp;" "&amp;D2245,
      'Valor Hora Real y Estimada'!$A$3:$Z$3,
      0
    ) + 1
  ),
  0
)</f>
        <v>0</v>
      </c>
      <c r="O2245" s="453"/>
      <c r="P2245" s="113"/>
      <c r="Q2245" s="106" t="str">
        <f>IF(ISBLANK(O2245), "", VLOOKUP(C2245&amp;" "&amp;D2245, 'Info Tipo de Cambio y REM'!$A$24:$B$35, 2, FALSE))</f>
        <v/>
      </c>
      <c r="R2245" s="107"/>
    </row>
    <row r="2246" hidden="1">
      <c r="A2246" s="443"/>
      <c r="B2246" s="43" t="str">
        <f>IF(A2246="", "", IFERROR(VLOOKUP(A2246, Clasificaciones!A:B, 2, FALSE), "DATO NO CARGADO"))
</f>
        <v/>
      </c>
      <c r="C2246" s="51"/>
      <c r="D2246" s="102"/>
      <c r="E2246" s="102"/>
      <c r="H2246" s="102"/>
      <c r="J2246" s="102"/>
      <c r="K2246" s="450"/>
      <c r="L2246" s="443"/>
      <c r="M2246" s="450"/>
      <c r="N2246" s="452">
        <f t="array" ref="N2246">IFERROR(
  INDEX(
    'Valor Hora Real y Estimada'!$A$4:$Z$78,
    MATCH(TRIM(CLEAN(A2246)), 'Valor Hora Real y Estimada'!$A$4:$A$78, 0),
    MATCH(
      TEXT(C2246,"dd mmm")&amp;" "&amp;D2246,
      'Valor Hora Real y Estimada'!$A$3:$Z$3,
      0
    ) + 1
  ),
  0
)</f>
        <v>0</v>
      </c>
      <c r="O2246" s="453"/>
      <c r="P2246" s="113"/>
      <c r="Q2246" s="106" t="str">
        <f>IF(ISBLANK(O2246), "", VLOOKUP(C2246&amp;" "&amp;D2246, 'Info Tipo de Cambio y REM'!$A$24:$B$35, 2, FALSE))</f>
        <v/>
      </c>
      <c r="R2246" s="107"/>
    </row>
    <row r="2247" hidden="1">
      <c r="A2247" s="443"/>
      <c r="B2247" s="43" t="str">
        <f>IF(A2247="", "", IFERROR(VLOOKUP(A2247, Clasificaciones!A:B, 2, FALSE), "DATO NO CARGADO"))
</f>
        <v/>
      </c>
      <c r="C2247" s="51"/>
      <c r="D2247" s="102"/>
      <c r="E2247" s="102"/>
      <c r="H2247" s="102"/>
      <c r="J2247" s="102"/>
      <c r="K2247" s="450"/>
      <c r="L2247" s="443"/>
      <c r="M2247" s="450"/>
      <c r="N2247" s="452">
        <f t="array" ref="N2247">IFERROR(
  INDEX(
    'Valor Hora Real y Estimada'!$A$4:$Z$78,
    MATCH(TRIM(CLEAN(A2247)), 'Valor Hora Real y Estimada'!$A$4:$A$78, 0),
    MATCH(
      TEXT(C2247,"dd mmm")&amp;" "&amp;D2247,
      'Valor Hora Real y Estimada'!$A$3:$Z$3,
      0
    ) + 1
  ),
  0
)</f>
        <v>0</v>
      </c>
      <c r="O2247" s="453"/>
      <c r="P2247" s="113"/>
      <c r="Q2247" s="106" t="str">
        <f>IF(ISBLANK(O2247), "", VLOOKUP(C2247&amp;" "&amp;D2247, 'Info Tipo de Cambio y REM'!$A$24:$B$35, 2, FALSE))</f>
        <v/>
      </c>
      <c r="R2247" s="107"/>
    </row>
    <row r="2248" hidden="1">
      <c r="A2248" s="443"/>
      <c r="B2248" s="43" t="str">
        <f>IF(A2248="", "", IFERROR(VLOOKUP(A2248, Clasificaciones!A:B, 2, FALSE), "DATO NO CARGADO"))
</f>
        <v/>
      </c>
      <c r="C2248" s="51"/>
      <c r="D2248" s="102"/>
      <c r="E2248" s="102"/>
      <c r="H2248" s="102"/>
      <c r="J2248" s="102"/>
      <c r="K2248" s="450"/>
      <c r="L2248" s="443"/>
      <c r="M2248" s="450"/>
      <c r="N2248" s="452">
        <f t="array" ref="N2248">IFERROR(
  INDEX(
    'Valor Hora Real y Estimada'!$A$4:$Z$78,
    MATCH(TRIM(CLEAN(A2248)), 'Valor Hora Real y Estimada'!$A$4:$A$78, 0),
    MATCH(
      TEXT(C2248,"dd mmm")&amp;" "&amp;D2248,
      'Valor Hora Real y Estimada'!$A$3:$Z$3,
      0
    ) + 1
  ),
  0
)</f>
        <v>0</v>
      </c>
      <c r="O2248" s="453"/>
      <c r="P2248" s="113"/>
      <c r="Q2248" s="106" t="str">
        <f>IF(ISBLANK(O2248), "", VLOOKUP(C2248&amp;" "&amp;D2248, 'Info Tipo de Cambio y REM'!$A$24:$B$35, 2, FALSE))</f>
        <v/>
      </c>
      <c r="R2248" s="107"/>
    </row>
    <row r="2249" hidden="1">
      <c r="A2249" s="443"/>
      <c r="B2249" s="43" t="str">
        <f>IF(A2249="", "", IFERROR(VLOOKUP(A2249, Clasificaciones!A:B, 2, FALSE), "DATO NO CARGADO"))
</f>
        <v/>
      </c>
      <c r="C2249" s="51"/>
      <c r="D2249" s="102"/>
      <c r="E2249" s="102"/>
      <c r="H2249" s="102"/>
      <c r="J2249" s="102"/>
      <c r="K2249" s="450"/>
      <c r="L2249" s="443"/>
      <c r="M2249" s="450"/>
      <c r="N2249" s="452">
        <f t="array" ref="N2249">IFERROR(
  INDEX(
    'Valor Hora Real y Estimada'!$A$4:$Z$78,
    MATCH(TRIM(CLEAN(A2249)), 'Valor Hora Real y Estimada'!$A$4:$A$78, 0),
    MATCH(
      TEXT(C2249,"dd mmm")&amp;" "&amp;D2249,
      'Valor Hora Real y Estimada'!$A$3:$Z$3,
      0
    ) + 1
  ),
  0
)</f>
        <v>0</v>
      </c>
      <c r="O2249" s="453"/>
      <c r="P2249" s="113"/>
      <c r="Q2249" s="106" t="str">
        <f>IF(ISBLANK(O2249), "", VLOOKUP(C2249&amp;" "&amp;D2249, 'Info Tipo de Cambio y REM'!$A$24:$B$35, 2, FALSE))</f>
        <v/>
      </c>
      <c r="R2249" s="107"/>
    </row>
    <row r="2250" hidden="1">
      <c r="A2250" s="443"/>
      <c r="B2250" s="43" t="str">
        <f>IF(A2250="", "", IFERROR(VLOOKUP(A2250, Clasificaciones!A:B, 2, FALSE), "DATO NO CARGADO"))
</f>
        <v/>
      </c>
      <c r="C2250" s="51"/>
      <c r="D2250" s="102"/>
      <c r="E2250" s="102"/>
      <c r="H2250" s="102"/>
      <c r="J2250" s="102"/>
      <c r="K2250" s="450"/>
      <c r="L2250" s="443"/>
      <c r="M2250" s="450"/>
      <c r="N2250" s="452">
        <f t="array" ref="N2250">IFERROR(
  INDEX(
    'Valor Hora Real y Estimada'!$A$4:$Z$78,
    MATCH(TRIM(CLEAN(A2250)), 'Valor Hora Real y Estimada'!$A$4:$A$78, 0),
    MATCH(
      TEXT(C2250,"dd mmm")&amp;" "&amp;D2250,
      'Valor Hora Real y Estimada'!$A$3:$Z$3,
      0
    ) + 1
  ),
  0
)</f>
        <v>0</v>
      </c>
      <c r="O2250" s="453"/>
      <c r="P2250" s="113"/>
      <c r="Q2250" s="106" t="str">
        <f>IF(ISBLANK(O2250), "", VLOOKUP(C2250&amp;" "&amp;D2250, 'Info Tipo de Cambio y REM'!$A$24:$B$35, 2, FALSE))</f>
        <v/>
      </c>
      <c r="R2250" s="107"/>
    </row>
    <row r="2251" hidden="1">
      <c r="A2251" s="443"/>
      <c r="B2251" s="43" t="str">
        <f>IF(A2251="", "", IFERROR(VLOOKUP(A2251, Clasificaciones!A:B, 2, FALSE), "DATO NO CARGADO"))
</f>
        <v/>
      </c>
      <c r="C2251" s="51"/>
      <c r="D2251" s="102"/>
      <c r="E2251" s="102"/>
      <c r="H2251" s="102"/>
      <c r="J2251" s="102"/>
      <c r="K2251" s="450"/>
      <c r="L2251" s="443"/>
      <c r="M2251" s="450"/>
      <c r="N2251" s="452">
        <f t="array" ref="N2251">IFERROR(
  INDEX(
    'Valor Hora Real y Estimada'!$A$4:$Z$78,
    MATCH(TRIM(CLEAN(A2251)), 'Valor Hora Real y Estimada'!$A$4:$A$78, 0),
    MATCH(
      TEXT(C2251,"dd mmm")&amp;" "&amp;D2251,
      'Valor Hora Real y Estimada'!$A$3:$Z$3,
      0
    ) + 1
  ),
  0
)</f>
        <v>0</v>
      </c>
      <c r="O2251" s="453"/>
      <c r="P2251" s="113"/>
      <c r="Q2251" s="106" t="str">
        <f>IF(ISBLANK(O2251), "", VLOOKUP(C2251&amp;" "&amp;D2251, 'Info Tipo de Cambio y REM'!$A$24:$B$35, 2, FALSE))</f>
        <v/>
      </c>
      <c r="R2251" s="107"/>
    </row>
    <row r="2252" hidden="1">
      <c r="A2252" s="443"/>
      <c r="B2252" s="43" t="str">
        <f>IF(A2252="", "", IFERROR(VLOOKUP(A2252, Clasificaciones!A:B, 2, FALSE), "DATO NO CARGADO"))
</f>
        <v/>
      </c>
      <c r="C2252" s="51"/>
      <c r="D2252" s="102"/>
      <c r="E2252" s="102"/>
      <c r="H2252" s="102"/>
      <c r="J2252" s="102"/>
      <c r="K2252" s="450"/>
      <c r="L2252" s="443"/>
      <c r="M2252" s="450"/>
      <c r="N2252" s="452">
        <f t="array" ref="N2252">IFERROR(
  INDEX(
    'Valor Hora Real y Estimada'!$A$4:$Z$78,
    MATCH(TRIM(CLEAN(A2252)), 'Valor Hora Real y Estimada'!$A$4:$A$78, 0),
    MATCH(
      TEXT(C2252,"dd mmm")&amp;" "&amp;D2252,
      'Valor Hora Real y Estimada'!$A$3:$Z$3,
      0
    ) + 1
  ),
  0
)</f>
        <v>0</v>
      </c>
      <c r="O2252" s="453"/>
      <c r="P2252" s="113"/>
      <c r="Q2252" s="106" t="str">
        <f>IF(ISBLANK(O2252), "", VLOOKUP(C2252&amp;" "&amp;D2252, 'Info Tipo de Cambio y REM'!$A$24:$B$35, 2, FALSE))</f>
        <v/>
      </c>
      <c r="R2252" s="107"/>
    </row>
    <row r="2253" hidden="1">
      <c r="A2253" s="443"/>
      <c r="B2253" s="43" t="str">
        <f>IF(A2253="", "", IFERROR(VLOOKUP(A2253, Clasificaciones!A:B, 2, FALSE), "DATO NO CARGADO"))
</f>
        <v/>
      </c>
      <c r="C2253" s="51"/>
      <c r="D2253" s="102"/>
      <c r="E2253" s="102"/>
      <c r="H2253" s="102"/>
      <c r="J2253" s="102"/>
      <c r="K2253" s="450"/>
      <c r="L2253" s="443"/>
      <c r="M2253" s="450"/>
      <c r="N2253" s="452">
        <f t="array" ref="N2253">IFERROR(
  INDEX(
    'Valor Hora Real y Estimada'!$A$4:$Z$78,
    MATCH(TRIM(CLEAN(A2253)), 'Valor Hora Real y Estimada'!$A$4:$A$78, 0),
    MATCH(
      TEXT(C2253,"dd mmm")&amp;" "&amp;D2253,
      'Valor Hora Real y Estimada'!$A$3:$Z$3,
      0
    ) + 1
  ),
  0
)</f>
        <v>0</v>
      </c>
      <c r="O2253" s="453"/>
      <c r="P2253" s="113"/>
      <c r="Q2253" s="106" t="str">
        <f>IF(ISBLANK(O2253), "", VLOOKUP(C2253&amp;" "&amp;D2253, 'Info Tipo de Cambio y REM'!$A$24:$B$35, 2, FALSE))</f>
        <v/>
      </c>
      <c r="R2253" s="107"/>
    </row>
    <row r="2254" hidden="1">
      <c r="A2254" s="443"/>
      <c r="B2254" s="43" t="str">
        <f>IF(A2254="", "", IFERROR(VLOOKUP(A2254, Clasificaciones!A:B, 2, FALSE), "DATO NO CARGADO"))
</f>
        <v/>
      </c>
      <c r="C2254" s="51"/>
      <c r="D2254" s="102"/>
      <c r="E2254" s="102"/>
      <c r="H2254" s="102"/>
      <c r="J2254" s="102"/>
      <c r="K2254" s="450"/>
      <c r="L2254" s="443"/>
      <c r="M2254" s="450"/>
      <c r="N2254" s="452">
        <f t="array" ref="N2254">IFERROR(
  INDEX(
    'Valor Hora Real y Estimada'!$A$4:$Z$78,
    MATCH(TRIM(CLEAN(A2254)), 'Valor Hora Real y Estimada'!$A$4:$A$78, 0),
    MATCH(
      TEXT(C2254,"dd mmm")&amp;" "&amp;D2254,
      'Valor Hora Real y Estimada'!$A$3:$Z$3,
      0
    ) + 1
  ),
  0
)</f>
        <v>0</v>
      </c>
      <c r="O2254" s="453"/>
      <c r="P2254" s="113"/>
      <c r="Q2254" s="106" t="str">
        <f>IF(ISBLANK(O2254), "", VLOOKUP(C2254&amp;" "&amp;D2254, 'Info Tipo de Cambio y REM'!$A$24:$B$35, 2, FALSE))</f>
        <v/>
      </c>
      <c r="R2254" s="107"/>
    </row>
    <row r="2255" hidden="1">
      <c r="A2255" s="443"/>
      <c r="B2255" s="43" t="str">
        <f>IF(A2255="", "", IFERROR(VLOOKUP(A2255, Clasificaciones!A:B, 2, FALSE), "DATO NO CARGADO"))
</f>
        <v/>
      </c>
      <c r="C2255" s="51"/>
      <c r="D2255" s="102"/>
      <c r="E2255" s="102"/>
      <c r="H2255" s="102"/>
      <c r="J2255" s="102"/>
      <c r="K2255" s="450"/>
      <c r="L2255" s="443"/>
      <c r="M2255" s="450"/>
      <c r="N2255" s="452">
        <f t="array" ref="N2255">IFERROR(
  INDEX(
    'Valor Hora Real y Estimada'!$A$4:$Z$78,
    MATCH(TRIM(CLEAN(A2255)), 'Valor Hora Real y Estimada'!$A$4:$A$78, 0),
    MATCH(
      TEXT(C2255,"dd mmm")&amp;" "&amp;D2255,
      'Valor Hora Real y Estimada'!$A$3:$Z$3,
      0
    ) + 1
  ),
  0
)</f>
        <v>0</v>
      </c>
      <c r="O2255" s="453"/>
      <c r="P2255" s="113"/>
      <c r="Q2255" s="106" t="str">
        <f>IF(ISBLANK(O2255), "", VLOOKUP(C2255&amp;" "&amp;D2255, 'Info Tipo de Cambio y REM'!$A$24:$B$35, 2, FALSE))</f>
        <v/>
      </c>
      <c r="R2255" s="107"/>
    </row>
    <row r="2256" hidden="1">
      <c r="A2256" s="443"/>
      <c r="B2256" s="43" t="str">
        <f>IF(A2256="", "", IFERROR(VLOOKUP(A2256, Clasificaciones!A:B, 2, FALSE), "DATO NO CARGADO"))
</f>
        <v/>
      </c>
      <c r="C2256" s="51"/>
      <c r="D2256" s="102"/>
      <c r="E2256" s="102"/>
      <c r="H2256" s="102"/>
      <c r="J2256" s="102"/>
      <c r="K2256" s="450"/>
      <c r="L2256" s="443"/>
      <c r="M2256" s="450"/>
      <c r="N2256" s="452">
        <f t="array" ref="N2256">IFERROR(
  INDEX(
    'Valor Hora Real y Estimada'!$A$4:$Z$78,
    MATCH(TRIM(CLEAN(A2256)), 'Valor Hora Real y Estimada'!$A$4:$A$78, 0),
    MATCH(
      TEXT(C2256,"dd mmm")&amp;" "&amp;D2256,
      'Valor Hora Real y Estimada'!$A$3:$Z$3,
      0
    ) + 1
  ),
  0
)</f>
        <v>0</v>
      </c>
      <c r="O2256" s="453"/>
      <c r="P2256" s="113"/>
      <c r="Q2256" s="106" t="str">
        <f>IF(ISBLANK(O2256), "", VLOOKUP(C2256&amp;" "&amp;D2256, 'Info Tipo de Cambio y REM'!$A$24:$B$35, 2, FALSE))</f>
        <v/>
      </c>
      <c r="R2256" s="107"/>
    </row>
    <row r="2257" hidden="1">
      <c r="A2257" s="443"/>
      <c r="B2257" s="43" t="str">
        <f>IF(A2257="", "", IFERROR(VLOOKUP(A2257, Clasificaciones!A:B, 2, FALSE), "DATO NO CARGADO"))
</f>
        <v/>
      </c>
      <c r="C2257" s="51"/>
      <c r="D2257" s="102"/>
      <c r="E2257" s="102"/>
      <c r="H2257" s="102"/>
      <c r="J2257" s="102"/>
      <c r="K2257" s="450"/>
      <c r="L2257" s="443"/>
      <c r="M2257" s="450"/>
      <c r="N2257" s="452">
        <f t="array" ref="N2257">IFERROR(
  INDEX(
    'Valor Hora Real y Estimada'!$A$4:$Z$78,
    MATCH(TRIM(CLEAN(A2257)), 'Valor Hora Real y Estimada'!$A$4:$A$78, 0),
    MATCH(
      TEXT(C2257,"dd mmm")&amp;" "&amp;D2257,
      'Valor Hora Real y Estimada'!$A$3:$Z$3,
      0
    ) + 1
  ),
  0
)</f>
        <v>0</v>
      </c>
      <c r="O2257" s="453"/>
      <c r="P2257" s="113"/>
      <c r="Q2257" s="106" t="str">
        <f>IF(ISBLANK(O2257), "", VLOOKUP(C2257&amp;" "&amp;D2257, 'Info Tipo de Cambio y REM'!$A$24:$B$35, 2, FALSE))</f>
        <v/>
      </c>
      <c r="R2257" s="107"/>
    </row>
    <row r="2258" hidden="1">
      <c r="A2258" s="443"/>
      <c r="B2258" s="43" t="str">
        <f>IF(A2258="", "", IFERROR(VLOOKUP(A2258, Clasificaciones!A:B, 2, FALSE), "DATO NO CARGADO"))
</f>
        <v/>
      </c>
      <c r="C2258" s="51"/>
      <c r="D2258" s="102"/>
      <c r="E2258" s="102"/>
      <c r="H2258" s="102"/>
      <c r="J2258" s="102"/>
      <c r="K2258" s="450"/>
      <c r="L2258" s="443"/>
      <c r="M2258" s="450"/>
      <c r="N2258" s="452">
        <f t="array" ref="N2258">IFERROR(
  INDEX(
    'Valor Hora Real y Estimada'!$A$4:$Z$78,
    MATCH(TRIM(CLEAN(A2258)), 'Valor Hora Real y Estimada'!$A$4:$A$78, 0),
    MATCH(
      TEXT(C2258,"dd mmm")&amp;" "&amp;D2258,
      'Valor Hora Real y Estimada'!$A$3:$Z$3,
      0
    ) + 1
  ),
  0
)</f>
        <v>0</v>
      </c>
      <c r="O2258" s="453"/>
      <c r="P2258" s="113"/>
      <c r="Q2258" s="106" t="str">
        <f>IF(ISBLANK(O2258), "", VLOOKUP(C2258&amp;" "&amp;D2258, 'Info Tipo de Cambio y REM'!$A$24:$B$35, 2, FALSE))</f>
        <v/>
      </c>
      <c r="R2258" s="107"/>
    </row>
    <row r="2259" hidden="1">
      <c r="A2259" s="443"/>
      <c r="B2259" s="43" t="str">
        <f>IF(A2259="", "", IFERROR(VLOOKUP(A2259, Clasificaciones!A:B, 2, FALSE), "DATO NO CARGADO"))
</f>
        <v/>
      </c>
      <c r="C2259" s="51"/>
      <c r="D2259" s="102"/>
      <c r="E2259" s="102"/>
      <c r="H2259" s="102"/>
      <c r="J2259" s="102"/>
      <c r="K2259" s="450"/>
      <c r="L2259" s="443"/>
      <c r="M2259" s="450"/>
      <c r="N2259" s="452">
        <f t="array" ref="N2259">IFERROR(
  INDEX(
    'Valor Hora Real y Estimada'!$A$4:$Z$78,
    MATCH(TRIM(CLEAN(A2259)), 'Valor Hora Real y Estimada'!$A$4:$A$78, 0),
    MATCH(
      TEXT(C2259,"dd mmm")&amp;" "&amp;D2259,
      'Valor Hora Real y Estimada'!$A$3:$Z$3,
      0
    ) + 1
  ),
  0
)</f>
        <v>0</v>
      </c>
      <c r="O2259" s="453"/>
      <c r="P2259" s="113"/>
      <c r="Q2259" s="106" t="str">
        <f>IF(ISBLANK(O2259), "", VLOOKUP(C2259&amp;" "&amp;D2259, 'Info Tipo de Cambio y REM'!$A$24:$B$35, 2, FALSE))</f>
        <v/>
      </c>
      <c r="R2259" s="107"/>
    </row>
    <row r="2260" hidden="1">
      <c r="A2260" s="443"/>
      <c r="B2260" s="43" t="str">
        <f>IF(A2260="", "", IFERROR(VLOOKUP(A2260, Clasificaciones!A:B, 2, FALSE), "DATO NO CARGADO"))
</f>
        <v/>
      </c>
      <c r="C2260" s="51"/>
      <c r="D2260" s="102"/>
      <c r="E2260" s="102"/>
      <c r="H2260" s="102"/>
      <c r="J2260" s="102"/>
      <c r="K2260" s="450"/>
      <c r="L2260" s="443"/>
      <c r="M2260" s="450"/>
      <c r="N2260" s="452">
        <f t="array" ref="N2260">IFERROR(
  INDEX(
    'Valor Hora Real y Estimada'!$A$4:$Z$78,
    MATCH(TRIM(CLEAN(A2260)), 'Valor Hora Real y Estimada'!$A$4:$A$78, 0),
    MATCH(
      TEXT(C2260,"dd mmm")&amp;" "&amp;D2260,
      'Valor Hora Real y Estimada'!$A$3:$Z$3,
      0
    ) + 1
  ),
  0
)</f>
        <v>0</v>
      </c>
      <c r="O2260" s="453"/>
      <c r="P2260" s="113"/>
      <c r="Q2260" s="106" t="str">
        <f>IF(ISBLANK(O2260), "", VLOOKUP(C2260&amp;" "&amp;D2260, 'Info Tipo de Cambio y REM'!$A$24:$B$35, 2, FALSE))</f>
        <v/>
      </c>
      <c r="R2260" s="107"/>
    </row>
    <row r="2261" hidden="1">
      <c r="A2261" s="443"/>
      <c r="B2261" s="43" t="str">
        <f>IF(A2261="", "", IFERROR(VLOOKUP(A2261, Clasificaciones!A:B, 2, FALSE), "DATO NO CARGADO"))
</f>
        <v/>
      </c>
      <c r="C2261" s="51"/>
      <c r="D2261" s="102"/>
      <c r="E2261" s="102"/>
      <c r="H2261" s="102"/>
      <c r="J2261" s="102"/>
      <c r="K2261" s="450"/>
      <c r="L2261" s="443"/>
      <c r="M2261" s="450"/>
      <c r="N2261" s="452">
        <f t="array" ref="N2261">IFERROR(
  INDEX(
    'Valor Hora Real y Estimada'!$A$4:$Z$78,
    MATCH(TRIM(CLEAN(A2261)), 'Valor Hora Real y Estimada'!$A$4:$A$78, 0),
    MATCH(
      TEXT(C2261,"dd mmm")&amp;" "&amp;D2261,
      'Valor Hora Real y Estimada'!$A$3:$Z$3,
      0
    ) + 1
  ),
  0
)</f>
        <v>0</v>
      </c>
      <c r="O2261" s="453"/>
      <c r="P2261" s="113"/>
      <c r="Q2261" s="106" t="str">
        <f>IF(ISBLANK(O2261), "", VLOOKUP(C2261&amp;" "&amp;D2261, 'Info Tipo de Cambio y REM'!$A$24:$B$35, 2, FALSE))</f>
        <v/>
      </c>
      <c r="R2261" s="107"/>
    </row>
    <row r="2262" hidden="1">
      <c r="A2262" s="443"/>
      <c r="B2262" s="43" t="str">
        <f>IF(A2262="", "", IFERROR(VLOOKUP(A2262, Clasificaciones!A:B, 2, FALSE), "DATO NO CARGADO"))
</f>
        <v/>
      </c>
      <c r="C2262" s="51"/>
      <c r="D2262" s="102"/>
      <c r="E2262" s="102"/>
      <c r="H2262" s="102"/>
      <c r="J2262" s="102"/>
      <c r="K2262" s="450"/>
      <c r="L2262" s="443"/>
      <c r="M2262" s="450"/>
      <c r="N2262" s="452">
        <f t="array" ref="N2262">IFERROR(
  INDEX(
    'Valor Hora Real y Estimada'!$A$4:$Z$78,
    MATCH(TRIM(CLEAN(A2262)), 'Valor Hora Real y Estimada'!$A$4:$A$78, 0),
    MATCH(
      TEXT(C2262,"dd mmm")&amp;" "&amp;D2262,
      'Valor Hora Real y Estimada'!$A$3:$Z$3,
      0
    ) + 1
  ),
  0
)</f>
        <v>0</v>
      </c>
      <c r="O2262" s="453"/>
      <c r="P2262" s="113"/>
      <c r="Q2262" s="106" t="str">
        <f>IF(ISBLANK(O2262), "", VLOOKUP(C2262&amp;" "&amp;D2262, 'Info Tipo de Cambio y REM'!$A$24:$B$35, 2, FALSE))</f>
        <v/>
      </c>
      <c r="R2262" s="107"/>
    </row>
    <row r="2263" hidden="1">
      <c r="A2263" s="443"/>
      <c r="B2263" s="43" t="str">
        <f>IF(A2263="", "", IFERROR(VLOOKUP(A2263, Clasificaciones!A:B, 2, FALSE), "DATO NO CARGADO"))
</f>
        <v/>
      </c>
      <c r="C2263" s="51"/>
      <c r="D2263" s="102"/>
      <c r="E2263" s="102"/>
      <c r="H2263" s="102"/>
      <c r="J2263" s="102"/>
      <c r="K2263" s="450"/>
      <c r="L2263" s="443"/>
      <c r="M2263" s="450"/>
      <c r="N2263" s="452">
        <f t="array" ref="N2263">IFERROR(
  INDEX(
    'Valor Hora Real y Estimada'!$A$4:$Z$78,
    MATCH(TRIM(CLEAN(A2263)), 'Valor Hora Real y Estimada'!$A$4:$A$78, 0),
    MATCH(
      TEXT(C2263,"dd mmm")&amp;" "&amp;D2263,
      'Valor Hora Real y Estimada'!$A$3:$Z$3,
      0
    ) + 1
  ),
  0
)</f>
        <v>0</v>
      </c>
      <c r="O2263" s="453"/>
      <c r="P2263" s="113"/>
      <c r="Q2263" s="106" t="str">
        <f>IF(ISBLANK(O2263), "", VLOOKUP(C2263&amp;" "&amp;D2263, 'Info Tipo de Cambio y REM'!$A$24:$B$35, 2, FALSE))</f>
        <v/>
      </c>
      <c r="R2263" s="107"/>
    </row>
    <row r="2264" hidden="1">
      <c r="A2264" s="443"/>
      <c r="B2264" s="43" t="str">
        <f>IF(A2264="", "", IFERROR(VLOOKUP(A2264, Clasificaciones!A:B, 2, FALSE), "DATO NO CARGADO"))
</f>
        <v/>
      </c>
      <c r="C2264" s="51"/>
      <c r="D2264" s="102"/>
      <c r="E2264" s="102"/>
      <c r="H2264" s="102"/>
      <c r="J2264" s="102"/>
      <c r="K2264" s="450"/>
      <c r="L2264" s="443"/>
      <c r="M2264" s="450"/>
      <c r="N2264" s="452">
        <f t="array" ref="N2264">IFERROR(
  INDEX(
    'Valor Hora Real y Estimada'!$A$4:$Z$78,
    MATCH(TRIM(CLEAN(A2264)), 'Valor Hora Real y Estimada'!$A$4:$A$78, 0),
    MATCH(
      TEXT(C2264,"dd mmm")&amp;" "&amp;D2264,
      'Valor Hora Real y Estimada'!$A$3:$Z$3,
      0
    ) + 1
  ),
  0
)</f>
        <v>0</v>
      </c>
      <c r="O2264" s="453"/>
      <c r="P2264" s="113"/>
      <c r="Q2264" s="106" t="str">
        <f>IF(ISBLANK(O2264), "", VLOOKUP(C2264&amp;" "&amp;D2264, 'Info Tipo de Cambio y REM'!$A$24:$B$35, 2, FALSE))</f>
        <v/>
      </c>
      <c r="R2264" s="107"/>
    </row>
    <row r="2265" hidden="1">
      <c r="A2265" s="443"/>
      <c r="B2265" s="43" t="str">
        <f>IF(A2265="", "", IFERROR(VLOOKUP(A2265, Clasificaciones!A:B, 2, FALSE), "DATO NO CARGADO"))
</f>
        <v/>
      </c>
      <c r="C2265" s="51"/>
      <c r="D2265" s="102"/>
      <c r="E2265" s="102"/>
      <c r="H2265" s="102"/>
      <c r="J2265" s="102"/>
      <c r="K2265" s="450"/>
      <c r="L2265" s="443"/>
      <c r="M2265" s="450"/>
      <c r="N2265" s="452">
        <f t="array" ref="N2265">IFERROR(
  INDEX(
    'Valor Hora Real y Estimada'!$A$4:$Z$78,
    MATCH(TRIM(CLEAN(A2265)), 'Valor Hora Real y Estimada'!$A$4:$A$78, 0),
    MATCH(
      TEXT(C2265,"dd mmm")&amp;" "&amp;D2265,
      'Valor Hora Real y Estimada'!$A$3:$Z$3,
      0
    ) + 1
  ),
  0
)</f>
        <v>0</v>
      </c>
      <c r="O2265" s="453"/>
      <c r="P2265" s="113"/>
      <c r="Q2265" s="106" t="str">
        <f>IF(ISBLANK(O2265), "", VLOOKUP(C2265&amp;" "&amp;D2265, 'Info Tipo de Cambio y REM'!$A$24:$B$35, 2, FALSE))</f>
        <v/>
      </c>
      <c r="R2265" s="107"/>
    </row>
    <row r="2266" hidden="1">
      <c r="A2266" s="443"/>
      <c r="B2266" s="43" t="str">
        <f>IF(A2266="", "", IFERROR(VLOOKUP(A2266, Clasificaciones!A:B, 2, FALSE), "DATO NO CARGADO"))
</f>
        <v/>
      </c>
      <c r="C2266" s="51"/>
      <c r="D2266" s="102"/>
      <c r="E2266" s="102"/>
      <c r="H2266" s="102"/>
      <c r="J2266" s="102"/>
      <c r="K2266" s="450"/>
      <c r="L2266" s="443"/>
      <c r="M2266" s="450"/>
      <c r="N2266" s="452">
        <f t="array" ref="N2266">IFERROR(
  INDEX(
    'Valor Hora Real y Estimada'!$A$4:$Z$78,
    MATCH(TRIM(CLEAN(A2266)), 'Valor Hora Real y Estimada'!$A$4:$A$78, 0),
    MATCH(
      TEXT(C2266,"dd mmm")&amp;" "&amp;D2266,
      'Valor Hora Real y Estimada'!$A$3:$Z$3,
      0
    ) + 1
  ),
  0
)</f>
        <v>0</v>
      </c>
      <c r="O2266" s="453"/>
      <c r="P2266" s="113"/>
      <c r="Q2266" s="106" t="str">
        <f>IF(ISBLANK(O2266), "", VLOOKUP(C2266&amp;" "&amp;D2266, 'Info Tipo de Cambio y REM'!$A$24:$B$35, 2, FALSE))</f>
        <v/>
      </c>
      <c r="R2266" s="107"/>
    </row>
    <row r="2267" hidden="1">
      <c r="A2267" s="443"/>
      <c r="B2267" s="43" t="str">
        <f>IF(A2267="", "", IFERROR(VLOOKUP(A2267, Clasificaciones!A:B, 2, FALSE), "DATO NO CARGADO"))
</f>
        <v/>
      </c>
      <c r="C2267" s="51"/>
      <c r="D2267" s="102"/>
      <c r="E2267" s="102"/>
      <c r="H2267" s="102"/>
      <c r="J2267" s="102"/>
      <c r="K2267" s="450"/>
      <c r="L2267" s="443"/>
      <c r="M2267" s="450"/>
      <c r="N2267" s="452">
        <f t="array" ref="N2267">IFERROR(
  INDEX(
    'Valor Hora Real y Estimada'!$A$4:$Z$78,
    MATCH(TRIM(CLEAN(A2267)), 'Valor Hora Real y Estimada'!$A$4:$A$78, 0),
    MATCH(
      TEXT(C2267,"dd mmm")&amp;" "&amp;D2267,
      'Valor Hora Real y Estimada'!$A$3:$Z$3,
      0
    ) + 1
  ),
  0
)</f>
        <v>0</v>
      </c>
      <c r="O2267" s="453"/>
      <c r="P2267" s="113"/>
      <c r="Q2267" s="106" t="str">
        <f>IF(ISBLANK(O2267), "", VLOOKUP(C2267&amp;" "&amp;D2267, 'Info Tipo de Cambio y REM'!$A$24:$B$35, 2, FALSE))</f>
        <v/>
      </c>
      <c r="R2267" s="107"/>
    </row>
    <row r="2268" hidden="1">
      <c r="A2268" s="443"/>
      <c r="B2268" s="43" t="str">
        <f>IF(A2268="", "", IFERROR(VLOOKUP(A2268, Clasificaciones!A:B, 2, FALSE), "DATO NO CARGADO"))
</f>
        <v/>
      </c>
      <c r="C2268" s="51"/>
      <c r="D2268" s="102"/>
      <c r="E2268" s="102"/>
      <c r="H2268" s="102"/>
      <c r="J2268" s="102"/>
      <c r="K2268" s="450"/>
      <c r="L2268" s="443"/>
      <c r="M2268" s="450"/>
      <c r="N2268" s="452">
        <f t="array" ref="N2268">IFERROR(
  INDEX(
    'Valor Hora Real y Estimada'!$A$4:$Z$78,
    MATCH(TRIM(CLEAN(A2268)), 'Valor Hora Real y Estimada'!$A$4:$A$78, 0),
    MATCH(
      TEXT(C2268,"dd mmm")&amp;" "&amp;D2268,
      'Valor Hora Real y Estimada'!$A$3:$Z$3,
      0
    ) + 1
  ),
  0
)</f>
        <v>0</v>
      </c>
      <c r="O2268" s="453"/>
      <c r="P2268" s="113"/>
      <c r="Q2268" s="106" t="str">
        <f>IF(ISBLANK(O2268), "", VLOOKUP(C2268&amp;" "&amp;D2268, 'Info Tipo de Cambio y REM'!$A$24:$B$35, 2, FALSE))</f>
        <v/>
      </c>
      <c r="R2268" s="107"/>
    </row>
    <row r="2269" hidden="1">
      <c r="A2269" s="443"/>
      <c r="B2269" s="43" t="str">
        <f>IF(A2269="", "", IFERROR(VLOOKUP(A2269, Clasificaciones!A:B, 2, FALSE), "DATO NO CARGADO"))
</f>
        <v/>
      </c>
      <c r="C2269" s="51"/>
      <c r="D2269" s="102"/>
      <c r="E2269" s="102"/>
      <c r="H2269" s="102"/>
      <c r="J2269" s="102"/>
      <c r="K2269" s="450"/>
      <c r="L2269" s="443"/>
      <c r="M2269" s="450"/>
      <c r="N2269" s="452">
        <f t="array" ref="N2269">IFERROR(
  INDEX(
    'Valor Hora Real y Estimada'!$A$4:$Z$78,
    MATCH(TRIM(CLEAN(A2269)), 'Valor Hora Real y Estimada'!$A$4:$A$78, 0),
    MATCH(
      TEXT(C2269,"dd mmm")&amp;" "&amp;D2269,
      'Valor Hora Real y Estimada'!$A$3:$Z$3,
      0
    ) + 1
  ),
  0
)</f>
        <v>0</v>
      </c>
      <c r="O2269" s="453"/>
      <c r="P2269" s="113"/>
      <c r="Q2269" s="106" t="str">
        <f>IF(ISBLANK(O2269), "", VLOOKUP(C2269&amp;" "&amp;D2269, 'Info Tipo de Cambio y REM'!$A$24:$B$35, 2, FALSE))</f>
        <v/>
      </c>
      <c r="R2269" s="107"/>
    </row>
    <row r="2270" hidden="1">
      <c r="A2270" s="443"/>
      <c r="B2270" s="43" t="str">
        <f>IF(A2270="", "", IFERROR(VLOOKUP(A2270, Clasificaciones!A:B, 2, FALSE), "DATO NO CARGADO"))
</f>
        <v/>
      </c>
      <c r="C2270" s="51"/>
      <c r="D2270" s="102"/>
      <c r="E2270" s="102"/>
      <c r="H2270" s="102"/>
      <c r="J2270" s="102"/>
      <c r="K2270" s="450"/>
      <c r="L2270" s="443"/>
      <c r="M2270" s="450"/>
      <c r="N2270" s="452">
        <f t="array" ref="N2270">IFERROR(
  INDEX(
    'Valor Hora Real y Estimada'!$A$4:$Z$78,
    MATCH(TRIM(CLEAN(A2270)), 'Valor Hora Real y Estimada'!$A$4:$A$78, 0),
    MATCH(
      TEXT(C2270,"dd mmm")&amp;" "&amp;D2270,
      'Valor Hora Real y Estimada'!$A$3:$Z$3,
      0
    ) + 1
  ),
  0
)</f>
        <v>0</v>
      </c>
      <c r="O2270" s="453"/>
      <c r="P2270" s="113"/>
      <c r="Q2270" s="106" t="str">
        <f>IF(ISBLANK(O2270), "", VLOOKUP(C2270&amp;" "&amp;D2270, 'Info Tipo de Cambio y REM'!$A$24:$B$35, 2, FALSE))</f>
        <v/>
      </c>
      <c r="R2270" s="107"/>
    </row>
    <row r="2271" hidden="1">
      <c r="A2271" s="443"/>
      <c r="B2271" s="43" t="str">
        <f>IF(A2271="", "", IFERROR(VLOOKUP(A2271, Clasificaciones!A:B, 2, FALSE), "DATO NO CARGADO"))
</f>
        <v/>
      </c>
      <c r="C2271" s="51"/>
      <c r="D2271" s="102"/>
      <c r="E2271" s="102"/>
      <c r="H2271" s="102"/>
      <c r="J2271" s="102"/>
      <c r="K2271" s="450"/>
      <c r="L2271" s="443"/>
      <c r="M2271" s="450"/>
      <c r="N2271" s="452">
        <f t="array" ref="N2271">IFERROR(
  INDEX(
    'Valor Hora Real y Estimada'!$A$4:$Z$78,
    MATCH(TRIM(CLEAN(A2271)), 'Valor Hora Real y Estimada'!$A$4:$A$78, 0),
    MATCH(
      TEXT(C2271,"dd mmm")&amp;" "&amp;D2271,
      'Valor Hora Real y Estimada'!$A$3:$Z$3,
      0
    ) + 1
  ),
  0
)</f>
        <v>0</v>
      </c>
      <c r="O2271" s="453"/>
      <c r="P2271" s="113"/>
      <c r="Q2271" s="106" t="str">
        <f>IF(ISBLANK(O2271), "", VLOOKUP(C2271&amp;" "&amp;D2271, 'Info Tipo de Cambio y REM'!$A$24:$B$35, 2, FALSE))</f>
        <v/>
      </c>
      <c r="R2271" s="107"/>
    </row>
    <row r="2272" hidden="1">
      <c r="A2272" s="443"/>
      <c r="B2272" s="43" t="str">
        <f>IF(A2272="", "", IFERROR(VLOOKUP(A2272, Clasificaciones!A:B, 2, FALSE), "DATO NO CARGADO"))
</f>
        <v/>
      </c>
      <c r="C2272" s="51"/>
      <c r="D2272" s="102"/>
      <c r="E2272" s="102"/>
      <c r="H2272" s="102"/>
      <c r="J2272" s="102"/>
      <c r="K2272" s="450"/>
      <c r="L2272" s="443"/>
      <c r="M2272" s="450"/>
      <c r="N2272" s="452">
        <f t="array" ref="N2272">IFERROR(
  INDEX(
    'Valor Hora Real y Estimada'!$A$4:$Z$78,
    MATCH(TRIM(CLEAN(A2272)), 'Valor Hora Real y Estimada'!$A$4:$A$78, 0),
    MATCH(
      TEXT(C2272,"dd mmm")&amp;" "&amp;D2272,
      'Valor Hora Real y Estimada'!$A$3:$Z$3,
      0
    ) + 1
  ),
  0
)</f>
        <v>0</v>
      </c>
      <c r="O2272" s="453"/>
      <c r="P2272" s="113"/>
      <c r="Q2272" s="106" t="str">
        <f>IF(ISBLANK(O2272), "", VLOOKUP(C2272&amp;" "&amp;D2272, 'Info Tipo de Cambio y REM'!$A$24:$B$35, 2, FALSE))</f>
        <v/>
      </c>
      <c r="R2272" s="107"/>
    </row>
    <row r="2273" hidden="1">
      <c r="A2273" s="443"/>
      <c r="B2273" s="43" t="str">
        <f>IF(A2273="", "", IFERROR(VLOOKUP(A2273, Clasificaciones!A:B, 2, FALSE), "DATO NO CARGADO"))
</f>
        <v/>
      </c>
      <c r="C2273" s="51"/>
      <c r="D2273" s="102"/>
      <c r="E2273" s="102"/>
      <c r="H2273" s="102"/>
      <c r="J2273" s="102"/>
      <c r="K2273" s="450"/>
      <c r="L2273" s="443"/>
      <c r="M2273" s="450"/>
      <c r="N2273" s="452">
        <f t="array" ref="N2273">IFERROR(
  INDEX(
    'Valor Hora Real y Estimada'!$A$4:$Z$78,
    MATCH(TRIM(CLEAN(A2273)), 'Valor Hora Real y Estimada'!$A$4:$A$78, 0),
    MATCH(
      TEXT(C2273,"dd mmm")&amp;" "&amp;D2273,
      'Valor Hora Real y Estimada'!$A$3:$Z$3,
      0
    ) + 1
  ),
  0
)</f>
        <v>0</v>
      </c>
      <c r="O2273" s="453"/>
      <c r="P2273" s="113"/>
      <c r="Q2273" s="106" t="str">
        <f>IF(ISBLANK(O2273), "", VLOOKUP(C2273&amp;" "&amp;D2273, 'Info Tipo de Cambio y REM'!$A$24:$B$35, 2, FALSE))</f>
        <v/>
      </c>
      <c r="R2273" s="107"/>
    </row>
    <row r="2274" hidden="1">
      <c r="A2274" s="443"/>
      <c r="B2274" s="43" t="str">
        <f>IF(A2274="", "", IFERROR(VLOOKUP(A2274, Clasificaciones!A:B, 2, FALSE), "DATO NO CARGADO"))
</f>
        <v/>
      </c>
      <c r="C2274" s="51"/>
      <c r="D2274" s="102"/>
      <c r="E2274" s="102"/>
      <c r="H2274" s="102"/>
      <c r="J2274" s="102"/>
      <c r="K2274" s="450"/>
      <c r="L2274" s="443"/>
      <c r="M2274" s="450"/>
      <c r="N2274" s="452">
        <f t="array" ref="N2274">IFERROR(
  INDEX(
    'Valor Hora Real y Estimada'!$A$4:$Z$78,
    MATCH(TRIM(CLEAN(A2274)), 'Valor Hora Real y Estimada'!$A$4:$A$78, 0),
    MATCH(
      TEXT(C2274,"dd mmm")&amp;" "&amp;D2274,
      'Valor Hora Real y Estimada'!$A$3:$Z$3,
      0
    ) + 1
  ),
  0
)</f>
        <v>0</v>
      </c>
      <c r="O2274" s="453"/>
      <c r="P2274" s="113"/>
      <c r="Q2274" s="106" t="str">
        <f>IF(ISBLANK(O2274), "", VLOOKUP(C2274&amp;" "&amp;D2274, 'Info Tipo de Cambio y REM'!$A$24:$B$35, 2, FALSE))</f>
        <v/>
      </c>
      <c r="R2274" s="107"/>
    </row>
    <row r="2275" hidden="1">
      <c r="A2275" s="443"/>
      <c r="B2275" s="43" t="str">
        <f>IF(A2275="", "", IFERROR(VLOOKUP(A2275, Clasificaciones!A:B, 2, FALSE), "DATO NO CARGADO"))
</f>
        <v/>
      </c>
      <c r="C2275" s="51"/>
      <c r="D2275" s="102"/>
      <c r="E2275" s="102"/>
      <c r="H2275" s="102"/>
      <c r="J2275" s="102"/>
      <c r="K2275" s="450"/>
      <c r="L2275" s="443"/>
      <c r="M2275" s="450"/>
      <c r="N2275" s="452">
        <f t="array" ref="N2275">IFERROR(
  INDEX(
    'Valor Hora Real y Estimada'!$A$4:$Z$78,
    MATCH(TRIM(CLEAN(A2275)), 'Valor Hora Real y Estimada'!$A$4:$A$78, 0),
    MATCH(
      TEXT(C2275,"dd mmm")&amp;" "&amp;D2275,
      'Valor Hora Real y Estimada'!$A$3:$Z$3,
      0
    ) + 1
  ),
  0
)</f>
        <v>0</v>
      </c>
      <c r="O2275" s="453"/>
      <c r="P2275" s="113"/>
      <c r="Q2275" s="106" t="str">
        <f>IF(ISBLANK(O2275), "", VLOOKUP(C2275&amp;" "&amp;D2275, 'Info Tipo de Cambio y REM'!$A$24:$B$35, 2, FALSE))</f>
        <v/>
      </c>
      <c r="R2275" s="107"/>
    </row>
    <row r="2276" hidden="1">
      <c r="A2276" s="443"/>
      <c r="B2276" s="43" t="str">
        <f>IF(A2276="", "", IFERROR(VLOOKUP(A2276, Clasificaciones!A:B, 2, FALSE), "DATO NO CARGADO"))
</f>
        <v/>
      </c>
      <c r="C2276" s="51"/>
      <c r="D2276" s="102"/>
      <c r="E2276" s="102"/>
      <c r="H2276" s="102"/>
      <c r="J2276" s="102"/>
      <c r="K2276" s="450"/>
      <c r="L2276" s="443"/>
      <c r="M2276" s="450"/>
      <c r="N2276" s="452">
        <f t="array" ref="N2276">IFERROR(
  INDEX(
    'Valor Hora Real y Estimada'!$A$4:$Z$78,
    MATCH(TRIM(CLEAN(A2276)), 'Valor Hora Real y Estimada'!$A$4:$A$78, 0),
    MATCH(
      TEXT(C2276,"dd mmm")&amp;" "&amp;D2276,
      'Valor Hora Real y Estimada'!$A$3:$Z$3,
      0
    ) + 1
  ),
  0
)</f>
        <v>0</v>
      </c>
      <c r="O2276" s="453"/>
      <c r="P2276" s="113"/>
      <c r="Q2276" s="106" t="str">
        <f>IF(ISBLANK(O2276), "", VLOOKUP(C2276&amp;" "&amp;D2276, 'Info Tipo de Cambio y REM'!$A$24:$B$35, 2, FALSE))</f>
        <v/>
      </c>
      <c r="R2276" s="107"/>
    </row>
    <row r="2277" hidden="1">
      <c r="A2277" s="443"/>
      <c r="B2277" s="43" t="str">
        <f>IF(A2277="", "", IFERROR(VLOOKUP(A2277, Clasificaciones!A:B, 2, FALSE), "DATO NO CARGADO"))
</f>
        <v/>
      </c>
      <c r="C2277" s="51"/>
      <c r="D2277" s="102"/>
      <c r="E2277" s="102"/>
      <c r="H2277" s="102"/>
      <c r="J2277" s="102"/>
      <c r="K2277" s="450"/>
      <c r="L2277" s="443"/>
      <c r="M2277" s="450"/>
      <c r="N2277" s="452">
        <f t="array" ref="N2277">IFERROR(
  INDEX(
    'Valor Hora Real y Estimada'!$A$4:$Z$78,
    MATCH(TRIM(CLEAN(A2277)), 'Valor Hora Real y Estimada'!$A$4:$A$78, 0),
    MATCH(
      TEXT(C2277,"dd mmm")&amp;" "&amp;D2277,
      'Valor Hora Real y Estimada'!$A$3:$Z$3,
      0
    ) + 1
  ),
  0
)</f>
        <v>0</v>
      </c>
      <c r="O2277" s="453"/>
      <c r="P2277" s="113"/>
      <c r="Q2277" s="106" t="str">
        <f>IF(ISBLANK(O2277), "", VLOOKUP(C2277&amp;" "&amp;D2277, 'Info Tipo de Cambio y REM'!$A$24:$B$35, 2, FALSE))</f>
        <v/>
      </c>
      <c r="R2277" s="107"/>
    </row>
    <row r="2278" hidden="1">
      <c r="A2278" s="443"/>
      <c r="B2278" s="43" t="str">
        <f>IF(A2278="", "", IFERROR(VLOOKUP(A2278, Clasificaciones!A:B, 2, FALSE), "DATO NO CARGADO"))
</f>
        <v/>
      </c>
      <c r="C2278" s="51"/>
      <c r="D2278" s="102"/>
      <c r="E2278" s="102"/>
      <c r="H2278" s="102"/>
      <c r="J2278" s="102"/>
      <c r="K2278" s="450"/>
      <c r="L2278" s="443"/>
      <c r="M2278" s="450"/>
      <c r="N2278" s="452">
        <f t="array" ref="N2278">IFERROR(
  INDEX(
    'Valor Hora Real y Estimada'!$A$4:$Z$78,
    MATCH(TRIM(CLEAN(A2278)), 'Valor Hora Real y Estimada'!$A$4:$A$78, 0),
    MATCH(
      TEXT(C2278,"dd mmm")&amp;" "&amp;D2278,
      'Valor Hora Real y Estimada'!$A$3:$Z$3,
      0
    ) + 1
  ),
  0
)</f>
        <v>0</v>
      </c>
      <c r="O2278" s="453"/>
      <c r="P2278" s="113"/>
      <c r="Q2278" s="106" t="str">
        <f>IF(ISBLANK(O2278), "", VLOOKUP(C2278&amp;" "&amp;D2278, 'Info Tipo de Cambio y REM'!$A$24:$B$35, 2, FALSE))</f>
        <v/>
      </c>
      <c r="R2278" s="107"/>
    </row>
    <row r="2279" hidden="1">
      <c r="A2279" s="443"/>
      <c r="B2279" s="43" t="str">
        <f>IF(A2279="", "", IFERROR(VLOOKUP(A2279, Clasificaciones!A:B, 2, FALSE), "DATO NO CARGADO"))
</f>
        <v/>
      </c>
      <c r="C2279" s="51"/>
      <c r="D2279" s="102"/>
      <c r="E2279" s="102"/>
      <c r="H2279" s="102"/>
      <c r="J2279" s="102"/>
      <c r="K2279" s="450"/>
      <c r="L2279" s="443"/>
      <c r="M2279" s="450"/>
      <c r="N2279" s="452">
        <f t="array" ref="N2279">IFERROR(
  INDEX(
    'Valor Hora Real y Estimada'!$A$4:$Z$78,
    MATCH(TRIM(CLEAN(A2279)), 'Valor Hora Real y Estimada'!$A$4:$A$78, 0),
    MATCH(
      TEXT(C2279,"dd mmm")&amp;" "&amp;D2279,
      'Valor Hora Real y Estimada'!$A$3:$Z$3,
      0
    ) + 1
  ),
  0
)</f>
        <v>0</v>
      </c>
      <c r="O2279" s="453"/>
      <c r="P2279" s="113"/>
      <c r="Q2279" s="106" t="str">
        <f>IF(ISBLANK(O2279), "", VLOOKUP(C2279&amp;" "&amp;D2279, 'Info Tipo de Cambio y REM'!$A$24:$B$35, 2, FALSE))</f>
        <v/>
      </c>
      <c r="R2279" s="107"/>
    </row>
    <row r="2280" hidden="1">
      <c r="A2280" s="443"/>
      <c r="B2280" s="43" t="str">
        <f>IF(A2280="", "", IFERROR(VLOOKUP(A2280, Clasificaciones!A:B, 2, FALSE), "DATO NO CARGADO"))
</f>
        <v/>
      </c>
      <c r="C2280" s="51"/>
      <c r="D2280" s="102"/>
      <c r="E2280" s="102"/>
      <c r="H2280" s="102"/>
      <c r="J2280" s="102"/>
      <c r="K2280" s="450"/>
      <c r="L2280" s="443"/>
      <c r="M2280" s="450"/>
      <c r="N2280" s="452">
        <f t="array" ref="N2280">IFERROR(
  INDEX(
    'Valor Hora Real y Estimada'!$A$4:$Z$78,
    MATCH(TRIM(CLEAN(A2280)), 'Valor Hora Real y Estimada'!$A$4:$A$78, 0),
    MATCH(
      TEXT(C2280,"dd mmm")&amp;" "&amp;D2280,
      'Valor Hora Real y Estimada'!$A$3:$Z$3,
      0
    ) + 1
  ),
  0
)</f>
        <v>0</v>
      </c>
      <c r="O2280" s="453"/>
      <c r="P2280" s="113"/>
      <c r="Q2280" s="106" t="str">
        <f>IF(ISBLANK(O2280), "", VLOOKUP(C2280&amp;" "&amp;D2280, 'Info Tipo de Cambio y REM'!$A$24:$B$35, 2, FALSE))</f>
        <v/>
      </c>
      <c r="R2280" s="107"/>
    </row>
    <row r="2281" hidden="1">
      <c r="A2281" s="443"/>
      <c r="B2281" s="43" t="str">
        <f>IF(A2281="", "", IFERROR(VLOOKUP(A2281, Clasificaciones!A:B, 2, FALSE), "DATO NO CARGADO"))
</f>
        <v/>
      </c>
      <c r="C2281" s="51"/>
      <c r="D2281" s="102"/>
      <c r="E2281" s="102"/>
      <c r="H2281" s="102"/>
      <c r="J2281" s="102"/>
      <c r="K2281" s="450"/>
      <c r="L2281" s="443"/>
      <c r="M2281" s="450"/>
      <c r="N2281" s="452">
        <f t="array" ref="N2281">IFERROR(
  INDEX(
    'Valor Hora Real y Estimada'!$A$4:$Z$78,
    MATCH(TRIM(CLEAN(A2281)), 'Valor Hora Real y Estimada'!$A$4:$A$78, 0),
    MATCH(
      TEXT(C2281,"dd mmm")&amp;" "&amp;D2281,
      'Valor Hora Real y Estimada'!$A$3:$Z$3,
      0
    ) + 1
  ),
  0
)</f>
        <v>0</v>
      </c>
      <c r="O2281" s="453"/>
      <c r="P2281" s="113"/>
      <c r="Q2281" s="106" t="str">
        <f>IF(ISBLANK(O2281), "", VLOOKUP(C2281&amp;" "&amp;D2281, 'Info Tipo de Cambio y REM'!$A$24:$B$35, 2, FALSE))</f>
        <v/>
      </c>
      <c r="R2281" s="107"/>
    </row>
    <row r="2282" hidden="1">
      <c r="A2282" s="443"/>
      <c r="B2282" s="43" t="str">
        <f>IF(A2282="", "", IFERROR(VLOOKUP(A2282, Clasificaciones!A:B, 2, FALSE), "DATO NO CARGADO"))
</f>
        <v/>
      </c>
      <c r="C2282" s="51"/>
      <c r="D2282" s="102"/>
      <c r="E2282" s="102"/>
      <c r="H2282" s="102"/>
      <c r="J2282" s="102"/>
      <c r="K2282" s="450"/>
      <c r="L2282" s="443"/>
      <c r="M2282" s="450"/>
      <c r="N2282" s="452">
        <f t="array" ref="N2282">IFERROR(
  INDEX(
    'Valor Hora Real y Estimada'!$A$4:$Z$78,
    MATCH(TRIM(CLEAN(A2282)), 'Valor Hora Real y Estimada'!$A$4:$A$78, 0),
    MATCH(
      TEXT(C2282,"dd mmm")&amp;" "&amp;D2282,
      'Valor Hora Real y Estimada'!$A$3:$Z$3,
      0
    ) + 1
  ),
  0
)</f>
        <v>0</v>
      </c>
      <c r="O2282" s="453"/>
      <c r="P2282" s="113"/>
      <c r="Q2282" s="106" t="str">
        <f>IF(ISBLANK(O2282), "", VLOOKUP(C2282&amp;" "&amp;D2282, 'Info Tipo de Cambio y REM'!$A$24:$B$35, 2, FALSE))</f>
        <v/>
      </c>
      <c r="R2282" s="107"/>
    </row>
    <row r="2283" hidden="1">
      <c r="A2283" s="443"/>
      <c r="B2283" s="43" t="str">
        <f>IF(A2283="", "", IFERROR(VLOOKUP(A2283, Clasificaciones!A:B, 2, FALSE), "DATO NO CARGADO"))
</f>
        <v/>
      </c>
      <c r="C2283" s="51"/>
      <c r="D2283" s="102"/>
      <c r="E2283" s="102"/>
      <c r="H2283" s="102"/>
      <c r="J2283" s="102"/>
      <c r="K2283" s="450"/>
      <c r="L2283" s="443"/>
      <c r="M2283" s="450"/>
      <c r="N2283" s="452">
        <f t="array" ref="N2283">IFERROR(
  INDEX(
    'Valor Hora Real y Estimada'!$A$4:$Z$78,
    MATCH(TRIM(CLEAN(A2283)), 'Valor Hora Real y Estimada'!$A$4:$A$78, 0),
    MATCH(
      TEXT(C2283,"dd mmm")&amp;" "&amp;D2283,
      'Valor Hora Real y Estimada'!$A$3:$Z$3,
      0
    ) + 1
  ),
  0
)</f>
        <v>0</v>
      </c>
      <c r="O2283" s="453"/>
      <c r="P2283" s="113"/>
      <c r="Q2283" s="106" t="str">
        <f>IF(ISBLANK(O2283), "", VLOOKUP(C2283&amp;" "&amp;D2283, 'Info Tipo de Cambio y REM'!$A$24:$B$35, 2, FALSE))</f>
        <v/>
      </c>
      <c r="R2283" s="107"/>
    </row>
    <row r="2284" hidden="1">
      <c r="A2284" s="443"/>
      <c r="B2284" s="43" t="str">
        <f>IF(A2284="", "", IFERROR(VLOOKUP(A2284, Clasificaciones!A:B, 2, FALSE), "DATO NO CARGADO"))
</f>
        <v/>
      </c>
      <c r="C2284" s="51"/>
      <c r="D2284" s="102"/>
      <c r="E2284" s="102"/>
      <c r="H2284" s="102"/>
      <c r="J2284" s="102"/>
      <c r="K2284" s="450"/>
      <c r="L2284" s="443"/>
      <c r="M2284" s="450"/>
      <c r="N2284" s="452">
        <f t="array" ref="N2284">IFERROR(
  INDEX(
    'Valor Hora Real y Estimada'!$A$4:$Z$78,
    MATCH(TRIM(CLEAN(A2284)), 'Valor Hora Real y Estimada'!$A$4:$A$78, 0),
    MATCH(
      TEXT(C2284,"dd mmm")&amp;" "&amp;D2284,
      'Valor Hora Real y Estimada'!$A$3:$Z$3,
      0
    ) + 1
  ),
  0
)</f>
        <v>0</v>
      </c>
      <c r="O2284" s="453"/>
      <c r="P2284" s="113"/>
      <c r="Q2284" s="106" t="str">
        <f>IF(ISBLANK(O2284), "", VLOOKUP(C2284&amp;" "&amp;D2284, 'Info Tipo de Cambio y REM'!$A$24:$B$35, 2, FALSE))</f>
        <v/>
      </c>
      <c r="R2284" s="107"/>
    </row>
    <row r="2285" hidden="1">
      <c r="A2285" s="443"/>
      <c r="B2285" s="43" t="str">
        <f>IF(A2285="", "", IFERROR(VLOOKUP(A2285, Clasificaciones!A:B, 2, FALSE), "DATO NO CARGADO"))
</f>
        <v/>
      </c>
      <c r="C2285" s="51"/>
      <c r="D2285" s="102"/>
      <c r="E2285" s="102"/>
      <c r="H2285" s="102"/>
      <c r="J2285" s="102"/>
      <c r="K2285" s="450"/>
      <c r="L2285" s="443"/>
      <c r="M2285" s="450"/>
      <c r="N2285" s="452">
        <f t="array" ref="N2285">IFERROR(
  INDEX(
    'Valor Hora Real y Estimada'!$A$4:$Z$78,
    MATCH(TRIM(CLEAN(A2285)), 'Valor Hora Real y Estimada'!$A$4:$A$78, 0),
    MATCH(
      TEXT(C2285,"dd mmm")&amp;" "&amp;D2285,
      'Valor Hora Real y Estimada'!$A$3:$Z$3,
      0
    ) + 1
  ),
  0
)</f>
        <v>0</v>
      </c>
      <c r="O2285" s="453"/>
      <c r="P2285" s="113"/>
      <c r="Q2285" s="106" t="str">
        <f>IF(ISBLANK(O2285), "", VLOOKUP(C2285&amp;" "&amp;D2285, 'Info Tipo de Cambio y REM'!$A$24:$B$35, 2, FALSE))</f>
        <v/>
      </c>
      <c r="R2285" s="107"/>
    </row>
    <row r="2286" hidden="1">
      <c r="A2286" s="443"/>
      <c r="B2286" s="43" t="str">
        <f>IF(A2286="", "", IFERROR(VLOOKUP(A2286, Clasificaciones!A:B, 2, FALSE), "DATO NO CARGADO"))
</f>
        <v/>
      </c>
      <c r="C2286" s="51"/>
      <c r="D2286" s="102"/>
      <c r="E2286" s="102"/>
      <c r="H2286" s="102"/>
      <c r="J2286" s="102"/>
      <c r="K2286" s="450"/>
      <c r="L2286" s="443"/>
      <c r="M2286" s="450"/>
      <c r="N2286" s="452">
        <f t="array" ref="N2286">IFERROR(
  INDEX(
    'Valor Hora Real y Estimada'!$A$4:$Z$78,
    MATCH(TRIM(CLEAN(A2286)), 'Valor Hora Real y Estimada'!$A$4:$A$78, 0),
    MATCH(
      TEXT(C2286,"dd mmm")&amp;" "&amp;D2286,
      'Valor Hora Real y Estimada'!$A$3:$Z$3,
      0
    ) + 1
  ),
  0
)</f>
        <v>0</v>
      </c>
      <c r="O2286" s="453"/>
      <c r="P2286" s="113"/>
      <c r="Q2286" s="106" t="str">
        <f>IF(ISBLANK(O2286), "", VLOOKUP(C2286&amp;" "&amp;D2286, 'Info Tipo de Cambio y REM'!$A$24:$B$35, 2, FALSE))</f>
        <v/>
      </c>
      <c r="R2286" s="107"/>
    </row>
    <row r="2287" hidden="1">
      <c r="A2287" s="443"/>
      <c r="B2287" s="43" t="str">
        <f>IF(A2287="", "", IFERROR(VLOOKUP(A2287, Clasificaciones!A:B, 2, FALSE), "DATO NO CARGADO"))
</f>
        <v/>
      </c>
      <c r="C2287" s="51"/>
      <c r="D2287" s="102"/>
      <c r="E2287" s="102"/>
      <c r="H2287" s="102"/>
      <c r="J2287" s="102"/>
      <c r="K2287" s="450"/>
      <c r="L2287" s="443"/>
      <c r="M2287" s="450"/>
      <c r="N2287" s="452">
        <f t="array" ref="N2287">IFERROR(
  INDEX(
    'Valor Hora Real y Estimada'!$A$4:$Z$78,
    MATCH(TRIM(CLEAN(A2287)), 'Valor Hora Real y Estimada'!$A$4:$A$78, 0),
    MATCH(
      TEXT(C2287,"dd mmm")&amp;" "&amp;D2287,
      'Valor Hora Real y Estimada'!$A$3:$Z$3,
      0
    ) + 1
  ),
  0
)</f>
        <v>0</v>
      </c>
      <c r="O2287" s="453"/>
      <c r="P2287" s="113"/>
      <c r="Q2287" s="106" t="str">
        <f>IF(ISBLANK(O2287), "", VLOOKUP(C2287&amp;" "&amp;D2287, 'Info Tipo de Cambio y REM'!$A$24:$B$35, 2, FALSE))</f>
        <v/>
      </c>
      <c r="R2287" s="107"/>
    </row>
    <row r="2288" hidden="1">
      <c r="A2288" s="443"/>
      <c r="B2288" s="43" t="str">
        <f>IF(A2288="", "", IFERROR(VLOOKUP(A2288, Clasificaciones!A:B, 2, FALSE), "DATO NO CARGADO"))
</f>
        <v/>
      </c>
      <c r="C2288" s="51"/>
      <c r="D2288" s="102"/>
      <c r="E2288" s="102"/>
      <c r="H2288" s="102"/>
      <c r="J2288" s="102"/>
      <c r="K2288" s="450"/>
      <c r="L2288" s="443"/>
      <c r="M2288" s="450"/>
      <c r="N2288" s="452">
        <f t="array" ref="N2288">IFERROR(
  INDEX(
    'Valor Hora Real y Estimada'!$A$4:$Z$78,
    MATCH(TRIM(CLEAN(A2288)), 'Valor Hora Real y Estimada'!$A$4:$A$78, 0),
    MATCH(
      TEXT(C2288,"dd mmm")&amp;" "&amp;D2288,
      'Valor Hora Real y Estimada'!$A$3:$Z$3,
      0
    ) + 1
  ),
  0
)</f>
        <v>0</v>
      </c>
      <c r="O2288" s="453"/>
      <c r="P2288" s="113"/>
      <c r="Q2288" s="106" t="str">
        <f>IF(ISBLANK(O2288), "", VLOOKUP(C2288&amp;" "&amp;D2288, 'Info Tipo de Cambio y REM'!$A$24:$B$35, 2, FALSE))</f>
        <v/>
      </c>
      <c r="R2288" s="107"/>
    </row>
    <row r="2289" hidden="1">
      <c r="A2289" s="443"/>
      <c r="B2289" s="43" t="str">
        <f>IF(A2289="", "", IFERROR(VLOOKUP(A2289, Clasificaciones!A:B, 2, FALSE), "DATO NO CARGADO"))
</f>
        <v/>
      </c>
      <c r="C2289" s="51"/>
      <c r="D2289" s="102"/>
      <c r="E2289" s="102"/>
      <c r="H2289" s="102"/>
      <c r="J2289" s="102"/>
      <c r="K2289" s="450"/>
      <c r="L2289" s="443"/>
      <c r="M2289" s="450"/>
      <c r="N2289" s="452">
        <f t="array" ref="N2289">IFERROR(
  INDEX(
    'Valor Hora Real y Estimada'!$A$4:$Z$78,
    MATCH(TRIM(CLEAN(A2289)), 'Valor Hora Real y Estimada'!$A$4:$A$78, 0),
    MATCH(
      TEXT(C2289,"dd mmm")&amp;" "&amp;D2289,
      'Valor Hora Real y Estimada'!$A$3:$Z$3,
      0
    ) + 1
  ),
  0
)</f>
        <v>0</v>
      </c>
      <c r="O2289" s="453"/>
      <c r="P2289" s="113"/>
      <c r="Q2289" s="106" t="str">
        <f>IF(ISBLANK(O2289), "", VLOOKUP(C2289&amp;" "&amp;D2289, 'Info Tipo de Cambio y REM'!$A$24:$B$35, 2, FALSE))</f>
        <v/>
      </c>
      <c r="R2289" s="107"/>
    </row>
    <row r="2290" hidden="1">
      <c r="A2290" s="443"/>
      <c r="B2290" s="43" t="str">
        <f>IF(A2290="", "", IFERROR(VLOOKUP(A2290, Clasificaciones!A:B, 2, FALSE), "DATO NO CARGADO"))
</f>
        <v/>
      </c>
      <c r="C2290" s="51"/>
      <c r="D2290" s="102"/>
      <c r="E2290" s="102"/>
      <c r="H2290" s="102"/>
      <c r="J2290" s="102"/>
      <c r="K2290" s="450"/>
      <c r="L2290" s="443"/>
      <c r="M2290" s="450"/>
      <c r="N2290" s="452">
        <f t="array" ref="N2290">IFERROR(
  INDEX(
    'Valor Hora Real y Estimada'!$A$4:$Z$78,
    MATCH(TRIM(CLEAN(A2290)), 'Valor Hora Real y Estimada'!$A$4:$A$78, 0),
    MATCH(
      TEXT(C2290,"dd mmm")&amp;" "&amp;D2290,
      'Valor Hora Real y Estimada'!$A$3:$Z$3,
      0
    ) + 1
  ),
  0
)</f>
        <v>0</v>
      </c>
      <c r="O2290" s="453"/>
      <c r="P2290" s="113"/>
      <c r="Q2290" s="106" t="str">
        <f>IF(ISBLANK(O2290), "", VLOOKUP(C2290&amp;" "&amp;D2290, 'Info Tipo de Cambio y REM'!$A$24:$B$35, 2, FALSE))</f>
        <v/>
      </c>
      <c r="R2290" s="107"/>
    </row>
    <row r="2291" hidden="1">
      <c r="A2291" s="443"/>
      <c r="B2291" s="43" t="str">
        <f>IF(A2291="", "", IFERROR(VLOOKUP(A2291, Clasificaciones!A:B, 2, FALSE), "DATO NO CARGADO"))
</f>
        <v/>
      </c>
      <c r="C2291" s="51"/>
      <c r="D2291" s="102"/>
      <c r="E2291" s="102"/>
      <c r="H2291" s="102"/>
      <c r="J2291" s="102"/>
      <c r="K2291" s="450"/>
      <c r="L2291" s="443"/>
      <c r="M2291" s="450"/>
      <c r="N2291" s="452">
        <f t="array" ref="N2291">IFERROR(
  INDEX(
    'Valor Hora Real y Estimada'!$A$4:$Z$78,
    MATCH(TRIM(CLEAN(A2291)), 'Valor Hora Real y Estimada'!$A$4:$A$78, 0),
    MATCH(
      TEXT(C2291,"dd mmm")&amp;" "&amp;D2291,
      'Valor Hora Real y Estimada'!$A$3:$Z$3,
      0
    ) + 1
  ),
  0
)</f>
        <v>0</v>
      </c>
      <c r="O2291" s="453"/>
      <c r="P2291" s="113"/>
      <c r="Q2291" s="106" t="str">
        <f>IF(ISBLANK(O2291), "", VLOOKUP(C2291&amp;" "&amp;D2291, 'Info Tipo de Cambio y REM'!$A$24:$B$35, 2, FALSE))</f>
        <v/>
      </c>
      <c r="R2291" s="107"/>
    </row>
    <row r="2292" hidden="1">
      <c r="A2292" s="443"/>
      <c r="B2292" s="43" t="str">
        <f>IF(A2292="", "", IFERROR(VLOOKUP(A2292, Clasificaciones!A:B, 2, FALSE), "DATO NO CARGADO"))
</f>
        <v/>
      </c>
      <c r="C2292" s="51"/>
      <c r="D2292" s="102"/>
      <c r="E2292" s="102"/>
      <c r="H2292" s="102"/>
      <c r="J2292" s="102"/>
      <c r="K2292" s="450"/>
      <c r="L2292" s="443"/>
      <c r="M2292" s="450"/>
      <c r="N2292" s="452">
        <f t="array" ref="N2292">IFERROR(
  INDEX(
    'Valor Hora Real y Estimada'!$A$4:$Z$78,
    MATCH(TRIM(CLEAN(A2292)), 'Valor Hora Real y Estimada'!$A$4:$A$78, 0),
    MATCH(
      TEXT(C2292,"dd mmm")&amp;" "&amp;D2292,
      'Valor Hora Real y Estimada'!$A$3:$Z$3,
      0
    ) + 1
  ),
  0
)</f>
        <v>0</v>
      </c>
      <c r="O2292" s="453"/>
      <c r="P2292" s="113"/>
      <c r="Q2292" s="106" t="str">
        <f>IF(ISBLANK(O2292), "", VLOOKUP(C2292&amp;" "&amp;D2292, 'Info Tipo de Cambio y REM'!$A$24:$B$35, 2, FALSE))</f>
        <v/>
      </c>
      <c r="R2292" s="107"/>
    </row>
    <row r="2293" hidden="1">
      <c r="A2293" s="443"/>
      <c r="B2293" s="43" t="str">
        <f>IF(A2293="", "", IFERROR(VLOOKUP(A2293, Clasificaciones!A:B, 2, FALSE), "DATO NO CARGADO"))
</f>
        <v/>
      </c>
      <c r="C2293" s="51"/>
      <c r="D2293" s="102"/>
      <c r="E2293" s="102"/>
      <c r="H2293" s="102"/>
      <c r="J2293" s="102"/>
      <c r="K2293" s="450"/>
      <c r="L2293" s="443"/>
      <c r="M2293" s="450"/>
      <c r="N2293" s="452">
        <f t="array" ref="N2293">IFERROR(
  INDEX(
    'Valor Hora Real y Estimada'!$A$4:$Z$78,
    MATCH(TRIM(CLEAN(A2293)), 'Valor Hora Real y Estimada'!$A$4:$A$78, 0),
    MATCH(
      TEXT(C2293,"dd mmm")&amp;" "&amp;D2293,
      'Valor Hora Real y Estimada'!$A$3:$Z$3,
      0
    ) + 1
  ),
  0
)</f>
        <v>0</v>
      </c>
      <c r="O2293" s="453"/>
      <c r="P2293" s="113"/>
      <c r="Q2293" s="106" t="str">
        <f>IF(ISBLANK(O2293), "", VLOOKUP(C2293&amp;" "&amp;D2293, 'Info Tipo de Cambio y REM'!$A$24:$B$35, 2, FALSE))</f>
        <v/>
      </c>
      <c r="R2293" s="107"/>
    </row>
    <row r="2294" hidden="1">
      <c r="A2294" s="443"/>
      <c r="B2294" s="43" t="str">
        <f>IF(A2294="", "", IFERROR(VLOOKUP(A2294, Clasificaciones!A:B, 2, FALSE), "DATO NO CARGADO"))
</f>
        <v/>
      </c>
      <c r="C2294" s="51"/>
      <c r="D2294" s="102"/>
      <c r="E2294" s="102"/>
      <c r="H2294" s="102"/>
      <c r="J2294" s="102"/>
      <c r="K2294" s="450"/>
      <c r="L2294" s="443"/>
      <c r="M2294" s="450"/>
      <c r="N2294" s="452">
        <f t="array" ref="N2294">IFERROR(
  INDEX(
    'Valor Hora Real y Estimada'!$A$4:$Z$78,
    MATCH(TRIM(CLEAN(A2294)), 'Valor Hora Real y Estimada'!$A$4:$A$78, 0),
    MATCH(
      TEXT(C2294,"dd mmm")&amp;" "&amp;D2294,
      'Valor Hora Real y Estimada'!$A$3:$Z$3,
      0
    ) + 1
  ),
  0
)</f>
        <v>0</v>
      </c>
      <c r="O2294" s="453"/>
      <c r="P2294" s="113"/>
      <c r="Q2294" s="106" t="str">
        <f>IF(ISBLANK(O2294), "", VLOOKUP(C2294&amp;" "&amp;D2294, 'Info Tipo de Cambio y REM'!$A$24:$B$35, 2, FALSE))</f>
        <v/>
      </c>
      <c r="R2294" s="107"/>
    </row>
    <row r="2295" hidden="1">
      <c r="A2295" s="443"/>
      <c r="B2295" s="43" t="str">
        <f>IF(A2295="", "", IFERROR(VLOOKUP(A2295, Clasificaciones!A:B, 2, FALSE), "DATO NO CARGADO"))
</f>
        <v/>
      </c>
      <c r="C2295" s="51"/>
      <c r="D2295" s="102"/>
      <c r="E2295" s="102"/>
      <c r="H2295" s="102"/>
      <c r="J2295" s="102"/>
      <c r="K2295" s="450"/>
      <c r="L2295" s="443"/>
      <c r="M2295" s="450"/>
      <c r="N2295" s="452">
        <f t="array" ref="N2295">IFERROR(
  INDEX(
    'Valor Hora Real y Estimada'!$A$4:$Z$78,
    MATCH(TRIM(CLEAN(A2295)), 'Valor Hora Real y Estimada'!$A$4:$A$78, 0),
    MATCH(
      TEXT(C2295,"dd mmm")&amp;" "&amp;D2295,
      'Valor Hora Real y Estimada'!$A$3:$Z$3,
      0
    ) + 1
  ),
  0
)</f>
        <v>0</v>
      </c>
      <c r="O2295" s="453"/>
      <c r="P2295" s="113"/>
      <c r="Q2295" s="106" t="str">
        <f>IF(ISBLANK(O2295), "", VLOOKUP(C2295&amp;" "&amp;D2295, 'Info Tipo de Cambio y REM'!$A$24:$B$35, 2, FALSE))</f>
        <v/>
      </c>
      <c r="R2295" s="107"/>
    </row>
    <row r="2296" hidden="1">
      <c r="A2296" s="443"/>
      <c r="B2296" s="43" t="str">
        <f>IF(A2296="", "", IFERROR(VLOOKUP(A2296, Clasificaciones!A:B, 2, FALSE), "DATO NO CARGADO"))
</f>
        <v/>
      </c>
      <c r="C2296" s="51"/>
      <c r="D2296" s="102"/>
      <c r="E2296" s="102"/>
      <c r="H2296" s="102"/>
      <c r="J2296" s="102"/>
      <c r="K2296" s="450"/>
      <c r="L2296" s="443"/>
      <c r="M2296" s="450"/>
      <c r="N2296" s="452">
        <f t="array" ref="N2296">IFERROR(
  INDEX(
    'Valor Hora Real y Estimada'!$A$4:$Z$78,
    MATCH(TRIM(CLEAN(A2296)), 'Valor Hora Real y Estimada'!$A$4:$A$78, 0),
    MATCH(
      TEXT(C2296,"dd mmm")&amp;" "&amp;D2296,
      'Valor Hora Real y Estimada'!$A$3:$Z$3,
      0
    ) + 1
  ),
  0
)</f>
        <v>0</v>
      </c>
      <c r="O2296" s="453"/>
      <c r="P2296" s="113"/>
      <c r="Q2296" s="106" t="str">
        <f>IF(ISBLANK(O2296), "", VLOOKUP(C2296&amp;" "&amp;D2296, 'Info Tipo de Cambio y REM'!$A$24:$B$35, 2, FALSE))</f>
        <v/>
      </c>
      <c r="R2296" s="107"/>
    </row>
    <row r="2297" hidden="1">
      <c r="A2297" s="443"/>
      <c r="B2297" s="43" t="str">
        <f>IF(A2297="", "", IFERROR(VLOOKUP(A2297, Clasificaciones!A:B, 2, FALSE), "DATO NO CARGADO"))
</f>
        <v/>
      </c>
      <c r="C2297" s="51"/>
      <c r="D2297" s="102"/>
      <c r="E2297" s="102"/>
      <c r="H2297" s="102"/>
      <c r="J2297" s="102"/>
      <c r="K2297" s="450"/>
      <c r="L2297" s="443"/>
      <c r="M2297" s="450"/>
      <c r="N2297" s="452">
        <f t="array" ref="N2297">IFERROR(
  INDEX(
    'Valor Hora Real y Estimada'!$A$4:$Z$78,
    MATCH(TRIM(CLEAN(A2297)), 'Valor Hora Real y Estimada'!$A$4:$A$78, 0),
    MATCH(
      TEXT(C2297,"dd mmm")&amp;" "&amp;D2297,
      'Valor Hora Real y Estimada'!$A$3:$Z$3,
      0
    ) + 1
  ),
  0
)</f>
        <v>0</v>
      </c>
      <c r="O2297" s="453"/>
      <c r="P2297" s="113"/>
      <c r="Q2297" s="106" t="str">
        <f>IF(ISBLANK(O2297), "", VLOOKUP(C2297&amp;" "&amp;D2297, 'Info Tipo de Cambio y REM'!$A$24:$B$35, 2, FALSE))</f>
        <v/>
      </c>
      <c r="R2297" s="107"/>
    </row>
    <row r="2298" hidden="1">
      <c r="A2298" s="443"/>
      <c r="B2298" s="43" t="str">
        <f>IF(A2298="", "", IFERROR(VLOOKUP(A2298, Clasificaciones!A:B, 2, FALSE), "DATO NO CARGADO"))
</f>
        <v/>
      </c>
      <c r="C2298" s="51"/>
      <c r="D2298" s="102"/>
      <c r="E2298" s="102"/>
      <c r="H2298" s="102"/>
      <c r="J2298" s="102"/>
      <c r="K2298" s="450"/>
      <c r="L2298" s="443"/>
      <c r="M2298" s="450"/>
      <c r="N2298" s="452">
        <f t="array" ref="N2298">IFERROR(
  INDEX(
    'Valor Hora Real y Estimada'!$A$4:$Z$78,
    MATCH(TRIM(CLEAN(A2298)), 'Valor Hora Real y Estimada'!$A$4:$A$78, 0),
    MATCH(
      TEXT(C2298,"dd mmm")&amp;" "&amp;D2298,
      'Valor Hora Real y Estimada'!$A$3:$Z$3,
      0
    ) + 1
  ),
  0
)</f>
        <v>0</v>
      </c>
      <c r="O2298" s="453"/>
      <c r="P2298" s="113"/>
      <c r="Q2298" s="106" t="str">
        <f>IF(ISBLANK(O2298), "", VLOOKUP(C2298&amp;" "&amp;D2298, 'Info Tipo de Cambio y REM'!$A$24:$B$35, 2, FALSE))</f>
        <v/>
      </c>
      <c r="R2298" s="107"/>
    </row>
    <row r="2299" hidden="1">
      <c r="A2299" s="443"/>
      <c r="B2299" s="43" t="str">
        <f>IF(A2299="", "", IFERROR(VLOOKUP(A2299, Clasificaciones!A:B, 2, FALSE), "DATO NO CARGADO"))
</f>
        <v/>
      </c>
      <c r="C2299" s="51"/>
      <c r="D2299" s="102"/>
      <c r="E2299" s="102"/>
      <c r="H2299" s="102"/>
      <c r="J2299" s="102"/>
      <c r="K2299" s="450"/>
      <c r="L2299" s="443"/>
      <c r="M2299" s="450"/>
      <c r="N2299" s="452">
        <f t="array" ref="N2299">IFERROR(
  INDEX(
    'Valor Hora Real y Estimada'!$A$4:$Z$78,
    MATCH(TRIM(CLEAN(A2299)), 'Valor Hora Real y Estimada'!$A$4:$A$78, 0),
    MATCH(
      TEXT(C2299,"dd mmm")&amp;" "&amp;D2299,
      'Valor Hora Real y Estimada'!$A$3:$Z$3,
      0
    ) + 1
  ),
  0
)</f>
        <v>0</v>
      </c>
      <c r="O2299" s="453"/>
      <c r="P2299" s="113"/>
      <c r="Q2299" s="106" t="str">
        <f>IF(ISBLANK(O2299), "", VLOOKUP(C2299&amp;" "&amp;D2299, 'Info Tipo de Cambio y REM'!$A$24:$B$35, 2, FALSE))</f>
        <v/>
      </c>
      <c r="R2299" s="107"/>
    </row>
    <row r="2300" hidden="1">
      <c r="A2300" s="443"/>
      <c r="B2300" s="43" t="str">
        <f>IF(A2300="", "", IFERROR(VLOOKUP(A2300, Clasificaciones!A:B, 2, FALSE), "DATO NO CARGADO"))
</f>
        <v/>
      </c>
      <c r="C2300" s="51"/>
      <c r="D2300" s="102"/>
      <c r="E2300" s="102"/>
      <c r="H2300" s="102"/>
      <c r="J2300" s="102"/>
      <c r="K2300" s="450"/>
      <c r="L2300" s="443"/>
      <c r="M2300" s="450"/>
      <c r="N2300" s="452">
        <f t="array" ref="N2300">IFERROR(
  INDEX(
    'Valor Hora Real y Estimada'!$A$4:$Z$78,
    MATCH(TRIM(CLEAN(A2300)), 'Valor Hora Real y Estimada'!$A$4:$A$78, 0),
    MATCH(
      TEXT(C2300,"dd mmm")&amp;" "&amp;D2300,
      'Valor Hora Real y Estimada'!$A$3:$Z$3,
      0
    ) + 1
  ),
  0
)</f>
        <v>0</v>
      </c>
      <c r="O2300" s="453"/>
      <c r="P2300" s="113"/>
      <c r="Q2300" s="106" t="str">
        <f>IF(ISBLANK(O2300), "", VLOOKUP(C2300&amp;" "&amp;D2300, 'Info Tipo de Cambio y REM'!$A$24:$B$35, 2, FALSE))</f>
        <v/>
      </c>
      <c r="R2300" s="107"/>
    </row>
    <row r="2301" hidden="1">
      <c r="A2301" s="443"/>
      <c r="B2301" s="43" t="str">
        <f>IF(A2301="", "", IFERROR(VLOOKUP(A2301, Clasificaciones!A:B, 2, FALSE), "DATO NO CARGADO"))
</f>
        <v/>
      </c>
      <c r="C2301" s="51"/>
      <c r="D2301" s="102"/>
      <c r="E2301" s="102"/>
      <c r="H2301" s="102"/>
      <c r="J2301" s="102"/>
      <c r="K2301" s="450"/>
      <c r="L2301" s="443"/>
      <c r="M2301" s="450"/>
      <c r="N2301" s="452">
        <f t="array" ref="N2301">IFERROR(
  INDEX(
    'Valor Hora Real y Estimada'!$A$4:$Z$78,
    MATCH(TRIM(CLEAN(A2301)), 'Valor Hora Real y Estimada'!$A$4:$A$78, 0),
    MATCH(
      TEXT(C2301,"dd mmm")&amp;" "&amp;D2301,
      'Valor Hora Real y Estimada'!$A$3:$Z$3,
      0
    ) + 1
  ),
  0
)</f>
        <v>0</v>
      </c>
      <c r="O2301" s="453"/>
      <c r="P2301" s="113"/>
      <c r="Q2301" s="106" t="str">
        <f>IF(ISBLANK(O2301), "", VLOOKUP(C2301&amp;" "&amp;D2301, 'Info Tipo de Cambio y REM'!$A$24:$B$35, 2, FALSE))</f>
        <v/>
      </c>
      <c r="R2301" s="107"/>
    </row>
    <row r="2302" hidden="1">
      <c r="A2302" s="443"/>
      <c r="B2302" s="43" t="str">
        <f>IF(A2302="", "", IFERROR(VLOOKUP(A2302, Clasificaciones!A:B, 2, FALSE), "DATO NO CARGADO"))
</f>
        <v/>
      </c>
      <c r="C2302" s="51"/>
      <c r="D2302" s="102"/>
      <c r="E2302" s="102"/>
      <c r="H2302" s="102"/>
      <c r="J2302" s="102"/>
      <c r="K2302" s="450"/>
      <c r="L2302" s="443"/>
      <c r="M2302" s="450"/>
      <c r="N2302" s="452">
        <f t="array" ref="N2302">IFERROR(
  INDEX(
    'Valor Hora Real y Estimada'!$A$4:$Z$78,
    MATCH(TRIM(CLEAN(A2302)), 'Valor Hora Real y Estimada'!$A$4:$A$78, 0),
    MATCH(
      TEXT(C2302,"dd mmm")&amp;" "&amp;D2302,
      'Valor Hora Real y Estimada'!$A$3:$Z$3,
      0
    ) + 1
  ),
  0
)</f>
        <v>0</v>
      </c>
      <c r="O2302" s="453"/>
      <c r="P2302" s="113"/>
      <c r="Q2302" s="106" t="str">
        <f>IF(ISBLANK(O2302), "", VLOOKUP(C2302&amp;" "&amp;D2302, 'Info Tipo de Cambio y REM'!$A$24:$B$35, 2, FALSE))</f>
        <v/>
      </c>
      <c r="R2302" s="107"/>
    </row>
    <row r="2303" hidden="1">
      <c r="A2303" s="443"/>
      <c r="B2303" s="43" t="str">
        <f>IF(A2303="", "", IFERROR(VLOOKUP(A2303, Clasificaciones!A:B, 2, FALSE), "DATO NO CARGADO"))
</f>
        <v/>
      </c>
      <c r="C2303" s="51"/>
      <c r="D2303" s="102"/>
      <c r="E2303" s="102"/>
      <c r="H2303" s="102"/>
      <c r="J2303" s="102"/>
      <c r="K2303" s="450"/>
      <c r="L2303" s="443"/>
      <c r="M2303" s="450"/>
      <c r="N2303" s="452">
        <f t="array" ref="N2303">IFERROR(
  INDEX(
    'Valor Hora Real y Estimada'!$A$4:$Z$78,
    MATCH(TRIM(CLEAN(A2303)), 'Valor Hora Real y Estimada'!$A$4:$A$78, 0),
    MATCH(
      TEXT(C2303,"dd mmm")&amp;" "&amp;D2303,
      'Valor Hora Real y Estimada'!$A$3:$Z$3,
      0
    ) + 1
  ),
  0
)</f>
        <v>0</v>
      </c>
      <c r="O2303" s="453"/>
      <c r="P2303" s="113"/>
      <c r="Q2303" s="106" t="str">
        <f>IF(ISBLANK(O2303), "", VLOOKUP(C2303&amp;" "&amp;D2303, 'Info Tipo de Cambio y REM'!$A$24:$B$35, 2, FALSE))</f>
        <v/>
      </c>
      <c r="R2303" s="107"/>
    </row>
    <row r="2304" hidden="1">
      <c r="A2304" s="443"/>
      <c r="B2304" s="43" t="str">
        <f>IF(A2304="", "", IFERROR(VLOOKUP(A2304, Clasificaciones!A:B, 2, FALSE), "DATO NO CARGADO"))
</f>
        <v/>
      </c>
      <c r="C2304" s="51"/>
      <c r="D2304" s="102"/>
      <c r="E2304" s="102"/>
      <c r="H2304" s="102"/>
      <c r="J2304" s="102"/>
      <c r="K2304" s="450"/>
      <c r="L2304" s="443"/>
      <c r="M2304" s="450"/>
      <c r="N2304" s="452">
        <f t="array" ref="N2304">IFERROR(
  INDEX(
    'Valor Hora Real y Estimada'!$A$4:$Z$78,
    MATCH(TRIM(CLEAN(A2304)), 'Valor Hora Real y Estimada'!$A$4:$A$78, 0),
    MATCH(
      TEXT(C2304,"dd mmm")&amp;" "&amp;D2304,
      'Valor Hora Real y Estimada'!$A$3:$Z$3,
      0
    ) + 1
  ),
  0
)</f>
        <v>0</v>
      </c>
      <c r="O2304" s="453"/>
      <c r="P2304" s="113"/>
      <c r="Q2304" s="106" t="str">
        <f>IF(ISBLANK(O2304), "", VLOOKUP(C2304&amp;" "&amp;D2304, 'Info Tipo de Cambio y REM'!$A$24:$B$35, 2, FALSE))</f>
        <v/>
      </c>
      <c r="R2304" s="107"/>
    </row>
    <row r="2305" hidden="1">
      <c r="A2305" s="443"/>
      <c r="B2305" s="43" t="str">
        <f>IF(A2305="", "", IFERROR(VLOOKUP(A2305, Clasificaciones!A:B, 2, FALSE), "DATO NO CARGADO"))
</f>
        <v/>
      </c>
      <c r="C2305" s="51"/>
      <c r="D2305" s="102"/>
      <c r="E2305" s="102"/>
      <c r="H2305" s="102"/>
      <c r="J2305" s="102"/>
      <c r="K2305" s="450"/>
      <c r="L2305" s="443"/>
      <c r="M2305" s="450"/>
      <c r="N2305" s="452">
        <f t="array" ref="N2305">IFERROR(
  INDEX(
    'Valor Hora Real y Estimada'!$A$4:$Z$78,
    MATCH(TRIM(CLEAN(A2305)), 'Valor Hora Real y Estimada'!$A$4:$A$78, 0),
    MATCH(
      TEXT(C2305,"dd mmm")&amp;" "&amp;D2305,
      'Valor Hora Real y Estimada'!$A$3:$Z$3,
      0
    ) + 1
  ),
  0
)</f>
        <v>0</v>
      </c>
      <c r="O2305" s="453"/>
      <c r="P2305" s="113"/>
      <c r="Q2305" s="106" t="str">
        <f>IF(ISBLANK(O2305), "", VLOOKUP(C2305&amp;" "&amp;D2305, 'Info Tipo de Cambio y REM'!$A$24:$B$35, 2, FALSE))</f>
        <v/>
      </c>
      <c r="R2305" s="107"/>
    </row>
    <row r="2306" hidden="1">
      <c r="A2306" s="443"/>
      <c r="B2306" s="43" t="str">
        <f>IF(A2306="", "", IFERROR(VLOOKUP(A2306, Clasificaciones!A:B, 2, FALSE), "DATO NO CARGADO"))
</f>
        <v/>
      </c>
      <c r="C2306" s="51"/>
      <c r="D2306" s="102"/>
      <c r="E2306" s="102"/>
      <c r="H2306" s="102"/>
      <c r="J2306" s="102"/>
      <c r="K2306" s="450"/>
      <c r="L2306" s="443"/>
      <c r="M2306" s="450"/>
      <c r="N2306" s="452">
        <f t="array" ref="N2306">IFERROR(
  INDEX(
    'Valor Hora Real y Estimada'!$A$4:$Z$78,
    MATCH(TRIM(CLEAN(A2306)), 'Valor Hora Real y Estimada'!$A$4:$A$78, 0),
    MATCH(
      TEXT(C2306,"dd mmm")&amp;" "&amp;D2306,
      'Valor Hora Real y Estimada'!$A$3:$Z$3,
      0
    ) + 1
  ),
  0
)</f>
        <v>0</v>
      </c>
      <c r="O2306" s="453"/>
      <c r="P2306" s="113"/>
      <c r="Q2306" s="106" t="str">
        <f>IF(ISBLANK(O2306), "", VLOOKUP(C2306&amp;" "&amp;D2306, 'Info Tipo de Cambio y REM'!$A$24:$B$35, 2, FALSE))</f>
        <v/>
      </c>
      <c r="R2306" s="107"/>
    </row>
    <row r="2307" hidden="1">
      <c r="A2307" s="443"/>
      <c r="B2307" s="43" t="str">
        <f>IF(A2307="", "", IFERROR(VLOOKUP(A2307, Clasificaciones!A:B, 2, FALSE), "DATO NO CARGADO"))
</f>
        <v/>
      </c>
      <c r="C2307" s="51"/>
      <c r="D2307" s="102"/>
      <c r="E2307" s="102"/>
      <c r="H2307" s="102"/>
      <c r="J2307" s="102"/>
      <c r="K2307" s="450"/>
      <c r="L2307" s="443"/>
      <c r="M2307" s="450"/>
      <c r="N2307" s="452">
        <f t="array" ref="N2307">IFERROR(
  INDEX(
    'Valor Hora Real y Estimada'!$A$4:$Z$78,
    MATCH(TRIM(CLEAN(A2307)), 'Valor Hora Real y Estimada'!$A$4:$A$78, 0),
    MATCH(
      TEXT(C2307,"dd mmm")&amp;" "&amp;D2307,
      'Valor Hora Real y Estimada'!$A$3:$Z$3,
      0
    ) + 1
  ),
  0
)</f>
        <v>0</v>
      </c>
      <c r="O2307" s="453"/>
      <c r="P2307" s="113"/>
      <c r="Q2307" s="106" t="str">
        <f>IF(ISBLANK(O2307), "", VLOOKUP(C2307&amp;" "&amp;D2307, 'Info Tipo de Cambio y REM'!$A$24:$B$35, 2, FALSE))</f>
        <v/>
      </c>
      <c r="R2307" s="107"/>
    </row>
    <row r="2308" hidden="1">
      <c r="A2308" s="443"/>
      <c r="B2308" s="43" t="str">
        <f>IF(A2308="", "", IFERROR(VLOOKUP(A2308, Clasificaciones!A:B, 2, FALSE), "DATO NO CARGADO"))
</f>
        <v/>
      </c>
      <c r="C2308" s="51"/>
      <c r="D2308" s="102"/>
      <c r="E2308" s="102"/>
      <c r="H2308" s="102"/>
      <c r="J2308" s="102"/>
      <c r="K2308" s="450"/>
      <c r="L2308" s="443"/>
      <c r="M2308" s="450"/>
      <c r="N2308" s="452">
        <f t="array" ref="N2308">IFERROR(
  INDEX(
    'Valor Hora Real y Estimada'!$A$4:$Z$78,
    MATCH(TRIM(CLEAN(A2308)), 'Valor Hora Real y Estimada'!$A$4:$A$78, 0),
    MATCH(
      TEXT(C2308,"dd mmm")&amp;" "&amp;D2308,
      'Valor Hora Real y Estimada'!$A$3:$Z$3,
      0
    ) + 1
  ),
  0
)</f>
        <v>0</v>
      </c>
      <c r="O2308" s="453"/>
      <c r="P2308" s="113"/>
      <c r="Q2308" s="106" t="str">
        <f>IF(ISBLANK(O2308), "", VLOOKUP(C2308&amp;" "&amp;D2308, 'Info Tipo de Cambio y REM'!$A$24:$B$35, 2, FALSE))</f>
        <v/>
      </c>
      <c r="R2308" s="107"/>
    </row>
    <row r="2309" hidden="1">
      <c r="A2309" s="443"/>
      <c r="B2309" s="43" t="str">
        <f>IF(A2309="", "", IFERROR(VLOOKUP(A2309, Clasificaciones!A:B, 2, FALSE), "DATO NO CARGADO"))
</f>
        <v/>
      </c>
      <c r="C2309" s="51"/>
      <c r="D2309" s="102"/>
      <c r="E2309" s="102"/>
      <c r="H2309" s="102"/>
      <c r="J2309" s="102"/>
      <c r="K2309" s="450"/>
      <c r="L2309" s="443"/>
      <c r="M2309" s="450"/>
      <c r="N2309" s="452">
        <f t="array" ref="N2309">IFERROR(
  INDEX(
    'Valor Hora Real y Estimada'!$A$4:$Z$78,
    MATCH(TRIM(CLEAN(A2309)), 'Valor Hora Real y Estimada'!$A$4:$A$78, 0),
    MATCH(
      TEXT(C2309,"dd mmm")&amp;" "&amp;D2309,
      'Valor Hora Real y Estimada'!$A$3:$Z$3,
      0
    ) + 1
  ),
  0
)</f>
        <v>0</v>
      </c>
      <c r="O2309" s="453"/>
      <c r="P2309" s="113"/>
      <c r="Q2309" s="106" t="str">
        <f>IF(ISBLANK(O2309), "", VLOOKUP(C2309&amp;" "&amp;D2309, 'Info Tipo de Cambio y REM'!$A$24:$B$35, 2, FALSE))</f>
        <v/>
      </c>
      <c r="R2309" s="107"/>
    </row>
    <row r="2310" hidden="1">
      <c r="A2310" s="443"/>
      <c r="B2310" s="43" t="str">
        <f>IF(A2310="", "", IFERROR(VLOOKUP(A2310, Clasificaciones!A:B, 2, FALSE), "DATO NO CARGADO"))
</f>
        <v/>
      </c>
      <c r="C2310" s="51"/>
      <c r="D2310" s="102"/>
      <c r="E2310" s="102"/>
      <c r="H2310" s="102"/>
      <c r="J2310" s="102"/>
      <c r="K2310" s="450"/>
      <c r="L2310" s="443"/>
      <c r="M2310" s="450"/>
      <c r="N2310" s="452">
        <f t="array" ref="N2310">IFERROR(
  INDEX(
    'Valor Hora Real y Estimada'!$A$4:$Z$78,
    MATCH(TRIM(CLEAN(A2310)), 'Valor Hora Real y Estimada'!$A$4:$A$78, 0),
    MATCH(
      TEXT(C2310,"dd mmm")&amp;" "&amp;D2310,
      'Valor Hora Real y Estimada'!$A$3:$Z$3,
      0
    ) + 1
  ),
  0
)</f>
        <v>0</v>
      </c>
      <c r="O2310" s="453"/>
      <c r="P2310" s="113"/>
      <c r="Q2310" s="106" t="str">
        <f>IF(ISBLANK(O2310), "", VLOOKUP(C2310&amp;" "&amp;D2310, 'Info Tipo de Cambio y REM'!$A$24:$B$35, 2, FALSE))</f>
        <v/>
      </c>
      <c r="R2310" s="107"/>
    </row>
    <row r="2311" hidden="1">
      <c r="A2311" s="443"/>
      <c r="B2311" s="43" t="str">
        <f>IF(A2311="", "", IFERROR(VLOOKUP(A2311, Clasificaciones!A:B, 2, FALSE), "DATO NO CARGADO"))
</f>
        <v/>
      </c>
      <c r="C2311" s="51"/>
      <c r="D2311" s="102"/>
      <c r="E2311" s="102"/>
      <c r="H2311" s="102"/>
      <c r="J2311" s="102"/>
      <c r="K2311" s="450"/>
      <c r="L2311" s="443"/>
      <c r="M2311" s="450"/>
      <c r="N2311" s="452">
        <f t="array" ref="N2311">IFERROR(
  INDEX(
    'Valor Hora Real y Estimada'!$A$4:$Z$78,
    MATCH(TRIM(CLEAN(A2311)), 'Valor Hora Real y Estimada'!$A$4:$A$78, 0),
    MATCH(
      TEXT(C2311,"dd mmm")&amp;" "&amp;D2311,
      'Valor Hora Real y Estimada'!$A$3:$Z$3,
      0
    ) + 1
  ),
  0
)</f>
        <v>0</v>
      </c>
      <c r="O2311" s="453"/>
      <c r="P2311" s="113"/>
      <c r="Q2311" s="106" t="str">
        <f>IF(ISBLANK(O2311), "", VLOOKUP(C2311&amp;" "&amp;D2311, 'Info Tipo de Cambio y REM'!$A$24:$B$35, 2, FALSE))</f>
        <v/>
      </c>
      <c r="R2311" s="107"/>
    </row>
    <row r="2312" hidden="1">
      <c r="A2312" s="443"/>
      <c r="B2312" s="43" t="str">
        <f>IF(A2312="", "", IFERROR(VLOOKUP(A2312, Clasificaciones!A:B, 2, FALSE), "DATO NO CARGADO"))
</f>
        <v/>
      </c>
      <c r="C2312" s="51"/>
      <c r="D2312" s="102"/>
      <c r="E2312" s="102"/>
      <c r="H2312" s="102"/>
      <c r="J2312" s="102"/>
      <c r="K2312" s="450"/>
      <c r="L2312" s="443"/>
      <c r="M2312" s="450"/>
      <c r="N2312" s="452">
        <f t="array" ref="N2312">IFERROR(
  INDEX(
    'Valor Hora Real y Estimada'!$A$4:$Z$78,
    MATCH(TRIM(CLEAN(A2312)), 'Valor Hora Real y Estimada'!$A$4:$A$78, 0),
    MATCH(
      TEXT(C2312,"dd mmm")&amp;" "&amp;D2312,
      'Valor Hora Real y Estimada'!$A$3:$Z$3,
      0
    ) + 1
  ),
  0
)</f>
        <v>0</v>
      </c>
      <c r="O2312" s="453"/>
      <c r="P2312" s="113"/>
      <c r="Q2312" s="106" t="str">
        <f>IF(ISBLANK(O2312), "", VLOOKUP(C2312&amp;" "&amp;D2312, 'Info Tipo de Cambio y REM'!$A$24:$B$35, 2, FALSE))</f>
        <v/>
      </c>
      <c r="R2312" s="107"/>
    </row>
    <row r="2313" hidden="1">
      <c r="A2313" s="443"/>
      <c r="B2313" s="43" t="str">
        <f>IF(A2313="", "", IFERROR(VLOOKUP(A2313, Clasificaciones!A:B, 2, FALSE), "DATO NO CARGADO"))
</f>
        <v/>
      </c>
      <c r="C2313" s="51"/>
      <c r="D2313" s="102"/>
      <c r="E2313" s="102"/>
      <c r="H2313" s="102"/>
      <c r="J2313" s="102"/>
      <c r="K2313" s="450"/>
      <c r="L2313" s="443"/>
      <c r="M2313" s="450"/>
      <c r="N2313" s="452">
        <f t="array" ref="N2313">IFERROR(
  INDEX(
    'Valor Hora Real y Estimada'!$A$4:$Z$78,
    MATCH(TRIM(CLEAN(A2313)), 'Valor Hora Real y Estimada'!$A$4:$A$78, 0),
    MATCH(
      TEXT(C2313,"dd mmm")&amp;" "&amp;D2313,
      'Valor Hora Real y Estimada'!$A$3:$Z$3,
      0
    ) + 1
  ),
  0
)</f>
        <v>0</v>
      </c>
      <c r="O2313" s="453"/>
      <c r="P2313" s="113"/>
      <c r="Q2313" s="106" t="str">
        <f>IF(ISBLANK(O2313), "", VLOOKUP(C2313&amp;" "&amp;D2313, 'Info Tipo de Cambio y REM'!$A$24:$B$35, 2, FALSE))</f>
        <v/>
      </c>
      <c r="R2313" s="107"/>
    </row>
    <row r="2314" hidden="1">
      <c r="A2314" s="443"/>
      <c r="B2314" s="43" t="str">
        <f>IF(A2314="", "", IFERROR(VLOOKUP(A2314, Clasificaciones!A:B, 2, FALSE), "DATO NO CARGADO"))
</f>
        <v/>
      </c>
      <c r="C2314" s="51"/>
      <c r="D2314" s="102"/>
      <c r="E2314" s="102"/>
      <c r="H2314" s="102"/>
      <c r="J2314" s="102"/>
      <c r="K2314" s="450"/>
      <c r="L2314" s="443"/>
      <c r="M2314" s="450"/>
      <c r="N2314" s="452">
        <f t="array" ref="N2314">IFERROR(
  INDEX(
    'Valor Hora Real y Estimada'!$A$4:$Z$78,
    MATCH(TRIM(CLEAN(A2314)), 'Valor Hora Real y Estimada'!$A$4:$A$78, 0),
    MATCH(
      TEXT(C2314,"dd mmm")&amp;" "&amp;D2314,
      'Valor Hora Real y Estimada'!$A$3:$Z$3,
      0
    ) + 1
  ),
  0
)</f>
        <v>0</v>
      </c>
      <c r="O2314" s="453"/>
      <c r="P2314" s="113"/>
      <c r="Q2314" s="106" t="str">
        <f>IF(ISBLANK(O2314), "", VLOOKUP(C2314&amp;" "&amp;D2314, 'Info Tipo de Cambio y REM'!$A$24:$B$35, 2, FALSE))</f>
        <v/>
      </c>
      <c r="R2314" s="107"/>
    </row>
    <row r="2315" hidden="1">
      <c r="A2315" s="443"/>
      <c r="B2315" s="43" t="str">
        <f>IF(A2315="", "", IFERROR(VLOOKUP(A2315, Clasificaciones!A:B, 2, FALSE), "DATO NO CARGADO"))
</f>
        <v/>
      </c>
      <c r="C2315" s="51"/>
      <c r="D2315" s="102"/>
      <c r="E2315" s="102"/>
      <c r="H2315" s="102"/>
      <c r="J2315" s="102"/>
      <c r="K2315" s="450"/>
      <c r="L2315" s="443"/>
      <c r="M2315" s="450"/>
      <c r="N2315" s="452">
        <f t="array" ref="N2315">IFERROR(
  INDEX(
    'Valor Hora Real y Estimada'!$A$4:$Z$78,
    MATCH(TRIM(CLEAN(A2315)), 'Valor Hora Real y Estimada'!$A$4:$A$78, 0),
    MATCH(
      TEXT(C2315,"dd mmm")&amp;" "&amp;D2315,
      'Valor Hora Real y Estimada'!$A$3:$Z$3,
      0
    ) + 1
  ),
  0
)</f>
        <v>0</v>
      </c>
      <c r="O2315" s="453"/>
      <c r="P2315" s="113"/>
      <c r="Q2315" s="106" t="str">
        <f>IF(ISBLANK(O2315), "", VLOOKUP(C2315&amp;" "&amp;D2315, 'Info Tipo de Cambio y REM'!$A$24:$B$35, 2, FALSE))</f>
        <v/>
      </c>
      <c r="R2315" s="107"/>
    </row>
    <row r="2316" hidden="1">
      <c r="A2316" s="443"/>
      <c r="B2316" s="43" t="str">
        <f>IF(A2316="", "", IFERROR(VLOOKUP(A2316, Clasificaciones!A:B, 2, FALSE), "DATO NO CARGADO"))
</f>
        <v/>
      </c>
      <c r="C2316" s="51"/>
      <c r="D2316" s="102"/>
      <c r="E2316" s="102"/>
      <c r="H2316" s="102"/>
      <c r="J2316" s="102"/>
      <c r="K2316" s="450"/>
      <c r="L2316" s="443"/>
      <c r="M2316" s="450"/>
      <c r="N2316" s="452">
        <f t="array" ref="N2316">IFERROR(
  INDEX(
    'Valor Hora Real y Estimada'!$A$4:$Z$78,
    MATCH(TRIM(CLEAN(A2316)), 'Valor Hora Real y Estimada'!$A$4:$A$78, 0),
    MATCH(
      TEXT(C2316,"dd mmm")&amp;" "&amp;D2316,
      'Valor Hora Real y Estimada'!$A$3:$Z$3,
      0
    ) + 1
  ),
  0
)</f>
        <v>0</v>
      </c>
      <c r="O2316" s="453"/>
      <c r="P2316" s="113"/>
      <c r="Q2316" s="106" t="str">
        <f>IF(ISBLANK(O2316), "", VLOOKUP(C2316&amp;" "&amp;D2316, 'Info Tipo de Cambio y REM'!$A$24:$B$35, 2, FALSE))</f>
        <v/>
      </c>
      <c r="R2316" s="107"/>
    </row>
    <row r="2317" hidden="1">
      <c r="A2317" s="443"/>
      <c r="B2317" s="43" t="str">
        <f>IF(A2317="", "", IFERROR(VLOOKUP(A2317, Clasificaciones!A:B, 2, FALSE), "DATO NO CARGADO"))
</f>
        <v/>
      </c>
      <c r="C2317" s="51"/>
      <c r="D2317" s="102"/>
      <c r="E2317" s="102"/>
      <c r="H2317" s="102"/>
      <c r="J2317" s="102"/>
      <c r="K2317" s="450"/>
      <c r="L2317" s="443"/>
      <c r="M2317" s="450"/>
      <c r="N2317" s="452">
        <f t="array" ref="N2317">IFERROR(
  INDEX(
    'Valor Hora Real y Estimada'!$A$4:$Z$78,
    MATCH(TRIM(CLEAN(A2317)), 'Valor Hora Real y Estimada'!$A$4:$A$78, 0),
    MATCH(
      TEXT(C2317,"dd mmm")&amp;" "&amp;D2317,
      'Valor Hora Real y Estimada'!$A$3:$Z$3,
      0
    ) + 1
  ),
  0
)</f>
        <v>0</v>
      </c>
      <c r="O2317" s="453"/>
      <c r="P2317" s="113"/>
      <c r="Q2317" s="106" t="str">
        <f>IF(ISBLANK(O2317), "", VLOOKUP(C2317&amp;" "&amp;D2317, 'Info Tipo de Cambio y REM'!$A$24:$B$35, 2, FALSE))</f>
        <v/>
      </c>
      <c r="R2317" s="107"/>
    </row>
    <row r="2318" hidden="1">
      <c r="A2318" s="443"/>
      <c r="B2318" s="43" t="str">
        <f>IF(A2318="", "", IFERROR(VLOOKUP(A2318, Clasificaciones!A:B, 2, FALSE), "DATO NO CARGADO"))
</f>
        <v/>
      </c>
      <c r="C2318" s="51"/>
      <c r="D2318" s="102"/>
      <c r="E2318" s="102"/>
      <c r="H2318" s="102"/>
      <c r="J2318" s="102"/>
      <c r="K2318" s="450"/>
      <c r="L2318" s="443"/>
      <c r="M2318" s="450"/>
      <c r="N2318" s="452">
        <f t="array" ref="N2318">IFERROR(
  INDEX(
    'Valor Hora Real y Estimada'!$A$4:$Z$78,
    MATCH(TRIM(CLEAN(A2318)), 'Valor Hora Real y Estimada'!$A$4:$A$78, 0),
    MATCH(
      TEXT(C2318,"dd mmm")&amp;" "&amp;D2318,
      'Valor Hora Real y Estimada'!$A$3:$Z$3,
      0
    ) + 1
  ),
  0
)</f>
        <v>0</v>
      </c>
      <c r="O2318" s="453"/>
      <c r="P2318" s="113"/>
      <c r="Q2318" s="106" t="str">
        <f>IF(ISBLANK(O2318), "", VLOOKUP(C2318&amp;" "&amp;D2318, 'Info Tipo de Cambio y REM'!$A$24:$B$35, 2, FALSE))</f>
        <v/>
      </c>
      <c r="R2318" s="107"/>
    </row>
    <row r="2319" hidden="1">
      <c r="A2319" s="443"/>
      <c r="B2319" s="43" t="str">
        <f>IF(A2319="", "", IFERROR(VLOOKUP(A2319, Clasificaciones!A:B, 2, FALSE), "DATO NO CARGADO"))
</f>
        <v/>
      </c>
      <c r="C2319" s="51"/>
      <c r="D2319" s="102"/>
      <c r="E2319" s="102"/>
      <c r="H2319" s="102"/>
      <c r="J2319" s="102"/>
      <c r="K2319" s="450"/>
      <c r="L2319" s="443"/>
      <c r="M2319" s="450"/>
      <c r="N2319" s="452">
        <f t="array" ref="N2319">IFERROR(
  INDEX(
    'Valor Hora Real y Estimada'!$A$4:$Z$78,
    MATCH(TRIM(CLEAN(A2319)), 'Valor Hora Real y Estimada'!$A$4:$A$78, 0),
    MATCH(
      TEXT(C2319,"dd mmm")&amp;" "&amp;D2319,
      'Valor Hora Real y Estimada'!$A$3:$Z$3,
      0
    ) + 1
  ),
  0
)</f>
        <v>0</v>
      </c>
      <c r="O2319" s="453"/>
      <c r="P2319" s="113"/>
      <c r="Q2319" s="106" t="str">
        <f>IF(ISBLANK(O2319), "", VLOOKUP(C2319&amp;" "&amp;D2319, 'Info Tipo de Cambio y REM'!$A$24:$B$35, 2, FALSE))</f>
        <v/>
      </c>
      <c r="R2319" s="107"/>
    </row>
    <row r="2320" hidden="1">
      <c r="A2320" s="443"/>
      <c r="B2320" s="43" t="str">
        <f>IF(A2320="", "", IFERROR(VLOOKUP(A2320, Clasificaciones!A:B, 2, FALSE), "DATO NO CARGADO"))
</f>
        <v/>
      </c>
      <c r="C2320" s="51"/>
      <c r="D2320" s="102"/>
      <c r="E2320" s="102"/>
      <c r="H2320" s="102"/>
      <c r="J2320" s="102"/>
      <c r="K2320" s="450"/>
      <c r="L2320" s="443"/>
      <c r="M2320" s="450"/>
      <c r="N2320" s="452">
        <f t="array" ref="N2320">IFERROR(
  INDEX(
    'Valor Hora Real y Estimada'!$A$4:$Z$78,
    MATCH(TRIM(CLEAN(A2320)), 'Valor Hora Real y Estimada'!$A$4:$A$78, 0),
    MATCH(
      TEXT(C2320,"dd mmm")&amp;" "&amp;D2320,
      'Valor Hora Real y Estimada'!$A$3:$Z$3,
      0
    ) + 1
  ),
  0
)</f>
        <v>0</v>
      </c>
      <c r="O2320" s="453"/>
      <c r="P2320" s="113"/>
      <c r="Q2320" s="106" t="str">
        <f>IF(ISBLANK(O2320), "", VLOOKUP(C2320&amp;" "&amp;D2320, 'Info Tipo de Cambio y REM'!$A$24:$B$35, 2, FALSE))</f>
        <v/>
      </c>
      <c r="R2320" s="107"/>
    </row>
    <row r="2321" hidden="1">
      <c r="A2321" s="443"/>
      <c r="B2321" s="43" t="str">
        <f>IF(A2321="", "", IFERROR(VLOOKUP(A2321, Clasificaciones!A:B, 2, FALSE), "DATO NO CARGADO"))
</f>
        <v/>
      </c>
      <c r="C2321" s="51"/>
      <c r="D2321" s="102"/>
      <c r="E2321" s="102"/>
      <c r="H2321" s="102"/>
      <c r="J2321" s="102"/>
      <c r="K2321" s="450"/>
      <c r="L2321" s="443"/>
      <c r="M2321" s="450"/>
      <c r="N2321" s="452">
        <f t="array" ref="N2321">IFERROR(
  INDEX(
    'Valor Hora Real y Estimada'!$A$4:$Z$78,
    MATCH(TRIM(CLEAN(A2321)), 'Valor Hora Real y Estimada'!$A$4:$A$78, 0),
    MATCH(
      TEXT(C2321,"dd mmm")&amp;" "&amp;D2321,
      'Valor Hora Real y Estimada'!$A$3:$Z$3,
      0
    ) + 1
  ),
  0
)</f>
        <v>0</v>
      </c>
      <c r="O2321" s="453"/>
      <c r="P2321" s="113"/>
      <c r="Q2321" s="106" t="str">
        <f>IF(ISBLANK(O2321), "", VLOOKUP(C2321&amp;" "&amp;D2321, 'Info Tipo de Cambio y REM'!$A$24:$B$35, 2, FALSE))</f>
        <v/>
      </c>
      <c r="R2321" s="107"/>
    </row>
    <row r="2322" hidden="1">
      <c r="A2322" s="443"/>
      <c r="B2322" s="43" t="str">
        <f>IF(A2322="", "", IFERROR(VLOOKUP(A2322, Clasificaciones!A:B, 2, FALSE), "DATO NO CARGADO"))
</f>
        <v/>
      </c>
      <c r="C2322" s="51"/>
      <c r="D2322" s="102"/>
      <c r="E2322" s="102"/>
      <c r="H2322" s="102"/>
      <c r="J2322" s="102"/>
      <c r="K2322" s="450"/>
      <c r="L2322" s="443"/>
      <c r="M2322" s="450"/>
      <c r="N2322" s="452">
        <f t="array" ref="N2322">IFERROR(
  INDEX(
    'Valor Hora Real y Estimada'!$A$4:$Z$78,
    MATCH(TRIM(CLEAN(A2322)), 'Valor Hora Real y Estimada'!$A$4:$A$78, 0),
    MATCH(
      TEXT(C2322,"dd mmm")&amp;" "&amp;D2322,
      'Valor Hora Real y Estimada'!$A$3:$Z$3,
      0
    ) + 1
  ),
  0
)</f>
        <v>0</v>
      </c>
      <c r="O2322" s="453"/>
      <c r="P2322" s="113"/>
      <c r="Q2322" s="106" t="str">
        <f>IF(ISBLANK(O2322), "", VLOOKUP(C2322&amp;" "&amp;D2322, 'Info Tipo de Cambio y REM'!$A$24:$B$35, 2, FALSE))</f>
        <v/>
      </c>
      <c r="R2322" s="107"/>
    </row>
    <row r="2323" hidden="1">
      <c r="A2323" s="443"/>
      <c r="B2323" s="43" t="str">
        <f>IF(A2323="", "", IFERROR(VLOOKUP(A2323, Clasificaciones!A:B, 2, FALSE), "DATO NO CARGADO"))
</f>
        <v/>
      </c>
      <c r="C2323" s="51"/>
      <c r="D2323" s="102"/>
      <c r="E2323" s="102"/>
      <c r="H2323" s="102"/>
      <c r="J2323" s="102"/>
      <c r="K2323" s="450"/>
      <c r="L2323" s="443"/>
      <c r="M2323" s="450"/>
      <c r="N2323" s="452">
        <f t="array" ref="N2323">IFERROR(
  INDEX(
    'Valor Hora Real y Estimada'!$A$4:$Z$78,
    MATCH(TRIM(CLEAN(A2323)), 'Valor Hora Real y Estimada'!$A$4:$A$78, 0),
    MATCH(
      TEXT(C2323,"dd mmm")&amp;" "&amp;D2323,
      'Valor Hora Real y Estimada'!$A$3:$Z$3,
      0
    ) + 1
  ),
  0
)</f>
        <v>0</v>
      </c>
      <c r="O2323" s="453"/>
      <c r="P2323" s="113"/>
      <c r="Q2323" s="106" t="str">
        <f>IF(ISBLANK(O2323), "", VLOOKUP(C2323&amp;" "&amp;D2323, 'Info Tipo de Cambio y REM'!$A$24:$B$35, 2, FALSE))</f>
        <v/>
      </c>
      <c r="R2323" s="107"/>
    </row>
    <row r="2324" hidden="1">
      <c r="A2324" s="443"/>
      <c r="B2324" s="43" t="str">
        <f>IF(A2324="", "", IFERROR(VLOOKUP(A2324, Clasificaciones!A:B, 2, FALSE), "DATO NO CARGADO"))
</f>
        <v/>
      </c>
      <c r="C2324" s="51"/>
      <c r="D2324" s="102"/>
      <c r="E2324" s="102"/>
      <c r="H2324" s="102"/>
      <c r="J2324" s="102"/>
      <c r="K2324" s="450"/>
      <c r="L2324" s="443"/>
      <c r="M2324" s="450"/>
      <c r="N2324" s="452">
        <f t="array" ref="N2324">IFERROR(
  INDEX(
    'Valor Hora Real y Estimada'!$A$4:$Z$78,
    MATCH(TRIM(CLEAN(A2324)), 'Valor Hora Real y Estimada'!$A$4:$A$78, 0),
    MATCH(
      TEXT(C2324,"dd mmm")&amp;" "&amp;D2324,
      'Valor Hora Real y Estimada'!$A$3:$Z$3,
      0
    ) + 1
  ),
  0
)</f>
        <v>0</v>
      </c>
      <c r="O2324" s="453"/>
      <c r="P2324" s="113"/>
      <c r="Q2324" s="106" t="str">
        <f>IF(ISBLANK(O2324), "", VLOOKUP(C2324&amp;" "&amp;D2324, 'Info Tipo de Cambio y REM'!$A$24:$B$35, 2, FALSE))</f>
        <v/>
      </c>
      <c r="R2324" s="107"/>
    </row>
    <row r="2325" hidden="1">
      <c r="A2325" s="443"/>
      <c r="B2325" s="43" t="str">
        <f>IF(A2325="", "", IFERROR(VLOOKUP(A2325, Clasificaciones!A:B, 2, FALSE), "DATO NO CARGADO"))
</f>
        <v/>
      </c>
      <c r="C2325" s="51"/>
      <c r="D2325" s="102"/>
      <c r="E2325" s="102"/>
      <c r="H2325" s="102"/>
      <c r="J2325" s="102"/>
      <c r="K2325" s="450"/>
      <c r="L2325" s="443"/>
      <c r="M2325" s="450"/>
      <c r="N2325" s="452">
        <f t="array" ref="N2325">IFERROR(
  INDEX(
    'Valor Hora Real y Estimada'!$A$4:$Z$78,
    MATCH(TRIM(CLEAN(A2325)), 'Valor Hora Real y Estimada'!$A$4:$A$78, 0),
    MATCH(
      TEXT(C2325,"dd mmm")&amp;" "&amp;D2325,
      'Valor Hora Real y Estimada'!$A$3:$Z$3,
      0
    ) + 1
  ),
  0
)</f>
        <v>0</v>
      </c>
      <c r="O2325" s="453"/>
      <c r="P2325" s="113"/>
      <c r="Q2325" s="106" t="str">
        <f>IF(ISBLANK(O2325), "", VLOOKUP(C2325&amp;" "&amp;D2325, 'Info Tipo de Cambio y REM'!$A$24:$B$35, 2, FALSE))</f>
        <v/>
      </c>
      <c r="R2325" s="107"/>
    </row>
    <row r="2326" hidden="1">
      <c r="A2326" s="443"/>
      <c r="B2326" s="43" t="str">
        <f>IF(A2326="", "", IFERROR(VLOOKUP(A2326, Clasificaciones!A:B, 2, FALSE), "DATO NO CARGADO"))
</f>
        <v/>
      </c>
      <c r="C2326" s="51"/>
      <c r="D2326" s="102"/>
      <c r="E2326" s="102"/>
      <c r="H2326" s="102"/>
      <c r="J2326" s="102"/>
      <c r="K2326" s="450"/>
      <c r="L2326" s="443"/>
      <c r="M2326" s="450"/>
      <c r="N2326" s="452">
        <f t="array" ref="N2326">IFERROR(
  INDEX(
    'Valor Hora Real y Estimada'!$A$4:$Z$78,
    MATCH(TRIM(CLEAN(A2326)), 'Valor Hora Real y Estimada'!$A$4:$A$78, 0),
    MATCH(
      TEXT(C2326,"dd mmm")&amp;" "&amp;D2326,
      'Valor Hora Real y Estimada'!$A$3:$Z$3,
      0
    ) + 1
  ),
  0
)</f>
        <v>0</v>
      </c>
      <c r="O2326" s="453"/>
      <c r="P2326" s="113"/>
      <c r="Q2326" s="106" t="str">
        <f>IF(ISBLANK(O2326), "", VLOOKUP(C2326&amp;" "&amp;D2326, 'Info Tipo de Cambio y REM'!$A$24:$B$35, 2, FALSE))</f>
        <v/>
      </c>
      <c r="R2326" s="107"/>
    </row>
    <row r="2327" hidden="1">
      <c r="A2327" s="443"/>
      <c r="B2327" s="43" t="str">
        <f>IF(A2327="", "", IFERROR(VLOOKUP(A2327, Clasificaciones!A:B, 2, FALSE), "DATO NO CARGADO"))
</f>
        <v/>
      </c>
      <c r="C2327" s="51"/>
      <c r="D2327" s="102"/>
      <c r="E2327" s="102"/>
      <c r="H2327" s="102"/>
      <c r="J2327" s="102"/>
      <c r="K2327" s="450"/>
      <c r="L2327" s="443"/>
      <c r="M2327" s="450"/>
      <c r="N2327" s="452">
        <f t="array" ref="N2327">IFERROR(
  INDEX(
    'Valor Hora Real y Estimada'!$A$4:$Z$78,
    MATCH(TRIM(CLEAN(A2327)), 'Valor Hora Real y Estimada'!$A$4:$A$78, 0),
    MATCH(
      TEXT(C2327,"dd mmm")&amp;" "&amp;D2327,
      'Valor Hora Real y Estimada'!$A$3:$Z$3,
      0
    ) + 1
  ),
  0
)</f>
        <v>0</v>
      </c>
      <c r="O2327" s="453"/>
      <c r="P2327" s="113"/>
      <c r="Q2327" s="106" t="str">
        <f>IF(ISBLANK(O2327), "", VLOOKUP(C2327&amp;" "&amp;D2327, 'Info Tipo de Cambio y REM'!$A$24:$B$35, 2, FALSE))</f>
        <v/>
      </c>
      <c r="R2327" s="107"/>
    </row>
    <row r="2328" hidden="1">
      <c r="A2328" s="443"/>
      <c r="B2328" s="43" t="str">
        <f>IF(A2328="", "", IFERROR(VLOOKUP(A2328, Clasificaciones!A:B, 2, FALSE), "DATO NO CARGADO"))
</f>
        <v/>
      </c>
      <c r="C2328" s="51"/>
      <c r="D2328" s="102"/>
      <c r="E2328" s="102"/>
      <c r="H2328" s="102"/>
      <c r="J2328" s="102"/>
      <c r="K2328" s="450"/>
      <c r="L2328" s="443"/>
      <c r="M2328" s="450"/>
      <c r="N2328" s="452">
        <f t="array" ref="N2328">IFERROR(
  INDEX(
    'Valor Hora Real y Estimada'!$A$4:$Z$78,
    MATCH(TRIM(CLEAN(A2328)), 'Valor Hora Real y Estimada'!$A$4:$A$78, 0),
    MATCH(
      TEXT(C2328,"dd mmm")&amp;" "&amp;D2328,
      'Valor Hora Real y Estimada'!$A$3:$Z$3,
      0
    ) + 1
  ),
  0
)</f>
        <v>0</v>
      </c>
      <c r="O2328" s="453"/>
      <c r="P2328" s="113"/>
      <c r="Q2328" s="106" t="str">
        <f>IF(ISBLANK(O2328), "", VLOOKUP(C2328&amp;" "&amp;D2328, 'Info Tipo de Cambio y REM'!$A$24:$B$35, 2, FALSE))</f>
        <v/>
      </c>
      <c r="R2328" s="107"/>
    </row>
    <row r="2329" hidden="1">
      <c r="A2329" s="443"/>
      <c r="B2329" s="43" t="str">
        <f>IF(A2329="", "", IFERROR(VLOOKUP(A2329, Clasificaciones!A:B, 2, FALSE), "DATO NO CARGADO"))
</f>
        <v/>
      </c>
      <c r="C2329" s="51"/>
      <c r="D2329" s="102"/>
      <c r="E2329" s="102"/>
      <c r="H2329" s="102"/>
      <c r="J2329" s="102"/>
      <c r="K2329" s="450"/>
      <c r="L2329" s="443"/>
      <c r="M2329" s="450"/>
      <c r="N2329" s="452">
        <f t="array" ref="N2329">IFERROR(
  INDEX(
    'Valor Hora Real y Estimada'!$A$4:$Z$78,
    MATCH(TRIM(CLEAN(A2329)), 'Valor Hora Real y Estimada'!$A$4:$A$78, 0),
    MATCH(
      TEXT(C2329,"dd mmm")&amp;" "&amp;D2329,
      'Valor Hora Real y Estimada'!$A$3:$Z$3,
      0
    ) + 1
  ),
  0
)</f>
        <v>0</v>
      </c>
      <c r="O2329" s="453"/>
      <c r="P2329" s="113"/>
      <c r="Q2329" s="106" t="str">
        <f>IF(ISBLANK(O2329), "", VLOOKUP(C2329&amp;" "&amp;D2329, 'Info Tipo de Cambio y REM'!$A$24:$B$35, 2, FALSE))</f>
        <v/>
      </c>
      <c r="R2329" s="107"/>
    </row>
    <row r="2330" hidden="1">
      <c r="A2330" s="443"/>
      <c r="B2330" s="43" t="str">
        <f>IF(A2330="", "", IFERROR(VLOOKUP(A2330, Clasificaciones!A:B, 2, FALSE), "DATO NO CARGADO"))
</f>
        <v/>
      </c>
      <c r="C2330" s="51"/>
      <c r="D2330" s="102"/>
      <c r="E2330" s="102"/>
      <c r="H2330" s="102"/>
      <c r="J2330" s="102"/>
      <c r="K2330" s="450"/>
      <c r="L2330" s="443"/>
      <c r="M2330" s="450"/>
      <c r="N2330" s="452">
        <f t="array" ref="N2330">IFERROR(
  INDEX(
    'Valor Hora Real y Estimada'!$A$4:$Z$78,
    MATCH(TRIM(CLEAN(A2330)), 'Valor Hora Real y Estimada'!$A$4:$A$78, 0),
    MATCH(
      TEXT(C2330,"dd mmm")&amp;" "&amp;D2330,
      'Valor Hora Real y Estimada'!$A$3:$Z$3,
      0
    ) + 1
  ),
  0
)</f>
        <v>0</v>
      </c>
      <c r="O2330" s="453"/>
      <c r="P2330" s="113"/>
      <c r="Q2330" s="106" t="str">
        <f>IF(ISBLANK(O2330), "", VLOOKUP(C2330&amp;" "&amp;D2330, 'Info Tipo de Cambio y REM'!$A$24:$B$35, 2, FALSE))</f>
        <v/>
      </c>
      <c r="R2330" s="107"/>
    </row>
    <row r="2331" hidden="1">
      <c r="A2331" s="443"/>
      <c r="B2331" s="43" t="str">
        <f>IF(A2331="", "", IFERROR(VLOOKUP(A2331, Clasificaciones!A:B, 2, FALSE), "DATO NO CARGADO"))
</f>
        <v/>
      </c>
      <c r="C2331" s="51"/>
      <c r="D2331" s="102"/>
      <c r="E2331" s="102"/>
      <c r="H2331" s="102"/>
      <c r="J2331" s="102"/>
      <c r="K2331" s="450"/>
      <c r="L2331" s="443"/>
      <c r="M2331" s="450"/>
      <c r="N2331" s="452">
        <f t="array" ref="N2331">IFERROR(
  INDEX(
    'Valor Hora Real y Estimada'!$A$4:$Z$78,
    MATCH(TRIM(CLEAN(A2331)), 'Valor Hora Real y Estimada'!$A$4:$A$78, 0),
    MATCH(
      TEXT(C2331,"dd mmm")&amp;" "&amp;D2331,
      'Valor Hora Real y Estimada'!$A$3:$Z$3,
      0
    ) + 1
  ),
  0
)</f>
        <v>0</v>
      </c>
      <c r="O2331" s="453"/>
      <c r="P2331" s="113"/>
      <c r="Q2331" s="106" t="str">
        <f>IF(ISBLANK(O2331), "", VLOOKUP(C2331&amp;" "&amp;D2331, 'Info Tipo de Cambio y REM'!$A$24:$B$35, 2, FALSE))</f>
        <v/>
      </c>
      <c r="R2331" s="107"/>
    </row>
    <row r="2332" hidden="1">
      <c r="A2332" s="443"/>
      <c r="B2332" s="43" t="str">
        <f>IF(A2332="", "", IFERROR(VLOOKUP(A2332, Clasificaciones!A:B, 2, FALSE), "DATO NO CARGADO"))
</f>
        <v/>
      </c>
      <c r="C2332" s="51"/>
      <c r="D2332" s="102"/>
      <c r="E2332" s="102"/>
      <c r="H2332" s="102"/>
      <c r="J2332" s="102"/>
      <c r="K2332" s="450"/>
      <c r="L2332" s="443"/>
      <c r="M2332" s="450"/>
      <c r="N2332" s="452">
        <f t="array" ref="N2332">IFERROR(
  INDEX(
    'Valor Hora Real y Estimada'!$A$4:$Z$78,
    MATCH(TRIM(CLEAN(A2332)), 'Valor Hora Real y Estimada'!$A$4:$A$78, 0),
    MATCH(
      TEXT(C2332,"dd mmm")&amp;" "&amp;D2332,
      'Valor Hora Real y Estimada'!$A$3:$Z$3,
      0
    ) + 1
  ),
  0
)</f>
        <v>0</v>
      </c>
      <c r="O2332" s="453"/>
      <c r="P2332" s="113"/>
      <c r="Q2332" s="106" t="str">
        <f>IF(ISBLANK(O2332), "", VLOOKUP(C2332&amp;" "&amp;D2332, 'Info Tipo de Cambio y REM'!$A$24:$B$35, 2, FALSE))</f>
        <v/>
      </c>
      <c r="R2332" s="107"/>
    </row>
    <row r="2333" hidden="1">
      <c r="A2333" s="443"/>
      <c r="B2333" s="43" t="str">
        <f>IF(A2333="", "", IFERROR(VLOOKUP(A2333, Clasificaciones!A:B, 2, FALSE), "DATO NO CARGADO"))
</f>
        <v/>
      </c>
      <c r="C2333" s="51"/>
      <c r="D2333" s="102"/>
      <c r="E2333" s="102"/>
      <c r="H2333" s="102"/>
      <c r="J2333" s="102"/>
      <c r="K2333" s="450"/>
      <c r="L2333" s="443"/>
      <c r="M2333" s="450"/>
      <c r="N2333" s="452">
        <f t="array" ref="N2333">IFERROR(
  INDEX(
    'Valor Hora Real y Estimada'!$A$4:$Z$78,
    MATCH(TRIM(CLEAN(A2333)), 'Valor Hora Real y Estimada'!$A$4:$A$78, 0),
    MATCH(
      TEXT(C2333,"dd mmm")&amp;" "&amp;D2333,
      'Valor Hora Real y Estimada'!$A$3:$Z$3,
      0
    ) + 1
  ),
  0
)</f>
        <v>0</v>
      </c>
      <c r="O2333" s="453"/>
      <c r="P2333" s="113"/>
      <c r="Q2333" s="106" t="str">
        <f>IF(ISBLANK(O2333), "", VLOOKUP(C2333&amp;" "&amp;D2333, 'Info Tipo de Cambio y REM'!$A$24:$B$35, 2, FALSE))</f>
        <v/>
      </c>
      <c r="R2333" s="107"/>
    </row>
    <row r="2334" hidden="1">
      <c r="A2334" s="443"/>
      <c r="B2334" s="43" t="str">
        <f>IF(A2334="", "", IFERROR(VLOOKUP(A2334, Clasificaciones!A:B, 2, FALSE), "DATO NO CARGADO"))
</f>
        <v/>
      </c>
      <c r="C2334" s="51"/>
      <c r="D2334" s="102"/>
      <c r="E2334" s="102"/>
      <c r="H2334" s="102"/>
      <c r="J2334" s="102"/>
      <c r="K2334" s="450"/>
      <c r="L2334" s="443"/>
      <c r="M2334" s="450"/>
      <c r="N2334" s="452">
        <f t="array" ref="N2334">IFERROR(
  INDEX(
    'Valor Hora Real y Estimada'!$A$4:$Z$78,
    MATCH(TRIM(CLEAN(A2334)), 'Valor Hora Real y Estimada'!$A$4:$A$78, 0),
    MATCH(
      TEXT(C2334,"dd mmm")&amp;" "&amp;D2334,
      'Valor Hora Real y Estimada'!$A$3:$Z$3,
      0
    ) + 1
  ),
  0
)</f>
        <v>0</v>
      </c>
      <c r="O2334" s="453"/>
      <c r="P2334" s="113"/>
      <c r="Q2334" s="106" t="str">
        <f>IF(ISBLANK(O2334), "", VLOOKUP(C2334&amp;" "&amp;D2334, 'Info Tipo de Cambio y REM'!$A$24:$B$35, 2, FALSE))</f>
        <v/>
      </c>
      <c r="R2334" s="107"/>
    </row>
    <row r="2335" hidden="1">
      <c r="A2335" s="443"/>
      <c r="B2335" s="43" t="str">
        <f>IF(A2335="", "", IFERROR(VLOOKUP(A2335, Clasificaciones!A:B, 2, FALSE), "DATO NO CARGADO"))
</f>
        <v/>
      </c>
      <c r="C2335" s="51"/>
      <c r="D2335" s="102"/>
      <c r="E2335" s="102"/>
      <c r="H2335" s="102"/>
      <c r="J2335" s="102"/>
      <c r="K2335" s="450"/>
      <c r="L2335" s="443"/>
      <c r="M2335" s="450"/>
      <c r="N2335" s="452">
        <f t="array" ref="N2335">IFERROR(
  INDEX(
    'Valor Hora Real y Estimada'!$A$4:$Z$78,
    MATCH(TRIM(CLEAN(A2335)), 'Valor Hora Real y Estimada'!$A$4:$A$78, 0),
    MATCH(
      TEXT(C2335,"dd mmm")&amp;" "&amp;D2335,
      'Valor Hora Real y Estimada'!$A$3:$Z$3,
      0
    ) + 1
  ),
  0
)</f>
        <v>0</v>
      </c>
      <c r="O2335" s="453"/>
      <c r="P2335" s="113"/>
      <c r="Q2335" s="106" t="str">
        <f>IF(ISBLANK(O2335), "", VLOOKUP(C2335&amp;" "&amp;D2335, 'Info Tipo de Cambio y REM'!$A$24:$B$35, 2, FALSE))</f>
        <v/>
      </c>
      <c r="R2335" s="107"/>
    </row>
    <row r="2336" hidden="1">
      <c r="A2336" s="443"/>
      <c r="B2336" s="43" t="str">
        <f>IF(A2336="", "", IFERROR(VLOOKUP(A2336, Clasificaciones!A:B, 2, FALSE), "DATO NO CARGADO"))
</f>
        <v/>
      </c>
      <c r="C2336" s="51"/>
      <c r="D2336" s="102"/>
      <c r="E2336" s="102"/>
      <c r="H2336" s="102"/>
      <c r="J2336" s="102"/>
      <c r="K2336" s="450"/>
      <c r="L2336" s="443"/>
      <c r="M2336" s="450"/>
      <c r="N2336" s="452">
        <f t="array" ref="N2336">IFERROR(
  INDEX(
    'Valor Hora Real y Estimada'!$A$4:$Z$78,
    MATCH(TRIM(CLEAN(A2336)), 'Valor Hora Real y Estimada'!$A$4:$A$78, 0),
    MATCH(
      TEXT(C2336,"dd mmm")&amp;" "&amp;D2336,
      'Valor Hora Real y Estimada'!$A$3:$Z$3,
      0
    ) + 1
  ),
  0
)</f>
        <v>0</v>
      </c>
      <c r="O2336" s="453"/>
      <c r="P2336" s="113"/>
      <c r="Q2336" s="106" t="str">
        <f>IF(ISBLANK(O2336), "", VLOOKUP(C2336&amp;" "&amp;D2336, 'Info Tipo de Cambio y REM'!$A$24:$B$35, 2, FALSE))</f>
        <v/>
      </c>
      <c r="R2336" s="107"/>
    </row>
    <row r="2337" hidden="1">
      <c r="A2337" s="443"/>
      <c r="B2337" s="43" t="str">
        <f>IF(A2337="", "", IFERROR(VLOOKUP(A2337, Clasificaciones!A:B, 2, FALSE), "DATO NO CARGADO"))
</f>
        <v/>
      </c>
      <c r="C2337" s="51"/>
      <c r="D2337" s="102"/>
      <c r="E2337" s="102"/>
      <c r="H2337" s="102"/>
      <c r="J2337" s="102"/>
      <c r="K2337" s="450"/>
      <c r="L2337" s="443"/>
      <c r="M2337" s="450"/>
      <c r="N2337" s="452">
        <f t="array" ref="N2337">IFERROR(
  INDEX(
    'Valor Hora Real y Estimada'!$A$4:$Z$78,
    MATCH(TRIM(CLEAN(A2337)), 'Valor Hora Real y Estimada'!$A$4:$A$78, 0),
    MATCH(
      TEXT(C2337,"dd mmm")&amp;" "&amp;D2337,
      'Valor Hora Real y Estimada'!$A$3:$Z$3,
      0
    ) + 1
  ),
  0
)</f>
        <v>0</v>
      </c>
      <c r="O2337" s="453"/>
      <c r="P2337" s="113"/>
      <c r="Q2337" s="106" t="str">
        <f>IF(ISBLANK(O2337), "", VLOOKUP(C2337&amp;" "&amp;D2337, 'Info Tipo de Cambio y REM'!$A$24:$B$35, 2, FALSE))</f>
        <v/>
      </c>
      <c r="R2337" s="107"/>
    </row>
    <row r="2338" hidden="1">
      <c r="A2338" s="443"/>
      <c r="B2338" s="43" t="str">
        <f>IF(A2338="", "", IFERROR(VLOOKUP(A2338, Clasificaciones!A:B, 2, FALSE), "DATO NO CARGADO"))
</f>
        <v/>
      </c>
      <c r="C2338" s="51"/>
      <c r="D2338" s="102"/>
      <c r="E2338" s="102"/>
      <c r="H2338" s="102"/>
      <c r="J2338" s="102"/>
      <c r="K2338" s="450"/>
      <c r="L2338" s="443"/>
      <c r="M2338" s="450"/>
      <c r="N2338" s="452">
        <f t="array" ref="N2338">IFERROR(
  INDEX(
    'Valor Hora Real y Estimada'!$A$4:$Z$78,
    MATCH(TRIM(CLEAN(A2338)), 'Valor Hora Real y Estimada'!$A$4:$A$78, 0),
    MATCH(
      TEXT(C2338,"dd mmm")&amp;" "&amp;D2338,
      'Valor Hora Real y Estimada'!$A$3:$Z$3,
      0
    ) + 1
  ),
  0
)</f>
        <v>0</v>
      </c>
      <c r="O2338" s="453"/>
      <c r="P2338" s="113"/>
      <c r="Q2338" s="106" t="str">
        <f>IF(ISBLANK(O2338), "", VLOOKUP(C2338&amp;" "&amp;D2338, 'Info Tipo de Cambio y REM'!$A$24:$B$35, 2, FALSE))</f>
        <v/>
      </c>
      <c r="R2338" s="107"/>
    </row>
    <row r="2339" hidden="1">
      <c r="A2339" s="443"/>
      <c r="B2339" s="43" t="str">
        <f>IF(A2339="", "", IFERROR(VLOOKUP(A2339, Clasificaciones!A:B, 2, FALSE), "DATO NO CARGADO"))
</f>
        <v/>
      </c>
      <c r="C2339" s="51"/>
      <c r="D2339" s="102"/>
      <c r="E2339" s="102"/>
      <c r="H2339" s="102"/>
      <c r="J2339" s="102"/>
      <c r="K2339" s="450"/>
      <c r="L2339" s="443"/>
      <c r="M2339" s="450"/>
      <c r="N2339" s="452">
        <f t="array" ref="N2339">IFERROR(
  INDEX(
    'Valor Hora Real y Estimada'!$A$4:$Z$78,
    MATCH(TRIM(CLEAN(A2339)), 'Valor Hora Real y Estimada'!$A$4:$A$78, 0),
    MATCH(
      TEXT(C2339,"dd mmm")&amp;" "&amp;D2339,
      'Valor Hora Real y Estimada'!$A$3:$Z$3,
      0
    ) + 1
  ),
  0
)</f>
        <v>0</v>
      </c>
      <c r="O2339" s="453"/>
      <c r="P2339" s="113"/>
      <c r="Q2339" s="106" t="str">
        <f>IF(ISBLANK(O2339), "", VLOOKUP(C2339&amp;" "&amp;D2339, 'Info Tipo de Cambio y REM'!$A$24:$B$35, 2, FALSE))</f>
        <v/>
      </c>
      <c r="R2339" s="107"/>
    </row>
    <row r="2340" hidden="1">
      <c r="A2340" s="443"/>
      <c r="B2340" s="43" t="str">
        <f>IF(A2340="", "", IFERROR(VLOOKUP(A2340, Clasificaciones!A:B, 2, FALSE), "DATO NO CARGADO"))
</f>
        <v/>
      </c>
      <c r="C2340" s="51"/>
      <c r="D2340" s="102"/>
      <c r="E2340" s="102"/>
      <c r="H2340" s="102"/>
      <c r="J2340" s="102"/>
      <c r="K2340" s="450"/>
      <c r="L2340" s="443"/>
      <c r="M2340" s="450"/>
      <c r="N2340" s="452">
        <f t="array" ref="N2340">IFERROR(
  INDEX(
    'Valor Hora Real y Estimada'!$A$4:$Z$78,
    MATCH(TRIM(CLEAN(A2340)), 'Valor Hora Real y Estimada'!$A$4:$A$78, 0),
    MATCH(
      TEXT(C2340,"dd mmm")&amp;" "&amp;D2340,
      'Valor Hora Real y Estimada'!$A$3:$Z$3,
      0
    ) + 1
  ),
  0
)</f>
        <v>0</v>
      </c>
      <c r="O2340" s="453"/>
      <c r="P2340" s="113"/>
      <c r="Q2340" s="106" t="str">
        <f>IF(ISBLANK(O2340), "", VLOOKUP(C2340&amp;" "&amp;D2340, 'Info Tipo de Cambio y REM'!$A$24:$B$35, 2, FALSE))</f>
        <v/>
      </c>
      <c r="R2340" s="107"/>
    </row>
    <row r="2341" hidden="1">
      <c r="A2341" s="443"/>
      <c r="B2341" s="43" t="str">
        <f>IF(A2341="", "", IFERROR(VLOOKUP(A2341, Clasificaciones!A:B, 2, FALSE), "DATO NO CARGADO"))
</f>
        <v/>
      </c>
      <c r="C2341" s="51"/>
      <c r="D2341" s="102"/>
      <c r="E2341" s="102"/>
      <c r="H2341" s="102"/>
      <c r="J2341" s="102"/>
      <c r="K2341" s="450"/>
      <c r="L2341" s="443"/>
      <c r="M2341" s="450"/>
      <c r="N2341" s="452">
        <f t="array" ref="N2341">IFERROR(
  INDEX(
    'Valor Hora Real y Estimada'!$A$4:$Z$78,
    MATCH(TRIM(CLEAN(A2341)), 'Valor Hora Real y Estimada'!$A$4:$A$78, 0),
    MATCH(
      TEXT(C2341,"dd mmm")&amp;" "&amp;D2341,
      'Valor Hora Real y Estimada'!$A$3:$Z$3,
      0
    ) + 1
  ),
  0
)</f>
        <v>0</v>
      </c>
      <c r="O2341" s="453"/>
      <c r="P2341" s="113"/>
      <c r="Q2341" s="106" t="str">
        <f>IF(ISBLANK(O2341), "", VLOOKUP(C2341&amp;" "&amp;D2341, 'Info Tipo de Cambio y REM'!$A$24:$B$35, 2, FALSE))</f>
        <v/>
      </c>
      <c r="R2341" s="107"/>
    </row>
    <row r="2342" hidden="1">
      <c r="A2342" s="443"/>
      <c r="B2342" s="43" t="str">
        <f>IF(A2342="", "", IFERROR(VLOOKUP(A2342, Clasificaciones!A:B, 2, FALSE), "DATO NO CARGADO"))
</f>
        <v/>
      </c>
      <c r="C2342" s="51"/>
      <c r="D2342" s="102"/>
      <c r="E2342" s="102"/>
      <c r="H2342" s="102"/>
      <c r="J2342" s="102"/>
      <c r="K2342" s="450"/>
      <c r="L2342" s="443"/>
      <c r="M2342" s="450"/>
      <c r="N2342" s="452">
        <f t="array" ref="N2342">IFERROR(
  INDEX(
    'Valor Hora Real y Estimada'!$A$4:$Z$78,
    MATCH(TRIM(CLEAN(A2342)), 'Valor Hora Real y Estimada'!$A$4:$A$78, 0),
    MATCH(
      TEXT(C2342,"dd mmm")&amp;" "&amp;D2342,
      'Valor Hora Real y Estimada'!$A$3:$Z$3,
      0
    ) + 1
  ),
  0
)</f>
        <v>0</v>
      </c>
      <c r="O2342" s="453"/>
      <c r="P2342" s="113"/>
      <c r="Q2342" s="106" t="str">
        <f>IF(ISBLANK(O2342), "", VLOOKUP(C2342&amp;" "&amp;D2342, 'Info Tipo de Cambio y REM'!$A$24:$B$35, 2, FALSE))</f>
        <v/>
      </c>
      <c r="R2342" s="107"/>
    </row>
    <row r="2343" hidden="1">
      <c r="A2343" s="443"/>
      <c r="B2343" s="43" t="str">
        <f>IF(A2343="", "", IFERROR(VLOOKUP(A2343, Clasificaciones!A:B, 2, FALSE), "DATO NO CARGADO"))
</f>
        <v/>
      </c>
      <c r="C2343" s="51"/>
      <c r="D2343" s="102"/>
      <c r="E2343" s="102"/>
      <c r="H2343" s="102"/>
      <c r="J2343" s="102"/>
      <c r="K2343" s="450"/>
      <c r="L2343" s="443"/>
      <c r="M2343" s="450"/>
      <c r="N2343" s="452">
        <f t="array" ref="N2343">IFERROR(
  INDEX(
    'Valor Hora Real y Estimada'!$A$4:$Z$78,
    MATCH(TRIM(CLEAN(A2343)), 'Valor Hora Real y Estimada'!$A$4:$A$78, 0),
    MATCH(
      TEXT(C2343,"dd mmm")&amp;" "&amp;D2343,
      'Valor Hora Real y Estimada'!$A$3:$Z$3,
      0
    ) + 1
  ),
  0
)</f>
        <v>0</v>
      </c>
      <c r="O2343" s="453"/>
      <c r="P2343" s="113"/>
      <c r="Q2343" s="106" t="str">
        <f>IF(ISBLANK(O2343), "", VLOOKUP(C2343&amp;" "&amp;D2343, 'Info Tipo de Cambio y REM'!$A$24:$B$35, 2, FALSE))</f>
        <v/>
      </c>
      <c r="R2343" s="107"/>
    </row>
    <row r="2344" hidden="1">
      <c r="A2344" s="443"/>
      <c r="B2344" s="43" t="str">
        <f>IF(A2344="", "", IFERROR(VLOOKUP(A2344, Clasificaciones!A:B, 2, FALSE), "DATO NO CARGADO"))
</f>
        <v/>
      </c>
      <c r="C2344" s="51"/>
      <c r="D2344" s="102"/>
      <c r="E2344" s="102"/>
      <c r="H2344" s="102"/>
      <c r="J2344" s="102"/>
      <c r="K2344" s="450"/>
      <c r="L2344" s="443"/>
      <c r="M2344" s="450"/>
      <c r="N2344" s="452">
        <f t="array" ref="N2344">IFERROR(
  INDEX(
    'Valor Hora Real y Estimada'!$A$4:$Z$78,
    MATCH(TRIM(CLEAN(A2344)), 'Valor Hora Real y Estimada'!$A$4:$A$78, 0),
    MATCH(
      TEXT(C2344,"dd mmm")&amp;" "&amp;D2344,
      'Valor Hora Real y Estimada'!$A$3:$Z$3,
      0
    ) + 1
  ),
  0
)</f>
        <v>0</v>
      </c>
      <c r="O2344" s="453"/>
      <c r="P2344" s="113"/>
      <c r="Q2344" s="106" t="str">
        <f>IF(ISBLANK(O2344), "", VLOOKUP(C2344&amp;" "&amp;D2344, 'Info Tipo de Cambio y REM'!$A$24:$B$35, 2, FALSE))</f>
        <v/>
      </c>
      <c r="R2344" s="107"/>
    </row>
    <row r="2345" hidden="1">
      <c r="A2345" s="443"/>
      <c r="B2345" s="43" t="str">
        <f>IF(A2345="", "", IFERROR(VLOOKUP(A2345, Clasificaciones!A:B, 2, FALSE), "DATO NO CARGADO"))
</f>
        <v/>
      </c>
      <c r="C2345" s="51"/>
      <c r="D2345" s="102"/>
      <c r="E2345" s="102"/>
      <c r="H2345" s="102"/>
      <c r="J2345" s="102"/>
      <c r="K2345" s="450"/>
      <c r="L2345" s="443"/>
      <c r="M2345" s="450"/>
      <c r="N2345" s="452">
        <f t="array" ref="N2345">IFERROR(
  INDEX(
    'Valor Hora Real y Estimada'!$A$4:$Z$78,
    MATCH(TRIM(CLEAN(A2345)), 'Valor Hora Real y Estimada'!$A$4:$A$78, 0),
    MATCH(
      TEXT(C2345,"dd mmm")&amp;" "&amp;D2345,
      'Valor Hora Real y Estimada'!$A$3:$Z$3,
      0
    ) + 1
  ),
  0
)</f>
        <v>0</v>
      </c>
      <c r="O2345" s="453"/>
      <c r="P2345" s="113"/>
      <c r="Q2345" s="106" t="str">
        <f>IF(ISBLANK(O2345), "", VLOOKUP(C2345&amp;" "&amp;D2345, 'Info Tipo de Cambio y REM'!$A$24:$B$35, 2, FALSE))</f>
        <v/>
      </c>
      <c r="R2345" s="107"/>
    </row>
    <row r="2346" hidden="1">
      <c r="A2346" s="443"/>
      <c r="B2346" s="43" t="str">
        <f>IF(A2346="", "", IFERROR(VLOOKUP(A2346, Clasificaciones!A:B, 2, FALSE), "DATO NO CARGADO"))
</f>
        <v/>
      </c>
      <c r="C2346" s="51"/>
      <c r="D2346" s="102"/>
      <c r="E2346" s="102"/>
      <c r="H2346" s="102"/>
      <c r="J2346" s="102"/>
      <c r="K2346" s="450"/>
      <c r="L2346" s="443"/>
      <c r="M2346" s="450"/>
      <c r="N2346" s="452">
        <f t="array" ref="N2346">IFERROR(
  INDEX(
    'Valor Hora Real y Estimada'!$A$4:$Z$78,
    MATCH(TRIM(CLEAN(A2346)), 'Valor Hora Real y Estimada'!$A$4:$A$78, 0),
    MATCH(
      TEXT(C2346,"dd mmm")&amp;" "&amp;D2346,
      'Valor Hora Real y Estimada'!$A$3:$Z$3,
      0
    ) + 1
  ),
  0
)</f>
        <v>0</v>
      </c>
      <c r="O2346" s="453"/>
      <c r="P2346" s="113"/>
      <c r="Q2346" s="106" t="str">
        <f>IF(ISBLANK(O2346), "", VLOOKUP(C2346&amp;" "&amp;D2346, 'Info Tipo de Cambio y REM'!$A$24:$B$35, 2, FALSE))</f>
        <v/>
      </c>
      <c r="R2346" s="107"/>
    </row>
    <row r="2347" hidden="1">
      <c r="A2347" s="443"/>
      <c r="B2347" s="43" t="str">
        <f>IF(A2347="", "", IFERROR(VLOOKUP(A2347, Clasificaciones!A:B, 2, FALSE), "DATO NO CARGADO"))
</f>
        <v/>
      </c>
      <c r="C2347" s="51"/>
      <c r="D2347" s="102"/>
      <c r="E2347" s="102"/>
      <c r="H2347" s="102"/>
      <c r="J2347" s="102"/>
      <c r="K2347" s="450"/>
      <c r="L2347" s="443"/>
      <c r="M2347" s="450"/>
      <c r="N2347" s="452">
        <f t="array" ref="N2347">IFERROR(
  INDEX(
    'Valor Hora Real y Estimada'!$A$4:$Z$78,
    MATCH(TRIM(CLEAN(A2347)), 'Valor Hora Real y Estimada'!$A$4:$A$78, 0),
    MATCH(
      TEXT(C2347,"dd mmm")&amp;" "&amp;D2347,
      'Valor Hora Real y Estimada'!$A$3:$Z$3,
      0
    ) + 1
  ),
  0
)</f>
        <v>0</v>
      </c>
      <c r="O2347" s="453"/>
      <c r="P2347" s="113"/>
      <c r="Q2347" s="106" t="str">
        <f>IF(ISBLANK(O2347), "", VLOOKUP(C2347&amp;" "&amp;D2347, 'Info Tipo de Cambio y REM'!$A$24:$B$35, 2, FALSE))</f>
        <v/>
      </c>
      <c r="R2347" s="107"/>
    </row>
    <row r="2348" hidden="1">
      <c r="A2348" s="443"/>
      <c r="B2348" s="43" t="str">
        <f>IF(A2348="", "", IFERROR(VLOOKUP(A2348, Clasificaciones!A:B, 2, FALSE), "DATO NO CARGADO"))
</f>
        <v/>
      </c>
      <c r="C2348" s="51"/>
      <c r="D2348" s="102"/>
      <c r="E2348" s="102"/>
      <c r="H2348" s="102"/>
      <c r="J2348" s="102"/>
      <c r="K2348" s="450"/>
      <c r="L2348" s="443"/>
      <c r="M2348" s="450"/>
      <c r="N2348" s="452">
        <f t="array" ref="N2348">IFERROR(
  INDEX(
    'Valor Hora Real y Estimada'!$A$4:$Z$78,
    MATCH(TRIM(CLEAN(A2348)), 'Valor Hora Real y Estimada'!$A$4:$A$78, 0),
    MATCH(
      TEXT(C2348,"dd mmm")&amp;" "&amp;D2348,
      'Valor Hora Real y Estimada'!$A$3:$Z$3,
      0
    ) + 1
  ),
  0
)</f>
        <v>0</v>
      </c>
      <c r="O2348" s="453"/>
      <c r="P2348" s="113"/>
      <c r="Q2348" s="106" t="str">
        <f>IF(ISBLANK(O2348), "", VLOOKUP(C2348&amp;" "&amp;D2348, 'Info Tipo de Cambio y REM'!$A$24:$B$35, 2, FALSE))</f>
        <v/>
      </c>
      <c r="R2348" s="107"/>
    </row>
    <row r="2349" hidden="1">
      <c r="A2349" s="443"/>
      <c r="B2349" s="43" t="str">
        <f>IF(A2349="", "", IFERROR(VLOOKUP(A2349, Clasificaciones!A:B, 2, FALSE), "DATO NO CARGADO"))
</f>
        <v/>
      </c>
      <c r="C2349" s="51"/>
      <c r="D2349" s="102"/>
      <c r="E2349" s="102"/>
      <c r="H2349" s="102"/>
      <c r="J2349" s="102"/>
      <c r="K2349" s="450"/>
      <c r="L2349" s="443"/>
      <c r="M2349" s="450"/>
      <c r="N2349" s="452">
        <f t="array" ref="N2349">IFERROR(
  INDEX(
    'Valor Hora Real y Estimada'!$A$4:$Z$78,
    MATCH(TRIM(CLEAN(A2349)), 'Valor Hora Real y Estimada'!$A$4:$A$78, 0),
    MATCH(
      TEXT(C2349,"dd mmm")&amp;" "&amp;D2349,
      'Valor Hora Real y Estimada'!$A$3:$Z$3,
      0
    ) + 1
  ),
  0
)</f>
        <v>0</v>
      </c>
      <c r="O2349" s="453"/>
      <c r="P2349" s="113"/>
      <c r="Q2349" s="106" t="str">
        <f>IF(ISBLANK(O2349), "", VLOOKUP(C2349&amp;" "&amp;D2349, 'Info Tipo de Cambio y REM'!$A$24:$B$35, 2, FALSE))</f>
        <v/>
      </c>
      <c r="R2349" s="107"/>
    </row>
    <row r="2350" hidden="1">
      <c r="A2350" s="443"/>
      <c r="B2350" s="43" t="str">
        <f>IF(A2350="", "", IFERROR(VLOOKUP(A2350, Clasificaciones!A:B, 2, FALSE), "DATO NO CARGADO"))
</f>
        <v/>
      </c>
      <c r="C2350" s="51"/>
      <c r="D2350" s="102"/>
      <c r="E2350" s="102"/>
      <c r="H2350" s="102"/>
      <c r="J2350" s="102"/>
      <c r="K2350" s="450"/>
      <c r="L2350" s="443"/>
      <c r="M2350" s="450"/>
      <c r="N2350" s="452">
        <f t="array" ref="N2350">IFERROR(
  INDEX(
    'Valor Hora Real y Estimada'!$A$4:$Z$78,
    MATCH(TRIM(CLEAN(A2350)), 'Valor Hora Real y Estimada'!$A$4:$A$78, 0),
    MATCH(
      TEXT(C2350,"dd mmm")&amp;" "&amp;D2350,
      'Valor Hora Real y Estimada'!$A$3:$Z$3,
      0
    ) + 1
  ),
  0
)</f>
        <v>0</v>
      </c>
      <c r="O2350" s="453"/>
      <c r="P2350" s="113"/>
      <c r="Q2350" s="106" t="str">
        <f>IF(ISBLANK(O2350), "", VLOOKUP(C2350&amp;" "&amp;D2350, 'Info Tipo de Cambio y REM'!$A$24:$B$35, 2, FALSE))</f>
        <v/>
      </c>
      <c r="R2350" s="107"/>
    </row>
    <row r="2351" hidden="1">
      <c r="A2351" s="443"/>
      <c r="B2351" s="43" t="str">
        <f>IF(A2351="", "", IFERROR(VLOOKUP(A2351, Clasificaciones!A:B, 2, FALSE), "DATO NO CARGADO"))
</f>
        <v/>
      </c>
      <c r="C2351" s="51"/>
      <c r="D2351" s="102"/>
      <c r="E2351" s="102"/>
      <c r="H2351" s="102"/>
      <c r="J2351" s="102"/>
      <c r="K2351" s="450"/>
      <c r="L2351" s="443"/>
      <c r="M2351" s="450"/>
      <c r="N2351" s="452">
        <f t="array" ref="N2351">IFERROR(
  INDEX(
    'Valor Hora Real y Estimada'!$A$4:$Z$78,
    MATCH(TRIM(CLEAN(A2351)), 'Valor Hora Real y Estimada'!$A$4:$A$78, 0),
    MATCH(
      TEXT(C2351,"dd mmm")&amp;" "&amp;D2351,
      'Valor Hora Real y Estimada'!$A$3:$Z$3,
      0
    ) + 1
  ),
  0
)</f>
        <v>0</v>
      </c>
      <c r="O2351" s="453"/>
      <c r="P2351" s="113"/>
      <c r="Q2351" s="106" t="str">
        <f>IF(ISBLANK(O2351), "", VLOOKUP(C2351&amp;" "&amp;D2351, 'Info Tipo de Cambio y REM'!$A$24:$B$35, 2, FALSE))</f>
        <v/>
      </c>
      <c r="R2351" s="107"/>
    </row>
    <row r="2352" hidden="1">
      <c r="A2352" s="443"/>
      <c r="B2352" s="43" t="str">
        <f>IF(A2352="", "", IFERROR(VLOOKUP(A2352, Clasificaciones!A:B, 2, FALSE), "DATO NO CARGADO"))
</f>
        <v/>
      </c>
      <c r="C2352" s="51"/>
      <c r="D2352" s="102"/>
      <c r="E2352" s="102"/>
      <c r="H2352" s="102"/>
      <c r="J2352" s="102"/>
      <c r="K2352" s="450"/>
      <c r="L2352" s="443"/>
      <c r="M2352" s="450"/>
      <c r="N2352" s="452">
        <f t="array" ref="N2352">IFERROR(
  INDEX(
    'Valor Hora Real y Estimada'!$A$4:$Z$78,
    MATCH(TRIM(CLEAN(A2352)), 'Valor Hora Real y Estimada'!$A$4:$A$78, 0),
    MATCH(
      TEXT(C2352,"dd mmm")&amp;" "&amp;D2352,
      'Valor Hora Real y Estimada'!$A$3:$Z$3,
      0
    ) + 1
  ),
  0
)</f>
        <v>0</v>
      </c>
      <c r="O2352" s="453"/>
      <c r="P2352" s="113"/>
      <c r="Q2352" s="106" t="str">
        <f>IF(ISBLANK(O2352), "", VLOOKUP(C2352&amp;" "&amp;D2352, 'Info Tipo de Cambio y REM'!$A$24:$B$35, 2, FALSE))</f>
        <v/>
      </c>
      <c r="R2352" s="107"/>
    </row>
    <row r="2353" hidden="1">
      <c r="A2353" s="443"/>
      <c r="B2353" s="43" t="str">
        <f>IF(A2353="", "", IFERROR(VLOOKUP(A2353, Clasificaciones!A:B, 2, FALSE), "DATO NO CARGADO"))
</f>
        <v/>
      </c>
      <c r="C2353" s="51"/>
      <c r="D2353" s="102"/>
      <c r="E2353" s="102"/>
      <c r="H2353" s="102"/>
      <c r="J2353" s="102"/>
      <c r="K2353" s="450"/>
      <c r="L2353" s="443"/>
      <c r="M2353" s="450"/>
      <c r="N2353" s="452">
        <f t="array" ref="N2353">IFERROR(
  INDEX(
    'Valor Hora Real y Estimada'!$A$4:$Z$78,
    MATCH(TRIM(CLEAN(A2353)), 'Valor Hora Real y Estimada'!$A$4:$A$78, 0),
    MATCH(
      TEXT(C2353,"dd mmm")&amp;" "&amp;D2353,
      'Valor Hora Real y Estimada'!$A$3:$Z$3,
      0
    ) + 1
  ),
  0
)</f>
        <v>0</v>
      </c>
      <c r="O2353" s="453"/>
      <c r="P2353" s="113"/>
      <c r="Q2353" s="106" t="str">
        <f>IF(ISBLANK(O2353), "", VLOOKUP(C2353&amp;" "&amp;D2353, 'Info Tipo de Cambio y REM'!$A$24:$B$35, 2, FALSE))</f>
        <v/>
      </c>
      <c r="R2353" s="107"/>
    </row>
    <row r="2354" hidden="1">
      <c r="A2354" s="443"/>
      <c r="B2354" s="43" t="str">
        <f>IF(A2354="", "", IFERROR(VLOOKUP(A2354, Clasificaciones!A:B, 2, FALSE), "DATO NO CARGADO"))
</f>
        <v/>
      </c>
      <c r="C2354" s="51"/>
      <c r="D2354" s="102"/>
      <c r="E2354" s="102"/>
      <c r="H2354" s="102"/>
      <c r="J2354" s="102"/>
      <c r="K2354" s="450"/>
      <c r="L2354" s="443"/>
      <c r="M2354" s="450"/>
      <c r="N2354" s="452">
        <f t="array" ref="N2354">IFERROR(
  INDEX(
    'Valor Hora Real y Estimada'!$A$4:$Z$78,
    MATCH(TRIM(CLEAN(A2354)), 'Valor Hora Real y Estimada'!$A$4:$A$78, 0),
    MATCH(
      TEXT(C2354,"dd mmm")&amp;" "&amp;D2354,
      'Valor Hora Real y Estimada'!$A$3:$Z$3,
      0
    ) + 1
  ),
  0
)</f>
        <v>0</v>
      </c>
      <c r="O2354" s="453"/>
      <c r="P2354" s="113"/>
      <c r="Q2354" s="106" t="str">
        <f>IF(ISBLANK(O2354), "", VLOOKUP(C2354&amp;" "&amp;D2354, 'Info Tipo de Cambio y REM'!$A$24:$B$35, 2, FALSE))</f>
        <v/>
      </c>
      <c r="R2354" s="107"/>
    </row>
    <row r="2355" hidden="1">
      <c r="A2355" s="443"/>
      <c r="B2355" s="43" t="str">
        <f>IF(A2355="", "", IFERROR(VLOOKUP(A2355, Clasificaciones!A:B, 2, FALSE), "DATO NO CARGADO"))
</f>
        <v/>
      </c>
      <c r="C2355" s="51"/>
      <c r="D2355" s="102"/>
      <c r="E2355" s="102"/>
      <c r="H2355" s="102"/>
      <c r="J2355" s="102"/>
      <c r="K2355" s="450"/>
      <c r="L2355" s="443"/>
      <c r="M2355" s="450"/>
      <c r="N2355" s="452">
        <f t="array" ref="N2355">IFERROR(
  INDEX(
    'Valor Hora Real y Estimada'!$A$4:$Z$78,
    MATCH(TRIM(CLEAN(A2355)), 'Valor Hora Real y Estimada'!$A$4:$A$78, 0),
    MATCH(
      TEXT(C2355,"dd mmm")&amp;" "&amp;D2355,
      'Valor Hora Real y Estimada'!$A$3:$Z$3,
      0
    ) + 1
  ),
  0
)</f>
        <v>0</v>
      </c>
      <c r="O2355" s="453"/>
      <c r="P2355" s="113"/>
      <c r="Q2355" s="106" t="str">
        <f>IF(ISBLANK(O2355), "", VLOOKUP(C2355&amp;" "&amp;D2355, 'Info Tipo de Cambio y REM'!$A$24:$B$35, 2, FALSE))</f>
        <v/>
      </c>
      <c r="R2355" s="107"/>
    </row>
    <row r="2356" hidden="1">
      <c r="A2356" s="443"/>
      <c r="B2356" s="43" t="str">
        <f>IF(A2356="", "", IFERROR(VLOOKUP(A2356, Clasificaciones!A:B, 2, FALSE), "DATO NO CARGADO"))
</f>
        <v/>
      </c>
      <c r="C2356" s="51"/>
      <c r="D2356" s="102"/>
      <c r="E2356" s="102"/>
      <c r="H2356" s="102"/>
      <c r="J2356" s="102"/>
      <c r="K2356" s="450"/>
      <c r="L2356" s="443"/>
      <c r="M2356" s="450"/>
      <c r="N2356" s="452">
        <f t="array" ref="N2356">IFERROR(
  INDEX(
    'Valor Hora Real y Estimada'!$A$4:$Z$78,
    MATCH(TRIM(CLEAN(A2356)), 'Valor Hora Real y Estimada'!$A$4:$A$78, 0),
    MATCH(
      TEXT(C2356,"dd mmm")&amp;" "&amp;D2356,
      'Valor Hora Real y Estimada'!$A$3:$Z$3,
      0
    ) + 1
  ),
  0
)</f>
        <v>0</v>
      </c>
      <c r="O2356" s="453"/>
      <c r="P2356" s="113"/>
      <c r="Q2356" s="106" t="str">
        <f>IF(ISBLANK(O2356), "", VLOOKUP(C2356&amp;" "&amp;D2356, 'Info Tipo de Cambio y REM'!$A$24:$B$35, 2, FALSE))</f>
        <v/>
      </c>
      <c r="R2356" s="107"/>
    </row>
    <row r="2357" hidden="1">
      <c r="A2357" s="443"/>
      <c r="B2357" s="43" t="str">
        <f>IF(A2357="", "", IFERROR(VLOOKUP(A2357, Clasificaciones!A:B, 2, FALSE), "DATO NO CARGADO"))
</f>
        <v/>
      </c>
      <c r="C2357" s="51"/>
      <c r="D2357" s="102"/>
      <c r="E2357" s="102"/>
      <c r="H2357" s="102"/>
      <c r="J2357" s="102"/>
      <c r="K2357" s="450"/>
      <c r="L2357" s="443"/>
      <c r="M2357" s="450"/>
      <c r="N2357" s="452">
        <f t="array" ref="N2357">IFERROR(
  INDEX(
    'Valor Hora Real y Estimada'!$A$4:$Z$78,
    MATCH(TRIM(CLEAN(A2357)), 'Valor Hora Real y Estimada'!$A$4:$A$78, 0),
    MATCH(
      TEXT(C2357,"dd mmm")&amp;" "&amp;D2357,
      'Valor Hora Real y Estimada'!$A$3:$Z$3,
      0
    ) + 1
  ),
  0
)</f>
        <v>0</v>
      </c>
      <c r="O2357" s="453"/>
      <c r="P2357" s="113"/>
      <c r="Q2357" s="106" t="str">
        <f>IF(ISBLANK(O2357), "", VLOOKUP(C2357&amp;" "&amp;D2357, 'Info Tipo de Cambio y REM'!$A$24:$B$35, 2, FALSE))</f>
        <v/>
      </c>
      <c r="R2357" s="107"/>
    </row>
    <row r="2358" hidden="1">
      <c r="A2358" s="443"/>
      <c r="B2358" s="43" t="str">
        <f>IF(A2358="", "", IFERROR(VLOOKUP(A2358, Clasificaciones!A:B, 2, FALSE), "DATO NO CARGADO"))
</f>
        <v/>
      </c>
      <c r="C2358" s="51"/>
      <c r="D2358" s="102"/>
      <c r="E2358" s="102"/>
      <c r="H2358" s="102"/>
      <c r="J2358" s="102"/>
      <c r="K2358" s="450"/>
      <c r="L2358" s="443"/>
      <c r="M2358" s="450"/>
      <c r="N2358" s="452">
        <f t="array" ref="N2358">IFERROR(
  INDEX(
    'Valor Hora Real y Estimada'!$A$4:$Z$78,
    MATCH(TRIM(CLEAN(A2358)), 'Valor Hora Real y Estimada'!$A$4:$A$78, 0),
    MATCH(
      TEXT(C2358,"dd mmm")&amp;" "&amp;D2358,
      'Valor Hora Real y Estimada'!$A$3:$Z$3,
      0
    ) + 1
  ),
  0
)</f>
        <v>0</v>
      </c>
      <c r="O2358" s="453"/>
      <c r="P2358" s="113"/>
      <c r="Q2358" s="106" t="str">
        <f>IF(ISBLANK(O2358), "", VLOOKUP(C2358&amp;" "&amp;D2358, 'Info Tipo de Cambio y REM'!$A$24:$B$35, 2, FALSE))</f>
        <v/>
      </c>
      <c r="R2358" s="107"/>
    </row>
    <row r="2359" hidden="1">
      <c r="A2359" s="443"/>
      <c r="B2359" s="43" t="str">
        <f>IF(A2359="", "", IFERROR(VLOOKUP(A2359, Clasificaciones!A:B, 2, FALSE), "DATO NO CARGADO"))
</f>
        <v/>
      </c>
      <c r="C2359" s="51"/>
      <c r="D2359" s="102"/>
      <c r="E2359" s="102"/>
      <c r="H2359" s="102"/>
      <c r="J2359" s="102"/>
      <c r="K2359" s="450"/>
      <c r="L2359" s="443"/>
      <c r="M2359" s="450"/>
      <c r="N2359" s="452">
        <f t="array" ref="N2359">IFERROR(
  INDEX(
    'Valor Hora Real y Estimada'!$A$4:$Z$78,
    MATCH(TRIM(CLEAN(A2359)), 'Valor Hora Real y Estimada'!$A$4:$A$78, 0),
    MATCH(
      TEXT(C2359,"dd mmm")&amp;" "&amp;D2359,
      'Valor Hora Real y Estimada'!$A$3:$Z$3,
      0
    ) + 1
  ),
  0
)</f>
        <v>0</v>
      </c>
      <c r="O2359" s="453"/>
      <c r="P2359" s="113"/>
      <c r="Q2359" s="106" t="str">
        <f>IF(ISBLANK(O2359), "", VLOOKUP(C2359&amp;" "&amp;D2359, 'Info Tipo de Cambio y REM'!$A$24:$B$35, 2, FALSE))</f>
        <v/>
      </c>
      <c r="R2359" s="107"/>
    </row>
    <row r="2360" hidden="1">
      <c r="A2360" s="443"/>
      <c r="B2360" s="43" t="str">
        <f>IF(A2360="", "", IFERROR(VLOOKUP(A2360, Clasificaciones!A:B, 2, FALSE), "DATO NO CARGADO"))
</f>
        <v/>
      </c>
      <c r="C2360" s="51"/>
      <c r="D2360" s="102"/>
      <c r="E2360" s="102"/>
      <c r="H2360" s="102"/>
      <c r="J2360" s="102"/>
      <c r="K2360" s="450"/>
      <c r="L2360" s="443"/>
      <c r="M2360" s="450"/>
      <c r="N2360" s="452">
        <f t="array" ref="N2360">IFERROR(
  INDEX(
    'Valor Hora Real y Estimada'!$A$4:$Z$78,
    MATCH(TRIM(CLEAN(A2360)), 'Valor Hora Real y Estimada'!$A$4:$A$78, 0),
    MATCH(
      TEXT(C2360,"dd mmm")&amp;" "&amp;D2360,
      'Valor Hora Real y Estimada'!$A$3:$Z$3,
      0
    ) + 1
  ),
  0
)</f>
        <v>0</v>
      </c>
      <c r="O2360" s="453"/>
      <c r="P2360" s="113"/>
      <c r="Q2360" s="106" t="str">
        <f>IF(ISBLANK(O2360), "", VLOOKUP(C2360&amp;" "&amp;D2360, 'Info Tipo de Cambio y REM'!$A$24:$B$35, 2, FALSE))</f>
        <v/>
      </c>
      <c r="R2360" s="107"/>
    </row>
    <row r="2361" hidden="1">
      <c r="A2361" s="443"/>
      <c r="B2361" s="43" t="str">
        <f>IF(A2361="", "", IFERROR(VLOOKUP(A2361, Clasificaciones!A:B, 2, FALSE), "DATO NO CARGADO"))
</f>
        <v/>
      </c>
      <c r="C2361" s="51"/>
      <c r="D2361" s="102"/>
      <c r="E2361" s="102"/>
      <c r="H2361" s="102"/>
      <c r="J2361" s="102"/>
      <c r="K2361" s="450"/>
      <c r="L2361" s="443"/>
      <c r="M2361" s="450"/>
      <c r="N2361" s="452">
        <f t="array" ref="N2361">IFERROR(
  INDEX(
    'Valor Hora Real y Estimada'!$A$4:$Z$78,
    MATCH(TRIM(CLEAN(A2361)), 'Valor Hora Real y Estimada'!$A$4:$A$78, 0),
    MATCH(
      TEXT(C2361,"dd mmm")&amp;" "&amp;D2361,
      'Valor Hora Real y Estimada'!$A$3:$Z$3,
      0
    ) + 1
  ),
  0
)</f>
        <v>0</v>
      </c>
      <c r="O2361" s="453"/>
      <c r="P2361" s="113"/>
      <c r="Q2361" s="106" t="str">
        <f>IF(ISBLANK(O2361), "", VLOOKUP(C2361&amp;" "&amp;D2361, 'Info Tipo de Cambio y REM'!$A$24:$B$35, 2, FALSE))</f>
        <v/>
      </c>
      <c r="R2361" s="107"/>
    </row>
    <row r="2362" hidden="1">
      <c r="A2362" s="443"/>
      <c r="B2362" s="43" t="str">
        <f>IF(A2362="", "", IFERROR(VLOOKUP(A2362, Clasificaciones!A:B, 2, FALSE), "DATO NO CARGADO"))
</f>
        <v/>
      </c>
      <c r="C2362" s="51"/>
      <c r="D2362" s="102"/>
      <c r="E2362" s="102"/>
      <c r="H2362" s="102"/>
      <c r="J2362" s="102"/>
      <c r="K2362" s="450"/>
      <c r="L2362" s="443"/>
      <c r="M2362" s="450"/>
      <c r="N2362" s="452">
        <f t="array" ref="N2362">IFERROR(
  INDEX(
    'Valor Hora Real y Estimada'!$A$4:$Z$78,
    MATCH(TRIM(CLEAN(A2362)), 'Valor Hora Real y Estimada'!$A$4:$A$78, 0),
    MATCH(
      TEXT(C2362,"dd mmm")&amp;" "&amp;D2362,
      'Valor Hora Real y Estimada'!$A$3:$Z$3,
      0
    ) + 1
  ),
  0
)</f>
        <v>0</v>
      </c>
      <c r="O2362" s="453"/>
      <c r="P2362" s="113"/>
      <c r="Q2362" s="106" t="str">
        <f>IF(ISBLANK(O2362), "", VLOOKUP(C2362&amp;" "&amp;D2362, 'Info Tipo de Cambio y REM'!$A$24:$B$35, 2, FALSE))</f>
        <v/>
      </c>
      <c r="R2362" s="107"/>
    </row>
    <row r="2363" hidden="1">
      <c r="A2363" s="443"/>
      <c r="B2363" s="43" t="str">
        <f>IF(A2363="", "", IFERROR(VLOOKUP(A2363, Clasificaciones!A:B, 2, FALSE), "DATO NO CARGADO"))
</f>
        <v/>
      </c>
      <c r="C2363" s="51"/>
      <c r="D2363" s="102"/>
      <c r="E2363" s="102"/>
      <c r="H2363" s="102"/>
      <c r="J2363" s="102"/>
      <c r="K2363" s="450"/>
      <c r="L2363" s="443"/>
      <c r="M2363" s="450"/>
      <c r="N2363" s="452">
        <f t="array" ref="N2363">IFERROR(
  INDEX(
    'Valor Hora Real y Estimada'!$A$4:$Z$78,
    MATCH(TRIM(CLEAN(A2363)), 'Valor Hora Real y Estimada'!$A$4:$A$78, 0),
    MATCH(
      TEXT(C2363,"dd mmm")&amp;" "&amp;D2363,
      'Valor Hora Real y Estimada'!$A$3:$Z$3,
      0
    ) + 1
  ),
  0
)</f>
        <v>0</v>
      </c>
      <c r="O2363" s="453"/>
      <c r="P2363" s="113"/>
      <c r="Q2363" s="106" t="str">
        <f>IF(ISBLANK(O2363), "", VLOOKUP(C2363&amp;" "&amp;D2363, 'Info Tipo de Cambio y REM'!$A$24:$B$35, 2, FALSE))</f>
        <v/>
      </c>
      <c r="R2363" s="107"/>
    </row>
    <row r="2364" hidden="1">
      <c r="A2364" s="443"/>
      <c r="B2364" s="43" t="str">
        <f>IF(A2364="", "", IFERROR(VLOOKUP(A2364, Clasificaciones!A:B, 2, FALSE), "DATO NO CARGADO"))
</f>
        <v/>
      </c>
      <c r="C2364" s="51"/>
      <c r="D2364" s="102"/>
      <c r="E2364" s="102"/>
      <c r="H2364" s="102"/>
      <c r="J2364" s="102"/>
      <c r="K2364" s="450"/>
      <c r="L2364" s="443"/>
      <c r="M2364" s="450"/>
      <c r="N2364" s="452">
        <f t="array" ref="N2364">IFERROR(
  INDEX(
    'Valor Hora Real y Estimada'!$A$4:$Z$78,
    MATCH(TRIM(CLEAN(A2364)), 'Valor Hora Real y Estimada'!$A$4:$A$78, 0),
    MATCH(
      TEXT(C2364,"dd mmm")&amp;" "&amp;D2364,
      'Valor Hora Real y Estimada'!$A$3:$Z$3,
      0
    ) + 1
  ),
  0
)</f>
        <v>0</v>
      </c>
      <c r="O2364" s="453"/>
      <c r="P2364" s="113"/>
      <c r="Q2364" s="106" t="str">
        <f>IF(ISBLANK(O2364), "", VLOOKUP(C2364&amp;" "&amp;D2364, 'Info Tipo de Cambio y REM'!$A$24:$B$35, 2, FALSE))</f>
        <v/>
      </c>
      <c r="R2364" s="107"/>
    </row>
    <row r="2365" hidden="1">
      <c r="A2365" s="443"/>
      <c r="B2365" s="43" t="str">
        <f>IF(A2365="", "", IFERROR(VLOOKUP(A2365, Clasificaciones!A:B, 2, FALSE), "DATO NO CARGADO"))
</f>
        <v/>
      </c>
      <c r="C2365" s="51"/>
      <c r="D2365" s="102"/>
      <c r="E2365" s="102"/>
      <c r="H2365" s="102"/>
      <c r="J2365" s="102"/>
      <c r="K2365" s="450"/>
      <c r="L2365" s="443"/>
      <c r="M2365" s="450"/>
      <c r="N2365" s="452">
        <f t="array" ref="N2365">IFERROR(
  INDEX(
    'Valor Hora Real y Estimada'!$A$4:$Z$78,
    MATCH(TRIM(CLEAN(A2365)), 'Valor Hora Real y Estimada'!$A$4:$A$78, 0),
    MATCH(
      TEXT(C2365,"dd mmm")&amp;" "&amp;D2365,
      'Valor Hora Real y Estimada'!$A$3:$Z$3,
      0
    ) + 1
  ),
  0
)</f>
        <v>0</v>
      </c>
      <c r="O2365" s="453"/>
      <c r="P2365" s="113"/>
      <c r="Q2365" s="106" t="str">
        <f>IF(ISBLANK(O2365), "", VLOOKUP(C2365&amp;" "&amp;D2365, 'Info Tipo de Cambio y REM'!$A$24:$B$35, 2, FALSE))</f>
        <v/>
      </c>
      <c r="R2365" s="107"/>
    </row>
    <row r="2366" hidden="1">
      <c r="A2366" s="443"/>
      <c r="B2366" s="43" t="str">
        <f>IF(A2366="", "", IFERROR(VLOOKUP(A2366, Clasificaciones!A:B, 2, FALSE), "DATO NO CARGADO"))
</f>
        <v/>
      </c>
      <c r="C2366" s="51"/>
      <c r="D2366" s="102"/>
      <c r="E2366" s="102"/>
      <c r="H2366" s="102"/>
      <c r="J2366" s="102"/>
      <c r="K2366" s="450"/>
      <c r="L2366" s="443"/>
      <c r="M2366" s="450"/>
      <c r="N2366" s="452">
        <f t="array" ref="N2366">IFERROR(
  INDEX(
    'Valor Hora Real y Estimada'!$A$4:$Z$78,
    MATCH(TRIM(CLEAN(A2366)), 'Valor Hora Real y Estimada'!$A$4:$A$78, 0),
    MATCH(
      TEXT(C2366,"dd mmm")&amp;" "&amp;D2366,
      'Valor Hora Real y Estimada'!$A$3:$Z$3,
      0
    ) + 1
  ),
  0
)</f>
        <v>0</v>
      </c>
      <c r="O2366" s="453"/>
      <c r="P2366" s="113"/>
      <c r="Q2366" s="106" t="str">
        <f>IF(ISBLANK(O2366), "", VLOOKUP(C2366&amp;" "&amp;D2366, 'Info Tipo de Cambio y REM'!$A$24:$B$35, 2, FALSE))</f>
        <v/>
      </c>
      <c r="R2366" s="107"/>
    </row>
    <row r="2367" hidden="1">
      <c r="A2367" s="443"/>
      <c r="B2367" s="43" t="str">
        <f>IF(A2367="", "", IFERROR(VLOOKUP(A2367, Clasificaciones!A:B, 2, FALSE), "DATO NO CARGADO"))
</f>
        <v/>
      </c>
      <c r="C2367" s="51"/>
      <c r="D2367" s="102"/>
      <c r="E2367" s="102"/>
      <c r="H2367" s="102"/>
      <c r="J2367" s="102"/>
      <c r="K2367" s="450"/>
      <c r="L2367" s="443"/>
      <c r="M2367" s="450"/>
      <c r="N2367" s="452">
        <f t="array" ref="N2367">IFERROR(
  INDEX(
    'Valor Hora Real y Estimada'!$A$4:$Z$78,
    MATCH(TRIM(CLEAN(A2367)), 'Valor Hora Real y Estimada'!$A$4:$A$78, 0),
    MATCH(
      TEXT(C2367,"dd mmm")&amp;" "&amp;D2367,
      'Valor Hora Real y Estimada'!$A$3:$Z$3,
      0
    ) + 1
  ),
  0
)</f>
        <v>0</v>
      </c>
      <c r="O2367" s="453"/>
      <c r="P2367" s="113"/>
      <c r="Q2367" s="106" t="str">
        <f>IF(ISBLANK(O2367), "", VLOOKUP(C2367&amp;" "&amp;D2367, 'Info Tipo de Cambio y REM'!$A$24:$B$35, 2, FALSE))</f>
        <v/>
      </c>
      <c r="R2367" s="107"/>
    </row>
    <row r="2368" hidden="1">
      <c r="A2368" s="443"/>
      <c r="B2368" s="43" t="str">
        <f>IF(A2368="", "", IFERROR(VLOOKUP(A2368, Clasificaciones!A:B, 2, FALSE), "DATO NO CARGADO"))
</f>
        <v/>
      </c>
      <c r="C2368" s="51"/>
      <c r="D2368" s="102"/>
      <c r="E2368" s="102"/>
      <c r="H2368" s="102"/>
      <c r="J2368" s="102"/>
      <c r="K2368" s="450"/>
      <c r="L2368" s="443"/>
      <c r="M2368" s="450"/>
      <c r="N2368" s="452">
        <f t="array" ref="N2368">IFERROR(
  INDEX(
    'Valor Hora Real y Estimada'!$A$4:$Z$78,
    MATCH(TRIM(CLEAN(A2368)), 'Valor Hora Real y Estimada'!$A$4:$A$78, 0),
    MATCH(
      TEXT(C2368,"dd mmm")&amp;" "&amp;D2368,
      'Valor Hora Real y Estimada'!$A$3:$Z$3,
      0
    ) + 1
  ),
  0
)</f>
        <v>0</v>
      </c>
      <c r="O2368" s="453"/>
      <c r="P2368" s="113"/>
      <c r="Q2368" s="106" t="str">
        <f>IF(ISBLANK(O2368), "", VLOOKUP(C2368&amp;" "&amp;D2368, 'Info Tipo de Cambio y REM'!$A$24:$B$35, 2, FALSE))</f>
        <v/>
      </c>
      <c r="R2368" s="107"/>
    </row>
    <row r="2369" hidden="1">
      <c r="A2369" s="443"/>
      <c r="B2369" s="43" t="str">
        <f>IF(A2369="", "", IFERROR(VLOOKUP(A2369, Clasificaciones!A:B, 2, FALSE), "DATO NO CARGADO"))
</f>
        <v/>
      </c>
      <c r="C2369" s="51"/>
      <c r="D2369" s="102"/>
      <c r="E2369" s="102"/>
      <c r="H2369" s="102"/>
      <c r="J2369" s="102"/>
      <c r="K2369" s="450"/>
      <c r="L2369" s="443"/>
      <c r="M2369" s="450"/>
      <c r="N2369" s="452">
        <f t="array" ref="N2369">IFERROR(
  INDEX(
    'Valor Hora Real y Estimada'!$A$4:$Z$78,
    MATCH(TRIM(CLEAN(A2369)), 'Valor Hora Real y Estimada'!$A$4:$A$78, 0),
    MATCH(
      TEXT(C2369,"dd mmm")&amp;" "&amp;D2369,
      'Valor Hora Real y Estimada'!$A$3:$Z$3,
      0
    ) + 1
  ),
  0
)</f>
        <v>0</v>
      </c>
      <c r="O2369" s="453"/>
      <c r="P2369" s="113"/>
      <c r="Q2369" s="106" t="str">
        <f>IF(ISBLANK(O2369), "", VLOOKUP(C2369&amp;" "&amp;D2369, 'Info Tipo de Cambio y REM'!$A$24:$B$35, 2, FALSE))</f>
        <v/>
      </c>
      <c r="R2369" s="107"/>
    </row>
    <row r="2370" hidden="1">
      <c r="A2370" s="443"/>
      <c r="B2370" s="43" t="str">
        <f>IF(A2370="", "", IFERROR(VLOOKUP(A2370, Clasificaciones!A:B, 2, FALSE), "DATO NO CARGADO"))
</f>
        <v/>
      </c>
      <c r="C2370" s="51"/>
      <c r="D2370" s="102"/>
      <c r="E2370" s="102"/>
      <c r="H2370" s="102"/>
      <c r="J2370" s="102"/>
      <c r="K2370" s="450"/>
      <c r="L2370" s="443"/>
      <c r="M2370" s="450"/>
      <c r="N2370" s="452">
        <f t="array" ref="N2370">IFERROR(
  INDEX(
    'Valor Hora Real y Estimada'!$A$4:$Z$78,
    MATCH(TRIM(CLEAN(A2370)), 'Valor Hora Real y Estimada'!$A$4:$A$78, 0),
    MATCH(
      TEXT(C2370,"dd mmm")&amp;" "&amp;D2370,
      'Valor Hora Real y Estimada'!$A$3:$Z$3,
      0
    ) + 1
  ),
  0
)</f>
        <v>0</v>
      </c>
      <c r="O2370" s="453"/>
      <c r="P2370" s="113"/>
      <c r="Q2370" s="106" t="str">
        <f>IF(ISBLANK(O2370), "", VLOOKUP(C2370&amp;" "&amp;D2370, 'Info Tipo de Cambio y REM'!$A$24:$B$35, 2, FALSE))</f>
        <v/>
      </c>
      <c r="R2370" s="107"/>
    </row>
    <row r="2371" hidden="1">
      <c r="A2371" s="443"/>
      <c r="B2371" s="43" t="str">
        <f>IF(A2371="", "", IFERROR(VLOOKUP(A2371, Clasificaciones!A:B, 2, FALSE), "DATO NO CARGADO"))
</f>
        <v/>
      </c>
      <c r="C2371" s="51"/>
      <c r="D2371" s="102"/>
      <c r="E2371" s="102"/>
      <c r="H2371" s="102"/>
      <c r="J2371" s="102"/>
      <c r="K2371" s="450"/>
      <c r="L2371" s="443"/>
      <c r="M2371" s="450"/>
      <c r="N2371" s="452">
        <f t="array" ref="N2371">IFERROR(
  INDEX(
    'Valor Hora Real y Estimada'!$A$4:$Z$78,
    MATCH(TRIM(CLEAN(A2371)), 'Valor Hora Real y Estimada'!$A$4:$A$78, 0),
    MATCH(
      TEXT(C2371,"dd mmm")&amp;" "&amp;D2371,
      'Valor Hora Real y Estimada'!$A$3:$Z$3,
      0
    ) + 1
  ),
  0
)</f>
        <v>0</v>
      </c>
      <c r="O2371" s="453"/>
      <c r="P2371" s="113"/>
      <c r="Q2371" s="106" t="str">
        <f>IF(ISBLANK(O2371), "", VLOOKUP(C2371&amp;" "&amp;D2371, 'Info Tipo de Cambio y REM'!$A$24:$B$35, 2, FALSE))</f>
        <v/>
      </c>
      <c r="R2371" s="107"/>
    </row>
    <row r="2372" hidden="1">
      <c r="A2372" s="443"/>
      <c r="B2372" s="43" t="str">
        <f>IF(A2372="", "", IFERROR(VLOOKUP(A2372, Clasificaciones!A:B, 2, FALSE), "DATO NO CARGADO"))
</f>
        <v/>
      </c>
      <c r="C2372" s="51"/>
      <c r="D2372" s="102"/>
      <c r="E2372" s="102"/>
      <c r="H2372" s="102"/>
      <c r="J2372" s="102"/>
      <c r="K2372" s="450"/>
      <c r="L2372" s="443"/>
      <c r="M2372" s="450"/>
      <c r="N2372" s="452">
        <f t="array" ref="N2372">IFERROR(
  INDEX(
    'Valor Hora Real y Estimada'!$A$4:$Z$78,
    MATCH(TRIM(CLEAN(A2372)), 'Valor Hora Real y Estimada'!$A$4:$A$78, 0),
    MATCH(
      TEXT(C2372,"dd mmm")&amp;" "&amp;D2372,
      'Valor Hora Real y Estimada'!$A$3:$Z$3,
      0
    ) + 1
  ),
  0
)</f>
        <v>0</v>
      </c>
      <c r="O2372" s="453"/>
      <c r="P2372" s="113"/>
      <c r="Q2372" s="106" t="str">
        <f>IF(ISBLANK(O2372), "", VLOOKUP(C2372&amp;" "&amp;D2372, 'Info Tipo de Cambio y REM'!$A$24:$B$35, 2, FALSE))</f>
        <v/>
      </c>
      <c r="R2372" s="107"/>
    </row>
    <row r="2373" hidden="1">
      <c r="A2373" s="443"/>
      <c r="B2373" s="43" t="str">
        <f>IF(A2373="", "", IFERROR(VLOOKUP(A2373, Clasificaciones!A:B, 2, FALSE), "DATO NO CARGADO"))
</f>
        <v/>
      </c>
      <c r="C2373" s="51"/>
      <c r="D2373" s="102"/>
      <c r="E2373" s="102"/>
      <c r="H2373" s="102"/>
      <c r="J2373" s="102"/>
      <c r="K2373" s="450"/>
      <c r="L2373" s="443"/>
      <c r="M2373" s="450"/>
      <c r="N2373" s="452">
        <f t="array" ref="N2373">IFERROR(
  INDEX(
    'Valor Hora Real y Estimada'!$A$4:$Z$78,
    MATCH(TRIM(CLEAN(A2373)), 'Valor Hora Real y Estimada'!$A$4:$A$78, 0),
    MATCH(
      TEXT(C2373,"dd mmm")&amp;" "&amp;D2373,
      'Valor Hora Real y Estimada'!$A$3:$Z$3,
      0
    ) + 1
  ),
  0
)</f>
        <v>0</v>
      </c>
      <c r="O2373" s="453"/>
      <c r="P2373" s="113"/>
      <c r="Q2373" s="106" t="str">
        <f>IF(ISBLANK(O2373), "", VLOOKUP(C2373&amp;" "&amp;D2373, 'Info Tipo de Cambio y REM'!$A$24:$B$35, 2, FALSE))</f>
        <v/>
      </c>
      <c r="R2373" s="107"/>
    </row>
    <row r="2374" hidden="1">
      <c r="A2374" s="443"/>
      <c r="B2374" s="43" t="str">
        <f>IF(A2374="", "", IFERROR(VLOOKUP(A2374, Clasificaciones!A:B, 2, FALSE), "DATO NO CARGADO"))
</f>
        <v/>
      </c>
      <c r="C2374" s="51"/>
      <c r="D2374" s="102"/>
      <c r="E2374" s="102"/>
      <c r="H2374" s="102"/>
      <c r="J2374" s="102"/>
      <c r="K2374" s="450"/>
      <c r="L2374" s="443"/>
      <c r="M2374" s="450"/>
      <c r="N2374" s="452">
        <f t="array" ref="N2374">IFERROR(
  INDEX(
    'Valor Hora Real y Estimada'!$A$4:$Z$78,
    MATCH(TRIM(CLEAN(A2374)), 'Valor Hora Real y Estimada'!$A$4:$A$78, 0),
    MATCH(
      TEXT(C2374,"dd mmm")&amp;" "&amp;D2374,
      'Valor Hora Real y Estimada'!$A$3:$Z$3,
      0
    ) + 1
  ),
  0
)</f>
        <v>0</v>
      </c>
      <c r="O2374" s="453"/>
      <c r="P2374" s="113"/>
      <c r="Q2374" s="106" t="str">
        <f>IF(ISBLANK(O2374), "", VLOOKUP(C2374&amp;" "&amp;D2374, 'Info Tipo de Cambio y REM'!$A$24:$B$35, 2, FALSE))</f>
        <v/>
      </c>
      <c r="R2374" s="107"/>
    </row>
    <row r="2375" hidden="1">
      <c r="A2375" s="443"/>
      <c r="B2375" s="43" t="str">
        <f>IF(A2375="", "", IFERROR(VLOOKUP(A2375, Clasificaciones!A:B, 2, FALSE), "DATO NO CARGADO"))
</f>
        <v/>
      </c>
      <c r="C2375" s="51"/>
      <c r="D2375" s="102"/>
      <c r="E2375" s="102"/>
      <c r="H2375" s="102"/>
      <c r="J2375" s="102"/>
      <c r="K2375" s="450"/>
      <c r="L2375" s="443"/>
      <c r="M2375" s="450"/>
      <c r="N2375" s="452">
        <f t="array" ref="N2375">IFERROR(
  INDEX(
    'Valor Hora Real y Estimada'!$A$4:$Z$78,
    MATCH(TRIM(CLEAN(A2375)), 'Valor Hora Real y Estimada'!$A$4:$A$78, 0),
    MATCH(
      TEXT(C2375,"dd mmm")&amp;" "&amp;D2375,
      'Valor Hora Real y Estimada'!$A$3:$Z$3,
      0
    ) + 1
  ),
  0
)</f>
        <v>0</v>
      </c>
      <c r="O2375" s="453"/>
      <c r="P2375" s="113"/>
      <c r="Q2375" s="106" t="str">
        <f>IF(ISBLANK(O2375), "", VLOOKUP(C2375&amp;" "&amp;D2375, 'Info Tipo de Cambio y REM'!$A$24:$B$35, 2, FALSE))</f>
        <v/>
      </c>
      <c r="R2375" s="107"/>
    </row>
    <row r="2376" hidden="1">
      <c r="A2376" s="443"/>
      <c r="B2376" s="43" t="str">
        <f>IF(A2376="", "", IFERROR(VLOOKUP(A2376, Clasificaciones!A:B, 2, FALSE), "DATO NO CARGADO"))
</f>
        <v/>
      </c>
      <c r="C2376" s="51"/>
      <c r="D2376" s="102"/>
      <c r="E2376" s="102"/>
      <c r="H2376" s="102"/>
      <c r="J2376" s="102"/>
      <c r="K2376" s="450"/>
      <c r="L2376" s="443"/>
      <c r="M2376" s="450"/>
      <c r="N2376" s="452">
        <f t="array" ref="N2376">IFERROR(
  INDEX(
    'Valor Hora Real y Estimada'!$A$4:$Z$78,
    MATCH(TRIM(CLEAN(A2376)), 'Valor Hora Real y Estimada'!$A$4:$A$78, 0),
    MATCH(
      TEXT(C2376,"dd mmm")&amp;" "&amp;D2376,
      'Valor Hora Real y Estimada'!$A$3:$Z$3,
      0
    ) + 1
  ),
  0
)</f>
        <v>0</v>
      </c>
      <c r="O2376" s="453"/>
      <c r="P2376" s="113"/>
      <c r="Q2376" s="106" t="str">
        <f>IF(ISBLANK(O2376), "", VLOOKUP(C2376&amp;" "&amp;D2376, 'Info Tipo de Cambio y REM'!$A$24:$B$35, 2, FALSE))</f>
        <v/>
      </c>
      <c r="R2376" s="107"/>
    </row>
    <row r="2377" hidden="1">
      <c r="A2377" s="443"/>
      <c r="B2377" s="43" t="str">
        <f>IF(A2377="", "", IFERROR(VLOOKUP(A2377, Clasificaciones!A:B, 2, FALSE), "DATO NO CARGADO"))
</f>
        <v/>
      </c>
      <c r="C2377" s="51"/>
      <c r="D2377" s="102"/>
      <c r="E2377" s="102"/>
      <c r="H2377" s="102"/>
      <c r="J2377" s="102"/>
      <c r="K2377" s="450"/>
      <c r="L2377" s="443"/>
      <c r="M2377" s="450"/>
      <c r="N2377" s="452">
        <f t="array" ref="N2377">IFERROR(
  INDEX(
    'Valor Hora Real y Estimada'!$A$4:$Z$78,
    MATCH(TRIM(CLEAN(A2377)), 'Valor Hora Real y Estimada'!$A$4:$A$78, 0),
    MATCH(
      TEXT(C2377,"dd mmm")&amp;" "&amp;D2377,
      'Valor Hora Real y Estimada'!$A$3:$Z$3,
      0
    ) + 1
  ),
  0
)</f>
        <v>0</v>
      </c>
      <c r="O2377" s="453"/>
      <c r="P2377" s="113"/>
      <c r="Q2377" s="106" t="str">
        <f>IF(ISBLANK(O2377), "", VLOOKUP(C2377&amp;" "&amp;D2377, 'Info Tipo de Cambio y REM'!$A$24:$B$35, 2, FALSE))</f>
        <v/>
      </c>
      <c r="R2377" s="107"/>
    </row>
    <row r="2378" hidden="1">
      <c r="A2378" s="443"/>
      <c r="B2378" s="43" t="str">
        <f>IF(A2378="", "", IFERROR(VLOOKUP(A2378, Clasificaciones!A:B, 2, FALSE), "DATO NO CARGADO"))
</f>
        <v/>
      </c>
      <c r="C2378" s="51"/>
      <c r="D2378" s="102"/>
      <c r="E2378" s="102"/>
      <c r="H2378" s="102"/>
      <c r="J2378" s="102"/>
      <c r="K2378" s="450"/>
      <c r="L2378" s="443"/>
      <c r="M2378" s="450"/>
      <c r="N2378" s="452">
        <f t="array" ref="N2378">IFERROR(
  INDEX(
    'Valor Hora Real y Estimada'!$A$4:$Z$78,
    MATCH(TRIM(CLEAN(A2378)), 'Valor Hora Real y Estimada'!$A$4:$A$78, 0),
    MATCH(
      TEXT(C2378,"dd mmm")&amp;" "&amp;D2378,
      'Valor Hora Real y Estimada'!$A$3:$Z$3,
      0
    ) + 1
  ),
  0
)</f>
        <v>0</v>
      </c>
      <c r="O2378" s="453"/>
      <c r="P2378" s="113"/>
      <c r="Q2378" s="106" t="str">
        <f>IF(ISBLANK(O2378), "", VLOOKUP(C2378&amp;" "&amp;D2378, 'Info Tipo de Cambio y REM'!$A$24:$B$35, 2, FALSE))</f>
        <v/>
      </c>
      <c r="R2378" s="107"/>
    </row>
    <row r="2379" hidden="1">
      <c r="A2379" s="443"/>
      <c r="B2379" s="43" t="str">
        <f>IF(A2379="", "", IFERROR(VLOOKUP(A2379, Clasificaciones!A:B, 2, FALSE), "DATO NO CARGADO"))
</f>
        <v/>
      </c>
      <c r="C2379" s="51"/>
      <c r="D2379" s="102"/>
      <c r="E2379" s="102"/>
      <c r="H2379" s="102"/>
      <c r="J2379" s="102"/>
      <c r="K2379" s="450"/>
      <c r="L2379" s="443"/>
      <c r="M2379" s="450"/>
      <c r="N2379" s="452">
        <f t="array" ref="N2379">IFERROR(
  INDEX(
    'Valor Hora Real y Estimada'!$A$4:$Z$78,
    MATCH(TRIM(CLEAN(A2379)), 'Valor Hora Real y Estimada'!$A$4:$A$78, 0),
    MATCH(
      TEXT(C2379,"dd mmm")&amp;" "&amp;D2379,
      'Valor Hora Real y Estimada'!$A$3:$Z$3,
      0
    ) + 1
  ),
  0
)</f>
        <v>0</v>
      </c>
      <c r="O2379" s="453"/>
      <c r="P2379" s="113"/>
      <c r="Q2379" s="106" t="str">
        <f>IF(ISBLANK(O2379), "", VLOOKUP(C2379&amp;" "&amp;D2379, 'Info Tipo de Cambio y REM'!$A$24:$B$35, 2, FALSE))</f>
        <v/>
      </c>
      <c r="R2379" s="107"/>
    </row>
    <row r="2380" hidden="1">
      <c r="A2380" s="443"/>
      <c r="B2380" s="43" t="str">
        <f>IF(A2380="", "", IFERROR(VLOOKUP(A2380, Clasificaciones!A:B, 2, FALSE), "DATO NO CARGADO"))
</f>
        <v/>
      </c>
      <c r="C2380" s="51"/>
      <c r="D2380" s="102"/>
      <c r="E2380" s="102"/>
      <c r="H2380" s="102"/>
      <c r="J2380" s="102"/>
      <c r="K2380" s="450"/>
      <c r="L2380" s="443"/>
      <c r="M2380" s="450"/>
      <c r="N2380" s="452">
        <f t="array" ref="N2380">IFERROR(
  INDEX(
    'Valor Hora Real y Estimada'!$A$4:$Z$78,
    MATCH(TRIM(CLEAN(A2380)), 'Valor Hora Real y Estimada'!$A$4:$A$78, 0),
    MATCH(
      TEXT(C2380,"dd mmm")&amp;" "&amp;D2380,
      'Valor Hora Real y Estimada'!$A$3:$Z$3,
      0
    ) + 1
  ),
  0
)</f>
        <v>0</v>
      </c>
      <c r="O2380" s="453"/>
      <c r="P2380" s="113"/>
      <c r="Q2380" s="106" t="str">
        <f>IF(ISBLANK(O2380), "", VLOOKUP(C2380&amp;" "&amp;D2380, 'Info Tipo de Cambio y REM'!$A$24:$B$35, 2, FALSE))</f>
        <v/>
      </c>
      <c r="R2380" s="107"/>
    </row>
    <row r="2381" hidden="1">
      <c r="A2381" s="443"/>
      <c r="B2381" s="43" t="str">
        <f>IF(A2381="", "", IFERROR(VLOOKUP(A2381, Clasificaciones!A:B, 2, FALSE), "DATO NO CARGADO"))
</f>
        <v/>
      </c>
      <c r="C2381" s="51"/>
      <c r="D2381" s="102"/>
      <c r="E2381" s="102"/>
      <c r="H2381" s="102"/>
      <c r="J2381" s="102"/>
      <c r="K2381" s="450"/>
      <c r="L2381" s="443"/>
      <c r="M2381" s="450"/>
      <c r="N2381" s="452">
        <f t="array" ref="N2381">IFERROR(
  INDEX(
    'Valor Hora Real y Estimada'!$A$4:$Z$78,
    MATCH(TRIM(CLEAN(A2381)), 'Valor Hora Real y Estimada'!$A$4:$A$78, 0),
    MATCH(
      TEXT(C2381,"dd mmm")&amp;" "&amp;D2381,
      'Valor Hora Real y Estimada'!$A$3:$Z$3,
      0
    ) + 1
  ),
  0
)</f>
        <v>0</v>
      </c>
      <c r="O2381" s="453"/>
      <c r="P2381" s="113"/>
      <c r="Q2381" s="106" t="str">
        <f>IF(ISBLANK(O2381), "", VLOOKUP(C2381&amp;" "&amp;D2381, 'Info Tipo de Cambio y REM'!$A$24:$B$35, 2, FALSE))</f>
        <v/>
      </c>
      <c r="R2381" s="107"/>
    </row>
    <row r="2382" hidden="1">
      <c r="A2382" s="443"/>
      <c r="B2382" s="43" t="str">
        <f>IF(A2382="", "", IFERROR(VLOOKUP(A2382, Clasificaciones!A:B, 2, FALSE), "DATO NO CARGADO"))
</f>
        <v/>
      </c>
      <c r="C2382" s="51"/>
      <c r="D2382" s="102"/>
      <c r="E2382" s="102"/>
      <c r="H2382" s="102"/>
      <c r="J2382" s="102"/>
      <c r="K2382" s="450"/>
      <c r="L2382" s="443"/>
      <c r="M2382" s="450"/>
      <c r="N2382" s="452">
        <f t="array" ref="N2382">IFERROR(
  INDEX(
    'Valor Hora Real y Estimada'!$A$4:$Z$78,
    MATCH(TRIM(CLEAN(A2382)), 'Valor Hora Real y Estimada'!$A$4:$A$78, 0),
    MATCH(
      TEXT(C2382,"dd mmm")&amp;" "&amp;D2382,
      'Valor Hora Real y Estimada'!$A$3:$Z$3,
      0
    ) + 1
  ),
  0
)</f>
        <v>0</v>
      </c>
      <c r="O2382" s="453"/>
      <c r="P2382" s="113"/>
      <c r="Q2382" s="106" t="str">
        <f>IF(ISBLANK(O2382), "", VLOOKUP(C2382&amp;" "&amp;D2382, 'Info Tipo de Cambio y REM'!$A$24:$B$35, 2, FALSE))</f>
        <v/>
      </c>
      <c r="R2382" s="107"/>
    </row>
    <row r="2383" hidden="1">
      <c r="A2383" s="443"/>
      <c r="B2383" s="43" t="str">
        <f>IF(A2383="", "", IFERROR(VLOOKUP(A2383, Clasificaciones!A:B, 2, FALSE), "DATO NO CARGADO"))
</f>
        <v/>
      </c>
      <c r="C2383" s="51"/>
      <c r="D2383" s="102"/>
      <c r="E2383" s="102"/>
      <c r="H2383" s="102"/>
      <c r="J2383" s="102"/>
      <c r="K2383" s="450"/>
      <c r="L2383" s="443"/>
      <c r="M2383" s="450"/>
      <c r="N2383" s="452">
        <f t="array" ref="N2383">IFERROR(
  INDEX(
    'Valor Hora Real y Estimada'!$A$4:$Z$78,
    MATCH(TRIM(CLEAN(A2383)), 'Valor Hora Real y Estimada'!$A$4:$A$78, 0),
    MATCH(
      TEXT(C2383,"dd mmm")&amp;" "&amp;D2383,
      'Valor Hora Real y Estimada'!$A$3:$Z$3,
      0
    ) + 1
  ),
  0
)</f>
        <v>0</v>
      </c>
      <c r="O2383" s="453"/>
      <c r="P2383" s="113"/>
      <c r="Q2383" s="106" t="str">
        <f>IF(ISBLANK(O2383), "", VLOOKUP(C2383&amp;" "&amp;D2383, 'Info Tipo de Cambio y REM'!$A$24:$B$35, 2, FALSE))</f>
        <v/>
      </c>
      <c r="R2383" s="107"/>
    </row>
    <row r="2384" hidden="1">
      <c r="A2384" s="443"/>
      <c r="B2384" s="43" t="str">
        <f>IF(A2384="", "", IFERROR(VLOOKUP(A2384, Clasificaciones!A:B, 2, FALSE), "DATO NO CARGADO"))
</f>
        <v/>
      </c>
      <c r="C2384" s="51"/>
      <c r="D2384" s="102"/>
      <c r="E2384" s="102"/>
      <c r="H2384" s="102"/>
      <c r="J2384" s="102"/>
      <c r="K2384" s="450"/>
      <c r="L2384" s="443"/>
      <c r="M2384" s="450"/>
      <c r="N2384" s="452">
        <f t="array" ref="N2384">IFERROR(
  INDEX(
    'Valor Hora Real y Estimada'!$A$4:$Z$78,
    MATCH(TRIM(CLEAN(A2384)), 'Valor Hora Real y Estimada'!$A$4:$A$78, 0),
    MATCH(
      TEXT(C2384,"dd mmm")&amp;" "&amp;D2384,
      'Valor Hora Real y Estimada'!$A$3:$Z$3,
      0
    ) + 1
  ),
  0
)</f>
        <v>0</v>
      </c>
      <c r="O2384" s="453"/>
      <c r="P2384" s="113"/>
      <c r="Q2384" s="106" t="str">
        <f>IF(ISBLANK(O2384), "", VLOOKUP(C2384&amp;" "&amp;D2384, 'Info Tipo de Cambio y REM'!$A$24:$B$35, 2, FALSE))</f>
        <v/>
      </c>
      <c r="R2384" s="107"/>
    </row>
    <row r="2385" hidden="1">
      <c r="A2385" s="443"/>
      <c r="B2385" s="43" t="str">
        <f>IF(A2385="", "", IFERROR(VLOOKUP(A2385, Clasificaciones!A:B, 2, FALSE), "DATO NO CARGADO"))
</f>
        <v/>
      </c>
      <c r="C2385" s="51"/>
      <c r="D2385" s="102"/>
      <c r="E2385" s="102"/>
      <c r="H2385" s="102"/>
      <c r="J2385" s="102"/>
      <c r="K2385" s="450"/>
      <c r="L2385" s="443"/>
      <c r="M2385" s="450"/>
      <c r="N2385" s="452">
        <f t="array" ref="N2385">IFERROR(
  INDEX(
    'Valor Hora Real y Estimada'!$A$4:$Z$78,
    MATCH(TRIM(CLEAN(A2385)), 'Valor Hora Real y Estimada'!$A$4:$A$78, 0),
    MATCH(
      TEXT(C2385,"dd mmm")&amp;" "&amp;D2385,
      'Valor Hora Real y Estimada'!$A$3:$Z$3,
      0
    ) + 1
  ),
  0
)</f>
        <v>0</v>
      </c>
      <c r="O2385" s="453"/>
      <c r="P2385" s="113"/>
      <c r="Q2385" s="106" t="str">
        <f>IF(ISBLANK(O2385), "", VLOOKUP(C2385&amp;" "&amp;D2385, 'Info Tipo de Cambio y REM'!$A$24:$B$35, 2, FALSE))</f>
        <v/>
      </c>
      <c r="R2385" s="107"/>
    </row>
    <row r="2386" hidden="1">
      <c r="A2386" s="443"/>
      <c r="B2386" s="43" t="str">
        <f>IF(A2386="", "", IFERROR(VLOOKUP(A2386, Clasificaciones!A:B, 2, FALSE), "DATO NO CARGADO"))
</f>
        <v/>
      </c>
      <c r="C2386" s="51"/>
      <c r="D2386" s="102"/>
      <c r="E2386" s="102"/>
      <c r="H2386" s="102"/>
      <c r="J2386" s="102"/>
      <c r="K2386" s="450"/>
      <c r="L2386" s="443"/>
      <c r="M2386" s="450"/>
      <c r="N2386" s="452">
        <f t="array" ref="N2386">IFERROR(
  INDEX(
    'Valor Hora Real y Estimada'!$A$4:$Z$78,
    MATCH(TRIM(CLEAN(A2386)), 'Valor Hora Real y Estimada'!$A$4:$A$78, 0),
    MATCH(
      TEXT(C2386,"dd mmm")&amp;" "&amp;D2386,
      'Valor Hora Real y Estimada'!$A$3:$Z$3,
      0
    ) + 1
  ),
  0
)</f>
        <v>0</v>
      </c>
      <c r="O2386" s="453"/>
      <c r="P2386" s="113"/>
      <c r="Q2386" s="106" t="str">
        <f>IF(ISBLANK(O2386), "", VLOOKUP(C2386&amp;" "&amp;D2386, 'Info Tipo de Cambio y REM'!$A$24:$B$35, 2, FALSE))</f>
        <v/>
      </c>
      <c r="R2386" s="107"/>
    </row>
    <row r="2387" hidden="1">
      <c r="A2387" s="443"/>
      <c r="B2387" s="43" t="str">
        <f>IF(A2387="", "", IFERROR(VLOOKUP(A2387, Clasificaciones!A:B, 2, FALSE), "DATO NO CARGADO"))
</f>
        <v/>
      </c>
      <c r="C2387" s="51"/>
      <c r="D2387" s="102"/>
      <c r="E2387" s="102"/>
      <c r="H2387" s="102"/>
      <c r="J2387" s="102"/>
      <c r="K2387" s="450"/>
      <c r="L2387" s="443"/>
      <c r="M2387" s="450"/>
      <c r="N2387" s="452">
        <f t="array" ref="N2387">IFERROR(
  INDEX(
    'Valor Hora Real y Estimada'!$A$4:$Z$78,
    MATCH(TRIM(CLEAN(A2387)), 'Valor Hora Real y Estimada'!$A$4:$A$78, 0),
    MATCH(
      TEXT(C2387,"dd mmm")&amp;" "&amp;D2387,
      'Valor Hora Real y Estimada'!$A$3:$Z$3,
      0
    ) + 1
  ),
  0
)</f>
        <v>0</v>
      </c>
      <c r="O2387" s="453"/>
      <c r="P2387" s="113"/>
      <c r="Q2387" s="106" t="str">
        <f>IF(ISBLANK(O2387), "", VLOOKUP(C2387&amp;" "&amp;D2387, 'Info Tipo de Cambio y REM'!$A$24:$B$35, 2, FALSE))</f>
        <v/>
      </c>
      <c r="R2387" s="107"/>
    </row>
    <row r="2388" hidden="1">
      <c r="A2388" s="443"/>
      <c r="B2388" s="43" t="str">
        <f>IF(A2388="", "", IFERROR(VLOOKUP(A2388, Clasificaciones!A:B, 2, FALSE), "DATO NO CARGADO"))
</f>
        <v/>
      </c>
      <c r="C2388" s="51"/>
      <c r="D2388" s="102"/>
      <c r="E2388" s="102"/>
      <c r="H2388" s="102"/>
      <c r="J2388" s="102"/>
      <c r="K2388" s="450"/>
      <c r="L2388" s="443"/>
      <c r="M2388" s="450"/>
      <c r="N2388" s="452">
        <f t="array" ref="N2388">IFERROR(
  INDEX(
    'Valor Hora Real y Estimada'!$A$4:$Z$78,
    MATCH(TRIM(CLEAN(A2388)), 'Valor Hora Real y Estimada'!$A$4:$A$78, 0),
    MATCH(
      TEXT(C2388,"dd mmm")&amp;" "&amp;D2388,
      'Valor Hora Real y Estimada'!$A$3:$Z$3,
      0
    ) + 1
  ),
  0
)</f>
        <v>0</v>
      </c>
      <c r="O2388" s="453"/>
      <c r="P2388" s="113"/>
      <c r="Q2388" s="106" t="str">
        <f>IF(ISBLANK(O2388), "", VLOOKUP(C2388&amp;" "&amp;D2388, 'Info Tipo de Cambio y REM'!$A$24:$B$35, 2, FALSE))</f>
        <v/>
      </c>
      <c r="R2388" s="107"/>
    </row>
    <row r="2389" hidden="1">
      <c r="A2389" s="443"/>
      <c r="B2389" s="43" t="str">
        <f>IF(A2389="", "", IFERROR(VLOOKUP(A2389, Clasificaciones!A:B, 2, FALSE), "DATO NO CARGADO"))
</f>
        <v/>
      </c>
      <c r="C2389" s="51"/>
      <c r="D2389" s="102"/>
      <c r="E2389" s="102"/>
      <c r="H2389" s="102"/>
      <c r="J2389" s="102"/>
      <c r="K2389" s="450"/>
      <c r="L2389" s="443"/>
      <c r="M2389" s="450"/>
      <c r="N2389" s="452">
        <f t="array" ref="N2389">IFERROR(
  INDEX(
    'Valor Hora Real y Estimada'!$A$4:$Z$78,
    MATCH(TRIM(CLEAN(A2389)), 'Valor Hora Real y Estimada'!$A$4:$A$78, 0),
    MATCH(
      TEXT(C2389,"dd mmm")&amp;" "&amp;D2389,
      'Valor Hora Real y Estimada'!$A$3:$Z$3,
      0
    ) + 1
  ),
  0
)</f>
        <v>0</v>
      </c>
      <c r="O2389" s="453"/>
      <c r="P2389" s="113"/>
      <c r="Q2389" s="106" t="str">
        <f>IF(ISBLANK(O2389), "", VLOOKUP(C2389&amp;" "&amp;D2389, 'Info Tipo de Cambio y REM'!$A$24:$B$35, 2, FALSE))</f>
        <v/>
      </c>
      <c r="R2389" s="107"/>
    </row>
    <row r="2390" hidden="1">
      <c r="A2390" s="443"/>
      <c r="B2390" s="43" t="str">
        <f>IF(A2390="", "", IFERROR(VLOOKUP(A2390, Clasificaciones!A:B, 2, FALSE), "DATO NO CARGADO"))
</f>
        <v/>
      </c>
      <c r="C2390" s="51"/>
      <c r="D2390" s="102"/>
      <c r="E2390" s="102"/>
      <c r="H2390" s="102"/>
      <c r="J2390" s="102"/>
      <c r="K2390" s="450"/>
      <c r="L2390" s="443"/>
      <c r="M2390" s="450"/>
      <c r="N2390" s="452">
        <f t="array" ref="N2390">IFERROR(
  INDEX(
    'Valor Hora Real y Estimada'!$A$4:$Z$78,
    MATCH(TRIM(CLEAN(A2390)), 'Valor Hora Real y Estimada'!$A$4:$A$78, 0),
    MATCH(
      TEXT(C2390,"dd mmm")&amp;" "&amp;D2390,
      'Valor Hora Real y Estimada'!$A$3:$Z$3,
      0
    ) + 1
  ),
  0
)</f>
        <v>0</v>
      </c>
      <c r="O2390" s="453"/>
      <c r="P2390" s="113"/>
      <c r="Q2390" s="106" t="str">
        <f>IF(ISBLANK(O2390), "", VLOOKUP(C2390&amp;" "&amp;D2390, 'Info Tipo de Cambio y REM'!$A$24:$B$35, 2, FALSE))</f>
        <v/>
      </c>
      <c r="R2390" s="107"/>
    </row>
    <row r="2391" hidden="1">
      <c r="A2391" s="443"/>
      <c r="B2391" s="43" t="str">
        <f>IF(A2391="", "", IFERROR(VLOOKUP(A2391, Clasificaciones!A:B, 2, FALSE), "DATO NO CARGADO"))
</f>
        <v/>
      </c>
      <c r="C2391" s="51"/>
      <c r="D2391" s="102"/>
      <c r="E2391" s="102"/>
      <c r="H2391" s="102"/>
      <c r="J2391" s="102"/>
      <c r="K2391" s="450"/>
      <c r="L2391" s="443"/>
      <c r="M2391" s="450"/>
      <c r="N2391" s="452">
        <f t="array" ref="N2391">IFERROR(
  INDEX(
    'Valor Hora Real y Estimada'!$A$4:$Z$78,
    MATCH(TRIM(CLEAN(A2391)), 'Valor Hora Real y Estimada'!$A$4:$A$78, 0),
    MATCH(
      TEXT(C2391,"dd mmm")&amp;" "&amp;D2391,
      'Valor Hora Real y Estimada'!$A$3:$Z$3,
      0
    ) + 1
  ),
  0
)</f>
        <v>0</v>
      </c>
      <c r="O2391" s="453"/>
      <c r="P2391" s="113"/>
      <c r="Q2391" s="106" t="str">
        <f>IF(ISBLANK(O2391), "", VLOOKUP(C2391&amp;" "&amp;D2391, 'Info Tipo de Cambio y REM'!$A$24:$B$35, 2, FALSE))</f>
        <v/>
      </c>
      <c r="R2391" s="107"/>
    </row>
    <row r="2392" hidden="1">
      <c r="A2392" s="443"/>
      <c r="B2392" s="43" t="str">
        <f>IF(A2392="", "", IFERROR(VLOOKUP(A2392, Clasificaciones!A:B, 2, FALSE), "DATO NO CARGADO"))
</f>
        <v/>
      </c>
      <c r="C2392" s="51"/>
      <c r="D2392" s="102"/>
      <c r="E2392" s="102"/>
      <c r="H2392" s="102"/>
      <c r="J2392" s="102"/>
      <c r="K2392" s="450"/>
      <c r="L2392" s="443"/>
      <c r="M2392" s="450"/>
      <c r="N2392" s="452">
        <f t="array" ref="N2392">IFERROR(
  INDEX(
    'Valor Hora Real y Estimada'!$A$4:$Z$78,
    MATCH(TRIM(CLEAN(A2392)), 'Valor Hora Real y Estimada'!$A$4:$A$78, 0),
    MATCH(
      TEXT(C2392,"dd mmm")&amp;" "&amp;D2392,
      'Valor Hora Real y Estimada'!$A$3:$Z$3,
      0
    ) + 1
  ),
  0
)</f>
        <v>0</v>
      </c>
      <c r="O2392" s="453"/>
      <c r="P2392" s="113"/>
      <c r="Q2392" s="106" t="str">
        <f>IF(ISBLANK(O2392), "", VLOOKUP(C2392&amp;" "&amp;D2392, 'Info Tipo de Cambio y REM'!$A$24:$B$35, 2, FALSE))</f>
        <v/>
      </c>
      <c r="R2392" s="107"/>
    </row>
    <row r="2393" hidden="1">
      <c r="A2393" s="443"/>
      <c r="B2393" s="43" t="str">
        <f>IF(A2393="", "", IFERROR(VLOOKUP(A2393, Clasificaciones!A:B, 2, FALSE), "DATO NO CARGADO"))
</f>
        <v/>
      </c>
      <c r="C2393" s="51"/>
      <c r="D2393" s="102"/>
      <c r="E2393" s="102"/>
      <c r="H2393" s="102"/>
      <c r="J2393" s="102"/>
      <c r="K2393" s="450"/>
      <c r="L2393" s="443"/>
      <c r="M2393" s="450"/>
      <c r="N2393" s="452">
        <f t="array" ref="N2393">IFERROR(
  INDEX(
    'Valor Hora Real y Estimada'!$A$4:$Z$78,
    MATCH(TRIM(CLEAN(A2393)), 'Valor Hora Real y Estimada'!$A$4:$A$78, 0),
    MATCH(
      TEXT(C2393,"dd mmm")&amp;" "&amp;D2393,
      'Valor Hora Real y Estimada'!$A$3:$Z$3,
      0
    ) + 1
  ),
  0
)</f>
        <v>0</v>
      </c>
      <c r="O2393" s="453"/>
      <c r="P2393" s="113"/>
      <c r="Q2393" s="106" t="str">
        <f>IF(ISBLANK(O2393), "", VLOOKUP(C2393&amp;" "&amp;D2393, 'Info Tipo de Cambio y REM'!$A$24:$B$35, 2, FALSE))</f>
        <v/>
      </c>
      <c r="R2393" s="107"/>
    </row>
    <row r="2394" hidden="1">
      <c r="A2394" s="443"/>
      <c r="B2394" s="43" t="str">
        <f>IF(A2394="", "", IFERROR(VLOOKUP(A2394, Clasificaciones!A:B, 2, FALSE), "DATO NO CARGADO"))
</f>
        <v/>
      </c>
      <c r="C2394" s="51"/>
      <c r="D2394" s="102"/>
      <c r="E2394" s="102"/>
      <c r="H2394" s="102"/>
      <c r="J2394" s="102"/>
      <c r="K2394" s="450"/>
      <c r="L2394" s="443"/>
      <c r="M2394" s="450"/>
      <c r="N2394" s="452">
        <f t="array" ref="N2394">IFERROR(
  INDEX(
    'Valor Hora Real y Estimada'!$A$4:$Z$78,
    MATCH(TRIM(CLEAN(A2394)), 'Valor Hora Real y Estimada'!$A$4:$A$78, 0),
    MATCH(
      TEXT(C2394,"dd mmm")&amp;" "&amp;D2394,
      'Valor Hora Real y Estimada'!$A$3:$Z$3,
      0
    ) + 1
  ),
  0
)</f>
        <v>0</v>
      </c>
      <c r="O2394" s="453"/>
      <c r="P2394" s="113"/>
      <c r="Q2394" s="106" t="str">
        <f>IF(ISBLANK(O2394), "", VLOOKUP(C2394&amp;" "&amp;D2394, 'Info Tipo de Cambio y REM'!$A$24:$B$35, 2, FALSE))</f>
        <v/>
      </c>
      <c r="R2394" s="107"/>
    </row>
    <row r="2395" hidden="1">
      <c r="A2395" s="443"/>
      <c r="B2395" s="43" t="str">
        <f>IF(A2395="", "", IFERROR(VLOOKUP(A2395, Clasificaciones!A:B, 2, FALSE), "DATO NO CARGADO"))
</f>
        <v/>
      </c>
      <c r="C2395" s="51"/>
      <c r="D2395" s="102"/>
      <c r="E2395" s="102"/>
      <c r="H2395" s="102"/>
      <c r="J2395" s="102"/>
      <c r="K2395" s="450"/>
      <c r="L2395" s="443"/>
      <c r="M2395" s="450"/>
      <c r="N2395" s="452">
        <f t="array" ref="N2395">IFERROR(
  INDEX(
    'Valor Hora Real y Estimada'!$A$4:$Z$78,
    MATCH(TRIM(CLEAN(A2395)), 'Valor Hora Real y Estimada'!$A$4:$A$78, 0),
    MATCH(
      TEXT(C2395,"dd mmm")&amp;" "&amp;D2395,
      'Valor Hora Real y Estimada'!$A$3:$Z$3,
      0
    ) + 1
  ),
  0
)</f>
        <v>0</v>
      </c>
      <c r="O2395" s="453"/>
      <c r="P2395" s="113"/>
      <c r="Q2395" s="106" t="str">
        <f>IF(ISBLANK(O2395), "", VLOOKUP(C2395&amp;" "&amp;D2395, 'Info Tipo de Cambio y REM'!$A$24:$B$35, 2, FALSE))</f>
        <v/>
      </c>
      <c r="R2395" s="107"/>
    </row>
    <row r="2396" hidden="1">
      <c r="A2396" s="443"/>
      <c r="B2396" s="43" t="str">
        <f>IF(A2396="", "", IFERROR(VLOOKUP(A2396, Clasificaciones!A:B, 2, FALSE), "DATO NO CARGADO"))
</f>
        <v/>
      </c>
      <c r="C2396" s="51"/>
      <c r="D2396" s="102"/>
      <c r="E2396" s="102"/>
      <c r="H2396" s="102"/>
      <c r="J2396" s="102"/>
      <c r="K2396" s="450"/>
      <c r="L2396" s="443"/>
      <c r="M2396" s="450"/>
      <c r="N2396" s="452">
        <f t="array" ref="N2396">IFERROR(
  INDEX(
    'Valor Hora Real y Estimada'!$A$4:$Z$78,
    MATCH(TRIM(CLEAN(A2396)), 'Valor Hora Real y Estimada'!$A$4:$A$78, 0),
    MATCH(
      TEXT(C2396,"dd mmm")&amp;" "&amp;D2396,
      'Valor Hora Real y Estimada'!$A$3:$Z$3,
      0
    ) + 1
  ),
  0
)</f>
        <v>0</v>
      </c>
      <c r="O2396" s="453"/>
      <c r="P2396" s="113"/>
      <c r="Q2396" s="106" t="str">
        <f>IF(ISBLANK(O2396), "", VLOOKUP(C2396&amp;" "&amp;D2396, 'Info Tipo de Cambio y REM'!$A$24:$B$35, 2, FALSE))</f>
        <v/>
      </c>
      <c r="R2396" s="107"/>
    </row>
    <row r="2397" hidden="1">
      <c r="A2397" s="443"/>
      <c r="B2397" s="43" t="str">
        <f>IF(A2397="", "", IFERROR(VLOOKUP(A2397, Clasificaciones!A:B, 2, FALSE), "DATO NO CARGADO"))
</f>
        <v/>
      </c>
      <c r="C2397" s="51"/>
      <c r="D2397" s="102"/>
      <c r="E2397" s="102"/>
      <c r="H2397" s="102"/>
      <c r="J2397" s="102"/>
      <c r="K2397" s="450"/>
      <c r="L2397" s="443"/>
      <c r="M2397" s="450"/>
      <c r="N2397" s="452">
        <f t="array" ref="N2397">IFERROR(
  INDEX(
    'Valor Hora Real y Estimada'!$A$4:$Z$78,
    MATCH(TRIM(CLEAN(A2397)), 'Valor Hora Real y Estimada'!$A$4:$A$78, 0),
    MATCH(
      TEXT(C2397,"dd mmm")&amp;" "&amp;D2397,
      'Valor Hora Real y Estimada'!$A$3:$Z$3,
      0
    ) + 1
  ),
  0
)</f>
        <v>0</v>
      </c>
      <c r="O2397" s="453"/>
      <c r="P2397" s="113"/>
      <c r="Q2397" s="106" t="str">
        <f>IF(ISBLANK(O2397), "", VLOOKUP(C2397&amp;" "&amp;D2397, 'Info Tipo de Cambio y REM'!$A$24:$B$35, 2, FALSE))</f>
        <v/>
      </c>
      <c r="R2397" s="107"/>
    </row>
    <row r="2398" hidden="1">
      <c r="A2398" s="443"/>
      <c r="B2398" s="43" t="str">
        <f>IF(A2398="", "", IFERROR(VLOOKUP(A2398, Clasificaciones!A:B, 2, FALSE), "DATO NO CARGADO"))
</f>
        <v/>
      </c>
      <c r="C2398" s="51"/>
      <c r="D2398" s="102"/>
      <c r="E2398" s="102"/>
      <c r="H2398" s="102"/>
      <c r="J2398" s="102"/>
      <c r="K2398" s="450"/>
      <c r="L2398" s="443"/>
      <c r="M2398" s="450"/>
      <c r="N2398" s="452">
        <f t="array" ref="N2398">IFERROR(
  INDEX(
    'Valor Hora Real y Estimada'!$A$4:$Z$78,
    MATCH(TRIM(CLEAN(A2398)), 'Valor Hora Real y Estimada'!$A$4:$A$78, 0),
    MATCH(
      TEXT(C2398,"dd mmm")&amp;" "&amp;D2398,
      'Valor Hora Real y Estimada'!$A$3:$Z$3,
      0
    ) + 1
  ),
  0
)</f>
        <v>0</v>
      </c>
      <c r="O2398" s="453"/>
      <c r="P2398" s="113"/>
      <c r="Q2398" s="106" t="str">
        <f>IF(ISBLANK(O2398), "", VLOOKUP(C2398&amp;" "&amp;D2398, 'Info Tipo de Cambio y REM'!$A$24:$B$35, 2, FALSE))</f>
        <v/>
      </c>
      <c r="R2398" s="107"/>
    </row>
    <row r="2399" hidden="1">
      <c r="A2399" s="443"/>
      <c r="B2399" s="43" t="str">
        <f>IF(A2399="", "", IFERROR(VLOOKUP(A2399, Clasificaciones!A:B, 2, FALSE), "DATO NO CARGADO"))
</f>
        <v/>
      </c>
      <c r="C2399" s="51"/>
      <c r="D2399" s="102"/>
      <c r="E2399" s="102"/>
      <c r="H2399" s="102"/>
      <c r="J2399" s="102"/>
      <c r="K2399" s="450"/>
      <c r="L2399" s="443"/>
      <c r="M2399" s="450"/>
      <c r="N2399" s="452">
        <f t="array" ref="N2399">IFERROR(
  INDEX(
    'Valor Hora Real y Estimada'!$A$4:$Z$78,
    MATCH(TRIM(CLEAN(A2399)), 'Valor Hora Real y Estimada'!$A$4:$A$78, 0),
    MATCH(
      TEXT(C2399,"dd mmm")&amp;" "&amp;D2399,
      'Valor Hora Real y Estimada'!$A$3:$Z$3,
      0
    ) + 1
  ),
  0
)</f>
        <v>0</v>
      </c>
      <c r="O2399" s="453"/>
      <c r="P2399" s="113"/>
      <c r="Q2399" s="106" t="str">
        <f>IF(ISBLANK(O2399), "", VLOOKUP(C2399&amp;" "&amp;D2399, 'Info Tipo de Cambio y REM'!$A$24:$B$35, 2, FALSE))</f>
        <v/>
      </c>
      <c r="R2399" s="107"/>
    </row>
    <row r="2400" hidden="1">
      <c r="A2400" s="443"/>
      <c r="B2400" s="43" t="str">
        <f>IF(A2400="", "", IFERROR(VLOOKUP(A2400, Clasificaciones!A:B, 2, FALSE), "DATO NO CARGADO"))
</f>
        <v/>
      </c>
      <c r="C2400" s="51"/>
      <c r="D2400" s="102"/>
      <c r="E2400" s="102"/>
      <c r="H2400" s="102"/>
      <c r="J2400" s="102"/>
      <c r="K2400" s="450"/>
      <c r="L2400" s="443"/>
      <c r="M2400" s="450"/>
      <c r="N2400" s="452">
        <f t="array" ref="N2400">IFERROR(
  INDEX(
    'Valor Hora Real y Estimada'!$A$4:$Z$78,
    MATCH(TRIM(CLEAN(A2400)), 'Valor Hora Real y Estimada'!$A$4:$A$78, 0),
    MATCH(
      TEXT(C2400,"dd mmm")&amp;" "&amp;D2400,
      'Valor Hora Real y Estimada'!$A$3:$Z$3,
      0
    ) + 1
  ),
  0
)</f>
        <v>0</v>
      </c>
      <c r="O2400" s="453"/>
      <c r="P2400" s="113"/>
      <c r="Q2400" s="106" t="str">
        <f>IF(ISBLANK(O2400), "", VLOOKUP(C2400&amp;" "&amp;D2400, 'Info Tipo de Cambio y REM'!$A$24:$B$35, 2, FALSE))</f>
        <v/>
      </c>
      <c r="R2400" s="107"/>
    </row>
    <row r="2401" hidden="1">
      <c r="A2401" s="443"/>
      <c r="B2401" s="43" t="str">
        <f>IF(A2401="", "", IFERROR(VLOOKUP(A2401, Clasificaciones!A:B, 2, FALSE), "DATO NO CARGADO"))
</f>
        <v/>
      </c>
      <c r="C2401" s="51"/>
      <c r="D2401" s="102"/>
      <c r="E2401" s="102"/>
      <c r="H2401" s="102"/>
      <c r="J2401" s="102"/>
      <c r="K2401" s="450"/>
      <c r="L2401" s="443"/>
      <c r="M2401" s="450"/>
      <c r="N2401" s="452">
        <f t="array" ref="N2401">IFERROR(
  INDEX(
    'Valor Hora Real y Estimada'!$A$4:$Z$78,
    MATCH(TRIM(CLEAN(A2401)), 'Valor Hora Real y Estimada'!$A$4:$A$78, 0),
    MATCH(
      TEXT(C2401,"dd mmm")&amp;" "&amp;D2401,
      'Valor Hora Real y Estimada'!$A$3:$Z$3,
      0
    ) + 1
  ),
  0
)</f>
        <v>0</v>
      </c>
      <c r="O2401" s="453"/>
      <c r="P2401" s="113"/>
      <c r="Q2401" s="106" t="str">
        <f>IF(ISBLANK(O2401), "", VLOOKUP(C2401&amp;" "&amp;D2401, 'Info Tipo de Cambio y REM'!$A$24:$B$35, 2, FALSE))</f>
        <v/>
      </c>
      <c r="R2401" s="107"/>
    </row>
    <row r="2402" hidden="1">
      <c r="A2402" s="443"/>
      <c r="B2402" s="43" t="str">
        <f>IF(A2402="", "", IFERROR(VLOOKUP(A2402, Clasificaciones!A:B, 2, FALSE), "DATO NO CARGADO"))
</f>
        <v/>
      </c>
      <c r="C2402" s="51"/>
      <c r="D2402" s="102"/>
      <c r="E2402" s="102"/>
      <c r="H2402" s="102"/>
      <c r="J2402" s="102"/>
      <c r="K2402" s="450"/>
      <c r="L2402" s="443"/>
      <c r="M2402" s="450"/>
      <c r="N2402" s="452">
        <f t="array" ref="N2402">IFERROR(
  INDEX(
    'Valor Hora Real y Estimada'!$A$4:$Z$78,
    MATCH(TRIM(CLEAN(A2402)), 'Valor Hora Real y Estimada'!$A$4:$A$78, 0),
    MATCH(
      TEXT(C2402,"dd mmm")&amp;" "&amp;D2402,
      'Valor Hora Real y Estimada'!$A$3:$Z$3,
      0
    ) + 1
  ),
  0
)</f>
        <v>0</v>
      </c>
      <c r="O2402" s="453"/>
      <c r="P2402" s="113"/>
      <c r="Q2402" s="106" t="str">
        <f>IF(ISBLANK(O2402), "", VLOOKUP(C2402&amp;" "&amp;D2402, 'Info Tipo de Cambio y REM'!$A$24:$B$35, 2, FALSE))</f>
        <v/>
      </c>
      <c r="R2402" s="107"/>
    </row>
    <row r="2403" hidden="1">
      <c r="A2403" s="443"/>
      <c r="B2403" s="43" t="str">
        <f>IF(A2403="", "", IFERROR(VLOOKUP(A2403, Clasificaciones!A:B, 2, FALSE), "DATO NO CARGADO"))
</f>
        <v/>
      </c>
      <c r="C2403" s="51"/>
      <c r="D2403" s="102"/>
      <c r="E2403" s="102"/>
      <c r="H2403" s="102"/>
      <c r="J2403" s="102"/>
      <c r="K2403" s="450"/>
      <c r="L2403" s="443"/>
      <c r="M2403" s="450"/>
      <c r="N2403" s="452">
        <f t="array" ref="N2403">IFERROR(
  INDEX(
    'Valor Hora Real y Estimada'!$A$4:$Z$78,
    MATCH(TRIM(CLEAN(A2403)), 'Valor Hora Real y Estimada'!$A$4:$A$78, 0),
    MATCH(
      TEXT(C2403,"dd mmm")&amp;" "&amp;D2403,
      'Valor Hora Real y Estimada'!$A$3:$Z$3,
      0
    ) + 1
  ),
  0
)</f>
        <v>0</v>
      </c>
      <c r="O2403" s="453"/>
      <c r="P2403" s="113"/>
      <c r="Q2403" s="106" t="str">
        <f>IF(ISBLANK(O2403), "", VLOOKUP(C2403&amp;" "&amp;D2403, 'Info Tipo de Cambio y REM'!$A$24:$B$35, 2, FALSE))</f>
        <v/>
      </c>
      <c r="R2403" s="107"/>
    </row>
    <row r="2404" hidden="1">
      <c r="A2404" s="443"/>
      <c r="B2404" s="43" t="str">
        <f>IF(A2404="", "", IFERROR(VLOOKUP(A2404, Clasificaciones!A:B, 2, FALSE), "DATO NO CARGADO"))
</f>
        <v/>
      </c>
      <c r="C2404" s="51"/>
      <c r="D2404" s="102"/>
      <c r="E2404" s="102"/>
      <c r="H2404" s="102"/>
      <c r="J2404" s="102"/>
      <c r="K2404" s="450"/>
      <c r="L2404" s="443"/>
      <c r="M2404" s="450"/>
      <c r="N2404" s="452">
        <f t="array" ref="N2404">IFERROR(
  INDEX(
    'Valor Hora Real y Estimada'!$A$4:$Z$78,
    MATCH(TRIM(CLEAN(A2404)), 'Valor Hora Real y Estimada'!$A$4:$A$78, 0),
    MATCH(
      TEXT(C2404,"dd mmm")&amp;" "&amp;D2404,
      'Valor Hora Real y Estimada'!$A$3:$Z$3,
      0
    ) + 1
  ),
  0
)</f>
        <v>0</v>
      </c>
      <c r="O2404" s="453"/>
      <c r="P2404" s="113"/>
      <c r="Q2404" s="106" t="str">
        <f>IF(ISBLANK(O2404), "", VLOOKUP(C2404&amp;" "&amp;D2404, 'Info Tipo de Cambio y REM'!$A$24:$B$35, 2, FALSE))</f>
        <v/>
      </c>
      <c r="R2404" s="107"/>
    </row>
    <row r="2405" hidden="1">
      <c r="A2405" s="443"/>
      <c r="B2405" s="43" t="str">
        <f>IF(A2405="", "", IFERROR(VLOOKUP(A2405, Clasificaciones!A:B, 2, FALSE), "DATO NO CARGADO"))
</f>
        <v/>
      </c>
      <c r="C2405" s="51"/>
      <c r="D2405" s="102"/>
      <c r="E2405" s="102"/>
      <c r="H2405" s="102"/>
      <c r="J2405" s="102"/>
      <c r="K2405" s="450"/>
      <c r="L2405" s="443"/>
      <c r="M2405" s="450"/>
      <c r="N2405" s="452">
        <f t="array" ref="N2405">IFERROR(
  INDEX(
    'Valor Hora Real y Estimada'!$A$4:$Z$78,
    MATCH(TRIM(CLEAN(A2405)), 'Valor Hora Real y Estimada'!$A$4:$A$78, 0),
    MATCH(
      TEXT(C2405,"dd mmm")&amp;" "&amp;D2405,
      'Valor Hora Real y Estimada'!$A$3:$Z$3,
      0
    ) + 1
  ),
  0
)</f>
        <v>0</v>
      </c>
      <c r="O2405" s="453"/>
      <c r="P2405" s="113"/>
      <c r="Q2405" s="106" t="str">
        <f>IF(ISBLANK(O2405), "", VLOOKUP(C2405&amp;" "&amp;D2405, 'Info Tipo de Cambio y REM'!$A$24:$B$35, 2, FALSE))</f>
        <v/>
      </c>
      <c r="R2405" s="107"/>
    </row>
    <row r="2406" hidden="1">
      <c r="A2406" s="443"/>
      <c r="B2406" s="43" t="str">
        <f>IF(A2406="", "", IFERROR(VLOOKUP(A2406, Clasificaciones!A:B, 2, FALSE), "DATO NO CARGADO"))
</f>
        <v/>
      </c>
      <c r="C2406" s="51"/>
      <c r="D2406" s="102"/>
      <c r="E2406" s="102"/>
      <c r="H2406" s="102"/>
      <c r="J2406" s="102"/>
      <c r="K2406" s="450"/>
      <c r="L2406" s="443"/>
      <c r="M2406" s="450"/>
      <c r="N2406" s="452">
        <f t="array" ref="N2406">IFERROR(
  INDEX(
    'Valor Hora Real y Estimada'!$A$4:$Z$78,
    MATCH(TRIM(CLEAN(A2406)), 'Valor Hora Real y Estimada'!$A$4:$A$78, 0),
    MATCH(
      TEXT(C2406,"dd mmm")&amp;" "&amp;D2406,
      'Valor Hora Real y Estimada'!$A$3:$Z$3,
      0
    ) + 1
  ),
  0
)</f>
        <v>0</v>
      </c>
      <c r="O2406" s="453"/>
      <c r="P2406" s="113"/>
      <c r="Q2406" s="106" t="str">
        <f>IF(ISBLANK(O2406), "", VLOOKUP(C2406&amp;" "&amp;D2406, 'Info Tipo de Cambio y REM'!$A$24:$B$35, 2, FALSE))</f>
        <v/>
      </c>
      <c r="R2406" s="107"/>
    </row>
    <row r="2407" hidden="1">
      <c r="A2407" s="443"/>
      <c r="B2407" s="43" t="str">
        <f>IF(A2407="", "", IFERROR(VLOOKUP(A2407, Clasificaciones!A:B, 2, FALSE), "DATO NO CARGADO"))
</f>
        <v/>
      </c>
      <c r="C2407" s="51"/>
      <c r="D2407" s="102"/>
      <c r="E2407" s="102"/>
      <c r="H2407" s="102"/>
      <c r="J2407" s="102"/>
      <c r="K2407" s="450"/>
      <c r="L2407" s="443"/>
      <c r="M2407" s="450"/>
      <c r="N2407" s="452">
        <f t="array" ref="N2407">IFERROR(
  INDEX(
    'Valor Hora Real y Estimada'!$A$4:$Z$78,
    MATCH(TRIM(CLEAN(A2407)), 'Valor Hora Real y Estimada'!$A$4:$A$78, 0),
    MATCH(
      TEXT(C2407,"dd mmm")&amp;" "&amp;D2407,
      'Valor Hora Real y Estimada'!$A$3:$Z$3,
      0
    ) + 1
  ),
  0
)</f>
        <v>0</v>
      </c>
      <c r="O2407" s="453"/>
      <c r="P2407" s="113"/>
      <c r="Q2407" s="106" t="str">
        <f>IF(ISBLANK(O2407), "", VLOOKUP(C2407&amp;" "&amp;D2407, 'Info Tipo de Cambio y REM'!$A$24:$B$35, 2, FALSE))</f>
        <v/>
      </c>
      <c r="R2407" s="107"/>
    </row>
    <row r="2408" hidden="1">
      <c r="A2408" s="443"/>
      <c r="B2408" s="43" t="str">
        <f>IF(A2408="", "", IFERROR(VLOOKUP(A2408, Clasificaciones!A:B, 2, FALSE), "DATO NO CARGADO"))
</f>
        <v/>
      </c>
      <c r="C2408" s="51"/>
      <c r="D2408" s="102"/>
      <c r="E2408" s="102"/>
      <c r="H2408" s="102"/>
      <c r="J2408" s="102"/>
      <c r="K2408" s="450"/>
      <c r="L2408" s="443"/>
      <c r="M2408" s="450"/>
      <c r="N2408" s="452">
        <f t="array" ref="N2408">IFERROR(
  INDEX(
    'Valor Hora Real y Estimada'!$A$4:$Z$78,
    MATCH(TRIM(CLEAN(A2408)), 'Valor Hora Real y Estimada'!$A$4:$A$78, 0),
    MATCH(
      TEXT(C2408,"dd mmm")&amp;" "&amp;D2408,
      'Valor Hora Real y Estimada'!$A$3:$Z$3,
      0
    ) + 1
  ),
  0
)</f>
        <v>0</v>
      </c>
      <c r="O2408" s="453"/>
      <c r="P2408" s="113"/>
      <c r="Q2408" s="106" t="str">
        <f>IF(ISBLANK(O2408), "", VLOOKUP(C2408&amp;" "&amp;D2408, 'Info Tipo de Cambio y REM'!$A$24:$B$35, 2, FALSE))</f>
        <v/>
      </c>
      <c r="R2408" s="107"/>
    </row>
    <row r="2409" hidden="1">
      <c r="A2409" s="443"/>
      <c r="B2409" s="43" t="str">
        <f>IF(A2409="", "", IFERROR(VLOOKUP(A2409, Clasificaciones!A:B, 2, FALSE), "DATO NO CARGADO"))
</f>
        <v/>
      </c>
      <c r="C2409" s="51"/>
      <c r="D2409" s="102"/>
      <c r="E2409" s="102"/>
      <c r="H2409" s="102"/>
      <c r="J2409" s="102"/>
      <c r="K2409" s="450"/>
      <c r="L2409" s="443"/>
      <c r="M2409" s="450"/>
      <c r="N2409" s="452">
        <f t="array" ref="N2409">IFERROR(
  INDEX(
    'Valor Hora Real y Estimada'!$A$4:$Z$78,
    MATCH(TRIM(CLEAN(A2409)), 'Valor Hora Real y Estimada'!$A$4:$A$78, 0),
    MATCH(
      TEXT(C2409,"dd mmm")&amp;" "&amp;D2409,
      'Valor Hora Real y Estimada'!$A$3:$Z$3,
      0
    ) + 1
  ),
  0
)</f>
        <v>0</v>
      </c>
      <c r="O2409" s="453"/>
      <c r="P2409" s="113"/>
      <c r="Q2409" s="106" t="str">
        <f>IF(ISBLANK(O2409), "", VLOOKUP(C2409&amp;" "&amp;D2409, 'Info Tipo de Cambio y REM'!$A$24:$B$35, 2, FALSE))</f>
        <v/>
      </c>
      <c r="R2409" s="107"/>
    </row>
    <row r="2410" hidden="1">
      <c r="A2410" s="443"/>
      <c r="B2410" s="43" t="str">
        <f>IF(A2410="", "", IFERROR(VLOOKUP(A2410, Clasificaciones!A:B, 2, FALSE), "DATO NO CARGADO"))
</f>
        <v/>
      </c>
      <c r="C2410" s="51"/>
      <c r="D2410" s="102"/>
      <c r="E2410" s="102"/>
      <c r="H2410" s="102"/>
      <c r="J2410" s="102"/>
      <c r="K2410" s="450"/>
      <c r="L2410" s="443"/>
      <c r="M2410" s="450"/>
      <c r="N2410" s="452">
        <f t="array" ref="N2410">IFERROR(
  INDEX(
    'Valor Hora Real y Estimada'!$A$4:$Z$78,
    MATCH(TRIM(CLEAN(A2410)), 'Valor Hora Real y Estimada'!$A$4:$A$78, 0),
    MATCH(
      TEXT(C2410,"dd mmm")&amp;" "&amp;D2410,
      'Valor Hora Real y Estimada'!$A$3:$Z$3,
      0
    ) + 1
  ),
  0
)</f>
        <v>0</v>
      </c>
      <c r="O2410" s="453"/>
      <c r="P2410" s="113"/>
      <c r="Q2410" s="106" t="str">
        <f>IF(ISBLANK(O2410), "", VLOOKUP(C2410&amp;" "&amp;D2410, 'Info Tipo de Cambio y REM'!$A$24:$B$35, 2, FALSE))</f>
        <v/>
      </c>
      <c r="R2410" s="107"/>
    </row>
    <row r="2411" hidden="1">
      <c r="A2411" s="443"/>
      <c r="B2411" s="43" t="str">
        <f>IF(A2411="", "", IFERROR(VLOOKUP(A2411, Clasificaciones!A:B, 2, FALSE), "DATO NO CARGADO"))
</f>
        <v/>
      </c>
      <c r="C2411" s="51"/>
      <c r="D2411" s="102"/>
      <c r="E2411" s="102"/>
      <c r="H2411" s="102"/>
      <c r="J2411" s="102"/>
      <c r="K2411" s="450"/>
      <c r="L2411" s="443"/>
      <c r="M2411" s="450"/>
      <c r="N2411" s="452">
        <f t="array" ref="N2411">IFERROR(
  INDEX(
    'Valor Hora Real y Estimada'!$A$4:$Z$78,
    MATCH(TRIM(CLEAN(A2411)), 'Valor Hora Real y Estimada'!$A$4:$A$78, 0),
    MATCH(
      TEXT(C2411,"dd mmm")&amp;" "&amp;D2411,
      'Valor Hora Real y Estimada'!$A$3:$Z$3,
      0
    ) + 1
  ),
  0
)</f>
        <v>0</v>
      </c>
      <c r="O2411" s="453"/>
      <c r="P2411" s="113"/>
      <c r="Q2411" s="106" t="str">
        <f>IF(ISBLANK(O2411), "", VLOOKUP(C2411&amp;" "&amp;D2411, 'Info Tipo de Cambio y REM'!$A$24:$B$35, 2, FALSE))</f>
        <v/>
      </c>
      <c r="R2411" s="107"/>
    </row>
    <row r="2412" hidden="1">
      <c r="A2412" s="443"/>
      <c r="B2412" s="43" t="str">
        <f>IF(A2412="", "", IFERROR(VLOOKUP(A2412, Clasificaciones!A:B, 2, FALSE), "DATO NO CARGADO"))
</f>
        <v/>
      </c>
      <c r="C2412" s="51"/>
      <c r="D2412" s="102"/>
      <c r="E2412" s="102"/>
      <c r="H2412" s="102"/>
      <c r="J2412" s="102"/>
      <c r="K2412" s="450"/>
      <c r="L2412" s="443"/>
      <c r="M2412" s="450"/>
      <c r="N2412" s="452">
        <f t="array" ref="N2412">IFERROR(
  INDEX(
    'Valor Hora Real y Estimada'!$A$4:$Z$78,
    MATCH(TRIM(CLEAN(A2412)), 'Valor Hora Real y Estimada'!$A$4:$A$78, 0),
    MATCH(
      TEXT(C2412,"dd mmm")&amp;" "&amp;D2412,
      'Valor Hora Real y Estimada'!$A$3:$Z$3,
      0
    ) + 1
  ),
  0
)</f>
        <v>0</v>
      </c>
      <c r="O2412" s="453"/>
      <c r="P2412" s="113"/>
      <c r="Q2412" s="106" t="str">
        <f>IF(ISBLANK(O2412), "", VLOOKUP(C2412&amp;" "&amp;D2412, 'Info Tipo de Cambio y REM'!$A$24:$B$35, 2, FALSE))</f>
        <v/>
      </c>
      <c r="R2412" s="107"/>
    </row>
    <row r="2413" hidden="1">
      <c r="A2413" s="443"/>
      <c r="B2413" s="43" t="str">
        <f>IF(A2413="", "", IFERROR(VLOOKUP(A2413, Clasificaciones!A:B, 2, FALSE), "DATO NO CARGADO"))
</f>
        <v/>
      </c>
      <c r="C2413" s="51"/>
      <c r="D2413" s="102"/>
      <c r="E2413" s="102"/>
      <c r="H2413" s="102"/>
      <c r="J2413" s="102"/>
      <c r="K2413" s="450"/>
      <c r="L2413" s="443"/>
      <c r="M2413" s="450"/>
      <c r="N2413" s="452">
        <f t="array" ref="N2413">IFERROR(
  INDEX(
    'Valor Hora Real y Estimada'!$A$4:$Z$78,
    MATCH(TRIM(CLEAN(A2413)), 'Valor Hora Real y Estimada'!$A$4:$A$78, 0),
    MATCH(
      TEXT(C2413,"dd mmm")&amp;" "&amp;D2413,
      'Valor Hora Real y Estimada'!$A$3:$Z$3,
      0
    ) + 1
  ),
  0
)</f>
        <v>0</v>
      </c>
      <c r="O2413" s="453"/>
      <c r="P2413" s="113"/>
      <c r="Q2413" s="106" t="str">
        <f>IF(ISBLANK(O2413), "", VLOOKUP(C2413&amp;" "&amp;D2413, 'Info Tipo de Cambio y REM'!$A$24:$B$35, 2, FALSE))</f>
        <v/>
      </c>
      <c r="R2413" s="107"/>
    </row>
    <row r="2414" hidden="1">
      <c r="A2414" s="443"/>
      <c r="B2414" s="43" t="str">
        <f>IF(A2414="", "", IFERROR(VLOOKUP(A2414, Clasificaciones!A:B, 2, FALSE), "DATO NO CARGADO"))
</f>
        <v/>
      </c>
      <c r="C2414" s="51"/>
      <c r="D2414" s="102"/>
      <c r="E2414" s="102"/>
      <c r="H2414" s="102"/>
      <c r="J2414" s="102"/>
      <c r="K2414" s="450"/>
      <c r="L2414" s="443"/>
      <c r="M2414" s="450"/>
      <c r="N2414" s="452">
        <f t="array" ref="N2414">IFERROR(
  INDEX(
    'Valor Hora Real y Estimada'!$A$4:$Z$78,
    MATCH(TRIM(CLEAN(A2414)), 'Valor Hora Real y Estimada'!$A$4:$A$78, 0),
    MATCH(
      TEXT(C2414,"dd mmm")&amp;" "&amp;D2414,
      'Valor Hora Real y Estimada'!$A$3:$Z$3,
      0
    ) + 1
  ),
  0
)</f>
        <v>0</v>
      </c>
      <c r="O2414" s="453"/>
      <c r="P2414" s="113"/>
      <c r="Q2414" s="106" t="str">
        <f>IF(ISBLANK(O2414), "", VLOOKUP(C2414&amp;" "&amp;D2414, 'Info Tipo de Cambio y REM'!$A$24:$B$35, 2, FALSE))</f>
        <v/>
      </c>
      <c r="R2414" s="107"/>
    </row>
    <row r="2415" hidden="1">
      <c r="A2415" s="443"/>
      <c r="B2415" s="43" t="str">
        <f>IF(A2415="", "", IFERROR(VLOOKUP(A2415, Clasificaciones!A:B, 2, FALSE), "DATO NO CARGADO"))
</f>
        <v/>
      </c>
      <c r="C2415" s="51"/>
      <c r="D2415" s="102"/>
      <c r="E2415" s="102"/>
      <c r="H2415" s="102"/>
      <c r="J2415" s="102"/>
      <c r="K2415" s="450"/>
      <c r="L2415" s="443"/>
      <c r="M2415" s="450"/>
      <c r="N2415" s="452">
        <f t="array" ref="N2415">IFERROR(
  INDEX(
    'Valor Hora Real y Estimada'!$A$4:$Z$78,
    MATCH(TRIM(CLEAN(A2415)), 'Valor Hora Real y Estimada'!$A$4:$A$78, 0),
    MATCH(
      TEXT(C2415,"dd mmm")&amp;" "&amp;D2415,
      'Valor Hora Real y Estimada'!$A$3:$Z$3,
      0
    ) + 1
  ),
  0
)</f>
        <v>0</v>
      </c>
      <c r="O2415" s="453"/>
      <c r="P2415" s="113"/>
      <c r="Q2415" s="106" t="str">
        <f>IF(ISBLANK(O2415), "", VLOOKUP(C2415&amp;" "&amp;D2415, 'Info Tipo de Cambio y REM'!$A$24:$B$35, 2, FALSE))</f>
        <v/>
      </c>
      <c r="R2415" s="107"/>
    </row>
    <row r="2416" hidden="1">
      <c r="A2416" s="443"/>
      <c r="B2416" s="43" t="str">
        <f>IF(A2416="", "", IFERROR(VLOOKUP(A2416, Clasificaciones!A:B, 2, FALSE), "DATO NO CARGADO"))
</f>
        <v/>
      </c>
      <c r="C2416" s="51"/>
      <c r="D2416" s="102"/>
      <c r="E2416" s="102"/>
      <c r="H2416" s="102"/>
      <c r="J2416" s="102"/>
      <c r="K2416" s="450"/>
      <c r="L2416" s="443"/>
      <c r="M2416" s="450"/>
      <c r="N2416" s="452">
        <f t="array" ref="N2416">IFERROR(
  INDEX(
    'Valor Hora Real y Estimada'!$A$4:$Z$78,
    MATCH(TRIM(CLEAN(A2416)), 'Valor Hora Real y Estimada'!$A$4:$A$78, 0),
    MATCH(
      TEXT(C2416,"dd mmm")&amp;" "&amp;D2416,
      'Valor Hora Real y Estimada'!$A$3:$Z$3,
      0
    ) + 1
  ),
  0
)</f>
        <v>0</v>
      </c>
      <c r="O2416" s="453"/>
      <c r="P2416" s="113"/>
      <c r="Q2416" s="106" t="str">
        <f>IF(ISBLANK(O2416), "", VLOOKUP(C2416&amp;" "&amp;D2416, 'Info Tipo de Cambio y REM'!$A$24:$B$35, 2, FALSE))</f>
        <v/>
      </c>
      <c r="R2416" s="107"/>
    </row>
    <row r="2417" hidden="1">
      <c r="A2417" s="443"/>
      <c r="B2417" s="43" t="str">
        <f>IF(A2417="", "", IFERROR(VLOOKUP(A2417, Clasificaciones!A:B, 2, FALSE), "DATO NO CARGADO"))
</f>
        <v/>
      </c>
      <c r="C2417" s="51"/>
      <c r="D2417" s="102"/>
      <c r="E2417" s="102"/>
      <c r="H2417" s="102"/>
      <c r="J2417" s="102"/>
      <c r="K2417" s="450"/>
      <c r="L2417" s="443"/>
      <c r="M2417" s="450"/>
      <c r="N2417" s="452">
        <f t="array" ref="N2417">IFERROR(
  INDEX(
    'Valor Hora Real y Estimada'!$A$4:$Z$78,
    MATCH(TRIM(CLEAN(A2417)), 'Valor Hora Real y Estimada'!$A$4:$A$78, 0),
    MATCH(
      TEXT(C2417,"dd mmm")&amp;" "&amp;D2417,
      'Valor Hora Real y Estimada'!$A$3:$Z$3,
      0
    ) + 1
  ),
  0
)</f>
        <v>0</v>
      </c>
      <c r="O2417" s="453"/>
      <c r="P2417" s="113"/>
      <c r="Q2417" s="106" t="str">
        <f>IF(ISBLANK(O2417), "", VLOOKUP(C2417&amp;" "&amp;D2417, 'Info Tipo de Cambio y REM'!$A$24:$B$35, 2, FALSE))</f>
        <v/>
      </c>
      <c r="R2417" s="107"/>
    </row>
    <row r="2418" hidden="1">
      <c r="A2418" s="443"/>
      <c r="B2418" s="43" t="str">
        <f>IF(A2418="", "", IFERROR(VLOOKUP(A2418, Clasificaciones!A:B, 2, FALSE), "DATO NO CARGADO"))
</f>
        <v/>
      </c>
      <c r="C2418" s="51"/>
      <c r="D2418" s="102"/>
      <c r="E2418" s="102"/>
      <c r="H2418" s="102"/>
      <c r="J2418" s="102"/>
      <c r="K2418" s="450"/>
      <c r="L2418" s="443"/>
      <c r="M2418" s="450"/>
      <c r="N2418" s="452">
        <f t="array" ref="N2418">IFERROR(
  INDEX(
    'Valor Hora Real y Estimada'!$A$4:$Z$78,
    MATCH(TRIM(CLEAN(A2418)), 'Valor Hora Real y Estimada'!$A$4:$A$78, 0),
    MATCH(
      TEXT(C2418,"dd mmm")&amp;" "&amp;D2418,
      'Valor Hora Real y Estimada'!$A$3:$Z$3,
      0
    ) + 1
  ),
  0
)</f>
        <v>0</v>
      </c>
      <c r="O2418" s="453"/>
      <c r="P2418" s="113"/>
      <c r="Q2418" s="106" t="str">
        <f>IF(ISBLANK(O2418), "", VLOOKUP(C2418&amp;" "&amp;D2418, 'Info Tipo de Cambio y REM'!$A$24:$B$35, 2, FALSE))</f>
        <v/>
      </c>
      <c r="R2418" s="107"/>
    </row>
    <row r="2419" hidden="1">
      <c r="A2419" s="443"/>
      <c r="B2419" s="43" t="str">
        <f>IF(A2419="", "", IFERROR(VLOOKUP(A2419, Clasificaciones!A:B, 2, FALSE), "DATO NO CARGADO"))
</f>
        <v/>
      </c>
      <c r="C2419" s="51"/>
      <c r="D2419" s="102"/>
      <c r="E2419" s="102"/>
      <c r="H2419" s="102"/>
      <c r="J2419" s="102"/>
      <c r="K2419" s="450"/>
      <c r="L2419" s="443"/>
      <c r="M2419" s="450"/>
      <c r="N2419" s="452">
        <f t="array" ref="N2419">IFERROR(
  INDEX(
    'Valor Hora Real y Estimada'!$A$4:$Z$78,
    MATCH(TRIM(CLEAN(A2419)), 'Valor Hora Real y Estimada'!$A$4:$A$78, 0),
    MATCH(
      TEXT(C2419,"dd mmm")&amp;" "&amp;D2419,
      'Valor Hora Real y Estimada'!$A$3:$Z$3,
      0
    ) + 1
  ),
  0
)</f>
        <v>0</v>
      </c>
      <c r="O2419" s="453"/>
      <c r="P2419" s="113"/>
      <c r="Q2419" s="106" t="str">
        <f>IF(ISBLANK(O2419), "", VLOOKUP(C2419&amp;" "&amp;D2419, 'Info Tipo de Cambio y REM'!$A$24:$B$35, 2, FALSE))</f>
        <v/>
      </c>
      <c r="R2419" s="107"/>
    </row>
    <row r="2420" hidden="1">
      <c r="A2420" s="443"/>
      <c r="B2420" s="43" t="str">
        <f>IF(A2420="", "", IFERROR(VLOOKUP(A2420, Clasificaciones!A:B, 2, FALSE), "DATO NO CARGADO"))
</f>
        <v/>
      </c>
      <c r="C2420" s="51"/>
      <c r="D2420" s="102"/>
      <c r="E2420" s="102"/>
      <c r="H2420" s="102"/>
      <c r="J2420" s="102"/>
      <c r="K2420" s="450"/>
      <c r="L2420" s="443"/>
      <c r="M2420" s="450"/>
      <c r="N2420" s="452">
        <f t="array" ref="N2420">IFERROR(
  INDEX(
    'Valor Hora Real y Estimada'!$A$4:$Z$78,
    MATCH(TRIM(CLEAN(A2420)), 'Valor Hora Real y Estimada'!$A$4:$A$78, 0),
    MATCH(
      TEXT(C2420,"dd mmm")&amp;" "&amp;D2420,
      'Valor Hora Real y Estimada'!$A$3:$Z$3,
      0
    ) + 1
  ),
  0
)</f>
        <v>0</v>
      </c>
      <c r="O2420" s="453"/>
      <c r="P2420" s="113"/>
      <c r="Q2420" s="106" t="str">
        <f>IF(ISBLANK(O2420), "", VLOOKUP(C2420&amp;" "&amp;D2420, 'Info Tipo de Cambio y REM'!$A$24:$B$35, 2, FALSE))</f>
        <v/>
      </c>
      <c r="R2420" s="107"/>
    </row>
    <row r="2421" hidden="1">
      <c r="A2421" s="443"/>
      <c r="B2421" s="43" t="str">
        <f>IF(A2421="", "", IFERROR(VLOOKUP(A2421, Clasificaciones!A:B, 2, FALSE), "DATO NO CARGADO"))
</f>
        <v/>
      </c>
      <c r="C2421" s="51"/>
      <c r="D2421" s="102"/>
      <c r="E2421" s="102"/>
      <c r="H2421" s="102"/>
      <c r="J2421" s="102"/>
      <c r="K2421" s="450"/>
      <c r="L2421" s="443"/>
      <c r="M2421" s="450"/>
      <c r="N2421" s="452">
        <f t="array" ref="N2421">IFERROR(
  INDEX(
    'Valor Hora Real y Estimada'!$A$4:$Z$78,
    MATCH(TRIM(CLEAN(A2421)), 'Valor Hora Real y Estimada'!$A$4:$A$78, 0),
    MATCH(
      TEXT(C2421,"dd mmm")&amp;" "&amp;D2421,
      'Valor Hora Real y Estimada'!$A$3:$Z$3,
      0
    ) + 1
  ),
  0
)</f>
        <v>0</v>
      </c>
      <c r="O2421" s="453"/>
      <c r="P2421" s="113"/>
      <c r="Q2421" s="106" t="str">
        <f>IF(ISBLANK(O2421), "", VLOOKUP(C2421&amp;" "&amp;D2421, 'Info Tipo de Cambio y REM'!$A$24:$B$35, 2, FALSE))</f>
        <v/>
      </c>
      <c r="R2421" s="107"/>
    </row>
    <row r="2422" hidden="1">
      <c r="A2422" s="443"/>
      <c r="B2422" s="43" t="str">
        <f>IF(A2422="", "", IFERROR(VLOOKUP(A2422, Clasificaciones!A:B, 2, FALSE), "DATO NO CARGADO"))
</f>
        <v/>
      </c>
      <c r="C2422" s="51"/>
      <c r="D2422" s="102"/>
      <c r="E2422" s="102"/>
      <c r="H2422" s="102"/>
      <c r="J2422" s="102"/>
      <c r="K2422" s="450"/>
      <c r="L2422" s="443"/>
      <c r="M2422" s="450"/>
      <c r="N2422" s="452">
        <f t="array" ref="N2422">IFERROR(
  INDEX(
    'Valor Hora Real y Estimada'!$A$4:$Z$78,
    MATCH(TRIM(CLEAN(A2422)), 'Valor Hora Real y Estimada'!$A$4:$A$78, 0),
    MATCH(
      TEXT(C2422,"dd mmm")&amp;" "&amp;D2422,
      'Valor Hora Real y Estimada'!$A$3:$Z$3,
      0
    ) + 1
  ),
  0
)</f>
        <v>0</v>
      </c>
      <c r="O2422" s="453"/>
      <c r="P2422" s="113"/>
      <c r="Q2422" s="106" t="str">
        <f>IF(ISBLANK(O2422), "", VLOOKUP(C2422&amp;" "&amp;D2422, 'Info Tipo de Cambio y REM'!$A$24:$B$35, 2, FALSE))</f>
        <v/>
      </c>
      <c r="R2422" s="107"/>
    </row>
    <row r="2423" hidden="1">
      <c r="A2423" s="443"/>
      <c r="B2423" s="43" t="str">
        <f>IF(A2423="", "", IFERROR(VLOOKUP(A2423, Clasificaciones!A:B, 2, FALSE), "DATO NO CARGADO"))
</f>
        <v/>
      </c>
      <c r="C2423" s="51"/>
      <c r="D2423" s="102"/>
      <c r="E2423" s="102"/>
      <c r="H2423" s="102"/>
      <c r="J2423" s="102"/>
      <c r="K2423" s="450"/>
      <c r="L2423" s="443"/>
      <c r="M2423" s="450"/>
      <c r="N2423" s="452">
        <f t="array" ref="N2423">IFERROR(
  INDEX(
    'Valor Hora Real y Estimada'!$A$4:$Z$78,
    MATCH(TRIM(CLEAN(A2423)), 'Valor Hora Real y Estimada'!$A$4:$A$78, 0),
    MATCH(
      TEXT(C2423,"dd mmm")&amp;" "&amp;D2423,
      'Valor Hora Real y Estimada'!$A$3:$Z$3,
      0
    ) + 1
  ),
  0
)</f>
        <v>0</v>
      </c>
      <c r="O2423" s="453"/>
      <c r="P2423" s="113"/>
      <c r="Q2423" s="106" t="str">
        <f>IF(ISBLANK(O2423), "", VLOOKUP(C2423&amp;" "&amp;D2423, 'Info Tipo de Cambio y REM'!$A$24:$B$35, 2, FALSE))</f>
        <v/>
      </c>
      <c r="R2423" s="107"/>
    </row>
    <row r="2424" hidden="1">
      <c r="A2424" s="443"/>
      <c r="B2424" s="43" t="str">
        <f>IF(A2424="", "", IFERROR(VLOOKUP(A2424, Clasificaciones!A:B, 2, FALSE), "DATO NO CARGADO"))
</f>
        <v/>
      </c>
      <c r="C2424" s="51"/>
      <c r="D2424" s="102"/>
      <c r="E2424" s="102"/>
      <c r="H2424" s="102"/>
      <c r="J2424" s="102"/>
      <c r="K2424" s="450"/>
      <c r="L2424" s="443"/>
      <c r="M2424" s="450"/>
      <c r="N2424" s="452">
        <f t="array" ref="N2424">IFERROR(
  INDEX(
    'Valor Hora Real y Estimada'!$A$4:$Z$78,
    MATCH(TRIM(CLEAN(A2424)), 'Valor Hora Real y Estimada'!$A$4:$A$78, 0),
    MATCH(
      TEXT(C2424,"dd mmm")&amp;" "&amp;D2424,
      'Valor Hora Real y Estimada'!$A$3:$Z$3,
      0
    ) + 1
  ),
  0
)</f>
        <v>0</v>
      </c>
      <c r="O2424" s="453"/>
      <c r="P2424" s="113"/>
      <c r="Q2424" s="106" t="str">
        <f>IF(ISBLANK(O2424), "", VLOOKUP(C2424&amp;" "&amp;D2424, 'Info Tipo de Cambio y REM'!$A$24:$B$35, 2, FALSE))</f>
        <v/>
      </c>
      <c r="R2424" s="107"/>
    </row>
    <row r="2425" hidden="1">
      <c r="A2425" s="443"/>
      <c r="B2425" s="43" t="str">
        <f>IF(A2425="", "", IFERROR(VLOOKUP(A2425, Clasificaciones!A:B, 2, FALSE), "DATO NO CARGADO"))
</f>
        <v/>
      </c>
      <c r="C2425" s="51"/>
      <c r="D2425" s="102"/>
      <c r="E2425" s="102"/>
      <c r="H2425" s="102"/>
      <c r="J2425" s="102"/>
      <c r="K2425" s="450"/>
      <c r="L2425" s="443"/>
      <c r="M2425" s="450"/>
      <c r="N2425" s="452">
        <f t="array" ref="N2425">IFERROR(
  INDEX(
    'Valor Hora Real y Estimada'!$A$4:$Z$78,
    MATCH(TRIM(CLEAN(A2425)), 'Valor Hora Real y Estimada'!$A$4:$A$78, 0),
    MATCH(
      TEXT(C2425,"dd mmm")&amp;" "&amp;D2425,
      'Valor Hora Real y Estimada'!$A$3:$Z$3,
      0
    ) + 1
  ),
  0
)</f>
        <v>0</v>
      </c>
      <c r="O2425" s="453"/>
      <c r="P2425" s="113"/>
      <c r="Q2425" s="106" t="str">
        <f>IF(ISBLANK(O2425), "", VLOOKUP(C2425&amp;" "&amp;D2425, 'Info Tipo de Cambio y REM'!$A$24:$B$35, 2, FALSE))</f>
        <v/>
      </c>
      <c r="R2425" s="107"/>
    </row>
    <row r="2426" hidden="1">
      <c r="A2426" s="443"/>
      <c r="B2426" s="43" t="str">
        <f>IF(A2426="", "", IFERROR(VLOOKUP(A2426, Clasificaciones!A:B, 2, FALSE), "DATO NO CARGADO"))
</f>
        <v/>
      </c>
      <c r="C2426" s="51"/>
      <c r="D2426" s="102"/>
      <c r="E2426" s="102"/>
      <c r="H2426" s="102"/>
      <c r="J2426" s="102"/>
      <c r="K2426" s="450"/>
      <c r="L2426" s="443"/>
      <c r="M2426" s="450"/>
      <c r="N2426" s="452">
        <f t="array" ref="N2426">IFERROR(
  INDEX(
    'Valor Hora Real y Estimada'!$A$4:$Z$78,
    MATCH(TRIM(CLEAN(A2426)), 'Valor Hora Real y Estimada'!$A$4:$A$78, 0),
    MATCH(
      TEXT(C2426,"dd mmm")&amp;" "&amp;D2426,
      'Valor Hora Real y Estimada'!$A$3:$Z$3,
      0
    ) + 1
  ),
  0
)</f>
        <v>0</v>
      </c>
      <c r="O2426" s="453"/>
      <c r="P2426" s="113"/>
      <c r="Q2426" s="106" t="str">
        <f>IF(ISBLANK(O2426), "", VLOOKUP(C2426&amp;" "&amp;D2426, 'Info Tipo de Cambio y REM'!$A$24:$B$35, 2, FALSE))</f>
        <v/>
      </c>
      <c r="R2426" s="107"/>
    </row>
    <row r="2427" hidden="1">
      <c r="A2427" s="443"/>
      <c r="B2427" s="43" t="str">
        <f>IF(A2427="", "", IFERROR(VLOOKUP(A2427, Clasificaciones!A:B, 2, FALSE), "DATO NO CARGADO"))
</f>
        <v/>
      </c>
      <c r="C2427" s="51"/>
      <c r="D2427" s="102"/>
      <c r="E2427" s="102"/>
      <c r="H2427" s="102"/>
      <c r="J2427" s="102"/>
      <c r="K2427" s="450"/>
      <c r="L2427" s="443"/>
      <c r="M2427" s="450"/>
      <c r="N2427" s="452">
        <f t="array" ref="N2427">IFERROR(
  INDEX(
    'Valor Hora Real y Estimada'!$A$4:$Z$78,
    MATCH(TRIM(CLEAN(A2427)), 'Valor Hora Real y Estimada'!$A$4:$A$78, 0),
    MATCH(
      TEXT(C2427,"dd mmm")&amp;" "&amp;D2427,
      'Valor Hora Real y Estimada'!$A$3:$Z$3,
      0
    ) + 1
  ),
  0
)</f>
        <v>0</v>
      </c>
      <c r="O2427" s="453"/>
      <c r="P2427" s="113"/>
      <c r="Q2427" s="106" t="str">
        <f>IF(ISBLANK(O2427), "", VLOOKUP(C2427&amp;" "&amp;D2427, 'Info Tipo de Cambio y REM'!$A$24:$B$35, 2, FALSE))</f>
        <v/>
      </c>
      <c r="R2427" s="107"/>
    </row>
    <row r="2428" hidden="1">
      <c r="A2428" s="443"/>
      <c r="B2428" s="43" t="str">
        <f>IF(A2428="", "", IFERROR(VLOOKUP(A2428, Clasificaciones!A:B, 2, FALSE), "DATO NO CARGADO"))
</f>
        <v/>
      </c>
      <c r="C2428" s="51"/>
      <c r="D2428" s="102"/>
      <c r="E2428" s="102"/>
      <c r="H2428" s="102"/>
      <c r="J2428" s="102"/>
      <c r="K2428" s="450"/>
      <c r="L2428" s="443"/>
      <c r="M2428" s="450"/>
      <c r="N2428" s="452">
        <f t="array" ref="N2428">IFERROR(
  INDEX(
    'Valor Hora Real y Estimada'!$A$4:$Z$78,
    MATCH(TRIM(CLEAN(A2428)), 'Valor Hora Real y Estimada'!$A$4:$A$78, 0),
    MATCH(
      TEXT(C2428,"dd mmm")&amp;" "&amp;D2428,
      'Valor Hora Real y Estimada'!$A$3:$Z$3,
      0
    ) + 1
  ),
  0
)</f>
        <v>0</v>
      </c>
      <c r="O2428" s="453"/>
      <c r="P2428" s="113"/>
      <c r="Q2428" s="106" t="str">
        <f>IF(ISBLANK(O2428), "", VLOOKUP(C2428&amp;" "&amp;D2428, 'Info Tipo de Cambio y REM'!$A$24:$B$35, 2, FALSE))</f>
        <v/>
      </c>
      <c r="R2428" s="107"/>
    </row>
    <row r="2429" hidden="1">
      <c r="A2429" s="443"/>
      <c r="B2429" s="43" t="str">
        <f>IF(A2429="", "", IFERROR(VLOOKUP(A2429, Clasificaciones!A:B, 2, FALSE), "DATO NO CARGADO"))
</f>
        <v/>
      </c>
      <c r="C2429" s="51"/>
      <c r="D2429" s="102"/>
      <c r="E2429" s="102"/>
      <c r="H2429" s="102"/>
      <c r="J2429" s="102"/>
      <c r="K2429" s="450"/>
      <c r="L2429" s="443"/>
      <c r="M2429" s="450"/>
      <c r="N2429" s="452">
        <f t="array" ref="N2429">IFERROR(
  INDEX(
    'Valor Hora Real y Estimada'!$A$4:$Z$78,
    MATCH(TRIM(CLEAN(A2429)), 'Valor Hora Real y Estimada'!$A$4:$A$78, 0),
    MATCH(
      TEXT(C2429,"dd mmm")&amp;" "&amp;D2429,
      'Valor Hora Real y Estimada'!$A$3:$Z$3,
      0
    ) + 1
  ),
  0
)</f>
        <v>0</v>
      </c>
      <c r="O2429" s="453"/>
      <c r="P2429" s="113"/>
      <c r="Q2429" s="106" t="str">
        <f>IF(ISBLANK(O2429), "", VLOOKUP(C2429&amp;" "&amp;D2429, 'Info Tipo de Cambio y REM'!$A$24:$B$35, 2, FALSE))</f>
        <v/>
      </c>
      <c r="R2429" s="107"/>
    </row>
    <row r="2430" hidden="1">
      <c r="A2430" s="443"/>
      <c r="B2430" s="43" t="str">
        <f>IF(A2430="", "", IFERROR(VLOOKUP(A2430, Clasificaciones!A:B, 2, FALSE), "DATO NO CARGADO"))
</f>
        <v/>
      </c>
      <c r="C2430" s="51"/>
      <c r="D2430" s="102"/>
      <c r="E2430" s="102"/>
      <c r="H2430" s="102"/>
      <c r="J2430" s="102"/>
      <c r="K2430" s="450"/>
      <c r="L2430" s="443"/>
      <c r="M2430" s="450"/>
      <c r="N2430" s="452">
        <f t="array" ref="N2430">IFERROR(
  INDEX(
    'Valor Hora Real y Estimada'!$A$4:$Z$78,
    MATCH(TRIM(CLEAN(A2430)), 'Valor Hora Real y Estimada'!$A$4:$A$78, 0),
    MATCH(
      TEXT(C2430,"dd mmm")&amp;" "&amp;D2430,
      'Valor Hora Real y Estimada'!$A$3:$Z$3,
      0
    ) + 1
  ),
  0
)</f>
        <v>0</v>
      </c>
      <c r="O2430" s="453"/>
      <c r="P2430" s="113"/>
      <c r="Q2430" s="106" t="str">
        <f>IF(ISBLANK(O2430), "", VLOOKUP(C2430&amp;" "&amp;D2430, 'Info Tipo de Cambio y REM'!$A$24:$B$35, 2, FALSE))</f>
        <v/>
      </c>
      <c r="R2430" s="107"/>
    </row>
    <row r="2431" hidden="1">
      <c r="A2431" s="443"/>
      <c r="B2431" s="43" t="str">
        <f>IF(A2431="", "", IFERROR(VLOOKUP(A2431, Clasificaciones!A:B, 2, FALSE), "DATO NO CARGADO"))
</f>
        <v/>
      </c>
      <c r="C2431" s="51"/>
      <c r="D2431" s="102"/>
      <c r="E2431" s="102"/>
      <c r="H2431" s="102"/>
      <c r="J2431" s="102"/>
      <c r="K2431" s="450"/>
      <c r="L2431" s="443"/>
      <c r="M2431" s="450"/>
      <c r="N2431" s="452">
        <f t="array" ref="N2431">IFERROR(
  INDEX(
    'Valor Hora Real y Estimada'!$A$4:$Z$78,
    MATCH(TRIM(CLEAN(A2431)), 'Valor Hora Real y Estimada'!$A$4:$A$78, 0),
    MATCH(
      TEXT(C2431,"dd mmm")&amp;" "&amp;D2431,
      'Valor Hora Real y Estimada'!$A$3:$Z$3,
      0
    ) + 1
  ),
  0
)</f>
        <v>0</v>
      </c>
      <c r="O2431" s="453"/>
      <c r="P2431" s="113"/>
      <c r="Q2431" s="106" t="str">
        <f>IF(ISBLANK(O2431), "", VLOOKUP(C2431&amp;" "&amp;D2431, 'Info Tipo de Cambio y REM'!$A$24:$B$35, 2, FALSE))</f>
        <v/>
      </c>
      <c r="R2431" s="107"/>
    </row>
    <row r="2432" hidden="1">
      <c r="A2432" s="443"/>
      <c r="B2432" s="43" t="str">
        <f>IF(A2432="", "", IFERROR(VLOOKUP(A2432, Clasificaciones!A:B, 2, FALSE), "DATO NO CARGADO"))
</f>
        <v/>
      </c>
      <c r="C2432" s="51"/>
      <c r="D2432" s="102"/>
      <c r="E2432" s="102"/>
      <c r="H2432" s="102"/>
      <c r="J2432" s="102"/>
      <c r="K2432" s="450"/>
      <c r="L2432" s="443"/>
      <c r="M2432" s="450"/>
      <c r="N2432" s="452">
        <f t="array" ref="N2432">IFERROR(
  INDEX(
    'Valor Hora Real y Estimada'!$A$4:$Z$78,
    MATCH(TRIM(CLEAN(A2432)), 'Valor Hora Real y Estimada'!$A$4:$A$78, 0),
    MATCH(
      TEXT(C2432,"dd mmm")&amp;" "&amp;D2432,
      'Valor Hora Real y Estimada'!$A$3:$Z$3,
      0
    ) + 1
  ),
  0
)</f>
        <v>0</v>
      </c>
      <c r="O2432" s="453"/>
      <c r="P2432" s="113"/>
      <c r="Q2432" s="106" t="str">
        <f>IF(ISBLANK(O2432), "", VLOOKUP(C2432&amp;" "&amp;D2432, 'Info Tipo de Cambio y REM'!$A$24:$B$35, 2, FALSE))</f>
        <v/>
      </c>
      <c r="R2432" s="107"/>
    </row>
    <row r="2433" hidden="1">
      <c r="A2433" s="443"/>
      <c r="B2433" s="43" t="str">
        <f>IF(A2433="", "", IFERROR(VLOOKUP(A2433, Clasificaciones!A:B, 2, FALSE), "DATO NO CARGADO"))
</f>
        <v/>
      </c>
      <c r="C2433" s="51"/>
      <c r="D2433" s="102"/>
      <c r="E2433" s="102"/>
      <c r="H2433" s="102"/>
      <c r="J2433" s="102"/>
      <c r="K2433" s="450"/>
      <c r="L2433" s="443"/>
      <c r="M2433" s="450"/>
      <c r="N2433" s="452">
        <f t="array" ref="N2433">IFERROR(
  INDEX(
    'Valor Hora Real y Estimada'!$A$4:$Z$78,
    MATCH(TRIM(CLEAN(A2433)), 'Valor Hora Real y Estimada'!$A$4:$A$78, 0),
    MATCH(
      TEXT(C2433,"dd mmm")&amp;" "&amp;D2433,
      'Valor Hora Real y Estimada'!$A$3:$Z$3,
      0
    ) + 1
  ),
  0
)</f>
        <v>0</v>
      </c>
      <c r="O2433" s="453"/>
      <c r="P2433" s="113"/>
      <c r="Q2433" s="106" t="str">
        <f>IF(ISBLANK(O2433), "", VLOOKUP(C2433&amp;" "&amp;D2433, 'Info Tipo de Cambio y REM'!$A$24:$B$35, 2, FALSE))</f>
        <v/>
      </c>
      <c r="R2433" s="107"/>
    </row>
    <row r="2434" hidden="1">
      <c r="A2434" s="443"/>
      <c r="B2434" s="43" t="str">
        <f>IF(A2434="", "", IFERROR(VLOOKUP(A2434, Clasificaciones!A:B, 2, FALSE), "DATO NO CARGADO"))
</f>
        <v/>
      </c>
      <c r="C2434" s="51"/>
      <c r="D2434" s="102"/>
      <c r="E2434" s="102"/>
      <c r="H2434" s="102"/>
      <c r="J2434" s="102"/>
      <c r="K2434" s="450"/>
      <c r="L2434" s="443"/>
      <c r="M2434" s="450"/>
      <c r="N2434" s="452">
        <f t="array" ref="N2434">IFERROR(
  INDEX(
    'Valor Hora Real y Estimada'!$A$4:$Z$78,
    MATCH(TRIM(CLEAN(A2434)), 'Valor Hora Real y Estimada'!$A$4:$A$78, 0),
    MATCH(
      TEXT(C2434,"dd mmm")&amp;" "&amp;D2434,
      'Valor Hora Real y Estimada'!$A$3:$Z$3,
      0
    ) + 1
  ),
  0
)</f>
        <v>0</v>
      </c>
      <c r="O2434" s="453"/>
      <c r="P2434" s="113"/>
      <c r="Q2434" s="106" t="str">
        <f>IF(ISBLANK(O2434), "", VLOOKUP(C2434&amp;" "&amp;D2434, 'Info Tipo de Cambio y REM'!$A$24:$B$35, 2, FALSE))</f>
        <v/>
      </c>
      <c r="R2434" s="107"/>
    </row>
    <row r="2435" hidden="1">
      <c r="A2435" s="443"/>
      <c r="B2435" s="43" t="str">
        <f>IF(A2435="", "", IFERROR(VLOOKUP(A2435, Clasificaciones!A:B, 2, FALSE), "DATO NO CARGADO"))
</f>
        <v/>
      </c>
      <c r="C2435" s="51"/>
      <c r="D2435" s="102"/>
      <c r="E2435" s="102"/>
      <c r="H2435" s="102"/>
      <c r="J2435" s="102"/>
      <c r="K2435" s="450"/>
      <c r="L2435" s="443"/>
      <c r="M2435" s="450"/>
      <c r="N2435" s="452">
        <f t="array" ref="N2435">IFERROR(
  INDEX(
    'Valor Hora Real y Estimada'!$A$4:$Z$78,
    MATCH(TRIM(CLEAN(A2435)), 'Valor Hora Real y Estimada'!$A$4:$A$78, 0),
    MATCH(
      TEXT(C2435,"dd mmm")&amp;" "&amp;D2435,
      'Valor Hora Real y Estimada'!$A$3:$Z$3,
      0
    ) + 1
  ),
  0
)</f>
        <v>0</v>
      </c>
      <c r="O2435" s="453"/>
      <c r="P2435" s="113"/>
      <c r="Q2435" s="106" t="str">
        <f>IF(ISBLANK(O2435), "", VLOOKUP(C2435&amp;" "&amp;D2435, 'Info Tipo de Cambio y REM'!$A$24:$B$35, 2, FALSE))</f>
        <v/>
      </c>
      <c r="R2435" s="107"/>
    </row>
    <row r="2436" hidden="1">
      <c r="A2436" s="443"/>
      <c r="B2436" s="43" t="str">
        <f>IF(A2436="", "", IFERROR(VLOOKUP(A2436, Clasificaciones!A:B, 2, FALSE), "DATO NO CARGADO"))
</f>
        <v/>
      </c>
      <c r="C2436" s="51"/>
      <c r="D2436" s="102"/>
      <c r="E2436" s="102"/>
      <c r="H2436" s="102"/>
      <c r="J2436" s="102"/>
      <c r="K2436" s="450"/>
      <c r="L2436" s="443"/>
      <c r="M2436" s="450"/>
      <c r="N2436" s="452">
        <f t="array" ref="N2436">IFERROR(
  INDEX(
    'Valor Hora Real y Estimada'!$A$4:$Z$78,
    MATCH(TRIM(CLEAN(A2436)), 'Valor Hora Real y Estimada'!$A$4:$A$78, 0),
    MATCH(
      TEXT(C2436,"dd mmm")&amp;" "&amp;D2436,
      'Valor Hora Real y Estimada'!$A$3:$Z$3,
      0
    ) + 1
  ),
  0
)</f>
        <v>0</v>
      </c>
      <c r="O2436" s="453"/>
      <c r="P2436" s="113"/>
      <c r="Q2436" s="106" t="str">
        <f>IF(ISBLANK(O2436), "", VLOOKUP(C2436&amp;" "&amp;D2436, 'Info Tipo de Cambio y REM'!$A$24:$B$35, 2, FALSE))</f>
        <v/>
      </c>
      <c r="R2436" s="107"/>
    </row>
    <row r="2437" hidden="1">
      <c r="A2437" s="443"/>
      <c r="B2437" s="43" t="str">
        <f>IF(A2437="", "", IFERROR(VLOOKUP(A2437, Clasificaciones!A:B, 2, FALSE), "DATO NO CARGADO"))
</f>
        <v/>
      </c>
      <c r="C2437" s="51"/>
      <c r="D2437" s="102"/>
      <c r="E2437" s="102"/>
      <c r="H2437" s="102"/>
      <c r="J2437" s="102"/>
      <c r="K2437" s="450"/>
      <c r="L2437" s="443"/>
      <c r="M2437" s="450"/>
      <c r="N2437" s="452">
        <f t="array" ref="N2437">IFERROR(
  INDEX(
    'Valor Hora Real y Estimada'!$A$4:$Z$78,
    MATCH(TRIM(CLEAN(A2437)), 'Valor Hora Real y Estimada'!$A$4:$A$78, 0),
    MATCH(
      TEXT(C2437,"dd mmm")&amp;" "&amp;D2437,
      'Valor Hora Real y Estimada'!$A$3:$Z$3,
      0
    ) + 1
  ),
  0
)</f>
        <v>0</v>
      </c>
      <c r="O2437" s="453"/>
      <c r="P2437" s="113"/>
      <c r="Q2437" s="106" t="str">
        <f>IF(ISBLANK(O2437), "", VLOOKUP(C2437&amp;" "&amp;D2437, 'Info Tipo de Cambio y REM'!$A$24:$B$35, 2, FALSE))</f>
        <v/>
      </c>
      <c r="R2437" s="107"/>
    </row>
    <row r="2438" hidden="1">
      <c r="A2438" s="443"/>
      <c r="B2438" s="43" t="str">
        <f>IF(A2438="", "", IFERROR(VLOOKUP(A2438, Clasificaciones!A:B, 2, FALSE), "DATO NO CARGADO"))
</f>
        <v/>
      </c>
      <c r="C2438" s="51"/>
      <c r="D2438" s="102"/>
      <c r="E2438" s="102"/>
      <c r="H2438" s="102"/>
      <c r="J2438" s="102"/>
      <c r="K2438" s="450"/>
      <c r="L2438" s="443"/>
      <c r="M2438" s="450"/>
      <c r="N2438" s="452">
        <f t="array" ref="N2438">IFERROR(
  INDEX(
    'Valor Hora Real y Estimada'!$A$4:$Z$78,
    MATCH(TRIM(CLEAN(A2438)), 'Valor Hora Real y Estimada'!$A$4:$A$78, 0),
    MATCH(
      TEXT(C2438,"dd mmm")&amp;" "&amp;D2438,
      'Valor Hora Real y Estimada'!$A$3:$Z$3,
      0
    ) + 1
  ),
  0
)</f>
        <v>0</v>
      </c>
      <c r="O2438" s="453"/>
      <c r="P2438" s="113"/>
      <c r="Q2438" s="106" t="str">
        <f>IF(ISBLANK(O2438), "", VLOOKUP(C2438&amp;" "&amp;D2438, 'Info Tipo de Cambio y REM'!$A$24:$B$35, 2, FALSE))</f>
        <v/>
      </c>
      <c r="R2438" s="107"/>
    </row>
    <row r="2439" hidden="1">
      <c r="A2439" s="443"/>
      <c r="B2439" s="43" t="str">
        <f>IF(A2439="", "", IFERROR(VLOOKUP(A2439, Clasificaciones!A:B, 2, FALSE), "DATO NO CARGADO"))
</f>
        <v/>
      </c>
      <c r="C2439" s="51"/>
      <c r="D2439" s="102"/>
      <c r="E2439" s="102"/>
      <c r="H2439" s="102"/>
      <c r="J2439" s="102"/>
      <c r="K2439" s="450"/>
      <c r="L2439" s="443"/>
      <c r="M2439" s="450"/>
      <c r="N2439" s="452">
        <f t="array" ref="N2439">IFERROR(
  INDEX(
    'Valor Hora Real y Estimada'!$A$4:$Z$78,
    MATCH(TRIM(CLEAN(A2439)), 'Valor Hora Real y Estimada'!$A$4:$A$78, 0),
    MATCH(
      TEXT(C2439,"dd mmm")&amp;" "&amp;D2439,
      'Valor Hora Real y Estimada'!$A$3:$Z$3,
      0
    ) + 1
  ),
  0
)</f>
        <v>0</v>
      </c>
      <c r="O2439" s="453"/>
      <c r="P2439" s="113"/>
      <c r="Q2439" s="106" t="str">
        <f>IF(ISBLANK(O2439), "", VLOOKUP(C2439&amp;" "&amp;D2439, 'Info Tipo de Cambio y REM'!$A$24:$B$35, 2, FALSE))</f>
        <v/>
      </c>
      <c r="R2439" s="107"/>
    </row>
    <row r="2440" hidden="1">
      <c r="A2440" s="443"/>
      <c r="B2440" s="43" t="str">
        <f>IF(A2440="", "", IFERROR(VLOOKUP(A2440, Clasificaciones!A:B, 2, FALSE), "DATO NO CARGADO"))
</f>
        <v/>
      </c>
      <c r="C2440" s="51"/>
      <c r="D2440" s="102"/>
      <c r="E2440" s="102"/>
      <c r="H2440" s="102"/>
      <c r="J2440" s="102"/>
      <c r="K2440" s="450"/>
      <c r="L2440" s="443"/>
      <c r="M2440" s="450"/>
      <c r="N2440" s="452">
        <f t="array" ref="N2440">IFERROR(
  INDEX(
    'Valor Hora Real y Estimada'!$A$4:$Z$78,
    MATCH(TRIM(CLEAN(A2440)), 'Valor Hora Real y Estimada'!$A$4:$A$78, 0),
    MATCH(
      TEXT(C2440,"dd mmm")&amp;" "&amp;D2440,
      'Valor Hora Real y Estimada'!$A$3:$Z$3,
      0
    ) + 1
  ),
  0
)</f>
        <v>0</v>
      </c>
      <c r="O2440" s="453"/>
      <c r="P2440" s="113"/>
      <c r="Q2440" s="106" t="str">
        <f>IF(ISBLANK(O2440), "", VLOOKUP(C2440&amp;" "&amp;D2440, 'Info Tipo de Cambio y REM'!$A$24:$B$35, 2, FALSE))</f>
        <v/>
      </c>
      <c r="R2440" s="107"/>
    </row>
    <row r="2441" hidden="1">
      <c r="A2441" s="443"/>
      <c r="B2441" s="43" t="str">
        <f>IF(A2441="", "", IFERROR(VLOOKUP(A2441, Clasificaciones!A:B, 2, FALSE), "DATO NO CARGADO"))
</f>
        <v/>
      </c>
      <c r="C2441" s="51"/>
      <c r="D2441" s="102"/>
      <c r="E2441" s="102"/>
      <c r="H2441" s="102"/>
      <c r="J2441" s="102"/>
      <c r="K2441" s="450"/>
      <c r="L2441" s="443"/>
      <c r="M2441" s="450"/>
      <c r="N2441" s="452">
        <f t="array" ref="N2441">IFERROR(
  INDEX(
    'Valor Hora Real y Estimada'!$A$4:$Z$78,
    MATCH(TRIM(CLEAN(A2441)), 'Valor Hora Real y Estimada'!$A$4:$A$78, 0),
    MATCH(
      TEXT(C2441,"dd mmm")&amp;" "&amp;D2441,
      'Valor Hora Real y Estimada'!$A$3:$Z$3,
      0
    ) + 1
  ),
  0
)</f>
        <v>0</v>
      </c>
      <c r="O2441" s="453"/>
      <c r="P2441" s="113"/>
      <c r="Q2441" s="106" t="str">
        <f>IF(ISBLANK(O2441), "", VLOOKUP(C2441&amp;" "&amp;D2441, 'Info Tipo de Cambio y REM'!$A$24:$B$35, 2, FALSE))</f>
        <v/>
      </c>
      <c r="R2441" s="107"/>
    </row>
    <row r="2442" hidden="1">
      <c r="A2442" s="443"/>
      <c r="B2442" s="43" t="str">
        <f>IF(A2442="", "", IFERROR(VLOOKUP(A2442, Clasificaciones!A:B, 2, FALSE), "DATO NO CARGADO"))
</f>
        <v/>
      </c>
      <c r="C2442" s="51"/>
      <c r="D2442" s="102"/>
      <c r="E2442" s="102"/>
      <c r="H2442" s="102"/>
      <c r="J2442" s="102"/>
      <c r="K2442" s="450"/>
      <c r="L2442" s="443"/>
      <c r="M2442" s="450"/>
      <c r="N2442" s="452">
        <f t="array" ref="N2442">IFERROR(
  INDEX(
    'Valor Hora Real y Estimada'!$A$4:$Z$78,
    MATCH(TRIM(CLEAN(A2442)), 'Valor Hora Real y Estimada'!$A$4:$A$78, 0),
    MATCH(
      TEXT(C2442,"dd mmm")&amp;" "&amp;D2442,
      'Valor Hora Real y Estimada'!$A$3:$Z$3,
      0
    ) + 1
  ),
  0
)</f>
        <v>0</v>
      </c>
      <c r="O2442" s="453"/>
      <c r="P2442" s="113"/>
      <c r="Q2442" s="106" t="str">
        <f>IF(ISBLANK(O2442), "", VLOOKUP(C2442&amp;" "&amp;D2442, 'Info Tipo de Cambio y REM'!$A$24:$B$35, 2, FALSE))</f>
        <v/>
      </c>
      <c r="R2442" s="107"/>
    </row>
    <row r="2443" hidden="1">
      <c r="A2443" s="443"/>
      <c r="B2443" s="43" t="str">
        <f>IF(A2443="", "", IFERROR(VLOOKUP(A2443, Clasificaciones!A:B, 2, FALSE), "DATO NO CARGADO"))
</f>
        <v/>
      </c>
      <c r="C2443" s="51"/>
      <c r="D2443" s="102"/>
      <c r="E2443" s="102"/>
      <c r="H2443" s="102"/>
      <c r="J2443" s="102"/>
      <c r="K2443" s="450"/>
      <c r="L2443" s="443"/>
      <c r="M2443" s="450"/>
      <c r="N2443" s="452">
        <f t="array" ref="N2443">IFERROR(
  INDEX(
    'Valor Hora Real y Estimada'!$A$4:$Z$78,
    MATCH(TRIM(CLEAN(A2443)), 'Valor Hora Real y Estimada'!$A$4:$A$78, 0),
    MATCH(
      TEXT(C2443,"dd mmm")&amp;" "&amp;D2443,
      'Valor Hora Real y Estimada'!$A$3:$Z$3,
      0
    ) + 1
  ),
  0
)</f>
        <v>0</v>
      </c>
      <c r="O2443" s="453"/>
      <c r="P2443" s="113"/>
      <c r="Q2443" s="106" t="str">
        <f>IF(ISBLANK(O2443), "", VLOOKUP(C2443&amp;" "&amp;D2443, 'Info Tipo de Cambio y REM'!$A$24:$B$35, 2, FALSE))</f>
        <v/>
      </c>
      <c r="R2443" s="107"/>
    </row>
    <row r="2444" hidden="1">
      <c r="A2444" s="443"/>
      <c r="B2444" s="43" t="str">
        <f>IF(A2444="", "", IFERROR(VLOOKUP(A2444, Clasificaciones!A:B, 2, FALSE), "DATO NO CARGADO"))
</f>
        <v/>
      </c>
      <c r="C2444" s="51"/>
      <c r="D2444" s="102"/>
      <c r="E2444" s="102"/>
      <c r="H2444" s="102"/>
      <c r="J2444" s="102"/>
      <c r="K2444" s="450"/>
      <c r="L2444" s="443"/>
      <c r="M2444" s="450"/>
      <c r="N2444" s="452">
        <f t="array" ref="N2444">IFERROR(
  INDEX(
    'Valor Hora Real y Estimada'!$A$4:$Z$78,
    MATCH(TRIM(CLEAN(A2444)), 'Valor Hora Real y Estimada'!$A$4:$A$78, 0),
    MATCH(
      TEXT(C2444,"dd mmm")&amp;" "&amp;D2444,
      'Valor Hora Real y Estimada'!$A$3:$Z$3,
      0
    ) + 1
  ),
  0
)</f>
        <v>0</v>
      </c>
      <c r="O2444" s="453"/>
      <c r="P2444" s="113"/>
      <c r="Q2444" s="106" t="str">
        <f>IF(ISBLANK(O2444), "", VLOOKUP(C2444&amp;" "&amp;D2444, 'Info Tipo de Cambio y REM'!$A$24:$B$35, 2, FALSE))</f>
        <v/>
      </c>
      <c r="R2444" s="107"/>
    </row>
    <row r="2445" hidden="1">
      <c r="A2445" s="443"/>
      <c r="B2445" s="43" t="str">
        <f>IF(A2445="", "", IFERROR(VLOOKUP(A2445, Clasificaciones!A:B, 2, FALSE), "DATO NO CARGADO"))
</f>
        <v/>
      </c>
      <c r="C2445" s="51"/>
      <c r="D2445" s="102"/>
      <c r="E2445" s="102"/>
      <c r="H2445" s="102"/>
      <c r="J2445" s="102"/>
      <c r="K2445" s="450"/>
      <c r="L2445" s="443"/>
      <c r="M2445" s="450"/>
      <c r="N2445" s="452">
        <f t="array" ref="N2445">IFERROR(
  INDEX(
    'Valor Hora Real y Estimada'!$A$4:$Z$78,
    MATCH(TRIM(CLEAN(A2445)), 'Valor Hora Real y Estimada'!$A$4:$A$78, 0),
    MATCH(
      TEXT(C2445,"dd mmm")&amp;" "&amp;D2445,
      'Valor Hora Real y Estimada'!$A$3:$Z$3,
      0
    ) + 1
  ),
  0
)</f>
        <v>0</v>
      </c>
      <c r="O2445" s="453"/>
      <c r="P2445" s="113"/>
      <c r="Q2445" s="106" t="str">
        <f>IF(ISBLANK(O2445), "", VLOOKUP(C2445&amp;" "&amp;D2445, 'Info Tipo de Cambio y REM'!$A$24:$B$35, 2, FALSE))</f>
        <v/>
      </c>
      <c r="R2445" s="107"/>
    </row>
    <row r="2446" hidden="1">
      <c r="A2446" s="443"/>
      <c r="B2446" s="43" t="str">
        <f>IF(A2446="", "", IFERROR(VLOOKUP(A2446, Clasificaciones!A:B, 2, FALSE), "DATO NO CARGADO"))
</f>
        <v/>
      </c>
      <c r="C2446" s="51"/>
      <c r="D2446" s="102"/>
      <c r="E2446" s="102"/>
      <c r="H2446" s="102"/>
      <c r="J2446" s="102"/>
      <c r="K2446" s="450"/>
      <c r="L2446" s="443"/>
      <c r="M2446" s="450"/>
      <c r="N2446" s="452">
        <f t="array" ref="N2446">IFERROR(
  INDEX(
    'Valor Hora Real y Estimada'!$A$4:$Z$78,
    MATCH(TRIM(CLEAN(A2446)), 'Valor Hora Real y Estimada'!$A$4:$A$78, 0),
    MATCH(
      TEXT(C2446,"dd mmm")&amp;" "&amp;D2446,
      'Valor Hora Real y Estimada'!$A$3:$Z$3,
      0
    ) + 1
  ),
  0
)</f>
        <v>0</v>
      </c>
      <c r="O2446" s="453"/>
      <c r="P2446" s="113"/>
      <c r="Q2446" s="106" t="str">
        <f>IF(ISBLANK(O2446), "", VLOOKUP(C2446&amp;" "&amp;D2446, 'Info Tipo de Cambio y REM'!$A$24:$B$35, 2, FALSE))</f>
        <v/>
      </c>
      <c r="R2446" s="107"/>
    </row>
    <row r="2447" hidden="1">
      <c r="A2447" s="443"/>
      <c r="B2447" s="43" t="str">
        <f>IF(A2447="", "", IFERROR(VLOOKUP(A2447, Clasificaciones!A:B, 2, FALSE), "DATO NO CARGADO"))
</f>
        <v/>
      </c>
      <c r="C2447" s="51"/>
      <c r="D2447" s="102"/>
      <c r="E2447" s="102"/>
      <c r="H2447" s="102"/>
      <c r="J2447" s="102"/>
      <c r="K2447" s="450"/>
      <c r="L2447" s="443"/>
      <c r="M2447" s="450"/>
      <c r="N2447" s="452">
        <f t="array" ref="N2447">IFERROR(
  INDEX(
    'Valor Hora Real y Estimada'!$A$4:$Z$78,
    MATCH(TRIM(CLEAN(A2447)), 'Valor Hora Real y Estimada'!$A$4:$A$78, 0),
    MATCH(
      TEXT(C2447,"dd mmm")&amp;" "&amp;D2447,
      'Valor Hora Real y Estimada'!$A$3:$Z$3,
      0
    ) + 1
  ),
  0
)</f>
        <v>0</v>
      </c>
      <c r="O2447" s="453"/>
      <c r="P2447" s="113"/>
      <c r="Q2447" s="106" t="str">
        <f>IF(ISBLANK(O2447), "", VLOOKUP(C2447&amp;" "&amp;D2447, 'Info Tipo de Cambio y REM'!$A$24:$B$35, 2, FALSE))</f>
        <v/>
      </c>
      <c r="R2447" s="107"/>
    </row>
    <row r="2448" hidden="1">
      <c r="A2448" s="443"/>
      <c r="B2448" s="43" t="str">
        <f>IF(A2448="", "", IFERROR(VLOOKUP(A2448, Clasificaciones!A:B, 2, FALSE), "DATO NO CARGADO"))
</f>
        <v/>
      </c>
      <c r="C2448" s="51"/>
      <c r="D2448" s="102"/>
      <c r="E2448" s="102"/>
      <c r="H2448" s="102"/>
      <c r="J2448" s="102"/>
      <c r="K2448" s="450"/>
      <c r="L2448" s="443"/>
      <c r="M2448" s="450"/>
      <c r="N2448" s="452">
        <f t="array" ref="N2448">IFERROR(
  INDEX(
    'Valor Hora Real y Estimada'!$A$4:$Z$78,
    MATCH(TRIM(CLEAN(A2448)), 'Valor Hora Real y Estimada'!$A$4:$A$78, 0),
    MATCH(
      TEXT(C2448,"dd mmm")&amp;" "&amp;D2448,
      'Valor Hora Real y Estimada'!$A$3:$Z$3,
      0
    ) + 1
  ),
  0
)</f>
        <v>0</v>
      </c>
      <c r="O2448" s="453"/>
      <c r="P2448" s="113"/>
      <c r="Q2448" s="106" t="str">
        <f>IF(ISBLANK(O2448), "", VLOOKUP(C2448&amp;" "&amp;D2448, 'Info Tipo de Cambio y REM'!$A$24:$B$35, 2, FALSE))</f>
        <v/>
      </c>
      <c r="R2448" s="107"/>
    </row>
    <row r="2449" hidden="1">
      <c r="A2449" s="443"/>
      <c r="B2449" s="43" t="str">
        <f>IF(A2449="", "", IFERROR(VLOOKUP(A2449, Clasificaciones!A:B, 2, FALSE), "DATO NO CARGADO"))
</f>
        <v/>
      </c>
      <c r="C2449" s="51"/>
      <c r="D2449" s="102"/>
      <c r="E2449" s="102"/>
      <c r="H2449" s="102"/>
      <c r="J2449" s="102"/>
      <c r="K2449" s="450"/>
      <c r="L2449" s="443"/>
      <c r="M2449" s="450"/>
      <c r="N2449" s="452">
        <f t="array" ref="N2449">IFERROR(
  INDEX(
    'Valor Hora Real y Estimada'!$A$4:$Z$78,
    MATCH(TRIM(CLEAN(A2449)), 'Valor Hora Real y Estimada'!$A$4:$A$78, 0),
    MATCH(
      TEXT(C2449,"dd mmm")&amp;" "&amp;D2449,
      'Valor Hora Real y Estimada'!$A$3:$Z$3,
      0
    ) + 1
  ),
  0
)</f>
        <v>0</v>
      </c>
      <c r="O2449" s="453"/>
      <c r="P2449" s="113"/>
      <c r="Q2449" s="106" t="str">
        <f>IF(ISBLANK(O2449), "", VLOOKUP(C2449&amp;" "&amp;D2449, 'Info Tipo de Cambio y REM'!$A$24:$B$35, 2, FALSE))</f>
        <v/>
      </c>
      <c r="R2449" s="107"/>
    </row>
    <row r="2450" hidden="1">
      <c r="A2450" s="443"/>
      <c r="B2450" s="43" t="str">
        <f>IF(A2450="", "", IFERROR(VLOOKUP(A2450, Clasificaciones!A:B, 2, FALSE), "DATO NO CARGADO"))
</f>
        <v/>
      </c>
      <c r="C2450" s="51"/>
      <c r="D2450" s="102"/>
      <c r="E2450" s="102"/>
      <c r="H2450" s="102"/>
      <c r="J2450" s="102"/>
      <c r="K2450" s="450"/>
      <c r="L2450" s="443"/>
      <c r="M2450" s="450"/>
      <c r="N2450" s="452">
        <f t="array" ref="N2450">IFERROR(
  INDEX(
    'Valor Hora Real y Estimada'!$A$4:$Z$78,
    MATCH(TRIM(CLEAN(A2450)), 'Valor Hora Real y Estimada'!$A$4:$A$78, 0),
    MATCH(
      TEXT(C2450,"dd mmm")&amp;" "&amp;D2450,
      'Valor Hora Real y Estimada'!$A$3:$Z$3,
      0
    ) + 1
  ),
  0
)</f>
        <v>0</v>
      </c>
      <c r="O2450" s="453"/>
      <c r="P2450" s="113"/>
      <c r="Q2450" s="106" t="str">
        <f>IF(ISBLANK(O2450), "", VLOOKUP(C2450&amp;" "&amp;D2450, 'Info Tipo de Cambio y REM'!$A$24:$B$35, 2, FALSE))</f>
        <v/>
      </c>
      <c r="R2450" s="107"/>
    </row>
    <row r="2451" hidden="1">
      <c r="A2451" s="443"/>
      <c r="B2451" s="43" t="str">
        <f>IF(A2451="", "", IFERROR(VLOOKUP(A2451, Clasificaciones!A:B, 2, FALSE), "DATO NO CARGADO"))
</f>
        <v/>
      </c>
      <c r="C2451" s="51"/>
      <c r="D2451" s="102"/>
      <c r="E2451" s="102"/>
      <c r="H2451" s="102"/>
      <c r="J2451" s="102"/>
      <c r="K2451" s="450"/>
      <c r="L2451" s="443"/>
      <c r="M2451" s="450"/>
      <c r="N2451" s="452">
        <f t="array" ref="N2451">IFERROR(
  INDEX(
    'Valor Hora Real y Estimada'!$A$4:$Z$78,
    MATCH(TRIM(CLEAN(A2451)), 'Valor Hora Real y Estimada'!$A$4:$A$78, 0),
    MATCH(
      TEXT(C2451,"dd mmm")&amp;" "&amp;D2451,
      'Valor Hora Real y Estimada'!$A$3:$Z$3,
      0
    ) + 1
  ),
  0
)</f>
        <v>0</v>
      </c>
      <c r="O2451" s="453"/>
      <c r="P2451" s="113"/>
      <c r="Q2451" s="106" t="str">
        <f>IF(ISBLANK(O2451), "", VLOOKUP(C2451&amp;" "&amp;D2451, 'Info Tipo de Cambio y REM'!$A$24:$B$35, 2, FALSE))</f>
        <v/>
      </c>
      <c r="R2451" s="107"/>
    </row>
    <row r="2452" hidden="1">
      <c r="A2452" s="443"/>
      <c r="B2452" s="43" t="str">
        <f>IF(A2452="", "", IFERROR(VLOOKUP(A2452, Clasificaciones!A:B, 2, FALSE), "DATO NO CARGADO"))
</f>
        <v/>
      </c>
      <c r="C2452" s="51"/>
      <c r="D2452" s="102"/>
      <c r="E2452" s="102"/>
      <c r="H2452" s="102"/>
      <c r="J2452" s="102"/>
      <c r="K2452" s="450"/>
      <c r="L2452" s="443"/>
      <c r="M2452" s="450"/>
      <c r="N2452" s="452">
        <f t="array" ref="N2452">IFERROR(
  INDEX(
    'Valor Hora Real y Estimada'!$A$4:$Z$78,
    MATCH(TRIM(CLEAN(A2452)), 'Valor Hora Real y Estimada'!$A$4:$A$78, 0),
    MATCH(
      TEXT(C2452,"dd mmm")&amp;" "&amp;D2452,
      'Valor Hora Real y Estimada'!$A$3:$Z$3,
      0
    ) + 1
  ),
  0
)</f>
        <v>0</v>
      </c>
      <c r="O2452" s="453"/>
      <c r="P2452" s="113"/>
      <c r="Q2452" s="106" t="str">
        <f>IF(ISBLANK(O2452), "", VLOOKUP(C2452&amp;" "&amp;D2452, 'Info Tipo de Cambio y REM'!$A$24:$B$35, 2, FALSE))</f>
        <v/>
      </c>
      <c r="R2452" s="107"/>
    </row>
    <row r="2453" hidden="1">
      <c r="A2453" s="443"/>
      <c r="B2453" s="43" t="str">
        <f>IF(A2453="", "", IFERROR(VLOOKUP(A2453, Clasificaciones!A:B, 2, FALSE), "DATO NO CARGADO"))
</f>
        <v/>
      </c>
      <c r="C2453" s="51"/>
      <c r="D2453" s="102"/>
      <c r="E2453" s="102"/>
      <c r="H2453" s="102"/>
      <c r="J2453" s="102"/>
      <c r="K2453" s="450"/>
      <c r="L2453" s="443"/>
      <c r="M2453" s="450"/>
      <c r="N2453" s="452">
        <f t="array" ref="N2453">IFERROR(
  INDEX(
    'Valor Hora Real y Estimada'!$A$4:$Z$78,
    MATCH(TRIM(CLEAN(A2453)), 'Valor Hora Real y Estimada'!$A$4:$A$78, 0),
    MATCH(
      TEXT(C2453,"dd mmm")&amp;" "&amp;D2453,
      'Valor Hora Real y Estimada'!$A$3:$Z$3,
      0
    ) + 1
  ),
  0
)</f>
        <v>0</v>
      </c>
      <c r="O2453" s="453"/>
      <c r="P2453" s="113"/>
      <c r="Q2453" s="106" t="str">
        <f>IF(ISBLANK(O2453), "", VLOOKUP(C2453&amp;" "&amp;D2453, 'Info Tipo de Cambio y REM'!$A$24:$B$35, 2, FALSE))</f>
        <v/>
      </c>
      <c r="R2453" s="107"/>
    </row>
    <row r="2454" hidden="1">
      <c r="A2454" s="443"/>
      <c r="B2454" s="43" t="str">
        <f>IF(A2454="", "", IFERROR(VLOOKUP(A2454, Clasificaciones!A:B, 2, FALSE), "DATO NO CARGADO"))
</f>
        <v/>
      </c>
      <c r="C2454" s="51"/>
      <c r="D2454" s="102"/>
      <c r="E2454" s="102"/>
      <c r="H2454" s="102"/>
      <c r="J2454" s="102"/>
      <c r="K2454" s="450"/>
      <c r="L2454" s="443"/>
      <c r="M2454" s="450"/>
      <c r="N2454" s="452">
        <f t="array" ref="N2454">IFERROR(
  INDEX(
    'Valor Hora Real y Estimada'!$A$4:$Z$78,
    MATCH(TRIM(CLEAN(A2454)), 'Valor Hora Real y Estimada'!$A$4:$A$78, 0),
    MATCH(
      TEXT(C2454,"dd mmm")&amp;" "&amp;D2454,
      'Valor Hora Real y Estimada'!$A$3:$Z$3,
      0
    ) + 1
  ),
  0
)</f>
        <v>0</v>
      </c>
      <c r="O2454" s="453"/>
      <c r="P2454" s="113"/>
      <c r="Q2454" s="106" t="str">
        <f>IF(ISBLANK(O2454), "", VLOOKUP(C2454&amp;" "&amp;D2454, 'Info Tipo de Cambio y REM'!$A$24:$B$35, 2, FALSE))</f>
        <v/>
      </c>
      <c r="R2454" s="107"/>
    </row>
    <row r="2455" hidden="1">
      <c r="A2455" s="443"/>
      <c r="B2455" s="43" t="str">
        <f>IF(A2455="", "", IFERROR(VLOOKUP(A2455, Clasificaciones!A:B, 2, FALSE), "DATO NO CARGADO"))
</f>
        <v/>
      </c>
      <c r="C2455" s="51"/>
      <c r="D2455" s="102"/>
      <c r="E2455" s="102"/>
      <c r="H2455" s="102"/>
      <c r="J2455" s="102"/>
      <c r="K2455" s="450"/>
      <c r="L2455" s="443"/>
      <c r="M2455" s="450"/>
      <c r="N2455" s="452">
        <f t="array" ref="N2455">IFERROR(
  INDEX(
    'Valor Hora Real y Estimada'!$A$4:$Z$78,
    MATCH(TRIM(CLEAN(A2455)), 'Valor Hora Real y Estimada'!$A$4:$A$78, 0),
    MATCH(
      TEXT(C2455,"dd mmm")&amp;" "&amp;D2455,
      'Valor Hora Real y Estimada'!$A$3:$Z$3,
      0
    ) + 1
  ),
  0
)</f>
        <v>0</v>
      </c>
      <c r="O2455" s="453"/>
      <c r="P2455" s="113"/>
      <c r="Q2455" s="106" t="str">
        <f>IF(ISBLANK(O2455), "", VLOOKUP(C2455&amp;" "&amp;D2455, 'Info Tipo de Cambio y REM'!$A$24:$B$35, 2, FALSE))</f>
        <v/>
      </c>
      <c r="R2455" s="107"/>
    </row>
    <row r="2456" hidden="1">
      <c r="A2456" s="443"/>
      <c r="B2456" s="43" t="str">
        <f>IF(A2456="", "", IFERROR(VLOOKUP(A2456, Clasificaciones!A:B, 2, FALSE), "DATO NO CARGADO"))
</f>
        <v/>
      </c>
      <c r="C2456" s="51"/>
      <c r="D2456" s="102"/>
      <c r="E2456" s="102"/>
      <c r="H2456" s="102"/>
      <c r="J2456" s="102"/>
      <c r="K2456" s="450"/>
      <c r="L2456" s="443"/>
      <c r="M2456" s="450"/>
      <c r="N2456" s="452">
        <f t="array" ref="N2456">IFERROR(
  INDEX(
    'Valor Hora Real y Estimada'!$A$4:$Z$78,
    MATCH(TRIM(CLEAN(A2456)), 'Valor Hora Real y Estimada'!$A$4:$A$78, 0),
    MATCH(
      TEXT(C2456,"dd mmm")&amp;" "&amp;D2456,
      'Valor Hora Real y Estimada'!$A$3:$Z$3,
      0
    ) + 1
  ),
  0
)</f>
        <v>0</v>
      </c>
      <c r="O2456" s="453"/>
      <c r="P2456" s="113"/>
      <c r="Q2456" s="106" t="str">
        <f>IF(ISBLANK(O2456), "", VLOOKUP(C2456&amp;" "&amp;D2456, 'Info Tipo de Cambio y REM'!$A$24:$B$35, 2, FALSE))</f>
        <v/>
      </c>
      <c r="R2456" s="107"/>
    </row>
    <row r="2457" hidden="1">
      <c r="A2457" s="443"/>
      <c r="B2457" s="43" t="str">
        <f>IF(A2457="", "", IFERROR(VLOOKUP(A2457, Clasificaciones!A:B, 2, FALSE), "DATO NO CARGADO"))
</f>
        <v/>
      </c>
      <c r="C2457" s="51"/>
      <c r="D2457" s="102"/>
      <c r="E2457" s="102"/>
      <c r="H2457" s="102"/>
      <c r="J2457" s="102"/>
      <c r="K2457" s="450"/>
      <c r="L2457" s="443"/>
      <c r="M2457" s="450"/>
      <c r="N2457" s="452">
        <f t="array" ref="N2457">IFERROR(
  INDEX(
    'Valor Hora Real y Estimada'!$A$4:$Z$78,
    MATCH(TRIM(CLEAN(A2457)), 'Valor Hora Real y Estimada'!$A$4:$A$78, 0),
    MATCH(
      TEXT(C2457,"dd mmm")&amp;" "&amp;D2457,
      'Valor Hora Real y Estimada'!$A$3:$Z$3,
      0
    ) + 1
  ),
  0
)</f>
        <v>0</v>
      </c>
      <c r="O2457" s="453"/>
      <c r="P2457" s="113"/>
      <c r="Q2457" s="106" t="str">
        <f>IF(ISBLANK(O2457), "", VLOOKUP(C2457&amp;" "&amp;D2457, 'Info Tipo de Cambio y REM'!$A$24:$B$35, 2, FALSE))</f>
        <v/>
      </c>
      <c r="R2457" s="107"/>
    </row>
    <row r="2458" hidden="1">
      <c r="A2458" s="443"/>
      <c r="B2458" s="43" t="str">
        <f>IF(A2458="", "", IFERROR(VLOOKUP(A2458, Clasificaciones!A:B, 2, FALSE), "DATO NO CARGADO"))
</f>
        <v/>
      </c>
      <c r="C2458" s="51"/>
      <c r="D2458" s="102"/>
      <c r="E2458" s="102"/>
      <c r="H2458" s="102"/>
      <c r="J2458" s="102"/>
      <c r="K2458" s="450"/>
      <c r="L2458" s="443"/>
      <c r="M2458" s="450"/>
      <c r="N2458" s="452">
        <f t="array" ref="N2458">IFERROR(
  INDEX(
    'Valor Hora Real y Estimada'!$A$4:$Z$78,
    MATCH(TRIM(CLEAN(A2458)), 'Valor Hora Real y Estimada'!$A$4:$A$78, 0),
    MATCH(
      TEXT(C2458,"dd mmm")&amp;" "&amp;D2458,
      'Valor Hora Real y Estimada'!$A$3:$Z$3,
      0
    ) + 1
  ),
  0
)</f>
        <v>0</v>
      </c>
      <c r="O2458" s="453"/>
      <c r="P2458" s="113"/>
      <c r="Q2458" s="106" t="str">
        <f>IF(ISBLANK(O2458), "", VLOOKUP(C2458&amp;" "&amp;D2458, 'Info Tipo de Cambio y REM'!$A$24:$B$35, 2, FALSE))</f>
        <v/>
      </c>
      <c r="R2458" s="107"/>
    </row>
    <row r="2459" hidden="1">
      <c r="A2459" s="443"/>
      <c r="B2459" s="43" t="str">
        <f>IF(A2459="", "", IFERROR(VLOOKUP(A2459, Clasificaciones!A:B, 2, FALSE), "DATO NO CARGADO"))
</f>
        <v/>
      </c>
      <c r="C2459" s="51"/>
      <c r="D2459" s="102"/>
      <c r="E2459" s="102"/>
      <c r="H2459" s="102"/>
      <c r="J2459" s="102"/>
      <c r="K2459" s="450"/>
      <c r="L2459" s="443"/>
      <c r="M2459" s="450"/>
      <c r="N2459" s="452">
        <f t="array" ref="N2459">IFERROR(
  INDEX(
    'Valor Hora Real y Estimada'!$A$4:$Z$78,
    MATCH(TRIM(CLEAN(A2459)), 'Valor Hora Real y Estimada'!$A$4:$A$78, 0),
    MATCH(
      TEXT(C2459,"dd mmm")&amp;" "&amp;D2459,
      'Valor Hora Real y Estimada'!$A$3:$Z$3,
      0
    ) + 1
  ),
  0
)</f>
        <v>0</v>
      </c>
      <c r="O2459" s="453"/>
      <c r="P2459" s="113"/>
      <c r="Q2459" s="106" t="str">
        <f>IF(ISBLANK(O2459), "", VLOOKUP(C2459&amp;" "&amp;D2459, 'Info Tipo de Cambio y REM'!$A$24:$B$35, 2, FALSE))</f>
        <v/>
      </c>
      <c r="R2459" s="107"/>
    </row>
    <row r="2460" hidden="1">
      <c r="A2460" s="443"/>
      <c r="B2460" s="43" t="str">
        <f>IF(A2460="", "", IFERROR(VLOOKUP(A2460, Clasificaciones!A:B, 2, FALSE), "DATO NO CARGADO"))
</f>
        <v/>
      </c>
      <c r="C2460" s="51"/>
      <c r="D2460" s="102"/>
      <c r="E2460" s="102"/>
      <c r="H2460" s="102"/>
      <c r="J2460" s="102"/>
      <c r="K2460" s="450"/>
      <c r="L2460" s="443"/>
      <c r="M2460" s="450"/>
      <c r="N2460" s="452">
        <f t="array" ref="N2460">IFERROR(
  INDEX(
    'Valor Hora Real y Estimada'!$A$4:$Z$78,
    MATCH(TRIM(CLEAN(A2460)), 'Valor Hora Real y Estimada'!$A$4:$A$78, 0),
    MATCH(
      TEXT(C2460,"dd mmm")&amp;" "&amp;D2460,
      'Valor Hora Real y Estimada'!$A$3:$Z$3,
      0
    ) + 1
  ),
  0
)</f>
        <v>0</v>
      </c>
      <c r="O2460" s="453"/>
      <c r="P2460" s="113"/>
      <c r="Q2460" s="106" t="str">
        <f>IF(ISBLANK(O2460), "", VLOOKUP(C2460&amp;" "&amp;D2460, 'Info Tipo de Cambio y REM'!$A$24:$B$35, 2, FALSE))</f>
        <v/>
      </c>
      <c r="R2460" s="107"/>
    </row>
    <row r="2461" hidden="1">
      <c r="A2461" s="443"/>
      <c r="B2461" s="43" t="str">
        <f>IF(A2461="", "", IFERROR(VLOOKUP(A2461, Clasificaciones!A:B, 2, FALSE), "DATO NO CARGADO"))
</f>
        <v/>
      </c>
      <c r="C2461" s="51"/>
      <c r="D2461" s="102"/>
      <c r="E2461" s="102"/>
      <c r="H2461" s="102"/>
      <c r="J2461" s="102"/>
      <c r="K2461" s="450"/>
      <c r="L2461" s="443"/>
      <c r="M2461" s="450"/>
      <c r="N2461" s="452">
        <f t="array" ref="N2461">IFERROR(
  INDEX(
    'Valor Hora Real y Estimada'!$A$4:$Z$78,
    MATCH(TRIM(CLEAN(A2461)), 'Valor Hora Real y Estimada'!$A$4:$A$78, 0),
    MATCH(
      TEXT(C2461,"dd mmm")&amp;" "&amp;D2461,
      'Valor Hora Real y Estimada'!$A$3:$Z$3,
      0
    ) + 1
  ),
  0
)</f>
        <v>0</v>
      </c>
      <c r="O2461" s="453"/>
      <c r="P2461" s="113"/>
      <c r="Q2461" s="106" t="str">
        <f>IF(ISBLANK(O2461), "", VLOOKUP(C2461&amp;" "&amp;D2461, 'Info Tipo de Cambio y REM'!$A$24:$B$35, 2, FALSE))</f>
        <v/>
      </c>
      <c r="R2461" s="107"/>
    </row>
    <row r="2462" hidden="1">
      <c r="A2462" s="443"/>
      <c r="B2462" s="43" t="str">
        <f>IF(A2462="", "", IFERROR(VLOOKUP(A2462, Clasificaciones!A:B, 2, FALSE), "DATO NO CARGADO"))
</f>
        <v/>
      </c>
      <c r="C2462" s="51"/>
      <c r="D2462" s="102"/>
      <c r="E2462" s="102"/>
      <c r="H2462" s="102"/>
      <c r="J2462" s="102"/>
      <c r="K2462" s="450"/>
      <c r="L2462" s="443"/>
      <c r="M2462" s="450"/>
      <c r="N2462" s="452">
        <f t="array" ref="N2462">IFERROR(
  INDEX(
    'Valor Hora Real y Estimada'!$A$4:$Z$78,
    MATCH(TRIM(CLEAN(A2462)), 'Valor Hora Real y Estimada'!$A$4:$A$78, 0),
    MATCH(
      TEXT(C2462,"dd mmm")&amp;" "&amp;D2462,
      'Valor Hora Real y Estimada'!$A$3:$Z$3,
      0
    ) + 1
  ),
  0
)</f>
        <v>0</v>
      </c>
      <c r="O2462" s="453"/>
      <c r="P2462" s="113"/>
      <c r="Q2462" s="106" t="str">
        <f>IF(ISBLANK(O2462), "", VLOOKUP(C2462&amp;" "&amp;D2462, 'Info Tipo de Cambio y REM'!$A$24:$B$35, 2, FALSE))</f>
        <v/>
      </c>
      <c r="R2462" s="107"/>
    </row>
    <row r="2463" hidden="1">
      <c r="A2463" s="443"/>
      <c r="B2463" s="43" t="str">
        <f>IF(A2463="", "", IFERROR(VLOOKUP(A2463, Clasificaciones!A:B, 2, FALSE), "DATO NO CARGADO"))
</f>
        <v/>
      </c>
      <c r="C2463" s="51"/>
      <c r="D2463" s="102"/>
      <c r="E2463" s="102"/>
      <c r="H2463" s="102"/>
      <c r="J2463" s="102"/>
      <c r="K2463" s="450"/>
      <c r="L2463" s="443"/>
      <c r="M2463" s="450"/>
      <c r="N2463" s="452">
        <f t="array" ref="N2463">IFERROR(
  INDEX(
    'Valor Hora Real y Estimada'!$A$4:$Z$78,
    MATCH(TRIM(CLEAN(A2463)), 'Valor Hora Real y Estimada'!$A$4:$A$78, 0),
    MATCH(
      TEXT(C2463,"dd mmm")&amp;" "&amp;D2463,
      'Valor Hora Real y Estimada'!$A$3:$Z$3,
      0
    ) + 1
  ),
  0
)</f>
        <v>0</v>
      </c>
      <c r="O2463" s="453"/>
      <c r="P2463" s="113"/>
      <c r="Q2463" s="106" t="str">
        <f>IF(ISBLANK(O2463), "", VLOOKUP(C2463&amp;" "&amp;D2463, 'Info Tipo de Cambio y REM'!$A$24:$B$35, 2, FALSE))</f>
        <v/>
      </c>
      <c r="R2463" s="107"/>
    </row>
    <row r="2464" hidden="1">
      <c r="A2464" s="443"/>
      <c r="B2464" s="43" t="str">
        <f>IF(A2464="", "", IFERROR(VLOOKUP(A2464, Clasificaciones!A:B, 2, FALSE), "DATO NO CARGADO"))
</f>
        <v/>
      </c>
      <c r="C2464" s="51"/>
      <c r="D2464" s="102"/>
      <c r="E2464" s="102"/>
      <c r="H2464" s="102"/>
      <c r="J2464" s="102"/>
      <c r="K2464" s="450"/>
      <c r="L2464" s="443"/>
      <c r="M2464" s="450"/>
      <c r="N2464" s="452">
        <f t="array" ref="N2464">IFERROR(
  INDEX(
    'Valor Hora Real y Estimada'!$A$4:$Z$78,
    MATCH(TRIM(CLEAN(A2464)), 'Valor Hora Real y Estimada'!$A$4:$A$78, 0),
    MATCH(
      TEXT(C2464,"dd mmm")&amp;" "&amp;D2464,
      'Valor Hora Real y Estimada'!$A$3:$Z$3,
      0
    ) + 1
  ),
  0
)</f>
        <v>0</v>
      </c>
      <c r="O2464" s="453"/>
      <c r="P2464" s="113"/>
      <c r="Q2464" s="106" t="str">
        <f>IF(ISBLANK(O2464), "", VLOOKUP(C2464&amp;" "&amp;D2464, 'Info Tipo de Cambio y REM'!$A$24:$B$35, 2, FALSE))</f>
        <v/>
      </c>
      <c r="R2464" s="107"/>
    </row>
    <row r="2465" hidden="1">
      <c r="A2465" s="443"/>
      <c r="B2465" s="43" t="str">
        <f>IF(A2465="", "", IFERROR(VLOOKUP(A2465, Clasificaciones!A:B, 2, FALSE), "DATO NO CARGADO"))
</f>
        <v/>
      </c>
      <c r="C2465" s="51"/>
      <c r="D2465" s="102"/>
      <c r="E2465" s="102"/>
      <c r="H2465" s="102"/>
      <c r="J2465" s="102"/>
      <c r="K2465" s="450"/>
      <c r="L2465" s="443"/>
      <c r="M2465" s="450"/>
      <c r="N2465" s="452">
        <f t="array" ref="N2465">IFERROR(
  INDEX(
    'Valor Hora Real y Estimada'!$A$4:$Z$78,
    MATCH(TRIM(CLEAN(A2465)), 'Valor Hora Real y Estimada'!$A$4:$A$78, 0),
    MATCH(
      TEXT(C2465,"dd mmm")&amp;" "&amp;D2465,
      'Valor Hora Real y Estimada'!$A$3:$Z$3,
      0
    ) + 1
  ),
  0
)</f>
        <v>0</v>
      </c>
      <c r="O2465" s="453"/>
      <c r="P2465" s="113"/>
      <c r="Q2465" s="106" t="str">
        <f>IF(ISBLANK(O2465), "", VLOOKUP(C2465&amp;" "&amp;D2465, 'Info Tipo de Cambio y REM'!$A$24:$B$35, 2, FALSE))</f>
        <v/>
      </c>
      <c r="R2465" s="107"/>
    </row>
    <row r="2466" hidden="1">
      <c r="A2466" s="443"/>
      <c r="B2466" s="43" t="str">
        <f>IF(A2466="", "", IFERROR(VLOOKUP(A2466, Clasificaciones!A:B, 2, FALSE), "DATO NO CARGADO"))
</f>
        <v/>
      </c>
      <c r="C2466" s="51"/>
      <c r="D2466" s="102"/>
      <c r="E2466" s="102"/>
      <c r="H2466" s="102"/>
      <c r="J2466" s="102"/>
      <c r="K2466" s="450"/>
      <c r="L2466" s="443"/>
      <c r="M2466" s="450"/>
      <c r="N2466" s="452">
        <f t="array" ref="N2466">IFERROR(
  INDEX(
    'Valor Hora Real y Estimada'!$A$4:$Z$78,
    MATCH(TRIM(CLEAN(A2466)), 'Valor Hora Real y Estimada'!$A$4:$A$78, 0),
    MATCH(
      TEXT(C2466,"dd mmm")&amp;" "&amp;D2466,
      'Valor Hora Real y Estimada'!$A$3:$Z$3,
      0
    ) + 1
  ),
  0
)</f>
        <v>0</v>
      </c>
      <c r="O2466" s="453"/>
      <c r="P2466" s="113"/>
      <c r="Q2466" s="106" t="str">
        <f>IF(ISBLANK(O2466), "", VLOOKUP(C2466&amp;" "&amp;D2466, 'Info Tipo de Cambio y REM'!$A$24:$B$35, 2, FALSE))</f>
        <v/>
      </c>
      <c r="R2466" s="107"/>
    </row>
    <row r="2467" hidden="1">
      <c r="A2467" s="443"/>
      <c r="B2467" s="43" t="str">
        <f>IF(A2467="", "", IFERROR(VLOOKUP(A2467, Clasificaciones!A:B, 2, FALSE), "DATO NO CARGADO"))
</f>
        <v/>
      </c>
      <c r="C2467" s="51"/>
      <c r="D2467" s="102"/>
      <c r="E2467" s="102"/>
      <c r="H2467" s="102"/>
      <c r="J2467" s="102"/>
      <c r="K2467" s="450"/>
      <c r="L2467" s="443"/>
      <c r="M2467" s="450"/>
      <c r="N2467" s="452">
        <f t="array" ref="N2467">IFERROR(
  INDEX(
    'Valor Hora Real y Estimada'!$A$4:$Z$78,
    MATCH(TRIM(CLEAN(A2467)), 'Valor Hora Real y Estimada'!$A$4:$A$78, 0),
    MATCH(
      TEXT(C2467,"dd mmm")&amp;" "&amp;D2467,
      'Valor Hora Real y Estimada'!$A$3:$Z$3,
      0
    ) + 1
  ),
  0
)</f>
        <v>0</v>
      </c>
      <c r="O2467" s="453"/>
      <c r="P2467" s="113"/>
      <c r="Q2467" s="106" t="str">
        <f>IF(ISBLANK(O2467), "", VLOOKUP(C2467&amp;" "&amp;D2467, 'Info Tipo de Cambio y REM'!$A$24:$B$35, 2, FALSE))</f>
        <v/>
      </c>
      <c r="R2467" s="107"/>
    </row>
    <row r="2468" hidden="1">
      <c r="A2468" s="443"/>
      <c r="B2468" s="43" t="str">
        <f>IF(A2468="", "", IFERROR(VLOOKUP(A2468, Clasificaciones!A:B, 2, FALSE), "DATO NO CARGADO"))
</f>
        <v/>
      </c>
      <c r="C2468" s="51"/>
      <c r="D2468" s="102"/>
      <c r="E2468" s="102"/>
      <c r="H2468" s="102"/>
      <c r="J2468" s="102"/>
      <c r="K2468" s="450"/>
      <c r="L2468" s="443"/>
      <c r="M2468" s="450"/>
      <c r="N2468" s="452">
        <f t="array" ref="N2468">IFERROR(
  INDEX(
    'Valor Hora Real y Estimada'!$A$4:$Z$78,
    MATCH(TRIM(CLEAN(A2468)), 'Valor Hora Real y Estimada'!$A$4:$A$78, 0),
    MATCH(
      TEXT(C2468,"dd mmm")&amp;" "&amp;D2468,
      'Valor Hora Real y Estimada'!$A$3:$Z$3,
      0
    ) + 1
  ),
  0
)</f>
        <v>0</v>
      </c>
      <c r="O2468" s="453"/>
      <c r="P2468" s="113"/>
      <c r="Q2468" s="106" t="str">
        <f>IF(ISBLANK(O2468), "", VLOOKUP(C2468&amp;" "&amp;D2468, 'Info Tipo de Cambio y REM'!$A$24:$B$35, 2, FALSE))</f>
        <v/>
      </c>
      <c r="R2468" s="107"/>
    </row>
    <row r="2469" hidden="1">
      <c r="A2469" s="443"/>
      <c r="B2469" s="43" t="str">
        <f>IF(A2469="", "", IFERROR(VLOOKUP(A2469, Clasificaciones!A:B, 2, FALSE), "DATO NO CARGADO"))
</f>
        <v/>
      </c>
      <c r="C2469" s="51"/>
      <c r="D2469" s="102"/>
      <c r="E2469" s="102"/>
      <c r="H2469" s="102"/>
      <c r="J2469" s="102"/>
      <c r="K2469" s="450"/>
      <c r="L2469" s="443"/>
      <c r="M2469" s="450"/>
      <c r="N2469" s="452">
        <f t="array" ref="N2469">IFERROR(
  INDEX(
    'Valor Hora Real y Estimada'!$A$4:$Z$78,
    MATCH(TRIM(CLEAN(A2469)), 'Valor Hora Real y Estimada'!$A$4:$A$78, 0),
    MATCH(
      TEXT(C2469,"dd mmm")&amp;" "&amp;D2469,
      'Valor Hora Real y Estimada'!$A$3:$Z$3,
      0
    ) + 1
  ),
  0
)</f>
        <v>0</v>
      </c>
      <c r="O2469" s="453"/>
      <c r="P2469" s="113"/>
      <c r="Q2469" s="106" t="str">
        <f>IF(ISBLANK(O2469), "", VLOOKUP(C2469&amp;" "&amp;D2469, 'Info Tipo de Cambio y REM'!$A$24:$B$35, 2, FALSE))</f>
        <v/>
      </c>
      <c r="R2469" s="107"/>
    </row>
    <row r="2470" hidden="1">
      <c r="A2470" s="443"/>
      <c r="B2470" s="43" t="str">
        <f>IF(A2470="", "", IFERROR(VLOOKUP(A2470, Clasificaciones!A:B, 2, FALSE), "DATO NO CARGADO"))
</f>
        <v/>
      </c>
      <c r="C2470" s="51"/>
      <c r="D2470" s="102"/>
      <c r="E2470" s="102"/>
      <c r="H2470" s="102"/>
      <c r="J2470" s="102"/>
      <c r="K2470" s="450"/>
      <c r="L2470" s="443"/>
      <c r="M2470" s="450"/>
      <c r="N2470" s="452">
        <f t="array" ref="N2470">IFERROR(
  INDEX(
    'Valor Hora Real y Estimada'!$A$4:$Z$78,
    MATCH(TRIM(CLEAN(A2470)), 'Valor Hora Real y Estimada'!$A$4:$A$78, 0),
    MATCH(
      TEXT(C2470,"dd mmm")&amp;" "&amp;D2470,
      'Valor Hora Real y Estimada'!$A$3:$Z$3,
      0
    ) + 1
  ),
  0
)</f>
        <v>0</v>
      </c>
      <c r="O2470" s="453"/>
      <c r="P2470" s="113"/>
      <c r="Q2470" s="106" t="str">
        <f>IF(ISBLANK(O2470), "", VLOOKUP(C2470&amp;" "&amp;D2470, 'Info Tipo de Cambio y REM'!$A$24:$B$35, 2, FALSE))</f>
        <v/>
      </c>
      <c r="R2470" s="107"/>
    </row>
    <row r="2471" hidden="1">
      <c r="A2471" s="443"/>
      <c r="B2471" s="43" t="str">
        <f>IF(A2471="", "", IFERROR(VLOOKUP(A2471, Clasificaciones!A:B, 2, FALSE), "DATO NO CARGADO"))
</f>
        <v/>
      </c>
      <c r="C2471" s="51"/>
      <c r="D2471" s="102"/>
      <c r="E2471" s="102"/>
      <c r="H2471" s="102"/>
      <c r="J2471" s="102"/>
      <c r="K2471" s="450"/>
      <c r="L2471" s="443"/>
      <c r="M2471" s="450"/>
      <c r="N2471" s="452">
        <f t="array" ref="N2471">IFERROR(
  INDEX(
    'Valor Hora Real y Estimada'!$A$4:$Z$78,
    MATCH(TRIM(CLEAN(A2471)), 'Valor Hora Real y Estimada'!$A$4:$A$78, 0),
    MATCH(
      TEXT(C2471,"dd mmm")&amp;" "&amp;D2471,
      'Valor Hora Real y Estimada'!$A$3:$Z$3,
      0
    ) + 1
  ),
  0
)</f>
        <v>0</v>
      </c>
      <c r="O2471" s="453"/>
      <c r="P2471" s="113"/>
      <c r="Q2471" s="106" t="str">
        <f>IF(ISBLANK(O2471), "", VLOOKUP(C2471&amp;" "&amp;D2471, 'Info Tipo de Cambio y REM'!$A$24:$B$35, 2, FALSE))</f>
        <v/>
      </c>
      <c r="R2471" s="107"/>
    </row>
    <row r="2472" hidden="1">
      <c r="A2472" s="443"/>
      <c r="B2472" s="43" t="str">
        <f>IF(A2472="", "", IFERROR(VLOOKUP(A2472, Clasificaciones!A:B, 2, FALSE), "DATO NO CARGADO"))
</f>
        <v/>
      </c>
      <c r="C2472" s="51"/>
      <c r="D2472" s="102"/>
      <c r="E2472" s="102"/>
      <c r="H2472" s="102"/>
      <c r="J2472" s="102"/>
      <c r="K2472" s="450"/>
      <c r="L2472" s="443"/>
      <c r="M2472" s="450"/>
      <c r="N2472" s="452">
        <f t="array" ref="N2472">IFERROR(
  INDEX(
    'Valor Hora Real y Estimada'!$A$4:$Z$78,
    MATCH(TRIM(CLEAN(A2472)), 'Valor Hora Real y Estimada'!$A$4:$A$78, 0),
    MATCH(
      TEXT(C2472,"dd mmm")&amp;" "&amp;D2472,
      'Valor Hora Real y Estimada'!$A$3:$Z$3,
      0
    ) + 1
  ),
  0
)</f>
        <v>0</v>
      </c>
      <c r="O2472" s="453"/>
      <c r="P2472" s="113"/>
      <c r="Q2472" s="106" t="str">
        <f>IF(ISBLANK(O2472), "", VLOOKUP(C2472&amp;" "&amp;D2472, 'Info Tipo de Cambio y REM'!$A$24:$B$35, 2, FALSE))</f>
        <v/>
      </c>
      <c r="R2472" s="107"/>
    </row>
    <row r="2473" hidden="1">
      <c r="A2473" s="443"/>
      <c r="B2473" s="43" t="str">
        <f>IF(A2473="", "", IFERROR(VLOOKUP(A2473, Clasificaciones!A:B, 2, FALSE), "DATO NO CARGADO"))
</f>
        <v/>
      </c>
      <c r="C2473" s="51"/>
      <c r="D2473" s="102"/>
      <c r="E2473" s="102"/>
      <c r="H2473" s="102"/>
      <c r="J2473" s="102"/>
      <c r="K2473" s="450"/>
      <c r="L2473" s="443"/>
      <c r="M2473" s="450"/>
      <c r="N2473" s="452">
        <f t="array" ref="N2473">IFERROR(
  INDEX(
    'Valor Hora Real y Estimada'!$A$4:$Z$78,
    MATCH(TRIM(CLEAN(A2473)), 'Valor Hora Real y Estimada'!$A$4:$A$78, 0),
    MATCH(
      TEXT(C2473,"dd mmm")&amp;" "&amp;D2473,
      'Valor Hora Real y Estimada'!$A$3:$Z$3,
      0
    ) + 1
  ),
  0
)</f>
        <v>0</v>
      </c>
      <c r="O2473" s="453"/>
      <c r="P2473" s="113"/>
      <c r="Q2473" s="106" t="str">
        <f>IF(ISBLANK(O2473), "", VLOOKUP(C2473&amp;" "&amp;D2473, 'Info Tipo de Cambio y REM'!$A$24:$B$35, 2, FALSE))</f>
        <v/>
      </c>
      <c r="R2473" s="107"/>
    </row>
    <row r="2474" hidden="1">
      <c r="A2474" s="443"/>
      <c r="B2474" s="43" t="str">
        <f>IF(A2474="", "", IFERROR(VLOOKUP(A2474, Clasificaciones!A:B, 2, FALSE), "DATO NO CARGADO"))
</f>
        <v/>
      </c>
      <c r="C2474" s="51"/>
      <c r="D2474" s="102"/>
      <c r="E2474" s="102"/>
      <c r="H2474" s="102"/>
      <c r="J2474" s="102"/>
      <c r="K2474" s="450"/>
      <c r="L2474" s="443"/>
      <c r="M2474" s="450"/>
      <c r="N2474" s="452">
        <f t="array" ref="N2474">IFERROR(
  INDEX(
    'Valor Hora Real y Estimada'!$A$4:$Z$78,
    MATCH(TRIM(CLEAN(A2474)), 'Valor Hora Real y Estimada'!$A$4:$A$78, 0),
    MATCH(
      TEXT(C2474,"dd mmm")&amp;" "&amp;D2474,
      'Valor Hora Real y Estimada'!$A$3:$Z$3,
      0
    ) + 1
  ),
  0
)</f>
        <v>0</v>
      </c>
      <c r="O2474" s="453"/>
      <c r="P2474" s="113"/>
      <c r="Q2474" s="106" t="str">
        <f>IF(ISBLANK(O2474), "", VLOOKUP(C2474&amp;" "&amp;D2474, 'Info Tipo de Cambio y REM'!$A$24:$B$35, 2, FALSE))</f>
        <v/>
      </c>
      <c r="R2474" s="107"/>
    </row>
    <row r="2475" hidden="1">
      <c r="A2475" s="443"/>
      <c r="B2475" s="43" t="str">
        <f>IF(A2475="", "", IFERROR(VLOOKUP(A2475, Clasificaciones!A:B, 2, FALSE), "DATO NO CARGADO"))
</f>
        <v/>
      </c>
      <c r="C2475" s="51"/>
      <c r="D2475" s="102"/>
      <c r="E2475" s="102"/>
      <c r="H2475" s="102"/>
      <c r="J2475" s="102"/>
      <c r="K2475" s="450"/>
      <c r="L2475" s="443"/>
      <c r="M2475" s="450"/>
      <c r="N2475" s="452">
        <f t="array" ref="N2475">IFERROR(
  INDEX(
    'Valor Hora Real y Estimada'!$A$4:$Z$78,
    MATCH(TRIM(CLEAN(A2475)), 'Valor Hora Real y Estimada'!$A$4:$A$78, 0),
    MATCH(
      TEXT(C2475,"dd mmm")&amp;" "&amp;D2475,
      'Valor Hora Real y Estimada'!$A$3:$Z$3,
      0
    ) + 1
  ),
  0
)</f>
        <v>0</v>
      </c>
      <c r="O2475" s="453"/>
      <c r="P2475" s="113"/>
      <c r="Q2475" s="106" t="str">
        <f>IF(ISBLANK(O2475), "", VLOOKUP(C2475&amp;" "&amp;D2475, 'Info Tipo de Cambio y REM'!$A$24:$B$35, 2, FALSE))</f>
        <v/>
      </c>
      <c r="R2475" s="107"/>
    </row>
    <row r="2476" hidden="1">
      <c r="A2476" s="443"/>
      <c r="B2476" s="43" t="str">
        <f>IF(A2476="", "", IFERROR(VLOOKUP(A2476, Clasificaciones!A:B, 2, FALSE), "DATO NO CARGADO"))
</f>
        <v/>
      </c>
      <c r="C2476" s="51"/>
      <c r="D2476" s="102"/>
      <c r="E2476" s="102"/>
      <c r="H2476" s="102"/>
      <c r="J2476" s="102"/>
      <c r="K2476" s="450"/>
      <c r="L2476" s="443"/>
      <c r="M2476" s="450"/>
      <c r="N2476" s="452">
        <f t="array" ref="N2476">IFERROR(
  INDEX(
    'Valor Hora Real y Estimada'!$A$4:$Z$78,
    MATCH(TRIM(CLEAN(A2476)), 'Valor Hora Real y Estimada'!$A$4:$A$78, 0),
    MATCH(
      TEXT(C2476,"dd mmm")&amp;" "&amp;D2476,
      'Valor Hora Real y Estimada'!$A$3:$Z$3,
      0
    ) + 1
  ),
  0
)</f>
        <v>0</v>
      </c>
      <c r="O2476" s="453"/>
      <c r="P2476" s="113"/>
      <c r="Q2476" s="106" t="str">
        <f>IF(ISBLANK(O2476), "", VLOOKUP(C2476&amp;" "&amp;D2476, 'Info Tipo de Cambio y REM'!$A$24:$B$35, 2, FALSE))</f>
        <v/>
      </c>
      <c r="R2476" s="107"/>
    </row>
    <row r="2477" hidden="1">
      <c r="A2477" s="443"/>
      <c r="B2477" s="43" t="str">
        <f>IF(A2477="", "", IFERROR(VLOOKUP(A2477, Clasificaciones!A:B, 2, FALSE), "DATO NO CARGADO"))
</f>
        <v/>
      </c>
      <c r="C2477" s="51"/>
      <c r="D2477" s="102"/>
      <c r="E2477" s="102"/>
      <c r="H2477" s="102"/>
      <c r="J2477" s="102"/>
      <c r="K2477" s="450"/>
      <c r="L2477" s="443"/>
      <c r="M2477" s="450"/>
      <c r="N2477" s="452">
        <f t="array" ref="N2477">IFERROR(
  INDEX(
    'Valor Hora Real y Estimada'!$A$4:$Z$78,
    MATCH(TRIM(CLEAN(A2477)), 'Valor Hora Real y Estimada'!$A$4:$A$78, 0),
    MATCH(
      TEXT(C2477,"dd mmm")&amp;" "&amp;D2477,
      'Valor Hora Real y Estimada'!$A$3:$Z$3,
      0
    ) + 1
  ),
  0
)</f>
        <v>0</v>
      </c>
      <c r="O2477" s="453"/>
      <c r="P2477" s="113"/>
      <c r="Q2477" s="106" t="str">
        <f>IF(ISBLANK(O2477), "", VLOOKUP(C2477&amp;" "&amp;D2477, 'Info Tipo de Cambio y REM'!$A$24:$B$35, 2, FALSE))</f>
        <v/>
      </c>
      <c r="R2477" s="107"/>
    </row>
    <row r="2478" hidden="1">
      <c r="A2478" s="443"/>
      <c r="B2478" s="43" t="str">
        <f>IF(A2478="", "", IFERROR(VLOOKUP(A2478, Clasificaciones!A:B, 2, FALSE), "DATO NO CARGADO"))
</f>
        <v/>
      </c>
      <c r="C2478" s="51"/>
      <c r="D2478" s="102"/>
      <c r="E2478" s="102"/>
      <c r="H2478" s="102"/>
      <c r="J2478" s="102"/>
      <c r="K2478" s="450"/>
      <c r="L2478" s="443"/>
      <c r="M2478" s="450"/>
      <c r="N2478" s="452">
        <f t="array" ref="N2478">IFERROR(
  INDEX(
    'Valor Hora Real y Estimada'!$A$4:$Z$78,
    MATCH(TRIM(CLEAN(A2478)), 'Valor Hora Real y Estimada'!$A$4:$A$78, 0),
    MATCH(
      TEXT(C2478,"dd mmm")&amp;" "&amp;D2478,
      'Valor Hora Real y Estimada'!$A$3:$Z$3,
      0
    ) + 1
  ),
  0
)</f>
        <v>0</v>
      </c>
      <c r="O2478" s="453"/>
      <c r="P2478" s="113"/>
      <c r="Q2478" s="106" t="str">
        <f>IF(ISBLANK(O2478), "", VLOOKUP(C2478&amp;" "&amp;D2478, 'Info Tipo de Cambio y REM'!$A$24:$B$35, 2, FALSE))</f>
        <v/>
      </c>
      <c r="R2478" s="107"/>
    </row>
    <row r="2479" hidden="1">
      <c r="A2479" s="443"/>
      <c r="B2479" s="43" t="str">
        <f>IF(A2479="", "", IFERROR(VLOOKUP(A2479, Clasificaciones!A:B, 2, FALSE), "DATO NO CARGADO"))
</f>
        <v/>
      </c>
      <c r="C2479" s="51"/>
      <c r="D2479" s="102"/>
      <c r="E2479" s="102"/>
      <c r="H2479" s="102"/>
      <c r="J2479" s="102"/>
      <c r="K2479" s="450"/>
      <c r="L2479" s="443"/>
      <c r="M2479" s="450"/>
      <c r="N2479" s="452">
        <f t="array" ref="N2479">IFERROR(
  INDEX(
    'Valor Hora Real y Estimada'!$A$4:$Z$78,
    MATCH(TRIM(CLEAN(A2479)), 'Valor Hora Real y Estimada'!$A$4:$A$78, 0),
    MATCH(
      TEXT(C2479,"dd mmm")&amp;" "&amp;D2479,
      'Valor Hora Real y Estimada'!$A$3:$Z$3,
      0
    ) + 1
  ),
  0
)</f>
        <v>0</v>
      </c>
      <c r="O2479" s="453"/>
      <c r="P2479" s="113"/>
      <c r="Q2479" s="106" t="str">
        <f>IF(ISBLANK(O2479), "", VLOOKUP(C2479&amp;" "&amp;D2479, 'Info Tipo de Cambio y REM'!$A$24:$B$35, 2, FALSE))</f>
        <v/>
      </c>
      <c r="R2479" s="107"/>
    </row>
    <row r="2480" hidden="1">
      <c r="A2480" s="443"/>
      <c r="B2480" s="43" t="str">
        <f>IF(A2480="", "", IFERROR(VLOOKUP(A2480, Clasificaciones!A:B, 2, FALSE), "DATO NO CARGADO"))
</f>
        <v/>
      </c>
      <c r="C2480" s="51"/>
      <c r="D2480" s="102"/>
      <c r="E2480" s="102"/>
      <c r="H2480" s="102"/>
      <c r="J2480" s="102"/>
      <c r="K2480" s="450"/>
      <c r="L2480" s="443"/>
      <c r="M2480" s="450"/>
      <c r="N2480" s="452">
        <f t="array" ref="N2480">IFERROR(
  INDEX(
    'Valor Hora Real y Estimada'!$A$4:$Z$78,
    MATCH(TRIM(CLEAN(A2480)), 'Valor Hora Real y Estimada'!$A$4:$A$78, 0),
    MATCH(
      TEXT(C2480,"dd mmm")&amp;" "&amp;D2480,
      'Valor Hora Real y Estimada'!$A$3:$Z$3,
      0
    ) + 1
  ),
  0
)</f>
        <v>0</v>
      </c>
      <c r="O2480" s="453"/>
      <c r="P2480" s="113"/>
      <c r="Q2480" s="106" t="str">
        <f>IF(ISBLANK(O2480), "", VLOOKUP(C2480&amp;" "&amp;D2480, 'Info Tipo de Cambio y REM'!$A$24:$B$35, 2, FALSE))</f>
        <v/>
      </c>
      <c r="R2480" s="107"/>
    </row>
    <row r="2481" hidden="1">
      <c r="A2481" s="443"/>
      <c r="B2481" s="43" t="str">
        <f>IF(A2481="", "", IFERROR(VLOOKUP(A2481, Clasificaciones!A:B, 2, FALSE), "DATO NO CARGADO"))
</f>
        <v/>
      </c>
      <c r="C2481" s="51"/>
      <c r="D2481" s="102"/>
      <c r="E2481" s="102"/>
      <c r="H2481" s="102"/>
      <c r="J2481" s="102"/>
      <c r="K2481" s="450"/>
      <c r="L2481" s="443"/>
      <c r="M2481" s="450"/>
      <c r="N2481" s="452">
        <f t="array" ref="N2481">IFERROR(
  INDEX(
    'Valor Hora Real y Estimada'!$A$4:$Z$78,
    MATCH(TRIM(CLEAN(A2481)), 'Valor Hora Real y Estimada'!$A$4:$A$78, 0),
    MATCH(
      TEXT(C2481,"dd mmm")&amp;" "&amp;D2481,
      'Valor Hora Real y Estimada'!$A$3:$Z$3,
      0
    ) + 1
  ),
  0
)</f>
        <v>0</v>
      </c>
      <c r="O2481" s="453"/>
      <c r="P2481" s="113"/>
      <c r="Q2481" s="106" t="str">
        <f>IF(ISBLANK(O2481), "", VLOOKUP(C2481&amp;" "&amp;D2481, 'Info Tipo de Cambio y REM'!$A$24:$B$35, 2, FALSE))</f>
        <v/>
      </c>
      <c r="R2481" s="107"/>
    </row>
    <row r="2482" hidden="1">
      <c r="A2482" s="443"/>
      <c r="B2482" s="43" t="str">
        <f>IF(A2482="", "", IFERROR(VLOOKUP(A2482, Clasificaciones!A:B, 2, FALSE), "DATO NO CARGADO"))
</f>
        <v/>
      </c>
      <c r="C2482" s="51"/>
      <c r="D2482" s="102"/>
      <c r="E2482" s="102"/>
      <c r="H2482" s="102"/>
      <c r="J2482" s="102"/>
      <c r="K2482" s="450"/>
      <c r="L2482" s="443"/>
      <c r="M2482" s="450"/>
      <c r="N2482" s="452">
        <f t="array" ref="N2482">IFERROR(
  INDEX(
    'Valor Hora Real y Estimada'!$A$4:$Z$78,
    MATCH(TRIM(CLEAN(A2482)), 'Valor Hora Real y Estimada'!$A$4:$A$78, 0),
    MATCH(
      TEXT(C2482,"dd mmm")&amp;" "&amp;D2482,
      'Valor Hora Real y Estimada'!$A$3:$Z$3,
      0
    ) + 1
  ),
  0
)</f>
        <v>0</v>
      </c>
      <c r="O2482" s="453"/>
      <c r="P2482" s="113"/>
      <c r="Q2482" s="106" t="str">
        <f>IF(ISBLANK(O2482), "", VLOOKUP(C2482&amp;" "&amp;D2482, 'Info Tipo de Cambio y REM'!$A$24:$B$35, 2, FALSE))</f>
        <v/>
      </c>
      <c r="R2482" s="107"/>
    </row>
    <row r="2483" hidden="1">
      <c r="A2483" s="443"/>
      <c r="B2483" s="43" t="str">
        <f>IF(A2483="", "", IFERROR(VLOOKUP(A2483, Clasificaciones!A:B, 2, FALSE), "DATO NO CARGADO"))
</f>
        <v/>
      </c>
      <c r="C2483" s="51"/>
      <c r="D2483" s="102"/>
      <c r="E2483" s="102"/>
      <c r="H2483" s="102"/>
      <c r="J2483" s="102"/>
      <c r="K2483" s="450"/>
      <c r="L2483" s="443"/>
      <c r="M2483" s="450"/>
      <c r="N2483" s="452">
        <f t="array" ref="N2483">IFERROR(
  INDEX(
    'Valor Hora Real y Estimada'!$A$4:$Z$78,
    MATCH(TRIM(CLEAN(A2483)), 'Valor Hora Real y Estimada'!$A$4:$A$78, 0),
    MATCH(
      TEXT(C2483,"dd mmm")&amp;" "&amp;D2483,
      'Valor Hora Real y Estimada'!$A$3:$Z$3,
      0
    ) + 1
  ),
  0
)</f>
        <v>0</v>
      </c>
      <c r="O2483" s="453"/>
      <c r="P2483" s="113"/>
      <c r="Q2483" s="106" t="str">
        <f>IF(ISBLANK(O2483), "", VLOOKUP(C2483&amp;" "&amp;D2483, 'Info Tipo de Cambio y REM'!$A$24:$B$35, 2, FALSE))</f>
        <v/>
      </c>
      <c r="R2483" s="107"/>
    </row>
    <row r="2484" hidden="1">
      <c r="A2484" s="443"/>
      <c r="B2484" s="43" t="str">
        <f>IF(A2484="", "", IFERROR(VLOOKUP(A2484, Clasificaciones!A:B, 2, FALSE), "DATO NO CARGADO"))
</f>
        <v/>
      </c>
      <c r="C2484" s="51"/>
      <c r="D2484" s="102"/>
      <c r="E2484" s="102"/>
      <c r="H2484" s="102"/>
      <c r="J2484" s="102"/>
      <c r="K2484" s="450"/>
      <c r="L2484" s="443"/>
      <c r="M2484" s="450"/>
      <c r="N2484" s="452">
        <f t="array" ref="N2484">IFERROR(
  INDEX(
    'Valor Hora Real y Estimada'!$A$4:$Z$78,
    MATCH(TRIM(CLEAN(A2484)), 'Valor Hora Real y Estimada'!$A$4:$A$78, 0),
    MATCH(
      TEXT(C2484,"dd mmm")&amp;" "&amp;D2484,
      'Valor Hora Real y Estimada'!$A$3:$Z$3,
      0
    ) + 1
  ),
  0
)</f>
        <v>0</v>
      </c>
      <c r="O2484" s="453"/>
      <c r="P2484" s="113"/>
      <c r="Q2484" s="106" t="str">
        <f>IF(ISBLANK(O2484), "", VLOOKUP(C2484&amp;" "&amp;D2484, 'Info Tipo de Cambio y REM'!$A$24:$B$35, 2, FALSE))</f>
        <v/>
      </c>
      <c r="R2484" s="107"/>
    </row>
    <row r="2485" hidden="1">
      <c r="A2485" s="443"/>
      <c r="B2485" s="43" t="str">
        <f>IF(A2485="", "", IFERROR(VLOOKUP(A2485, Clasificaciones!A:B, 2, FALSE), "DATO NO CARGADO"))
</f>
        <v/>
      </c>
      <c r="C2485" s="51"/>
      <c r="D2485" s="102"/>
      <c r="E2485" s="102"/>
      <c r="H2485" s="102"/>
      <c r="J2485" s="102"/>
      <c r="K2485" s="450"/>
      <c r="L2485" s="443"/>
      <c r="M2485" s="450"/>
      <c r="N2485" s="452">
        <f t="array" ref="N2485">IFERROR(
  INDEX(
    'Valor Hora Real y Estimada'!$A$4:$Z$78,
    MATCH(TRIM(CLEAN(A2485)), 'Valor Hora Real y Estimada'!$A$4:$A$78, 0),
    MATCH(
      TEXT(C2485,"dd mmm")&amp;" "&amp;D2485,
      'Valor Hora Real y Estimada'!$A$3:$Z$3,
      0
    ) + 1
  ),
  0
)</f>
        <v>0</v>
      </c>
      <c r="O2485" s="453"/>
      <c r="P2485" s="113"/>
      <c r="Q2485" s="106" t="str">
        <f>IF(ISBLANK(O2485), "", VLOOKUP(C2485&amp;" "&amp;D2485, 'Info Tipo de Cambio y REM'!$A$24:$B$35, 2, FALSE))</f>
        <v/>
      </c>
      <c r="R2485" s="107"/>
    </row>
    <row r="2486" hidden="1">
      <c r="A2486" s="443"/>
      <c r="B2486" s="43" t="str">
        <f>IF(A2486="", "", IFERROR(VLOOKUP(A2486, Clasificaciones!A:B, 2, FALSE), "DATO NO CARGADO"))
</f>
        <v/>
      </c>
      <c r="C2486" s="51"/>
      <c r="D2486" s="102"/>
      <c r="E2486" s="102"/>
      <c r="H2486" s="102"/>
      <c r="J2486" s="102"/>
      <c r="K2486" s="450"/>
      <c r="L2486" s="443"/>
      <c r="M2486" s="450"/>
      <c r="N2486" s="452">
        <f t="array" ref="N2486">IFERROR(
  INDEX(
    'Valor Hora Real y Estimada'!$A$4:$Z$78,
    MATCH(TRIM(CLEAN(A2486)), 'Valor Hora Real y Estimada'!$A$4:$A$78, 0),
    MATCH(
      TEXT(C2486,"dd mmm")&amp;" "&amp;D2486,
      'Valor Hora Real y Estimada'!$A$3:$Z$3,
      0
    ) + 1
  ),
  0
)</f>
        <v>0</v>
      </c>
      <c r="O2486" s="453"/>
      <c r="P2486" s="113"/>
      <c r="Q2486" s="106" t="str">
        <f>IF(ISBLANK(O2486), "", VLOOKUP(C2486&amp;" "&amp;D2486, 'Info Tipo de Cambio y REM'!$A$24:$B$35, 2, FALSE))</f>
        <v/>
      </c>
      <c r="R2486" s="107"/>
    </row>
    <row r="2487" hidden="1">
      <c r="A2487" s="443"/>
      <c r="B2487" s="43" t="str">
        <f>IF(A2487="", "", IFERROR(VLOOKUP(A2487, Clasificaciones!A:B, 2, FALSE), "DATO NO CARGADO"))
</f>
        <v/>
      </c>
      <c r="C2487" s="51"/>
      <c r="D2487" s="102"/>
      <c r="E2487" s="102"/>
      <c r="H2487" s="102"/>
      <c r="J2487" s="102"/>
      <c r="K2487" s="450"/>
      <c r="L2487" s="443"/>
      <c r="M2487" s="450"/>
      <c r="N2487" s="452">
        <f t="array" ref="N2487">IFERROR(
  INDEX(
    'Valor Hora Real y Estimada'!$A$4:$Z$78,
    MATCH(TRIM(CLEAN(A2487)), 'Valor Hora Real y Estimada'!$A$4:$A$78, 0),
    MATCH(
      TEXT(C2487,"dd mmm")&amp;" "&amp;D2487,
      'Valor Hora Real y Estimada'!$A$3:$Z$3,
      0
    ) + 1
  ),
  0
)</f>
        <v>0</v>
      </c>
      <c r="O2487" s="453"/>
      <c r="P2487" s="113"/>
      <c r="Q2487" s="106" t="str">
        <f>IF(ISBLANK(O2487), "", VLOOKUP(C2487&amp;" "&amp;D2487, 'Info Tipo de Cambio y REM'!$A$24:$B$35, 2, FALSE))</f>
        <v/>
      </c>
      <c r="R2487" s="107"/>
    </row>
    <row r="2488" hidden="1">
      <c r="A2488" s="443"/>
      <c r="B2488" s="43" t="str">
        <f>IF(A2488="", "", IFERROR(VLOOKUP(A2488, Clasificaciones!A:B, 2, FALSE), "DATO NO CARGADO"))
</f>
        <v/>
      </c>
      <c r="C2488" s="51"/>
      <c r="D2488" s="102"/>
      <c r="E2488" s="102"/>
      <c r="H2488" s="102"/>
      <c r="J2488" s="102"/>
      <c r="K2488" s="450"/>
      <c r="L2488" s="443"/>
      <c r="M2488" s="450"/>
      <c r="N2488" s="452">
        <f t="array" ref="N2488">IFERROR(
  INDEX(
    'Valor Hora Real y Estimada'!$A$4:$Z$78,
    MATCH(TRIM(CLEAN(A2488)), 'Valor Hora Real y Estimada'!$A$4:$A$78, 0),
    MATCH(
      TEXT(C2488,"dd mmm")&amp;" "&amp;D2488,
      'Valor Hora Real y Estimada'!$A$3:$Z$3,
      0
    ) + 1
  ),
  0
)</f>
        <v>0</v>
      </c>
      <c r="O2488" s="453"/>
      <c r="P2488" s="113"/>
      <c r="Q2488" s="106" t="str">
        <f>IF(ISBLANK(O2488), "", VLOOKUP(C2488&amp;" "&amp;D2488, 'Info Tipo de Cambio y REM'!$A$24:$B$35, 2, FALSE))</f>
        <v/>
      </c>
      <c r="R2488" s="107"/>
    </row>
    <row r="2489" hidden="1">
      <c r="A2489" s="443"/>
      <c r="B2489" s="43" t="str">
        <f>IF(A2489="", "", IFERROR(VLOOKUP(A2489, Clasificaciones!A:B, 2, FALSE), "DATO NO CARGADO"))
</f>
        <v/>
      </c>
      <c r="C2489" s="51"/>
      <c r="D2489" s="102"/>
      <c r="E2489" s="102"/>
      <c r="H2489" s="102"/>
      <c r="J2489" s="102"/>
      <c r="K2489" s="450"/>
      <c r="L2489" s="443"/>
      <c r="M2489" s="450"/>
      <c r="N2489" s="452">
        <f t="array" ref="N2489">IFERROR(
  INDEX(
    'Valor Hora Real y Estimada'!$A$4:$Z$78,
    MATCH(TRIM(CLEAN(A2489)), 'Valor Hora Real y Estimada'!$A$4:$A$78, 0),
    MATCH(
      TEXT(C2489,"dd mmm")&amp;" "&amp;D2489,
      'Valor Hora Real y Estimada'!$A$3:$Z$3,
      0
    ) + 1
  ),
  0
)</f>
        <v>0</v>
      </c>
      <c r="O2489" s="453"/>
      <c r="P2489" s="113"/>
      <c r="Q2489" s="106" t="str">
        <f>IF(ISBLANK(O2489), "", VLOOKUP(C2489&amp;" "&amp;D2489, 'Info Tipo de Cambio y REM'!$A$24:$B$35, 2, FALSE))</f>
        <v/>
      </c>
      <c r="R2489" s="107"/>
    </row>
    <row r="2490" hidden="1">
      <c r="A2490" s="443"/>
      <c r="B2490" s="43" t="str">
        <f>IF(A2490="", "", IFERROR(VLOOKUP(A2490, Clasificaciones!A:B, 2, FALSE), "DATO NO CARGADO"))
</f>
        <v/>
      </c>
      <c r="C2490" s="51"/>
      <c r="D2490" s="102"/>
      <c r="E2490" s="102"/>
      <c r="H2490" s="102"/>
      <c r="J2490" s="102"/>
      <c r="K2490" s="450"/>
      <c r="L2490" s="443"/>
      <c r="M2490" s="450"/>
      <c r="N2490" s="452">
        <f t="array" ref="N2490">IFERROR(
  INDEX(
    'Valor Hora Real y Estimada'!$A$4:$Z$78,
    MATCH(TRIM(CLEAN(A2490)), 'Valor Hora Real y Estimada'!$A$4:$A$78, 0),
    MATCH(
      TEXT(C2490,"dd mmm")&amp;" "&amp;D2490,
      'Valor Hora Real y Estimada'!$A$3:$Z$3,
      0
    ) + 1
  ),
  0
)</f>
        <v>0</v>
      </c>
      <c r="O2490" s="453"/>
      <c r="P2490" s="113"/>
      <c r="Q2490" s="106" t="str">
        <f>IF(ISBLANK(O2490), "", VLOOKUP(C2490&amp;" "&amp;D2490, 'Info Tipo de Cambio y REM'!$A$24:$B$35, 2, FALSE))</f>
        <v/>
      </c>
      <c r="R2490" s="107"/>
    </row>
    <row r="2491" hidden="1">
      <c r="A2491" s="443"/>
      <c r="B2491" s="43" t="str">
        <f>IF(A2491="", "", IFERROR(VLOOKUP(A2491, Clasificaciones!A:B, 2, FALSE), "DATO NO CARGADO"))
</f>
        <v/>
      </c>
      <c r="C2491" s="51"/>
      <c r="D2491" s="102"/>
      <c r="E2491" s="102"/>
      <c r="H2491" s="102"/>
      <c r="J2491" s="102"/>
      <c r="K2491" s="450"/>
      <c r="L2491" s="443"/>
      <c r="M2491" s="450"/>
      <c r="N2491" s="452">
        <f t="array" ref="N2491">IFERROR(
  INDEX(
    'Valor Hora Real y Estimada'!$A$4:$Z$78,
    MATCH(TRIM(CLEAN(A2491)), 'Valor Hora Real y Estimada'!$A$4:$A$78, 0),
    MATCH(
      TEXT(C2491,"dd mmm")&amp;" "&amp;D2491,
      'Valor Hora Real y Estimada'!$A$3:$Z$3,
      0
    ) + 1
  ),
  0
)</f>
        <v>0</v>
      </c>
      <c r="O2491" s="453"/>
      <c r="P2491" s="113"/>
      <c r="Q2491" s="106" t="str">
        <f>IF(ISBLANK(O2491), "", VLOOKUP(C2491&amp;" "&amp;D2491, 'Info Tipo de Cambio y REM'!$A$24:$B$35, 2, FALSE))</f>
        <v/>
      </c>
      <c r="R2491" s="107"/>
    </row>
    <row r="2492" hidden="1">
      <c r="A2492" s="443"/>
      <c r="B2492" s="43" t="str">
        <f>IF(A2492="", "", IFERROR(VLOOKUP(A2492, Clasificaciones!A:B, 2, FALSE), "DATO NO CARGADO"))
</f>
        <v/>
      </c>
      <c r="C2492" s="51"/>
      <c r="D2492" s="102"/>
      <c r="E2492" s="102"/>
      <c r="H2492" s="102"/>
      <c r="J2492" s="102"/>
      <c r="K2492" s="450"/>
      <c r="L2492" s="443"/>
      <c r="M2492" s="450"/>
      <c r="N2492" s="452">
        <f t="array" ref="N2492">IFERROR(
  INDEX(
    'Valor Hora Real y Estimada'!$A$4:$Z$78,
    MATCH(TRIM(CLEAN(A2492)), 'Valor Hora Real y Estimada'!$A$4:$A$78, 0),
    MATCH(
      TEXT(C2492,"dd mmm")&amp;" "&amp;D2492,
      'Valor Hora Real y Estimada'!$A$3:$Z$3,
      0
    ) + 1
  ),
  0
)</f>
        <v>0</v>
      </c>
      <c r="O2492" s="453"/>
      <c r="P2492" s="113"/>
      <c r="Q2492" s="106" t="str">
        <f>IF(ISBLANK(O2492), "", VLOOKUP(C2492&amp;" "&amp;D2492, 'Info Tipo de Cambio y REM'!$A$24:$B$35, 2, FALSE))</f>
        <v/>
      </c>
      <c r="R2492" s="107"/>
    </row>
    <row r="2493" hidden="1">
      <c r="A2493" s="443"/>
      <c r="B2493" s="43" t="str">
        <f>IF(A2493="", "", IFERROR(VLOOKUP(A2493, Clasificaciones!A:B, 2, FALSE), "DATO NO CARGADO"))
</f>
        <v/>
      </c>
      <c r="C2493" s="51"/>
      <c r="D2493" s="102"/>
      <c r="E2493" s="102"/>
      <c r="H2493" s="102"/>
      <c r="J2493" s="102"/>
      <c r="K2493" s="450"/>
      <c r="L2493" s="443"/>
      <c r="M2493" s="450"/>
      <c r="N2493" s="452">
        <f t="array" ref="N2493">IFERROR(
  INDEX(
    'Valor Hora Real y Estimada'!$A$4:$Z$78,
    MATCH(TRIM(CLEAN(A2493)), 'Valor Hora Real y Estimada'!$A$4:$A$78, 0),
    MATCH(
      TEXT(C2493,"dd mmm")&amp;" "&amp;D2493,
      'Valor Hora Real y Estimada'!$A$3:$Z$3,
      0
    ) + 1
  ),
  0
)</f>
        <v>0</v>
      </c>
      <c r="O2493" s="453"/>
      <c r="P2493" s="113"/>
      <c r="Q2493" s="106" t="str">
        <f>IF(ISBLANK(O2493), "", VLOOKUP(C2493&amp;" "&amp;D2493, 'Info Tipo de Cambio y REM'!$A$24:$B$35, 2, FALSE))</f>
        <v/>
      </c>
      <c r="R2493" s="107"/>
    </row>
    <row r="2494" hidden="1">
      <c r="A2494" s="443"/>
      <c r="B2494" s="43" t="str">
        <f>IF(A2494="", "", IFERROR(VLOOKUP(A2494, Clasificaciones!A:B, 2, FALSE), "DATO NO CARGADO"))
</f>
        <v/>
      </c>
      <c r="C2494" s="51"/>
      <c r="D2494" s="102"/>
      <c r="E2494" s="102"/>
      <c r="H2494" s="102"/>
      <c r="J2494" s="102"/>
      <c r="K2494" s="450"/>
      <c r="L2494" s="443"/>
      <c r="M2494" s="450"/>
      <c r="N2494" s="452">
        <f t="array" ref="N2494">IFERROR(
  INDEX(
    'Valor Hora Real y Estimada'!$A$4:$Z$78,
    MATCH(TRIM(CLEAN(A2494)), 'Valor Hora Real y Estimada'!$A$4:$A$78, 0),
    MATCH(
      TEXT(C2494,"dd mmm")&amp;" "&amp;D2494,
      'Valor Hora Real y Estimada'!$A$3:$Z$3,
      0
    ) + 1
  ),
  0
)</f>
        <v>0</v>
      </c>
      <c r="O2494" s="453"/>
      <c r="P2494" s="113"/>
      <c r="Q2494" s="106" t="str">
        <f>IF(ISBLANK(O2494), "", VLOOKUP(C2494&amp;" "&amp;D2494, 'Info Tipo de Cambio y REM'!$A$24:$B$35, 2, FALSE))</f>
        <v/>
      </c>
      <c r="R2494" s="107"/>
    </row>
    <row r="2495" hidden="1">
      <c r="A2495" s="443"/>
      <c r="B2495" s="43" t="str">
        <f>IF(A2495="", "", IFERROR(VLOOKUP(A2495, Clasificaciones!A:B, 2, FALSE), "DATO NO CARGADO"))
</f>
        <v/>
      </c>
      <c r="C2495" s="51"/>
      <c r="D2495" s="102"/>
      <c r="E2495" s="102"/>
      <c r="H2495" s="102"/>
      <c r="J2495" s="102"/>
      <c r="K2495" s="450"/>
      <c r="L2495" s="443"/>
      <c r="M2495" s="450"/>
      <c r="N2495" s="452">
        <f t="array" ref="N2495">IFERROR(
  INDEX(
    'Valor Hora Real y Estimada'!$A$4:$Z$78,
    MATCH(TRIM(CLEAN(A2495)), 'Valor Hora Real y Estimada'!$A$4:$A$78, 0),
    MATCH(
      TEXT(C2495,"dd mmm")&amp;" "&amp;D2495,
      'Valor Hora Real y Estimada'!$A$3:$Z$3,
      0
    ) + 1
  ),
  0
)</f>
        <v>0</v>
      </c>
      <c r="O2495" s="453"/>
      <c r="P2495" s="113"/>
      <c r="Q2495" s="106" t="str">
        <f>IF(ISBLANK(O2495), "", VLOOKUP(C2495&amp;" "&amp;D2495, 'Info Tipo de Cambio y REM'!$A$24:$B$35, 2, FALSE))</f>
        <v/>
      </c>
      <c r="R2495" s="107"/>
    </row>
    <row r="2496" hidden="1">
      <c r="A2496" s="443"/>
      <c r="B2496" s="43" t="str">
        <f>IF(A2496="", "", IFERROR(VLOOKUP(A2496, Clasificaciones!A:B, 2, FALSE), "DATO NO CARGADO"))
</f>
        <v/>
      </c>
      <c r="C2496" s="51"/>
      <c r="D2496" s="102"/>
      <c r="E2496" s="102"/>
      <c r="H2496" s="102"/>
      <c r="J2496" s="102"/>
      <c r="K2496" s="450"/>
      <c r="L2496" s="443"/>
      <c r="M2496" s="450"/>
      <c r="N2496" s="452">
        <f t="array" ref="N2496">IFERROR(
  INDEX(
    'Valor Hora Real y Estimada'!$A$4:$Z$78,
    MATCH(TRIM(CLEAN(A2496)), 'Valor Hora Real y Estimada'!$A$4:$A$78, 0),
    MATCH(
      TEXT(C2496,"dd mmm")&amp;" "&amp;D2496,
      'Valor Hora Real y Estimada'!$A$3:$Z$3,
      0
    ) + 1
  ),
  0
)</f>
        <v>0</v>
      </c>
      <c r="O2496" s="453"/>
      <c r="P2496" s="113"/>
      <c r="Q2496" s="106" t="str">
        <f>IF(ISBLANK(O2496), "", VLOOKUP(C2496&amp;" "&amp;D2496, 'Info Tipo de Cambio y REM'!$A$24:$B$35, 2, FALSE))</f>
        <v/>
      </c>
      <c r="R2496" s="107"/>
    </row>
    <row r="2497" hidden="1">
      <c r="A2497" s="443"/>
      <c r="B2497" s="43" t="str">
        <f>IF(A2497="", "", IFERROR(VLOOKUP(A2497, Clasificaciones!A:B, 2, FALSE), "DATO NO CARGADO"))
</f>
        <v/>
      </c>
      <c r="C2497" s="51"/>
      <c r="D2497" s="102"/>
      <c r="E2497" s="102"/>
      <c r="H2497" s="102"/>
      <c r="J2497" s="102"/>
      <c r="K2497" s="450"/>
      <c r="L2497" s="443"/>
      <c r="M2497" s="450"/>
      <c r="N2497" s="452">
        <f t="array" ref="N2497">IFERROR(
  INDEX(
    'Valor Hora Real y Estimada'!$A$4:$Z$78,
    MATCH(TRIM(CLEAN(A2497)), 'Valor Hora Real y Estimada'!$A$4:$A$78, 0),
    MATCH(
      TEXT(C2497,"dd mmm")&amp;" "&amp;D2497,
      'Valor Hora Real y Estimada'!$A$3:$Z$3,
      0
    ) + 1
  ),
  0
)</f>
        <v>0</v>
      </c>
      <c r="O2497" s="453"/>
      <c r="P2497" s="113"/>
      <c r="Q2497" s="106" t="str">
        <f>IF(ISBLANK(O2497), "", VLOOKUP(C2497&amp;" "&amp;D2497, 'Info Tipo de Cambio y REM'!$A$24:$B$35, 2, FALSE))</f>
        <v/>
      </c>
      <c r="R2497" s="107"/>
    </row>
    <row r="2498" hidden="1">
      <c r="A2498" s="443"/>
      <c r="B2498" s="43" t="str">
        <f>IF(A2498="", "", IFERROR(VLOOKUP(A2498, Clasificaciones!A:B, 2, FALSE), "DATO NO CARGADO"))
</f>
        <v/>
      </c>
      <c r="C2498" s="51"/>
      <c r="D2498" s="102"/>
      <c r="E2498" s="102"/>
      <c r="H2498" s="102"/>
      <c r="J2498" s="102"/>
      <c r="K2498" s="450"/>
      <c r="L2498" s="443"/>
      <c r="M2498" s="450"/>
      <c r="N2498" s="452">
        <f t="array" ref="N2498">IFERROR(
  INDEX(
    'Valor Hora Real y Estimada'!$A$4:$Z$78,
    MATCH(TRIM(CLEAN(A2498)), 'Valor Hora Real y Estimada'!$A$4:$A$78, 0),
    MATCH(
      TEXT(C2498,"dd mmm")&amp;" "&amp;D2498,
      'Valor Hora Real y Estimada'!$A$3:$Z$3,
      0
    ) + 1
  ),
  0
)</f>
        <v>0</v>
      </c>
      <c r="O2498" s="453"/>
      <c r="P2498" s="113"/>
      <c r="Q2498" s="106" t="str">
        <f>IF(ISBLANK(O2498), "", VLOOKUP(C2498&amp;" "&amp;D2498, 'Info Tipo de Cambio y REM'!$A$24:$B$35, 2, FALSE))</f>
        <v/>
      </c>
      <c r="R2498" s="107"/>
    </row>
    <row r="2499" hidden="1">
      <c r="A2499" s="443"/>
      <c r="B2499" s="43" t="str">
        <f>IF(A2499="", "", IFERROR(VLOOKUP(A2499, Clasificaciones!A:B, 2, FALSE), "DATO NO CARGADO"))
</f>
        <v/>
      </c>
      <c r="C2499" s="51"/>
      <c r="D2499" s="102"/>
      <c r="E2499" s="102"/>
      <c r="H2499" s="102"/>
      <c r="J2499" s="102"/>
      <c r="K2499" s="450"/>
      <c r="L2499" s="443"/>
      <c r="M2499" s="450"/>
      <c r="N2499" s="452">
        <f t="array" ref="N2499">IFERROR(
  INDEX(
    'Valor Hora Real y Estimada'!$A$4:$Z$78,
    MATCH(TRIM(CLEAN(A2499)), 'Valor Hora Real y Estimada'!$A$4:$A$78, 0),
    MATCH(
      TEXT(C2499,"dd mmm")&amp;" "&amp;D2499,
      'Valor Hora Real y Estimada'!$A$3:$Z$3,
      0
    ) + 1
  ),
  0
)</f>
        <v>0</v>
      </c>
      <c r="O2499" s="453"/>
      <c r="P2499" s="113"/>
      <c r="Q2499" s="106" t="str">
        <f>IF(ISBLANK(O2499), "", VLOOKUP(C2499&amp;" "&amp;D2499, 'Info Tipo de Cambio y REM'!$A$24:$B$35, 2, FALSE))</f>
        <v/>
      </c>
      <c r="R2499" s="107"/>
    </row>
    <row r="2500" hidden="1">
      <c r="A2500" s="443"/>
      <c r="B2500" s="43" t="str">
        <f>IF(A2500="", "", IFERROR(VLOOKUP(A2500, Clasificaciones!A:B, 2, FALSE), "DATO NO CARGADO"))
</f>
        <v/>
      </c>
      <c r="C2500" s="51"/>
      <c r="D2500" s="102"/>
      <c r="E2500" s="102"/>
      <c r="H2500" s="102"/>
      <c r="J2500" s="102"/>
      <c r="K2500" s="450"/>
      <c r="L2500" s="443"/>
      <c r="M2500" s="450"/>
      <c r="N2500" s="452">
        <f t="array" ref="N2500">IFERROR(
  INDEX(
    'Valor Hora Real y Estimada'!$A$4:$Z$78,
    MATCH(TRIM(CLEAN(A2500)), 'Valor Hora Real y Estimada'!$A$4:$A$78, 0),
    MATCH(
      TEXT(C2500,"dd mmm")&amp;" "&amp;D2500,
      'Valor Hora Real y Estimada'!$A$3:$Z$3,
      0
    ) + 1
  ),
  0
)</f>
        <v>0</v>
      </c>
      <c r="O2500" s="453"/>
      <c r="P2500" s="113"/>
      <c r="Q2500" s="106" t="str">
        <f>IF(ISBLANK(O2500), "", VLOOKUP(C2500&amp;" "&amp;D2500, 'Info Tipo de Cambio y REM'!$A$24:$B$35, 2, FALSE))</f>
        <v/>
      </c>
      <c r="R2500" s="107"/>
    </row>
    <row r="2501" hidden="1">
      <c r="A2501" s="443"/>
      <c r="B2501" s="43" t="str">
        <f>IF(A2501="", "", IFERROR(VLOOKUP(A2501, Clasificaciones!A:B, 2, FALSE), "DATO NO CARGADO"))
</f>
        <v/>
      </c>
      <c r="C2501" s="51"/>
      <c r="D2501" s="102"/>
      <c r="E2501" s="102"/>
      <c r="H2501" s="102"/>
      <c r="J2501" s="102"/>
      <c r="K2501" s="450"/>
      <c r="L2501" s="443"/>
      <c r="M2501" s="450"/>
      <c r="N2501" s="452">
        <f t="array" ref="N2501">IFERROR(
  INDEX(
    'Valor Hora Real y Estimada'!$A$4:$Z$78,
    MATCH(TRIM(CLEAN(A2501)), 'Valor Hora Real y Estimada'!$A$4:$A$78, 0),
    MATCH(
      TEXT(C2501,"dd mmm")&amp;" "&amp;D2501,
      'Valor Hora Real y Estimada'!$A$3:$Z$3,
      0
    ) + 1
  ),
  0
)</f>
        <v>0</v>
      </c>
      <c r="O2501" s="453"/>
      <c r="P2501" s="113"/>
      <c r="Q2501" s="106" t="str">
        <f>IF(ISBLANK(O2501), "", VLOOKUP(C2501&amp;" "&amp;D2501, 'Info Tipo de Cambio y REM'!$A$24:$B$35, 2, FALSE))</f>
        <v/>
      </c>
      <c r="R2501" s="107"/>
    </row>
    <row r="2502" hidden="1">
      <c r="A2502" s="443"/>
      <c r="B2502" s="43" t="str">
        <f>IF(A2502="", "", IFERROR(VLOOKUP(A2502, Clasificaciones!A:B, 2, FALSE), "DATO NO CARGADO"))
</f>
        <v/>
      </c>
      <c r="C2502" s="51"/>
      <c r="D2502" s="102"/>
      <c r="E2502" s="102"/>
      <c r="H2502" s="102"/>
      <c r="J2502" s="102"/>
      <c r="K2502" s="450"/>
      <c r="L2502" s="443"/>
      <c r="M2502" s="450"/>
      <c r="N2502" s="452">
        <f t="array" ref="N2502">IFERROR(
  INDEX(
    'Valor Hora Real y Estimada'!$A$4:$Z$78,
    MATCH(TRIM(CLEAN(A2502)), 'Valor Hora Real y Estimada'!$A$4:$A$78, 0),
    MATCH(
      TEXT(C2502,"dd mmm")&amp;" "&amp;D2502,
      'Valor Hora Real y Estimada'!$A$3:$Z$3,
      0
    ) + 1
  ),
  0
)</f>
        <v>0</v>
      </c>
      <c r="O2502" s="453"/>
      <c r="P2502" s="113"/>
      <c r="Q2502" s="106" t="str">
        <f>IF(ISBLANK(O2502), "", VLOOKUP(C2502&amp;" "&amp;D2502, 'Info Tipo de Cambio y REM'!$A$24:$B$35, 2, FALSE))</f>
        <v/>
      </c>
      <c r="R2502" s="107"/>
    </row>
    <row r="2503" hidden="1">
      <c r="A2503" s="443"/>
      <c r="B2503" s="43" t="str">
        <f>IF(A2503="", "", IFERROR(VLOOKUP(A2503, Clasificaciones!A:B, 2, FALSE), "DATO NO CARGADO"))
</f>
        <v/>
      </c>
      <c r="C2503" s="51"/>
      <c r="D2503" s="102"/>
      <c r="E2503" s="102"/>
      <c r="H2503" s="102"/>
      <c r="J2503" s="102"/>
      <c r="K2503" s="450"/>
      <c r="L2503" s="443"/>
      <c r="M2503" s="450"/>
      <c r="N2503" s="452">
        <f t="array" ref="N2503">IFERROR(
  INDEX(
    'Valor Hora Real y Estimada'!$A$4:$Z$78,
    MATCH(TRIM(CLEAN(A2503)), 'Valor Hora Real y Estimada'!$A$4:$A$78, 0),
    MATCH(
      TEXT(C2503,"dd mmm")&amp;" "&amp;D2503,
      'Valor Hora Real y Estimada'!$A$3:$Z$3,
      0
    ) + 1
  ),
  0
)</f>
        <v>0</v>
      </c>
      <c r="O2503" s="453"/>
      <c r="P2503" s="113"/>
      <c r="Q2503" s="106" t="str">
        <f>IF(ISBLANK(O2503), "", VLOOKUP(C2503&amp;" "&amp;D2503, 'Info Tipo de Cambio y REM'!$A$24:$B$35, 2, FALSE))</f>
        <v/>
      </c>
      <c r="R2503" s="107"/>
    </row>
    <row r="2504" hidden="1">
      <c r="A2504" s="443"/>
      <c r="B2504" s="43" t="str">
        <f>IF(A2504="", "", IFERROR(VLOOKUP(A2504, Clasificaciones!A:B, 2, FALSE), "DATO NO CARGADO"))
</f>
        <v/>
      </c>
      <c r="C2504" s="51"/>
      <c r="D2504" s="102"/>
      <c r="E2504" s="102"/>
      <c r="H2504" s="102"/>
      <c r="J2504" s="102"/>
      <c r="K2504" s="450"/>
      <c r="L2504" s="443"/>
      <c r="M2504" s="450"/>
      <c r="N2504" s="452">
        <f t="array" ref="N2504">IFERROR(
  INDEX(
    'Valor Hora Real y Estimada'!$A$4:$Z$78,
    MATCH(TRIM(CLEAN(A2504)), 'Valor Hora Real y Estimada'!$A$4:$A$78, 0),
    MATCH(
      TEXT(C2504,"dd mmm")&amp;" "&amp;D2504,
      'Valor Hora Real y Estimada'!$A$3:$Z$3,
      0
    ) + 1
  ),
  0
)</f>
        <v>0</v>
      </c>
      <c r="O2504" s="453"/>
      <c r="P2504" s="113"/>
      <c r="Q2504" s="106" t="str">
        <f>IF(ISBLANK(O2504), "", VLOOKUP(C2504&amp;" "&amp;D2504, 'Info Tipo de Cambio y REM'!$A$24:$B$35, 2, FALSE))</f>
        <v/>
      </c>
      <c r="R2504" s="107"/>
    </row>
    <row r="2505" hidden="1">
      <c r="A2505" s="443"/>
      <c r="B2505" s="43" t="str">
        <f>IF(A2505="", "", IFERROR(VLOOKUP(A2505, Clasificaciones!A:B, 2, FALSE), "DATO NO CARGADO"))
</f>
        <v/>
      </c>
      <c r="C2505" s="51"/>
      <c r="D2505" s="102"/>
      <c r="E2505" s="102"/>
      <c r="H2505" s="102"/>
      <c r="J2505" s="102"/>
      <c r="K2505" s="450"/>
      <c r="L2505" s="443"/>
      <c r="M2505" s="450"/>
      <c r="N2505" s="452">
        <f t="array" ref="N2505">IFERROR(
  INDEX(
    'Valor Hora Real y Estimada'!$A$4:$Z$78,
    MATCH(TRIM(CLEAN(A2505)), 'Valor Hora Real y Estimada'!$A$4:$A$78, 0),
    MATCH(
      TEXT(C2505,"dd mmm")&amp;" "&amp;D2505,
      'Valor Hora Real y Estimada'!$A$3:$Z$3,
      0
    ) + 1
  ),
  0
)</f>
        <v>0</v>
      </c>
      <c r="O2505" s="453"/>
      <c r="P2505" s="113"/>
      <c r="Q2505" s="106" t="str">
        <f>IF(ISBLANK(O2505), "", VLOOKUP(C2505&amp;" "&amp;D2505, 'Info Tipo de Cambio y REM'!$A$24:$B$35, 2, FALSE))</f>
        <v/>
      </c>
      <c r="R2505" s="107"/>
    </row>
    <row r="2506" hidden="1">
      <c r="A2506" s="443"/>
      <c r="B2506" s="43" t="str">
        <f>IF(A2506="", "", IFERROR(VLOOKUP(A2506, Clasificaciones!A:B, 2, FALSE), "DATO NO CARGADO"))
</f>
        <v/>
      </c>
      <c r="C2506" s="51"/>
      <c r="D2506" s="102"/>
      <c r="E2506" s="102"/>
      <c r="H2506" s="102"/>
      <c r="J2506" s="102"/>
      <c r="K2506" s="450"/>
      <c r="L2506" s="443"/>
      <c r="M2506" s="450"/>
      <c r="N2506" s="452">
        <f t="array" ref="N2506">IFERROR(
  INDEX(
    'Valor Hora Real y Estimada'!$A$4:$Z$78,
    MATCH(TRIM(CLEAN(A2506)), 'Valor Hora Real y Estimada'!$A$4:$A$78, 0),
    MATCH(
      TEXT(C2506,"dd mmm")&amp;" "&amp;D2506,
      'Valor Hora Real y Estimada'!$A$3:$Z$3,
      0
    ) + 1
  ),
  0
)</f>
        <v>0</v>
      </c>
      <c r="O2506" s="453"/>
      <c r="P2506" s="113"/>
      <c r="Q2506" s="106" t="str">
        <f>IF(ISBLANK(O2506), "", VLOOKUP(C2506&amp;" "&amp;D2506, 'Info Tipo de Cambio y REM'!$A$24:$B$35, 2, FALSE))</f>
        <v/>
      </c>
      <c r="R2506" s="107"/>
    </row>
    <row r="2507" hidden="1">
      <c r="A2507" s="443"/>
      <c r="B2507" s="43" t="str">
        <f>IF(A2507="", "", IFERROR(VLOOKUP(A2507, Clasificaciones!A:B, 2, FALSE), "DATO NO CARGADO"))
</f>
        <v/>
      </c>
      <c r="C2507" s="51"/>
      <c r="D2507" s="102"/>
      <c r="E2507" s="102"/>
      <c r="H2507" s="102"/>
      <c r="J2507" s="102"/>
      <c r="K2507" s="450"/>
      <c r="L2507" s="443"/>
      <c r="M2507" s="450"/>
      <c r="N2507" s="452">
        <f t="array" ref="N2507">IFERROR(
  INDEX(
    'Valor Hora Real y Estimada'!$A$4:$Z$78,
    MATCH(TRIM(CLEAN(A2507)), 'Valor Hora Real y Estimada'!$A$4:$A$78, 0),
    MATCH(
      TEXT(C2507,"dd mmm")&amp;" "&amp;D2507,
      'Valor Hora Real y Estimada'!$A$3:$Z$3,
      0
    ) + 1
  ),
  0
)</f>
        <v>0</v>
      </c>
      <c r="O2507" s="453"/>
      <c r="P2507" s="113"/>
      <c r="Q2507" s="106" t="str">
        <f>IF(ISBLANK(O2507), "", VLOOKUP(C2507&amp;" "&amp;D2507, 'Info Tipo de Cambio y REM'!$A$24:$B$35, 2, FALSE))</f>
        <v/>
      </c>
      <c r="R2507" s="107"/>
    </row>
    <row r="2508" hidden="1">
      <c r="A2508" s="443"/>
      <c r="B2508" s="43" t="str">
        <f>IF(A2508="", "", IFERROR(VLOOKUP(A2508, Clasificaciones!A:B, 2, FALSE), "DATO NO CARGADO"))
</f>
        <v/>
      </c>
      <c r="C2508" s="51"/>
      <c r="D2508" s="102"/>
      <c r="E2508" s="102"/>
      <c r="H2508" s="102"/>
      <c r="J2508" s="102"/>
      <c r="K2508" s="450"/>
      <c r="L2508" s="443"/>
      <c r="M2508" s="450"/>
      <c r="N2508" s="452">
        <f t="array" ref="N2508">IFERROR(
  INDEX(
    'Valor Hora Real y Estimada'!$A$4:$Z$78,
    MATCH(TRIM(CLEAN(A2508)), 'Valor Hora Real y Estimada'!$A$4:$A$78, 0),
    MATCH(
      TEXT(C2508,"dd mmm")&amp;" "&amp;D2508,
      'Valor Hora Real y Estimada'!$A$3:$Z$3,
      0
    ) + 1
  ),
  0
)</f>
        <v>0</v>
      </c>
      <c r="O2508" s="453"/>
      <c r="P2508" s="113"/>
      <c r="Q2508" s="106" t="str">
        <f>IF(ISBLANK(O2508), "", VLOOKUP(C2508&amp;" "&amp;D2508, 'Info Tipo de Cambio y REM'!$A$24:$B$35, 2, FALSE))</f>
        <v/>
      </c>
      <c r="R2508" s="107"/>
    </row>
    <row r="2509" hidden="1">
      <c r="A2509" s="443"/>
      <c r="B2509" s="43" t="str">
        <f>IF(A2509="", "", IFERROR(VLOOKUP(A2509, Clasificaciones!A:B, 2, FALSE), "DATO NO CARGADO"))
</f>
        <v/>
      </c>
      <c r="C2509" s="51"/>
      <c r="D2509" s="102"/>
      <c r="E2509" s="102"/>
      <c r="H2509" s="102"/>
      <c r="J2509" s="102"/>
      <c r="K2509" s="450"/>
      <c r="L2509" s="443"/>
      <c r="M2509" s="450"/>
      <c r="N2509" s="452">
        <f t="array" ref="N2509">IFERROR(
  INDEX(
    'Valor Hora Real y Estimada'!$A$4:$Z$78,
    MATCH(TRIM(CLEAN(A2509)), 'Valor Hora Real y Estimada'!$A$4:$A$78, 0),
    MATCH(
      TEXT(C2509,"dd mmm")&amp;" "&amp;D2509,
      'Valor Hora Real y Estimada'!$A$3:$Z$3,
      0
    ) + 1
  ),
  0
)</f>
        <v>0</v>
      </c>
      <c r="O2509" s="453"/>
      <c r="P2509" s="113"/>
      <c r="Q2509" s="106" t="str">
        <f>IF(ISBLANK(O2509), "", VLOOKUP(C2509&amp;" "&amp;D2509, 'Info Tipo de Cambio y REM'!$A$24:$B$35, 2, FALSE))</f>
        <v/>
      </c>
      <c r="R2509" s="107"/>
    </row>
    <row r="2510" hidden="1">
      <c r="A2510" s="443"/>
      <c r="B2510" s="43" t="str">
        <f>IF(A2510="", "", IFERROR(VLOOKUP(A2510, Clasificaciones!A:B, 2, FALSE), "DATO NO CARGADO"))
</f>
        <v/>
      </c>
      <c r="C2510" s="51"/>
      <c r="D2510" s="102"/>
      <c r="E2510" s="102"/>
      <c r="H2510" s="102"/>
      <c r="J2510" s="102"/>
      <c r="K2510" s="450"/>
      <c r="L2510" s="443"/>
      <c r="M2510" s="450"/>
      <c r="N2510" s="452">
        <f t="array" ref="N2510">IFERROR(
  INDEX(
    'Valor Hora Real y Estimada'!$A$4:$Z$78,
    MATCH(TRIM(CLEAN(A2510)), 'Valor Hora Real y Estimada'!$A$4:$A$78, 0),
    MATCH(
      TEXT(C2510,"dd mmm")&amp;" "&amp;D2510,
      'Valor Hora Real y Estimada'!$A$3:$Z$3,
      0
    ) + 1
  ),
  0
)</f>
        <v>0</v>
      </c>
      <c r="O2510" s="453"/>
      <c r="P2510" s="113"/>
      <c r="Q2510" s="106" t="str">
        <f>IF(ISBLANK(O2510), "", VLOOKUP(C2510&amp;" "&amp;D2510, 'Info Tipo de Cambio y REM'!$A$24:$B$35, 2, FALSE))</f>
        <v/>
      </c>
      <c r="R2510" s="107"/>
    </row>
    <row r="2511" hidden="1">
      <c r="A2511" s="443"/>
      <c r="B2511" s="43" t="str">
        <f>IF(A2511="", "", IFERROR(VLOOKUP(A2511, Clasificaciones!A:B, 2, FALSE), "DATO NO CARGADO"))
</f>
        <v/>
      </c>
      <c r="C2511" s="51"/>
      <c r="D2511" s="102"/>
      <c r="E2511" s="102"/>
      <c r="H2511" s="102"/>
      <c r="J2511" s="102"/>
      <c r="K2511" s="450"/>
      <c r="L2511" s="443"/>
      <c r="M2511" s="450"/>
      <c r="N2511" s="452">
        <f t="array" ref="N2511">IFERROR(
  INDEX(
    'Valor Hora Real y Estimada'!$A$4:$Z$78,
    MATCH(TRIM(CLEAN(A2511)), 'Valor Hora Real y Estimada'!$A$4:$A$78, 0),
    MATCH(
      TEXT(C2511,"dd mmm")&amp;" "&amp;D2511,
      'Valor Hora Real y Estimada'!$A$3:$Z$3,
      0
    ) + 1
  ),
  0
)</f>
        <v>0</v>
      </c>
      <c r="O2511" s="453"/>
      <c r="P2511" s="113"/>
      <c r="Q2511" s="106" t="str">
        <f>IF(ISBLANK(O2511), "", VLOOKUP(C2511&amp;" "&amp;D2511, 'Info Tipo de Cambio y REM'!$A$24:$B$35, 2, FALSE))</f>
        <v/>
      </c>
      <c r="R2511" s="107"/>
    </row>
    <row r="2512" hidden="1">
      <c r="A2512" s="443"/>
      <c r="B2512" s="43" t="str">
        <f>IF(A2512="", "", IFERROR(VLOOKUP(A2512, Clasificaciones!A:B, 2, FALSE), "DATO NO CARGADO"))
</f>
        <v/>
      </c>
      <c r="C2512" s="51"/>
      <c r="D2512" s="102"/>
      <c r="E2512" s="102"/>
      <c r="H2512" s="102"/>
      <c r="J2512" s="102"/>
      <c r="K2512" s="450"/>
      <c r="L2512" s="443"/>
      <c r="M2512" s="450"/>
      <c r="N2512" s="452">
        <f t="array" ref="N2512">IFERROR(
  INDEX(
    'Valor Hora Real y Estimada'!$A$4:$Z$78,
    MATCH(TRIM(CLEAN(A2512)), 'Valor Hora Real y Estimada'!$A$4:$A$78, 0),
    MATCH(
      TEXT(C2512,"dd mmm")&amp;" "&amp;D2512,
      'Valor Hora Real y Estimada'!$A$3:$Z$3,
      0
    ) + 1
  ),
  0
)</f>
        <v>0</v>
      </c>
      <c r="O2512" s="453"/>
      <c r="P2512" s="113"/>
      <c r="Q2512" s="106" t="str">
        <f>IF(ISBLANK(O2512), "", VLOOKUP(C2512&amp;" "&amp;D2512, 'Info Tipo de Cambio y REM'!$A$24:$B$35, 2, FALSE))</f>
        <v/>
      </c>
      <c r="R2512" s="107"/>
    </row>
    <row r="2513" hidden="1">
      <c r="A2513" s="443"/>
      <c r="B2513" s="43" t="str">
        <f>IF(A2513="", "", IFERROR(VLOOKUP(A2513, Clasificaciones!A:B, 2, FALSE), "DATO NO CARGADO"))
</f>
        <v/>
      </c>
      <c r="C2513" s="51"/>
      <c r="D2513" s="102"/>
      <c r="E2513" s="102"/>
      <c r="H2513" s="102"/>
      <c r="J2513" s="102"/>
      <c r="K2513" s="450"/>
      <c r="L2513" s="443"/>
      <c r="M2513" s="450"/>
      <c r="N2513" s="452">
        <f t="array" ref="N2513">IFERROR(
  INDEX(
    'Valor Hora Real y Estimada'!$A$4:$Z$78,
    MATCH(TRIM(CLEAN(A2513)), 'Valor Hora Real y Estimada'!$A$4:$A$78, 0),
    MATCH(
      TEXT(C2513,"dd mmm")&amp;" "&amp;D2513,
      'Valor Hora Real y Estimada'!$A$3:$Z$3,
      0
    ) + 1
  ),
  0
)</f>
        <v>0</v>
      </c>
      <c r="O2513" s="453"/>
      <c r="P2513" s="113"/>
      <c r="Q2513" s="106" t="str">
        <f>IF(ISBLANK(O2513), "", VLOOKUP(C2513&amp;" "&amp;D2513, 'Info Tipo de Cambio y REM'!$A$24:$B$35, 2, FALSE))</f>
        <v/>
      </c>
      <c r="R2513" s="107"/>
    </row>
    <row r="2514" hidden="1">
      <c r="A2514" s="443"/>
      <c r="B2514" s="43" t="str">
        <f>IF(A2514="", "", IFERROR(VLOOKUP(A2514, Clasificaciones!A:B, 2, FALSE), "DATO NO CARGADO"))
</f>
        <v/>
      </c>
      <c r="C2514" s="51"/>
      <c r="D2514" s="102"/>
      <c r="E2514" s="102"/>
      <c r="H2514" s="102"/>
      <c r="J2514" s="102"/>
      <c r="K2514" s="450"/>
      <c r="L2514" s="443"/>
      <c r="M2514" s="450"/>
      <c r="N2514" s="452">
        <f t="array" ref="N2514">IFERROR(
  INDEX(
    'Valor Hora Real y Estimada'!$A$4:$Z$78,
    MATCH(TRIM(CLEAN(A2514)), 'Valor Hora Real y Estimada'!$A$4:$A$78, 0),
    MATCH(
      TEXT(C2514,"dd mmm")&amp;" "&amp;D2514,
      'Valor Hora Real y Estimada'!$A$3:$Z$3,
      0
    ) + 1
  ),
  0
)</f>
        <v>0</v>
      </c>
      <c r="O2514" s="453"/>
      <c r="P2514" s="113"/>
      <c r="Q2514" s="106" t="str">
        <f>IF(ISBLANK(O2514), "", VLOOKUP(C2514&amp;" "&amp;D2514, 'Info Tipo de Cambio y REM'!$A$24:$B$35, 2, FALSE))</f>
        <v/>
      </c>
      <c r="R2514" s="107"/>
    </row>
    <row r="2515" hidden="1">
      <c r="A2515" s="443"/>
      <c r="B2515" s="43" t="str">
        <f>IF(A2515="", "", IFERROR(VLOOKUP(A2515, Clasificaciones!A:B, 2, FALSE), "DATO NO CARGADO"))
</f>
        <v/>
      </c>
      <c r="C2515" s="51"/>
      <c r="D2515" s="102"/>
      <c r="E2515" s="102"/>
      <c r="H2515" s="102"/>
      <c r="J2515" s="102"/>
      <c r="K2515" s="450"/>
      <c r="L2515" s="443"/>
      <c r="M2515" s="450"/>
      <c r="N2515" s="452">
        <f t="array" ref="N2515">IFERROR(
  INDEX(
    'Valor Hora Real y Estimada'!$A$4:$Z$78,
    MATCH(TRIM(CLEAN(A2515)), 'Valor Hora Real y Estimada'!$A$4:$A$78, 0),
    MATCH(
      TEXT(C2515,"dd mmm")&amp;" "&amp;D2515,
      'Valor Hora Real y Estimada'!$A$3:$Z$3,
      0
    ) + 1
  ),
  0
)</f>
        <v>0</v>
      </c>
      <c r="O2515" s="453"/>
      <c r="P2515" s="113"/>
      <c r="Q2515" s="106" t="str">
        <f>IF(ISBLANK(O2515), "", VLOOKUP(C2515&amp;" "&amp;D2515, 'Info Tipo de Cambio y REM'!$A$24:$B$35, 2, FALSE))</f>
        <v/>
      </c>
      <c r="R2515" s="107"/>
    </row>
    <row r="2516" hidden="1">
      <c r="A2516" s="443"/>
      <c r="B2516" s="43" t="str">
        <f>IF(A2516="", "", IFERROR(VLOOKUP(A2516, Clasificaciones!A:B, 2, FALSE), "DATO NO CARGADO"))
</f>
        <v/>
      </c>
      <c r="C2516" s="51"/>
      <c r="D2516" s="102"/>
      <c r="E2516" s="102"/>
      <c r="H2516" s="102"/>
      <c r="J2516" s="102"/>
      <c r="K2516" s="450"/>
      <c r="L2516" s="443"/>
      <c r="M2516" s="450"/>
      <c r="N2516" s="452">
        <f t="array" ref="N2516">IFERROR(
  INDEX(
    'Valor Hora Real y Estimada'!$A$4:$Z$78,
    MATCH(TRIM(CLEAN(A2516)), 'Valor Hora Real y Estimada'!$A$4:$A$78, 0),
    MATCH(
      TEXT(C2516,"dd mmm")&amp;" "&amp;D2516,
      'Valor Hora Real y Estimada'!$A$3:$Z$3,
      0
    ) + 1
  ),
  0
)</f>
        <v>0</v>
      </c>
      <c r="O2516" s="453"/>
      <c r="P2516" s="113"/>
      <c r="Q2516" s="106" t="str">
        <f>IF(ISBLANK(O2516), "", VLOOKUP(C2516&amp;" "&amp;D2516, 'Info Tipo de Cambio y REM'!$A$24:$B$35, 2, FALSE))</f>
        <v/>
      </c>
      <c r="R2516" s="107"/>
    </row>
    <row r="2517" hidden="1">
      <c r="A2517" s="443"/>
      <c r="B2517" s="43" t="str">
        <f>IF(A2517="", "", IFERROR(VLOOKUP(A2517, Clasificaciones!A:B, 2, FALSE), "DATO NO CARGADO"))
</f>
        <v/>
      </c>
      <c r="C2517" s="51"/>
      <c r="D2517" s="102"/>
      <c r="E2517" s="102"/>
      <c r="H2517" s="102"/>
      <c r="J2517" s="102"/>
      <c r="K2517" s="450"/>
      <c r="L2517" s="443"/>
      <c r="M2517" s="450"/>
      <c r="N2517" s="452">
        <f t="array" ref="N2517">IFERROR(
  INDEX(
    'Valor Hora Real y Estimada'!$A$4:$Z$78,
    MATCH(TRIM(CLEAN(A2517)), 'Valor Hora Real y Estimada'!$A$4:$A$78, 0),
    MATCH(
      TEXT(C2517,"dd mmm")&amp;" "&amp;D2517,
      'Valor Hora Real y Estimada'!$A$3:$Z$3,
      0
    ) + 1
  ),
  0
)</f>
        <v>0</v>
      </c>
      <c r="O2517" s="453"/>
      <c r="P2517" s="113"/>
      <c r="Q2517" s="106" t="str">
        <f>IF(ISBLANK(O2517), "", VLOOKUP(C2517&amp;" "&amp;D2517, 'Info Tipo de Cambio y REM'!$A$24:$B$35, 2, FALSE))</f>
        <v/>
      </c>
      <c r="R2517" s="107"/>
    </row>
    <row r="2518" hidden="1">
      <c r="A2518" s="443"/>
      <c r="B2518" s="43" t="str">
        <f>IF(A2518="", "", IFERROR(VLOOKUP(A2518, Clasificaciones!A:B, 2, FALSE), "DATO NO CARGADO"))
</f>
        <v/>
      </c>
      <c r="C2518" s="51"/>
      <c r="D2518" s="102"/>
      <c r="E2518" s="102"/>
      <c r="H2518" s="102"/>
      <c r="J2518" s="102"/>
      <c r="K2518" s="450"/>
      <c r="L2518" s="443"/>
      <c r="M2518" s="450"/>
      <c r="N2518" s="452">
        <f t="array" ref="N2518">IFERROR(
  INDEX(
    'Valor Hora Real y Estimada'!$A$4:$Z$78,
    MATCH(TRIM(CLEAN(A2518)), 'Valor Hora Real y Estimada'!$A$4:$A$78, 0),
    MATCH(
      TEXT(C2518,"dd mmm")&amp;" "&amp;D2518,
      'Valor Hora Real y Estimada'!$A$3:$Z$3,
      0
    ) + 1
  ),
  0
)</f>
        <v>0</v>
      </c>
      <c r="O2518" s="453"/>
      <c r="P2518" s="113"/>
      <c r="Q2518" s="106" t="str">
        <f>IF(ISBLANK(O2518), "", VLOOKUP(C2518&amp;" "&amp;D2518, 'Info Tipo de Cambio y REM'!$A$24:$B$35, 2, FALSE))</f>
        <v/>
      </c>
      <c r="R2518" s="107"/>
    </row>
    <row r="2519" hidden="1">
      <c r="A2519" s="443"/>
      <c r="B2519" s="43" t="str">
        <f>IF(A2519="", "", IFERROR(VLOOKUP(A2519, Clasificaciones!A:B, 2, FALSE), "DATO NO CARGADO"))
</f>
        <v/>
      </c>
      <c r="C2519" s="51"/>
      <c r="D2519" s="102"/>
      <c r="E2519" s="102"/>
      <c r="H2519" s="102"/>
      <c r="J2519" s="102"/>
      <c r="K2519" s="450"/>
      <c r="L2519" s="443"/>
      <c r="M2519" s="450"/>
      <c r="N2519" s="452">
        <f t="array" ref="N2519">IFERROR(
  INDEX(
    'Valor Hora Real y Estimada'!$A$4:$Z$78,
    MATCH(TRIM(CLEAN(A2519)), 'Valor Hora Real y Estimada'!$A$4:$A$78, 0),
    MATCH(
      TEXT(C2519,"dd mmm")&amp;" "&amp;D2519,
      'Valor Hora Real y Estimada'!$A$3:$Z$3,
      0
    ) + 1
  ),
  0
)</f>
        <v>0</v>
      </c>
      <c r="O2519" s="453"/>
      <c r="P2519" s="113"/>
      <c r="Q2519" s="106" t="str">
        <f>IF(ISBLANK(O2519), "", VLOOKUP(C2519&amp;" "&amp;D2519, 'Info Tipo de Cambio y REM'!$A$24:$B$35, 2, FALSE))</f>
        <v/>
      </c>
      <c r="R2519" s="107"/>
    </row>
    <row r="2520" hidden="1">
      <c r="A2520" s="443"/>
      <c r="B2520" s="43" t="str">
        <f>IF(A2520="", "", IFERROR(VLOOKUP(A2520, Clasificaciones!A:B, 2, FALSE), "DATO NO CARGADO"))
</f>
        <v/>
      </c>
      <c r="C2520" s="51"/>
      <c r="D2520" s="102"/>
      <c r="E2520" s="102"/>
      <c r="H2520" s="102"/>
      <c r="J2520" s="102"/>
      <c r="K2520" s="450"/>
      <c r="L2520" s="443"/>
      <c r="M2520" s="450"/>
      <c r="N2520" s="452">
        <f t="array" ref="N2520">IFERROR(
  INDEX(
    'Valor Hora Real y Estimada'!$A$4:$Z$78,
    MATCH(TRIM(CLEAN(A2520)), 'Valor Hora Real y Estimada'!$A$4:$A$78, 0),
    MATCH(
      TEXT(C2520,"dd mmm")&amp;" "&amp;D2520,
      'Valor Hora Real y Estimada'!$A$3:$Z$3,
      0
    ) + 1
  ),
  0
)</f>
        <v>0</v>
      </c>
      <c r="O2520" s="453"/>
      <c r="P2520" s="113"/>
      <c r="Q2520" s="106" t="str">
        <f>IF(ISBLANK(O2520), "", VLOOKUP(C2520&amp;" "&amp;D2520, 'Info Tipo de Cambio y REM'!$A$24:$B$35, 2, FALSE))</f>
        <v/>
      </c>
      <c r="R2520" s="107"/>
    </row>
    <row r="2521" hidden="1">
      <c r="A2521" s="443"/>
      <c r="B2521" s="43" t="str">
        <f>IF(A2521="", "", IFERROR(VLOOKUP(A2521, Clasificaciones!A:B, 2, FALSE), "DATO NO CARGADO"))
</f>
        <v/>
      </c>
      <c r="C2521" s="51"/>
      <c r="D2521" s="102"/>
      <c r="E2521" s="102"/>
      <c r="H2521" s="102"/>
      <c r="J2521" s="102"/>
      <c r="K2521" s="450"/>
      <c r="L2521" s="443"/>
      <c r="M2521" s="450"/>
      <c r="N2521" s="452">
        <f t="array" ref="N2521">IFERROR(
  INDEX(
    'Valor Hora Real y Estimada'!$A$4:$Z$78,
    MATCH(TRIM(CLEAN(A2521)), 'Valor Hora Real y Estimada'!$A$4:$A$78, 0),
    MATCH(
      TEXT(C2521,"dd mmm")&amp;" "&amp;D2521,
      'Valor Hora Real y Estimada'!$A$3:$Z$3,
      0
    ) + 1
  ),
  0
)</f>
        <v>0</v>
      </c>
      <c r="O2521" s="453"/>
      <c r="P2521" s="113"/>
      <c r="Q2521" s="106" t="str">
        <f>IF(ISBLANK(O2521), "", VLOOKUP(C2521&amp;" "&amp;D2521, 'Info Tipo de Cambio y REM'!$A$24:$B$35, 2, FALSE))</f>
        <v/>
      </c>
      <c r="R2521" s="107"/>
    </row>
    <row r="2522" hidden="1">
      <c r="A2522" s="443"/>
      <c r="B2522" s="43" t="str">
        <f>IF(A2522="", "", IFERROR(VLOOKUP(A2522, Clasificaciones!A:B, 2, FALSE), "DATO NO CARGADO"))
</f>
        <v/>
      </c>
      <c r="C2522" s="51"/>
      <c r="D2522" s="102"/>
      <c r="E2522" s="102"/>
      <c r="H2522" s="102"/>
      <c r="J2522" s="102"/>
      <c r="K2522" s="450"/>
      <c r="L2522" s="443"/>
      <c r="M2522" s="450"/>
      <c r="N2522" s="452">
        <f t="array" ref="N2522">IFERROR(
  INDEX(
    'Valor Hora Real y Estimada'!$A$4:$Z$78,
    MATCH(TRIM(CLEAN(A2522)), 'Valor Hora Real y Estimada'!$A$4:$A$78, 0),
    MATCH(
      TEXT(C2522,"dd mmm")&amp;" "&amp;D2522,
      'Valor Hora Real y Estimada'!$A$3:$Z$3,
      0
    ) + 1
  ),
  0
)</f>
        <v>0</v>
      </c>
      <c r="O2522" s="453"/>
      <c r="P2522" s="113"/>
      <c r="Q2522" s="106" t="str">
        <f>IF(ISBLANK(O2522), "", VLOOKUP(C2522&amp;" "&amp;D2522, 'Info Tipo de Cambio y REM'!$A$24:$B$35, 2, FALSE))</f>
        <v/>
      </c>
      <c r="R2522" s="107"/>
    </row>
    <row r="2523" hidden="1">
      <c r="A2523" s="443"/>
      <c r="B2523" s="43" t="str">
        <f>IF(A2523="", "", IFERROR(VLOOKUP(A2523, Clasificaciones!A:B, 2, FALSE), "DATO NO CARGADO"))
</f>
        <v/>
      </c>
      <c r="C2523" s="51"/>
      <c r="D2523" s="102"/>
      <c r="E2523" s="102"/>
      <c r="H2523" s="102"/>
      <c r="J2523" s="102"/>
      <c r="K2523" s="450"/>
      <c r="L2523" s="443"/>
      <c r="M2523" s="450"/>
      <c r="N2523" s="452">
        <f t="array" ref="N2523">IFERROR(
  INDEX(
    'Valor Hora Real y Estimada'!$A$4:$Z$78,
    MATCH(TRIM(CLEAN(A2523)), 'Valor Hora Real y Estimada'!$A$4:$A$78, 0),
    MATCH(
      TEXT(C2523,"dd mmm")&amp;" "&amp;D2523,
      'Valor Hora Real y Estimada'!$A$3:$Z$3,
      0
    ) + 1
  ),
  0
)</f>
        <v>0</v>
      </c>
      <c r="O2523" s="453"/>
      <c r="P2523" s="113"/>
      <c r="Q2523" s="106" t="str">
        <f>IF(ISBLANK(O2523), "", VLOOKUP(C2523&amp;" "&amp;D2523, 'Info Tipo de Cambio y REM'!$A$24:$B$35, 2, FALSE))</f>
        <v/>
      </c>
      <c r="R2523" s="107"/>
    </row>
    <row r="2524" hidden="1">
      <c r="A2524" s="443"/>
      <c r="B2524" s="43" t="str">
        <f>IF(A2524="", "", IFERROR(VLOOKUP(A2524, Clasificaciones!A:B, 2, FALSE), "DATO NO CARGADO"))
</f>
        <v/>
      </c>
      <c r="C2524" s="51"/>
      <c r="D2524" s="102"/>
      <c r="E2524" s="102"/>
      <c r="H2524" s="102"/>
      <c r="J2524" s="102"/>
      <c r="K2524" s="450"/>
      <c r="L2524" s="443"/>
      <c r="M2524" s="450"/>
      <c r="N2524" s="452">
        <f t="array" ref="N2524">IFERROR(
  INDEX(
    'Valor Hora Real y Estimada'!$A$4:$Z$78,
    MATCH(TRIM(CLEAN(A2524)), 'Valor Hora Real y Estimada'!$A$4:$A$78, 0),
    MATCH(
      TEXT(C2524,"dd mmm")&amp;" "&amp;D2524,
      'Valor Hora Real y Estimada'!$A$3:$Z$3,
      0
    ) + 1
  ),
  0
)</f>
        <v>0</v>
      </c>
      <c r="O2524" s="453"/>
      <c r="P2524" s="113"/>
      <c r="Q2524" s="106" t="str">
        <f>IF(ISBLANK(O2524), "", VLOOKUP(C2524&amp;" "&amp;D2524, 'Info Tipo de Cambio y REM'!$A$24:$B$35, 2, FALSE))</f>
        <v/>
      </c>
      <c r="R2524" s="107"/>
    </row>
    <row r="2525" hidden="1">
      <c r="A2525" s="443"/>
      <c r="B2525" s="43" t="str">
        <f>IF(A2525="", "", IFERROR(VLOOKUP(A2525, Clasificaciones!A:B, 2, FALSE), "DATO NO CARGADO"))
</f>
        <v/>
      </c>
      <c r="C2525" s="51"/>
      <c r="D2525" s="102"/>
      <c r="E2525" s="102"/>
      <c r="H2525" s="102"/>
      <c r="J2525" s="102"/>
      <c r="K2525" s="450"/>
      <c r="L2525" s="443"/>
      <c r="M2525" s="450"/>
      <c r="N2525" s="452">
        <f t="array" ref="N2525">IFERROR(
  INDEX(
    'Valor Hora Real y Estimada'!$A$4:$Z$78,
    MATCH(TRIM(CLEAN(A2525)), 'Valor Hora Real y Estimada'!$A$4:$A$78, 0),
    MATCH(
      TEXT(C2525,"dd mmm")&amp;" "&amp;D2525,
      'Valor Hora Real y Estimada'!$A$3:$Z$3,
      0
    ) + 1
  ),
  0
)</f>
        <v>0</v>
      </c>
      <c r="O2525" s="453"/>
      <c r="P2525" s="113"/>
      <c r="Q2525" s="106" t="str">
        <f>IF(ISBLANK(O2525), "", VLOOKUP(C2525&amp;" "&amp;D2525, 'Info Tipo de Cambio y REM'!$A$24:$B$35, 2, FALSE))</f>
        <v/>
      </c>
      <c r="R2525" s="107"/>
    </row>
    <row r="2526" hidden="1">
      <c r="A2526" s="443"/>
      <c r="B2526" s="43" t="str">
        <f>IF(A2526="", "", IFERROR(VLOOKUP(A2526, Clasificaciones!A:B, 2, FALSE), "DATO NO CARGADO"))
</f>
        <v/>
      </c>
      <c r="C2526" s="51"/>
      <c r="D2526" s="102"/>
      <c r="E2526" s="102"/>
      <c r="H2526" s="102"/>
      <c r="J2526" s="102"/>
      <c r="K2526" s="450"/>
      <c r="L2526" s="443"/>
      <c r="M2526" s="450"/>
      <c r="N2526" s="452">
        <f t="array" ref="N2526">IFERROR(
  INDEX(
    'Valor Hora Real y Estimada'!$A$4:$Z$78,
    MATCH(TRIM(CLEAN(A2526)), 'Valor Hora Real y Estimada'!$A$4:$A$78, 0),
    MATCH(
      TEXT(C2526,"dd mmm")&amp;" "&amp;D2526,
      'Valor Hora Real y Estimada'!$A$3:$Z$3,
      0
    ) + 1
  ),
  0
)</f>
        <v>0</v>
      </c>
      <c r="O2526" s="453"/>
      <c r="P2526" s="113"/>
      <c r="Q2526" s="106" t="str">
        <f>IF(ISBLANK(O2526), "", VLOOKUP(C2526&amp;" "&amp;D2526, 'Info Tipo de Cambio y REM'!$A$24:$B$35, 2, FALSE))</f>
        <v/>
      </c>
      <c r="R2526" s="107"/>
    </row>
    <row r="2527" hidden="1">
      <c r="A2527" s="443"/>
      <c r="B2527" s="43" t="str">
        <f>IF(A2527="", "", IFERROR(VLOOKUP(A2527, Clasificaciones!A:B, 2, FALSE), "DATO NO CARGADO"))
</f>
        <v/>
      </c>
      <c r="C2527" s="51"/>
      <c r="D2527" s="102"/>
      <c r="E2527" s="102"/>
      <c r="H2527" s="102"/>
      <c r="J2527" s="102"/>
      <c r="K2527" s="450"/>
      <c r="L2527" s="443"/>
      <c r="M2527" s="450"/>
      <c r="N2527" s="452">
        <f t="array" ref="N2527">IFERROR(
  INDEX(
    'Valor Hora Real y Estimada'!$A$4:$Z$78,
    MATCH(TRIM(CLEAN(A2527)), 'Valor Hora Real y Estimada'!$A$4:$A$78, 0),
    MATCH(
      TEXT(C2527,"dd mmm")&amp;" "&amp;D2527,
      'Valor Hora Real y Estimada'!$A$3:$Z$3,
      0
    ) + 1
  ),
  0
)</f>
        <v>0</v>
      </c>
      <c r="O2527" s="453"/>
      <c r="P2527" s="113"/>
      <c r="Q2527" s="106" t="str">
        <f>IF(ISBLANK(O2527), "", VLOOKUP(C2527&amp;" "&amp;D2527, 'Info Tipo de Cambio y REM'!$A$24:$B$35, 2, FALSE))</f>
        <v/>
      </c>
      <c r="R2527" s="107"/>
    </row>
    <row r="2528" hidden="1">
      <c r="A2528" s="443"/>
      <c r="B2528" s="43" t="str">
        <f>IF(A2528="", "", IFERROR(VLOOKUP(A2528, Clasificaciones!A:B, 2, FALSE), "DATO NO CARGADO"))
</f>
        <v/>
      </c>
      <c r="C2528" s="51"/>
      <c r="D2528" s="102"/>
      <c r="E2528" s="102"/>
      <c r="H2528" s="102"/>
      <c r="J2528" s="102"/>
      <c r="K2528" s="450"/>
      <c r="L2528" s="443"/>
      <c r="M2528" s="450"/>
      <c r="N2528" s="452">
        <f t="array" ref="N2528">IFERROR(
  INDEX(
    'Valor Hora Real y Estimada'!$A$4:$Z$78,
    MATCH(TRIM(CLEAN(A2528)), 'Valor Hora Real y Estimada'!$A$4:$A$78, 0),
    MATCH(
      TEXT(C2528,"dd mmm")&amp;" "&amp;D2528,
      'Valor Hora Real y Estimada'!$A$3:$Z$3,
      0
    ) + 1
  ),
  0
)</f>
        <v>0</v>
      </c>
      <c r="O2528" s="453"/>
      <c r="P2528" s="113"/>
      <c r="Q2528" s="106" t="str">
        <f>IF(ISBLANK(O2528), "", VLOOKUP(C2528&amp;" "&amp;D2528, 'Info Tipo de Cambio y REM'!$A$24:$B$35, 2, FALSE))</f>
        <v/>
      </c>
      <c r="R2528" s="107"/>
    </row>
    <row r="2529" hidden="1">
      <c r="A2529" s="443"/>
      <c r="B2529" s="43" t="str">
        <f>IF(A2529="", "", IFERROR(VLOOKUP(A2529, Clasificaciones!A:B, 2, FALSE), "DATO NO CARGADO"))
</f>
        <v/>
      </c>
      <c r="C2529" s="51"/>
      <c r="D2529" s="102"/>
      <c r="E2529" s="102"/>
      <c r="H2529" s="102"/>
      <c r="J2529" s="102"/>
      <c r="K2529" s="450"/>
      <c r="L2529" s="443"/>
      <c r="M2529" s="450"/>
      <c r="N2529" s="452">
        <f t="array" ref="N2529">IFERROR(
  INDEX(
    'Valor Hora Real y Estimada'!$A$4:$Z$78,
    MATCH(TRIM(CLEAN(A2529)), 'Valor Hora Real y Estimada'!$A$4:$A$78, 0),
    MATCH(
      TEXT(C2529,"dd mmm")&amp;" "&amp;D2529,
      'Valor Hora Real y Estimada'!$A$3:$Z$3,
      0
    ) + 1
  ),
  0
)</f>
        <v>0</v>
      </c>
      <c r="O2529" s="453"/>
      <c r="P2529" s="113"/>
      <c r="Q2529" s="106" t="str">
        <f>IF(ISBLANK(O2529), "", VLOOKUP(C2529&amp;" "&amp;D2529, 'Info Tipo de Cambio y REM'!$A$24:$B$35, 2, FALSE))</f>
        <v/>
      </c>
      <c r="R2529" s="107"/>
    </row>
    <row r="2530" hidden="1">
      <c r="A2530" s="443"/>
      <c r="B2530" s="43" t="str">
        <f>IF(A2530="", "", IFERROR(VLOOKUP(A2530, Clasificaciones!A:B, 2, FALSE), "DATO NO CARGADO"))
</f>
        <v/>
      </c>
      <c r="C2530" s="51"/>
      <c r="D2530" s="102"/>
      <c r="E2530" s="102"/>
      <c r="H2530" s="102"/>
      <c r="J2530" s="102"/>
      <c r="K2530" s="450"/>
      <c r="L2530" s="443"/>
      <c r="M2530" s="450"/>
      <c r="N2530" s="452">
        <f t="array" ref="N2530">IFERROR(
  INDEX(
    'Valor Hora Real y Estimada'!$A$4:$Z$78,
    MATCH(TRIM(CLEAN(A2530)), 'Valor Hora Real y Estimada'!$A$4:$A$78, 0),
    MATCH(
      TEXT(C2530,"dd mmm")&amp;" "&amp;D2530,
      'Valor Hora Real y Estimada'!$A$3:$Z$3,
      0
    ) + 1
  ),
  0
)</f>
        <v>0</v>
      </c>
      <c r="O2530" s="453"/>
      <c r="P2530" s="113"/>
      <c r="Q2530" s="106" t="str">
        <f>IF(ISBLANK(O2530), "", VLOOKUP(C2530&amp;" "&amp;D2530, 'Info Tipo de Cambio y REM'!$A$24:$B$35, 2, FALSE))</f>
        <v/>
      </c>
      <c r="R2530" s="107"/>
    </row>
    <row r="2531" hidden="1">
      <c r="A2531" s="443"/>
      <c r="B2531" s="43" t="str">
        <f>IF(A2531="", "", IFERROR(VLOOKUP(A2531, Clasificaciones!A:B, 2, FALSE), "DATO NO CARGADO"))
</f>
        <v/>
      </c>
      <c r="C2531" s="51"/>
      <c r="D2531" s="102"/>
      <c r="E2531" s="102"/>
      <c r="H2531" s="102"/>
      <c r="J2531" s="102"/>
      <c r="K2531" s="450"/>
      <c r="L2531" s="443"/>
      <c r="M2531" s="450"/>
      <c r="N2531" s="452">
        <f t="array" ref="N2531">IFERROR(
  INDEX(
    'Valor Hora Real y Estimada'!$A$4:$Z$78,
    MATCH(TRIM(CLEAN(A2531)), 'Valor Hora Real y Estimada'!$A$4:$A$78, 0),
    MATCH(
      TEXT(C2531,"dd mmm")&amp;" "&amp;D2531,
      'Valor Hora Real y Estimada'!$A$3:$Z$3,
      0
    ) + 1
  ),
  0
)</f>
        <v>0</v>
      </c>
      <c r="O2531" s="453"/>
      <c r="P2531" s="113"/>
      <c r="Q2531" s="106" t="str">
        <f>IF(ISBLANK(O2531), "", VLOOKUP(C2531&amp;" "&amp;D2531, 'Info Tipo de Cambio y REM'!$A$24:$B$35, 2, FALSE))</f>
        <v/>
      </c>
      <c r="R2531" s="107"/>
    </row>
    <row r="2532" hidden="1">
      <c r="A2532" s="443"/>
      <c r="B2532" s="43" t="str">
        <f>IF(A2532="", "", IFERROR(VLOOKUP(A2532, Clasificaciones!A:B, 2, FALSE), "DATO NO CARGADO"))
</f>
        <v/>
      </c>
      <c r="C2532" s="51"/>
      <c r="D2532" s="102"/>
      <c r="E2532" s="102"/>
      <c r="H2532" s="102"/>
      <c r="J2532" s="102"/>
      <c r="K2532" s="450"/>
      <c r="L2532" s="443"/>
      <c r="M2532" s="450"/>
      <c r="N2532" s="452">
        <f t="array" ref="N2532">IFERROR(
  INDEX(
    'Valor Hora Real y Estimada'!$A$4:$Z$78,
    MATCH(TRIM(CLEAN(A2532)), 'Valor Hora Real y Estimada'!$A$4:$A$78, 0),
    MATCH(
      TEXT(C2532,"dd mmm")&amp;" "&amp;D2532,
      'Valor Hora Real y Estimada'!$A$3:$Z$3,
      0
    ) + 1
  ),
  0
)</f>
        <v>0</v>
      </c>
      <c r="O2532" s="453"/>
      <c r="P2532" s="113"/>
      <c r="Q2532" s="106" t="str">
        <f>IF(ISBLANK(O2532), "", VLOOKUP(C2532&amp;" "&amp;D2532, 'Info Tipo de Cambio y REM'!$A$24:$B$35, 2, FALSE))</f>
        <v/>
      </c>
      <c r="R2532" s="107"/>
    </row>
    <row r="2533" hidden="1">
      <c r="A2533" s="443"/>
      <c r="B2533" s="43" t="str">
        <f>IF(A2533="", "", IFERROR(VLOOKUP(A2533, Clasificaciones!A:B, 2, FALSE), "DATO NO CARGADO"))
</f>
        <v/>
      </c>
      <c r="C2533" s="51"/>
      <c r="D2533" s="102"/>
      <c r="E2533" s="102"/>
      <c r="H2533" s="102"/>
      <c r="J2533" s="102"/>
      <c r="K2533" s="450"/>
      <c r="L2533" s="443"/>
      <c r="M2533" s="450"/>
      <c r="N2533" s="452">
        <f t="array" ref="N2533">IFERROR(
  INDEX(
    'Valor Hora Real y Estimada'!$A$4:$Z$78,
    MATCH(TRIM(CLEAN(A2533)), 'Valor Hora Real y Estimada'!$A$4:$A$78, 0),
    MATCH(
      TEXT(C2533,"dd mmm")&amp;" "&amp;D2533,
      'Valor Hora Real y Estimada'!$A$3:$Z$3,
      0
    ) + 1
  ),
  0
)</f>
        <v>0</v>
      </c>
      <c r="O2533" s="453"/>
      <c r="P2533" s="113"/>
      <c r="Q2533" s="106" t="str">
        <f>IF(ISBLANK(O2533), "", VLOOKUP(C2533&amp;" "&amp;D2533, 'Info Tipo de Cambio y REM'!$A$24:$B$35, 2, FALSE))</f>
        <v/>
      </c>
      <c r="R2533" s="107"/>
    </row>
    <row r="2534" hidden="1">
      <c r="A2534" s="443"/>
      <c r="B2534" s="43" t="str">
        <f>IF(A2534="", "", IFERROR(VLOOKUP(A2534, Clasificaciones!A:B, 2, FALSE), "DATO NO CARGADO"))
</f>
        <v/>
      </c>
      <c r="C2534" s="51"/>
      <c r="D2534" s="102"/>
      <c r="E2534" s="102"/>
      <c r="H2534" s="102"/>
      <c r="J2534" s="102"/>
      <c r="K2534" s="450"/>
      <c r="L2534" s="443"/>
      <c r="M2534" s="450"/>
      <c r="N2534" s="452">
        <f t="array" ref="N2534">IFERROR(
  INDEX(
    'Valor Hora Real y Estimada'!$A$4:$Z$78,
    MATCH(TRIM(CLEAN(A2534)), 'Valor Hora Real y Estimada'!$A$4:$A$78, 0),
    MATCH(
      TEXT(C2534,"dd mmm")&amp;" "&amp;D2534,
      'Valor Hora Real y Estimada'!$A$3:$Z$3,
      0
    ) + 1
  ),
  0
)</f>
        <v>0</v>
      </c>
      <c r="O2534" s="453"/>
      <c r="P2534" s="113"/>
      <c r="Q2534" s="106" t="str">
        <f>IF(ISBLANK(O2534), "", VLOOKUP(C2534&amp;" "&amp;D2534, 'Info Tipo de Cambio y REM'!$A$24:$B$35, 2, FALSE))</f>
        <v/>
      </c>
      <c r="R2534" s="107"/>
    </row>
    <row r="2535" hidden="1">
      <c r="A2535" s="443"/>
      <c r="B2535" s="43" t="str">
        <f>IF(A2535="", "", IFERROR(VLOOKUP(A2535, Clasificaciones!A:B, 2, FALSE), "DATO NO CARGADO"))
</f>
        <v/>
      </c>
      <c r="C2535" s="51"/>
      <c r="D2535" s="102"/>
      <c r="E2535" s="102"/>
      <c r="H2535" s="102"/>
      <c r="J2535" s="102"/>
      <c r="K2535" s="450"/>
      <c r="L2535" s="443"/>
      <c r="M2535" s="450"/>
      <c r="N2535" s="452">
        <f t="array" ref="N2535">IFERROR(
  INDEX(
    'Valor Hora Real y Estimada'!$A$4:$Z$78,
    MATCH(TRIM(CLEAN(A2535)), 'Valor Hora Real y Estimada'!$A$4:$A$78, 0),
    MATCH(
      TEXT(C2535,"dd mmm")&amp;" "&amp;D2535,
      'Valor Hora Real y Estimada'!$A$3:$Z$3,
      0
    ) + 1
  ),
  0
)</f>
        <v>0</v>
      </c>
      <c r="O2535" s="453"/>
      <c r="P2535" s="113"/>
      <c r="Q2535" s="106" t="str">
        <f>IF(ISBLANK(O2535), "", VLOOKUP(C2535&amp;" "&amp;D2535, 'Info Tipo de Cambio y REM'!$A$24:$B$35, 2, FALSE))</f>
        <v/>
      </c>
      <c r="R2535" s="107"/>
    </row>
    <row r="2536" hidden="1">
      <c r="A2536" s="443"/>
      <c r="B2536" s="43" t="str">
        <f>IF(A2536="", "", IFERROR(VLOOKUP(A2536, Clasificaciones!A:B, 2, FALSE), "DATO NO CARGADO"))
</f>
        <v/>
      </c>
      <c r="C2536" s="51"/>
      <c r="D2536" s="102"/>
      <c r="E2536" s="102"/>
      <c r="H2536" s="102"/>
      <c r="J2536" s="102"/>
      <c r="K2536" s="450"/>
      <c r="L2536" s="443"/>
      <c r="M2536" s="450"/>
      <c r="N2536" s="452">
        <f t="array" ref="N2536">IFERROR(
  INDEX(
    'Valor Hora Real y Estimada'!$A$4:$Z$78,
    MATCH(TRIM(CLEAN(A2536)), 'Valor Hora Real y Estimada'!$A$4:$A$78, 0),
    MATCH(
      TEXT(C2536,"dd mmm")&amp;" "&amp;D2536,
      'Valor Hora Real y Estimada'!$A$3:$Z$3,
      0
    ) + 1
  ),
  0
)</f>
        <v>0</v>
      </c>
      <c r="O2536" s="453"/>
      <c r="P2536" s="113"/>
      <c r="Q2536" s="106" t="str">
        <f>IF(ISBLANK(O2536), "", VLOOKUP(C2536&amp;" "&amp;D2536, 'Info Tipo de Cambio y REM'!$A$24:$B$35, 2, FALSE))</f>
        <v/>
      </c>
      <c r="R2536" s="107"/>
    </row>
    <row r="2537" hidden="1">
      <c r="A2537" s="443"/>
      <c r="B2537" s="43" t="str">
        <f>IF(A2537="", "", IFERROR(VLOOKUP(A2537, Clasificaciones!A:B, 2, FALSE), "DATO NO CARGADO"))
</f>
        <v/>
      </c>
      <c r="C2537" s="51"/>
      <c r="D2537" s="102"/>
      <c r="E2537" s="102"/>
      <c r="H2537" s="102"/>
      <c r="J2537" s="102"/>
      <c r="K2537" s="450"/>
      <c r="L2537" s="443"/>
      <c r="M2537" s="450"/>
      <c r="N2537" s="452">
        <f t="array" ref="N2537">IFERROR(
  INDEX(
    'Valor Hora Real y Estimada'!$A$4:$Z$78,
    MATCH(TRIM(CLEAN(A2537)), 'Valor Hora Real y Estimada'!$A$4:$A$78, 0),
    MATCH(
      TEXT(C2537,"dd mmm")&amp;" "&amp;D2537,
      'Valor Hora Real y Estimada'!$A$3:$Z$3,
      0
    ) + 1
  ),
  0
)</f>
        <v>0</v>
      </c>
      <c r="O2537" s="453"/>
      <c r="P2537" s="113"/>
      <c r="Q2537" s="106" t="str">
        <f>IF(ISBLANK(O2537), "", VLOOKUP(C2537&amp;" "&amp;D2537, 'Info Tipo de Cambio y REM'!$A$24:$B$35, 2, FALSE))</f>
        <v/>
      </c>
      <c r="R2537" s="107"/>
    </row>
    <row r="2538" hidden="1">
      <c r="A2538" s="443"/>
      <c r="B2538" s="43" t="str">
        <f>IF(A2538="", "", IFERROR(VLOOKUP(A2538, Clasificaciones!A:B, 2, FALSE), "DATO NO CARGADO"))
</f>
        <v/>
      </c>
      <c r="C2538" s="51"/>
      <c r="D2538" s="102"/>
      <c r="E2538" s="102"/>
      <c r="H2538" s="102"/>
      <c r="J2538" s="102"/>
      <c r="K2538" s="450"/>
      <c r="L2538" s="443"/>
      <c r="M2538" s="450"/>
      <c r="N2538" s="452">
        <f t="array" ref="N2538">IFERROR(
  INDEX(
    'Valor Hora Real y Estimada'!$A$4:$Z$78,
    MATCH(TRIM(CLEAN(A2538)), 'Valor Hora Real y Estimada'!$A$4:$A$78, 0),
    MATCH(
      TEXT(C2538,"dd mmm")&amp;" "&amp;D2538,
      'Valor Hora Real y Estimada'!$A$3:$Z$3,
      0
    ) + 1
  ),
  0
)</f>
        <v>0</v>
      </c>
      <c r="O2538" s="453"/>
      <c r="P2538" s="113"/>
      <c r="Q2538" s="106" t="str">
        <f>IF(ISBLANK(O2538), "", VLOOKUP(C2538&amp;" "&amp;D2538, 'Info Tipo de Cambio y REM'!$A$24:$B$35, 2, FALSE))</f>
        <v/>
      </c>
      <c r="R2538" s="107"/>
    </row>
    <row r="2539" hidden="1">
      <c r="A2539" s="443"/>
      <c r="B2539" s="43" t="str">
        <f>IF(A2539="", "", IFERROR(VLOOKUP(A2539, Clasificaciones!A:B, 2, FALSE), "DATO NO CARGADO"))
</f>
        <v/>
      </c>
      <c r="C2539" s="51"/>
      <c r="D2539" s="102"/>
      <c r="E2539" s="102"/>
      <c r="H2539" s="102"/>
      <c r="J2539" s="102"/>
      <c r="K2539" s="450"/>
      <c r="L2539" s="443"/>
      <c r="M2539" s="450"/>
      <c r="N2539" s="452">
        <f t="array" ref="N2539">IFERROR(
  INDEX(
    'Valor Hora Real y Estimada'!$A$4:$Z$78,
    MATCH(TRIM(CLEAN(A2539)), 'Valor Hora Real y Estimada'!$A$4:$A$78, 0),
    MATCH(
      TEXT(C2539,"dd mmm")&amp;" "&amp;D2539,
      'Valor Hora Real y Estimada'!$A$3:$Z$3,
      0
    ) + 1
  ),
  0
)</f>
        <v>0</v>
      </c>
      <c r="O2539" s="453"/>
      <c r="P2539" s="113"/>
      <c r="Q2539" s="106" t="str">
        <f>IF(ISBLANK(O2539), "", VLOOKUP(C2539&amp;" "&amp;D2539, 'Info Tipo de Cambio y REM'!$A$24:$B$35, 2, FALSE))</f>
        <v/>
      </c>
      <c r="R2539" s="107"/>
    </row>
    <row r="2540" hidden="1">
      <c r="A2540" s="443"/>
      <c r="B2540" s="43" t="str">
        <f>IF(A2540="", "", IFERROR(VLOOKUP(A2540, Clasificaciones!A:B, 2, FALSE), "DATO NO CARGADO"))
</f>
        <v/>
      </c>
      <c r="C2540" s="51"/>
      <c r="D2540" s="102"/>
      <c r="E2540" s="102"/>
      <c r="H2540" s="102"/>
      <c r="J2540" s="102"/>
      <c r="K2540" s="450"/>
      <c r="L2540" s="443"/>
      <c r="M2540" s="450"/>
      <c r="N2540" s="452">
        <f t="array" ref="N2540">IFERROR(
  INDEX(
    'Valor Hora Real y Estimada'!$A$4:$Z$78,
    MATCH(TRIM(CLEAN(A2540)), 'Valor Hora Real y Estimada'!$A$4:$A$78, 0),
    MATCH(
      TEXT(C2540,"dd mmm")&amp;" "&amp;D2540,
      'Valor Hora Real y Estimada'!$A$3:$Z$3,
      0
    ) + 1
  ),
  0
)</f>
        <v>0</v>
      </c>
      <c r="O2540" s="453"/>
      <c r="P2540" s="113"/>
      <c r="Q2540" s="106" t="str">
        <f>IF(ISBLANK(O2540), "", VLOOKUP(C2540&amp;" "&amp;D2540, 'Info Tipo de Cambio y REM'!$A$24:$B$35, 2, FALSE))</f>
        <v/>
      </c>
      <c r="R2540" s="107"/>
    </row>
    <row r="2541" hidden="1">
      <c r="A2541" s="443"/>
      <c r="B2541" s="43" t="str">
        <f>IF(A2541="", "", IFERROR(VLOOKUP(A2541, Clasificaciones!A:B, 2, FALSE), "DATO NO CARGADO"))
</f>
        <v/>
      </c>
      <c r="C2541" s="51"/>
      <c r="D2541" s="102"/>
      <c r="E2541" s="102"/>
      <c r="H2541" s="102"/>
      <c r="J2541" s="102"/>
      <c r="K2541" s="450"/>
      <c r="L2541" s="443"/>
      <c r="M2541" s="450"/>
      <c r="N2541" s="452">
        <f t="array" ref="N2541">IFERROR(
  INDEX(
    'Valor Hora Real y Estimada'!$A$4:$Z$78,
    MATCH(TRIM(CLEAN(A2541)), 'Valor Hora Real y Estimada'!$A$4:$A$78, 0),
    MATCH(
      TEXT(C2541,"dd mmm")&amp;" "&amp;D2541,
      'Valor Hora Real y Estimada'!$A$3:$Z$3,
      0
    ) + 1
  ),
  0
)</f>
        <v>0</v>
      </c>
      <c r="O2541" s="453"/>
      <c r="P2541" s="113"/>
      <c r="Q2541" s="106" t="str">
        <f>IF(ISBLANK(O2541), "", VLOOKUP(C2541&amp;" "&amp;D2541, 'Info Tipo de Cambio y REM'!$A$24:$B$35, 2, FALSE))</f>
        <v/>
      </c>
      <c r="R2541" s="107"/>
    </row>
    <row r="2542" hidden="1">
      <c r="A2542" s="443"/>
      <c r="B2542" s="43" t="str">
        <f>IF(A2542="", "", IFERROR(VLOOKUP(A2542, Clasificaciones!A:B, 2, FALSE), "DATO NO CARGADO"))
</f>
        <v/>
      </c>
      <c r="C2542" s="51"/>
      <c r="D2542" s="102"/>
      <c r="E2542" s="102"/>
      <c r="H2542" s="102"/>
      <c r="J2542" s="102"/>
      <c r="K2542" s="450"/>
      <c r="L2542" s="443"/>
      <c r="M2542" s="450"/>
      <c r="N2542" s="452">
        <f t="array" ref="N2542">IFERROR(
  INDEX(
    'Valor Hora Real y Estimada'!$A$4:$Z$78,
    MATCH(TRIM(CLEAN(A2542)), 'Valor Hora Real y Estimada'!$A$4:$A$78, 0),
    MATCH(
      TEXT(C2542,"dd mmm")&amp;" "&amp;D2542,
      'Valor Hora Real y Estimada'!$A$3:$Z$3,
      0
    ) + 1
  ),
  0
)</f>
        <v>0</v>
      </c>
      <c r="O2542" s="453"/>
      <c r="P2542" s="113"/>
      <c r="Q2542" s="106" t="str">
        <f>IF(ISBLANK(O2542), "", VLOOKUP(C2542&amp;" "&amp;D2542, 'Info Tipo de Cambio y REM'!$A$24:$B$35, 2, FALSE))</f>
        <v/>
      </c>
      <c r="R2542" s="107"/>
    </row>
    <row r="2543" hidden="1">
      <c r="A2543" s="443"/>
      <c r="B2543" s="43" t="str">
        <f>IF(A2543="", "", IFERROR(VLOOKUP(A2543, Clasificaciones!A:B, 2, FALSE), "DATO NO CARGADO"))
</f>
        <v/>
      </c>
      <c r="C2543" s="51"/>
      <c r="D2543" s="102"/>
      <c r="E2543" s="102"/>
      <c r="H2543" s="102"/>
      <c r="J2543" s="102"/>
      <c r="K2543" s="450"/>
      <c r="L2543" s="443"/>
      <c r="M2543" s="450"/>
      <c r="N2543" s="452">
        <f t="array" ref="N2543">IFERROR(
  INDEX(
    'Valor Hora Real y Estimada'!$A$4:$Z$78,
    MATCH(TRIM(CLEAN(A2543)), 'Valor Hora Real y Estimada'!$A$4:$A$78, 0),
    MATCH(
      TEXT(C2543,"dd mmm")&amp;" "&amp;D2543,
      'Valor Hora Real y Estimada'!$A$3:$Z$3,
      0
    ) + 1
  ),
  0
)</f>
        <v>0</v>
      </c>
      <c r="O2543" s="453"/>
      <c r="P2543" s="113"/>
      <c r="Q2543" s="106" t="str">
        <f>IF(ISBLANK(O2543), "", VLOOKUP(C2543&amp;" "&amp;D2543, 'Info Tipo de Cambio y REM'!$A$24:$B$35, 2, FALSE))</f>
        <v/>
      </c>
      <c r="R2543" s="107"/>
    </row>
    <row r="2544" hidden="1">
      <c r="A2544" s="443"/>
      <c r="B2544" s="43" t="str">
        <f>IF(A2544="", "", IFERROR(VLOOKUP(A2544, Clasificaciones!A:B, 2, FALSE), "DATO NO CARGADO"))
</f>
        <v/>
      </c>
      <c r="C2544" s="51"/>
      <c r="D2544" s="102"/>
      <c r="E2544" s="102"/>
      <c r="H2544" s="102"/>
      <c r="J2544" s="102"/>
      <c r="K2544" s="450"/>
      <c r="L2544" s="443"/>
      <c r="M2544" s="450"/>
      <c r="N2544" s="452">
        <f t="array" ref="N2544">IFERROR(
  INDEX(
    'Valor Hora Real y Estimada'!$A$4:$Z$78,
    MATCH(TRIM(CLEAN(A2544)), 'Valor Hora Real y Estimada'!$A$4:$A$78, 0),
    MATCH(
      TEXT(C2544,"dd mmm")&amp;" "&amp;D2544,
      'Valor Hora Real y Estimada'!$A$3:$Z$3,
      0
    ) + 1
  ),
  0
)</f>
        <v>0</v>
      </c>
      <c r="O2544" s="453"/>
      <c r="P2544" s="113"/>
      <c r="Q2544" s="106" t="str">
        <f>IF(ISBLANK(O2544), "", VLOOKUP(C2544&amp;" "&amp;D2544, 'Info Tipo de Cambio y REM'!$A$24:$B$35, 2, FALSE))</f>
        <v/>
      </c>
      <c r="R2544" s="107"/>
    </row>
    <row r="2545" hidden="1">
      <c r="A2545" s="443"/>
      <c r="B2545" s="43" t="str">
        <f>IF(A2545="", "", IFERROR(VLOOKUP(A2545, Clasificaciones!A:B, 2, FALSE), "DATO NO CARGADO"))
</f>
        <v/>
      </c>
      <c r="C2545" s="51"/>
      <c r="D2545" s="102"/>
      <c r="E2545" s="102"/>
      <c r="H2545" s="102"/>
      <c r="J2545" s="102"/>
      <c r="K2545" s="450"/>
      <c r="L2545" s="443"/>
      <c r="M2545" s="450"/>
      <c r="N2545" s="452">
        <f t="array" ref="N2545">IFERROR(
  INDEX(
    'Valor Hora Real y Estimada'!$A$4:$Z$78,
    MATCH(TRIM(CLEAN(A2545)), 'Valor Hora Real y Estimada'!$A$4:$A$78, 0),
    MATCH(
      TEXT(C2545,"dd mmm")&amp;" "&amp;D2545,
      'Valor Hora Real y Estimada'!$A$3:$Z$3,
      0
    ) + 1
  ),
  0
)</f>
        <v>0</v>
      </c>
      <c r="O2545" s="453"/>
      <c r="P2545" s="113"/>
      <c r="Q2545" s="106" t="str">
        <f>IF(ISBLANK(O2545), "", VLOOKUP(C2545&amp;" "&amp;D2545, 'Info Tipo de Cambio y REM'!$A$24:$B$35, 2, FALSE))</f>
        <v/>
      </c>
      <c r="R2545" s="107"/>
    </row>
    <row r="2546" hidden="1">
      <c r="A2546" s="443"/>
      <c r="B2546" s="43" t="str">
        <f>IF(A2546="", "", IFERROR(VLOOKUP(A2546, Clasificaciones!A:B, 2, FALSE), "DATO NO CARGADO"))
</f>
        <v/>
      </c>
      <c r="C2546" s="51"/>
      <c r="D2546" s="102"/>
      <c r="E2546" s="102"/>
      <c r="H2546" s="102"/>
      <c r="J2546" s="102"/>
      <c r="K2546" s="450"/>
      <c r="L2546" s="443"/>
      <c r="M2546" s="450"/>
      <c r="N2546" s="452">
        <f t="array" ref="N2546">IFERROR(
  INDEX(
    'Valor Hora Real y Estimada'!$A$4:$Z$78,
    MATCH(TRIM(CLEAN(A2546)), 'Valor Hora Real y Estimada'!$A$4:$A$78, 0),
    MATCH(
      TEXT(C2546,"dd mmm")&amp;" "&amp;D2546,
      'Valor Hora Real y Estimada'!$A$3:$Z$3,
      0
    ) + 1
  ),
  0
)</f>
        <v>0</v>
      </c>
      <c r="O2546" s="453"/>
      <c r="P2546" s="113"/>
      <c r="Q2546" s="106" t="str">
        <f>IF(ISBLANK(O2546), "", VLOOKUP(C2546&amp;" "&amp;D2546, 'Info Tipo de Cambio y REM'!$A$24:$B$35, 2, FALSE))</f>
        <v/>
      </c>
      <c r="R2546" s="107"/>
    </row>
    <row r="2547" hidden="1">
      <c r="A2547" s="443"/>
      <c r="B2547" s="43" t="str">
        <f>IF(A2547="", "", IFERROR(VLOOKUP(A2547, Clasificaciones!A:B, 2, FALSE), "DATO NO CARGADO"))
</f>
        <v/>
      </c>
      <c r="C2547" s="51"/>
      <c r="D2547" s="102"/>
      <c r="E2547" s="102"/>
      <c r="H2547" s="102"/>
      <c r="J2547" s="102"/>
      <c r="K2547" s="450"/>
      <c r="L2547" s="443"/>
      <c r="M2547" s="450"/>
      <c r="N2547" s="452">
        <f t="array" ref="N2547">IFERROR(
  INDEX(
    'Valor Hora Real y Estimada'!$A$4:$Z$78,
    MATCH(TRIM(CLEAN(A2547)), 'Valor Hora Real y Estimada'!$A$4:$A$78, 0),
    MATCH(
      TEXT(C2547,"dd mmm")&amp;" "&amp;D2547,
      'Valor Hora Real y Estimada'!$A$3:$Z$3,
      0
    ) + 1
  ),
  0
)</f>
        <v>0</v>
      </c>
      <c r="O2547" s="453"/>
      <c r="P2547" s="113"/>
      <c r="Q2547" s="106" t="str">
        <f>IF(ISBLANK(O2547), "", VLOOKUP(C2547&amp;" "&amp;D2547, 'Info Tipo de Cambio y REM'!$A$24:$B$35, 2, FALSE))</f>
        <v/>
      </c>
      <c r="R2547" s="107"/>
    </row>
    <row r="2548" hidden="1">
      <c r="A2548" s="443"/>
      <c r="B2548" s="43" t="str">
        <f>IF(A2548="", "", IFERROR(VLOOKUP(A2548, Clasificaciones!A:B, 2, FALSE), "DATO NO CARGADO"))
</f>
        <v/>
      </c>
      <c r="C2548" s="51"/>
      <c r="D2548" s="102"/>
      <c r="E2548" s="102"/>
      <c r="H2548" s="102"/>
      <c r="J2548" s="102"/>
      <c r="K2548" s="450"/>
      <c r="L2548" s="443"/>
      <c r="M2548" s="450"/>
      <c r="N2548" s="452">
        <f t="array" ref="N2548">IFERROR(
  INDEX(
    'Valor Hora Real y Estimada'!$A$4:$Z$78,
    MATCH(TRIM(CLEAN(A2548)), 'Valor Hora Real y Estimada'!$A$4:$A$78, 0),
    MATCH(
      TEXT(C2548,"dd mmm")&amp;" "&amp;D2548,
      'Valor Hora Real y Estimada'!$A$3:$Z$3,
      0
    ) + 1
  ),
  0
)</f>
        <v>0</v>
      </c>
      <c r="O2548" s="453"/>
      <c r="P2548" s="113"/>
      <c r="Q2548" s="106" t="str">
        <f>IF(ISBLANK(O2548), "", VLOOKUP(C2548&amp;" "&amp;D2548, 'Info Tipo de Cambio y REM'!$A$24:$B$35, 2, FALSE))</f>
        <v/>
      </c>
      <c r="R2548" s="107"/>
    </row>
    <row r="2549" hidden="1">
      <c r="A2549" s="443"/>
      <c r="B2549" s="43" t="str">
        <f>IF(A2549="", "", IFERROR(VLOOKUP(A2549, Clasificaciones!A:B, 2, FALSE), "DATO NO CARGADO"))
</f>
        <v/>
      </c>
      <c r="C2549" s="51"/>
      <c r="D2549" s="102"/>
      <c r="E2549" s="102"/>
      <c r="H2549" s="102"/>
      <c r="J2549" s="102"/>
      <c r="K2549" s="450"/>
      <c r="L2549" s="443"/>
      <c r="M2549" s="450"/>
      <c r="N2549" s="452">
        <f t="array" ref="N2549">IFERROR(
  INDEX(
    'Valor Hora Real y Estimada'!$A$4:$Z$78,
    MATCH(TRIM(CLEAN(A2549)), 'Valor Hora Real y Estimada'!$A$4:$A$78, 0),
    MATCH(
      TEXT(C2549,"dd mmm")&amp;" "&amp;D2549,
      'Valor Hora Real y Estimada'!$A$3:$Z$3,
      0
    ) + 1
  ),
  0
)</f>
        <v>0</v>
      </c>
      <c r="O2549" s="453"/>
      <c r="P2549" s="113"/>
      <c r="Q2549" s="106" t="str">
        <f>IF(ISBLANK(O2549), "", VLOOKUP(C2549&amp;" "&amp;D2549, 'Info Tipo de Cambio y REM'!$A$24:$B$35, 2, FALSE))</f>
        <v/>
      </c>
      <c r="R2549" s="107"/>
    </row>
    <row r="2550" hidden="1">
      <c r="A2550" s="443"/>
      <c r="B2550" s="43" t="str">
        <f>IF(A2550="", "", IFERROR(VLOOKUP(A2550, Clasificaciones!A:B, 2, FALSE), "DATO NO CARGADO"))
</f>
        <v/>
      </c>
      <c r="C2550" s="51"/>
      <c r="D2550" s="102"/>
      <c r="E2550" s="102"/>
      <c r="H2550" s="102"/>
      <c r="J2550" s="102"/>
      <c r="K2550" s="450"/>
      <c r="L2550" s="443"/>
      <c r="M2550" s="450"/>
      <c r="N2550" s="452">
        <f t="array" ref="N2550">IFERROR(
  INDEX(
    'Valor Hora Real y Estimada'!$A$4:$Z$78,
    MATCH(TRIM(CLEAN(A2550)), 'Valor Hora Real y Estimada'!$A$4:$A$78, 0),
    MATCH(
      TEXT(C2550,"dd mmm")&amp;" "&amp;D2550,
      'Valor Hora Real y Estimada'!$A$3:$Z$3,
      0
    ) + 1
  ),
  0
)</f>
        <v>0</v>
      </c>
      <c r="O2550" s="453"/>
      <c r="P2550" s="113"/>
      <c r="Q2550" s="106" t="str">
        <f>IF(ISBLANK(O2550), "", VLOOKUP(C2550&amp;" "&amp;D2550, 'Info Tipo de Cambio y REM'!$A$24:$B$35, 2, FALSE))</f>
        <v/>
      </c>
      <c r="R2550" s="107"/>
    </row>
    <row r="2551" hidden="1">
      <c r="A2551" s="443"/>
      <c r="B2551" s="43" t="str">
        <f>IF(A2551="", "", IFERROR(VLOOKUP(A2551, Clasificaciones!A:B, 2, FALSE), "DATO NO CARGADO"))
</f>
        <v/>
      </c>
      <c r="C2551" s="51"/>
      <c r="D2551" s="102"/>
      <c r="E2551" s="102"/>
      <c r="H2551" s="102"/>
      <c r="J2551" s="102"/>
      <c r="K2551" s="450"/>
      <c r="L2551" s="443"/>
      <c r="M2551" s="450"/>
      <c r="N2551" s="452">
        <f t="array" ref="N2551">IFERROR(
  INDEX(
    'Valor Hora Real y Estimada'!$A$4:$Z$78,
    MATCH(TRIM(CLEAN(A2551)), 'Valor Hora Real y Estimada'!$A$4:$A$78, 0),
    MATCH(
      TEXT(C2551,"dd mmm")&amp;" "&amp;D2551,
      'Valor Hora Real y Estimada'!$A$3:$Z$3,
      0
    ) + 1
  ),
  0
)</f>
        <v>0</v>
      </c>
      <c r="O2551" s="453"/>
      <c r="P2551" s="113"/>
      <c r="Q2551" s="106" t="str">
        <f>IF(ISBLANK(O2551), "", VLOOKUP(C2551&amp;" "&amp;D2551, 'Info Tipo de Cambio y REM'!$A$24:$B$35, 2, FALSE))</f>
        <v/>
      </c>
      <c r="R2551" s="107"/>
    </row>
    <row r="2552" hidden="1">
      <c r="A2552" s="443"/>
      <c r="B2552" s="43" t="str">
        <f>IF(A2552="", "", IFERROR(VLOOKUP(A2552, Clasificaciones!A:B, 2, FALSE), "DATO NO CARGADO"))
</f>
        <v/>
      </c>
      <c r="C2552" s="51"/>
      <c r="D2552" s="102"/>
      <c r="E2552" s="102"/>
      <c r="H2552" s="102"/>
      <c r="J2552" s="102"/>
      <c r="K2552" s="450"/>
      <c r="L2552" s="443"/>
      <c r="M2552" s="450"/>
      <c r="N2552" s="452">
        <f t="array" ref="N2552">IFERROR(
  INDEX(
    'Valor Hora Real y Estimada'!$A$4:$Z$78,
    MATCH(TRIM(CLEAN(A2552)), 'Valor Hora Real y Estimada'!$A$4:$A$78, 0),
    MATCH(
      TEXT(C2552,"dd mmm")&amp;" "&amp;D2552,
      'Valor Hora Real y Estimada'!$A$3:$Z$3,
      0
    ) + 1
  ),
  0
)</f>
        <v>0</v>
      </c>
      <c r="O2552" s="453"/>
      <c r="P2552" s="113"/>
      <c r="Q2552" s="106" t="str">
        <f>IF(ISBLANK(O2552), "", VLOOKUP(C2552&amp;" "&amp;D2552, 'Info Tipo de Cambio y REM'!$A$24:$B$35, 2, FALSE))</f>
        <v/>
      </c>
      <c r="R2552" s="107"/>
    </row>
    <row r="2553" hidden="1">
      <c r="A2553" s="443"/>
      <c r="B2553" s="43" t="str">
        <f>IF(A2553="", "", IFERROR(VLOOKUP(A2553, Clasificaciones!A:B, 2, FALSE), "DATO NO CARGADO"))
</f>
        <v/>
      </c>
      <c r="C2553" s="51"/>
      <c r="D2553" s="102"/>
      <c r="E2553" s="102"/>
      <c r="H2553" s="102"/>
      <c r="J2553" s="102"/>
      <c r="K2553" s="450"/>
      <c r="L2553" s="443"/>
      <c r="M2553" s="450"/>
      <c r="N2553" s="452">
        <f t="array" ref="N2553">IFERROR(
  INDEX(
    'Valor Hora Real y Estimada'!$A$4:$Z$78,
    MATCH(TRIM(CLEAN(A2553)), 'Valor Hora Real y Estimada'!$A$4:$A$78, 0),
    MATCH(
      TEXT(C2553,"dd mmm")&amp;" "&amp;D2553,
      'Valor Hora Real y Estimada'!$A$3:$Z$3,
      0
    ) + 1
  ),
  0
)</f>
        <v>0</v>
      </c>
      <c r="O2553" s="453"/>
      <c r="P2553" s="113"/>
      <c r="Q2553" s="106" t="str">
        <f>IF(ISBLANK(O2553), "", VLOOKUP(C2553&amp;" "&amp;D2553, 'Info Tipo de Cambio y REM'!$A$24:$B$35, 2, FALSE))</f>
        <v/>
      </c>
      <c r="R2553" s="107"/>
    </row>
    <row r="2554" hidden="1">
      <c r="A2554" s="443"/>
      <c r="B2554" s="43" t="str">
        <f>IF(A2554="", "", IFERROR(VLOOKUP(A2554, Clasificaciones!A:B, 2, FALSE), "DATO NO CARGADO"))
</f>
        <v/>
      </c>
      <c r="C2554" s="51"/>
      <c r="D2554" s="102"/>
      <c r="E2554" s="102"/>
      <c r="H2554" s="102"/>
      <c r="J2554" s="102"/>
      <c r="K2554" s="450"/>
      <c r="L2554" s="443"/>
      <c r="M2554" s="450"/>
      <c r="N2554" s="452">
        <f t="array" ref="N2554">IFERROR(
  INDEX(
    'Valor Hora Real y Estimada'!$A$4:$Z$78,
    MATCH(TRIM(CLEAN(A2554)), 'Valor Hora Real y Estimada'!$A$4:$A$78, 0),
    MATCH(
      TEXT(C2554,"dd mmm")&amp;" "&amp;D2554,
      'Valor Hora Real y Estimada'!$A$3:$Z$3,
      0
    ) + 1
  ),
  0
)</f>
        <v>0</v>
      </c>
      <c r="O2554" s="453"/>
      <c r="P2554" s="113"/>
      <c r="Q2554" s="106" t="str">
        <f>IF(ISBLANK(O2554), "", VLOOKUP(C2554&amp;" "&amp;D2554, 'Info Tipo de Cambio y REM'!$A$24:$B$35, 2, FALSE))</f>
        <v/>
      </c>
      <c r="R2554" s="107"/>
    </row>
    <row r="2555" hidden="1">
      <c r="A2555" s="443"/>
      <c r="B2555" s="43" t="str">
        <f>IF(A2555="", "", IFERROR(VLOOKUP(A2555, Clasificaciones!A:B, 2, FALSE), "DATO NO CARGADO"))
</f>
        <v/>
      </c>
      <c r="C2555" s="51"/>
      <c r="D2555" s="102"/>
      <c r="E2555" s="102"/>
      <c r="H2555" s="102"/>
      <c r="J2555" s="102"/>
      <c r="K2555" s="450"/>
      <c r="L2555" s="443"/>
      <c r="M2555" s="450"/>
      <c r="N2555" s="452">
        <f t="array" ref="N2555">IFERROR(
  INDEX(
    'Valor Hora Real y Estimada'!$A$4:$Z$78,
    MATCH(TRIM(CLEAN(A2555)), 'Valor Hora Real y Estimada'!$A$4:$A$78, 0),
    MATCH(
      TEXT(C2555,"dd mmm")&amp;" "&amp;D2555,
      'Valor Hora Real y Estimada'!$A$3:$Z$3,
      0
    ) + 1
  ),
  0
)</f>
        <v>0</v>
      </c>
      <c r="O2555" s="453"/>
      <c r="P2555" s="113"/>
      <c r="Q2555" s="106" t="str">
        <f>IF(ISBLANK(O2555), "", VLOOKUP(C2555&amp;" "&amp;D2555, 'Info Tipo de Cambio y REM'!$A$24:$B$35, 2, FALSE))</f>
        <v/>
      </c>
      <c r="R2555" s="107"/>
    </row>
    <row r="2556" hidden="1">
      <c r="A2556" s="443"/>
      <c r="B2556" s="43" t="str">
        <f>IF(A2556="", "", IFERROR(VLOOKUP(A2556, Clasificaciones!A:B, 2, FALSE), "DATO NO CARGADO"))
</f>
        <v/>
      </c>
      <c r="C2556" s="51"/>
      <c r="D2556" s="102"/>
      <c r="E2556" s="102"/>
      <c r="H2556" s="102"/>
      <c r="J2556" s="102"/>
      <c r="K2556" s="450"/>
      <c r="L2556" s="443"/>
      <c r="M2556" s="450"/>
      <c r="N2556" s="452">
        <f t="array" ref="N2556">IFERROR(
  INDEX(
    'Valor Hora Real y Estimada'!$A$4:$Z$78,
    MATCH(TRIM(CLEAN(A2556)), 'Valor Hora Real y Estimada'!$A$4:$A$78, 0),
    MATCH(
      TEXT(C2556,"dd mmm")&amp;" "&amp;D2556,
      'Valor Hora Real y Estimada'!$A$3:$Z$3,
      0
    ) + 1
  ),
  0
)</f>
        <v>0</v>
      </c>
      <c r="O2556" s="453"/>
      <c r="P2556" s="113"/>
      <c r="Q2556" s="106" t="str">
        <f>IF(ISBLANK(O2556), "", VLOOKUP(C2556&amp;" "&amp;D2556, 'Info Tipo de Cambio y REM'!$A$24:$B$35, 2, FALSE))</f>
        <v/>
      </c>
      <c r="R2556" s="107"/>
    </row>
    <row r="2557" hidden="1">
      <c r="A2557" s="443"/>
      <c r="B2557" s="43" t="str">
        <f>IF(A2557="", "", IFERROR(VLOOKUP(A2557, Clasificaciones!A:B, 2, FALSE), "DATO NO CARGADO"))
</f>
        <v/>
      </c>
      <c r="C2557" s="51"/>
      <c r="D2557" s="102"/>
      <c r="E2557" s="102"/>
      <c r="H2557" s="102"/>
      <c r="J2557" s="102"/>
      <c r="K2557" s="450"/>
      <c r="L2557" s="443"/>
      <c r="M2557" s="450"/>
      <c r="N2557" s="452">
        <f t="array" ref="N2557">IFERROR(
  INDEX(
    'Valor Hora Real y Estimada'!$A$4:$Z$78,
    MATCH(TRIM(CLEAN(A2557)), 'Valor Hora Real y Estimada'!$A$4:$A$78, 0),
    MATCH(
      TEXT(C2557,"dd mmm")&amp;" "&amp;D2557,
      'Valor Hora Real y Estimada'!$A$3:$Z$3,
      0
    ) + 1
  ),
  0
)</f>
        <v>0</v>
      </c>
      <c r="O2557" s="453"/>
      <c r="P2557" s="113"/>
      <c r="Q2557" s="106" t="str">
        <f>IF(ISBLANK(O2557), "", VLOOKUP(C2557&amp;" "&amp;D2557, 'Info Tipo de Cambio y REM'!$A$24:$B$35, 2, FALSE))</f>
        <v/>
      </c>
      <c r="R2557" s="107"/>
    </row>
    <row r="2558" hidden="1">
      <c r="A2558" s="443"/>
      <c r="B2558" s="43" t="str">
        <f>IF(A2558="", "", IFERROR(VLOOKUP(A2558, Clasificaciones!A:B, 2, FALSE), "DATO NO CARGADO"))
</f>
        <v/>
      </c>
      <c r="C2558" s="51"/>
      <c r="D2558" s="102"/>
      <c r="E2558" s="102"/>
      <c r="H2558" s="102"/>
      <c r="J2558" s="102"/>
      <c r="K2558" s="450"/>
      <c r="L2558" s="443"/>
      <c r="M2558" s="450"/>
      <c r="N2558" s="452">
        <f t="array" ref="N2558">IFERROR(
  INDEX(
    'Valor Hora Real y Estimada'!$A$4:$Z$78,
    MATCH(TRIM(CLEAN(A2558)), 'Valor Hora Real y Estimada'!$A$4:$A$78, 0),
    MATCH(
      TEXT(C2558,"dd mmm")&amp;" "&amp;D2558,
      'Valor Hora Real y Estimada'!$A$3:$Z$3,
      0
    ) + 1
  ),
  0
)</f>
        <v>0</v>
      </c>
      <c r="O2558" s="453"/>
      <c r="P2558" s="113"/>
      <c r="Q2558" s="106" t="str">
        <f>IF(ISBLANK(O2558), "", VLOOKUP(C2558&amp;" "&amp;D2558, 'Info Tipo de Cambio y REM'!$A$24:$B$35, 2, FALSE))</f>
        <v/>
      </c>
      <c r="R2558" s="107"/>
    </row>
    <row r="2559" hidden="1">
      <c r="A2559" s="443"/>
      <c r="B2559" s="43" t="str">
        <f>IF(A2559="", "", IFERROR(VLOOKUP(A2559, Clasificaciones!A:B, 2, FALSE), "DATO NO CARGADO"))
</f>
        <v/>
      </c>
      <c r="C2559" s="51"/>
      <c r="D2559" s="102"/>
      <c r="E2559" s="102"/>
      <c r="H2559" s="102"/>
      <c r="J2559" s="102"/>
      <c r="K2559" s="450"/>
      <c r="L2559" s="443"/>
      <c r="M2559" s="450"/>
      <c r="N2559" s="452">
        <f t="array" ref="N2559">IFERROR(
  INDEX(
    'Valor Hora Real y Estimada'!$A$4:$Z$78,
    MATCH(TRIM(CLEAN(A2559)), 'Valor Hora Real y Estimada'!$A$4:$A$78, 0),
    MATCH(
      TEXT(C2559,"dd mmm")&amp;" "&amp;D2559,
      'Valor Hora Real y Estimada'!$A$3:$Z$3,
      0
    ) + 1
  ),
  0
)</f>
        <v>0</v>
      </c>
      <c r="O2559" s="453"/>
      <c r="P2559" s="113"/>
      <c r="Q2559" s="106" t="str">
        <f>IF(ISBLANK(O2559), "", VLOOKUP(C2559&amp;" "&amp;D2559, 'Info Tipo de Cambio y REM'!$A$24:$B$35, 2, FALSE))</f>
        <v/>
      </c>
      <c r="R2559" s="107"/>
    </row>
    <row r="2560" hidden="1">
      <c r="A2560" s="443"/>
      <c r="B2560" s="43" t="str">
        <f>IF(A2560="", "", IFERROR(VLOOKUP(A2560, Clasificaciones!A:B, 2, FALSE), "DATO NO CARGADO"))
</f>
        <v/>
      </c>
      <c r="C2560" s="51"/>
      <c r="D2560" s="102"/>
      <c r="E2560" s="102"/>
      <c r="H2560" s="102"/>
      <c r="J2560" s="102"/>
      <c r="K2560" s="450"/>
      <c r="L2560" s="443"/>
      <c r="M2560" s="450"/>
      <c r="N2560" s="452">
        <f t="array" ref="N2560">IFERROR(
  INDEX(
    'Valor Hora Real y Estimada'!$A$4:$Z$78,
    MATCH(TRIM(CLEAN(A2560)), 'Valor Hora Real y Estimada'!$A$4:$A$78, 0),
    MATCH(
      TEXT(C2560,"dd mmm")&amp;" "&amp;D2560,
      'Valor Hora Real y Estimada'!$A$3:$Z$3,
      0
    ) + 1
  ),
  0
)</f>
        <v>0</v>
      </c>
      <c r="O2560" s="453"/>
      <c r="P2560" s="113"/>
      <c r="Q2560" s="106" t="str">
        <f>IF(ISBLANK(O2560), "", VLOOKUP(C2560&amp;" "&amp;D2560, 'Info Tipo de Cambio y REM'!$A$24:$B$35, 2, FALSE))</f>
        <v/>
      </c>
      <c r="R2560" s="107"/>
    </row>
    <row r="2561" hidden="1">
      <c r="A2561" s="443"/>
      <c r="B2561" s="43" t="str">
        <f>IF(A2561="", "", IFERROR(VLOOKUP(A2561, Clasificaciones!A:B, 2, FALSE), "DATO NO CARGADO"))
</f>
        <v/>
      </c>
      <c r="C2561" s="51"/>
      <c r="D2561" s="102"/>
      <c r="E2561" s="102"/>
      <c r="H2561" s="102"/>
      <c r="J2561" s="102"/>
      <c r="K2561" s="450"/>
      <c r="L2561" s="443"/>
      <c r="M2561" s="450"/>
      <c r="N2561" s="452">
        <f t="array" ref="N2561">IFERROR(
  INDEX(
    'Valor Hora Real y Estimada'!$A$4:$Z$78,
    MATCH(TRIM(CLEAN(A2561)), 'Valor Hora Real y Estimada'!$A$4:$A$78, 0),
    MATCH(
      TEXT(C2561,"dd mmm")&amp;" "&amp;D2561,
      'Valor Hora Real y Estimada'!$A$3:$Z$3,
      0
    ) + 1
  ),
  0
)</f>
        <v>0</v>
      </c>
      <c r="O2561" s="453"/>
      <c r="P2561" s="113"/>
      <c r="Q2561" s="106" t="str">
        <f>IF(ISBLANK(O2561), "", VLOOKUP(C2561&amp;" "&amp;D2561, 'Info Tipo de Cambio y REM'!$A$24:$B$35, 2, FALSE))</f>
        <v/>
      </c>
      <c r="R2561" s="107"/>
    </row>
    <row r="2562" hidden="1">
      <c r="A2562" s="443"/>
      <c r="B2562" s="43" t="str">
        <f>IF(A2562="", "", IFERROR(VLOOKUP(A2562, Clasificaciones!A:B, 2, FALSE), "DATO NO CARGADO"))
</f>
        <v/>
      </c>
      <c r="C2562" s="51"/>
      <c r="D2562" s="102"/>
      <c r="E2562" s="102"/>
      <c r="H2562" s="102"/>
      <c r="J2562" s="102"/>
      <c r="K2562" s="450"/>
      <c r="L2562" s="443"/>
      <c r="M2562" s="450"/>
      <c r="N2562" s="452">
        <f t="array" ref="N2562">IFERROR(
  INDEX(
    'Valor Hora Real y Estimada'!$A$4:$Z$78,
    MATCH(TRIM(CLEAN(A2562)), 'Valor Hora Real y Estimada'!$A$4:$A$78, 0),
    MATCH(
      TEXT(C2562,"dd mmm")&amp;" "&amp;D2562,
      'Valor Hora Real y Estimada'!$A$3:$Z$3,
      0
    ) + 1
  ),
  0
)</f>
        <v>0</v>
      </c>
      <c r="O2562" s="453"/>
      <c r="P2562" s="113"/>
      <c r="Q2562" s="106" t="str">
        <f>IF(ISBLANK(O2562), "", VLOOKUP(C2562&amp;" "&amp;D2562, 'Info Tipo de Cambio y REM'!$A$24:$B$35, 2, FALSE))</f>
        <v/>
      </c>
      <c r="R2562" s="107"/>
    </row>
    <row r="2563" hidden="1">
      <c r="A2563" s="443"/>
      <c r="B2563" s="43" t="str">
        <f>IF(A2563="", "", IFERROR(VLOOKUP(A2563, Clasificaciones!A:B, 2, FALSE), "DATO NO CARGADO"))
</f>
        <v/>
      </c>
      <c r="C2563" s="51"/>
      <c r="D2563" s="102"/>
      <c r="E2563" s="102"/>
      <c r="H2563" s="102"/>
      <c r="J2563" s="102"/>
      <c r="K2563" s="450"/>
      <c r="L2563" s="443"/>
      <c r="M2563" s="450"/>
      <c r="N2563" s="452">
        <f t="array" ref="N2563">IFERROR(
  INDEX(
    'Valor Hora Real y Estimada'!$A$4:$Z$78,
    MATCH(TRIM(CLEAN(A2563)), 'Valor Hora Real y Estimada'!$A$4:$A$78, 0),
    MATCH(
      TEXT(C2563,"dd mmm")&amp;" "&amp;D2563,
      'Valor Hora Real y Estimada'!$A$3:$Z$3,
      0
    ) + 1
  ),
  0
)</f>
        <v>0</v>
      </c>
      <c r="O2563" s="453"/>
      <c r="P2563" s="113"/>
      <c r="Q2563" s="106" t="str">
        <f>IF(ISBLANK(O2563), "", VLOOKUP(C2563&amp;" "&amp;D2563, 'Info Tipo de Cambio y REM'!$A$24:$B$35, 2, FALSE))</f>
        <v/>
      </c>
      <c r="R2563" s="107"/>
    </row>
    <row r="2564" hidden="1">
      <c r="A2564" s="443"/>
      <c r="B2564" s="43" t="str">
        <f>IF(A2564="", "", IFERROR(VLOOKUP(A2564, Clasificaciones!A:B, 2, FALSE), "DATO NO CARGADO"))
</f>
        <v/>
      </c>
      <c r="C2564" s="51"/>
      <c r="D2564" s="102"/>
      <c r="E2564" s="102"/>
      <c r="H2564" s="102"/>
      <c r="J2564" s="102"/>
      <c r="K2564" s="450"/>
      <c r="L2564" s="443"/>
      <c r="M2564" s="450"/>
      <c r="N2564" s="452">
        <f t="array" ref="N2564">IFERROR(
  INDEX(
    'Valor Hora Real y Estimada'!$A$4:$Z$78,
    MATCH(TRIM(CLEAN(A2564)), 'Valor Hora Real y Estimada'!$A$4:$A$78, 0),
    MATCH(
      TEXT(C2564,"dd mmm")&amp;" "&amp;D2564,
      'Valor Hora Real y Estimada'!$A$3:$Z$3,
      0
    ) + 1
  ),
  0
)</f>
        <v>0</v>
      </c>
      <c r="O2564" s="453"/>
      <c r="P2564" s="113"/>
      <c r="Q2564" s="106" t="str">
        <f>IF(ISBLANK(O2564), "", VLOOKUP(C2564&amp;" "&amp;D2564, 'Info Tipo de Cambio y REM'!$A$24:$B$35, 2, FALSE))</f>
        <v/>
      </c>
      <c r="R2564" s="107"/>
    </row>
    <row r="2565" hidden="1">
      <c r="A2565" s="443"/>
      <c r="B2565" s="43" t="str">
        <f>IF(A2565="", "", IFERROR(VLOOKUP(A2565, Clasificaciones!A:B, 2, FALSE), "DATO NO CARGADO"))
</f>
        <v/>
      </c>
      <c r="C2565" s="51"/>
      <c r="D2565" s="102"/>
      <c r="E2565" s="102"/>
      <c r="H2565" s="102"/>
      <c r="J2565" s="102"/>
      <c r="K2565" s="450"/>
      <c r="L2565" s="443"/>
      <c r="M2565" s="450"/>
      <c r="N2565" s="452">
        <f t="array" ref="N2565">IFERROR(
  INDEX(
    'Valor Hora Real y Estimada'!$A$4:$Z$78,
    MATCH(TRIM(CLEAN(A2565)), 'Valor Hora Real y Estimada'!$A$4:$A$78, 0),
    MATCH(
      TEXT(C2565,"dd mmm")&amp;" "&amp;D2565,
      'Valor Hora Real y Estimada'!$A$3:$Z$3,
      0
    ) + 1
  ),
  0
)</f>
        <v>0</v>
      </c>
      <c r="O2565" s="453"/>
      <c r="P2565" s="113"/>
      <c r="Q2565" s="106" t="str">
        <f>IF(ISBLANK(O2565), "", VLOOKUP(C2565&amp;" "&amp;D2565, 'Info Tipo de Cambio y REM'!$A$24:$B$35, 2, FALSE))</f>
        <v/>
      </c>
      <c r="R2565" s="107"/>
    </row>
    <row r="2566" hidden="1">
      <c r="A2566" s="443"/>
      <c r="B2566" s="43" t="str">
        <f>IF(A2566="", "", IFERROR(VLOOKUP(A2566, Clasificaciones!A:B, 2, FALSE), "DATO NO CARGADO"))
</f>
        <v/>
      </c>
      <c r="C2566" s="51"/>
      <c r="D2566" s="102"/>
      <c r="E2566" s="102"/>
      <c r="H2566" s="102"/>
      <c r="J2566" s="102"/>
      <c r="K2566" s="450"/>
      <c r="L2566" s="443"/>
      <c r="M2566" s="450"/>
      <c r="N2566" s="452">
        <f t="array" ref="N2566">IFERROR(
  INDEX(
    'Valor Hora Real y Estimada'!$A$4:$Z$78,
    MATCH(TRIM(CLEAN(A2566)), 'Valor Hora Real y Estimada'!$A$4:$A$78, 0),
    MATCH(
      TEXT(C2566,"dd mmm")&amp;" "&amp;D2566,
      'Valor Hora Real y Estimada'!$A$3:$Z$3,
      0
    ) + 1
  ),
  0
)</f>
        <v>0</v>
      </c>
      <c r="O2566" s="453"/>
      <c r="P2566" s="113"/>
      <c r="Q2566" s="106" t="str">
        <f>IF(ISBLANK(O2566), "", VLOOKUP(C2566&amp;" "&amp;D2566, 'Info Tipo de Cambio y REM'!$A$24:$B$35, 2, FALSE))</f>
        <v/>
      </c>
      <c r="R2566" s="107"/>
    </row>
    <row r="2567" hidden="1">
      <c r="A2567" s="443"/>
      <c r="B2567" s="43" t="str">
        <f>IF(A2567="", "", IFERROR(VLOOKUP(A2567, Clasificaciones!A:B, 2, FALSE), "DATO NO CARGADO"))
</f>
        <v/>
      </c>
      <c r="C2567" s="51"/>
      <c r="D2567" s="102"/>
      <c r="E2567" s="102"/>
      <c r="H2567" s="102"/>
      <c r="J2567" s="102"/>
      <c r="K2567" s="450"/>
      <c r="L2567" s="443"/>
      <c r="M2567" s="450"/>
      <c r="N2567" s="452">
        <f t="array" ref="N2567">IFERROR(
  INDEX(
    'Valor Hora Real y Estimada'!$A$4:$Z$78,
    MATCH(TRIM(CLEAN(A2567)), 'Valor Hora Real y Estimada'!$A$4:$A$78, 0),
    MATCH(
      TEXT(C2567,"dd mmm")&amp;" "&amp;D2567,
      'Valor Hora Real y Estimada'!$A$3:$Z$3,
      0
    ) + 1
  ),
  0
)</f>
        <v>0</v>
      </c>
      <c r="O2567" s="453"/>
      <c r="P2567" s="113"/>
      <c r="Q2567" s="106" t="str">
        <f>IF(ISBLANK(O2567), "", VLOOKUP(C2567&amp;" "&amp;D2567, 'Info Tipo de Cambio y REM'!$A$24:$B$35, 2, FALSE))</f>
        <v/>
      </c>
      <c r="R2567" s="107"/>
    </row>
    <row r="2568" hidden="1">
      <c r="A2568" s="443"/>
      <c r="B2568" s="43" t="str">
        <f>IF(A2568="", "", IFERROR(VLOOKUP(A2568, Clasificaciones!A:B, 2, FALSE), "DATO NO CARGADO"))
</f>
        <v/>
      </c>
      <c r="C2568" s="51"/>
      <c r="D2568" s="102"/>
      <c r="E2568" s="102"/>
      <c r="H2568" s="102"/>
      <c r="J2568" s="102"/>
      <c r="K2568" s="450"/>
      <c r="L2568" s="443"/>
      <c r="M2568" s="450"/>
      <c r="N2568" s="452">
        <f t="array" ref="N2568">IFERROR(
  INDEX(
    'Valor Hora Real y Estimada'!$A$4:$Z$78,
    MATCH(TRIM(CLEAN(A2568)), 'Valor Hora Real y Estimada'!$A$4:$A$78, 0),
    MATCH(
      TEXT(C2568,"dd mmm")&amp;" "&amp;D2568,
      'Valor Hora Real y Estimada'!$A$3:$Z$3,
      0
    ) + 1
  ),
  0
)</f>
        <v>0</v>
      </c>
      <c r="O2568" s="453"/>
      <c r="P2568" s="113"/>
      <c r="Q2568" s="106" t="str">
        <f>IF(ISBLANK(O2568), "", VLOOKUP(C2568&amp;" "&amp;D2568, 'Info Tipo de Cambio y REM'!$A$24:$B$35, 2, FALSE))</f>
        <v/>
      </c>
      <c r="R2568" s="107"/>
    </row>
    <row r="2569" hidden="1">
      <c r="A2569" s="443"/>
      <c r="B2569" s="43" t="str">
        <f>IF(A2569="", "", IFERROR(VLOOKUP(A2569, Clasificaciones!A:B, 2, FALSE), "DATO NO CARGADO"))
</f>
        <v/>
      </c>
      <c r="C2569" s="51"/>
      <c r="D2569" s="102"/>
      <c r="E2569" s="102"/>
      <c r="H2569" s="102"/>
      <c r="J2569" s="102"/>
      <c r="K2569" s="450"/>
      <c r="L2569" s="443"/>
      <c r="M2569" s="450"/>
      <c r="N2569" s="452">
        <f t="array" ref="N2569">IFERROR(
  INDEX(
    'Valor Hora Real y Estimada'!$A$4:$Z$78,
    MATCH(TRIM(CLEAN(A2569)), 'Valor Hora Real y Estimada'!$A$4:$A$78, 0),
    MATCH(
      TEXT(C2569,"dd mmm")&amp;" "&amp;D2569,
      'Valor Hora Real y Estimada'!$A$3:$Z$3,
      0
    ) + 1
  ),
  0
)</f>
        <v>0</v>
      </c>
      <c r="O2569" s="453"/>
      <c r="P2569" s="113"/>
      <c r="Q2569" s="106" t="str">
        <f>IF(ISBLANK(O2569), "", VLOOKUP(C2569&amp;" "&amp;D2569, 'Info Tipo de Cambio y REM'!$A$24:$B$35, 2, FALSE))</f>
        <v/>
      </c>
      <c r="R2569" s="107"/>
    </row>
    <row r="2570" hidden="1">
      <c r="A2570" s="443"/>
      <c r="B2570" s="43" t="str">
        <f>IF(A2570="", "", IFERROR(VLOOKUP(A2570, Clasificaciones!A:B, 2, FALSE), "DATO NO CARGADO"))
</f>
        <v/>
      </c>
      <c r="C2570" s="51"/>
      <c r="D2570" s="102"/>
      <c r="E2570" s="102"/>
      <c r="H2570" s="102"/>
      <c r="J2570" s="102"/>
      <c r="K2570" s="450"/>
      <c r="L2570" s="443"/>
      <c r="M2570" s="450"/>
      <c r="N2570" s="452">
        <f t="array" ref="N2570">IFERROR(
  INDEX(
    'Valor Hora Real y Estimada'!$A$4:$Z$78,
    MATCH(TRIM(CLEAN(A2570)), 'Valor Hora Real y Estimada'!$A$4:$A$78, 0),
    MATCH(
      TEXT(C2570,"dd mmm")&amp;" "&amp;D2570,
      'Valor Hora Real y Estimada'!$A$3:$Z$3,
      0
    ) + 1
  ),
  0
)</f>
        <v>0</v>
      </c>
      <c r="O2570" s="453"/>
      <c r="P2570" s="113"/>
      <c r="Q2570" s="106" t="str">
        <f>IF(ISBLANK(O2570), "", VLOOKUP(C2570&amp;" "&amp;D2570, 'Info Tipo de Cambio y REM'!$A$24:$B$35, 2, FALSE))</f>
        <v/>
      </c>
      <c r="R2570" s="107"/>
    </row>
    <row r="2571" hidden="1">
      <c r="A2571" s="443"/>
      <c r="B2571" s="43" t="str">
        <f>IF(A2571="", "", IFERROR(VLOOKUP(A2571, Clasificaciones!A:B, 2, FALSE), "DATO NO CARGADO"))
</f>
        <v/>
      </c>
      <c r="C2571" s="51"/>
      <c r="D2571" s="102"/>
      <c r="E2571" s="102"/>
      <c r="H2571" s="102"/>
      <c r="J2571" s="102"/>
      <c r="K2571" s="450"/>
      <c r="L2571" s="443"/>
      <c r="M2571" s="450"/>
      <c r="N2571" s="452">
        <f t="array" ref="N2571">IFERROR(
  INDEX(
    'Valor Hora Real y Estimada'!$A$4:$Z$78,
    MATCH(TRIM(CLEAN(A2571)), 'Valor Hora Real y Estimada'!$A$4:$A$78, 0),
    MATCH(
      TEXT(C2571,"dd mmm")&amp;" "&amp;D2571,
      'Valor Hora Real y Estimada'!$A$3:$Z$3,
      0
    ) + 1
  ),
  0
)</f>
        <v>0</v>
      </c>
      <c r="O2571" s="453"/>
      <c r="P2571" s="113"/>
      <c r="Q2571" s="106" t="str">
        <f>IF(ISBLANK(O2571), "", VLOOKUP(C2571&amp;" "&amp;D2571, 'Info Tipo de Cambio y REM'!$A$24:$B$35, 2, FALSE))</f>
        <v/>
      </c>
      <c r="R2571" s="107"/>
    </row>
    <row r="2572" hidden="1">
      <c r="A2572" s="443"/>
      <c r="B2572" s="43" t="str">
        <f>IF(A2572="", "", IFERROR(VLOOKUP(A2572, Clasificaciones!A:B, 2, FALSE), "DATO NO CARGADO"))
</f>
        <v/>
      </c>
      <c r="C2572" s="51"/>
      <c r="D2572" s="102"/>
      <c r="E2572" s="102"/>
      <c r="H2572" s="102"/>
      <c r="J2572" s="102"/>
      <c r="K2572" s="450"/>
      <c r="L2572" s="443"/>
      <c r="M2572" s="450"/>
      <c r="N2572" s="452">
        <f t="array" ref="N2572">IFERROR(
  INDEX(
    'Valor Hora Real y Estimada'!$A$4:$Z$78,
    MATCH(TRIM(CLEAN(A2572)), 'Valor Hora Real y Estimada'!$A$4:$A$78, 0),
    MATCH(
      TEXT(C2572,"dd mmm")&amp;" "&amp;D2572,
      'Valor Hora Real y Estimada'!$A$3:$Z$3,
      0
    ) + 1
  ),
  0
)</f>
        <v>0</v>
      </c>
      <c r="O2572" s="453"/>
      <c r="P2572" s="113"/>
      <c r="Q2572" s="106" t="str">
        <f>IF(ISBLANK(O2572), "", VLOOKUP(C2572&amp;" "&amp;D2572, 'Info Tipo de Cambio y REM'!$A$24:$B$35, 2, FALSE))</f>
        <v/>
      </c>
      <c r="R2572" s="107"/>
    </row>
    <row r="2573" hidden="1">
      <c r="A2573" s="443"/>
      <c r="B2573" s="43" t="str">
        <f>IF(A2573="", "", IFERROR(VLOOKUP(A2573, Clasificaciones!A:B, 2, FALSE), "DATO NO CARGADO"))
</f>
        <v/>
      </c>
      <c r="C2573" s="51"/>
      <c r="D2573" s="102"/>
      <c r="E2573" s="102"/>
      <c r="H2573" s="102"/>
      <c r="J2573" s="102"/>
      <c r="K2573" s="450"/>
      <c r="L2573" s="443"/>
      <c r="M2573" s="450"/>
      <c r="N2573" s="452">
        <f t="array" ref="N2573">IFERROR(
  INDEX(
    'Valor Hora Real y Estimada'!$A$4:$Z$78,
    MATCH(TRIM(CLEAN(A2573)), 'Valor Hora Real y Estimada'!$A$4:$A$78, 0),
    MATCH(
      TEXT(C2573,"dd mmm")&amp;" "&amp;D2573,
      'Valor Hora Real y Estimada'!$A$3:$Z$3,
      0
    ) + 1
  ),
  0
)</f>
        <v>0</v>
      </c>
      <c r="O2573" s="453"/>
      <c r="P2573" s="113"/>
      <c r="Q2573" s="106" t="str">
        <f>IF(ISBLANK(O2573), "", VLOOKUP(C2573&amp;" "&amp;D2573, 'Info Tipo de Cambio y REM'!$A$24:$B$35, 2, FALSE))</f>
        <v/>
      </c>
      <c r="R2573" s="107"/>
    </row>
    <row r="2574" hidden="1">
      <c r="A2574" s="443"/>
      <c r="B2574" s="43" t="str">
        <f>IF(A2574="", "", IFERROR(VLOOKUP(A2574, Clasificaciones!A:B, 2, FALSE), "DATO NO CARGADO"))
</f>
        <v/>
      </c>
      <c r="C2574" s="51"/>
      <c r="D2574" s="102"/>
      <c r="E2574" s="102"/>
      <c r="H2574" s="102"/>
      <c r="J2574" s="102"/>
      <c r="K2574" s="450"/>
      <c r="L2574" s="443"/>
      <c r="M2574" s="450"/>
      <c r="N2574" s="452">
        <f t="array" ref="N2574">IFERROR(
  INDEX(
    'Valor Hora Real y Estimada'!$A$4:$Z$78,
    MATCH(TRIM(CLEAN(A2574)), 'Valor Hora Real y Estimada'!$A$4:$A$78, 0),
    MATCH(
      TEXT(C2574,"dd mmm")&amp;" "&amp;D2574,
      'Valor Hora Real y Estimada'!$A$3:$Z$3,
      0
    ) + 1
  ),
  0
)</f>
        <v>0</v>
      </c>
      <c r="O2574" s="453"/>
      <c r="P2574" s="113"/>
      <c r="Q2574" s="106" t="str">
        <f>IF(ISBLANK(O2574), "", VLOOKUP(C2574&amp;" "&amp;D2574, 'Info Tipo de Cambio y REM'!$A$24:$B$35, 2, FALSE))</f>
        <v/>
      </c>
      <c r="R2574" s="107"/>
    </row>
    <row r="2575" hidden="1">
      <c r="A2575" s="443"/>
      <c r="B2575" s="43" t="str">
        <f>IF(A2575="", "", IFERROR(VLOOKUP(A2575, Clasificaciones!A:B, 2, FALSE), "DATO NO CARGADO"))
</f>
        <v/>
      </c>
      <c r="C2575" s="51"/>
      <c r="D2575" s="102"/>
      <c r="E2575" s="102"/>
      <c r="H2575" s="102"/>
      <c r="J2575" s="102"/>
      <c r="K2575" s="450"/>
      <c r="L2575" s="443"/>
      <c r="M2575" s="450"/>
      <c r="N2575" s="452">
        <f t="array" ref="N2575">IFERROR(
  INDEX(
    'Valor Hora Real y Estimada'!$A$4:$Z$78,
    MATCH(TRIM(CLEAN(A2575)), 'Valor Hora Real y Estimada'!$A$4:$A$78, 0),
    MATCH(
      TEXT(C2575,"dd mmm")&amp;" "&amp;D2575,
      'Valor Hora Real y Estimada'!$A$3:$Z$3,
      0
    ) + 1
  ),
  0
)</f>
        <v>0</v>
      </c>
      <c r="O2575" s="453"/>
      <c r="P2575" s="113"/>
      <c r="Q2575" s="106" t="str">
        <f>IF(ISBLANK(O2575), "", VLOOKUP(C2575&amp;" "&amp;D2575, 'Info Tipo de Cambio y REM'!$A$24:$B$35, 2, FALSE))</f>
        <v/>
      </c>
      <c r="R2575" s="107"/>
    </row>
    <row r="2576" hidden="1">
      <c r="A2576" s="443"/>
      <c r="B2576" s="43" t="str">
        <f>IF(A2576="", "", IFERROR(VLOOKUP(A2576, Clasificaciones!A:B, 2, FALSE), "DATO NO CARGADO"))
</f>
        <v/>
      </c>
      <c r="C2576" s="51"/>
      <c r="D2576" s="102"/>
      <c r="E2576" s="102"/>
      <c r="H2576" s="102"/>
      <c r="J2576" s="102"/>
      <c r="K2576" s="450"/>
      <c r="L2576" s="443"/>
      <c r="M2576" s="450"/>
      <c r="N2576" s="452">
        <f t="array" ref="N2576">IFERROR(
  INDEX(
    'Valor Hora Real y Estimada'!$A$4:$Z$78,
    MATCH(TRIM(CLEAN(A2576)), 'Valor Hora Real y Estimada'!$A$4:$A$78, 0),
    MATCH(
      TEXT(C2576,"dd mmm")&amp;" "&amp;D2576,
      'Valor Hora Real y Estimada'!$A$3:$Z$3,
      0
    ) + 1
  ),
  0
)</f>
        <v>0</v>
      </c>
      <c r="O2576" s="453"/>
      <c r="P2576" s="113"/>
      <c r="Q2576" s="106" t="str">
        <f>IF(ISBLANK(O2576), "", VLOOKUP(C2576&amp;" "&amp;D2576, 'Info Tipo de Cambio y REM'!$A$24:$B$35, 2, FALSE))</f>
        <v/>
      </c>
      <c r="R2576" s="107"/>
    </row>
    <row r="2577" hidden="1">
      <c r="A2577" s="443"/>
      <c r="B2577" s="43" t="str">
        <f>IF(A2577="", "", IFERROR(VLOOKUP(A2577, Clasificaciones!A:B, 2, FALSE), "DATO NO CARGADO"))
</f>
        <v/>
      </c>
      <c r="C2577" s="51"/>
      <c r="D2577" s="102"/>
      <c r="E2577" s="102"/>
      <c r="H2577" s="102"/>
      <c r="J2577" s="102"/>
      <c r="K2577" s="450"/>
      <c r="L2577" s="443"/>
      <c r="M2577" s="450"/>
      <c r="N2577" s="452">
        <f t="array" ref="N2577">IFERROR(
  INDEX(
    'Valor Hora Real y Estimada'!$A$4:$Z$78,
    MATCH(TRIM(CLEAN(A2577)), 'Valor Hora Real y Estimada'!$A$4:$A$78, 0),
    MATCH(
      TEXT(C2577,"dd mmm")&amp;" "&amp;D2577,
      'Valor Hora Real y Estimada'!$A$3:$Z$3,
      0
    ) + 1
  ),
  0
)</f>
        <v>0</v>
      </c>
      <c r="O2577" s="453"/>
      <c r="P2577" s="113"/>
      <c r="Q2577" s="106" t="str">
        <f>IF(ISBLANK(O2577), "", VLOOKUP(C2577&amp;" "&amp;D2577, 'Info Tipo de Cambio y REM'!$A$24:$B$35, 2, FALSE))</f>
        <v/>
      </c>
      <c r="R2577" s="107"/>
    </row>
    <row r="2578" hidden="1">
      <c r="A2578" s="443"/>
      <c r="B2578" s="43" t="str">
        <f>IF(A2578="", "", IFERROR(VLOOKUP(A2578, Clasificaciones!A:B, 2, FALSE), "DATO NO CARGADO"))
</f>
        <v/>
      </c>
      <c r="C2578" s="51"/>
      <c r="D2578" s="102"/>
      <c r="E2578" s="102"/>
      <c r="H2578" s="102"/>
      <c r="J2578" s="102"/>
      <c r="K2578" s="450"/>
      <c r="L2578" s="443"/>
      <c r="M2578" s="450"/>
      <c r="N2578" s="452">
        <f t="array" ref="N2578">IFERROR(
  INDEX(
    'Valor Hora Real y Estimada'!$A$4:$Z$78,
    MATCH(TRIM(CLEAN(A2578)), 'Valor Hora Real y Estimada'!$A$4:$A$78, 0),
    MATCH(
      TEXT(C2578,"dd mmm")&amp;" "&amp;D2578,
      'Valor Hora Real y Estimada'!$A$3:$Z$3,
      0
    ) + 1
  ),
  0
)</f>
        <v>0</v>
      </c>
      <c r="O2578" s="453"/>
      <c r="P2578" s="113"/>
      <c r="Q2578" s="106" t="str">
        <f>IF(ISBLANK(O2578), "", VLOOKUP(C2578&amp;" "&amp;D2578, 'Info Tipo de Cambio y REM'!$A$24:$B$35, 2, FALSE))</f>
        <v/>
      </c>
      <c r="R2578" s="107"/>
    </row>
    <row r="2579" hidden="1">
      <c r="A2579" s="443"/>
      <c r="B2579" s="43" t="str">
        <f>IF(A2579="", "", IFERROR(VLOOKUP(A2579, Clasificaciones!A:B, 2, FALSE), "DATO NO CARGADO"))
</f>
        <v/>
      </c>
      <c r="C2579" s="51"/>
      <c r="D2579" s="102"/>
      <c r="E2579" s="102"/>
      <c r="H2579" s="102"/>
      <c r="J2579" s="102"/>
      <c r="K2579" s="450"/>
      <c r="L2579" s="443"/>
      <c r="M2579" s="450"/>
      <c r="N2579" s="452">
        <f t="array" ref="N2579">IFERROR(
  INDEX(
    'Valor Hora Real y Estimada'!$A$4:$Z$78,
    MATCH(TRIM(CLEAN(A2579)), 'Valor Hora Real y Estimada'!$A$4:$A$78, 0),
    MATCH(
      TEXT(C2579,"dd mmm")&amp;" "&amp;D2579,
      'Valor Hora Real y Estimada'!$A$3:$Z$3,
      0
    ) + 1
  ),
  0
)</f>
        <v>0</v>
      </c>
      <c r="O2579" s="453"/>
      <c r="P2579" s="113"/>
      <c r="Q2579" s="106" t="str">
        <f>IF(ISBLANK(O2579), "", VLOOKUP(C2579&amp;" "&amp;D2579, 'Info Tipo de Cambio y REM'!$A$24:$B$35, 2, FALSE))</f>
        <v/>
      </c>
      <c r="R2579" s="107"/>
    </row>
    <row r="2580" hidden="1">
      <c r="A2580" s="443"/>
      <c r="B2580" s="43" t="str">
        <f>IF(A2580="", "", IFERROR(VLOOKUP(A2580, Clasificaciones!A:B, 2, FALSE), "DATO NO CARGADO"))
</f>
        <v/>
      </c>
      <c r="C2580" s="51"/>
      <c r="D2580" s="102"/>
      <c r="E2580" s="102"/>
      <c r="H2580" s="102"/>
      <c r="J2580" s="102"/>
      <c r="K2580" s="450"/>
      <c r="L2580" s="443"/>
      <c r="M2580" s="450"/>
      <c r="N2580" s="452">
        <f t="array" ref="N2580">IFERROR(
  INDEX(
    'Valor Hora Real y Estimada'!$A$4:$Z$78,
    MATCH(TRIM(CLEAN(A2580)), 'Valor Hora Real y Estimada'!$A$4:$A$78, 0),
    MATCH(
      TEXT(C2580,"dd mmm")&amp;" "&amp;D2580,
      'Valor Hora Real y Estimada'!$A$3:$Z$3,
      0
    ) + 1
  ),
  0
)</f>
        <v>0</v>
      </c>
      <c r="O2580" s="453"/>
      <c r="P2580" s="113"/>
      <c r="Q2580" s="106" t="str">
        <f>IF(ISBLANK(O2580), "", VLOOKUP(C2580&amp;" "&amp;D2580, 'Info Tipo de Cambio y REM'!$A$24:$B$35, 2, FALSE))</f>
        <v/>
      </c>
      <c r="R2580" s="107"/>
    </row>
    <row r="2581" hidden="1">
      <c r="A2581" s="443"/>
      <c r="B2581" s="43" t="str">
        <f>IF(A2581="", "", IFERROR(VLOOKUP(A2581, Clasificaciones!A:B, 2, FALSE), "DATO NO CARGADO"))
</f>
        <v/>
      </c>
      <c r="C2581" s="51"/>
      <c r="D2581" s="102"/>
      <c r="E2581" s="102"/>
      <c r="H2581" s="102"/>
      <c r="J2581" s="102"/>
      <c r="K2581" s="450"/>
      <c r="L2581" s="443"/>
      <c r="M2581" s="450"/>
      <c r="N2581" s="452">
        <f t="array" ref="N2581">IFERROR(
  INDEX(
    'Valor Hora Real y Estimada'!$A$4:$Z$78,
    MATCH(TRIM(CLEAN(A2581)), 'Valor Hora Real y Estimada'!$A$4:$A$78, 0),
    MATCH(
      TEXT(C2581,"dd mmm")&amp;" "&amp;D2581,
      'Valor Hora Real y Estimada'!$A$3:$Z$3,
      0
    ) + 1
  ),
  0
)</f>
        <v>0</v>
      </c>
      <c r="O2581" s="453"/>
      <c r="P2581" s="113"/>
      <c r="Q2581" s="106" t="str">
        <f>IF(ISBLANK(O2581), "", VLOOKUP(C2581&amp;" "&amp;D2581, 'Info Tipo de Cambio y REM'!$A$24:$B$35, 2, FALSE))</f>
        <v/>
      </c>
      <c r="R2581" s="107"/>
    </row>
    <row r="2582" hidden="1">
      <c r="A2582" s="443"/>
      <c r="B2582" s="43" t="str">
        <f>IF(A2582="", "", IFERROR(VLOOKUP(A2582, Clasificaciones!A:B, 2, FALSE), "DATO NO CARGADO"))
</f>
        <v/>
      </c>
      <c r="C2582" s="51"/>
      <c r="D2582" s="102"/>
      <c r="E2582" s="102"/>
      <c r="H2582" s="102"/>
      <c r="J2582" s="102"/>
      <c r="K2582" s="450"/>
      <c r="L2582" s="443"/>
      <c r="M2582" s="450"/>
      <c r="N2582" s="452">
        <f t="array" ref="N2582">IFERROR(
  INDEX(
    'Valor Hora Real y Estimada'!$A$4:$Z$78,
    MATCH(TRIM(CLEAN(A2582)), 'Valor Hora Real y Estimada'!$A$4:$A$78, 0),
    MATCH(
      TEXT(C2582,"dd mmm")&amp;" "&amp;D2582,
      'Valor Hora Real y Estimada'!$A$3:$Z$3,
      0
    ) + 1
  ),
  0
)</f>
        <v>0</v>
      </c>
      <c r="O2582" s="453"/>
      <c r="P2582" s="113"/>
      <c r="Q2582" s="106" t="str">
        <f>IF(ISBLANK(O2582), "", VLOOKUP(C2582&amp;" "&amp;D2582, 'Info Tipo de Cambio y REM'!$A$24:$B$35, 2, FALSE))</f>
        <v/>
      </c>
      <c r="R2582" s="107"/>
    </row>
    <row r="2583" hidden="1">
      <c r="A2583" s="443"/>
      <c r="B2583" s="43" t="str">
        <f>IF(A2583="", "", IFERROR(VLOOKUP(A2583, Clasificaciones!A:B, 2, FALSE), "DATO NO CARGADO"))
</f>
        <v/>
      </c>
      <c r="C2583" s="51"/>
      <c r="D2583" s="102"/>
      <c r="E2583" s="102"/>
      <c r="H2583" s="102"/>
      <c r="J2583" s="102"/>
      <c r="K2583" s="450"/>
      <c r="L2583" s="443"/>
      <c r="M2583" s="450"/>
      <c r="N2583" s="452">
        <f t="array" ref="N2583">IFERROR(
  INDEX(
    'Valor Hora Real y Estimada'!$A$4:$Z$78,
    MATCH(TRIM(CLEAN(A2583)), 'Valor Hora Real y Estimada'!$A$4:$A$78, 0),
    MATCH(
      TEXT(C2583,"dd mmm")&amp;" "&amp;D2583,
      'Valor Hora Real y Estimada'!$A$3:$Z$3,
      0
    ) + 1
  ),
  0
)</f>
        <v>0</v>
      </c>
      <c r="O2583" s="453"/>
      <c r="P2583" s="113"/>
      <c r="Q2583" s="106" t="str">
        <f>IF(ISBLANK(O2583), "", VLOOKUP(C2583&amp;" "&amp;D2583, 'Info Tipo de Cambio y REM'!$A$24:$B$35, 2, FALSE))</f>
        <v/>
      </c>
      <c r="R2583" s="107"/>
    </row>
    <row r="2584" hidden="1">
      <c r="A2584" s="443"/>
      <c r="B2584" s="43" t="str">
        <f>IF(A2584="", "", IFERROR(VLOOKUP(A2584, Clasificaciones!A:B, 2, FALSE), "DATO NO CARGADO"))
</f>
        <v/>
      </c>
      <c r="C2584" s="51"/>
      <c r="D2584" s="102"/>
      <c r="E2584" s="102"/>
      <c r="H2584" s="102"/>
      <c r="J2584" s="102"/>
      <c r="K2584" s="450"/>
      <c r="L2584" s="443"/>
      <c r="M2584" s="450"/>
      <c r="N2584" s="452">
        <f t="array" ref="N2584">IFERROR(
  INDEX(
    'Valor Hora Real y Estimada'!$A$4:$Z$78,
    MATCH(TRIM(CLEAN(A2584)), 'Valor Hora Real y Estimada'!$A$4:$A$78, 0),
    MATCH(
      TEXT(C2584,"dd mmm")&amp;" "&amp;D2584,
      'Valor Hora Real y Estimada'!$A$3:$Z$3,
      0
    ) + 1
  ),
  0
)</f>
        <v>0</v>
      </c>
      <c r="O2584" s="453"/>
      <c r="P2584" s="113"/>
      <c r="Q2584" s="106" t="str">
        <f>IF(ISBLANK(O2584), "", VLOOKUP(C2584&amp;" "&amp;D2584, 'Info Tipo de Cambio y REM'!$A$24:$B$35, 2, FALSE))</f>
        <v/>
      </c>
      <c r="R2584" s="107"/>
    </row>
    <row r="2585" hidden="1">
      <c r="A2585" s="443"/>
      <c r="B2585" s="43" t="str">
        <f>IF(A2585="", "", IFERROR(VLOOKUP(A2585, Clasificaciones!A:B, 2, FALSE), "DATO NO CARGADO"))
</f>
        <v/>
      </c>
      <c r="C2585" s="51"/>
      <c r="D2585" s="102"/>
      <c r="E2585" s="102"/>
      <c r="H2585" s="102"/>
      <c r="J2585" s="102"/>
      <c r="K2585" s="450"/>
      <c r="L2585" s="443"/>
      <c r="M2585" s="450"/>
      <c r="N2585" s="452">
        <f t="array" ref="N2585">IFERROR(
  INDEX(
    'Valor Hora Real y Estimada'!$A$4:$Z$78,
    MATCH(TRIM(CLEAN(A2585)), 'Valor Hora Real y Estimada'!$A$4:$A$78, 0),
    MATCH(
      TEXT(C2585,"dd mmm")&amp;" "&amp;D2585,
      'Valor Hora Real y Estimada'!$A$3:$Z$3,
      0
    ) + 1
  ),
  0
)</f>
        <v>0</v>
      </c>
      <c r="O2585" s="453"/>
      <c r="P2585" s="113"/>
      <c r="Q2585" s="106" t="str">
        <f>IF(ISBLANK(O2585), "", VLOOKUP(C2585&amp;" "&amp;D2585, 'Info Tipo de Cambio y REM'!$A$24:$B$35, 2, FALSE))</f>
        <v/>
      </c>
      <c r="R2585" s="107"/>
    </row>
    <row r="2586" hidden="1">
      <c r="A2586" s="443"/>
      <c r="B2586" s="43" t="str">
        <f>IF(A2586="", "", IFERROR(VLOOKUP(A2586, Clasificaciones!A:B, 2, FALSE), "DATO NO CARGADO"))
</f>
        <v/>
      </c>
      <c r="C2586" s="51"/>
      <c r="D2586" s="102"/>
      <c r="E2586" s="102"/>
      <c r="H2586" s="102"/>
      <c r="J2586" s="102"/>
      <c r="K2586" s="450"/>
      <c r="L2586" s="443"/>
      <c r="M2586" s="450"/>
      <c r="N2586" s="452">
        <f t="array" ref="N2586">IFERROR(
  INDEX(
    'Valor Hora Real y Estimada'!$A$4:$Z$78,
    MATCH(TRIM(CLEAN(A2586)), 'Valor Hora Real y Estimada'!$A$4:$A$78, 0),
    MATCH(
      TEXT(C2586,"dd mmm")&amp;" "&amp;D2586,
      'Valor Hora Real y Estimada'!$A$3:$Z$3,
      0
    ) + 1
  ),
  0
)</f>
        <v>0</v>
      </c>
      <c r="O2586" s="453"/>
      <c r="P2586" s="113"/>
      <c r="Q2586" s="106" t="str">
        <f>IF(ISBLANK(O2586), "", VLOOKUP(C2586&amp;" "&amp;D2586, 'Info Tipo de Cambio y REM'!$A$24:$B$35, 2, FALSE))</f>
        <v/>
      </c>
      <c r="R2586" s="107"/>
    </row>
    <row r="2587" hidden="1">
      <c r="A2587" s="443"/>
      <c r="B2587" s="43" t="str">
        <f>IF(A2587="", "", IFERROR(VLOOKUP(A2587, Clasificaciones!A:B, 2, FALSE), "DATO NO CARGADO"))
</f>
        <v/>
      </c>
      <c r="C2587" s="51"/>
      <c r="D2587" s="102"/>
      <c r="E2587" s="102"/>
      <c r="H2587" s="102"/>
      <c r="J2587" s="102"/>
      <c r="K2587" s="450"/>
      <c r="L2587" s="443"/>
      <c r="M2587" s="450"/>
      <c r="N2587" s="452">
        <f t="array" ref="N2587">IFERROR(
  INDEX(
    'Valor Hora Real y Estimada'!$A$4:$Z$78,
    MATCH(TRIM(CLEAN(A2587)), 'Valor Hora Real y Estimada'!$A$4:$A$78, 0),
    MATCH(
      TEXT(C2587,"dd mmm")&amp;" "&amp;D2587,
      'Valor Hora Real y Estimada'!$A$3:$Z$3,
      0
    ) + 1
  ),
  0
)</f>
        <v>0</v>
      </c>
      <c r="O2587" s="453"/>
      <c r="P2587" s="113"/>
      <c r="Q2587" s="106" t="str">
        <f>IF(ISBLANK(O2587), "", VLOOKUP(C2587&amp;" "&amp;D2587, 'Info Tipo de Cambio y REM'!$A$24:$B$35, 2, FALSE))</f>
        <v/>
      </c>
      <c r="R2587" s="107"/>
    </row>
    <row r="2588" hidden="1">
      <c r="A2588" s="443"/>
      <c r="B2588" s="43" t="str">
        <f>IF(A2588="", "", IFERROR(VLOOKUP(A2588, Clasificaciones!A:B, 2, FALSE), "DATO NO CARGADO"))
</f>
        <v/>
      </c>
      <c r="C2588" s="51"/>
      <c r="D2588" s="102"/>
      <c r="E2588" s="102"/>
      <c r="H2588" s="102"/>
      <c r="J2588" s="102"/>
      <c r="K2588" s="450"/>
      <c r="L2588" s="443"/>
      <c r="M2588" s="450"/>
      <c r="N2588" s="452">
        <f t="array" ref="N2588">IFERROR(
  INDEX(
    'Valor Hora Real y Estimada'!$A$4:$Z$78,
    MATCH(TRIM(CLEAN(A2588)), 'Valor Hora Real y Estimada'!$A$4:$A$78, 0),
    MATCH(
      TEXT(C2588,"dd mmm")&amp;" "&amp;D2588,
      'Valor Hora Real y Estimada'!$A$3:$Z$3,
      0
    ) + 1
  ),
  0
)</f>
        <v>0</v>
      </c>
      <c r="O2588" s="453"/>
      <c r="P2588" s="113"/>
      <c r="Q2588" s="106" t="str">
        <f>IF(ISBLANK(O2588), "", VLOOKUP(C2588&amp;" "&amp;D2588, 'Info Tipo de Cambio y REM'!$A$24:$B$35, 2, FALSE))</f>
        <v/>
      </c>
      <c r="R2588" s="107"/>
    </row>
    <row r="2589" hidden="1">
      <c r="A2589" s="443"/>
      <c r="B2589" s="43" t="str">
        <f>IF(A2589="", "", IFERROR(VLOOKUP(A2589, Clasificaciones!A:B, 2, FALSE), "DATO NO CARGADO"))
</f>
        <v/>
      </c>
      <c r="C2589" s="51"/>
      <c r="D2589" s="102"/>
      <c r="E2589" s="102"/>
      <c r="H2589" s="102"/>
      <c r="J2589" s="102"/>
      <c r="K2589" s="450"/>
      <c r="L2589" s="443"/>
      <c r="M2589" s="450"/>
      <c r="N2589" s="452">
        <f t="array" ref="N2589">IFERROR(
  INDEX(
    'Valor Hora Real y Estimada'!$A$4:$Z$78,
    MATCH(TRIM(CLEAN(A2589)), 'Valor Hora Real y Estimada'!$A$4:$A$78, 0),
    MATCH(
      TEXT(C2589,"dd mmm")&amp;" "&amp;D2589,
      'Valor Hora Real y Estimada'!$A$3:$Z$3,
      0
    ) + 1
  ),
  0
)</f>
        <v>0</v>
      </c>
      <c r="O2589" s="453"/>
      <c r="P2589" s="113"/>
      <c r="Q2589" s="106" t="str">
        <f>IF(ISBLANK(O2589), "", VLOOKUP(C2589&amp;" "&amp;D2589, 'Info Tipo de Cambio y REM'!$A$24:$B$35, 2, FALSE))</f>
        <v/>
      </c>
      <c r="R2589" s="107"/>
    </row>
    <row r="2590" hidden="1">
      <c r="A2590" s="443"/>
      <c r="B2590" s="43" t="str">
        <f>IF(A2590="", "", IFERROR(VLOOKUP(A2590, Clasificaciones!A:B, 2, FALSE), "DATO NO CARGADO"))
</f>
        <v/>
      </c>
      <c r="C2590" s="51"/>
      <c r="D2590" s="102"/>
      <c r="E2590" s="102"/>
      <c r="H2590" s="102"/>
      <c r="J2590" s="102"/>
      <c r="K2590" s="450"/>
      <c r="L2590" s="443"/>
      <c r="M2590" s="450"/>
      <c r="N2590" s="452">
        <f t="array" ref="N2590">IFERROR(
  INDEX(
    'Valor Hora Real y Estimada'!$A$4:$Z$78,
    MATCH(TRIM(CLEAN(A2590)), 'Valor Hora Real y Estimada'!$A$4:$A$78, 0),
    MATCH(
      TEXT(C2590,"dd mmm")&amp;" "&amp;D2590,
      'Valor Hora Real y Estimada'!$A$3:$Z$3,
      0
    ) + 1
  ),
  0
)</f>
        <v>0</v>
      </c>
      <c r="O2590" s="453"/>
      <c r="P2590" s="113"/>
      <c r="Q2590" s="106" t="str">
        <f>IF(ISBLANK(O2590), "", VLOOKUP(C2590&amp;" "&amp;D2590, 'Info Tipo de Cambio y REM'!$A$24:$B$35, 2, FALSE))</f>
        <v/>
      </c>
      <c r="R2590" s="107"/>
    </row>
    <row r="2591" hidden="1">
      <c r="A2591" s="443"/>
      <c r="B2591" s="43" t="str">
        <f>IF(A2591="", "", IFERROR(VLOOKUP(A2591, Clasificaciones!A:B, 2, FALSE), "DATO NO CARGADO"))
</f>
        <v/>
      </c>
      <c r="C2591" s="51"/>
      <c r="D2591" s="102"/>
      <c r="E2591" s="102"/>
      <c r="H2591" s="102"/>
      <c r="J2591" s="102"/>
      <c r="K2591" s="450"/>
      <c r="L2591" s="443"/>
      <c r="M2591" s="450"/>
      <c r="N2591" s="452">
        <f t="array" ref="N2591">IFERROR(
  INDEX(
    'Valor Hora Real y Estimada'!$A$4:$Z$78,
    MATCH(TRIM(CLEAN(A2591)), 'Valor Hora Real y Estimada'!$A$4:$A$78, 0),
    MATCH(
      TEXT(C2591,"dd mmm")&amp;" "&amp;D2591,
      'Valor Hora Real y Estimada'!$A$3:$Z$3,
      0
    ) + 1
  ),
  0
)</f>
        <v>0</v>
      </c>
      <c r="O2591" s="453"/>
      <c r="P2591" s="113"/>
      <c r="Q2591" s="106" t="str">
        <f>IF(ISBLANK(O2591), "", VLOOKUP(C2591&amp;" "&amp;D2591, 'Info Tipo de Cambio y REM'!$A$24:$B$35, 2, FALSE))</f>
        <v/>
      </c>
      <c r="R2591" s="107"/>
    </row>
    <row r="2592" hidden="1">
      <c r="A2592" s="443"/>
      <c r="B2592" s="43" t="str">
        <f>IF(A2592="", "", IFERROR(VLOOKUP(A2592, Clasificaciones!A:B, 2, FALSE), "DATO NO CARGADO"))
</f>
        <v/>
      </c>
      <c r="C2592" s="51"/>
      <c r="D2592" s="102"/>
      <c r="E2592" s="102"/>
      <c r="H2592" s="102"/>
      <c r="J2592" s="102"/>
      <c r="K2592" s="450"/>
      <c r="L2592" s="443"/>
      <c r="M2592" s="450"/>
      <c r="N2592" s="452">
        <f t="array" ref="N2592">IFERROR(
  INDEX(
    'Valor Hora Real y Estimada'!$A$4:$Z$78,
    MATCH(TRIM(CLEAN(A2592)), 'Valor Hora Real y Estimada'!$A$4:$A$78, 0),
    MATCH(
      TEXT(C2592,"dd mmm")&amp;" "&amp;D2592,
      'Valor Hora Real y Estimada'!$A$3:$Z$3,
      0
    ) + 1
  ),
  0
)</f>
        <v>0</v>
      </c>
      <c r="O2592" s="453"/>
      <c r="P2592" s="113"/>
      <c r="Q2592" s="106" t="str">
        <f>IF(ISBLANK(O2592), "", VLOOKUP(C2592&amp;" "&amp;D2592, 'Info Tipo de Cambio y REM'!$A$24:$B$35, 2, FALSE))</f>
        <v/>
      </c>
      <c r="R2592" s="107"/>
    </row>
    <row r="2593" hidden="1">
      <c r="A2593" s="443"/>
      <c r="B2593" s="43" t="str">
        <f>IF(A2593="", "", IFERROR(VLOOKUP(A2593, Clasificaciones!A:B, 2, FALSE), "DATO NO CARGADO"))
</f>
        <v/>
      </c>
      <c r="C2593" s="51"/>
      <c r="D2593" s="102"/>
      <c r="E2593" s="102"/>
      <c r="H2593" s="102"/>
      <c r="J2593" s="102"/>
      <c r="K2593" s="450"/>
      <c r="L2593" s="443"/>
      <c r="M2593" s="450"/>
      <c r="N2593" s="452">
        <f t="array" ref="N2593">IFERROR(
  INDEX(
    'Valor Hora Real y Estimada'!$A$4:$Z$78,
    MATCH(TRIM(CLEAN(A2593)), 'Valor Hora Real y Estimada'!$A$4:$A$78, 0),
    MATCH(
      TEXT(C2593,"dd mmm")&amp;" "&amp;D2593,
      'Valor Hora Real y Estimada'!$A$3:$Z$3,
      0
    ) + 1
  ),
  0
)</f>
        <v>0</v>
      </c>
      <c r="O2593" s="453"/>
      <c r="P2593" s="113"/>
      <c r="Q2593" s="106" t="str">
        <f>IF(ISBLANK(O2593), "", VLOOKUP(C2593&amp;" "&amp;D2593, 'Info Tipo de Cambio y REM'!$A$24:$B$35, 2, FALSE))</f>
        <v/>
      </c>
      <c r="R2593" s="107"/>
    </row>
    <row r="2594" hidden="1">
      <c r="A2594" s="443"/>
      <c r="B2594" s="43" t="str">
        <f>IF(A2594="", "", IFERROR(VLOOKUP(A2594, Clasificaciones!A:B, 2, FALSE), "DATO NO CARGADO"))
</f>
        <v/>
      </c>
      <c r="C2594" s="51"/>
      <c r="D2594" s="102"/>
      <c r="E2594" s="102"/>
      <c r="H2594" s="102"/>
      <c r="J2594" s="102"/>
      <c r="K2594" s="450"/>
      <c r="L2594" s="443"/>
      <c r="M2594" s="450"/>
      <c r="N2594" s="452">
        <f t="array" ref="N2594">IFERROR(
  INDEX(
    'Valor Hora Real y Estimada'!$A$4:$Z$78,
    MATCH(TRIM(CLEAN(A2594)), 'Valor Hora Real y Estimada'!$A$4:$A$78, 0),
    MATCH(
      TEXT(C2594,"dd mmm")&amp;" "&amp;D2594,
      'Valor Hora Real y Estimada'!$A$3:$Z$3,
      0
    ) + 1
  ),
  0
)</f>
        <v>0</v>
      </c>
      <c r="O2594" s="453"/>
      <c r="P2594" s="113"/>
      <c r="Q2594" s="106" t="str">
        <f>IF(ISBLANK(O2594), "", VLOOKUP(C2594&amp;" "&amp;D2594, 'Info Tipo de Cambio y REM'!$A$24:$B$35, 2, FALSE))</f>
        <v/>
      </c>
      <c r="R2594" s="107"/>
    </row>
    <row r="2595" hidden="1">
      <c r="A2595" s="443"/>
      <c r="B2595" s="43" t="str">
        <f>IF(A2595="", "", IFERROR(VLOOKUP(A2595, Clasificaciones!A:B, 2, FALSE), "DATO NO CARGADO"))
</f>
        <v/>
      </c>
      <c r="C2595" s="51"/>
      <c r="D2595" s="102"/>
      <c r="E2595" s="102"/>
      <c r="H2595" s="102"/>
      <c r="J2595" s="102"/>
      <c r="K2595" s="450"/>
      <c r="L2595" s="443"/>
      <c r="M2595" s="450"/>
      <c r="N2595" s="452">
        <f t="array" ref="N2595">IFERROR(
  INDEX(
    'Valor Hora Real y Estimada'!$A$4:$Z$78,
    MATCH(TRIM(CLEAN(A2595)), 'Valor Hora Real y Estimada'!$A$4:$A$78, 0),
    MATCH(
      TEXT(C2595,"dd mmm")&amp;" "&amp;D2595,
      'Valor Hora Real y Estimada'!$A$3:$Z$3,
      0
    ) + 1
  ),
  0
)</f>
        <v>0</v>
      </c>
      <c r="O2595" s="453"/>
      <c r="P2595" s="113"/>
      <c r="Q2595" s="106" t="str">
        <f>IF(ISBLANK(O2595), "", VLOOKUP(C2595&amp;" "&amp;D2595, 'Info Tipo de Cambio y REM'!$A$24:$B$35, 2, FALSE))</f>
        <v/>
      </c>
      <c r="R2595" s="107"/>
    </row>
    <row r="2596" hidden="1">
      <c r="A2596" s="443"/>
      <c r="B2596" s="43" t="str">
        <f>IF(A2596="", "", IFERROR(VLOOKUP(A2596, Clasificaciones!A:B, 2, FALSE), "DATO NO CARGADO"))
</f>
        <v/>
      </c>
      <c r="C2596" s="51"/>
      <c r="D2596" s="102"/>
      <c r="E2596" s="102"/>
      <c r="H2596" s="102"/>
      <c r="J2596" s="102"/>
      <c r="K2596" s="450"/>
      <c r="L2596" s="443"/>
      <c r="M2596" s="450"/>
      <c r="N2596" s="452">
        <f t="array" ref="N2596">IFERROR(
  INDEX(
    'Valor Hora Real y Estimada'!$A$4:$Z$78,
    MATCH(TRIM(CLEAN(A2596)), 'Valor Hora Real y Estimada'!$A$4:$A$78, 0),
    MATCH(
      TEXT(C2596,"dd mmm")&amp;" "&amp;D2596,
      'Valor Hora Real y Estimada'!$A$3:$Z$3,
      0
    ) + 1
  ),
  0
)</f>
        <v>0</v>
      </c>
      <c r="O2596" s="453"/>
      <c r="P2596" s="113"/>
      <c r="Q2596" s="106" t="str">
        <f>IF(ISBLANK(O2596), "", VLOOKUP(C2596&amp;" "&amp;D2596, 'Info Tipo de Cambio y REM'!$A$24:$B$35, 2, FALSE))</f>
        <v/>
      </c>
      <c r="R2596" s="107"/>
    </row>
    <row r="2597" hidden="1">
      <c r="A2597" s="443"/>
      <c r="B2597" s="43" t="str">
        <f>IF(A2597="", "", IFERROR(VLOOKUP(A2597, Clasificaciones!A:B, 2, FALSE), "DATO NO CARGADO"))
</f>
        <v/>
      </c>
      <c r="C2597" s="51"/>
      <c r="D2597" s="102"/>
      <c r="E2597" s="102"/>
      <c r="H2597" s="102"/>
      <c r="J2597" s="102"/>
      <c r="K2597" s="450"/>
      <c r="L2597" s="443"/>
      <c r="M2597" s="450"/>
      <c r="N2597" s="452">
        <f t="array" ref="N2597">IFERROR(
  INDEX(
    'Valor Hora Real y Estimada'!$A$4:$Z$78,
    MATCH(TRIM(CLEAN(A2597)), 'Valor Hora Real y Estimada'!$A$4:$A$78, 0),
    MATCH(
      TEXT(C2597,"dd mmm")&amp;" "&amp;D2597,
      'Valor Hora Real y Estimada'!$A$3:$Z$3,
      0
    ) + 1
  ),
  0
)</f>
        <v>0</v>
      </c>
      <c r="O2597" s="453"/>
      <c r="P2597" s="113"/>
      <c r="Q2597" s="106" t="str">
        <f>IF(ISBLANK(O2597), "", VLOOKUP(C2597&amp;" "&amp;D2597, 'Info Tipo de Cambio y REM'!$A$24:$B$35, 2, FALSE))</f>
        <v/>
      </c>
      <c r="R2597" s="107"/>
    </row>
    <row r="2598" hidden="1">
      <c r="A2598" s="443"/>
      <c r="B2598" s="43" t="str">
        <f>IF(A2598="", "", IFERROR(VLOOKUP(A2598, Clasificaciones!A:B, 2, FALSE), "DATO NO CARGADO"))
</f>
        <v/>
      </c>
      <c r="C2598" s="51"/>
      <c r="D2598" s="102"/>
      <c r="E2598" s="102"/>
      <c r="H2598" s="102"/>
      <c r="J2598" s="102"/>
      <c r="K2598" s="450"/>
      <c r="L2598" s="443"/>
      <c r="M2598" s="450"/>
      <c r="N2598" s="452">
        <f t="array" ref="N2598">IFERROR(
  INDEX(
    'Valor Hora Real y Estimada'!$A$4:$Z$78,
    MATCH(TRIM(CLEAN(A2598)), 'Valor Hora Real y Estimada'!$A$4:$A$78, 0),
    MATCH(
      TEXT(C2598,"dd mmm")&amp;" "&amp;D2598,
      'Valor Hora Real y Estimada'!$A$3:$Z$3,
      0
    ) + 1
  ),
  0
)</f>
        <v>0</v>
      </c>
      <c r="O2598" s="453"/>
      <c r="P2598" s="113"/>
      <c r="Q2598" s="106" t="str">
        <f>IF(ISBLANK(O2598), "", VLOOKUP(C2598&amp;" "&amp;D2598, 'Info Tipo de Cambio y REM'!$A$24:$B$35, 2, FALSE))</f>
        <v/>
      </c>
      <c r="R2598" s="107"/>
    </row>
    <row r="2599" hidden="1">
      <c r="A2599" s="443"/>
      <c r="B2599" s="43" t="str">
        <f>IF(A2599="", "", IFERROR(VLOOKUP(A2599, Clasificaciones!A:B, 2, FALSE), "DATO NO CARGADO"))
</f>
        <v/>
      </c>
      <c r="C2599" s="51"/>
      <c r="D2599" s="102"/>
      <c r="E2599" s="102"/>
      <c r="H2599" s="102"/>
      <c r="J2599" s="102"/>
      <c r="K2599" s="450"/>
      <c r="L2599" s="443"/>
      <c r="M2599" s="450"/>
      <c r="N2599" s="452">
        <f t="array" ref="N2599">IFERROR(
  INDEX(
    'Valor Hora Real y Estimada'!$A$4:$Z$78,
    MATCH(TRIM(CLEAN(A2599)), 'Valor Hora Real y Estimada'!$A$4:$A$78, 0),
    MATCH(
      TEXT(C2599,"dd mmm")&amp;" "&amp;D2599,
      'Valor Hora Real y Estimada'!$A$3:$Z$3,
      0
    ) + 1
  ),
  0
)</f>
        <v>0</v>
      </c>
      <c r="O2599" s="453"/>
      <c r="P2599" s="113"/>
      <c r="Q2599" s="106" t="str">
        <f>IF(ISBLANK(O2599), "", VLOOKUP(C2599&amp;" "&amp;D2599, 'Info Tipo de Cambio y REM'!$A$24:$B$35, 2, FALSE))</f>
        <v/>
      </c>
      <c r="R2599" s="107"/>
    </row>
    <row r="2600" hidden="1">
      <c r="A2600" s="443"/>
      <c r="B2600" s="43" t="str">
        <f>IF(A2600="", "", IFERROR(VLOOKUP(A2600, Clasificaciones!A:B, 2, FALSE), "DATO NO CARGADO"))
</f>
        <v/>
      </c>
      <c r="C2600" s="51"/>
      <c r="D2600" s="102"/>
      <c r="E2600" s="102"/>
      <c r="H2600" s="102"/>
      <c r="J2600" s="102"/>
      <c r="K2600" s="450"/>
      <c r="L2600" s="443"/>
      <c r="M2600" s="450"/>
      <c r="N2600" s="452">
        <f t="array" ref="N2600">IFERROR(
  INDEX(
    'Valor Hora Real y Estimada'!$A$4:$Z$78,
    MATCH(TRIM(CLEAN(A2600)), 'Valor Hora Real y Estimada'!$A$4:$A$78, 0),
    MATCH(
      TEXT(C2600,"dd mmm")&amp;" "&amp;D2600,
      'Valor Hora Real y Estimada'!$A$3:$Z$3,
      0
    ) + 1
  ),
  0
)</f>
        <v>0</v>
      </c>
      <c r="O2600" s="453"/>
      <c r="P2600" s="113"/>
      <c r="Q2600" s="106" t="str">
        <f>IF(ISBLANK(O2600), "", VLOOKUP(C2600&amp;" "&amp;D2600, 'Info Tipo de Cambio y REM'!$A$24:$B$35, 2, FALSE))</f>
        <v/>
      </c>
      <c r="R2600" s="107"/>
    </row>
    <row r="2601" hidden="1">
      <c r="A2601" s="443"/>
      <c r="B2601" s="43" t="str">
        <f>IF(A2601="", "", IFERROR(VLOOKUP(A2601, Clasificaciones!A:B, 2, FALSE), "DATO NO CARGADO"))
</f>
        <v/>
      </c>
      <c r="C2601" s="51"/>
      <c r="D2601" s="102"/>
      <c r="E2601" s="102"/>
      <c r="H2601" s="102"/>
      <c r="J2601" s="102"/>
      <c r="K2601" s="450"/>
      <c r="L2601" s="443"/>
      <c r="M2601" s="450"/>
      <c r="N2601" s="452">
        <f t="array" ref="N2601">IFERROR(
  INDEX(
    'Valor Hora Real y Estimada'!$A$4:$Z$78,
    MATCH(TRIM(CLEAN(A2601)), 'Valor Hora Real y Estimada'!$A$4:$A$78, 0),
    MATCH(
      TEXT(C2601,"dd mmm")&amp;" "&amp;D2601,
      'Valor Hora Real y Estimada'!$A$3:$Z$3,
      0
    ) + 1
  ),
  0
)</f>
        <v>0</v>
      </c>
      <c r="O2601" s="453"/>
      <c r="P2601" s="113"/>
      <c r="Q2601" s="106" t="str">
        <f>IF(ISBLANK(O2601), "", VLOOKUP(C2601&amp;" "&amp;D2601, 'Info Tipo de Cambio y REM'!$A$24:$B$35, 2, FALSE))</f>
        <v/>
      </c>
      <c r="R2601" s="107"/>
    </row>
    <row r="2602" hidden="1">
      <c r="A2602" s="443"/>
      <c r="B2602" s="43" t="str">
        <f>IF(A2602="", "", IFERROR(VLOOKUP(A2602, Clasificaciones!A:B, 2, FALSE), "DATO NO CARGADO"))
</f>
        <v/>
      </c>
      <c r="C2602" s="51"/>
      <c r="D2602" s="102"/>
      <c r="E2602" s="102"/>
      <c r="H2602" s="102"/>
      <c r="J2602" s="102"/>
      <c r="K2602" s="450"/>
      <c r="L2602" s="443"/>
      <c r="M2602" s="450"/>
      <c r="N2602" s="452">
        <f t="array" ref="N2602">IFERROR(
  INDEX(
    'Valor Hora Real y Estimada'!$A$4:$Z$78,
    MATCH(TRIM(CLEAN(A2602)), 'Valor Hora Real y Estimada'!$A$4:$A$78, 0),
    MATCH(
      TEXT(C2602,"dd mmm")&amp;" "&amp;D2602,
      'Valor Hora Real y Estimada'!$A$3:$Z$3,
      0
    ) + 1
  ),
  0
)</f>
        <v>0</v>
      </c>
      <c r="O2602" s="453"/>
      <c r="P2602" s="113"/>
      <c r="Q2602" s="106" t="str">
        <f>IF(ISBLANK(O2602), "", VLOOKUP(C2602&amp;" "&amp;D2602, 'Info Tipo de Cambio y REM'!$A$24:$B$35, 2, FALSE))</f>
        <v/>
      </c>
      <c r="R2602" s="107"/>
    </row>
    <row r="2603" hidden="1">
      <c r="A2603" s="443"/>
      <c r="B2603" s="43" t="str">
        <f>IF(A2603="", "", IFERROR(VLOOKUP(A2603, Clasificaciones!A:B, 2, FALSE), "DATO NO CARGADO"))
</f>
        <v/>
      </c>
      <c r="C2603" s="51"/>
      <c r="D2603" s="102"/>
      <c r="E2603" s="102"/>
      <c r="H2603" s="102"/>
      <c r="J2603" s="102"/>
      <c r="K2603" s="450"/>
      <c r="L2603" s="443"/>
      <c r="M2603" s="450"/>
      <c r="N2603" s="452">
        <f t="array" ref="N2603">IFERROR(
  INDEX(
    'Valor Hora Real y Estimada'!$A$4:$Z$78,
    MATCH(TRIM(CLEAN(A2603)), 'Valor Hora Real y Estimada'!$A$4:$A$78, 0),
    MATCH(
      TEXT(C2603,"dd mmm")&amp;" "&amp;D2603,
      'Valor Hora Real y Estimada'!$A$3:$Z$3,
      0
    ) + 1
  ),
  0
)</f>
        <v>0</v>
      </c>
      <c r="O2603" s="453"/>
      <c r="P2603" s="113"/>
      <c r="Q2603" s="106" t="str">
        <f>IF(ISBLANK(O2603), "", VLOOKUP(C2603&amp;" "&amp;D2603, 'Info Tipo de Cambio y REM'!$A$24:$B$35, 2, FALSE))</f>
        <v/>
      </c>
      <c r="R2603" s="107"/>
    </row>
    <row r="2604" hidden="1">
      <c r="A2604" s="443"/>
      <c r="B2604" s="43" t="str">
        <f>IF(A2604="", "", IFERROR(VLOOKUP(A2604, Clasificaciones!A:B, 2, FALSE), "DATO NO CARGADO"))
</f>
        <v/>
      </c>
      <c r="C2604" s="51"/>
      <c r="D2604" s="102"/>
      <c r="E2604" s="102"/>
      <c r="H2604" s="102"/>
      <c r="J2604" s="102"/>
      <c r="K2604" s="450"/>
      <c r="L2604" s="443"/>
      <c r="M2604" s="450"/>
      <c r="N2604" s="452">
        <f t="array" ref="N2604">IFERROR(
  INDEX(
    'Valor Hora Real y Estimada'!$A$4:$Z$78,
    MATCH(TRIM(CLEAN(A2604)), 'Valor Hora Real y Estimada'!$A$4:$A$78, 0),
    MATCH(
      TEXT(C2604,"dd mmm")&amp;" "&amp;D2604,
      'Valor Hora Real y Estimada'!$A$3:$Z$3,
      0
    ) + 1
  ),
  0
)</f>
        <v>0</v>
      </c>
      <c r="O2604" s="453"/>
      <c r="P2604" s="113"/>
      <c r="Q2604" s="106" t="str">
        <f>IF(ISBLANK(O2604), "", VLOOKUP(C2604&amp;" "&amp;D2604, 'Info Tipo de Cambio y REM'!$A$24:$B$35, 2, FALSE))</f>
        <v/>
      </c>
      <c r="R2604" s="107"/>
    </row>
    <row r="2605" hidden="1">
      <c r="A2605" s="443"/>
      <c r="B2605" s="43" t="str">
        <f>IF(A2605="", "", IFERROR(VLOOKUP(A2605, Clasificaciones!A:B, 2, FALSE), "DATO NO CARGADO"))
</f>
        <v/>
      </c>
      <c r="C2605" s="51"/>
      <c r="D2605" s="102"/>
      <c r="E2605" s="102"/>
      <c r="H2605" s="102"/>
      <c r="J2605" s="102"/>
      <c r="K2605" s="450"/>
      <c r="L2605" s="443"/>
      <c r="M2605" s="450"/>
      <c r="N2605" s="452">
        <f t="array" ref="N2605">IFERROR(
  INDEX(
    'Valor Hora Real y Estimada'!$A$4:$Z$78,
    MATCH(TRIM(CLEAN(A2605)), 'Valor Hora Real y Estimada'!$A$4:$A$78, 0),
    MATCH(
      TEXT(C2605,"dd mmm")&amp;" "&amp;D2605,
      'Valor Hora Real y Estimada'!$A$3:$Z$3,
      0
    ) + 1
  ),
  0
)</f>
        <v>0</v>
      </c>
      <c r="O2605" s="453"/>
      <c r="P2605" s="113"/>
      <c r="Q2605" s="106" t="str">
        <f>IF(ISBLANK(O2605), "", VLOOKUP(C2605&amp;" "&amp;D2605, 'Info Tipo de Cambio y REM'!$A$24:$B$35, 2, FALSE))</f>
        <v/>
      </c>
      <c r="R2605" s="107"/>
    </row>
    <row r="2606" hidden="1">
      <c r="A2606" s="443"/>
      <c r="B2606" s="43" t="str">
        <f>IF(A2606="", "", IFERROR(VLOOKUP(A2606, Clasificaciones!A:B, 2, FALSE), "DATO NO CARGADO"))
</f>
        <v/>
      </c>
      <c r="C2606" s="51"/>
      <c r="D2606" s="102"/>
      <c r="E2606" s="102"/>
      <c r="H2606" s="102"/>
      <c r="J2606" s="102"/>
      <c r="K2606" s="450"/>
      <c r="L2606" s="443"/>
      <c r="M2606" s="450"/>
      <c r="N2606" s="452">
        <f t="array" ref="N2606">IFERROR(
  INDEX(
    'Valor Hora Real y Estimada'!$A$4:$Z$78,
    MATCH(TRIM(CLEAN(A2606)), 'Valor Hora Real y Estimada'!$A$4:$A$78, 0),
    MATCH(
      TEXT(C2606,"dd mmm")&amp;" "&amp;D2606,
      'Valor Hora Real y Estimada'!$A$3:$Z$3,
      0
    ) + 1
  ),
  0
)</f>
        <v>0</v>
      </c>
      <c r="O2606" s="453"/>
      <c r="P2606" s="113"/>
      <c r="Q2606" s="106" t="str">
        <f>IF(ISBLANK(O2606), "", VLOOKUP(C2606&amp;" "&amp;D2606, 'Info Tipo de Cambio y REM'!$A$24:$B$35, 2, FALSE))</f>
        <v/>
      </c>
      <c r="R2606" s="107"/>
    </row>
    <row r="2607" hidden="1">
      <c r="A2607" s="443"/>
      <c r="B2607" s="43" t="str">
        <f>IF(A2607="", "", IFERROR(VLOOKUP(A2607, Clasificaciones!A:B, 2, FALSE), "DATO NO CARGADO"))
</f>
        <v/>
      </c>
      <c r="C2607" s="51"/>
      <c r="D2607" s="102"/>
      <c r="E2607" s="102"/>
      <c r="H2607" s="102"/>
      <c r="J2607" s="102"/>
      <c r="K2607" s="450"/>
      <c r="L2607" s="443"/>
      <c r="M2607" s="450"/>
      <c r="N2607" s="452">
        <f t="array" ref="N2607">IFERROR(
  INDEX(
    'Valor Hora Real y Estimada'!$A$4:$Z$78,
    MATCH(TRIM(CLEAN(A2607)), 'Valor Hora Real y Estimada'!$A$4:$A$78, 0),
    MATCH(
      TEXT(C2607,"dd mmm")&amp;" "&amp;D2607,
      'Valor Hora Real y Estimada'!$A$3:$Z$3,
      0
    ) + 1
  ),
  0
)</f>
        <v>0</v>
      </c>
      <c r="O2607" s="453"/>
      <c r="P2607" s="113"/>
      <c r="Q2607" s="106" t="str">
        <f>IF(ISBLANK(O2607), "", VLOOKUP(C2607&amp;" "&amp;D2607, 'Info Tipo de Cambio y REM'!$A$24:$B$35, 2, FALSE))</f>
        <v/>
      </c>
      <c r="R2607" s="107"/>
    </row>
    <row r="2608" hidden="1">
      <c r="A2608" s="443"/>
      <c r="B2608" s="43" t="str">
        <f>IF(A2608="", "", IFERROR(VLOOKUP(A2608, Clasificaciones!A:B, 2, FALSE), "DATO NO CARGADO"))
</f>
        <v/>
      </c>
      <c r="C2608" s="51"/>
      <c r="D2608" s="102"/>
      <c r="E2608" s="102"/>
      <c r="H2608" s="102"/>
      <c r="J2608" s="102"/>
      <c r="K2608" s="450"/>
      <c r="L2608" s="443"/>
      <c r="M2608" s="450"/>
      <c r="N2608" s="452">
        <f t="array" ref="N2608">IFERROR(
  INDEX(
    'Valor Hora Real y Estimada'!$A$4:$Z$78,
    MATCH(TRIM(CLEAN(A2608)), 'Valor Hora Real y Estimada'!$A$4:$A$78, 0),
    MATCH(
      TEXT(C2608,"dd mmm")&amp;" "&amp;D2608,
      'Valor Hora Real y Estimada'!$A$3:$Z$3,
      0
    ) + 1
  ),
  0
)</f>
        <v>0</v>
      </c>
      <c r="O2608" s="453"/>
      <c r="P2608" s="113"/>
      <c r="Q2608" s="106" t="str">
        <f>IF(ISBLANK(O2608), "", VLOOKUP(C2608&amp;" "&amp;D2608, 'Info Tipo de Cambio y REM'!$A$24:$B$35, 2, FALSE))</f>
        <v/>
      </c>
      <c r="R2608" s="107"/>
    </row>
    <row r="2609" hidden="1">
      <c r="A2609" s="443"/>
      <c r="B2609" s="43" t="str">
        <f>IF(A2609="", "", IFERROR(VLOOKUP(A2609, Clasificaciones!A:B, 2, FALSE), "DATO NO CARGADO"))
</f>
        <v/>
      </c>
      <c r="C2609" s="51"/>
      <c r="D2609" s="102"/>
      <c r="E2609" s="102"/>
      <c r="H2609" s="102"/>
      <c r="J2609" s="102"/>
      <c r="K2609" s="450"/>
      <c r="L2609" s="443"/>
      <c r="M2609" s="450"/>
      <c r="N2609" s="452">
        <f t="array" ref="N2609">IFERROR(
  INDEX(
    'Valor Hora Real y Estimada'!$A$4:$Z$78,
    MATCH(TRIM(CLEAN(A2609)), 'Valor Hora Real y Estimada'!$A$4:$A$78, 0),
    MATCH(
      TEXT(C2609,"dd mmm")&amp;" "&amp;D2609,
      'Valor Hora Real y Estimada'!$A$3:$Z$3,
      0
    ) + 1
  ),
  0
)</f>
        <v>0</v>
      </c>
      <c r="O2609" s="453"/>
      <c r="P2609" s="113"/>
      <c r="Q2609" s="106" t="str">
        <f>IF(ISBLANK(O2609), "", VLOOKUP(C2609&amp;" "&amp;D2609, 'Info Tipo de Cambio y REM'!$A$24:$B$35, 2, FALSE))</f>
        <v/>
      </c>
      <c r="R2609" s="107"/>
    </row>
    <row r="2610" hidden="1">
      <c r="A2610" s="443"/>
      <c r="B2610" s="43" t="str">
        <f>IF(A2610="", "", IFERROR(VLOOKUP(A2610, Clasificaciones!A:B, 2, FALSE), "DATO NO CARGADO"))
</f>
        <v/>
      </c>
      <c r="C2610" s="51"/>
      <c r="D2610" s="102"/>
      <c r="E2610" s="102"/>
      <c r="H2610" s="102"/>
      <c r="J2610" s="102"/>
      <c r="K2610" s="450"/>
      <c r="L2610" s="443"/>
      <c r="M2610" s="450"/>
      <c r="N2610" s="452">
        <f t="array" ref="N2610">IFERROR(
  INDEX(
    'Valor Hora Real y Estimada'!$A$4:$Z$78,
    MATCH(TRIM(CLEAN(A2610)), 'Valor Hora Real y Estimada'!$A$4:$A$78, 0),
    MATCH(
      TEXT(C2610,"dd mmm")&amp;" "&amp;D2610,
      'Valor Hora Real y Estimada'!$A$3:$Z$3,
      0
    ) + 1
  ),
  0
)</f>
        <v>0</v>
      </c>
      <c r="O2610" s="453"/>
      <c r="P2610" s="113"/>
      <c r="Q2610" s="106" t="str">
        <f>IF(ISBLANK(O2610), "", VLOOKUP(C2610&amp;" "&amp;D2610, 'Info Tipo de Cambio y REM'!$A$24:$B$35, 2, FALSE))</f>
        <v/>
      </c>
      <c r="R2610" s="107"/>
    </row>
    <row r="2611" hidden="1">
      <c r="A2611" s="443"/>
      <c r="B2611" s="43" t="str">
        <f>IF(A2611="", "", IFERROR(VLOOKUP(A2611, Clasificaciones!A:B, 2, FALSE), "DATO NO CARGADO"))
</f>
        <v/>
      </c>
      <c r="C2611" s="51"/>
      <c r="D2611" s="102"/>
      <c r="E2611" s="102"/>
      <c r="H2611" s="102"/>
      <c r="J2611" s="102"/>
      <c r="K2611" s="450"/>
      <c r="L2611" s="443"/>
      <c r="M2611" s="450"/>
      <c r="N2611" s="452">
        <f t="array" ref="N2611">IFERROR(
  INDEX(
    'Valor Hora Real y Estimada'!$A$4:$Z$78,
    MATCH(TRIM(CLEAN(A2611)), 'Valor Hora Real y Estimada'!$A$4:$A$78, 0),
    MATCH(
      TEXT(C2611,"dd mmm")&amp;" "&amp;D2611,
      'Valor Hora Real y Estimada'!$A$3:$Z$3,
      0
    ) + 1
  ),
  0
)</f>
        <v>0</v>
      </c>
      <c r="O2611" s="453"/>
      <c r="P2611" s="113"/>
      <c r="Q2611" s="106" t="str">
        <f>IF(ISBLANK(O2611), "", VLOOKUP(C2611&amp;" "&amp;D2611, 'Info Tipo de Cambio y REM'!$A$24:$B$35, 2, FALSE))</f>
        <v/>
      </c>
      <c r="R2611" s="107"/>
    </row>
    <row r="2612" hidden="1">
      <c r="A2612" s="443"/>
      <c r="B2612" s="43" t="str">
        <f>IF(A2612="", "", IFERROR(VLOOKUP(A2612, Clasificaciones!A:B, 2, FALSE), "DATO NO CARGADO"))
</f>
        <v/>
      </c>
      <c r="C2612" s="51"/>
      <c r="D2612" s="102"/>
      <c r="E2612" s="102"/>
      <c r="H2612" s="102"/>
      <c r="J2612" s="102"/>
      <c r="K2612" s="450"/>
      <c r="L2612" s="443"/>
      <c r="M2612" s="450"/>
      <c r="N2612" s="452">
        <f t="array" ref="N2612">IFERROR(
  INDEX(
    'Valor Hora Real y Estimada'!$A$4:$Z$78,
    MATCH(TRIM(CLEAN(A2612)), 'Valor Hora Real y Estimada'!$A$4:$A$78, 0),
    MATCH(
      TEXT(C2612,"dd mmm")&amp;" "&amp;D2612,
      'Valor Hora Real y Estimada'!$A$3:$Z$3,
      0
    ) + 1
  ),
  0
)</f>
        <v>0</v>
      </c>
      <c r="O2612" s="453"/>
      <c r="P2612" s="113"/>
      <c r="Q2612" s="106" t="str">
        <f>IF(ISBLANK(O2612), "", VLOOKUP(C2612&amp;" "&amp;D2612, 'Info Tipo de Cambio y REM'!$A$24:$B$35, 2, FALSE))</f>
        <v/>
      </c>
      <c r="R2612" s="107"/>
    </row>
    <row r="2613" hidden="1">
      <c r="A2613" s="443"/>
      <c r="B2613" s="43" t="str">
        <f>IF(A2613="", "", IFERROR(VLOOKUP(A2613, Clasificaciones!A:B, 2, FALSE), "DATO NO CARGADO"))
</f>
        <v/>
      </c>
      <c r="C2613" s="51"/>
      <c r="D2613" s="102"/>
      <c r="E2613" s="102"/>
      <c r="H2613" s="102"/>
      <c r="J2613" s="102"/>
      <c r="K2613" s="450"/>
      <c r="L2613" s="443"/>
      <c r="M2613" s="450"/>
      <c r="N2613" s="452">
        <f t="array" ref="N2613">IFERROR(
  INDEX(
    'Valor Hora Real y Estimada'!$A$4:$Z$78,
    MATCH(TRIM(CLEAN(A2613)), 'Valor Hora Real y Estimada'!$A$4:$A$78, 0),
    MATCH(
      TEXT(C2613,"dd mmm")&amp;" "&amp;D2613,
      'Valor Hora Real y Estimada'!$A$3:$Z$3,
      0
    ) + 1
  ),
  0
)</f>
        <v>0</v>
      </c>
      <c r="O2613" s="453"/>
      <c r="P2613" s="113"/>
      <c r="Q2613" s="106" t="str">
        <f>IF(ISBLANK(O2613), "", VLOOKUP(C2613&amp;" "&amp;D2613, 'Info Tipo de Cambio y REM'!$A$24:$B$35, 2, FALSE))</f>
        <v/>
      </c>
      <c r="R2613" s="107"/>
    </row>
    <row r="2614" hidden="1">
      <c r="A2614" s="443"/>
      <c r="B2614" s="43" t="str">
        <f>IF(A2614="", "", IFERROR(VLOOKUP(A2614, Clasificaciones!A:B, 2, FALSE), "DATO NO CARGADO"))
</f>
        <v/>
      </c>
      <c r="C2614" s="51"/>
      <c r="D2614" s="102"/>
      <c r="E2614" s="102"/>
      <c r="H2614" s="102"/>
      <c r="J2614" s="102"/>
      <c r="K2614" s="450"/>
      <c r="L2614" s="443"/>
      <c r="M2614" s="450"/>
      <c r="N2614" s="452">
        <f t="array" ref="N2614">IFERROR(
  INDEX(
    'Valor Hora Real y Estimada'!$A$4:$Z$78,
    MATCH(TRIM(CLEAN(A2614)), 'Valor Hora Real y Estimada'!$A$4:$A$78, 0),
    MATCH(
      TEXT(C2614,"dd mmm")&amp;" "&amp;D2614,
      'Valor Hora Real y Estimada'!$A$3:$Z$3,
      0
    ) + 1
  ),
  0
)</f>
        <v>0</v>
      </c>
      <c r="O2614" s="453"/>
      <c r="P2614" s="113"/>
      <c r="Q2614" s="106" t="str">
        <f>IF(ISBLANK(O2614), "", VLOOKUP(C2614&amp;" "&amp;D2614, 'Info Tipo de Cambio y REM'!$A$24:$B$35, 2, FALSE))</f>
        <v/>
      </c>
      <c r="R2614" s="107"/>
    </row>
    <row r="2615" hidden="1">
      <c r="A2615" s="443"/>
      <c r="B2615" s="43" t="str">
        <f>IF(A2615="", "", IFERROR(VLOOKUP(A2615, Clasificaciones!A:B, 2, FALSE), "DATO NO CARGADO"))
</f>
        <v/>
      </c>
      <c r="C2615" s="51"/>
      <c r="D2615" s="102"/>
      <c r="E2615" s="102"/>
      <c r="H2615" s="102"/>
      <c r="J2615" s="102"/>
      <c r="K2615" s="450"/>
      <c r="L2615" s="443"/>
      <c r="M2615" s="450"/>
      <c r="N2615" s="452">
        <f t="array" ref="N2615">IFERROR(
  INDEX(
    'Valor Hora Real y Estimada'!$A$4:$Z$78,
    MATCH(TRIM(CLEAN(A2615)), 'Valor Hora Real y Estimada'!$A$4:$A$78, 0),
    MATCH(
      TEXT(C2615,"dd mmm")&amp;" "&amp;D2615,
      'Valor Hora Real y Estimada'!$A$3:$Z$3,
      0
    ) + 1
  ),
  0
)</f>
        <v>0</v>
      </c>
      <c r="O2615" s="453"/>
      <c r="P2615" s="113"/>
      <c r="Q2615" s="106" t="str">
        <f>IF(ISBLANK(O2615), "", VLOOKUP(C2615&amp;" "&amp;D2615, 'Info Tipo de Cambio y REM'!$A$24:$B$35, 2, FALSE))</f>
        <v/>
      </c>
      <c r="R2615" s="107"/>
    </row>
    <row r="2616" hidden="1">
      <c r="A2616" s="443"/>
      <c r="B2616" s="43" t="str">
        <f>IF(A2616="", "", IFERROR(VLOOKUP(A2616, Clasificaciones!A:B, 2, FALSE), "DATO NO CARGADO"))
</f>
        <v/>
      </c>
      <c r="C2616" s="51"/>
      <c r="D2616" s="102"/>
      <c r="E2616" s="102"/>
      <c r="H2616" s="102"/>
      <c r="J2616" s="102"/>
      <c r="K2616" s="450"/>
      <c r="L2616" s="443"/>
      <c r="M2616" s="450"/>
      <c r="N2616" s="452">
        <f t="array" ref="N2616">IFERROR(
  INDEX(
    'Valor Hora Real y Estimada'!$A$4:$Z$78,
    MATCH(TRIM(CLEAN(A2616)), 'Valor Hora Real y Estimada'!$A$4:$A$78, 0),
    MATCH(
      TEXT(C2616,"dd mmm")&amp;" "&amp;D2616,
      'Valor Hora Real y Estimada'!$A$3:$Z$3,
      0
    ) + 1
  ),
  0
)</f>
        <v>0</v>
      </c>
      <c r="O2616" s="453"/>
      <c r="P2616" s="113"/>
      <c r="Q2616" s="106" t="str">
        <f>IF(ISBLANK(O2616), "", VLOOKUP(C2616&amp;" "&amp;D2616, 'Info Tipo de Cambio y REM'!$A$24:$B$35, 2, FALSE))</f>
        <v/>
      </c>
      <c r="R2616" s="107"/>
    </row>
    <row r="2617" hidden="1">
      <c r="A2617" s="443"/>
      <c r="B2617" s="43" t="str">
        <f>IF(A2617="", "", IFERROR(VLOOKUP(A2617, Clasificaciones!A:B, 2, FALSE), "DATO NO CARGADO"))
</f>
        <v/>
      </c>
      <c r="C2617" s="51"/>
      <c r="D2617" s="102"/>
      <c r="E2617" s="102"/>
      <c r="H2617" s="102"/>
      <c r="J2617" s="102"/>
      <c r="K2617" s="450"/>
      <c r="L2617" s="443"/>
      <c r="M2617" s="450"/>
      <c r="N2617" s="452">
        <f t="array" ref="N2617">IFERROR(
  INDEX(
    'Valor Hora Real y Estimada'!$A$4:$Z$78,
    MATCH(TRIM(CLEAN(A2617)), 'Valor Hora Real y Estimada'!$A$4:$A$78, 0),
    MATCH(
      TEXT(C2617,"dd mmm")&amp;" "&amp;D2617,
      'Valor Hora Real y Estimada'!$A$3:$Z$3,
      0
    ) + 1
  ),
  0
)</f>
        <v>0</v>
      </c>
      <c r="O2617" s="453"/>
      <c r="P2617" s="113"/>
      <c r="Q2617" s="106" t="str">
        <f>IF(ISBLANK(O2617), "", VLOOKUP(C2617&amp;" "&amp;D2617, 'Info Tipo de Cambio y REM'!$A$24:$B$35, 2, FALSE))</f>
        <v/>
      </c>
      <c r="R2617" s="107"/>
    </row>
    <row r="2618" hidden="1">
      <c r="A2618" s="443"/>
      <c r="B2618" s="43" t="str">
        <f>IF(A2618="", "", IFERROR(VLOOKUP(A2618, Clasificaciones!A:B, 2, FALSE), "DATO NO CARGADO"))
</f>
        <v/>
      </c>
      <c r="C2618" s="51"/>
      <c r="D2618" s="102"/>
      <c r="E2618" s="102"/>
      <c r="H2618" s="102"/>
      <c r="J2618" s="102"/>
      <c r="K2618" s="450"/>
      <c r="L2618" s="443"/>
      <c r="M2618" s="450"/>
      <c r="N2618" s="452">
        <f t="array" ref="N2618">IFERROR(
  INDEX(
    'Valor Hora Real y Estimada'!$A$4:$Z$78,
    MATCH(TRIM(CLEAN(A2618)), 'Valor Hora Real y Estimada'!$A$4:$A$78, 0),
    MATCH(
      TEXT(C2618,"dd mmm")&amp;" "&amp;D2618,
      'Valor Hora Real y Estimada'!$A$3:$Z$3,
      0
    ) + 1
  ),
  0
)</f>
        <v>0</v>
      </c>
      <c r="O2618" s="453"/>
      <c r="P2618" s="113"/>
      <c r="Q2618" s="106" t="str">
        <f>IF(ISBLANK(O2618), "", VLOOKUP(C2618&amp;" "&amp;D2618, 'Info Tipo de Cambio y REM'!$A$24:$B$35, 2, FALSE))</f>
        <v/>
      </c>
      <c r="R2618" s="107"/>
    </row>
    <row r="2619" hidden="1">
      <c r="A2619" s="443"/>
      <c r="B2619" s="43" t="str">
        <f>IF(A2619="", "", IFERROR(VLOOKUP(A2619, Clasificaciones!A:B, 2, FALSE), "DATO NO CARGADO"))
</f>
        <v/>
      </c>
      <c r="C2619" s="51"/>
      <c r="D2619" s="102"/>
      <c r="E2619" s="102"/>
      <c r="H2619" s="102"/>
      <c r="J2619" s="102"/>
      <c r="K2619" s="450"/>
      <c r="L2619" s="443"/>
      <c r="M2619" s="450"/>
      <c r="N2619" s="452">
        <f t="array" ref="N2619">IFERROR(
  INDEX(
    'Valor Hora Real y Estimada'!$A$4:$Z$78,
    MATCH(TRIM(CLEAN(A2619)), 'Valor Hora Real y Estimada'!$A$4:$A$78, 0),
    MATCH(
      TEXT(C2619,"dd mmm")&amp;" "&amp;D2619,
      'Valor Hora Real y Estimada'!$A$3:$Z$3,
      0
    ) + 1
  ),
  0
)</f>
        <v>0</v>
      </c>
      <c r="O2619" s="453"/>
      <c r="P2619" s="113"/>
      <c r="Q2619" s="106" t="str">
        <f>IF(ISBLANK(O2619), "", VLOOKUP(C2619&amp;" "&amp;D2619, 'Info Tipo de Cambio y REM'!$A$24:$B$35, 2, FALSE))</f>
        <v/>
      </c>
      <c r="R2619" s="107"/>
    </row>
    <row r="2620" hidden="1">
      <c r="A2620" s="443"/>
      <c r="B2620" s="43" t="str">
        <f>IF(A2620="", "", IFERROR(VLOOKUP(A2620, Clasificaciones!A:B, 2, FALSE), "DATO NO CARGADO"))
</f>
        <v/>
      </c>
      <c r="C2620" s="51"/>
      <c r="D2620" s="102"/>
      <c r="E2620" s="102"/>
      <c r="H2620" s="102"/>
      <c r="J2620" s="102"/>
      <c r="K2620" s="450"/>
      <c r="L2620" s="443"/>
      <c r="M2620" s="450"/>
      <c r="N2620" s="452">
        <f t="array" ref="N2620">IFERROR(
  INDEX(
    'Valor Hora Real y Estimada'!$A$4:$Z$78,
    MATCH(TRIM(CLEAN(A2620)), 'Valor Hora Real y Estimada'!$A$4:$A$78, 0),
    MATCH(
      TEXT(C2620,"dd mmm")&amp;" "&amp;D2620,
      'Valor Hora Real y Estimada'!$A$3:$Z$3,
      0
    ) + 1
  ),
  0
)</f>
        <v>0</v>
      </c>
      <c r="O2620" s="453"/>
      <c r="P2620" s="113"/>
      <c r="Q2620" s="106" t="str">
        <f>IF(ISBLANK(O2620), "", VLOOKUP(C2620&amp;" "&amp;D2620, 'Info Tipo de Cambio y REM'!$A$24:$B$35, 2, FALSE))</f>
        <v/>
      </c>
      <c r="R2620" s="107"/>
    </row>
    <row r="2621" hidden="1">
      <c r="A2621" s="443"/>
      <c r="B2621" s="43" t="str">
        <f>IF(A2621="", "", IFERROR(VLOOKUP(A2621, Clasificaciones!A:B, 2, FALSE), "DATO NO CARGADO"))
</f>
        <v/>
      </c>
      <c r="C2621" s="51"/>
      <c r="D2621" s="102"/>
      <c r="E2621" s="102"/>
      <c r="H2621" s="102"/>
      <c r="J2621" s="102"/>
      <c r="K2621" s="450"/>
      <c r="L2621" s="443"/>
      <c r="M2621" s="450"/>
      <c r="N2621" s="452">
        <f t="array" ref="N2621">IFERROR(
  INDEX(
    'Valor Hora Real y Estimada'!$A$4:$Z$78,
    MATCH(TRIM(CLEAN(A2621)), 'Valor Hora Real y Estimada'!$A$4:$A$78, 0),
    MATCH(
      TEXT(C2621,"dd mmm")&amp;" "&amp;D2621,
      'Valor Hora Real y Estimada'!$A$3:$Z$3,
      0
    ) + 1
  ),
  0
)</f>
        <v>0</v>
      </c>
      <c r="O2621" s="453"/>
      <c r="P2621" s="113"/>
      <c r="Q2621" s="106" t="str">
        <f>IF(ISBLANK(O2621), "", VLOOKUP(C2621&amp;" "&amp;D2621, 'Info Tipo de Cambio y REM'!$A$24:$B$35, 2, FALSE))</f>
        <v/>
      </c>
      <c r="R2621" s="107"/>
    </row>
    <row r="2622" hidden="1">
      <c r="A2622" s="443"/>
      <c r="B2622" s="43" t="str">
        <f>IF(A2622="", "", IFERROR(VLOOKUP(A2622, Clasificaciones!A:B, 2, FALSE), "DATO NO CARGADO"))
</f>
        <v/>
      </c>
      <c r="C2622" s="51"/>
      <c r="D2622" s="102"/>
      <c r="E2622" s="102"/>
      <c r="H2622" s="102"/>
      <c r="J2622" s="102"/>
      <c r="K2622" s="450"/>
      <c r="L2622" s="443"/>
      <c r="M2622" s="450"/>
      <c r="N2622" s="452">
        <f t="array" ref="N2622">IFERROR(
  INDEX(
    'Valor Hora Real y Estimada'!$A$4:$Z$78,
    MATCH(TRIM(CLEAN(A2622)), 'Valor Hora Real y Estimada'!$A$4:$A$78, 0),
    MATCH(
      TEXT(C2622,"dd mmm")&amp;" "&amp;D2622,
      'Valor Hora Real y Estimada'!$A$3:$Z$3,
      0
    ) + 1
  ),
  0
)</f>
        <v>0</v>
      </c>
      <c r="O2622" s="453"/>
      <c r="P2622" s="113"/>
      <c r="Q2622" s="106" t="str">
        <f>IF(ISBLANK(O2622), "", VLOOKUP(C2622&amp;" "&amp;D2622, 'Info Tipo de Cambio y REM'!$A$24:$B$35, 2, FALSE))</f>
        <v/>
      </c>
      <c r="R2622" s="107"/>
    </row>
    <row r="2623" hidden="1">
      <c r="A2623" s="443"/>
      <c r="B2623" s="43" t="str">
        <f>IF(A2623="", "", IFERROR(VLOOKUP(A2623, Clasificaciones!A:B, 2, FALSE), "DATO NO CARGADO"))
</f>
        <v/>
      </c>
      <c r="C2623" s="51"/>
      <c r="D2623" s="102"/>
      <c r="E2623" s="102"/>
      <c r="H2623" s="102"/>
      <c r="J2623" s="102"/>
      <c r="K2623" s="450"/>
      <c r="L2623" s="443"/>
      <c r="M2623" s="450"/>
      <c r="N2623" s="452">
        <f t="array" ref="N2623">IFERROR(
  INDEX(
    'Valor Hora Real y Estimada'!$A$4:$Z$78,
    MATCH(TRIM(CLEAN(A2623)), 'Valor Hora Real y Estimada'!$A$4:$A$78, 0),
    MATCH(
      TEXT(C2623,"dd mmm")&amp;" "&amp;D2623,
      'Valor Hora Real y Estimada'!$A$3:$Z$3,
      0
    ) + 1
  ),
  0
)</f>
        <v>0</v>
      </c>
      <c r="O2623" s="453"/>
      <c r="P2623" s="113"/>
      <c r="Q2623" s="106" t="str">
        <f>IF(ISBLANK(O2623), "", VLOOKUP(C2623&amp;" "&amp;D2623, 'Info Tipo de Cambio y REM'!$A$24:$B$35, 2, FALSE))</f>
        <v/>
      </c>
      <c r="R2623" s="107"/>
    </row>
    <row r="2624" hidden="1">
      <c r="A2624" s="443"/>
      <c r="B2624" s="43" t="str">
        <f>IF(A2624="", "", IFERROR(VLOOKUP(A2624, Clasificaciones!A:B, 2, FALSE), "DATO NO CARGADO"))
</f>
        <v/>
      </c>
      <c r="C2624" s="51"/>
      <c r="D2624" s="102"/>
      <c r="E2624" s="102"/>
      <c r="H2624" s="102"/>
      <c r="J2624" s="102"/>
      <c r="K2624" s="450"/>
      <c r="L2624" s="443"/>
      <c r="M2624" s="450"/>
      <c r="N2624" s="452">
        <f t="array" ref="N2624">IFERROR(
  INDEX(
    'Valor Hora Real y Estimada'!$A$4:$Z$78,
    MATCH(TRIM(CLEAN(A2624)), 'Valor Hora Real y Estimada'!$A$4:$A$78, 0),
    MATCH(
      TEXT(C2624,"dd mmm")&amp;" "&amp;D2624,
      'Valor Hora Real y Estimada'!$A$3:$Z$3,
      0
    ) + 1
  ),
  0
)</f>
        <v>0</v>
      </c>
      <c r="O2624" s="453"/>
      <c r="P2624" s="113"/>
      <c r="Q2624" s="106" t="str">
        <f>IF(ISBLANK(O2624), "", VLOOKUP(C2624&amp;" "&amp;D2624, 'Info Tipo de Cambio y REM'!$A$24:$B$35, 2, FALSE))</f>
        <v/>
      </c>
      <c r="R2624" s="107"/>
    </row>
    <row r="2625" hidden="1">
      <c r="A2625" s="443"/>
      <c r="B2625" s="43" t="str">
        <f>IF(A2625="", "", IFERROR(VLOOKUP(A2625, Clasificaciones!A:B, 2, FALSE), "DATO NO CARGADO"))
</f>
        <v/>
      </c>
      <c r="C2625" s="51"/>
      <c r="D2625" s="102"/>
      <c r="E2625" s="102"/>
      <c r="H2625" s="102"/>
      <c r="J2625" s="102"/>
      <c r="K2625" s="450"/>
      <c r="L2625" s="443"/>
      <c r="M2625" s="450"/>
      <c r="N2625" s="452">
        <f t="array" ref="N2625">IFERROR(
  INDEX(
    'Valor Hora Real y Estimada'!$A$4:$Z$78,
    MATCH(TRIM(CLEAN(A2625)), 'Valor Hora Real y Estimada'!$A$4:$A$78, 0),
    MATCH(
      TEXT(C2625,"dd mmm")&amp;" "&amp;D2625,
      'Valor Hora Real y Estimada'!$A$3:$Z$3,
      0
    ) + 1
  ),
  0
)</f>
        <v>0</v>
      </c>
      <c r="O2625" s="453"/>
      <c r="P2625" s="113"/>
      <c r="Q2625" s="106" t="str">
        <f>IF(ISBLANK(O2625), "", VLOOKUP(C2625&amp;" "&amp;D2625, 'Info Tipo de Cambio y REM'!$A$24:$B$35, 2, FALSE))</f>
        <v/>
      </c>
      <c r="R2625" s="107"/>
    </row>
    <row r="2626" hidden="1">
      <c r="A2626" s="443"/>
      <c r="B2626" s="43" t="str">
        <f>IF(A2626="", "", IFERROR(VLOOKUP(A2626, Clasificaciones!A:B, 2, FALSE), "DATO NO CARGADO"))
</f>
        <v/>
      </c>
      <c r="C2626" s="51"/>
      <c r="D2626" s="102"/>
      <c r="E2626" s="102"/>
      <c r="H2626" s="102"/>
      <c r="J2626" s="102"/>
      <c r="K2626" s="450"/>
      <c r="L2626" s="443"/>
      <c r="M2626" s="450"/>
      <c r="N2626" s="452">
        <f t="array" ref="N2626">IFERROR(
  INDEX(
    'Valor Hora Real y Estimada'!$A$4:$Z$78,
    MATCH(TRIM(CLEAN(A2626)), 'Valor Hora Real y Estimada'!$A$4:$A$78, 0),
    MATCH(
      TEXT(C2626,"dd mmm")&amp;" "&amp;D2626,
      'Valor Hora Real y Estimada'!$A$3:$Z$3,
      0
    ) + 1
  ),
  0
)</f>
        <v>0</v>
      </c>
      <c r="O2626" s="453"/>
      <c r="P2626" s="113"/>
      <c r="Q2626" s="106" t="str">
        <f>IF(ISBLANK(O2626), "", VLOOKUP(C2626&amp;" "&amp;D2626, 'Info Tipo de Cambio y REM'!$A$24:$B$35, 2, FALSE))</f>
        <v/>
      </c>
      <c r="R2626" s="107"/>
    </row>
    <row r="2627" hidden="1">
      <c r="A2627" s="443"/>
      <c r="B2627" s="43" t="str">
        <f>IF(A2627="", "", IFERROR(VLOOKUP(A2627, Clasificaciones!A:B, 2, FALSE), "DATO NO CARGADO"))
</f>
        <v/>
      </c>
      <c r="C2627" s="51"/>
      <c r="D2627" s="102"/>
      <c r="E2627" s="102"/>
      <c r="H2627" s="102"/>
      <c r="J2627" s="102"/>
      <c r="K2627" s="450"/>
      <c r="L2627" s="443"/>
      <c r="M2627" s="450"/>
      <c r="N2627" s="452">
        <f t="array" ref="N2627">IFERROR(
  INDEX(
    'Valor Hora Real y Estimada'!$A$4:$Z$78,
    MATCH(TRIM(CLEAN(A2627)), 'Valor Hora Real y Estimada'!$A$4:$A$78, 0),
    MATCH(
      TEXT(C2627,"dd mmm")&amp;" "&amp;D2627,
      'Valor Hora Real y Estimada'!$A$3:$Z$3,
      0
    ) + 1
  ),
  0
)</f>
        <v>0</v>
      </c>
      <c r="O2627" s="453"/>
      <c r="P2627" s="113"/>
      <c r="Q2627" s="106" t="str">
        <f>IF(ISBLANK(O2627), "", VLOOKUP(C2627&amp;" "&amp;D2627, 'Info Tipo de Cambio y REM'!$A$24:$B$35, 2, FALSE))</f>
        <v/>
      </c>
      <c r="R2627" s="107"/>
    </row>
    <row r="2628" hidden="1">
      <c r="A2628" s="443"/>
      <c r="B2628" s="43" t="str">
        <f>IF(A2628="", "", IFERROR(VLOOKUP(A2628, Clasificaciones!A:B, 2, FALSE), "DATO NO CARGADO"))
</f>
        <v/>
      </c>
      <c r="C2628" s="51"/>
      <c r="D2628" s="102"/>
      <c r="E2628" s="102"/>
      <c r="H2628" s="102"/>
      <c r="J2628" s="102"/>
      <c r="K2628" s="450"/>
      <c r="L2628" s="443"/>
      <c r="M2628" s="450"/>
      <c r="N2628" s="452">
        <f t="array" ref="N2628">IFERROR(
  INDEX(
    'Valor Hora Real y Estimada'!$A$4:$Z$78,
    MATCH(TRIM(CLEAN(A2628)), 'Valor Hora Real y Estimada'!$A$4:$A$78, 0),
    MATCH(
      TEXT(C2628,"dd mmm")&amp;" "&amp;D2628,
      'Valor Hora Real y Estimada'!$A$3:$Z$3,
      0
    ) + 1
  ),
  0
)</f>
        <v>0</v>
      </c>
      <c r="O2628" s="453"/>
      <c r="P2628" s="113"/>
      <c r="Q2628" s="106" t="str">
        <f>IF(ISBLANK(O2628), "", VLOOKUP(C2628&amp;" "&amp;D2628, 'Info Tipo de Cambio y REM'!$A$24:$B$35, 2, FALSE))</f>
        <v/>
      </c>
      <c r="R2628" s="107"/>
    </row>
    <row r="2629" hidden="1">
      <c r="A2629" s="443"/>
      <c r="B2629" s="43" t="str">
        <f>IF(A2629="", "", IFERROR(VLOOKUP(A2629, Clasificaciones!A:B, 2, FALSE), "DATO NO CARGADO"))
</f>
        <v/>
      </c>
      <c r="C2629" s="51"/>
      <c r="D2629" s="102"/>
      <c r="E2629" s="102"/>
      <c r="H2629" s="102"/>
      <c r="J2629" s="102"/>
      <c r="K2629" s="450"/>
      <c r="L2629" s="443"/>
      <c r="M2629" s="450"/>
      <c r="N2629" s="452">
        <f t="array" ref="N2629">IFERROR(
  INDEX(
    'Valor Hora Real y Estimada'!$A$4:$Z$78,
    MATCH(TRIM(CLEAN(A2629)), 'Valor Hora Real y Estimada'!$A$4:$A$78, 0),
    MATCH(
      TEXT(C2629,"dd mmm")&amp;" "&amp;D2629,
      'Valor Hora Real y Estimada'!$A$3:$Z$3,
      0
    ) + 1
  ),
  0
)</f>
        <v>0</v>
      </c>
      <c r="O2629" s="453"/>
      <c r="P2629" s="113"/>
      <c r="Q2629" s="106" t="str">
        <f>IF(ISBLANK(O2629), "", VLOOKUP(C2629&amp;" "&amp;D2629, 'Info Tipo de Cambio y REM'!$A$24:$B$35, 2, FALSE))</f>
        <v/>
      </c>
      <c r="R2629" s="107"/>
    </row>
    <row r="2630" hidden="1">
      <c r="A2630" s="443"/>
      <c r="B2630" s="43" t="str">
        <f>IF(A2630="", "", IFERROR(VLOOKUP(A2630, Clasificaciones!A:B, 2, FALSE), "DATO NO CARGADO"))
</f>
        <v/>
      </c>
      <c r="C2630" s="51"/>
      <c r="D2630" s="102"/>
      <c r="E2630" s="102"/>
      <c r="H2630" s="102"/>
      <c r="J2630" s="102"/>
      <c r="K2630" s="450"/>
      <c r="L2630" s="443"/>
      <c r="M2630" s="450"/>
      <c r="N2630" s="452">
        <f t="array" ref="N2630">IFERROR(
  INDEX(
    'Valor Hora Real y Estimada'!$A$4:$Z$78,
    MATCH(TRIM(CLEAN(A2630)), 'Valor Hora Real y Estimada'!$A$4:$A$78, 0),
    MATCH(
      TEXT(C2630,"dd mmm")&amp;" "&amp;D2630,
      'Valor Hora Real y Estimada'!$A$3:$Z$3,
      0
    ) + 1
  ),
  0
)</f>
        <v>0</v>
      </c>
      <c r="O2630" s="453"/>
      <c r="P2630" s="113"/>
      <c r="Q2630" s="106" t="str">
        <f>IF(ISBLANK(O2630), "", VLOOKUP(C2630&amp;" "&amp;D2630, 'Info Tipo de Cambio y REM'!$A$24:$B$35, 2, FALSE))</f>
        <v/>
      </c>
      <c r="R2630" s="107"/>
    </row>
    <row r="2631" hidden="1">
      <c r="A2631" s="443"/>
      <c r="B2631" s="43" t="str">
        <f>IF(A2631="", "", IFERROR(VLOOKUP(A2631, Clasificaciones!A:B, 2, FALSE), "DATO NO CARGADO"))
</f>
        <v/>
      </c>
      <c r="C2631" s="51"/>
      <c r="D2631" s="102"/>
      <c r="E2631" s="102"/>
      <c r="H2631" s="102"/>
      <c r="J2631" s="102"/>
      <c r="K2631" s="450"/>
      <c r="L2631" s="443"/>
      <c r="M2631" s="450"/>
      <c r="N2631" s="452">
        <f t="array" ref="N2631">IFERROR(
  INDEX(
    'Valor Hora Real y Estimada'!$A$4:$Z$78,
    MATCH(TRIM(CLEAN(A2631)), 'Valor Hora Real y Estimada'!$A$4:$A$78, 0),
    MATCH(
      TEXT(C2631,"dd mmm")&amp;" "&amp;D2631,
      'Valor Hora Real y Estimada'!$A$3:$Z$3,
      0
    ) + 1
  ),
  0
)</f>
        <v>0</v>
      </c>
      <c r="O2631" s="453"/>
      <c r="P2631" s="113"/>
      <c r="Q2631" s="106" t="str">
        <f>IF(ISBLANK(O2631), "", VLOOKUP(C2631&amp;" "&amp;D2631, 'Info Tipo de Cambio y REM'!$A$24:$B$35, 2, FALSE))</f>
        <v/>
      </c>
      <c r="R2631" s="107"/>
    </row>
    <row r="2632" hidden="1">
      <c r="A2632" s="443"/>
      <c r="B2632" s="43" t="str">
        <f>IF(A2632="", "", IFERROR(VLOOKUP(A2632, Clasificaciones!A:B, 2, FALSE), "DATO NO CARGADO"))
</f>
        <v/>
      </c>
      <c r="C2632" s="51"/>
      <c r="D2632" s="102"/>
      <c r="E2632" s="102"/>
      <c r="H2632" s="102"/>
      <c r="J2632" s="102"/>
      <c r="K2632" s="450"/>
      <c r="L2632" s="443"/>
      <c r="M2632" s="450"/>
      <c r="N2632" s="452">
        <f t="array" ref="N2632">IFERROR(
  INDEX(
    'Valor Hora Real y Estimada'!$A$4:$Z$78,
    MATCH(TRIM(CLEAN(A2632)), 'Valor Hora Real y Estimada'!$A$4:$A$78, 0),
    MATCH(
      TEXT(C2632,"dd mmm")&amp;" "&amp;D2632,
      'Valor Hora Real y Estimada'!$A$3:$Z$3,
      0
    ) + 1
  ),
  0
)</f>
        <v>0</v>
      </c>
      <c r="O2632" s="453"/>
      <c r="P2632" s="113"/>
      <c r="Q2632" s="106" t="str">
        <f>IF(ISBLANK(O2632), "", VLOOKUP(C2632&amp;" "&amp;D2632, 'Info Tipo de Cambio y REM'!$A$24:$B$35, 2, FALSE))</f>
        <v/>
      </c>
      <c r="R2632" s="107"/>
    </row>
    <row r="2633" hidden="1">
      <c r="A2633" s="443"/>
      <c r="B2633" s="43" t="str">
        <f>IF(A2633="", "", IFERROR(VLOOKUP(A2633, Clasificaciones!A:B, 2, FALSE), "DATO NO CARGADO"))
</f>
        <v/>
      </c>
      <c r="C2633" s="51"/>
      <c r="D2633" s="102"/>
      <c r="E2633" s="102"/>
      <c r="H2633" s="102"/>
      <c r="J2633" s="102"/>
      <c r="K2633" s="450"/>
      <c r="L2633" s="443"/>
      <c r="M2633" s="450"/>
      <c r="N2633" s="452">
        <f t="array" ref="N2633">IFERROR(
  INDEX(
    'Valor Hora Real y Estimada'!$A$4:$Z$78,
    MATCH(TRIM(CLEAN(A2633)), 'Valor Hora Real y Estimada'!$A$4:$A$78, 0),
    MATCH(
      TEXT(C2633,"dd mmm")&amp;" "&amp;D2633,
      'Valor Hora Real y Estimada'!$A$3:$Z$3,
      0
    ) + 1
  ),
  0
)</f>
        <v>0</v>
      </c>
      <c r="O2633" s="453"/>
      <c r="P2633" s="113"/>
      <c r="Q2633" s="106" t="str">
        <f>IF(ISBLANK(O2633), "", VLOOKUP(C2633&amp;" "&amp;D2633, 'Info Tipo de Cambio y REM'!$A$24:$B$35, 2, FALSE))</f>
        <v/>
      </c>
      <c r="R2633" s="107"/>
    </row>
    <row r="2634" hidden="1">
      <c r="A2634" s="443"/>
      <c r="B2634" s="43" t="str">
        <f>IF(A2634="", "", IFERROR(VLOOKUP(A2634, Clasificaciones!A:B, 2, FALSE), "DATO NO CARGADO"))
</f>
        <v/>
      </c>
      <c r="C2634" s="51"/>
      <c r="D2634" s="102"/>
      <c r="E2634" s="102"/>
      <c r="H2634" s="102"/>
      <c r="J2634" s="102"/>
      <c r="K2634" s="450"/>
      <c r="L2634" s="443"/>
      <c r="M2634" s="450"/>
      <c r="N2634" s="452">
        <f t="array" ref="N2634">IFERROR(
  INDEX(
    'Valor Hora Real y Estimada'!$A$4:$Z$78,
    MATCH(TRIM(CLEAN(A2634)), 'Valor Hora Real y Estimada'!$A$4:$A$78, 0),
    MATCH(
      TEXT(C2634,"dd mmm")&amp;" "&amp;D2634,
      'Valor Hora Real y Estimada'!$A$3:$Z$3,
      0
    ) + 1
  ),
  0
)</f>
        <v>0</v>
      </c>
      <c r="O2634" s="453"/>
      <c r="P2634" s="113"/>
      <c r="Q2634" s="106" t="str">
        <f>IF(ISBLANK(O2634), "", VLOOKUP(C2634&amp;" "&amp;D2634, 'Info Tipo de Cambio y REM'!$A$24:$B$35, 2, FALSE))</f>
        <v/>
      </c>
      <c r="R2634" s="107"/>
    </row>
    <row r="2635" hidden="1">
      <c r="A2635" s="443"/>
      <c r="B2635" s="43" t="str">
        <f>IF(A2635="", "", IFERROR(VLOOKUP(A2635, Clasificaciones!A:B, 2, FALSE), "DATO NO CARGADO"))
</f>
        <v/>
      </c>
      <c r="C2635" s="51"/>
      <c r="D2635" s="102"/>
      <c r="E2635" s="102"/>
      <c r="H2635" s="102"/>
      <c r="J2635" s="102"/>
      <c r="K2635" s="450"/>
      <c r="L2635" s="443"/>
      <c r="M2635" s="450"/>
      <c r="N2635" s="452">
        <f t="array" ref="N2635">IFERROR(
  INDEX(
    'Valor Hora Real y Estimada'!$A$4:$Z$78,
    MATCH(TRIM(CLEAN(A2635)), 'Valor Hora Real y Estimada'!$A$4:$A$78, 0),
    MATCH(
      TEXT(C2635,"dd mmm")&amp;" "&amp;D2635,
      'Valor Hora Real y Estimada'!$A$3:$Z$3,
      0
    ) + 1
  ),
  0
)</f>
        <v>0</v>
      </c>
      <c r="O2635" s="453"/>
      <c r="P2635" s="113"/>
      <c r="Q2635" s="106" t="str">
        <f>IF(ISBLANK(O2635), "", VLOOKUP(C2635&amp;" "&amp;D2635, 'Info Tipo de Cambio y REM'!$A$24:$B$35, 2, FALSE))</f>
        <v/>
      </c>
      <c r="R2635" s="107"/>
    </row>
    <row r="2636" hidden="1">
      <c r="A2636" s="443"/>
      <c r="B2636" s="43" t="str">
        <f>IF(A2636="", "", IFERROR(VLOOKUP(A2636, Clasificaciones!A:B, 2, FALSE), "DATO NO CARGADO"))
</f>
        <v/>
      </c>
      <c r="C2636" s="51"/>
      <c r="D2636" s="102"/>
      <c r="E2636" s="102"/>
      <c r="H2636" s="102"/>
      <c r="J2636" s="102"/>
      <c r="K2636" s="450"/>
      <c r="L2636" s="443"/>
      <c r="M2636" s="450"/>
      <c r="N2636" s="452">
        <f t="array" ref="N2636">IFERROR(
  INDEX(
    'Valor Hora Real y Estimada'!$A$4:$Z$78,
    MATCH(TRIM(CLEAN(A2636)), 'Valor Hora Real y Estimada'!$A$4:$A$78, 0),
    MATCH(
      TEXT(C2636,"dd mmm")&amp;" "&amp;D2636,
      'Valor Hora Real y Estimada'!$A$3:$Z$3,
      0
    ) + 1
  ),
  0
)</f>
        <v>0</v>
      </c>
      <c r="O2636" s="453"/>
      <c r="P2636" s="113"/>
      <c r="Q2636" s="106" t="str">
        <f>IF(ISBLANK(O2636), "", VLOOKUP(C2636&amp;" "&amp;D2636, 'Info Tipo de Cambio y REM'!$A$24:$B$35, 2, FALSE))</f>
        <v/>
      </c>
      <c r="R2636" s="107"/>
    </row>
    <row r="2637" hidden="1">
      <c r="A2637" s="443"/>
      <c r="B2637" s="43" t="str">
        <f>IF(A2637="", "", IFERROR(VLOOKUP(A2637, Clasificaciones!A:B, 2, FALSE), "DATO NO CARGADO"))
</f>
        <v/>
      </c>
      <c r="C2637" s="51"/>
      <c r="D2637" s="102"/>
      <c r="E2637" s="102"/>
      <c r="H2637" s="102"/>
      <c r="J2637" s="102"/>
      <c r="K2637" s="450"/>
      <c r="L2637" s="443"/>
      <c r="M2637" s="450"/>
      <c r="N2637" s="452">
        <f t="array" ref="N2637">IFERROR(
  INDEX(
    'Valor Hora Real y Estimada'!$A$4:$Z$78,
    MATCH(TRIM(CLEAN(A2637)), 'Valor Hora Real y Estimada'!$A$4:$A$78, 0),
    MATCH(
      TEXT(C2637,"dd mmm")&amp;" "&amp;D2637,
      'Valor Hora Real y Estimada'!$A$3:$Z$3,
      0
    ) + 1
  ),
  0
)</f>
        <v>0</v>
      </c>
      <c r="O2637" s="453"/>
      <c r="P2637" s="113"/>
      <c r="Q2637" s="106" t="str">
        <f>IF(ISBLANK(O2637), "", VLOOKUP(C2637&amp;" "&amp;D2637, 'Info Tipo de Cambio y REM'!$A$24:$B$35, 2, FALSE))</f>
        <v/>
      </c>
      <c r="R2637" s="107"/>
    </row>
    <row r="2638" hidden="1">
      <c r="A2638" s="443"/>
      <c r="B2638" s="43" t="str">
        <f>IF(A2638="", "", IFERROR(VLOOKUP(A2638, Clasificaciones!A:B, 2, FALSE), "DATO NO CARGADO"))
</f>
        <v/>
      </c>
      <c r="C2638" s="51"/>
      <c r="D2638" s="102"/>
      <c r="E2638" s="102"/>
      <c r="H2638" s="102"/>
      <c r="J2638" s="102"/>
      <c r="K2638" s="450"/>
      <c r="L2638" s="443"/>
      <c r="M2638" s="450"/>
      <c r="N2638" s="452">
        <f t="array" ref="N2638">IFERROR(
  INDEX(
    'Valor Hora Real y Estimada'!$A$4:$Z$78,
    MATCH(TRIM(CLEAN(A2638)), 'Valor Hora Real y Estimada'!$A$4:$A$78, 0),
    MATCH(
      TEXT(C2638,"dd mmm")&amp;" "&amp;D2638,
      'Valor Hora Real y Estimada'!$A$3:$Z$3,
      0
    ) + 1
  ),
  0
)</f>
        <v>0</v>
      </c>
      <c r="O2638" s="453"/>
      <c r="P2638" s="113"/>
      <c r="Q2638" s="106" t="str">
        <f>IF(ISBLANK(O2638), "", VLOOKUP(C2638&amp;" "&amp;D2638, 'Info Tipo de Cambio y REM'!$A$24:$B$35, 2, FALSE))</f>
        <v/>
      </c>
      <c r="R2638" s="107"/>
    </row>
    <row r="2639" hidden="1">
      <c r="A2639" s="443"/>
      <c r="B2639" s="43" t="str">
        <f>IF(A2639="", "", IFERROR(VLOOKUP(A2639, Clasificaciones!A:B, 2, FALSE), "DATO NO CARGADO"))
</f>
        <v/>
      </c>
      <c r="C2639" s="51"/>
      <c r="D2639" s="102"/>
      <c r="E2639" s="102"/>
      <c r="H2639" s="102"/>
      <c r="J2639" s="102"/>
      <c r="K2639" s="450"/>
      <c r="L2639" s="443"/>
      <c r="M2639" s="450"/>
      <c r="N2639" s="452">
        <f t="array" ref="N2639">IFERROR(
  INDEX(
    'Valor Hora Real y Estimada'!$A$4:$Z$78,
    MATCH(TRIM(CLEAN(A2639)), 'Valor Hora Real y Estimada'!$A$4:$A$78, 0),
    MATCH(
      TEXT(C2639,"dd mmm")&amp;" "&amp;D2639,
      'Valor Hora Real y Estimada'!$A$3:$Z$3,
      0
    ) + 1
  ),
  0
)</f>
        <v>0</v>
      </c>
      <c r="O2639" s="453"/>
      <c r="P2639" s="113"/>
      <c r="Q2639" s="106" t="str">
        <f>IF(ISBLANK(O2639), "", VLOOKUP(C2639&amp;" "&amp;D2639, 'Info Tipo de Cambio y REM'!$A$24:$B$35, 2, FALSE))</f>
        <v/>
      </c>
      <c r="R2639" s="107"/>
    </row>
    <row r="2640" hidden="1">
      <c r="A2640" s="443"/>
      <c r="B2640" s="43" t="str">
        <f>IF(A2640="", "", IFERROR(VLOOKUP(A2640, Clasificaciones!A:B, 2, FALSE), "DATO NO CARGADO"))
</f>
        <v/>
      </c>
      <c r="C2640" s="51"/>
      <c r="D2640" s="102"/>
      <c r="E2640" s="102"/>
      <c r="H2640" s="102"/>
      <c r="J2640" s="102"/>
      <c r="K2640" s="450"/>
      <c r="L2640" s="443"/>
      <c r="M2640" s="450"/>
      <c r="N2640" s="452">
        <f t="array" ref="N2640">IFERROR(
  INDEX(
    'Valor Hora Real y Estimada'!$A$4:$Z$78,
    MATCH(TRIM(CLEAN(A2640)), 'Valor Hora Real y Estimada'!$A$4:$A$78, 0),
    MATCH(
      TEXT(C2640,"dd mmm")&amp;" "&amp;D2640,
      'Valor Hora Real y Estimada'!$A$3:$Z$3,
      0
    ) + 1
  ),
  0
)</f>
        <v>0</v>
      </c>
      <c r="O2640" s="453"/>
      <c r="P2640" s="113"/>
      <c r="Q2640" s="106" t="str">
        <f>IF(ISBLANK(O2640), "", VLOOKUP(C2640&amp;" "&amp;D2640, 'Info Tipo de Cambio y REM'!$A$24:$B$35, 2, FALSE))</f>
        <v/>
      </c>
      <c r="R2640" s="107"/>
    </row>
    <row r="2641" hidden="1">
      <c r="A2641" s="443"/>
      <c r="B2641" s="43" t="str">
        <f>IF(A2641="", "", IFERROR(VLOOKUP(A2641, Clasificaciones!A:B, 2, FALSE), "DATO NO CARGADO"))
</f>
        <v/>
      </c>
      <c r="C2641" s="51"/>
      <c r="D2641" s="102"/>
      <c r="E2641" s="102"/>
      <c r="H2641" s="102"/>
      <c r="J2641" s="102"/>
      <c r="K2641" s="450"/>
      <c r="L2641" s="443"/>
      <c r="M2641" s="450"/>
      <c r="N2641" s="452">
        <f t="array" ref="N2641">IFERROR(
  INDEX(
    'Valor Hora Real y Estimada'!$A$4:$Z$78,
    MATCH(TRIM(CLEAN(A2641)), 'Valor Hora Real y Estimada'!$A$4:$A$78, 0),
    MATCH(
      TEXT(C2641,"dd mmm")&amp;" "&amp;D2641,
      'Valor Hora Real y Estimada'!$A$3:$Z$3,
      0
    ) + 1
  ),
  0
)</f>
        <v>0</v>
      </c>
      <c r="O2641" s="453"/>
      <c r="P2641" s="113"/>
      <c r="Q2641" s="106" t="str">
        <f>IF(ISBLANK(O2641), "", VLOOKUP(C2641&amp;" "&amp;D2641, 'Info Tipo de Cambio y REM'!$A$24:$B$35, 2, FALSE))</f>
        <v/>
      </c>
      <c r="R2641" s="107"/>
    </row>
    <row r="2642" hidden="1">
      <c r="A2642" s="443"/>
      <c r="B2642" s="43" t="str">
        <f>IF(A2642="", "", IFERROR(VLOOKUP(A2642, Clasificaciones!A:B, 2, FALSE), "DATO NO CARGADO"))
</f>
        <v/>
      </c>
      <c r="C2642" s="51"/>
      <c r="D2642" s="102"/>
      <c r="E2642" s="102"/>
      <c r="H2642" s="102"/>
      <c r="J2642" s="102"/>
      <c r="K2642" s="450"/>
      <c r="L2642" s="443"/>
      <c r="M2642" s="450"/>
      <c r="N2642" s="452">
        <f t="array" ref="N2642">IFERROR(
  INDEX(
    'Valor Hora Real y Estimada'!$A$4:$Z$78,
    MATCH(TRIM(CLEAN(A2642)), 'Valor Hora Real y Estimada'!$A$4:$A$78, 0),
    MATCH(
      TEXT(C2642,"dd mmm")&amp;" "&amp;D2642,
      'Valor Hora Real y Estimada'!$A$3:$Z$3,
      0
    ) + 1
  ),
  0
)</f>
        <v>0</v>
      </c>
      <c r="O2642" s="453"/>
      <c r="P2642" s="113"/>
      <c r="Q2642" s="106" t="str">
        <f>IF(ISBLANK(O2642), "", VLOOKUP(C2642&amp;" "&amp;D2642, 'Info Tipo de Cambio y REM'!$A$24:$B$35, 2, FALSE))</f>
        <v/>
      </c>
      <c r="R2642" s="107"/>
    </row>
    <row r="2643" hidden="1">
      <c r="A2643" s="443"/>
      <c r="B2643" s="43" t="str">
        <f>IF(A2643="", "", IFERROR(VLOOKUP(A2643, Clasificaciones!A:B, 2, FALSE), "DATO NO CARGADO"))
</f>
        <v/>
      </c>
      <c r="C2643" s="51"/>
      <c r="D2643" s="102"/>
      <c r="E2643" s="102"/>
      <c r="H2643" s="102"/>
      <c r="J2643" s="102"/>
      <c r="K2643" s="450"/>
      <c r="L2643" s="443"/>
      <c r="M2643" s="450"/>
      <c r="N2643" s="452">
        <f t="array" ref="N2643">IFERROR(
  INDEX(
    'Valor Hora Real y Estimada'!$A$4:$Z$78,
    MATCH(TRIM(CLEAN(A2643)), 'Valor Hora Real y Estimada'!$A$4:$A$78, 0),
    MATCH(
      TEXT(C2643,"dd mmm")&amp;" "&amp;D2643,
      'Valor Hora Real y Estimada'!$A$3:$Z$3,
      0
    ) + 1
  ),
  0
)</f>
        <v>0</v>
      </c>
      <c r="O2643" s="453"/>
      <c r="P2643" s="113"/>
      <c r="Q2643" s="106" t="str">
        <f>IF(ISBLANK(O2643), "", VLOOKUP(C2643&amp;" "&amp;D2643, 'Info Tipo de Cambio y REM'!$A$24:$B$35, 2, FALSE))</f>
        <v/>
      </c>
      <c r="R2643" s="107"/>
    </row>
    <row r="2644" hidden="1">
      <c r="A2644" s="443"/>
      <c r="B2644" s="43" t="str">
        <f>IF(A2644="", "", IFERROR(VLOOKUP(A2644, Clasificaciones!A:B, 2, FALSE), "DATO NO CARGADO"))
</f>
        <v/>
      </c>
      <c r="C2644" s="51"/>
      <c r="D2644" s="102"/>
      <c r="E2644" s="102"/>
      <c r="H2644" s="102"/>
      <c r="J2644" s="102"/>
      <c r="K2644" s="450"/>
      <c r="L2644" s="443"/>
      <c r="M2644" s="450"/>
      <c r="N2644" s="452">
        <f t="array" ref="N2644">IFERROR(
  INDEX(
    'Valor Hora Real y Estimada'!$A$4:$Z$78,
    MATCH(TRIM(CLEAN(A2644)), 'Valor Hora Real y Estimada'!$A$4:$A$78, 0),
    MATCH(
      TEXT(C2644,"dd mmm")&amp;" "&amp;D2644,
      'Valor Hora Real y Estimada'!$A$3:$Z$3,
      0
    ) + 1
  ),
  0
)</f>
        <v>0</v>
      </c>
      <c r="O2644" s="453"/>
      <c r="P2644" s="113"/>
      <c r="Q2644" s="106" t="str">
        <f>IF(ISBLANK(O2644), "", VLOOKUP(C2644&amp;" "&amp;D2644, 'Info Tipo de Cambio y REM'!$A$24:$B$35, 2, FALSE))</f>
        <v/>
      </c>
      <c r="R2644" s="107"/>
    </row>
    <row r="2645" hidden="1">
      <c r="A2645" s="443"/>
      <c r="B2645" s="43" t="str">
        <f>IF(A2645="", "", IFERROR(VLOOKUP(A2645, Clasificaciones!A:B, 2, FALSE), "DATO NO CARGADO"))
</f>
        <v/>
      </c>
      <c r="C2645" s="51"/>
      <c r="D2645" s="102"/>
      <c r="E2645" s="102"/>
      <c r="H2645" s="102"/>
      <c r="J2645" s="102"/>
      <c r="K2645" s="450"/>
      <c r="L2645" s="443"/>
      <c r="M2645" s="450"/>
      <c r="N2645" s="452">
        <f t="array" ref="N2645">IFERROR(
  INDEX(
    'Valor Hora Real y Estimada'!$A$4:$Z$78,
    MATCH(TRIM(CLEAN(A2645)), 'Valor Hora Real y Estimada'!$A$4:$A$78, 0),
    MATCH(
      TEXT(C2645,"dd mmm")&amp;" "&amp;D2645,
      'Valor Hora Real y Estimada'!$A$3:$Z$3,
      0
    ) + 1
  ),
  0
)</f>
        <v>0</v>
      </c>
      <c r="O2645" s="453"/>
      <c r="P2645" s="113"/>
      <c r="Q2645" s="106" t="str">
        <f>IF(ISBLANK(O2645), "", VLOOKUP(C2645&amp;" "&amp;D2645, 'Info Tipo de Cambio y REM'!$A$24:$B$35, 2, FALSE))</f>
        <v/>
      </c>
      <c r="R2645" s="107"/>
    </row>
    <row r="2646" hidden="1">
      <c r="A2646" s="443"/>
      <c r="B2646" s="43" t="str">
        <f>IF(A2646="", "", IFERROR(VLOOKUP(A2646, Clasificaciones!A:B, 2, FALSE), "DATO NO CARGADO"))
</f>
        <v/>
      </c>
      <c r="C2646" s="51"/>
      <c r="D2646" s="102"/>
      <c r="E2646" s="102"/>
      <c r="H2646" s="102"/>
      <c r="J2646" s="102"/>
      <c r="K2646" s="450"/>
      <c r="L2646" s="443"/>
      <c r="M2646" s="450"/>
      <c r="N2646" s="452">
        <f t="array" ref="N2646">IFERROR(
  INDEX(
    'Valor Hora Real y Estimada'!$A$4:$Z$78,
    MATCH(TRIM(CLEAN(A2646)), 'Valor Hora Real y Estimada'!$A$4:$A$78, 0),
    MATCH(
      TEXT(C2646,"dd mmm")&amp;" "&amp;D2646,
      'Valor Hora Real y Estimada'!$A$3:$Z$3,
      0
    ) + 1
  ),
  0
)</f>
        <v>0</v>
      </c>
      <c r="O2646" s="453"/>
      <c r="P2646" s="113"/>
      <c r="Q2646" s="106" t="str">
        <f>IF(ISBLANK(O2646), "", VLOOKUP(C2646&amp;" "&amp;D2646, 'Info Tipo de Cambio y REM'!$A$24:$B$35, 2, FALSE))</f>
        <v/>
      </c>
      <c r="R2646" s="107"/>
    </row>
    <row r="2647" hidden="1">
      <c r="A2647" s="443"/>
      <c r="B2647" s="43" t="str">
        <f>IF(A2647="", "", IFERROR(VLOOKUP(A2647, Clasificaciones!A:B, 2, FALSE), "DATO NO CARGADO"))
</f>
        <v/>
      </c>
      <c r="C2647" s="51"/>
      <c r="D2647" s="102"/>
      <c r="E2647" s="102"/>
      <c r="H2647" s="102"/>
      <c r="J2647" s="102"/>
      <c r="K2647" s="450"/>
      <c r="L2647" s="443"/>
      <c r="M2647" s="450"/>
      <c r="N2647" s="452">
        <f t="array" ref="N2647">IFERROR(
  INDEX(
    'Valor Hora Real y Estimada'!$A$4:$Z$78,
    MATCH(TRIM(CLEAN(A2647)), 'Valor Hora Real y Estimada'!$A$4:$A$78, 0),
    MATCH(
      TEXT(C2647,"dd mmm")&amp;" "&amp;D2647,
      'Valor Hora Real y Estimada'!$A$3:$Z$3,
      0
    ) + 1
  ),
  0
)</f>
        <v>0</v>
      </c>
      <c r="O2647" s="453"/>
      <c r="P2647" s="113"/>
      <c r="Q2647" s="106" t="str">
        <f>IF(ISBLANK(O2647), "", VLOOKUP(C2647&amp;" "&amp;D2647, 'Info Tipo de Cambio y REM'!$A$24:$B$35, 2, FALSE))</f>
        <v/>
      </c>
      <c r="R2647" s="107"/>
    </row>
    <row r="2648" hidden="1">
      <c r="A2648" s="443"/>
      <c r="B2648" s="43" t="str">
        <f>IF(A2648="", "", IFERROR(VLOOKUP(A2648, Clasificaciones!A:B, 2, FALSE), "DATO NO CARGADO"))
</f>
        <v/>
      </c>
      <c r="C2648" s="51"/>
      <c r="D2648" s="102"/>
      <c r="E2648" s="102"/>
      <c r="H2648" s="102"/>
      <c r="J2648" s="102"/>
      <c r="K2648" s="450"/>
      <c r="L2648" s="443"/>
      <c r="M2648" s="450"/>
      <c r="N2648" s="452">
        <f t="array" ref="N2648">IFERROR(
  INDEX(
    'Valor Hora Real y Estimada'!$A$4:$Z$78,
    MATCH(TRIM(CLEAN(A2648)), 'Valor Hora Real y Estimada'!$A$4:$A$78, 0),
    MATCH(
      TEXT(C2648,"dd mmm")&amp;" "&amp;D2648,
      'Valor Hora Real y Estimada'!$A$3:$Z$3,
      0
    ) + 1
  ),
  0
)</f>
        <v>0</v>
      </c>
      <c r="O2648" s="453"/>
      <c r="P2648" s="113"/>
      <c r="Q2648" s="106" t="str">
        <f>IF(ISBLANK(O2648), "", VLOOKUP(C2648&amp;" "&amp;D2648, 'Info Tipo de Cambio y REM'!$A$24:$B$35, 2, FALSE))</f>
        <v/>
      </c>
      <c r="R2648" s="107"/>
    </row>
    <row r="2649" hidden="1">
      <c r="A2649" s="443"/>
      <c r="B2649" s="43" t="str">
        <f>IF(A2649="", "", IFERROR(VLOOKUP(A2649, Clasificaciones!A:B, 2, FALSE), "DATO NO CARGADO"))
</f>
        <v/>
      </c>
      <c r="C2649" s="51"/>
      <c r="D2649" s="102"/>
      <c r="E2649" s="102"/>
      <c r="H2649" s="102"/>
      <c r="J2649" s="102"/>
      <c r="K2649" s="450"/>
      <c r="L2649" s="443"/>
      <c r="M2649" s="450"/>
      <c r="N2649" s="452">
        <f t="array" ref="N2649">IFERROR(
  INDEX(
    'Valor Hora Real y Estimada'!$A$4:$Z$78,
    MATCH(TRIM(CLEAN(A2649)), 'Valor Hora Real y Estimada'!$A$4:$A$78, 0),
    MATCH(
      TEXT(C2649,"dd mmm")&amp;" "&amp;D2649,
      'Valor Hora Real y Estimada'!$A$3:$Z$3,
      0
    ) + 1
  ),
  0
)</f>
        <v>0</v>
      </c>
      <c r="O2649" s="453"/>
      <c r="P2649" s="113"/>
      <c r="Q2649" s="106" t="str">
        <f>IF(ISBLANK(O2649), "", VLOOKUP(C2649&amp;" "&amp;D2649, 'Info Tipo de Cambio y REM'!$A$24:$B$35, 2, FALSE))</f>
        <v/>
      </c>
      <c r="R2649" s="107"/>
    </row>
    <row r="2650" hidden="1">
      <c r="A2650" s="443"/>
      <c r="B2650" s="43" t="str">
        <f>IF(A2650="", "", IFERROR(VLOOKUP(A2650, Clasificaciones!A:B, 2, FALSE), "DATO NO CARGADO"))
</f>
        <v/>
      </c>
      <c r="C2650" s="51"/>
      <c r="D2650" s="102"/>
      <c r="E2650" s="102"/>
      <c r="H2650" s="102"/>
      <c r="J2650" s="102"/>
      <c r="K2650" s="450"/>
      <c r="L2650" s="443"/>
      <c r="M2650" s="450"/>
      <c r="N2650" s="452">
        <f t="array" ref="N2650">IFERROR(
  INDEX(
    'Valor Hora Real y Estimada'!$A$4:$Z$78,
    MATCH(TRIM(CLEAN(A2650)), 'Valor Hora Real y Estimada'!$A$4:$A$78, 0),
    MATCH(
      TEXT(C2650,"dd mmm")&amp;" "&amp;D2650,
      'Valor Hora Real y Estimada'!$A$3:$Z$3,
      0
    ) + 1
  ),
  0
)</f>
        <v>0</v>
      </c>
      <c r="O2650" s="453"/>
      <c r="P2650" s="113"/>
      <c r="Q2650" s="106" t="str">
        <f>IF(ISBLANK(O2650), "", VLOOKUP(C2650&amp;" "&amp;D2650, 'Info Tipo de Cambio y REM'!$A$24:$B$35, 2, FALSE))</f>
        <v/>
      </c>
      <c r="R2650" s="107"/>
    </row>
    <row r="2651" hidden="1">
      <c r="A2651" s="443"/>
      <c r="B2651" s="43" t="str">
        <f>IF(A2651="", "", IFERROR(VLOOKUP(A2651, Clasificaciones!A:B, 2, FALSE), "DATO NO CARGADO"))
</f>
        <v/>
      </c>
      <c r="C2651" s="51"/>
      <c r="D2651" s="102"/>
      <c r="E2651" s="102"/>
      <c r="H2651" s="102"/>
      <c r="J2651" s="102"/>
      <c r="K2651" s="450"/>
      <c r="L2651" s="443"/>
      <c r="M2651" s="450"/>
      <c r="N2651" s="452">
        <f t="array" ref="N2651">IFERROR(
  INDEX(
    'Valor Hora Real y Estimada'!$A$4:$Z$78,
    MATCH(TRIM(CLEAN(A2651)), 'Valor Hora Real y Estimada'!$A$4:$A$78, 0),
    MATCH(
      TEXT(C2651,"dd mmm")&amp;" "&amp;D2651,
      'Valor Hora Real y Estimada'!$A$3:$Z$3,
      0
    ) + 1
  ),
  0
)</f>
        <v>0</v>
      </c>
      <c r="O2651" s="453"/>
      <c r="P2651" s="113"/>
      <c r="Q2651" s="106" t="str">
        <f>IF(ISBLANK(O2651), "", VLOOKUP(C2651&amp;" "&amp;D2651, 'Info Tipo de Cambio y REM'!$A$24:$B$35, 2, FALSE))</f>
        <v/>
      </c>
      <c r="R2651" s="107"/>
    </row>
    <row r="2652" hidden="1">
      <c r="A2652" s="443"/>
      <c r="B2652" s="43" t="str">
        <f>IF(A2652="", "", IFERROR(VLOOKUP(A2652, Clasificaciones!A:B, 2, FALSE), "DATO NO CARGADO"))
</f>
        <v/>
      </c>
      <c r="C2652" s="51"/>
      <c r="D2652" s="102"/>
      <c r="E2652" s="102"/>
      <c r="H2652" s="102"/>
      <c r="J2652" s="102"/>
      <c r="K2652" s="450"/>
      <c r="L2652" s="443"/>
      <c r="M2652" s="450"/>
      <c r="N2652" s="452">
        <f t="array" ref="N2652">IFERROR(
  INDEX(
    'Valor Hora Real y Estimada'!$A$4:$Z$78,
    MATCH(TRIM(CLEAN(A2652)), 'Valor Hora Real y Estimada'!$A$4:$A$78, 0),
    MATCH(
      TEXT(C2652,"dd mmm")&amp;" "&amp;D2652,
      'Valor Hora Real y Estimada'!$A$3:$Z$3,
      0
    ) + 1
  ),
  0
)</f>
        <v>0</v>
      </c>
      <c r="O2652" s="453"/>
      <c r="P2652" s="113"/>
      <c r="Q2652" s="106" t="str">
        <f>IF(ISBLANK(O2652), "", VLOOKUP(C2652&amp;" "&amp;D2652, 'Info Tipo de Cambio y REM'!$A$24:$B$35, 2, FALSE))</f>
        <v/>
      </c>
      <c r="R2652" s="107"/>
    </row>
    <row r="2653" hidden="1">
      <c r="A2653" s="443"/>
      <c r="B2653" s="43" t="str">
        <f>IF(A2653="", "", IFERROR(VLOOKUP(A2653, Clasificaciones!A:B, 2, FALSE), "DATO NO CARGADO"))
</f>
        <v/>
      </c>
      <c r="C2653" s="51"/>
      <c r="D2653" s="102"/>
      <c r="E2653" s="102"/>
      <c r="H2653" s="102"/>
      <c r="J2653" s="102"/>
      <c r="K2653" s="450"/>
      <c r="L2653" s="443"/>
      <c r="M2653" s="450"/>
      <c r="N2653" s="452">
        <f t="array" ref="N2653">IFERROR(
  INDEX(
    'Valor Hora Real y Estimada'!$A$4:$Z$78,
    MATCH(TRIM(CLEAN(A2653)), 'Valor Hora Real y Estimada'!$A$4:$A$78, 0),
    MATCH(
      TEXT(C2653,"dd mmm")&amp;" "&amp;D2653,
      'Valor Hora Real y Estimada'!$A$3:$Z$3,
      0
    ) + 1
  ),
  0
)</f>
        <v>0</v>
      </c>
      <c r="O2653" s="453"/>
      <c r="P2653" s="113"/>
      <c r="Q2653" s="106" t="str">
        <f>IF(ISBLANK(O2653), "", VLOOKUP(C2653&amp;" "&amp;D2653, 'Info Tipo de Cambio y REM'!$A$24:$B$35, 2, FALSE))</f>
        <v/>
      </c>
      <c r="R2653" s="107"/>
    </row>
    <row r="2654" hidden="1">
      <c r="A2654" s="443"/>
      <c r="B2654" s="43" t="str">
        <f>IF(A2654="", "", IFERROR(VLOOKUP(A2654, Clasificaciones!A:B, 2, FALSE), "DATO NO CARGADO"))
</f>
        <v/>
      </c>
      <c r="C2654" s="51"/>
      <c r="D2654" s="102"/>
      <c r="E2654" s="102"/>
      <c r="H2654" s="102"/>
      <c r="J2654" s="102"/>
      <c r="K2654" s="450"/>
      <c r="L2654" s="443"/>
      <c r="M2654" s="450"/>
      <c r="N2654" s="452">
        <f t="array" ref="N2654">IFERROR(
  INDEX(
    'Valor Hora Real y Estimada'!$A$4:$Z$78,
    MATCH(TRIM(CLEAN(A2654)), 'Valor Hora Real y Estimada'!$A$4:$A$78, 0),
    MATCH(
      TEXT(C2654,"dd mmm")&amp;" "&amp;D2654,
      'Valor Hora Real y Estimada'!$A$3:$Z$3,
      0
    ) + 1
  ),
  0
)</f>
        <v>0</v>
      </c>
      <c r="O2654" s="453"/>
      <c r="P2654" s="113"/>
      <c r="Q2654" s="106" t="str">
        <f>IF(ISBLANK(O2654), "", VLOOKUP(C2654&amp;" "&amp;D2654, 'Info Tipo de Cambio y REM'!$A$24:$B$35, 2, FALSE))</f>
        <v/>
      </c>
      <c r="R2654" s="107"/>
    </row>
    <row r="2655" hidden="1">
      <c r="A2655" s="443"/>
      <c r="B2655" s="43" t="str">
        <f>IF(A2655="", "", IFERROR(VLOOKUP(A2655, Clasificaciones!A:B, 2, FALSE), "DATO NO CARGADO"))
</f>
        <v/>
      </c>
      <c r="C2655" s="51"/>
      <c r="D2655" s="102"/>
      <c r="E2655" s="102"/>
      <c r="H2655" s="102"/>
      <c r="J2655" s="102"/>
      <c r="K2655" s="450"/>
      <c r="L2655" s="443"/>
      <c r="M2655" s="450"/>
      <c r="N2655" s="452">
        <f t="array" ref="N2655">IFERROR(
  INDEX(
    'Valor Hora Real y Estimada'!$A$4:$Z$78,
    MATCH(TRIM(CLEAN(A2655)), 'Valor Hora Real y Estimada'!$A$4:$A$78, 0),
    MATCH(
      TEXT(C2655,"dd mmm")&amp;" "&amp;D2655,
      'Valor Hora Real y Estimada'!$A$3:$Z$3,
      0
    ) + 1
  ),
  0
)</f>
        <v>0</v>
      </c>
      <c r="O2655" s="453"/>
      <c r="P2655" s="113"/>
      <c r="Q2655" s="106" t="str">
        <f>IF(ISBLANK(O2655), "", VLOOKUP(C2655&amp;" "&amp;D2655, 'Info Tipo de Cambio y REM'!$A$24:$B$35, 2, FALSE))</f>
        <v/>
      </c>
      <c r="R2655" s="107"/>
    </row>
    <row r="2656" hidden="1">
      <c r="A2656" s="443"/>
      <c r="B2656" s="43" t="str">
        <f>IF(A2656="", "", IFERROR(VLOOKUP(A2656, Clasificaciones!A:B, 2, FALSE), "DATO NO CARGADO"))
</f>
        <v/>
      </c>
      <c r="C2656" s="51"/>
      <c r="D2656" s="102"/>
      <c r="E2656" s="102"/>
      <c r="H2656" s="102"/>
      <c r="J2656" s="102"/>
      <c r="K2656" s="450"/>
      <c r="L2656" s="443"/>
      <c r="M2656" s="450"/>
      <c r="N2656" s="452">
        <f t="array" ref="N2656">IFERROR(
  INDEX(
    'Valor Hora Real y Estimada'!$A$4:$Z$78,
    MATCH(TRIM(CLEAN(A2656)), 'Valor Hora Real y Estimada'!$A$4:$A$78, 0),
    MATCH(
      TEXT(C2656,"dd mmm")&amp;" "&amp;D2656,
      'Valor Hora Real y Estimada'!$A$3:$Z$3,
      0
    ) + 1
  ),
  0
)</f>
        <v>0</v>
      </c>
      <c r="O2656" s="453"/>
      <c r="P2656" s="113"/>
      <c r="Q2656" s="106" t="str">
        <f>IF(ISBLANK(O2656), "", VLOOKUP(C2656&amp;" "&amp;D2656, 'Info Tipo de Cambio y REM'!$A$24:$B$35, 2, FALSE))</f>
        <v/>
      </c>
      <c r="R2656" s="107"/>
    </row>
    <row r="2657" hidden="1">
      <c r="A2657" s="443"/>
      <c r="B2657" s="43" t="str">
        <f>IF(A2657="", "", IFERROR(VLOOKUP(A2657, Clasificaciones!A:B, 2, FALSE), "DATO NO CARGADO"))
</f>
        <v/>
      </c>
      <c r="C2657" s="51"/>
      <c r="D2657" s="102"/>
      <c r="E2657" s="102"/>
      <c r="H2657" s="102"/>
      <c r="J2657" s="102"/>
      <c r="K2657" s="450"/>
      <c r="L2657" s="443"/>
      <c r="M2657" s="450"/>
      <c r="N2657" s="452">
        <f t="array" ref="N2657">IFERROR(
  INDEX(
    'Valor Hora Real y Estimada'!$A$4:$Z$78,
    MATCH(TRIM(CLEAN(A2657)), 'Valor Hora Real y Estimada'!$A$4:$A$78, 0),
    MATCH(
      TEXT(C2657,"dd mmm")&amp;" "&amp;D2657,
      'Valor Hora Real y Estimada'!$A$3:$Z$3,
      0
    ) + 1
  ),
  0
)</f>
        <v>0</v>
      </c>
      <c r="O2657" s="453"/>
      <c r="P2657" s="113"/>
      <c r="Q2657" s="106" t="str">
        <f>IF(ISBLANK(O2657), "", VLOOKUP(C2657&amp;" "&amp;D2657, 'Info Tipo de Cambio y REM'!$A$24:$B$35, 2, FALSE))</f>
        <v/>
      </c>
      <c r="R2657" s="107"/>
    </row>
    <row r="2658" hidden="1">
      <c r="A2658" s="443"/>
      <c r="B2658" s="43" t="str">
        <f>IF(A2658="", "", IFERROR(VLOOKUP(A2658, Clasificaciones!A:B, 2, FALSE), "DATO NO CARGADO"))
</f>
        <v/>
      </c>
      <c r="C2658" s="51"/>
      <c r="D2658" s="102"/>
      <c r="E2658" s="102"/>
      <c r="H2658" s="102"/>
      <c r="J2658" s="102"/>
      <c r="K2658" s="450"/>
      <c r="L2658" s="443"/>
      <c r="M2658" s="450"/>
      <c r="N2658" s="452">
        <f t="array" ref="N2658">IFERROR(
  INDEX(
    'Valor Hora Real y Estimada'!$A$4:$Z$78,
    MATCH(TRIM(CLEAN(A2658)), 'Valor Hora Real y Estimada'!$A$4:$A$78, 0),
    MATCH(
      TEXT(C2658,"dd mmm")&amp;" "&amp;D2658,
      'Valor Hora Real y Estimada'!$A$3:$Z$3,
      0
    ) + 1
  ),
  0
)</f>
        <v>0</v>
      </c>
      <c r="O2658" s="453"/>
      <c r="P2658" s="113"/>
      <c r="Q2658" s="106" t="str">
        <f>IF(ISBLANK(O2658), "", VLOOKUP(C2658&amp;" "&amp;D2658, 'Info Tipo de Cambio y REM'!$A$24:$B$35, 2, FALSE))</f>
        <v/>
      </c>
      <c r="R2658" s="107"/>
    </row>
    <row r="2659" hidden="1">
      <c r="A2659" s="443"/>
      <c r="B2659" s="43" t="str">
        <f>IF(A2659="", "", IFERROR(VLOOKUP(A2659, Clasificaciones!A:B, 2, FALSE), "DATO NO CARGADO"))
</f>
        <v/>
      </c>
      <c r="C2659" s="51"/>
      <c r="D2659" s="102"/>
      <c r="E2659" s="102"/>
      <c r="H2659" s="102"/>
      <c r="J2659" s="102"/>
      <c r="K2659" s="450"/>
      <c r="L2659" s="443"/>
      <c r="M2659" s="450"/>
      <c r="N2659" s="452">
        <f t="array" ref="N2659">IFERROR(
  INDEX(
    'Valor Hora Real y Estimada'!$A$4:$Z$78,
    MATCH(TRIM(CLEAN(A2659)), 'Valor Hora Real y Estimada'!$A$4:$A$78, 0),
    MATCH(
      TEXT(C2659,"dd mmm")&amp;" "&amp;D2659,
      'Valor Hora Real y Estimada'!$A$3:$Z$3,
      0
    ) + 1
  ),
  0
)</f>
        <v>0</v>
      </c>
      <c r="O2659" s="453"/>
      <c r="P2659" s="113"/>
      <c r="Q2659" s="106" t="str">
        <f>IF(ISBLANK(O2659), "", VLOOKUP(C2659&amp;" "&amp;D2659, 'Info Tipo de Cambio y REM'!$A$24:$B$35, 2, FALSE))</f>
        <v/>
      </c>
      <c r="R2659" s="107"/>
    </row>
    <row r="2660" hidden="1">
      <c r="A2660" s="443"/>
      <c r="B2660" s="43" t="str">
        <f>IF(A2660="", "", IFERROR(VLOOKUP(A2660, Clasificaciones!A:B, 2, FALSE), "DATO NO CARGADO"))
</f>
        <v/>
      </c>
      <c r="C2660" s="51"/>
      <c r="D2660" s="102"/>
      <c r="E2660" s="102"/>
      <c r="H2660" s="102"/>
      <c r="J2660" s="102"/>
      <c r="K2660" s="450"/>
      <c r="L2660" s="443"/>
      <c r="M2660" s="450"/>
      <c r="N2660" s="452">
        <f t="array" ref="N2660">IFERROR(
  INDEX(
    'Valor Hora Real y Estimada'!$A$4:$Z$78,
    MATCH(TRIM(CLEAN(A2660)), 'Valor Hora Real y Estimada'!$A$4:$A$78, 0),
    MATCH(
      TEXT(C2660,"dd mmm")&amp;" "&amp;D2660,
      'Valor Hora Real y Estimada'!$A$3:$Z$3,
      0
    ) + 1
  ),
  0
)</f>
        <v>0</v>
      </c>
      <c r="O2660" s="453"/>
      <c r="P2660" s="113"/>
      <c r="Q2660" s="106" t="str">
        <f>IF(ISBLANK(O2660), "", VLOOKUP(C2660&amp;" "&amp;D2660, 'Info Tipo de Cambio y REM'!$A$24:$B$35, 2, FALSE))</f>
        <v/>
      </c>
      <c r="R2660" s="107"/>
    </row>
    <row r="2661" hidden="1">
      <c r="A2661" s="443"/>
      <c r="B2661" s="43" t="str">
        <f>IF(A2661="", "", IFERROR(VLOOKUP(A2661, Clasificaciones!A:B, 2, FALSE), "DATO NO CARGADO"))
</f>
        <v/>
      </c>
      <c r="C2661" s="51"/>
      <c r="D2661" s="102"/>
      <c r="E2661" s="102"/>
      <c r="H2661" s="102"/>
      <c r="J2661" s="102"/>
      <c r="K2661" s="450"/>
      <c r="L2661" s="443"/>
      <c r="M2661" s="450"/>
      <c r="N2661" s="452">
        <f t="array" ref="N2661">IFERROR(
  INDEX(
    'Valor Hora Real y Estimada'!$A$4:$Z$78,
    MATCH(TRIM(CLEAN(A2661)), 'Valor Hora Real y Estimada'!$A$4:$A$78, 0),
    MATCH(
      TEXT(C2661,"dd mmm")&amp;" "&amp;D2661,
      'Valor Hora Real y Estimada'!$A$3:$Z$3,
      0
    ) + 1
  ),
  0
)</f>
        <v>0</v>
      </c>
      <c r="O2661" s="453"/>
      <c r="P2661" s="113"/>
      <c r="Q2661" s="106" t="str">
        <f>IF(ISBLANK(O2661), "", VLOOKUP(C2661&amp;" "&amp;D2661, 'Info Tipo de Cambio y REM'!$A$24:$B$35, 2, FALSE))</f>
        <v/>
      </c>
      <c r="R2661" s="107"/>
    </row>
    <row r="2662" hidden="1">
      <c r="A2662" s="443"/>
      <c r="B2662" s="43" t="str">
        <f>IF(A2662="", "", IFERROR(VLOOKUP(A2662, Clasificaciones!A:B, 2, FALSE), "DATO NO CARGADO"))
</f>
        <v/>
      </c>
      <c r="C2662" s="51"/>
      <c r="D2662" s="102"/>
      <c r="E2662" s="102"/>
      <c r="H2662" s="102"/>
      <c r="J2662" s="102"/>
      <c r="K2662" s="450"/>
      <c r="L2662" s="443"/>
      <c r="M2662" s="450"/>
      <c r="N2662" s="452">
        <f t="array" ref="N2662">IFERROR(
  INDEX(
    'Valor Hora Real y Estimada'!$A$4:$Z$78,
    MATCH(TRIM(CLEAN(A2662)), 'Valor Hora Real y Estimada'!$A$4:$A$78, 0),
    MATCH(
      TEXT(C2662,"dd mmm")&amp;" "&amp;D2662,
      'Valor Hora Real y Estimada'!$A$3:$Z$3,
      0
    ) + 1
  ),
  0
)</f>
        <v>0</v>
      </c>
      <c r="O2662" s="453"/>
      <c r="P2662" s="113"/>
      <c r="Q2662" s="106" t="str">
        <f>IF(ISBLANK(O2662), "", VLOOKUP(C2662&amp;" "&amp;D2662, 'Info Tipo de Cambio y REM'!$A$24:$B$35, 2, FALSE))</f>
        <v/>
      </c>
      <c r="R2662" s="107"/>
    </row>
    <row r="2663" hidden="1">
      <c r="A2663" s="443"/>
      <c r="B2663" s="43" t="str">
        <f>IF(A2663="", "", IFERROR(VLOOKUP(A2663, Clasificaciones!A:B, 2, FALSE), "DATO NO CARGADO"))
</f>
        <v/>
      </c>
      <c r="C2663" s="51"/>
      <c r="D2663" s="102"/>
      <c r="E2663" s="102"/>
      <c r="H2663" s="102"/>
      <c r="J2663" s="102"/>
      <c r="K2663" s="450"/>
      <c r="L2663" s="443"/>
      <c r="M2663" s="450"/>
      <c r="N2663" s="452">
        <f t="array" ref="N2663">IFERROR(
  INDEX(
    'Valor Hora Real y Estimada'!$A$4:$Z$78,
    MATCH(TRIM(CLEAN(A2663)), 'Valor Hora Real y Estimada'!$A$4:$A$78, 0),
    MATCH(
      TEXT(C2663,"dd mmm")&amp;" "&amp;D2663,
      'Valor Hora Real y Estimada'!$A$3:$Z$3,
      0
    ) + 1
  ),
  0
)</f>
        <v>0</v>
      </c>
      <c r="O2663" s="453"/>
      <c r="P2663" s="113"/>
      <c r="Q2663" s="106" t="str">
        <f>IF(ISBLANK(O2663), "", VLOOKUP(C2663&amp;" "&amp;D2663, 'Info Tipo de Cambio y REM'!$A$24:$B$35, 2, FALSE))</f>
        <v/>
      </c>
      <c r="R2663" s="107"/>
    </row>
    <row r="2664" hidden="1">
      <c r="A2664" s="443"/>
      <c r="B2664" s="43" t="str">
        <f>IF(A2664="", "", IFERROR(VLOOKUP(A2664, Clasificaciones!A:B, 2, FALSE), "DATO NO CARGADO"))
</f>
        <v/>
      </c>
      <c r="C2664" s="51"/>
      <c r="D2664" s="102"/>
      <c r="E2664" s="102"/>
      <c r="H2664" s="102"/>
      <c r="J2664" s="102"/>
      <c r="K2664" s="450"/>
      <c r="L2664" s="443"/>
      <c r="M2664" s="450"/>
      <c r="N2664" s="452">
        <f t="array" ref="N2664">IFERROR(
  INDEX(
    'Valor Hora Real y Estimada'!$A$4:$Z$78,
    MATCH(TRIM(CLEAN(A2664)), 'Valor Hora Real y Estimada'!$A$4:$A$78, 0),
    MATCH(
      TEXT(C2664,"dd mmm")&amp;" "&amp;D2664,
      'Valor Hora Real y Estimada'!$A$3:$Z$3,
      0
    ) + 1
  ),
  0
)</f>
        <v>0</v>
      </c>
      <c r="O2664" s="453"/>
      <c r="P2664" s="113"/>
      <c r="Q2664" s="106" t="str">
        <f>IF(ISBLANK(O2664), "", VLOOKUP(C2664&amp;" "&amp;D2664, 'Info Tipo de Cambio y REM'!$A$24:$B$35, 2, FALSE))</f>
        <v/>
      </c>
      <c r="R2664" s="107"/>
    </row>
    <row r="2665" hidden="1">
      <c r="A2665" s="443"/>
      <c r="B2665" s="43" t="str">
        <f>IF(A2665="", "", IFERROR(VLOOKUP(A2665, Clasificaciones!A:B, 2, FALSE), "DATO NO CARGADO"))
</f>
        <v/>
      </c>
      <c r="C2665" s="51"/>
      <c r="D2665" s="102"/>
      <c r="E2665" s="102"/>
      <c r="H2665" s="102"/>
      <c r="J2665" s="102"/>
      <c r="K2665" s="450"/>
      <c r="L2665" s="443"/>
      <c r="M2665" s="450"/>
      <c r="N2665" s="452">
        <f t="array" ref="N2665">IFERROR(
  INDEX(
    'Valor Hora Real y Estimada'!$A$4:$Z$78,
    MATCH(TRIM(CLEAN(A2665)), 'Valor Hora Real y Estimada'!$A$4:$A$78, 0),
    MATCH(
      TEXT(C2665,"dd mmm")&amp;" "&amp;D2665,
      'Valor Hora Real y Estimada'!$A$3:$Z$3,
      0
    ) + 1
  ),
  0
)</f>
        <v>0</v>
      </c>
      <c r="O2665" s="453"/>
      <c r="P2665" s="113"/>
      <c r="Q2665" s="106" t="str">
        <f>IF(ISBLANK(O2665), "", VLOOKUP(C2665&amp;" "&amp;D2665, 'Info Tipo de Cambio y REM'!$A$24:$B$35, 2, FALSE))</f>
        <v/>
      </c>
      <c r="R2665" s="107"/>
    </row>
    <row r="2666" hidden="1">
      <c r="A2666" s="443"/>
      <c r="B2666" s="43" t="str">
        <f>IF(A2666="", "", IFERROR(VLOOKUP(A2666, Clasificaciones!A:B, 2, FALSE), "DATO NO CARGADO"))
</f>
        <v/>
      </c>
      <c r="C2666" s="51"/>
      <c r="D2666" s="102"/>
      <c r="E2666" s="102"/>
      <c r="H2666" s="102"/>
      <c r="J2666" s="102"/>
      <c r="K2666" s="450"/>
      <c r="L2666" s="443"/>
      <c r="M2666" s="450"/>
      <c r="N2666" s="452">
        <f t="array" ref="N2666">IFERROR(
  INDEX(
    'Valor Hora Real y Estimada'!$A$4:$Z$78,
    MATCH(TRIM(CLEAN(A2666)), 'Valor Hora Real y Estimada'!$A$4:$A$78, 0),
    MATCH(
      TEXT(C2666,"dd mmm")&amp;" "&amp;D2666,
      'Valor Hora Real y Estimada'!$A$3:$Z$3,
      0
    ) + 1
  ),
  0
)</f>
        <v>0</v>
      </c>
      <c r="O2666" s="453"/>
      <c r="P2666" s="113"/>
      <c r="Q2666" s="106" t="str">
        <f>IF(ISBLANK(O2666), "", VLOOKUP(C2666&amp;" "&amp;D2666, 'Info Tipo de Cambio y REM'!$A$24:$B$35, 2, FALSE))</f>
        <v/>
      </c>
      <c r="R2666" s="107"/>
    </row>
    <row r="2667" hidden="1">
      <c r="A2667" s="443"/>
      <c r="B2667" s="43" t="str">
        <f>IF(A2667="", "", IFERROR(VLOOKUP(A2667, Clasificaciones!A:B, 2, FALSE), "DATO NO CARGADO"))
</f>
        <v/>
      </c>
      <c r="C2667" s="51"/>
      <c r="D2667" s="102"/>
      <c r="E2667" s="102"/>
      <c r="H2667" s="102"/>
      <c r="J2667" s="102"/>
      <c r="K2667" s="450"/>
      <c r="L2667" s="443"/>
      <c r="M2667" s="450"/>
      <c r="N2667" s="452">
        <f t="array" ref="N2667">IFERROR(
  INDEX(
    'Valor Hora Real y Estimada'!$A$4:$Z$78,
    MATCH(TRIM(CLEAN(A2667)), 'Valor Hora Real y Estimada'!$A$4:$A$78, 0),
    MATCH(
      TEXT(C2667,"dd mmm")&amp;" "&amp;D2667,
      'Valor Hora Real y Estimada'!$A$3:$Z$3,
      0
    ) + 1
  ),
  0
)</f>
        <v>0</v>
      </c>
      <c r="O2667" s="453"/>
      <c r="P2667" s="113"/>
      <c r="Q2667" s="106" t="str">
        <f>IF(ISBLANK(O2667), "", VLOOKUP(C2667&amp;" "&amp;D2667, 'Info Tipo de Cambio y REM'!$A$24:$B$35, 2, FALSE))</f>
        <v/>
      </c>
      <c r="R2667" s="107"/>
    </row>
    <row r="2668" hidden="1">
      <c r="A2668" s="443"/>
      <c r="B2668" s="43" t="str">
        <f>IF(A2668="", "", IFERROR(VLOOKUP(A2668, Clasificaciones!A:B, 2, FALSE), "DATO NO CARGADO"))
</f>
        <v/>
      </c>
      <c r="C2668" s="51"/>
      <c r="D2668" s="102"/>
      <c r="E2668" s="102"/>
      <c r="H2668" s="102"/>
      <c r="J2668" s="102"/>
      <c r="K2668" s="450"/>
      <c r="L2668" s="443"/>
      <c r="M2668" s="450"/>
      <c r="N2668" s="452">
        <f t="array" ref="N2668">IFERROR(
  INDEX(
    'Valor Hora Real y Estimada'!$A$4:$Z$78,
    MATCH(TRIM(CLEAN(A2668)), 'Valor Hora Real y Estimada'!$A$4:$A$78, 0),
    MATCH(
      TEXT(C2668,"dd mmm")&amp;" "&amp;D2668,
      'Valor Hora Real y Estimada'!$A$3:$Z$3,
      0
    ) + 1
  ),
  0
)</f>
        <v>0</v>
      </c>
      <c r="O2668" s="453"/>
      <c r="P2668" s="113"/>
      <c r="Q2668" s="106" t="str">
        <f>IF(ISBLANK(O2668), "", VLOOKUP(C2668&amp;" "&amp;D2668, 'Info Tipo de Cambio y REM'!$A$24:$B$35, 2, FALSE))</f>
        <v/>
      </c>
      <c r="R2668" s="107"/>
    </row>
    <row r="2669" hidden="1">
      <c r="A2669" s="443"/>
      <c r="B2669" s="43" t="str">
        <f>IF(A2669="", "", IFERROR(VLOOKUP(A2669, Clasificaciones!A:B, 2, FALSE), "DATO NO CARGADO"))
</f>
        <v/>
      </c>
      <c r="C2669" s="51"/>
      <c r="D2669" s="102"/>
      <c r="E2669" s="102"/>
      <c r="H2669" s="102"/>
      <c r="J2669" s="102"/>
      <c r="K2669" s="450"/>
      <c r="L2669" s="443"/>
      <c r="M2669" s="450"/>
      <c r="N2669" s="452">
        <f t="array" ref="N2669">IFERROR(
  INDEX(
    'Valor Hora Real y Estimada'!$A$4:$Z$78,
    MATCH(TRIM(CLEAN(A2669)), 'Valor Hora Real y Estimada'!$A$4:$A$78, 0),
    MATCH(
      TEXT(C2669,"dd mmm")&amp;" "&amp;D2669,
      'Valor Hora Real y Estimada'!$A$3:$Z$3,
      0
    ) + 1
  ),
  0
)</f>
        <v>0</v>
      </c>
      <c r="O2669" s="453"/>
      <c r="P2669" s="113"/>
      <c r="Q2669" s="106" t="str">
        <f>IF(ISBLANK(O2669), "", VLOOKUP(C2669&amp;" "&amp;D2669, 'Info Tipo de Cambio y REM'!$A$24:$B$35, 2, FALSE))</f>
        <v/>
      </c>
      <c r="R2669" s="107"/>
    </row>
    <row r="2670" hidden="1">
      <c r="A2670" s="443"/>
      <c r="B2670" s="43" t="str">
        <f>IF(A2670="", "", IFERROR(VLOOKUP(A2670, Clasificaciones!A:B, 2, FALSE), "DATO NO CARGADO"))
</f>
        <v/>
      </c>
      <c r="C2670" s="51"/>
      <c r="D2670" s="102"/>
      <c r="E2670" s="102"/>
      <c r="H2670" s="102"/>
      <c r="J2670" s="102"/>
      <c r="K2670" s="450"/>
      <c r="L2670" s="443"/>
      <c r="M2670" s="450"/>
      <c r="N2670" s="452">
        <f t="array" ref="N2670">IFERROR(
  INDEX(
    'Valor Hora Real y Estimada'!$A$4:$Z$78,
    MATCH(TRIM(CLEAN(A2670)), 'Valor Hora Real y Estimada'!$A$4:$A$78, 0),
    MATCH(
      TEXT(C2670,"dd mmm")&amp;" "&amp;D2670,
      'Valor Hora Real y Estimada'!$A$3:$Z$3,
      0
    ) + 1
  ),
  0
)</f>
        <v>0</v>
      </c>
      <c r="O2670" s="453"/>
      <c r="P2670" s="113"/>
      <c r="Q2670" s="106" t="str">
        <f>IF(ISBLANK(O2670), "", VLOOKUP(C2670&amp;" "&amp;D2670, 'Info Tipo de Cambio y REM'!$A$24:$B$35, 2, FALSE))</f>
        <v/>
      </c>
      <c r="R2670" s="107"/>
    </row>
    <row r="2671" hidden="1">
      <c r="A2671" s="443"/>
      <c r="B2671" s="43" t="str">
        <f>IF(A2671="", "", IFERROR(VLOOKUP(A2671, Clasificaciones!A:B, 2, FALSE), "DATO NO CARGADO"))
</f>
        <v/>
      </c>
      <c r="C2671" s="51"/>
      <c r="D2671" s="102"/>
      <c r="E2671" s="102"/>
      <c r="H2671" s="102"/>
      <c r="J2671" s="102"/>
      <c r="K2671" s="450"/>
      <c r="L2671" s="443"/>
      <c r="M2671" s="450"/>
      <c r="N2671" s="452">
        <f t="array" ref="N2671">IFERROR(
  INDEX(
    'Valor Hora Real y Estimada'!$A$4:$Z$78,
    MATCH(TRIM(CLEAN(A2671)), 'Valor Hora Real y Estimada'!$A$4:$A$78, 0),
    MATCH(
      TEXT(C2671,"dd mmm")&amp;" "&amp;D2671,
      'Valor Hora Real y Estimada'!$A$3:$Z$3,
      0
    ) + 1
  ),
  0
)</f>
        <v>0</v>
      </c>
      <c r="O2671" s="453"/>
      <c r="P2671" s="113"/>
      <c r="Q2671" s="106" t="str">
        <f>IF(ISBLANK(O2671), "", VLOOKUP(C2671&amp;" "&amp;D2671, 'Info Tipo de Cambio y REM'!$A$24:$B$35, 2, FALSE))</f>
        <v/>
      </c>
      <c r="R2671" s="107"/>
    </row>
    <row r="2672" hidden="1">
      <c r="A2672" s="443"/>
      <c r="B2672" s="43" t="str">
        <f>IF(A2672="", "", IFERROR(VLOOKUP(A2672, Clasificaciones!A:B, 2, FALSE), "DATO NO CARGADO"))
</f>
        <v/>
      </c>
      <c r="C2672" s="51"/>
      <c r="D2672" s="102"/>
      <c r="E2672" s="102"/>
      <c r="H2672" s="102"/>
      <c r="J2672" s="102"/>
      <c r="K2672" s="450"/>
      <c r="L2672" s="443"/>
      <c r="M2672" s="450"/>
      <c r="N2672" s="452">
        <f t="array" ref="N2672">IFERROR(
  INDEX(
    'Valor Hora Real y Estimada'!$A$4:$Z$78,
    MATCH(TRIM(CLEAN(A2672)), 'Valor Hora Real y Estimada'!$A$4:$A$78, 0),
    MATCH(
      TEXT(C2672,"dd mmm")&amp;" "&amp;D2672,
      'Valor Hora Real y Estimada'!$A$3:$Z$3,
      0
    ) + 1
  ),
  0
)</f>
        <v>0</v>
      </c>
      <c r="O2672" s="453"/>
      <c r="P2672" s="113"/>
      <c r="Q2672" s="106" t="str">
        <f>IF(ISBLANK(O2672), "", VLOOKUP(C2672&amp;" "&amp;D2672, 'Info Tipo de Cambio y REM'!$A$24:$B$35, 2, FALSE))</f>
        <v/>
      </c>
      <c r="R2672" s="107"/>
    </row>
    <row r="2673" hidden="1">
      <c r="A2673" s="443"/>
      <c r="B2673" s="43" t="str">
        <f>IF(A2673="", "", IFERROR(VLOOKUP(A2673, Clasificaciones!A:B, 2, FALSE), "DATO NO CARGADO"))
</f>
        <v/>
      </c>
      <c r="C2673" s="51"/>
      <c r="D2673" s="102"/>
      <c r="E2673" s="102"/>
      <c r="H2673" s="102"/>
      <c r="J2673" s="102"/>
      <c r="K2673" s="450"/>
      <c r="L2673" s="443"/>
      <c r="M2673" s="450"/>
      <c r="N2673" s="452">
        <f t="array" ref="N2673">IFERROR(
  INDEX(
    'Valor Hora Real y Estimada'!$A$4:$Z$78,
    MATCH(TRIM(CLEAN(A2673)), 'Valor Hora Real y Estimada'!$A$4:$A$78, 0),
    MATCH(
      TEXT(C2673,"dd mmm")&amp;" "&amp;D2673,
      'Valor Hora Real y Estimada'!$A$3:$Z$3,
      0
    ) + 1
  ),
  0
)</f>
        <v>0</v>
      </c>
      <c r="O2673" s="453"/>
      <c r="P2673" s="113"/>
      <c r="Q2673" s="106" t="str">
        <f>IF(ISBLANK(O2673), "", VLOOKUP(C2673&amp;" "&amp;D2673, 'Info Tipo de Cambio y REM'!$A$24:$B$35, 2, FALSE))</f>
        <v/>
      </c>
      <c r="R2673" s="107"/>
    </row>
    <row r="2674" hidden="1">
      <c r="A2674" s="443"/>
      <c r="B2674" s="43" t="str">
        <f>IF(A2674="", "", IFERROR(VLOOKUP(A2674, Clasificaciones!A:B, 2, FALSE), "DATO NO CARGADO"))
</f>
        <v/>
      </c>
      <c r="C2674" s="51"/>
      <c r="D2674" s="102"/>
      <c r="E2674" s="102"/>
      <c r="H2674" s="102"/>
      <c r="J2674" s="102"/>
      <c r="K2674" s="450"/>
      <c r="L2674" s="443"/>
      <c r="M2674" s="450"/>
      <c r="N2674" s="452">
        <f t="array" ref="N2674">IFERROR(
  INDEX(
    'Valor Hora Real y Estimada'!$A$4:$Z$78,
    MATCH(TRIM(CLEAN(A2674)), 'Valor Hora Real y Estimada'!$A$4:$A$78, 0),
    MATCH(
      TEXT(C2674,"dd mmm")&amp;" "&amp;D2674,
      'Valor Hora Real y Estimada'!$A$3:$Z$3,
      0
    ) + 1
  ),
  0
)</f>
        <v>0</v>
      </c>
      <c r="O2674" s="453"/>
      <c r="P2674" s="113"/>
      <c r="Q2674" s="106" t="str">
        <f>IF(ISBLANK(O2674), "", VLOOKUP(C2674&amp;" "&amp;D2674, 'Info Tipo de Cambio y REM'!$A$24:$B$35, 2, FALSE))</f>
        <v/>
      </c>
      <c r="R2674" s="107"/>
    </row>
    <row r="2675" hidden="1">
      <c r="A2675" s="443"/>
      <c r="B2675" s="43" t="str">
        <f>IF(A2675="", "", IFERROR(VLOOKUP(A2675, Clasificaciones!A:B, 2, FALSE), "DATO NO CARGADO"))
</f>
        <v/>
      </c>
      <c r="C2675" s="51"/>
      <c r="D2675" s="102"/>
      <c r="E2675" s="102"/>
      <c r="H2675" s="102"/>
      <c r="J2675" s="102"/>
      <c r="K2675" s="450"/>
      <c r="L2675" s="443"/>
      <c r="M2675" s="450"/>
      <c r="N2675" s="452">
        <f t="array" ref="N2675">IFERROR(
  INDEX(
    'Valor Hora Real y Estimada'!$A$4:$Z$78,
    MATCH(TRIM(CLEAN(A2675)), 'Valor Hora Real y Estimada'!$A$4:$A$78, 0),
    MATCH(
      TEXT(C2675,"dd mmm")&amp;" "&amp;D2675,
      'Valor Hora Real y Estimada'!$A$3:$Z$3,
      0
    ) + 1
  ),
  0
)</f>
        <v>0</v>
      </c>
      <c r="O2675" s="453"/>
      <c r="P2675" s="113"/>
      <c r="Q2675" s="106" t="str">
        <f>IF(ISBLANK(O2675), "", VLOOKUP(C2675&amp;" "&amp;D2675, 'Info Tipo de Cambio y REM'!$A$24:$B$35, 2, FALSE))</f>
        <v/>
      </c>
      <c r="R2675" s="107"/>
    </row>
    <row r="2676" hidden="1">
      <c r="A2676" s="443"/>
      <c r="B2676" s="43" t="str">
        <f>IF(A2676="", "", IFERROR(VLOOKUP(A2676, Clasificaciones!A:B, 2, FALSE), "DATO NO CARGADO"))
</f>
        <v/>
      </c>
      <c r="C2676" s="51"/>
      <c r="D2676" s="102"/>
      <c r="E2676" s="102"/>
      <c r="H2676" s="102"/>
      <c r="J2676" s="102"/>
      <c r="K2676" s="450"/>
      <c r="L2676" s="443"/>
      <c r="M2676" s="450"/>
      <c r="N2676" s="452">
        <f t="array" ref="N2676">IFERROR(
  INDEX(
    'Valor Hora Real y Estimada'!$A$4:$Z$78,
    MATCH(TRIM(CLEAN(A2676)), 'Valor Hora Real y Estimada'!$A$4:$A$78, 0),
    MATCH(
      TEXT(C2676,"dd mmm")&amp;" "&amp;D2676,
      'Valor Hora Real y Estimada'!$A$3:$Z$3,
      0
    ) + 1
  ),
  0
)</f>
        <v>0</v>
      </c>
      <c r="O2676" s="453"/>
      <c r="P2676" s="113"/>
      <c r="Q2676" s="106" t="str">
        <f>IF(ISBLANK(O2676), "", VLOOKUP(C2676&amp;" "&amp;D2676, 'Info Tipo de Cambio y REM'!$A$24:$B$35, 2, FALSE))</f>
        <v/>
      </c>
      <c r="R2676" s="107"/>
    </row>
    <row r="2677" hidden="1">
      <c r="A2677" s="443"/>
      <c r="B2677" s="43" t="str">
        <f>IF(A2677="", "", IFERROR(VLOOKUP(A2677, Clasificaciones!A:B, 2, FALSE), "DATO NO CARGADO"))
</f>
        <v/>
      </c>
      <c r="C2677" s="51"/>
      <c r="D2677" s="102"/>
      <c r="E2677" s="102"/>
      <c r="H2677" s="102"/>
      <c r="J2677" s="102"/>
      <c r="K2677" s="450"/>
      <c r="L2677" s="443"/>
      <c r="M2677" s="450"/>
      <c r="N2677" s="452">
        <f t="array" ref="N2677">IFERROR(
  INDEX(
    'Valor Hora Real y Estimada'!$A$4:$Z$78,
    MATCH(TRIM(CLEAN(A2677)), 'Valor Hora Real y Estimada'!$A$4:$A$78, 0),
    MATCH(
      TEXT(C2677,"dd mmm")&amp;" "&amp;D2677,
      'Valor Hora Real y Estimada'!$A$3:$Z$3,
      0
    ) + 1
  ),
  0
)</f>
        <v>0</v>
      </c>
      <c r="O2677" s="453"/>
      <c r="P2677" s="113"/>
      <c r="Q2677" s="106" t="str">
        <f>IF(ISBLANK(O2677), "", VLOOKUP(C2677&amp;" "&amp;D2677, 'Info Tipo de Cambio y REM'!$A$24:$B$35, 2, FALSE))</f>
        <v/>
      </c>
      <c r="R2677" s="107"/>
    </row>
    <row r="2678" hidden="1">
      <c r="A2678" s="443"/>
      <c r="B2678" s="43" t="str">
        <f>IF(A2678="", "", IFERROR(VLOOKUP(A2678, Clasificaciones!A:B, 2, FALSE), "DATO NO CARGADO"))
</f>
        <v/>
      </c>
      <c r="C2678" s="51"/>
      <c r="D2678" s="102"/>
      <c r="E2678" s="102"/>
      <c r="H2678" s="102"/>
      <c r="J2678" s="102"/>
      <c r="K2678" s="450"/>
      <c r="L2678" s="443"/>
      <c r="M2678" s="450"/>
      <c r="N2678" s="452">
        <f t="array" ref="N2678">IFERROR(
  INDEX(
    'Valor Hora Real y Estimada'!$A$4:$Z$78,
    MATCH(TRIM(CLEAN(A2678)), 'Valor Hora Real y Estimada'!$A$4:$A$78, 0),
    MATCH(
      TEXT(C2678,"dd mmm")&amp;" "&amp;D2678,
      'Valor Hora Real y Estimada'!$A$3:$Z$3,
      0
    ) + 1
  ),
  0
)</f>
        <v>0</v>
      </c>
      <c r="O2678" s="453"/>
      <c r="P2678" s="113"/>
      <c r="Q2678" s="106" t="str">
        <f>IF(ISBLANK(O2678), "", VLOOKUP(C2678&amp;" "&amp;D2678, 'Info Tipo de Cambio y REM'!$A$24:$B$35, 2, FALSE))</f>
        <v/>
      </c>
      <c r="R2678" s="107"/>
    </row>
    <row r="2679" hidden="1">
      <c r="A2679" s="443"/>
      <c r="B2679" s="43" t="str">
        <f>IF(A2679="", "", IFERROR(VLOOKUP(A2679, Clasificaciones!A:B, 2, FALSE), "DATO NO CARGADO"))
</f>
        <v/>
      </c>
      <c r="C2679" s="51"/>
      <c r="D2679" s="102"/>
      <c r="E2679" s="102"/>
      <c r="H2679" s="102"/>
      <c r="J2679" s="102"/>
      <c r="K2679" s="450"/>
      <c r="L2679" s="443"/>
      <c r="M2679" s="450"/>
      <c r="N2679" s="452">
        <f t="array" ref="N2679">IFERROR(
  INDEX(
    'Valor Hora Real y Estimada'!$A$4:$Z$78,
    MATCH(TRIM(CLEAN(A2679)), 'Valor Hora Real y Estimada'!$A$4:$A$78, 0),
    MATCH(
      TEXT(C2679,"dd mmm")&amp;" "&amp;D2679,
      'Valor Hora Real y Estimada'!$A$3:$Z$3,
      0
    ) + 1
  ),
  0
)</f>
        <v>0</v>
      </c>
      <c r="O2679" s="453"/>
      <c r="P2679" s="113"/>
      <c r="Q2679" s="106" t="str">
        <f>IF(ISBLANK(O2679), "", VLOOKUP(C2679&amp;" "&amp;D2679, 'Info Tipo de Cambio y REM'!$A$24:$B$35, 2, FALSE))</f>
        <v/>
      </c>
      <c r="R2679" s="107"/>
    </row>
    <row r="2680" hidden="1">
      <c r="A2680" s="443"/>
      <c r="B2680" s="43" t="str">
        <f>IF(A2680="", "", IFERROR(VLOOKUP(A2680, Clasificaciones!A:B, 2, FALSE), "DATO NO CARGADO"))
</f>
        <v/>
      </c>
      <c r="C2680" s="51"/>
      <c r="D2680" s="102"/>
      <c r="E2680" s="102"/>
      <c r="H2680" s="102"/>
      <c r="J2680" s="102"/>
      <c r="K2680" s="450"/>
      <c r="L2680" s="443"/>
      <c r="M2680" s="450"/>
      <c r="N2680" s="452">
        <f t="array" ref="N2680">IFERROR(
  INDEX(
    'Valor Hora Real y Estimada'!$A$4:$Z$78,
    MATCH(TRIM(CLEAN(A2680)), 'Valor Hora Real y Estimada'!$A$4:$A$78, 0),
    MATCH(
      TEXT(C2680,"dd mmm")&amp;" "&amp;D2680,
      'Valor Hora Real y Estimada'!$A$3:$Z$3,
      0
    ) + 1
  ),
  0
)</f>
        <v>0</v>
      </c>
      <c r="O2680" s="453"/>
      <c r="P2680" s="113"/>
      <c r="Q2680" s="106" t="str">
        <f>IF(ISBLANK(O2680), "", VLOOKUP(C2680&amp;" "&amp;D2680, 'Info Tipo de Cambio y REM'!$A$24:$B$35, 2, FALSE))</f>
        <v/>
      </c>
      <c r="R2680" s="107"/>
    </row>
    <row r="2681" hidden="1">
      <c r="A2681" s="443"/>
      <c r="B2681" s="43" t="str">
        <f>IF(A2681="", "", IFERROR(VLOOKUP(A2681, Clasificaciones!A:B, 2, FALSE), "DATO NO CARGADO"))
</f>
        <v/>
      </c>
      <c r="C2681" s="51"/>
      <c r="D2681" s="102"/>
      <c r="E2681" s="102"/>
      <c r="H2681" s="102"/>
      <c r="J2681" s="102"/>
      <c r="K2681" s="450"/>
      <c r="L2681" s="443"/>
      <c r="M2681" s="450"/>
      <c r="N2681" s="452">
        <f t="array" ref="N2681">IFERROR(
  INDEX(
    'Valor Hora Real y Estimada'!$A$4:$Z$78,
    MATCH(TRIM(CLEAN(A2681)), 'Valor Hora Real y Estimada'!$A$4:$A$78, 0),
    MATCH(
      TEXT(C2681,"dd mmm")&amp;" "&amp;D2681,
      'Valor Hora Real y Estimada'!$A$3:$Z$3,
      0
    ) + 1
  ),
  0
)</f>
        <v>0</v>
      </c>
      <c r="O2681" s="453"/>
      <c r="P2681" s="113"/>
      <c r="Q2681" s="106" t="str">
        <f>IF(ISBLANK(O2681), "", VLOOKUP(C2681&amp;" "&amp;D2681, 'Info Tipo de Cambio y REM'!$A$24:$B$35, 2, FALSE))</f>
        <v/>
      </c>
      <c r="R2681" s="107"/>
    </row>
    <row r="2682" hidden="1">
      <c r="A2682" s="443"/>
      <c r="B2682" s="43" t="str">
        <f>IF(A2682="", "", IFERROR(VLOOKUP(A2682, Clasificaciones!A:B, 2, FALSE), "DATO NO CARGADO"))
</f>
        <v/>
      </c>
      <c r="C2682" s="51"/>
      <c r="D2682" s="102"/>
      <c r="E2682" s="102"/>
      <c r="H2682" s="102"/>
      <c r="J2682" s="102"/>
      <c r="K2682" s="450"/>
      <c r="L2682" s="443"/>
      <c r="M2682" s="450"/>
      <c r="N2682" s="452">
        <f t="array" ref="N2682">IFERROR(
  INDEX(
    'Valor Hora Real y Estimada'!$A$4:$Z$78,
    MATCH(TRIM(CLEAN(A2682)), 'Valor Hora Real y Estimada'!$A$4:$A$78, 0),
    MATCH(
      TEXT(C2682,"dd mmm")&amp;" "&amp;D2682,
      'Valor Hora Real y Estimada'!$A$3:$Z$3,
      0
    ) + 1
  ),
  0
)</f>
        <v>0</v>
      </c>
      <c r="O2682" s="453"/>
      <c r="P2682" s="113"/>
      <c r="Q2682" s="106" t="str">
        <f>IF(ISBLANK(O2682), "", VLOOKUP(C2682&amp;" "&amp;D2682, 'Info Tipo de Cambio y REM'!$A$24:$B$35, 2, FALSE))</f>
        <v/>
      </c>
      <c r="R2682" s="107"/>
    </row>
    <row r="2683" hidden="1">
      <c r="A2683" s="443"/>
      <c r="B2683" s="43" t="str">
        <f>IF(A2683="", "", IFERROR(VLOOKUP(A2683, Clasificaciones!A:B, 2, FALSE), "DATO NO CARGADO"))
</f>
        <v/>
      </c>
      <c r="C2683" s="51"/>
      <c r="D2683" s="102"/>
      <c r="E2683" s="102"/>
      <c r="H2683" s="102"/>
      <c r="J2683" s="102"/>
      <c r="K2683" s="450"/>
      <c r="L2683" s="443"/>
      <c r="M2683" s="450"/>
      <c r="N2683" s="452">
        <f t="array" ref="N2683">IFERROR(
  INDEX(
    'Valor Hora Real y Estimada'!$A$4:$Z$78,
    MATCH(TRIM(CLEAN(A2683)), 'Valor Hora Real y Estimada'!$A$4:$A$78, 0),
    MATCH(
      TEXT(C2683,"dd mmm")&amp;" "&amp;D2683,
      'Valor Hora Real y Estimada'!$A$3:$Z$3,
      0
    ) + 1
  ),
  0
)</f>
        <v>0</v>
      </c>
      <c r="O2683" s="453"/>
      <c r="P2683" s="113"/>
      <c r="Q2683" s="106" t="str">
        <f>IF(ISBLANK(O2683), "", VLOOKUP(C2683&amp;" "&amp;D2683, 'Info Tipo de Cambio y REM'!$A$24:$B$35, 2, FALSE))</f>
        <v/>
      </c>
      <c r="R2683" s="107"/>
    </row>
    <row r="2684" hidden="1">
      <c r="A2684" s="443"/>
      <c r="B2684" s="43" t="str">
        <f>IF(A2684="", "", IFERROR(VLOOKUP(A2684, Clasificaciones!A:B, 2, FALSE), "DATO NO CARGADO"))
</f>
        <v/>
      </c>
      <c r="C2684" s="51"/>
      <c r="D2684" s="102"/>
      <c r="E2684" s="102"/>
      <c r="H2684" s="102"/>
      <c r="J2684" s="102"/>
      <c r="K2684" s="450"/>
      <c r="L2684" s="443"/>
      <c r="M2684" s="450"/>
      <c r="N2684" s="452">
        <f t="array" ref="N2684">IFERROR(
  INDEX(
    'Valor Hora Real y Estimada'!$A$4:$Z$78,
    MATCH(TRIM(CLEAN(A2684)), 'Valor Hora Real y Estimada'!$A$4:$A$78, 0),
    MATCH(
      TEXT(C2684,"dd mmm")&amp;" "&amp;D2684,
      'Valor Hora Real y Estimada'!$A$3:$Z$3,
      0
    ) + 1
  ),
  0
)</f>
        <v>0</v>
      </c>
      <c r="O2684" s="453"/>
      <c r="P2684" s="113"/>
      <c r="Q2684" s="106" t="str">
        <f>IF(ISBLANK(O2684), "", VLOOKUP(C2684&amp;" "&amp;D2684, 'Info Tipo de Cambio y REM'!$A$24:$B$35, 2, FALSE))</f>
        <v/>
      </c>
      <c r="R2684" s="107"/>
    </row>
    <row r="2685" hidden="1">
      <c r="A2685" s="443"/>
      <c r="B2685" s="43" t="str">
        <f>IF(A2685="", "", IFERROR(VLOOKUP(A2685, Clasificaciones!A:B, 2, FALSE), "DATO NO CARGADO"))
</f>
        <v/>
      </c>
      <c r="C2685" s="51"/>
      <c r="D2685" s="102"/>
      <c r="E2685" s="102"/>
      <c r="H2685" s="102"/>
      <c r="J2685" s="102"/>
      <c r="K2685" s="450"/>
      <c r="L2685" s="443"/>
      <c r="M2685" s="450"/>
      <c r="N2685" s="452">
        <f t="array" ref="N2685">IFERROR(
  INDEX(
    'Valor Hora Real y Estimada'!$A$4:$Z$78,
    MATCH(TRIM(CLEAN(A2685)), 'Valor Hora Real y Estimada'!$A$4:$A$78, 0),
    MATCH(
      TEXT(C2685,"dd mmm")&amp;" "&amp;D2685,
      'Valor Hora Real y Estimada'!$A$3:$Z$3,
      0
    ) + 1
  ),
  0
)</f>
        <v>0</v>
      </c>
      <c r="O2685" s="453"/>
      <c r="P2685" s="113"/>
      <c r="Q2685" s="106" t="str">
        <f>IF(ISBLANK(O2685), "", VLOOKUP(C2685&amp;" "&amp;D2685, 'Info Tipo de Cambio y REM'!$A$24:$B$35, 2, FALSE))</f>
        <v/>
      </c>
      <c r="R2685" s="107"/>
    </row>
    <row r="2686" hidden="1">
      <c r="A2686" s="443"/>
      <c r="B2686" s="43" t="str">
        <f>IF(A2686="", "", IFERROR(VLOOKUP(A2686, Clasificaciones!A:B, 2, FALSE), "DATO NO CARGADO"))
</f>
        <v/>
      </c>
      <c r="C2686" s="51"/>
      <c r="D2686" s="102"/>
      <c r="E2686" s="102"/>
      <c r="H2686" s="102"/>
      <c r="J2686" s="102"/>
      <c r="K2686" s="450"/>
      <c r="L2686" s="443"/>
      <c r="M2686" s="450"/>
      <c r="N2686" s="452">
        <f t="array" ref="N2686">IFERROR(
  INDEX(
    'Valor Hora Real y Estimada'!$A$4:$Z$78,
    MATCH(TRIM(CLEAN(A2686)), 'Valor Hora Real y Estimada'!$A$4:$A$78, 0),
    MATCH(
      TEXT(C2686,"dd mmm")&amp;" "&amp;D2686,
      'Valor Hora Real y Estimada'!$A$3:$Z$3,
      0
    ) + 1
  ),
  0
)</f>
        <v>0</v>
      </c>
      <c r="O2686" s="453"/>
      <c r="P2686" s="113"/>
      <c r="Q2686" s="106" t="str">
        <f>IF(ISBLANK(O2686), "", VLOOKUP(C2686&amp;" "&amp;D2686, 'Info Tipo de Cambio y REM'!$A$24:$B$35, 2, FALSE))</f>
        <v/>
      </c>
      <c r="R2686" s="107"/>
    </row>
    <row r="2687" hidden="1">
      <c r="A2687" s="443"/>
      <c r="B2687" s="43" t="str">
        <f>IF(A2687="", "", IFERROR(VLOOKUP(A2687, Clasificaciones!A:B, 2, FALSE), "DATO NO CARGADO"))
</f>
        <v/>
      </c>
      <c r="C2687" s="51"/>
      <c r="D2687" s="102"/>
      <c r="E2687" s="102"/>
      <c r="H2687" s="102"/>
      <c r="J2687" s="102"/>
      <c r="K2687" s="450"/>
      <c r="L2687" s="443"/>
      <c r="M2687" s="450"/>
      <c r="N2687" s="452">
        <f t="array" ref="N2687">IFERROR(
  INDEX(
    'Valor Hora Real y Estimada'!$A$4:$Z$78,
    MATCH(TRIM(CLEAN(A2687)), 'Valor Hora Real y Estimada'!$A$4:$A$78, 0),
    MATCH(
      TEXT(C2687,"dd mmm")&amp;" "&amp;D2687,
      'Valor Hora Real y Estimada'!$A$3:$Z$3,
      0
    ) + 1
  ),
  0
)</f>
        <v>0</v>
      </c>
      <c r="O2687" s="453"/>
      <c r="P2687" s="113"/>
      <c r="Q2687" s="106" t="str">
        <f>IF(ISBLANK(O2687), "", VLOOKUP(C2687&amp;" "&amp;D2687, 'Info Tipo de Cambio y REM'!$A$24:$B$35, 2, FALSE))</f>
        <v/>
      </c>
      <c r="R2687" s="107"/>
    </row>
    <row r="2688" hidden="1">
      <c r="A2688" s="443"/>
      <c r="B2688" s="43" t="str">
        <f>IF(A2688="", "", IFERROR(VLOOKUP(A2688, Clasificaciones!A:B, 2, FALSE), "DATO NO CARGADO"))
</f>
        <v/>
      </c>
      <c r="C2688" s="51"/>
      <c r="D2688" s="102"/>
      <c r="E2688" s="102"/>
      <c r="H2688" s="102"/>
      <c r="J2688" s="102"/>
      <c r="K2688" s="450"/>
      <c r="L2688" s="443"/>
      <c r="M2688" s="450"/>
      <c r="N2688" s="452">
        <f t="array" ref="N2688">IFERROR(
  INDEX(
    'Valor Hora Real y Estimada'!$A$4:$Z$78,
    MATCH(TRIM(CLEAN(A2688)), 'Valor Hora Real y Estimada'!$A$4:$A$78, 0),
    MATCH(
      TEXT(C2688,"dd mmm")&amp;" "&amp;D2688,
      'Valor Hora Real y Estimada'!$A$3:$Z$3,
      0
    ) + 1
  ),
  0
)</f>
        <v>0</v>
      </c>
      <c r="O2688" s="453"/>
      <c r="P2688" s="113"/>
      <c r="Q2688" s="106" t="str">
        <f>IF(ISBLANK(O2688), "", VLOOKUP(C2688&amp;" "&amp;D2688, 'Info Tipo de Cambio y REM'!$A$24:$B$35, 2, FALSE))</f>
        <v/>
      </c>
      <c r="R2688" s="107"/>
    </row>
    <row r="2689" hidden="1">
      <c r="A2689" s="443"/>
      <c r="B2689" s="43" t="str">
        <f>IF(A2689="", "", IFERROR(VLOOKUP(A2689, Clasificaciones!A:B, 2, FALSE), "DATO NO CARGADO"))
</f>
        <v/>
      </c>
      <c r="C2689" s="51"/>
      <c r="D2689" s="102"/>
      <c r="E2689" s="102"/>
      <c r="H2689" s="102"/>
      <c r="J2689" s="102"/>
      <c r="K2689" s="450"/>
      <c r="L2689" s="443"/>
      <c r="M2689" s="450"/>
      <c r="N2689" s="452">
        <f t="array" ref="N2689">IFERROR(
  INDEX(
    'Valor Hora Real y Estimada'!$A$4:$Z$78,
    MATCH(TRIM(CLEAN(A2689)), 'Valor Hora Real y Estimada'!$A$4:$A$78, 0),
    MATCH(
      TEXT(C2689,"dd mmm")&amp;" "&amp;D2689,
      'Valor Hora Real y Estimada'!$A$3:$Z$3,
      0
    ) + 1
  ),
  0
)</f>
        <v>0</v>
      </c>
      <c r="O2689" s="453"/>
      <c r="P2689" s="113"/>
      <c r="Q2689" s="106" t="str">
        <f>IF(ISBLANK(O2689), "", VLOOKUP(C2689&amp;" "&amp;D2689, 'Info Tipo de Cambio y REM'!$A$24:$B$35, 2, FALSE))</f>
        <v/>
      </c>
      <c r="R2689" s="107"/>
    </row>
    <row r="2690" hidden="1">
      <c r="A2690" s="443"/>
      <c r="B2690" s="43" t="str">
        <f>IF(A2690="", "", IFERROR(VLOOKUP(A2690, Clasificaciones!A:B, 2, FALSE), "DATO NO CARGADO"))
</f>
        <v/>
      </c>
      <c r="C2690" s="51"/>
      <c r="D2690" s="102"/>
      <c r="E2690" s="102"/>
      <c r="H2690" s="102"/>
      <c r="J2690" s="102"/>
      <c r="K2690" s="450"/>
      <c r="L2690" s="443"/>
      <c r="M2690" s="450"/>
      <c r="N2690" s="452">
        <f t="array" ref="N2690">IFERROR(
  INDEX(
    'Valor Hora Real y Estimada'!$A$4:$Z$78,
    MATCH(TRIM(CLEAN(A2690)), 'Valor Hora Real y Estimada'!$A$4:$A$78, 0),
    MATCH(
      TEXT(C2690,"dd mmm")&amp;" "&amp;D2690,
      'Valor Hora Real y Estimada'!$A$3:$Z$3,
      0
    ) + 1
  ),
  0
)</f>
        <v>0</v>
      </c>
      <c r="O2690" s="453"/>
      <c r="P2690" s="113"/>
      <c r="Q2690" s="106" t="str">
        <f>IF(ISBLANK(O2690), "", VLOOKUP(C2690&amp;" "&amp;D2690, 'Info Tipo de Cambio y REM'!$A$24:$B$35, 2, FALSE))</f>
        <v/>
      </c>
      <c r="R2690" s="107"/>
    </row>
    <row r="2691" hidden="1">
      <c r="A2691" s="443"/>
      <c r="B2691" s="43" t="str">
        <f>IF(A2691="", "", IFERROR(VLOOKUP(A2691, Clasificaciones!A:B, 2, FALSE), "DATO NO CARGADO"))
</f>
        <v/>
      </c>
      <c r="C2691" s="51"/>
      <c r="D2691" s="102"/>
      <c r="E2691" s="102"/>
      <c r="H2691" s="102"/>
      <c r="J2691" s="102"/>
      <c r="K2691" s="450"/>
      <c r="L2691" s="443"/>
      <c r="M2691" s="450"/>
      <c r="N2691" s="452">
        <f t="array" ref="N2691">IFERROR(
  INDEX(
    'Valor Hora Real y Estimada'!$A$4:$Z$78,
    MATCH(TRIM(CLEAN(A2691)), 'Valor Hora Real y Estimada'!$A$4:$A$78, 0),
    MATCH(
      TEXT(C2691,"dd mmm")&amp;" "&amp;D2691,
      'Valor Hora Real y Estimada'!$A$3:$Z$3,
      0
    ) + 1
  ),
  0
)</f>
        <v>0</v>
      </c>
      <c r="O2691" s="453"/>
      <c r="P2691" s="113"/>
      <c r="Q2691" s="106" t="str">
        <f>IF(ISBLANK(O2691), "", VLOOKUP(C2691&amp;" "&amp;D2691, 'Info Tipo de Cambio y REM'!$A$24:$B$35, 2, FALSE))</f>
        <v/>
      </c>
      <c r="R2691" s="107"/>
    </row>
    <row r="2692" hidden="1">
      <c r="A2692" s="443"/>
      <c r="B2692" s="43" t="str">
        <f>IF(A2692="", "", IFERROR(VLOOKUP(A2692, Clasificaciones!A:B, 2, FALSE), "DATO NO CARGADO"))
</f>
        <v/>
      </c>
      <c r="C2692" s="51"/>
      <c r="D2692" s="102"/>
      <c r="E2692" s="102"/>
      <c r="H2692" s="102"/>
      <c r="J2692" s="102"/>
      <c r="K2692" s="450"/>
      <c r="L2692" s="443"/>
      <c r="M2692" s="450"/>
      <c r="N2692" s="452">
        <f t="array" ref="N2692">IFERROR(
  INDEX(
    'Valor Hora Real y Estimada'!$A$4:$Z$78,
    MATCH(TRIM(CLEAN(A2692)), 'Valor Hora Real y Estimada'!$A$4:$A$78, 0),
    MATCH(
      TEXT(C2692,"dd mmm")&amp;" "&amp;D2692,
      'Valor Hora Real y Estimada'!$A$3:$Z$3,
      0
    ) + 1
  ),
  0
)</f>
        <v>0</v>
      </c>
      <c r="O2692" s="453"/>
      <c r="P2692" s="113"/>
      <c r="Q2692" s="106" t="str">
        <f>IF(ISBLANK(O2692), "", VLOOKUP(C2692&amp;" "&amp;D2692, 'Info Tipo de Cambio y REM'!$A$24:$B$35, 2, FALSE))</f>
        <v/>
      </c>
      <c r="R2692" s="107"/>
    </row>
    <row r="2693" hidden="1">
      <c r="A2693" s="443"/>
      <c r="B2693" s="43" t="str">
        <f>IF(A2693="", "", IFERROR(VLOOKUP(A2693, Clasificaciones!A:B, 2, FALSE), "DATO NO CARGADO"))
</f>
        <v/>
      </c>
      <c r="C2693" s="51"/>
      <c r="D2693" s="102"/>
      <c r="E2693" s="102"/>
      <c r="H2693" s="102"/>
      <c r="J2693" s="102"/>
      <c r="K2693" s="450"/>
      <c r="L2693" s="443"/>
      <c r="M2693" s="450"/>
      <c r="N2693" s="452">
        <f t="array" ref="N2693">IFERROR(
  INDEX(
    'Valor Hora Real y Estimada'!$A$4:$Z$78,
    MATCH(TRIM(CLEAN(A2693)), 'Valor Hora Real y Estimada'!$A$4:$A$78, 0),
    MATCH(
      TEXT(C2693,"dd mmm")&amp;" "&amp;D2693,
      'Valor Hora Real y Estimada'!$A$3:$Z$3,
      0
    ) + 1
  ),
  0
)</f>
        <v>0</v>
      </c>
      <c r="O2693" s="453"/>
      <c r="P2693" s="113"/>
      <c r="Q2693" s="106" t="str">
        <f>IF(ISBLANK(O2693), "", VLOOKUP(C2693&amp;" "&amp;D2693, 'Info Tipo de Cambio y REM'!$A$24:$B$35, 2, FALSE))</f>
        <v/>
      </c>
      <c r="R2693" s="107"/>
    </row>
    <row r="2694" hidden="1">
      <c r="A2694" s="443"/>
      <c r="B2694" s="43" t="str">
        <f>IF(A2694="", "", IFERROR(VLOOKUP(A2694, Clasificaciones!A:B, 2, FALSE), "DATO NO CARGADO"))
</f>
        <v/>
      </c>
      <c r="C2694" s="51"/>
      <c r="D2694" s="102"/>
      <c r="E2694" s="102"/>
      <c r="H2694" s="102"/>
      <c r="J2694" s="102"/>
      <c r="K2694" s="450"/>
      <c r="L2694" s="443"/>
      <c r="M2694" s="450"/>
      <c r="N2694" s="452">
        <f t="array" ref="N2694">IFERROR(
  INDEX(
    'Valor Hora Real y Estimada'!$A$4:$Z$78,
    MATCH(TRIM(CLEAN(A2694)), 'Valor Hora Real y Estimada'!$A$4:$A$78, 0),
    MATCH(
      TEXT(C2694,"dd mmm")&amp;" "&amp;D2694,
      'Valor Hora Real y Estimada'!$A$3:$Z$3,
      0
    ) + 1
  ),
  0
)</f>
        <v>0</v>
      </c>
      <c r="O2694" s="453"/>
      <c r="P2694" s="113"/>
      <c r="Q2694" s="106" t="str">
        <f>IF(ISBLANK(O2694), "", VLOOKUP(C2694&amp;" "&amp;D2694, 'Info Tipo de Cambio y REM'!$A$24:$B$35, 2, FALSE))</f>
        <v/>
      </c>
      <c r="R2694" s="107"/>
    </row>
    <row r="2695" hidden="1">
      <c r="A2695" s="443"/>
      <c r="B2695" s="43" t="str">
        <f>IF(A2695="", "", IFERROR(VLOOKUP(A2695, Clasificaciones!A:B, 2, FALSE), "DATO NO CARGADO"))
</f>
        <v/>
      </c>
      <c r="C2695" s="51"/>
      <c r="D2695" s="102"/>
      <c r="E2695" s="102"/>
      <c r="H2695" s="102"/>
      <c r="J2695" s="102"/>
      <c r="K2695" s="450"/>
      <c r="L2695" s="443"/>
      <c r="M2695" s="450"/>
      <c r="N2695" s="452">
        <f t="array" ref="N2695">IFERROR(
  INDEX(
    'Valor Hora Real y Estimada'!$A$4:$Z$78,
    MATCH(TRIM(CLEAN(A2695)), 'Valor Hora Real y Estimada'!$A$4:$A$78, 0),
    MATCH(
      TEXT(C2695,"dd mmm")&amp;" "&amp;D2695,
      'Valor Hora Real y Estimada'!$A$3:$Z$3,
      0
    ) + 1
  ),
  0
)</f>
        <v>0</v>
      </c>
      <c r="O2695" s="453"/>
      <c r="P2695" s="113"/>
      <c r="Q2695" s="106" t="str">
        <f>IF(ISBLANK(O2695), "", VLOOKUP(C2695&amp;" "&amp;D2695, 'Info Tipo de Cambio y REM'!$A$24:$B$35, 2, FALSE))</f>
        <v/>
      </c>
      <c r="R2695" s="107"/>
    </row>
    <row r="2696" hidden="1">
      <c r="A2696" s="443"/>
      <c r="B2696" s="43" t="str">
        <f>IF(A2696="", "", IFERROR(VLOOKUP(A2696, Clasificaciones!A:B, 2, FALSE), "DATO NO CARGADO"))
</f>
        <v/>
      </c>
      <c r="C2696" s="51"/>
      <c r="D2696" s="102"/>
      <c r="E2696" s="102"/>
      <c r="H2696" s="102"/>
      <c r="J2696" s="102"/>
      <c r="K2696" s="450"/>
      <c r="L2696" s="443"/>
      <c r="M2696" s="450"/>
      <c r="N2696" s="452">
        <f t="array" ref="N2696">IFERROR(
  INDEX(
    'Valor Hora Real y Estimada'!$A$4:$Z$78,
    MATCH(TRIM(CLEAN(A2696)), 'Valor Hora Real y Estimada'!$A$4:$A$78, 0),
    MATCH(
      TEXT(C2696,"dd mmm")&amp;" "&amp;D2696,
      'Valor Hora Real y Estimada'!$A$3:$Z$3,
      0
    ) + 1
  ),
  0
)</f>
        <v>0</v>
      </c>
      <c r="O2696" s="453"/>
      <c r="P2696" s="113"/>
      <c r="Q2696" s="106" t="str">
        <f>IF(ISBLANK(O2696), "", VLOOKUP(C2696&amp;" "&amp;D2696, 'Info Tipo de Cambio y REM'!$A$24:$B$35, 2, FALSE))</f>
        <v/>
      </c>
      <c r="R2696" s="107"/>
    </row>
    <row r="2697" hidden="1">
      <c r="A2697" s="443"/>
      <c r="B2697" s="43" t="str">
        <f>IF(A2697="", "", IFERROR(VLOOKUP(A2697, Clasificaciones!A:B, 2, FALSE), "DATO NO CARGADO"))
</f>
        <v/>
      </c>
      <c r="C2697" s="51"/>
      <c r="D2697" s="102"/>
      <c r="E2697" s="102"/>
      <c r="H2697" s="102"/>
      <c r="J2697" s="102"/>
      <c r="K2697" s="450"/>
      <c r="L2697" s="443"/>
      <c r="M2697" s="450"/>
      <c r="N2697" s="452">
        <f t="array" ref="N2697">IFERROR(
  INDEX(
    'Valor Hora Real y Estimada'!$A$4:$Z$78,
    MATCH(TRIM(CLEAN(A2697)), 'Valor Hora Real y Estimada'!$A$4:$A$78, 0),
    MATCH(
      TEXT(C2697,"dd mmm")&amp;" "&amp;D2697,
      'Valor Hora Real y Estimada'!$A$3:$Z$3,
      0
    ) + 1
  ),
  0
)</f>
        <v>0</v>
      </c>
      <c r="O2697" s="453"/>
      <c r="P2697" s="113"/>
      <c r="Q2697" s="106" t="str">
        <f>IF(ISBLANK(O2697), "", VLOOKUP(C2697&amp;" "&amp;D2697, 'Info Tipo de Cambio y REM'!$A$24:$B$35, 2, FALSE))</f>
        <v/>
      </c>
      <c r="R2697" s="107"/>
    </row>
    <row r="2698" hidden="1">
      <c r="A2698" s="443"/>
      <c r="B2698" s="43" t="str">
        <f>IF(A2698="", "", IFERROR(VLOOKUP(A2698, Clasificaciones!A:B, 2, FALSE), "DATO NO CARGADO"))
</f>
        <v/>
      </c>
      <c r="C2698" s="51"/>
      <c r="D2698" s="102"/>
      <c r="E2698" s="102"/>
      <c r="H2698" s="102"/>
      <c r="J2698" s="102"/>
      <c r="K2698" s="450"/>
      <c r="L2698" s="443"/>
      <c r="M2698" s="450"/>
      <c r="N2698" s="452">
        <f t="array" ref="N2698">IFERROR(
  INDEX(
    'Valor Hora Real y Estimada'!$A$4:$Z$78,
    MATCH(TRIM(CLEAN(A2698)), 'Valor Hora Real y Estimada'!$A$4:$A$78, 0),
    MATCH(
      TEXT(C2698,"dd mmm")&amp;" "&amp;D2698,
      'Valor Hora Real y Estimada'!$A$3:$Z$3,
      0
    ) + 1
  ),
  0
)</f>
        <v>0</v>
      </c>
      <c r="O2698" s="453"/>
      <c r="P2698" s="113"/>
      <c r="Q2698" s="106" t="str">
        <f>IF(ISBLANK(O2698), "", VLOOKUP(C2698&amp;" "&amp;D2698, 'Info Tipo de Cambio y REM'!$A$24:$B$35, 2, FALSE))</f>
        <v/>
      </c>
      <c r="R2698" s="107"/>
    </row>
    <row r="2699" hidden="1">
      <c r="A2699" s="443"/>
      <c r="B2699" s="43" t="str">
        <f>IF(A2699="", "", IFERROR(VLOOKUP(A2699, Clasificaciones!A:B, 2, FALSE), "DATO NO CARGADO"))
</f>
        <v/>
      </c>
      <c r="C2699" s="51"/>
      <c r="D2699" s="102"/>
      <c r="E2699" s="102"/>
      <c r="H2699" s="102"/>
      <c r="J2699" s="102"/>
      <c r="K2699" s="450"/>
      <c r="L2699" s="443"/>
      <c r="M2699" s="450"/>
      <c r="N2699" s="452">
        <f t="array" ref="N2699">IFERROR(
  INDEX(
    'Valor Hora Real y Estimada'!$A$4:$Z$78,
    MATCH(TRIM(CLEAN(A2699)), 'Valor Hora Real y Estimada'!$A$4:$A$78, 0),
    MATCH(
      TEXT(C2699,"dd mmm")&amp;" "&amp;D2699,
      'Valor Hora Real y Estimada'!$A$3:$Z$3,
      0
    ) + 1
  ),
  0
)</f>
        <v>0</v>
      </c>
      <c r="O2699" s="453"/>
      <c r="P2699" s="113"/>
      <c r="Q2699" s="106" t="str">
        <f>IF(ISBLANK(O2699), "", VLOOKUP(C2699&amp;" "&amp;D2699, 'Info Tipo de Cambio y REM'!$A$24:$B$35, 2, FALSE))</f>
        <v/>
      </c>
      <c r="R2699" s="107"/>
    </row>
    <row r="2700" hidden="1">
      <c r="A2700" s="443"/>
      <c r="B2700" s="43" t="str">
        <f>IF(A2700="", "", IFERROR(VLOOKUP(A2700, Clasificaciones!A:B, 2, FALSE), "DATO NO CARGADO"))
</f>
        <v/>
      </c>
      <c r="C2700" s="51"/>
      <c r="D2700" s="102"/>
      <c r="E2700" s="102"/>
      <c r="H2700" s="102"/>
      <c r="J2700" s="102"/>
      <c r="K2700" s="450"/>
      <c r="L2700" s="443"/>
      <c r="M2700" s="450"/>
      <c r="N2700" s="452">
        <f t="array" ref="N2700">IFERROR(
  INDEX(
    'Valor Hora Real y Estimada'!$A$4:$Z$78,
    MATCH(TRIM(CLEAN(A2700)), 'Valor Hora Real y Estimada'!$A$4:$A$78, 0),
    MATCH(
      TEXT(C2700,"dd mmm")&amp;" "&amp;D2700,
      'Valor Hora Real y Estimada'!$A$3:$Z$3,
      0
    ) + 1
  ),
  0
)</f>
        <v>0</v>
      </c>
      <c r="O2700" s="453"/>
      <c r="P2700" s="113"/>
      <c r="Q2700" s="106" t="str">
        <f>IF(ISBLANK(O2700), "", VLOOKUP(C2700&amp;" "&amp;D2700, 'Info Tipo de Cambio y REM'!$A$24:$B$35, 2, FALSE))</f>
        <v/>
      </c>
      <c r="R2700" s="107"/>
    </row>
    <row r="2701" hidden="1">
      <c r="A2701" s="443"/>
      <c r="B2701" s="43" t="str">
        <f>IF(A2701="", "", IFERROR(VLOOKUP(A2701, Clasificaciones!A:B, 2, FALSE), "DATO NO CARGADO"))
</f>
        <v/>
      </c>
      <c r="C2701" s="51"/>
      <c r="D2701" s="102"/>
      <c r="E2701" s="102"/>
      <c r="H2701" s="102"/>
      <c r="J2701" s="102"/>
      <c r="K2701" s="450"/>
      <c r="L2701" s="443"/>
      <c r="M2701" s="450"/>
      <c r="N2701" s="452">
        <f t="array" ref="N2701">IFERROR(
  INDEX(
    'Valor Hora Real y Estimada'!$A$4:$Z$78,
    MATCH(TRIM(CLEAN(A2701)), 'Valor Hora Real y Estimada'!$A$4:$A$78, 0),
    MATCH(
      TEXT(C2701,"dd mmm")&amp;" "&amp;D2701,
      'Valor Hora Real y Estimada'!$A$3:$Z$3,
      0
    ) + 1
  ),
  0
)</f>
        <v>0</v>
      </c>
      <c r="O2701" s="453"/>
      <c r="P2701" s="113"/>
      <c r="Q2701" s="106" t="str">
        <f>IF(ISBLANK(O2701), "", VLOOKUP(C2701&amp;" "&amp;D2701, 'Info Tipo de Cambio y REM'!$A$24:$B$35, 2, FALSE))</f>
        <v/>
      </c>
      <c r="R2701" s="107"/>
    </row>
    <row r="2702" hidden="1">
      <c r="A2702" s="443"/>
      <c r="B2702" s="43" t="str">
        <f>IF(A2702="", "", IFERROR(VLOOKUP(A2702, Clasificaciones!A:B, 2, FALSE), "DATO NO CARGADO"))
</f>
        <v/>
      </c>
      <c r="C2702" s="51"/>
      <c r="D2702" s="102"/>
      <c r="E2702" s="102"/>
      <c r="H2702" s="102"/>
      <c r="J2702" s="102"/>
      <c r="K2702" s="450"/>
      <c r="L2702" s="443"/>
      <c r="M2702" s="450"/>
      <c r="N2702" s="452">
        <f t="array" ref="N2702">IFERROR(
  INDEX(
    'Valor Hora Real y Estimada'!$A$4:$Z$78,
    MATCH(TRIM(CLEAN(A2702)), 'Valor Hora Real y Estimada'!$A$4:$A$78, 0),
    MATCH(
      TEXT(C2702,"dd mmm")&amp;" "&amp;D2702,
      'Valor Hora Real y Estimada'!$A$3:$Z$3,
      0
    ) + 1
  ),
  0
)</f>
        <v>0</v>
      </c>
      <c r="O2702" s="453"/>
      <c r="P2702" s="113"/>
      <c r="Q2702" s="106" t="str">
        <f>IF(ISBLANK(O2702), "", VLOOKUP(C2702&amp;" "&amp;D2702, 'Info Tipo de Cambio y REM'!$A$24:$B$35, 2, FALSE))</f>
        <v/>
      </c>
      <c r="R2702" s="107"/>
    </row>
    <row r="2703" hidden="1">
      <c r="A2703" s="443"/>
      <c r="B2703" s="43" t="str">
        <f>IF(A2703="", "", IFERROR(VLOOKUP(A2703, Clasificaciones!A:B, 2, FALSE), "DATO NO CARGADO"))
</f>
        <v/>
      </c>
      <c r="C2703" s="51"/>
      <c r="D2703" s="102"/>
      <c r="E2703" s="102"/>
      <c r="H2703" s="102"/>
      <c r="J2703" s="102"/>
      <c r="K2703" s="450"/>
      <c r="L2703" s="443"/>
      <c r="M2703" s="450"/>
      <c r="N2703" s="452">
        <f t="array" ref="N2703">IFERROR(
  INDEX(
    'Valor Hora Real y Estimada'!$A$4:$Z$78,
    MATCH(TRIM(CLEAN(A2703)), 'Valor Hora Real y Estimada'!$A$4:$A$78, 0),
    MATCH(
      TEXT(C2703,"dd mmm")&amp;" "&amp;D2703,
      'Valor Hora Real y Estimada'!$A$3:$Z$3,
      0
    ) + 1
  ),
  0
)</f>
        <v>0</v>
      </c>
      <c r="O2703" s="453"/>
      <c r="P2703" s="113"/>
      <c r="Q2703" s="106" t="str">
        <f>IF(ISBLANK(O2703), "", VLOOKUP(C2703&amp;" "&amp;D2703, 'Info Tipo de Cambio y REM'!$A$24:$B$35, 2, FALSE))</f>
        <v/>
      </c>
      <c r="R2703" s="107"/>
    </row>
    <row r="2704" hidden="1">
      <c r="A2704" s="443"/>
      <c r="B2704" s="43" t="str">
        <f>IF(A2704="", "", IFERROR(VLOOKUP(A2704, Clasificaciones!A:B, 2, FALSE), "DATO NO CARGADO"))
</f>
        <v/>
      </c>
      <c r="C2704" s="51"/>
      <c r="D2704" s="102"/>
      <c r="E2704" s="102"/>
      <c r="H2704" s="102"/>
      <c r="J2704" s="102"/>
      <c r="K2704" s="450"/>
      <c r="L2704" s="443"/>
      <c r="M2704" s="450"/>
      <c r="N2704" s="452">
        <f t="array" ref="N2704">IFERROR(
  INDEX(
    'Valor Hora Real y Estimada'!$A$4:$Z$78,
    MATCH(TRIM(CLEAN(A2704)), 'Valor Hora Real y Estimada'!$A$4:$A$78, 0),
    MATCH(
      TEXT(C2704,"dd mmm")&amp;" "&amp;D2704,
      'Valor Hora Real y Estimada'!$A$3:$Z$3,
      0
    ) + 1
  ),
  0
)</f>
        <v>0</v>
      </c>
      <c r="O2704" s="453"/>
      <c r="P2704" s="113"/>
      <c r="Q2704" s="106" t="str">
        <f>IF(ISBLANK(O2704), "", VLOOKUP(C2704&amp;" "&amp;D2704, 'Info Tipo de Cambio y REM'!$A$24:$B$35, 2, FALSE))</f>
        <v/>
      </c>
      <c r="R2704" s="107"/>
    </row>
    <row r="2705" hidden="1">
      <c r="A2705" s="443"/>
      <c r="B2705" s="43" t="str">
        <f>IF(A2705="", "", IFERROR(VLOOKUP(A2705, Clasificaciones!A:B, 2, FALSE), "DATO NO CARGADO"))
</f>
        <v/>
      </c>
      <c r="C2705" s="51"/>
      <c r="D2705" s="102"/>
      <c r="E2705" s="102"/>
      <c r="H2705" s="102"/>
      <c r="J2705" s="102"/>
      <c r="K2705" s="450"/>
      <c r="L2705" s="443"/>
      <c r="M2705" s="450"/>
      <c r="N2705" s="452">
        <f t="array" ref="N2705">IFERROR(
  INDEX(
    'Valor Hora Real y Estimada'!$A$4:$Z$78,
    MATCH(TRIM(CLEAN(A2705)), 'Valor Hora Real y Estimada'!$A$4:$A$78, 0),
    MATCH(
      TEXT(C2705,"dd mmm")&amp;" "&amp;D2705,
      'Valor Hora Real y Estimada'!$A$3:$Z$3,
      0
    ) + 1
  ),
  0
)</f>
        <v>0</v>
      </c>
      <c r="O2705" s="453"/>
      <c r="P2705" s="113"/>
      <c r="Q2705" s="106" t="str">
        <f>IF(ISBLANK(O2705), "", VLOOKUP(C2705&amp;" "&amp;D2705, 'Info Tipo de Cambio y REM'!$A$24:$B$35, 2, FALSE))</f>
        <v/>
      </c>
      <c r="R2705" s="107"/>
    </row>
    <row r="2706" hidden="1">
      <c r="A2706" s="443"/>
      <c r="B2706" s="43" t="str">
        <f>IF(A2706="", "", IFERROR(VLOOKUP(A2706, Clasificaciones!A:B, 2, FALSE), "DATO NO CARGADO"))
</f>
        <v/>
      </c>
      <c r="C2706" s="51"/>
      <c r="D2706" s="102"/>
      <c r="E2706" s="102"/>
      <c r="H2706" s="102"/>
      <c r="J2706" s="102"/>
      <c r="K2706" s="450"/>
      <c r="L2706" s="443"/>
      <c r="M2706" s="450"/>
      <c r="N2706" s="452">
        <f t="array" ref="N2706">IFERROR(
  INDEX(
    'Valor Hora Real y Estimada'!$A$4:$Z$78,
    MATCH(TRIM(CLEAN(A2706)), 'Valor Hora Real y Estimada'!$A$4:$A$78, 0),
    MATCH(
      TEXT(C2706,"dd mmm")&amp;" "&amp;D2706,
      'Valor Hora Real y Estimada'!$A$3:$Z$3,
      0
    ) + 1
  ),
  0
)</f>
        <v>0</v>
      </c>
      <c r="O2706" s="453"/>
      <c r="P2706" s="113"/>
      <c r="Q2706" s="106" t="str">
        <f>IF(ISBLANK(O2706), "", VLOOKUP(C2706&amp;" "&amp;D2706, 'Info Tipo de Cambio y REM'!$A$24:$B$35, 2, FALSE))</f>
        <v/>
      </c>
      <c r="R2706" s="107"/>
    </row>
    <row r="2707" hidden="1">
      <c r="A2707" s="443"/>
      <c r="B2707" s="43" t="str">
        <f>IF(A2707="", "", IFERROR(VLOOKUP(A2707, Clasificaciones!A:B, 2, FALSE), "DATO NO CARGADO"))
</f>
        <v/>
      </c>
      <c r="C2707" s="51"/>
      <c r="D2707" s="102"/>
      <c r="E2707" s="102"/>
      <c r="H2707" s="102"/>
      <c r="J2707" s="102"/>
      <c r="K2707" s="450"/>
      <c r="L2707" s="443"/>
      <c r="M2707" s="450"/>
      <c r="N2707" s="452">
        <f t="array" ref="N2707">IFERROR(
  INDEX(
    'Valor Hora Real y Estimada'!$A$4:$Z$78,
    MATCH(TRIM(CLEAN(A2707)), 'Valor Hora Real y Estimada'!$A$4:$A$78, 0),
    MATCH(
      TEXT(C2707,"dd mmm")&amp;" "&amp;D2707,
      'Valor Hora Real y Estimada'!$A$3:$Z$3,
      0
    ) + 1
  ),
  0
)</f>
        <v>0</v>
      </c>
      <c r="O2707" s="453"/>
      <c r="P2707" s="113"/>
      <c r="Q2707" s="106" t="str">
        <f>IF(ISBLANK(O2707), "", VLOOKUP(C2707&amp;" "&amp;D2707, 'Info Tipo de Cambio y REM'!$A$24:$B$35, 2, FALSE))</f>
        <v/>
      </c>
      <c r="R2707" s="107"/>
    </row>
    <row r="2708" hidden="1">
      <c r="A2708" s="443"/>
      <c r="B2708" s="43" t="str">
        <f>IF(A2708="", "", IFERROR(VLOOKUP(A2708, Clasificaciones!A:B, 2, FALSE), "DATO NO CARGADO"))
</f>
        <v/>
      </c>
      <c r="C2708" s="51"/>
      <c r="D2708" s="102"/>
      <c r="E2708" s="102"/>
      <c r="H2708" s="102"/>
      <c r="J2708" s="102"/>
      <c r="K2708" s="450"/>
      <c r="L2708" s="443"/>
      <c r="M2708" s="450"/>
      <c r="N2708" s="452">
        <f t="array" ref="N2708">IFERROR(
  INDEX(
    'Valor Hora Real y Estimada'!$A$4:$Z$78,
    MATCH(TRIM(CLEAN(A2708)), 'Valor Hora Real y Estimada'!$A$4:$A$78, 0),
    MATCH(
      TEXT(C2708,"dd mmm")&amp;" "&amp;D2708,
      'Valor Hora Real y Estimada'!$A$3:$Z$3,
      0
    ) + 1
  ),
  0
)</f>
        <v>0</v>
      </c>
      <c r="O2708" s="453"/>
      <c r="P2708" s="113"/>
      <c r="Q2708" s="106" t="str">
        <f>IF(ISBLANK(O2708), "", VLOOKUP(C2708&amp;" "&amp;D2708, 'Info Tipo de Cambio y REM'!$A$24:$B$35, 2, FALSE))</f>
        <v/>
      </c>
      <c r="R2708" s="107"/>
    </row>
    <row r="2709" hidden="1">
      <c r="A2709" s="443"/>
      <c r="B2709" s="43" t="str">
        <f>IF(A2709="", "", IFERROR(VLOOKUP(A2709, Clasificaciones!A:B, 2, FALSE), "DATO NO CARGADO"))
</f>
        <v/>
      </c>
      <c r="C2709" s="51"/>
      <c r="D2709" s="102"/>
      <c r="E2709" s="102"/>
      <c r="H2709" s="102"/>
      <c r="J2709" s="102"/>
      <c r="K2709" s="450"/>
      <c r="L2709" s="443"/>
      <c r="M2709" s="450"/>
      <c r="N2709" s="452">
        <f t="array" ref="N2709">IFERROR(
  INDEX(
    'Valor Hora Real y Estimada'!$A$4:$Z$78,
    MATCH(TRIM(CLEAN(A2709)), 'Valor Hora Real y Estimada'!$A$4:$A$78, 0),
    MATCH(
      TEXT(C2709,"dd mmm")&amp;" "&amp;D2709,
      'Valor Hora Real y Estimada'!$A$3:$Z$3,
      0
    ) + 1
  ),
  0
)</f>
        <v>0</v>
      </c>
      <c r="O2709" s="453"/>
      <c r="P2709" s="113"/>
      <c r="Q2709" s="106" t="str">
        <f>IF(ISBLANK(O2709), "", VLOOKUP(C2709&amp;" "&amp;D2709, 'Info Tipo de Cambio y REM'!$A$24:$B$35, 2, FALSE))</f>
        <v/>
      </c>
      <c r="R2709" s="107"/>
    </row>
    <row r="2710" hidden="1">
      <c r="A2710" s="443"/>
      <c r="B2710" s="43" t="str">
        <f>IF(A2710="", "", IFERROR(VLOOKUP(A2710, Clasificaciones!A:B, 2, FALSE), "DATO NO CARGADO"))
</f>
        <v/>
      </c>
      <c r="C2710" s="51"/>
      <c r="D2710" s="102"/>
      <c r="E2710" s="102"/>
      <c r="H2710" s="102"/>
      <c r="J2710" s="102"/>
      <c r="K2710" s="450"/>
      <c r="L2710" s="443"/>
      <c r="M2710" s="450"/>
      <c r="N2710" s="452">
        <f t="array" ref="N2710">IFERROR(
  INDEX(
    'Valor Hora Real y Estimada'!$A$4:$Z$78,
    MATCH(TRIM(CLEAN(A2710)), 'Valor Hora Real y Estimada'!$A$4:$A$78, 0),
    MATCH(
      TEXT(C2710,"dd mmm")&amp;" "&amp;D2710,
      'Valor Hora Real y Estimada'!$A$3:$Z$3,
      0
    ) + 1
  ),
  0
)</f>
        <v>0</v>
      </c>
      <c r="O2710" s="453"/>
      <c r="P2710" s="113"/>
      <c r="Q2710" s="106" t="str">
        <f>IF(ISBLANK(O2710), "", VLOOKUP(C2710&amp;" "&amp;D2710, 'Info Tipo de Cambio y REM'!$A$24:$B$35, 2, FALSE))</f>
        <v/>
      </c>
      <c r="R2710" s="107"/>
    </row>
    <row r="2711" hidden="1">
      <c r="A2711" s="443"/>
      <c r="B2711" s="43" t="str">
        <f>IF(A2711="", "", IFERROR(VLOOKUP(A2711, Clasificaciones!A:B, 2, FALSE), "DATO NO CARGADO"))
</f>
        <v/>
      </c>
      <c r="C2711" s="51"/>
      <c r="D2711" s="102"/>
      <c r="E2711" s="102"/>
      <c r="H2711" s="102"/>
      <c r="J2711" s="102"/>
      <c r="K2711" s="450"/>
      <c r="L2711" s="443"/>
      <c r="M2711" s="450"/>
      <c r="N2711" s="452">
        <f t="array" ref="N2711">IFERROR(
  INDEX(
    'Valor Hora Real y Estimada'!$A$4:$Z$78,
    MATCH(TRIM(CLEAN(A2711)), 'Valor Hora Real y Estimada'!$A$4:$A$78, 0),
    MATCH(
      TEXT(C2711,"dd mmm")&amp;" "&amp;D2711,
      'Valor Hora Real y Estimada'!$A$3:$Z$3,
      0
    ) + 1
  ),
  0
)</f>
        <v>0</v>
      </c>
      <c r="O2711" s="453"/>
      <c r="P2711" s="113"/>
      <c r="Q2711" s="106" t="str">
        <f>IF(ISBLANK(O2711), "", VLOOKUP(C2711&amp;" "&amp;D2711, 'Info Tipo de Cambio y REM'!$A$24:$B$35, 2, FALSE))</f>
        <v/>
      </c>
      <c r="R2711" s="107"/>
    </row>
    <row r="2712" hidden="1">
      <c r="A2712" s="443"/>
      <c r="B2712" s="43" t="str">
        <f>IF(A2712="", "", IFERROR(VLOOKUP(A2712, Clasificaciones!A:B, 2, FALSE), "DATO NO CARGADO"))
</f>
        <v/>
      </c>
      <c r="C2712" s="51"/>
      <c r="D2712" s="102"/>
      <c r="E2712" s="102"/>
      <c r="H2712" s="102"/>
      <c r="J2712" s="102"/>
      <c r="K2712" s="450"/>
      <c r="L2712" s="443"/>
      <c r="M2712" s="450"/>
      <c r="N2712" s="452">
        <f t="array" ref="N2712">IFERROR(
  INDEX(
    'Valor Hora Real y Estimada'!$A$4:$Z$78,
    MATCH(TRIM(CLEAN(A2712)), 'Valor Hora Real y Estimada'!$A$4:$A$78, 0),
    MATCH(
      TEXT(C2712,"dd mmm")&amp;" "&amp;D2712,
      'Valor Hora Real y Estimada'!$A$3:$Z$3,
      0
    ) + 1
  ),
  0
)</f>
        <v>0</v>
      </c>
      <c r="O2712" s="453"/>
      <c r="P2712" s="113"/>
      <c r="Q2712" s="106" t="str">
        <f>IF(ISBLANK(O2712), "", VLOOKUP(C2712&amp;" "&amp;D2712, 'Info Tipo de Cambio y REM'!$A$24:$B$35, 2, FALSE))</f>
        <v/>
      </c>
      <c r="R2712" s="107"/>
    </row>
    <row r="2713" hidden="1">
      <c r="A2713" s="443"/>
      <c r="B2713" s="43" t="str">
        <f>IF(A2713="", "", IFERROR(VLOOKUP(A2713, Clasificaciones!A:B, 2, FALSE), "DATO NO CARGADO"))
</f>
        <v/>
      </c>
      <c r="C2713" s="51"/>
      <c r="D2713" s="102"/>
      <c r="E2713" s="102"/>
      <c r="H2713" s="102"/>
      <c r="J2713" s="102"/>
      <c r="K2713" s="450"/>
      <c r="L2713" s="443"/>
      <c r="M2713" s="450"/>
      <c r="N2713" s="452">
        <f t="array" ref="N2713">IFERROR(
  INDEX(
    'Valor Hora Real y Estimada'!$A$4:$Z$78,
    MATCH(TRIM(CLEAN(A2713)), 'Valor Hora Real y Estimada'!$A$4:$A$78, 0),
    MATCH(
      TEXT(C2713,"dd mmm")&amp;" "&amp;D2713,
      'Valor Hora Real y Estimada'!$A$3:$Z$3,
      0
    ) + 1
  ),
  0
)</f>
        <v>0</v>
      </c>
      <c r="O2713" s="453"/>
      <c r="P2713" s="113"/>
      <c r="Q2713" s="106" t="str">
        <f>IF(ISBLANK(O2713), "", VLOOKUP(C2713&amp;" "&amp;D2713, 'Info Tipo de Cambio y REM'!$A$24:$B$35, 2, FALSE))</f>
        <v/>
      </c>
      <c r="R2713" s="107"/>
    </row>
    <row r="2714" hidden="1">
      <c r="A2714" s="443"/>
      <c r="B2714" s="43" t="str">
        <f>IF(A2714="", "", IFERROR(VLOOKUP(A2714, Clasificaciones!A:B, 2, FALSE), "DATO NO CARGADO"))
</f>
        <v/>
      </c>
      <c r="C2714" s="51"/>
      <c r="D2714" s="102"/>
      <c r="E2714" s="102"/>
      <c r="H2714" s="102"/>
      <c r="J2714" s="102"/>
      <c r="K2714" s="450"/>
      <c r="L2714" s="443"/>
      <c r="M2714" s="450"/>
      <c r="N2714" s="452">
        <f t="array" ref="N2714">IFERROR(
  INDEX(
    'Valor Hora Real y Estimada'!$A$4:$Z$78,
    MATCH(TRIM(CLEAN(A2714)), 'Valor Hora Real y Estimada'!$A$4:$A$78, 0),
    MATCH(
      TEXT(C2714,"dd mmm")&amp;" "&amp;D2714,
      'Valor Hora Real y Estimada'!$A$3:$Z$3,
      0
    ) + 1
  ),
  0
)</f>
        <v>0</v>
      </c>
      <c r="O2714" s="453"/>
      <c r="P2714" s="113"/>
      <c r="Q2714" s="106" t="str">
        <f>IF(ISBLANK(O2714), "", VLOOKUP(C2714&amp;" "&amp;D2714, 'Info Tipo de Cambio y REM'!$A$24:$B$35, 2, FALSE))</f>
        <v/>
      </c>
      <c r="R2714" s="107"/>
    </row>
    <row r="2715" hidden="1">
      <c r="A2715" s="443"/>
      <c r="B2715" s="43" t="str">
        <f>IF(A2715="", "", IFERROR(VLOOKUP(A2715, Clasificaciones!A:B, 2, FALSE), "DATO NO CARGADO"))
</f>
        <v/>
      </c>
      <c r="C2715" s="51"/>
      <c r="D2715" s="102"/>
      <c r="E2715" s="102"/>
      <c r="H2715" s="102"/>
      <c r="J2715" s="102"/>
      <c r="K2715" s="450"/>
      <c r="L2715" s="443"/>
      <c r="M2715" s="450"/>
      <c r="N2715" s="452">
        <f t="array" ref="N2715">IFERROR(
  INDEX(
    'Valor Hora Real y Estimada'!$A$4:$Z$78,
    MATCH(TRIM(CLEAN(A2715)), 'Valor Hora Real y Estimada'!$A$4:$A$78, 0),
    MATCH(
      TEXT(C2715,"dd mmm")&amp;" "&amp;D2715,
      'Valor Hora Real y Estimada'!$A$3:$Z$3,
      0
    ) + 1
  ),
  0
)</f>
        <v>0</v>
      </c>
      <c r="O2715" s="453"/>
      <c r="P2715" s="113"/>
      <c r="Q2715" s="106" t="str">
        <f>IF(ISBLANK(O2715), "", VLOOKUP(C2715&amp;" "&amp;D2715, 'Info Tipo de Cambio y REM'!$A$24:$B$35, 2, FALSE))</f>
        <v/>
      </c>
      <c r="R2715" s="107"/>
    </row>
    <row r="2716" hidden="1">
      <c r="A2716" s="443"/>
      <c r="B2716" s="43" t="str">
        <f>IF(A2716="", "", IFERROR(VLOOKUP(A2716, Clasificaciones!A:B, 2, FALSE), "DATO NO CARGADO"))
</f>
        <v/>
      </c>
      <c r="C2716" s="51"/>
      <c r="D2716" s="102"/>
      <c r="E2716" s="102"/>
      <c r="H2716" s="102"/>
      <c r="J2716" s="102"/>
      <c r="K2716" s="450"/>
      <c r="L2716" s="443"/>
      <c r="M2716" s="450"/>
      <c r="N2716" s="452">
        <f t="array" ref="N2716">IFERROR(
  INDEX(
    'Valor Hora Real y Estimada'!$A$4:$Z$78,
    MATCH(TRIM(CLEAN(A2716)), 'Valor Hora Real y Estimada'!$A$4:$A$78, 0),
    MATCH(
      TEXT(C2716,"dd mmm")&amp;" "&amp;D2716,
      'Valor Hora Real y Estimada'!$A$3:$Z$3,
      0
    ) + 1
  ),
  0
)</f>
        <v>0</v>
      </c>
      <c r="O2716" s="453"/>
      <c r="P2716" s="113"/>
      <c r="Q2716" s="106" t="str">
        <f>IF(ISBLANK(O2716), "", VLOOKUP(C2716&amp;" "&amp;D2716, 'Info Tipo de Cambio y REM'!$A$24:$B$35, 2, FALSE))</f>
        <v/>
      </c>
      <c r="R2716" s="107"/>
    </row>
    <row r="2717" hidden="1">
      <c r="A2717" s="443"/>
      <c r="B2717" s="43" t="str">
        <f>IF(A2717="", "", IFERROR(VLOOKUP(A2717, Clasificaciones!A:B, 2, FALSE), "DATO NO CARGADO"))
</f>
        <v/>
      </c>
      <c r="C2717" s="51"/>
      <c r="D2717" s="102"/>
      <c r="E2717" s="102"/>
      <c r="H2717" s="102"/>
      <c r="J2717" s="102"/>
      <c r="K2717" s="450"/>
      <c r="L2717" s="443"/>
      <c r="M2717" s="450"/>
      <c r="N2717" s="452">
        <f t="array" ref="N2717">IFERROR(
  INDEX(
    'Valor Hora Real y Estimada'!$A$4:$Z$78,
    MATCH(TRIM(CLEAN(A2717)), 'Valor Hora Real y Estimada'!$A$4:$A$78, 0),
    MATCH(
      TEXT(C2717,"dd mmm")&amp;" "&amp;D2717,
      'Valor Hora Real y Estimada'!$A$3:$Z$3,
      0
    ) + 1
  ),
  0
)</f>
        <v>0</v>
      </c>
      <c r="O2717" s="453"/>
      <c r="P2717" s="113"/>
      <c r="Q2717" s="106" t="str">
        <f>IF(ISBLANK(O2717), "", VLOOKUP(C2717&amp;" "&amp;D2717, 'Info Tipo de Cambio y REM'!$A$24:$B$35, 2, FALSE))</f>
        <v/>
      </c>
      <c r="R2717" s="107"/>
    </row>
    <row r="2718" hidden="1">
      <c r="A2718" s="443"/>
      <c r="B2718" s="43" t="str">
        <f>IF(A2718="", "", IFERROR(VLOOKUP(A2718, Clasificaciones!A:B, 2, FALSE), "DATO NO CARGADO"))
</f>
        <v/>
      </c>
      <c r="C2718" s="51"/>
      <c r="D2718" s="102"/>
      <c r="E2718" s="102"/>
      <c r="H2718" s="102"/>
      <c r="J2718" s="102"/>
      <c r="K2718" s="450"/>
      <c r="L2718" s="443"/>
      <c r="M2718" s="450"/>
      <c r="N2718" s="452">
        <f t="array" ref="N2718">IFERROR(
  INDEX(
    'Valor Hora Real y Estimada'!$A$4:$Z$78,
    MATCH(TRIM(CLEAN(A2718)), 'Valor Hora Real y Estimada'!$A$4:$A$78, 0),
    MATCH(
      TEXT(C2718,"dd mmm")&amp;" "&amp;D2718,
      'Valor Hora Real y Estimada'!$A$3:$Z$3,
      0
    ) + 1
  ),
  0
)</f>
        <v>0</v>
      </c>
      <c r="O2718" s="453"/>
      <c r="P2718" s="113"/>
      <c r="Q2718" s="106" t="str">
        <f>IF(ISBLANK(O2718), "", VLOOKUP(C2718&amp;" "&amp;D2718, 'Info Tipo de Cambio y REM'!$A$24:$B$35, 2, FALSE))</f>
        <v/>
      </c>
      <c r="R2718" s="107"/>
    </row>
    <row r="2719" hidden="1">
      <c r="A2719" s="443"/>
      <c r="B2719" s="43" t="str">
        <f>IF(A2719="", "", IFERROR(VLOOKUP(A2719, Clasificaciones!A:B, 2, FALSE), "DATO NO CARGADO"))
</f>
        <v/>
      </c>
      <c r="C2719" s="51"/>
      <c r="D2719" s="102"/>
      <c r="E2719" s="102"/>
      <c r="H2719" s="102"/>
      <c r="J2719" s="102"/>
      <c r="K2719" s="450"/>
      <c r="L2719" s="443"/>
      <c r="M2719" s="450"/>
      <c r="N2719" s="452">
        <f t="array" ref="N2719">IFERROR(
  INDEX(
    'Valor Hora Real y Estimada'!$A$4:$Z$78,
    MATCH(TRIM(CLEAN(A2719)), 'Valor Hora Real y Estimada'!$A$4:$A$78, 0),
    MATCH(
      TEXT(C2719,"dd mmm")&amp;" "&amp;D2719,
      'Valor Hora Real y Estimada'!$A$3:$Z$3,
      0
    ) + 1
  ),
  0
)</f>
        <v>0</v>
      </c>
      <c r="O2719" s="453"/>
      <c r="P2719" s="113"/>
      <c r="Q2719" s="106" t="str">
        <f>IF(ISBLANK(O2719), "", VLOOKUP(C2719&amp;" "&amp;D2719, 'Info Tipo de Cambio y REM'!$A$24:$B$35, 2, FALSE))</f>
        <v/>
      </c>
      <c r="R2719" s="107"/>
    </row>
    <row r="2720" hidden="1">
      <c r="A2720" s="443"/>
      <c r="B2720" s="43" t="str">
        <f>IF(A2720="", "", IFERROR(VLOOKUP(A2720, Clasificaciones!A:B, 2, FALSE), "DATO NO CARGADO"))
</f>
        <v/>
      </c>
      <c r="C2720" s="51"/>
      <c r="D2720" s="102"/>
      <c r="E2720" s="102"/>
      <c r="H2720" s="102"/>
      <c r="J2720" s="102"/>
      <c r="K2720" s="450"/>
      <c r="L2720" s="443"/>
      <c r="M2720" s="450"/>
      <c r="N2720" s="452">
        <f t="array" ref="N2720">IFERROR(
  INDEX(
    'Valor Hora Real y Estimada'!$A$4:$Z$78,
    MATCH(TRIM(CLEAN(A2720)), 'Valor Hora Real y Estimada'!$A$4:$A$78, 0),
    MATCH(
      TEXT(C2720,"dd mmm")&amp;" "&amp;D2720,
      'Valor Hora Real y Estimada'!$A$3:$Z$3,
      0
    ) + 1
  ),
  0
)</f>
        <v>0</v>
      </c>
      <c r="O2720" s="453"/>
      <c r="P2720" s="113"/>
      <c r="Q2720" s="106" t="str">
        <f>IF(ISBLANK(O2720), "", VLOOKUP(C2720&amp;" "&amp;D2720, 'Info Tipo de Cambio y REM'!$A$24:$B$35, 2, FALSE))</f>
        <v/>
      </c>
      <c r="R2720" s="107"/>
    </row>
    <row r="2721" hidden="1">
      <c r="A2721" s="443"/>
      <c r="B2721" s="43" t="str">
        <f>IF(A2721="", "", IFERROR(VLOOKUP(A2721, Clasificaciones!A:B, 2, FALSE), "DATO NO CARGADO"))
</f>
        <v/>
      </c>
      <c r="C2721" s="51"/>
      <c r="D2721" s="102"/>
      <c r="E2721" s="102"/>
      <c r="H2721" s="102"/>
      <c r="J2721" s="102"/>
      <c r="K2721" s="450"/>
      <c r="L2721" s="443"/>
      <c r="M2721" s="450"/>
      <c r="N2721" s="452">
        <f t="array" ref="N2721">IFERROR(
  INDEX(
    'Valor Hora Real y Estimada'!$A$4:$Z$78,
    MATCH(TRIM(CLEAN(A2721)), 'Valor Hora Real y Estimada'!$A$4:$A$78, 0),
    MATCH(
      TEXT(C2721,"dd mmm")&amp;" "&amp;D2721,
      'Valor Hora Real y Estimada'!$A$3:$Z$3,
      0
    ) + 1
  ),
  0
)</f>
        <v>0</v>
      </c>
      <c r="O2721" s="453"/>
      <c r="P2721" s="113"/>
      <c r="Q2721" s="106" t="str">
        <f>IF(ISBLANK(O2721), "", VLOOKUP(C2721&amp;" "&amp;D2721, 'Info Tipo de Cambio y REM'!$A$24:$B$35, 2, FALSE))</f>
        <v/>
      </c>
      <c r="R2721" s="107"/>
    </row>
    <row r="2722" hidden="1">
      <c r="A2722" s="443"/>
      <c r="B2722" s="43" t="str">
        <f>IF(A2722="", "", IFERROR(VLOOKUP(A2722, Clasificaciones!A:B, 2, FALSE), "DATO NO CARGADO"))
</f>
        <v/>
      </c>
      <c r="C2722" s="51"/>
      <c r="D2722" s="102"/>
      <c r="E2722" s="102"/>
      <c r="H2722" s="102"/>
      <c r="J2722" s="102"/>
      <c r="K2722" s="450"/>
      <c r="L2722" s="443"/>
      <c r="M2722" s="450"/>
      <c r="N2722" s="452">
        <f t="array" ref="N2722">IFERROR(
  INDEX(
    'Valor Hora Real y Estimada'!$A$4:$Z$78,
    MATCH(TRIM(CLEAN(A2722)), 'Valor Hora Real y Estimada'!$A$4:$A$78, 0),
    MATCH(
      TEXT(C2722,"dd mmm")&amp;" "&amp;D2722,
      'Valor Hora Real y Estimada'!$A$3:$Z$3,
      0
    ) + 1
  ),
  0
)</f>
        <v>0</v>
      </c>
      <c r="O2722" s="453"/>
      <c r="P2722" s="113"/>
      <c r="Q2722" s="106" t="str">
        <f>IF(ISBLANK(O2722), "", VLOOKUP(C2722&amp;" "&amp;D2722, 'Info Tipo de Cambio y REM'!$A$24:$B$35, 2, FALSE))</f>
        <v/>
      </c>
      <c r="R2722" s="107"/>
    </row>
    <row r="2723" hidden="1">
      <c r="A2723" s="443"/>
      <c r="B2723" s="43" t="str">
        <f>IF(A2723="", "", IFERROR(VLOOKUP(A2723, Clasificaciones!A:B, 2, FALSE), "DATO NO CARGADO"))
</f>
        <v/>
      </c>
      <c r="C2723" s="51"/>
      <c r="D2723" s="102"/>
      <c r="E2723" s="102"/>
      <c r="H2723" s="102"/>
      <c r="J2723" s="102"/>
      <c r="K2723" s="450"/>
      <c r="L2723" s="443"/>
      <c r="M2723" s="450"/>
      <c r="N2723" s="452">
        <f t="array" ref="N2723">IFERROR(
  INDEX(
    'Valor Hora Real y Estimada'!$A$4:$Z$78,
    MATCH(TRIM(CLEAN(A2723)), 'Valor Hora Real y Estimada'!$A$4:$A$78, 0),
    MATCH(
      TEXT(C2723,"dd mmm")&amp;" "&amp;D2723,
      'Valor Hora Real y Estimada'!$A$3:$Z$3,
      0
    ) + 1
  ),
  0
)</f>
        <v>0</v>
      </c>
      <c r="O2723" s="453"/>
      <c r="P2723" s="113"/>
      <c r="Q2723" s="106" t="str">
        <f>IF(ISBLANK(O2723), "", VLOOKUP(C2723&amp;" "&amp;D2723, 'Info Tipo de Cambio y REM'!$A$24:$B$35, 2, FALSE))</f>
        <v/>
      </c>
      <c r="R2723" s="107"/>
    </row>
    <row r="2724" hidden="1">
      <c r="A2724" s="443"/>
      <c r="B2724" s="43" t="str">
        <f>IF(A2724="", "", IFERROR(VLOOKUP(A2724, Clasificaciones!A:B, 2, FALSE), "DATO NO CARGADO"))
</f>
        <v/>
      </c>
      <c r="C2724" s="51"/>
      <c r="D2724" s="102"/>
      <c r="E2724" s="102"/>
      <c r="H2724" s="102"/>
      <c r="J2724" s="102"/>
      <c r="K2724" s="450"/>
      <c r="L2724" s="443"/>
      <c r="M2724" s="450"/>
      <c r="N2724" s="452">
        <f t="array" ref="N2724">IFERROR(
  INDEX(
    'Valor Hora Real y Estimada'!$A$4:$Z$78,
    MATCH(TRIM(CLEAN(A2724)), 'Valor Hora Real y Estimada'!$A$4:$A$78, 0),
    MATCH(
      TEXT(C2724,"dd mmm")&amp;" "&amp;D2724,
      'Valor Hora Real y Estimada'!$A$3:$Z$3,
      0
    ) + 1
  ),
  0
)</f>
        <v>0</v>
      </c>
      <c r="O2724" s="453"/>
      <c r="P2724" s="113"/>
      <c r="Q2724" s="106" t="str">
        <f>IF(ISBLANK(O2724), "", VLOOKUP(C2724&amp;" "&amp;D2724, 'Info Tipo de Cambio y REM'!$A$24:$B$35, 2, FALSE))</f>
        <v/>
      </c>
      <c r="R2724" s="107"/>
    </row>
    <row r="2725" hidden="1">
      <c r="A2725" s="443"/>
      <c r="B2725" s="43" t="str">
        <f>IF(A2725="", "", IFERROR(VLOOKUP(A2725, Clasificaciones!A:B, 2, FALSE), "DATO NO CARGADO"))
</f>
        <v/>
      </c>
      <c r="C2725" s="51"/>
      <c r="D2725" s="102"/>
      <c r="E2725" s="102"/>
      <c r="H2725" s="102"/>
      <c r="J2725" s="102"/>
      <c r="K2725" s="450"/>
      <c r="L2725" s="443"/>
      <c r="M2725" s="450"/>
      <c r="N2725" s="452">
        <f t="array" ref="N2725">IFERROR(
  INDEX(
    'Valor Hora Real y Estimada'!$A$4:$Z$78,
    MATCH(TRIM(CLEAN(A2725)), 'Valor Hora Real y Estimada'!$A$4:$A$78, 0),
    MATCH(
      TEXT(C2725,"dd mmm")&amp;" "&amp;D2725,
      'Valor Hora Real y Estimada'!$A$3:$Z$3,
      0
    ) + 1
  ),
  0
)</f>
        <v>0</v>
      </c>
      <c r="O2725" s="453"/>
      <c r="P2725" s="113"/>
      <c r="Q2725" s="106" t="str">
        <f>IF(ISBLANK(O2725), "", VLOOKUP(C2725&amp;" "&amp;D2725, 'Info Tipo de Cambio y REM'!$A$24:$B$35, 2, FALSE))</f>
        <v/>
      </c>
      <c r="R2725" s="107"/>
    </row>
    <row r="2726" hidden="1">
      <c r="A2726" s="443"/>
      <c r="B2726" s="43" t="str">
        <f>IF(A2726="", "", IFERROR(VLOOKUP(A2726, Clasificaciones!A:B, 2, FALSE), "DATO NO CARGADO"))
</f>
        <v/>
      </c>
      <c r="C2726" s="51"/>
      <c r="D2726" s="102"/>
      <c r="E2726" s="102"/>
      <c r="H2726" s="102"/>
      <c r="J2726" s="102"/>
      <c r="K2726" s="450"/>
      <c r="L2726" s="443"/>
      <c r="M2726" s="450"/>
      <c r="N2726" s="452">
        <f t="array" ref="N2726">IFERROR(
  INDEX(
    'Valor Hora Real y Estimada'!$A$4:$Z$78,
    MATCH(TRIM(CLEAN(A2726)), 'Valor Hora Real y Estimada'!$A$4:$A$78, 0),
    MATCH(
      TEXT(C2726,"dd mmm")&amp;" "&amp;D2726,
      'Valor Hora Real y Estimada'!$A$3:$Z$3,
      0
    ) + 1
  ),
  0
)</f>
        <v>0</v>
      </c>
      <c r="O2726" s="453"/>
      <c r="P2726" s="113"/>
      <c r="Q2726" s="106" t="str">
        <f>IF(ISBLANK(O2726), "", VLOOKUP(C2726&amp;" "&amp;D2726, 'Info Tipo de Cambio y REM'!$A$24:$B$35, 2, FALSE))</f>
        <v/>
      </c>
      <c r="R2726" s="107"/>
    </row>
    <row r="2727" hidden="1">
      <c r="A2727" s="443"/>
      <c r="B2727" s="43" t="str">
        <f>IF(A2727="", "", IFERROR(VLOOKUP(A2727, Clasificaciones!A:B, 2, FALSE), "DATO NO CARGADO"))
</f>
        <v/>
      </c>
      <c r="C2727" s="51"/>
      <c r="D2727" s="102"/>
      <c r="E2727" s="102"/>
      <c r="H2727" s="102"/>
      <c r="J2727" s="102"/>
      <c r="K2727" s="450"/>
      <c r="L2727" s="443"/>
      <c r="M2727" s="450"/>
      <c r="N2727" s="452">
        <f t="array" ref="N2727">IFERROR(
  INDEX(
    'Valor Hora Real y Estimada'!$A$4:$Z$78,
    MATCH(TRIM(CLEAN(A2727)), 'Valor Hora Real y Estimada'!$A$4:$A$78, 0),
    MATCH(
      TEXT(C2727,"dd mmm")&amp;" "&amp;D2727,
      'Valor Hora Real y Estimada'!$A$3:$Z$3,
      0
    ) + 1
  ),
  0
)</f>
        <v>0</v>
      </c>
      <c r="O2727" s="453"/>
      <c r="P2727" s="113"/>
      <c r="Q2727" s="106" t="str">
        <f>IF(ISBLANK(O2727), "", VLOOKUP(C2727&amp;" "&amp;D2727, 'Info Tipo de Cambio y REM'!$A$24:$B$35, 2, FALSE))</f>
        <v/>
      </c>
      <c r="R2727" s="107"/>
    </row>
    <row r="2728" hidden="1">
      <c r="A2728" s="443"/>
      <c r="B2728" s="43" t="str">
        <f>IF(A2728="", "", IFERROR(VLOOKUP(A2728, Clasificaciones!A:B, 2, FALSE), "DATO NO CARGADO"))
</f>
        <v/>
      </c>
      <c r="C2728" s="51"/>
      <c r="D2728" s="102"/>
      <c r="E2728" s="102"/>
      <c r="H2728" s="102"/>
      <c r="J2728" s="102"/>
      <c r="K2728" s="450"/>
      <c r="L2728" s="443"/>
      <c r="M2728" s="450"/>
      <c r="N2728" s="452">
        <f t="array" ref="N2728">IFERROR(
  INDEX(
    'Valor Hora Real y Estimada'!$A$4:$Z$78,
    MATCH(TRIM(CLEAN(A2728)), 'Valor Hora Real y Estimada'!$A$4:$A$78, 0),
    MATCH(
      TEXT(C2728,"dd mmm")&amp;" "&amp;D2728,
      'Valor Hora Real y Estimada'!$A$3:$Z$3,
      0
    ) + 1
  ),
  0
)</f>
        <v>0</v>
      </c>
      <c r="O2728" s="453"/>
      <c r="P2728" s="113"/>
      <c r="Q2728" s="106" t="str">
        <f>IF(ISBLANK(O2728), "", VLOOKUP(C2728&amp;" "&amp;D2728, 'Info Tipo de Cambio y REM'!$A$24:$B$35, 2, FALSE))</f>
        <v/>
      </c>
      <c r="R2728" s="107"/>
    </row>
    <row r="2729" hidden="1">
      <c r="A2729" s="443"/>
      <c r="B2729" s="43" t="str">
        <f>IF(A2729="", "", IFERROR(VLOOKUP(A2729, Clasificaciones!A:B, 2, FALSE), "DATO NO CARGADO"))
</f>
        <v/>
      </c>
      <c r="C2729" s="51"/>
      <c r="D2729" s="102"/>
      <c r="E2729" s="102"/>
      <c r="H2729" s="102"/>
      <c r="J2729" s="102"/>
      <c r="K2729" s="450"/>
      <c r="L2729" s="443"/>
      <c r="M2729" s="450"/>
      <c r="N2729" s="452">
        <f t="array" ref="N2729">IFERROR(
  INDEX(
    'Valor Hora Real y Estimada'!$A$4:$Z$78,
    MATCH(TRIM(CLEAN(A2729)), 'Valor Hora Real y Estimada'!$A$4:$A$78, 0),
    MATCH(
      TEXT(C2729,"dd mmm")&amp;" "&amp;D2729,
      'Valor Hora Real y Estimada'!$A$3:$Z$3,
      0
    ) + 1
  ),
  0
)</f>
        <v>0</v>
      </c>
      <c r="O2729" s="453"/>
      <c r="P2729" s="113"/>
      <c r="Q2729" s="106" t="str">
        <f>IF(ISBLANK(O2729), "", VLOOKUP(C2729&amp;" "&amp;D2729, 'Info Tipo de Cambio y REM'!$A$24:$B$35, 2, FALSE))</f>
        <v/>
      </c>
      <c r="R2729" s="107"/>
    </row>
    <row r="2730" hidden="1">
      <c r="A2730" s="443"/>
      <c r="B2730" s="43" t="str">
        <f>IF(A2730="", "", IFERROR(VLOOKUP(A2730, Clasificaciones!A:B, 2, FALSE), "DATO NO CARGADO"))
</f>
        <v/>
      </c>
      <c r="C2730" s="51"/>
      <c r="D2730" s="102"/>
      <c r="E2730" s="102"/>
      <c r="H2730" s="102"/>
      <c r="J2730" s="102"/>
      <c r="K2730" s="450"/>
      <c r="L2730" s="443"/>
      <c r="M2730" s="450"/>
      <c r="N2730" s="452">
        <f t="array" ref="N2730">IFERROR(
  INDEX(
    'Valor Hora Real y Estimada'!$A$4:$Z$78,
    MATCH(TRIM(CLEAN(A2730)), 'Valor Hora Real y Estimada'!$A$4:$A$78, 0),
    MATCH(
      TEXT(C2730,"dd mmm")&amp;" "&amp;D2730,
      'Valor Hora Real y Estimada'!$A$3:$Z$3,
      0
    ) + 1
  ),
  0
)</f>
        <v>0</v>
      </c>
      <c r="O2730" s="453"/>
      <c r="P2730" s="113"/>
      <c r="Q2730" s="106" t="str">
        <f>IF(ISBLANK(O2730), "", VLOOKUP(C2730&amp;" "&amp;D2730, 'Info Tipo de Cambio y REM'!$A$24:$B$35, 2, FALSE))</f>
        <v/>
      </c>
      <c r="R2730" s="107"/>
    </row>
    <row r="2731" hidden="1">
      <c r="A2731" s="443"/>
      <c r="B2731" s="43" t="str">
        <f>IF(A2731="", "", IFERROR(VLOOKUP(A2731, Clasificaciones!A:B, 2, FALSE), "DATO NO CARGADO"))
</f>
        <v/>
      </c>
      <c r="C2731" s="51"/>
      <c r="D2731" s="102"/>
      <c r="E2731" s="102"/>
      <c r="H2731" s="102"/>
      <c r="J2731" s="102"/>
      <c r="K2731" s="450"/>
      <c r="L2731" s="443"/>
      <c r="M2731" s="450"/>
      <c r="N2731" s="452">
        <f t="array" ref="N2731">IFERROR(
  INDEX(
    'Valor Hora Real y Estimada'!$A$4:$Z$78,
    MATCH(TRIM(CLEAN(A2731)), 'Valor Hora Real y Estimada'!$A$4:$A$78, 0),
    MATCH(
      TEXT(C2731,"dd mmm")&amp;" "&amp;D2731,
      'Valor Hora Real y Estimada'!$A$3:$Z$3,
      0
    ) + 1
  ),
  0
)</f>
        <v>0</v>
      </c>
      <c r="O2731" s="453"/>
      <c r="P2731" s="113"/>
      <c r="Q2731" s="106" t="str">
        <f>IF(ISBLANK(O2731), "", VLOOKUP(C2731&amp;" "&amp;D2731, 'Info Tipo de Cambio y REM'!$A$24:$B$35, 2, FALSE))</f>
        <v/>
      </c>
      <c r="R2731" s="107"/>
    </row>
    <row r="2732" hidden="1">
      <c r="A2732" s="443"/>
      <c r="B2732" s="43" t="str">
        <f>IF(A2732="", "", IFERROR(VLOOKUP(A2732, Clasificaciones!A:B, 2, FALSE), "DATO NO CARGADO"))
</f>
        <v/>
      </c>
      <c r="C2732" s="51"/>
      <c r="D2732" s="102"/>
      <c r="E2732" s="102"/>
      <c r="H2732" s="102"/>
      <c r="J2732" s="102"/>
      <c r="K2732" s="450"/>
      <c r="L2732" s="443"/>
      <c r="M2732" s="450"/>
      <c r="N2732" s="452">
        <f t="array" ref="N2732">IFERROR(
  INDEX(
    'Valor Hora Real y Estimada'!$A$4:$Z$78,
    MATCH(TRIM(CLEAN(A2732)), 'Valor Hora Real y Estimada'!$A$4:$A$78, 0),
    MATCH(
      TEXT(C2732,"dd mmm")&amp;" "&amp;D2732,
      'Valor Hora Real y Estimada'!$A$3:$Z$3,
      0
    ) + 1
  ),
  0
)</f>
        <v>0</v>
      </c>
      <c r="O2732" s="453"/>
      <c r="P2732" s="113"/>
      <c r="Q2732" s="106" t="str">
        <f>IF(ISBLANK(O2732), "", VLOOKUP(C2732&amp;" "&amp;D2732, 'Info Tipo de Cambio y REM'!$A$24:$B$35, 2, FALSE))</f>
        <v/>
      </c>
      <c r="R2732" s="107"/>
    </row>
    <row r="2733" hidden="1">
      <c r="A2733" s="443"/>
      <c r="B2733" s="43" t="str">
        <f>IF(A2733="", "", IFERROR(VLOOKUP(A2733, Clasificaciones!A:B, 2, FALSE), "DATO NO CARGADO"))
</f>
        <v/>
      </c>
      <c r="C2733" s="51"/>
      <c r="D2733" s="102"/>
      <c r="E2733" s="102"/>
      <c r="H2733" s="102"/>
      <c r="J2733" s="102"/>
      <c r="K2733" s="450"/>
      <c r="L2733" s="443"/>
      <c r="M2733" s="450"/>
      <c r="N2733" s="452">
        <f t="array" ref="N2733">IFERROR(
  INDEX(
    'Valor Hora Real y Estimada'!$A$4:$Z$78,
    MATCH(TRIM(CLEAN(A2733)), 'Valor Hora Real y Estimada'!$A$4:$A$78, 0),
    MATCH(
      TEXT(C2733,"dd mmm")&amp;" "&amp;D2733,
      'Valor Hora Real y Estimada'!$A$3:$Z$3,
      0
    ) + 1
  ),
  0
)</f>
        <v>0</v>
      </c>
      <c r="O2733" s="453"/>
      <c r="P2733" s="113"/>
      <c r="Q2733" s="106" t="str">
        <f>IF(ISBLANK(O2733), "", VLOOKUP(C2733&amp;" "&amp;D2733, 'Info Tipo de Cambio y REM'!$A$24:$B$35, 2, FALSE))</f>
        <v/>
      </c>
      <c r="R2733" s="107"/>
    </row>
    <row r="2734" hidden="1">
      <c r="A2734" s="443"/>
      <c r="B2734" s="43" t="str">
        <f>IF(A2734="", "", IFERROR(VLOOKUP(A2734, Clasificaciones!A:B, 2, FALSE), "DATO NO CARGADO"))
</f>
        <v/>
      </c>
      <c r="C2734" s="51"/>
      <c r="D2734" s="102"/>
      <c r="E2734" s="102"/>
      <c r="H2734" s="102"/>
      <c r="J2734" s="102"/>
      <c r="K2734" s="450"/>
      <c r="L2734" s="443"/>
      <c r="M2734" s="450"/>
      <c r="N2734" s="452">
        <f t="array" ref="N2734">IFERROR(
  INDEX(
    'Valor Hora Real y Estimada'!$A$4:$Z$78,
    MATCH(TRIM(CLEAN(A2734)), 'Valor Hora Real y Estimada'!$A$4:$A$78, 0),
    MATCH(
      TEXT(C2734,"dd mmm")&amp;" "&amp;D2734,
      'Valor Hora Real y Estimada'!$A$3:$Z$3,
      0
    ) + 1
  ),
  0
)</f>
        <v>0</v>
      </c>
      <c r="O2734" s="453"/>
      <c r="P2734" s="113"/>
      <c r="Q2734" s="106" t="str">
        <f>IF(ISBLANK(O2734), "", VLOOKUP(C2734&amp;" "&amp;D2734, 'Info Tipo de Cambio y REM'!$A$24:$B$35, 2, FALSE))</f>
        <v/>
      </c>
      <c r="R2734" s="107"/>
    </row>
    <row r="2735" hidden="1">
      <c r="A2735" s="443"/>
      <c r="B2735" s="43" t="str">
        <f>IF(A2735="", "", IFERROR(VLOOKUP(A2735, Clasificaciones!A:B, 2, FALSE), "DATO NO CARGADO"))
</f>
        <v/>
      </c>
      <c r="C2735" s="51"/>
      <c r="D2735" s="102"/>
      <c r="E2735" s="102"/>
      <c r="H2735" s="102"/>
      <c r="J2735" s="102"/>
      <c r="K2735" s="450"/>
      <c r="L2735" s="443"/>
      <c r="M2735" s="450"/>
      <c r="N2735" s="452">
        <f t="array" ref="N2735">IFERROR(
  INDEX(
    'Valor Hora Real y Estimada'!$A$4:$Z$78,
    MATCH(TRIM(CLEAN(A2735)), 'Valor Hora Real y Estimada'!$A$4:$A$78, 0),
    MATCH(
      TEXT(C2735,"dd mmm")&amp;" "&amp;D2735,
      'Valor Hora Real y Estimada'!$A$3:$Z$3,
      0
    ) + 1
  ),
  0
)</f>
        <v>0</v>
      </c>
      <c r="O2735" s="453"/>
      <c r="P2735" s="113"/>
      <c r="Q2735" s="106" t="str">
        <f>IF(ISBLANK(O2735), "", VLOOKUP(C2735&amp;" "&amp;D2735, 'Info Tipo de Cambio y REM'!$A$24:$B$35, 2, FALSE))</f>
        <v/>
      </c>
      <c r="R2735" s="107"/>
    </row>
    <row r="2736" hidden="1">
      <c r="A2736" s="443"/>
      <c r="B2736" s="43" t="str">
        <f>IF(A2736="", "", IFERROR(VLOOKUP(A2736, Clasificaciones!A:B, 2, FALSE), "DATO NO CARGADO"))
</f>
        <v/>
      </c>
      <c r="C2736" s="51"/>
      <c r="D2736" s="102"/>
      <c r="E2736" s="102"/>
      <c r="H2736" s="102"/>
      <c r="J2736" s="102"/>
      <c r="K2736" s="450"/>
      <c r="L2736" s="443"/>
      <c r="M2736" s="450"/>
      <c r="N2736" s="452">
        <f t="array" ref="N2736">IFERROR(
  INDEX(
    'Valor Hora Real y Estimada'!$A$4:$Z$78,
    MATCH(TRIM(CLEAN(A2736)), 'Valor Hora Real y Estimada'!$A$4:$A$78, 0),
    MATCH(
      TEXT(C2736,"dd mmm")&amp;" "&amp;D2736,
      'Valor Hora Real y Estimada'!$A$3:$Z$3,
      0
    ) + 1
  ),
  0
)</f>
        <v>0</v>
      </c>
      <c r="O2736" s="453"/>
      <c r="P2736" s="113"/>
      <c r="Q2736" s="106" t="str">
        <f>IF(ISBLANK(O2736), "", VLOOKUP(C2736&amp;" "&amp;D2736, 'Info Tipo de Cambio y REM'!$A$24:$B$35, 2, FALSE))</f>
        <v/>
      </c>
      <c r="R2736" s="107"/>
    </row>
    <row r="2737" hidden="1">
      <c r="A2737" s="443"/>
      <c r="B2737" s="43" t="str">
        <f>IF(A2737="", "", IFERROR(VLOOKUP(A2737, Clasificaciones!A:B, 2, FALSE), "DATO NO CARGADO"))
</f>
        <v/>
      </c>
      <c r="C2737" s="51"/>
      <c r="D2737" s="102"/>
      <c r="E2737" s="102"/>
      <c r="H2737" s="102"/>
      <c r="J2737" s="102"/>
      <c r="K2737" s="450"/>
      <c r="L2737" s="443"/>
      <c r="M2737" s="450"/>
      <c r="N2737" s="452">
        <f t="array" ref="N2737">IFERROR(
  INDEX(
    'Valor Hora Real y Estimada'!$A$4:$Z$78,
    MATCH(TRIM(CLEAN(A2737)), 'Valor Hora Real y Estimada'!$A$4:$A$78, 0),
    MATCH(
      TEXT(C2737,"dd mmm")&amp;" "&amp;D2737,
      'Valor Hora Real y Estimada'!$A$3:$Z$3,
      0
    ) + 1
  ),
  0
)</f>
        <v>0</v>
      </c>
      <c r="O2737" s="453"/>
      <c r="P2737" s="113"/>
      <c r="Q2737" s="106" t="str">
        <f>IF(ISBLANK(O2737), "", VLOOKUP(C2737&amp;" "&amp;D2737, 'Info Tipo de Cambio y REM'!$A$24:$B$35, 2, FALSE))</f>
        <v/>
      </c>
      <c r="R2737" s="107"/>
    </row>
    <row r="2738" hidden="1">
      <c r="A2738" s="443"/>
      <c r="B2738" s="43" t="str">
        <f>IF(A2738="", "", IFERROR(VLOOKUP(A2738, Clasificaciones!A:B, 2, FALSE), "DATO NO CARGADO"))
</f>
        <v/>
      </c>
      <c r="C2738" s="51"/>
      <c r="D2738" s="102"/>
      <c r="E2738" s="102"/>
      <c r="H2738" s="102"/>
      <c r="J2738" s="102"/>
      <c r="K2738" s="450"/>
      <c r="L2738" s="443"/>
      <c r="M2738" s="450"/>
      <c r="N2738" s="452">
        <f t="array" ref="N2738">IFERROR(
  INDEX(
    'Valor Hora Real y Estimada'!$A$4:$Z$78,
    MATCH(TRIM(CLEAN(A2738)), 'Valor Hora Real y Estimada'!$A$4:$A$78, 0),
    MATCH(
      TEXT(C2738,"dd mmm")&amp;" "&amp;D2738,
      'Valor Hora Real y Estimada'!$A$3:$Z$3,
      0
    ) + 1
  ),
  0
)</f>
        <v>0</v>
      </c>
      <c r="O2738" s="453"/>
      <c r="P2738" s="113"/>
      <c r="Q2738" s="106" t="str">
        <f>IF(ISBLANK(O2738), "", VLOOKUP(C2738&amp;" "&amp;D2738, 'Info Tipo de Cambio y REM'!$A$24:$B$35, 2, FALSE))</f>
        <v/>
      </c>
      <c r="R2738" s="107"/>
    </row>
    <row r="2739" hidden="1">
      <c r="A2739" s="443"/>
      <c r="B2739" s="43" t="str">
        <f>IF(A2739="", "", IFERROR(VLOOKUP(A2739, Clasificaciones!A:B, 2, FALSE), "DATO NO CARGADO"))
</f>
        <v/>
      </c>
      <c r="C2739" s="51"/>
      <c r="D2739" s="102"/>
      <c r="E2739" s="102"/>
      <c r="H2739" s="102"/>
      <c r="J2739" s="102"/>
      <c r="K2739" s="450"/>
      <c r="L2739" s="443"/>
      <c r="M2739" s="450"/>
      <c r="N2739" s="452">
        <f t="array" ref="N2739">IFERROR(
  INDEX(
    'Valor Hora Real y Estimada'!$A$4:$Z$78,
    MATCH(TRIM(CLEAN(A2739)), 'Valor Hora Real y Estimada'!$A$4:$A$78, 0),
    MATCH(
      TEXT(C2739,"dd mmm")&amp;" "&amp;D2739,
      'Valor Hora Real y Estimada'!$A$3:$Z$3,
      0
    ) + 1
  ),
  0
)</f>
        <v>0</v>
      </c>
      <c r="O2739" s="453"/>
      <c r="P2739" s="113"/>
      <c r="Q2739" s="106" t="str">
        <f>IF(ISBLANK(O2739), "", VLOOKUP(C2739&amp;" "&amp;D2739, 'Info Tipo de Cambio y REM'!$A$24:$B$35, 2, FALSE))</f>
        <v/>
      </c>
      <c r="R2739" s="107"/>
    </row>
    <row r="2740" hidden="1">
      <c r="A2740" s="443"/>
      <c r="B2740" s="43" t="str">
        <f>IF(A2740="", "", IFERROR(VLOOKUP(A2740, Clasificaciones!A:B, 2, FALSE), "DATO NO CARGADO"))
</f>
        <v/>
      </c>
      <c r="C2740" s="51"/>
      <c r="D2740" s="102"/>
      <c r="E2740" s="102"/>
      <c r="H2740" s="102"/>
      <c r="J2740" s="102"/>
      <c r="K2740" s="450"/>
      <c r="L2740" s="443"/>
      <c r="M2740" s="450"/>
      <c r="N2740" s="452">
        <f t="array" ref="N2740">IFERROR(
  INDEX(
    'Valor Hora Real y Estimada'!$A$4:$Z$78,
    MATCH(TRIM(CLEAN(A2740)), 'Valor Hora Real y Estimada'!$A$4:$A$78, 0),
    MATCH(
      TEXT(C2740,"dd mmm")&amp;" "&amp;D2740,
      'Valor Hora Real y Estimada'!$A$3:$Z$3,
      0
    ) + 1
  ),
  0
)</f>
        <v>0</v>
      </c>
      <c r="O2740" s="453"/>
      <c r="P2740" s="113"/>
      <c r="Q2740" s="106" t="str">
        <f>IF(ISBLANK(O2740), "", VLOOKUP(C2740&amp;" "&amp;D2740, 'Info Tipo de Cambio y REM'!$A$24:$B$35, 2, FALSE))</f>
        <v/>
      </c>
      <c r="R2740" s="107"/>
    </row>
    <row r="2741" hidden="1">
      <c r="A2741" s="443"/>
      <c r="B2741" s="43" t="str">
        <f>IF(A2741="", "", IFERROR(VLOOKUP(A2741, Clasificaciones!A:B, 2, FALSE), "DATO NO CARGADO"))
</f>
        <v/>
      </c>
      <c r="C2741" s="51"/>
      <c r="D2741" s="102"/>
      <c r="E2741" s="102"/>
      <c r="H2741" s="102"/>
      <c r="J2741" s="102"/>
      <c r="K2741" s="450"/>
      <c r="L2741" s="443"/>
      <c r="M2741" s="450"/>
      <c r="N2741" s="452">
        <f t="array" ref="N2741">IFERROR(
  INDEX(
    'Valor Hora Real y Estimada'!$A$4:$Z$78,
    MATCH(TRIM(CLEAN(A2741)), 'Valor Hora Real y Estimada'!$A$4:$A$78, 0),
    MATCH(
      TEXT(C2741,"dd mmm")&amp;" "&amp;D2741,
      'Valor Hora Real y Estimada'!$A$3:$Z$3,
      0
    ) + 1
  ),
  0
)</f>
        <v>0</v>
      </c>
      <c r="O2741" s="453"/>
      <c r="P2741" s="113"/>
      <c r="Q2741" s="106" t="str">
        <f>IF(ISBLANK(O2741), "", VLOOKUP(C2741&amp;" "&amp;D2741, 'Info Tipo de Cambio y REM'!$A$24:$B$35, 2, FALSE))</f>
        <v/>
      </c>
      <c r="R2741" s="107"/>
    </row>
    <row r="2742" hidden="1">
      <c r="A2742" s="443"/>
      <c r="B2742" s="43" t="str">
        <f>IF(A2742="", "", IFERROR(VLOOKUP(A2742, Clasificaciones!A:B, 2, FALSE), "DATO NO CARGADO"))
</f>
        <v/>
      </c>
      <c r="C2742" s="51"/>
      <c r="D2742" s="102"/>
      <c r="E2742" s="102"/>
      <c r="H2742" s="102"/>
      <c r="J2742" s="102"/>
      <c r="K2742" s="450"/>
      <c r="L2742" s="443"/>
      <c r="M2742" s="450"/>
      <c r="N2742" s="452">
        <f t="array" ref="N2742">IFERROR(
  INDEX(
    'Valor Hora Real y Estimada'!$A$4:$Z$78,
    MATCH(TRIM(CLEAN(A2742)), 'Valor Hora Real y Estimada'!$A$4:$A$78, 0),
    MATCH(
      TEXT(C2742,"dd mmm")&amp;" "&amp;D2742,
      'Valor Hora Real y Estimada'!$A$3:$Z$3,
      0
    ) + 1
  ),
  0
)</f>
        <v>0</v>
      </c>
      <c r="O2742" s="453"/>
      <c r="P2742" s="113"/>
      <c r="Q2742" s="106" t="str">
        <f>IF(ISBLANK(O2742), "", VLOOKUP(C2742&amp;" "&amp;D2742, 'Info Tipo de Cambio y REM'!$A$24:$B$35, 2, FALSE))</f>
        <v/>
      </c>
      <c r="R2742" s="107"/>
    </row>
    <row r="2743" hidden="1">
      <c r="A2743" s="443"/>
      <c r="B2743" s="43" t="str">
        <f>IF(A2743="", "", IFERROR(VLOOKUP(A2743, Clasificaciones!A:B, 2, FALSE), "DATO NO CARGADO"))
</f>
        <v/>
      </c>
      <c r="C2743" s="51"/>
      <c r="D2743" s="102"/>
      <c r="E2743" s="102"/>
      <c r="H2743" s="102"/>
      <c r="J2743" s="102"/>
      <c r="K2743" s="450"/>
      <c r="L2743" s="443"/>
      <c r="M2743" s="450"/>
      <c r="N2743" s="452">
        <f t="array" ref="N2743">IFERROR(
  INDEX(
    'Valor Hora Real y Estimada'!$A$4:$Z$78,
    MATCH(TRIM(CLEAN(A2743)), 'Valor Hora Real y Estimada'!$A$4:$A$78, 0),
    MATCH(
      TEXT(C2743,"dd mmm")&amp;" "&amp;D2743,
      'Valor Hora Real y Estimada'!$A$3:$Z$3,
      0
    ) + 1
  ),
  0
)</f>
        <v>0</v>
      </c>
      <c r="O2743" s="453"/>
      <c r="P2743" s="113"/>
      <c r="Q2743" s="106" t="str">
        <f>IF(ISBLANK(O2743), "", VLOOKUP(C2743&amp;" "&amp;D2743, 'Info Tipo de Cambio y REM'!$A$24:$B$35, 2, FALSE))</f>
        <v/>
      </c>
      <c r="R2743" s="107"/>
    </row>
    <row r="2744" hidden="1">
      <c r="A2744" s="443"/>
      <c r="B2744" s="43" t="str">
        <f>IF(A2744="", "", IFERROR(VLOOKUP(A2744, Clasificaciones!A:B, 2, FALSE), "DATO NO CARGADO"))
</f>
        <v/>
      </c>
      <c r="C2744" s="51"/>
      <c r="D2744" s="102"/>
      <c r="E2744" s="102"/>
      <c r="H2744" s="102"/>
      <c r="J2744" s="102"/>
      <c r="K2744" s="450"/>
      <c r="L2744" s="443"/>
      <c r="M2744" s="450"/>
      <c r="N2744" s="452">
        <f t="array" ref="N2744">IFERROR(
  INDEX(
    'Valor Hora Real y Estimada'!$A$4:$Z$78,
    MATCH(TRIM(CLEAN(A2744)), 'Valor Hora Real y Estimada'!$A$4:$A$78, 0),
    MATCH(
      TEXT(C2744,"dd mmm")&amp;" "&amp;D2744,
      'Valor Hora Real y Estimada'!$A$3:$Z$3,
      0
    ) + 1
  ),
  0
)</f>
        <v>0</v>
      </c>
      <c r="O2744" s="453"/>
      <c r="P2744" s="113"/>
      <c r="Q2744" s="106" t="str">
        <f>IF(ISBLANK(O2744), "", VLOOKUP(C2744&amp;" "&amp;D2744, 'Info Tipo de Cambio y REM'!$A$24:$B$35, 2, FALSE))</f>
        <v/>
      </c>
      <c r="R2744" s="107"/>
    </row>
    <row r="2745" hidden="1">
      <c r="A2745" s="443"/>
      <c r="B2745" s="43" t="str">
        <f>IF(A2745="", "", IFERROR(VLOOKUP(A2745, Clasificaciones!A:B, 2, FALSE), "DATO NO CARGADO"))
</f>
        <v/>
      </c>
      <c r="C2745" s="51"/>
      <c r="D2745" s="102"/>
      <c r="E2745" s="102"/>
      <c r="H2745" s="102"/>
      <c r="J2745" s="102"/>
      <c r="K2745" s="450"/>
      <c r="L2745" s="443"/>
      <c r="M2745" s="450"/>
      <c r="N2745" s="452">
        <f t="array" ref="N2745">IFERROR(
  INDEX(
    'Valor Hora Real y Estimada'!$A$4:$Z$78,
    MATCH(TRIM(CLEAN(A2745)), 'Valor Hora Real y Estimada'!$A$4:$A$78, 0),
    MATCH(
      TEXT(C2745,"dd mmm")&amp;" "&amp;D2745,
      'Valor Hora Real y Estimada'!$A$3:$Z$3,
      0
    ) + 1
  ),
  0
)</f>
        <v>0</v>
      </c>
      <c r="O2745" s="453"/>
      <c r="P2745" s="113"/>
      <c r="Q2745" s="106" t="str">
        <f>IF(ISBLANK(O2745), "", VLOOKUP(C2745&amp;" "&amp;D2745, 'Info Tipo de Cambio y REM'!$A$24:$B$35, 2, FALSE))</f>
        <v/>
      </c>
      <c r="R2745" s="107"/>
    </row>
    <row r="2746" hidden="1">
      <c r="A2746" s="443"/>
      <c r="B2746" s="43" t="str">
        <f>IF(A2746="", "", IFERROR(VLOOKUP(A2746, Clasificaciones!A:B, 2, FALSE), "DATO NO CARGADO"))
</f>
        <v/>
      </c>
      <c r="C2746" s="51"/>
      <c r="D2746" s="102"/>
      <c r="E2746" s="102"/>
      <c r="H2746" s="102"/>
      <c r="J2746" s="102"/>
      <c r="K2746" s="450"/>
      <c r="L2746" s="443"/>
      <c r="M2746" s="450"/>
      <c r="N2746" s="452">
        <f t="array" ref="N2746">IFERROR(
  INDEX(
    'Valor Hora Real y Estimada'!$A$4:$Z$78,
    MATCH(TRIM(CLEAN(A2746)), 'Valor Hora Real y Estimada'!$A$4:$A$78, 0),
    MATCH(
      TEXT(C2746,"dd mmm")&amp;" "&amp;D2746,
      'Valor Hora Real y Estimada'!$A$3:$Z$3,
      0
    ) + 1
  ),
  0
)</f>
        <v>0</v>
      </c>
      <c r="O2746" s="453"/>
      <c r="P2746" s="113"/>
      <c r="Q2746" s="106" t="str">
        <f>IF(ISBLANK(O2746), "", VLOOKUP(C2746&amp;" "&amp;D2746, 'Info Tipo de Cambio y REM'!$A$24:$B$35, 2, FALSE))</f>
        <v/>
      </c>
      <c r="R2746" s="107"/>
    </row>
    <row r="2747" hidden="1">
      <c r="A2747" s="443"/>
      <c r="B2747" s="43" t="str">
        <f>IF(A2747="", "", IFERROR(VLOOKUP(A2747, Clasificaciones!A:B, 2, FALSE), "DATO NO CARGADO"))
</f>
        <v/>
      </c>
      <c r="C2747" s="51"/>
      <c r="D2747" s="102"/>
      <c r="E2747" s="102"/>
      <c r="H2747" s="102"/>
      <c r="J2747" s="102"/>
      <c r="K2747" s="450"/>
      <c r="L2747" s="443"/>
      <c r="M2747" s="450"/>
      <c r="N2747" s="452">
        <f t="array" ref="N2747">IFERROR(
  INDEX(
    'Valor Hora Real y Estimada'!$A$4:$Z$78,
    MATCH(TRIM(CLEAN(A2747)), 'Valor Hora Real y Estimada'!$A$4:$A$78, 0),
    MATCH(
      TEXT(C2747,"dd mmm")&amp;" "&amp;D2747,
      'Valor Hora Real y Estimada'!$A$3:$Z$3,
      0
    ) + 1
  ),
  0
)</f>
        <v>0</v>
      </c>
      <c r="O2747" s="453"/>
      <c r="P2747" s="113"/>
      <c r="Q2747" s="106" t="str">
        <f>IF(ISBLANK(O2747), "", VLOOKUP(C2747&amp;" "&amp;D2747, 'Info Tipo de Cambio y REM'!$A$24:$B$35, 2, FALSE))</f>
        <v/>
      </c>
      <c r="R2747" s="107"/>
    </row>
    <row r="2748" hidden="1">
      <c r="A2748" s="443"/>
      <c r="B2748" s="43" t="str">
        <f>IF(A2748="", "", IFERROR(VLOOKUP(A2748, Clasificaciones!A:B, 2, FALSE), "DATO NO CARGADO"))
</f>
        <v/>
      </c>
      <c r="C2748" s="51"/>
      <c r="D2748" s="102"/>
      <c r="E2748" s="102"/>
      <c r="H2748" s="102"/>
      <c r="J2748" s="102"/>
      <c r="K2748" s="450"/>
      <c r="L2748" s="443"/>
      <c r="M2748" s="450"/>
      <c r="N2748" s="452">
        <f t="array" ref="N2748">IFERROR(
  INDEX(
    'Valor Hora Real y Estimada'!$A$4:$Z$78,
    MATCH(TRIM(CLEAN(A2748)), 'Valor Hora Real y Estimada'!$A$4:$A$78, 0),
    MATCH(
      TEXT(C2748,"dd mmm")&amp;" "&amp;D2748,
      'Valor Hora Real y Estimada'!$A$3:$Z$3,
      0
    ) + 1
  ),
  0
)</f>
        <v>0</v>
      </c>
      <c r="O2748" s="453"/>
      <c r="P2748" s="113"/>
      <c r="Q2748" s="106" t="str">
        <f>IF(ISBLANK(O2748), "", VLOOKUP(C2748&amp;" "&amp;D2748, 'Info Tipo de Cambio y REM'!$A$24:$B$35, 2, FALSE))</f>
        <v/>
      </c>
      <c r="R2748" s="107"/>
    </row>
    <row r="2749" hidden="1">
      <c r="A2749" s="443"/>
      <c r="B2749" s="43" t="str">
        <f>IF(A2749="", "", IFERROR(VLOOKUP(A2749, Clasificaciones!A:B, 2, FALSE), "DATO NO CARGADO"))
</f>
        <v/>
      </c>
      <c r="C2749" s="51"/>
      <c r="D2749" s="102"/>
      <c r="E2749" s="102"/>
      <c r="H2749" s="102"/>
      <c r="J2749" s="102"/>
      <c r="K2749" s="450"/>
      <c r="L2749" s="443"/>
      <c r="M2749" s="450"/>
      <c r="N2749" s="452">
        <f t="array" ref="N2749">IFERROR(
  INDEX(
    'Valor Hora Real y Estimada'!$A$4:$Z$78,
    MATCH(TRIM(CLEAN(A2749)), 'Valor Hora Real y Estimada'!$A$4:$A$78, 0),
    MATCH(
      TEXT(C2749,"dd mmm")&amp;" "&amp;D2749,
      'Valor Hora Real y Estimada'!$A$3:$Z$3,
      0
    ) + 1
  ),
  0
)</f>
        <v>0</v>
      </c>
      <c r="O2749" s="453"/>
      <c r="P2749" s="113"/>
      <c r="Q2749" s="106" t="str">
        <f>IF(ISBLANK(O2749), "", VLOOKUP(C2749&amp;" "&amp;D2749, 'Info Tipo de Cambio y REM'!$A$24:$B$35, 2, FALSE))</f>
        <v/>
      </c>
      <c r="R2749" s="107"/>
    </row>
    <row r="2750" hidden="1">
      <c r="A2750" s="443"/>
      <c r="B2750" s="43" t="str">
        <f>IF(A2750="", "", IFERROR(VLOOKUP(A2750, Clasificaciones!A:B, 2, FALSE), "DATO NO CARGADO"))
</f>
        <v/>
      </c>
      <c r="C2750" s="51"/>
      <c r="D2750" s="102"/>
      <c r="E2750" s="102"/>
      <c r="H2750" s="102"/>
      <c r="J2750" s="102"/>
      <c r="K2750" s="450"/>
      <c r="L2750" s="443"/>
      <c r="M2750" s="450"/>
      <c r="N2750" s="452">
        <f t="array" ref="N2750">IFERROR(
  INDEX(
    'Valor Hora Real y Estimada'!$A$4:$Z$78,
    MATCH(TRIM(CLEAN(A2750)), 'Valor Hora Real y Estimada'!$A$4:$A$78, 0),
    MATCH(
      TEXT(C2750,"dd mmm")&amp;" "&amp;D2750,
      'Valor Hora Real y Estimada'!$A$3:$Z$3,
      0
    ) + 1
  ),
  0
)</f>
        <v>0</v>
      </c>
      <c r="O2750" s="453"/>
      <c r="P2750" s="113"/>
      <c r="Q2750" s="106" t="str">
        <f>IF(ISBLANK(O2750), "", VLOOKUP(C2750&amp;" "&amp;D2750, 'Info Tipo de Cambio y REM'!$A$24:$B$35, 2, FALSE))</f>
        <v/>
      </c>
      <c r="R2750" s="107"/>
    </row>
    <row r="2751" hidden="1">
      <c r="A2751" s="443"/>
      <c r="B2751" s="43" t="str">
        <f>IF(A2751="", "", IFERROR(VLOOKUP(A2751, Clasificaciones!A:B, 2, FALSE), "DATO NO CARGADO"))
</f>
        <v/>
      </c>
      <c r="C2751" s="51"/>
      <c r="D2751" s="102"/>
      <c r="E2751" s="102"/>
      <c r="H2751" s="102"/>
      <c r="J2751" s="102"/>
      <c r="K2751" s="450"/>
      <c r="L2751" s="443"/>
      <c r="M2751" s="450"/>
      <c r="N2751" s="452">
        <f t="array" ref="N2751">IFERROR(
  INDEX(
    'Valor Hora Real y Estimada'!$A$4:$Z$78,
    MATCH(TRIM(CLEAN(A2751)), 'Valor Hora Real y Estimada'!$A$4:$A$78, 0),
    MATCH(
      TEXT(C2751,"dd mmm")&amp;" "&amp;D2751,
      'Valor Hora Real y Estimada'!$A$3:$Z$3,
      0
    ) + 1
  ),
  0
)</f>
        <v>0</v>
      </c>
      <c r="O2751" s="453"/>
      <c r="P2751" s="113"/>
      <c r="Q2751" s="106" t="str">
        <f>IF(ISBLANK(O2751), "", VLOOKUP(C2751&amp;" "&amp;D2751, 'Info Tipo de Cambio y REM'!$A$24:$B$35, 2, FALSE))</f>
        <v/>
      </c>
      <c r="R2751" s="107"/>
    </row>
    <row r="2752" hidden="1">
      <c r="A2752" s="443"/>
      <c r="B2752" s="43" t="str">
        <f>IF(A2752="", "", IFERROR(VLOOKUP(A2752, Clasificaciones!A:B, 2, FALSE), "DATO NO CARGADO"))
</f>
        <v/>
      </c>
      <c r="C2752" s="51"/>
      <c r="D2752" s="102"/>
      <c r="E2752" s="102"/>
      <c r="H2752" s="102"/>
      <c r="J2752" s="102"/>
      <c r="K2752" s="450"/>
      <c r="L2752" s="443"/>
      <c r="M2752" s="450"/>
      <c r="N2752" s="452">
        <f t="array" ref="N2752">IFERROR(
  INDEX(
    'Valor Hora Real y Estimada'!$A$4:$Z$78,
    MATCH(TRIM(CLEAN(A2752)), 'Valor Hora Real y Estimada'!$A$4:$A$78, 0),
    MATCH(
      TEXT(C2752,"dd mmm")&amp;" "&amp;D2752,
      'Valor Hora Real y Estimada'!$A$3:$Z$3,
      0
    ) + 1
  ),
  0
)</f>
        <v>0</v>
      </c>
      <c r="O2752" s="453"/>
      <c r="P2752" s="113"/>
      <c r="Q2752" s="106" t="str">
        <f>IF(ISBLANK(O2752), "", VLOOKUP(C2752&amp;" "&amp;D2752, 'Info Tipo de Cambio y REM'!$A$24:$B$35, 2, FALSE))</f>
        <v/>
      </c>
      <c r="R2752" s="107"/>
    </row>
    <row r="2753" hidden="1">
      <c r="A2753" s="443"/>
      <c r="B2753" s="43" t="str">
        <f>IF(A2753="", "", IFERROR(VLOOKUP(A2753, Clasificaciones!A:B, 2, FALSE), "DATO NO CARGADO"))
</f>
        <v/>
      </c>
      <c r="C2753" s="51"/>
      <c r="D2753" s="102"/>
      <c r="E2753" s="102"/>
      <c r="H2753" s="102"/>
      <c r="J2753" s="102"/>
      <c r="K2753" s="450"/>
      <c r="L2753" s="443"/>
      <c r="M2753" s="450"/>
      <c r="N2753" s="452">
        <f t="array" ref="N2753">IFERROR(
  INDEX(
    'Valor Hora Real y Estimada'!$A$4:$Z$78,
    MATCH(TRIM(CLEAN(A2753)), 'Valor Hora Real y Estimada'!$A$4:$A$78, 0),
    MATCH(
      TEXT(C2753,"dd mmm")&amp;" "&amp;D2753,
      'Valor Hora Real y Estimada'!$A$3:$Z$3,
      0
    ) + 1
  ),
  0
)</f>
        <v>0</v>
      </c>
      <c r="O2753" s="453"/>
      <c r="P2753" s="113"/>
      <c r="Q2753" s="106" t="str">
        <f>IF(ISBLANK(O2753), "", VLOOKUP(C2753&amp;" "&amp;D2753, 'Info Tipo de Cambio y REM'!$A$24:$B$35, 2, FALSE))</f>
        <v/>
      </c>
      <c r="R2753" s="107"/>
    </row>
    <row r="2754" hidden="1">
      <c r="A2754" s="443"/>
      <c r="B2754" s="43" t="str">
        <f>IF(A2754="", "", IFERROR(VLOOKUP(A2754, Clasificaciones!A:B, 2, FALSE), "DATO NO CARGADO"))
</f>
        <v/>
      </c>
      <c r="C2754" s="51"/>
      <c r="D2754" s="102"/>
      <c r="E2754" s="102"/>
      <c r="H2754" s="102"/>
      <c r="J2754" s="102"/>
      <c r="K2754" s="450"/>
      <c r="L2754" s="443"/>
      <c r="M2754" s="450"/>
      <c r="N2754" s="452">
        <f t="array" ref="N2754">IFERROR(
  INDEX(
    'Valor Hora Real y Estimada'!$A$4:$Z$78,
    MATCH(TRIM(CLEAN(A2754)), 'Valor Hora Real y Estimada'!$A$4:$A$78, 0),
    MATCH(
      TEXT(C2754,"dd mmm")&amp;" "&amp;D2754,
      'Valor Hora Real y Estimada'!$A$3:$Z$3,
      0
    ) + 1
  ),
  0
)</f>
        <v>0</v>
      </c>
      <c r="O2754" s="453"/>
      <c r="P2754" s="113"/>
      <c r="Q2754" s="106" t="str">
        <f>IF(ISBLANK(O2754), "", VLOOKUP(C2754&amp;" "&amp;D2754, 'Info Tipo de Cambio y REM'!$A$24:$B$35, 2, FALSE))</f>
        <v/>
      </c>
      <c r="R2754" s="107"/>
    </row>
    <row r="2755" hidden="1">
      <c r="A2755" s="443"/>
      <c r="B2755" s="43" t="str">
        <f>IF(A2755="", "", IFERROR(VLOOKUP(A2755, Clasificaciones!A:B, 2, FALSE), "DATO NO CARGADO"))
</f>
        <v/>
      </c>
      <c r="C2755" s="51"/>
      <c r="D2755" s="102"/>
      <c r="E2755" s="102"/>
      <c r="H2755" s="102"/>
      <c r="J2755" s="102"/>
      <c r="K2755" s="450"/>
      <c r="L2755" s="443"/>
      <c r="M2755" s="450"/>
      <c r="N2755" s="452">
        <f t="array" ref="N2755">IFERROR(
  INDEX(
    'Valor Hora Real y Estimada'!$A$4:$Z$78,
    MATCH(TRIM(CLEAN(A2755)), 'Valor Hora Real y Estimada'!$A$4:$A$78, 0),
    MATCH(
      TEXT(C2755,"dd mmm")&amp;" "&amp;D2755,
      'Valor Hora Real y Estimada'!$A$3:$Z$3,
      0
    ) + 1
  ),
  0
)</f>
        <v>0</v>
      </c>
      <c r="O2755" s="453"/>
      <c r="P2755" s="113"/>
      <c r="Q2755" s="106" t="str">
        <f>IF(ISBLANK(O2755), "", VLOOKUP(C2755&amp;" "&amp;D2755, 'Info Tipo de Cambio y REM'!$A$24:$B$35, 2, FALSE))</f>
        <v/>
      </c>
      <c r="R2755" s="107"/>
    </row>
    <row r="2756" hidden="1">
      <c r="A2756" s="443"/>
      <c r="B2756" s="43" t="str">
        <f>IF(A2756="", "", IFERROR(VLOOKUP(A2756, Clasificaciones!A:B, 2, FALSE), "DATO NO CARGADO"))
</f>
        <v/>
      </c>
      <c r="C2756" s="51"/>
      <c r="D2756" s="102"/>
      <c r="E2756" s="102"/>
      <c r="H2756" s="102"/>
      <c r="J2756" s="102"/>
      <c r="K2756" s="450"/>
      <c r="L2756" s="443"/>
      <c r="M2756" s="450"/>
      <c r="N2756" s="452">
        <f t="array" ref="N2756">IFERROR(
  INDEX(
    'Valor Hora Real y Estimada'!$A$4:$Z$78,
    MATCH(TRIM(CLEAN(A2756)), 'Valor Hora Real y Estimada'!$A$4:$A$78, 0),
    MATCH(
      TEXT(C2756,"dd mmm")&amp;" "&amp;D2756,
      'Valor Hora Real y Estimada'!$A$3:$Z$3,
      0
    ) + 1
  ),
  0
)</f>
        <v>0</v>
      </c>
      <c r="O2756" s="453"/>
      <c r="P2756" s="113"/>
      <c r="Q2756" s="106" t="str">
        <f>IF(ISBLANK(O2756), "", VLOOKUP(C2756&amp;" "&amp;D2756, 'Info Tipo de Cambio y REM'!$A$24:$B$35, 2, FALSE))</f>
        <v/>
      </c>
      <c r="R2756" s="107"/>
    </row>
    <row r="2757" hidden="1">
      <c r="A2757" s="443"/>
      <c r="B2757" s="43" t="str">
        <f>IF(A2757="", "", IFERROR(VLOOKUP(A2757, Clasificaciones!A:B, 2, FALSE), "DATO NO CARGADO"))
</f>
        <v/>
      </c>
      <c r="C2757" s="51"/>
      <c r="D2757" s="102"/>
      <c r="E2757" s="102"/>
      <c r="H2757" s="102"/>
      <c r="J2757" s="102"/>
      <c r="K2757" s="450"/>
      <c r="L2757" s="443"/>
      <c r="M2757" s="450"/>
      <c r="N2757" s="452">
        <f t="array" ref="N2757">IFERROR(
  INDEX(
    'Valor Hora Real y Estimada'!$A$4:$Z$78,
    MATCH(TRIM(CLEAN(A2757)), 'Valor Hora Real y Estimada'!$A$4:$A$78, 0),
    MATCH(
      TEXT(C2757,"dd mmm")&amp;" "&amp;D2757,
      'Valor Hora Real y Estimada'!$A$3:$Z$3,
      0
    ) + 1
  ),
  0
)</f>
        <v>0</v>
      </c>
      <c r="O2757" s="453"/>
      <c r="P2757" s="113"/>
      <c r="Q2757" s="106" t="str">
        <f>IF(ISBLANK(O2757), "", VLOOKUP(C2757&amp;" "&amp;D2757, 'Info Tipo de Cambio y REM'!$A$24:$B$35, 2, FALSE))</f>
        <v/>
      </c>
      <c r="R2757" s="107"/>
    </row>
    <row r="2758" hidden="1">
      <c r="A2758" s="443"/>
      <c r="B2758" s="43" t="str">
        <f>IF(A2758="", "", IFERROR(VLOOKUP(A2758, Clasificaciones!A:B, 2, FALSE), "DATO NO CARGADO"))
</f>
        <v/>
      </c>
      <c r="C2758" s="51"/>
      <c r="D2758" s="102"/>
      <c r="E2758" s="102"/>
      <c r="H2758" s="102"/>
      <c r="J2758" s="102"/>
      <c r="K2758" s="450"/>
      <c r="L2758" s="443"/>
      <c r="M2758" s="450"/>
      <c r="N2758" s="452">
        <f t="array" ref="N2758">IFERROR(
  INDEX(
    'Valor Hora Real y Estimada'!$A$4:$Z$78,
    MATCH(TRIM(CLEAN(A2758)), 'Valor Hora Real y Estimada'!$A$4:$A$78, 0),
    MATCH(
      TEXT(C2758,"dd mmm")&amp;" "&amp;D2758,
      'Valor Hora Real y Estimada'!$A$3:$Z$3,
      0
    ) + 1
  ),
  0
)</f>
        <v>0</v>
      </c>
      <c r="O2758" s="453"/>
      <c r="P2758" s="113"/>
      <c r="Q2758" s="106" t="str">
        <f>IF(ISBLANK(O2758), "", VLOOKUP(C2758&amp;" "&amp;D2758, 'Info Tipo de Cambio y REM'!$A$24:$B$35, 2, FALSE))</f>
        <v/>
      </c>
      <c r="R2758" s="107"/>
    </row>
    <row r="2759" hidden="1">
      <c r="A2759" s="443"/>
      <c r="B2759" s="43" t="str">
        <f>IF(A2759="", "", IFERROR(VLOOKUP(A2759, Clasificaciones!A:B, 2, FALSE), "DATO NO CARGADO"))
</f>
        <v/>
      </c>
      <c r="C2759" s="51"/>
      <c r="D2759" s="102"/>
      <c r="E2759" s="102"/>
      <c r="H2759" s="102"/>
      <c r="J2759" s="102"/>
      <c r="K2759" s="450"/>
      <c r="L2759" s="443"/>
      <c r="M2759" s="450"/>
      <c r="N2759" s="452">
        <f t="array" ref="N2759">IFERROR(
  INDEX(
    'Valor Hora Real y Estimada'!$A$4:$Z$78,
    MATCH(TRIM(CLEAN(A2759)), 'Valor Hora Real y Estimada'!$A$4:$A$78, 0),
    MATCH(
      TEXT(C2759,"dd mmm")&amp;" "&amp;D2759,
      'Valor Hora Real y Estimada'!$A$3:$Z$3,
      0
    ) + 1
  ),
  0
)</f>
        <v>0</v>
      </c>
      <c r="O2759" s="453"/>
      <c r="P2759" s="113"/>
      <c r="Q2759" s="106" t="str">
        <f>IF(ISBLANK(O2759), "", VLOOKUP(C2759&amp;" "&amp;D2759, 'Info Tipo de Cambio y REM'!$A$24:$B$35, 2, FALSE))</f>
        <v/>
      </c>
      <c r="R2759" s="107"/>
    </row>
    <row r="2760" hidden="1">
      <c r="A2760" s="443"/>
      <c r="B2760" s="43" t="str">
        <f>IF(A2760="", "", IFERROR(VLOOKUP(A2760, Clasificaciones!A:B, 2, FALSE), "DATO NO CARGADO"))
</f>
        <v/>
      </c>
      <c r="C2760" s="51"/>
      <c r="D2760" s="102"/>
      <c r="E2760" s="102"/>
      <c r="H2760" s="102"/>
      <c r="J2760" s="102"/>
      <c r="K2760" s="450"/>
      <c r="L2760" s="443"/>
      <c r="M2760" s="450"/>
      <c r="N2760" s="452">
        <f t="array" ref="N2760">IFERROR(
  INDEX(
    'Valor Hora Real y Estimada'!$A$4:$Z$78,
    MATCH(TRIM(CLEAN(A2760)), 'Valor Hora Real y Estimada'!$A$4:$A$78, 0),
    MATCH(
      TEXT(C2760,"dd mmm")&amp;" "&amp;D2760,
      'Valor Hora Real y Estimada'!$A$3:$Z$3,
      0
    ) + 1
  ),
  0
)</f>
        <v>0</v>
      </c>
      <c r="O2760" s="453"/>
      <c r="P2760" s="113"/>
      <c r="Q2760" s="106" t="str">
        <f>IF(ISBLANK(O2760), "", VLOOKUP(C2760&amp;" "&amp;D2760, 'Info Tipo de Cambio y REM'!$A$24:$B$35, 2, FALSE))</f>
        <v/>
      </c>
      <c r="R2760" s="107"/>
    </row>
    <row r="2761" hidden="1">
      <c r="A2761" s="443"/>
      <c r="B2761" s="43" t="str">
        <f>IF(A2761="", "", IFERROR(VLOOKUP(A2761, Clasificaciones!A:B, 2, FALSE), "DATO NO CARGADO"))
</f>
        <v/>
      </c>
      <c r="C2761" s="51"/>
      <c r="D2761" s="102"/>
      <c r="E2761" s="102"/>
      <c r="H2761" s="102"/>
      <c r="J2761" s="102"/>
      <c r="K2761" s="450"/>
      <c r="L2761" s="443"/>
      <c r="M2761" s="450"/>
      <c r="N2761" s="452">
        <f t="array" ref="N2761">IFERROR(
  INDEX(
    'Valor Hora Real y Estimada'!$A$4:$Z$78,
    MATCH(TRIM(CLEAN(A2761)), 'Valor Hora Real y Estimada'!$A$4:$A$78, 0),
    MATCH(
      TEXT(C2761,"dd mmm")&amp;" "&amp;D2761,
      'Valor Hora Real y Estimada'!$A$3:$Z$3,
      0
    ) + 1
  ),
  0
)</f>
        <v>0</v>
      </c>
      <c r="O2761" s="453"/>
      <c r="P2761" s="113"/>
      <c r="Q2761" s="106" t="str">
        <f>IF(ISBLANK(O2761), "", VLOOKUP(C2761&amp;" "&amp;D2761, 'Info Tipo de Cambio y REM'!$A$24:$B$35, 2, FALSE))</f>
        <v/>
      </c>
      <c r="R2761" s="107"/>
    </row>
    <row r="2762" hidden="1">
      <c r="A2762" s="443"/>
      <c r="B2762" s="43" t="str">
        <f>IF(A2762="", "", IFERROR(VLOOKUP(A2762, Clasificaciones!A:B, 2, FALSE), "DATO NO CARGADO"))
</f>
        <v/>
      </c>
      <c r="C2762" s="51"/>
      <c r="D2762" s="102"/>
      <c r="E2762" s="102"/>
      <c r="H2762" s="102"/>
      <c r="J2762" s="102"/>
      <c r="K2762" s="450"/>
      <c r="L2762" s="443"/>
      <c r="M2762" s="450"/>
      <c r="N2762" s="452">
        <f t="array" ref="N2762">IFERROR(
  INDEX(
    'Valor Hora Real y Estimada'!$A$4:$Z$78,
    MATCH(TRIM(CLEAN(A2762)), 'Valor Hora Real y Estimada'!$A$4:$A$78, 0),
    MATCH(
      TEXT(C2762,"dd mmm")&amp;" "&amp;D2762,
      'Valor Hora Real y Estimada'!$A$3:$Z$3,
      0
    ) + 1
  ),
  0
)</f>
        <v>0</v>
      </c>
      <c r="O2762" s="453"/>
      <c r="P2762" s="113"/>
      <c r="Q2762" s="106" t="str">
        <f>IF(ISBLANK(O2762), "", VLOOKUP(C2762&amp;" "&amp;D2762, 'Info Tipo de Cambio y REM'!$A$24:$B$35, 2, FALSE))</f>
        <v/>
      </c>
      <c r="R2762" s="107"/>
    </row>
    <row r="2763" hidden="1">
      <c r="A2763" s="443"/>
      <c r="B2763" s="43" t="str">
        <f>IF(A2763="", "", IFERROR(VLOOKUP(A2763, Clasificaciones!A:B, 2, FALSE), "DATO NO CARGADO"))
</f>
        <v/>
      </c>
      <c r="C2763" s="51"/>
      <c r="D2763" s="102"/>
      <c r="E2763" s="102"/>
      <c r="H2763" s="102"/>
      <c r="J2763" s="102"/>
      <c r="K2763" s="450"/>
      <c r="L2763" s="443"/>
      <c r="M2763" s="450"/>
      <c r="N2763" s="452">
        <f t="array" ref="N2763">IFERROR(
  INDEX(
    'Valor Hora Real y Estimada'!$A$4:$Z$78,
    MATCH(TRIM(CLEAN(A2763)), 'Valor Hora Real y Estimada'!$A$4:$A$78, 0),
    MATCH(
      TEXT(C2763,"dd mmm")&amp;" "&amp;D2763,
      'Valor Hora Real y Estimada'!$A$3:$Z$3,
      0
    ) + 1
  ),
  0
)</f>
        <v>0</v>
      </c>
      <c r="O2763" s="453"/>
      <c r="P2763" s="113"/>
      <c r="Q2763" s="106" t="str">
        <f>IF(ISBLANK(O2763), "", VLOOKUP(C2763&amp;" "&amp;D2763, 'Info Tipo de Cambio y REM'!$A$24:$B$35, 2, FALSE))</f>
        <v/>
      </c>
      <c r="R2763" s="107"/>
    </row>
    <row r="2764" hidden="1">
      <c r="A2764" s="443"/>
      <c r="B2764" s="43" t="str">
        <f>IF(A2764="", "", IFERROR(VLOOKUP(A2764, Clasificaciones!A:B, 2, FALSE), "DATO NO CARGADO"))
</f>
        <v/>
      </c>
      <c r="C2764" s="51"/>
      <c r="D2764" s="102"/>
      <c r="E2764" s="102"/>
      <c r="H2764" s="102"/>
      <c r="J2764" s="102"/>
      <c r="K2764" s="450"/>
      <c r="L2764" s="443"/>
      <c r="M2764" s="450"/>
      <c r="N2764" s="452">
        <f t="array" ref="N2764">IFERROR(
  INDEX(
    'Valor Hora Real y Estimada'!$A$4:$Z$78,
    MATCH(TRIM(CLEAN(A2764)), 'Valor Hora Real y Estimada'!$A$4:$A$78, 0),
    MATCH(
      TEXT(C2764,"dd mmm")&amp;" "&amp;D2764,
      'Valor Hora Real y Estimada'!$A$3:$Z$3,
      0
    ) + 1
  ),
  0
)</f>
        <v>0</v>
      </c>
      <c r="O2764" s="453"/>
      <c r="P2764" s="113"/>
      <c r="Q2764" s="106" t="str">
        <f>IF(ISBLANK(O2764), "", VLOOKUP(C2764&amp;" "&amp;D2764, 'Info Tipo de Cambio y REM'!$A$24:$B$35, 2, FALSE))</f>
        <v/>
      </c>
      <c r="R2764" s="107"/>
    </row>
    <row r="2765" hidden="1">
      <c r="A2765" s="443"/>
      <c r="B2765" s="43" t="str">
        <f>IF(A2765="", "", IFERROR(VLOOKUP(A2765, Clasificaciones!A:B, 2, FALSE), "DATO NO CARGADO"))
</f>
        <v/>
      </c>
      <c r="C2765" s="51"/>
      <c r="D2765" s="102"/>
      <c r="E2765" s="102"/>
      <c r="H2765" s="102"/>
      <c r="J2765" s="102"/>
      <c r="K2765" s="450"/>
      <c r="L2765" s="443"/>
      <c r="M2765" s="450"/>
      <c r="N2765" s="452">
        <f t="array" ref="N2765">IFERROR(
  INDEX(
    'Valor Hora Real y Estimada'!$A$4:$Z$78,
    MATCH(TRIM(CLEAN(A2765)), 'Valor Hora Real y Estimada'!$A$4:$A$78, 0),
    MATCH(
      TEXT(C2765,"dd mmm")&amp;" "&amp;D2765,
      'Valor Hora Real y Estimada'!$A$3:$Z$3,
      0
    ) + 1
  ),
  0
)</f>
        <v>0</v>
      </c>
      <c r="O2765" s="453"/>
      <c r="P2765" s="113"/>
      <c r="Q2765" s="106" t="str">
        <f>IF(ISBLANK(O2765), "", VLOOKUP(C2765&amp;" "&amp;D2765, 'Info Tipo de Cambio y REM'!$A$24:$B$35, 2, FALSE))</f>
        <v/>
      </c>
      <c r="R2765" s="107"/>
    </row>
    <row r="2766" hidden="1">
      <c r="A2766" s="443"/>
      <c r="B2766" s="43" t="str">
        <f>IF(A2766="", "", IFERROR(VLOOKUP(A2766, Clasificaciones!A:B, 2, FALSE), "DATO NO CARGADO"))
</f>
        <v/>
      </c>
      <c r="C2766" s="51"/>
      <c r="D2766" s="102"/>
      <c r="E2766" s="102"/>
      <c r="H2766" s="102"/>
      <c r="J2766" s="102"/>
      <c r="K2766" s="450"/>
      <c r="L2766" s="443"/>
      <c r="M2766" s="450"/>
      <c r="N2766" s="452">
        <f t="array" ref="N2766">IFERROR(
  INDEX(
    'Valor Hora Real y Estimada'!$A$4:$Z$78,
    MATCH(TRIM(CLEAN(A2766)), 'Valor Hora Real y Estimada'!$A$4:$A$78, 0),
    MATCH(
      TEXT(C2766,"dd mmm")&amp;" "&amp;D2766,
      'Valor Hora Real y Estimada'!$A$3:$Z$3,
      0
    ) + 1
  ),
  0
)</f>
        <v>0</v>
      </c>
      <c r="O2766" s="453"/>
      <c r="P2766" s="113"/>
      <c r="Q2766" s="106" t="str">
        <f>IF(ISBLANK(O2766), "", VLOOKUP(C2766&amp;" "&amp;D2766, 'Info Tipo de Cambio y REM'!$A$24:$B$35, 2, FALSE))</f>
        <v/>
      </c>
      <c r="R2766" s="107"/>
    </row>
    <row r="2767" hidden="1">
      <c r="A2767" s="443"/>
      <c r="B2767" s="43" t="str">
        <f>IF(A2767="", "", IFERROR(VLOOKUP(A2767, Clasificaciones!A:B, 2, FALSE), "DATO NO CARGADO"))
</f>
        <v/>
      </c>
      <c r="C2767" s="51"/>
      <c r="D2767" s="102"/>
      <c r="E2767" s="102"/>
      <c r="H2767" s="102"/>
      <c r="J2767" s="102"/>
      <c r="K2767" s="450"/>
      <c r="L2767" s="443"/>
      <c r="M2767" s="450"/>
      <c r="N2767" s="452">
        <f t="array" ref="N2767">IFERROR(
  INDEX(
    'Valor Hora Real y Estimada'!$A$4:$Z$78,
    MATCH(TRIM(CLEAN(A2767)), 'Valor Hora Real y Estimada'!$A$4:$A$78, 0),
    MATCH(
      TEXT(C2767,"dd mmm")&amp;" "&amp;D2767,
      'Valor Hora Real y Estimada'!$A$3:$Z$3,
      0
    ) + 1
  ),
  0
)</f>
        <v>0</v>
      </c>
      <c r="O2767" s="453"/>
      <c r="P2767" s="113"/>
      <c r="Q2767" s="106" t="str">
        <f>IF(ISBLANK(O2767), "", VLOOKUP(C2767&amp;" "&amp;D2767, 'Info Tipo de Cambio y REM'!$A$24:$B$35, 2, FALSE))</f>
        <v/>
      </c>
      <c r="R2767" s="107"/>
    </row>
    <row r="2768" hidden="1">
      <c r="A2768" s="443"/>
      <c r="B2768" s="43" t="str">
        <f>IF(A2768="", "", IFERROR(VLOOKUP(A2768, Clasificaciones!A:B, 2, FALSE), "DATO NO CARGADO"))
</f>
        <v/>
      </c>
      <c r="C2768" s="51"/>
      <c r="D2768" s="102"/>
      <c r="E2768" s="102"/>
      <c r="H2768" s="102"/>
      <c r="J2768" s="102"/>
      <c r="K2768" s="450"/>
      <c r="L2768" s="443"/>
      <c r="M2768" s="450"/>
      <c r="N2768" s="452">
        <f t="array" ref="N2768">IFERROR(
  INDEX(
    'Valor Hora Real y Estimada'!$A$4:$Z$78,
    MATCH(TRIM(CLEAN(A2768)), 'Valor Hora Real y Estimada'!$A$4:$A$78, 0),
    MATCH(
      TEXT(C2768,"dd mmm")&amp;" "&amp;D2768,
      'Valor Hora Real y Estimada'!$A$3:$Z$3,
      0
    ) + 1
  ),
  0
)</f>
        <v>0</v>
      </c>
      <c r="O2768" s="453"/>
      <c r="P2768" s="113"/>
      <c r="Q2768" s="106" t="str">
        <f>IF(ISBLANK(O2768), "", VLOOKUP(C2768&amp;" "&amp;D2768, 'Info Tipo de Cambio y REM'!$A$24:$B$35, 2, FALSE))</f>
        <v/>
      </c>
      <c r="R2768" s="107"/>
    </row>
    <row r="2769" hidden="1">
      <c r="A2769" s="443"/>
      <c r="B2769" s="43" t="str">
        <f>IF(A2769="", "", IFERROR(VLOOKUP(A2769, Clasificaciones!A:B, 2, FALSE), "DATO NO CARGADO"))
</f>
        <v/>
      </c>
      <c r="C2769" s="51"/>
      <c r="D2769" s="102"/>
      <c r="E2769" s="102"/>
      <c r="H2769" s="102"/>
      <c r="J2769" s="102"/>
      <c r="K2769" s="450"/>
      <c r="L2769" s="443"/>
      <c r="M2769" s="450"/>
      <c r="N2769" s="452">
        <f t="array" ref="N2769">IFERROR(
  INDEX(
    'Valor Hora Real y Estimada'!$A$4:$Z$78,
    MATCH(TRIM(CLEAN(A2769)), 'Valor Hora Real y Estimada'!$A$4:$A$78, 0),
    MATCH(
      TEXT(C2769,"dd mmm")&amp;" "&amp;D2769,
      'Valor Hora Real y Estimada'!$A$3:$Z$3,
      0
    ) + 1
  ),
  0
)</f>
        <v>0</v>
      </c>
      <c r="O2769" s="453"/>
      <c r="P2769" s="113"/>
      <c r="Q2769" s="106" t="str">
        <f>IF(ISBLANK(O2769), "", VLOOKUP(C2769&amp;" "&amp;D2769, 'Info Tipo de Cambio y REM'!$A$24:$B$35, 2, FALSE))</f>
        <v/>
      </c>
      <c r="R2769" s="107"/>
    </row>
    <row r="2770" hidden="1">
      <c r="A2770" s="443"/>
      <c r="B2770" s="43" t="str">
        <f>IF(A2770="", "", IFERROR(VLOOKUP(A2770, Clasificaciones!A:B, 2, FALSE), "DATO NO CARGADO"))
</f>
        <v/>
      </c>
      <c r="C2770" s="51"/>
      <c r="D2770" s="102"/>
      <c r="E2770" s="102"/>
      <c r="H2770" s="102"/>
      <c r="J2770" s="102"/>
      <c r="K2770" s="450"/>
      <c r="L2770" s="443"/>
      <c r="M2770" s="450"/>
      <c r="N2770" s="452">
        <f t="array" ref="N2770">IFERROR(
  INDEX(
    'Valor Hora Real y Estimada'!$A$4:$Z$78,
    MATCH(TRIM(CLEAN(A2770)), 'Valor Hora Real y Estimada'!$A$4:$A$78, 0),
    MATCH(
      TEXT(C2770,"dd mmm")&amp;" "&amp;D2770,
      'Valor Hora Real y Estimada'!$A$3:$Z$3,
      0
    ) + 1
  ),
  0
)</f>
        <v>0</v>
      </c>
      <c r="O2770" s="453"/>
      <c r="P2770" s="113"/>
      <c r="Q2770" s="106" t="str">
        <f>IF(ISBLANK(O2770), "", VLOOKUP(C2770&amp;" "&amp;D2770, 'Info Tipo de Cambio y REM'!$A$24:$B$35, 2, FALSE))</f>
        <v/>
      </c>
      <c r="R2770" s="107"/>
    </row>
    <row r="2771" hidden="1">
      <c r="A2771" s="443"/>
      <c r="B2771" s="43" t="str">
        <f>IF(A2771="", "", IFERROR(VLOOKUP(A2771, Clasificaciones!A:B, 2, FALSE), "DATO NO CARGADO"))
</f>
        <v/>
      </c>
      <c r="C2771" s="51"/>
      <c r="D2771" s="102"/>
      <c r="E2771" s="102"/>
      <c r="H2771" s="102"/>
      <c r="J2771" s="102"/>
      <c r="K2771" s="450"/>
      <c r="L2771" s="443"/>
      <c r="M2771" s="450"/>
      <c r="N2771" s="452">
        <f t="array" ref="N2771">IFERROR(
  INDEX(
    'Valor Hora Real y Estimada'!$A$4:$Z$78,
    MATCH(TRIM(CLEAN(A2771)), 'Valor Hora Real y Estimada'!$A$4:$A$78, 0),
    MATCH(
      TEXT(C2771,"dd mmm")&amp;" "&amp;D2771,
      'Valor Hora Real y Estimada'!$A$3:$Z$3,
      0
    ) + 1
  ),
  0
)</f>
        <v>0</v>
      </c>
      <c r="O2771" s="453"/>
      <c r="P2771" s="113"/>
      <c r="Q2771" s="106" t="str">
        <f>IF(ISBLANK(O2771), "", VLOOKUP(C2771&amp;" "&amp;D2771, 'Info Tipo de Cambio y REM'!$A$24:$B$35, 2, FALSE))</f>
        <v/>
      </c>
      <c r="R2771" s="107"/>
    </row>
    <row r="2772" hidden="1">
      <c r="A2772" s="443"/>
      <c r="B2772" s="43" t="str">
        <f>IF(A2772="", "", IFERROR(VLOOKUP(A2772, Clasificaciones!A:B, 2, FALSE), "DATO NO CARGADO"))
</f>
        <v/>
      </c>
      <c r="C2772" s="51"/>
      <c r="D2772" s="102"/>
      <c r="E2772" s="102"/>
      <c r="H2772" s="102"/>
      <c r="J2772" s="102"/>
      <c r="K2772" s="450"/>
      <c r="L2772" s="443"/>
      <c r="M2772" s="450"/>
      <c r="N2772" s="452">
        <f t="array" ref="N2772">IFERROR(
  INDEX(
    'Valor Hora Real y Estimada'!$A$4:$Z$78,
    MATCH(TRIM(CLEAN(A2772)), 'Valor Hora Real y Estimada'!$A$4:$A$78, 0),
    MATCH(
      TEXT(C2772,"dd mmm")&amp;" "&amp;D2772,
      'Valor Hora Real y Estimada'!$A$3:$Z$3,
      0
    ) + 1
  ),
  0
)</f>
        <v>0</v>
      </c>
      <c r="O2772" s="453"/>
      <c r="P2772" s="113"/>
      <c r="Q2772" s="106" t="str">
        <f>IF(ISBLANK(O2772), "", VLOOKUP(C2772&amp;" "&amp;D2772, 'Info Tipo de Cambio y REM'!$A$24:$B$35, 2, FALSE))</f>
        <v/>
      </c>
      <c r="R2772" s="107"/>
    </row>
    <row r="2773" hidden="1">
      <c r="A2773" s="443"/>
      <c r="B2773" s="43" t="str">
        <f>IF(A2773="", "", IFERROR(VLOOKUP(A2773, Clasificaciones!A:B, 2, FALSE), "DATO NO CARGADO"))
</f>
        <v/>
      </c>
      <c r="C2773" s="51"/>
      <c r="D2773" s="102"/>
      <c r="E2773" s="102"/>
      <c r="H2773" s="102"/>
      <c r="J2773" s="102"/>
      <c r="K2773" s="450"/>
      <c r="L2773" s="443"/>
      <c r="M2773" s="450"/>
      <c r="N2773" s="452">
        <f t="array" ref="N2773">IFERROR(
  INDEX(
    'Valor Hora Real y Estimada'!$A$4:$Z$78,
    MATCH(TRIM(CLEAN(A2773)), 'Valor Hora Real y Estimada'!$A$4:$A$78, 0),
    MATCH(
      TEXT(C2773,"dd mmm")&amp;" "&amp;D2773,
      'Valor Hora Real y Estimada'!$A$3:$Z$3,
      0
    ) + 1
  ),
  0
)</f>
        <v>0</v>
      </c>
      <c r="O2773" s="453"/>
      <c r="P2773" s="113"/>
      <c r="Q2773" s="106" t="str">
        <f>IF(ISBLANK(O2773), "", VLOOKUP(C2773&amp;" "&amp;D2773, 'Info Tipo de Cambio y REM'!$A$24:$B$35, 2, FALSE))</f>
        <v/>
      </c>
      <c r="R2773" s="107"/>
    </row>
    <row r="2774" hidden="1">
      <c r="A2774" s="443"/>
      <c r="B2774" s="43" t="str">
        <f>IF(A2774="", "", IFERROR(VLOOKUP(A2774, Clasificaciones!A:B, 2, FALSE), "DATO NO CARGADO"))
</f>
        <v/>
      </c>
      <c r="C2774" s="51"/>
      <c r="D2774" s="102"/>
      <c r="E2774" s="102"/>
      <c r="H2774" s="102"/>
      <c r="J2774" s="102"/>
      <c r="K2774" s="450"/>
      <c r="L2774" s="443"/>
      <c r="M2774" s="450"/>
      <c r="N2774" s="452">
        <f t="array" ref="N2774">IFERROR(
  INDEX(
    'Valor Hora Real y Estimada'!$A$4:$Z$78,
    MATCH(TRIM(CLEAN(A2774)), 'Valor Hora Real y Estimada'!$A$4:$A$78, 0),
    MATCH(
      TEXT(C2774,"dd mmm")&amp;" "&amp;D2774,
      'Valor Hora Real y Estimada'!$A$3:$Z$3,
      0
    ) + 1
  ),
  0
)</f>
        <v>0</v>
      </c>
      <c r="O2774" s="453"/>
      <c r="P2774" s="113"/>
      <c r="Q2774" s="106" t="str">
        <f>IF(ISBLANK(O2774), "", VLOOKUP(C2774&amp;" "&amp;D2774, 'Info Tipo de Cambio y REM'!$A$24:$B$35, 2, FALSE))</f>
        <v/>
      </c>
      <c r="R2774" s="107"/>
    </row>
    <row r="2775" hidden="1">
      <c r="A2775" s="443"/>
      <c r="B2775" s="43" t="str">
        <f>IF(A2775="", "", IFERROR(VLOOKUP(A2775, Clasificaciones!A:B, 2, FALSE), "DATO NO CARGADO"))
</f>
        <v/>
      </c>
      <c r="C2775" s="51"/>
      <c r="D2775" s="102"/>
      <c r="E2775" s="102"/>
      <c r="H2775" s="102"/>
      <c r="J2775" s="102"/>
      <c r="K2775" s="450"/>
      <c r="L2775" s="443"/>
      <c r="M2775" s="450"/>
      <c r="N2775" s="452">
        <f t="array" ref="N2775">IFERROR(
  INDEX(
    'Valor Hora Real y Estimada'!$A$4:$Z$78,
    MATCH(TRIM(CLEAN(A2775)), 'Valor Hora Real y Estimada'!$A$4:$A$78, 0),
    MATCH(
      TEXT(C2775,"dd mmm")&amp;" "&amp;D2775,
      'Valor Hora Real y Estimada'!$A$3:$Z$3,
      0
    ) + 1
  ),
  0
)</f>
        <v>0</v>
      </c>
      <c r="O2775" s="453"/>
      <c r="P2775" s="113"/>
      <c r="Q2775" s="106" t="str">
        <f>IF(ISBLANK(O2775), "", VLOOKUP(C2775&amp;" "&amp;D2775, 'Info Tipo de Cambio y REM'!$A$24:$B$35, 2, FALSE))</f>
        <v/>
      </c>
      <c r="R2775" s="107"/>
    </row>
    <row r="2776" hidden="1">
      <c r="A2776" s="443"/>
      <c r="B2776" s="43" t="str">
        <f>IF(A2776="", "", IFERROR(VLOOKUP(A2776, Clasificaciones!A:B, 2, FALSE), "DATO NO CARGADO"))
</f>
        <v/>
      </c>
      <c r="C2776" s="51"/>
      <c r="D2776" s="102"/>
      <c r="E2776" s="102"/>
      <c r="H2776" s="102"/>
      <c r="J2776" s="102"/>
      <c r="K2776" s="450"/>
      <c r="L2776" s="443"/>
      <c r="M2776" s="450"/>
      <c r="N2776" s="452">
        <f t="array" ref="N2776">IFERROR(
  INDEX(
    'Valor Hora Real y Estimada'!$A$4:$Z$78,
    MATCH(TRIM(CLEAN(A2776)), 'Valor Hora Real y Estimada'!$A$4:$A$78, 0),
    MATCH(
      TEXT(C2776,"dd mmm")&amp;" "&amp;D2776,
      'Valor Hora Real y Estimada'!$A$3:$Z$3,
      0
    ) + 1
  ),
  0
)</f>
        <v>0</v>
      </c>
      <c r="O2776" s="453"/>
      <c r="P2776" s="113"/>
      <c r="Q2776" s="106" t="str">
        <f>IF(ISBLANK(O2776), "", VLOOKUP(C2776&amp;" "&amp;D2776, 'Info Tipo de Cambio y REM'!$A$24:$B$35, 2, FALSE))</f>
        <v/>
      </c>
      <c r="R2776" s="107"/>
    </row>
    <row r="2777" hidden="1">
      <c r="A2777" s="443"/>
      <c r="B2777" s="43" t="str">
        <f>IF(A2777="", "", IFERROR(VLOOKUP(A2777, Clasificaciones!A:B, 2, FALSE), "DATO NO CARGADO"))
</f>
        <v/>
      </c>
      <c r="C2777" s="51"/>
      <c r="D2777" s="102"/>
      <c r="E2777" s="102"/>
      <c r="H2777" s="102"/>
      <c r="J2777" s="102"/>
      <c r="K2777" s="450"/>
      <c r="L2777" s="443"/>
      <c r="M2777" s="450"/>
      <c r="N2777" s="452">
        <f t="array" ref="N2777">IFERROR(
  INDEX(
    'Valor Hora Real y Estimada'!$A$4:$Z$78,
    MATCH(TRIM(CLEAN(A2777)), 'Valor Hora Real y Estimada'!$A$4:$A$78, 0),
    MATCH(
      TEXT(C2777,"dd mmm")&amp;" "&amp;D2777,
      'Valor Hora Real y Estimada'!$A$3:$Z$3,
      0
    ) + 1
  ),
  0
)</f>
        <v>0</v>
      </c>
      <c r="O2777" s="453"/>
      <c r="P2777" s="113"/>
      <c r="Q2777" s="106" t="str">
        <f>IF(ISBLANK(O2777), "", VLOOKUP(C2777&amp;" "&amp;D2777, 'Info Tipo de Cambio y REM'!$A$24:$B$35, 2, FALSE))</f>
        <v/>
      </c>
      <c r="R2777" s="107"/>
    </row>
    <row r="2778" hidden="1">
      <c r="A2778" s="443"/>
      <c r="B2778" s="43" t="str">
        <f>IF(A2778="", "", IFERROR(VLOOKUP(A2778, Clasificaciones!A:B, 2, FALSE), "DATO NO CARGADO"))
</f>
        <v/>
      </c>
      <c r="C2778" s="51"/>
      <c r="D2778" s="102"/>
      <c r="E2778" s="102"/>
      <c r="H2778" s="102"/>
      <c r="J2778" s="102"/>
      <c r="K2778" s="450"/>
      <c r="L2778" s="443"/>
      <c r="M2778" s="450"/>
      <c r="N2778" s="452">
        <f t="array" ref="N2778">IFERROR(
  INDEX(
    'Valor Hora Real y Estimada'!$A$4:$Z$78,
    MATCH(TRIM(CLEAN(A2778)), 'Valor Hora Real y Estimada'!$A$4:$A$78, 0),
    MATCH(
      TEXT(C2778,"dd mmm")&amp;" "&amp;D2778,
      'Valor Hora Real y Estimada'!$A$3:$Z$3,
      0
    ) + 1
  ),
  0
)</f>
        <v>0</v>
      </c>
      <c r="O2778" s="453"/>
      <c r="P2778" s="113"/>
      <c r="Q2778" s="106" t="str">
        <f>IF(ISBLANK(O2778), "", VLOOKUP(C2778&amp;" "&amp;D2778, 'Info Tipo de Cambio y REM'!$A$24:$B$35, 2, FALSE))</f>
        <v/>
      </c>
      <c r="R2778" s="107"/>
    </row>
    <row r="2779" hidden="1">
      <c r="A2779" s="443"/>
      <c r="B2779" s="43" t="str">
        <f>IF(A2779="", "", IFERROR(VLOOKUP(A2779, Clasificaciones!A:B, 2, FALSE), "DATO NO CARGADO"))
</f>
        <v/>
      </c>
      <c r="C2779" s="51"/>
      <c r="D2779" s="102"/>
      <c r="E2779" s="102"/>
      <c r="H2779" s="102"/>
      <c r="J2779" s="102"/>
      <c r="K2779" s="450"/>
      <c r="L2779" s="443"/>
      <c r="M2779" s="450"/>
      <c r="N2779" s="452">
        <f t="array" ref="N2779">IFERROR(
  INDEX(
    'Valor Hora Real y Estimada'!$A$4:$Z$78,
    MATCH(TRIM(CLEAN(A2779)), 'Valor Hora Real y Estimada'!$A$4:$A$78, 0),
    MATCH(
      TEXT(C2779,"dd mmm")&amp;" "&amp;D2779,
      'Valor Hora Real y Estimada'!$A$3:$Z$3,
      0
    ) + 1
  ),
  0
)</f>
        <v>0</v>
      </c>
      <c r="O2779" s="453"/>
      <c r="P2779" s="113"/>
      <c r="Q2779" s="106" t="str">
        <f>IF(ISBLANK(O2779), "", VLOOKUP(C2779&amp;" "&amp;D2779, 'Info Tipo de Cambio y REM'!$A$24:$B$35, 2, FALSE))</f>
        <v/>
      </c>
      <c r="R2779" s="107"/>
    </row>
    <row r="2780" hidden="1">
      <c r="A2780" s="443"/>
      <c r="B2780" s="43" t="str">
        <f>IF(A2780="", "", IFERROR(VLOOKUP(A2780, Clasificaciones!A:B, 2, FALSE), "DATO NO CARGADO"))
</f>
        <v/>
      </c>
      <c r="C2780" s="51"/>
      <c r="D2780" s="102"/>
      <c r="E2780" s="102"/>
      <c r="H2780" s="102"/>
      <c r="J2780" s="102"/>
      <c r="K2780" s="450"/>
      <c r="L2780" s="443"/>
      <c r="M2780" s="450"/>
      <c r="N2780" s="452">
        <f t="array" ref="N2780">IFERROR(
  INDEX(
    'Valor Hora Real y Estimada'!$A$4:$Z$78,
    MATCH(TRIM(CLEAN(A2780)), 'Valor Hora Real y Estimada'!$A$4:$A$78, 0),
    MATCH(
      TEXT(C2780,"dd mmm")&amp;" "&amp;D2780,
      'Valor Hora Real y Estimada'!$A$3:$Z$3,
      0
    ) + 1
  ),
  0
)</f>
        <v>0</v>
      </c>
      <c r="O2780" s="453"/>
      <c r="P2780" s="113"/>
      <c r="Q2780" s="106" t="str">
        <f>IF(ISBLANK(O2780), "", VLOOKUP(C2780&amp;" "&amp;D2780, 'Info Tipo de Cambio y REM'!$A$24:$B$35, 2, FALSE))</f>
        <v/>
      </c>
      <c r="R2780" s="107"/>
    </row>
    <row r="2781" hidden="1">
      <c r="A2781" s="443"/>
      <c r="B2781" s="43" t="str">
        <f>IF(A2781="", "", IFERROR(VLOOKUP(A2781, Clasificaciones!A:B, 2, FALSE), "DATO NO CARGADO"))
</f>
        <v/>
      </c>
      <c r="C2781" s="51"/>
      <c r="D2781" s="102"/>
      <c r="E2781" s="102"/>
      <c r="H2781" s="102"/>
      <c r="J2781" s="102"/>
      <c r="K2781" s="450"/>
      <c r="L2781" s="443"/>
      <c r="M2781" s="450"/>
      <c r="N2781" s="452">
        <f t="array" ref="N2781">IFERROR(
  INDEX(
    'Valor Hora Real y Estimada'!$A$4:$Z$78,
    MATCH(TRIM(CLEAN(A2781)), 'Valor Hora Real y Estimada'!$A$4:$A$78, 0),
    MATCH(
      TEXT(C2781,"dd mmm")&amp;" "&amp;D2781,
      'Valor Hora Real y Estimada'!$A$3:$Z$3,
      0
    ) + 1
  ),
  0
)</f>
        <v>0</v>
      </c>
      <c r="O2781" s="453"/>
      <c r="P2781" s="113"/>
      <c r="Q2781" s="106" t="str">
        <f>IF(ISBLANK(O2781), "", VLOOKUP(C2781&amp;" "&amp;D2781, 'Info Tipo de Cambio y REM'!$A$24:$B$35, 2, FALSE))</f>
        <v/>
      </c>
      <c r="R2781" s="107"/>
    </row>
    <row r="2782" hidden="1">
      <c r="A2782" s="443"/>
      <c r="B2782" s="43" t="str">
        <f>IF(A2782="", "", IFERROR(VLOOKUP(A2782, Clasificaciones!A:B, 2, FALSE), "DATO NO CARGADO"))
</f>
        <v/>
      </c>
      <c r="C2782" s="51"/>
      <c r="D2782" s="102"/>
      <c r="E2782" s="102"/>
      <c r="H2782" s="102"/>
      <c r="J2782" s="102"/>
      <c r="K2782" s="450"/>
      <c r="L2782" s="443"/>
      <c r="M2782" s="450"/>
      <c r="N2782" s="452">
        <f t="array" ref="N2782">IFERROR(
  INDEX(
    'Valor Hora Real y Estimada'!$A$4:$Z$78,
    MATCH(TRIM(CLEAN(A2782)), 'Valor Hora Real y Estimada'!$A$4:$A$78, 0),
    MATCH(
      TEXT(C2782,"dd mmm")&amp;" "&amp;D2782,
      'Valor Hora Real y Estimada'!$A$3:$Z$3,
      0
    ) + 1
  ),
  0
)</f>
        <v>0</v>
      </c>
      <c r="O2782" s="453"/>
      <c r="P2782" s="113"/>
      <c r="Q2782" s="106" t="str">
        <f>IF(ISBLANK(O2782), "", VLOOKUP(C2782&amp;" "&amp;D2782, 'Info Tipo de Cambio y REM'!$A$24:$B$35, 2, FALSE))</f>
        <v/>
      </c>
      <c r="R2782" s="107"/>
    </row>
    <row r="2783" hidden="1">
      <c r="A2783" s="443"/>
      <c r="B2783" s="43" t="str">
        <f>IF(A2783="", "", IFERROR(VLOOKUP(A2783, Clasificaciones!A:B, 2, FALSE), "DATO NO CARGADO"))
</f>
        <v/>
      </c>
      <c r="C2783" s="51"/>
      <c r="D2783" s="102"/>
      <c r="E2783" s="102"/>
      <c r="H2783" s="102"/>
      <c r="J2783" s="102"/>
      <c r="K2783" s="450"/>
      <c r="L2783" s="443"/>
      <c r="M2783" s="450"/>
      <c r="N2783" s="452">
        <f t="array" ref="N2783">IFERROR(
  INDEX(
    'Valor Hora Real y Estimada'!$A$4:$Z$78,
    MATCH(TRIM(CLEAN(A2783)), 'Valor Hora Real y Estimada'!$A$4:$A$78, 0),
    MATCH(
      TEXT(C2783,"dd mmm")&amp;" "&amp;D2783,
      'Valor Hora Real y Estimada'!$A$3:$Z$3,
      0
    ) + 1
  ),
  0
)</f>
        <v>0</v>
      </c>
      <c r="O2783" s="453"/>
      <c r="P2783" s="113"/>
      <c r="Q2783" s="106" t="str">
        <f>IF(ISBLANK(O2783), "", VLOOKUP(C2783&amp;" "&amp;D2783, 'Info Tipo de Cambio y REM'!$A$24:$B$35, 2, FALSE))</f>
        <v/>
      </c>
      <c r="R2783" s="107"/>
    </row>
    <row r="2784" hidden="1">
      <c r="A2784" s="443"/>
      <c r="B2784" s="43" t="str">
        <f>IF(A2784="", "", IFERROR(VLOOKUP(A2784, Clasificaciones!A:B, 2, FALSE), "DATO NO CARGADO"))
</f>
        <v/>
      </c>
      <c r="C2784" s="51"/>
      <c r="D2784" s="102"/>
      <c r="E2784" s="102"/>
      <c r="H2784" s="102"/>
      <c r="J2784" s="102"/>
      <c r="K2784" s="450"/>
      <c r="L2784" s="443"/>
      <c r="M2784" s="450"/>
      <c r="N2784" s="452">
        <f t="array" ref="N2784">IFERROR(
  INDEX(
    'Valor Hora Real y Estimada'!$A$4:$Z$78,
    MATCH(TRIM(CLEAN(A2784)), 'Valor Hora Real y Estimada'!$A$4:$A$78, 0),
    MATCH(
      TEXT(C2784,"dd mmm")&amp;" "&amp;D2784,
      'Valor Hora Real y Estimada'!$A$3:$Z$3,
      0
    ) + 1
  ),
  0
)</f>
        <v>0</v>
      </c>
      <c r="O2784" s="453"/>
      <c r="P2784" s="113"/>
      <c r="Q2784" s="106" t="str">
        <f>IF(ISBLANK(O2784), "", VLOOKUP(C2784&amp;" "&amp;D2784, 'Info Tipo de Cambio y REM'!$A$24:$B$35, 2, FALSE))</f>
        <v/>
      </c>
      <c r="R2784" s="107"/>
    </row>
    <row r="2785" hidden="1">
      <c r="A2785" s="443"/>
      <c r="B2785" s="43" t="str">
        <f>IF(A2785="", "", IFERROR(VLOOKUP(A2785, Clasificaciones!A:B, 2, FALSE), "DATO NO CARGADO"))
</f>
        <v/>
      </c>
      <c r="C2785" s="51"/>
      <c r="D2785" s="102"/>
      <c r="E2785" s="102"/>
      <c r="H2785" s="102"/>
      <c r="J2785" s="102"/>
      <c r="K2785" s="450"/>
      <c r="L2785" s="443"/>
      <c r="M2785" s="450"/>
      <c r="N2785" s="452">
        <f t="array" ref="N2785">IFERROR(
  INDEX(
    'Valor Hora Real y Estimada'!$A$4:$Z$78,
    MATCH(TRIM(CLEAN(A2785)), 'Valor Hora Real y Estimada'!$A$4:$A$78, 0),
    MATCH(
      TEXT(C2785,"dd mmm")&amp;" "&amp;D2785,
      'Valor Hora Real y Estimada'!$A$3:$Z$3,
      0
    ) + 1
  ),
  0
)</f>
        <v>0</v>
      </c>
      <c r="O2785" s="453"/>
      <c r="P2785" s="113"/>
      <c r="Q2785" s="106" t="str">
        <f>IF(ISBLANK(O2785), "", VLOOKUP(C2785&amp;" "&amp;D2785, 'Info Tipo de Cambio y REM'!$A$24:$B$35, 2, FALSE))</f>
        <v/>
      </c>
      <c r="R2785" s="107"/>
    </row>
    <row r="2786" hidden="1">
      <c r="A2786" s="443"/>
      <c r="B2786" s="43" t="str">
        <f>IF(A2786="", "", IFERROR(VLOOKUP(A2786, Clasificaciones!A:B, 2, FALSE), "DATO NO CARGADO"))
</f>
        <v/>
      </c>
      <c r="C2786" s="51"/>
      <c r="D2786" s="102"/>
      <c r="E2786" s="102"/>
      <c r="H2786" s="102"/>
      <c r="J2786" s="102"/>
      <c r="K2786" s="450"/>
      <c r="L2786" s="443"/>
      <c r="M2786" s="450"/>
      <c r="N2786" s="452">
        <f t="array" ref="N2786">IFERROR(
  INDEX(
    'Valor Hora Real y Estimada'!$A$4:$Z$78,
    MATCH(TRIM(CLEAN(A2786)), 'Valor Hora Real y Estimada'!$A$4:$A$78, 0),
    MATCH(
      TEXT(C2786,"dd mmm")&amp;" "&amp;D2786,
      'Valor Hora Real y Estimada'!$A$3:$Z$3,
      0
    ) + 1
  ),
  0
)</f>
        <v>0</v>
      </c>
      <c r="O2786" s="453"/>
      <c r="P2786" s="113"/>
      <c r="Q2786" s="106" t="str">
        <f>IF(ISBLANK(O2786), "", VLOOKUP(C2786&amp;" "&amp;D2786, 'Info Tipo de Cambio y REM'!$A$24:$B$35, 2, FALSE))</f>
        <v/>
      </c>
      <c r="R2786" s="107"/>
    </row>
    <row r="2787" hidden="1">
      <c r="A2787" s="443"/>
      <c r="B2787" s="43" t="str">
        <f>IF(A2787="", "", IFERROR(VLOOKUP(A2787, Clasificaciones!A:B, 2, FALSE), "DATO NO CARGADO"))
</f>
        <v/>
      </c>
      <c r="C2787" s="51"/>
      <c r="D2787" s="102"/>
      <c r="E2787" s="102"/>
      <c r="H2787" s="102"/>
      <c r="J2787" s="102"/>
      <c r="K2787" s="450"/>
      <c r="L2787" s="443"/>
      <c r="M2787" s="450"/>
      <c r="N2787" s="452">
        <f t="array" ref="N2787">IFERROR(
  INDEX(
    'Valor Hora Real y Estimada'!$A$4:$Z$78,
    MATCH(TRIM(CLEAN(A2787)), 'Valor Hora Real y Estimada'!$A$4:$A$78, 0),
    MATCH(
      TEXT(C2787,"dd mmm")&amp;" "&amp;D2787,
      'Valor Hora Real y Estimada'!$A$3:$Z$3,
      0
    ) + 1
  ),
  0
)</f>
        <v>0</v>
      </c>
      <c r="O2787" s="453"/>
      <c r="P2787" s="113"/>
      <c r="Q2787" s="106" t="str">
        <f>IF(ISBLANK(O2787), "", VLOOKUP(C2787&amp;" "&amp;D2787, 'Info Tipo de Cambio y REM'!$A$24:$B$35, 2, FALSE))</f>
        <v/>
      </c>
      <c r="R2787" s="107"/>
    </row>
    <row r="2788" hidden="1">
      <c r="A2788" s="443"/>
      <c r="B2788" s="43" t="str">
        <f>IF(A2788="", "", IFERROR(VLOOKUP(A2788, Clasificaciones!A:B, 2, FALSE), "DATO NO CARGADO"))
</f>
        <v/>
      </c>
      <c r="C2788" s="51"/>
      <c r="D2788" s="102"/>
      <c r="E2788" s="102"/>
      <c r="H2788" s="102"/>
      <c r="J2788" s="102"/>
      <c r="K2788" s="450"/>
      <c r="L2788" s="443"/>
      <c r="M2788" s="450"/>
      <c r="N2788" s="452">
        <f t="array" ref="N2788">IFERROR(
  INDEX(
    'Valor Hora Real y Estimada'!$A$4:$Z$78,
    MATCH(TRIM(CLEAN(A2788)), 'Valor Hora Real y Estimada'!$A$4:$A$78, 0),
    MATCH(
      TEXT(C2788,"dd mmm")&amp;" "&amp;D2788,
      'Valor Hora Real y Estimada'!$A$3:$Z$3,
      0
    ) + 1
  ),
  0
)</f>
        <v>0</v>
      </c>
      <c r="O2788" s="453"/>
      <c r="P2788" s="113"/>
      <c r="Q2788" s="106" t="str">
        <f>IF(ISBLANK(O2788), "", VLOOKUP(C2788&amp;" "&amp;D2788, 'Info Tipo de Cambio y REM'!$A$24:$B$35, 2, FALSE))</f>
        <v/>
      </c>
      <c r="R2788" s="107"/>
    </row>
    <row r="2789" hidden="1">
      <c r="A2789" s="443"/>
      <c r="B2789" s="43" t="str">
        <f>IF(A2789="", "", IFERROR(VLOOKUP(A2789, Clasificaciones!A:B, 2, FALSE), "DATO NO CARGADO"))
</f>
        <v/>
      </c>
      <c r="C2789" s="51"/>
      <c r="D2789" s="102"/>
      <c r="E2789" s="102"/>
      <c r="H2789" s="102"/>
      <c r="J2789" s="102"/>
      <c r="K2789" s="450"/>
      <c r="L2789" s="443"/>
      <c r="M2789" s="450"/>
      <c r="N2789" s="452">
        <f t="array" ref="N2789">IFERROR(
  INDEX(
    'Valor Hora Real y Estimada'!$A$4:$Z$78,
    MATCH(TRIM(CLEAN(A2789)), 'Valor Hora Real y Estimada'!$A$4:$A$78, 0),
    MATCH(
      TEXT(C2789,"dd mmm")&amp;" "&amp;D2789,
      'Valor Hora Real y Estimada'!$A$3:$Z$3,
      0
    ) + 1
  ),
  0
)</f>
        <v>0</v>
      </c>
      <c r="O2789" s="453"/>
      <c r="P2789" s="113"/>
      <c r="Q2789" s="106" t="str">
        <f>IF(ISBLANK(O2789), "", VLOOKUP(C2789&amp;" "&amp;D2789, 'Info Tipo de Cambio y REM'!$A$24:$B$35, 2, FALSE))</f>
        <v/>
      </c>
      <c r="R2789" s="107"/>
    </row>
    <row r="2790" hidden="1">
      <c r="A2790" s="443"/>
      <c r="B2790" s="43" t="str">
        <f>IF(A2790="", "", IFERROR(VLOOKUP(A2790, Clasificaciones!A:B, 2, FALSE), "DATO NO CARGADO"))
</f>
        <v/>
      </c>
      <c r="C2790" s="51"/>
      <c r="D2790" s="102"/>
      <c r="E2790" s="102"/>
      <c r="H2790" s="102"/>
      <c r="J2790" s="102"/>
      <c r="K2790" s="450"/>
      <c r="L2790" s="443"/>
      <c r="M2790" s="450"/>
      <c r="N2790" s="452">
        <f t="array" ref="N2790">IFERROR(
  INDEX(
    'Valor Hora Real y Estimada'!$A$4:$Z$78,
    MATCH(TRIM(CLEAN(A2790)), 'Valor Hora Real y Estimada'!$A$4:$A$78, 0),
    MATCH(
      TEXT(C2790,"dd mmm")&amp;" "&amp;D2790,
      'Valor Hora Real y Estimada'!$A$3:$Z$3,
      0
    ) + 1
  ),
  0
)</f>
        <v>0</v>
      </c>
      <c r="O2790" s="453"/>
      <c r="P2790" s="113"/>
      <c r="Q2790" s="106" t="str">
        <f>IF(ISBLANK(O2790), "", VLOOKUP(C2790&amp;" "&amp;D2790, 'Info Tipo de Cambio y REM'!$A$24:$B$35, 2, FALSE))</f>
        <v/>
      </c>
      <c r="R2790" s="107"/>
    </row>
    <row r="2791" hidden="1">
      <c r="A2791" s="443"/>
      <c r="B2791" s="43" t="str">
        <f>IF(A2791="", "", IFERROR(VLOOKUP(A2791, Clasificaciones!A:B, 2, FALSE), "DATO NO CARGADO"))
</f>
        <v/>
      </c>
      <c r="C2791" s="51"/>
      <c r="D2791" s="102"/>
      <c r="E2791" s="102"/>
      <c r="H2791" s="102"/>
      <c r="J2791" s="102"/>
      <c r="K2791" s="450"/>
      <c r="L2791" s="443"/>
      <c r="M2791" s="450"/>
      <c r="N2791" s="452">
        <f t="array" ref="N2791">IFERROR(
  INDEX(
    'Valor Hora Real y Estimada'!$A$4:$Z$78,
    MATCH(TRIM(CLEAN(A2791)), 'Valor Hora Real y Estimada'!$A$4:$A$78, 0),
    MATCH(
      TEXT(C2791,"dd mmm")&amp;" "&amp;D2791,
      'Valor Hora Real y Estimada'!$A$3:$Z$3,
      0
    ) + 1
  ),
  0
)</f>
        <v>0</v>
      </c>
      <c r="O2791" s="453"/>
      <c r="P2791" s="113"/>
      <c r="Q2791" s="106" t="str">
        <f>IF(ISBLANK(O2791), "", VLOOKUP(C2791&amp;" "&amp;D2791, 'Info Tipo de Cambio y REM'!$A$24:$B$35, 2, FALSE))</f>
        <v/>
      </c>
      <c r="R2791" s="107"/>
    </row>
    <row r="2792" hidden="1">
      <c r="A2792" s="443"/>
      <c r="B2792" s="43" t="str">
        <f>IF(A2792="", "", IFERROR(VLOOKUP(A2792, Clasificaciones!A:B, 2, FALSE), "DATO NO CARGADO"))
</f>
        <v/>
      </c>
      <c r="C2792" s="51"/>
      <c r="D2792" s="102"/>
      <c r="E2792" s="102"/>
      <c r="H2792" s="102"/>
      <c r="J2792" s="102"/>
      <c r="K2792" s="450"/>
      <c r="L2792" s="443"/>
      <c r="M2792" s="450"/>
      <c r="N2792" s="452">
        <f t="array" ref="N2792">IFERROR(
  INDEX(
    'Valor Hora Real y Estimada'!$A$4:$Z$78,
    MATCH(TRIM(CLEAN(A2792)), 'Valor Hora Real y Estimada'!$A$4:$A$78, 0),
    MATCH(
      TEXT(C2792,"dd mmm")&amp;" "&amp;D2792,
      'Valor Hora Real y Estimada'!$A$3:$Z$3,
      0
    ) + 1
  ),
  0
)</f>
        <v>0</v>
      </c>
      <c r="O2792" s="453"/>
      <c r="P2792" s="113"/>
      <c r="Q2792" s="106" t="str">
        <f>IF(ISBLANK(O2792), "", VLOOKUP(C2792&amp;" "&amp;D2792, 'Info Tipo de Cambio y REM'!$A$24:$B$35, 2, FALSE))</f>
        <v/>
      </c>
      <c r="R2792" s="107"/>
    </row>
    <row r="2793" hidden="1">
      <c r="A2793" s="443"/>
      <c r="B2793" s="43" t="str">
        <f>IF(A2793="", "", IFERROR(VLOOKUP(A2793, Clasificaciones!A:B, 2, FALSE), "DATO NO CARGADO"))
</f>
        <v/>
      </c>
      <c r="C2793" s="51"/>
      <c r="D2793" s="102"/>
      <c r="E2793" s="102"/>
      <c r="H2793" s="102"/>
      <c r="J2793" s="102"/>
      <c r="K2793" s="450"/>
      <c r="L2793" s="443"/>
      <c r="M2793" s="450"/>
      <c r="N2793" s="452">
        <f t="array" ref="N2793">IFERROR(
  INDEX(
    'Valor Hora Real y Estimada'!$A$4:$Z$78,
    MATCH(TRIM(CLEAN(A2793)), 'Valor Hora Real y Estimada'!$A$4:$A$78, 0),
    MATCH(
      TEXT(C2793,"dd mmm")&amp;" "&amp;D2793,
      'Valor Hora Real y Estimada'!$A$3:$Z$3,
      0
    ) + 1
  ),
  0
)</f>
        <v>0</v>
      </c>
      <c r="O2793" s="453"/>
      <c r="P2793" s="113"/>
      <c r="Q2793" s="106" t="str">
        <f>IF(ISBLANK(O2793), "", VLOOKUP(C2793&amp;" "&amp;D2793, 'Info Tipo de Cambio y REM'!$A$24:$B$35, 2, FALSE))</f>
        <v/>
      </c>
      <c r="R2793" s="107"/>
    </row>
    <row r="2794" hidden="1">
      <c r="A2794" s="443"/>
      <c r="B2794" s="43" t="str">
        <f>IF(A2794="", "", IFERROR(VLOOKUP(A2794, Clasificaciones!A:B, 2, FALSE), "DATO NO CARGADO"))
</f>
        <v/>
      </c>
      <c r="C2794" s="51"/>
      <c r="D2794" s="102"/>
      <c r="E2794" s="102"/>
      <c r="H2794" s="102"/>
      <c r="J2794" s="102"/>
      <c r="K2794" s="450"/>
      <c r="L2794" s="443"/>
      <c r="M2794" s="450"/>
      <c r="N2794" s="452">
        <f t="array" ref="N2794">IFERROR(
  INDEX(
    'Valor Hora Real y Estimada'!$A$4:$Z$78,
    MATCH(TRIM(CLEAN(A2794)), 'Valor Hora Real y Estimada'!$A$4:$A$78, 0),
    MATCH(
      TEXT(C2794,"dd mmm")&amp;" "&amp;D2794,
      'Valor Hora Real y Estimada'!$A$3:$Z$3,
      0
    ) + 1
  ),
  0
)</f>
        <v>0</v>
      </c>
      <c r="O2794" s="453"/>
      <c r="P2794" s="113"/>
      <c r="Q2794" s="106" t="str">
        <f>IF(ISBLANK(O2794), "", VLOOKUP(C2794&amp;" "&amp;D2794, 'Info Tipo de Cambio y REM'!$A$24:$B$35, 2, FALSE))</f>
        <v/>
      </c>
      <c r="R2794" s="107"/>
    </row>
    <row r="2795" hidden="1">
      <c r="A2795" s="443"/>
      <c r="B2795" s="43" t="str">
        <f>IF(A2795="", "", IFERROR(VLOOKUP(A2795, Clasificaciones!A:B, 2, FALSE), "DATO NO CARGADO"))
</f>
        <v/>
      </c>
      <c r="C2795" s="51"/>
      <c r="D2795" s="102"/>
      <c r="E2795" s="102"/>
      <c r="H2795" s="102"/>
      <c r="J2795" s="102"/>
      <c r="K2795" s="450"/>
      <c r="L2795" s="443"/>
      <c r="M2795" s="450"/>
      <c r="N2795" s="452">
        <f t="array" ref="N2795">IFERROR(
  INDEX(
    'Valor Hora Real y Estimada'!$A$4:$Z$78,
    MATCH(TRIM(CLEAN(A2795)), 'Valor Hora Real y Estimada'!$A$4:$A$78, 0),
    MATCH(
      TEXT(C2795,"dd mmm")&amp;" "&amp;D2795,
      'Valor Hora Real y Estimada'!$A$3:$Z$3,
      0
    ) + 1
  ),
  0
)</f>
        <v>0</v>
      </c>
      <c r="O2795" s="453"/>
      <c r="P2795" s="113"/>
      <c r="Q2795" s="106" t="str">
        <f>IF(ISBLANK(O2795), "", VLOOKUP(C2795&amp;" "&amp;D2795, 'Info Tipo de Cambio y REM'!$A$24:$B$35, 2, FALSE))</f>
        <v/>
      </c>
      <c r="R2795" s="107"/>
    </row>
    <row r="2796" hidden="1">
      <c r="A2796" s="443"/>
      <c r="B2796" s="43" t="str">
        <f>IF(A2796="", "", IFERROR(VLOOKUP(A2796, Clasificaciones!A:B, 2, FALSE), "DATO NO CARGADO"))
</f>
        <v/>
      </c>
      <c r="C2796" s="51"/>
      <c r="D2796" s="102"/>
      <c r="E2796" s="102"/>
      <c r="H2796" s="102"/>
      <c r="J2796" s="102"/>
      <c r="K2796" s="450"/>
      <c r="L2796" s="443"/>
      <c r="M2796" s="450"/>
      <c r="N2796" s="452">
        <f t="array" ref="N2796">IFERROR(
  INDEX(
    'Valor Hora Real y Estimada'!$A$4:$Z$78,
    MATCH(TRIM(CLEAN(A2796)), 'Valor Hora Real y Estimada'!$A$4:$A$78, 0),
    MATCH(
      TEXT(C2796,"dd mmm")&amp;" "&amp;D2796,
      'Valor Hora Real y Estimada'!$A$3:$Z$3,
      0
    ) + 1
  ),
  0
)</f>
        <v>0</v>
      </c>
      <c r="O2796" s="453"/>
      <c r="P2796" s="113"/>
      <c r="Q2796" s="106" t="str">
        <f>IF(ISBLANK(O2796), "", VLOOKUP(C2796&amp;" "&amp;D2796, 'Info Tipo de Cambio y REM'!$A$24:$B$35, 2, FALSE))</f>
        <v/>
      </c>
      <c r="R2796" s="107"/>
    </row>
    <row r="2797" hidden="1">
      <c r="A2797" s="443"/>
      <c r="B2797" s="43" t="str">
        <f>IF(A2797="", "", IFERROR(VLOOKUP(A2797, Clasificaciones!A:B, 2, FALSE), "DATO NO CARGADO"))
</f>
        <v/>
      </c>
      <c r="C2797" s="51"/>
      <c r="D2797" s="102"/>
      <c r="E2797" s="102"/>
      <c r="H2797" s="102"/>
      <c r="J2797" s="102"/>
      <c r="K2797" s="450"/>
      <c r="L2797" s="443"/>
      <c r="M2797" s="450"/>
      <c r="N2797" s="452">
        <f t="array" ref="N2797">IFERROR(
  INDEX(
    'Valor Hora Real y Estimada'!$A$4:$Z$78,
    MATCH(TRIM(CLEAN(A2797)), 'Valor Hora Real y Estimada'!$A$4:$A$78, 0),
    MATCH(
      TEXT(C2797,"dd mmm")&amp;" "&amp;D2797,
      'Valor Hora Real y Estimada'!$A$3:$Z$3,
      0
    ) + 1
  ),
  0
)</f>
        <v>0</v>
      </c>
      <c r="O2797" s="453"/>
      <c r="P2797" s="113"/>
      <c r="Q2797" s="106" t="str">
        <f>IF(ISBLANK(O2797), "", VLOOKUP(C2797&amp;" "&amp;D2797, 'Info Tipo de Cambio y REM'!$A$24:$B$35, 2, FALSE))</f>
        <v/>
      </c>
      <c r="R2797" s="107"/>
    </row>
    <row r="2798" hidden="1">
      <c r="A2798" s="443"/>
      <c r="B2798" s="43" t="str">
        <f>IF(A2798="", "", IFERROR(VLOOKUP(A2798, Clasificaciones!A:B, 2, FALSE), "DATO NO CARGADO"))
</f>
        <v/>
      </c>
      <c r="C2798" s="51"/>
      <c r="D2798" s="102"/>
      <c r="E2798" s="102"/>
      <c r="H2798" s="102"/>
      <c r="J2798" s="102"/>
      <c r="K2798" s="450"/>
      <c r="L2798" s="443"/>
      <c r="M2798" s="450"/>
      <c r="N2798" s="452">
        <f t="array" ref="N2798">IFERROR(
  INDEX(
    'Valor Hora Real y Estimada'!$A$4:$Z$78,
    MATCH(TRIM(CLEAN(A2798)), 'Valor Hora Real y Estimada'!$A$4:$A$78, 0),
    MATCH(
      TEXT(C2798,"dd mmm")&amp;" "&amp;D2798,
      'Valor Hora Real y Estimada'!$A$3:$Z$3,
      0
    ) + 1
  ),
  0
)</f>
        <v>0</v>
      </c>
      <c r="O2798" s="453"/>
      <c r="P2798" s="113"/>
      <c r="Q2798" s="106" t="str">
        <f>IF(ISBLANK(O2798), "", VLOOKUP(C2798&amp;" "&amp;D2798, 'Info Tipo de Cambio y REM'!$A$24:$B$35, 2, FALSE))</f>
        <v/>
      </c>
      <c r="R2798" s="107"/>
    </row>
    <row r="2799" hidden="1">
      <c r="A2799" s="443"/>
      <c r="B2799" s="43" t="str">
        <f>IF(A2799="", "", IFERROR(VLOOKUP(A2799, Clasificaciones!A:B, 2, FALSE), "DATO NO CARGADO"))
</f>
        <v/>
      </c>
      <c r="C2799" s="51"/>
      <c r="D2799" s="102"/>
      <c r="E2799" s="102"/>
      <c r="H2799" s="102"/>
      <c r="J2799" s="102"/>
      <c r="K2799" s="450"/>
      <c r="L2799" s="443"/>
      <c r="M2799" s="450"/>
      <c r="N2799" s="452">
        <f t="array" ref="N2799">IFERROR(
  INDEX(
    'Valor Hora Real y Estimada'!$A$4:$Z$78,
    MATCH(TRIM(CLEAN(A2799)), 'Valor Hora Real y Estimada'!$A$4:$A$78, 0),
    MATCH(
      TEXT(C2799,"dd mmm")&amp;" "&amp;D2799,
      'Valor Hora Real y Estimada'!$A$3:$Z$3,
      0
    ) + 1
  ),
  0
)</f>
        <v>0</v>
      </c>
      <c r="O2799" s="453"/>
      <c r="P2799" s="113"/>
      <c r="Q2799" s="106" t="str">
        <f>IF(ISBLANK(O2799), "", VLOOKUP(C2799&amp;" "&amp;D2799, 'Info Tipo de Cambio y REM'!$A$24:$B$35, 2, FALSE))</f>
        <v/>
      </c>
      <c r="R2799" s="107"/>
    </row>
    <row r="2800" hidden="1">
      <c r="A2800" s="443"/>
      <c r="B2800" s="43" t="str">
        <f>IF(A2800="", "", IFERROR(VLOOKUP(A2800, Clasificaciones!A:B, 2, FALSE), "DATO NO CARGADO"))
</f>
        <v/>
      </c>
      <c r="C2800" s="51"/>
      <c r="D2800" s="102"/>
      <c r="E2800" s="102"/>
      <c r="H2800" s="102"/>
      <c r="J2800" s="102"/>
      <c r="K2800" s="450"/>
      <c r="L2800" s="443"/>
      <c r="M2800" s="450"/>
      <c r="N2800" s="452">
        <f t="array" ref="N2800">IFERROR(
  INDEX(
    'Valor Hora Real y Estimada'!$A$4:$Z$78,
    MATCH(TRIM(CLEAN(A2800)), 'Valor Hora Real y Estimada'!$A$4:$A$78, 0),
    MATCH(
      TEXT(C2800,"dd mmm")&amp;" "&amp;D2800,
      'Valor Hora Real y Estimada'!$A$3:$Z$3,
      0
    ) + 1
  ),
  0
)</f>
        <v>0</v>
      </c>
      <c r="O2800" s="453"/>
      <c r="P2800" s="113"/>
      <c r="Q2800" s="106" t="str">
        <f>IF(ISBLANK(O2800), "", VLOOKUP(C2800&amp;" "&amp;D2800, 'Info Tipo de Cambio y REM'!$A$24:$B$35, 2, FALSE))</f>
        <v/>
      </c>
      <c r="R2800" s="107"/>
    </row>
    <row r="2801" hidden="1">
      <c r="A2801" s="443"/>
      <c r="B2801" s="43" t="str">
        <f>IF(A2801="", "", IFERROR(VLOOKUP(A2801, Clasificaciones!A:B, 2, FALSE), "DATO NO CARGADO"))
</f>
        <v/>
      </c>
      <c r="C2801" s="51"/>
      <c r="D2801" s="102"/>
      <c r="E2801" s="102"/>
      <c r="H2801" s="102"/>
      <c r="J2801" s="102"/>
      <c r="K2801" s="450"/>
      <c r="L2801" s="443"/>
      <c r="M2801" s="450"/>
      <c r="N2801" s="452">
        <f t="array" ref="N2801">IFERROR(
  INDEX(
    'Valor Hora Real y Estimada'!$A$4:$Z$78,
    MATCH(TRIM(CLEAN(A2801)), 'Valor Hora Real y Estimada'!$A$4:$A$78, 0),
    MATCH(
      TEXT(C2801,"dd mmm")&amp;" "&amp;D2801,
      'Valor Hora Real y Estimada'!$A$3:$Z$3,
      0
    ) + 1
  ),
  0
)</f>
        <v>0</v>
      </c>
      <c r="O2801" s="453"/>
      <c r="P2801" s="113"/>
      <c r="Q2801" s="106" t="str">
        <f>IF(ISBLANK(O2801), "", VLOOKUP(C2801&amp;" "&amp;D2801, 'Info Tipo de Cambio y REM'!$A$24:$B$35, 2, FALSE))</f>
        <v/>
      </c>
      <c r="R2801" s="107"/>
    </row>
    <row r="2802" hidden="1">
      <c r="A2802" s="443"/>
      <c r="B2802" s="43" t="str">
        <f>IF(A2802="", "", IFERROR(VLOOKUP(A2802, Clasificaciones!A:B, 2, FALSE), "DATO NO CARGADO"))
</f>
        <v/>
      </c>
      <c r="C2802" s="51"/>
      <c r="D2802" s="102"/>
      <c r="E2802" s="102"/>
      <c r="H2802" s="102"/>
      <c r="J2802" s="102"/>
      <c r="K2802" s="450"/>
      <c r="L2802" s="443"/>
      <c r="M2802" s="450"/>
      <c r="N2802" s="452">
        <f t="array" ref="N2802">IFERROR(
  INDEX(
    'Valor Hora Real y Estimada'!$A$4:$Z$78,
    MATCH(TRIM(CLEAN(A2802)), 'Valor Hora Real y Estimada'!$A$4:$A$78, 0),
    MATCH(
      TEXT(C2802,"dd mmm")&amp;" "&amp;D2802,
      'Valor Hora Real y Estimada'!$A$3:$Z$3,
      0
    ) + 1
  ),
  0
)</f>
        <v>0</v>
      </c>
      <c r="O2802" s="453"/>
      <c r="P2802" s="113"/>
      <c r="Q2802" s="106" t="str">
        <f>IF(ISBLANK(O2802), "", VLOOKUP(C2802&amp;" "&amp;D2802, 'Info Tipo de Cambio y REM'!$A$24:$B$35, 2, FALSE))</f>
        <v/>
      </c>
      <c r="R2802" s="107"/>
    </row>
    <row r="2803" hidden="1">
      <c r="A2803" s="443"/>
      <c r="B2803" s="43" t="str">
        <f>IF(A2803="", "", IFERROR(VLOOKUP(A2803, Clasificaciones!A:B, 2, FALSE), "DATO NO CARGADO"))
</f>
        <v/>
      </c>
      <c r="C2803" s="51"/>
      <c r="D2803" s="102"/>
      <c r="E2803" s="102"/>
      <c r="H2803" s="102"/>
      <c r="J2803" s="102"/>
      <c r="K2803" s="450"/>
      <c r="L2803" s="443"/>
      <c r="M2803" s="450"/>
      <c r="N2803" s="452">
        <f t="array" ref="N2803">IFERROR(
  INDEX(
    'Valor Hora Real y Estimada'!$A$4:$Z$78,
    MATCH(TRIM(CLEAN(A2803)), 'Valor Hora Real y Estimada'!$A$4:$A$78, 0),
    MATCH(
      TEXT(C2803,"dd mmm")&amp;" "&amp;D2803,
      'Valor Hora Real y Estimada'!$A$3:$Z$3,
      0
    ) + 1
  ),
  0
)</f>
        <v>0</v>
      </c>
      <c r="O2803" s="453"/>
      <c r="P2803" s="113"/>
      <c r="Q2803" s="106" t="str">
        <f>IF(ISBLANK(O2803), "", VLOOKUP(C2803&amp;" "&amp;D2803, 'Info Tipo de Cambio y REM'!$A$24:$B$35, 2, FALSE))</f>
        <v/>
      </c>
      <c r="R2803" s="107"/>
    </row>
    <row r="2804" hidden="1">
      <c r="A2804" s="443"/>
      <c r="B2804" s="43" t="str">
        <f>IF(A2804="", "", IFERROR(VLOOKUP(A2804, Clasificaciones!A:B, 2, FALSE), "DATO NO CARGADO"))
</f>
        <v/>
      </c>
      <c r="C2804" s="51"/>
      <c r="D2804" s="102"/>
      <c r="E2804" s="102"/>
      <c r="H2804" s="102"/>
      <c r="J2804" s="102"/>
      <c r="K2804" s="450"/>
      <c r="L2804" s="443"/>
      <c r="M2804" s="450"/>
      <c r="N2804" s="452">
        <f t="array" ref="N2804">IFERROR(
  INDEX(
    'Valor Hora Real y Estimada'!$A$4:$Z$78,
    MATCH(TRIM(CLEAN(A2804)), 'Valor Hora Real y Estimada'!$A$4:$A$78, 0),
    MATCH(
      TEXT(C2804,"dd mmm")&amp;" "&amp;D2804,
      'Valor Hora Real y Estimada'!$A$3:$Z$3,
      0
    ) + 1
  ),
  0
)</f>
        <v>0</v>
      </c>
      <c r="O2804" s="453"/>
      <c r="P2804" s="113"/>
      <c r="Q2804" s="106" t="str">
        <f>IF(ISBLANK(O2804), "", VLOOKUP(C2804&amp;" "&amp;D2804, 'Info Tipo de Cambio y REM'!$A$24:$B$35, 2, FALSE))</f>
        <v/>
      </c>
      <c r="R2804" s="107"/>
    </row>
    <row r="2805" hidden="1">
      <c r="A2805" s="443"/>
      <c r="B2805" s="43" t="str">
        <f>IF(A2805="", "", IFERROR(VLOOKUP(A2805, Clasificaciones!A:B, 2, FALSE), "DATO NO CARGADO"))
</f>
        <v/>
      </c>
      <c r="C2805" s="51"/>
      <c r="D2805" s="102"/>
      <c r="E2805" s="102"/>
      <c r="H2805" s="102"/>
      <c r="J2805" s="102"/>
      <c r="K2805" s="450"/>
      <c r="L2805" s="443"/>
      <c r="M2805" s="450"/>
      <c r="N2805" s="452">
        <f t="array" ref="N2805">IFERROR(
  INDEX(
    'Valor Hora Real y Estimada'!$A$4:$Z$78,
    MATCH(TRIM(CLEAN(A2805)), 'Valor Hora Real y Estimada'!$A$4:$A$78, 0),
    MATCH(
      TEXT(C2805,"dd mmm")&amp;" "&amp;D2805,
      'Valor Hora Real y Estimada'!$A$3:$Z$3,
      0
    ) + 1
  ),
  0
)</f>
        <v>0</v>
      </c>
      <c r="O2805" s="453"/>
      <c r="P2805" s="113"/>
      <c r="Q2805" s="106" t="str">
        <f>IF(ISBLANK(O2805), "", VLOOKUP(C2805&amp;" "&amp;D2805, 'Info Tipo de Cambio y REM'!$A$24:$B$35, 2, FALSE))</f>
        <v/>
      </c>
      <c r="R2805" s="107"/>
    </row>
    <row r="2806" hidden="1">
      <c r="A2806" s="443"/>
      <c r="B2806" s="43" t="str">
        <f>IF(A2806="", "", IFERROR(VLOOKUP(A2806, Clasificaciones!A:B, 2, FALSE), "DATO NO CARGADO"))
</f>
        <v/>
      </c>
      <c r="C2806" s="51"/>
      <c r="D2806" s="102"/>
      <c r="E2806" s="102"/>
      <c r="H2806" s="102"/>
      <c r="J2806" s="102"/>
      <c r="K2806" s="450"/>
      <c r="L2806" s="443"/>
      <c r="M2806" s="450"/>
      <c r="N2806" s="452">
        <f t="array" ref="N2806">IFERROR(
  INDEX(
    'Valor Hora Real y Estimada'!$A$4:$Z$78,
    MATCH(TRIM(CLEAN(A2806)), 'Valor Hora Real y Estimada'!$A$4:$A$78, 0),
    MATCH(
      TEXT(C2806,"dd mmm")&amp;" "&amp;D2806,
      'Valor Hora Real y Estimada'!$A$3:$Z$3,
      0
    ) + 1
  ),
  0
)</f>
        <v>0</v>
      </c>
      <c r="O2806" s="453"/>
      <c r="P2806" s="113"/>
      <c r="Q2806" s="106" t="str">
        <f>IF(ISBLANK(O2806), "", VLOOKUP(C2806&amp;" "&amp;D2806, 'Info Tipo de Cambio y REM'!$A$24:$B$35, 2, FALSE))</f>
        <v/>
      </c>
      <c r="R2806" s="107"/>
    </row>
    <row r="2807" hidden="1">
      <c r="A2807" s="443"/>
      <c r="B2807" s="43" t="str">
        <f>IF(A2807="", "", IFERROR(VLOOKUP(A2807, Clasificaciones!A:B, 2, FALSE), "DATO NO CARGADO"))
</f>
        <v/>
      </c>
      <c r="C2807" s="51"/>
      <c r="D2807" s="102"/>
      <c r="E2807" s="102"/>
      <c r="H2807" s="102"/>
      <c r="J2807" s="102"/>
      <c r="K2807" s="450"/>
      <c r="L2807" s="443"/>
      <c r="M2807" s="450"/>
      <c r="N2807" s="452">
        <f t="array" ref="N2807">IFERROR(
  INDEX(
    'Valor Hora Real y Estimada'!$A$4:$Z$78,
    MATCH(TRIM(CLEAN(A2807)), 'Valor Hora Real y Estimada'!$A$4:$A$78, 0),
    MATCH(
      TEXT(C2807,"dd mmm")&amp;" "&amp;D2807,
      'Valor Hora Real y Estimada'!$A$3:$Z$3,
      0
    ) + 1
  ),
  0
)</f>
        <v>0</v>
      </c>
      <c r="O2807" s="453"/>
      <c r="P2807" s="113"/>
      <c r="Q2807" s="106" t="str">
        <f>IF(ISBLANK(O2807), "", VLOOKUP(C2807&amp;" "&amp;D2807, 'Info Tipo de Cambio y REM'!$A$24:$B$35, 2, FALSE))</f>
        <v/>
      </c>
      <c r="R2807" s="107"/>
    </row>
    <row r="2808" hidden="1">
      <c r="A2808" s="443"/>
      <c r="B2808" s="43" t="str">
        <f>IF(A2808="", "", IFERROR(VLOOKUP(A2808, Clasificaciones!A:B, 2, FALSE), "DATO NO CARGADO"))
</f>
        <v/>
      </c>
      <c r="C2808" s="51"/>
      <c r="D2808" s="102"/>
      <c r="E2808" s="102"/>
      <c r="H2808" s="102"/>
      <c r="J2808" s="102"/>
      <c r="K2808" s="450"/>
      <c r="L2808" s="443"/>
      <c r="M2808" s="450"/>
      <c r="N2808" s="452">
        <f t="array" ref="N2808">IFERROR(
  INDEX(
    'Valor Hora Real y Estimada'!$A$4:$Z$78,
    MATCH(TRIM(CLEAN(A2808)), 'Valor Hora Real y Estimada'!$A$4:$A$78, 0),
    MATCH(
      TEXT(C2808,"dd mmm")&amp;" "&amp;D2808,
      'Valor Hora Real y Estimada'!$A$3:$Z$3,
      0
    ) + 1
  ),
  0
)</f>
        <v>0</v>
      </c>
      <c r="O2808" s="453"/>
      <c r="P2808" s="113"/>
      <c r="Q2808" s="106" t="str">
        <f>IF(ISBLANK(O2808), "", VLOOKUP(C2808&amp;" "&amp;D2808, 'Info Tipo de Cambio y REM'!$A$24:$B$35, 2, FALSE))</f>
        <v/>
      </c>
      <c r="R2808" s="107"/>
    </row>
    <row r="2809" hidden="1">
      <c r="A2809" s="443"/>
      <c r="B2809" s="43" t="str">
        <f>IF(A2809="", "", IFERROR(VLOOKUP(A2809, Clasificaciones!A:B, 2, FALSE), "DATO NO CARGADO"))
</f>
        <v/>
      </c>
      <c r="C2809" s="51"/>
      <c r="D2809" s="102"/>
      <c r="E2809" s="102"/>
      <c r="H2809" s="102"/>
      <c r="J2809" s="102"/>
      <c r="K2809" s="450"/>
      <c r="L2809" s="443"/>
      <c r="M2809" s="450"/>
      <c r="N2809" s="452">
        <f t="array" ref="N2809">IFERROR(
  INDEX(
    'Valor Hora Real y Estimada'!$A$4:$Z$78,
    MATCH(TRIM(CLEAN(A2809)), 'Valor Hora Real y Estimada'!$A$4:$A$78, 0),
    MATCH(
      TEXT(C2809,"dd mmm")&amp;" "&amp;D2809,
      'Valor Hora Real y Estimada'!$A$3:$Z$3,
      0
    ) + 1
  ),
  0
)</f>
        <v>0</v>
      </c>
      <c r="O2809" s="453"/>
      <c r="P2809" s="113"/>
      <c r="Q2809" s="106" t="str">
        <f>IF(ISBLANK(O2809), "", VLOOKUP(C2809&amp;" "&amp;D2809, 'Info Tipo de Cambio y REM'!$A$24:$B$35, 2, FALSE))</f>
        <v/>
      </c>
      <c r="R2809" s="107"/>
    </row>
    <row r="2810" hidden="1">
      <c r="A2810" s="443"/>
      <c r="B2810" s="43" t="str">
        <f>IF(A2810="", "", IFERROR(VLOOKUP(A2810, Clasificaciones!A:B, 2, FALSE), "DATO NO CARGADO"))
</f>
        <v/>
      </c>
      <c r="C2810" s="51"/>
      <c r="D2810" s="102"/>
      <c r="E2810" s="102"/>
      <c r="H2810" s="102"/>
      <c r="J2810" s="102"/>
      <c r="K2810" s="450"/>
      <c r="L2810" s="443"/>
      <c r="M2810" s="450"/>
      <c r="N2810" s="452">
        <f t="array" ref="N2810">IFERROR(
  INDEX(
    'Valor Hora Real y Estimada'!$A$4:$Z$78,
    MATCH(TRIM(CLEAN(A2810)), 'Valor Hora Real y Estimada'!$A$4:$A$78, 0),
    MATCH(
      TEXT(C2810,"dd mmm")&amp;" "&amp;D2810,
      'Valor Hora Real y Estimada'!$A$3:$Z$3,
      0
    ) + 1
  ),
  0
)</f>
        <v>0</v>
      </c>
      <c r="O2810" s="453"/>
      <c r="P2810" s="113"/>
      <c r="Q2810" s="106" t="str">
        <f>IF(ISBLANK(O2810), "", VLOOKUP(C2810&amp;" "&amp;D2810, 'Info Tipo de Cambio y REM'!$A$24:$B$35, 2, FALSE))</f>
        <v/>
      </c>
      <c r="R2810" s="107"/>
    </row>
    <row r="2811" hidden="1">
      <c r="A2811" s="443"/>
      <c r="B2811" s="43" t="str">
        <f>IF(A2811="", "", IFERROR(VLOOKUP(A2811, Clasificaciones!A:B, 2, FALSE), "DATO NO CARGADO"))
</f>
        <v/>
      </c>
      <c r="C2811" s="51"/>
      <c r="D2811" s="102"/>
      <c r="E2811" s="102"/>
      <c r="H2811" s="102"/>
      <c r="J2811" s="102"/>
      <c r="K2811" s="450"/>
      <c r="L2811" s="443"/>
      <c r="M2811" s="450"/>
      <c r="N2811" s="452">
        <f t="array" ref="N2811">IFERROR(
  INDEX(
    'Valor Hora Real y Estimada'!$A$4:$Z$78,
    MATCH(TRIM(CLEAN(A2811)), 'Valor Hora Real y Estimada'!$A$4:$A$78, 0),
    MATCH(
      TEXT(C2811,"dd mmm")&amp;" "&amp;D2811,
      'Valor Hora Real y Estimada'!$A$3:$Z$3,
      0
    ) + 1
  ),
  0
)</f>
        <v>0</v>
      </c>
      <c r="O2811" s="453"/>
      <c r="P2811" s="113"/>
      <c r="Q2811" s="106" t="str">
        <f>IF(ISBLANK(O2811), "", VLOOKUP(C2811&amp;" "&amp;D2811, 'Info Tipo de Cambio y REM'!$A$24:$B$35, 2, FALSE))</f>
        <v/>
      </c>
      <c r="R2811" s="107"/>
    </row>
    <row r="2812" hidden="1">
      <c r="A2812" s="443"/>
      <c r="B2812" s="43" t="str">
        <f>IF(A2812="", "", IFERROR(VLOOKUP(A2812, Clasificaciones!A:B, 2, FALSE), "DATO NO CARGADO"))
</f>
        <v/>
      </c>
      <c r="C2812" s="51"/>
      <c r="D2812" s="102"/>
      <c r="E2812" s="102"/>
      <c r="H2812" s="102"/>
      <c r="J2812" s="102"/>
      <c r="K2812" s="450"/>
      <c r="L2812" s="443"/>
      <c r="M2812" s="450"/>
      <c r="N2812" s="452">
        <f t="array" ref="N2812">IFERROR(
  INDEX(
    'Valor Hora Real y Estimada'!$A$4:$Z$78,
    MATCH(TRIM(CLEAN(A2812)), 'Valor Hora Real y Estimada'!$A$4:$A$78, 0),
    MATCH(
      TEXT(C2812,"dd mmm")&amp;" "&amp;D2812,
      'Valor Hora Real y Estimada'!$A$3:$Z$3,
      0
    ) + 1
  ),
  0
)</f>
        <v>0</v>
      </c>
      <c r="O2812" s="453"/>
      <c r="P2812" s="113"/>
      <c r="Q2812" s="106" t="str">
        <f>IF(ISBLANK(O2812), "", VLOOKUP(C2812&amp;" "&amp;D2812, 'Info Tipo de Cambio y REM'!$A$24:$B$35, 2, FALSE))</f>
        <v/>
      </c>
      <c r="R2812" s="107"/>
    </row>
    <row r="2813" hidden="1">
      <c r="A2813" s="443"/>
      <c r="B2813" s="43" t="str">
        <f>IF(A2813="", "", IFERROR(VLOOKUP(A2813, Clasificaciones!A:B, 2, FALSE), "DATO NO CARGADO"))
</f>
        <v/>
      </c>
      <c r="C2813" s="51"/>
      <c r="D2813" s="102"/>
      <c r="E2813" s="102"/>
      <c r="H2813" s="102"/>
      <c r="J2813" s="102"/>
      <c r="K2813" s="450"/>
      <c r="L2813" s="443"/>
      <c r="M2813" s="450"/>
      <c r="N2813" s="452">
        <f t="array" ref="N2813">IFERROR(
  INDEX(
    'Valor Hora Real y Estimada'!$A$4:$Z$78,
    MATCH(TRIM(CLEAN(A2813)), 'Valor Hora Real y Estimada'!$A$4:$A$78, 0),
    MATCH(
      TEXT(C2813,"dd mmm")&amp;" "&amp;D2813,
      'Valor Hora Real y Estimada'!$A$3:$Z$3,
      0
    ) + 1
  ),
  0
)</f>
        <v>0</v>
      </c>
      <c r="O2813" s="453"/>
      <c r="P2813" s="113"/>
      <c r="Q2813" s="106" t="str">
        <f>IF(ISBLANK(O2813), "", VLOOKUP(C2813&amp;" "&amp;D2813, 'Info Tipo de Cambio y REM'!$A$24:$B$35, 2, FALSE))</f>
        <v/>
      </c>
      <c r="R2813" s="107"/>
    </row>
    <row r="2814" hidden="1">
      <c r="A2814" s="443"/>
      <c r="B2814" s="43" t="str">
        <f>IF(A2814="", "", IFERROR(VLOOKUP(A2814, Clasificaciones!A:B, 2, FALSE), "DATO NO CARGADO"))
</f>
        <v/>
      </c>
      <c r="C2814" s="51"/>
      <c r="D2814" s="102"/>
      <c r="E2814" s="102"/>
      <c r="H2814" s="102"/>
      <c r="J2814" s="102"/>
      <c r="K2814" s="450"/>
      <c r="L2814" s="443"/>
      <c r="M2814" s="450"/>
      <c r="N2814" s="452">
        <f t="array" ref="N2814">IFERROR(
  INDEX(
    'Valor Hora Real y Estimada'!$A$4:$Z$78,
    MATCH(TRIM(CLEAN(A2814)), 'Valor Hora Real y Estimada'!$A$4:$A$78, 0),
    MATCH(
      TEXT(C2814,"dd mmm")&amp;" "&amp;D2814,
      'Valor Hora Real y Estimada'!$A$3:$Z$3,
      0
    ) + 1
  ),
  0
)</f>
        <v>0</v>
      </c>
      <c r="O2814" s="453"/>
      <c r="P2814" s="113"/>
      <c r="Q2814" s="106" t="str">
        <f>IF(ISBLANK(O2814), "", VLOOKUP(C2814&amp;" "&amp;D2814, 'Info Tipo de Cambio y REM'!$A$24:$B$35, 2, FALSE))</f>
        <v/>
      </c>
      <c r="R2814" s="107"/>
    </row>
    <row r="2815" hidden="1">
      <c r="A2815" s="443"/>
      <c r="B2815" s="43" t="str">
        <f>IF(A2815="", "", IFERROR(VLOOKUP(A2815, Clasificaciones!A:B, 2, FALSE), "DATO NO CARGADO"))
</f>
        <v/>
      </c>
      <c r="C2815" s="51"/>
      <c r="D2815" s="102"/>
      <c r="E2815" s="102"/>
      <c r="H2815" s="102"/>
      <c r="J2815" s="102"/>
      <c r="K2815" s="450"/>
      <c r="L2815" s="443"/>
      <c r="M2815" s="450"/>
      <c r="N2815" s="452">
        <f t="array" ref="N2815">IFERROR(
  INDEX(
    'Valor Hora Real y Estimada'!$A$4:$Z$78,
    MATCH(TRIM(CLEAN(A2815)), 'Valor Hora Real y Estimada'!$A$4:$A$78, 0),
    MATCH(
      TEXT(C2815,"dd mmm")&amp;" "&amp;D2815,
      'Valor Hora Real y Estimada'!$A$3:$Z$3,
      0
    ) + 1
  ),
  0
)</f>
        <v>0</v>
      </c>
      <c r="O2815" s="453"/>
      <c r="P2815" s="113"/>
      <c r="Q2815" s="106" t="str">
        <f>IF(ISBLANK(O2815), "", VLOOKUP(C2815&amp;" "&amp;D2815, 'Info Tipo de Cambio y REM'!$A$24:$B$35, 2, FALSE))</f>
        <v/>
      </c>
      <c r="R2815" s="107"/>
    </row>
    <row r="2816" hidden="1">
      <c r="A2816" s="443"/>
      <c r="B2816" s="43" t="str">
        <f>IF(A2816="", "", IFERROR(VLOOKUP(A2816, Clasificaciones!A:B, 2, FALSE), "DATO NO CARGADO"))
</f>
        <v/>
      </c>
      <c r="C2816" s="51"/>
      <c r="D2816" s="102"/>
      <c r="E2816" s="102"/>
      <c r="H2816" s="102"/>
      <c r="J2816" s="102"/>
      <c r="K2816" s="450"/>
      <c r="L2816" s="443"/>
      <c r="M2816" s="450"/>
      <c r="N2816" s="452">
        <f t="array" ref="N2816">IFERROR(
  INDEX(
    'Valor Hora Real y Estimada'!$A$4:$Z$78,
    MATCH(TRIM(CLEAN(A2816)), 'Valor Hora Real y Estimada'!$A$4:$A$78, 0),
    MATCH(
      TEXT(C2816,"dd mmm")&amp;" "&amp;D2816,
      'Valor Hora Real y Estimada'!$A$3:$Z$3,
      0
    ) + 1
  ),
  0
)</f>
        <v>0</v>
      </c>
      <c r="O2816" s="453"/>
      <c r="P2816" s="113"/>
      <c r="Q2816" s="106" t="str">
        <f>IF(ISBLANK(O2816), "", VLOOKUP(C2816&amp;" "&amp;D2816, 'Info Tipo de Cambio y REM'!$A$24:$B$35, 2, FALSE))</f>
        <v/>
      </c>
      <c r="R2816" s="107"/>
    </row>
    <row r="2817" hidden="1">
      <c r="A2817" s="443"/>
      <c r="B2817" s="43" t="str">
        <f>IF(A2817="", "", IFERROR(VLOOKUP(A2817, Clasificaciones!A:B, 2, FALSE), "DATO NO CARGADO"))
</f>
        <v/>
      </c>
      <c r="C2817" s="51"/>
      <c r="D2817" s="102"/>
      <c r="E2817" s="102"/>
      <c r="H2817" s="102"/>
      <c r="J2817" s="102"/>
      <c r="K2817" s="450"/>
      <c r="L2817" s="443"/>
      <c r="M2817" s="450"/>
      <c r="N2817" s="452">
        <f t="array" ref="N2817">IFERROR(
  INDEX(
    'Valor Hora Real y Estimada'!$A$4:$Z$78,
    MATCH(TRIM(CLEAN(A2817)), 'Valor Hora Real y Estimada'!$A$4:$A$78, 0),
    MATCH(
      TEXT(C2817,"dd mmm")&amp;" "&amp;D2817,
      'Valor Hora Real y Estimada'!$A$3:$Z$3,
      0
    ) + 1
  ),
  0
)</f>
        <v>0</v>
      </c>
      <c r="O2817" s="453"/>
      <c r="P2817" s="113"/>
      <c r="Q2817" s="106" t="str">
        <f>IF(ISBLANK(O2817), "", VLOOKUP(C2817&amp;" "&amp;D2817, 'Info Tipo de Cambio y REM'!$A$24:$B$35, 2, FALSE))</f>
        <v/>
      </c>
      <c r="R2817" s="107"/>
    </row>
    <row r="2818" hidden="1">
      <c r="A2818" s="443"/>
      <c r="B2818" s="43" t="str">
        <f>IF(A2818="", "", IFERROR(VLOOKUP(A2818, Clasificaciones!A:B, 2, FALSE), "DATO NO CARGADO"))
</f>
        <v/>
      </c>
      <c r="C2818" s="51"/>
      <c r="D2818" s="102"/>
      <c r="E2818" s="102"/>
      <c r="H2818" s="102"/>
      <c r="J2818" s="102"/>
      <c r="K2818" s="450"/>
      <c r="L2818" s="443"/>
      <c r="M2818" s="450"/>
      <c r="N2818" s="452">
        <f t="array" ref="N2818">IFERROR(
  INDEX(
    'Valor Hora Real y Estimada'!$A$4:$Z$78,
    MATCH(TRIM(CLEAN(A2818)), 'Valor Hora Real y Estimada'!$A$4:$A$78, 0),
    MATCH(
      TEXT(C2818,"dd mmm")&amp;" "&amp;D2818,
      'Valor Hora Real y Estimada'!$A$3:$Z$3,
      0
    ) + 1
  ),
  0
)</f>
        <v>0</v>
      </c>
      <c r="O2818" s="453"/>
      <c r="P2818" s="113"/>
      <c r="Q2818" s="106" t="str">
        <f>IF(ISBLANK(O2818), "", VLOOKUP(C2818&amp;" "&amp;D2818, 'Info Tipo de Cambio y REM'!$A$24:$B$35, 2, FALSE))</f>
        <v/>
      </c>
      <c r="R2818" s="107"/>
    </row>
    <row r="2819" hidden="1">
      <c r="A2819" s="443"/>
      <c r="B2819" s="43" t="str">
        <f>IF(A2819="", "", IFERROR(VLOOKUP(A2819, Clasificaciones!A:B, 2, FALSE), "DATO NO CARGADO"))
</f>
        <v/>
      </c>
      <c r="C2819" s="51"/>
      <c r="D2819" s="102"/>
      <c r="E2819" s="102"/>
      <c r="H2819" s="102"/>
      <c r="J2819" s="102"/>
      <c r="K2819" s="450"/>
      <c r="L2819" s="443"/>
      <c r="M2819" s="450"/>
      <c r="N2819" s="452">
        <f t="array" ref="N2819">IFERROR(
  INDEX(
    'Valor Hora Real y Estimada'!$A$4:$Z$78,
    MATCH(TRIM(CLEAN(A2819)), 'Valor Hora Real y Estimada'!$A$4:$A$78, 0),
    MATCH(
      TEXT(C2819,"dd mmm")&amp;" "&amp;D2819,
      'Valor Hora Real y Estimada'!$A$3:$Z$3,
      0
    ) + 1
  ),
  0
)</f>
        <v>0</v>
      </c>
      <c r="O2819" s="453"/>
      <c r="P2819" s="113"/>
      <c r="Q2819" s="106" t="str">
        <f>IF(ISBLANK(O2819), "", VLOOKUP(C2819&amp;" "&amp;D2819, 'Info Tipo de Cambio y REM'!$A$24:$B$35, 2, FALSE))</f>
        <v/>
      </c>
      <c r="R2819" s="107"/>
    </row>
    <row r="2820" hidden="1">
      <c r="A2820" s="443"/>
      <c r="B2820" s="43" t="str">
        <f>IF(A2820="", "", IFERROR(VLOOKUP(A2820, Clasificaciones!A:B, 2, FALSE), "DATO NO CARGADO"))
</f>
        <v/>
      </c>
      <c r="C2820" s="51"/>
      <c r="D2820" s="102"/>
      <c r="E2820" s="102"/>
      <c r="H2820" s="102"/>
      <c r="J2820" s="102"/>
      <c r="K2820" s="450"/>
      <c r="L2820" s="443"/>
      <c r="M2820" s="450"/>
      <c r="N2820" s="452">
        <f t="array" ref="N2820">IFERROR(
  INDEX(
    'Valor Hora Real y Estimada'!$A$4:$Z$78,
    MATCH(TRIM(CLEAN(A2820)), 'Valor Hora Real y Estimada'!$A$4:$A$78, 0),
    MATCH(
      TEXT(C2820,"dd mmm")&amp;" "&amp;D2820,
      'Valor Hora Real y Estimada'!$A$3:$Z$3,
      0
    ) + 1
  ),
  0
)</f>
        <v>0</v>
      </c>
      <c r="O2820" s="453"/>
      <c r="P2820" s="113"/>
      <c r="Q2820" s="106" t="str">
        <f>IF(ISBLANK(O2820), "", VLOOKUP(C2820&amp;" "&amp;D2820, 'Info Tipo de Cambio y REM'!$A$24:$B$35, 2, FALSE))</f>
        <v/>
      </c>
      <c r="R2820" s="107"/>
    </row>
    <row r="2821" hidden="1">
      <c r="A2821" s="443"/>
      <c r="B2821" s="43" t="str">
        <f>IF(A2821="", "", IFERROR(VLOOKUP(A2821, Clasificaciones!A:B, 2, FALSE), "DATO NO CARGADO"))
</f>
        <v/>
      </c>
      <c r="C2821" s="51"/>
      <c r="D2821" s="102"/>
      <c r="E2821" s="102"/>
      <c r="H2821" s="102"/>
      <c r="J2821" s="102"/>
      <c r="K2821" s="450"/>
      <c r="L2821" s="443"/>
      <c r="M2821" s="450"/>
      <c r="N2821" s="452">
        <f t="array" ref="N2821">IFERROR(
  INDEX(
    'Valor Hora Real y Estimada'!$A$4:$Z$78,
    MATCH(TRIM(CLEAN(A2821)), 'Valor Hora Real y Estimada'!$A$4:$A$78, 0),
    MATCH(
      TEXT(C2821,"dd mmm")&amp;" "&amp;D2821,
      'Valor Hora Real y Estimada'!$A$3:$Z$3,
      0
    ) + 1
  ),
  0
)</f>
        <v>0</v>
      </c>
      <c r="O2821" s="453"/>
      <c r="P2821" s="113"/>
      <c r="Q2821" s="106" t="str">
        <f>IF(ISBLANK(O2821), "", VLOOKUP(C2821&amp;" "&amp;D2821, 'Info Tipo de Cambio y REM'!$A$24:$B$35, 2, FALSE))</f>
        <v/>
      </c>
      <c r="R2821" s="107"/>
    </row>
    <row r="2822" hidden="1">
      <c r="A2822" s="443"/>
      <c r="B2822" s="43" t="str">
        <f>IF(A2822="", "", IFERROR(VLOOKUP(A2822, Clasificaciones!A:B, 2, FALSE), "DATO NO CARGADO"))
</f>
        <v/>
      </c>
      <c r="C2822" s="51"/>
      <c r="D2822" s="102"/>
      <c r="E2822" s="102"/>
      <c r="H2822" s="102"/>
      <c r="J2822" s="102"/>
      <c r="K2822" s="450"/>
      <c r="L2822" s="443"/>
      <c r="M2822" s="450"/>
      <c r="N2822" s="452">
        <f t="array" ref="N2822">IFERROR(
  INDEX(
    'Valor Hora Real y Estimada'!$A$4:$Z$78,
    MATCH(TRIM(CLEAN(A2822)), 'Valor Hora Real y Estimada'!$A$4:$A$78, 0),
    MATCH(
      TEXT(C2822,"dd mmm")&amp;" "&amp;D2822,
      'Valor Hora Real y Estimada'!$A$3:$Z$3,
      0
    ) + 1
  ),
  0
)</f>
        <v>0</v>
      </c>
      <c r="O2822" s="453"/>
      <c r="P2822" s="113"/>
      <c r="Q2822" s="106" t="str">
        <f>IF(ISBLANK(O2822), "", VLOOKUP(C2822&amp;" "&amp;D2822, 'Info Tipo de Cambio y REM'!$A$24:$B$35, 2, FALSE))</f>
        <v/>
      </c>
      <c r="R2822" s="107"/>
    </row>
    <row r="2823" hidden="1">
      <c r="A2823" s="443"/>
      <c r="B2823" s="43" t="str">
        <f>IF(A2823="", "", IFERROR(VLOOKUP(A2823, Clasificaciones!A:B, 2, FALSE), "DATO NO CARGADO"))
</f>
        <v/>
      </c>
      <c r="C2823" s="51"/>
      <c r="D2823" s="102"/>
      <c r="E2823" s="102"/>
      <c r="H2823" s="102"/>
      <c r="J2823" s="102"/>
      <c r="K2823" s="450"/>
      <c r="L2823" s="443"/>
      <c r="M2823" s="450"/>
      <c r="N2823" s="452">
        <f t="array" ref="N2823">IFERROR(
  INDEX(
    'Valor Hora Real y Estimada'!$A$4:$Z$78,
    MATCH(TRIM(CLEAN(A2823)), 'Valor Hora Real y Estimada'!$A$4:$A$78, 0),
    MATCH(
      TEXT(C2823,"dd mmm")&amp;" "&amp;D2823,
      'Valor Hora Real y Estimada'!$A$3:$Z$3,
      0
    ) + 1
  ),
  0
)</f>
        <v>0</v>
      </c>
      <c r="O2823" s="453"/>
      <c r="P2823" s="113"/>
      <c r="Q2823" s="106" t="str">
        <f>IF(ISBLANK(O2823), "", VLOOKUP(C2823&amp;" "&amp;D2823, 'Info Tipo de Cambio y REM'!$A$24:$B$35, 2, FALSE))</f>
        <v/>
      </c>
      <c r="R2823" s="107"/>
    </row>
    <row r="2824" hidden="1">
      <c r="A2824" s="443"/>
      <c r="B2824" s="43" t="str">
        <f>IF(A2824="", "", IFERROR(VLOOKUP(A2824, Clasificaciones!A:B, 2, FALSE), "DATO NO CARGADO"))
</f>
        <v/>
      </c>
      <c r="C2824" s="51"/>
      <c r="D2824" s="102"/>
      <c r="E2824" s="102"/>
      <c r="H2824" s="102"/>
      <c r="J2824" s="102"/>
      <c r="K2824" s="450"/>
      <c r="L2824" s="443"/>
      <c r="M2824" s="450"/>
      <c r="N2824" s="452">
        <f t="array" ref="N2824">IFERROR(
  INDEX(
    'Valor Hora Real y Estimada'!$A$4:$Z$78,
    MATCH(TRIM(CLEAN(A2824)), 'Valor Hora Real y Estimada'!$A$4:$A$78, 0),
    MATCH(
      TEXT(C2824,"dd mmm")&amp;" "&amp;D2824,
      'Valor Hora Real y Estimada'!$A$3:$Z$3,
      0
    ) + 1
  ),
  0
)</f>
        <v>0</v>
      </c>
      <c r="O2824" s="453"/>
      <c r="P2824" s="113"/>
      <c r="Q2824" s="106" t="str">
        <f>IF(ISBLANK(O2824), "", VLOOKUP(C2824&amp;" "&amp;D2824, 'Info Tipo de Cambio y REM'!$A$24:$B$35, 2, FALSE))</f>
        <v/>
      </c>
      <c r="R2824" s="107"/>
    </row>
    <row r="2825" hidden="1">
      <c r="A2825" s="443"/>
      <c r="B2825" s="43" t="str">
        <f>IF(A2825="", "", IFERROR(VLOOKUP(A2825, Clasificaciones!A:B, 2, FALSE), "DATO NO CARGADO"))
</f>
        <v/>
      </c>
      <c r="C2825" s="51"/>
      <c r="D2825" s="102"/>
      <c r="E2825" s="102"/>
      <c r="H2825" s="102"/>
      <c r="J2825" s="102"/>
      <c r="K2825" s="450"/>
      <c r="L2825" s="443"/>
      <c r="M2825" s="450"/>
      <c r="N2825" s="452">
        <f t="array" ref="N2825">IFERROR(
  INDEX(
    'Valor Hora Real y Estimada'!$A$4:$Z$78,
    MATCH(TRIM(CLEAN(A2825)), 'Valor Hora Real y Estimada'!$A$4:$A$78, 0),
    MATCH(
      TEXT(C2825,"dd mmm")&amp;" "&amp;D2825,
      'Valor Hora Real y Estimada'!$A$3:$Z$3,
      0
    ) + 1
  ),
  0
)</f>
        <v>0</v>
      </c>
      <c r="O2825" s="453"/>
      <c r="P2825" s="113"/>
      <c r="Q2825" s="106" t="str">
        <f>IF(ISBLANK(O2825), "", VLOOKUP(C2825&amp;" "&amp;D2825, 'Info Tipo de Cambio y REM'!$A$24:$B$35, 2, FALSE))</f>
        <v/>
      </c>
      <c r="R2825" s="107"/>
    </row>
    <row r="2826" hidden="1">
      <c r="A2826" s="443"/>
      <c r="B2826" s="43" t="str">
        <f>IF(A2826="", "", IFERROR(VLOOKUP(A2826, Clasificaciones!A:B, 2, FALSE), "DATO NO CARGADO"))
</f>
        <v/>
      </c>
      <c r="C2826" s="51"/>
      <c r="D2826" s="102"/>
      <c r="E2826" s="102"/>
      <c r="H2826" s="102"/>
      <c r="J2826" s="102"/>
      <c r="K2826" s="450"/>
      <c r="L2826" s="443"/>
      <c r="M2826" s="450"/>
      <c r="N2826" s="452">
        <f t="array" ref="N2826">IFERROR(
  INDEX(
    'Valor Hora Real y Estimada'!$A$4:$Z$78,
    MATCH(TRIM(CLEAN(A2826)), 'Valor Hora Real y Estimada'!$A$4:$A$78, 0),
    MATCH(
      TEXT(C2826,"dd mmm")&amp;" "&amp;D2826,
      'Valor Hora Real y Estimada'!$A$3:$Z$3,
      0
    ) + 1
  ),
  0
)</f>
        <v>0</v>
      </c>
      <c r="O2826" s="453"/>
      <c r="P2826" s="113"/>
      <c r="Q2826" s="106" t="str">
        <f>IF(ISBLANK(O2826), "", VLOOKUP(C2826&amp;" "&amp;D2826, 'Info Tipo de Cambio y REM'!$A$24:$B$35, 2, FALSE))</f>
        <v/>
      </c>
      <c r="R2826" s="107"/>
    </row>
    <row r="2827" hidden="1">
      <c r="A2827" s="443"/>
      <c r="B2827" s="43" t="str">
        <f>IF(A2827="", "", IFERROR(VLOOKUP(A2827, Clasificaciones!A:B, 2, FALSE), "DATO NO CARGADO"))
</f>
        <v/>
      </c>
      <c r="C2827" s="51"/>
      <c r="D2827" s="102"/>
      <c r="E2827" s="102"/>
      <c r="H2827" s="102"/>
      <c r="J2827" s="102"/>
      <c r="K2827" s="450"/>
      <c r="L2827" s="443"/>
      <c r="M2827" s="450"/>
      <c r="N2827" s="452">
        <f t="array" ref="N2827">IFERROR(
  INDEX(
    'Valor Hora Real y Estimada'!$A$4:$Z$78,
    MATCH(TRIM(CLEAN(A2827)), 'Valor Hora Real y Estimada'!$A$4:$A$78, 0),
    MATCH(
      TEXT(C2827,"dd mmm")&amp;" "&amp;D2827,
      'Valor Hora Real y Estimada'!$A$3:$Z$3,
      0
    ) + 1
  ),
  0
)</f>
        <v>0</v>
      </c>
      <c r="O2827" s="453"/>
      <c r="P2827" s="113"/>
      <c r="Q2827" s="106" t="str">
        <f>IF(ISBLANK(O2827), "", VLOOKUP(C2827&amp;" "&amp;D2827, 'Info Tipo de Cambio y REM'!$A$24:$B$35, 2, FALSE))</f>
        <v/>
      </c>
      <c r="R2827" s="107"/>
    </row>
    <row r="2828" hidden="1">
      <c r="A2828" s="443"/>
      <c r="B2828" s="43" t="str">
        <f>IF(A2828="", "", IFERROR(VLOOKUP(A2828, Clasificaciones!A:B, 2, FALSE), "DATO NO CARGADO"))
</f>
        <v/>
      </c>
      <c r="C2828" s="51"/>
      <c r="D2828" s="102"/>
      <c r="E2828" s="102"/>
      <c r="H2828" s="102"/>
      <c r="J2828" s="102"/>
      <c r="K2828" s="450"/>
      <c r="L2828" s="443"/>
      <c r="M2828" s="450"/>
      <c r="N2828" s="452">
        <f t="array" ref="N2828">IFERROR(
  INDEX(
    'Valor Hora Real y Estimada'!$A$4:$Z$78,
    MATCH(TRIM(CLEAN(A2828)), 'Valor Hora Real y Estimada'!$A$4:$A$78, 0),
    MATCH(
      TEXT(C2828,"dd mmm")&amp;" "&amp;D2828,
      'Valor Hora Real y Estimada'!$A$3:$Z$3,
      0
    ) + 1
  ),
  0
)</f>
        <v>0</v>
      </c>
      <c r="O2828" s="453"/>
      <c r="P2828" s="113"/>
      <c r="Q2828" s="106" t="str">
        <f>IF(ISBLANK(O2828), "", VLOOKUP(C2828&amp;" "&amp;D2828, 'Info Tipo de Cambio y REM'!$A$24:$B$35, 2, FALSE))</f>
        <v/>
      </c>
      <c r="R2828" s="107"/>
    </row>
    <row r="2829" hidden="1">
      <c r="A2829" s="443"/>
      <c r="B2829" s="43" t="str">
        <f>IF(A2829="", "", IFERROR(VLOOKUP(A2829, Clasificaciones!A:B, 2, FALSE), "DATO NO CARGADO"))
</f>
        <v/>
      </c>
      <c r="C2829" s="51"/>
      <c r="D2829" s="102"/>
      <c r="E2829" s="102"/>
      <c r="H2829" s="102"/>
      <c r="J2829" s="102"/>
      <c r="K2829" s="450"/>
      <c r="L2829" s="443"/>
      <c r="M2829" s="450"/>
      <c r="N2829" s="452">
        <f t="array" ref="N2829">IFERROR(
  INDEX(
    'Valor Hora Real y Estimada'!$A$4:$Z$78,
    MATCH(TRIM(CLEAN(A2829)), 'Valor Hora Real y Estimada'!$A$4:$A$78, 0),
    MATCH(
      TEXT(C2829,"dd mmm")&amp;" "&amp;D2829,
      'Valor Hora Real y Estimada'!$A$3:$Z$3,
      0
    ) + 1
  ),
  0
)</f>
        <v>0</v>
      </c>
      <c r="O2829" s="453"/>
      <c r="P2829" s="113"/>
      <c r="Q2829" s="106" t="str">
        <f>IF(ISBLANK(O2829), "", VLOOKUP(C2829&amp;" "&amp;D2829, 'Info Tipo de Cambio y REM'!$A$24:$B$35, 2, FALSE))</f>
        <v/>
      </c>
      <c r="R2829" s="107"/>
    </row>
    <row r="2830" hidden="1">
      <c r="A2830" s="443"/>
      <c r="B2830" s="43" t="str">
        <f>IF(A2830="", "", IFERROR(VLOOKUP(A2830, Clasificaciones!A:B, 2, FALSE), "DATO NO CARGADO"))
</f>
        <v/>
      </c>
      <c r="C2830" s="51"/>
      <c r="D2830" s="102"/>
      <c r="E2830" s="102"/>
      <c r="H2830" s="102"/>
      <c r="J2830" s="102"/>
      <c r="K2830" s="450"/>
      <c r="L2830" s="443"/>
      <c r="M2830" s="450"/>
      <c r="N2830" s="452">
        <f t="array" ref="N2830">IFERROR(
  INDEX(
    'Valor Hora Real y Estimada'!$A$4:$Z$78,
    MATCH(TRIM(CLEAN(A2830)), 'Valor Hora Real y Estimada'!$A$4:$A$78, 0),
    MATCH(
      TEXT(C2830,"dd mmm")&amp;" "&amp;D2830,
      'Valor Hora Real y Estimada'!$A$3:$Z$3,
      0
    ) + 1
  ),
  0
)</f>
        <v>0</v>
      </c>
      <c r="O2830" s="453"/>
      <c r="P2830" s="113"/>
      <c r="Q2830" s="106" t="str">
        <f>IF(ISBLANK(O2830), "", VLOOKUP(C2830&amp;" "&amp;D2830, 'Info Tipo de Cambio y REM'!$A$24:$B$35, 2, FALSE))</f>
        <v/>
      </c>
      <c r="R2830" s="107"/>
    </row>
    <row r="2831" hidden="1">
      <c r="A2831" s="443"/>
      <c r="B2831" s="43" t="str">
        <f>IF(A2831="", "", IFERROR(VLOOKUP(A2831, Clasificaciones!A:B, 2, FALSE), "DATO NO CARGADO"))
</f>
        <v/>
      </c>
      <c r="C2831" s="51"/>
      <c r="D2831" s="102"/>
      <c r="E2831" s="102"/>
      <c r="H2831" s="102"/>
      <c r="J2831" s="102"/>
      <c r="K2831" s="450"/>
      <c r="L2831" s="443"/>
      <c r="M2831" s="450"/>
      <c r="N2831" s="452">
        <f t="array" ref="N2831">IFERROR(
  INDEX(
    'Valor Hora Real y Estimada'!$A$4:$Z$78,
    MATCH(TRIM(CLEAN(A2831)), 'Valor Hora Real y Estimada'!$A$4:$A$78, 0),
    MATCH(
      TEXT(C2831,"dd mmm")&amp;" "&amp;D2831,
      'Valor Hora Real y Estimada'!$A$3:$Z$3,
      0
    ) + 1
  ),
  0
)</f>
        <v>0</v>
      </c>
      <c r="O2831" s="453"/>
      <c r="P2831" s="113"/>
      <c r="Q2831" s="106" t="str">
        <f>IF(ISBLANK(O2831), "", VLOOKUP(C2831&amp;" "&amp;D2831, 'Info Tipo de Cambio y REM'!$A$24:$B$35, 2, FALSE))</f>
        <v/>
      </c>
      <c r="R2831" s="107"/>
    </row>
    <row r="2832" hidden="1">
      <c r="A2832" s="443"/>
      <c r="B2832" s="43" t="str">
        <f>IF(A2832="", "", IFERROR(VLOOKUP(A2832, Clasificaciones!A:B, 2, FALSE), "DATO NO CARGADO"))
</f>
        <v/>
      </c>
      <c r="C2832" s="51"/>
      <c r="D2832" s="102"/>
      <c r="E2832" s="102"/>
      <c r="H2832" s="102"/>
      <c r="J2832" s="102"/>
      <c r="K2832" s="450"/>
      <c r="L2832" s="443"/>
      <c r="M2832" s="450"/>
      <c r="N2832" s="452">
        <f t="array" ref="N2832">IFERROR(
  INDEX(
    'Valor Hora Real y Estimada'!$A$4:$Z$78,
    MATCH(TRIM(CLEAN(A2832)), 'Valor Hora Real y Estimada'!$A$4:$A$78, 0),
    MATCH(
      TEXT(C2832,"dd mmm")&amp;" "&amp;D2832,
      'Valor Hora Real y Estimada'!$A$3:$Z$3,
      0
    ) + 1
  ),
  0
)</f>
        <v>0</v>
      </c>
      <c r="O2832" s="453"/>
      <c r="P2832" s="113"/>
      <c r="Q2832" s="106" t="str">
        <f>IF(ISBLANK(O2832), "", VLOOKUP(C2832&amp;" "&amp;D2832, 'Info Tipo de Cambio y REM'!$A$24:$B$35, 2, FALSE))</f>
        <v/>
      </c>
      <c r="R2832" s="107"/>
    </row>
    <row r="2833" hidden="1">
      <c r="A2833" s="443"/>
      <c r="B2833" s="43" t="str">
        <f>IF(A2833="", "", IFERROR(VLOOKUP(A2833, Clasificaciones!A:B, 2, FALSE), "DATO NO CARGADO"))
</f>
        <v/>
      </c>
      <c r="C2833" s="51"/>
      <c r="D2833" s="102"/>
      <c r="E2833" s="102"/>
      <c r="H2833" s="102"/>
      <c r="J2833" s="102"/>
      <c r="K2833" s="450"/>
      <c r="L2833" s="443"/>
      <c r="M2833" s="450"/>
      <c r="N2833" s="452">
        <f t="array" ref="N2833">IFERROR(
  INDEX(
    'Valor Hora Real y Estimada'!$A$4:$Z$78,
    MATCH(TRIM(CLEAN(A2833)), 'Valor Hora Real y Estimada'!$A$4:$A$78, 0),
    MATCH(
      TEXT(C2833,"dd mmm")&amp;" "&amp;D2833,
      'Valor Hora Real y Estimada'!$A$3:$Z$3,
      0
    ) + 1
  ),
  0
)</f>
        <v>0</v>
      </c>
      <c r="O2833" s="453"/>
      <c r="P2833" s="113"/>
      <c r="Q2833" s="106" t="str">
        <f>IF(ISBLANK(O2833), "", VLOOKUP(C2833&amp;" "&amp;D2833, 'Info Tipo de Cambio y REM'!$A$24:$B$35, 2, FALSE))</f>
        <v/>
      </c>
      <c r="R2833" s="107"/>
    </row>
    <row r="2834" hidden="1">
      <c r="A2834" s="443"/>
      <c r="B2834" s="43" t="str">
        <f>IF(A2834="", "", IFERROR(VLOOKUP(A2834, Clasificaciones!A:B, 2, FALSE), "DATO NO CARGADO"))
</f>
        <v/>
      </c>
      <c r="C2834" s="51"/>
      <c r="D2834" s="102"/>
      <c r="E2834" s="102"/>
      <c r="H2834" s="102"/>
      <c r="J2834" s="102"/>
      <c r="K2834" s="450"/>
      <c r="L2834" s="443"/>
      <c r="M2834" s="450"/>
      <c r="N2834" s="452">
        <f t="array" ref="N2834">IFERROR(
  INDEX(
    'Valor Hora Real y Estimada'!$A$4:$Z$78,
    MATCH(TRIM(CLEAN(A2834)), 'Valor Hora Real y Estimada'!$A$4:$A$78, 0),
    MATCH(
      TEXT(C2834,"dd mmm")&amp;" "&amp;D2834,
      'Valor Hora Real y Estimada'!$A$3:$Z$3,
      0
    ) + 1
  ),
  0
)</f>
        <v>0</v>
      </c>
      <c r="O2834" s="453"/>
      <c r="P2834" s="113"/>
      <c r="Q2834" s="106" t="str">
        <f>IF(ISBLANK(O2834), "", VLOOKUP(C2834&amp;" "&amp;D2834, 'Info Tipo de Cambio y REM'!$A$24:$B$35, 2, FALSE))</f>
        <v/>
      </c>
      <c r="R2834" s="107"/>
    </row>
    <row r="2835" hidden="1">
      <c r="A2835" s="443"/>
      <c r="B2835" s="43" t="str">
        <f>IF(A2835="", "", IFERROR(VLOOKUP(A2835, Clasificaciones!A:B, 2, FALSE), "DATO NO CARGADO"))
</f>
        <v/>
      </c>
      <c r="C2835" s="51"/>
      <c r="D2835" s="102"/>
      <c r="E2835" s="102"/>
      <c r="H2835" s="102"/>
      <c r="J2835" s="102"/>
      <c r="K2835" s="450"/>
      <c r="L2835" s="443"/>
      <c r="M2835" s="450"/>
      <c r="N2835" s="452">
        <f t="array" ref="N2835">IFERROR(
  INDEX(
    'Valor Hora Real y Estimada'!$A$4:$Z$78,
    MATCH(TRIM(CLEAN(A2835)), 'Valor Hora Real y Estimada'!$A$4:$A$78, 0),
    MATCH(
      TEXT(C2835,"dd mmm")&amp;" "&amp;D2835,
      'Valor Hora Real y Estimada'!$A$3:$Z$3,
      0
    ) + 1
  ),
  0
)</f>
        <v>0</v>
      </c>
      <c r="O2835" s="453"/>
      <c r="P2835" s="113"/>
      <c r="Q2835" s="106" t="str">
        <f>IF(ISBLANK(O2835), "", VLOOKUP(C2835&amp;" "&amp;D2835, 'Info Tipo de Cambio y REM'!$A$24:$B$35, 2, FALSE))</f>
        <v/>
      </c>
      <c r="R2835" s="107"/>
    </row>
    <row r="2836" hidden="1">
      <c r="A2836" s="443"/>
      <c r="B2836" s="43" t="str">
        <f>IF(A2836="", "", IFERROR(VLOOKUP(A2836, Clasificaciones!A:B, 2, FALSE), "DATO NO CARGADO"))
</f>
        <v/>
      </c>
      <c r="C2836" s="51"/>
      <c r="D2836" s="102"/>
      <c r="E2836" s="102"/>
      <c r="H2836" s="102"/>
      <c r="J2836" s="102"/>
      <c r="K2836" s="450"/>
      <c r="L2836" s="443"/>
      <c r="M2836" s="450"/>
      <c r="N2836" s="452">
        <f t="array" ref="N2836">IFERROR(
  INDEX(
    'Valor Hora Real y Estimada'!$A$4:$Z$78,
    MATCH(TRIM(CLEAN(A2836)), 'Valor Hora Real y Estimada'!$A$4:$A$78, 0),
    MATCH(
      TEXT(C2836,"dd mmm")&amp;" "&amp;D2836,
      'Valor Hora Real y Estimada'!$A$3:$Z$3,
      0
    ) + 1
  ),
  0
)</f>
        <v>0</v>
      </c>
      <c r="O2836" s="453"/>
      <c r="P2836" s="113"/>
      <c r="Q2836" s="106" t="str">
        <f>IF(ISBLANK(O2836), "", VLOOKUP(C2836&amp;" "&amp;D2836, 'Info Tipo de Cambio y REM'!$A$24:$B$35, 2, FALSE))</f>
        <v/>
      </c>
      <c r="R2836" s="107"/>
    </row>
    <row r="2837" hidden="1">
      <c r="A2837" s="443"/>
      <c r="B2837" s="43" t="str">
        <f>IF(A2837="", "", IFERROR(VLOOKUP(A2837, Clasificaciones!A:B, 2, FALSE), "DATO NO CARGADO"))
</f>
        <v/>
      </c>
      <c r="C2837" s="51"/>
      <c r="D2837" s="102"/>
      <c r="E2837" s="102"/>
      <c r="H2837" s="102"/>
      <c r="J2837" s="102"/>
      <c r="K2837" s="450"/>
      <c r="L2837" s="443"/>
      <c r="M2837" s="450"/>
      <c r="N2837" s="452">
        <f t="array" ref="N2837">IFERROR(
  INDEX(
    'Valor Hora Real y Estimada'!$A$4:$Z$78,
    MATCH(TRIM(CLEAN(A2837)), 'Valor Hora Real y Estimada'!$A$4:$A$78, 0),
    MATCH(
      TEXT(C2837,"dd mmm")&amp;" "&amp;D2837,
      'Valor Hora Real y Estimada'!$A$3:$Z$3,
      0
    ) + 1
  ),
  0
)</f>
        <v>0</v>
      </c>
      <c r="O2837" s="453"/>
      <c r="P2837" s="113"/>
      <c r="Q2837" s="106" t="str">
        <f>IF(ISBLANK(O2837), "", VLOOKUP(C2837&amp;" "&amp;D2837, 'Info Tipo de Cambio y REM'!$A$24:$B$35, 2, FALSE))</f>
        <v/>
      </c>
      <c r="R2837" s="107"/>
    </row>
    <row r="2838" hidden="1">
      <c r="A2838" s="443"/>
      <c r="B2838" s="43" t="str">
        <f>IF(A2838="", "", IFERROR(VLOOKUP(A2838, Clasificaciones!A:B, 2, FALSE), "DATO NO CARGADO"))
</f>
        <v/>
      </c>
      <c r="C2838" s="51"/>
      <c r="D2838" s="102"/>
      <c r="E2838" s="102"/>
      <c r="H2838" s="102"/>
      <c r="J2838" s="102"/>
      <c r="K2838" s="450"/>
      <c r="L2838" s="443"/>
      <c r="M2838" s="450"/>
      <c r="N2838" s="452">
        <f t="array" ref="N2838">IFERROR(
  INDEX(
    'Valor Hora Real y Estimada'!$A$4:$Z$78,
    MATCH(TRIM(CLEAN(A2838)), 'Valor Hora Real y Estimada'!$A$4:$A$78, 0),
    MATCH(
      TEXT(C2838,"dd mmm")&amp;" "&amp;D2838,
      'Valor Hora Real y Estimada'!$A$3:$Z$3,
      0
    ) + 1
  ),
  0
)</f>
        <v>0</v>
      </c>
      <c r="O2838" s="453"/>
      <c r="P2838" s="113"/>
      <c r="Q2838" s="106" t="str">
        <f>IF(ISBLANK(O2838), "", VLOOKUP(C2838&amp;" "&amp;D2838, 'Info Tipo de Cambio y REM'!$A$24:$B$35, 2, FALSE))</f>
        <v/>
      </c>
      <c r="R2838" s="107"/>
    </row>
    <row r="2839" hidden="1">
      <c r="A2839" s="443"/>
      <c r="B2839" s="43" t="str">
        <f>IF(A2839="", "", IFERROR(VLOOKUP(A2839, Clasificaciones!A:B, 2, FALSE), "DATO NO CARGADO"))
</f>
        <v/>
      </c>
      <c r="C2839" s="51"/>
      <c r="D2839" s="102"/>
      <c r="E2839" s="102"/>
      <c r="H2839" s="102"/>
      <c r="J2839" s="102"/>
      <c r="K2839" s="450"/>
      <c r="L2839" s="443"/>
      <c r="M2839" s="450"/>
      <c r="N2839" s="452">
        <f t="array" ref="N2839">IFERROR(
  INDEX(
    'Valor Hora Real y Estimada'!$A$4:$Z$78,
    MATCH(TRIM(CLEAN(A2839)), 'Valor Hora Real y Estimada'!$A$4:$A$78, 0),
    MATCH(
      TEXT(C2839,"dd mmm")&amp;" "&amp;D2839,
      'Valor Hora Real y Estimada'!$A$3:$Z$3,
      0
    ) + 1
  ),
  0
)</f>
        <v>0</v>
      </c>
      <c r="O2839" s="453"/>
      <c r="P2839" s="113"/>
      <c r="Q2839" s="106" t="str">
        <f>IF(ISBLANK(O2839), "", VLOOKUP(C2839&amp;" "&amp;D2839, 'Info Tipo de Cambio y REM'!$A$24:$B$35, 2, FALSE))</f>
        <v/>
      </c>
      <c r="R2839" s="107"/>
    </row>
    <row r="2840" hidden="1">
      <c r="A2840" s="443"/>
      <c r="B2840" s="43" t="str">
        <f>IF(A2840="", "", IFERROR(VLOOKUP(A2840, Clasificaciones!A:B, 2, FALSE), "DATO NO CARGADO"))
</f>
        <v/>
      </c>
      <c r="C2840" s="51"/>
      <c r="D2840" s="102"/>
      <c r="E2840" s="102"/>
      <c r="H2840" s="102"/>
      <c r="J2840" s="102"/>
      <c r="K2840" s="450"/>
      <c r="L2840" s="443"/>
      <c r="M2840" s="450"/>
      <c r="N2840" s="452">
        <f t="array" ref="N2840">IFERROR(
  INDEX(
    'Valor Hora Real y Estimada'!$A$4:$Z$78,
    MATCH(TRIM(CLEAN(A2840)), 'Valor Hora Real y Estimada'!$A$4:$A$78, 0),
    MATCH(
      TEXT(C2840,"dd mmm")&amp;" "&amp;D2840,
      'Valor Hora Real y Estimada'!$A$3:$Z$3,
      0
    ) + 1
  ),
  0
)</f>
        <v>0</v>
      </c>
      <c r="O2840" s="453"/>
      <c r="P2840" s="113"/>
      <c r="Q2840" s="106" t="str">
        <f>IF(ISBLANK(O2840), "", VLOOKUP(C2840&amp;" "&amp;D2840, 'Info Tipo de Cambio y REM'!$A$24:$B$35, 2, FALSE))</f>
        <v/>
      </c>
      <c r="R2840" s="107"/>
    </row>
    <row r="2841" hidden="1">
      <c r="A2841" s="443"/>
      <c r="B2841" s="43" t="str">
        <f>IF(A2841="", "", IFERROR(VLOOKUP(A2841, Clasificaciones!A:B, 2, FALSE), "DATO NO CARGADO"))
</f>
        <v/>
      </c>
      <c r="C2841" s="51"/>
      <c r="D2841" s="102"/>
      <c r="E2841" s="102"/>
      <c r="H2841" s="102"/>
      <c r="J2841" s="102"/>
      <c r="K2841" s="450"/>
      <c r="L2841" s="443"/>
      <c r="M2841" s="450"/>
      <c r="N2841" s="452">
        <f t="array" ref="N2841">IFERROR(
  INDEX(
    'Valor Hora Real y Estimada'!$A$4:$Z$78,
    MATCH(TRIM(CLEAN(A2841)), 'Valor Hora Real y Estimada'!$A$4:$A$78, 0),
    MATCH(
      TEXT(C2841,"dd mmm")&amp;" "&amp;D2841,
      'Valor Hora Real y Estimada'!$A$3:$Z$3,
      0
    ) + 1
  ),
  0
)</f>
        <v>0</v>
      </c>
      <c r="O2841" s="453"/>
      <c r="P2841" s="113"/>
      <c r="Q2841" s="106" t="str">
        <f>IF(ISBLANK(O2841), "", VLOOKUP(C2841&amp;" "&amp;D2841, 'Info Tipo de Cambio y REM'!$A$24:$B$35, 2, FALSE))</f>
        <v/>
      </c>
      <c r="R2841" s="107"/>
    </row>
    <row r="2842" hidden="1">
      <c r="A2842" s="443"/>
      <c r="B2842" s="43" t="str">
        <f>IF(A2842="", "", IFERROR(VLOOKUP(A2842, Clasificaciones!A:B, 2, FALSE), "DATO NO CARGADO"))
</f>
        <v/>
      </c>
      <c r="C2842" s="51"/>
      <c r="D2842" s="102"/>
      <c r="E2842" s="102"/>
      <c r="H2842" s="102"/>
      <c r="J2842" s="102"/>
      <c r="K2842" s="450"/>
      <c r="L2842" s="443"/>
      <c r="M2842" s="450"/>
      <c r="N2842" s="452">
        <f t="array" ref="N2842">IFERROR(
  INDEX(
    'Valor Hora Real y Estimada'!$A$4:$Z$78,
    MATCH(TRIM(CLEAN(A2842)), 'Valor Hora Real y Estimada'!$A$4:$A$78, 0),
    MATCH(
      TEXT(C2842,"dd mmm")&amp;" "&amp;D2842,
      'Valor Hora Real y Estimada'!$A$3:$Z$3,
      0
    ) + 1
  ),
  0
)</f>
        <v>0</v>
      </c>
      <c r="O2842" s="453"/>
      <c r="P2842" s="113"/>
      <c r="Q2842" s="106" t="str">
        <f>IF(ISBLANK(O2842), "", VLOOKUP(C2842&amp;" "&amp;D2842, 'Info Tipo de Cambio y REM'!$A$24:$B$35, 2, FALSE))</f>
        <v/>
      </c>
      <c r="R2842" s="107"/>
    </row>
    <row r="2843" hidden="1">
      <c r="A2843" s="443"/>
      <c r="B2843" s="43" t="str">
        <f>IF(A2843="", "", IFERROR(VLOOKUP(A2843, Clasificaciones!A:B, 2, FALSE), "DATO NO CARGADO"))
</f>
        <v/>
      </c>
      <c r="C2843" s="51"/>
      <c r="D2843" s="102"/>
      <c r="E2843" s="102"/>
      <c r="H2843" s="102"/>
      <c r="J2843" s="102"/>
      <c r="K2843" s="450"/>
      <c r="L2843" s="443"/>
      <c r="M2843" s="450"/>
      <c r="N2843" s="452">
        <f t="array" ref="N2843">IFERROR(
  INDEX(
    'Valor Hora Real y Estimada'!$A$4:$Z$78,
    MATCH(TRIM(CLEAN(A2843)), 'Valor Hora Real y Estimada'!$A$4:$A$78, 0),
    MATCH(
      TEXT(C2843,"dd mmm")&amp;" "&amp;D2843,
      'Valor Hora Real y Estimada'!$A$3:$Z$3,
      0
    ) + 1
  ),
  0
)</f>
        <v>0</v>
      </c>
      <c r="O2843" s="453"/>
      <c r="P2843" s="113"/>
      <c r="Q2843" s="106" t="str">
        <f>IF(ISBLANK(O2843), "", VLOOKUP(C2843&amp;" "&amp;D2843, 'Info Tipo de Cambio y REM'!$A$24:$B$35, 2, FALSE))</f>
        <v/>
      </c>
      <c r="R2843" s="107"/>
    </row>
    <row r="2844" hidden="1">
      <c r="A2844" s="443"/>
      <c r="B2844" s="43" t="str">
        <f>IF(A2844="", "", IFERROR(VLOOKUP(A2844, Clasificaciones!A:B, 2, FALSE), "DATO NO CARGADO"))
</f>
        <v/>
      </c>
      <c r="C2844" s="51"/>
      <c r="D2844" s="102"/>
      <c r="E2844" s="102"/>
      <c r="H2844" s="102"/>
      <c r="J2844" s="102"/>
      <c r="K2844" s="450"/>
      <c r="L2844" s="443"/>
      <c r="M2844" s="450"/>
      <c r="N2844" s="452">
        <f t="array" ref="N2844">IFERROR(
  INDEX(
    'Valor Hora Real y Estimada'!$A$4:$Z$78,
    MATCH(TRIM(CLEAN(A2844)), 'Valor Hora Real y Estimada'!$A$4:$A$78, 0),
    MATCH(
      TEXT(C2844,"dd mmm")&amp;" "&amp;D2844,
      'Valor Hora Real y Estimada'!$A$3:$Z$3,
      0
    ) + 1
  ),
  0
)</f>
        <v>0</v>
      </c>
      <c r="O2844" s="453"/>
      <c r="P2844" s="113"/>
      <c r="Q2844" s="106" t="str">
        <f>IF(ISBLANK(O2844), "", VLOOKUP(C2844&amp;" "&amp;D2844, 'Info Tipo de Cambio y REM'!$A$24:$B$35, 2, FALSE))</f>
        <v/>
      </c>
      <c r="R2844" s="107"/>
    </row>
    <row r="2845" hidden="1">
      <c r="A2845" s="443"/>
      <c r="B2845" s="43" t="str">
        <f>IF(A2845="", "", IFERROR(VLOOKUP(A2845, Clasificaciones!A:B, 2, FALSE), "DATO NO CARGADO"))
</f>
        <v/>
      </c>
      <c r="C2845" s="51"/>
      <c r="D2845" s="102"/>
      <c r="E2845" s="102"/>
      <c r="H2845" s="102"/>
      <c r="J2845" s="102"/>
      <c r="K2845" s="450"/>
      <c r="L2845" s="443"/>
      <c r="M2845" s="450"/>
      <c r="N2845" s="452">
        <f t="array" ref="N2845">IFERROR(
  INDEX(
    'Valor Hora Real y Estimada'!$A$4:$Z$78,
    MATCH(TRIM(CLEAN(A2845)), 'Valor Hora Real y Estimada'!$A$4:$A$78, 0),
    MATCH(
      TEXT(C2845,"dd mmm")&amp;" "&amp;D2845,
      'Valor Hora Real y Estimada'!$A$3:$Z$3,
      0
    ) + 1
  ),
  0
)</f>
        <v>0</v>
      </c>
      <c r="O2845" s="453"/>
      <c r="P2845" s="113"/>
      <c r="Q2845" s="106" t="str">
        <f>IF(ISBLANK(O2845), "", VLOOKUP(C2845&amp;" "&amp;D2845, 'Info Tipo de Cambio y REM'!$A$24:$B$35, 2, FALSE))</f>
        <v/>
      </c>
      <c r="R2845" s="107"/>
    </row>
    <row r="2846" hidden="1">
      <c r="A2846" s="443"/>
      <c r="B2846" s="43" t="str">
        <f>IF(A2846="", "", IFERROR(VLOOKUP(A2846, Clasificaciones!A:B, 2, FALSE), "DATO NO CARGADO"))
</f>
        <v/>
      </c>
      <c r="C2846" s="51"/>
      <c r="D2846" s="102"/>
      <c r="E2846" s="102"/>
      <c r="H2846" s="102"/>
      <c r="J2846" s="102"/>
      <c r="K2846" s="450"/>
      <c r="L2846" s="443"/>
      <c r="M2846" s="450"/>
      <c r="N2846" s="452">
        <f t="array" ref="N2846">IFERROR(
  INDEX(
    'Valor Hora Real y Estimada'!$A$4:$Z$78,
    MATCH(TRIM(CLEAN(A2846)), 'Valor Hora Real y Estimada'!$A$4:$A$78, 0),
    MATCH(
      TEXT(C2846,"dd mmm")&amp;" "&amp;D2846,
      'Valor Hora Real y Estimada'!$A$3:$Z$3,
      0
    ) + 1
  ),
  0
)</f>
        <v>0</v>
      </c>
      <c r="O2846" s="453"/>
      <c r="P2846" s="113"/>
      <c r="Q2846" s="106" t="str">
        <f>IF(ISBLANK(O2846), "", VLOOKUP(C2846&amp;" "&amp;D2846, 'Info Tipo de Cambio y REM'!$A$24:$B$35, 2, FALSE))</f>
        <v/>
      </c>
      <c r="R2846" s="107"/>
    </row>
    <row r="2847" hidden="1">
      <c r="A2847" s="443"/>
      <c r="B2847" s="43" t="str">
        <f>IF(A2847="", "", IFERROR(VLOOKUP(A2847, Clasificaciones!A:B, 2, FALSE), "DATO NO CARGADO"))
</f>
        <v/>
      </c>
      <c r="C2847" s="51"/>
      <c r="D2847" s="102"/>
      <c r="E2847" s="102"/>
      <c r="H2847" s="102"/>
      <c r="J2847" s="102"/>
      <c r="K2847" s="450"/>
      <c r="L2847" s="443"/>
      <c r="M2847" s="450"/>
      <c r="N2847" s="452">
        <f t="array" ref="N2847">IFERROR(
  INDEX(
    'Valor Hora Real y Estimada'!$A$4:$Z$78,
    MATCH(TRIM(CLEAN(A2847)), 'Valor Hora Real y Estimada'!$A$4:$A$78, 0),
    MATCH(
      TEXT(C2847,"dd mmm")&amp;" "&amp;D2847,
      'Valor Hora Real y Estimada'!$A$3:$Z$3,
      0
    ) + 1
  ),
  0
)</f>
        <v>0</v>
      </c>
      <c r="O2847" s="453"/>
      <c r="P2847" s="113"/>
      <c r="Q2847" s="106" t="str">
        <f>IF(ISBLANK(O2847), "", VLOOKUP(C2847&amp;" "&amp;D2847, 'Info Tipo de Cambio y REM'!$A$24:$B$35, 2, FALSE))</f>
        <v/>
      </c>
      <c r="R2847" s="107"/>
    </row>
    <row r="2848" hidden="1">
      <c r="A2848" s="443"/>
      <c r="B2848" s="43" t="str">
        <f>IF(A2848="", "", IFERROR(VLOOKUP(A2848, Clasificaciones!A:B, 2, FALSE), "DATO NO CARGADO"))
</f>
        <v/>
      </c>
      <c r="C2848" s="51"/>
      <c r="D2848" s="102"/>
      <c r="E2848" s="102"/>
      <c r="H2848" s="102"/>
      <c r="J2848" s="102"/>
      <c r="K2848" s="450"/>
      <c r="L2848" s="443"/>
      <c r="M2848" s="450"/>
      <c r="N2848" s="452">
        <f t="array" ref="N2848">IFERROR(
  INDEX(
    'Valor Hora Real y Estimada'!$A$4:$Z$78,
    MATCH(TRIM(CLEAN(A2848)), 'Valor Hora Real y Estimada'!$A$4:$A$78, 0),
    MATCH(
      TEXT(C2848,"dd mmm")&amp;" "&amp;D2848,
      'Valor Hora Real y Estimada'!$A$3:$Z$3,
      0
    ) + 1
  ),
  0
)</f>
        <v>0</v>
      </c>
      <c r="O2848" s="453"/>
      <c r="P2848" s="113"/>
      <c r="Q2848" s="106" t="str">
        <f>IF(ISBLANK(O2848), "", VLOOKUP(C2848&amp;" "&amp;D2848, 'Info Tipo de Cambio y REM'!$A$24:$B$35, 2, FALSE))</f>
        <v/>
      </c>
      <c r="R2848" s="107"/>
    </row>
    <row r="2849" hidden="1">
      <c r="A2849" s="443"/>
      <c r="B2849" s="43" t="str">
        <f>IF(A2849="", "", IFERROR(VLOOKUP(A2849, Clasificaciones!A:B, 2, FALSE), "DATO NO CARGADO"))
</f>
        <v/>
      </c>
      <c r="C2849" s="51"/>
      <c r="D2849" s="102"/>
      <c r="E2849" s="102"/>
      <c r="H2849" s="102"/>
      <c r="J2849" s="102"/>
      <c r="K2849" s="450"/>
      <c r="L2849" s="443"/>
      <c r="M2849" s="450"/>
      <c r="N2849" s="452">
        <f t="array" ref="N2849">IFERROR(
  INDEX(
    'Valor Hora Real y Estimada'!$A$4:$Z$78,
    MATCH(TRIM(CLEAN(A2849)), 'Valor Hora Real y Estimada'!$A$4:$A$78, 0),
    MATCH(
      TEXT(C2849,"dd mmm")&amp;" "&amp;D2849,
      'Valor Hora Real y Estimada'!$A$3:$Z$3,
      0
    ) + 1
  ),
  0
)</f>
        <v>0</v>
      </c>
      <c r="O2849" s="453"/>
      <c r="P2849" s="113"/>
      <c r="Q2849" s="106" t="str">
        <f>IF(ISBLANK(O2849), "", VLOOKUP(C2849&amp;" "&amp;D2849, 'Info Tipo de Cambio y REM'!$A$24:$B$35, 2, FALSE))</f>
        <v/>
      </c>
      <c r="R2849" s="107"/>
    </row>
    <row r="2850" hidden="1">
      <c r="A2850" s="443"/>
      <c r="B2850" s="43" t="str">
        <f>IF(A2850="", "", IFERROR(VLOOKUP(A2850, Clasificaciones!A:B, 2, FALSE), "DATO NO CARGADO"))
</f>
        <v/>
      </c>
      <c r="C2850" s="51"/>
      <c r="D2850" s="102"/>
      <c r="E2850" s="102"/>
      <c r="H2850" s="102"/>
      <c r="J2850" s="102"/>
      <c r="K2850" s="450"/>
      <c r="L2850" s="443"/>
      <c r="M2850" s="450"/>
      <c r="N2850" s="452">
        <f t="array" ref="N2850">IFERROR(
  INDEX(
    'Valor Hora Real y Estimada'!$A$4:$Z$78,
    MATCH(TRIM(CLEAN(A2850)), 'Valor Hora Real y Estimada'!$A$4:$A$78, 0),
    MATCH(
      TEXT(C2850,"dd mmm")&amp;" "&amp;D2850,
      'Valor Hora Real y Estimada'!$A$3:$Z$3,
      0
    ) + 1
  ),
  0
)</f>
        <v>0</v>
      </c>
      <c r="O2850" s="453"/>
      <c r="P2850" s="113"/>
      <c r="Q2850" s="106" t="str">
        <f>IF(ISBLANK(O2850), "", VLOOKUP(C2850&amp;" "&amp;D2850, 'Info Tipo de Cambio y REM'!$A$24:$B$35, 2, FALSE))</f>
        <v/>
      </c>
      <c r="R2850" s="107"/>
    </row>
    <row r="2851" hidden="1">
      <c r="A2851" s="443"/>
      <c r="B2851" s="43" t="str">
        <f>IF(A2851="", "", IFERROR(VLOOKUP(A2851, Clasificaciones!A:B, 2, FALSE), "DATO NO CARGADO"))
</f>
        <v/>
      </c>
      <c r="C2851" s="51"/>
      <c r="D2851" s="102"/>
      <c r="E2851" s="102"/>
      <c r="H2851" s="102"/>
      <c r="J2851" s="102"/>
      <c r="K2851" s="450"/>
      <c r="L2851" s="443"/>
      <c r="M2851" s="450"/>
      <c r="N2851" s="452">
        <f t="array" ref="N2851">IFERROR(
  INDEX(
    'Valor Hora Real y Estimada'!$A$4:$Z$78,
    MATCH(TRIM(CLEAN(A2851)), 'Valor Hora Real y Estimada'!$A$4:$A$78, 0),
    MATCH(
      TEXT(C2851,"dd mmm")&amp;" "&amp;D2851,
      'Valor Hora Real y Estimada'!$A$3:$Z$3,
      0
    ) + 1
  ),
  0
)</f>
        <v>0</v>
      </c>
      <c r="O2851" s="453"/>
      <c r="P2851" s="113"/>
      <c r="Q2851" s="106" t="str">
        <f>IF(ISBLANK(O2851), "", VLOOKUP(C2851&amp;" "&amp;D2851, 'Info Tipo de Cambio y REM'!$A$24:$B$35, 2, FALSE))</f>
        <v/>
      </c>
      <c r="R2851" s="107"/>
    </row>
    <row r="2852" hidden="1">
      <c r="A2852" s="443"/>
      <c r="B2852" s="43" t="str">
        <f>IF(A2852="", "", IFERROR(VLOOKUP(A2852, Clasificaciones!A:B, 2, FALSE), "DATO NO CARGADO"))
</f>
        <v/>
      </c>
      <c r="C2852" s="51"/>
      <c r="D2852" s="102"/>
      <c r="E2852" s="102"/>
      <c r="H2852" s="102"/>
      <c r="J2852" s="102"/>
      <c r="K2852" s="450"/>
      <c r="L2852" s="443"/>
      <c r="M2852" s="450"/>
      <c r="N2852" s="452">
        <f t="array" ref="N2852">IFERROR(
  INDEX(
    'Valor Hora Real y Estimada'!$A$4:$Z$78,
    MATCH(TRIM(CLEAN(A2852)), 'Valor Hora Real y Estimada'!$A$4:$A$78, 0),
    MATCH(
      TEXT(C2852,"dd mmm")&amp;" "&amp;D2852,
      'Valor Hora Real y Estimada'!$A$3:$Z$3,
      0
    ) + 1
  ),
  0
)</f>
        <v>0</v>
      </c>
      <c r="O2852" s="453"/>
      <c r="P2852" s="113"/>
      <c r="Q2852" s="106" t="str">
        <f>IF(ISBLANK(O2852), "", VLOOKUP(C2852&amp;" "&amp;D2852, 'Info Tipo de Cambio y REM'!$A$24:$B$35, 2, FALSE))</f>
        <v/>
      </c>
      <c r="R2852" s="107"/>
    </row>
    <row r="2853" hidden="1">
      <c r="A2853" s="443"/>
      <c r="B2853" s="43" t="str">
        <f>IF(A2853="", "", IFERROR(VLOOKUP(A2853, Clasificaciones!A:B, 2, FALSE), "DATO NO CARGADO"))
</f>
        <v/>
      </c>
      <c r="C2853" s="51"/>
      <c r="D2853" s="102"/>
      <c r="E2853" s="102"/>
      <c r="H2853" s="102"/>
      <c r="J2853" s="102"/>
      <c r="K2853" s="450"/>
      <c r="L2853" s="443"/>
      <c r="M2853" s="450"/>
      <c r="N2853" s="452">
        <f t="array" ref="N2853">IFERROR(
  INDEX(
    'Valor Hora Real y Estimada'!$A$4:$Z$78,
    MATCH(TRIM(CLEAN(A2853)), 'Valor Hora Real y Estimada'!$A$4:$A$78, 0),
    MATCH(
      TEXT(C2853,"dd mmm")&amp;" "&amp;D2853,
      'Valor Hora Real y Estimada'!$A$3:$Z$3,
      0
    ) + 1
  ),
  0
)</f>
        <v>0</v>
      </c>
      <c r="O2853" s="453"/>
      <c r="P2853" s="113"/>
      <c r="Q2853" s="106" t="str">
        <f>IF(ISBLANK(O2853), "", VLOOKUP(C2853&amp;" "&amp;D2853, 'Info Tipo de Cambio y REM'!$A$24:$B$35, 2, FALSE))</f>
        <v/>
      </c>
      <c r="R2853" s="107"/>
    </row>
    <row r="2854" hidden="1">
      <c r="A2854" s="443"/>
      <c r="B2854" s="43" t="str">
        <f>IF(A2854="", "", IFERROR(VLOOKUP(A2854, Clasificaciones!A:B, 2, FALSE), "DATO NO CARGADO"))
</f>
        <v/>
      </c>
      <c r="C2854" s="51"/>
      <c r="D2854" s="102"/>
      <c r="E2854" s="102"/>
      <c r="H2854" s="102"/>
      <c r="J2854" s="102"/>
      <c r="K2854" s="450"/>
      <c r="L2854" s="443"/>
      <c r="M2854" s="450"/>
      <c r="N2854" s="452">
        <f t="array" ref="N2854">IFERROR(
  INDEX(
    'Valor Hora Real y Estimada'!$A$4:$Z$78,
    MATCH(TRIM(CLEAN(A2854)), 'Valor Hora Real y Estimada'!$A$4:$A$78, 0),
    MATCH(
      TEXT(C2854,"dd mmm")&amp;" "&amp;D2854,
      'Valor Hora Real y Estimada'!$A$3:$Z$3,
      0
    ) + 1
  ),
  0
)</f>
        <v>0</v>
      </c>
      <c r="O2854" s="453"/>
      <c r="P2854" s="113"/>
      <c r="Q2854" s="106" t="str">
        <f>IF(ISBLANK(O2854), "", VLOOKUP(C2854&amp;" "&amp;D2854, 'Info Tipo de Cambio y REM'!$A$24:$B$35, 2, FALSE))</f>
        <v/>
      </c>
      <c r="R2854" s="107"/>
    </row>
    <row r="2855" hidden="1">
      <c r="A2855" s="443"/>
      <c r="B2855" s="43" t="str">
        <f>IF(A2855="", "", IFERROR(VLOOKUP(A2855, Clasificaciones!A:B, 2, FALSE), "DATO NO CARGADO"))
</f>
        <v/>
      </c>
      <c r="C2855" s="51"/>
      <c r="D2855" s="102"/>
      <c r="E2855" s="102"/>
      <c r="H2855" s="102"/>
      <c r="J2855" s="102"/>
      <c r="K2855" s="450"/>
      <c r="L2855" s="443"/>
      <c r="M2855" s="450"/>
      <c r="N2855" s="452">
        <f t="array" ref="N2855">IFERROR(
  INDEX(
    'Valor Hora Real y Estimada'!$A$4:$Z$78,
    MATCH(TRIM(CLEAN(A2855)), 'Valor Hora Real y Estimada'!$A$4:$A$78, 0),
    MATCH(
      TEXT(C2855,"dd mmm")&amp;" "&amp;D2855,
      'Valor Hora Real y Estimada'!$A$3:$Z$3,
      0
    ) + 1
  ),
  0
)</f>
        <v>0</v>
      </c>
      <c r="O2855" s="453"/>
      <c r="P2855" s="113"/>
      <c r="Q2855" s="106" t="str">
        <f>IF(ISBLANK(O2855), "", VLOOKUP(C2855&amp;" "&amp;D2855, 'Info Tipo de Cambio y REM'!$A$24:$B$35, 2, FALSE))</f>
        <v/>
      </c>
      <c r="R2855" s="107"/>
    </row>
    <row r="2856" hidden="1">
      <c r="A2856" s="443"/>
      <c r="B2856" s="43" t="str">
        <f>IF(A2856="", "", IFERROR(VLOOKUP(A2856, Clasificaciones!A:B, 2, FALSE), "DATO NO CARGADO"))
</f>
        <v/>
      </c>
      <c r="C2856" s="51"/>
      <c r="D2856" s="102"/>
      <c r="E2856" s="102"/>
      <c r="H2856" s="102"/>
      <c r="J2856" s="102"/>
      <c r="K2856" s="450"/>
      <c r="L2856" s="443"/>
      <c r="M2856" s="450"/>
      <c r="N2856" s="452">
        <f t="array" ref="N2856">IFERROR(
  INDEX(
    'Valor Hora Real y Estimada'!$A$4:$Z$78,
    MATCH(TRIM(CLEAN(A2856)), 'Valor Hora Real y Estimada'!$A$4:$A$78, 0),
    MATCH(
      TEXT(C2856,"dd mmm")&amp;" "&amp;D2856,
      'Valor Hora Real y Estimada'!$A$3:$Z$3,
      0
    ) + 1
  ),
  0
)</f>
        <v>0</v>
      </c>
      <c r="O2856" s="453"/>
      <c r="P2856" s="113"/>
      <c r="Q2856" s="106" t="str">
        <f>IF(ISBLANK(O2856), "", VLOOKUP(C2856&amp;" "&amp;D2856, 'Info Tipo de Cambio y REM'!$A$24:$B$35, 2, FALSE))</f>
        <v/>
      </c>
      <c r="R2856" s="107"/>
    </row>
    <row r="2857" hidden="1">
      <c r="A2857" s="443"/>
      <c r="B2857" s="43" t="str">
        <f>IF(A2857="", "", IFERROR(VLOOKUP(A2857, Clasificaciones!A:B, 2, FALSE), "DATO NO CARGADO"))
</f>
        <v/>
      </c>
      <c r="C2857" s="51"/>
      <c r="D2857" s="102"/>
      <c r="E2857" s="102"/>
      <c r="H2857" s="102"/>
      <c r="J2857" s="102"/>
      <c r="K2857" s="450"/>
      <c r="L2857" s="443"/>
      <c r="M2857" s="450"/>
      <c r="N2857" s="452">
        <f t="array" ref="N2857">IFERROR(
  INDEX(
    'Valor Hora Real y Estimada'!$A$4:$Z$78,
    MATCH(TRIM(CLEAN(A2857)), 'Valor Hora Real y Estimada'!$A$4:$A$78, 0),
    MATCH(
      TEXT(C2857,"dd mmm")&amp;" "&amp;D2857,
      'Valor Hora Real y Estimada'!$A$3:$Z$3,
      0
    ) + 1
  ),
  0
)</f>
        <v>0</v>
      </c>
      <c r="O2857" s="453"/>
      <c r="P2857" s="113"/>
      <c r="Q2857" s="106" t="str">
        <f>IF(ISBLANK(O2857), "", VLOOKUP(C2857&amp;" "&amp;D2857, 'Info Tipo de Cambio y REM'!$A$24:$B$35, 2, FALSE))</f>
        <v/>
      </c>
      <c r="R2857" s="107"/>
    </row>
    <row r="2858" hidden="1">
      <c r="A2858" s="443"/>
      <c r="B2858" s="43" t="str">
        <f>IF(A2858="", "", IFERROR(VLOOKUP(A2858, Clasificaciones!A:B, 2, FALSE), "DATO NO CARGADO"))
</f>
        <v/>
      </c>
      <c r="C2858" s="51"/>
      <c r="D2858" s="102"/>
      <c r="E2858" s="102"/>
      <c r="H2858" s="102"/>
      <c r="J2858" s="102"/>
      <c r="K2858" s="450"/>
      <c r="L2858" s="443"/>
      <c r="M2858" s="450"/>
      <c r="N2858" s="452">
        <f t="array" ref="N2858">IFERROR(
  INDEX(
    'Valor Hora Real y Estimada'!$A$4:$Z$78,
    MATCH(TRIM(CLEAN(A2858)), 'Valor Hora Real y Estimada'!$A$4:$A$78, 0),
    MATCH(
      TEXT(C2858,"dd mmm")&amp;" "&amp;D2858,
      'Valor Hora Real y Estimada'!$A$3:$Z$3,
      0
    ) + 1
  ),
  0
)</f>
        <v>0</v>
      </c>
      <c r="O2858" s="453"/>
      <c r="P2858" s="113"/>
      <c r="Q2858" s="106" t="str">
        <f>IF(ISBLANK(O2858), "", VLOOKUP(C2858&amp;" "&amp;D2858, 'Info Tipo de Cambio y REM'!$A$24:$B$35, 2, FALSE))</f>
        <v/>
      </c>
      <c r="R2858" s="107"/>
    </row>
    <row r="2859" hidden="1">
      <c r="A2859" s="443"/>
      <c r="B2859" s="43" t="str">
        <f>IF(A2859="", "", IFERROR(VLOOKUP(A2859, Clasificaciones!A:B, 2, FALSE), "DATO NO CARGADO"))
</f>
        <v/>
      </c>
      <c r="C2859" s="51"/>
      <c r="D2859" s="102"/>
      <c r="E2859" s="102"/>
      <c r="H2859" s="102"/>
      <c r="J2859" s="102"/>
      <c r="K2859" s="450"/>
      <c r="L2859" s="443"/>
      <c r="M2859" s="450"/>
      <c r="N2859" s="452">
        <f t="array" ref="N2859">IFERROR(
  INDEX(
    'Valor Hora Real y Estimada'!$A$4:$Z$78,
    MATCH(TRIM(CLEAN(A2859)), 'Valor Hora Real y Estimada'!$A$4:$A$78, 0),
    MATCH(
      TEXT(C2859,"dd mmm")&amp;" "&amp;D2859,
      'Valor Hora Real y Estimada'!$A$3:$Z$3,
      0
    ) + 1
  ),
  0
)</f>
        <v>0</v>
      </c>
      <c r="O2859" s="453"/>
      <c r="P2859" s="113"/>
      <c r="Q2859" s="106" t="str">
        <f>IF(ISBLANK(O2859), "", VLOOKUP(C2859&amp;" "&amp;D2859, 'Info Tipo de Cambio y REM'!$A$24:$B$35, 2, FALSE))</f>
        <v/>
      </c>
      <c r="R2859" s="107"/>
    </row>
    <row r="2860" hidden="1">
      <c r="A2860" s="443"/>
      <c r="B2860" s="43" t="str">
        <f>IF(A2860="", "", IFERROR(VLOOKUP(A2860, Clasificaciones!A:B, 2, FALSE), "DATO NO CARGADO"))
</f>
        <v/>
      </c>
      <c r="C2860" s="51"/>
      <c r="D2860" s="102"/>
      <c r="E2860" s="102"/>
      <c r="H2860" s="102"/>
      <c r="J2860" s="102"/>
      <c r="K2860" s="450"/>
      <c r="L2860" s="443"/>
      <c r="M2860" s="450"/>
      <c r="N2860" s="452">
        <f t="array" ref="N2860">IFERROR(
  INDEX(
    'Valor Hora Real y Estimada'!$A$4:$Z$78,
    MATCH(TRIM(CLEAN(A2860)), 'Valor Hora Real y Estimada'!$A$4:$A$78, 0),
    MATCH(
      TEXT(C2860,"dd mmm")&amp;" "&amp;D2860,
      'Valor Hora Real y Estimada'!$A$3:$Z$3,
      0
    ) + 1
  ),
  0
)</f>
        <v>0</v>
      </c>
      <c r="O2860" s="453"/>
      <c r="P2860" s="113"/>
      <c r="Q2860" s="106" t="str">
        <f>IF(ISBLANK(O2860), "", VLOOKUP(C2860&amp;" "&amp;D2860, 'Info Tipo de Cambio y REM'!$A$24:$B$35, 2, FALSE))</f>
        <v/>
      </c>
      <c r="R2860" s="107"/>
    </row>
    <row r="2861" hidden="1">
      <c r="A2861" s="443"/>
      <c r="B2861" s="43" t="str">
        <f>IF(A2861="", "", IFERROR(VLOOKUP(A2861, Clasificaciones!A:B, 2, FALSE), "DATO NO CARGADO"))
</f>
        <v/>
      </c>
      <c r="C2861" s="51"/>
      <c r="D2861" s="102"/>
      <c r="E2861" s="102"/>
      <c r="H2861" s="102"/>
      <c r="J2861" s="102"/>
      <c r="K2861" s="450"/>
      <c r="L2861" s="443"/>
      <c r="M2861" s="450"/>
      <c r="N2861" s="452">
        <f t="array" ref="N2861">IFERROR(
  INDEX(
    'Valor Hora Real y Estimada'!$A$4:$Z$78,
    MATCH(TRIM(CLEAN(A2861)), 'Valor Hora Real y Estimada'!$A$4:$A$78, 0),
    MATCH(
      TEXT(C2861,"dd mmm")&amp;" "&amp;D2861,
      'Valor Hora Real y Estimada'!$A$3:$Z$3,
      0
    ) + 1
  ),
  0
)</f>
        <v>0</v>
      </c>
      <c r="O2861" s="453"/>
      <c r="P2861" s="113"/>
      <c r="Q2861" s="106" t="str">
        <f>IF(ISBLANK(O2861), "", VLOOKUP(C2861&amp;" "&amp;D2861, 'Info Tipo de Cambio y REM'!$A$24:$B$35, 2, FALSE))</f>
        <v/>
      </c>
      <c r="R2861" s="107"/>
    </row>
    <row r="2862" hidden="1">
      <c r="A2862" s="443"/>
      <c r="B2862" s="43" t="str">
        <f>IF(A2862="", "", IFERROR(VLOOKUP(A2862, Clasificaciones!A:B, 2, FALSE), "DATO NO CARGADO"))
</f>
        <v/>
      </c>
      <c r="C2862" s="51"/>
      <c r="D2862" s="102"/>
      <c r="E2862" s="102"/>
      <c r="H2862" s="102"/>
      <c r="J2862" s="102"/>
      <c r="K2862" s="450"/>
      <c r="L2862" s="443"/>
      <c r="M2862" s="450"/>
      <c r="N2862" s="452">
        <f t="array" ref="N2862">IFERROR(
  INDEX(
    'Valor Hora Real y Estimada'!$A$4:$Z$78,
    MATCH(TRIM(CLEAN(A2862)), 'Valor Hora Real y Estimada'!$A$4:$A$78, 0),
    MATCH(
      TEXT(C2862,"dd mmm")&amp;" "&amp;D2862,
      'Valor Hora Real y Estimada'!$A$3:$Z$3,
      0
    ) + 1
  ),
  0
)</f>
        <v>0</v>
      </c>
      <c r="O2862" s="453"/>
      <c r="P2862" s="113"/>
      <c r="Q2862" s="106" t="str">
        <f>IF(ISBLANK(O2862), "", VLOOKUP(C2862&amp;" "&amp;D2862, 'Info Tipo de Cambio y REM'!$A$24:$B$35, 2, FALSE))</f>
        <v/>
      </c>
      <c r="R2862" s="107"/>
    </row>
    <row r="2863" hidden="1">
      <c r="A2863" s="443"/>
      <c r="B2863" s="43" t="str">
        <f>IF(A2863="", "", IFERROR(VLOOKUP(A2863, Clasificaciones!A:B, 2, FALSE), "DATO NO CARGADO"))
</f>
        <v/>
      </c>
      <c r="C2863" s="51"/>
      <c r="D2863" s="102"/>
      <c r="E2863" s="102"/>
      <c r="H2863" s="102"/>
      <c r="J2863" s="102"/>
      <c r="K2863" s="450"/>
      <c r="L2863" s="443"/>
      <c r="M2863" s="450"/>
      <c r="N2863" s="452">
        <f t="array" ref="N2863">IFERROR(
  INDEX(
    'Valor Hora Real y Estimada'!$A$4:$Z$78,
    MATCH(TRIM(CLEAN(A2863)), 'Valor Hora Real y Estimada'!$A$4:$A$78, 0),
    MATCH(
      TEXT(C2863,"dd mmm")&amp;" "&amp;D2863,
      'Valor Hora Real y Estimada'!$A$3:$Z$3,
      0
    ) + 1
  ),
  0
)</f>
        <v>0</v>
      </c>
      <c r="O2863" s="453"/>
      <c r="P2863" s="113"/>
      <c r="Q2863" s="106" t="str">
        <f>IF(ISBLANK(O2863), "", VLOOKUP(C2863&amp;" "&amp;D2863, 'Info Tipo de Cambio y REM'!$A$24:$B$35, 2, FALSE))</f>
        <v/>
      </c>
      <c r="R2863" s="107"/>
    </row>
    <row r="2864" hidden="1">
      <c r="A2864" s="443"/>
      <c r="B2864" s="43" t="str">
        <f>IF(A2864="", "", IFERROR(VLOOKUP(A2864, Clasificaciones!A:B, 2, FALSE), "DATO NO CARGADO"))
</f>
        <v/>
      </c>
      <c r="C2864" s="51"/>
      <c r="D2864" s="102"/>
      <c r="E2864" s="102"/>
      <c r="H2864" s="102"/>
      <c r="J2864" s="102"/>
      <c r="K2864" s="450"/>
      <c r="L2864" s="443"/>
      <c r="M2864" s="450"/>
      <c r="N2864" s="452">
        <f t="array" ref="N2864">IFERROR(
  INDEX(
    'Valor Hora Real y Estimada'!$A$4:$Z$78,
    MATCH(TRIM(CLEAN(A2864)), 'Valor Hora Real y Estimada'!$A$4:$A$78, 0),
    MATCH(
      TEXT(C2864,"dd mmm")&amp;" "&amp;D2864,
      'Valor Hora Real y Estimada'!$A$3:$Z$3,
      0
    ) + 1
  ),
  0
)</f>
        <v>0</v>
      </c>
      <c r="O2864" s="453"/>
      <c r="P2864" s="113"/>
      <c r="Q2864" s="106" t="str">
        <f>IF(ISBLANK(O2864), "", VLOOKUP(C2864&amp;" "&amp;D2864, 'Info Tipo de Cambio y REM'!$A$24:$B$35, 2, FALSE))</f>
        <v/>
      </c>
      <c r="R2864" s="107"/>
    </row>
    <row r="2865" hidden="1">
      <c r="A2865" s="443"/>
      <c r="B2865" s="43" t="str">
        <f>IF(A2865="", "", IFERROR(VLOOKUP(A2865, Clasificaciones!A:B, 2, FALSE), "DATO NO CARGADO"))
</f>
        <v/>
      </c>
      <c r="C2865" s="51"/>
      <c r="D2865" s="102"/>
      <c r="E2865" s="102"/>
      <c r="H2865" s="102"/>
      <c r="J2865" s="102"/>
      <c r="K2865" s="450"/>
      <c r="L2865" s="443"/>
      <c r="M2865" s="450"/>
      <c r="N2865" s="452">
        <f t="array" ref="N2865">IFERROR(
  INDEX(
    'Valor Hora Real y Estimada'!$A$4:$Z$78,
    MATCH(TRIM(CLEAN(A2865)), 'Valor Hora Real y Estimada'!$A$4:$A$78, 0),
    MATCH(
      TEXT(C2865,"dd mmm")&amp;" "&amp;D2865,
      'Valor Hora Real y Estimada'!$A$3:$Z$3,
      0
    ) + 1
  ),
  0
)</f>
        <v>0</v>
      </c>
      <c r="O2865" s="453"/>
      <c r="P2865" s="113"/>
      <c r="Q2865" s="106" t="str">
        <f>IF(ISBLANK(O2865), "", VLOOKUP(C2865&amp;" "&amp;D2865, 'Info Tipo de Cambio y REM'!$A$24:$B$35, 2, FALSE))</f>
        <v/>
      </c>
      <c r="R2865" s="107"/>
    </row>
    <row r="2866" hidden="1">
      <c r="A2866" s="443"/>
      <c r="B2866" s="43" t="str">
        <f>IF(A2866="", "", IFERROR(VLOOKUP(A2866, Clasificaciones!A:B, 2, FALSE), "DATO NO CARGADO"))
</f>
        <v/>
      </c>
      <c r="C2866" s="51"/>
      <c r="D2866" s="102"/>
      <c r="E2866" s="102"/>
      <c r="H2866" s="102"/>
      <c r="J2866" s="102"/>
      <c r="K2866" s="450"/>
      <c r="L2866" s="443"/>
      <c r="M2866" s="450"/>
      <c r="N2866" s="452">
        <f t="array" ref="N2866">IFERROR(
  INDEX(
    'Valor Hora Real y Estimada'!$A$4:$Z$78,
    MATCH(TRIM(CLEAN(A2866)), 'Valor Hora Real y Estimada'!$A$4:$A$78, 0),
    MATCH(
      TEXT(C2866,"dd mmm")&amp;" "&amp;D2866,
      'Valor Hora Real y Estimada'!$A$3:$Z$3,
      0
    ) + 1
  ),
  0
)</f>
        <v>0</v>
      </c>
      <c r="O2866" s="453"/>
      <c r="P2866" s="113"/>
      <c r="Q2866" s="106" t="str">
        <f>IF(ISBLANK(O2866), "", VLOOKUP(C2866&amp;" "&amp;D2866, 'Info Tipo de Cambio y REM'!$A$24:$B$35, 2, FALSE))</f>
        <v/>
      </c>
      <c r="R2866" s="107"/>
    </row>
    <row r="2867" hidden="1">
      <c r="A2867" s="443"/>
      <c r="B2867" s="43" t="str">
        <f>IF(A2867="", "", IFERROR(VLOOKUP(A2867, Clasificaciones!A:B, 2, FALSE), "DATO NO CARGADO"))
</f>
        <v/>
      </c>
      <c r="C2867" s="51"/>
      <c r="D2867" s="102"/>
      <c r="E2867" s="102"/>
      <c r="H2867" s="102"/>
      <c r="J2867" s="102"/>
      <c r="K2867" s="450"/>
      <c r="L2867" s="443"/>
      <c r="M2867" s="450"/>
      <c r="N2867" s="452">
        <f t="array" ref="N2867">IFERROR(
  INDEX(
    'Valor Hora Real y Estimada'!$A$4:$Z$78,
    MATCH(TRIM(CLEAN(A2867)), 'Valor Hora Real y Estimada'!$A$4:$A$78, 0),
    MATCH(
      TEXT(C2867,"dd mmm")&amp;" "&amp;D2867,
      'Valor Hora Real y Estimada'!$A$3:$Z$3,
      0
    ) + 1
  ),
  0
)</f>
        <v>0</v>
      </c>
      <c r="O2867" s="453"/>
      <c r="P2867" s="113"/>
      <c r="Q2867" s="106" t="str">
        <f>IF(ISBLANK(O2867), "", VLOOKUP(C2867&amp;" "&amp;D2867, 'Info Tipo de Cambio y REM'!$A$24:$B$35, 2, FALSE))</f>
        <v/>
      </c>
      <c r="R2867" s="107"/>
    </row>
    <row r="2868" hidden="1">
      <c r="A2868" s="443"/>
      <c r="B2868" s="43" t="str">
        <f>IF(A2868="", "", IFERROR(VLOOKUP(A2868, Clasificaciones!A:B, 2, FALSE), "DATO NO CARGADO"))
</f>
        <v/>
      </c>
      <c r="C2868" s="51"/>
      <c r="D2868" s="102"/>
      <c r="E2868" s="102"/>
      <c r="H2868" s="102"/>
      <c r="J2868" s="102"/>
      <c r="K2868" s="450"/>
      <c r="L2868" s="443"/>
      <c r="M2868" s="450"/>
      <c r="N2868" s="452">
        <f t="array" ref="N2868">IFERROR(
  INDEX(
    'Valor Hora Real y Estimada'!$A$4:$Z$78,
    MATCH(TRIM(CLEAN(A2868)), 'Valor Hora Real y Estimada'!$A$4:$A$78, 0),
    MATCH(
      TEXT(C2868,"dd mmm")&amp;" "&amp;D2868,
      'Valor Hora Real y Estimada'!$A$3:$Z$3,
      0
    ) + 1
  ),
  0
)</f>
        <v>0</v>
      </c>
      <c r="O2868" s="453"/>
      <c r="P2868" s="113"/>
      <c r="Q2868" s="106" t="str">
        <f>IF(ISBLANK(O2868), "", VLOOKUP(C2868&amp;" "&amp;D2868, 'Info Tipo de Cambio y REM'!$A$24:$B$35, 2, FALSE))</f>
        <v/>
      </c>
      <c r="R2868" s="107"/>
    </row>
    <row r="2869" hidden="1">
      <c r="A2869" s="443"/>
      <c r="B2869" s="43" t="str">
        <f>IF(A2869="", "", IFERROR(VLOOKUP(A2869, Clasificaciones!A:B, 2, FALSE), "DATO NO CARGADO"))
</f>
        <v/>
      </c>
      <c r="C2869" s="51"/>
      <c r="D2869" s="102"/>
      <c r="E2869" s="102"/>
      <c r="H2869" s="102"/>
      <c r="J2869" s="102"/>
      <c r="K2869" s="450"/>
      <c r="L2869" s="443"/>
      <c r="M2869" s="450"/>
      <c r="N2869" s="452">
        <f t="array" ref="N2869">IFERROR(
  INDEX(
    'Valor Hora Real y Estimada'!$A$4:$Z$78,
    MATCH(TRIM(CLEAN(A2869)), 'Valor Hora Real y Estimada'!$A$4:$A$78, 0),
    MATCH(
      TEXT(C2869,"dd mmm")&amp;" "&amp;D2869,
      'Valor Hora Real y Estimada'!$A$3:$Z$3,
      0
    ) + 1
  ),
  0
)</f>
        <v>0</v>
      </c>
      <c r="O2869" s="453"/>
      <c r="P2869" s="113"/>
      <c r="Q2869" s="106" t="str">
        <f>IF(ISBLANK(O2869), "", VLOOKUP(C2869&amp;" "&amp;D2869, 'Info Tipo de Cambio y REM'!$A$24:$B$35, 2, FALSE))</f>
        <v/>
      </c>
      <c r="R2869" s="107"/>
    </row>
    <row r="2870" hidden="1">
      <c r="A2870" s="443"/>
      <c r="B2870" s="43" t="str">
        <f>IF(A2870="", "", IFERROR(VLOOKUP(A2870, Clasificaciones!A:B, 2, FALSE), "DATO NO CARGADO"))
</f>
        <v/>
      </c>
      <c r="C2870" s="51"/>
      <c r="D2870" s="102"/>
      <c r="E2870" s="102"/>
      <c r="H2870" s="102"/>
      <c r="J2870" s="102"/>
      <c r="K2870" s="450"/>
      <c r="L2870" s="443"/>
      <c r="M2870" s="450"/>
      <c r="N2870" s="452">
        <f t="array" ref="N2870">IFERROR(
  INDEX(
    'Valor Hora Real y Estimada'!$A$4:$Z$78,
    MATCH(TRIM(CLEAN(A2870)), 'Valor Hora Real y Estimada'!$A$4:$A$78, 0),
    MATCH(
      TEXT(C2870,"dd mmm")&amp;" "&amp;D2870,
      'Valor Hora Real y Estimada'!$A$3:$Z$3,
      0
    ) + 1
  ),
  0
)</f>
        <v>0</v>
      </c>
      <c r="O2870" s="453"/>
      <c r="P2870" s="113"/>
      <c r="Q2870" s="106" t="str">
        <f>IF(ISBLANK(O2870), "", VLOOKUP(C2870&amp;" "&amp;D2870, 'Info Tipo de Cambio y REM'!$A$24:$B$35, 2, FALSE))</f>
        <v/>
      </c>
      <c r="R2870" s="107"/>
    </row>
    <row r="2871" hidden="1">
      <c r="A2871" s="443"/>
      <c r="B2871" s="43" t="str">
        <f>IF(A2871="", "", IFERROR(VLOOKUP(A2871, Clasificaciones!A:B, 2, FALSE), "DATO NO CARGADO"))
</f>
        <v/>
      </c>
      <c r="C2871" s="51"/>
      <c r="D2871" s="102"/>
      <c r="E2871" s="102"/>
      <c r="H2871" s="102"/>
      <c r="J2871" s="102"/>
      <c r="K2871" s="450"/>
      <c r="L2871" s="443"/>
      <c r="M2871" s="450"/>
      <c r="N2871" s="452">
        <f t="array" ref="N2871">IFERROR(
  INDEX(
    'Valor Hora Real y Estimada'!$A$4:$Z$78,
    MATCH(TRIM(CLEAN(A2871)), 'Valor Hora Real y Estimada'!$A$4:$A$78, 0),
    MATCH(
      TEXT(C2871,"dd mmm")&amp;" "&amp;D2871,
      'Valor Hora Real y Estimada'!$A$3:$Z$3,
      0
    ) + 1
  ),
  0
)</f>
        <v>0</v>
      </c>
      <c r="O2871" s="453"/>
      <c r="P2871" s="113"/>
      <c r="Q2871" s="106" t="str">
        <f>IF(ISBLANK(O2871), "", VLOOKUP(C2871&amp;" "&amp;D2871, 'Info Tipo de Cambio y REM'!$A$24:$B$35, 2, FALSE))</f>
        <v/>
      </c>
      <c r="R2871" s="107"/>
    </row>
    <row r="2872" hidden="1">
      <c r="A2872" s="443"/>
      <c r="B2872" s="43" t="str">
        <f>IF(A2872="", "", IFERROR(VLOOKUP(A2872, Clasificaciones!A:B, 2, FALSE), "DATO NO CARGADO"))
</f>
        <v/>
      </c>
      <c r="C2872" s="51"/>
      <c r="D2872" s="102"/>
      <c r="E2872" s="102"/>
      <c r="H2872" s="102"/>
      <c r="J2872" s="102"/>
      <c r="K2872" s="450"/>
      <c r="L2872" s="443"/>
      <c r="M2872" s="450"/>
      <c r="N2872" s="452">
        <f t="array" ref="N2872">IFERROR(
  INDEX(
    'Valor Hora Real y Estimada'!$A$4:$Z$78,
    MATCH(TRIM(CLEAN(A2872)), 'Valor Hora Real y Estimada'!$A$4:$A$78, 0),
    MATCH(
      TEXT(C2872,"dd mmm")&amp;" "&amp;D2872,
      'Valor Hora Real y Estimada'!$A$3:$Z$3,
      0
    ) + 1
  ),
  0
)</f>
        <v>0</v>
      </c>
      <c r="O2872" s="453"/>
      <c r="P2872" s="113"/>
      <c r="Q2872" s="106" t="str">
        <f>IF(ISBLANK(O2872), "", VLOOKUP(C2872&amp;" "&amp;D2872, 'Info Tipo de Cambio y REM'!$A$24:$B$35, 2, FALSE))</f>
        <v/>
      </c>
      <c r="R2872" s="107"/>
    </row>
    <row r="2873" hidden="1">
      <c r="A2873" s="443"/>
      <c r="B2873" s="43" t="str">
        <f>IF(A2873="", "", IFERROR(VLOOKUP(A2873, Clasificaciones!A:B, 2, FALSE), "DATO NO CARGADO"))
</f>
        <v/>
      </c>
      <c r="C2873" s="51"/>
      <c r="D2873" s="102"/>
      <c r="E2873" s="102"/>
      <c r="H2873" s="102"/>
      <c r="J2873" s="102"/>
      <c r="K2873" s="450"/>
      <c r="L2873" s="443"/>
      <c r="M2873" s="450"/>
      <c r="N2873" s="452">
        <f t="array" ref="N2873">IFERROR(
  INDEX(
    'Valor Hora Real y Estimada'!$A$4:$Z$78,
    MATCH(TRIM(CLEAN(A2873)), 'Valor Hora Real y Estimada'!$A$4:$A$78, 0),
    MATCH(
      TEXT(C2873,"dd mmm")&amp;" "&amp;D2873,
      'Valor Hora Real y Estimada'!$A$3:$Z$3,
      0
    ) + 1
  ),
  0
)</f>
        <v>0</v>
      </c>
      <c r="O2873" s="453"/>
      <c r="P2873" s="113"/>
      <c r="Q2873" s="106" t="str">
        <f>IF(ISBLANK(O2873), "", VLOOKUP(C2873&amp;" "&amp;D2873, 'Info Tipo de Cambio y REM'!$A$24:$B$35, 2, FALSE))</f>
        <v/>
      </c>
      <c r="R2873" s="107"/>
    </row>
    <row r="2874" hidden="1">
      <c r="A2874" s="443"/>
      <c r="B2874" s="43" t="str">
        <f>IF(A2874="", "", IFERROR(VLOOKUP(A2874, Clasificaciones!A:B, 2, FALSE), "DATO NO CARGADO"))
</f>
        <v/>
      </c>
      <c r="C2874" s="51"/>
      <c r="D2874" s="102"/>
      <c r="E2874" s="102"/>
      <c r="H2874" s="102"/>
      <c r="J2874" s="102"/>
      <c r="K2874" s="450"/>
      <c r="L2874" s="443"/>
      <c r="M2874" s="450"/>
      <c r="N2874" s="452">
        <f t="array" ref="N2874">IFERROR(
  INDEX(
    'Valor Hora Real y Estimada'!$A$4:$Z$78,
    MATCH(TRIM(CLEAN(A2874)), 'Valor Hora Real y Estimada'!$A$4:$A$78, 0),
    MATCH(
      TEXT(C2874,"dd mmm")&amp;" "&amp;D2874,
      'Valor Hora Real y Estimada'!$A$3:$Z$3,
      0
    ) + 1
  ),
  0
)</f>
        <v>0</v>
      </c>
      <c r="O2874" s="453"/>
      <c r="P2874" s="113"/>
      <c r="Q2874" s="106" t="str">
        <f>IF(ISBLANK(O2874), "", VLOOKUP(C2874&amp;" "&amp;D2874, 'Info Tipo de Cambio y REM'!$A$24:$B$35, 2, FALSE))</f>
        <v/>
      </c>
      <c r="R2874" s="107"/>
    </row>
    <row r="2875" hidden="1">
      <c r="A2875" s="443"/>
      <c r="B2875" s="43" t="str">
        <f>IF(A2875="", "", IFERROR(VLOOKUP(A2875, Clasificaciones!A:B, 2, FALSE), "DATO NO CARGADO"))
</f>
        <v/>
      </c>
      <c r="C2875" s="51"/>
      <c r="D2875" s="102"/>
      <c r="E2875" s="102"/>
      <c r="H2875" s="102"/>
      <c r="J2875" s="102"/>
      <c r="K2875" s="450"/>
      <c r="L2875" s="443"/>
      <c r="M2875" s="450"/>
      <c r="N2875" s="452">
        <f t="array" ref="N2875">IFERROR(
  INDEX(
    'Valor Hora Real y Estimada'!$A$4:$Z$78,
    MATCH(TRIM(CLEAN(A2875)), 'Valor Hora Real y Estimada'!$A$4:$A$78, 0),
    MATCH(
      TEXT(C2875,"dd mmm")&amp;" "&amp;D2875,
      'Valor Hora Real y Estimada'!$A$3:$Z$3,
      0
    ) + 1
  ),
  0
)</f>
        <v>0</v>
      </c>
      <c r="O2875" s="453"/>
      <c r="P2875" s="113"/>
      <c r="Q2875" s="106" t="str">
        <f>IF(ISBLANK(O2875), "", VLOOKUP(C2875&amp;" "&amp;D2875, 'Info Tipo de Cambio y REM'!$A$24:$B$35, 2, FALSE))</f>
        <v/>
      </c>
      <c r="R2875" s="107"/>
    </row>
    <row r="2876" hidden="1">
      <c r="A2876" s="443"/>
      <c r="B2876" s="43" t="str">
        <f>IF(A2876="", "", IFERROR(VLOOKUP(A2876, Clasificaciones!A:B, 2, FALSE), "DATO NO CARGADO"))
</f>
        <v/>
      </c>
      <c r="C2876" s="51"/>
      <c r="D2876" s="102"/>
      <c r="E2876" s="102"/>
      <c r="H2876" s="102"/>
      <c r="J2876" s="102"/>
      <c r="K2876" s="450"/>
      <c r="L2876" s="443"/>
      <c r="M2876" s="450"/>
      <c r="N2876" s="452">
        <f t="array" ref="N2876">IFERROR(
  INDEX(
    'Valor Hora Real y Estimada'!$A$4:$Z$78,
    MATCH(TRIM(CLEAN(A2876)), 'Valor Hora Real y Estimada'!$A$4:$A$78, 0),
    MATCH(
      TEXT(C2876,"dd mmm")&amp;" "&amp;D2876,
      'Valor Hora Real y Estimada'!$A$3:$Z$3,
      0
    ) + 1
  ),
  0
)</f>
        <v>0</v>
      </c>
      <c r="O2876" s="453"/>
      <c r="P2876" s="113"/>
      <c r="Q2876" s="106" t="str">
        <f>IF(ISBLANK(O2876), "", VLOOKUP(C2876&amp;" "&amp;D2876, 'Info Tipo de Cambio y REM'!$A$24:$B$35, 2, FALSE))</f>
        <v/>
      </c>
      <c r="R2876" s="107"/>
    </row>
    <row r="2877" hidden="1">
      <c r="A2877" s="443"/>
      <c r="B2877" s="43" t="str">
        <f>IF(A2877="", "", IFERROR(VLOOKUP(A2877, Clasificaciones!A:B, 2, FALSE), "DATO NO CARGADO"))
</f>
        <v/>
      </c>
      <c r="C2877" s="51"/>
      <c r="D2877" s="102"/>
      <c r="E2877" s="102"/>
      <c r="H2877" s="102"/>
      <c r="J2877" s="102"/>
      <c r="K2877" s="450"/>
      <c r="L2877" s="443"/>
      <c r="M2877" s="450"/>
      <c r="N2877" s="452">
        <f t="array" ref="N2877">IFERROR(
  INDEX(
    'Valor Hora Real y Estimada'!$A$4:$Z$78,
    MATCH(TRIM(CLEAN(A2877)), 'Valor Hora Real y Estimada'!$A$4:$A$78, 0),
    MATCH(
      TEXT(C2877,"dd mmm")&amp;" "&amp;D2877,
      'Valor Hora Real y Estimada'!$A$3:$Z$3,
      0
    ) + 1
  ),
  0
)</f>
        <v>0</v>
      </c>
      <c r="O2877" s="453"/>
      <c r="P2877" s="113"/>
      <c r="Q2877" s="106" t="str">
        <f>IF(ISBLANK(O2877), "", VLOOKUP(C2877&amp;" "&amp;D2877, 'Info Tipo de Cambio y REM'!$A$24:$B$35, 2, FALSE))</f>
        <v/>
      </c>
      <c r="R2877" s="107"/>
    </row>
    <row r="2878" hidden="1">
      <c r="A2878" s="443"/>
      <c r="B2878" s="43" t="str">
        <f>IF(A2878="", "", IFERROR(VLOOKUP(A2878, Clasificaciones!A:B, 2, FALSE), "DATO NO CARGADO"))
</f>
        <v/>
      </c>
      <c r="C2878" s="51"/>
      <c r="D2878" s="102"/>
      <c r="E2878" s="102"/>
      <c r="H2878" s="102"/>
      <c r="J2878" s="102"/>
      <c r="K2878" s="450"/>
      <c r="L2878" s="443"/>
      <c r="M2878" s="450"/>
      <c r="N2878" s="452">
        <f t="array" ref="N2878">IFERROR(
  INDEX(
    'Valor Hora Real y Estimada'!$A$4:$Z$78,
    MATCH(TRIM(CLEAN(A2878)), 'Valor Hora Real y Estimada'!$A$4:$A$78, 0),
    MATCH(
      TEXT(C2878,"dd mmm")&amp;" "&amp;D2878,
      'Valor Hora Real y Estimada'!$A$3:$Z$3,
      0
    ) + 1
  ),
  0
)</f>
        <v>0</v>
      </c>
      <c r="O2878" s="453"/>
      <c r="P2878" s="113"/>
      <c r="Q2878" s="106" t="str">
        <f>IF(ISBLANK(O2878), "", VLOOKUP(C2878&amp;" "&amp;D2878, 'Info Tipo de Cambio y REM'!$A$24:$B$35, 2, FALSE))</f>
        <v/>
      </c>
      <c r="R2878" s="107"/>
    </row>
    <row r="2879" hidden="1">
      <c r="A2879" s="443"/>
      <c r="B2879" s="43" t="str">
        <f>IF(A2879="", "", IFERROR(VLOOKUP(A2879, Clasificaciones!A:B, 2, FALSE), "DATO NO CARGADO"))
</f>
        <v/>
      </c>
      <c r="C2879" s="51"/>
      <c r="D2879" s="102"/>
      <c r="E2879" s="102"/>
      <c r="H2879" s="102"/>
      <c r="J2879" s="102"/>
      <c r="K2879" s="450"/>
      <c r="L2879" s="443"/>
      <c r="M2879" s="450"/>
      <c r="N2879" s="452">
        <f t="array" ref="N2879">IFERROR(
  INDEX(
    'Valor Hora Real y Estimada'!$A$4:$Z$78,
    MATCH(TRIM(CLEAN(A2879)), 'Valor Hora Real y Estimada'!$A$4:$A$78, 0),
    MATCH(
      TEXT(C2879,"dd mmm")&amp;" "&amp;D2879,
      'Valor Hora Real y Estimada'!$A$3:$Z$3,
      0
    ) + 1
  ),
  0
)</f>
        <v>0</v>
      </c>
      <c r="O2879" s="453"/>
      <c r="P2879" s="113"/>
      <c r="Q2879" s="106" t="str">
        <f>IF(ISBLANK(O2879), "", VLOOKUP(C2879&amp;" "&amp;D2879, 'Info Tipo de Cambio y REM'!$A$24:$B$35, 2, FALSE))</f>
        <v/>
      </c>
      <c r="R2879" s="107"/>
    </row>
    <row r="2880" hidden="1">
      <c r="A2880" s="443"/>
      <c r="B2880" s="43" t="str">
        <f>IF(A2880="", "", IFERROR(VLOOKUP(A2880, Clasificaciones!A:B, 2, FALSE), "DATO NO CARGADO"))
</f>
        <v/>
      </c>
      <c r="C2880" s="51"/>
      <c r="D2880" s="102"/>
      <c r="E2880" s="102"/>
      <c r="H2880" s="102"/>
      <c r="J2880" s="102"/>
      <c r="K2880" s="450"/>
      <c r="L2880" s="443"/>
      <c r="M2880" s="450"/>
      <c r="N2880" s="452">
        <f t="array" ref="N2880">IFERROR(
  INDEX(
    'Valor Hora Real y Estimada'!$A$4:$Z$78,
    MATCH(TRIM(CLEAN(A2880)), 'Valor Hora Real y Estimada'!$A$4:$A$78, 0),
    MATCH(
      TEXT(C2880,"dd mmm")&amp;" "&amp;D2880,
      'Valor Hora Real y Estimada'!$A$3:$Z$3,
      0
    ) + 1
  ),
  0
)</f>
        <v>0</v>
      </c>
      <c r="O2880" s="453"/>
      <c r="P2880" s="113"/>
      <c r="Q2880" s="106" t="str">
        <f>IF(ISBLANK(O2880), "", VLOOKUP(C2880&amp;" "&amp;D2880, 'Info Tipo de Cambio y REM'!$A$24:$B$35, 2, FALSE))</f>
        <v/>
      </c>
      <c r="R2880" s="107"/>
    </row>
    <row r="2881" hidden="1">
      <c r="A2881" s="443"/>
      <c r="B2881" s="43" t="str">
        <f>IF(A2881="", "", IFERROR(VLOOKUP(A2881, Clasificaciones!A:B, 2, FALSE), "DATO NO CARGADO"))
</f>
        <v/>
      </c>
      <c r="C2881" s="51"/>
      <c r="D2881" s="102"/>
      <c r="E2881" s="102"/>
      <c r="H2881" s="102"/>
      <c r="J2881" s="102"/>
      <c r="K2881" s="450"/>
      <c r="L2881" s="443"/>
      <c r="M2881" s="450"/>
      <c r="N2881" s="452">
        <f t="array" ref="N2881">IFERROR(
  INDEX(
    'Valor Hora Real y Estimada'!$A$4:$Z$78,
    MATCH(TRIM(CLEAN(A2881)), 'Valor Hora Real y Estimada'!$A$4:$A$78, 0),
    MATCH(
      TEXT(C2881,"dd mmm")&amp;" "&amp;D2881,
      'Valor Hora Real y Estimada'!$A$3:$Z$3,
      0
    ) + 1
  ),
  0
)</f>
        <v>0</v>
      </c>
      <c r="O2881" s="453"/>
      <c r="P2881" s="113"/>
      <c r="Q2881" s="106" t="str">
        <f>IF(ISBLANK(O2881), "", VLOOKUP(C2881&amp;" "&amp;D2881, 'Info Tipo de Cambio y REM'!$A$24:$B$35, 2, FALSE))</f>
        <v/>
      </c>
      <c r="R2881" s="107"/>
    </row>
    <row r="2882" hidden="1">
      <c r="A2882" s="443"/>
      <c r="B2882" s="43" t="str">
        <f>IF(A2882="", "", IFERROR(VLOOKUP(A2882, Clasificaciones!A:B, 2, FALSE), "DATO NO CARGADO"))
</f>
        <v/>
      </c>
      <c r="C2882" s="51"/>
      <c r="D2882" s="102"/>
      <c r="E2882" s="102"/>
      <c r="H2882" s="102"/>
      <c r="J2882" s="102"/>
      <c r="K2882" s="450"/>
      <c r="L2882" s="443"/>
      <c r="M2882" s="450"/>
      <c r="N2882" s="452">
        <f t="array" ref="N2882">IFERROR(
  INDEX(
    'Valor Hora Real y Estimada'!$A$4:$Z$78,
    MATCH(TRIM(CLEAN(A2882)), 'Valor Hora Real y Estimada'!$A$4:$A$78, 0),
    MATCH(
      TEXT(C2882,"dd mmm")&amp;" "&amp;D2882,
      'Valor Hora Real y Estimada'!$A$3:$Z$3,
      0
    ) + 1
  ),
  0
)</f>
        <v>0</v>
      </c>
      <c r="O2882" s="453"/>
      <c r="P2882" s="113"/>
      <c r="Q2882" s="106" t="str">
        <f>IF(ISBLANK(O2882), "", VLOOKUP(C2882&amp;" "&amp;D2882, 'Info Tipo de Cambio y REM'!$A$24:$B$35, 2, FALSE))</f>
        <v/>
      </c>
      <c r="R2882" s="107"/>
    </row>
    <row r="2883" hidden="1">
      <c r="A2883" s="443"/>
      <c r="B2883" s="43" t="str">
        <f>IF(A2883="", "", IFERROR(VLOOKUP(A2883, Clasificaciones!A:B, 2, FALSE), "DATO NO CARGADO"))
</f>
        <v/>
      </c>
      <c r="C2883" s="51"/>
      <c r="D2883" s="102"/>
      <c r="E2883" s="102"/>
      <c r="H2883" s="102"/>
      <c r="J2883" s="102"/>
      <c r="K2883" s="450"/>
      <c r="L2883" s="443"/>
      <c r="M2883" s="450"/>
      <c r="N2883" s="452">
        <f t="array" ref="N2883">IFERROR(
  INDEX(
    'Valor Hora Real y Estimada'!$A$4:$Z$78,
    MATCH(TRIM(CLEAN(A2883)), 'Valor Hora Real y Estimada'!$A$4:$A$78, 0),
    MATCH(
      TEXT(C2883,"dd mmm")&amp;" "&amp;D2883,
      'Valor Hora Real y Estimada'!$A$3:$Z$3,
      0
    ) + 1
  ),
  0
)</f>
        <v>0</v>
      </c>
      <c r="O2883" s="453"/>
      <c r="P2883" s="113"/>
      <c r="Q2883" s="106" t="str">
        <f>IF(ISBLANK(O2883), "", VLOOKUP(C2883&amp;" "&amp;D2883, 'Info Tipo de Cambio y REM'!$A$24:$B$35, 2, FALSE))</f>
        <v/>
      </c>
      <c r="R2883" s="107"/>
    </row>
    <row r="2884" hidden="1">
      <c r="A2884" s="443"/>
      <c r="B2884" s="43" t="str">
        <f>IF(A2884="", "", IFERROR(VLOOKUP(A2884, Clasificaciones!A:B, 2, FALSE), "DATO NO CARGADO"))
</f>
        <v/>
      </c>
      <c r="C2884" s="51"/>
      <c r="D2884" s="102"/>
      <c r="E2884" s="102"/>
      <c r="H2884" s="102"/>
      <c r="J2884" s="102"/>
      <c r="K2884" s="450"/>
      <c r="L2884" s="443"/>
      <c r="M2884" s="450"/>
      <c r="N2884" s="452">
        <f t="array" ref="N2884">IFERROR(
  INDEX(
    'Valor Hora Real y Estimada'!$A$4:$Z$78,
    MATCH(TRIM(CLEAN(A2884)), 'Valor Hora Real y Estimada'!$A$4:$A$78, 0),
    MATCH(
      TEXT(C2884,"dd mmm")&amp;" "&amp;D2884,
      'Valor Hora Real y Estimada'!$A$3:$Z$3,
      0
    ) + 1
  ),
  0
)</f>
        <v>0</v>
      </c>
      <c r="O2884" s="453"/>
      <c r="P2884" s="113"/>
      <c r="Q2884" s="106" t="str">
        <f>IF(ISBLANK(O2884), "", VLOOKUP(C2884&amp;" "&amp;D2884, 'Info Tipo de Cambio y REM'!$A$24:$B$35, 2, FALSE))</f>
        <v/>
      </c>
      <c r="R2884" s="107"/>
    </row>
    <row r="2885" hidden="1">
      <c r="A2885" s="443"/>
      <c r="B2885" s="43" t="str">
        <f>IF(A2885="", "", IFERROR(VLOOKUP(A2885, Clasificaciones!A:B, 2, FALSE), "DATO NO CARGADO"))
</f>
        <v/>
      </c>
      <c r="C2885" s="51"/>
      <c r="D2885" s="102"/>
      <c r="E2885" s="102"/>
      <c r="H2885" s="102"/>
      <c r="J2885" s="102"/>
      <c r="K2885" s="450"/>
      <c r="L2885" s="443"/>
      <c r="M2885" s="450"/>
      <c r="N2885" s="452">
        <f t="array" ref="N2885">IFERROR(
  INDEX(
    'Valor Hora Real y Estimada'!$A$4:$Z$78,
    MATCH(TRIM(CLEAN(A2885)), 'Valor Hora Real y Estimada'!$A$4:$A$78, 0),
    MATCH(
      TEXT(C2885,"dd mmm")&amp;" "&amp;D2885,
      'Valor Hora Real y Estimada'!$A$3:$Z$3,
      0
    ) + 1
  ),
  0
)</f>
        <v>0</v>
      </c>
      <c r="O2885" s="453"/>
      <c r="P2885" s="113"/>
      <c r="Q2885" s="106" t="str">
        <f>IF(ISBLANK(O2885), "", VLOOKUP(C2885&amp;" "&amp;D2885, 'Info Tipo de Cambio y REM'!$A$24:$B$35, 2, FALSE))</f>
        <v/>
      </c>
      <c r="R2885" s="107"/>
    </row>
    <row r="2886" hidden="1">
      <c r="A2886" s="443"/>
      <c r="B2886" s="43" t="str">
        <f>IF(A2886="", "", IFERROR(VLOOKUP(A2886, Clasificaciones!A:B, 2, FALSE), "DATO NO CARGADO"))
</f>
        <v/>
      </c>
      <c r="C2886" s="51"/>
      <c r="D2886" s="102"/>
      <c r="E2886" s="102"/>
      <c r="H2886" s="102"/>
      <c r="J2886" s="102"/>
      <c r="K2886" s="450"/>
      <c r="L2886" s="443"/>
      <c r="M2886" s="450"/>
      <c r="N2886" s="452">
        <f t="array" ref="N2886">IFERROR(
  INDEX(
    'Valor Hora Real y Estimada'!$A$4:$Z$78,
    MATCH(TRIM(CLEAN(A2886)), 'Valor Hora Real y Estimada'!$A$4:$A$78, 0),
    MATCH(
      TEXT(C2886,"dd mmm")&amp;" "&amp;D2886,
      'Valor Hora Real y Estimada'!$A$3:$Z$3,
      0
    ) + 1
  ),
  0
)</f>
        <v>0</v>
      </c>
      <c r="O2886" s="453"/>
      <c r="P2886" s="113"/>
      <c r="Q2886" s="106" t="str">
        <f>IF(ISBLANK(O2886), "", VLOOKUP(C2886&amp;" "&amp;D2886, 'Info Tipo de Cambio y REM'!$A$24:$B$35, 2, FALSE))</f>
        <v/>
      </c>
      <c r="R2886" s="107"/>
    </row>
    <row r="2887" hidden="1">
      <c r="A2887" s="443"/>
      <c r="B2887" s="43" t="str">
        <f>IF(A2887="", "", IFERROR(VLOOKUP(A2887, Clasificaciones!A:B, 2, FALSE), "DATO NO CARGADO"))
</f>
        <v/>
      </c>
      <c r="C2887" s="51"/>
      <c r="D2887" s="102"/>
      <c r="E2887" s="102"/>
      <c r="H2887" s="102"/>
      <c r="J2887" s="102"/>
      <c r="K2887" s="450"/>
      <c r="L2887" s="443"/>
      <c r="M2887" s="450"/>
      <c r="N2887" s="452">
        <f t="array" ref="N2887">IFERROR(
  INDEX(
    'Valor Hora Real y Estimada'!$A$4:$Z$78,
    MATCH(TRIM(CLEAN(A2887)), 'Valor Hora Real y Estimada'!$A$4:$A$78, 0),
    MATCH(
      TEXT(C2887,"dd mmm")&amp;" "&amp;D2887,
      'Valor Hora Real y Estimada'!$A$3:$Z$3,
      0
    ) + 1
  ),
  0
)</f>
        <v>0</v>
      </c>
      <c r="O2887" s="453"/>
      <c r="P2887" s="113"/>
      <c r="Q2887" s="106" t="str">
        <f>IF(ISBLANK(O2887), "", VLOOKUP(C2887&amp;" "&amp;D2887, 'Info Tipo de Cambio y REM'!$A$24:$B$35, 2, FALSE))</f>
        <v/>
      </c>
      <c r="R2887" s="107"/>
    </row>
    <row r="2888" hidden="1">
      <c r="A2888" s="443"/>
      <c r="B2888" s="43" t="str">
        <f>IF(A2888="", "", IFERROR(VLOOKUP(A2888, Clasificaciones!A:B, 2, FALSE), "DATO NO CARGADO"))
</f>
        <v/>
      </c>
      <c r="C2888" s="51"/>
      <c r="D2888" s="102"/>
      <c r="E2888" s="102"/>
      <c r="H2888" s="102"/>
      <c r="J2888" s="102"/>
      <c r="K2888" s="450"/>
      <c r="L2888" s="443"/>
      <c r="M2888" s="450"/>
      <c r="N2888" s="452">
        <f t="array" ref="N2888">IFERROR(
  INDEX(
    'Valor Hora Real y Estimada'!$A$4:$Z$78,
    MATCH(TRIM(CLEAN(A2888)), 'Valor Hora Real y Estimada'!$A$4:$A$78, 0),
    MATCH(
      TEXT(C2888,"dd mmm")&amp;" "&amp;D2888,
      'Valor Hora Real y Estimada'!$A$3:$Z$3,
      0
    ) + 1
  ),
  0
)</f>
        <v>0</v>
      </c>
      <c r="O2888" s="453"/>
      <c r="P2888" s="113"/>
      <c r="Q2888" s="106" t="str">
        <f>IF(ISBLANK(O2888), "", VLOOKUP(C2888&amp;" "&amp;D2888, 'Info Tipo de Cambio y REM'!$A$24:$B$35, 2, FALSE))</f>
        <v/>
      </c>
      <c r="R2888" s="107"/>
    </row>
    <row r="2889" hidden="1">
      <c r="A2889" s="443"/>
      <c r="B2889" s="43" t="str">
        <f>IF(A2889="", "", IFERROR(VLOOKUP(A2889, Clasificaciones!A:B, 2, FALSE), "DATO NO CARGADO"))
</f>
        <v/>
      </c>
      <c r="C2889" s="51"/>
      <c r="D2889" s="102"/>
      <c r="E2889" s="102"/>
      <c r="H2889" s="102"/>
      <c r="J2889" s="102"/>
      <c r="K2889" s="450"/>
      <c r="L2889" s="443"/>
      <c r="M2889" s="450"/>
      <c r="N2889" s="452">
        <f t="array" ref="N2889">IFERROR(
  INDEX(
    'Valor Hora Real y Estimada'!$A$4:$Z$78,
    MATCH(TRIM(CLEAN(A2889)), 'Valor Hora Real y Estimada'!$A$4:$A$78, 0),
    MATCH(
      TEXT(C2889,"dd mmm")&amp;" "&amp;D2889,
      'Valor Hora Real y Estimada'!$A$3:$Z$3,
      0
    ) + 1
  ),
  0
)</f>
        <v>0</v>
      </c>
      <c r="O2889" s="453"/>
      <c r="P2889" s="113"/>
      <c r="Q2889" s="106" t="str">
        <f>IF(ISBLANK(O2889), "", VLOOKUP(C2889&amp;" "&amp;D2889, 'Info Tipo de Cambio y REM'!$A$24:$B$35, 2, FALSE))</f>
        <v/>
      </c>
      <c r="R2889" s="107"/>
    </row>
    <row r="2890" hidden="1">
      <c r="A2890" s="443"/>
      <c r="B2890" s="43" t="str">
        <f>IF(A2890="", "", IFERROR(VLOOKUP(A2890, Clasificaciones!A:B, 2, FALSE), "DATO NO CARGADO"))
</f>
        <v/>
      </c>
      <c r="C2890" s="51"/>
      <c r="D2890" s="102"/>
      <c r="E2890" s="102"/>
      <c r="H2890" s="102"/>
      <c r="J2890" s="102"/>
      <c r="K2890" s="450"/>
      <c r="L2890" s="443"/>
      <c r="M2890" s="450"/>
      <c r="N2890" s="452">
        <f t="array" ref="N2890">IFERROR(
  INDEX(
    'Valor Hora Real y Estimada'!$A$4:$Z$78,
    MATCH(TRIM(CLEAN(A2890)), 'Valor Hora Real y Estimada'!$A$4:$A$78, 0),
    MATCH(
      TEXT(C2890,"dd mmm")&amp;" "&amp;D2890,
      'Valor Hora Real y Estimada'!$A$3:$Z$3,
      0
    ) + 1
  ),
  0
)</f>
        <v>0</v>
      </c>
      <c r="O2890" s="453"/>
      <c r="P2890" s="113"/>
      <c r="Q2890" s="106" t="str">
        <f>IF(ISBLANK(O2890), "", VLOOKUP(C2890&amp;" "&amp;D2890, 'Info Tipo de Cambio y REM'!$A$24:$B$35, 2, FALSE))</f>
        <v/>
      </c>
      <c r="R2890" s="107"/>
    </row>
    <row r="2891" hidden="1">
      <c r="A2891" s="443"/>
      <c r="B2891" s="43" t="str">
        <f>IF(A2891="", "", IFERROR(VLOOKUP(A2891, Clasificaciones!A:B, 2, FALSE), "DATO NO CARGADO"))
</f>
        <v/>
      </c>
      <c r="C2891" s="51"/>
      <c r="D2891" s="102"/>
      <c r="E2891" s="102"/>
      <c r="H2891" s="102"/>
      <c r="J2891" s="102"/>
      <c r="K2891" s="450"/>
      <c r="L2891" s="443"/>
      <c r="M2891" s="450"/>
      <c r="N2891" s="452">
        <f t="array" ref="N2891">IFERROR(
  INDEX(
    'Valor Hora Real y Estimada'!$A$4:$Z$78,
    MATCH(TRIM(CLEAN(A2891)), 'Valor Hora Real y Estimada'!$A$4:$A$78, 0),
    MATCH(
      TEXT(C2891,"dd mmm")&amp;" "&amp;D2891,
      'Valor Hora Real y Estimada'!$A$3:$Z$3,
      0
    ) + 1
  ),
  0
)</f>
        <v>0</v>
      </c>
      <c r="O2891" s="453"/>
      <c r="P2891" s="113"/>
      <c r="Q2891" s="106" t="str">
        <f>IF(ISBLANK(O2891), "", VLOOKUP(C2891&amp;" "&amp;D2891, 'Info Tipo de Cambio y REM'!$A$24:$B$35, 2, FALSE))</f>
        <v/>
      </c>
      <c r="R2891" s="107"/>
    </row>
    <row r="2892" hidden="1">
      <c r="A2892" s="443"/>
      <c r="B2892" s="43" t="str">
        <f>IF(A2892="", "", IFERROR(VLOOKUP(A2892, Clasificaciones!A:B, 2, FALSE), "DATO NO CARGADO"))
</f>
        <v/>
      </c>
      <c r="C2892" s="51"/>
      <c r="D2892" s="102"/>
      <c r="E2892" s="102"/>
      <c r="H2892" s="102"/>
      <c r="J2892" s="102"/>
      <c r="K2892" s="450"/>
      <c r="L2892" s="443"/>
      <c r="M2892" s="450"/>
      <c r="N2892" s="452">
        <f t="array" ref="N2892">IFERROR(
  INDEX(
    'Valor Hora Real y Estimada'!$A$4:$Z$78,
    MATCH(TRIM(CLEAN(A2892)), 'Valor Hora Real y Estimada'!$A$4:$A$78, 0),
    MATCH(
      TEXT(C2892,"dd mmm")&amp;" "&amp;D2892,
      'Valor Hora Real y Estimada'!$A$3:$Z$3,
      0
    ) + 1
  ),
  0
)</f>
        <v>0</v>
      </c>
      <c r="O2892" s="453"/>
      <c r="P2892" s="113"/>
      <c r="Q2892" s="106" t="str">
        <f>IF(ISBLANK(O2892), "", VLOOKUP(C2892&amp;" "&amp;D2892, 'Info Tipo de Cambio y REM'!$A$24:$B$35, 2, FALSE))</f>
        <v/>
      </c>
      <c r="R2892" s="107"/>
    </row>
    <row r="2893" hidden="1">
      <c r="A2893" s="443"/>
      <c r="B2893" s="43" t="str">
        <f>IF(A2893="", "", IFERROR(VLOOKUP(A2893, Clasificaciones!A:B, 2, FALSE), "DATO NO CARGADO"))
</f>
        <v/>
      </c>
      <c r="C2893" s="51"/>
      <c r="D2893" s="102"/>
      <c r="E2893" s="102"/>
      <c r="H2893" s="102"/>
      <c r="J2893" s="102"/>
      <c r="K2893" s="450"/>
      <c r="L2893" s="443"/>
      <c r="M2893" s="450"/>
      <c r="N2893" s="452">
        <f t="array" ref="N2893">IFERROR(
  INDEX(
    'Valor Hora Real y Estimada'!$A$4:$Z$78,
    MATCH(TRIM(CLEAN(A2893)), 'Valor Hora Real y Estimada'!$A$4:$A$78, 0),
    MATCH(
      TEXT(C2893,"dd mmm")&amp;" "&amp;D2893,
      'Valor Hora Real y Estimada'!$A$3:$Z$3,
      0
    ) + 1
  ),
  0
)</f>
        <v>0</v>
      </c>
      <c r="O2893" s="453"/>
      <c r="P2893" s="113"/>
      <c r="Q2893" s="106" t="str">
        <f>IF(ISBLANK(O2893), "", VLOOKUP(C2893&amp;" "&amp;D2893, 'Info Tipo de Cambio y REM'!$A$24:$B$35, 2, FALSE))</f>
        <v/>
      </c>
      <c r="R2893" s="107"/>
    </row>
    <row r="2894" hidden="1">
      <c r="A2894" s="443"/>
      <c r="B2894" s="43" t="str">
        <f>IF(A2894="", "", IFERROR(VLOOKUP(A2894, Clasificaciones!A:B, 2, FALSE), "DATO NO CARGADO"))
</f>
        <v/>
      </c>
      <c r="C2894" s="51"/>
      <c r="D2894" s="102"/>
      <c r="E2894" s="102"/>
      <c r="H2894" s="102"/>
      <c r="J2894" s="102"/>
      <c r="K2894" s="450"/>
      <c r="L2894" s="443"/>
      <c r="M2894" s="450"/>
      <c r="N2894" s="452">
        <f t="array" ref="N2894">IFERROR(
  INDEX(
    'Valor Hora Real y Estimada'!$A$4:$Z$78,
    MATCH(TRIM(CLEAN(A2894)), 'Valor Hora Real y Estimada'!$A$4:$A$78, 0),
    MATCH(
      TEXT(C2894,"dd mmm")&amp;" "&amp;D2894,
      'Valor Hora Real y Estimada'!$A$3:$Z$3,
      0
    ) + 1
  ),
  0
)</f>
        <v>0</v>
      </c>
      <c r="O2894" s="453"/>
      <c r="P2894" s="113"/>
      <c r="Q2894" s="106" t="str">
        <f>IF(ISBLANK(O2894), "", VLOOKUP(C2894&amp;" "&amp;D2894, 'Info Tipo de Cambio y REM'!$A$24:$B$35, 2, FALSE))</f>
        <v/>
      </c>
      <c r="R2894" s="107"/>
    </row>
    <row r="2895" hidden="1">
      <c r="A2895" s="443"/>
      <c r="B2895" s="43" t="str">
        <f>IF(A2895="", "", IFERROR(VLOOKUP(A2895, Clasificaciones!A:B, 2, FALSE), "DATO NO CARGADO"))
</f>
        <v/>
      </c>
      <c r="C2895" s="51"/>
      <c r="D2895" s="102"/>
      <c r="E2895" s="102"/>
      <c r="H2895" s="102"/>
      <c r="J2895" s="102"/>
      <c r="K2895" s="450"/>
      <c r="L2895" s="443"/>
      <c r="M2895" s="450"/>
      <c r="N2895" s="452">
        <f t="array" ref="N2895">IFERROR(
  INDEX(
    'Valor Hora Real y Estimada'!$A$4:$Z$78,
    MATCH(TRIM(CLEAN(A2895)), 'Valor Hora Real y Estimada'!$A$4:$A$78, 0),
    MATCH(
      TEXT(C2895,"dd mmm")&amp;" "&amp;D2895,
      'Valor Hora Real y Estimada'!$A$3:$Z$3,
      0
    ) + 1
  ),
  0
)</f>
        <v>0</v>
      </c>
      <c r="O2895" s="453"/>
      <c r="P2895" s="113"/>
      <c r="Q2895" s="106" t="str">
        <f>IF(ISBLANK(O2895), "", VLOOKUP(C2895&amp;" "&amp;D2895, 'Info Tipo de Cambio y REM'!$A$24:$B$35, 2, FALSE))</f>
        <v/>
      </c>
      <c r="R2895" s="107"/>
    </row>
    <row r="2896" hidden="1">
      <c r="A2896" s="443"/>
      <c r="B2896" s="43" t="str">
        <f>IF(A2896="", "", IFERROR(VLOOKUP(A2896, Clasificaciones!A:B, 2, FALSE), "DATO NO CARGADO"))
</f>
        <v/>
      </c>
      <c r="C2896" s="51"/>
      <c r="D2896" s="102"/>
      <c r="E2896" s="102"/>
      <c r="H2896" s="102"/>
      <c r="J2896" s="102"/>
      <c r="K2896" s="450"/>
      <c r="L2896" s="443"/>
      <c r="M2896" s="450"/>
      <c r="N2896" s="452">
        <f t="array" ref="N2896">IFERROR(
  INDEX(
    'Valor Hora Real y Estimada'!$A$4:$Z$78,
    MATCH(TRIM(CLEAN(A2896)), 'Valor Hora Real y Estimada'!$A$4:$A$78, 0),
    MATCH(
      TEXT(C2896,"dd mmm")&amp;" "&amp;D2896,
      'Valor Hora Real y Estimada'!$A$3:$Z$3,
      0
    ) + 1
  ),
  0
)</f>
        <v>0</v>
      </c>
      <c r="O2896" s="453"/>
      <c r="P2896" s="113"/>
      <c r="Q2896" s="106" t="str">
        <f>IF(ISBLANK(O2896), "", VLOOKUP(C2896&amp;" "&amp;D2896, 'Info Tipo de Cambio y REM'!$A$24:$B$35, 2, FALSE))</f>
        <v/>
      </c>
      <c r="R2896" s="107"/>
    </row>
    <row r="2897" hidden="1">
      <c r="A2897" s="443"/>
      <c r="B2897" s="43" t="str">
        <f>IF(A2897="", "", IFERROR(VLOOKUP(A2897, Clasificaciones!A:B, 2, FALSE), "DATO NO CARGADO"))
</f>
        <v/>
      </c>
      <c r="C2897" s="51"/>
      <c r="D2897" s="102"/>
      <c r="E2897" s="102"/>
      <c r="H2897" s="102"/>
      <c r="J2897" s="102"/>
      <c r="K2897" s="450"/>
      <c r="L2897" s="443"/>
      <c r="M2897" s="450"/>
      <c r="N2897" s="452">
        <f t="array" ref="N2897">IFERROR(
  INDEX(
    'Valor Hora Real y Estimada'!$A$4:$Z$78,
    MATCH(TRIM(CLEAN(A2897)), 'Valor Hora Real y Estimada'!$A$4:$A$78, 0),
    MATCH(
      TEXT(C2897,"dd mmm")&amp;" "&amp;D2897,
      'Valor Hora Real y Estimada'!$A$3:$Z$3,
      0
    ) + 1
  ),
  0
)</f>
        <v>0</v>
      </c>
      <c r="O2897" s="453"/>
      <c r="P2897" s="113"/>
      <c r="Q2897" s="106" t="str">
        <f>IF(ISBLANK(O2897), "", VLOOKUP(C2897&amp;" "&amp;D2897, 'Info Tipo de Cambio y REM'!$A$24:$B$35, 2, FALSE))</f>
        <v/>
      </c>
      <c r="R2897" s="107"/>
    </row>
    <row r="2898" hidden="1">
      <c r="A2898" s="443"/>
      <c r="B2898" s="43" t="str">
        <f>IF(A2898="", "", IFERROR(VLOOKUP(A2898, Clasificaciones!A:B, 2, FALSE), "DATO NO CARGADO"))
</f>
        <v/>
      </c>
      <c r="C2898" s="51"/>
      <c r="D2898" s="102"/>
      <c r="E2898" s="102"/>
      <c r="H2898" s="102"/>
      <c r="J2898" s="102"/>
      <c r="K2898" s="450"/>
      <c r="L2898" s="443"/>
      <c r="M2898" s="450"/>
      <c r="N2898" s="452">
        <f t="array" ref="N2898">IFERROR(
  INDEX(
    'Valor Hora Real y Estimada'!$A$4:$Z$78,
    MATCH(TRIM(CLEAN(A2898)), 'Valor Hora Real y Estimada'!$A$4:$A$78, 0),
    MATCH(
      TEXT(C2898,"dd mmm")&amp;" "&amp;D2898,
      'Valor Hora Real y Estimada'!$A$3:$Z$3,
      0
    ) + 1
  ),
  0
)</f>
        <v>0</v>
      </c>
      <c r="O2898" s="453"/>
      <c r="P2898" s="113"/>
      <c r="Q2898" s="106" t="str">
        <f>IF(ISBLANK(O2898), "", VLOOKUP(C2898&amp;" "&amp;D2898, 'Info Tipo de Cambio y REM'!$A$24:$B$35, 2, FALSE))</f>
        <v/>
      </c>
      <c r="R2898" s="107"/>
    </row>
    <row r="2899" hidden="1">
      <c r="A2899" s="443"/>
      <c r="B2899" s="43" t="str">
        <f>IF(A2899="", "", IFERROR(VLOOKUP(A2899, Clasificaciones!A:B, 2, FALSE), "DATO NO CARGADO"))
</f>
        <v/>
      </c>
      <c r="C2899" s="51"/>
      <c r="D2899" s="102"/>
      <c r="E2899" s="102"/>
      <c r="H2899" s="102"/>
      <c r="J2899" s="102"/>
      <c r="K2899" s="450"/>
      <c r="L2899" s="443"/>
      <c r="M2899" s="450"/>
      <c r="N2899" s="452">
        <f t="array" ref="N2899">IFERROR(
  INDEX(
    'Valor Hora Real y Estimada'!$A$4:$Z$78,
    MATCH(TRIM(CLEAN(A2899)), 'Valor Hora Real y Estimada'!$A$4:$A$78, 0),
    MATCH(
      TEXT(C2899,"dd mmm")&amp;" "&amp;D2899,
      'Valor Hora Real y Estimada'!$A$3:$Z$3,
      0
    ) + 1
  ),
  0
)</f>
        <v>0</v>
      </c>
      <c r="O2899" s="453"/>
      <c r="P2899" s="113"/>
      <c r="Q2899" s="106" t="str">
        <f>IF(ISBLANK(O2899), "", VLOOKUP(C2899&amp;" "&amp;D2899, 'Info Tipo de Cambio y REM'!$A$24:$B$35, 2, FALSE))</f>
        <v/>
      </c>
      <c r="R2899" s="107"/>
    </row>
    <row r="2900" hidden="1">
      <c r="A2900" s="443"/>
      <c r="B2900" s="43" t="str">
        <f>IF(A2900="", "", IFERROR(VLOOKUP(A2900, Clasificaciones!A:B, 2, FALSE), "DATO NO CARGADO"))
</f>
        <v/>
      </c>
      <c r="C2900" s="51"/>
      <c r="D2900" s="102"/>
      <c r="E2900" s="102"/>
      <c r="H2900" s="102"/>
      <c r="J2900" s="102"/>
      <c r="K2900" s="450"/>
      <c r="L2900" s="443"/>
      <c r="M2900" s="450"/>
      <c r="N2900" s="452">
        <f t="array" ref="N2900">IFERROR(
  INDEX(
    'Valor Hora Real y Estimada'!$A$4:$Z$78,
    MATCH(TRIM(CLEAN(A2900)), 'Valor Hora Real y Estimada'!$A$4:$A$78, 0),
    MATCH(
      TEXT(C2900,"dd mmm")&amp;" "&amp;D2900,
      'Valor Hora Real y Estimada'!$A$3:$Z$3,
      0
    ) + 1
  ),
  0
)</f>
        <v>0</v>
      </c>
      <c r="O2900" s="453"/>
      <c r="P2900" s="113"/>
      <c r="Q2900" s="106" t="str">
        <f>IF(ISBLANK(O2900), "", VLOOKUP(C2900&amp;" "&amp;D2900, 'Info Tipo de Cambio y REM'!$A$24:$B$35, 2, FALSE))</f>
        <v/>
      </c>
      <c r="R2900" s="107"/>
    </row>
    <row r="2901" hidden="1">
      <c r="A2901" s="443"/>
      <c r="B2901" s="43" t="str">
        <f>IF(A2901="", "", IFERROR(VLOOKUP(A2901, Clasificaciones!A:B, 2, FALSE), "DATO NO CARGADO"))
</f>
        <v/>
      </c>
      <c r="C2901" s="51"/>
      <c r="D2901" s="102"/>
      <c r="E2901" s="102"/>
      <c r="H2901" s="102"/>
      <c r="J2901" s="102"/>
      <c r="K2901" s="450"/>
      <c r="L2901" s="443"/>
      <c r="M2901" s="450"/>
      <c r="N2901" s="452">
        <f t="array" ref="N2901">IFERROR(
  INDEX(
    'Valor Hora Real y Estimada'!$A$4:$Z$78,
    MATCH(TRIM(CLEAN(A2901)), 'Valor Hora Real y Estimada'!$A$4:$A$78, 0),
    MATCH(
      TEXT(C2901,"dd mmm")&amp;" "&amp;D2901,
      'Valor Hora Real y Estimada'!$A$3:$Z$3,
      0
    ) + 1
  ),
  0
)</f>
        <v>0</v>
      </c>
      <c r="O2901" s="453"/>
      <c r="P2901" s="113"/>
      <c r="Q2901" s="106" t="str">
        <f>IF(ISBLANK(O2901), "", VLOOKUP(C2901&amp;" "&amp;D2901, 'Info Tipo de Cambio y REM'!$A$24:$B$35, 2, FALSE))</f>
        <v/>
      </c>
      <c r="R2901" s="107"/>
    </row>
    <row r="2902" hidden="1">
      <c r="A2902" s="443"/>
      <c r="B2902" s="43" t="str">
        <f>IF(A2902="", "", IFERROR(VLOOKUP(A2902, Clasificaciones!A:B, 2, FALSE), "DATO NO CARGADO"))
</f>
        <v/>
      </c>
      <c r="C2902" s="51"/>
      <c r="D2902" s="102"/>
      <c r="E2902" s="102"/>
      <c r="H2902" s="102"/>
      <c r="J2902" s="102"/>
      <c r="K2902" s="450"/>
      <c r="L2902" s="443"/>
      <c r="M2902" s="450"/>
      <c r="N2902" s="452">
        <f t="array" ref="N2902">IFERROR(
  INDEX(
    'Valor Hora Real y Estimada'!$A$4:$Z$78,
    MATCH(TRIM(CLEAN(A2902)), 'Valor Hora Real y Estimada'!$A$4:$A$78, 0),
    MATCH(
      TEXT(C2902,"dd mmm")&amp;" "&amp;D2902,
      'Valor Hora Real y Estimada'!$A$3:$Z$3,
      0
    ) + 1
  ),
  0
)</f>
        <v>0</v>
      </c>
      <c r="O2902" s="453"/>
      <c r="P2902" s="113"/>
      <c r="Q2902" s="106" t="str">
        <f>IF(ISBLANK(O2902), "", VLOOKUP(C2902&amp;" "&amp;D2902, 'Info Tipo de Cambio y REM'!$A$24:$B$35, 2, FALSE))</f>
        <v/>
      </c>
      <c r="R2902" s="107"/>
    </row>
    <row r="2903" hidden="1">
      <c r="A2903" s="443"/>
      <c r="B2903" s="43" t="str">
        <f>IF(A2903="", "", IFERROR(VLOOKUP(A2903, Clasificaciones!A:B, 2, FALSE), "DATO NO CARGADO"))
</f>
        <v/>
      </c>
      <c r="C2903" s="51"/>
      <c r="D2903" s="102"/>
      <c r="E2903" s="102"/>
      <c r="H2903" s="102"/>
      <c r="J2903" s="102"/>
      <c r="K2903" s="450"/>
      <c r="L2903" s="443"/>
      <c r="M2903" s="450"/>
      <c r="N2903" s="452">
        <f t="array" ref="N2903">IFERROR(
  INDEX(
    'Valor Hora Real y Estimada'!$A$4:$Z$78,
    MATCH(TRIM(CLEAN(A2903)), 'Valor Hora Real y Estimada'!$A$4:$A$78, 0),
    MATCH(
      TEXT(C2903,"dd mmm")&amp;" "&amp;D2903,
      'Valor Hora Real y Estimada'!$A$3:$Z$3,
      0
    ) + 1
  ),
  0
)</f>
        <v>0</v>
      </c>
      <c r="O2903" s="453"/>
      <c r="P2903" s="113"/>
      <c r="Q2903" s="106" t="str">
        <f>IF(ISBLANK(O2903), "", VLOOKUP(C2903&amp;" "&amp;D2903, 'Info Tipo de Cambio y REM'!$A$24:$B$35, 2, FALSE))</f>
        <v/>
      </c>
      <c r="R2903" s="107"/>
    </row>
    <row r="2904" hidden="1">
      <c r="A2904" s="443"/>
      <c r="B2904" s="43" t="str">
        <f>IF(A2904="", "", IFERROR(VLOOKUP(A2904, Clasificaciones!A:B, 2, FALSE), "DATO NO CARGADO"))
</f>
        <v/>
      </c>
      <c r="C2904" s="51"/>
      <c r="D2904" s="102"/>
      <c r="E2904" s="102"/>
      <c r="H2904" s="102"/>
      <c r="J2904" s="102"/>
      <c r="K2904" s="450"/>
      <c r="L2904" s="443"/>
      <c r="M2904" s="450"/>
      <c r="N2904" s="452">
        <f t="array" ref="N2904">IFERROR(
  INDEX(
    'Valor Hora Real y Estimada'!$A$4:$Z$78,
    MATCH(TRIM(CLEAN(A2904)), 'Valor Hora Real y Estimada'!$A$4:$A$78, 0),
    MATCH(
      TEXT(C2904,"dd mmm")&amp;" "&amp;D2904,
      'Valor Hora Real y Estimada'!$A$3:$Z$3,
      0
    ) + 1
  ),
  0
)</f>
        <v>0</v>
      </c>
      <c r="O2904" s="453"/>
      <c r="P2904" s="113"/>
      <c r="Q2904" s="106" t="str">
        <f>IF(ISBLANK(O2904), "", VLOOKUP(C2904&amp;" "&amp;D2904, 'Info Tipo de Cambio y REM'!$A$24:$B$35, 2, FALSE))</f>
        <v/>
      </c>
      <c r="R2904" s="107"/>
    </row>
    <row r="2905" hidden="1">
      <c r="A2905" s="443"/>
      <c r="B2905" s="43" t="str">
        <f>IF(A2905="", "", IFERROR(VLOOKUP(A2905, Clasificaciones!A:B, 2, FALSE), "DATO NO CARGADO"))
</f>
        <v/>
      </c>
      <c r="C2905" s="51"/>
      <c r="D2905" s="102"/>
      <c r="E2905" s="102"/>
      <c r="H2905" s="102"/>
      <c r="J2905" s="102"/>
      <c r="K2905" s="450"/>
      <c r="L2905" s="443"/>
      <c r="M2905" s="450"/>
      <c r="N2905" s="452">
        <f t="array" ref="N2905">IFERROR(
  INDEX(
    'Valor Hora Real y Estimada'!$A$4:$Z$78,
    MATCH(TRIM(CLEAN(A2905)), 'Valor Hora Real y Estimada'!$A$4:$A$78, 0),
    MATCH(
      TEXT(C2905,"dd mmm")&amp;" "&amp;D2905,
      'Valor Hora Real y Estimada'!$A$3:$Z$3,
      0
    ) + 1
  ),
  0
)</f>
        <v>0</v>
      </c>
      <c r="O2905" s="453"/>
      <c r="P2905" s="113"/>
      <c r="Q2905" s="106" t="str">
        <f>IF(ISBLANK(O2905), "", VLOOKUP(C2905&amp;" "&amp;D2905, 'Info Tipo de Cambio y REM'!$A$24:$B$35, 2, FALSE))</f>
        <v/>
      </c>
      <c r="R2905" s="107"/>
    </row>
    <row r="2906" hidden="1">
      <c r="A2906" s="443"/>
      <c r="B2906" s="43" t="str">
        <f>IF(A2906="", "", IFERROR(VLOOKUP(A2906, Clasificaciones!A:B, 2, FALSE), "DATO NO CARGADO"))
</f>
        <v/>
      </c>
      <c r="C2906" s="51"/>
      <c r="D2906" s="102"/>
      <c r="E2906" s="102"/>
      <c r="H2906" s="102"/>
      <c r="J2906" s="102"/>
      <c r="K2906" s="450"/>
      <c r="L2906" s="443"/>
      <c r="M2906" s="450"/>
      <c r="N2906" s="452">
        <f t="array" ref="N2906">IFERROR(
  INDEX(
    'Valor Hora Real y Estimada'!$A$4:$Z$78,
    MATCH(TRIM(CLEAN(A2906)), 'Valor Hora Real y Estimada'!$A$4:$A$78, 0),
    MATCH(
      TEXT(C2906,"dd mmm")&amp;" "&amp;D2906,
      'Valor Hora Real y Estimada'!$A$3:$Z$3,
      0
    ) + 1
  ),
  0
)</f>
        <v>0</v>
      </c>
      <c r="O2906" s="453"/>
      <c r="P2906" s="113"/>
      <c r="Q2906" s="106" t="str">
        <f>IF(ISBLANK(O2906), "", VLOOKUP(C2906&amp;" "&amp;D2906, 'Info Tipo de Cambio y REM'!$A$24:$B$35, 2, FALSE))</f>
        <v/>
      </c>
      <c r="R2906" s="107"/>
    </row>
    <row r="2907" hidden="1">
      <c r="A2907" s="443"/>
      <c r="B2907" s="43" t="str">
        <f>IF(A2907="", "", IFERROR(VLOOKUP(A2907, Clasificaciones!A:B, 2, FALSE), "DATO NO CARGADO"))
</f>
        <v/>
      </c>
      <c r="C2907" s="51"/>
      <c r="D2907" s="102"/>
      <c r="E2907" s="102"/>
      <c r="H2907" s="102"/>
      <c r="J2907" s="102"/>
      <c r="K2907" s="450"/>
      <c r="L2907" s="443"/>
      <c r="M2907" s="450"/>
      <c r="N2907" s="452">
        <f t="array" ref="N2907">IFERROR(
  INDEX(
    'Valor Hora Real y Estimada'!$A$4:$Z$78,
    MATCH(TRIM(CLEAN(A2907)), 'Valor Hora Real y Estimada'!$A$4:$A$78, 0),
    MATCH(
      TEXT(C2907,"dd mmm")&amp;" "&amp;D2907,
      'Valor Hora Real y Estimada'!$A$3:$Z$3,
      0
    ) + 1
  ),
  0
)</f>
        <v>0</v>
      </c>
      <c r="O2907" s="453"/>
      <c r="P2907" s="113"/>
      <c r="Q2907" s="106" t="str">
        <f>IF(ISBLANK(O2907), "", VLOOKUP(C2907&amp;" "&amp;D2907, 'Info Tipo de Cambio y REM'!$A$24:$B$35, 2, FALSE))</f>
        <v/>
      </c>
      <c r="R2907" s="107"/>
    </row>
    <row r="2908" hidden="1">
      <c r="A2908" s="443"/>
      <c r="B2908" s="43" t="str">
        <f>IF(A2908="", "", IFERROR(VLOOKUP(A2908, Clasificaciones!A:B, 2, FALSE), "DATO NO CARGADO"))
</f>
        <v/>
      </c>
      <c r="C2908" s="51"/>
      <c r="D2908" s="102"/>
      <c r="E2908" s="102"/>
      <c r="H2908" s="102"/>
      <c r="J2908" s="102"/>
      <c r="K2908" s="450"/>
      <c r="L2908" s="443"/>
      <c r="M2908" s="450"/>
      <c r="N2908" s="452">
        <f t="array" ref="N2908">IFERROR(
  INDEX(
    'Valor Hora Real y Estimada'!$A$4:$Z$78,
    MATCH(TRIM(CLEAN(A2908)), 'Valor Hora Real y Estimada'!$A$4:$A$78, 0),
    MATCH(
      TEXT(C2908,"dd mmm")&amp;" "&amp;D2908,
      'Valor Hora Real y Estimada'!$A$3:$Z$3,
      0
    ) + 1
  ),
  0
)</f>
        <v>0</v>
      </c>
      <c r="O2908" s="453"/>
      <c r="P2908" s="113"/>
      <c r="Q2908" s="106" t="str">
        <f>IF(ISBLANK(O2908), "", VLOOKUP(C2908&amp;" "&amp;D2908, 'Info Tipo de Cambio y REM'!$A$24:$B$35, 2, FALSE))</f>
        <v/>
      </c>
      <c r="R2908" s="107"/>
    </row>
    <row r="2909" hidden="1">
      <c r="A2909" s="443"/>
      <c r="B2909" s="43" t="str">
        <f>IF(A2909="", "", IFERROR(VLOOKUP(A2909, Clasificaciones!A:B, 2, FALSE), "DATO NO CARGADO"))
</f>
        <v/>
      </c>
      <c r="C2909" s="51"/>
      <c r="D2909" s="102"/>
      <c r="E2909" s="102"/>
      <c r="H2909" s="102"/>
      <c r="J2909" s="102"/>
      <c r="K2909" s="450"/>
      <c r="L2909" s="443"/>
      <c r="M2909" s="450"/>
      <c r="N2909" s="452">
        <f t="array" ref="N2909">IFERROR(
  INDEX(
    'Valor Hora Real y Estimada'!$A$4:$Z$78,
    MATCH(TRIM(CLEAN(A2909)), 'Valor Hora Real y Estimada'!$A$4:$A$78, 0),
    MATCH(
      TEXT(C2909,"dd mmm")&amp;" "&amp;D2909,
      'Valor Hora Real y Estimada'!$A$3:$Z$3,
      0
    ) + 1
  ),
  0
)</f>
        <v>0</v>
      </c>
      <c r="O2909" s="453"/>
      <c r="P2909" s="113"/>
      <c r="Q2909" s="106" t="str">
        <f>IF(ISBLANK(O2909), "", VLOOKUP(C2909&amp;" "&amp;D2909, 'Info Tipo de Cambio y REM'!$A$24:$B$35, 2, FALSE))</f>
        <v/>
      </c>
      <c r="R2909" s="107"/>
    </row>
    <row r="2910" hidden="1">
      <c r="A2910" s="443"/>
      <c r="B2910" s="43" t="str">
        <f>IF(A2910="", "", IFERROR(VLOOKUP(A2910, Clasificaciones!A:B, 2, FALSE), "DATO NO CARGADO"))
</f>
        <v/>
      </c>
      <c r="C2910" s="51"/>
      <c r="D2910" s="102"/>
      <c r="E2910" s="102"/>
      <c r="H2910" s="102"/>
      <c r="J2910" s="102"/>
      <c r="K2910" s="450"/>
      <c r="L2910" s="443"/>
      <c r="M2910" s="450"/>
      <c r="N2910" s="452">
        <f t="array" ref="N2910">IFERROR(
  INDEX(
    'Valor Hora Real y Estimada'!$A$4:$Z$78,
    MATCH(TRIM(CLEAN(A2910)), 'Valor Hora Real y Estimada'!$A$4:$A$78, 0),
    MATCH(
      TEXT(C2910,"dd mmm")&amp;" "&amp;D2910,
      'Valor Hora Real y Estimada'!$A$3:$Z$3,
      0
    ) + 1
  ),
  0
)</f>
        <v>0</v>
      </c>
      <c r="O2910" s="453"/>
      <c r="P2910" s="113"/>
      <c r="Q2910" s="106" t="str">
        <f>IF(ISBLANK(O2910), "", VLOOKUP(C2910&amp;" "&amp;D2910, 'Info Tipo de Cambio y REM'!$A$24:$B$35, 2, FALSE))</f>
        <v/>
      </c>
      <c r="R2910" s="107"/>
    </row>
    <row r="2911" hidden="1">
      <c r="A2911" s="443"/>
      <c r="B2911" s="43" t="str">
        <f>IF(A2911="", "", IFERROR(VLOOKUP(A2911, Clasificaciones!A:B, 2, FALSE), "DATO NO CARGADO"))
</f>
        <v/>
      </c>
      <c r="C2911" s="51"/>
      <c r="D2911" s="102"/>
      <c r="E2911" s="102"/>
      <c r="H2911" s="102"/>
      <c r="J2911" s="102"/>
      <c r="K2911" s="450"/>
      <c r="L2911" s="443"/>
      <c r="M2911" s="450"/>
      <c r="N2911" s="452">
        <f t="array" ref="N2911">IFERROR(
  INDEX(
    'Valor Hora Real y Estimada'!$A$4:$Z$78,
    MATCH(TRIM(CLEAN(A2911)), 'Valor Hora Real y Estimada'!$A$4:$A$78, 0),
    MATCH(
      TEXT(C2911,"dd mmm")&amp;" "&amp;D2911,
      'Valor Hora Real y Estimada'!$A$3:$Z$3,
      0
    ) + 1
  ),
  0
)</f>
        <v>0</v>
      </c>
      <c r="O2911" s="453"/>
      <c r="P2911" s="113"/>
      <c r="Q2911" s="106" t="str">
        <f>IF(ISBLANK(O2911), "", VLOOKUP(C2911&amp;" "&amp;D2911, 'Info Tipo de Cambio y REM'!$A$24:$B$35, 2, FALSE))</f>
        <v/>
      </c>
      <c r="R2911" s="107"/>
    </row>
    <row r="2912" hidden="1">
      <c r="A2912" s="443"/>
      <c r="B2912" s="43" t="str">
        <f>IF(A2912="", "", IFERROR(VLOOKUP(A2912, Clasificaciones!A:B, 2, FALSE), "DATO NO CARGADO"))
</f>
        <v/>
      </c>
      <c r="C2912" s="51"/>
      <c r="D2912" s="102"/>
      <c r="E2912" s="102"/>
      <c r="H2912" s="102"/>
      <c r="J2912" s="102"/>
      <c r="K2912" s="450"/>
      <c r="L2912" s="443"/>
      <c r="M2912" s="450"/>
      <c r="N2912" s="452">
        <f t="array" ref="N2912">IFERROR(
  INDEX(
    'Valor Hora Real y Estimada'!$A$4:$Z$78,
    MATCH(TRIM(CLEAN(A2912)), 'Valor Hora Real y Estimada'!$A$4:$A$78, 0),
    MATCH(
      TEXT(C2912,"dd mmm")&amp;" "&amp;D2912,
      'Valor Hora Real y Estimada'!$A$3:$Z$3,
      0
    ) + 1
  ),
  0
)</f>
        <v>0</v>
      </c>
      <c r="O2912" s="453"/>
      <c r="P2912" s="113"/>
      <c r="Q2912" s="106" t="str">
        <f>IF(ISBLANK(O2912), "", VLOOKUP(C2912&amp;" "&amp;D2912, 'Info Tipo de Cambio y REM'!$A$24:$B$35, 2, FALSE))</f>
        <v/>
      </c>
      <c r="R2912" s="107"/>
    </row>
    <row r="2913" hidden="1">
      <c r="A2913" s="443"/>
      <c r="B2913" s="43" t="str">
        <f>IF(A2913="", "", IFERROR(VLOOKUP(A2913, Clasificaciones!A:B, 2, FALSE), "DATO NO CARGADO"))
</f>
        <v/>
      </c>
      <c r="C2913" s="51"/>
      <c r="D2913" s="102"/>
      <c r="E2913" s="102"/>
      <c r="H2913" s="102"/>
      <c r="J2913" s="102"/>
      <c r="K2913" s="450"/>
      <c r="L2913" s="443"/>
      <c r="M2913" s="450"/>
      <c r="N2913" s="452">
        <f t="array" ref="N2913">IFERROR(
  INDEX(
    'Valor Hora Real y Estimada'!$A$4:$Z$78,
    MATCH(TRIM(CLEAN(A2913)), 'Valor Hora Real y Estimada'!$A$4:$A$78, 0),
    MATCH(
      TEXT(C2913,"dd mmm")&amp;" "&amp;D2913,
      'Valor Hora Real y Estimada'!$A$3:$Z$3,
      0
    ) + 1
  ),
  0
)</f>
        <v>0</v>
      </c>
      <c r="O2913" s="453"/>
      <c r="P2913" s="113"/>
      <c r="Q2913" s="106" t="str">
        <f>IF(ISBLANK(O2913), "", VLOOKUP(C2913&amp;" "&amp;D2913, 'Info Tipo de Cambio y REM'!$A$24:$B$35, 2, FALSE))</f>
        <v/>
      </c>
      <c r="R2913" s="107"/>
    </row>
    <row r="2914" hidden="1">
      <c r="A2914" s="443"/>
      <c r="B2914" s="43" t="str">
        <f>IF(A2914="", "", IFERROR(VLOOKUP(A2914, Clasificaciones!A:B, 2, FALSE), "DATO NO CARGADO"))
</f>
        <v/>
      </c>
      <c r="C2914" s="51"/>
      <c r="D2914" s="102"/>
      <c r="E2914" s="102"/>
      <c r="H2914" s="102"/>
      <c r="J2914" s="102"/>
      <c r="K2914" s="450"/>
      <c r="L2914" s="443"/>
      <c r="M2914" s="450"/>
      <c r="N2914" s="452">
        <f t="array" ref="N2914">IFERROR(
  INDEX(
    'Valor Hora Real y Estimada'!$A$4:$Z$78,
    MATCH(TRIM(CLEAN(A2914)), 'Valor Hora Real y Estimada'!$A$4:$A$78, 0),
    MATCH(
      TEXT(C2914,"dd mmm")&amp;" "&amp;D2914,
      'Valor Hora Real y Estimada'!$A$3:$Z$3,
      0
    ) + 1
  ),
  0
)</f>
        <v>0</v>
      </c>
      <c r="O2914" s="453"/>
      <c r="P2914" s="113"/>
      <c r="Q2914" s="106" t="str">
        <f>IF(ISBLANK(O2914), "", VLOOKUP(C2914&amp;" "&amp;D2914, 'Info Tipo de Cambio y REM'!$A$24:$B$35, 2, FALSE))</f>
        <v/>
      </c>
      <c r="R2914" s="107"/>
    </row>
    <row r="2915" hidden="1">
      <c r="A2915" s="443"/>
      <c r="B2915" s="43" t="str">
        <f>IF(A2915="", "", IFERROR(VLOOKUP(A2915, Clasificaciones!A:B, 2, FALSE), "DATO NO CARGADO"))
</f>
        <v/>
      </c>
      <c r="C2915" s="51"/>
      <c r="D2915" s="102"/>
      <c r="E2915" s="102"/>
      <c r="H2915" s="102"/>
      <c r="J2915" s="102"/>
      <c r="K2915" s="450"/>
      <c r="L2915" s="443"/>
      <c r="M2915" s="450"/>
      <c r="N2915" s="452">
        <f t="array" ref="N2915">IFERROR(
  INDEX(
    'Valor Hora Real y Estimada'!$A$4:$Z$78,
    MATCH(TRIM(CLEAN(A2915)), 'Valor Hora Real y Estimada'!$A$4:$A$78, 0),
    MATCH(
      TEXT(C2915,"dd mmm")&amp;" "&amp;D2915,
      'Valor Hora Real y Estimada'!$A$3:$Z$3,
      0
    ) + 1
  ),
  0
)</f>
        <v>0</v>
      </c>
      <c r="O2915" s="453"/>
      <c r="P2915" s="113"/>
      <c r="Q2915" s="106" t="str">
        <f>IF(ISBLANK(O2915), "", VLOOKUP(C2915&amp;" "&amp;D2915, 'Info Tipo de Cambio y REM'!$A$24:$B$35, 2, FALSE))</f>
        <v/>
      </c>
      <c r="R2915" s="107"/>
    </row>
    <row r="2916" hidden="1">
      <c r="A2916" s="443"/>
      <c r="B2916" s="43" t="str">
        <f>IF(A2916="", "", IFERROR(VLOOKUP(A2916, Clasificaciones!A:B, 2, FALSE), "DATO NO CARGADO"))
</f>
        <v/>
      </c>
      <c r="C2916" s="51"/>
      <c r="D2916" s="102"/>
      <c r="E2916" s="102"/>
      <c r="H2916" s="102"/>
      <c r="J2916" s="102"/>
      <c r="K2916" s="450"/>
      <c r="L2916" s="443"/>
      <c r="M2916" s="450"/>
      <c r="N2916" s="452">
        <f t="array" ref="N2916">IFERROR(
  INDEX(
    'Valor Hora Real y Estimada'!$A$4:$Z$78,
    MATCH(TRIM(CLEAN(A2916)), 'Valor Hora Real y Estimada'!$A$4:$A$78, 0),
    MATCH(
      TEXT(C2916,"dd mmm")&amp;" "&amp;D2916,
      'Valor Hora Real y Estimada'!$A$3:$Z$3,
      0
    ) + 1
  ),
  0
)</f>
        <v>0</v>
      </c>
      <c r="O2916" s="453"/>
      <c r="P2916" s="113"/>
      <c r="Q2916" s="106" t="str">
        <f>IF(ISBLANK(O2916), "", VLOOKUP(C2916&amp;" "&amp;D2916, 'Info Tipo de Cambio y REM'!$A$24:$B$35, 2, FALSE))</f>
        <v/>
      </c>
      <c r="R2916" s="107"/>
    </row>
    <row r="2917" hidden="1">
      <c r="A2917" s="443"/>
      <c r="B2917" s="43" t="str">
        <f>IF(A2917="", "", IFERROR(VLOOKUP(A2917, Clasificaciones!A:B, 2, FALSE), "DATO NO CARGADO"))
</f>
        <v/>
      </c>
      <c r="C2917" s="51"/>
      <c r="D2917" s="102"/>
      <c r="E2917" s="102"/>
      <c r="H2917" s="102"/>
      <c r="J2917" s="102"/>
      <c r="K2917" s="450"/>
      <c r="L2917" s="443"/>
      <c r="M2917" s="450"/>
      <c r="N2917" s="452">
        <f t="array" ref="N2917">IFERROR(
  INDEX(
    'Valor Hora Real y Estimada'!$A$4:$Z$78,
    MATCH(TRIM(CLEAN(A2917)), 'Valor Hora Real y Estimada'!$A$4:$A$78, 0),
    MATCH(
      TEXT(C2917,"dd mmm")&amp;" "&amp;D2917,
      'Valor Hora Real y Estimada'!$A$3:$Z$3,
      0
    ) + 1
  ),
  0
)</f>
        <v>0</v>
      </c>
      <c r="O2917" s="453"/>
      <c r="P2917" s="113"/>
      <c r="Q2917" s="106" t="str">
        <f>IF(ISBLANK(O2917), "", VLOOKUP(C2917&amp;" "&amp;D2917, 'Info Tipo de Cambio y REM'!$A$24:$B$35, 2, FALSE))</f>
        <v/>
      </c>
      <c r="R2917" s="107"/>
    </row>
    <row r="2918" hidden="1">
      <c r="A2918" s="443"/>
      <c r="B2918" s="43" t="str">
        <f>IF(A2918="", "", IFERROR(VLOOKUP(A2918, Clasificaciones!A:B, 2, FALSE), "DATO NO CARGADO"))
</f>
        <v/>
      </c>
      <c r="C2918" s="51"/>
      <c r="D2918" s="102"/>
      <c r="E2918" s="102"/>
      <c r="H2918" s="102"/>
      <c r="J2918" s="102"/>
      <c r="K2918" s="450"/>
      <c r="L2918" s="443"/>
      <c r="M2918" s="450"/>
      <c r="N2918" s="452">
        <f t="array" ref="N2918">IFERROR(
  INDEX(
    'Valor Hora Real y Estimada'!$A$4:$Z$78,
    MATCH(TRIM(CLEAN(A2918)), 'Valor Hora Real y Estimada'!$A$4:$A$78, 0),
    MATCH(
      TEXT(C2918,"dd mmm")&amp;" "&amp;D2918,
      'Valor Hora Real y Estimada'!$A$3:$Z$3,
      0
    ) + 1
  ),
  0
)</f>
        <v>0</v>
      </c>
      <c r="O2918" s="453"/>
      <c r="P2918" s="113"/>
      <c r="Q2918" s="106" t="str">
        <f>IF(ISBLANK(O2918), "", VLOOKUP(C2918&amp;" "&amp;D2918, 'Info Tipo de Cambio y REM'!$A$24:$B$35, 2, FALSE))</f>
        <v/>
      </c>
      <c r="R2918" s="107"/>
    </row>
    <row r="2919" hidden="1">
      <c r="A2919" s="443"/>
      <c r="B2919" s="43" t="str">
        <f>IF(A2919="", "", IFERROR(VLOOKUP(A2919, Clasificaciones!A:B, 2, FALSE), "DATO NO CARGADO"))
</f>
        <v/>
      </c>
      <c r="C2919" s="51"/>
      <c r="D2919" s="102"/>
      <c r="E2919" s="102"/>
      <c r="H2919" s="102"/>
      <c r="J2919" s="102"/>
      <c r="K2919" s="450"/>
      <c r="L2919" s="443"/>
      <c r="M2919" s="450"/>
      <c r="N2919" s="452">
        <f t="array" ref="N2919">IFERROR(
  INDEX(
    'Valor Hora Real y Estimada'!$A$4:$Z$78,
    MATCH(TRIM(CLEAN(A2919)), 'Valor Hora Real y Estimada'!$A$4:$A$78, 0),
    MATCH(
      TEXT(C2919,"dd mmm")&amp;" "&amp;D2919,
      'Valor Hora Real y Estimada'!$A$3:$Z$3,
      0
    ) + 1
  ),
  0
)</f>
        <v>0</v>
      </c>
      <c r="O2919" s="453"/>
      <c r="P2919" s="113"/>
      <c r="Q2919" s="106" t="str">
        <f>IF(ISBLANK(O2919), "", VLOOKUP(C2919&amp;" "&amp;D2919, 'Info Tipo de Cambio y REM'!$A$24:$B$35, 2, FALSE))</f>
        <v/>
      </c>
      <c r="R2919" s="107"/>
    </row>
    <row r="2920" hidden="1">
      <c r="A2920" s="443"/>
      <c r="B2920" s="43" t="str">
        <f>IF(A2920="", "", IFERROR(VLOOKUP(A2920, Clasificaciones!A:B, 2, FALSE), "DATO NO CARGADO"))
</f>
        <v/>
      </c>
      <c r="C2920" s="51"/>
      <c r="D2920" s="102"/>
      <c r="E2920" s="102"/>
      <c r="H2920" s="102"/>
      <c r="J2920" s="102"/>
      <c r="K2920" s="450"/>
      <c r="L2920" s="443"/>
      <c r="M2920" s="450"/>
      <c r="N2920" s="452">
        <f t="array" ref="N2920">IFERROR(
  INDEX(
    'Valor Hora Real y Estimada'!$A$4:$Z$78,
    MATCH(TRIM(CLEAN(A2920)), 'Valor Hora Real y Estimada'!$A$4:$A$78, 0),
    MATCH(
      TEXT(C2920,"dd mmm")&amp;" "&amp;D2920,
      'Valor Hora Real y Estimada'!$A$3:$Z$3,
      0
    ) + 1
  ),
  0
)</f>
        <v>0</v>
      </c>
      <c r="O2920" s="453"/>
      <c r="P2920" s="113"/>
      <c r="Q2920" s="106" t="str">
        <f>IF(ISBLANK(O2920), "", VLOOKUP(C2920&amp;" "&amp;D2920, 'Info Tipo de Cambio y REM'!$A$24:$B$35, 2, FALSE))</f>
        <v/>
      </c>
      <c r="R2920" s="107"/>
    </row>
    <row r="2921" hidden="1">
      <c r="A2921" s="443"/>
      <c r="B2921" s="43" t="str">
        <f>IF(A2921="", "", IFERROR(VLOOKUP(A2921, Clasificaciones!A:B, 2, FALSE), "DATO NO CARGADO"))
</f>
        <v/>
      </c>
      <c r="C2921" s="51"/>
      <c r="D2921" s="102"/>
      <c r="E2921" s="102"/>
      <c r="H2921" s="102"/>
      <c r="J2921" s="102"/>
      <c r="K2921" s="450"/>
      <c r="L2921" s="443"/>
      <c r="M2921" s="450"/>
      <c r="N2921" s="452">
        <f t="array" ref="N2921">IFERROR(
  INDEX(
    'Valor Hora Real y Estimada'!$A$4:$Z$78,
    MATCH(TRIM(CLEAN(A2921)), 'Valor Hora Real y Estimada'!$A$4:$A$78, 0),
    MATCH(
      TEXT(C2921,"dd mmm")&amp;" "&amp;D2921,
      'Valor Hora Real y Estimada'!$A$3:$Z$3,
      0
    ) + 1
  ),
  0
)</f>
        <v>0</v>
      </c>
      <c r="O2921" s="453"/>
      <c r="P2921" s="113"/>
      <c r="Q2921" s="106" t="str">
        <f>IF(ISBLANK(O2921), "", VLOOKUP(C2921&amp;" "&amp;D2921, 'Info Tipo de Cambio y REM'!$A$24:$B$35, 2, FALSE))</f>
        <v/>
      </c>
      <c r="R2921" s="107"/>
    </row>
    <row r="2922" hidden="1">
      <c r="A2922" s="443"/>
      <c r="B2922" s="43" t="str">
        <f>IF(A2922="", "", IFERROR(VLOOKUP(A2922, Clasificaciones!A:B, 2, FALSE), "DATO NO CARGADO"))
</f>
        <v/>
      </c>
      <c r="C2922" s="51"/>
      <c r="D2922" s="102"/>
      <c r="E2922" s="102"/>
      <c r="H2922" s="102"/>
      <c r="J2922" s="102"/>
      <c r="K2922" s="450"/>
      <c r="L2922" s="443"/>
      <c r="M2922" s="450"/>
      <c r="N2922" s="452">
        <f t="array" ref="N2922">IFERROR(
  INDEX(
    'Valor Hora Real y Estimada'!$A$4:$Z$78,
    MATCH(TRIM(CLEAN(A2922)), 'Valor Hora Real y Estimada'!$A$4:$A$78, 0),
    MATCH(
      TEXT(C2922,"dd mmm")&amp;" "&amp;D2922,
      'Valor Hora Real y Estimada'!$A$3:$Z$3,
      0
    ) + 1
  ),
  0
)</f>
        <v>0</v>
      </c>
      <c r="O2922" s="453"/>
      <c r="P2922" s="113"/>
      <c r="Q2922" s="106" t="str">
        <f>IF(ISBLANK(O2922), "", VLOOKUP(C2922&amp;" "&amp;D2922, 'Info Tipo de Cambio y REM'!$A$24:$B$35, 2, FALSE))</f>
        <v/>
      </c>
      <c r="R2922" s="107"/>
    </row>
    <row r="2923" hidden="1">
      <c r="A2923" s="443"/>
      <c r="B2923" s="43" t="str">
        <f>IF(A2923="", "", IFERROR(VLOOKUP(A2923, Clasificaciones!A:B, 2, FALSE), "DATO NO CARGADO"))
</f>
        <v/>
      </c>
      <c r="C2923" s="51"/>
      <c r="D2923" s="102"/>
      <c r="E2923" s="102"/>
      <c r="H2923" s="102"/>
      <c r="J2923" s="102"/>
      <c r="K2923" s="450"/>
      <c r="L2923" s="443"/>
      <c r="M2923" s="450"/>
      <c r="N2923" s="452">
        <f t="array" ref="N2923">IFERROR(
  INDEX(
    'Valor Hora Real y Estimada'!$A$4:$Z$78,
    MATCH(TRIM(CLEAN(A2923)), 'Valor Hora Real y Estimada'!$A$4:$A$78, 0),
    MATCH(
      TEXT(C2923,"dd mmm")&amp;" "&amp;D2923,
      'Valor Hora Real y Estimada'!$A$3:$Z$3,
      0
    ) + 1
  ),
  0
)</f>
        <v>0</v>
      </c>
      <c r="O2923" s="453"/>
      <c r="P2923" s="113"/>
      <c r="Q2923" s="106" t="str">
        <f>IF(ISBLANK(O2923), "", VLOOKUP(C2923&amp;" "&amp;D2923, 'Info Tipo de Cambio y REM'!$A$24:$B$35, 2, FALSE))</f>
        <v/>
      </c>
      <c r="R2923" s="107"/>
    </row>
    <row r="2924" hidden="1">
      <c r="A2924" s="443"/>
      <c r="B2924" s="43" t="str">
        <f>IF(A2924="", "", IFERROR(VLOOKUP(A2924, Clasificaciones!A:B, 2, FALSE), "DATO NO CARGADO"))
</f>
        <v/>
      </c>
      <c r="C2924" s="51"/>
      <c r="D2924" s="102"/>
      <c r="E2924" s="102"/>
      <c r="H2924" s="102"/>
      <c r="J2924" s="102"/>
      <c r="K2924" s="450"/>
      <c r="L2924" s="443"/>
      <c r="M2924" s="450"/>
      <c r="N2924" s="452">
        <f t="array" ref="N2924">IFERROR(
  INDEX(
    'Valor Hora Real y Estimada'!$A$4:$Z$78,
    MATCH(TRIM(CLEAN(A2924)), 'Valor Hora Real y Estimada'!$A$4:$A$78, 0),
    MATCH(
      TEXT(C2924,"dd mmm")&amp;" "&amp;D2924,
      'Valor Hora Real y Estimada'!$A$3:$Z$3,
      0
    ) + 1
  ),
  0
)</f>
        <v>0</v>
      </c>
      <c r="O2924" s="453"/>
      <c r="P2924" s="113"/>
      <c r="Q2924" s="106" t="str">
        <f>IF(ISBLANK(O2924), "", VLOOKUP(C2924&amp;" "&amp;D2924, 'Info Tipo de Cambio y REM'!$A$24:$B$35, 2, FALSE))</f>
        <v/>
      </c>
      <c r="R2924" s="107"/>
    </row>
    <row r="2925" hidden="1">
      <c r="A2925" s="443"/>
      <c r="B2925" s="43" t="str">
        <f>IF(A2925="", "", IFERROR(VLOOKUP(A2925, Clasificaciones!A:B, 2, FALSE), "DATO NO CARGADO"))
</f>
        <v/>
      </c>
      <c r="C2925" s="51"/>
      <c r="D2925" s="102"/>
      <c r="E2925" s="102"/>
      <c r="H2925" s="102"/>
      <c r="J2925" s="102"/>
      <c r="K2925" s="450"/>
      <c r="L2925" s="443"/>
      <c r="M2925" s="450"/>
      <c r="N2925" s="452">
        <f t="array" ref="N2925">IFERROR(
  INDEX(
    'Valor Hora Real y Estimada'!$A$4:$Z$78,
    MATCH(TRIM(CLEAN(A2925)), 'Valor Hora Real y Estimada'!$A$4:$A$78, 0),
    MATCH(
      TEXT(C2925,"dd mmm")&amp;" "&amp;D2925,
      'Valor Hora Real y Estimada'!$A$3:$Z$3,
      0
    ) + 1
  ),
  0
)</f>
        <v>0</v>
      </c>
      <c r="O2925" s="453"/>
      <c r="P2925" s="113"/>
      <c r="Q2925" s="106" t="str">
        <f>IF(ISBLANK(O2925), "", VLOOKUP(C2925&amp;" "&amp;D2925, 'Info Tipo de Cambio y REM'!$A$24:$B$35, 2, FALSE))</f>
        <v/>
      </c>
      <c r="R2925" s="107"/>
    </row>
    <row r="2926" hidden="1">
      <c r="A2926" s="443"/>
      <c r="B2926" s="43" t="str">
        <f>IF(A2926="", "", IFERROR(VLOOKUP(A2926, Clasificaciones!A:B, 2, FALSE), "DATO NO CARGADO"))
</f>
        <v/>
      </c>
      <c r="C2926" s="51"/>
      <c r="D2926" s="102"/>
      <c r="E2926" s="102"/>
      <c r="H2926" s="102"/>
      <c r="J2926" s="102"/>
      <c r="K2926" s="450"/>
      <c r="L2926" s="443"/>
      <c r="M2926" s="450"/>
      <c r="N2926" s="452">
        <f t="array" ref="N2926">IFERROR(
  INDEX(
    'Valor Hora Real y Estimada'!$A$4:$Z$78,
    MATCH(TRIM(CLEAN(A2926)), 'Valor Hora Real y Estimada'!$A$4:$A$78, 0),
    MATCH(
      TEXT(C2926,"dd mmm")&amp;" "&amp;D2926,
      'Valor Hora Real y Estimada'!$A$3:$Z$3,
      0
    ) + 1
  ),
  0
)</f>
        <v>0</v>
      </c>
      <c r="O2926" s="453"/>
      <c r="P2926" s="113"/>
      <c r="Q2926" s="106" t="str">
        <f>IF(ISBLANK(O2926), "", VLOOKUP(C2926&amp;" "&amp;D2926, 'Info Tipo de Cambio y REM'!$A$24:$B$35, 2, FALSE))</f>
        <v/>
      </c>
      <c r="R2926" s="107"/>
    </row>
    <row r="2927" hidden="1">
      <c r="A2927" s="443"/>
      <c r="B2927" s="43" t="str">
        <f>IF(A2927="", "", IFERROR(VLOOKUP(A2927, Clasificaciones!A:B, 2, FALSE), "DATO NO CARGADO"))
</f>
        <v/>
      </c>
      <c r="C2927" s="51"/>
      <c r="D2927" s="102"/>
      <c r="E2927" s="102"/>
      <c r="H2927" s="102"/>
      <c r="J2927" s="102"/>
      <c r="K2927" s="450"/>
      <c r="L2927" s="443"/>
      <c r="M2927" s="450"/>
      <c r="N2927" s="452">
        <f t="array" ref="N2927">IFERROR(
  INDEX(
    'Valor Hora Real y Estimada'!$A$4:$Z$78,
    MATCH(TRIM(CLEAN(A2927)), 'Valor Hora Real y Estimada'!$A$4:$A$78, 0),
    MATCH(
      TEXT(C2927,"dd mmm")&amp;" "&amp;D2927,
      'Valor Hora Real y Estimada'!$A$3:$Z$3,
      0
    ) + 1
  ),
  0
)</f>
        <v>0</v>
      </c>
      <c r="O2927" s="453"/>
      <c r="P2927" s="113"/>
      <c r="Q2927" s="106" t="str">
        <f>IF(ISBLANK(O2927), "", VLOOKUP(C2927&amp;" "&amp;D2927, 'Info Tipo de Cambio y REM'!$A$24:$B$35, 2, FALSE))</f>
        <v/>
      </c>
      <c r="R2927" s="107"/>
    </row>
    <row r="2928" hidden="1">
      <c r="A2928" s="443"/>
      <c r="B2928" s="43" t="str">
        <f>IF(A2928="", "", IFERROR(VLOOKUP(A2928, Clasificaciones!A:B, 2, FALSE), "DATO NO CARGADO"))
</f>
        <v/>
      </c>
      <c r="C2928" s="51"/>
      <c r="D2928" s="102"/>
      <c r="E2928" s="102"/>
      <c r="H2928" s="102"/>
      <c r="J2928" s="102"/>
      <c r="K2928" s="450"/>
      <c r="L2928" s="443"/>
      <c r="M2928" s="450"/>
      <c r="N2928" s="452">
        <f t="array" ref="N2928">IFERROR(
  INDEX(
    'Valor Hora Real y Estimada'!$A$4:$Z$78,
    MATCH(TRIM(CLEAN(A2928)), 'Valor Hora Real y Estimada'!$A$4:$A$78, 0),
    MATCH(
      TEXT(C2928,"dd mmm")&amp;" "&amp;D2928,
      'Valor Hora Real y Estimada'!$A$3:$Z$3,
      0
    ) + 1
  ),
  0
)</f>
        <v>0</v>
      </c>
      <c r="O2928" s="453"/>
      <c r="P2928" s="113"/>
      <c r="Q2928" s="106" t="str">
        <f>IF(ISBLANK(O2928), "", VLOOKUP(C2928&amp;" "&amp;D2928, 'Info Tipo de Cambio y REM'!$A$24:$B$35, 2, FALSE))</f>
        <v/>
      </c>
      <c r="R2928" s="107"/>
    </row>
    <row r="2929" hidden="1">
      <c r="A2929" s="443"/>
      <c r="B2929" s="43" t="str">
        <f>IF(A2929="", "", IFERROR(VLOOKUP(A2929, Clasificaciones!A:B, 2, FALSE), "DATO NO CARGADO"))
</f>
        <v/>
      </c>
      <c r="C2929" s="51"/>
      <c r="D2929" s="102"/>
      <c r="E2929" s="102"/>
      <c r="H2929" s="102"/>
      <c r="J2929" s="102"/>
      <c r="K2929" s="450"/>
      <c r="L2929" s="443"/>
      <c r="M2929" s="450"/>
      <c r="N2929" s="452">
        <f t="array" ref="N2929">IFERROR(
  INDEX(
    'Valor Hora Real y Estimada'!$A$4:$Z$78,
    MATCH(TRIM(CLEAN(A2929)), 'Valor Hora Real y Estimada'!$A$4:$A$78, 0),
    MATCH(
      TEXT(C2929,"dd mmm")&amp;" "&amp;D2929,
      'Valor Hora Real y Estimada'!$A$3:$Z$3,
      0
    ) + 1
  ),
  0
)</f>
        <v>0</v>
      </c>
      <c r="O2929" s="453"/>
      <c r="P2929" s="113"/>
      <c r="Q2929" s="106" t="str">
        <f>IF(ISBLANK(O2929), "", VLOOKUP(C2929&amp;" "&amp;D2929, 'Info Tipo de Cambio y REM'!$A$24:$B$35, 2, FALSE))</f>
        <v/>
      </c>
      <c r="R2929" s="107"/>
    </row>
    <row r="2930" hidden="1">
      <c r="A2930" s="443"/>
      <c r="B2930" s="43" t="str">
        <f>IF(A2930="", "", IFERROR(VLOOKUP(A2930, Clasificaciones!A:B, 2, FALSE), "DATO NO CARGADO"))
</f>
        <v/>
      </c>
      <c r="C2930" s="51"/>
      <c r="D2930" s="102"/>
      <c r="E2930" s="102"/>
      <c r="H2930" s="102"/>
      <c r="J2930" s="102"/>
      <c r="K2930" s="450"/>
      <c r="L2930" s="443"/>
      <c r="M2930" s="450"/>
      <c r="N2930" s="452">
        <f t="array" ref="N2930">IFERROR(
  INDEX(
    'Valor Hora Real y Estimada'!$A$4:$Z$78,
    MATCH(TRIM(CLEAN(A2930)), 'Valor Hora Real y Estimada'!$A$4:$A$78, 0),
    MATCH(
      TEXT(C2930,"dd mmm")&amp;" "&amp;D2930,
      'Valor Hora Real y Estimada'!$A$3:$Z$3,
      0
    ) + 1
  ),
  0
)</f>
        <v>0</v>
      </c>
      <c r="O2930" s="453"/>
      <c r="P2930" s="113"/>
      <c r="Q2930" s="106" t="str">
        <f>IF(ISBLANK(O2930), "", VLOOKUP(C2930&amp;" "&amp;D2930, 'Info Tipo de Cambio y REM'!$A$24:$B$35, 2, FALSE))</f>
        <v/>
      </c>
      <c r="R2930" s="107"/>
    </row>
    <row r="2931" hidden="1">
      <c r="A2931" s="443"/>
      <c r="B2931" s="43" t="str">
        <f>IF(A2931="", "", IFERROR(VLOOKUP(A2931, Clasificaciones!A:B, 2, FALSE), "DATO NO CARGADO"))
</f>
        <v/>
      </c>
      <c r="C2931" s="51"/>
      <c r="D2931" s="102"/>
      <c r="E2931" s="102"/>
      <c r="H2931" s="102"/>
      <c r="J2931" s="102"/>
      <c r="K2931" s="450"/>
      <c r="L2931" s="443"/>
      <c r="M2931" s="450"/>
      <c r="N2931" s="452">
        <f t="array" ref="N2931">IFERROR(
  INDEX(
    'Valor Hora Real y Estimada'!$A$4:$Z$78,
    MATCH(TRIM(CLEAN(A2931)), 'Valor Hora Real y Estimada'!$A$4:$A$78, 0),
    MATCH(
      TEXT(C2931,"dd mmm")&amp;" "&amp;D2931,
      'Valor Hora Real y Estimada'!$A$3:$Z$3,
      0
    ) + 1
  ),
  0
)</f>
        <v>0</v>
      </c>
      <c r="O2931" s="453"/>
      <c r="P2931" s="113"/>
      <c r="Q2931" s="106" t="str">
        <f>IF(ISBLANK(O2931), "", VLOOKUP(C2931&amp;" "&amp;D2931, 'Info Tipo de Cambio y REM'!$A$24:$B$35, 2, FALSE))</f>
        <v/>
      </c>
      <c r="R2931" s="107"/>
    </row>
    <row r="2932" hidden="1">
      <c r="A2932" s="443"/>
      <c r="B2932" s="43" t="str">
        <f>IF(A2932="", "", IFERROR(VLOOKUP(A2932, Clasificaciones!A:B, 2, FALSE), "DATO NO CARGADO"))
</f>
        <v/>
      </c>
      <c r="C2932" s="51"/>
      <c r="D2932" s="102"/>
      <c r="E2932" s="102"/>
      <c r="H2932" s="102"/>
      <c r="J2932" s="102"/>
      <c r="K2932" s="450"/>
      <c r="L2932" s="443"/>
      <c r="M2932" s="450"/>
      <c r="N2932" s="452">
        <f t="array" ref="N2932">IFERROR(
  INDEX(
    'Valor Hora Real y Estimada'!$A$4:$Z$78,
    MATCH(TRIM(CLEAN(A2932)), 'Valor Hora Real y Estimada'!$A$4:$A$78, 0),
    MATCH(
      TEXT(C2932,"dd mmm")&amp;" "&amp;D2932,
      'Valor Hora Real y Estimada'!$A$3:$Z$3,
      0
    ) + 1
  ),
  0
)</f>
        <v>0</v>
      </c>
      <c r="O2932" s="453"/>
      <c r="P2932" s="113"/>
      <c r="Q2932" s="106" t="str">
        <f>IF(ISBLANK(O2932), "", VLOOKUP(C2932&amp;" "&amp;D2932, 'Info Tipo de Cambio y REM'!$A$24:$B$35, 2, FALSE))</f>
        <v/>
      </c>
      <c r="R2932" s="107"/>
    </row>
    <row r="2933" hidden="1">
      <c r="A2933" s="443"/>
      <c r="B2933" s="43" t="str">
        <f>IF(A2933="", "", IFERROR(VLOOKUP(A2933, Clasificaciones!A:B, 2, FALSE), "DATO NO CARGADO"))
</f>
        <v/>
      </c>
      <c r="C2933" s="51"/>
      <c r="D2933" s="102"/>
      <c r="E2933" s="102"/>
      <c r="H2933" s="102"/>
      <c r="J2933" s="102"/>
      <c r="K2933" s="450"/>
      <c r="L2933" s="443"/>
      <c r="M2933" s="450"/>
      <c r="N2933" s="452">
        <f t="array" ref="N2933">IFERROR(
  INDEX(
    'Valor Hora Real y Estimada'!$A$4:$Z$78,
    MATCH(TRIM(CLEAN(A2933)), 'Valor Hora Real y Estimada'!$A$4:$A$78, 0),
    MATCH(
      TEXT(C2933,"dd mmm")&amp;" "&amp;D2933,
      'Valor Hora Real y Estimada'!$A$3:$Z$3,
      0
    ) + 1
  ),
  0
)</f>
        <v>0</v>
      </c>
      <c r="O2933" s="453"/>
      <c r="P2933" s="113"/>
      <c r="Q2933" s="106" t="str">
        <f>IF(ISBLANK(O2933), "", VLOOKUP(C2933&amp;" "&amp;D2933, 'Info Tipo de Cambio y REM'!$A$24:$B$35, 2, FALSE))</f>
        <v/>
      </c>
      <c r="R2933" s="107"/>
    </row>
    <row r="2934" hidden="1">
      <c r="A2934" s="443"/>
      <c r="B2934" s="43" t="str">
        <f>IF(A2934="", "", IFERROR(VLOOKUP(A2934, Clasificaciones!A:B, 2, FALSE), "DATO NO CARGADO"))
</f>
        <v/>
      </c>
      <c r="C2934" s="51"/>
      <c r="D2934" s="102"/>
      <c r="E2934" s="102"/>
      <c r="H2934" s="102"/>
      <c r="J2934" s="102"/>
      <c r="K2934" s="450"/>
      <c r="L2934" s="443"/>
      <c r="M2934" s="450"/>
      <c r="N2934" s="452">
        <f t="array" ref="N2934">IFERROR(
  INDEX(
    'Valor Hora Real y Estimada'!$A$4:$Z$78,
    MATCH(TRIM(CLEAN(A2934)), 'Valor Hora Real y Estimada'!$A$4:$A$78, 0),
    MATCH(
      TEXT(C2934,"dd mmm")&amp;" "&amp;D2934,
      'Valor Hora Real y Estimada'!$A$3:$Z$3,
      0
    ) + 1
  ),
  0
)</f>
        <v>0</v>
      </c>
      <c r="O2934" s="453"/>
      <c r="P2934" s="113"/>
      <c r="Q2934" s="106" t="str">
        <f>IF(ISBLANK(O2934), "", VLOOKUP(C2934&amp;" "&amp;D2934, 'Info Tipo de Cambio y REM'!$A$24:$B$35, 2, FALSE))</f>
        <v/>
      </c>
      <c r="R2934" s="107"/>
    </row>
    <row r="2935" hidden="1">
      <c r="A2935" s="443"/>
      <c r="B2935" s="43" t="str">
        <f>IF(A2935="", "", IFERROR(VLOOKUP(A2935, Clasificaciones!A:B, 2, FALSE), "DATO NO CARGADO"))
</f>
        <v/>
      </c>
      <c r="C2935" s="51"/>
      <c r="D2935" s="102"/>
      <c r="E2935" s="102"/>
      <c r="H2935" s="102"/>
      <c r="J2935" s="102"/>
      <c r="K2935" s="450"/>
      <c r="L2935" s="443"/>
      <c r="M2935" s="450"/>
      <c r="N2935" s="452">
        <f t="array" ref="N2935">IFERROR(
  INDEX(
    'Valor Hora Real y Estimada'!$A$4:$Z$78,
    MATCH(TRIM(CLEAN(A2935)), 'Valor Hora Real y Estimada'!$A$4:$A$78, 0),
    MATCH(
      TEXT(C2935,"dd mmm")&amp;" "&amp;D2935,
      'Valor Hora Real y Estimada'!$A$3:$Z$3,
      0
    ) + 1
  ),
  0
)</f>
        <v>0</v>
      </c>
      <c r="O2935" s="453"/>
      <c r="P2935" s="113"/>
      <c r="Q2935" s="106" t="str">
        <f>IF(ISBLANK(O2935), "", VLOOKUP(C2935&amp;" "&amp;D2935, 'Info Tipo de Cambio y REM'!$A$24:$B$35, 2, FALSE))</f>
        <v/>
      </c>
      <c r="R2935" s="107"/>
    </row>
    <row r="2936" hidden="1">
      <c r="A2936" s="443"/>
      <c r="B2936" s="43" t="str">
        <f>IF(A2936="", "", IFERROR(VLOOKUP(A2936, Clasificaciones!A:B, 2, FALSE), "DATO NO CARGADO"))
</f>
        <v/>
      </c>
      <c r="C2936" s="51"/>
      <c r="D2936" s="102"/>
      <c r="E2936" s="102"/>
      <c r="H2936" s="102"/>
      <c r="J2936" s="102"/>
      <c r="K2936" s="450"/>
      <c r="L2936" s="443"/>
      <c r="M2936" s="450"/>
      <c r="N2936" s="452">
        <f t="array" ref="N2936">IFERROR(
  INDEX(
    'Valor Hora Real y Estimada'!$A$4:$Z$78,
    MATCH(TRIM(CLEAN(A2936)), 'Valor Hora Real y Estimada'!$A$4:$A$78, 0),
    MATCH(
      TEXT(C2936,"dd mmm")&amp;" "&amp;D2936,
      'Valor Hora Real y Estimada'!$A$3:$Z$3,
      0
    ) + 1
  ),
  0
)</f>
        <v>0</v>
      </c>
      <c r="O2936" s="453"/>
      <c r="P2936" s="113"/>
      <c r="Q2936" s="106" t="str">
        <f>IF(ISBLANK(O2936), "", VLOOKUP(C2936&amp;" "&amp;D2936, 'Info Tipo de Cambio y REM'!$A$24:$B$35, 2, FALSE))</f>
        <v/>
      </c>
      <c r="R2936" s="107"/>
    </row>
    <row r="2937" hidden="1">
      <c r="A2937" s="443"/>
      <c r="B2937" s="43" t="str">
        <f>IF(A2937="", "", IFERROR(VLOOKUP(A2937, Clasificaciones!A:B, 2, FALSE), "DATO NO CARGADO"))
</f>
        <v/>
      </c>
      <c r="C2937" s="51"/>
      <c r="D2937" s="102"/>
      <c r="E2937" s="102"/>
      <c r="H2937" s="102"/>
      <c r="J2937" s="102"/>
      <c r="K2937" s="450"/>
      <c r="L2937" s="443"/>
      <c r="M2937" s="450"/>
      <c r="N2937" s="452">
        <f t="array" ref="N2937">IFERROR(
  INDEX(
    'Valor Hora Real y Estimada'!$A$4:$Z$78,
    MATCH(TRIM(CLEAN(A2937)), 'Valor Hora Real y Estimada'!$A$4:$A$78, 0),
    MATCH(
      TEXT(C2937,"dd mmm")&amp;" "&amp;D2937,
      'Valor Hora Real y Estimada'!$A$3:$Z$3,
      0
    ) + 1
  ),
  0
)</f>
        <v>0</v>
      </c>
      <c r="O2937" s="453"/>
      <c r="P2937" s="113"/>
      <c r="Q2937" s="106" t="str">
        <f>IF(ISBLANK(O2937), "", VLOOKUP(C2937&amp;" "&amp;D2937, 'Info Tipo de Cambio y REM'!$A$24:$B$35, 2, FALSE))</f>
        <v/>
      </c>
      <c r="R2937" s="107"/>
    </row>
    <row r="2938" hidden="1">
      <c r="A2938" s="443"/>
      <c r="B2938" s="43" t="str">
        <f>IF(A2938="", "", IFERROR(VLOOKUP(A2938, Clasificaciones!A:B, 2, FALSE), "DATO NO CARGADO"))
</f>
        <v/>
      </c>
      <c r="C2938" s="51"/>
      <c r="D2938" s="102"/>
      <c r="E2938" s="102"/>
      <c r="H2938" s="102"/>
      <c r="J2938" s="102"/>
      <c r="K2938" s="450"/>
      <c r="L2938" s="443"/>
      <c r="M2938" s="450"/>
      <c r="N2938" s="452">
        <f t="array" ref="N2938">IFERROR(
  INDEX(
    'Valor Hora Real y Estimada'!$A$4:$Z$78,
    MATCH(TRIM(CLEAN(A2938)), 'Valor Hora Real y Estimada'!$A$4:$A$78, 0),
    MATCH(
      TEXT(C2938,"dd mmm")&amp;" "&amp;D2938,
      'Valor Hora Real y Estimada'!$A$3:$Z$3,
      0
    ) + 1
  ),
  0
)</f>
        <v>0</v>
      </c>
      <c r="O2938" s="453"/>
      <c r="P2938" s="113"/>
      <c r="Q2938" s="106" t="str">
        <f>IF(ISBLANK(O2938), "", VLOOKUP(C2938&amp;" "&amp;D2938, 'Info Tipo de Cambio y REM'!$A$24:$B$35, 2, FALSE))</f>
        <v/>
      </c>
      <c r="R2938" s="107"/>
    </row>
    <row r="2939" hidden="1">
      <c r="A2939" s="443"/>
      <c r="B2939" s="43" t="str">
        <f>IF(A2939="", "", IFERROR(VLOOKUP(A2939, Clasificaciones!A:B, 2, FALSE), "DATO NO CARGADO"))
</f>
        <v/>
      </c>
      <c r="C2939" s="51"/>
      <c r="D2939" s="102"/>
      <c r="E2939" s="102"/>
      <c r="H2939" s="102"/>
      <c r="J2939" s="102"/>
      <c r="K2939" s="450"/>
      <c r="L2939" s="443"/>
      <c r="M2939" s="450"/>
      <c r="N2939" s="452">
        <f t="array" ref="N2939">IFERROR(
  INDEX(
    'Valor Hora Real y Estimada'!$A$4:$Z$78,
    MATCH(TRIM(CLEAN(A2939)), 'Valor Hora Real y Estimada'!$A$4:$A$78, 0),
    MATCH(
      TEXT(C2939,"dd mmm")&amp;" "&amp;D2939,
      'Valor Hora Real y Estimada'!$A$3:$Z$3,
      0
    ) + 1
  ),
  0
)</f>
        <v>0</v>
      </c>
      <c r="O2939" s="453"/>
      <c r="P2939" s="113"/>
      <c r="Q2939" s="106" t="str">
        <f>IF(ISBLANK(O2939), "", VLOOKUP(C2939&amp;" "&amp;D2939, 'Info Tipo de Cambio y REM'!$A$24:$B$35, 2, FALSE))</f>
        <v/>
      </c>
      <c r="R2939" s="107"/>
    </row>
    <row r="2940" hidden="1">
      <c r="A2940" s="443"/>
      <c r="B2940" s="43" t="str">
        <f>IF(A2940="", "", IFERROR(VLOOKUP(A2940, Clasificaciones!A:B, 2, FALSE), "DATO NO CARGADO"))
</f>
        <v/>
      </c>
      <c r="C2940" s="51"/>
      <c r="D2940" s="102"/>
      <c r="E2940" s="102"/>
      <c r="H2940" s="102"/>
      <c r="J2940" s="102"/>
      <c r="K2940" s="450"/>
      <c r="L2940" s="443"/>
      <c r="M2940" s="450"/>
      <c r="N2940" s="452">
        <f t="array" ref="N2940">IFERROR(
  INDEX(
    'Valor Hora Real y Estimada'!$A$4:$Z$78,
    MATCH(TRIM(CLEAN(A2940)), 'Valor Hora Real y Estimada'!$A$4:$A$78, 0),
    MATCH(
      TEXT(C2940,"dd mmm")&amp;" "&amp;D2940,
      'Valor Hora Real y Estimada'!$A$3:$Z$3,
      0
    ) + 1
  ),
  0
)</f>
        <v>0</v>
      </c>
      <c r="O2940" s="453"/>
      <c r="P2940" s="113"/>
      <c r="Q2940" s="106" t="str">
        <f>IF(ISBLANK(O2940), "", VLOOKUP(C2940&amp;" "&amp;D2940, 'Info Tipo de Cambio y REM'!$A$24:$B$35, 2, FALSE))</f>
        <v/>
      </c>
      <c r="R2940" s="107"/>
    </row>
    <row r="2941" hidden="1">
      <c r="A2941" s="443"/>
      <c r="B2941" s="43" t="str">
        <f>IF(A2941="", "", IFERROR(VLOOKUP(A2941, Clasificaciones!A:B, 2, FALSE), "DATO NO CARGADO"))
</f>
        <v/>
      </c>
      <c r="C2941" s="51"/>
      <c r="D2941" s="102"/>
      <c r="E2941" s="102"/>
      <c r="H2941" s="102"/>
      <c r="J2941" s="102"/>
      <c r="K2941" s="450"/>
      <c r="L2941" s="443"/>
      <c r="M2941" s="450"/>
      <c r="N2941" s="452">
        <f t="array" ref="N2941">IFERROR(
  INDEX(
    'Valor Hora Real y Estimada'!$A$4:$Z$78,
    MATCH(TRIM(CLEAN(A2941)), 'Valor Hora Real y Estimada'!$A$4:$A$78, 0),
    MATCH(
      TEXT(C2941,"dd mmm")&amp;" "&amp;D2941,
      'Valor Hora Real y Estimada'!$A$3:$Z$3,
      0
    ) + 1
  ),
  0
)</f>
        <v>0</v>
      </c>
      <c r="O2941" s="453"/>
      <c r="P2941" s="113"/>
      <c r="Q2941" s="106" t="str">
        <f>IF(ISBLANK(O2941), "", VLOOKUP(C2941&amp;" "&amp;D2941, 'Info Tipo de Cambio y REM'!$A$24:$B$35, 2, FALSE))</f>
        <v/>
      </c>
      <c r="R2941" s="107"/>
    </row>
    <row r="2942" hidden="1">
      <c r="A2942" s="443"/>
      <c r="B2942" s="43" t="str">
        <f>IF(A2942="", "", IFERROR(VLOOKUP(A2942, Clasificaciones!A:B, 2, FALSE), "DATO NO CARGADO"))
</f>
        <v/>
      </c>
      <c r="C2942" s="51"/>
      <c r="D2942" s="102"/>
      <c r="E2942" s="102"/>
      <c r="H2942" s="102"/>
      <c r="J2942" s="102"/>
      <c r="K2942" s="450"/>
      <c r="L2942" s="443"/>
      <c r="M2942" s="450"/>
      <c r="N2942" s="452">
        <f t="array" ref="N2942">IFERROR(
  INDEX(
    'Valor Hora Real y Estimada'!$A$4:$Z$78,
    MATCH(TRIM(CLEAN(A2942)), 'Valor Hora Real y Estimada'!$A$4:$A$78, 0),
    MATCH(
      TEXT(C2942,"dd mmm")&amp;" "&amp;D2942,
      'Valor Hora Real y Estimada'!$A$3:$Z$3,
      0
    ) + 1
  ),
  0
)</f>
        <v>0</v>
      </c>
      <c r="O2942" s="453"/>
      <c r="P2942" s="113"/>
      <c r="Q2942" s="106" t="str">
        <f>IF(ISBLANK(O2942), "", VLOOKUP(C2942&amp;" "&amp;D2942, 'Info Tipo de Cambio y REM'!$A$24:$B$35, 2, FALSE))</f>
        <v/>
      </c>
      <c r="R2942" s="107"/>
    </row>
    <row r="2943" hidden="1">
      <c r="A2943" s="443"/>
      <c r="B2943" s="43" t="str">
        <f>IF(A2943="", "", IFERROR(VLOOKUP(A2943, Clasificaciones!A:B, 2, FALSE), "DATO NO CARGADO"))
</f>
        <v/>
      </c>
      <c r="C2943" s="51"/>
      <c r="D2943" s="102"/>
      <c r="E2943" s="102"/>
      <c r="H2943" s="102"/>
      <c r="J2943" s="102"/>
      <c r="K2943" s="450"/>
      <c r="L2943" s="443"/>
      <c r="M2943" s="450"/>
      <c r="N2943" s="452">
        <f t="array" ref="N2943">IFERROR(
  INDEX(
    'Valor Hora Real y Estimada'!$A$4:$Z$78,
    MATCH(TRIM(CLEAN(A2943)), 'Valor Hora Real y Estimada'!$A$4:$A$78, 0),
    MATCH(
      TEXT(C2943,"dd mmm")&amp;" "&amp;D2943,
      'Valor Hora Real y Estimada'!$A$3:$Z$3,
      0
    ) + 1
  ),
  0
)</f>
        <v>0</v>
      </c>
      <c r="O2943" s="453"/>
      <c r="P2943" s="113"/>
      <c r="Q2943" s="106" t="str">
        <f>IF(ISBLANK(O2943), "", VLOOKUP(C2943&amp;" "&amp;D2943, 'Info Tipo de Cambio y REM'!$A$24:$B$35, 2, FALSE))</f>
        <v/>
      </c>
      <c r="R2943" s="107"/>
    </row>
    <row r="2944" hidden="1">
      <c r="A2944" s="443"/>
      <c r="B2944" s="43" t="str">
        <f>IF(A2944="", "", IFERROR(VLOOKUP(A2944, Clasificaciones!A:B, 2, FALSE), "DATO NO CARGADO"))
</f>
        <v/>
      </c>
      <c r="C2944" s="51"/>
      <c r="D2944" s="102"/>
      <c r="E2944" s="102"/>
      <c r="H2944" s="102"/>
      <c r="J2944" s="102"/>
      <c r="K2944" s="450"/>
      <c r="L2944" s="443"/>
      <c r="M2944" s="450"/>
      <c r="N2944" s="452">
        <f t="array" ref="N2944">IFERROR(
  INDEX(
    'Valor Hora Real y Estimada'!$A$4:$Z$78,
    MATCH(TRIM(CLEAN(A2944)), 'Valor Hora Real y Estimada'!$A$4:$A$78, 0),
    MATCH(
      TEXT(C2944,"dd mmm")&amp;" "&amp;D2944,
      'Valor Hora Real y Estimada'!$A$3:$Z$3,
      0
    ) + 1
  ),
  0
)</f>
        <v>0</v>
      </c>
      <c r="O2944" s="453"/>
      <c r="P2944" s="113"/>
      <c r="Q2944" s="106" t="str">
        <f>IF(ISBLANK(O2944), "", VLOOKUP(C2944&amp;" "&amp;D2944, 'Info Tipo de Cambio y REM'!$A$24:$B$35, 2, FALSE))</f>
        <v/>
      </c>
      <c r="R2944" s="107"/>
    </row>
    <row r="2945" hidden="1">
      <c r="A2945" s="443"/>
      <c r="B2945" s="43" t="str">
        <f>IF(A2945="", "", IFERROR(VLOOKUP(A2945, Clasificaciones!A:B, 2, FALSE), "DATO NO CARGADO"))
</f>
        <v/>
      </c>
      <c r="C2945" s="51"/>
      <c r="D2945" s="102"/>
      <c r="E2945" s="102"/>
      <c r="H2945" s="102"/>
      <c r="J2945" s="102"/>
      <c r="K2945" s="450"/>
      <c r="L2945" s="443"/>
      <c r="M2945" s="450"/>
      <c r="N2945" s="452">
        <f t="array" ref="N2945">IFERROR(
  INDEX(
    'Valor Hora Real y Estimada'!$A$4:$Z$78,
    MATCH(TRIM(CLEAN(A2945)), 'Valor Hora Real y Estimada'!$A$4:$A$78, 0),
    MATCH(
      TEXT(C2945,"dd mmm")&amp;" "&amp;D2945,
      'Valor Hora Real y Estimada'!$A$3:$Z$3,
      0
    ) + 1
  ),
  0
)</f>
        <v>0</v>
      </c>
      <c r="O2945" s="453"/>
      <c r="P2945" s="113"/>
      <c r="Q2945" s="106" t="str">
        <f>IF(ISBLANK(O2945), "", VLOOKUP(C2945&amp;" "&amp;D2945, 'Info Tipo de Cambio y REM'!$A$24:$B$35, 2, FALSE))</f>
        <v/>
      </c>
      <c r="R2945" s="107"/>
    </row>
    <row r="2946" hidden="1">
      <c r="A2946" s="443"/>
      <c r="B2946" s="43" t="str">
        <f>IF(A2946="", "", IFERROR(VLOOKUP(A2946, Clasificaciones!A:B, 2, FALSE), "DATO NO CARGADO"))
</f>
        <v/>
      </c>
      <c r="C2946" s="51"/>
      <c r="D2946" s="102"/>
      <c r="E2946" s="102"/>
      <c r="H2946" s="102"/>
      <c r="J2946" s="102"/>
      <c r="K2946" s="450"/>
      <c r="L2946" s="443"/>
      <c r="M2946" s="450"/>
      <c r="N2946" s="452">
        <f t="array" ref="N2946">IFERROR(
  INDEX(
    'Valor Hora Real y Estimada'!$A$4:$Z$78,
    MATCH(TRIM(CLEAN(A2946)), 'Valor Hora Real y Estimada'!$A$4:$A$78, 0),
    MATCH(
      TEXT(C2946,"dd mmm")&amp;" "&amp;D2946,
      'Valor Hora Real y Estimada'!$A$3:$Z$3,
      0
    ) + 1
  ),
  0
)</f>
        <v>0</v>
      </c>
      <c r="O2946" s="453"/>
      <c r="P2946" s="113"/>
      <c r="Q2946" s="106" t="str">
        <f>IF(ISBLANK(O2946), "", VLOOKUP(C2946&amp;" "&amp;D2946, 'Info Tipo de Cambio y REM'!$A$24:$B$35, 2, FALSE))</f>
        <v/>
      </c>
      <c r="R2946" s="107"/>
    </row>
    <row r="2947" hidden="1">
      <c r="A2947" s="443"/>
      <c r="B2947" s="43" t="str">
        <f>IF(A2947="", "", IFERROR(VLOOKUP(A2947, Clasificaciones!A:B, 2, FALSE), "DATO NO CARGADO"))
</f>
        <v/>
      </c>
      <c r="C2947" s="51"/>
      <c r="D2947" s="102"/>
      <c r="E2947" s="102"/>
      <c r="H2947" s="102"/>
      <c r="J2947" s="102"/>
      <c r="K2947" s="450"/>
      <c r="L2947" s="443"/>
      <c r="M2947" s="450"/>
      <c r="N2947" s="452">
        <f t="array" ref="N2947">IFERROR(
  INDEX(
    'Valor Hora Real y Estimada'!$A$4:$Z$78,
    MATCH(TRIM(CLEAN(A2947)), 'Valor Hora Real y Estimada'!$A$4:$A$78, 0),
    MATCH(
      TEXT(C2947,"dd mmm")&amp;" "&amp;D2947,
      'Valor Hora Real y Estimada'!$A$3:$Z$3,
      0
    ) + 1
  ),
  0
)</f>
        <v>0</v>
      </c>
      <c r="O2947" s="453"/>
      <c r="P2947" s="113"/>
      <c r="Q2947" s="106" t="str">
        <f>IF(ISBLANK(O2947), "", VLOOKUP(C2947&amp;" "&amp;D2947, 'Info Tipo de Cambio y REM'!$A$24:$B$35, 2, FALSE))</f>
        <v/>
      </c>
      <c r="R2947" s="107"/>
    </row>
    <row r="2948" hidden="1">
      <c r="A2948" s="443"/>
      <c r="B2948" s="43" t="str">
        <f>IF(A2948="", "", IFERROR(VLOOKUP(A2948, Clasificaciones!A:B, 2, FALSE), "DATO NO CARGADO"))
</f>
        <v/>
      </c>
      <c r="C2948" s="51"/>
      <c r="D2948" s="102"/>
      <c r="E2948" s="102"/>
      <c r="H2948" s="102"/>
      <c r="J2948" s="102"/>
      <c r="K2948" s="450"/>
      <c r="L2948" s="443"/>
      <c r="M2948" s="450"/>
      <c r="N2948" s="452">
        <f t="array" ref="N2948">IFERROR(
  INDEX(
    'Valor Hora Real y Estimada'!$A$4:$Z$78,
    MATCH(TRIM(CLEAN(A2948)), 'Valor Hora Real y Estimada'!$A$4:$A$78, 0),
    MATCH(
      TEXT(C2948,"dd mmm")&amp;" "&amp;D2948,
      'Valor Hora Real y Estimada'!$A$3:$Z$3,
      0
    ) + 1
  ),
  0
)</f>
        <v>0</v>
      </c>
      <c r="O2948" s="453"/>
      <c r="P2948" s="113"/>
      <c r="Q2948" s="106" t="str">
        <f>IF(ISBLANK(O2948), "", VLOOKUP(C2948&amp;" "&amp;D2948, 'Info Tipo de Cambio y REM'!$A$24:$B$35, 2, FALSE))</f>
        <v/>
      </c>
      <c r="R2948" s="107"/>
    </row>
    <row r="2949" hidden="1">
      <c r="A2949" s="443"/>
      <c r="B2949" s="43" t="str">
        <f>IF(A2949="", "", IFERROR(VLOOKUP(A2949, Clasificaciones!A:B, 2, FALSE), "DATO NO CARGADO"))
</f>
        <v/>
      </c>
      <c r="C2949" s="51"/>
      <c r="D2949" s="102"/>
      <c r="E2949" s="102"/>
      <c r="H2949" s="102"/>
      <c r="J2949" s="102"/>
      <c r="K2949" s="450"/>
      <c r="L2949" s="443"/>
      <c r="M2949" s="450"/>
      <c r="N2949" s="452">
        <f t="array" ref="N2949">IFERROR(
  INDEX(
    'Valor Hora Real y Estimada'!$A$4:$Z$78,
    MATCH(TRIM(CLEAN(A2949)), 'Valor Hora Real y Estimada'!$A$4:$A$78, 0),
    MATCH(
      TEXT(C2949,"dd mmm")&amp;" "&amp;D2949,
      'Valor Hora Real y Estimada'!$A$3:$Z$3,
      0
    ) + 1
  ),
  0
)</f>
        <v>0</v>
      </c>
      <c r="O2949" s="453"/>
      <c r="P2949" s="113"/>
      <c r="Q2949" s="106" t="str">
        <f>IF(ISBLANK(O2949), "", VLOOKUP(C2949&amp;" "&amp;D2949, 'Info Tipo de Cambio y REM'!$A$24:$B$35, 2, FALSE))</f>
        <v/>
      </c>
      <c r="R2949" s="107"/>
    </row>
    <row r="2950" hidden="1">
      <c r="A2950" s="443"/>
      <c r="B2950" s="43" t="str">
        <f>IF(A2950="", "", IFERROR(VLOOKUP(A2950, Clasificaciones!A:B, 2, FALSE), "DATO NO CARGADO"))
</f>
        <v/>
      </c>
      <c r="C2950" s="51"/>
      <c r="D2950" s="102"/>
      <c r="E2950" s="102"/>
      <c r="H2950" s="102"/>
      <c r="J2950" s="102"/>
      <c r="K2950" s="450"/>
      <c r="L2950" s="443"/>
      <c r="M2950" s="450"/>
      <c r="N2950" s="452">
        <f t="array" ref="N2950">IFERROR(
  INDEX(
    'Valor Hora Real y Estimada'!$A$4:$Z$78,
    MATCH(TRIM(CLEAN(A2950)), 'Valor Hora Real y Estimada'!$A$4:$A$78, 0),
    MATCH(
      TEXT(C2950,"dd mmm")&amp;" "&amp;D2950,
      'Valor Hora Real y Estimada'!$A$3:$Z$3,
      0
    ) + 1
  ),
  0
)</f>
        <v>0</v>
      </c>
      <c r="O2950" s="453"/>
      <c r="P2950" s="113"/>
      <c r="Q2950" s="106" t="str">
        <f>IF(ISBLANK(O2950), "", VLOOKUP(C2950&amp;" "&amp;D2950, 'Info Tipo de Cambio y REM'!$A$24:$B$35, 2, FALSE))</f>
        <v/>
      </c>
      <c r="R2950" s="107"/>
    </row>
    <row r="2951" hidden="1">
      <c r="A2951" s="443"/>
      <c r="B2951" s="43" t="str">
        <f>IF(A2951="", "", IFERROR(VLOOKUP(A2951, Clasificaciones!A:B, 2, FALSE), "DATO NO CARGADO"))
</f>
        <v/>
      </c>
      <c r="C2951" s="51"/>
      <c r="D2951" s="102"/>
      <c r="E2951" s="102"/>
      <c r="H2951" s="102"/>
      <c r="J2951" s="102"/>
      <c r="K2951" s="450"/>
      <c r="L2951" s="443"/>
      <c r="M2951" s="450"/>
      <c r="N2951" s="452">
        <f t="array" ref="N2951">IFERROR(
  INDEX(
    'Valor Hora Real y Estimada'!$A$4:$Z$78,
    MATCH(TRIM(CLEAN(A2951)), 'Valor Hora Real y Estimada'!$A$4:$A$78, 0),
    MATCH(
      TEXT(C2951,"dd mmm")&amp;" "&amp;D2951,
      'Valor Hora Real y Estimada'!$A$3:$Z$3,
      0
    ) + 1
  ),
  0
)</f>
        <v>0</v>
      </c>
      <c r="O2951" s="453"/>
      <c r="P2951" s="113"/>
      <c r="Q2951" s="106" t="str">
        <f>IF(ISBLANK(O2951), "", VLOOKUP(C2951&amp;" "&amp;D2951, 'Info Tipo de Cambio y REM'!$A$24:$B$35, 2, FALSE))</f>
        <v/>
      </c>
      <c r="R2951" s="107"/>
    </row>
    <row r="2952" hidden="1">
      <c r="A2952" s="443"/>
      <c r="B2952" s="43" t="str">
        <f>IF(A2952="", "", IFERROR(VLOOKUP(A2952, Clasificaciones!A:B, 2, FALSE), "DATO NO CARGADO"))
</f>
        <v/>
      </c>
      <c r="C2952" s="51"/>
      <c r="D2952" s="102"/>
      <c r="E2952" s="102"/>
      <c r="H2952" s="102"/>
      <c r="J2952" s="102"/>
      <c r="K2952" s="450"/>
      <c r="L2952" s="443"/>
      <c r="M2952" s="450"/>
      <c r="N2952" s="452">
        <f t="array" ref="N2952">IFERROR(
  INDEX(
    'Valor Hora Real y Estimada'!$A$4:$Z$78,
    MATCH(TRIM(CLEAN(A2952)), 'Valor Hora Real y Estimada'!$A$4:$A$78, 0),
    MATCH(
      TEXT(C2952,"dd mmm")&amp;" "&amp;D2952,
      'Valor Hora Real y Estimada'!$A$3:$Z$3,
      0
    ) + 1
  ),
  0
)</f>
        <v>0</v>
      </c>
      <c r="O2952" s="453"/>
      <c r="P2952" s="113"/>
      <c r="Q2952" s="106" t="str">
        <f>IF(ISBLANK(O2952), "", VLOOKUP(C2952&amp;" "&amp;D2952, 'Info Tipo de Cambio y REM'!$A$24:$B$35, 2, FALSE))</f>
        <v/>
      </c>
      <c r="R2952" s="107"/>
    </row>
    <row r="2953" hidden="1">
      <c r="A2953" s="443"/>
      <c r="B2953" s="43" t="str">
        <f>IF(A2953="", "", IFERROR(VLOOKUP(A2953, Clasificaciones!A:B, 2, FALSE), "DATO NO CARGADO"))
</f>
        <v/>
      </c>
      <c r="C2953" s="51"/>
      <c r="D2953" s="102"/>
      <c r="E2953" s="102"/>
      <c r="H2953" s="102"/>
      <c r="J2953" s="102"/>
      <c r="K2953" s="450"/>
      <c r="L2953" s="443"/>
      <c r="M2953" s="450"/>
      <c r="N2953" s="452">
        <f t="array" ref="N2953">IFERROR(
  INDEX(
    'Valor Hora Real y Estimada'!$A$4:$Z$78,
    MATCH(TRIM(CLEAN(A2953)), 'Valor Hora Real y Estimada'!$A$4:$A$78, 0),
    MATCH(
      TEXT(C2953,"dd mmm")&amp;" "&amp;D2953,
      'Valor Hora Real y Estimada'!$A$3:$Z$3,
      0
    ) + 1
  ),
  0
)</f>
        <v>0</v>
      </c>
      <c r="O2953" s="453"/>
      <c r="P2953" s="113"/>
      <c r="Q2953" s="106" t="str">
        <f>IF(ISBLANK(O2953), "", VLOOKUP(C2953&amp;" "&amp;D2953, 'Info Tipo de Cambio y REM'!$A$24:$B$35, 2, FALSE))</f>
        <v/>
      </c>
      <c r="R2953" s="107"/>
    </row>
    <row r="2954" hidden="1">
      <c r="A2954" s="443"/>
      <c r="B2954" s="43" t="str">
        <f>IF(A2954="", "", IFERROR(VLOOKUP(A2954, Clasificaciones!A:B, 2, FALSE), "DATO NO CARGADO"))
</f>
        <v/>
      </c>
      <c r="C2954" s="51"/>
      <c r="D2954" s="102"/>
      <c r="E2954" s="102"/>
      <c r="H2954" s="102"/>
      <c r="J2954" s="102"/>
      <c r="K2954" s="450"/>
      <c r="L2954" s="443"/>
      <c r="M2954" s="450"/>
      <c r="N2954" s="452">
        <f t="array" ref="N2954">IFERROR(
  INDEX(
    'Valor Hora Real y Estimada'!$A$4:$Z$78,
    MATCH(TRIM(CLEAN(A2954)), 'Valor Hora Real y Estimada'!$A$4:$A$78, 0),
    MATCH(
      TEXT(C2954,"dd mmm")&amp;" "&amp;D2954,
      'Valor Hora Real y Estimada'!$A$3:$Z$3,
      0
    ) + 1
  ),
  0
)</f>
        <v>0</v>
      </c>
      <c r="O2954" s="453"/>
      <c r="P2954" s="113"/>
      <c r="Q2954" s="106" t="str">
        <f>IF(ISBLANK(O2954), "", VLOOKUP(C2954&amp;" "&amp;D2954, 'Info Tipo de Cambio y REM'!$A$24:$B$35, 2, FALSE))</f>
        <v/>
      </c>
      <c r="R2954" s="107"/>
    </row>
    <row r="2955" hidden="1">
      <c r="A2955" s="443"/>
      <c r="B2955" s="43" t="str">
        <f>IF(A2955="", "", IFERROR(VLOOKUP(A2955, Clasificaciones!A:B, 2, FALSE), "DATO NO CARGADO"))
</f>
        <v/>
      </c>
      <c r="C2955" s="51"/>
      <c r="D2955" s="102"/>
      <c r="E2955" s="102"/>
      <c r="H2955" s="102"/>
      <c r="J2955" s="102"/>
      <c r="K2955" s="450"/>
      <c r="L2955" s="443"/>
      <c r="M2955" s="450"/>
      <c r="N2955" s="452">
        <f t="array" ref="N2955">IFERROR(
  INDEX(
    'Valor Hora Real y Estimada'!$A$4:$Z$78,
    MATCH(TRIM(CLEAN(A2955)), 'Valor Hora Real y Estimada'!$A$4:$A$78, 0),
    MATCH(
      TEXT(C2955,"dd mmm")&amp;" "&amp;D2955,
      'Valor Hora Real y Estimada'!$A$3:$Z$3,
      0
    ) + 1
  ),
  0
)</f>
        <v>0</v>
      </c>
      <c r="O2955" s="453"/>
      <c r="P2955" s="113"/>
      <c r="Q2955" s="106" t="str">
        <f>IF(ISBLANK(O2955), "", VLOOKUP(C2955&amp;" "&amp;D2955, 'Info Tipo de Cambio y REM'!$A$24:$B$35, 2, FALSE))</f>
        <v/>
      </c>
      <c r="R2955" s="107"/>
    </row>
    <row r="2956" hidden="1">
      <c r="A2956" s="443"/>
      <c r="B2956" s="43" t="str">
        <f>IF(A2956="", "", IFERROR(VLOOKUP(A2956, Clasificaciones!A:B, 2, FALSE), "DATO NO CARGADO"))
</f>
        <v/>
      </c>
      <c r="C2956" s="51"/>
      <c r="D2956" s="102"/>
      <c r="E2956" s="102"/>
      <c r="H2956" s="102"/>
      <c r="J2956" s="102"/>
      <c r="K2956" s="450"/>
      <c r="L2956" s="443"/>
      <c r="M2956" s="450"/>
      <c r="N2956" s="452">
        <f t="array" ref="N2956">IFERROR(
  INDEX(
    'Valor Hora Real y Estimada'!$A$4:$Z$78,
    MATCH(TRIM(CLEAN(A2956)), 'Valor Hora Real y Estimada'!$A$4:$A$78, 0),
    MATCH(
      TEXT(C2956,"dd mmm")&amp;" "&amp;D2956,
      'Valor Hora Real y Estimada'!$A$3:$Z$3,
      0
    ) + 1
  ),
  0
)</f>
        <v>0</v>
      </c>
      <c r="O2956" s="453"/>
      <c r="P2956" s="113"/>
      <c r="Q2956" s="106" t="str">
        <f>IF(ISBLANK(O2956), "", VLOOKUP(C2956&amp;" "&amp;D2956, 'Info Tipo de Cambio y REM'!$A$24:$B$35, 2, FALSE))</f>
        <v/>
      </c>
      <c r="R2956" s="107"/>
    </row>
    <row r="2957" hidden="1">
      <c r="A2957" s="443"/>
      <c r="B2957" s="43" t="str">
        <f>IF(A2957="", "", IFERROR(VLOOKUP(A2957, Clasificaciones!A:B, 2, FALSE), "DATO NO CARGADO"))
</f>
        <v/>
      </c>
      <c r="C2957" s="51"/>
      <c r="D2957" s="102"/>
      <c r="E2957" s="102"/>
      <c r="H2957" s="102"/>
      <c r="J2957" s="102"/>
      <c r="K2957" s="450"/>
      <c r="L2957" s="443"/>
      <c r="M2957" s="450"/>
      <c r="N2957" s="452">
        <f t="array" ref="N2957">IFERROR(
  INDEX(
    'Valor Hora Real y Estimada'!$A$4:$Z$78,
    MATCH(TRIM(CLEAN(A2957)), 'Valor Hora Real y Estimada'!$A$4:$A$78, 0),
    MATCH(
      TEXT(C2957,"dd mmm")&amp;" "&amp;D2957,
      'Valor Hora Real y Estimada'!$A$3:$Z$3,
      0
    ) + 1
  ),
  0
)</f>
        <v>0</v>
      </c>
      <c r="O2957" s="453"/>
      <c r="P2957" s="113"/>
      <c r="Q2957" s="106" t="str">
        <f>IF(ISBLANK(O2957), "", VLOOKUP(C2957&amp;" "&amp;D2957, 'Info Tipo de Cambio y REM'!$A$24:$B$35, 2, FALSE))</f>
        <v/>
      </c>
      <c r="R2957" s="107"/>
    </row>
    <row r="2958" hidden="1">
      <c r="A2958" s="443"/>
      <c r="B2958" s="43" t="str">
        <f>IF(A2958="", "", IFERROR(VLOOKUP(A2958, Clasificaciones!A:B, 2, FALSE), "DATO NO CARGADO"))
</f>
        <v/>
      </c>
      <c r="C2958" s="51"/>
      <c r="D2958" s="102"/>
      <c r="E2958" s="102"/>
      <c r="H2958" s="102"/>
      <c r="J2958" s="102"/>
      <c r="K2958" s="450"/>
      <c r="L2958" s="443"/>
      <c r="M2958" s="450"/>
      <c r="N2958" s="452">
        <f t="array" ref="N2958">IFERROR(
  INDEX(
    'Valor Hora Real y Estimada'!$A$4:$Z$78,
    MATCH(TRIM(CLEAN(A2958)), 'Valor Hora Real y Estimada'!$A$4:$A$78, 0),
    MATCH(
      TEXT(C2958,"dd mmm")&amp;" "&amp;D2958,
      'Valor Hora Real y Estimada'!$A$3:$Z$3,
      0
    ) + 1
  ),
  0
)</f>
        <v>0</v>
      </c>
      <c r="O2958" s="453"/>
      <c r="P2958" s="113"/>
      <c r="Q2958" s="106" t="str">
        <f>IF(ISBLANK(O2958), "", VLOOKUP(C2958&amp;" "&amp;D2958, 'Info Tipo de Cambio y REM'!$A$24:$B$35, 2, FALSE))</f>
        <v/>
      </c>
      <c r="R2958" s="107"/>
    </row>
    <row r="2959" hidden="1">
      <c r="A2959" s="443"/>
      <c r="B2959" s="43" t="str">
        <f>IF(A2959="", "", IFERROR(VLOOKUP(A2959, Clasificaciones!A:B, 2, FALSE), "DATO NO CARGADO"))
</f>
        <v/>
      </c>
      <c r="C2959" s="51"/>
      <c r="D2959" s="102"/>
      <c r="E2959" s="102"/>
      <c r="H2959" s="102"/>
      <c r="J2959" s="102"/>
      <c r="K2959" s="450"/>
      <c r="L2959" s="443"/>
      <c r="M2959" s="450"/>
      <c r="N2959" s="452">
        <f t="array" ref="N2959">IFERROR(
  INDEX(
    'Valor Hora Real y Estimada'!$A$4:$Z$78,
    MATCH(TRIM(CLEAN(A2959)), 'Valor Hora Real y Estimada'!$A$4:$A$78, 0),
    MATCH(
      TEXT(C2959,"dd mmm")&amp;" "&amp;D2959,
      'Valor Hora Real y Estimada'!$A$3:$Z$3,
      0
    ) + 1
  ),
  0
)</f>
        <v>0</v>
      </c>
      <c r="O2959" s="453"/>
      <c r="P2959" s="113"/>
      <c r="Q2959" s="106" t="str">
        <f>IF(ISBLANK(O2959), "", VLOOKUP(C2959&amp;" "&amp;D2959, 'Info Tipo de Cambio y REM'!$A$24:$B$35, 2, FALSE))</f>
        <v/>
      </c>
      <c r="R2959" s="107"/>
    </row>
    <row r="2960" hidden="1">
      <c r="A2960" s="443"/>
      <c r="B2960" s="43" t="str">
        <f>IF(A2960="", "", IFERROR(VLOOKUP(A2960, Clasificaciones!A:B, 2, FALSE), "DATO NO CARGADO"))
</f>
        <v/>
      </c>
      <c r="C2960" s="51"/>
      <c r="D2960" s="102"/>
      <c r="E2960" s="102"/>
      <c r="H2960" s="102"/>
      <c r="J2960" s="102"/>
      <c r="K2960" s="450"/>
      <c r="L2960" s="443"/>
      <c r="M2960" s="450"/>
      <c r="N2960" s="452">
        <f t="array" ref="N2960">IFERROR(
  INDEX(
    'Valor Hora Real y Estimada'!$A$4:$Z$78,
    MATCH(TRIM(CLEAN(A2960)), 'Valor Hora Real y Estimada'!$A$4:$A$78, 0),
    MATCH(
      TEXT(C2960,"dd mmm")&amp;" "&amp;D2960,
      'Valor Hora Real y Estimada'!$A$3:$Z$3,
      0
    ) + 1
  ),
  0
)</f>
        <v>0</v>
      </c>
      <c r="O2960" s="453"/>
      <c r="P2960" s="113"/>
      <c r="Q2960" s="106" t="str">
        <f>IF(ISBLANK(O2960), "", VLOOKUP(C2960&amp;" "&amp;D2960, 'Info Tipo de Cambio y REM'!$A$24:$B$35, 2, FALSE))</f>
        <v/>
      </c>
      <c r="R2960" s="107"/>
    </row>
    <row r="2961" hidden="1">
      <c r="A2961" s="443"/>
      <c r="B2961" s="43" t="str">
        <f>IF(A2961="", "", IFERROR(VLOOKUP(A2961, Clasificaciones!A:B, 2, FALSE), "DATO NO CARGADO"))
</f>
        <v/>
      </c>
      <c r="C2961" s="51"/>
      <c r="D2961" s="102"/>
      <c r="E2961" s="102"/>
      <c r="H2961" s="102"/>
      <c r="J2961" s="102"/>
      <c r="K2961" s="450"/>
      <c r="L2961" s="443"/>
      <c r="M2961" s="450"/>
      <c r="N2961" s="452">
        <f t="array" ref="N2961">IFERROR(
  INDEX(
    'Valor Hora Real y Estimada'!$A$4:$Z$78,
    MATCH(TRIM(CLEAN(A2961)), 'Valor Hora Real y Estimada'!$A$4:$A$78, 0),
    MATCH(
      TEXT(C2961,"dd mmm")&amp;" "&amp;D2961,
      'Valor Hora Real y Estimada'!$A$3:$Z$3,
      0
    ) + 1
  ),
  0
)</f>
        <v>0</v>
      </c>
      <c r="O2961" s="453"/>
      <c r="P2961" s="113"/>
      <c r="Q2961" s="106" t="str">
        <f>IF(ISBLANK(O2961), "", VLOOKUP(C2961&amp;" "&amp;D2961, 'Info Tipo de Cambio y REM'!$A$24:$B$35, 2, FALSE))</f>
        <v/>
      </c>
      <c r="R2961" s="107"/>
    </row>
    <row r="2962" hidden="1">
      <c r="A2962" s="443"/>
      <c r="B2962" s="43" t="str">
        <f>IF(A2962="", "", IFERROR(VLOOKUP(A2962, Clasificaciones!A:B, 2, FALSE), "DATO NO CARGADO"))
</f>
        <v/>
      </c>
      <c r="C2962" s="51"/>
      <c r="D2962" s="102"/>
      <c r="E2962" s="102"/>
      <c r="H2962" s="102"/>
      <c r="J2962" s="102"/>
      <c r="K2962" s="450"/>
      <c r="L2962" s="443"/>
      <c r="M2962" s="450"/>
      <c r="N2962" s="452">
        <f t="array" ref="N2962">IFERROR(
  INDEX(
    'Valor Hora Real y Estimada'!$A$4:$Z$78,
    MATCH(TRIM(CLEAN(A2962)), 'Valor Hora Real y Estimada'!$A$4:$A$78, 0),
    MATCH(
      TEXT(C2962,"dd mmm")&amp;" "&amp;D2962,
      'Valor Hora Real y Estimada'!$A$3:$Z$3,
      0
    ) + 1
  ),
  0
)</f>
        <v>0</v>
      </c>
      <c r="O2962" s="453"/>
      <c r="P2962" s="113"/>
      <c r="Q2962" s="106" t="str">
        <f>IF(ISBLANK(O2962), "", VLOOKUP(C2962&amp;" "&amp;D2962, 'Info Tipo de Cambio y REM'!$A$24:$B$35, 2, FALSE))</f>
        <v/>
      </c>
      <c r="R2962" s="107"/>
    </row>
    <row r="2963" hidden="1">
      <c r="A2963" s="443"/>
      <c r="B2963" s="43" t="str">
        <f>IF(A2963="", "", IFERROR(VLOOKUP(A2963, Clasificaciones!A:B, 2, FALSE), "DATO NO CARGADO"))
</f>
        <v/>
      </c>
      <c r="C2963" s="51"/>
      <c r="D2963" s="102"/>
      <c r="E2963" s="102"/>
      <c r="H2963" s="102"/>
      <c r="J2963" s="102"/>
      <c r="K2963" s="450"/>
      <c r="L2963" s="443"/>
      <c r="M2963" s="450"/>
      <c r="N2963" s="452">
        <f t="array" ref="N2963">IFERROR(
  INDEX(
    'Valor Hora Real y Estimada'!$A$4:$Z$78,
    MATCH(TRIM(CLEAN(A2963)), 'Valor Hora Real y Estimada'!$A$4:$A$78, 0),
    MATCH(
      TEXT(C2963,"dd mmm")&amp;" "&amp;D2963,
      'Valor Hora Real y Estimada'!$A$3:$Z$3,
      0
    ) + 1
  ),
  0
)</f>
        <v>0</v>
      </c>
      <c r="O2963" s="453"/>
      <c r="P2963" s="113"/>
      <c r="Q2963" s="106" t="str">
        <f>IF(ISBLANK(O2963), "", VLOOKUP(C2963&amp;" "&amp;D2963, 'Info Tipo de Cambio y REM'!$A$24:$B$35, 2, FALSE))</f>
        <v/>
      </c>
      <c r="R2963" s="107"/>
    </row>
    <row r="2964" hidden="1">
      <c r="A2964" s="443"/>
      <c r="B2964" s="43" t="str">
        <f>IF(A2964="", "", IFERROR(VLOOKUP(A2964, Clasificaciones!A:B, 2, FALSE), "DATO NO CARGADO"))
</f>
        <v/>
      </c>
      <c r="C2964" s="51"/>
      <c r="D2964" s="102"/>
      <c r="E2964" s="102"/>
      <c r="H2964" s="102"/>
      <c r="J2964" s="102"/>
      <c r="K2964" s="450"/>
      <c r="L2964" s="443"/>
      <c r="M2964" s="450"/>
      <c r="N2964" s="452">
        <f t="array" ref="N2964">IFERROR(
  INDEX(
    'Valor Hora Real y Estimada'!$A$4:$Z$78,
    MATCH(TRIM(CLEAN(A2964)), 'Valor Hora Real y Estimada'!$A$4:$A$78, 0),
    MATCH(
      TEXT(C2964,"dd mmm")&amp;" "&amp;D2964,
      'Valor Hora Real y Estimada'!$A$3:$Z$3,
      0
    ) + 1
  ),
  0
)</f>
        <v>0</v>
      </c>
      <c r="O2964" s="453"/>
      <c r="P2964" s="113"/>
      <c r="Q2964" s="106" t="str">
        <f>IF(ISBLANK(O2964), "", VLOOKUP(C2964&amp;" "&amp;D2964, 'Info Tipo de Cambio y REM'!$A$24:$B$35, 2, FALSE))</f>
        <v/>
      </c>
      <c r="R2964" s="107"/>
    </row>
    <row r="2965" hidden="1">
      <c r="A2965" s="443"/>
      <c r="B2965" s="43" t="str">
        <f>IF(A2965="", "", IFERROR(VLOOKUP(A2965, Clasificaciones!A:B, 2, FALSE), "DATO NO CARGADO"))
</f>
        <v/>
      </c>
      <c r="C2965" s="51"/>
      <c r="D2965" s="102"/>
      <c r="E2965" s="102"/>
      <c r="H2965" s="102"/>
      <c r="J2965" s="102"/>
      <c r="K2965" s="450"/>
      <c r="L2965" s="443"/>
      <c r="M2965" s="450"/>
      <c r="N2965" s="452">
        <f t="array" ref="N2965">IFERROR(
  INDEX(
    'Valor Hora Real y Estimada'!$A$4:$Z$78,
    MATCH(TRIM(CLEAN(A2965)), 'Valor Hora Real y Estimada'!$A$4:$A$78, 0),
    MATCH(
      TEXT(C2965,"dd mmm")&amp;" "&amp;D2965,
      'Valor Hora Real y Estimada'!$A$3:$Z$3,
      0
    ) + 1
  ),
  0
)</f>
        <v>0</v>
      </c>
      <c r="O2965" s="453"/>
      <c r="P2965" s="113"/>
      <c r="Q2965" s="106" t="str">
        <f>IF(ISBLANK(O2965), "", VLOOKUP(C2965&amp;" "&amp;D2965, 'Info Tipo de Cambio y REM'!$A$24:$B$35, 2, FALSE))</f>
        <v/>
      </c>
      <c r="R2965" s="107"/>
    </row>
    <row r="2966" hidden="1">
      <c r="A2966" s="443"/>
      <c r="B2966" s="43" t="str">
        <f>IF(A2966="", "", IFERROR(VLOOKUP(A2966, Clasificaciones!A:B, 2, FALSE), "DATO NO CARGADO"))
</f>
        <v/>
      </c>
      <c r="C2966" s="51"/>
      <c r="D2966" s="102"/>
      <c r="E2966" s="102"/>
      <c r="H2966" s="102"/>
      <c r="J2966" s="102"/>
      <c r="K2966" s="450"/>
      <c r="L2966" s="443"/>
      <c r="M2966" s="450"/>
      <c r="N2966" s="452">
        <f t="array" ref="N2966">IFERROR(
  INDEX(
    'Valor Hora Real y Estimada'!$A$4:$Z$78,
    MATCH(TRIM(CLEAN(A2966)), 'Valor Hora Real y Estimada'!$A$4:$A$78, 0),
    MATCH(
      TEXT(C2966,"dd mmm")&amp;" "&amp;D2966,
      'Valor Hora Real y Estimada'!$A$3:$Z$3,
      0
    ) + 1
  ),
  0
)</f>
        <v>0</v>
      </c>
      <c r="O2966" s="453"/>
      <c r="P2966" s="113"/>
      <c r="Q2966" s="106" t="str">
        <f>IF(ISBLANK(O2966), "", VLOOKUP(C2966&amp;" "&amp;D2966, 'Info Tipo de Cambio y REM'!$A$24:$B$35, 2, FALSE))</f>
        <v/>
      </c>
      <c r="R2966" s="107"/>
    </row>
    <row r="2967" hidden="1">
      <c r="A2967" s="443"/>
      <c r="B2967" s="43" t="str">
        <f>IF(A2967="", "", IFERROR(VLOOKUP(A2967, Clasificaciones!A:B, 2, FALSE), "DATO NO CARGADO"))
</f>
        <v/>
      </c>
      <c r="C2967" s="51"/>
      <c r="D2967" s="102"/>
      <c r="E2967" s="102"/>
      <c r="H2967" s="102"/>
      <c r="J2967" s="102"/>
      <c r="K2967" s="450"/>
      <c r="L2967" s="443"/>
      <c r="M2967" s="450"/>
      <c r="N2967" s="452">
        <f t="array" ref="N2967">IFERROR(
  INDEX(
    'Valor Hora Real y Estimada'!$A$4:$Z$78,
    MATCH(TRIM(CLEAN(A2967)), 'Valor Hora Real y Estimada'!$A$4:$A$78, 0),
    MATCH(
      TEXT(C2967,"dd mmm")&amp;" "&amp;D2967,
      'Valor Hora Real y Estimada'!$A$3:$Z$3,
      0
    ) + 1
  ),
  0
)</f>
        <v>0</v>
      </c>
      <c r="O2967" s="453"/>
      <c r="P2967" s="113"/>
      <c r="Q2967" s="106" t="str">
        <f>IF(ISBLANK(O2967), "", VLOOKUP(C2967&amp;" "&amp;D2967, 'Info Tipo de Cambio y REM'!$A$24:$B$35, 2, FALSE))</f>
        <v/>
      </c>
      <c r="R2967" s="107"/>
    </row>
    <row r="2968" hidden="1">
      <c r="A2968" s="443"/>
      <c r="B2968" s="43" t="str">
        <f>IF(A2968="", "", IFERROR(VLOOKUP(A2968, Clasificaciones!A:B, 2, FALSE), "DATO NO CARGADO"))
</f>
        <v/>
      </c>
      <c r="C2968" s="51"/>
      <c r="D2968" s="102"/>
      <c r="E2968" s="102"/>
      <c r="H2968" s="102"/>
      <c r="J2968" s="102"/>
      <c r="K2968" s="450"/>
      <c r="L2968" s="443"/>
      <c r="M2968" s="450"/>
      <c r="N2968" s="452">
        <f t="array" ref="N2968">IFERROR(
  INDEX(
    'Valor Hora Real y Estimada'!$A$4:$Z$78,
    MATCH(TRIM(CLEAN(A2968)), 'Valor Hora Real y Estimada'!$A$4:$A$78, 0),
    MATCH(
      TEXT(C2968,"dd mmm")&amp;" "&amp;D2968,
      'Valor Hora Real y Estimada'!$A$3:$Z$3,
      0
    ) + 1
  ),
  0
)</f>
        <v>0</v>
      </c>
      <c r="O2968" s="453"/>
      <c r="P2968" s="113"/>
      <c r="Q2968" s="106" t="str">
        <f>IF(ISBLANK(O2968), "", VLOOKUP(C2968&amp;" "&amp;D2968, 'Info Tipo de Cambio y REM'!$A$24:$B$35, 2, FALSE))</f>
        <v/>
      </c>
      <c r="R2968" s="107"/>
    </row>
    <row r="2969" hidden="1">
      <c r="A2969" s="443"/>
      <c r="B2969" s="43" t="str">
        <f>IF(A2969="", "", IFERROR(VLOOKUP(A2969, Clasificaciones!A:B, 2, FALSE), "DATO NO CARGADO"))
</f>
        <v/>
      </c>
      <c r="C2969" s="51"/>
      <c r="D2969" s="102"/>
      <c r="E2969" s="102"/>
      <c r="H2969" s="102"/>
      <c r="J2969" s="102"/>
      <c r="K2969" s="450"/>
      <c r="L2969" s="443"/>
      <c r="M2969" s="450"/>
      <c r="N2969" s="452">
        <f t="array" ref="N2969">IFERROR(
  INDEX(
    'Valor Hora Real y Estimada'!$A$4:$Z$78,
    MATCH(TRIM(CLEAN(A2969)), 'Valor Hora Real y Estimada'!$A$4:$A$78, 0),
    MATCH(
      TEXT(C2969,"dd mmm")&amp;" "&amp;D2969,
      'Valor Hora Real y Estimada'!$A$3:$Z$3,
      0
    ) + 1
  ),
  0
)</f>
        <v>0</v>
      </c>
      <c r="O2969" s="453"/>
      <c r="P2969" s="113"/>
      <c r="Q2969" s="106" t="str">
        <f>IF(ISBLANK(O2969), "", VLOOKUP(C2969&amp;" "&amp;D2969, 'Info Tipo de Cambio y REM'!$A$24:$B$35, 2, FALSE))</f>
        <v/>
      </c>
      <c r="R2969" s="107"/>
    </row>
    <row r="2970" hidden="1">
      <c r="A2970" s="443"/>
      <c r="B2970" s="43" t="str">
        <f>IF(A2970="", "", IFERROR(VLOOKUP(A2970, Clasificaciones!A:B, 2, FALSE), "DATO NO CARGADO"))
</f>
        <v/>
      </c>
      <c r="C2970" s="51"/>
      <c r="D2970" s="102"/>
      <c r="E2970" s="102"/>
      <c r="H2970" s="102"/>
      <c r="J2970" s="102"/>
      <c r="K2970" s="450"/>
      <c r="L2970" s="443"/>
      <c r="M2970" s="450"/>
      <c r="N2970" s="452">
        <f t="array" ref="N2970">IFERROR(
  INDEX(
    'Valor Hora Real y Estimada'!$A$4:$Z$78,
    MATCH(TRIM(CLEAN(A2970)), 'Valor Hora Real y Estimada'!$A$4:$A$78, 0),
    MATCH(
      TEXT(C2970,"dd mmm")&amp;" "&amp;D2970,
      'Valor Hora Real y Estimada'!$A$3:$Z$3,
      0
    ) + 1
  ),
  0
)</f>
        <v>0</v>
      </c>
      <c r="O2970" s="453"/>
      <c r="P2970" s="113"/>
      <c r="Q2970" s="106" t="str">
        <f>IF(ISBLANK(O2970), "", VLOOKUP(C2970&amp;" "&amp;D2970, 'Info Tipo de Cambio y REM'!$A$24:$B$35, 2, FALSE))</f>
        <v/>
      </c>
      <c r="R2970" s="107"/>
    </row>
    <row r="2971" hidden="1">
      <c r="A2971" s="443"/>
      <c r="B2971" s="43" t="str">
        <f>IF(A2971="", "", IFERROR(VLOOKUP(A2971, Clasificaciones!A:B, 2, FALSE), "DATO NO CARGADO"))
</f>
        <v/>
      </c>
      <c r="C2971" s="51"/>
      <c r="D2971" s="102"/>
      <c r="E2971" s="102"/>
      <c r="H2971" s="102"/>
      <c r="J2971" s="102"/>
      <c r="K2971" s="450"/>
      <c r="L2971" s="443"/>
      <c r="M2971" s="450"/>
      <c r="N2971" s="452">
        <f t="array" ref="N2971">IFERROR(
  INDEX(
    'Valor Hora Real y Estimada'!$A$4:$Z$78,
    MATCH(TRIM(CLEAN(A2971)), 'Valor Hora Real y Estimada'!$A$4:$A$78, 0),
    MATCH(
      TEXT(C2971,"dd mmm")&amp;" "&amp;D2971,
      'Valor Hora Real y Estimada'!$A$3:$Z$3,
      0
    ) + 1
  ),
  0
)</f>
        <v>0</v>
      </c>
      <c r="O2971" s="453"/>
      <c r="P2971" s="113"/>
      <c r="Q2971" s="106" t="str">
        <f>IF(ISBLANK(O2971), "", VLOOKUP(C2971&amp;" "&amp;D2971, 'Info Tipo de Cambio y REM'!$A$24:$B$35, 2, FALSE))</f>
        <v/>
      </c>
      <c r="R2971" s="107"/>
    </row>
    <row r="2972" hidden="1">
      <c r="A2972" s="443"/>
      <c r="B2972" s="43" t="str">
        <f>IF(A2972="", "", IFERROR(VLOOKUP(A2972, Clasificaciones!A:B, 2, FALSE), "DATO NO CARGADO"))
</f>
        <v/>
      </c>
      <c r="C2972" s="51"/>
      <c r="D2972" s="102"/>
      <c r="E2972" s="102"/>
      <c r="H2972" s="102"/>
      <c r="J2972" s="102"/>
      <c r="K2972" s="450"/>
      <c r="L2972" s="443"/>
      <c r="M2972" s="450"/>
      <c r="N2972" s="452">
        <f t="array" ref="N2972">IFERROR(
  INDEX(
    'Valor Hora Real y Estimada'!$A$4:$Z$78,
    MATCH(TRIM(CLEAN(A2972)), 'Valor Hora Real y Estimada'!$A$4:$A$78, 0),
    MATCH(
      TEXT(C2972,"dd mmm")&amp;" "&amp;D2972,
      'Valor Hora Real y Estimada'!$A$3:$Z$3,
      0
    ) + 1
  ),
  0
)</f>
        <v>0</v>
      </c>
      <c r="O2972" s="453"/>
      <c r="P2972" s="113"/>
      <c r="Q2972" s="106" t="str">
        <f>IF(ISBLANK(O2972), "", VLOOKUP(C2972&amp;" "&amp;D2972, 'Info Tipo de Cambio y REM'!$A$24:$B$35, 2, FALSE))</f>
        <v/>
      </c>
      <c r="R2972" s="107"/>
    </row>
    <row r="2973" hidden="1">
      <c r="A2973" s="443"/>
      <c r="B2973" s="43" t="str">
        <f>IF(A2973="", "", IFERROR(VLOOKUP(A2973, Clasificaciones!A:B, 2, FALSE), "DATO NO CARGADO"))
</f>
        <v/>
      </c>
      <c r="C2973" s="51"/>
      <c r="D2973" s="102"/>
      <c r="E2973" s="102"/>
      <c r="H2973" s="102"/>
      <c r="J2973" s="102"/>
      <c r="K2973" s="450"/>
      <c r="L2973" s="443"/>
      <c r="M2973" s="450"/>
      <c r="N2973" s="452">
        <f t="array" ref="N2973">IFERROR(
  INDEX(
    'Valor Hora Real y Estimada'!$A$4:$Z$78,
    MATCH(TRIM(CLEAN(A2973)), 'Valor Hora Real y Estimada'!$A$4:$A$78, 0),
    MATCH(
      TEXT(C2973,"dd mmm")&amp;" "&amp;D2973,
      'Valor Hora Real y Estimada'!$A$3:$Z$3,
      0
    ) + 1
  ),
  0
)</f>
        <v>0</v>
      </c>
      <c r="O2973" s="453"/>
      <c r="P2973" s="113"/>
      <c r="Q2973" s="106" t="str">
        <f>IF(ISBLANK(O2973), "", VLOOKUP(C2973&amp;" "&amp;D2973, 'Info Tipo de Cambio y REM'!$A$24:$B$35, 2, FALSE))</f>
        <v/>
      </c>
      <c r="R2973" s="107"/>
    </row>
    <row r="2974" hidden="1">
      <c r="A2974" s="443"/>
      <c r="B2974" s="43" t="str">
        <f>IF(A2974="", "", IFERROR(VLOOKUP(A2974, Clasificaciones!A:B, 2, FALSE), "DATO NO CARGADO"))
</f>
        <v/>
      </c>
      <c r="C2974" s="51"/>
      <c r="D2974" s="102"/>
      <c r="E2974" s="102"/>
      <c r="H2974" s="102"/>
      <c r="J2974" s="102"/>
      <c r="K2974" s="450"/>
      <c r="L2974" s="443"/>
      <c r="M2974" s="450"/>
      <c r="N2974" s="452">
        <f t="array" ref="N2974">IFERROR(
  INDEX(
    'Valor Hora Real y Estimada'!$A$4:$Z$78,
    MATCH(TRIM(CLEAN(A2974)), 'Valor Hora Real y Estimada'!$A$4:$A$78, 0),
    MATCH(
      TEXT(C2974,"dd mmm")&amp;" "&amp;D2974,
      'Valor Hora Real y Estimada'!$A$3:$Z$3,
      0
    ) + 1
  ),
  0
)</f>
        <v>0</v>
      </c>
      <c r="O2974" s="453"/>
      <c r="P2974" s="113"/>
      <c r="Q2974" s="106" t="str">
        <f>IF(ISBLANK(O2974), "", VLOOKUP(C2974&amp;" "&amp;D2974, 'Info Tipo de Cambio y REM'!$A$24:$B$35, 2, FALSE))</f>
        <v/>
      </c>
      <c r="R2974" s="107"/>
    </row>
    <row r="2975" hidden="1">
      <c r="A2975" s="443"/>
      <c r="B2975" s="43" t="str">
        <f>IF(A2975="", "", IFERROR(VLOOKUP(A2975, Clasificaciones!A:B, 2, FALSE), "DATO NO CARGADO"))
</f>
        <v/>
      </c>
      <c r="C2975" s="51"/>
      <c r="D2975" s="102"/>
      <c r="E2975" s="102"/>
      <c r="H2975" s="102"/>
      <c r="J2975" s="102"/>
      <c r="K2975" s="450"/>
      <c r="L2975" s="443"/>
      <c r="M2975" s="450"/>
      <c r="N2975" s="452">
        <f t="array" ref="N2975">IFERROR(
  INDEX(
    'Valor Hora Real y Estimada'!$A$4:$Z$78,
    MATCH(TRIM(CLEAN(A2975)), 'Valor Hora Real y Estimada'!$A$4:$A$78, 0),
    MATCH(
      TEXT(C2975,"dd mmm")&amp;" "&amp;D2975,
      'Valor Hora Real y Estimada'!$A$3:$Z$3,
      0
    ) + 1
  ),
  0
)</f>
        <v>0</v>
      </c>
      <c r="O2975" s="453"/>
      <c r="P2975" s="113"/>
      <c r="Q2975" s="106" t="str">
        <f>IF(ISBLANK(O2975), "", VLOOKUP(C2975&amp;" "&amp;D2975, 'Info Tipo de Cambio y REM'!$A$24:$B$35, 2, FALSE))</f>
        <v/>
      </c>
      <c r="R2975" s="107"/>
    </row>
    <row r="2976" hidden="1">
      <c r="A2976" s="443"/>
      <c r="B2976" s="43" t="str">
        <f>IF(A2976="", "", IFERROR(VLOOKUP(A2976, Clasificaciones!A:B, 2, FALSE), "DATO NO CARGADO"))
</f>
        <v/>
      </c>
      <c r="C2976" s="51"/>
      <c r="D2976" s="102"/>
      <c r="E2976" s="102"/>
      <c r="H2976" s="102"/>
      <c r="J2976" s="102"/>
      <c r="K2976" s="450"/>
      <c r="L2976" s="443"/>
      <c r="M2976" s="450"/>
      <c r="N2976" s="452">
        <f t="array" ref="N2976">IFERROR(
  INDEX(
    'Valor Hora Real y Estimada'!$A$4:$Z$78,
    MATCH(TRIM(CLEAN(A2976)), 'Valor Hora Real y Estimada'!$A$4:$A$78, 0),
    MATCH(
      TEXT(C2976,"dd mmm")&amp;" "&amp;D2976,
      'Valor Hora Real y Estimada'!$A$3:$Z$3,
      0
    ) + 1
  ),
  0
)</f>
        <v>0</v>
      </c>
      <c r="O2976" s="453"/>
      <c r="P2976" s="113"/>
      <c r="Q2976" s="106" t="str">
        <f>IF(ISBLANK(O2976), "", VLOOKUP(C2976&amp;" "&amp;D2976, 'Info Tipo de Cambio y REM'!$A$24:$B$35, 2, FALSE))</f>
        <v/>
      </c>
      <c r="R2976" s="107"/>
    </row>
    <row r="2977" hidden="1">
      <c r="A2977" s="443"/>
      <c r="B2977" s="43" t="str">
        <f>IF(A2977="", "", IFERROR(VLOOKUP(A2977, Clasificaciones!A:B, 2, FALSE), "DATO NO CARGADO"))
</f>
        <v/>
      </c>
      <c r="C2977" s="51"/>
      <c r="D2977" s="102"/>
      <c r="E2977" s="102"/>
      <c r="H2977" s="102"/>
      <c r="J2977" s="102"/>
      <c r="K2977" s="450"/>
      <c r="L2977" s="443"/>
      <c r="M2977" s="450"/>
      <c r="N2977" s="452">
        <f t="array" ref="N2977">IFERROR(
  INDEX(
    'Valor Hora Real y Estimada'!$A$4:$Z$78,
    MATCH(TRIM(CLEAN(A2977)), 'Valor Hora Real y Estimada'!$A$4:$A$78, 0),
    MATCH(
      TEXT(C2977,"dd mmm")&amp;" "&amp;D2977,
      'Valor Hora Real y Estimada'!$A$3:$Z$3,
      0
    ) + 1
  ),
  0
)</f>
        <v>0</v>
      </c>
      <c r="O2977" s="453"/>
      <c r="P2977" s="113"/>
      <c r="Q2977" s="106" t="str">
        <f>IF(ISBLANK(O2977), "", VLOOKUP(C2977&amp;" "&amp;D2977, 'Info Tipo de Cambio y REM'!$A$24:$B$35, 2, FALSE))</f>
        <v/>
      </c>
      <c r="R2977" s="107"/>
    </row>
    <row r="2978" hidden="1">
      <c r="A2978" s="443"/>
      <c r="B2978" s="43" t="str">
        <f>IF(A2978="", "", IFERROR(VLOOKUP(A2978, Clasificaciones!A:B, 2, FALSE), "DATO NO CARGADO"))
</f>
        <v/>
      </c>
      <c r="C2978" s="51"/>
      <c r="D2978" s="102"/>
      <c r="E2978" s="102"/>
      <c r="H2978" s="102"/>
      <c r="J2978" s="102"/>
      <c r="K2978" s="450"/>
      <c r="L2978" s="443"/>
      <c r="M2978" s="450"/>
      <c r="N2978" s="452">
        <f t="array" ref="N2978">IFERROR(
  INDEX(
    'Valor Hora Real y Estimada'!$A$4:$Z$78,
    MATCH(TRIM(CLEAN(A2978)), 'Valor Hora Real y Estimada'!$A$4:$A$78, 0),
    MATCH(
      TEXT(C2978,"dd mmm")&amp;" "&amp;D2978,
      'Valor Hora Real y Estimada'!$A$3:$Z$3,
      0
    ) + 1
  ),
  0
)</f>
        <v>0</v>
      </c>
      <c r="O2978" s="453"/>
      <c r="P2978" s="113"/>
      <c r="Q2978" s="106" t="str">
        <f>IF(ISBLANK(O2978), "", VLOOKUP(C2978&amp;" "&amp;D2978, 'Info Tipo de Cambio y REM'!$A$24:$B$35, 2, FALSE))</f>
        <v/>
      </c>
      <c r="R2978" s="107"/>
    </row>
    <row r="2979" hidden="1">
      <c r="A2979" s="443"/>
      <c r="B2979" s="43" t="str">
        <f>IF(A2979="", "", IFERROR(VLOOKUP(A2979, Clasificaciones!A:B, 2, FALSE), "DATO NO CARGADO"))
</f>
        <v/>
      </c>
      <c r="C2979" s="51"/>
      <c r="D2979" s="102"/>
      <c r="E2979" s="102"/>
      <c r="H2979" s="102"/>
      <c r="J2979" s="102"/>
      <c r="K2979" s="450"/>
      <c r="L2979" s="443"/>
      <c r="M2979" s="450"/>
      <c r="N2979" s="452">
        <f t="array" ref="N2979">IFERROR(
  INDEX(
    'Valor Hora Real y Estimada'!$A$4:$Z$78,
    MATCH(TRIM(CLEAN(A2979)), 'Valor Hora Real y Estimada'!$A$4:$A$78, 0),
    MATCH(
      TEXT(C2979,"dd mmm")&amp;" "&amp;D2979,
      'Valor Hora Real y Estimada'!$A$3:$Z$3,
      0
    ) + 1
  ),
  0
)</f>
        <v>0</v>
      </c>
      <c r="O2979" s="453"/>
      <c r="P2979" s="113"/>
      <c r="Q2979" s="106" t="str">
        <f>IF(ISBLANK(O2979), "", VLOOKUP(C2979&amp;" "&amp;D2979, 'Info Tipo de Cambio y REM'!$A$24:$B$35, 2, FALSE))</f>
        <v/>
      </c>
      <c r="R2979" s="107"/>
    </row>
    <row r="2980" hidden="1">
      <c r="A2980" s="443"/>
      <c r="B2980" s="43" t="str">
        <f>IF(A2980="", "", IFERROR(VLOOKUP(A2980, Clasificaciones!A:B, 2, FALSE), "DATO NO CARGADO"))
</f>
        <v/>
      </c>
      <c r="C2980" s="51"/>
      <c r="D2980" s="102"/>
      <c r="E2980" s="102"/>
      <c r="H2980" s="102"/>
      <c r="J2980" s="102"/>
      <c r="K2980" s="450"/>
      <c r="L2980" s="443"/>
      <c r="M2980" s="450"/>
      <c r="N2980" s="452">
        <f t="array" ref="N2980">IFERROR(
  INDEX(
    'Valor Hora Real y Estimada'!$A$4:$Z$78,
    MATCH(TRIM(CLEAN(A2980)), 'Valor Hora Real y Estimada'!$A$4:$A$78, 0),
    MATCH(
      TEXT(C2980,"dd mmm")&amp;" "&amp;D2980,
      'Valor Hora Real y Estimada'!$A$3:$Z$3,
      0
    ) + 1
  ),
  0
)</f>
        <v>0</v>
      </c>
      <c r="O2980" s="453"/>
      <c r="P2980" s="113"/>
      <c r="Q2980" s="106" t="str">
        <f>IF(ISBLANK(O2980), "", VLOOKUP(C2980&amp;" "&amp;D2980, 'Info Tipo de Cambio y REM'!$A$24:$B$35, 2, FALSE))</f>
        <v/>
      </c>
      <c r="R2980" s="107"/>
    </row>
    <row r="2981" hidden="1">
      <c r="A2981" s="443"/>
      <c r="B2981" s="43" t="str">
        <f>IF(A2981="", "", IFERROR(VLOOKUP(A2981, Clasificaciones!A:B, 2, FALSE), "DATO NO CARGADO"))
</f>
        <v/>
      </c>
      <c r="C2981" s="51"/>
      <c r="D2981" s="102"/>
      <c r="E2981" s="102"/>
      <c r="H2981" s="102"/>
      <c r="J2981" s="102"/>
      <c r="K2981" s="450"/>
      <c r="L2981" s="443"/>
      <c r="M2981" s="450"/>
      <c r="N2981" s="452">
        <f t="array" ref="N2981">IFERROR(
  INDEX(
    'Valor Hora Real y Estimada'!$A$4:$Z$78,
    MATCH(TRIM(CLEAN(A2981)), 'Valor Hora Real y Estimada'!$A$4:$A$78, 0),
    MATCH(
      TEXT(C2981,"dd mmm")&amp;" "&amp;D2981,
      'Valor Hora Real y Estimada'!$A$3:$Z$3,
      0
    ) + 1
  ),
  0
)</f>
        <v>0</v>
      </c>
      <c r="O2981" s="453"/>
      <c r="P2981" s="113"/>
      <c r="Q2981" s="106" t="str">
        <f>IF(ISBLANK(O2981), "", VLOOKUP(C2981&amp;" "&amp;D2981, 'Info Tipo de Cambio y REM'!$A$24:$B$35, 2, FALSE))</f>
        <v/>
      </c>
      <c r="R2981" s="107"/>
    </row>
    <row r="2982" hidden="1">
      <c r="A2982" s="443"/>
      <c r="B2982" s="43" t="str">
        <f>IF(A2982="", "", IFERROR(VLOOKUP(A2982, Clasificaciones!A:B, 2, FALSE), "DATO NO CARGADO"))
</f>
        <v/>
      </c>
      <c r="C2982" s="51"/>
      <c r="D2982" s="102"/>
      <c r="E2982" s="102"/>
      <c r="H2982" s="102"/>
      <c r="J2982" s="102"/>
      <c r="K2982" s="450"/>
      <c r="L2982" s="443"/>
      <c r="M2982" s="450"/>
      <c r="N2982" s="452">
        <f t="array" ref="N2982">IFERROR(
  INDEX(
    'Valor Hora Real y Estimada'!$A$4:$Z$78,
    MATCH(TRIM(CLEAN(A2982)), 'Valor Hora Real y Estimada'!$A$4:$A$78, 0),
    MATCH(
      TEXT(C2982,"dd mmm")&amp;" "&amp;D2982,
      'Valor Hora Real y Estimada'!$A$3:$Z$3,
      0
    ) + 1
  ),
  0
)</f>
        <v>0</v>
      </c>
      <c r="O2982" s="453"/>
      <c r="P2982" s="113"/>
      <c r="Q2982" s="106" t="str">
        <f>IF(ISBLANK(O2982), "", VLOOKUP(C2982&amp;" "&amp;D2982, 'Info Tipo de Cambio y REM'!$A$24:$B$35, 2, FALSE))</f>
        <v/>
      </c>
      <c r="R2982" s="107"/>
    </row>
    <row r="2983" hidden="1">
      <c r="A2983" s="443"/>
      <c r="B2983" s="43" t="str">
        <f>IF(A2983="", "", IFERROR(VLOOKUP(A2983, Clasificaciones!A:B, 2, FALSE), "DATO NO CARGADO"))
</f>
        <v/>
      </c>
      <c r="C2983" s="51"/>
      <c r="D2983" s="102"/>
      <c r="E2983" s="102"/>
      <c r="H2983" s="102"/>
      <c r="J2983" s="102"/>
      <c r="K2983" s="450"/>
      <c r="L2983" s="443"/>
      <c r="M2983" s="450"/>
      <c r="N2983" s="452">
        <f t="array" ref="N2983">IFERROR(
  INDEX(
    'Valor Hora Real y Estimada'!$A$4:$Z$78,
    MATCH(TRIM(CLEAN(A2983)), 'Valor Hora Real y Estimada'!$A$4:$A$78, 0),
    MATCH(
      TEXT(C2983,"dd mmm")&amp;" "&amp;D2983,
      'Valor Hora Real y Estimada'!$A$3:$Z$3,
      0
    ) + 1
  ),
  0
)</f>
        <v>0</v>
      </c>
      <c r="O2983" s="453"/>
      <c r="P2983" s="113"/>
      <c r="Q2983" s="106" t="str">
        <f>IF(ISBLANK(O2983), "", VLOOKUP(C2983&amp;" "&amp;D2983, 'Info Tipo de Cambio y REM'!$A$24:$B$35, 2, FALSE))</f>
        <v/>
      </c>
      <c r="R2983" s="107"/>
    </row>
    <row r="2984" hidden="1">
      <c r="A2984" s="443"/>
      <c r="B2984" s="43" t="str">
        <f>IF(A2984="", "", IFERROR(VLOOKUP(A2984, Clasificaciones!A:B, 2, FALSE), "DATO NO CARGADO"))
</f>
        <v/>
      </c>
      <c r="C2984" s="51"/>
      <c r="D2984" s="102"/>
      <c r="E2984" s="102"/>
      <c r="H2984" s="102"/>
      <c r="J2984" s="102"/>
      <c r="K2984" s="450"/>
      <c r="L2984" s="443"/>
      <c r="M2984" s="450"/>
      <c r="N2984" s="452">
        <f t="array" ref="N2984">IFERROR(
  INDEX(
    'Valor Hora Real y Estimada'!$A$4:$Z$78,
    MATCH(TRIM(CLEAN(A2984)), 'Valor Hora Real y Estimada'!$A$4:$A$78, 0),
    MATCH(
      TEXT(C2984,"dd mmm")&amp;" "&amp;D2984,
      'Valor Hora Real y Estimada'!$A$3:$Z$3,
      0
    ) + 1
  ),
  0
)</f>
        <v>0</v>
      </c>
      <c r="O2984" s="453"/>
      <c r="P2984" s="113"/>
      <c r="Q2984" s="106" t="str">
        <f>IF(ISBLANK(O2984), "", VLOOKUP(C2984&amp;" "&amp;D2984, 'Info Tipo de Cambio y REM'!$A$24:$B$35, 2, FALSE))</f>
        <v/>
      </c>
      <c r="R2984" s="107"/>
    </row>
    <row r="2985" hidden="1">
      <c r="A2985" s="443"/>
      <c r="B2985" s="43" t="str">
        <f>IF(A2985="", "", IFERROR(VLOOKUP(A2985, Clasificaciones!A:B, 2, FALSE), "DATO NO CARGADO"))
</f>
        <v/>
      </c>
      <c r="C2985" s="51"/>
      <c r="D2985" s="102"/>
      <c r="E2985" s="102"/>
      <c r="H2985" s="102"/>
      <c r="J2985" s="102"/>
      <c r="K2985" s="450"/>
      <c r="L2985" s="443"/>
      <c r="M2985" s="450"/>
      <c r="N2985" s="452">
        <f t="array" ref="N2985">IFERROR(
  INDEX(
    'Valor Hora Real y Estimada'!$A$4:$Z$78,
    MATCH(TRIM(CLEAN(A2985)), 'Valor Hora Real y Estimada'!$A$4:$A$78, 0),
    MATCH(
      TEXT(C2985,"dd mmm")&amp;" "&amp;D2985,
      'Valor Hora Real y Estimada'!$A$3:$Z$3,
      0
    ) + 1
  ),
  0
)</f>
        <v>0</v>
      </c>
      <c r="O2985" s="453"/>
      <c r="P2985" s="113"/>
      <c r="Q2985" s="106" t="str">
        <f>IF(ISBLANK(O2985), "", VLOOKUP(C2985&amp;" "&amp;D2985, 'Info Tipo de Cambio y REM'!$A$24:$B$35, 2, FALSE))</f>
        <v/>
      </c>
      <c r="R2985" s="107"/>
    </row>
    <row r="2986" hidden="1">
      <c r="A2986" s="443"/>
      <c r="B2986" s="43" t="str">
        <f>IF(A2986="", "", IFERROR(VLOOKUP(A2986, Clasificaciones!A:B, 2, FALSE), "DATO NO CARGADO"))
</f>
        <v/>
      </c>
      <c r="C2986" s="51"/>
      <c r="D2986" s="102"/>
      <c r="E2986" s="102"/>
      <c r="H2986" s="102"/>
      <c r="J2986" s="102"/>
      <c r="K2986" s="450"/>
      <c r="L2986" s="443"/>
      <c r="M2986" s="450"/>
      <c r="N2986" s="452">
        <f t="array" ref="N2986">IFERROR(
  INDEX(
    'Valor Hora Real y Estimada'!$A$4:$Z$78,
    MATCH(TRIM(CLEAN(A2986)), 'Valor Hora Real y Estimada'!$A$4:$A$78, 0),
    MATCH(
      TEXT(C2986,"dd mmm")&amp;" "&amp;D2986,
      'Valor Hora Real y Estimada'!$A$3:$Z$3,
      0
    ) + 1
  ),
  0
)</f>
        <v>0</v>
      </c>
      <c r="O2986" s="453"/>
      <c r="P2986" s="113"/>
      <c r="Q2986" s="106" t="str">
        <f>IF(ISBLANK(O2986), "", VLOOKUP(C2986&amp;" "&amp;D2986, 'Info Tipo de Cambio y REM'!$A$24:$B$35, 2, FALSE))</f>
        <v/>
      </c>
      <c r="R2986" s="107"/>
    </row>
    <row r="2987" hidden="1">
      <c r="A2987" s="443"/>
      <c r="B2987" s="43" t="str">
        <f>IF(A2987="", "", IFERROR(VLOOKUP(A2987, Clasificaciones!A:B, 2, FALSE), "DATO NO CARGADO"))
</f>
        <v/>
      </c>
      <c r="C2987" s="51"/>
      <c r="D2987" s="102"/>
      <c r="E2987" s="102"/>
      <c r="H2987" s="102"/>
      <c r="J2987" s="102"/>
      <c r="K2987" s="450"/>
      <c r="L2987" s="443"/>
      <c r="M2987" s="450"/>
      <c r="N2987" s="452">
        <f t="array" ref="N2987">IFERROR(
  INDEX(
    'Valor Hora Real y Estimada'!$A$4:$Z$78,
    MATCH(TRIM(CLEAN(A2987)), 'Valor Hora Real y Estimada'!$A$4:$A$78, 0),
    MATCH(
      TEXT(C2987,"dd mmm")&amp;" "&amp;D2987,
      'Valor Hora Real y Estimada'!$A$3:$Z$3,
      0
    ) + 1
  ),
  0
)</f>
        <v>0</v>
      </c>
      <c r="O2987" s="453"/>
      <c r="P2987" s="113"/>
      <c r="Q2987" s="106" t="str">
        <f>IF(ISBLANK(O2987), "", VLOOKUP(C2987&amp;" "&amp;D2987, 'Info Tipo de Cambio y REM'!$A$24:$B$35, 2, FALSE))</f>
        <v/>
      </c>
      <c r="R2987" s="107"/>
    </row>
    <row r="2988" hidden="1">
      <c r="A2988" s="443"/>
      <c r="B2988" s="43" t="str">
        <f>IF(A2988="", "", IFERROR(VLOOKUP(A2988, Clasificaciones!A:B, 2, FALSE), "DATO NO CARGADO"))
</f>
        <v/>
      </c>
      <c r="C2988" s="51"/>
      <c r="D2988" s="102"/>
      <c r="E2988" s="102"/>
      <c r="H2988" s="102"/>
      <c r="J2988" s="102"/>
      <c r="K2988" s="450"/>
      <c r="L2988" s="443"/>
      <c r="M2988" s="450"/>
      <c r="N2988" s="452">
        <f t="array" ref="N2988">IFERROR(
  INDEX(
    'Valor Hora Real y Estimada'!$A$4:$Z$78,
    MATCH(TRIM(CLEAN(A2988)), 'Valor Hora Real y Estimada'!$A$4:$A$78, 0),
    MATCH(
      TEXT(C2988,"dd mmm")&amp;" "&amp;D2988,
      'Valor Hora Real y Estimada'!$A$3:$Z$3,
      0
    ) + 1
  ),
  0
)</f>
        <v>0</v>
      </c>
      <c r="O2988" s="453"/>
      <c r="P2988" s="113"/>
      <c r="Q2988" s="106" t="str">
        <f>IF(ISBLANK(O2988), "", VLOOKUP(C2988&amp;" "&amp;D2988, 'Info Tipo de Cambio y REM'!$A$24:$B$35, 2, FALSE))</f>
        <v/>
      </c>
      <c r="R2988" s="107"/>
    </row>
    <row r="2989" hidden="1">
      <c r="A2989" s="443"/>
      <c r="B2989" s="43" t="str">
        <f>IF(A2989="", "", IFERROR(VLOOKUP(A2989, Clasificaciones!A:B, 2, FALSE), "DATO NO CARGADO"))
</f>
        <v/>
      </c>
      <c r="C2989" s="51"/>
      <c r="D2989" s="102"/>
      <c r="E2989" s="102"/>
      <c r="H2989" s="102"/>
      <c r="J2989" s="102"/>
      <c r="K2989" s="450"/>
      <c r="L2989" s="443"/>
      <c r="M2989" s="450"/>
      <c r="N2989" s="452">
        <f t="array" ref="N2989">IFERROR(
  INDEX(
    'Valor Hora Real y Estimada'!$A$4:$Z$78,
    MATCH(TRIM(CLEAN(A2989)), 'Valor Hora Real y Estimada'!$A$4:$A$78, 0),
    MATCH(
      TEXT(C2989,"dd mmm")&amp;" "&amp;D2989,
      'Valor Hora Real y Estimada'!$A$3:$Z$3,
      0
    ) + 1
  ),
  0
)</f>
        <v>0</v>
      </c>
      <c r="O2989" s="453"/>
      <c r="P2989" s="113"/>
      <c r="Q2989" s="106" t="str">
        <f>IF(ISBLANK(O2989), "", VLOOKUP(C2989&amp;" "&amp;D2989, 'Info Tipo de Cambio y REM'!$A$24:$B$35, 2, FALSE))</f>
        <v/>
      </c>
      <c r="R2989" s="107"/>
    </row>
    <row r="2990" hidden="1">
      <c r="A2990" s="443"/>
      <c r="B2990" s="43" t="str">
        <f>IF(A2990="", "", IFERROR(VLOOKUP(A2990, Clasificaciones!A:B, 2, FALSE), "DATO NO CARGADO"))
</f>
        <v/>
      </c>
      <c r="C2990" s="51"/>
      <c r="D2990" s="102"/>
      <c r="E2990" s="102"/>
      <c r="H2990" s="102"/>
      <c r="J2990" s="102"/>
      <c r="K2990" s="450"/>
      <c r="L2990" s="443"/>
      <c r="M2990" s="450"/>
      <c r="N2990" s="452">
        <f t="array" ref="N2990">IFERROR(
  INDEX(
    'Valor Hora Real y Estimada'!$A$4:$Z$78,
    MATCH(TRIM(CLEAN(A2990)), 'Valor Hora Real y Estimada'!$A$4:$A$78, 0),
    MATCH(
      TEXT(C2990,"dd mmm")&amp;" "&amp;D2990,
      'Valor Hora Real y Estimada'!$A$3:$Z$3,
      0
    ) + 1
  ),
  0
)</f>
        <v>0</v>
      </c>
      <c r="O2990" s="453"/>
      <c r="P2990" s="113"/>
      <c r="Q2990" s="106" t="str">
        <f>IF(ISBLANK(O2990), "", VLOOKUP(C2990&amp;" "&amp;D2990, 'Info Tipo de Cambio y REM'!$A$24:$B$35, 2, FALSE))</f>
        <v/>
      </c>
      <c r="R2990" s="107"/>
    </row>
    <row r="2991" hidden="1">
      <c r="A2991" s="443"/>
      <c r="B2991" s="43" t="str">
        <f>IF(A2991="", "", IFERROR(VLOOKUP(A2991, Clasificaciones!A:B, 2, FALSE), "DATO NO CARGADO"))
</f>
        <v/>
      </c>
      <c r="C2991" s="51"/>
      <c r="D2991" s="102"/>
      <c r="E2991" s="102"/>
      <c r="H2991" s="102"/>
      <c r="J2991" s="102"/>
      <c r="K2991" s="450"/>
      <c r="L2991" s="443"/>
      <c r="M2991" s="450"/>
      <c r="N2991" s="452">
        <f t="array" ref="N2991">IFERROR(
  INDEX(
    'Valor Hora Real y Estimada'!$A$4:$Z$78,
    MATCH(TRIM(CLEAN(A2991)), 'Valor Hora Real y Estimada'!$A$4:$A$78, 0),
    MATCH(
      TEXT(C2991,"dd mmm")&amp;" "&amp;D2991,
      'Valor Hora Real y Estimada'!$A$3:$Z$3,
      0
    ) + 1
  ),
  0
)</f>
        <v>0</v>
      </c>
      <c r="O2991" s="453"/>
      <c r="P2991" s="113"/>
      <c r="Q2991" s="106" t="str">
        <f>IF(ISBLANK(O2991), "", VLOOKUP(C2991&amp;" "&amp;D2991, 'Info Tipo de Cambio y REM'!$A$24:$B$35, 2, FALSE))</f>
        <v/>
      </c>
      <c r="R2991" s="107"/>
    </row>
    <row r="2992" hidden="1">
      <c r="A2992" s="443"/>
      <c r="B2992" s="43" t="str">
        <f>IF(A2992="", "", IFERROR(VLOOKUP(A2992, Clasificaciones!A:B, 2, FALSE), "DATO NO CARGADO"))
</f>
        <v/>
      </c>
      <c r="C2992" s="51"/>
      <c r="D2992" s="102"/>
      <c r="E2992" s="102"/>
      <c r="H2992" s="102"/>
      <c r="J2992" s="102"/>
      <c r="K2992" s="450"/>
      <c r="L2992" s="443"/>
      <c r="M2992" s="450"/>
      <c r="N2992" s="452">
        <f t="array" ref="N2992">IFERROR(
  INDEX(
    'Valor Hora Real y Estimada'!$A$4:$Z$78,
    MATCH(TRIM(CLEAN(A2992)), 'Valor Hora Real y Estimada'!$A$4:$A$78, 0),
    MATCH(
      TEXT(C2992,"dd mmm")&amp;" "&amp;D2992,
      'Valor Hora Real y Estimada'!$A$3:$Z$3,
      0
    ) + 1
  ),
  0
)</f>
        <v>0</v>
      </c>
      <c r="O2992" s="453"/>
      <c r="P2992" s="113"/>
      <c r="Q2992" s="106" t="str">
        <f>IF(ISBLANK(O2992), "", VLOOKUP(C2992&amp;" "&amp;D2992, 'Info Tipo de Cambio y REM'!$A$24:$B$35, 2, FALSE))</f>
        <v/>
      </c>
      <c r="R2992" s="107"/>
    </row>
    <row r="2993" hidden="1">
      <c r="A2993" s="443"/>
      <c r="B2993" s="43" t="str">
        <f>IF(A2993="", "", IFERROR(VLOOKUP(A2993, Clasificaciones!A:B, 2, FALSE), "DATO NO CARGADO"))
</f>
        <v/>
      </c>
      <c r="C2993" s="51"/>
      <c r="D2993" s="102"/>
      <c r="E2993" s="102"/>
      <c r="H2993" s="102"/>
      <c r="J2993" s="102"/>
      <c r="K2993" s="450"/>
      <c r="L2993" s="443"/>
      <c r="M2993" s="450"/>
      <c r="N2993" s="452">
        <f t="array" ref="N2993">IFERROR(
  INDEX(
    'Valor Hora Real y Estimada'!$A$4:$Z$78,
    MATCH(TRIM(CLEAN(A2993)), 'Valor Hora Real y Estimada'!$A$4:$A$78, 0),
    MATCH(
      TEXT(C2993,"dd mmm")&amp;" "&amp;D2993,
      'Valor Hora Real y Estimada'!$A$3:$Z$3,
      0
    ) + 1
  ),
  0
)</f>
        <v>0</v>
      </c>
      <c r="O2993" s="453"/>
      <c r="P2993" s="113"/>
      <c r="Q2993" s="106" t="str">
        <f>IF(ISBLANK(O2993), "", VLOOKUP(C2993&amp;" "&amp;D2993, 'Info Tipo de Cambio y REM'!$A$24:$B$35, 2, FALSE))</f>
        <v/>
      </c>
      <c r="R2993" s="107"/>
    </row>
    <row r="2994" hidden="1">
      <c r="A2994" s="443"/>
      <c r="B2994" s="43" t="str">
        <f>IF(A2994="", "", IFERROR(VLOOKUP(A2994, Clasificaciones!A:B, 2, FALSE), "DATO NO CARGADO"))
</f>
        <v/>
      </c>
      <c r="C2994" s="51"/>
      <c r="D2994" s="102"/>
      <c r="E2994" s="102"/>
      <c r="H2994" s="102"/>
      <c r="J2994" s="102"/>
      <c r="K2994" s="450"/>
      <c r="L2994" s="443"/>
      <c r="M2994" s="450"/>
      <c r="N2994" s="452">
        <f t="array" ref="N2994">IFERROR(
  INDEX(
    'Valor Hora Real y Estimada'!$A$4:$Z$78,
    MATCH(TRIM(CLEAN(A2994)), 'Valor Hora Real y Estimada'!$A$4:$A$78, 0),
    MATCH(
      TEXT(C2994,"dd mmm")&amp;" "&amp;D2994,
      'Valor Hora Real y Estimada'!$A$3:$Z$3,
      0
    ) + 1
  ),
  0
)</f>
        <v>0</v>
      </c>
      <c r="O2994" s="453"/>
      <c r="P2994" s="113"/>
      <c r="Q2994" s="106" t="str">
        <f>IF(ISBLANK(O2994), "", VLOOKUP(C2994&amp;" "&amp;D2994, 'Info Tipo de Cambio y REM'!$A$24:$B$35, 2, FALSE))</f>
        <v/>
      </c>
      <c r="R2994" s="107"/>
    </row>
    <row r="2995" hidden="1">
      <c r="A2995" s="443"/>
      <c r="B2995" s="43" t="str">
        <f>IF(A2995="", "", IFERROR(VLOOKUP(A2995, Clasificaciones!A:B, 2, FALSE), "DATO NO CARGADO"))
</f>
        <v/>
      </c>
      <c r="C2995" s="51"/>
      <c r="D2995" s="102"/>
      <c r="E2995" s="102"/>
      <c r="H2995" s="102"/>
      <c r="J2995" s="102"/>
      <c r="K2995" s="450"/>
      <c r="L2995" s="443"/>
      <c r="M2995" s="450"/>
      <c r="N2995" s="452">
        <f t="array" ref="N2995">IFERROR(
  INDEX(
    'Valor Hora Real y Estimada'!$A$4:$Z$78,
    MATCH(TRIM(CLEAN(A2995)), 'Valor Hora Real y Estimada'!$A$4:$A$78, 0),
    MATCH(
      TEXT(C2995,"dd mmm")&amp;" "&amp;D2995,
      'Valor Hora Real y Estimada'!$A$3:$Z$3,
      0
    ) + 1
  ),
  0
)</f>
        <v>0</v>
      </c>
      <c r="O2995" s="453"/>
      <c r="P2995" s="113"/>
      <c r="Q2995" s="106" t="str">
        <f>IF(ISBLANK(O2995), "", VLOOKUP(C2995&amp;" "&amp;D2995, 'Info Tipo de Cambio y REM'!$A$24:$B$35, 2, FALSE))</f>
        <v/>
      </c>
      <c r="R2995" s="107"/>
    </row>
    <row r="2996" hidden="1">
      <c r="A2996" s="443"/>
      <c r="B2996" s="43" t="str">
        <f>IF(A2996="", "", IFERROR(VLOOKUP(A2996, Clasificaciones!A:B, 2, FALSE), "DATO NO CARGADO"))
</f>
        <v/>
      </c>
      <c r="C2996" s="51"/>
      <c r="D2996" s="102"/>
      <c r="E2996" s="102"/>
      <c r="H2996" s="102"/>
      <c r="J2996" s="102"/>
      <c r="K2996" s="450"/>
      <c r="L2996" s="443"/>
      <c r="M2996" s="450"/>
      <c r="N2996" s="452">
        <f t="array" ref="N2996">IFERROR(
  INDEX(
    'Valor Hora Real y Estimada'!$A$4:$Z$78,
    MATCH(TRIM(CLEAN(A2996)), 'Valor Hora Real y Estimada'!$A$4:$A$78, 0),
    MATCH(
      TEXT(C2996,"dd mmm")&amp;" "&amp;D2996,
      'Valor Hora Real y Estimada'!$A$3:$Z$3,
      0
    ) + 1
  ),
  0
)</f>
        <v>0</v>
      </c>
      <c r="O2996" s="453"/>
      <c r="P2996" s="113"/>
      <c r="Q2996" s="106" t="str">
        <f>IF(ISBLANK(O2996), "", VLOOKUP(C2996&amp;" "&amp;D2996, 'Info Tipo de Cambio y REM'!$A$24:$B$35, 2, FALSE))</f>
        <v/>
      </c>
      <c r="R2996" s="107"/>
    </row>
    <row r="2997" hidden="1">
      <c r="A2997" s="443"/>
      <c r="B2997" s="43" t="str">
        <f>IF(A2997="", "", IFERROR(VLOOKUP(A2997, Clasificaciones!A:B, 2, FALSE), "DATO NO CARGADO"))
</f>
        <v/>
      </c>
      <c r="C2997" s="51"/>
      <c r="D2997" s="102"/>
      <c r="E2997" s="102"/>
      <c r="H2997" s="102"/>
      <c r="J2997" s="102"/>
      <c r="K2997" s="450"/>
      <c r="L2997" s="443"/>
      <c r="M2997" s="450"/>
      <c r="N2997" s="452">
        <f t="array" ref="N2997">IFERROR(
  INDEX(
    'Valor Hora Real y Estimada'!$A$4:$Z$78,
    MATCH(TRIM(CLEAN(A2997)), 'Valor Hora Real y Estimada'!$A$4:$A$78, 0),
    MATCH(
      TEXT(C2997,"dd mmm")&amp;" "&amp;D2997,
      'Valor Hora Real y Estimada'!$A$3:$Z$3,
      0
    ) + 1
  ),
  0
)</f>
        <v>0</v>
      </c>
      <c r="O2997" s="453"/>
      <c r="P2997" s="113"/>
      <c r="Q2997" s="106" t="str">
        <f>IF(ISBLANK(O2997), "", VLOOKUP(C2997&amp;" "&amp;D2997, 'Info Tipo de Cambio y REM'!$A$24:$B$35, 2, FALSE))</f>
        <v/>
      </c>
      <c r="R2997" s="107"/>
    </row>
    <row r="2998" hidden="1">
      <c r="A2998" s="443"/>
      <c r="B2998" s="43" t="str">
        <f>IF(A2998="", "", IFERROR(VLOOKUP(A2998, Clasificaciones!A:B, 2, FALSE), "DATO NO CARGADO"))
</f>
        <v/>
      </c>
      <c r="C2998" s="51"/>
      <c r="D2998" s="102"/>
      <c r="E2998" s="102"/>
      <c r="H2998" s="102"/>
      <c r="J2998" s="102"/>
      <c r="K2998" s="450"/>
      <c r="L2998" s="443"/>
      <c r="M2998" s="450"/>
      <c r="N2998" s="452">
        <f t="array" ref="N2998">IFERROR(
  INDEX(
    'Valor Hora Real y Estimada'!$A$4:$Z$78,
    MATCH(TRIM(CLEAN(A2998)), 'Valor Hora Real y Estimada'!$A$4:$A$78, 0),
    MATCH(
      TEXT(C2998,"dd mmm")&amp;" "&amp;D2998,
      'Valor Hora Real y Estimada'!$A$3:$Z$3,
      0
    ) + 1
  ),
  0
)</f>
        <v>0</v>
      </c>
      <c r="O2998" s="453"/>
      <c r="P2998" s="113"/>
      <c r="Q2998" s="106" t="str">
        <f>IF(ISBLANK(O2998), "", VLOOKUP(C2998&amp;" "&amp;D2998, 'Info Tipo de Cambio y REM'!$A$24:$B$35, 2, FALSE))</f>
        <v/>
      </c>
      <c r="R2998" s="107"/>
    </row>
    <row r="2999" hidden="1">
      <c r="A2999" s="443"/>
      <c r="B2999" s="43" t="str">
        <f>IF(A2999="", "", IFERROR(VLOOKUP(A2999, Clasificaciones!A:B, 2, FALSE), "DATO NO CARGADO"))
</f>
        <v/>
      </c>
      <c r="C2999" s="51"/>
      <c r="D2999" s="102"/>
      <c r="E2999" s="102"/>
      <c r="H2999" s="102"/>
      <c r="J2999" s="102"/>
      <c r="K2999" s="450"/>
      <c r="L2999" s="443"/>
      <c r="M2999" s="450"/>
      <c r="N2999" s="452">
        <f t="array" ref="N2999">IFERROR(
  INDEX(
    'Valor Hora Real y Estimada'!$A$4:$Z$78,
    MATCH(TRIM(CLEAN(A2999)), 'Valor Hora Real y Estimada'!$A$4:$A$78, 0),
    MATCH(
      TEXT(C2999,"dd mmm")&amp;" "&amp;D2999,
      'Valor Hora Real y Estimada'!$A$3:$Z$3,
      0
    ) + 1
  ),
  0
)</f>
        <v>0</v>
      </c>
      <c r="O2999" s="453"/>
      <c r="P2999" s="113"/>
      <c r="Q2999" s="106" t="str">
        <f>IF(ISBLANK(O2999), "", VLOOKUP(C2999&amp;" "&amp;D2999, 'Info Tipo de Cambio y REM'!$A$24:$B$35, 2, FALSE))</f>
        <v/>
      </c>
      <c r="R2999" s="107"/>
    </row>
    <row r="3000" hidden="1">
      <c r="A3000" s="443"/>
      <c r="B3000" s="43" t="str">
        <f>IF(A3000="", "", IFERROR(VLOOKUP(A3000, Clasificaciones!A:B, 2, FALSE), "DATO NO CARGADO"))
</f>
        <v/>
      </c>
      <c r="C3000" s="51"/>
      <c r="D3000" s="102"/>
      <c r="E3000" s="102"/>
      <c r="H3000" s="102"/>
      <c r="J3000" s="102"/>
      <c r="K3000" s="450"/>
      <c r="L3000" s="443"/>
      <c r="M3000" s="450"/>
      <c r="N3000" s="452">
        <f t="array" ref="N3000">IFERROR(
  INDEX(
    'Valor Hora Real y Estimada'!$A$4:$Z$78,
    MATCH(TRIM(CLEAN(A3000)), 'Valor Hora Real y Estimada'!$A$4:$A$78, 0),
    MATCH(
      TEXT(C3000,"dd mmm")&amp;" "&amp;D3000,
      'Valor Hora Real y Estimada'!$A$3:$Z$3,
      0
    ) + 1
  ),
  0
)</f>
        <v>0</v>
      </c>
      <c r="O3000" s="453"/>
      <c r="P3000" s="113"/>
      <c r="Q3000" s="106" t="str">
        <f>IF(ISBLANK(O3000), "", VLOOKUP(C3000&amp;" "&amp;D3000, 'Info Tipo de Cambio y REM'!$A$24:$B$35, 2, FALSE))</f>
        <v/>
      </c>
      <c r="R3000" s="107"/>
    </row>
    <row r="3001" hidden="1">
      <c r="A3001" s="443"/>
      <c r="B3001" s="43" t="str">
        <f>IF(A3001="", "", IFERROR(VLOOKUP(A3001, Clasificaciones!A:B, 2, FALSE), "DATO NO CARGADO"))
</f>
        <v/>
      </c>
      <c r="C3001" s="51"/>
      <c r="D3001" s="102"/>
      <c r="E3001" s="102"/>
      <c r="H3001" s="102"/>
      <c r="J3001" s="102"/>
      <c r="K3001" s="450"/>
      <c r="L3001" s="443"/>
      <c r="M3001" s="450"/>
      <c r="N3001" s="452">
        <f t="array" ref="N3001">IFERROR(
  INDEX(
    'Valor Hora Real y Estimada'!$A$4:$Z$78,
    MATCH(TRIM(CLEAN(A3001)), 'Valor Hora Real y Estimada'!$A$4:$A$78, 0),
    MATCH(
      TEXT(C3001,"dd mmm")&amp;" "&amp;D3001,
      'Valor Hora Real y Estimada'!$A$3:$Z$3,
      0
    ) + 1
  ),
  0
)</f>
        <v>0</v>
      </c>
      <c r="O3001" s="453"/>
      <c r="P3001" s="113"/>
      <c r="Q3001" s="106" t="str">
        <f>IF(ISBLANK(O3001), "", VLOOKUP(C3001&amp;" "&amp;D3001, 'Info Tipo de Cambio y REM'!$A$24:$B$35, 2, FALSE))</f>
        <v/>
      </c>
      <c r="R3001" s="107"/>
    </row>
    <row r="3002" hidden="1">
      <c r="A3002" s="443"/>
      <c r="B3002" s="43" t="str">
        <f>IF(A3002="", "", IFERROR(VLOOKUP(A3002, Clasificaciones!A:B, 2, FALSE), "DATO NO CARGADO"))
</f>
        <v/>
      </c>
      <c r="C3002" s="51"/>
      <c r="D3002" s="102"/>
      <c r="E3002" s="102"/>
      <c r="H3002" s="102"/>
      <c r="J3002" s="102"/>
      <c r="K3002" s="450"/>
      <c r="L3002" s="443"/>
      <c r="M3002" s="450"/>
      <c r="N3002" s="452">
        <f t="array" ref="N3002">IFERROR(
  INDEX(
    'Valor Hora Real y Estimada'!$A$4:$Z$78,
    MATCH(TRIM(CLEAN(A3002)), 'Valor Hora Real y Estimada'!$A$4:$A$78, 0),
    MATCH(
      TEXT(C3002,"dd mmm")&amp;" "&amp;D3002,
      'Valor Hora Real y Estimada'!$A$3:$Z$3,
      0
    ) + 1
  ),
  0
)</f>
        <v>0</v>
      </c>
      <c r="O3002" s="453"/>
      <c r="P3002" s="113"/>
      <c r="Q3002" s="106" t="str">
        <f>IF(ISBLANK(O3002), "", VLOOKUP(C3002&amp;" "&amp;D3002, 'Info Tipo de Cambio y REM'!$A$24:$B$35, 2, FALSE))</f>
        <v/>
      </c>
      <c r="R3002" s="107"/>
    </row>
    <row r="3003" hidden="1">
      <c r="A3003" s="443"/>
      <c r="B3003" s="43" t="str">
        <f>IF(A3003="", "", IFERROR(VLOOKUP(A3003, Clasificaciones!A:B, 2, FALSE), "DATO NO CARGADO"))
</f>
        <v/>
      </c>
      <c r="C3003" s="51"/>
      <c r="D3003" s="102"/>
      <c r="E3003" s="102"/>
      <c r="H3003" s="102"/>
      <c r="J3003" s="102"/>
      <c r="K3003" s="450"/>
      <c r="L3003" s="443"/>
      <c r="M3003" s="450"/>
      <c r="N3003" s="452">
        <f t="array" ref="N3003">IFERROR(
  INDEX(
    'Valor Hora Real y Estimada'!$A$4:$Z$78,
    MATCH(TRIM(CLEAN(A3003)), 'Valor Hora Real y Estimada'!$A$4:$A$78, 0),
    MATCH(
      TEXT(C3003,"dd mmm")&amp;" "&amp;D3003,
      'Valor Hora Real y Estimada'!$A$3:$Z$3,
      0
    ) + 1
  ),
  0
)</f>
        <v>0</v>
      </c>
      <c r="O3003" s="453"/>
      <c r="P3003" s="113"/>
      <c r="Q3003" s="106" t="str">
        <f>IF(ISBLANK(O3003), "", VLOOKUP(C3003&amp;" "&amp;D3003, 'Info Tipo de Cambio y REM'!$A$24:$B$35, 2, FALSE))</f>
        <v/>
      </c>
      <c r="R3003" s="107"/>
    </row>
    <row r="3004" hidden="1">
      <c r="A3004" s="443"/>
      <c r="B3004" s="43" t="str">
        <f>IF(A3004="", "", IFERROR(VLOOKUP(A3004, Clasificaciones!A:B, 2, FALSE), "DATO NO CARGADO"))
</f>
        <v/>
      </c>
      <c r="C3004" s="51"/>
      <c r="D3004" s="102"/>
      <c r="E3004" s="102"/>
      <c r="H3004" s="102"/>
      <c r="J3004" s="102"/>
      <c r="K3004" s="450"/>
      <c r="L3004" s="443"/>
      <c r="M3004" s="450"/>
      <c r="N3004" s="452">
        <f t="array" ref="N3004">IFERROR(
  INDEX(
    'Valor Hora Real y Estimada'!$A$4:$Z$78,
    MATCH(TRIM(CLEAN(A3004)), 'Valor Hora Real y Estimada'!$A$4:$A$78, 0),
    MATCH(
      TEXT(C3004,"dd mmm")&amp;" "&amp;D3004,
      'Valor Hora Real y Estimada'!$A$3:$Z$3,
      0
    ) + 1
  ),
  0
)</f>
        <v>0</v>
      </c>
      <c r="O3004" s="453"/>
      <c r="P3004" s="113"/>
      <c r="Q3004" s="106" t="str">
        <f>IF(ISBLANK(O3004), "", VLOOKUP(C3004&amp;" "&amp;D3004, 'Info Tipo de Cambio y REM'!$A$24:$B$35, 2, FALSE))</f>
        <v/>
      </c>
      <c r="R3004" s="107"/>
    </row>
    <row r="3005" hidden="1">
      <c r="A3005" s="443"/>
      <c r="B3005" s="43" t="str">
        <f>IF(A3005="", "", IFERROR(VLOOKUP(A3005, Clasificaciones!A:B, 2, FALSE), "DATO NO CARGADO"))
</f>
        <v/>
      </c>
      <c r="C3005" s="51"/>
      <c r="D3005" s="102"/>
      <c r="E3005" s="102"/>
      <c r="H3005" s="102"/>
      <c r="J3005" s="102"/>
      <c r="K3005" s="450"/>
      <c r="L3005" s="443"/>
      <c r="M3005" s="450"/>
      <c r="N3005" s="452">
        <f t="array" ref="N3005">IFERROR(
  INDEX(
    'Valor Hora Real y Estimada'!$A$4:$Z$78,
    MATCH(TRIM(CLEAN(A3005)), 'Valor Hora Real y Estimada'!$A$4:$A$78, 0),
    MATCH(
      TEXT(C3005,"dd mmm")&amp;" "&amp;D3005,
      'Valor Hora Real y Estimada'!$A$3:$Z$3,
      0
    ) + 1
  ),
  0
)</f>
        <v>0</v>
      </c>
      <c r="O3005" s="453"/>
      <c r="P3005" s="113"/>
      <c r="Q3005" s="106" t="str">
        <f>IF(ISBLANK(O3005), "", VLOOKUP(C3005&amp;" "&amp;D3005, 'Info Tipo de Cambio y REM'!$A$24:$B$35, 2, FALSE))</f>
        <v/>
      </c>
      <c r="R3005" s="107"/>
    </row>
    <row r="3006" hidden="1">
      <c r="A3006" s="443"/>
      <c r="B3006" s="43" t="str">
        <f>IF(A3006="", "", IFERROR(VLOOKUP(A3006, Clasificaciones!A:B, 2, FALSE), "DATO NO CARGADO"))
</f>
        <v/>
      </c>
      <c r="C3006" s="51"/>
      <c r="D3006" s="102"/>
      <c r="E3006" s="102"/>
      <c r="H3006" s="102"/>
      <c r="J3006" s="102"/>
      <c r="K3006" s="450"/>
      <c r="L3006" s="443"/>
      <c r="M3006" s="450"/>
      <c r="N3006" s="452">
        <f t="array" ref="N3006">IFERROR(
  INDEX(
    'Valor Hora Real y Estimada'!$A$4:$Z$78,
    MATCH(TRIM(CLEAN(A3006)), 'Valor Hora Real y Estimada'!$A$4:$A$78, 0),
    MATCH(
      TEXT(C3006,"dd mmm")&amp;" "&amp;D3006,
      'Valor Hora Real y Estimada'!$A$3:$Z$3,
      0
    ) + 1
  ),
  0
)</f>
        <v>0</v>
      </c>
      <c r="O3006" s="453"/>
      <c r="P3006" s="113"/>
      <c r="Q3006" s="106" t="str">
        <f>IF(ISBLANK(O3006), "", VLOOKUP(C3006&amp;" "&amp;D3006, 'Info Tipo de Cambio y REM'!$A$24:$B$35, 2, FALSE))</f>
        <v/>
      </c>
      <c r="R3006" s="107"/>
    </row>
    <row r="3007" hidden="1">
      <c r="A3007" s="443"/>
      <c r="B3007" s="43" t="str">
        <f>IF(A3007="", "", IFERROR(VLOOKUP(A3007, Clasificaciones!A:B, 2, FALSE), "DATO NO CARGADO"))
</f>
        <v/>
      </c>
      <c r="C3007" s="51"/>
      <c r="D3007" s="102"/>
      <c r="E3007" s="102"/>
      <c r="H3007" s="102"/>
      <c r="J3007" s="102"/>
      <c r="K3007" s="450"/>
      <c r="L3007" s="443"/>
      <c r="M3007" s="450"/>
      <c r="N3007" s="452">
        <f t="array" ref="N3007">IFERROR(
  INDEX(
    'Valor Hora Real y Estimada'!$A$4:$Z$78,
    MATCH(TRIM(CLEAN(A3007)), 'Valor Hora Real y Estimada'!$A$4:$A$78, 0),
    MATCH(
      TEXT(C3007,"dd mmm")&amp;" "&amp;D3007,
      'Valor Hora Real y Estimada'!$A$3:$Z$3,
      0
    ) + 1
  ),
  0
)</f>
        <v>0</v>
      </c>
      <c r="O3007" s="453"/>
      <c r="P3007" s="113"/>
      <c r="Q3007" s="106" t="str">
        <f>IF(ISBLANK(O3007), "", VLOOKUP(C3007&amp;" "&amp;D3007, 'Info Tipo de Cambio y REM'!$A$24:$B$35, 2, FALSE))</f>
        <v/>
      </c>
      <c r="R3007" s="107"/>
    </row>
    <row r="3008" hidden="1">
      <c r="A3008" s="443"/>
      <c r="B3008" s="43" t="str">
        <f>IF(A3008="", "", IFERROR(VLOOKUP(A3008, Clasificaciones!A:B, 2, FALSE), "DATO NO CARGADO"))
</f>
        <v/>
      </c>
      <c r="C3008" s="51"/>
      <c r="D3008" s="102"/>
      <c r="E3008" s="102"/>
      <c r="H3008" s="102"/>
      <c r="J3008" s="102"/>
      <c r="K3008" s="450"/>
      <c r="L3008" s="443"/>
      <c r="M3008" s="450"/>
      <c r="N3008" s="452">
        <f t="array" ref="N3008">IFERROR(
  INDEX(
    'Valor Hora Real y Estimada'!$A$4:$Z$78,
    MATCH(TRIM(CLEAN(A3008)), 'Valor Hora Real y Estimada'!$A$4:$A$78, 0),
    MATCH(
      TEXT(C3008,"dd mmm")&amp;" "&amp;D3008,
      'Valor Hora Real y Estimada'!$A$3:$Z$3,
      0
    ) + 1
  ),
  0
)</f>
        <v>0</v>
      </c>
      <c r="O3008" s="453"/>
      <c r="P3008" s="113"/>
      <c r="Q3008" s="106" t="str">
        <f>IF(ISBLANK(O3008), "", VLOOKUP(C3008&amp;" "&amp;D3008, 'Info Tipo de Cambio y REM'!$A$24:$B$35, 2, FALSE))</f>
        <v/>
      </c>
      <c r="R3008" s="107"/>
    </row>
    <row r="3009" hidden="1">
      <c r="A3009" s="443"/>
      <c r="B3009" s="43" t="str">
        <f>IF(A3009="", "", IFERROR(VLOOKUP(A3009, Clasificaciones!A:B, 2, FALSE), "DATO NO CARGADO"))
</f>
        <v/>
      </c>
      <c r="C3009" s="51"/>
      <c r="D3009" s="102"/>
      <c r="E3009" s="102"/>
      <c r="H3009" s="102"/>
      <c r="J3009" s="102"/>
      <c r="K3009" s="450"/>
      <c r="L3009" s="443"/>
      <c r="M3009" s="450"/>
      <c r="N3009" s="452">
        <f t="array" ref="N3009">IFERROR(
  INDEX(
    'Valor Hora Real y Estimada'!$A$4:$Z$78,
    MATCH(TRIM(CLEAN(A3009)), 'Valor Hora Real y Estimada'!$A$4:$A$78, 0),
    MATCH(
      TEXT(C3009,"dd mmm")&amp;" "&amp;D3009,
      'Valor Hora Real y Estimada'!$A$3:$Z$3,
      0
    ) + 1
  ),
  0
)</f>
        <v>0</v>
      </c>
      <c r="O3009" s="453"/>
      <c r="P3009" s="113"/>
      <c r="Q3009" s="106" t="str">
        <f>IF(ISBLANK(O3009), "", VLOOKUP(C3009&amp;" "&amp;D3009, 'Info Tipo de Cambio y REM'!$A$24:$B$35, 2, FALSE))</f>
        <v/>
      </c>
      <c r="R3009" s="107"/>
    </row>
    <row r="3010" hidden="1">
      <c r="A3010" s="443"/>
      <c r="B3010" s="43" t="str">
        <f>IF(A3010="", "", IFERROR(VLOOKUP(A3010, Clasificaciones!A:B, 2, FALSE), "DATO NO CARGADO"))
</f>
        <v/>
      </c>
      <c r="C3010" s="51"/>
      <c r="D3010" s="102"/>
      <c r="E3010" s="102"/>
      <c r="H3010" s="102"/>
      <c r="J3010" s="102"/>
      <c r="K3010" s="450"/>
      <c r="L3010" s="443"/>
      <c r="M3010" s="450"/>
      <c r="N3010" s="452">
        <f t="array" ref="N3010">IFERROR(
  INDEX(
    'Valor Hora Real y Estimada'!$A$4:$Z$78,
    MATCH(TRIM(CLEAN(A3010)), 'Valor Hora Real y Estimada'!$A$4:$A$78, 0),
    MATCH(
      TEXT(C3010,"dd mmm")&amp;" "&amp;D3010,
      'Valor Hora Real y Estimada'!$A$3:$Z$3,
      0
    ) + 1
  ),
  0
)</f>
        <v>0</v>
      </c>
      <c r="O3010" s="453"/>
      <c r="P3010" s="113"/>
      <c r="Q3010" s="106" t="str">
        <f>IF(ISBLANK(O3010), "", VLOOKUP(C3010&amp;" "&amp;D3010, 'Info Tipo de Cambio y REM'!$A$24:$B$35, 2, FALSE))</f>
        <v/>
      </c>
      <c r="R3010" s="107"/>
    </row>
    <row r="3011" hidden="1">
      <c r="A3011" s="443"/>
      <c r="B3011" s="43" t="str">
        <f>IF(A3011="", "", IFERROR(VLOOKUP(A3011, Clasificaciones!A:B, 2, FALSE), "DATO NO CARGADO"))
</f>
        <v/>
      </c>
      <c r="C3011" s="51"/>
      <c r="D3011" s="102"/>
      <c r="E3011" s="102"/>
      <c r="H3011" s="102"/>
      <c r="J3011" s="102"/>
      <c r="K3011" s="450"/>
      <c r="L3011" s="443"/>
      <c r="M3011" s="450"/>
      <c r="N3011" s="452">
        <f t="array" ref="N3011">IFERROR(
  INDEX(
    'Valor Hora Real y Estimada'!$A$4:$Z$78,
    MATCH(TRIM(CLEAN(A3011)), 'Valor Hora Real y Estimada'!$A$4:$A$78, 0),
    MATCH(
      TEXT(C3011,"dd mmm")&amp;" "&amp;D3011,
      'Valor Hora Real y Estimada'!$A$3:$Z$3,
      0
    ) + 1
  ),
  0
)</f>
        <v>0</v>
      </c>
      <c r="O3011" s="453"/>
      <c r="P3011" s="113"/>
      <c r="Q3011" s="106" t="str">
        <f>IF(ISBLANK(O3011), "", VLOOKUP(C3011&amp;" "&amp;D3011, 'Info Tipo de Cambio y REM'!$A$24:$B$35, 2, FALSE))</f>
        <v/>
      </c>
      <c r="R3011" s="107"/>
    </row>
    <row r="3012" hidden="1">
      <c r="A3012" s="443"/>
      <c r="B3012" s="43" t="str">
        <f>IF(A3012="", "", IFERROR(VLOOKUP(A3012, Clasificaciones!A:B, 2, FALSE), "DATO NO CARGADO"))
</f>
        <v/>
      </c>
      <c r="C3012" s="51"/>
      <c r="D3012" s="102"/>
      <c r="E3012" s="102"/>
      <c r="H3012" s="102"/>
      <c r="J3012" s="102"/>
      <c r="K3012" s="450"/>
      <c r="L3012" s="443"/>
      <c r="M3012" s="450"/>
      <c r="N3012" s="452">
        <f t="array" ref="N3012">IFERROR(
  INDEX(
    'Valor Hora Real y Estimada'!$A$4:$Z$78,
    MATCH(TRIM(CLEAN(A3012)), 'Valor Hora Real y Estimada'!$A$4:$A$78, 0),
    MATCH(
      TEXT(C3012,"dd mmm")&amp;" "&amp;D3012,
      'Valor Hora Real y Estimada'!$A$3:$Z$3,
      0
    ) + 1
  ),
  0
)</f>
        <v>0</v>
      </c>
      <c r="O3012" s="453"/>
      <c r="P3012" s="113"/>
      <c r="Q3012" s="106" t="str">
        <f>IF(ISBLANK(O3012), "", VLOOKUP(C3012&amp;" "&amp;D3012, 'Info Tipo de Cambio y REM'!$A$24:$B$35, 2, FALSE))</f>
        <v/>
      </c>
      <c r="R3012" s="107"/>
    </row>
    <row r="3013" hidden="1">
      <c r="A3013" s="443"/>
      <c r="B3013" s="43" t="str">
        <f>IF(A3013="", "", IFERROR(VLOOKUP(A3013, Clasificaciones!A:B, 2, FALSE), "DATO NO CARGADO"))
</f>
        <v/>
      </c>
      <c r="C3013" s="51"/>
      <c r="D3013" s="102"/>
      <c r="E3013" s="102"/>
      <c r="H3013" s="102"/>
      <c r="J3013" s="102"/>
      <c r="K3013" s="450"/>
      <c r="L3013" s="443"/>
      <c r="M3013" s="450"/>
      <c r="N3013" s="452">
        <f t="array" ref="N3013">IFERROR(
  INDEX(
    'Valor Hora Real y Estimada'!$A$4:$Z$78,
    MATCH(TRIM(CLEAN(A3013)), 'Valor Hora Real y Estimada'!$A$4:$A$78, 0),
    MATCH(
      TEXT(C3013,"dd mmm")&amp;" "&amp;D3013,
      'Valor Hora Real y Estimada'!$A$3:$Z$3,
      0
    ) + 1
  ),
  0
)</f>
        <v>0</v>
      </c>
      <c r="O3013" s="453"/>
      <c r="P3013" s="113"/>
      <c r="Q3013" s="106" t="str">
        <f>IF(ISBLANK(O3013), "", VLOOKUP(C3013&amp;" "&amp;D3013, 'Info Tipo de Cambio y REM'!$A$24:$B$35, 2, FALSE))</f>
        <v/>
      </c>
      <c r="R3013" s="107"/>
    </row>
    <row r="3014" hidden="1">
      <c r="A3014" s="443"/>
      <c r="B3014" s="43" t="str">
        <f>IF(A3014="", "", IFERROR(VLOOKUP(A3014, Clasificaciones!A:B, 2, FALSE), "DATO NO CARGADO"))
</f>
        <v/>
      </c>
      <c r="C3014" s="51"/>
      <c r="D3014" s="102"/>
      <c r="E3014" s="102"/>
      <c r="H3014" s="102"/>
      <c r="J3014" s="102"/>
      <c r="K3014" s="450"/>
      <c r="L3014" s="443"/>
      <c r="M3014" s="450"/>
      <c r="N3014" s="452">
        <f t="array" ref="N3014">IFERROR(
  INDEX(
    'Valor Hora Real y Estimada'!$A$4:$Z$78,
    MATCH(TRIM(CLEAN(A3014)), 'Valor Hora Real y Estimada'!$A$4:$A$78, 0),
    MATCH(
      TEXT(C3014,"dd mmm")&amp;" "&amp;D3014,
      'Valor Hora Real y Estimada'!$A$3:$Z$3,
      0
    ) + 1
  ),
  0
)</f>
        <v>0</v>
      </c>
      <c r="O3014" s="453"/>
      <c r="P3014" s="113"/>
      <c r="Q3014" s="106" t="str">
        <f>IF(ISBLANK(O3014), "", VLOOKUP(C3014&amp;" "&amp;D3014, 'Info Tipo de Cambio y REM'!$A$24:$B$35, 2, FALSE))</f>
        <v/>
      </c>
      <c r="R3014" s="107"/>
    </row>
    <row r="3015" hidden="1">
      <c r="A3015" s="443"/>
      <c r="B3015" s="43" t="str">
        <f>IF(A3015="", "", IFERROR(VLOOKUP(A3015, Clasificaciones!A:B, 2, FALSE), "DATO NO CARGADO"))
</f>
        <v/>
      </c>
      <c r="C3015" s="51"/>
      <c r="D3015" s="102"/>
      <c r="E3015" s="102"/>
      <c r="H3015" s="102"/>
      <c r="J3015" s="102"/>
      <c r="K3015" s="450"/>
      <c r="L3015" s="443"/>
      <c r="M3015" s="450"/>
      <c r="N3015" s="452">
        <f t="array" ref="N3015">IFERROR(
  INDEX(
    'Valor Hora Real y Estimada'!$A$4:$Z$78,
    MATCH(TRIM(CLEAN(A3015)), 'Valor Hora Real y Estimada'!$A$4:$A$78, 0),
    MATCH(
      TEXT(C3015,"dd mmm")&amp;" "&amp;D3015,
      'Valor Hora Real y Estimada'!$A$3:$Z$3,
      0
    ) + 1
  ),
  0
)</f>
        <v>0</v>
      </c>
      <c r="O3015" s="453"/>
      <c r="P3015" s="113"/>
      <c r="Q3015" s="106" t="str">
        <f>IF(ISBLANK(O3015), "", VLOOKUP(C3015&amp;" "&amp;D3015, 'Info Tipo de Cambio y REM'!$A$24:$B$35, 2, FALSE))</f>
        <v/>
      </c>
      <c r="R3015" s="107"/>
    </row>
    <row r="3016" hidden="1">
      <c r="A3016" s="443"/>
      <c r="B3016" s="43" t="str">
        <f>IF(A3016="", "", IFERROR(VLOOKUP(A3016, Clasificaciones!A:B, 2, FALSE), "DATO NO CARGADO"))
</f>
        <v/>
      </c>
      <c r="C3016" s="51"/>
      <c r="D3016" s="102"/>
      <c r="E3016" s="102"/>
      <c r="H3016" s="102"/>
      <c r="J3016" s="102"/>
      <c r="K3016" s="450"/>
      <c r="L3016" s="443"/>
      <c r="M3016" s="450"/>
      <c r="N3016" s="452">
        <f t="array" ref="N3016">IFERROR(
  INDEX(
    'Valor Hora Real y Estimada'!$A$4:$Z$78,
    MATCH(TRIM(CLEAN(A3016)), 'Valor Hora Real y Estimada'!$A$4:$A$78, 0),
    MATCH(
      TEXT(C3016,"dd mmm")&amp;" "&amp;D3016,
      'Valor Hora Real y Estimada'!$A$3:$Z$3,
      0
    ) + 1
  ),
  0
)</f>
        <v>0</v>
      </c>
      <c r="O3016" s="453"/>
      <c r="P3016" s="113"/>
      <c r="Q3016" s="106" t="str">
        <f>IF(ISBLANK(O3016), "", VLOOKUP(C3016&amp;" "&amp;D3016, 'Info Tipo de Cambio y REM'!$A$24:$B$35, 2, FALSE))</f>
        <v/>
      </c>
      <c r="R3016" s="107"/>
    </row>
    <row r="3017" hidden="1">
      <c r="A3017" s="443"/>
      <c r="B3017" s="43" t="str">
        <f>IF(A3017="", "", IFERROR(VLOOKUP(A3017, Clasificaciones!A:B, 2, FALSE), "DATO NO CARGADO"))
</f>
        <v/>
      </c>
      <c r="C3017" s="51"/>
      <c r="D3017" s="102"/>
      <c r="E3017" s="102"/>
      <c r="H3017" s="102"/>
      <c r="J3017" s="102"/>
      <c r="K3017" s="450"/>
      <c r="L3017" s="443"/>
      <c r="M3017" s="450"/>
      <c r="N3017" s="452">
        <f t="array" ref="N3017">IFERROR(
  INDEX(
    'Valor Hora Real y Estimada'!$A$4:$Z$78,
    MATCH(TRIM(CLEAN(A3017)), 'Valor Hora Real y Estimada'!$A$4:$A$78, 0),
    MATCH(
      TEXT(C3017,"dd mmm")&amp;" "&amp;D3017,
      'Valor Hora Real y Estimada'!$A$3:$Z$3,
      0
    ) + 1
  ),
  0
)</f>
        <v>0</v>
      </c>
      <c r="O3017" s="453"/>
      <c r="P3017" s="113"/>
      <c r="Q3017" s="106" t="str">
        <f>IF(ISBLANK(O3017), "", VLOOKUP(C3017&amp;" "&amp;D3017, 'Info Tipo de Cambio y REM'!$A$24:$B$35, 2, FALSE))</f>
        <v/>
      </c>
      <c r="R3017" s="107"/>
    </row>
    <row r="3018" hidden="1">
      <c r="A3018" s="443"/>
      <c r="B3018" s="43" t="str">
        <f>IF(A3018="", "", IFERROR(VLOOKUP(A3018, Clasificaciones!A:B, 2, FALSE), "DATO NO CARGADO"))
</f>
        <v/>
      </c>
      <c r="C3018" s="51"/>
      <c r="D3018" s="102"/>
      <c r="E3018" s="102"/>
      <c r="H3018" s="102"/>
      <c r="J3018" s="102"/>
      <c r="K3018" s="450"/>
      <c r="L3018" s="443"/>
      <c r="M3018" s="450"/>
      <c r="N3018" s="452">
        <f t="array" ref="N3018">IFERROR(
  INDEX(
    'Valor Hora Real y Estimada'!$A$4:$Z$78,
    MATCH(TRIM(CLEAN(A3018)), 'Valor Hora Real y Estimada'!$A$4:$A$78, 0),
    MATCH(
      TEXT(C3018,"dd mmm")&amp;" "&amp;D3018,
      'Valor Hora Real y Estimada'!$A$3:$Z$3,
      0
    ) + 1
  ),
  0
)</f>
        <v>0</v>
      </c>
      <c r="O3018" s="453"/>
      <c r="P3018" s="113"/>
      <c r="Q3018" s="106" t="str">
        <f>IF(ISBLANK(O3018), "", VLOOKUP(C3018&amp;" "&amp;D3018, 'Info Tipo de Cambio y REM'!$A$24:$B$35, 2, FALSE))</f>
        <v/>
      </c>
      <c r="R3018" s="107"/>
    </row>
    <row r="3019" hidden="1">
      <c r="A3019" s="443"/>
      <c r="B3019" s="43" t="str">
        <f>IF(A3019="", "", IFERROR(VLOOKUP(A3019, Clasificaciones!A:B, 2, FALSE), "DATO NO CARGADO"))
</f>
        <v/>
      </c>
      <c r="C3019" s="51"/>
      <c r="D3019" s="102"/>
      <c r="E3019" s="102"/>
      <c r="H3019" s="102"/>
      <c r="J3019" s="102"/>
      <c r="K3019" s="450"/>
      <c r="L3019" s="443"/>
      <c r="M3019" s="450"/>
      <c r="N3019" s="452">
        <f t="array" ref="N3019">IFERROR(
  INDEX(
    'Valor Hora Real y Estimada'!$A$4:$Z$78,
    MATCH(TRIM(CLEAN(A3019)), 'Valor Hora Real y Estimada'!$A$4:$A$78, 0),
    MATCH(
      TEXT(C3019,"dd mmm")&amp;" "&amp;D3019,
      'Valor Hora Real y Estimada'!$A$3:$Z$3,
      0
    ) + 1
  ),
  0
)</f>
        <v>0</v>
      </c>
      <c r="O3019" s="453"/>
      <c r="P3019" s="113"/>
      <c r="Q3019" s="106" t="str">
        <f>IF(ISBLANK(O3019), "", VLOOKUP(C3019&amp;" "&amp;D3019, 'Info Tipo de Cambio y REM'!$A$24:$B$35, 2, FALSE))</f>
        <v/>
      </c>
      <c r="R3019" s="107"/>
    </row>
    <row r="3020" hidden="1">
      <c r="A3020" s="443"/>
      <c r="B3020" s="43" t="str">
        <f>IF(A3020="", "", IFERROR(VLOOKUP(A3020, Clasificaciones!A:B, 2, FALSE), "DATO NO CARGADO"))
</f>
        <v/>
      </c>
      <c r="C3020" s="51"/>
      <c r="D3020" s="102"/>
      <c r="E3020" s="102"/>
      <c r="H3020" s="102"/>
      <c r="J3020" s="102"/>
      <c r="K3020" s="450"/>
      <c r="L3020" s="443"/>
      <c r="M3020" s="450"/>
      <c r="N3020" s="452">
        <f t="array" ref="N3020">IFERROR(
  INDEX(
    'Valor Hora Real y Estimada'!$A$4:$Z$78,
    MATCH(TRIM(CLEAN(A3020)), 'Valor Hora Real y Estimada'!$A$4:$A$78, 0),
    MATCH(
      TEXT(C3020,"dd mmm")&amp;" "&amp;D3020,
      'Valor Hora Real y Estimada'!$A$3:$Z$3,
      0
    ) + 1
  ),
  0
)</f>
        <v>0</v>
      </c>
      <c r="O3020" s="453"/>
      <c r="P3020" s="113"/>
      <c r="Q3020" s="106" t="str">
        <f>IF(ISBLANK(O3020), "", VLOOKUP(C3020&amp;" "&amp;D3020, 'Info Tipo de Cambio y REM'!$A$24:$B$35, 2, FALSE))</f>
        <v/>
      </c>
      <c r="R3020" s="107"/>
    </row>
    <row r="3021" hidden="1">
      <c r="A3021" s="443"/>
      <c r="B3021" s="43" t="str">
        <f>IF(A3021="", "", IFERROR(VLOOKUP(A3021, Clasificaciones!A:B, 2, FALSE), "DATO NO CARGADO"))
</f>
        <v/>
      </c>
      <c r="C3021" s="51"/>
      <c r="D3021" s="102"/>
      <c r="E3021" s="102"/>
      <c r="H3021" s="102"/>
      <c r="J3021" s="102"/>
      <c r="K3021" s="450"/>
      <c r="L3021" s="443"/>
      <c r="M3021" s="450"/>
      <c r="N3021" s="452">
        <f t="array" ref="N3021">IFERROR(
  INDEX(
    'Valor Hora Real y Estimada'!$A$4:$Z$78,
    MATCH(TRIM(CLEAN(A3021)), 'Valor Hora Real y Estimada'!$A$4:$A$78, 0),
    MATCH(
      TEXT(C3021,"dd mmm")&amp;" "&amp;D3021,
      'Valor Hora Real y Estimada'!$A$3:$Z$3,
      0
    ) + 1
  ),
  0
)</f>
        <v>0</v>
      </c>
      <c r="O3021" s="453"/>
      <c r="P3021" s="113"/>
      <c r="Q3021" s="106" t="str">
        <f>IF(ISBLANK(O3021), "", VLOOKUP(C3021&amp;" "&amp;D3021, 'Info Tipo de Cambio y REM'!$A$24:$B$35, 2, FALSE))</f>
        <v/>
      </c>
      <c r="R3021" s="107"/>
    </row>
    <row r="3022" hidden="1">
      <c r="A3022" s="443"/>
      <c r="B3022" s="43" t="str">
        <f>IF(A3022="", "", IFERROR(VLOOKUP(A3022, Clasificaciones!A:B, 2, FALSE), "DATO NO CARGADO"))
</f>
        <v/>
      </c>
      <c r="C3022" s="51"/>
      <c r="D3022" s="102"/>
      <c r="E3022" s="102"/>
      <c r="H3022" s="102"/>
      <c r="J3022" s="102"/>
      <c r="K3022" s="450"/>
      <c r="L3022" s="443"/>
      <c r="M3022" s="450"/>
      <c r="N3022" s="452">
        <f t="array" ref="N3022">IFERROR(
  INDEX(
    'Valor Hora Real y Estimada'!$A$4:$Z$78,
    MATCH(TRIM(CLEAN(A3022)), 'Valor Hora Real y Estimada'!$A$4:$A$78, 0),
    MATCH(
      TEXT(C3022,"dd mmm")&amp;" "&amp;D3022,
      'Valor Hora Real y Estimada'!$A$3:$Z$3,
      0
    ) + 1
  ),
  0
)</f>
        <v>0</v>
      </c>
      <c r="O3022" s="453"/>
      <c r="P3022" s="113"/>
      <c r="Q3022" s="106" t="str">
        <f>IF(ISBLANK(O3022), "", VLOOKUP(C3022&amp;" "&amp;D3022, 'Info Tipo de Cambio y REM'!$A$24:$B$35, 2, FALSE))</f>
        <v/>
      </c>
      <c r="R3022" s="107"/>
    </row>
    <row r="3023" hidden="1">
      <c r="A3023" s="443"/>
      <c r="B3023" s="43" t="str">
        <f>IF(A3023="", "", IFERROR(VLOOKUP(A3023, Clasificaciones!A:B, 2, FALSE), "DATO NO CARGADO"))
</f>
        <v/>
      </c>
      <c r="C3023" s="51"/>
      <c r="D3023" s="102"/>
      <c r="E3023" s="102"/>
      <c r="H3023" s="102"/>
      <c r="J3023" s="102"/>
      <c r="K3023" s="450"/>
      <c r="L3023" s="443"/>
      <c r="M3023" s="450"/>
      <c r="N3023" s="452">
        <f t="array" ref="N3023">IFERROR(
  INDEX(
    'Valor Hora Real y Estimada'!$A$4:$Z$78,
    MATCH(TRIM(CLEAN(A3023)), 'Valor Hora Real y Estimada'!$A$4:$A$78, 0),
    MATCH(
      TEXT(C3023,"dd mmm")&amp;" "&amp;D3023,
      'Valor Hora Real y Estimada'!$A$3:$Z$3,
      0
    ) + 1
  ),
  0
)</f>
        <v>0</v>
      </c>
      <c r="O3023" s="453"/>
      <c r="P3023" s="113"/>
      <c r="Q3023" s="106" t="str">
        <f>IF(ISBLANK(O3023), "", VLOOKUP(C3023&amp;" "&amp;D3023, 'Info Tipo de Cambio y REM'!$A$24:$B$35, 2, FALSE))</f>
        <v/>
      </c>
      <c r="R3023" s="107"/>
    </row>
    <row r="3024" hidden="1">
      <c r="A3024" s="443"/>
      <c r="B3024" s="43" t="str">
        <f>IF(A3024="", "", IFERROR(VLOOKUP(A3024, Clasificaciones!A:B, 2, FALSE), "DATO NO CARGADO"))
</f>
        <v/>
      </c>
      <c r="C3024" s="51"/>
      <c r="D3024" s="102"/>
      <c r="E3024" s="102"/>
      <c r="H3024" s="102"/>
      <c r="J3024" s="102"/>
      <c r="K3024" s="450"/>
      <c r="L3024" s="443"/>
      <c r="M3024" s="450"/>
      <c r="N3024" s="452">
        <f t="array" ref="N3024">IFERROR(
  INDEX(
    'Valor Hora Real y Estimada'!$A$4:$Z$78,
    MATCH(TRIM(CLEAN(A3024)), 'Valor Hora Real y Estimada'!$A$4:$A$78, 0),
    MATCH(
      TEXT(C3024,"dd mmm")&amp;" "&amp;D3024,
      'Valor Hora Real y Estimada'!$A$3:$Z$3,
      0
    ) + 1
  ),
  0
)</f>
        <v>0</v>
      </c>
      <c r="O3024" s="453"/>
      <c r="P3024" s="113"/>
      <c r="Q3024" s="106" t="str">
        <f>IF(ISBLANK(O3024), "", VLOOKUP(C3024&amp;" "&amp;D3024, 'Info Tipo de Cambio y REM'!$A$24:$B$35, 2, FALSE))</f>
        <v/>
      </c>
      <c r="R3024" s="107"/>
    </row>
    <row r="3025" hidden="1">
      <c r="A3025" s="443"/>
      <c r="B3025" s="43" t="str">
        <f>IF(A3025="", "", IFERROR(VLOOKUP(A3025, Clasificaciones!A:B, 2, FALSE), "DATO NO CARGADO"))
</f>
        <v/>
      </c>
      <c r="C3025" s="51"/>
      <c r="D3025" s="102"/>
      <c r="E3025" s="102"/>
      <c r="H3025" s="102"/>
      <c r="J3025" s="102"/>
      <c r="K3025" s="450"/>
      <c r="L3025" s="443"/>
      <c r="M3025" s="450"/>
      <c r="N3025" s="452">
        <f t="array" ref="N3025">IFERROR(
  INDEX(
    'Valor Hora Real y Estimada'!$A$4:$Z$78,
    MATCH(TRIM(CLEAN(A3025)), 'Valor Hora Real y Estimada'!$A$4:$A$78, 0),
    MATCH(
      TEXT(C3025,"dd mmm")&amp;" "&amp;D3025,
      'Valor Hora Real y Estimada'!$A$3:$Z$3,
      0
    ) + 1
  ),
  0
)</f>
        <v>0</v>
      </c>
      <c r="O3025" s="453"/>
      <c r="P3025" s="113"/>
      <c r="Q3025" s="106" t="str">
        <f>IF(ISBLANK(O3025), "", VLOOKUP(C3025&amp;" "&amp;D3025, 'Info Tipo de Cambio y REM'!$A$24:$B$35, 2, FALSE))</f>
        <v/>
      </c>
      <c r="R3025" s="107"/>
    </row>
    <row r="3026" hidden="1">
      <c r="A3026" s="443"/>
      <c r="B3026" s="43" t="str">
        <f>IF(A3026="", "", IFERROR(VLOOKUP(A3026, Clasificaciones!A:B, 2, FALSE), "DATO NO CARGADO"))
</f>
        <v/>
      </c>
      <c r="C3026" s="51"/>
      <c r="D3026" s="102"/>
      <c r="E3026" s="102"/>
      <c r="H3026" s="102"/>
      <c r="J3026" s="102"/>
      <c r="K3026" s="450"/>
      <c r="L3026" s="443"/>
      <c r="M3026" s="450"/>
      <c r="N3026" s="452">
        <f t="array" ref="N3026">IFERROR(
  INDEX(
    'Valor Hora Real y Estimada'!$A$4:$Z$78,
    MATCH(TRIM(CLEAN(A3026)), 'Valor Hora Real y Estimada'!$A$4:$A$78, 0),
    MATCH(
      TEXT(C3026,"dd mmm")&amp;" "&amp;D3026,
      'Valor Hora Real y Estimada'!$A$3:$Z$3,
      0
    ) + 1
  ),
  0
)</f>
        <v>0</v>
      </c>
      <c r="O3026" s="453"/>
      <c r="P3026" s="113"/>
      <c r="Q3026" s="106" t="str">
        <f>IF(ISBLANK(O3026), "", VLOOKUP(C3026&amp;" "&amp;D3026, 'Info Tipo de Cambio y REM'!$A$24:$B$35, 2, FALSE))</f>
        <v/>
      </c>
      <c r="R3026" s="107"/>
    </row>
    <row r="3027" hidden="1">
      <c r="A3027" s="443"/>
      <c r="B3027" s="43" t="str">
        <f>IF(A3027="", "", IFERROR(VLOOKUP(A3027, Clasificaciones!A:B, 2, FALSE), "DATO NO CARGADO"))
</f>
        <v/>
      </c>
      <c r="C3027" s="51"/>
      <c r="D3027" s="102"/>
      <c r="E3027" s="102"/>
      <c r="H3027" s="102"/>
      <c r="J3027" s="102"/>
      <c r="K3027" s="450"/>
      <c r="L3027" s="443"/>
      <c r="M3027" s="450"/>
      <c r="N3027" s="452">
        <f t="array" ref="N3027">IFERROR(
  INDEX(
    'Valor Hora Real y Estimada'!$A$4:$Z$78,
    MATCH(TRIM(CLEAN(A3027)), 'Valor Hora Real y Estimada'!$A$4:$A$78, 0),
    MATCH(
      TEXT(C3027,"dd mmm")&amp;" "&amp;D3027,
      'Valor Hora Real y Estimada'!$A$3:$Z$3,
      0
    ) + 1
  ),
  0
)</f>
        <v>0</v>
      </c>
      <c r="O3027" s="453"/>
      <c r="P3027" s="113"/>
      <c r="Q3027" s="106" t="str">
        <f>IF(ISBLANK(O3027), "", VLOOKUP(C3027&amp;" "&amp;D3027, 'Info Tipo de Cambio y REM'!$A$24:$B$35, 2, FALSE))</f>
        <v/>
      </c>
      <c r="R3027" s="107"/>
    </row>
    <row r="3028" hidden="1">
      <c r="A3028" s="443"/>
      <c r="B3028" s="43" t="str">
        <f>IF(A3028="", "", IFERROR(VLOOKUP(A3028, Clasificaciones!A:B, 2, FALSE), "DATO NO CARGADO"))
</f>
        <v/>
      </c>
      <c r="C3028" s="51"/>
      <c r="D3028" s="102"/>
      <c r="E3028" s="102"/>
      <c r="H3028" s="102"/>
      <c r="J3028" s="102"/>
      <c r="K3028" s="450"/>
      <c r="L3028" s="443"/>
      <c r="M3028" s="450"/>
      <c r="N3028" s="452">
        <f t="array" ref="N3028">IFERROR(
  INDEX(
    'Valor Hora Real y Estimada'!$A$4:$Z$78,
    MATCH(TRIM(CLEAN(A3028)), 'Valor Hora Real y Estimada'!$A$4:$A$78, 0),
    MATCH(
      TEXT(C3028,"dd mmm")&amp;" "&amp;D3028,
      'Valor Hora Real y Estimada'!$A$3:$Z$3,
      0
    ) + 1
  ),
  0
)</f>
        <v>0</v>
      </c>
      <c r="O3028" s="453"/>
      <c r="P3028" s="113"/>
      <c r="Q3028" s="106" t="str">
        <f>IF(ISBLANK(O3028), "", VLOOKUP(C3028&amp;" "&amp;D3028, 'Info Tipo de Cambio y REM'!$A$24:$B$35, 2, FALSE))</f>
        <v/>
      </c>
      <c r="R3028" s="107"/>
    </row>
    <row r="3029" hidden="1">
      <c r="A3029" s="443"/>
      <c r="B3029" s="43" t="str">
        <f>IF(A3029="", "", IFERROR(VLOOKUP(A3029, Clasificaciones!A:B, 2, FALSE), "DATO NO CARGADO"))
</f>
        <v/>
      </c>
      <c r="C3029" s="51"/>
      <c r="D3029" s="102"/>
      <c r="E3029" s="102"/>
      <c r="H3029" s="102"/>
      <c r="J3029" s="102"/>
      <c r="K3029" s="450"/>
      <c r="L3029" s="443"/>
      <c r="M3029" s="450"/>
      <c r="N3029" s="452">
        <f t="array" ref="N3029">IFERROR(
  INDEX(
    'Valor Hora Real y Estimada'!$A$4:$Z$78,
    MATCH(TRIM(CLEAN(A3029)), 'Valor Hora Real y Estimada'!$A$4:$A$78, 0),
    MATCH(
      TEXT(C3029,"dd mmm")&amp;" "&amp;D3029,
      'Valor Hora Real y Estimada'!$A$3:$Z$3,
      0
    ) + 1
  ),
  0
)</f>
        <v>0</v>
      </c>
      <c r="O3029" s="453"/>
      <c r="P3029" s="113"/>
      <c r="Q3029" s="106" t="str">
        <f>IF(ISBLANK(O3029), "", VLOOKUP(C3029&amp;" "&amp;D3029, 'Info Tipo de Cambio y REM'!$A$24:$B$35, 2, FALSE))</f>
        <v/>
      </c>
      <c r="R3029" s="107"/>
    </row>
    <row r="3030" hidden="1">
      <c r="A3030" s="443"/>
      <c r="B3030" s="43" t="str">
        <f>IF(A3030="", "", IFERROR(VLOOKUP(A3030, Clasificaciones!A:B, 2, FALSE), "DATO NO CARGADO"))
</f>
        <v/>
      </c>
      <c r="C3030" s="51"/>
      <c r="D3030" s="102"/>
      <c r="E3030" s="102"/>
      <c r="H3030" s="102"/>
      <c r="J3030" s="102"/>
      <c r="K3030" s="450"/>
      <c r="L3030" s="443"/>
      <c r="M3030" s="450"/>
      <c r="N3030" s="452">
        <f t="array" ref="N3030">IFERROR(
  INDEX(
    'Valor Hora Real y Estimada'!$A$4:$Z$78,
    MATCH(TRIM(CLEAN(A3030)), 'Valor Hora Real y Estimada'!$A$4:$A$78, 0),
    MATCH(
      TEXT(C3030,"dd mmm")&amp;" "&amp;D3030,
      'Valor Hora Real y Estimada'!$A$3:$Z$3,
      0
    ) + 1
  ),
  0
)</f>
        <v>0</v>
      </c>
      <c r="O3030" s="453"/>
      <c r="P3030" s="113"/>
      <c r="Q3030" s="106" t="str">
        <f>IF(ISBLANK(O3030), "", VLOOKUP(C3030&amp;" "&amp;D3030, 'Info Tipo de Cambio y REM'!$A$24:$B$35, 2, FALSE))</f>
        <v/>
      </c>
      <c r="R3030" s="107"/>
    </row>
    <row r="3031" hidden="1">
      <c r="A3031" s="443"/>
      <c r="B3031" s="43" t="str">
        <f>IF(A3031="", "", IFERROR(VLOOKUP(A3031, Clasificaciones!A:B, 2, FALSE), "DATO NO CARGADO"))
</f>
        <v/>
      </c>
      <c r="C3031" s="51"/>
      <c r="D3031" s="102"/>
      <c r="E3031" s="102"/>
      <c r="H3031" s="102"/>
      <c r="J3031" s="102"/>
      <c r="K3031" s="450"/>
      <c r="L3031" s="443"/>
      <c r="M3031" s="450"/>
      <c r="N3031" s="452">
        <f t="array" ref="N3031">IFERROR(
  INDEX(
    'Valor Hora Real y Estimada'!$A$4:$Z$78,
    MATCH(TRIM(CLEAN(A3031)), 'Valor Hora Real y Estimada'!$A$4:$A$78, 0),
    MATCH(
      TEXT(C3031,"dd mmm")&amp;" "&amp;D3031,
      'Valor Hora Real y Estimada'!$A$3:$Z$3,
      0
    ) + 1
  ),
  0
)</f>
        <v>0</v>
      </c>
      <c r="O3031" s="453"/>
      <c r="P3031" s="113"/>
      <c r="Q3031" s="106" t="str">
        <f>IF(ISBLANK(O3031), "", VLOOKUP(C3031&amp;" "&amp;D3031, 'Info Tipo de Cambio y REM'!$A$24:$B$35, 2, FALSE))</f>
        <v/>
      </c>
      <c r="R3031" s="107"/>
    </row>
    <row r="3032" hidden="1">
      <c r="A3032" s="443"/>
      <c r="B3032" s="43" t="str">
        <f>IF(A3032="", "", IFERROR(VLOOKUP(A3032, Clasificaciones!A:B, 2, FALSE), "DATO NO CARGADO"))
</f>
        <v/>
      </c>
      <c r="C3032" s="51"/>
      <c r="D3032" s="102"/>
      <c r="E3032" s="102"/>
      <c r="H3032" s="102"/>
      <c r="J3032" s="102"/>
      <c r="K3032" s="450"/>
      <c r="L3032" s="443"/>
      <c r="M3032" s="450"/>
      <c r="N3032" s="452">
        <f t="array" ref="N3032">IFERROR(
  INDEX(
    'Valor Hora Real y Estimada'!$A$4:$Z$78,
    MATCH(TRIM(CLEAN(A3032)), 'Valor Hora Real y Estimada'!$A$4:$A$78, 0),
    MATCH(
      TEXT(C3032,"dd mmm")&amp;" "&amp;D3032,
      'Valor Hora Real y Estimada'!$A$3:$Z$3,
      0
    ) + 1
  ),
  0
)</f>
        <v>0</v>
      </c>
      <c r="O3032" s="453"/>
      <c r="P3032" s="113"/>
      <c r="Q3032" s="106" t="str">
        <f>IF(ISBLANK(O3032), "", VLOOKUP(C3032&amp;" "&amp;D3032, 'Info Tipo de Cambio y REM'!$A$24:$B$35, 2, FALSE))</f>
        <v/>
      </c>
      <c r="R3032" s="107"/>
    </row>
    <row r="3033" hidden="1">
      <c r="A3033" s="443"/>
      <c r="B3033" s="43" t="str">
        <f>IF(A3033="", "", IFERROR(VLOOKUP(A3033, Clasificaciones!A:B, 2, FALSE), "DATO NO CARGADO"))
</f>
        <v/>
      </c>
      <c r="C3033" s="51"/>
      <c r="D3033" s="102"/>
      <c r="E3033" s="102"/>
      <c r="H3033" s="102"/>
      <c r="J3033" s="102"/>
      <c r="K3033" s="450"/>
      <c r="L3033" s="443"/>
      <c r="M3033" s="450"/>
      <c r="N3033" s="452">
        <f t="array" ref="N3033">IFERROR(
  INDEX(
    'Valor Hora Real y Estimada'!$A$4:$Z$78,
    MATCH(TRIM(CLEAN(A3033)), 'Valor Hora Real y Estimada'!$A$4:$A$78, 0),
    MATCH(
      TEXT(C3033,"dd mmm")&amp;" "&amp;D3033,
      'Valor Hora Real y Estimada'!$A$3:$Z$3,
      0
    ) + 1
  ),
  0
)</f>
        <v>0</v>
      </c>
      <c r="O3033" s="453"/>
      <c r="P3033" s="113"/>
      <c r="Q3033" s="106" t="str">
        <f>IF(ISBLANK(O3033), "", VLOOKUP(C3033&amp;" "&amp;D3033, 'Info Tipo de Cambio y REM'!$A$24:$B$35, 2, FALSE))</f>
        <v/>
      </c>
      <c r="R3033" s="107"/>
    </row>
    <row r="3034" hidden="1">
      <c r="A3034" s="443"/>
      <c r="B3034" s="43" t="str">
        <f>IF(A3034="", "", IFERROR(VLOOKUP(A3034, Clasificaciones!A:B, 2, FALSE), "DATO NO CARGADO"))
</f>
        <v/>
      </c>
      <c r="C3034" s="51"/>
      <c r="D3034" s="102"/>
      <c r="E3034" s="102"/>
      <c r="H3034" s="102"/>
      <c r="J3034" s="102"/>
      <c r="K3034" s="450"/>
      <c r="L3034" s="443"/>
      <c r="M3034" s="450"/>
      <c r="N3034" s="452">
        <f t="array" ref="N3034">IFERROR(
  INDEX(
    'Valor Hora Real y Estimada'!$A$4:$Z$78,
    MATCH(TRIM(CLEAN(A3034)), 'Valor Hora Real y Estimada'!$A$4:$A$78, 0),
    MATCH(
      TEXT(C3034,"dd mmm")&amp;" "&amp;D3034,
      'Valor Hora Real y Estimada'!$A$3:$Z$3,
      0
    ) + 1
  ),
  0
)</f>
        <v>0</v>
      </c>
      <c r="O3034" s="453"/>
      <c r="P3034" s="113"/>
      <c r="Q3034" s="106" t="str">
        <f>IF(ISBLANK(O3034), "", VLOOKUP(C3034&amp;" "&amp;D3034, 'Info Tipo de Cambio y REM'!$A$24:$B$35, 2, FALSE))</f>
        <v/>
      </c>
      <c r="R3034" s="107"/>
    </row>
    <row r="3035" hidden="1">
      <c r="A3035" s="443"/>
      <c r="B3035" s="43" t="str">
        <f>IF(A3035="", "", IFERROR(VLOOKUP(A3035, Clasificaciones!A:B, 2, FALSE), "DATO NO CARGADO"))
</f>
        <v/>
      </c>
      <c r="C3035" s="51"/>
      <c r="D3035" s="102"/>
      <c r="E3035" s="102"/>
      <c r="H3035" s="102"/>
      <c r="J3035" s="102"/>
      <c r="K3035" s="450"/>
      <c r="L3035" s="443"/>
      <c r="M3035" s="450"/>
      <c r="N3035" s="452">
        <f t="array" ref="N3035">IFERROR(
  INDEX(
    'Valor Hora Real y Estimada'!$A$4:$Z$78,
    MATCH(TRIM(CLEAN(A3035)), 'Valor Hora Real y Estimada'!$A$4:$A$78, 0),
    MATCH(
      TEXT(C3035,"dd mmm")&amp;" "&amp;D3035,
      'Valor Hora Real y Estimada'!$A$3:$Z$3,
      0
    ) + 1
  ),
  0
)</f>
        <v>0</v>
      </c>
      <c r="O3035" s="453"/>
      <c r="P3035" s="113"/>
      <c r="Q3035" s="106" t="str">
        <f>IF(ISBLANK(O3035), "", VLOOKUP(C3035&amp;" "&amp;D3035, 'Info Tipo de Cambio y REM'!$A$24:$B$35, 2, FALSE))</f>
        <v/>
      </c>
      <c r="R3035" s="107"/>
    </row>
    <row r="3036" hidden="1">
      <c r="A3036" s="443"/>
      <c r="B3036" s="43" t="str">
        <f>IF(A3036="", "", IFERROR(VLOOKUP(A3036, Clasificaciones!A:B, 2, FALSE), "DATO NO CARGADO"))
</f>
        <v/>
      </c>
      <c r="C3036" s="51"/>
      <c r="D3036" s="102"/>
      <c r="E3036" s="102"/>
      <c r="H3036" s="102"/>
      <c r="J3036" s="102"/>
      <c r="K3036" s="450"/>
      <c r="L3036" s="443"/>
      <c r="M3036" s="450"/>
      <c r="N3036" s="452">
        <f t="array" ref="N3036">IFERROR(
  INDEX(
    'Valor Hora Real y Estimada'!$A$4:$Z$78,
    MATCH(TRIM(CLEAN(A3036)), 'Valor Hora Real y Estimada'!$A$4:$A$78, 0),
    MATCH(
      TEXT(C3036,"dd mmm")&amp;" "&amp;D3036,
      'Valor Hora Real y Estimada'!$A$3:$Z$3,
      0
    ) + 1
  ),
  0
)</f>
        <v>0</v>
      </c>
      <c r="O3036" s="453"/>
      <c r="P3036" s="113"/>
      <c r="Q3036" s="106" t="str">
        <f>IF(ISBLANK(O3036), "", VLOOKUP(C3036&amp;" "&amp;D3036, 'Info Tipo de Cambio y REM'!$A$24:$B$35, 2, FALSE))</f>
        <v/>
      </c>
      <c r="R3036" s="107"/>
    </row>
    <row r="3037" hidden="1">
      <c r="A3037" s="443"/>
      <c r="B3037" s="43" t="str">
        <f>IF(A3037="", "", IFERROR(VLOOKUP(A3037, Clasificaciones!A:B, 2, FALSE), "DATO NO CARGADO"))
</f>
        <v/>
      </c>
      <c r="C3037" s="51"/>
      <c r="D3037" s="102"/>
      <c r="E3037" s="102"/>
      <c r="H3037" s="102"/>
      <c r="J3037" s="102"/>
      <c r="K3037" s="450"/>
      <c r="L3037" s="443"/>
      <c r="M3037" s="450"/>
      <c r="N3037" s="452">
        <f t="array" ref="N3037">IFERROR(
  INDEX(
    'Valor Hora Real y Estimada'!$A$4:$Z$78,
    MATCH(TRIM(CLEAN(A3037)), 'Valor Hora Real y Estimada'!$A$4:$A$78, 0),
    MATCH(
      TEXT(C3037,"dd mmm")&amp;" "&amp;D3037,
      'Valor Hora Real y Estimada'!$A$3:$Z$3,
      0
    ) + 1
  ),
  0
)</f>
        <v>0</v>
      </c>
      <c r="O3037" s="453"/>
      <c r="P3037" s="113"/>
      <c r="Q3037" s="106" t="str">
        <f>IF(ISBLANK(O3037), "", VLOOKUP(C3037&amp;" "&amp;D3037, 'Info Tipo de Cambio y REM'!$A$24:$B$35, 2, FALSE))</f>
        <v/>
      </c>
      <c r="R3037" s="107"/>
    </row>
    <row r="3038" hidden="1">
      <c r="A3038" s="443"/>
      <c r="B3038" s="43" t="str">
        <f>IF(A3038="", "", IFERROR(VLOOKUP(A3038, Clasificaciones!A:B, 2, FALSE), "DATO NO CARGADO"))
</f>
        <v/>
      </c>
      <c r="C3038" s="51"/>
      <c r="D3038" s="102"/>
      <c r="E3038" s="102"/>
      <c r="H3038" s="102"/>
      <c r="J3038" s="102"/>
      <c r="K3038" s="450"/>
      <c r="L3038" s="443"/>
      <c r="M3038" s="450"/>
      <c r="N3038" s="452">
        <f t="array" ref="N3038">IFERROR(
  INDEX(
    'Valor Hora Real y Estimada'!$A$4:$Z$78,
    MATCH(TRIM(CLEAN(A3038)), 'Valor Hora Real y Estimada'!$A$4:$A$78, 0),
    MATCH(
      TEXT(C3038,"dd mmm")&amp;" "&amp;D3038,
      'Valor Hora Real y Estimada'!$A$3:$Z$3,
      0
    ) + 1
  ),
  0
)</f>
        <v>0</v>
      </c>
      <c r="O3038" s="453"/>
      <c r="P3038" s="113"/>
      <c r="Q3038" s="106" t="str">
        <f>IF(ISBLANK(O3038), "", VLOOKUP(C3038&amp;" "&amp;D3038, 'Info Tipo de Cambio y REM'!$A$24:$B$35, 2, FALSE))</f>
        <v/>
      </c>
      <c r="R3038" s="107"/>
    </row>
    <row r="3039" hidden="1">
      <c r="A3039" s="443"/>
      <c r="B3039" s="43" t="str">
        <f>IF(A3039="", "", IFERROR(VLOOKUP(A3039, Clasificaciones!A:B, 2, FALSE), "DATO NO CARGADO"))
</f>
        <v/>
      </c>
      <c r="C3039" s="51"/>
      <c r="D3039" s="102"/>
      <c r="E3039" s="102"/>
      <c r="H3039" s="102"/>
      <c r="J3039" s="102"/>
      <c r="K3039" s="450"/>
      <c r="L3039" s="443"/>
      <c r="M3039" s="450"/>
      <c r="N3039" s="452">
        <f t="array" ref="N3039">IFERROR(
  INDEX(
    'Valor Hora Real y Estimada'!$A$4:$Z$78,
    MATCH(TRIM(CLEAN(A3039)), 'Valor Hora Real y Estimada'!$A$4:$A$78, 0),
    MATCH(
      TEXT(C3039,"dd mmm")&amp;" "&amp;D3039,
      'Valor Hora Real y Estimada'!$A$3:$Z$3,
      0
    ) + 1
  ),
  0
)</f>
        <v>0</v>
      </c>
      <c r="O3039" s="453"/>
      <c r="P3039" s="113"/>
      <c r="Q3039" s="106" t="str">
        <f>IF(ISBLANK(O3039), "", VLOOKUP(C3039&amp;" "&amp;D3039, 'Info Tipo de Cambio y REM'!$A$24:$B$35, 2, FALSE))</f>
        <v/>
      </c>
      <c r="R3039" s="107"/>
    </row>
    <row r="3040" hidden="1">
      <c r="A3040" s="443"/>
      <c r="B3040" s="43" t="str">
        <f>IF(A3040="", "", IFERROR(VLOOKUP(A3040, Clasificaciones!A:B, 2, FALSE), "DATO NO CARGADO"))
</f>
        <v/>
      </c>
      <c r="C3040" s="51"/>
      <c r="D3040" s="102"/>
      <c r="E3040" s="102"/>
      <c r="H3040" s="102"/>
      <c r="J3040" s="102"/>
      <c r="K3040" s="450"/>
      <c r="L3040" s="443"/>
      <c r="M3040" s="450"/>
      <c r="N3040" s="452">
        <f t="array" ref="N3040">IFERROR(
  INDEX(
    'Valor Hora Real y Estimada'!$A$4:$Z$78,
    MATCH(TRIM(CLEAN(A3040)), 'Valor Hora Real y Estimada'!$A$4:$A$78, 0),
    MATCH(
      TEXT(C3040,"dd mmm")&amp;" "&amp;D3040,
      'Valor Hora Real y Estimada'!$A$3:$Z$3,
      0
    ) + 1
  ),
  0
)</f>
        <v>0</v>
      </c>
      <c r="O3040" s="453"/>
      <c r="P3040" s="113"/>
      <c r="Q3040" s="106" t="str">
        <f>IF(ISBLANK(O3040), "", VLOOKUP(C3040&amp;" "&amp;D3040, 'Info Tipo de Cambio y REM'!$A$24:$B$35, 2, FALSE))</f>
        <v/>
      </c>
      <c r="R3040" s="107"/>
    </row>
    <row r="3041" hidden="1">
      <c r="A3041" s="443"/>
      <c r="B3041" s="43" t="str">
        <f>IF(A3041="", "", IFERROR(VLOOKUP(A3041, Clasificaciones!A:B, 2, FALSE), "DATO NO CARGADO"))
</f>
        <v/>
      </c>
      <c r="C3041" s="51"/>
      <c r="D3041" s="102"/>
      <c r="E3041" s="102"/>
      <c r="H3041" s="102"/>
      <c r="J3041" s="102"/>
      <c r="K3041" s="450"/>
      <c r="L3041" s="443"/>
      <c r="M3041" s="450"/>
      <c r="N3041" s="452">
        <f t="array" ref="N3041">IFERROR(
  INDEX(
    'Valor Hora Real y Estimada'!$A$4:$Z$78,
    MATCH(TRIM(CLEAN(A3041)), 'Valor Hora Real y Estimada'!$A$4:$A$78, 0),
    MATCH(
      TEXT(C3041,"dd mmm")&amp;" "&amp;D3041,
      'Valor Hora Real y Estimada'!$A$3:$Z$3,
      0
    ) + 1
  ),
  0
)</f>
        <v>0</v>
      </c>
      <c r="O3041" s="453"/>
      <c r="P3041" s="113"/>
      <c r="Q3041" s="106" t="str">
        <f>IF(ISBLANK(O3041), "", VLOOKUP(C3041&amp;" "&amp;D3041, 'Info Tipo de Cambio y REM'!$A$24:$B$35, 2, FALSE))</f>
        <v/>
      </c>
      <c r="R3041" s="107"/>
    </row>
    <row r="3042" hidden="1">
      <c r="A3042" s="443"/>
      <c r="B3042" s="43" t="str">
        <f>IF(A3042="", "", IFERROR(VLOOKUP(A3042, Clasificaciones!A:B, 2, FALSE), "DATO NO CARGADO"))
</f>
        <v/>
      </c>
      <c r="C3042" s="51"/>
      <c r="D3042" s="102"/>
      <c r="E3042" s="102"/>
      <c r="H3042" s="102"/>
      <c r="J3042" s="102"/>
      <c r="K3042" s="450"/>
      <c r="L3042" s="443"/>
      <c r="M3042" s="450"/>
      <c r="N3042" s="452">
        <f t="array" ref="N3042">IFERROR(
  INDEX(
    'Valor Hora Real y Estimada'!$A$4:$Z$78,
    MATCH(TRIM(CLEAN(A3042)), 'Valor Hora Real y Estimada'!$A$4:$A$78, 0),
    MATCH(
      TEXT(C3042,"dd mmm")&amp;" "&amp;D3042,
      'Valor Hora Real y Estimada'!$A$3:$Z$3,
      0
    ) + 1
  ),
  0
)</f>
        <v>0</v>
      </c>
      <c r="O3042" s="453"/>
      <c r="P3042" s="113"/>
      <c r="Q3042" s="106" t="str">
        <f>IF(ISBLANK(O3042), "", VLOOKUP(C3042&amp;" "&amp;D3042, 'Info Tipo de Cambio y REM'!$A$24:$B$35, 2, FALSE))</f>
        <v/>
      </c>
      <c r="R3042" s="107"/>
    </row>
    <row r="3043" hidden="1">
      <c r="A3043" s="443"/>
      <c r="B3043" s="43" t="str">
        <f>IF(A3043="", "", IFERROR(VLOOKUP(A3043, Clasificaciones!A:B, 2, FALSE), "DATO NO CARGADO"))
</f>
        <v/>
      </c>
      <c r="C3043" s="51"/>
      <c r="D3043" s="102"/>
      <c r="E3043" s="102"/>
      <c r="H3043" s="102"/>
      <c r="J3043" s="102"/>
      <c r="K3043" s="450"/>
      <c r="L3043" s="443"/>
      <c r="M3043" s="450"/>
      <c r="N3043" s="452">
        <f t="array" ref="N3043">IFERROR(
  INDEX(
    'Valor Hora Real y Estimada'!$A$4:$Z$78,
    MATCH(TRIM(CLEAN(A3043)), 'Valor Hora Real y Estimada'!$A$4:$A$78, 0),
    MATCH(
      TEXT(C3043,"dd mmm")&amp;" "&amp;D3043,
      'Valor Hora Real y Estimada'!$A$3:$Z$3,
      0
    ) + 1
  ),
  0
)</f>
        <v>0</v>
      </c>
      <c r="O3043" s="453"/>
      <c r="P3043" s="113"/>
      <c r="Q3043" s="106" t="str">
        <f>IF(ISBLANK(O3043), "", VLOOKUP(C3043&amp;" "&amp;D3043, 'Info Tipo de Cambio y REM'!$A$24:$B$35, 2, FALSE))</f>
        <v/>
      </c>
      <c r="R3043" s="107"/>
    </row>
    <row r="3044" hidden="1">
      <c r="A3044" s="443"/>
      <c r="B3044" s="43" t="str">
        <f>IF(A3044="", "", IFERROR(VLOOKUP(A3044, Clasificaciones!A:B, 2, FALSE), "DATO NO CARGADO"))
</f>
        <v/>
      </c>
      <c r="C3044" s="51"/>
      <c r="D3044" s="102"/>
      <c r="E3044" s="102"/>
      <c r="H3044" s="102"/>
      <c r="J3044" s="102"/>
      <c r="K3044" s="450"/>
      <c r="L3044" s="443"/>
      <c r="M3044" s="450"/>
      <c r="N3044" s="452">
        <f t="array" ref="N3044">IFERROR(
  INDEX(
    'Valor Hora Real y Estimada'!$A$4:$Z$78,
    MATCH(TRIM(CLEAN(A3044)), 'Valor Hora Real y Estimada'!$A$4:$A$78, 0),
    MATCH(
      TEXT(C3044,"dd mmm")&amp;" "&amp;D3044,
      'Valor Hora Real y Estimada'!$A$3:$Z$3,
      0
    ) + 1
  ),
  0
)</f>
        <v>0</v>
      </c>
      <c r="O3044" s="453"/>
      <c r="P3044" s="113"/>
      <c r="Q3044" s="106" t="str">
        <f>IF(ISBLANK(O3044), "", VLOOKUP(C3044&amp;" "&amp;D3044, 'Info Tipo de Cambio y REM'!$A$24:$B$35, 2, FALSE))</f>
        <v/>
      </c>
      <c r="R3044" s="107"/>
    </row>
    <row r="3045" hidden="1">
      <c r="A3045" s="443"/>
      <c r="B3045" s="43" t="str">
        <f>IF(A3045="", "", IFERROR(VLOOKUP(A3045, Clasificaciones!A:B, 2, FALSE), "DATO NO CARGADO"))
</f>
        <v/>
      </c>
      <c r="C3045" s="51"/>
      <c r="D3045" s="102"/>
      <c r="E3045" s="102"/>
      <c r="H3045" s="102"/>
      <c r="J3045" s="102"/>
      <c r="K3045" s="450"/>
      <c r="L3045" s="443"/>
      <c r="M3045" s="450"/>
      <c r="N3045" s="452">
        <f t="array" ref="N3045">IFERROR(
  INDEX(
    'Valor Hora Real y Estimada'!$A$4:$Z$78,
    MATCH(TRIM(CLEAN(A3045)), 'Valor Hora Real y Estimada'!$A$4:$A$78, 0),
    MATCH(
      TEXT(C3045,"dd mmm")&amp;" "&amp;D3045,
      'Valor Hora Real y Estimada'!$A$3:$Z$3,
      0
    ) + 1
  ),
  0
)</f>
        <v>0</v>
      </c>
      <c r="O3045" s="453"/>
      <c r="P3045" s="113"/>
      <c r="Q3045" s="106" t="str">
        <f>IF(ISBLANK(O3045), "", VLOOKUP(C3045&amp;" "&amp;D3045, 'Info Tipo de Cambio y REM'!$A$24:$B$35, 2, FALSE))</f>
        <v/>
      </c>
      <c r="R3045" s="107"/>
    </row>
    <row r="3046" hidden="1">
      <c r="A3046" s="443"/>
      <c r="B3046" s="43" t="str">
        <f>IF(A3046="", "", IFERROR(VLOOKUP(A3046, Clasificaciones!A:B, 2, FALSE), "DATO NO CARGADO"))
</f>
        <v/>
      </c>
      <c r="C3046" s="51"/>
      <c r="D3046" s="102"/>
      <c r="E3046" s="102"/>
      <c r="H3046" s="102"/>
      <c r="J3046" s="102"/>
      <c r="K3046" s="450"/>
      <c r="L3046" s="443"/>
      <c r="M3046" s="450"/>
      <c r="N3046" s="452">
        <f t="array" ref="N3046">IFERROR(
  INDEX(
    'Valor Hora Real y Estimada'!$A$4:$Z$78,
    MATCH(TRIM(CLEAN(A3046)), 'Valor Hora Real y Estimada'!$A$4:$A$78, 0),
    MATCH(
      TEXT(C3046,"dd mmm")&amp;" "&amp;D3046,
      'Valor Hora Real y Estimada'!$A$3:$Z$3,
      0
    ) + 1
  ),
  0
)</f>
        <v>0</v>
      </c>
      <c r="O3046" s="453"/>
      <c r="P3046" s="113"/>
      <c r="Q3046" s="106" t="str">
        <f>IF(ISBLANK(O3046), "", VLOOKUP(C3046&amp;" "&amp;D3046, 'Info Tipo de Cambio y REM'!$A$24:$B$35, 2, FALSE))</f>
        <v/>
      </c>
      <c r="R3046" s="107"/>
    </row>
    <row r="3047" hidden="1">
      <c r="A3047" s="443"/>
      <c r="B3047" s="43" t="str">
        <f>IF(A3047="", "", IFERROR(VLOOKUP(A3047, Clasificaciones!A:B, 2, FALSE), "DATO NO CARGADO"))
</f>
        <v/>
      </c>
      <c r="C3047" s="51"/>
      <c r="D3047" s="102"/>
      <c r="E3047" s="102"/>
      <c r="H3047" s="102"/>
      <c r="J3047" s="102"/>
      <c r="K3047" s="450"/>
      <c r="L3047" s="443"/>
      <c r="M3047" s="450"/>
      <c r="N3047" s="452">
        <f t="array" ref="N3047">IFERROR(
  INDEX(
    'Valor Hora Real y Estimada'!$A$4:$Z$78,
    MATCH(TRIM(CLEAN(A3047)), 'Valor Hora Real y Estimada'!$A$4:$A$78, 0),
    MATCH(
      TEXT(C3047,"dd mmm")&amp;" "&amp;D3047,
      'Valor Hora Real y Estimada'!$A$3:$Z$3,
      0
    ) + 1
  ),
  0
)</f>
        <v>0</v>
      </c>
      <c r="O3047" s="453"/>
      <c r="P3047" s="113"/>
      <c r="Q3047" s="106" t="str">
        <f>IF(ISBLANK(O3047), "", VLOOKUP(C3047&amp;" "&amp;D3047, 'Info Tipo de Cambio y REM'!$A$24:$B$35, 2, FALSE))</f>
        <v/>
      </c>
      <c r="R3047" s="107"/>
    </row>
    <row r="3048" hidden="1">
      <c r="A3048" s="443"/>
      <c r="B3048" s="43" t="str">
        <f>IF(A3048="", "", IFERROR(VLOOKUP(A3048, Clasificaciones!A:B, 2, FALSE), "DATO NO CARGADO"))
</f>
        <v/>
      </c>
      <c r="C3048" s="51"/>
      <c r="D3048" s="102"/>
      <c r="E3048" s="102"/>
      <c r="H3048" s="102"/>
      <c r="J3048" s="102"/>
      <c r="K3048" s="450"/>
      <c r="L3048" s="443"/>
      <c r="M3048" s="450"/>
      <c r="N3048" s="452">
        <f t="array" ref="N3048">IFERROR(
  INDEX(
    'Valor Hora Real y Estimada'!$A$4:$Z$78,
    MATCH(TRIM(CLEAN(A3048)), 'Valor Hora Real y Estimada'!$A$4:$A$78, 0),
    MATCH(
      TEXT(C3048,"dd mmm")&amp;" "&amp;D3048,
      'Valor Hora Real y Estimada'!$A$3:$Z$3,
      0
    ) + 1
  ),
  0
)</f>
        <v>0</v>
      </c>
      <c r="O3048" s="453"/>
      <c r="P3048" s="113"/>
      <c r="Q3048" s="106" t="str">
        <f>IF(ISBLANK(O3048), "", VLOOKUP(C3048&amp;" "&amp;D3048, 'Info Tipo de Cambio y REM'!$A$24:$B$35, 2, FALSE))</f>
        <v/>
      </c>
      <c r="R3048" s="107"/>
    </row>
    <row r="3049" hidden="1">
      <c r="A3049" s="443"/>
      <c r="B3049" s="43" t="str">
        <f>IF(A3049="", "", IFERROR(VLOOKUP(A3049, Clasificaciones!A:B, 2, FALSE), "DATO NO CARGADO"))
</f>
        <v/>
      </c>
      <c r="C3049" s="51"/>
      <c r="D3049" s="102"/>
      <c r="E3049" s="102"/>
      <c r="H3049" s="102"/>
      <c r="J3049" s="102"/>
      <c r="K3049" s="450"/>
      <c r="L3049" s="443"/>
      <c r="M3049" s="450"/>
      <c r="N3049" s="452">
        <f t="array" ref="N3049">IFERROR(
  INDEX(
    'Valor Hora Real y Estimada'!$A$4:$Z$78,
    MATCH(TRIM(CLEAN(A3049)), 'Valor Hora Real y Estimada'!$A$4:$A$78, 0),
    MATCH(
      TEXT(C3049,"dd mmm")&amp;" "&amp;D3049,
      'Valor Hora Real y Estimada'!$A$3:$Z$3,
      0
    ) + 1
  ),
  0
)</f>
        <v>0</v>
      </c>
      <c r="O3049" s="453"/>
      <c r="P3049" s="113"/>
      <c r="Q3049" s="106" t="str">
        <f>IF(ISBLANK(O3049), "", VLOOKUP(C3049&amp;" "&amp;D3049, 'Info Tipo de Cambio y REM'!$A$24:$B$35, 2, FALSE))</f>
        <v/>
      </c>
      <c r="R3049" s="107"/>
    </row>
    <row r="3050" hidden="1">
      <c r="A3050" s="443"/>
      <c r="B3050" s="43" t="str">
        <f>IF(A3050="", "", IFERROR(VLOOKUP(A3050, Clasificaciones!A:B, 2, FALSE), "DATO NO CARGADO"))
</f>
        <v/>
      </c>
      <c r="C3050" s="51"/>
      <c r="D3050" s="102"/>
      <c r="E3050" s="102"/>
      <c r="H3050" s="102"/>
      <c r="J3050" s="102"/>
      <c r="K3050" s="450"/>
      <c r="L3050" s="443"/>
      <c r="M3050" s="450"/>
      <c r="N3050" s="452">
        <f t="array" ref="N3050">IFERROR(
  INDEX(
    'Valor Hora Real y Estimada'!$A$4:$Z$78,
    MATCH(TRIM(CLEAN(A3050)), 'Valor Hora Real y Estimada'!$A$4:$A$78, 0),
    MATCH(
      TEXT(C3050,"dd mmm")&amp;" "&amp;D3050,
      'Valor Hora Real y Estimada'!$A$3:$Z$3,
      0
    ) + 1
  ),
  0
)</f>
        <v>0</v>
      </c>
      <c r="O3050" s="453"/>
      <c r="P3050" s="113"/>
      <c r="Q3050" s="106" t="str">
        <f>IF(ISBLANK(O3050), "", VLOOKUP(C3050&amp;" "&amp;D3050, 'Info Tipo de Cambio y REM'!$A$24:$B$35, 2, FALSE))</f>
        <v/>
      </c>
      <c r="R3050" s="107"/>
    </row>
    <row r="3051" hidden="1">
      <c r="A3051" s="443"/>
      <c r="B3051" s="43" t="str">
        <f>IF(A3051="", "", IFERROR(VLOOKUP(A3051, Clasificaciones!A:B, 2, FALSE), "DATO NO CARGADO"))
</f>
        <v/>
      </c>
      <c r="C3051" s="51"/>
      <c r="D3051" s="102"/>
      <c r="E3051" s="102"/>
      <c r="H3051" s="102"/>
      <c r="J3051" s="102"/>
      <c r="K3051" s="450"/>
      <c r="L3051" s="443"/>
      <c r="M3051" s="450"/>
      <c r="N3051" s="452">
        <f t="array" ref="N3051">IFERROR(
  INDEX(
    'Valor Hora Real y Estimada'!$A$4:$Z$78,
    MATCH(TRIM(CLEAN(A3051)), 'Valor Hora Real y Estimada'!$A$4:$A$78, 0),
    MATCH(
      TEXT(C3051,"dd mmm")&amp;" "&amp;D3051,
      'Valor Hora Real y Estimada'!$A$3:$Z$3,
      0
    ) + 1
  ),
  0
)</f>
        <v>0</v>
      </c>
      <c r="O3051" s="453"/>
      <c r="P3051" s="113"/>
      <c r="Q3051" s="106" t="str">
        <f>IF(ISBLANK(O3051), "", VLOOKUP(C3051&amp;" "&amp;D3051, 'Info Tipo de Cambio y REM'!$A$24:$B$35, 2, FALSE))</f>
        <v/>
      </c>
      <c r="R3051" s="107"/>
    </row>
    <row r="3052" hidden="1">
      <c r="A3052" s="443"/>
      <c r="B3052" s="43" t="str">
        <f>IF(A3052="", "", IFERROR(VLOOKUP(A3052, Clasificaciones!A:B, 2, FALSE), "DATO NO CARGADO"))
</f>
        <v/>
      </c>
      <c r="C3052" s="51"/>
      <c r="D3052" s="102"/>
      <c r="E3052" s="102"/>
      <c r="H3052" s="102"/>
      <c r="J3052" s="102"/>
      <c r="K3052" s="450"/>
      <c r="L3052" s="443"/>
      <c r="M3052" s="450"/>
      <c r="N3052" s="452">
        <f t="array" ref="N3052">IFERROR(
  INDEX(
    'Valor Hora Real y Estimada'!$A$4:$Z$78,
    MATCH(TRIM(CLEAN(A3052)), 'Valor Hora Real y Estimada'!$A$4:$A$78, 0),
    MATCH(
      TEXT(C3052,"dd mmm")&amp;" "&amp;D3052,
      'Valor Hora Real y Estimada'!$A$3:$Z$3,
      0
    ) + 1
  ),
  0
)</f>
        <v>0</v>
      </c>
      <c r="O3052" s="453"/>
      <c r="P3052" s="113"/>
      <c r="Q3052" s="106" t="str">
        <f>IF(ISBLANK(O3052), "", VLOOKUP(C3052&amp;" "&amp;D3052, 'Info Tipo de Cambio y REM'!$A$24:$B$35, 2, FALSE))</f>
        <v/>
      </c>
      <c r="R3052" s="107"/>
    </row>
    <row r="3053" hidden="1">
      <c r="A3053" s="443"/>
      <c r="B3053" s="43" t="str">
        <f>IF(A3053="", "", IFERROR(VLOOKUP(A3053, Clasificaciones!A:B, 2, FALSE), "DATO NO CARGADO"))
</f>
        <v/>
      </c>
      <c r="C3053" s="51"/>
      <c r="D3053" s="102"/>
      <c r="E3053" s="102"/>
      <c r="H3053" s="102"/>
      <c r="J3053" s="102"/>
      <c r="K3053" s="450"/>
      <c r="L3053" s="443"/>
      <c r="M3053" s="450"/>
      <c r="N3053" s="452">
        <f t="array" ref="N3053">IFERROR(
  INDEX(
    'Valor Hora Real y Estimada'!$A$4:$Z$78,
    MATCH(TRIM(CLEAN(A3053)), 'Valor Hora Real y Estimada'!$A$4:$A$78, 0),
    MATCH(
      TEXT(C3053,"dd mmm")&amp;" "&amp;D3053,
      'Valor Hora Real y Estimada'!$A$3:$Z$3,
      0
    ) + 1
  ),
  0
)</f>
        <v>0</v>
      </c>
      <c r="O3053" s="453"/>
      <c r="P3053" s="113"/>
      <c r="Q3053" s="106" t="str">
        <f>IF(ISBLANK(O3053), "", VLOOKUP(C3053&amp;" "&amp;D3053, 'Info Tipo de Cambio y REM'!$A$24:$B$35, 2, FALSE))</f>
        <v/>
      </c>
      <c r="R3053" s="107"/>
    </row>
    <row r="3054" hidden="1">
      <c r="A3054" s="443"/>
      <c r="B3054" s="43" t="str">
        <f>IF(A3054="", "", IFERROR(VLOOKUP(A3054, Clasificaciones!A:B, 2, FALSE), "DATO NO CARGADO"))
</f>
        <v/>
      </c>
      <c r="C3054" s="51"/>
      <c r="D3054" s="102"/>
      <c r="E3054" s="102"/>
      <c r="H3054" s="102"/>
      <c r="J3054" s="102"/>
      <c r="K3054" s="450"/>
      <c r="L3054" s="443"/>
      <c r="M3054" s="450"/>
      <c r="N3054" s="452">
        <f t="array" ref="N3054">IFERROR(
  INDEX(
    'Valor Hora Real y Estimada'!$A$4:$Z$78,
    MATCH(TRIM(CLEAN(A3054)), 'Valor Hora Real y Estimada'!$A$4:$A$78, 0),
    MATCH(
      TEXT(C3054,"dd mmm")&amp;" "&amp;D3054,
      'Valor Hora Real y Estimada'!$A$3:$Z$3,
      0
    ) + 1
  ),
  0
)</f>
        <v>0</v>
      </c>
      <c r="O3054" s="453"/>
      <c r="P3054" s="113"/>
      <c r="Q3054" s="106" t="str">
        <f>IF(ISBLANK(O3054), "", VLOOKUP(C3054&amp;" "&amp;D3054, 'Info Tipo de Cambio y REM'!$A$24:$B$35, 2, FALSE))</f>
        <v/>
      </c>
      <c r="R3054" s="107"/>
    </row>
    <row r="3055" hidden="1">
      <c r="A3055" s="443"/>
      <c r="B3055" s="43" t="str">
        <f>IF(A3055="", "", IFERROR(VLOOKUP(A3055, Clasificaciones!A:B, 2, FALSE), "DATO NO CARGADO"))
</f>
        <v/>
      </c>
      <c r="C3055" s="51"/>
      <c r="D3055" s="102"/>
      <c r="E3055" s="102"/>
      <c r="H3055" s="102"/>
      <c r="J3055" s="102"/>
      <c r="K3055" s="450"/>
      <c r="L3055" s="443"/>
      <c r="M3055" s="450"/>
      <c r="N3055" s="452">
        <f t="array" ref="N3055">IFERROR(
  INDEX(
    'Valor Hora Real y Estimada'!$A$4:$Z$78,
    MATCH(TRIM(CLEAN(A3055)), 'Valor Hora Real y Estimada'!$A$4:$A$78, 0),
    MATCH(
      TEXT(C3055,"dd mmm")&amp;" "&amp;D3055,
      'Valor Hora Real y Estimada'!$A$3:$Z$3,
      0
    ) + 1
  ),
  0
)</f>
        <v>0</v>
      </c>
      <c r="O3055" s="453"/>
      <c r="P3055" s="113"/>
      <c r="Q3055" s="106" t="str">
        <f>IF(ISBLANK(O3055), "", VLOOKUP(C3055&amp;" "&amp;D3055, 'Info Tipo de Cambio y REM'!$A$24:$B$35, 2, FALSE))</f>
        <v/>
      </c>
      <c r="R3055" s="107"/>
    </row>
    <row r="3056" hidden="1">
      <c r="A3056" s="443"/>
      <c r="B3056" s="43" t="str">
        <f>IF(A3056="", "", IFERROR(VLOOKUP(A3056, Clasificaciones!A:B, 2, FALSE), "DATO NO CARGADO"))
</f>
        <v/>
      </c>
      <c r="C3056" s="51"/>
      <c r="D3056" s="102"/>
      <c r="E3056" s="102"/>
      <c r="H3056" s="102"/>
      <c r="J3056" s="102"/>
      <c r="K3056" s="450"/>
      <c r="L3056" s="443"/>
      <c r="M3056" s="450"/>
      <c r="N3056" s="452">
        <f t="array" ref="N3056">IFERROR(
  INDEX(
    'Valor Hora Real y Estimada'!$A$4:$Z$78,
    MATCH(TRIM(CLEAN(A3056)), 'Valor Hora Real y Estimada'!$A$4:$A$78, 0),
    MATCH(
      TEXT(C3056,"dd mmm")&amp;" "&amp;D3056,
      'Valor Hora Real y Estimada'!$A$3:$Z$3,
      0
    ) + 1
  ),
  0
)</f>
        <v>0</v>
      </c>
      <c r="O3056" s="453"/>
      <c r="P3056" s="113"/>
      <c r="Q3056" s="106" t="str">
        <f>IF(ISBLANK(O3056), "", VLOOKUP(C3056&amp;" "&amp;D3056, 'Info Tipo de Cambio y REM'!$A$24:$B$35, 2, FALSE))</f>
        <v/>
      </c>
      <c r="R3056" s="107"/>
    </row>
    <row r="3057" hidden="1">
      <c r="A3057" s="443"/>
      <c r="B3057" s="43" t="str">
        <f>IF(A3057="", "", IFERROR(VLOOKUP(A3057, Clasificaciones!A:B, 2, FALSE), "DATO NO CARGADO"))
</f>
        <v/>
      </c>
      <c r="C3057" s="51"/>
      <c r="D3057" s="102"/>
      <c r="E3057" s="102"/>
      <c r="H3057" s="102"/>
      <c r="J3057" s="102"/>
      <c r="K3057" s="450"/>
      <c r="L3057" s="443"/>
      <c r="M3057" s="450"/>
      <c r="N3057" s="452">
        <f t="array" ref="N3057">IFERROR(
  INDEX(
    'Valor Hora Real y Estimada'!$A$4:$Z$78,
    MATCH(TRIM(CLEAN(A3057)), 'Valor Hora Real y Estimada'!$A$4:$A$78, 0),
    MATCH(
      TEXT(C3057,"dd mmm")&amp;" "&amp;D3057,
      'Valor Hora Real y Estimada'!$A$3:$Z$3,
      0
    ) + 1
  ),
  0
)</f>
        <v>0</v>
      </c>
      <c r="O3057" s="453"/>
      <c r="P3057" s="113"/>
      <c r="Q3057" s="106" t="str">
        <f>IF(ISBLANK(O3057), "", VLOOKUP(C3057&amp;" "&amp;D3057, 'Info Tipo de Cambio y REM'!$A$24:$B$35, 2, FALSE))</f>
        <v/>
      </c>
      <c r="R3057" s="107"/>
    </row>
    <row r="3058" hidden="1">
      <c r="A3058" s="443"/>
      <c r="B3058" s="43" t="str">
        <f>IF(A3058="", "", IFERROR(VLOOKUP(A3058, Clasificaciones!A:B, 2, FALSE), "DATO NO CARGADO"))
</f>
        <v/>
      </c>
      <c r="C3058" s="51"/>
      <c r="D3058" s="102"/>
      <c r="E3058" s="102"/>
      <c r="H3058" s="102"/>
      <c r="J3058" s="102"/>
      <c r="K3058" s="450"/>
      <c r="L3058" s="443"/>
      <c r="M3058" s="450"/>
      <c r="N3058" s="452">
        <f t="array" ref="N3058">IFERROR(
  INDEX(
    'Valor Hora Real y Estimada'!$A$4:$Z$78,
    MATCH(TRIM(CLEAN(A3058)), 'Valor Hora Real y Estimada'!$A$4:$A$78, 0),
    MATCH(
      TEXT(C3058,"dd mmm")&amp;" "&amp;D3058,
      'Valor Hora Real y Estimada'!$A$3:$Z$3,
      0
    ) + 1
  ),
  0
)</f>
        <v>0</v>
      </c>
      <c r="O3058" s="453"/>
      <c r="P3058" s="113"/>
      <c r="Q3058" s="106" t="str">
        <f>IF(ISBLANK(O3058), "", VLOOKUP(C3058&amp;" "&amp;D3058, 'Info Tipo de Cambio y REM'!$A$24:$B$35, 2, FALSE))</f>
        <v/>
      </c>
      <c r="R3058" s="107"/>
    </row>
    <row r="3059" hidden="1">
      <c r="A3059" s="443"/>
      <c r="B3059" s="43" t="str">
        <f>IF(A3059="", "", IFERROR(VLOOKUP(A3059, Clasificaciones!A:B, 2, FALSE), "DATO NO CARGADO"))
</f>
        <v/>
      </c>
      <c r="C3059" s="51"/>
      <c r="D3059" s="102"/>
      <c r="E3059" s="102"/>
      <c r="H3059" s="102"/>
      <c r="J3059" s="102"/>
      <c r="K3059" s="450"/>
      <c r="L3059" s="443"/>
      <c r="M3059" s="450"/>
      <c r="N3059" s="452">
        <f t="array" ref="N3059">IFERROR(
  INDEX(
    'Valor Hora Real y Estimada'!$A$4:$Z$78,
    MATCH(TRIM(CLEAN(A3059)), 'Valor Hora Real y Estimada'!$A$4:$A$78, 0),
    MATCH(
      TEXT(C3059,"dd mmm")&amp;" "&amp;D3059,
      'Valor Hora Real y Estimada'!$A$3:$Z$3,
      0
    ) + 1
  ),
  0
)</f>
        <v>0</v>
      </c>
      <c r="O3059" s="453"/>
      <c r="P3059" s="113"/>
      <c r="Q3059" s="106" t="str">
        <f>IF(ISBLANK(O3059), "", VLOOKUP(C3059&amp;" "&amp;D3059, 'Info Tipo de Cambio y REM'!$A$24:$B$35, 2, FALSE))</f>
        <v/>
      </c>
      <c r="R3059" s="107"/>
    </row>
    <row r="3060" hidden="1">
      <c r="A3060" s="443"/>
      <c r="B3060" s="43" t="str">
        <f>IF(A3060="", "", IFERROR(VLOOKUP(A3060, Clasificaciones!A:B, 2, FALSE), "DATO NO CARGADO"))
</f>
        <v/>
      </c>
      <c r="C3060" s="51"/>
      <c r="D3060" s="102"/>
      <c r="E3060" s="102"/>
      <c r="H3060" s="102"/>
      <c r="J3060" s="102"/>
      <c r="K3060" s="450"/>
      <c r="L3060" s="443"/>
      <c r="M3060" s="450"/>
      <c r="N3060" s="452">
        <f t="array" ref="N3060">IFERROR(
  INDEX(
    'Valor Hora Real y Estimada'!$A$4:$Z$78,
    MATCH(TRIM(CLEAN(A3060)), 'Valor Hora Real y Estimada'!$A$4:$A$78, 0),
    MATCH(
      TEXT(C3060,"dd mmm")&amp;" "&amp;D3060,
      'Valor Hora Real y Estimada'!$A$3:$Z$3,
      0
    ) + 1
  ),
  0
)</f>
        <v>0</v>
      </c>
      <c r="O3060" s="453"/>
      <c r="P3060" s="113"/>
      <c r="Q3060" s="106" t="str">
        <f>IF(ISBLANK(O3060), "", VLOOKUP(C3060&amp;" "&amp;D3060, 'Info Tipo de Cambio y REM'!$A$24:$B$35, 2, FALSE))</f>
        <v/>
      </c>
      <c r="R3060" s="107"/>
    </row>
    <row r="3061" hidden="1">
      <c r="A3061" s="443"/>
      <c r="B3061" s="43" t="str">
        <f>IF(A3061="", "", IFERROR(VLOOKUP(A3061, Clasificaciones!A:B, 2, FALSE), "DATO NO CARGADO"))
</f>
        <v/>
      </c>
      <c r="C3061" s="51"/>
      <c r="D3061" s="102"/>
      <c r="E3061" s="102"/>
      <c r="H3061" s="102"/>
      <c r="J3061" s="102"/>
      <c r="K3061" s="450"/>
      <c r="L3061" s="443"/>
      <c r="M3061" s="450"/>
      <c r="N3061" s="452">
        <f t="array" ref="N3061">IFERROR(
  INDEX(
    'Valor Hora Real y Estimada'!$A$4:$Z$78,
    MATCH(TRIM(CLEAN(A3061)), 'Valor Hora Real y Estimada'!$A$4:$A$78, 0),
    MATCH(
      TEXT(C3061,"dd mmm")&amp;" "&amp;D3061,
      'Valor Hora Real y Estimada'!$A$3:$Z$3,
      0
    ) + 1
  ),
  0
)</f>
        <v>0</v>
      </c>
      <c r="O3061" s="453"/>
      <c r="P3061" s="113"/>
      <c r="Q3061" s="106" t="str">
        <f>IF(ISBLANK(O3061), "", VLOOKUP(C3061&amp;" "&amp;D3061, 'Info Tipo de Cambio y REM'!$A$24:$B$35, 2, FALSE))</f>
        <v/>
      </c>
      <c r="R3061" s="107"/>
    </row>
    <row r="3062" hidden="1">
      <c r="A3062" s="443"/>
      <c r="B3062" s="43" t="str">
        <f>IF(A3062="", "", IFERROR(VLOOKUP(A3062, Clasificaciones!A:B, 2, FALSE), "DATO NO CARGADO"))
</f>
        <v/>
      </c>
      <c r="C3062" s="51"/>
      <c r="D3062" s="102"/>
      <c r="E3062" s="102"/>
      <c r="H3062" s="102"/>
      <c r="J3062" s="102"/>
      <c r="K3062" s="450"/>
      <c r="L3062" s="443"/>
      <c r="M3062" s="450"/>
      <c r="N3062" s="452">
        <f t="array" ref="N3062">IFERROR(
  INDEX(
    'Valor Hora Real y Estimada'!$A$4:$Z$78,
    MATCH(TRIM(CLEAN(A3062)), 'Valor Hora Real y Estimada'!$A$4:$A$78, 0),
    MATCH(
      TEXT(C3062,"dd mmm")&amp;" "&amp;D3062,
      'Valor Hora Real y Estimada'!$A$3:$Z$3,
      0
    ) + 1
  ),
  0
)</f>
        <v>0</v>
      </c>
      <c r="O3062" s="453"/>
      <c r="P3062" s="113"/>
      <c r="Q3062" s="106" t="str">
        <f>IF(ISBLANK(O3062), "", VLOOKUP(C3062&amp;" "&amp;D3062, 'Info Tipo de Cambio y REM'!$A$24:$B$35, 2, FALSE))</f>
        <v/>
      </c>
      <c r="R3062" s="107"/>
    </row>
    <row r="3063" hidden="1">
      <c r="A3063" s="443"/>
      <c r="B3063" s="43" t="str">
        <f>IF(A3063="", "", IFERROR(VLOOKUP(A3063, Clasificaciones!A:B, 2, FALSE), "DATO NO CARGADO"))
</f>
        <v/>
      </c>
      <c r="C3063" s="51"/>
      <c r="D3063" s="102"/>
      <c r="E3063" s="102"/>
      <c r="H3063" s="102"/>
      <c r="J3063" s="102"/>
      <c r="K3063" s="450"/>
      <c r="L3063" s="443"/>
      <c r="M3063" s="450"/>
      <c r="N3063" s="452">
        <f t="array" ref="N3063">IFERROR(
  INDEX(
    'Valor Hora Real y Estimada'!$A$4:$Z$78,
    MATCH(TRIM(CLEAN(A3063)), 'Valor Hora Real y Estimada'!$A$4:$A$78, 0),
    MATCH(
      TEXT(C3063,"dd mmm")&amp;" "&amp;D3063,
      'Valor Hora Real y Estimada'!$A$3:$Z$3,
      0
    ) + 1
  ),
  0
)</f>
        <v>0</v>
      </c>
      <c r="O3063" s="453"/>
      <c r="P3063" s="113"/>
      <c r="Q3063" s="106" t="str">
        <f>IF(ISBLANK(O3063), "", VLOOKUP(C3063&amp;" "&amp;D3063, 'Info Tipo de Cambio y REM'!$A$24:$B$35, 2, FALSE))</f>
        <v/>
      </c>
      <c r="R3063" s="107"/>
    </row>
    <row r="3064" hidden="1">
      <c r="A3064" s="443"/>
      <c r="B3064" s="43" t="str">
        <f>IF(A3064="", "", IFERROR(VLOOKUP(A3064, Clasificaciones!A:B, 2, FALSE), "DATO NO CARGADO"))
</f>
        <v/>
      </c>
      <c r="C3064" s="51"/>
      <c r="D3064" s="102"/>
      <c r="E3064" s="102"/>
      <c r="H3064" s="102"/>
      <c r="J3064" s="102"/>
      <c r="K3064" s="450"/>
      <c r="L3064" s="443"/>
      <c r="M3064" s="450"/>
      <c r="N3064" s="452">
        <f t="array" ref="N3064">IFERROR(
  INDEX(
    'Valor Hora Real y Estimada'!$A$4:$Z$78,
    MATCH(TRIM(CLEAN(A3064)), 'Valor Hora Real y Estimada'!$A$4:$A$78, 0),
    MATCH(
      TEXT(C3064,"dd mmm")&amp;" "&amp;D3064,
      'Valor Hora Real y Estimada'!$A$3:$Z$3,
      0
    ) + 1
  ),
  0
)</f>
        <v>0</v>
      </c>
      <c r="O3064" s="453"/>
      <c r="P3064" s="113"/>
      <c r="Q3064" s="106" t="str">
        <f>IF(ISBLANK(O3064), "", VLOOKUP(C3064&amp;" "&amp;D3064, 'Info Tipo de Cambio y REM'!$A$24:$B$35, 2, FALSE))</f>
        <v/>
      </c>
      <c r="R3064" s="107"/>
    </row>
    <row r="3065" hidden="1">
      <c r="A3065" s="443"/>
      <c r="B3065" s="43" t="str">
        <f>IF(A3065="", "", IFERROR(VLOOKUP(A3065, Clasificaciones!A:B, 2, FALSE), "DATO NO CARGADO"))
</f>
        <v/>
      </c>
      <c r="C3065" s="51"/>
      <c r="D3065" s="102"/>
      <c r="E3065" s="102"/>
      <c r="H3065" s="102"/>
      <c r="J3065" s="102"/>
      <c r="K3065" s="450"/>
      <c r="L3065" s="443"/>
      <c r="M3065" s="450"/>
      <c r="N3065" s="452">
        <f t="array" ref="N3065">IFERROR(
  INDEX(
    'Valor Hora Real y Estimada'!$A$4:$Z$78,
    MATCH(TRIM(CLEAN(A3065)), 'Valor Hora Real y Estimada'!$A$4:$A$78, 0),
    MATCH(
      TEXT(C3065,"dd mmm")&amp;" "&amp;D3065,
      'Valor Hora Real y Estimada'!$A$3:$Z$3,
      0
    ) + 1
  ),
  0
)</f>
        <v>0</v>
      </c>
      <c r="O3065" s="453"/>
      <c r="P3065" s="113"/>
      <c r="Q3065" s="106" t="str">
        <f>IF(ISBLANK(O3065), "", VLOOKUP(C3065&amp;" "&amp;D3065, 'Info Tipo de Cambio y REM'!$A$24:$B$35, 2, FALSE))</f>
        <v/>
      </c>
      <c r="R3065" s="107"/>
    </row>
    <row r="3066" hidden="1">
      <c r="A3066" s="443"/>
      <c r="B3066" s="43" t="str">
        <f>IF(A3066="", "", IFERROR(VLOOKUP(A3066, Clasificaciones!A:B, 2, FALSE), "DATO NO CARGADO"))
</f>
        <v/>
      </c>
      <c r="C3066" s="51"/>
      <c r="D3066" s="102"/>
      <c r="E3066" s="102"/>
      <c r="H3066" s="102"/>
      <c r="J3066" s="102"/>
      <c r="K3066" s="450"/>
      <c r="L3066" s="443"/>
      <c r="M3066" s="450"/>
      <c r="N3066" s="452">
        <f t="array" ref="N3066">IFERROR(
  INDEX(
    'Valor Hora Real y Estimada'!$A$4:$Z$78,
    MATCH(TRIM(CLEAN(A3066)), 'Valor Hora Real y Estimada'!$A$4:$A$78, 0),
    MATCH(
      TEXT(C3066,"dd mmm")&amp;" "&amp;D3066,
      'Valor Hora Real y Estimada'!$A$3:$Z$3,
      0
    ) + 1
  ),
  0
)</f>
        <v>0</v>
      </c>
      <c r="O3066" s="453"/>
      <c r="P3066" s="113"/>
      <c r="Q3066" s="106" t="str">
        <f>IF(ISBLANK(O3066), "", VLOOKUP(C3066&amp;" "&amp;D3066, 'Info Tipo de Cambio y REM'!$A$24:$B$35, 2, FALSE))</f>
        <v/>
      </c>
      <c r="R3066" s="107"/>
    </row>
    <row r="3067" hidden="1">
      <c r="A3067" s="443"/>
      <c r="B3067" s="43" t="str">
        <f>IF(A3067="", "", IFERROR(VLOOKUP(A3067, Clasificaciones!A:B, 2, FALSE), "DATO NO CARGADO"))
</f>
        <v/>
      </c>
      <c r="C3067" s="51"/>
      <c r="D3067" s="102"/>
      <c r="E3067" s="102"/>
      <c r="H3067" s="102"/>
      <c r="J3067" s="102"/>
      <c r="K3067" s="450"/>
      <c r="L3067" s="443"/>
      <c r="M3067" s="450"/>
      <c r="N3067" s="452">
        <f t="array" ref="N3067">IFERROR(
  INDEX(
    'Valor Hora Real y Estimada'!$A$4:$Z$78,
    MATCH(TRIM(CLEAN(A3067)), 'Valor Hora Real y Estimada'!$A$4:$A$78, 0),
    MATCH(
      TEXT(C3067,"dd mmm")&amp;" "&amp;D3067,
      'Valor Hora Real y Estimada'!$A$3:$Z$3,
      0
    ) + 1
  ),
  0
)</f>
        <v>0</v>
      </c>
      <c r="O3067" s="453"/>
      <c r="P3067" s="113"/>
      <c r="Q3067" s="106" t="str">
        <f>IF(ISBLANK(O3067), "", VLOOKUP(C3067&amp;" "&amp;D3067, 'Info Tipo de Cambio y REM'!$A$24:$B$35, 2, FALSE))</f>
        <v/>
      </c>
      <c r="R3067" s="107"/>
    </row>
    <row r="3068" hidden="1">
      <c r="A3068" s="443"/>
      <c r="B3068" s="43" t="str">
        <f>IF(A3068="", "", IFERROR(VLOOKUP(A3068, Clasificaciones!A:B, 2, FALSE), "DATO NO CARGADO"))
</f>
        <v/>
      </c>
      <c r="C3068" s="51"/>
      <c r="D3068" s="102"/>
      <c r="E3068" s="102"/>
      <c r="H3068" s="102"/>
      <c r="J3068" s="102"/>
      <c r="K3068" s="450"/>
      <c r="L3068" s="443"/>
      <c r="M3068" s="450"/>
      <c r="N3068" s="452">
        <f t="array" ref="N3068">IFERROR(
  INDEX(
    'Valor Hora Real y Estimada'!$A$4:$Z$78,
    MATCH(TRIM(CLEAN(A3068)), 'Valor Hora Real y Estimada'!$A$4:$A$78, 0),
    MATCH(
      TEXT(C3068,"dd mmm")&amp;" "&amp;D3068,
      'Valor Hora Real y Estimada'!$A$3:$Z$3,
      0
    ) + 1
  ),
  0
)</f>
        <v>0</v>
      </c>
      <c r="O3068" s="453"/>
      <c r="P3068" s="113"/>
      <c r="Q3068" s="106" t="str">
        <f>IF(ISBLANK(O3068), "", VLOOKUP(C3068&amp;" "&amp;D3068, 'Info Tipo de Cambio y REM'!$A$24:$B$35, 2, FALSE))</f>
        <v/>
      </c>
      <c r="R3068" s="107"/>
    </row>
    <row r="3069" hidden="1">
      <c r="A3069" s="443"/>
      <c r="B3069" s="43" t="str">
        <f>IF(A3069="", "", IFERROR(VLOOKUP(A3069, Clasificaciones!A:B, 2, FALSE), "DATO NO CARGADO"))
</f>
        <v/>
      </c>
      <c r="C3069" s="51"/>
      <c r="D3069" s="102"/>
      <c r="E3069" s="102"/>
      <c r="H3069" s="102"/>
      <c r="J3069" s="102"/>
      <c r="K3069" s="450"/>
      <c r="L3069" s="443"/>
      <c r="M3069" s="450"/>
      <c r="N3069" s="452">
        <f t="array" ref="N3069">IFERROR(
  INDEX(
    'Valor Hora Real y Estimada'!$A$4:$Z$78,
    MATCH(TRIM(CLEAN(A3069)), 'Valor Hora Real y Estimada'!$A$4:$A$78, 0),
    MATCH(
      TEXT(C3069,"dd mmm")&amp;" "&amp;D3069,
      'Valor Hora Real y Estimada'!$A$3:$Z$3,
      0
    ) + 1
  ),
  0
)</f>
        <v>0</v>
      </c>
      <c r="O3069" s="453"/>
      <c r="P3069" s="113"/>
      <c r="Q3069" s="106" t="str">
        <f>IF(ISBLANK(O3069), "", VLOOKUP(C3069&amp;" "&amp;D3069, 'Info Tipo de Cambio y REM'!$A$24:$B$35, 2, FALSE))</f>
        <v/>
      </c>
      <c r="R3069" s="107"/>
    </row>
    <row r="3070" hidden="1">
      <c r="A3070" s="443"/>
      <c r="B3070" s="43" t="str">
        <f>IF(A3070="", "", IFERROR(VLOOKUP(A3070, Clasificaciones!A:B, 2, FALSE), "DATO NO CARGADO"))
</f>
        <v/>
      </c>
      <c r="C3070" s="51"/>
      <c r="D3070" s="102"/>
      <c r="E3070" s="102"/>
      <c r="H3070" s="102"/>
      <c r="J3070" s="102"/>
      <c r="K3070" s="450"/>
      <c r="L3070" s="443"/>
      <c r="M3070" s="450"/>
      <c r="N3070" s="452">
        <f t="array" ref="N3070">IFERROR(
  INDEX(
    'Valor Hora Real y Estimada'!$A$4:$Z$78,
    MATCH(TRIM(CLEAN(A3070)), 'Valor Hora Real y Estimada'!$A$4:$A$78, 0),
    MATCH(
      TEXT(C3070,"dd mmm")&amp;" "&amp;D3070,
      'Valor Hora Real y Estimada'!$A$3:$Z$3,
      0
    ) + 1
  ),
  0
)</f>
        <v>0</v>
      </c>
      <c r="O3070" s="453"/>
      <c r="P3070" s="113"/>
      <c r="Q3070" s="106" t="str">
        <f>IF(ISBLANK(O3070), "", VLOOKUP(C3070&amp;" "&amp;D3070, 'Info Tipo de Cambio y REM'!$A$24:$B$35, 2, FALSE))</f>
        <v/>
      </c>
      <c r="R3070" s="107"/>
    </row>
    <row r="3071" hidden="1">
      <c r="A3071" s="443"/>
      <c r="B3071" s="43" t="str">
        <f>IF(A3071="", "", IFERROR(VLOOKUP(A3071, Clasificaciones!A:B, 2, FALSE), "DATO NO CARGADO"))
</f>
        <v/>
      </c>
      <c r="C3071" s="51"/>
      <c r="D3071" s="102"/>
      <c r="E3071" s="102"/>
      <c r="H3071" s="102"/>
      <c r="J3071" s="102"/>
      <c r="K3071" s="450"/>
      <c r="L3071" s="443"/>
      <c r="M3071" s="450"/>
      <c r="N3071" s="452">
        <f t="array" ref="N3071">IFERROR(
  INDEX(
    'Valor Hora Real y Estimada'!$A$4:$Z$78,
    MATCH(TRIM(CLEAN(A3071)), 'Valor Hora Real y Estimada'!$A$4:$A$78, 0),
    MATCH(
      TEXT(C3071,"dd mmm")&amp;" "&amp;D3071,
      'Valor Hora Real y Estimada'!$A$3:$Z$3,
      0
    ) + 1
  ),
  0
)</f>
        <v>0</v>
      </c>
      <c r="O3071" s="453"/>
      <c r="P3071" s="113"/>
      <c r="Q3071" s="106" t="str">
        <f>IF(ISBLANK(O3071), "", VLOOKUP(C3071&amp;" "&amp;D3071, 'Info Tipo de Cambio y REM'!$A$24:$B$35, 2, FALSE))</f>
        <v/>
      </c>
      <c r="R3071" s="107"/>
    </row>
    <row r="3072" hidden="1">
      <c r="A3072" s="443"/>
      <c r="B3072" s="43" t="str">
        <f>IF(A3072="", "", IFERROR(VLOOKUP(A3072, Clasificaciones!A:B, 2, FALSE), "DATO NO CARGADO"))
</f>
        <v/>
      </c>
      <c r="C3072" s="51"/>
      <c r="D3072" s="102"/>
      <c r="E3072" s="102"/>
      <c r="H3072" s="102"/>
      <c r="J3072" s="102"/>
      <c r="K3072" s="450"/>
      <c r="L3072" s="443"/>
      <c r="M3072" s="450"/>
      <c r="N3072" s="452">
        <f t="array" ref="N3072">IFERROR(
  INDEX(
    'Valor Hora Real y Estimada'!$A$4:$Z$78,
    MATCH(TRIM(CLEAN(A3072)), 'Valor Hora Real y Estimada'!$A$4:$A$78, 0),
    MATCH(
      TEXT(C3072,"dd mmm")&amp;" "&amp;D3072,
      'Valor Hora Real y Estimada'!$A$3:$Z$3,
      0
    ) + 1
  ),
  0
)</f>
        <v>0</v>
      </c>
      <c r="O3072" s="453"/>
      <c r="P3072" s="113"/>
      <c r="Q3072" s="106" t="str">
        <f>IF(ISBLANK(O3072), "", VLOOKUP(C3072&amp;" "&amp;D3072, 'Info Tipo de Cambio y REM'!$A$24:$B$35, 2, FALSE))</f>
        <v/>
      </c>
      <c r="R3072" s="107"/>
    </row>
    <row r="3073" hidden="1">
      <c r="A3073" s="443"/>
      <c r="B3073" s="43" t="str">
        <f>IF(A3073="", "", IFERROR(VLOOKUP(A3073, Clasificaciones!A:B, 2, FALSE), "DATO NO CARGADO"))
</f>
        <v/>
      </c>
      <c r="C3073" s="51"/>
      <c r="D3073" s="102"/>
      <c r="E3073" s="102"/>
      <c r="H3073" s="102"/>
      <c r="J3073" s="102"/>
      <c r="K3073" s="450"/>
      <c r="L3073" s="443"/>
      <c r="M3073" s="450"/>
      <c r="N3073" s="452">
        <f t="array" ref="N3073">IFERROR(
  INDEX(
    'Valor Hora Real y Estimada'!$A$4:$Z$78,
    MATCH(TRIM(CLEAN(A3073)), 'Valor Hora Real y Estimada'!$A$4:$A$78, 0),
    MATCH(
      TEXT(C3073,"dd mmm")&amp;" "&amp;D3073,
      'Valor Hora Real y Estimada'!$A$3:$Z$3,
      0
    ) + 1
  ),
  0
)</f>
        <v>0</v>
      </c>
      <c r="O3073" s="453"/>
      <c r="P3073" s="113"/>
      <c r="Q3073" s="106" t="str">
        <f>IF(ISBLANK(O3073), "", VLOOKUP(C3073&amp;" "&amp;D3073, 'Info Tipo de Cambio y REM'!$A$24:$B$35, 2, FALSE))</f>
        <v/>
      </c>
      <c r="R3073" s="107"/>
    </row>
    <row r="3074" hidden="1">
      <c r="A3074" s="443"/>
      <c r="B3074" s="43" t="str">
        <f>IF(A3074="", "", IFERROR(VLOOKUP(A3074, Clasificaciones!A:B, 2, FALSE), "DATO NO CARGADO"))
</f>
        <v/>
      </c>
      <c r="C3074" s="51"/>
      <c r="D3074" s="102"/>
      <c r="E3074" s="102"/>
      <c r="H3074" s="102"/>
      <c r="J3074" s="102"/>
      <c r="K3074" s="450"/>
      <c r="L3074" s="443"/>
      <c r="M3074" s="450"/>
      <c r="N3074" s="452">
        <f t="array" ref="N3074">IFERROR(
  INDEX(
    'Valor Hora Real y Estimada'!$A$4:$Z$78,
    MATCH(TRIM(CLEAN(A3074)), 'Valor Hora Real y Estimada'!$A$4:$A$78, 0),
    MATCH(
      TEXT(C3074,"dd mmm")&amp;" "&amp;D3074,
      'Valor Hora Real y Estimada'!$A$3:$Z$3,
      0
    ) + 1
  ),
  0
)</f>
        <v>0</v>
      </c>
      <c r="O3074" s="453"/>
      <c r="P3074" s="113"/>
      <c r="Q3074" s="106" t="str">
        <f>IF(ISBLANK(O3074), "", VLOOKUP(C3074&amp;" "&amp;D3074, 'Info Tipo de Cambio y REM'!$A$24:$B$35, 2, FALSE))</f>
        <v/>
      </c>
      <c r="R3074" s="107"/>
    </row>
    <row r="3075" hidden="1">
      <c r="A3075" s="443"/>
      <c r="B3075" s="43" t="str">
        <f>IF(A3075="", "", IFERROR(VLOOKUP(A3075, Clasificaciones!A:B, 2, FALSE), "DATO NO CARGADO"))
</f>
        <v/>
      </c>
      <c r="C3075" s="51"/>
      <c r="D3075" s="102"/>
      <c r="E3075" s="102"/>
      <c r="H3075" s="102"/>
      <c r="J3075" s="102"/>
      <c r="K3075" s="450"/>
      <c r="L3075" s="443"/>
      <c r="M3075" s="450"/>
      <c r="N3075" s="452">
        <f t="array" ref="N3075">IFERROR(
  INDEX(
    'Valor Hora Real y Estimada'!$A$4:$Z$78,
    MATCH(TRIM(CLEAN(A3075)), 'Valor Hora Real y Estimada'!$A$4:$A$78, 0),
    MATCH(
      TEXT(C3075,"dd mmm")&amp;" "&amp;D3075,
      'Valor Hora Real y Estimada'!$A$3:$Z$3,
      0
    ) + 1
  ),
  0
)</f>
        <v>0</v>
      </c>
      <c r="O3075" s="453"/>
      <c r="P3075" s="113"/>
      <c r="Q3075" s="106" t="str">
        <f>IF(ISBLANK(O3075), "", VLOOKUP(C3075&amp;" "&amp;D3075, 'Info Tipo de Cambio y REM'!$A$24:$B$35, 2, FALSE))</f>
        <v/>
      </c>
      <c r="R3075" s="107"/>
    </row>
    <row r="3076" hidden="1">
      <c r="A3076" s="443"/>
      <c r="B3076" s="43" t="str">
        <f>IF(A3076="", "", IFERROR(VLOOKUP(A3076, Clasificaciones!A:B, 2, FALSE), "DATO NO CARGADO"))
</f>
        <v/>
      </c>
      <c r="C3076" s="51"/>
      <c r="D3076" s="102"/>
      <c r="E3076" s="102"/>
      <c r="H3076" s="102"/>
      <c r="J3076" s="102"/>
      <c r="K3076" s="450"/>
      <c r="L3076" s="443"/>
      <c r="M3076" s="450"/>
      <c r="N3076" s="452">
        <f t="array" ref="N3076">IFERROR(
  INDEX(
    'Valor Hora Real y Estimada'!$A$4:$Z$78,
    MATCH(TRIM(CLEAN(A3076)), 'Valor Hora Real y Estimada'!$A$4:$A$78, 0),
    MATCH(
      TEXT(C3076,"dd mmm")&amp;" "&amp;D3076,
      'Valor Hora Real y Estimada'!$A$3:$Z$3,
      0
    ) + 1
  ),
  0
)</f>
        <v>0</v>
      </c>
      <c r="O3076" s="453"/>
      <c r="P3076" s="113"/>
      <c r="Q3076" s="106" t="str">
        <f>IF(ISBLANK(O3076), "", VLOOKUP(C3076&amp;" "&amp;D3076, 'Info Tipo de Cambio y REM'!$A$24:$B$35, 2, FALSE))</f>
        <v/>
      </c>
      <c r="R3076" s="107"/>
    </row>
    <row r="3077" hidden="1">
      <c r="A3077" s="443"/>
      <c r="B3077" s="43" t="str">
        <f>IF(A3077="", "", IFERROR(VLOOKUP(A3077, Clasificaciones!A:B, 2, FALSE), "DATO NO CARGADO"))
</f>
        <v/>
      </c>
      <c r="C3077" s="51"/>
      <c r="D3077" s="102"/>
      <c r="E3077" s="102"/>
      <c r="H3077" s="102"/>
      <c r="J3077" s="102"/>
      <c r="K3077" s="450"/>
      <c r="L3077" s="443"/>
      <c r="M3077" s="450"/>
      <c r="N3077" s="452">
        <f t="array" ref="N3077">IFERROR(
  INDEX(
    'Valor Hora Real y Estimada'!$A$4:$Z$78,
    MATCH(TRIM(CLEAN(A3077)), 'Valor Hora Real y Estimada'!$A$4:$A$78, 0),
    MATCH(
      TEXT(C3077,"dd mmm")&amp;" "&amp;D3077,
      'Valor Hora Real y Estimada'!$A$3:$Z$3,
      0
    ) + 1
  ),
  0
)</f>
        <v>0</v>
      </c>
      <c r="O3077" s="453"/>
      <c r="P3077" s="113"/>
      <c r="Q3077" s="106" t="str">
        <f>IF(ISBLANK(O3077), "", VLOOKUP(C3077&amp;" "&amp;D3077, 'Info Tipo de Cambio y REM'!$A$24:$B$35, 2, FALSE))</f>
        <v/>
      </c>
      <c r="R3077" s="107"/>
    </row>
    <row r="3078" hidden="1">
      <c r="A3078" s="443"/>
      <c r="B3078" s="43" t="str">
        <f>IF(A3078="", "", IFERROR(VLOOKUP(A3078, Clasificaciones!A:B, 2, FALSE), "DATO NO CARGADO"))
</f>
        <v/>
      </c>
      <c r="C3078" s="51"/>
      <c r="D3078" s="102"/>
      <c r="E3078" s="102"/>
      <c r="H3078" s="102"/>
      <c r="J3078" s="102"/>
      <c r="K3078" s="450"/>
      <c r="L3078" s="443"/>
      <c r="M3078" s="450"/>
      <c r="N3078" s="452">
        <f t="array" ref="N3078">IFERROR(
  INDEX(
    'Valor Hora Real y Estimada'!$A$4:$Z$78,
    MATCH(TRIM(CLEAN(A3078)), 'Valor Hora Real y Estimada'!$A$4:$A$78, 0),
    MATCH(
      TEXT(C3078,"dd mmm")&amp;" "&amp;D3078,
      'Valor Hora Real y Estimada'!$A$3:$Z$3,
      0
    ) + 1
  ),
  0
)</f>
        <v>0</v>
      </c>
      <c r="O3078" s="453"/>
      <c r="P3078" s="113"/>
      <c r="Q3078" s="106" t="str">
        <f>IF(ISBLANK(O3078), "", VLOOKUP(C3078&amp;" "&amp;D3078, 'Info Tipo de Cambio y REM'!$A$24:$B$35, 2, FALSE))</f>
        <v/>
      </c>
      <c r="R3078" s="107"/>
    </row>
    <row r="3079" hidden="1">
      <c r="A3079" s="443"/>
      <c r="B3079" s="43" t="str">
        <f>IF(A3079="", "", IFERROR(VLOOKUP(A3079, Clasificaciones!A:B, 2, FALSE), "DATO NO CARGADO"))
</f>
        <v/>
      </c>
      <c r="C3079" s="51"/>
      <c r="D3079" s="102"/>
      <c r="E3079" s="102"/>
      <c r="H3079" s="102"/>
      <c r="J3079" s="102"/>
      <c r="K3079" s="450"/>
      <c r="L3079" s="443"/>
      <c r="M3079" s="450"/>
      <c r="N3079" s="452">
        <f t="array" ref="N3079">IFERROR(
  INDEX(
    'Valor Hora Real y Estimada'!$A$4:$Z$78,
    MATCH(TRIM(CLEAN(A3079)), 'Valor Hora Real y Estimada'!$A$4:$A$78, 0),
    MATCH(
      TEXT(C3079,"dd mmm")&amp;" "&amp;D3079,
      'Valor Hora Real y Estimada'!$A$3:$Z$3,
      0
    ) + 1
  ),
  0
)</f>
        <v>0</v>
      </c>
      <c r="O3079" s="453"/>
      <c r="P3079" s="113"/>
      <c r="Q3079" s="106" t="str">
        <f>IF(ISBLANK(O3079), "", VLOOKUP(C3079&amp;" "&amp;D3079, 'Info Tipo de Cambio y REM'!$A$24:$B$35, 2, FALSE))</f>
        <v/>
      </c>
      <c r="R3079" s="107"/>
    </row>
    <row r="3080" hidden="1">
      <c r="A3080" s="443"/>
      <c r="B3080" s="43" t="str">
        <f>IF(A3080="", "", IFERROR(VLOOKUP(A3080, Clasificaciones!A:B, 2, FALSE), "DATO NO CARGADO"))
</f>
        <v/>
      </c>
      <c r="C3080" s="51"/>
      <c r="D3080" s="102"/>
      <c r="E3080" s="102"/>
      <c r="H3080" s="102"/>
      <c r="J3080" s="102"/>
      <c r="K3080" s="450"/>
      <c r="L3080" s="443"/>
      <c r="M3080" s="450"/>
      <c r="N3080" s="452">
        <f t="array" ref="N3080">IFERROR(
  INDEX(
    'Valor Hora Real y Estimada'!$A$4:$Z$78,
    MATCH(TRIM(CLEAN(A3080)), 'Valor Hora Real y Estimada'!$A$4:$A$78, 0),
    MATCH(
      TEXT(C3080,"dd mmm")&amp;" "&amp;D3080,
      'Valor Hora Real y Estimada'!$A$3:$Z$3,
      0
    ) + 1
  ),
  0
)</f>
        <v>0</v>
      </c>
      <c r="O3080" s="453"/>
      <c r="P3080" s="113"/>
      <c r="Q3080" s="106" t="str">
        <f>IF(ISBLANK(O3080), "", VLOOKUP(C3080&amp;" "&amp;D3080, 'Info Tipo de Cambio y REM'!$A$24:$B$35, 2, FALSE))</f>
        <v/>
      </c>
      <c r="R3080" s="107"/>
    </row>
    <row r="3081" hidden="1">
      <c r="A3081" s="443"/>
      <c r="B3081" s="43" t="str">
        <f>IF(A3081="", "", IFERROR(VLOOKUP(A3081, Clasificaciones!A:B, 2, FALSE), "DATO NO CARGADO"))
</f>
        <v/>
      </c>
      <c r="C3081" s="51"/>
      <c r="D3081" s="102"/>
      <c r="E3081" s="102"/>
      <c r="H3081" s="102"/>
      <c r="J3081" s="102"/>
      <c r="K3081" s="450"/>
      <c r="L3081" s="443"/>
      <c r="M3081" s="450"/>
      <c r="N3081" s="452">
        <f t="array" ref="N3081">IFERROR(
  INDEX(
    'Valor Hora Real y Estimada'!$A$4:$Z$78,
    MATCH(TRIM(CLEAN(A3081)), 'Valor Hora Real y Estimada'!$A$4:$A$78, 0),
    MATCH(
      TEXT(C3081,"dd mmm")&amp;" "&amp;D3081,
      'Valor Hora Real y Estimada'!$A$3:$Z$3,
      0
    ) + 1
  ),
  0
)</f>
        <v>0</v>
      </c>
      <c r="O3081" s="453"/>
      <c r="P3081" s="113"/>
      <c r="Q3081" s="106" t="str">
        <f>IF(ISBLANK(O3081), "", VLOOKUP(C3081&amp;" "&amp;D3081, 'Info Tipo de Cambio y REM'!$A$24:$B$35, 2, FALSE))</f>
        <v/>
      </c>
      <c r="R3081" s="107"/>
    </row>
    <row r="3082" hidden="1">
      <c r="A3082" s="443"/>
      <c r="B3082" s="43" t="str">
        <f>IF(A3082="", "", IFERROR(VLOOKUP(A3082, Clasificaciones!A:B, 2, FALSE), "DATO NO CARGADO"))
</f>
        <v/>
      </c>
      <c r="C3082" s="51"/>
      <c r="D3082" s="102"/>
      <c r="E3082" s="102"/>
      <c r="H3082" s="102"/>
      <c r="J3082" s="102"/>
      <c r="K3082" s="450"/>
      <c r="L3082" s="443"/>
      <c r="M3082" s="450"/>
      <c r="N3082" s="452">
        <f t="array" ref="N3082">IFERROR(
  INDEX(
    'Valor Hora Real y Estimada'!$A$4:$Z$78,
    MATCH(TRIM(CLEAN(A3082)), 'Valor Hora Real y Estimada'!$A$4:$A$78, 0),
    MATCH(
      TEXT(C3082,"dd mmm")&amp;" "&amp;D3082,
      'Valor Hora Real y Estimada'!$A$3:$Z$3,
      0
    ) + 1
  ),
  0
)</f>
        <v>0</v>
      </c>
      <c r="O3082" s="453"/>
      <c r="P3082" s="113"/>
      <c r="Q3082" s="106" t="str">
        <f>IF(ISBLANK(O3082), "", VLOOKUP(C3082&amp;" "&amp;D3082, 'Info Tipo de Cambio y REM'!$A$24:$B$35, 2, FALSE))</f>
        <v/>
      </c>
      <c r="R3082" s="107"/>
    </row>
    <row r="3083" hidden="1">
      <c r="A3083" s="443"/>
      <c r="B3083" s="43" t="str">
        <f>IF(A3083="", "", IFERROR(VLOOKUP(A3083, Clasificaciones!A:B, 2, FALSE), "DATO NO CARGADO"))
</f>
        <v/>
      </c>
      <c r="C3083" s="51"/>
      <c r="D3083" s="102"/>
      <c r="E3083" s="102"/>
      <c r="H3083" s="102"/>
      <c r="J3083" s="102"/>
      <c r="K3083" s="450"/>
      <c r="L3083" s="443"/>
      <c r="M3083" s="450"/>
      <c r="N3083" s="452">
        <f t="array" ref="N3083">IFERROR(
  INDEX(
    'Valor Hora Real y Estimada'!$A$4:$Z$78,
    MATCH(TRIM(CLEAN(A3083)), 'Valor Hora Real y Estimada'!$A$4:$A$78, 0),
    MATCH(
      TEXT(C3083,"dd mmm")&amp;" "&amp;D3083,
      'Valor Hora Real y Estimada'!$A$3:$Z$3,
      0
    ) + 1
  ),
  0
)</f>
        <v>0</v>
      </c>
      <c r="O3083" s="453"/>
      <c r="P3083" s="113"/>
      <c r="Q3083" s="106" t="str">
        <f>IF(ISBLANK(O3083), "", VLOOKUP(C3083&amp;" "&amp;D3083, 'Info Tipo de Cambio y REM'!$A$24:$B$35, 2, FALSE))</f>
        <v/>
      </c>
      <c r="R3083" s="107"/>
    </row>
    <row r="3084" hidden="1">
      <c r="A3084" s="443"/>
      <c r="B3084" s="43" t="str">
        <f>IF(A3084="", "", IFERROR(VLOOKUP(A3084, Clasificaciones!A:B, 2, FALSE), "DATO NO CARGADO"))
</f>
        <v/>
      </c>
      <c r="C3084" s="51"/>
      <c r="D3084" s="102"/>
      <c r="E3084" s="102"/>
      <c r="H3084" s="102"/>
      <c r="J3084" s="102"/>
      <c r="K3084" s="450"/>
      <c r="L3084" s="443"/>
      <c r="M3084" s="450"/>
      <c r="N3084" s="452">
        <f t="array" ref="N3084">IFERROR(
  INDEX(
    'Valor Hora Real y Estimada'!$A$4:$Z$78,
    MATCH(TRIM(CLEAN(A3084)), 'Valor Hora Real y Estimada'!$A$4:$A$78, 0),
    MATCH(
      TEXT(C3084,"dd mmm")&amp;" "&amp;D3084,
      'Valor Hora Real y Estimada'!$A$3:$Z$3,
      0
    ) + 1
  ),
  0
)</f>
        <v>0</v>
      </c>
      <c r="O3084" s="453"/>
      <c r="P3084" s="113"/>
      <c r="Q3084" s="106" t="str">
        <f>IF(ISBLANK(O3084), "", VLOOKUP(C3084&amp;" "&amp;D3084, 'Info Tipo de Cambio y REM'!$A$24:$B$35, 2, FALSE))</f>
        <v/>
      </c>
      <c r="R3084" s="107"/>
    </row>
    <row r="3085" hidden="1">
      <c r="A3085" s="443"/>
      <c r="B3085" s="43" t="str">
        <f>IF(A3085="", "", IFERROR(VLOOKUP(A3085, Clasificaciones!A:B, 2, FALSE), "DATO NO CARGADO"))
</f>
        <v/>
      </c>
      <c r="C3085" s="51"/>
      <c r="D3085" s="102"/>
      <c r="E3085" s="102"/>
      <c r="H3085" s="102"/>
      <c r="J3085" s="102"/>
      <c r="K3085" s="450"/>
      <c r="L3085" s="443"/>
      <c r="M3085" s="450"/>
      <c r="N3085" s="452">
        <f t="array" ref="N3085">IFERROR(
  INDEX(
    'Valor Hora Real y Estimada'!$A$4:$Z$78,
    MATCH(TRIM(CLEAN(A3085)), 'Valor Hora Real y Estimada'!$A$4:$A$78, 0),
    MATCH(
      TEXT(C3085,"dd mmm")&amp;" "&amp;D3085,
      'Valor Hora Real y Estimada'!$A$3:$Z$3,
      0
    ) + 1
  ),
  0
)</f>
        <v>0</v>
      </c>
      <c r="O3085" s="453"/>
      <c r="P3085" s="113"/>
      <c r="Q3085" s="106" t="str">
        <f>IF(ISBLANK(O3085), "", VLOOKUP(C3085&amp;" "&amp;D3085, 'Info Tipo de Cambio y REM'!$A$24:$B$35, 2, FALSE))</f>
        <v/>
      </c>
      <c r="R3085" s="107"/>
    </row>
    <row r="3086" hidden="1">
      <c r="A3086" s="443"/>
      <c r="B3086" s="43" t="str">
        <f>IF(A3086="", "", IFERROR(VLOOKUP(A3086, Clasificaciones!A:B, 2, FALSE), "DATO NO CARGADO"))
</f>
        <v/>
      </c>
      <c r="C3086" s="51"/>
      <c r="D3086" s="102"/>
      <c r="E3086" s="102"/>
      <c r="H3086" s="102"/>
      <c r="J3086" s="102"/>
      <c r="K3086" s="450"/>
      <c r="L3086" s="443"/>
      <c r="M3086" s="450"/>
      <c r="N3086" s="452">
        <f t="array" ref="N3086">IFERROR(
  INDEX(
    'Valor Hora Real y Estimada'!$A$4:$Z$78,
    MATCH(TRIM(CLEAN(A3086)), 'Valor Hora Real y Estimada'!$A$4:$A$78, 0),
    MATCH(
      TEXT(C3086,"dd mmm")&amp;" "&amp;D3086,
      'Valor Hora Real y Estimada'!$A$3:$Z$3,
      0
    ) + 1
  ),
  0
)</f>
        <v>0</v>
      </c>
      <c r="O3086" s="453"/>
      <c r="P3086" s="113"/>
      <c r="Q3086" s="106" t="str">
        <f>IF(ISBLANK(O3086), "", VLOOKUP(C3086&amp;" "&amp;D3086, 'Info Tipo de Cambio y REM'!$A$24:$B$35, 2, FALSE))</f>
        <v/>
      </c>
      <c r="R3086" s="107"/>
    </row>
    <row r="3087" hidden="1">
      <c r="A3087" s="443"/>
      <c r="B3087" s="43" t="str">
        <f>IF(A3087="", "", IFERROR(VLOOKUP(A3087, Clasificaciones!A:B, 2, FALSE), "DATO NO CARGADO"))
</f>
        <v/>
      </c>
      <c r="C3087" s="51"/>
      <c r="D3087" s="102"/>
      <c r="E3087" s="102"/>
      <c r="H3087" s="102"/>
      <c r="J3087" s="102"/>
      <c r="K3087" s="450"/>
      <c r="L3087" s="443"/>
      <c r="M3087" s="450"/>
      <c r="N3087" s="452">
        <f t="array" ref="N3087">IFERROR(
  INDEX(
    'Valor Hora Real y Estimada'!$A$4:$Z$78,
    MATCH(TRIM(CLEAN(A3087)), 'Valor Hora Real y Estimada'!$A$4:$A$78, 0),
    MATCH(
      TEXT(C3087,"dd mmm")&amp;" "&amp;D3087,
      'Valor Hora Real y Estimada'!$A$3:$Z$3,
      0
    ) + 1
  ),
  0
)</f>
        <v>0</v>
      </c>
      <c r="O3087" s="453"/>
      <c r="P3087" s="113"/>
      <c r="Q3087" s="106" t="str">
        <f>IF(ISBLANK(O3087), "", VLOOKUP(C3087&amp;" "&amp;D3087, 'Info Tipo de Cambio y REM'!$A$24:$B$35, 2, FALSE))</f>
        <v/>
      </c>
      <c r="R3087" s="107"/>
    </row>
    <row r="3088" hidden="1">
      <c r="A3088" s="443"/>
      <c r="B3088" s="43" t="str">
        <f>IF(A3088="", "", IFERROR(VLOOKUP(A3088, Clasificaciones!A:B, 2, FALSE), "DATO NO CARGADO"))
</f>
        <v/>
      </c>
      <c r="C3088" s="51"/>
      <c r="D3088" s="102"/>
      <c r="E3088" s="102"/>
      <c r="H3088" s="102"/>
      <c r="J3088" s="102"/>
      <c r="K3088" s="450"/>
      <c r="L3088" s="443"/>
      <c r="M3088" s="450"/>
      <c r="N3088" s="452">
        <f t="array" ref="N3088">IFERROR(
  INDEX(
    'Valor Hora Real y Estimada'!$A$4:$Z$78,
    MATCH(TRIM(CLEAN(A3088)), 'Valor Hora Real y Estimada'!$A$4:$A$78, 0),
    MATCH(
      TEXT(C3088,"dd mmm")&amp;" "&amp;D3088,
      'Valor Hora Real y Estimada'!$A$3:$Z$3,
      0
    ) + 1
  ),
  0
)</f>
        <v>0</v>
      </c>
      <c r="O3088" s="453"/>
      <c r="P3088" s="113"/>
      <c r="Q3088" s="106" t="str">
        <f>IF(ISBLANK(O3088), "", VLOOKUP(C3088&amp;" "&amp;D3088, 'Info Tipo de Cambio y REM'!$A$24:$B$35, 2, FALSE))</f>
        <v/>
      </c>
      <c r="R3088" s="107"/>
    </row>
    <row r="3089" hidden="1">
      <c r="A3089" s="443"/>
      <c r="B3089" s="43" t="str">
        <f>IF(A3089="", "", IFERROR(VLOOKUP(A3089, Clasificaciones!A:B, 2, FALSE), "DATO NO CARGADO"))
</f>
        <v/>
      </c>
      <c r="C3089" s="51"/>
      <c r="D3089" s="102"/>
      <c r="E3089" s="102"/>
      <c r="H3089" s="102"/>
      <c r="J3089" s="102"/>
      <c r="K3089" s="450"/>
      <c r="L3089" s="443"/>
      <c r="M3089" s="450"/>
      <c r="N3089" s="452">
        <f t="array" ref="N3089">IFERROR(
  INDEX(
    'Valor Hora Real y Estimada'!$A$4:$Z$78,
    MATCH(TRIM(CLEAN(A3089)), 'Valor Hora Real y Estimada'!$A$4:$A$78, 0),
    MATCH(
      TEXT(C3089,"dd mmm")&amp;" "&amp;D3089,
      'Valor Hora Real y Estimada'!$A$3:$Z$3,
      0
    ) + 1
  ),
  0
)</f>
        <v>0</v>
      </c>
      <c r="O3089" s="453"/>
      <c r="P3089" s="113"/>
      <c r="Q3089" s="106" t="str">
        <f>IF(ISBLANK(O3089), "", VLOOKUP(C3089&amp;" "&amp;D3089, 'Info Tipo de Cambio y REM'!$A$24:$B$35, 2, FALSE))</f>
        <v/>
      </c>
      <c r="R3089" s="107"/>
    </row>
    <row r="3090" hidden="1">
      <c r="A3090" s="443"/>
      <c r="B3090" s="43" t="str">
        <f>IF(A3090="", "", IFERROR(VLOOKUP(A3090, Clasificaciones!A:B, 2, FALSE), "DATO NO CARGADO"))
</f>
        <v/>
      </c>
      <c r="C3090" s="51"/>
      <c r="D3090" s="102"/>
      <c r="E3090" s="102"/>
      <c r="H3090" s="102"/>
      <c r="J3090" s="102"/>
      <c r="K3090" s="450"/>
      <c r="L3090" s="443"/>
      <c r="M3090" s="450"/>
      <c r="N3090" s="452">
        <f t="array" ref="N3090">IFERROR(
  INDEX(
    'Valor Hora Real y Estimada'!$A$4:$Z$78,
    MATCH(TRIM(CLEAN(A3090)), 'Valor Hora Real y Estimada'!$A$4:$A$78, 0),
    MATCH(
      TEXT(C3090,"dd mmm")&amp;" "&amp;D3090,
      'Valor Hora Real y Estimada'!$A$3:$Z$3,
      0
    ) + 1
  ),
  0
)</f>
        <v>0</v>
      </c>
      <c r="O3090" s="453"/>
      <c r="P3090" s="113"/>
      <c r="Q3090" s="106" t="str">
        <f>IF(ISBLANK(O3090), "", VLOOKUP(C3090&amp;" "&amp;D3090, 'Info Tipo de Cambio y REM'!$A$24:$B$35, 2, FALSE))</f>
        <v/>
      </c>
      <c r="R3090" s="107"/>
    </row>
    <row r="3091" hidden="1">
      <c r="A3091" s="443"/>
      <c r="B3091" s="43" t="str">
        <f>IF(A3091="", "", IFERROR(VLOOKUP(A3091, Clasificaciones!A:B, 2, FALSE), "DATO NO CARGADO"))
</f>
        <v/>
      </c>
      <c r="C3091" s="51"/>
      <c r="D3091" s="102"/>
      <c r="E3091" s="102"/>
      <c r="H3091" s="102"/>
      <c r="J3091" s="102"/>
      <c r="K3091" s="450"/>
      <c r="L3091" s="443"/>
      <c r="M3091" s="450"/>
      <c r="N3091" s="452">
        <f t="array" ref="N3091">IFERROR(
  INDEX(
    'Valor Hora Real y Estimada'!$A$4:$Z$78,
    MATCH(TRIM(CLEAN(A3091)), 'Valor Hora Real y Estimada'!$A$4:$A$78, 0),
    MATCH(
      TEXT(C3091,"dd mmm")&amp;" "&amp;D3091,
      'Valor Hora Real y Estimada'!$A$3:$Z$3,
      0
    ) + 1
  ),
  0
)</f>
        <v>0</v>
      </c>
      <c r="O3091" s="453"/>
      <c r="P3091" s="113"/>
      <c r="Q3091" s="106" t="str">
        <f>IF(ISBLANK(O3091), "", VLOOKUP(C3091&amp;" "&amp;D3091, 'Info Tipo de Cambio y REM'!$A$24:$B$35, 2, FALSE))</f>
        <v/>
      </c>
      <c r="R3091" s="107"/>
    </row>
    <row r="3092" hidden="1">
      <c r="A3092" s="443"/>
      <c r="B3092" s="43" t="str">
        <f>IF(A3092="", "", IFERROR(VLOOKUP(A3092, Clasificaciones!A:B, 2, FALSE), "DATO NO CARGADO"))
</f>
        <v/>
      </c>
      <c r="C3092" s="51"/>
      <c r="D3092" s="102"/>
      <c r="E3092" s="102"/>
      <c r="H3092" s="102"/>
      <c r="J3092" s="102"/>
      <c r="K3092" s="450"/>
      <c r="L3092" s="443"/>
      <c r="M3092" s="450"/>
      <c r="N3092" s="452">
        <f t="array" ref="N3092">IFERROR(
  INDEX(
    'Valor Hora Real y Estimada'!$A$4:$Z$78,
    MATCH(TRIM(CLEAN(A3092)), 'Valor Hora Real y Estimada'!$A$4:$A$78, 0),
    MATCH(
      TEXT(C3092,"dd mmm")&amp;" "&amp;D3092,
      'Valor Hora Real y Estimada'!$A$3:$Z$3,
      0
    ) + 1
  ),
  0
)</f>
        <v>0</v>
      </c>
      <c r="O3092" s="453"/>
      <c r="P3092" s="113"/>
      <c r="Q3092" s="106" t="str">
        <f>IF(ISBLANK(O3092), "", VLOOKUP(C3092&amp;" "&amp;D3092, 'Info Tipo de Cambio y REM'!$A$24:$B$35, 2, FALSE))</f>
        <v/>
      </c>
      <c r="R3092" s="107"/>
    </row>
    <row r="3093" hidden="1">
      <c r="A3093" s="443"/>
      <c r="B3093" s="43" t="str">
        <f>IF(A3093="", "", IFERROR(VLOOKUP(A3093, Clasificaciones!A:B, 2, FALSE), "DATO NO CARGADO"))
</f>
        <v/>
      </c>
      <c r="C3093" s="51"/>
      <c r="D3093" s="102"/>
      <c r="E3093" s="102"/>
      <c r="H3093" s="102"/>
      <c r="J3093" s="102"/>
      <c r="K3093" s="450"/>
      <c r="L3093" s="443"/>
      <c r="M3093" s="450"/>
      <c r="N3093" s="452">
        <f t="array" ref="N3093">IFERROR(
  INDEX(
    'Valor Hora Real y Estimada'!$A$4:$Z$78,
    MATCH(TRIM(CLEAN(A3093)), 'Valor Hora Real y Estimada'!$A$4:$A$78, 0),
    MATCH(
      TEXT(C3093,"dd mmm")&amp;" "&amp;D3093,
      'Valor Hora Real y Estimada'!$A$3:$Z$3,
      0
    ) + 1
  ),
  0
)</f>
        <v>0</v>
      </c>
      <c r="O3093" s="453"/>
      <c r="P3093" s="113"/>
      <c r="Q3093" s="106" t="str">
        <f>IF(ISBLANK(O3093), "", VLOOKUP(C3093&amp;" "&amp;D3093, 'Info Tipo de Cambio y REM'!$A$24:$B$35, 2, FALSE))</f>
        <v/>
      </c>
      <c r="R3093" s="107"/>
    </row>
    <row r="3094" hidden="1">
      <c r="A3094" s="443"/>
      <c r="B3094" s="43" t="str">
        <f>IF(A3094="", "", IFERROR(VLOOKUP(A3094, Clasificaciones!A:B, 2, FALSE), "DATO NO CARGADO"))
</f>
        <v/>
      </c>
      <c r="C3094" s="51"/>
      <c r="D3094" s="102"/>
      <c r="E3094" s="102"/>
      <c r="H3094" s="102"/>
      <c r="J3094" s="102"/>
      <c r="K3094" s="450"/>
      <c r="L3094" s="443"/>
      <c r="M3094" s="450"/>
      <c r="N3094" s="452">
        <f t="array" ref="N3094">IFERROR(
  INDEX(
    'Valor Hora Real y Estimada'!$A$4:$Z$78,
    MATCH(TRIM(CLEAN(A3094)), 'Valor Hora Real y Estimada'!$A$4:$A$78, 0),
    MATCH(
      TEXT(C3094,"dd mmm")&amp;" "&amp;D3094,
      'Valor Hora Real y Estimada'!$A$3:$Z$3,
      0
    ) + 1
  ),
  0
)</f>
        <v>0</v>
      </c>
      <c r="O3094" s="453"/>
      <c r="P3094" s="113"/>
      <c r="Q3094" s="106" t="str">
        <f>IF(ISBLANK(O3094), "", VLOOKUP(C3094&amp;" "&amp;D3094, 'Info Tipo de Cambio y REM'!$A$24:$B$35, 2, FALSE))</f>
        <v/>
      </c>
      <c r="R3094" s="107"/>
    </row>
    <row r="3095" hidden="1">
      <c r="A3095" s="443"/>
      <c r="B3095" s="43" t="str">
        <f>IF(A3095="", "", IFERROR(VLOOKUP(A3095, Clasificaciones!A:B, 2, FALSE), "DATO NO CARGADO"))
</f>
        <v/>
      </c>
      <c r="C3095" s="51"/>
      <c r="D3095" s="102"/>
      <c r="E3095" s="102"/>
      <c r="H3095" s="102"/>
      <c r="J3095" s="102"/>
      <c r="K3095" s="450"/>
      <c r="L3095" s="443"/>
      <c r="M3095" s="450"/>
      <c r="N3095" s="452">
        <f t="array" ref="N3095">IFERROR(
  INDEX(
    'Valor Hora Real y Estimada'!$A$4:$Z$78,
    MATCH(TRIM(CLEAN(A3095)), 'Valor Hora Real y Estimada'!$A$4:$A$78, 0),
    MATCH(
      TEXT(C3095,"dd mmm")&amp;" "&amp;D3095,
      'Valor Hora Real y Estimada'!$A$3:$Z$3,
      0
    ) + 1
  ),
  0
)</f>
        <v>0</v>
      </c>
      <c r="O3095" s="453"/>
      <c r="P3095" s="113"/>
      <c r="Q3095" s="106" t="str">
        <f>IF(ISBLANK(O3095), "", VLOOKUP(C3095&amp;" "&amp;D3095, 'Info Tipo de Cambio y REM'!$A$24:$B$35, 2, FALSE))</f>
        <v/>
      </c>
      <c r="R3095" s="107"/>
    </row>
    <row r="3096" hidden="1">
      <c r="A3096" s="443"/>
      <c r="B3096" s="43" t="str">
        <f>IF(A3096="", "", IFERROR(VLOOKUP(A3096, Clasificaciones!A:B, 2, FALSE), "DATO NO CARGADO"))
</f>
        <v/>
      </c>
      <c r="C3096" s="51"/>
      <c r="D3096" s="102"/>
      <c r="E3096" s="102"/>
      <c r="H3096" s="102"/>
      <c r="J3096" s="102"/>
      <c r="K3096" s="450"/>
      <c r="L3096" s="443"/>
      <c r="M3096" s="450"/>
      <c r="N3096" s="452">
        <f t="array" ref="N3096">IFERROR(
  INDEX(
    'Valor Hora Real y Estimada'!$A$4:$Z$78,
    MATCH(TRIM(CLEAN(A3096)), 'Valor Hora Real y Estimada'!$A$4:$A$78, 0),
    MATCH(
      TEXT(C3096,"dd mmm")&amp;" "&amp;D3096,
      'Valor Hora Real y Estimada'!$A$3:$Z$3,
      0
    ) + 1
  ),
  0
)</f>
        <v>0</v>
      </c>
      <c r="O3096" s="453"/>
      <c r="P3096" s="113"/>
      <c r="Q3096" s="106" t="str">
        <f>IF(ISBLANK(O3096), "", VLOOKUP(C3096&amp;" "&amp;D3096, 'Info Tipo de Cambio y REM'!$A$24:$B$35, 2, FALSE))</f>
        <v/>
      </c>
      <c r="R3096" s="107"/>
    </row>
    <row r="3097" hidden="1">
      <c r="A3097" s="443"/>
      <c r="B3097" s="43" t="str">
        <f>IF(A3097="", "", IFERROR(VLOOKUP(A3097, Clasificaciones!A:B, 2, FALSE), "DATO NO CARGADO"))
</f>
        <v/>
      </c>
      <c r="C3097" s="51"/>
      <c r="D3097" s="102"/>
      <c r="E3097" s="102"/>
      <c r="H3097" s="102"/>
      <c r="J3097" s="102"/>
      <c r="K3097" s="450"/>
      <c r="L3097" s="443"/>
      <c r="M3097" s="450"/>
      <c r="N3097" s="452">
        <f t="array" ref="N3097">IFERROR(
  INDEX(
    'Valor Hora Real y Estimada'!$A$4:$Z$78,
    MATCH(TRIM(CLEAN(A3097)), 'Valor Hora Real y Estimada'!$A$4:$A$78, 0),
    MATCH(
      TEXT(C3097,"dd mmm")&amp;" "&amp;D3097,
      'Valor Hora Real y Estimada'!$A$3:$Z$3,
      0
    ) + 1
  ),
  0
)</f>
        <v>0</v>
      </c>
      <c r="O3097" s="453"/>
      <c r="P3097" s="113"/>
      <c r="Q3097" s="106" t="str">
        <f>IF(ISBLANK(O3097), "", VLOOKUP(C3097&amp;" "&amp;D3097, 'Info Tipo de Cambio y REM'!$A$24:$B$35, 2, FALSE))</f>
        <v/>
      </c>
      <c r="R3097" s="107"/>
    </row>
    <row r="3098" hidden="1">
      <c r="A3098" s="443"/>
      <c r="B3098" s="43" t="str">
        <f>IF(A3098="", "", IFERROR(VLOOKUP(A3098, Clasificaciones!A:B, 2, FALSE), "DATO NO CARGADO"))
</f>
        <v/>
      </c>
      <c r="C3098" s="51"/>
      <c r="D3098" s="102"/>
      <c r="E3098" s="102"/>
      <c r="H3098" s="102"/>
      <c r="J3098" s="102"/>
      <c r="K3098" s="450"/>
      <c r="L3098" s="443"/>
      <c r="M3098" s="450"/>
      <c r="N3098" s="452">
        <f t="array" ref="N3098">IFERROR(
  INDEX(
    'Valor Hora Real y Estimada'!$A$4:$Z$78,
    MATCH(TRIM(CLEAN(A3098)), 'Valor Hora Real y Estimada'!$A$4:$A$78, 0),
    MATCH(
      TEXT(C3098,"dd mmm")&amp;" "&amp;D3098,
      'Valor Hora Real y Estimada'!$A$3:$Z$3,
      0
    ) + 1
  ),
  0
)</f>
        <v>0</v>
      </c>
      <c r="O3098" s="453"/>
      <c r="P3098" s="113"/>
      <c r="Q3098" s="106" t="str">
        <f>IF(ISBLANK(O3098), "", VLOOKUP(C3098&amp;" "&amp;D3098, 'Info Tipo de Cambio y REM'!$A$24:$B$35, 2, FALSE))</f>
        <v/>
      </c>
      <c r="R3098" s="107"/>
    </row>
    <row r="3099" hidden="1">
      <c r="A3099" s="443"/>
      <c r="B3099" s="43" t="str">
        <f>IF(A3099="", "", IFERROR(VLOOKUP(A3099, Clasificaciones!A:B, 2, FALSE), "DATO NO CARGADO"))
</f>
        <v/>
      </c>
      <c r="C3099" s="51"/>
      <c r="D3099" s="102"/>
      <c r="E3099" s="102"/>
      <c r="H3099" s="102"/>
      <c r="J3099" s="102"/>
      <c r="K3099" s="450"/>
      <c r="L3099" s="443"/>
      <c r="M3099" s="450"/>
      <c r="N3099" s="452">
        <f t="array" ref="N3099">IFERROR(
  INDEX(
    'Valor Hora Real y Estimada'!$A$4:$Z$78,
    MATCH(TRIM(CLEAN(A3099)), 'Valor Hora Real y Estimada'!$A$4:$A$78, 0),
    MATCH(
      TEXT(C3099,"dd mmm")&amp;" "&amp;D3099,
      'Valor Hora Real y Estimada'!$A$3:$Z$3,
      0
    ) + 1
  ),
  0
)</f>
        <v>0</v>
      </c>
      <c r="O3099" s="453"/>
      <c r="P3099" s="113"/>
      <c r="Q3099" s="106" t="str">
        <f>IF(ISBLANK(O3099), "", VLOOKUP(C3099&amp;" "&amp;D3099, 'Info Tipo de Cambio y REM'!$A$24:$B$35, 2, FALSE))</f>
        <v/>
      </c>
      <c r="R3099" s="107"/>
    </row>
    <row r="3100" hidden="1">
      <c r="A3100" s="443"/>
      <c r="B3100" s="43" t="str">
        <f>IF(A3100="", "", IFERROR(VLOOKUP(A3100, Clasificaciones!A:B, 2, FALSE), "DATO NO CARGADO"))
</f>
        <v/>
      </c>
      <c r="C3100" s="51"/>
      <c r="D3100" s="102"/>
      <c r="E3100" s="102"/>
      <c r="H3100" s="102"/>
      <c r="J3100" s="102"/>
      <c r="K3100" s="450"/>
      <c r="L3100" s="443"/>
      <c r="M3100" s="450"/>
      <c r="N3100" s="452">
        <f t="array" ref="N3100">IFERROR(
  INDEX(
    'Valor Hora Real y Estimada'!$A$4:$Z$78,
    MATCH(TRIM(CLEAN(A3100)), 'Valor Hora Real y Estimada'!$A$4:$A$78, 0),
    MATCH(
      TEXT(C3100,"dd mmm")&amp;" "&amp;D3100,
      'Valor Hora Real y Estimada'!$A$3:$Z$3,
      0
    ) + 1
  ),
  0
)</f>
        <v>0</v>
      </c>
      <c r="O3100" s="453"/>
      <c r="P3100" s="113"/>
      <c r="Q3100" s="106" t="str">
        <f>IF(ISBLANK(O3100), "", VLOOKUP(C3100&amp;" "&amp;D3100, 'Info Tipo de Cambio y REM'!$A$24:$B$35, 2, FALSE))</f>
        <v/>
      </c>
      <c r="R3100" s="107"/>
    </row>
    <row r="3101" hidden="1">
      <c r="A3101" s="443"/>
      <c r="B3101" s="43" t="str">
        <f>IF(A3101="", "", IFERROR(VLOOKUP(A3101, Clasificaciones!A:B, 2, FALSE), "DATO NO CARGADO"))
</f>
        <v/>
      </c>
      <c r="C3101" s="51"/>
      <c r="D3101" s="102"/>
      <c r="E3101" s="102"/>
      <c r="H3101" s="102"/>
      <c r="J3101" s="102"/>
      <c r="K3101" s="450"/>
      <c r="L3101" s="443"/>
      <c r="M3101" s="450"/>
      <c r="N3101" s="452">
        <f t="array" ref="N3101">IFERROR(
  INDEX(
    'Valor Hora Real y Estimada'!$A$4:$Z$78,
    MATCH(TRIM(CLEAN(A3101)), 'Valor Hora Real y Estimada'!$A$4:$A$78, 0),
    MATCH(
      TEXT(C3101,"dd mmm")&amp;" "&amp;D3101,
      'Valor Hora Real y Estimada'!$A$3:$Z$3,
      0
    ) + 1
  ),
  0
)</f>
        <v>0</v>
      </c>
      <c r="O3101" s="453"/>
      <c r="P3101" s="113"/>
      <c r="Q3101" s="106" t="str">
        <f>IF(ISBLANK(O3101), "", VLOOKUP(C3101&amp;" "&amp;D3101, 'Info Tipo de Cambio y REM'!$A$24:$B$35, 2, FALSE))</f>
        <v/>
      </c>
      <c r="R3101" s="107"/>
    </row>
    <row r="3102" hidden="1">
      <c r="A3102" s="443"/>
      <c r="B3102" s="43" t="str">
        <f>IF(A3102="", "", IFERROR(VLOOKUP(A3102, Clasificaciones!A:B, 2, FALSE), "DATO NO CARGADO"))
</f>
        <v/>
      </c>
      <c r="C3102" s="51"/>
      <c r="D3102" s="102"/>
      <c r="E3102" s="102"/>
      <c r="H3102" s="102"/>
      <c r="J3102" s="102"/>
      <c r="K3102" s="450"/>
      <c r="L3102" s="443"/>
      <c r="M3102" s="450"/>
      <c r="N3102" s="452">
        <f t="array" ref="N3102">IFERROR(
  INDEX(
    'Valor Hora Real y Estimada'!$A$4:$Z$78,
    MATCH(TRIM(CLEAN(A3102)), 'Valor Hora Real y Estimada'!$A$4:$A$78, 0),
    MATCH(
      TEXT(C3102,"dd mmm")&amp;" "&amp;D3102,
      'Valor Hora Real y Estimada'!$A$3:$Z$3,
      0
    ) + 1
  ),
  0
)</f>
        <v>0</v>
      </c>
      <c r="O3102" s="453"/>
      <c r="P3102" s="113"/>
      <c r="Q3102" s="106" t="str">
        <f>IF(ISBLANK(O3102), "", VLOOKUP(C3102&amp;" "&amp;D3102, 'Info Tipo de Cambio y REM'!$A$24:$B$35, 2, FALSE))</f>
        <v/>
      </c>
      <c r="R3102" s="107"/>
    </row>
    <row r="3103" hidden="1">
      <c r="A3103" s="443"/>
      <c r="B3103" s="43" t="str">
        <f>IF(A3103="", "", IFERROR(VLOOKUP(A3103, Clasificaciones!A:B, 2, FALSE), "DATO NO CARGADO"))
</f>
        <v/>
      </c>
      <c r="C3103" s="51"/>
      <c r="D3103" s="102"/>
      <c r="E3103" s="102"/>
      <c r="H3103" s="102"/>
      <c r="J3103" s="102"/>
      <c r="K3103" s="450"/>
      <c r="L3103" s="443"/>
      <c r="M3103" s="450"/>
      <c r="N3103" s="452">
        <f t="array" ref="N3103">IFERROR(
  INDEX(
    'Valor Hora Real y Estimada'!$A$4:$Z$78,
    MATCH(TRIM(CLEAN(A3103)), 'Valor Hora Real y Estimada'!$A$4:$A$78, 0),
    MATCH(
      TEXT(C3103,"dd mmm")&amp;" "&amp;D3103,
      'Valor Hora Real y Estimada'!$A$3:$Z$3,
      0
    ) + 1
  ),
  0
)</f>
        <v>0</v>
      </c>
      <c r="O3103" s="453"/>
      <c r="P3103" s="113"/>
      <c r="Q3103" s="106" t="str">
        <f>IF(ISBLANK(O3103), "", VLOOKUP(C3103&amp;" "&amp;D3103, 'Info Tipo de Cambio y REM'!$A$24:$B$35, 2, FALSE))</f>
        <v/>
      </c>
      <c r="R3103" s="107"/>
    </row>
    <row r="3104" hidden="1">
      <c r="A3104" s="443"/>
      <c r="B3104" s="43" t="str">
        <f>IF(A3104="", "", IFERROR(VLOOKUP(A3104, Clasificaciones!A:B, 2, FALSE), "DATO NO CARGADO"))
</f>
        <v/>
      </c>
      <c r="C3104" s="51"/>
      <c r="D3104" s="102"/>
      <c r="E3104" s="102"/>
      <c r="H3104" s="102"/>
      <c r="J3104" s="102"/>
      <c r="K3104" s="450"/>
      <c r="L3104" s="443"/>
      <c r="M3104" s="450"/>
      <c r="N3104" s="452">
        <f t="array" ref="N3104">IFERROR(
  INDEX(
    'Valor Hora Real y Estimada'!$A$4:$Z$78,
    MATCH(TRIM(CLEAN(A3104)), 'Valor Hora Real y Estimada'!$A$4:$A$78, 0),
    MATCH(
      TEXT(C3104,"dd mmm")&amp;" "&amp;D3104,
      'Valor Hora Real y Estimada'!$A$3:$Z$3,
      0
    ) + 1
  ),
  0
)</f>
        <v>0</v>
      </c>
      <c r="O3104" s="453"/>
      <c r="P3104" s="113"/>
      <c r="Q3104" s="106" t="str">
        <f>IF(ISBLANK(O3104), "", VLOOKUP(C3104&amp;" "&amp;D3104, 'Info Tipo de Cambio y REM'!$A$24:$B$35, 2, FALSE))</f>
        <v/>
      </c>
      <c r="R3104" s="107"/>
    </row>
    <row r="3105" hidden="1">
      <c r="A3105" s="443"/>
      <c r="B3105" s="43" t="str">
        <f>IF(A3105="", "", IFERROR(VLOOKUP(A3105, Clasificaciones!A:B, 2, FALSE), "DATO NO CARGADO"))
</f>
        <v/>
      </c>
      <c r="C3105" s="51"/>
      <c r="D3105" s="102"/>
      <c r="E3105" s="102"/>
      <c r="H3105" s="102"/>
      <c r="J3105" s="102"/>
      <c r="K3105" s="450"/>
      <c r="L3105" s="443"/>
      <c r="M3105" s="450"/>
      <c r="N3105" s="452">
        <f t="array" ref="N3105">IFERROR(
  INDEX(
    'Valor Hora Real y Estimada'!$A$4:$Z$78,
    MATCH(TRIM(CLEAN(A3105)), 'Valor Hora Real y Estimada'!$A$4:$A$78, 0),
    MATCH(
      TEXT(C3105,"dd mmm")&amp;" "&amp;D3105,
      'Valor Hora Real y Estimada'!$A$3:$Z$3,
      0
    ) + 1
  ),
  0
)</f>
        <v>0</v>
      </c>
      <c r="O3105" s="453"/>
      <c r="P3105" s="113"/>
      <c r="Q3105" s="106" t="str">
        <f>IF(ISBLANK(O3105), "", VLOOKUP(C3105&amp;" "&amp;D3105, 'Info Tipo de Cambio y REM'!$A$24:$B$35, 2, FALSE))</f>
        <v/>
      </c>
      <c r="R3105" s="107"/>
    </row>
    <row r="3106" hidden="1">
      <c r="A3106" s="443"/>
      <c r="B3106" s="43" t="str">
        <f>IF(A3106="", "", IFERROR(VLOOKUP(A3106, Clasificaciones!A:B, 2, FALSE), "DATO NO CARGADO"))
</f>
        <v/>
      </c>
      <c r="C3106" s="51"/>
      <c r="D3106" s="102"/>
      <c r="E3106" s="102"/>
      <c r="H3106" s="102"/>
      <c r="J3106" s="102"/>
      <c r="K3106" s="450"/>
      <c r="L3106" s="443"/>
      <c r="M3106" s="450"/>
      <c r="N3106" s="452">
        <f t="array" ref="N3106">IFERROR(
  INDEX(
    'Valor Hora Real y Estimada'!$A$4:$Z$78,
    MATCH(TRIM(CLEAN(A3106)), 'Valor Hora Real y Estimada'!$A$4:$A$78, 0),
    MATCH(
      TEXT(C3106,"dd mmm")&amp;" "&amp;D3106,
      'Valor Hora Real y Estimada'!$A$3:$Z$3,
      0
    ) + 1
  ),
  0
)</f>
        <v>0</v>
      </c>
      <c r="O3106" s="453"/>
      <c r="P3106" s="113"/>
      <c r="Q3106" s="106" t="str">
        <f>IF(ISBLANK(O3106), "", VLOOKUP(C3106&amp;" "&amp;D3106, 'Info Tipo de Cambio y REM'!$A$24:$B$35, 2, FALSE))</f>
        <v/>
      </c>
      <c r="R3106" s="107"/>
    </row>
    <row r="3107" hidden="1">
      <c r="A3107" s="443"/>
      <c r="B3107" s="43" t="str">
        <f>IF(A3107="", "", IFERROR(VLOOKUP(A3107, Clasificaciones!A:B, 2, FALSE), "DATO NO CARGADO"))
</f>
        <v/>
      </c>
      <c r="C3107" s="51"/>
      <c r="D3107" s="102"/>
      <c r="E3107" s="102"/>
      <c r="H3107" s="102"/>
      <c r="J3107" s="102"/>
      <c r="K3107" s="450"/>
      <c r="L3107" s="443"/>
      <c r="M3107" s="450"/>
      <c r="N3107" s="452">
        <f t="array" ref="N3107">IFERROR(
  INDEX(
    'Valor Hora Real y Estimada'!$A$4:$Z$78,
    MATCH(TRIM(CLEAN(A3107)), 'Valor Hora Real y Estimada'!$A$4:$A$78, 0),
    MATCH(
      TEXT(C3107,"dd mmm")&amp;" "&amp;D3107,
      'Valor Hora Real y Estimada'!$A$3:$Z$3,
      0
    ) + 1
  ),
  0
)</f>
        <v>0</v>
      </c>
      <c r="O3107" s="453"/>
      <c r="P3107" s="113"/>
      <c r="Q3107" s="106" t="str">
        <f>IF(ISBLANK(O3107), "", VLOOKUP(C3107&amp;" "&amp;D3107, 'Info Tipo de Cambio y REM'!$A$24:$B$35, 2, FALSE))</f>
        <v/>
      </c>
      <c r="R3107" s="107"/>
    </row>
    <row r="3108" hidden="1">
      <c r="A3108" s="443"/>
      <c r="B3108" s="43" t="str">
        <f>IF(A3108="", "", IFERROR(VLOOKUP(A3108, Clasificaciones!A:B, 2, FALSE), "DATO NO CARGADO"))
</f>
        <v/>
      </c>
      <c r="C3108" s="51"/>
      <c r="D3108" s="102"/>
      <c r="E3108" s="102"/>
      <c r="H3108" s="102"/>
      <c r="J3108" s="102"/>
      <c r="K3108" s="450"/>
      <c r="L3108" s="443"/>
      <c r="M3108" s="450"/>
      <c r="N3108" s="452">
        <f t="array" ref="N3108">IFERROR(
  INDEX(
    'Valor Hora Real y Estimada'!$A$4:$Z$78,
    MATCH(TRIM(CLEAN(A3108)), 'Valor Hora Real y Estimada'!$A$4:$A$78, 0),
    MATCH(
      TEXT(C3108,"dd mmm")&amp;" "&amp;D3108,
      'Valor Hora Real y Estimada'!$A$3:$Z$3,
      0
    ) + 1
  ),
  0
)</f>
        <v>0</v>
      </c>
      <c r="O3108" s="453"/>
      <c r="P3108" s="113"/>
      <c r="Q3108" s="106" t="str">
        <f>IF(ISBLANK(O3108), "", VLOOKUP(C3108&amp;" "&amp;D3108, 'Info Tipo de Cambio y REM'!$A$24:$B$35, 2, FALSE))</f>
        <v/>
      </c>
      <c r="R3108" s="107"/>
    </row>
    <row r="3109" hidden="1">
      <c r="A3109" s="443"/>
      <c r="B3109" s="43" t="str">
        <f>IF(A3109="", "", IFERROR(VLOOKUP(A3109, Clasificaciones!A:B, 2, FALSE), "DATO NO CARGADO"))
</f>
        <v/>
      </c>
      <c r="C3109" s="51"/>
      <c r="D3109" s="102"/>
      <c r="E3109" s="102"/>
      <c r="H3109" s="102"/>
      <c r="J3109" s="102"/>
      <c r="K3109" s="450"/>
      <c r="L3109" s="443"/>
      <c r="M3109" s="450"/>
      <c r="N3109" s="452">
        <f t="array" ref="N3109">IFERROR(
  INDEX(
    'Valor Hora Real y Estimada'!$A$4:$Z$78,
    MATCH(TRIM(CLEAN(A3109)), 'Valor Hora Real y Estimada'!$A$4:$A$78, 0),
    MATCH(
      TEXT(C3109,"dd mmm")&amp;" "&amp;D3109,
      'Valor Hora Real y Estimada'!$A$3:$Z$3,
      0
    ) + 1
  ),
  0
)</f>
        <v>0</v>
      </c>
      <c r="O3109" s="453"/>
      <c r="P3109" s="113"/>
      <c r="Q3109" s="106" t="str">
        <f>IF(ISBLANK(O3109), "", VLOOKUP(C3109&amp;" "&amp;D3109, 'Info Tipo de Cambio y REM'!$A$24:$B$35, 2, FALSE))</f>
        <v/>
      </c>
      <c r="R3109" s="107"/>
    </row>
    <row r="3110" hidden="1">
      <c r="A3110" s="443"/>
      <c r="B3110" s="43" t="str">
        <f>IF(A3110="", "", IFERROR(VLOOKUP(A3110, Clasificaciones!A:B, 2, FALSE), "DATO NO CARGADO"))
</f>
        <v/>
      </c>
      <c r="C3110" s="51"/>
      <c r="D3110" s="102"/>
      <c r="E3110" s="102"/>
      <c r="H3110" s="102"/>
      <c r="J3110" s="102"/>
      <c r="K3110" s="450"/>
      <c r="L3110" s="443"/>
      <c r="M3110" s="450"/>
      <c r="N3110" s="452">
        <f t="array" ref="N3110">IFERROR(
  INDEX(
    'Valor Hora Real y Estimada'!$A$4:$Z$78,
    MATCH(TRIM(CLEAN(A3110)), 'Valor Hora Real y Estimada'!$A$4:$A$78, 0),
    MATCH(
      TEXT(C3110,"dd mmm")&amp;" "&amp;D3110,
      'Valor Hora Real y Estimada'!$A$3:$Z$3,
      0
    ) + 1
  ),
  0
)</f>
        <v>0</v>
      </c>
      <c r="O3110" s="453"/>
      <c r="P3110" s="113"/>
      <c r="Q3110" s="106" t="str">
        <f>IF(ISBLANK(O3110), "", VLOOKUP(C3110&amp;" "&amp;D3110, 'Info Tipo de Cambio y REM'!$A$24:$B$35, 2, FALSE))</f>
        <v/>
      </c>
      <c r="R3110" s="107"/>
    </row>
    <row r="3111" hidden="1">
      <c r="A3111" s="443"/>
      <c r="B3111" s="43" t="str">
        <f>IF(A3111="", "", IFERROR(VLOOKUP(A3111, Clasificaciones!A:B, 2, FALSE), "DATO NO CARGADO"))
</f>
        <v/>
      </c>
      <c r="C3111" s="51"/>
      <c r="D3111" s="102"/>
      <c r="E3111" s="102"/>
      <c r="H3111" s="102"/>
      <c r="J3111" s="102"/>
      <c r="K3111" s="450"/>
      <c r="L3111" s="443"/>
      <c r="M3111" s="450"/>
      <c r="N3111" s="452">
        <f t="array" ref="N3111">IFERROR(
  INDEX(
    'Valor Hora Real y Estimada'!$A$4:$Z$78,
    MATCH(TRIM(CLEAN(A3111)), 'Valor Hora Real y Estimada'!$A$4:$A$78, 0),
    MATCH(
      TEXT(C3111,"dd mmm")&amp;" "&amp;D3111,
      'Valor Hora Real y Estimada'!$A$3:$Z$3,
      0
    ) + 1
  ),
  0
)</f>
        <v>0</v>
      </c>
      <c r="O3111" s="453"/>
      <c r="P3111" s="113"/>
      <c r="Q3111" s="106" t="str">
        <f>IF(ISBLANK(O3111), "", VLOOKUP(C3111&amp;" "&amp;D3111, 'Info Tipo de Cambio y REM'!$A$24:$B$35, 2, FALSE))</f>
        <v/>
      </c>
      <c r="R3111" s="107"/>
    </row>
    <row r="3112" hidden="1">
      <c r="A3112" s="443"/>
      <c r="B3112" s="43" t="str">
        <f>IF(A3112="", "", IFERROR(VLOOKUP(A3112, Clasificaciones!A:B, 2, FALSE), "DATO NO CARGADO"))
</f>
        <v/>
      </c>
      <c r="C3112" s="51"/>
      <c r="D3112" s="102"/>
      <c r="E3112" s="102"/>
      <c r="H3112" s="102"/>
      <c r="J3112" s="102"/>
      <c r="K3112" s="450"/>
      <c r="L3112" s="443"/>
      <c r="M3112" s="450"/>
      <c r="N3112" s="452">
        <f t="array" ref="N3112">IFERROR(
  INDEX(
    'Valor Hora Real y Estimada'!$A$4:$Z$78,
    MATCH(TRIM(CLEAN(A3112)), 'Valor Hora Real y Estimada'!$A$4:$A$78, 0),
    MATCH(
      TEXT(C3112,"dd mmm")&amp;" "&amp;D3112,
      'Valor Hora Real y Estimada'!$A$3:$Z$3,
      0
    ) + 1
  ),
  0
)</f>
        <v>0</v>
      </c>
      <c r="O3112" s="453"/>
      <c r="P3112" s="113"/>
      <c r="Q3112" s="106" t="str">
        <f>IF(ISBLANK(O3112), "", VLOOKUP(C3112&amp;" "&amp;D3112, 'Info Tipo de Cambio y REM'!$A$24:$B$35, 2, FALSE))</f>
        <v/>
      </c>
      <c r="R3112" s="107"/>
    </row>
    <row r="3113" hidden="1">
      <c r="A3113" s="443"/>
      <c r="B3113" s="43" t="str">
        <f>IF(A3113="", "", IFERROR(VLOOKUP(A3113, Clasificaciones!A:B, 2, FALSE), "DATO NO CARGADO"))
</f>
        <v/>
      </c>
      <c r="C3113" s="51"/>
      <c r="D3113" s="102"/>
      <c r="E3113" s="102"/>
      <c r="H3113" s="102"/>
      <c r="J3113" s="102"/>
      <c r="K3113" s="450"/>
      <c r="L3113" s="443"/>
      <c r="M3113" s="450"/>
      <c r="N3113" s="452">
        <f t="array" ref="N3113">IFERROR(
  INDEX(
    'Valor Hora Real y Estimada'!$A$4:$Z$78,
    MATCH(TRIM(CLEAN(A3113)), 'Valor Hora Real y Estimada'!$A$4:$A$78, 0),
    MATCH(
      TEXT(C3113,"dd mmm")&amp;" "&amp;D3113,
      'Valor Hora Real y Estimada'!$A$3:$Z$3,
      0
    ) + 1
  ),
  0
)</f>
        <v>0</v>
      </c>
      <c r="O3113" s="453"/>
      <c r="P3113" s="113"/>
      <c r="Q3113" s="106" t="str">
        <f>IF(ISBLANK(O3113), "", VLOOKUP(C3113&amp;" "&amp;D3113, 'Info Tipo de Cambio y REM'!$A$24:$B$35, 2, FALSE))</f>
        <v/>
      </c>
      <c r="R3113" s="107"/>
    </row>
    <row r="3114" hidden="1">
      <c r="A3114" s="443"/>
      <c r="B3114" s="43" t="str">
        <f>IF(A3114="", "", IFERROR(VLOOKUP(A3114, Clasificaciones!A:B, 2, FALSE), "DATO NO CARGADO"))
</f>
        <v/>
      </c>
      <c r="C3114" s="51"/>
      <c r="D3114" s="102"/>
      <c r="E3114" s="102"/>
      <c r="H3114" s="102"/>
      <c r="J3114" s="102"/>
      <c r="K3114" s="450"/>
      <c r="L3114" s="443"/>
      <c r="M3114" s="450"/>
      <c r="N3114" s="452">
        <f t="array" ref="N3114">IFERROR(
  INDEX(
    'Valor Hora Real y Estimada'!$A$4:$Z$78,
    MATCH(TRIM(CLEAN(A3114)), 'Valor Hora Real y Estimada'!$A$4:$A$78, 0),
    MATCH(
      TEXT(C3114,"dd mmm")&amp;" "&amp;D3114,
      'Valor Hora Real y Estimada'!$A$3:$Z$3,
      0
    ) + 1
  ),
  0
)</f>
        <v>0</v>
      </c>
      <c r="O3114" s="453"/>
      <c r="P3114" s="113"/>
      <c r="Q3114" s="106" t="str">
        <f>IF(ISBLANK(O3114), "", VLOOKUP(C3114&amp;" "&amp;D3114, 'Info Tipo de Cambio y REM'!$A$24:$B$35, 2, FALSE))</f>
        <v/>
      </c>
      <c r="R3114" s="107"/>
    </row>
    <row r="3115" hidden="1">
      <c r="A3115" s="443"/>
      <c r="B3115" s="43" t="str">
        <f>IF(A3115="", "", IFERROR(VLOOKUP(A3115, Clasificaciones!A:B, 2, FALSE), "DATO NO CARGADO"))
</f>
        <v/>
      </c>
      <c r="C3115" s="51"/>
      <c r="D3115" s="102"/>
      <c r="E3115" s="102"/>
      <c r="H3115" s="102"/>
      <c r="J3115" s="102"/>
      <c r="K3115" s="450"/>
      <c r="L3115" s="443"/>
      <c r="M3115" s="450"/>
      <c r="N3115" s="452">
        <f t="array" ref="N3115">IFERROR(
  INDEX(
    'Valor Hora Real y Estimada'!$A$4:$Z$78,
    MATCH(TRIM(CLEAN(A3115)), 'Valor Hora Real y Estimada'!$A$4:$A$78, 0),
    MATCH(
      TEXT(C3115,"dd mmm")&amp;" "&amp;D3115,
      'Valor Hora Real y Estimada'!$A$3:$Z$3,
      0
    ) + 1
  ),
  0
)</f>
        <v>0</v>
      </c>
      <c r="O3115" s="453"/>
      <c r="P3115" s="113"/>
      <c r="Q3115" s="106" t="str">
        <f>IF(ISBLANK(O3115), "", VLOOKUP(C3115&amp;" "&amp;D3115, 'Info Tipo de Cambio y REM'!$A$24:$B$35, 2, FALSE))</f>
        <v/>
      </c>
      <c r="R3115" s="107"/>
    </row>
    <row r="3116" hidden="1">
      <c r="A3116" s="443"/>
      <c r="B3116" s="43" t="str">
        <f>IF(A3116="", "", IFERROR(VLOOKUP(A3116, Clasificaciones!A:B, 2, FALSE), "DATO NO CARGADO"))
</f>
        <v/>
      </c>
      <c r="C3116" s="51"/>
      <c r="D3116" s="102"/>
      <c r="E3116" s="102"/>
      <c r="H3116" s="102"/>
      <c r="J3116" s="102"/>
      <c r="K3116" s="450"/>
      <c r="L3116" s="443"/>
      <c r="M3116" s="450"/>
      <c r="N3116" s="452">
        <f t="array" ref="N3116">IFERROR(
  INDEX(
    'Valor Hora Real y Estimada'!$A$4:$Z$78,
    MATCH(TRIM(CLEAN(A3116)), 'Valor Hora Real y Estimada'!$A$4:$A$78, 0),
    MATCH(
      TEXT(C3116,"dd mmm")&amp;" "&amp;D3116,
      'Valor Hora Real y Estimada'!$A$3:$Z$3,
      0
    ) + 1
  ),
  0
)</f>
        <v>0</v>
      </c>
      <c r="O3116" s="453"/>
      <c r="P3116" s="113"/>
      <c r="Q3116" s="106" t="str">
        <f>IF(ISBLANK(O3116), "", VLOOKUP(C3116&amp;" "&amp;D3116, 'Info Tipo de Cambio y REM'!$A$24:$B$35, 2, FALSE))</f>
        <v/>
      </c>
      <c r="R3116" s="107"/>
    </row>
    <row r="3117" hidden="1">
      <c r="A3117" s="443"/>
      <c r="B3117" s="43" t="str">
        <f>IF(A3117="", "", IFERROR(VLOOKUP(A3117, Clasificaciones!A:B, 2, FALSE), "DATO NO CARGADO"))
</f>
        <v/>
      </c>
      <c r="C3117" s="51"/>
      <c r="D3117" s="102"/>
      <c r="E3117" s="102"/>
      <c r="H3117" s="102"/>
      <c r="J3117" s="102"/>
      <c r="K3117" s="450"/>
      <c r="L3117" s="443"/>
      <c r="M3117" s="450"/>
      <c r="N3117" s="452">
        <f t="array" ref="N3117">IFERROR(
  INDEX(
    'Valor Hora Real y Estimada'!$A$4:$Z$78,
    MATCH(TRIM(CLEAN(A3117)), 'Valor Hora Real y Estimada'!$A$4:$A$78, 0),
    MATCH(
      TEXT(C3117,"dd mmm")&amp;" "&amp;D3117,
      'Valor Hora Real y Estimada'!$A$3:$Z$3,
      0
    ) + 1
  ),
  0
)</f>
        <v>0</v>
      </c>
      <c r="O3117" s="453"/>
      <c r="P3117" s="113"/>
      <c r="Q3117" s="106" t="str">
        <f>IF(ISBLANK(O3117), "", VLOOKUP(C3117&amp;" "&amp;D3117, 'Info Tipo de Cambio y REM'!$A$24:$B$35, 2, FALSE))</f>
        <v/>
      </c>
      <c r="R3117" s="107"/>
    </row>
    <row r="3118" hidden="1">
      <c r="A3118" s="443"/>
      <c r="B3118" s="43" t="str">
        <f>IF(A3118="", "", IFERROR(VLOOKUP(A3118, Clasificaciones!A:B, 2, FALSE), "DATO NO CARGADO"))
</f>
        <v/>
      </c>
      <c r="C3118" s="51"/>
      <c r="D3118" s="102"/>
      <c r="E3118" s="102"/>
      <c r="H3118" s="102"/>
      <c r="J3118" s="102"/>
      <c r="K3118" s="450"/>
      <c r="L3118" s="443"/>
      <c r="M3118" s="450"/>
      <c r="N3118" s="452">
        <f t="array" ref="N3118">IFERROR(
  INDEX(
    'Valor Hora Real y Estimada'!$A$4:$Z$78,
    MATCH(TRIM(CLEAN(A3118)), 'Valor Hora Real y Estimada'!$A$4:$A$78, 0),
    MATCH(
      TEXT(C3118,"dd mmm")&amp;" "&amp;D3118,
      'Valor Hora Real y Estimada'!$A$3:$Z$3,
      0
    ) + 1
  ),
  0
)</f>
        <v>0</v>
      </c>
      <c r="O3118" s="453"/>
      <c r="P3118" s="113"/>
      <c r="Q3118" s="106" t="str">
        <f>IF(ISBLANK(O3118), "", VLOOKUP(C3118&amp;" "&amp;D3118, 'Info Tipo de Cambio y REM'!$A$24:$B$35, 2, FALSE))</f>
        <v/>
      </c>
      <c r="R3118" s="107"/>
    </row>
    <row r="3119" hidden="1">
      <c r="A3119" s="443"/>
      <c r="B3119" s="43" t="str">
        <f>IF(A3119="", "", IFERROR(VLOOKUP(A3119, Clasificaciones!A:B, 2, FALSE), "DATO NO CARGADO"))
</f>
        <v/>
      </c>
      <c r="C3119" s="51"/>
      <c r="D3119" s="102"/>
      <c r="E3119" s="102"/>
      <c r="H3119" s="102"/>
      <c r="J3119" s="102"/>
      <c r="K3119" s="450"/>
      <c r="L3119" s="443"/>
      <c r="M3119" s="450"/>
      <c r="N3119" s="452">
        <f t="array" ref="N3119">IFERROR(
  INDEX(
    'Valor Hora Real y Estimada'!$A$4:$Z$78,
    MATCH(TRIM(CLEAN(A3119)), 'Valor Hora Real y Estimada'!$A$4:$A$78, 0),
    MATCH(
      TEXT(C3119,"dd mmm")&amp;" "&amp;D3119,
      'Valor Hora Real y Estimada'!$A$3:$Z$3,
      0
    ) + 1
  ),
  0
)</f>
        <v>0</v>
      </c>
      <c r="O3119" s="453"/>
      <c r="P3119" s="113"/>
      <c r="Q3119" s="106" t="str">
        <f>IF(ISBLANK(O3119), "", VLOOKUP(C3119&amp;" "&amp;D3119, 'Info Tipo de Cambio y REM'!$A$24:$B$35, 2, FALSE))</f>
        <v/>
      </c>
      <c r="R3119" s="107"/>
    </row>
    <row r="3120" hidden="1">
      <c r="A3120" s="443"/>
      <c r="B3120" s="43" t="str">
        <f>IF(A3120="", "", IFERROR(VLOOKUP(A3120, Clasificaciones!A:B, 2, FALSE), "DATO NO CARGADO"))
</f>
        <v/>
      </c>
      <c r="C3120" s="51"/>
      <c r="D3120" s="102"/>
      <c r="E3120" s="102"/>
      <c r="H3120" s="102"/>
      <c r="J3120" s="102"/>
      <c r="K3120" s="450"/>
      <c r="L3120" s="443"/>
      <c r="M3120" s="450"/>
      <c r="N3120" s="452">
        <f t="array" ref="N3120">IFERROR(
  INDEX(
    'Valor Hora Real y Estimada'!$A$4:$Z$78,
    MATCH(TRIM(CLEAN(A3120)), 'Valor Hora Real y Estimada'!$A$4:$A$78, 0),
    MATCH(
      TEXT(C3120,"dd mmm")&amp;" "&amp;D3120,
      'Valor Hora Real y Estimada'!$A$3:$Z$3,
      0
    ) + 1
  ),
  0
)</f>
        <v>0</v>
      </c>
      <c r="O3120" s="453"/>
      <c r="P3120" s="113"/>
      <c r="Q3120" s="106" t="str">
        <f>IF(ISBLANK(O3120), "", VLOOKUP(C3120&amp;" "&amp;D3120, 'Info Tipo de Cambio y REM'!$A$24:$B$35, 2, FALSE))</f>
        <v/>
      </c>
      <c r="R3120" s="107"/>
    </row>
    <row r="3121" hidden="1">
      <c r="A3121" s="443"/>
      <c r="B3121" s="43" t="str">
        <f>IF(A3121="", "", IFERROR(VLOOKUP(A3121, Clasificaciones!A:B, 2, FALSE), "DATO NO CARGADO"))
</f>
        <v/>
      </c>
      <c r="C3121" s="51"/>
      <c r="D3121" s="102"/>
      <c r="E3121" s="102"/>
      <c r="H3121" s="102"/>
      <c r="J3121" s="102"/>
      <c r="K3121" s="450"/>
      <c r="L3121" s="443"/>
      <c r="M3121" s="450"/>
      <c r="N3121" s="452">
        <f t="array" ref="N3121">IFERROR(
  INDEX(
    'Valor Hora Real y Estimada'!$A$4:$Z$78,
    MATCH(TRIM(CLEAN(A3121)), 'Valor Hora Real y Estimada'!$A$4:$A$78, 0),
    MATCH(
      TEXT(C3121,"dd mmm")&amp;" "&amp;D3121,
      'Valor Hora Real y Estimada'!$A$3:$Z$3,
      0
    ) + 1
  ),
  0
)</f>
        <v>0</v>
      </c>
      <c r="O3121" s="453"/>
      <c r="P3121" s="113"/>
      <c r="Q3121" s="106" t="str">
        <f>IF(ISBLANK(O3121), "", VLOOKUP(C3121&amp;" "&amp;D3121, 'Info Tipo de Cambio y REM'!$A$24:$B$35, 2, FALSE))</f>
        <v/>
      </c>
      <c r="R3121" s="107"/>
    </row>
    <row r="3122" hidden="1">
      <c r="A3122" s="443"/>
      <c r="B3122" s="43" t="str">
        <f>IF(A3122="", "", IFERROR(VLOOKUP(A3122, Clasificaciones!A:B, 2, FALSE), "DATO NO CARGADO"))
</f>
        <v/>
      </c>
      <c r="C3122" s="51"/>
      <c r="D3122" s="102"/>
      <c r="E3122" s="102"/>
      <c r="H3122" s="102"/>
      <c r="J3122" s="102"/>
      <c r="K3122" s="450"/>
      <c r="L3122" s="443"/>
      <c r="M3122" s="450"/>
      <c r="N3122" s="452">
        <f t="array" ref="N3122">IFERROR(
  INDEX(
    'Valor Hora Real y Estimada'!$A$4:$Z$78,
    MATCH(TRIM(CLEAN(A3122)), 'Valor Hora Real y Estimada'!$A$4:$A$78, 0),
    MATCH(
      TEXT(C3122,"dd mmm")&amp;" "&amp;D3122,
      'Valor Hora Real y Estimada'!$A$3:$Z$3,
      0
    ) + 1
  ),
  0
)</f>
        <v>0</v>
      </c>
      <c r="O3122" s="453"/>
      <c r="P3122" s="113"/>
      <c r="Q3122" s="106" t="str">
        <f>IF(ISBLANK(O3122), "", VLOOKUP(C3122&amp;" "&amp;D3122, 'Info Tipo de Cambio y REM'!$A$24:$B$35, 2, FALSE))</f>
        <v/>
      </c>
      <c r="R3122" s="107"/>
    </row>
    <row r="3123" hidden="1">
      <c r="A3123" s="443"/>
      <c r="B3123" s="43" t="str">
        <f>IF(A3123="", "", IFERROR(VLOOKUP(A3123, Clasificaciones!A:B, 2, FALSE), "DATO NO CARGADO"))
</f>
        <v/>
      </c>
      <c r="C3123" s="51"/>
      <c r="D3123" s="102"/>
      <c r="E3123" s="102"/>
      <c r="H3123" s="102"/>
      <c r="J3123" s="102"/>
      <c r="K3123" s="450"/>
      <c r="L3123" s="443"/>
      <c r="M3123" s="450"/>
      <c r="N3123" s="452">
        <f t="array" ref="N3123">IFERROR(
  INDEX(
    'Valor Hora Real y Estimada'!$A$4:$Z$78,
    MATCH(TRIM(CLEAN(A3123)), 'Valor Hora Real y Estimada'!$A$4:$A$78, 0),
    MATCH(
      TEXT(C3123,"dd mmm")&amp;" "&amp;D3123,
      'Valor Hora Real y Estimada'!$A$3:$Z$3,
      0
    ) + 1
  ),
  0
)</f>
        <v>0</v>
      </c>
      <c r="O3123" s="453"/>
      <c r="P3123" s="113"/>
      <c r="Q3123" s="106" t="str">
        <f>IF(ISBLANK(O3123), "", VLOOKUP(C3123&amp;" "&amp;D3123, 'Info Tipo de Cambio y REM'!$A$24:$B$35, 2, FALSE))</f>
        <v/>
      </c>
      <c r="R3123" s="107"/>
    </row>
    <row r="3124" hidden="1">
      <c r="A3124" s="443"/>
      <c r="B3124" s="43" t="str">
        <f>IF(A3124="", "", IFERROR(VLOOKUP(A3124, Clasificaciones!A:B, 2, FALSE), "DATO NO CARGADO"))
</f>
        <v/>
      </c>
      <c r="C3124" s="51"/>
      <c r="D3124" s="102"/>
      <c r="E3124" s="102"/>
      <c r="H3124" s="102"/>
      <c r="J3124" s="102"/>
      <c r="K3124" s="450"/>
      <c r="L3124" s="443"/>
      <c r="M3124" s="450"/>
      <c r="N3124" s="452">
        <f t="array" ref="N3124">IFERROR(
  INDEX(
    'Valor Hora Real y Estimada'!$A$4:$Z$78,
    MATCH(TRIM(CLEAN(A3124)), 'Valor Hora Real y Estimada'!$A$4:$A$78, 0),
    MATCH(
      TEXT(C3124,"dd mmm")&amp;" "&amp;D3124,
      'Valor Hora Real y Estimada'!$A$3:$Z$3,
      0
    ) + 1
  ),
  0
)</f>
        <v>0</v>
      </c>
      <c r="O3124" s="453"/>
      <c r="P3124" s="113"/>
      <c r="Q3124" s="106" t="str">
        <f>IF(ISBLANK(O3124), "", VLOOKUP(C3124&amp;" "&amp;D3124, 'Info Tipo de Cambio y REM'!$A$24:$B$35, 2, FALSE))</f>
        <v/>
      </c>
      <c r="R3124" s="107"/>
    </row>
    <row r="3125" hidden="1">
      <c r="A3125" s="443"/>
      <c r="B3125" s="43" t="str">
        <f>IF(A3125="", "", IFERROR(VLOOKUP(A3125, Clasificaciones!A:B, 2, FALSE), "DATO NO CARGADO"))
</f>
        <v/>
      </c>
      <c r="C3125" s="51"/>
      <c r="D3125" s="102"/>
      <c r="E3125" s="102"/>
      <c r="H3125" s="102"/>
      <c r="J3125" s="102"/>
      <c r="K3125" s="450"/>
      <c r="L3125" s="443"/>
      <c r="M3125" s="450"/>
      <c r="N3125" s="452">
        <f t="array" ref="N3125">IFERROR(
  INDEX(
    'Valor Hora Real y Estimada'!$A$4:$Z$78,
    MATCH(TRIM(CLEAN(A3125)), 'Valor Hora Real y Estimada'!$A$4:$A$78, 0),
    MATCH(
      TEXT(C3125,"dd mmm")&amp;" "&amp;D3125,
      'Valor Hora Real y Estimada'!$A$3:$Z$3,
      0
    ) + 1
  ),
  0
)</f>
        <v>0</v>
      </c>
      <c r="O3125" s="453"/>
      <c r="P3125" s="113"/>
      <c r="Q3125" s="106" t="str">
        <f>IF(ISBLANK(O3125), "", VLOOKUP(C3125&amp;" "&amp;D3125, 'Info Tipo de Cambio y REM'!$A$24:$B$35, 2, FALSE))</f>
        <v/>
      </c>
      <c r="R3125" s="107"/>
    </row>
    <row r="3126" hidden="1">
      <c r="A3126" s="443"/>
      <c r="B3126" s="43" t="str">
        <f>IF(A3126="", "", IFERROR(VLOOKUP(A3126, Clasificaciones!A:B, 2, FALSE), "DATO NO CARGADO"))
</f>
        <v/>
      </c>
      <c r="C3126" s="51"/>
      <c r="D3126" s="102"/>
      <c r="E3126" s="102"/>
      <c r="H3126" s="102"/>
      <c r="J3126" s="102"/>
      <c r="K3126" s="450"/>
      <c r="L3126" s="443"/>
      <c r="M3126" s="450"/>
      <c r="N3126" s="452">
        <f t="array" ref="N3126">IFERROR(
  INDEX(
    'Valor Hora Real y Estimada'!$A$4:$Z$78,
    MATCH(TRIM(CLEAN(A3126)), 'Valor Hora Real y Estimada'!$A$4:$A$78, 0),
    MATCH(
      TEXT(C3126,"dd mmm")&amp;" "&amp;D3126,
      'Valor Hora Real y Estimada'!$A$3:$Z$3,
      0
    ) + 1
  ),
  0
)</f>
        <v>0</v>
      </c>
      <c r="O3126" s="453"/>
      <c r="P3126" s="113"/>
      <c r="Q3126" s="106" t="str">
        <f>IF(ISBLANK(O3126), "", VLOOKUP(C3126&amp;" "&amp;D3126, 'Info Tipo de Cambio y REM'!$A$24:$B$35, 2, FALSE))</f>
        <v/>
      </c>
      <c r="R3126" s="107"/>
    </row>
    <row r="3127" hidden="1">
      <c r="A3127" s="443"/>
      <c r="B3127" s="43" t="str">
        <f>IF(A3127="", "", IFERROR(VLOOKUP(A3127, Clasificaciones!A:B, 2, FALSE), "DATO NO CARGADO"))
</f>
        <v/>
      </c>
      <c r="C3127" s="51"/>
      <c r="D3127" s="102"/>
      <c r="E3127" s="102"/>
      <c r="H3127" s="102"/>
      <c r="J3127" s="102"/>
      <c r="K3127" s="450"/>
      <c r="L3127" s="443"/>
      <c r="M3127" s="450"/>
      <c r="N3127" s="452">
        <f t="array" ref="N3127">IFERROR(
  INDEX(
    'Valor Hora Real y Estimada'!$A$4:$Z$78,
    MATCH(TRIM(CLEAN(A3127)), 'Valor Hora Real y Estimada'!$A$4:$A$78, 0),
    MATCH(
      TEXT(C3127,"dd mmm")&amp;" "&amp;D3127,
      'Valor Hora Real y Estimada'!$A$3:$Z$3,
      0
    ) + 1
  ),
  0
)</f>
        <v>0</v>
      </c>
      <c r="O3127" s="453"/>
      <c r="P3127" s="113"/>
      <c r="Q3127" s="106" t="str">
        <f>IF(ISBLANK(O3127), "", VLOOKUP(C3127&amp;" "&amp;D3127, 'Info Tipo de Cambio y REM'!$A$24:$B$35, 2, FALSE))</f>
        <v/>
      </c>
      <c r="R3127" s="107"/>
    </row>
    <row r="3128" hidden="1">
      <c r="A3128" s="443"/>
      <c r="B3128" s="43" t="str">
        <f>IF(A3128="", "", IFERROR(VLOOKUP(A3128, Clasificaciones!A:B, 2, FALSE), "DATO NO CARGADO"))
</f>
        <v/>
      </c>
      <c r="C3128" s="51"/>
      <c r="D3128" s="102"/>
      <c r="E3128" s="102"/>
      <c r="H3128" s="102"/>
      <c r="J3128" s="102"/>
      <c r="K3128" s="450"/>
      <c r="L3128" s="443"/>
      <c r="M3128" s="450"/>
      <c r="N3128" s="452">
        <f t="array" ref="N3128">IFERROR(
  INDEX(
    'Valor Hora Real y Estimada'!$A$4:$Z$78,
    MATCH(TRIM(CLEAN(A3128)), 'Valor Hora Real y Estimada'!$A$4:$A$78, 0),
    MATCH(
      TEXT(C3128,"dd mmm")&amp;" "&amp;D3128,
      'Valor Hora Real y Estimada'!$A$3:$Z$3,
      0
    ) + 1
  ),
  0
)</f>
        <v>0</v>
      </c>
      <c r="O3128" s="453"/>
      <c r="P3128" s="113"/>
      <c r="Q3128" s="106" t="str">
        <f>IF(ISBLANK(O3128), "", VLOOKUP(C3128&amp;" "&amp;D3128, 'Info Tipo de Cambio y REM'!$A$24:$B$35, 2, FALSE))</f>
        <v/>
      </c>
      <c r="R3128" s="107"/>
    </row>
    <row r="3129" hidden="1">
      <c r="A3129" s="443"/>
      <c r="B3129" s="43" t="str">
        <f>IF(A3129="", "", IFERROR(VLOOKUP(A3129, Clasificaciones!A:B, 2, FALSE), "DATO NO CARGADO"))
</f>
        <v/>
      </c>
      <c r="C3129" s="51"/>
      <c r="D3129" s="102"/>
      <c r="E3129" s="102"/>
      <c r="H3129" s="102"/>
      <c r="J3129" s="102"/>
      <c r="K3129" s="450"/>
      <c r="L3129" s="443"/>
      <c r="M3129" s="450"/>
      <c r="N3129" s="452">
        <f t="array" ref="N3129">IFERROR(
  INDEX(
    'Valor Hora Real y Estimada'!$A$4:$Z$78,
    MATCH(TRIM(CLEAN(A3129)), 'Valor Hora Real y Estimada'!$A$4:$A$78, 0),
    MATCH(
      TEXT(C3129,"dd mmm")&amp;" "&amp;D3129,
      'Valor Hora Real y Estimada'!$A$3:$Z$3,
      0
    ) + 1
  ),
  0
)</f>
        <v>0</v>
      </c>
      <c r="O3129" s="453"/>
      <c r="P3129" s="113"/>
      <c r="Q3129" s="106" t="str">
        <f>IF(ISBLANK(O3129), "", VLOOKUP(C3129&amp;" "&amp;D3129, 'Info Tipo de Cambio y REM'!$A$24:$B$35, 2, FALSE))</f>
        <v/>
      </c>
      <c r="R3129" s="107"/>
    </row>
    <row r="3130" hidden="1">
      <c r="A3130" s="443"/>
      <c r="B3130" s="43" t="str">
        <f>IF(A3130="", "", IFERROR(VLOOKUP(A3130, Clasificaciones!A:B, 2, FALSE), "DATO NO CARGADO"))
</f>
        <v/>
      </c>
      <c r="C3130" s="51"/>
      <c r="D3130" s="102"/>
      <c r="E3130" s="102"/>
      <c r="H3130" s="102"/>
      <c r="J3130" s="102"/>
      <c r="K3130" s="450"/>
      <c r="L3130" s="443"/>
      <c r="M3130" s="450"/>
      <c r="N3130" s="452">
        <f t="array" ref="N3130">IFERROR(
  INDEX(
    'Valor Hora Real y Estimada'!$A$4:$Z$78,
    MATCH(TRIM(CLEAN(A3130)), 'Valor Hora Real y Estimada'!$A$4:$A$78, 0),
    MATCH(
      TEXT(C3130,"dd mmm")&amp;" "&amp;D3130,
      'Valor Hora Real y Estimada'!$A$3:$Z$3,
      0
    ) + 1
  ),
  0
)</f>
        <v>0</v>
      </c>
      <c r="O3130" s="453"/>
      <c r="P3130" s="113"/>
      <c r="Q3130" s="106" t="str">
        <f>IF(ISBLANK(O3130), "", VLOOKUP(C3130&amp;" "&amp;D3130, 'Info Tipo de Cambio y REM'!$A$24:$B$35, 2, FALSE))</f>
        <v/>
      </c>
      <c r="R3130" s="107"/>
    </row>
    <row r="3131" hidden="1">
      <c r="A3131" s="443"/>
      <c r="B3131" s="43" t="str">
        <f>IF(A3131="", "", IFERROR(VLOOKUP(A3131, Clasificaciones!A:B, 2, FALSE), "DATO NO CARGADO"))
</f>
        <v/>
      </c>
      <c r="C3131" s="51"/>
      <c r="D3131" s="102"/>
      <c r="E3131" s="102"/>
      <c r="H3131" s="102"/>
      <c r="J3131" s="102"/>
      <c r="K3131" s="450"/>
      <c r="L3131" s="443"/>
      <c r="M3131" s="450"/>
      <c r="N3131" s="452">
        <f t="array" ref="N3131">IFERROR(
  INDEX(
    'Valor Hora Real y Estimada'!$A$4:$Z$78,
    MATCH(TRIM(CLEAN(A3131)), 'Valor Hora Real y Estimada'!$A$4:$A$78, 0),
    MATCH(
      TEXT(C3131,"dd mmm")&amp;" "&amp;D3131,
      'Valor Hora Real y Estimada'!$A$3:$Z$3,
      0
    ) + 1
  ),
  0
)</f>
        <v>0</v>
      </c>
      <c r="O3131" s="453"/>
      <c r="P3131" s="113"/>
      <c r="Q3131" s="106" t="str">
        <f>IF(ISBLANK(O3131), "", VLOOKUP(C3131&amp;" "&amp;D3131, 'Info Tipo de Cambio y REM'!$A$24:$B$35, 2, FALSE))</f>
        <v/>
      </c>
      <c r="R3131" s="107"/>
    </row>
    <row r="3132" hidden="1">
      <c r="A3132" s="443"/>
      <c r="B3132" s="43" t="str">
        <f>IF(A3132="", "", IFERROR(VLOOKUP(A3132, Clasificaciones!A:B, 2, FALSE), "DATO NO CARGADO"))
</f>
        <v/>
      </c>
      <c r="C3132" s="51"/>
      <c r="D3132" s="102"/>
      <c r="E3132" s="102"/>
      <c r="H3132" s="102"/>
      <c r="J3132" s="102"/>
      <c r="K3132" s="450"/>
      <c r="L3132" s="443"/>
      <c r="M3132" s="450"/>
      <c r="N3132" s="452">
        <f t="array" ref="N3132">IFERROR(
  INDEX(
    'Valor Hora Real y Estimada'!$A$4:$Z$78,
    MATCH(TRIM(CLEAN(A3132)), 'Valor Hora Real y Estimada'!$A$4:$A$78, 0),
    MATCH(
      TEXT(C3132,"dd mmm")&amp;" "&amp;D3132,
      'Valor Hora Real y Estimada'!$A$3:$Z$3,
      0
    ) + 1
  ),
  0
)</f>
        <v>0</v>
      </c>
      <c r="O3132" s="453"/>
      <c r="P3132" s="113"/>
      <c r="Q3132" s="106" t="str">
        <f>IF(ISBLANK(O3132), "", VLOOKUP(C3132&amp;" "&amp;D3132, 'Info Tipo de Cambio y REM'!$A$24:$B$35, 2, FALSE))</f>
        <v/>
      </c>
      <c r="R3132" s="107"/>
    </row>
    <row r="3133" hidden="1">
      <c r="A3133" s="443"/>
      <c r="B3133" s="43" t="str">
        <f>IF(A3133="", "", IFERROR(VLOOKUP(A3133, Clasificaciones!A:B, 2, FALSE), "DATO NO CARGADO"))
</f>
        <v/>
      </c>
      <c r="C3133" s="51"/>
      <c r="D3133" s="102"/>
      <c r="E3133" s="102"/>
      <c r="H3133" s="102"/>
      <c r="J3133" s="102"/>
      <c r="K3133" s="450"/>
      <c r="L3133" s="443"/>
      <c r="M3133" s="450"/>
      <c r="N3133" s="452">
        <f t="array" ref="N3133">IFERROR(
  INDEX(
    'Valor Hora Real y Estimada'!$A$4:$Z$78,
    MATCH(TRIM(CLEAN(A3133)), 'Valor Hora Real y Estimada'!$A$4:$A$78, 0),
    MATCH(
      TEXT(C3133,"dd mmm")&amp;" "&amp;D3133,
      'Valor Hora Real y Estimada'!$A$3:$Z$3,
      0
    ) + 1
  ),
  0
)</f>
        <v>0</v>
      </c>
      <c r="O3133" s="453"/>
      <c r="P3133" s="113"/>
      <c r="Q3133" s="106" t="str">
        <f>IF(ISBLANK(O3133), "", VLOOKUP(C3133&amp;" "&amp;D3133, 'Info Tipo de Cambio y REM'!$A$24:$B$35, 2, FALSE))</f>
        <v/>
      </c>
      <c r="R3133" s="107"/>
    </row>
    <row r="3134" hidden="1">
      <c r="A3134" s="443"/>
      <c r="B3134" s="43" t="str">
        <f>IF(A3134="", "", IFERROR(VLOOKUP(A3134, Clasificaciones!A:B, 2, FALSE), "DATO NO CARGADO"))
</f>
        <v/>
      </c>
      <c r="C3134" s="51"/>
      <c r="D3134" s="102"/>
      <c r="E3134" s="102"/>
      <c r="H3134" s="102"/>
      <c r="J3134" s="102"/>
      <c r="K3134" s="450"/>
      <c r="L3134" s="443"/>
      <c r="M3134" s="450"/>
      <c r="N3134" s="452">
        <f t="array" ref="N3134">IFERROR(
  INDEX(
    'Valor Hora Real y Estimada'!$A$4:$Z$78,
    MATCH(TRIM(CLEAN(A3134)), 'Valor Hora Real y Estimada'!$A$4:$A$78, 0),
    MATCH(
      TEXT(C3134,"dd mmm")&amp;" "&amp;D3134,
      'Valor Hora Real y Estimada'!$A$3:$Z$3,
      0
    ) + 1
  ),
  0
)</f>
        <v>0</v>
      </c>
      <c r="O3134" s="453"/>
      <c r="P3134" s="113"/>
      <c r="Q3134" s="106" t="str">
        <f>IF(ISBLANK(O3134), "", VLOOKUP(C3134&amp;" "&amp;D3134, 'Info Tipo de Cambio y REM'!$A$24:$B$35, 2, FALSE))</f>
        <v/>
      </c>
      <c r="R3134" s="107"/>
    </row>
    <row r="3135" hidden="1">
      <c r="A3135" s="443"/>
      <c r="B3135" s="43" t="str">
        <f>IF(A3135="", "", IFERROR(VLOOKUP(A3135, Clasificaciones!A:B, 2, FALSE), "DATO NO CARGADO"))
</f>
        <v/>
      </c>
      <c r="C3135" s="51"/>
      <c r="D3135" s="102"/>
      <c r="E3135" s="102"/>
      <c r="H3135" s="102"/>
      <c r="J3135" s="102"/>
      <c r="K3135" s="450"/>
      <c r="L3135" s="443"/>
      <c r="M3135" s="450"/>
      <c r="N3135" s="452">
        <f t="array" ref="N3135">IFERROR(
  INDEX(
    'Valor Hora Real y Estimada'!$A$4:$Z$78,
    MATCH(TRIM(CLEAN(A3135)), 'Valor Hora Real y Estimada'!$A$4:$A$78, 0),
    MATCH(
      TEXT(C3135,"dd mmm")&amp;" "&amp;D3135,
      'Valor Hora Real y Estimada'!$A$3:$Z$3,
      0
    ) + 1
  ),
  0
)</f>
        <v>0</v>
      </c>
      <c r="O3135" s="453"/>
      <c r="P3135" s="113"/>
      <c r="Q3135" s="106" t="str">
        <f>IF(ISBLANK(O3135), "", VLOOKUP(C3135&amp;" "&amp;D3135, 'Info Tipo de Cambio y REM'!$A$24:$B$35, 2, FALSE))</f>
        <v/>
      </c>
      <c r="R3135" s="107"/>
    </row>
    <row r="3136" hidden="1">
      <c r="A3136" s="443"/>
      <c r="B3136" s="43" t="str">
        <f>IF(A3136="", "", IFERROR(VLOOKUP(A3136, Clasificaciones!A:B, 2, FALSE), "DATO NO CARGADO"))
</f>
        <v/>
      </c>
      <c r="C3136" s="51"/>
      <c r="D3136" s="102"/>
      <c r="E3136" s="102"/>
      <c r="H3136" s="102"/>
      <c r="J3136" s="102"/>
      <c r="K3136" s="450"/>
      <c r="L3136" s="443"/>
      <c r="M3136" s="450"/>
      <c r="N3136" s="452">
        <f t="array" ref="N3136">IFERROR(
  INDEX(
    'Valor Hora Real y Estimada'!$A$4:$Z$78,
    MATCH(TRIM(CLEAN(A3136)), 'Valor Hora Real y Estimada'!$A$4:$A$78, 0),
    MATCH(
      TEXT(C3136,"dd mmm")&amp;" "&amp;D3136,
      'Valor Hora Real y Estimada'!$A$3:$Z$3,
      0
    ) + 1
  ),
  0
)</f>
        <v>0</v>
      </c>
      <c r="O3136" s="453"/>
      <c r="P3136" s="113"/>
      <c r="Q3136" s="106" t="str">
        <f>IF(ISBLANK(O3136), "", VLOOKUP(C3136&amp;" "&amp;D3136, 'Info Tipo de Cambio y REM'!$A$24:$B$35, 2, FALSE))</f>
        <v/>
      </c>
      <c r="R3136" s="107"/>
    </row>
    <row r="3137" hidden="1">
      <c r="A3137" s="443"/>
      <c r="B3137" s="43" t="str">
        <f>IF(A3137="", "", IFERROR(VLOOKUP(A3137, Clasificaciones!A:B, 2, FALSE), "DATO NO CARGADO"))
</f>
        <v/>
      </c>
      <c r="C3137" s="51"/>
      <c r="D3137" s="102"/>
      <c r="E3137" s="102"/>
      <c r="H3137" s="102"/>
      <c r="J3137" s="102"/>
      <c r="K3137" s="450"/>
      <c r="L3137" s="443"/>
      <c r="M3137" s="450"/>
      <c r="N3137" s="452">
        <f t="array" ref="N3137">IFERROR(
  INDEX(
    'Valor Hora Real y Estimada'!$A$4:$Z$78,
    MATCH(TRIM(CLEAN(A3137)), 'Valor Hora Real y Estimada'!$A$4:$A$78, 0),
    MATCH(
      TEXT(C3137,"dd mmm")&amp;" "&amp;D3137,
      'Valor Hora Real y Estimada'!$A$3:$Z$3,
      0
    ) + 1
  ),
  0
)</f>
        <v>0</v>
      </c>
      <c r="O3137" s="453"/>
      <c r="P3137" s="113"/>
      <c r="Q3137" s="106" t="str">
        <f>IF(ISBLANK(O3137), "", VLOOKUP(C3137&amp;" "&amp;D3137, 'Info Tipo de Cambio y REM'!$A$24:$B$35, 2, FALSE))</f>
        <v/>
      </c>
      <c r="R3137" s="107"/>
    </row>
    <row r="3138" hidden="1">
      <c r="A3138" s="443"/>
      <c r="B3138" s="43" t="str">
        <f>IF(A3138="", "", IFERROR(VLOOKUP(A3138, Clasificaciones!A:B, 2, FALSE), "DATO NO CARGADO"))
</f>
        <v/>
      </c>
      <c r="C3138" s="51"/>
      <c r="D3138" s="102"/>
      <c r="E3138" s="102"/>
      <c r="H3138" s="102"/>
      <c r="J3138" s="102"/>
      <c r="K3138" s="450"/>
      <c r="L3138" s="443"/>
      <c r="M3138" s="450"/>
      <c r="N3138" s="452">
        <f t="array" ref="N3138">IFERROR(
  INDEX(
    'Valor Hora Real y Estimada'!$A$4:$Z$78,
    MATCH(TRIM(CLEAN(A3138)), 'Valor Hora Real y Estimada'!$A$4:$A$78, 0),
    MATCH(
      TEXT(C3138,"dd mmm")&amp;" "&amp;D3138,
      'Valor Hora Real y Estimada'!$A$3:$Z$3,
      0
    ) + 1
  ),
  0
)</f>
        <v>0</v>
      </c>
      <c r="O3138" s="453"/>
      <c r="P3138" s="113"/>
      <c r="Q3138" s="106" t="str">
        <f>IF(ISBLANK(O3138), "", VLOOKUP(C3138&amp;" "&amp;D3138, 'Info Tipo de Cambio y REM'!$A$24:$B$35, 2, FALSE))</f>
        <v/>
      </c>
      <c r="R3138" s="107"/>
    </row>
    <row r="3139" hidden="1">
      <c r="A3139" s="443"/>
      <c r="B3139" s="43" t="str">
        <f>IF(A3139="", "", IFERROR(VLOOKUP(A3139, Clasificaciones!A:B, 2, FALSE), "DATO NO CARGADO"))
</f>
        <v/>
      </c>
      <c r="C3139" s="51"/>
      <c r="D3139" s="102"/>
      <c r="E3139" s="102"/>
      <c r="H3139" s="102"/>
      <c r="J3139" s="102"/>
      <c r="K3139" s="450"/>
      <c r="L3139" s="443"/>
      <c r="M3139" s="450"/>
      <c r="N3139" s="452">
        <f t="array" ref="N3139">IFERROR(
  INDEX(
    'Valor Hora Real y Estimada'!$A$4:$Z$78,
    MATCH(TRIM(CLEAN(A3139)), 'Valor Hora Real y Estimada'!$A$4:$A$78, 0),
    MATCH(
      TEXT(C3139,"dd mmm")&amp;" "&amp;D3139,
      'Valor Hora Real y Estimada'!$A$3:$Z$3,
      0
    ) + 1
  ),
  0
)</f>
        <v>0</v>
      </c>
      <c r="O3139" s="453"/>
      <c r="P3139" s="113"/>
      <c r="Q3139" s="106" t="str">
        <f>IF(ISBLANK(O3139), "", VLOOKUP(C3139&amp;" "&amp;D3139, 'Info Tipo de Cambio y REM'!$A$24:$B$35, 2, FALSE))</f>
        <v/>
      </c>
      <c r="R3139" s="107"/>
    </row>
    <row r="3140" hidden="1">
      <c r="A3140" s="443"/>
      <c r="B3140" s="43" t="str">
        <f>IF(A3140="", "", IFERROR(VLOOKUP(A3140, Clasificaciones!A:B, 2, FALSE), "DATO NO CARGADO"))
</f>
        <v/>
      </c>
      <c r="C3140" s="51"/>
      <c r="D3140" s="102"/>
      <c r="E3140" s="102"/>
      <c r="H3140" s="102"/>
      <c r="J3140" s="102"/>
      <c r="K3140" s="450"/>
      <c r="L3140" s="443"/>
      <c r="M3140" s="450"/>
      <c r="N3140" s="452">
        <f t="array" ref="N3140">IFERROR(
  INDEX(
    'Valor Hora Real y Estimada'!$A$4:$Z$78,
    MATCH(TRIM(CLEAN(A3140)), 'Valor Hora Real y Estimada'!$A$4:$A$78, 0),
    MATCH(
      TEXT(C3140,"dd mmm")&amp;" "&amp;D3140,
      'Valor Hora Real y Estimada'!$A$3:$Z$3,
      0
    ) + 1
  ),
  0
)</f>
        <v>0</v>
      </c>
      <c r="O3140" s="453"/>
      <c r="P3140" s="113"/>
      <c r="Q3140" s="106" t="str">
        <f>IF(ISBLANK(O3140), "", VLOOKUP(C3140&amp;" "&amp;D3140, 'Info Tipo de Cambio y REM'!$A$24:$B$35, 2, FALSE))</f>
        <v/>
      </c>
      <c r="R3140" s="107"/>
    </row>
    <row r="3141" hidden="1">
      <c r="A3141" s="443"/>
      <c r="B3141" s="43" t="str">
        <f>IF(A3141="", "", IFERROR(VLOOKUP(A3141, Clasificaciones!A:B, 2, FALSE), "DATO NO CARGADO"))
</f>
        <v/>
      </c>
      <c r="C3141" s="51"/>
      <c r="D3141" s="102"/>
      <c r="E3141" s="102"/>
      <c r="H3141" s="102"/>
      <c r="J3141" s="102"/>
      <c r="K3141" s="450"/>
      <c r="L3141" s="443"/>
      <c r="M3141" s="450"/>
      <c r="N3141" s="452">
        <f t="array" ref="N3141">IFERROR(
  INDEX(
    'Valor Hora Real y Estimada'!$A$4:$Z$78,
    MATCH(TRIM(CLEAN(A3141)), 'Valor Hora Real y Estimada'!$A$4:$A$78, 0),
    MATCH(
      TEXT(C3141,"dd mmm")&amp;" "&amp;D3141,
      'Valor Hora Real y Estimada'!$A$3:$Z$3,
      0
    ) + 1
  ),
  0
)</f>
        <v>0</v>
      </c>
      <c r="O3141" s="453"/>
      <c r="P3141" s="113"/>
      <c r="Q3141" s="106" t="str">
        <f>IF(ISBLANK(O3141), "", VLOOKUP(C3141&amp;" "&amp;D3141, 'Info Tipo de Cambio y REM'!$A$24:$B$35, 2, FALSE))</f>
        <v/>
      </c>
      <c r="R3141" s="107"/>
    </row>
    <row r="3142" hidden="1">
      <c r="A3142" s="443"/>
      <c r="B3142" s="43" t="str">
        <f>IF(A3142="", "", IFERROR(VLOOKUP(A3142, Clasificaciones!A:B, 2, FALSE), "DATO NO CARGADO"))
</f>
        <v/>
      </c>
      <c r="C3142" s="51"/>
      <c r="D3142" s="102"/>
      <c r="E3142" s="102"/>
      <c r="H3142" s="102"/>
      <c r="J3142" s="102"/>
      <c r="K3142" s="450"/>
      <c r="L3142" s="443"/>
      <c r="M3142" s="450"/>
      <c r="N3142" s="452">
        <f t="array" ref="N3142">IFERROR(
  INDEX(
    'Valor Hora Real y Estimada'!$A$4:$Z$78,
    MATCH(TRIM(CLEAN(A3142)), 'Valor Hora Real y Estimada'!$A$4:$A$78, 0),
    MATCH(
      TEXT(C3142,"dd mmm")&amp;" "&amp;D3142,
      'Valor Hora Real y Estimada'!$A$3:$Z$3,
      0
    ) + 1
  ),
  0
)</f>
        <v>0</v>
      </c>
      <c r="O3142" s="453"/>
      <c r="P3142" s="113"/>
      <c r="Q3142" s="106" t="str">
        <f>IF(ISBLANK(O3142), "", VLOOKUP(C3142&amp;" "&amp;D3142, 'Info Tipo de Cambio y REM'!$A$24:$B$35, 2, FALSE))</f>
        <v/>
      </c>
      <c r="R3142" s="107"/>
    </row>
    <row r="3143" hidden="1">
      <c r="A3143" s="443"/>
      <c r="B3143" s="43" t="str">
        <f>IF(A3143="", "", IFERROR(VLOOKUP(A3143, Clasificaciones!A:B, 2, FALSE), "DATO NO CARGADO"))
</f>
        <v/>
      </c>
      <c r="C3143" s="51"/>
      <c r="D3143" s="102"/>
      <c r="E3143" s="102"/>
      <c r="H3143" s="102"/>
      <c r="J3143" s="102"/>
      <c r="K3143" s="450"/>
      <c r="L3143" s="443"/>
      <c r="M3143" s="450"/>
      <c r="N3143" s="452">
        <f t="array" ref="N3143">IFERROR(
  INDEX(
    'Valor Hora Real y Estimada'!$A$4:$Z$78,
    MATCH(TRIM(CLEAN(A3143)), 'Valor Hora Real y Estimada'!$A$4:$A$78, 0),
    MATCH(
      TEXT(C3143,"dd mmm")&amp;" "&amp;D3143,
      'Valor Hora Real y Estimada'!$A$3:$Z$3,
      0
    ) + 1
  ),
  0
)</f>
        <v>0</v>
      </c>
      <c r="O3143" s="453"/>
      <c r="P3143" s="113"/>
      <c r="Q3143" s="106" t="str">
        <f>IF(ISBLANK(O3143), "", VLOOKUP(C3143&amp;" "&amp;D3143, 'Info Tipo de Cambio y REM'!$A$24:$B$35, 2, FALSE))</f>
        <v/>
      </c>
      <c r="R3143" s="107"/>
    </row>
    <row r="3144" hidden="1">
      <c r="A3144" s="443"/>
      <c r="B3144" s="43" t="str">
        <f>IF(A3144="", "", IFERROR(VLOOKUP(A3144, Clasificaciones!A:B, 2, FALSE), "DATO NO CARGADO"))
</f>
        <v/>
      </c>
      <c r="C3144" s="51"/>
      <c r="D3144" s="102"/>
      <c r="E3144" s="102"/>
      <c r="H3144" s="102"/>
      <c r="J3144" s="102"/>
      <c r="K3144" s="450"/>
      <c r="L3144" s="443"/>
      <c r="M3144" s="450"/>
      <c r="N3144" s="452">
        <f t="array" ref="N3144">IFERROR(
  INDEX(
    'Valor Hora Real y Estimada'!$A$4:$Z$78,
    MATCH(TRIM(CLEAN(A3144)), 'Valor Hora Real y Estimada'!$A$4:$A$78, 0),
    MATCH(
      TEXT(C3144,"dd mmm")&amp;" "&amp;D3144,
      'Valor Hora Real y Estimada'!$A$3:$Z$3,
      0
    ) + 1
  ),
  0
)</f>
        <v>0</v>
      </c>
      <c r="O3144" s="453"/>
      <c r="P3144" s="113"/>
      <c r="Q3144" s="106" t="str">
        <f>IF(ISBLANK(O3144), "", VLOOKUP(C3144&amp;" "&amp;D3144, 'Info Tipo de Cambio y REM'!$A$24:$B$35, 2, FALSE))</f>
        <v/>
      </c>
      <c r="R3144" s="107"/>
    </row>
    <row r="3145" hidden="1">
      <c r="A3145" s="443"/>
      <c r="B3145" s="43" t="str">
        <f>IF(A3145="", "", IFERROR(VLOOKUP(A3145, Clasificaciones!A:B, 2, FALSE), "DATO NO CARGADO"))
</f>
        <v/>
      </c>
      <c r="C3145" s="51"/>
      <c r="D3145" s="102"/>
      <c r="E3145" s="102"/>
      <c r="H3145" s="102"/>
      <c r="J3145" s="102"/>
      <c r="K3145" s="450"/>
      <c r="L3145" s="443"/>
      <c r="M3145" s="450"/>
      <c r="N3145" s="452">
        <f t="array" ref="N3145">IFERROR(
  INDEX(
    'Valor Hora Real y Estimada'!$A$4:$Z$78,
    MATCH(TRIM(CLEAN(A3145)), 'Valor Hora Real y Estimada'!$A$4:$A$78, 0),
    MATCH(
      TEXT(C3145,"dd mmm")&amp;" "&amp;D3145,
      'Valor Hora Real y Estimada'!$A$3:$Z$3,
      0
    ) + 1
  ),
  0
)</f>
        <v>0</v>
      </c>
      <c r="O3145" s="453"/>
      <c r="P3145" s="113"/>
      <c r="Q3145" s="106" t="str">
        <f>IF(ISBLANK(O3145), "", VLOOKUP(C3145&amp;" "&amp;D3145, 'Info Tipo de Cambio y REM'!$A$24:$B$35, 2, FALSE))</f>
        <v/>
      </c>
      <c r="R3145" s="107"/>
    </row>
    <row r="3146" hidden="1">
      <c r="A3146" s="443"/>
      <c r="B3146" s="43" t="str">
        <f>IF(A3146="", "", IFERROR(VLOOKUP(A3146, Clasificaciones!A:B, 2, FALSE), "DATO NO CARGADO"))
</f>
        <v/>
      </c>
      <c r="C3146" s="51"/>
      <c r="D3146" s="102"/>
      <c r="E3146" s="102"/>
      <c r="H3146" s="102"/>
      <c r="J3146" s="102"/>
      <c r="K3146" s="450"/>
      <c r="L3146" s="443"/>
      <c r="M3146" s="450"/>
      <c r="N3146" s="452">
        <f t="array" ref="N3146">IFERROR(
  INDEX(
    'Valor Hora Real y Estimada'!$A$4:$Z$78,
    MATCH(TRIM(CLEAN(A3146)), 'Valor Hora Real y Estimada'!$A$4:$A$78, 0),
    MATCH(
      TEXT(C3146,"dd mmm")&amp;" "&amp;D3146,
      'Valor Hora Real y Estimada'!$A$3:$Z$3,
      0
    ) + 1
  ),
  0
)</f>
        <v>0</v>
      </c>
      <c r="O3146" s="453"/>
      <c r="P3146" s="113"/>
      <c r="Q3146" s="106" t="str">
        <f>IF(ISBLANK(O3146), "", VLOOKUP(C3146&amp;" "&amp;D3146, 'Info Tipo de Cambio y REM'!$A$24:$B$35, 2, FALSE))</f>
        <v/>
      </c>
      <c r="R3146" s="107"/>
    </row>
    <row r="3147" hidden="1">
      <c r="A3147" s="443"/>
      <c r="B3147" s="43" t="str">
        <f>IF(A3147="", "", IFERROR(VLOOKUP(A3147, Clasificaciones!A:B, 2, FALSE), "DATO NO CARGADO"))
</f>
        <v/>
      </c>
      <c r="C3147" s="51"/>
      <c r="D3147" s="102"/>
      <c r="E3147" s="102"/>
      <c r="H3147" s="102"/>
      <c r="J3147" s="102"/>
      <c r="K3147" s="450"/>
      <c r="L3147" s="443"/>
      <c r="M3147" s="450"/>
      <c r="N3147" s="452">
        <f t="array" ref="N3147">IFERROR(
  INDEX(
    'Valor Hora Real y Estimada'!$A$4:$Z$78,
    MATCH(TRIM(CLEAN(A3147)), 'Valor Hora Real y Estimada'!$A$4:$A$78, 0),
    MATCH(
      TEXT(C3147,"dd mmm")&amp;" "&amp;D3147,
      'Valor Hora Real y Estimada'!$A$3:$Z$3,
      0
    ) + 1
  ),
  0
)</f>
        <v>0</v>
      </c>
      <c r="O3147" s="453"/>
      <c r="P3147" s="113"/>
      <c r="Q3147" s="106" t="str">
        <f>IF(ISBLANK(O3147), "", VLOOKUP(C3147&amp;" "&amp;D3147, 'Info Tipo de Cambio y REM'!$A$24:$B$35, 2, FALSE))</f>
        <v/>
      </c>
      <c r="R3147" s="107"/>
    </row>
    <row r="3148" hidden="1">
      <c r="A3148" s="443"/>
      <c r="B3148" s="43" t="str">
        <f>IF(A3148="", "", IFERROR(VLOOKUP(A3148, Clasificaciones!A:B, 2, FALSE), "DATO NO CARGADO"))
</f>
        <v/>
      </c>
      <c r="C3148" s="51"/>
      <c r="D3148" s="102"/>
      <c r="E3148" s="102"/>
      <c r="H3148" s="102"/>
      <c r="J3148" s="102"/>
      <c r="K3148" s="450"/>
      <c r="L3148" s="443"/>
      <c r="M3148" s="450"/>
      <c r="N3148" s="452">
        <f t="array" ref="N3148">IFERROR(
  INDEX(
    'Valor Hora Real y Estimada'!$A$4:$Z$78,
    MATCH(TRIM(CLEAN(A3148)), 'Valor Hora Real y Estimada'!$A$4:$A$78, 0),
    MATCH(
      TEXT(C3148,"dd mmm")&amp;" "&amp;D3148,
      'Valor Hora Real y Estimada'!$A$3:$Z$3,
      0
    ) + 1
  ),
  0
)</f>
        <v>0</v>
      </c>
      <c r="O3148" s="453"/>
      <c r="P3148" s="113"/>
      <c r="Q3148" s="106" t="str">
        <f>IF(ISBLANK(O3148), "", VLOOKUP(C3148&amp;" "&amp;D3148, 'Info Tipo de Cambio y REM'!$A$24:$B$35, 2, FALSE))</f>
        <v/>
      </c>
      <c r="R3148" s="107"/>
    </row>
    <row r="3149" hidden="1">
      <c r="A3149" s="443"/>
      <c r="B3149" s="43" t="str">
        <f>IF(A3149="", "", IFERROR(VLOOKUP(A3149, Clasificaciones!A:B, 2, FALSE), "DATO NO CARGADO"))
</f>
        <v/>
      </c>
      <c r="C3149" s="51"/>
      <c r="D3149" s="102"/>
      <c r="E3149" s="102"/>
      <c r="H3149" s="102"/>
      <c r="J3149" s="102"/>
      <c r="K3149" s="450"/>
      <c r="L3149" s="443"/>
      <c r="M3149" s="450"/>
      <c r="N3149" s="452">
        <f t="array" ref="N3149">IFERROR(
  INDEX(
    'Valor Hora Real y Estimada'!$A$4:$Z$78,
    MATCH(TRIM(CLEAN(A3149)), 'Valor Hora Real y Estimada'!$A$4:$A$78, 0),
    MATCH(
      TEXT(C3149,"dd mmm")&amp;" "&amp;D3149,
      'Valor Hora Real y Estimada'!$A$3:$Z$3,
      0
    ) + 1
  ),
  0
)</f>
        <v>0</v>
      </c>
      <c r="O3149" s="453"/>
      <c r="P3149" s="113"/>
      <c r="Q3149" s="106" t="str">
        <f>IF(ISBLANK(O3149), "", VLOOKUP(C3149&amp;" "&amp;D3149, 'Info Tipo de Cambio y REM'!$A$24:$B$35, 2, FALSE))</f>
        <v/>
      </c>
      <c r="R3149" s="107"/>
    </row>
    <row r="3150" hidden="1">
      <c r="A3150" s="443"/>
      <c r="B3150" s="43" t="str">
        <f>IF(A3150="", "", IFERROR(VLOOKUP(A3150, Clasificaciones!A:B, 2, FALSE), "DATO NO CARGADO"))
</f>
        <v/>
      </c>
      <c r="C3150" s="51"/>
      <c r="D3150" s="102"/>
      <c r="E3150" s="102"/>
      <c r="H3150" s="102"/>
      <c r="J3150" s="102"/>
      <c r="K3150" s="450"/>
      <c r="L3150" s="443"/>
      <c r="M3150" s="450"/>
      <c r="N3150" s="452">
        <f t="array" ref="N3150">IFERROR(
  INDEX(
    'Valor Hora Real y Estimada'!$A$4:$Z$78,
    MATCH(TRIM(CLEAN(A3150)), 'Valor Hora Real y Estimada'!$A$4:$A$78, 0),
    MATCH(
      TEXT(C3150,"dd mmm")&amp;" "&amp;D3150,
      'Valor Hora Real y Estimada'!$A$3:$Z$3,
      0
    ) + 1
  ),
  0
)</f>
        <v>0</v>
      </c>
      <c r="O3150" s="453"/>
      <c r="P3150" s="113"/>
      <c r="Q3150" s="106" t="str">
        <f>IF(ISBLANK(O3150), "", VLOOKUP(C3150&amp;" "&amp;D3150, 'Info Tipo de Cambio y REM'!$A$24:$B$35, 2, FALSE))</f>
        <v/>
      </c>
      <c r="R3150" s="107"/>
    </row>
    <row r="3151" hidden="1">
      <c r="A3151" s="443"/>
      <c r="B3151" s="43" t="str">
        <f>IF(A3151="", "", IFERROR(VLOOKUP(A3151, Clasificaciones!A:B, 2, FALSE), "DATO NO CARGADO"))
</f>
        <v/>
      </c>
      <c r="C3151" s="51"/>
      <c r="D3151" s="102"/>
      <c r="E3151" s="102"/>
      <c r="H3151" s="102"/>
      <c r="J3151" s="102"/>
      <c r="K3151" s="450"/>
      <c r="L3151" s="443"/>
      <c r="M3151" s="450"/>
      <c r="N3151" s="452">
        <f t="array" ref="N3151">IFERROR(
  INDEX(
    'Valor Hora Real y Estimada'!$A$4:$Z$78,
    MATCH(TRIM(CLEAN(A3151)), 'Valor Hora Real y Estimada'!$A$4:$A$78, 0),
    MATCH(
      TEXT(C3151,"dd mmm")&amp;" "&amp;D3151,
      'Valor Hora Real y Estimada'!$A$3:$Z$3,
      0
    ) + 1
  ),
  0
)</f>
        <v>0</v>
      </c>
      <c r="O3151" s="453"/>
      <c r="P3151" s="113"/>
      <c r="Q3151" s="106" t="str">
        <f>IF(ISBLANK(O3151), "", VLOOKUP(C3151&amp;" "&amp;D3151, 'Info Tipo de Cambio y REM'!$A$24:$B$35, 2, FALSE))</f>
        <v/>
      </c>
      <c r="R3151" s="107"/>
    </row>
    <row r="3152" hidden="1">
      <c r="A3152" s="443"/>
      <c r="B3152" s="43" t="str">
        <f>IF(A3152="", "", IFERROR(VLOOKUP(A3152, Clasificaciones!A:B, 2, FALSE), "DATO NO CARGADO"))
</f>
        <v/>
      </c>
      <c r="C3152" s="51"/>
      <c r="D3152" s="102"/>
      <c r="E3152" s="102"/>
      <c r="H3152" s="102"/>
      <c r="J3152" s="102"/>
      <c r="K3152" s="450"/>
      <c r="L3152" s="443"/>
      <c r="M3152" s="450"/>
      <c r="N3152" s="452">
        <f t="array" ref="N3152">IFERROR(
  INDEX(
    'Valor Hora Real y Estimada'!$A$4:$Z$78,
    MATCH(TRIM(CLEAN(A3152)), 'Valor Hora Real y Estimada'!$A$4:$A$78, 0),
    MATCH(
      TEXT(C3152,"dd mmm")&amp;" "&amp;D3152,
      'Valor Hora Real y Estimada'!$A$3:$Z$3,
      0
    ) + 1
  ),
  0
)</f>
        <v>0</v>
      </c>
      <c r="O3152" s="453"/>
      <c r="P3152" s="113"/>
      <c r="Q3152" s="106" t="str">
        <f>IF(ISBLANK(O3152), "", VLOOKUP(C3152&amp;" "&amp;D3152, 'Info Tipo de Cambio y REM'!$A$24:$B$35, 2, FALSE))</f>
        <v/>
      </c>
      <c r="R3152" s="107"/>
    </row>
    <row r="3153" hidden="1">
      <c r="A3153" s="443"/>
      <c r="B3153" s="43" t="str">
        <f>IF(A3153="", "", IFERROR(VLOOKUP(A3153, Clasificaciones!A:B, 2, FALSE), "DATO NO CARGADO"))
</f>
        <v/>
      </c>
      <c r="C3153" s="51"/>
      <c r="D3153" s="102"/>
      <c r="E3153" s="102"/>
      <c r="H3153" s="102"/>
      <c r="J3153" s="102"/>
      <c r="K3153" s="450"/>
      <c r="L3153" s="443"/>
      <c r="M3153" s="450"/>
      <c r="N3153" s="452">
        <f t="array" ref="N3153">IFERROR(
  INDEX(
    'Valor Hora Real y Estimada'!$A$4:$Z$78,
    MATCH(TRIM(CLEAN(A3153)), 'Valor Hora Real y Estimada'!$A$4:$A$78, 0),
    MATCH(
      TEXT(C3153,"dd mmm")&amp;" "&amp;D3153,
      'Valor Hora Real y Estimada'!$A$3:$Z$3,
      0
    ) + 1
  ),
  0
)</f>
        <v>0</v>
      </c>
      <c r="O3153" s="453"/>
      <c r="P3153" s="113"/>
      <c r="Q3153" s="106" t="str">
        <f>IF(ISBLANK(O3153), "", VLOOKUP(C3153&amp;" "&amp;D3153, 'Info Tipo de Cambio y REM'!$A$24:$B$35, 2, FALSE))</f>
        <v/>
      </c>
      <c r="R3153" s="107"/>
    </row>
    <row r="3154" hidden="1">
      <c r="A3154" s="443"/>
      <c r="B3154" s="43" t="str">
        <f>IF(A3154="", "", IFERROR(VLOOKUP(A3154, Clasificaciones!A:B, 2, FALSE), "DATO NO CARGADO"))
</f>
        <v/>
      </c>
      <c r="C3154" s="51"/>
      <c r="D3154" s="102"/>
      <c r="E3154" s="102"/>
      <c r="H3154" s="102"/>
      <c r="J3154" s="102"/>
      <c r="K3154" s="450"/>
      <c r="L3154" s="443"/>
      <c r="M3154" s="450"/>
      <c r="N3154" s="452">
        <f t="array" ref="N3154">IFERROR(
  INDEX(
    'Valor Hora Real y Estimada'!$A$4:$Z$78,
    MATCH(TRIM(CLEAN(A3154)), 'Valor Hora Real y Estimada'!$A$4:$A$78, 0),
    MATCH(
      TEXT(C3154,"dd mmm")&amp;" "&amp;D3154,
      'Valor Hora Real y Estimada'!$A$3:$Z$3,
      0
    ) + 1
  ),
  0
)</f>
        <v>0</v>
      </c>
      <c r="O3154" s="453"/>
      <c r="P3154" s="113"/>
      <c r="Q3154" s="106" t="str">
        <f>IF(ISBLANK(O3154), "", VLOOKUP(C3154&amp;" "&amp;D3154, 'Info Tipo de Cambio y REM'!$A$24:$B$35, 2, FALSE))</f>
        <v/>
      </c>
      <c r="R3154" s="107"/>
    </row>
    <row r="3155" hidden="1">
      <c r="A3155" s="443"/>
      <c r="B3155" s="43" t="str">
        <f>IF(A3155="", "", IFERROR(VLOOKUP(A3155, Clasificaciones!A:B, 2, FALSE), "DATO NO CARGADO"))
</f>
        <v/>
      </c>
      <c r="C3155" s="51"/>
      <c r="D3155" s="102"/>
      <c r="E3155" s="102"/>
      <c r="H3155" s="102"/>
      <c r="J3155" s="102"/>
      <c r="K3155" s="450"/>
      <c r="L3155" s="443"/>
      <c r="M3155" s="450"/>
      <c r="N3155" s="452">
        <f t="array" ref="N3155">IFERROR(
  INDEX(
    'Valor Hora Real y Estimada'!$A$4:$Z$78,
    MATCH(TRIM(CLEAN(A3155)), 'Valor Hora Real y Estimada'!$A$4:$A$78, 0),
    MATCH(
      TEXT(C3155,"dd mmm")&amp;" "&amp;D3155,
      'Valor Hora Real y Estimada'!$A$3:$Z$3,
      0
    ) + 1
  ),
  0
)</f>
        <v>0</v>
      </c>
      <c r="O3155" s="453"/>
      <c r="P3155" s="113"/>
      <c r="Q3155" s="106" t="str">
        <f>IF(ISBLANK(O3155), "", VLOOKUP(C3155&amp;" "&amp;D3155, 'Info Tipo de Cambio y REM'!$A$24:$B$35, 2, FALSE))</f>
        <v/>
      </c>
      <c r="R3155" s="107"/>
    </row>
    <row r="3156" hidden="1">
      <c r="A3156" s="443"/>
      <c r="B3156" s="43" t="str">
        <f>IF(A3156="", "", IFERROR(VLOOKUP(A3156, Clasificaciones!A:B, 2, FALSE), "DATO NO CARGADO"))
</f>
        <v/>
      </c>
      <c r="C3156" s="51"/>
      <c r="D3156" s="102"/>
      <c r="E3156" s="102"/>
      <c r="H3156" s="102"/>
      <c r="J3156" s="102"/>
      <c r="K3156" s="450"/>
      <c r="L3156" s="443"/>
      <c r="M3156" s="450"/>
      <c r="N3156" s="452">
        <f t="array" ref="N3156">IFERROR(
  INDEX(
    'Valor Hora Real y Estimada'!$A$4:$Z$78,
    MATCH(TRIM(CLEAN(A3156)), 'Valor Hora Real y Estimada'!$A$4:$A$78, 0),
    MATCH(
      TEXT(C3156,"dd mmm")&amp;" "&amp;D3156,
      'Valor Hora Real y Estimada'!$A$3:$Z$3,
      0
    ) + 1
  ),
  0
)</f>
        <v>0</v>
      </c>
      <c r="O3156" s="453"/>
      <c r="P3156" s="113"/>
      <c r="Q3156" s="106" t="str">
        <f>IF(ISBLANK(O3156), "", VLOOKUP(C3156&amp;" "&amp;D3156, 'Info Tipo de Cambio y REM'!$A$24:$B$35, 2, FALSE))</f>
        <v/>
      </c>
      <c r="R3156" s="107"/>
    </row>
    <row r="3157" hidden="1">
      <c r="A3157" s="443"/>
      <c r="B3157" s="43" t="str">
        <f>IF(A3157="", "", IFERROR(VLOOKUP(A3157, Clasificaciones!A:B, 2, FALSE), "DATO NO CARGADO"))
</f>
        <v/>
      </c>
      <c r="C3157" s="51"/>
      <c r="D3157" s="102"/>
      <c r="E3157" s="102"/>
      <c r="H3157" s="102"/>
      <c r="J3157" s="102"/>
      <c r="K3157" s="450"/>
      <c r="L3157" s="443"/>
      <c r="M3157" s="450"/>
      <c r="N3157" s="452">
        <f t="array" ref="N3157">IFERROR(
  INDEX(
    'Valor Hora Real y Estimada'!$A$4:$Z$78,
    MATCH(TRIM(CLEAN(A3157)), 'Valor Hora Real y Estimada'!$A$4:$A$78, 0),
    MATCH(
      TEXT(C3157,"dd mmm")&amp;" "&amp;D3157,
      'Valor Hora Real y Estimada'!$A$3:$Z$3,
      0
    ) + 1
  ),
  0
)</f>
        <v>0</v>
      </c>
      <c r="O3157" s="453"/>
      <c r="P3157" s="113"/>
      <c r="Q3157" s="106" t="str">
        <f>IF(ISBLANK(O3157), "", VLOOKUP(C3157&amp;" "&amp;D3157, 'Info Tipo de Cambio y REM'!$A$24:$B$35, 2, FALSE))</f>
        <v/>
      </c>
      <c r="R3157" s="107"/>
    </row>
    <row r="3158" hidden="1">
      <c r="A3158" s="443"/>
      <c r="B3158" s="43" t="str">
        <f>IF(A3158="", "", IFERROR(VLOOKUP(A3158, Clasificaciones!A:B, 2, FALSE), "DATO NO CARGADO"))
</f>
        <v/>
      </c>
      <c r="C3158" s="51"/>
      <c r="D3158" s="102"/>
      <c r="E3158" s="102"/>
      <c r="H3158" s="102"/>
      <c r="J3158" s="102"/>
      <c r="K3158" s="450"/>
      <c r="L3158" s="443"/>
      <c r="M3158" s="450"/>
      <c r="N3158" s="452">
        <f t="array" ref="N3158">IFERROR(
  INDEX(
    'Valor Hora Real y Estimada'!$A$4:$Z$78,
    MATCH(TRIM(CLEAN(A3158)), 'Valor Hora Real y Estimada'!$A$4:$A$78, 0),
    MATCH(
      TEXT(C3158,"dd mmm")&amp;" "&amp;D3158,
      'Valor Hora Real y Estimada'!$A$3:$Z$3,
      0
    ) + 1
  ),
  0
)</f>
        <v>0</v>
      </c>
      <c r="O3158" s="453"/>
      <c r="P3158" s="113"/>
      <c r="Q3158" s="106" t="str">
        <f>IF(ISBLANK(O3158), "", VLOOKUP(C3158&amp;" "&amp;D3158, 'Info Tipo de Cambio y REM'!$A$24:$B$35, 2, FALSE))</f>
        <v/>
      </c>
      <c r="R3158" s="107"/>
    </row>
    <row r="3159" hidden="1">
      <c r="A3159" s="443"/>
      <c r="B3159" s="43" t="str">
        <f>IF(A3159="", "", IFERROR(VLOOKUP(A3159, Clasificaciones!A:B, 2, FALSE), "DATO NO CARGADO"))
</f>
        <v/>
      </c>
      <c r="C3159" s="51"/>
      <c r="D3159" s="102"/>
      <c r="E3159" s="102"/>
      <c r="H3159" s="102"/>
      <c r="J3159" s="102"/>
      <c r="K3159" s="450"/>
      <c r="L3159" s="443"/>
      <c r="M3159" s="450"/>
      <c r="N3159" s="452">
        <f t="array" ref="N3159">IFERROR(
  INDEX(
    'Valor Hora Real y Estimada'!$A$4:$Z$78,
    MATCH(TRIM(CLEAN(A3159)), 'Valor Hora Real y Estimada'!$A$4:$A$78, 0),
    MATCH(
      TEXT(C3159,"dd mmm")&amp;" "&amp;D3159,
      'Valor Hora Real y Estimada'!$A$3:$Z$3,
      0
    ) + 1
  ),
  0
)</f>
        <v>0</v>
      </c>
      <c r="O3159" s="453"/>
      <c r="P3159" s="113"/>
      <c r="Q3159" s="106" t="str">
        <f>IF(ISBLANK(O3159), "", VLOOKUP(C3159&amp;" "&amp;D3159, 'Info Tipo de Cambio y REM'!$A$24:$B$35, 2, FALSE))</f>
        <v/>
      </c>
      <c r="R3159" s="107"/>
    </row>
    <row r="3160" hidden="1">
      <c r="A3160" s="443"/>
      <c r="B3160" s="43" t="str">
        <f>IF(A3160="", "", IFERROR(VLOOKUP(A3160, Clasificaciones!A:B, 2, FALSE), "DATO NO CARGADO"))
</f>
        <v/>
      </c>
      <c r="C3160" s="51"/>
      <c r="D3160" s="102"/>
      <c r="E3160" s="102"/>
      <c r="H3160" s="102"/>
      <c r="J3160" s="102"/>
      <c r="K3160" s="450"/>
      <c r="L3160" s="443"/>
      <c r="M3160" s="450"/>
      <c r="N3160" s="452">
        <f t="array" ref="N3160">IFERROR(
  INDEX(
    'Valor Hora Real y Estimada'!$A$4:$Z$78,
    MATCH(TRIM(CLEAN(A3160)), 'Valor Hora Real y Estimada'!$A$4:$A$78, 0),
    MATCH(
      TEXT(C3160,"dd mmm")&amp;" "&amp;D3160,
      'Valor Hora Real y Estimada'!$A$3:$Z$3,
      0
    ) + 1
  ),
  0
)</f>
        <v>0</v>
      </c>
      <c r="O3160" s="453"/>
      <c r="P3160" s="113"/>
      <c r="Q3160" s="106" t="str">
        <f>IF(ISBLANK(O3160), "", VLOOKUP(C3160&amp;" "&amp;D3160, 'Info Tipo de Cambio y REM'!$A$24:$B$35, 2, FALSE))</f>
        <v/>
      </c>
      <c r="R3160" s="107"/>
    </row>
    <row r="3161" hidden="1">
      <c r="A3161" s="443"/>
      <c r="B3161" s="43" t="str">
        <f>IF(A3161="", "", IFERROR(VLOOKUP(A3161, Clasificaciones!A:B, 2, FALSE), "DATO NO CARGADO"))
</f>
        <v/>
      </c>
      <c r="C3161" s="51"/>
      <c r="D3161" s="102"/>
      <c r="E3161" s="102"/>
      <c r="H3161" s="102"/>
      <c r="J3161" s="102"/>
      <c r="K3161" s="450"/>
      <c r="L3161" s="443"/>
      <c r="M3161" s="450"/>
      <c r="N3161" s="452">
        <f t="array" ref="N3161">IFERROR(
  INDEX(
    'Valor Hora Real y Estimada'!$A$4:$Z$78,
    MATCH(TRIM(CLEAN(A3161)), 'Valor Hora Real y Estimada'!$A$4:$A$78, 0),
    MATCH(
      TEXT(C3161,"dd mmm")&amp;" "&amp;D3161,
      'Valor Hora Real y Estimada'!$A$3:$Z$3,
      0
    ) + 1
  ),
  0
)</f>
        <v>0</v>
      </c>
      <c r="O3161" s="453"/>
      <c r="P3161" s="113"/>
      <c r="Q3161" s="106" t="str">
        <f>IF(ISBLANK(O3161), "", VLOOKUP(C3161&amp;" "&amp;D3161, 'Info Tipo de Cambio y REM'!$A$24:$B$35, 2, FALSE))</f>
        <v/>
      </c>
      <c r="R3161" s="107"/>
    </row>
    <row r="3162" hidden="1">
      <c r="A3162" s="443"/>
      <c r="B3162" s="43" t="str">
        <f>IF(A3162="", "", IFERROR(VLOOKUP(A3162, Clasificaciones!A:B, 2, FALSE), "DATO NO CARGADO"))
</f>
        <v/>
      </c>
      <c r="C3162" s="51"/>
      <c r="D3162" s="102"/>
      <c r="E3162" s="102"/>
      <c r="H3162" s="102"/>
      <c r="J3162" s="102"/>
      <c r="K3162" s="450"/>
      <c r="L3162" s="443"/>
      <c r="M3162" s="450"/>
      <c r="N3162" s="452">
        <f t="array" ref="N3162">IFERROR(
  INDEX(
    'Valor Hora Real y Estimada'!$A$4:$Z$78,
    MATCH(TRIM(CLEAN(A3162)), 'Valor Hora Real y Estimada'!$A$4:$A$78, 0),
    MATCH(
      TEXT(C3162,"dd mmm")&amp;" "&amp;D3162,
      'Valor Hora Real y Estimada'!$A$3:$Z$3,
      0
    ) + 1
  ),
  0
)</f>
        <v>0</v>
      </c>
      <c r="O3162" s="453"/>
      <c r="P3162" s="113"/>
      <c r="Q3162" s="106" t="str">
        <f>IF(ISBLANK(O3162), "", VLOOKUP(C3162&amp;" "&amp;D3162, 'Info Tipo de Cambio y REM'!$A$24:$B$35, 2, FALSE))</f>
        <v/>
      </c>
      <c r="R3162" s="107"/>
    </row>
    <row r="3163" hidden="1">
      <c r="A3163" s="443"/>
      <c r="B3163" s="43" t="str">
        <f>IF(A3163="", "", IFERROR(VLOOKUP(A3163, Clasificaciones!A:B, 2, FALSE), "DATO NO CARGADO"))
</f>
        <v/>
      </c>
      <c r="C3163" s="51"/>
      <c r="D3163" s="102"/>
      <c r="E3163" s="102"/>
      <c r="H3163" s="102"/>
      <c r="J3163" s="102"/>
      <c r="K3163" s="450"/>
      <c r="L3163" s="443"/>
      <c r="M3163" s="450"/>
      <c r="N3163" s="452">
        <f t="array" ref="N3163">IFERROR(
  INDEX(
    'Valor Hora Real y Estimada'!$A$4:$Z$78,
    MATCH(TRIM(CLEAN(A3163)), 'Valor Hora Real y Estimada'!$A$4:$A$78, 0),
    MATCH(
      TEXT(C3163,"dd mmm")&amp;" "&amp;D3163,
      'Valor Hora Real y Estimada'!$A$3:$Z$3,
      0
    ) + 1
  ),
  0
)</f>
        <v>0</v>
      </c>
      <c r="O3163" s="453"/>
      <c r="P3163" s="113"/>
      <c r="Q3163" s="106" t="str">
        <f>IF(ISBLANK(O3163), "", VLOOKUP(C3163&amp;" "&amp;D3163, 'Info Tipo de Cambio y REM'!$A$24:$B$35, 2, FALSE))</f>
        <v/>
      </c>
      <c r="R3163" s="107"/>
    </row>
    <row r="3164" hidden="1">
      <c r="A3164" s="443"/>
      <c r="B3164" s="43" t="str">
        <f>IF(A3164="", "", IFERROR(VLOOKUP(A3164, Clasificaciones!A:B, 2, FALSE), "DATO NO CARGADO"))
</f>
        <v/>
      </c>
      <c r="C3164" s="51"/>
      <c r="D3164" s="102"/>
      <c r="E3164" s="102"/>
      <c r="H3164" s="102"/>
      <c r="J3164" s="102"/>
      <c r="K3164" s="450"/>
      <c r="L3164" s="443"/>
      <c r="M3164" s="450"/>
      <c r="N3164" s="452">
        <f t="array" ref="N3164">IFERROR(
  INDEX(
    'Valor Hora Real y Estimada'!$A$4:$Z$78,
    MATCH(TRIM(CLEAN(A3164)), 'Valor Hora Real y Estimada'!$A$4:$A$78, 0),
    MATCH(
      TEXT(C3164,"dd mmm")&amp;" "&amp;D3164,
      'Valor Hora Real y Estimada'!$A$3:$Z$3,
      0
    ) + 1
  ),
  0
)</f>
        <v>0</v>
      </c>
      <c r="O3164" s="453"/>
      <c r="P3164" s="113"/>
      <c r="Q3164" s="106" t="str">
        <f>IF(ISBLANK(O3164), "", VLOOKUP(C3164&amp;" "&amp;D3164, 'Info Tipo de Cambio y REM'!$A$24:$B$35, 2, FALSE))</f>
        <v/>
      </c>
      <c r="R3164" s="107"/>
    </row>
    <row r="3165" hidden="1">
      <c r="A3165" s="443"/>
      <c r="B3165" s="43" t="str">
        <f>IF(A3165="", "", IFERROR(VLOOKUP(A3165, Clasificaciones!A:B, 2, FALSE), "DATO NO CARGADO"))
</f>
        <v/>
      </c>
      <c r="C3165" s="51"/>
      <c r="D3165" s="102"/>
      <c r="E3165" s="102"/>
      <c r="H3165" s="102"/>
      <c r="J3165" s="102"/>
      <c r="K3165" s="450"/>
      <c r="L3165" s="443"/>
      <c r="M3165" s="450"/>
      <c r="N3165" s="452">
        <f t="array" ref="N3165">IFERROR(
  INDEX(
    'Valor Hora Real y Estimada'!$A$4:$Z$78,
    MATCH(TRIM(CLEAN(A3165)), 'Valor Hora Real y Estimada'!$A$4:$A$78, 0),
    MATCH(
      TEXT(C3165,"dd mmm")&amp;" "&amp;D3165,
      'Valor Hora Real y Estimada'!$A$3:$Z$3,
      0
    ) + 1
  ),
  0
)</f>
        <v>0</v>
      </c>
      <c r="O3165" s="453"/>
      <c r="P3165" s="113"/>
      <c r="Q3165" s="106" t="str">
        <f>IF(ISBLANK(O3165), "", VLOOKUP(C3165&amp;" "&amp;D3165, 'Info Tipo de Cambio y REM'!$A$24:$B$35, 2, FALSE))</f>
        <v/>
      </c>
      <c r="R3165" s="107"/>
    </row>
    <row r="3166" hidden="1">
      <c r="A3166" s="443"/>
      <c r="B3166" s="43" t="str">
        <f>IF(A3166="", "", IFERROR(VLOOKUP(A3166, Clasificaciones!A:B, 2, FALSE), "DATO NO CARGADO"))
</f>
        <v/>
      </c>
      <c r="C3166" s="51"/>
      <c r="D3166" s="102"/>
      <c r="E3166" s="102"/>
      <c r="H3166" s="102"/>
      <c r="J3166" s="102"/>
      <c r="K3166" s="450"/>
      <c r="L3166" s="443"/>
      <c r="M3166" s="450"/>
      <c r="N3166" s="452">
        <f t="array" ref="N3166">IFERROR(
  INDEX(
    'Valor Hora Real y Estimada'!$A$4:$Z$78,
    MATCH(TRIM(CLEAN(A3166)), 'Valor Hora Real y Estimada'!$A$4:$A$78, 0),
    MATCH(
      TEXT(C3166,"dd mmm")&amp;" "&amp;D3166,
      'Valor Hora Real y Estimada'!$A$3:$Z$3,
      0
    ) + 1
  ),
  0
)</f>
        <v>0</v>
      </c>
      <c r="O3166" s="453"/>
      <c r="P3166" s="113"/>
      <c r="Q3166" s="106" t="str">
        <f>IF(ISBLANK(O3166), "", VLOOKUP(C3166&amp;" "&amp;D3166, 'Info Tipo de Cambio y REM'!$A$24:$B$35, 2, FALSE))</f>
        <v/>
      </c>
      <c r="R3166" s="107"/>
    </row>
    <row r="3167" hidden="1">
      <c r="A3167" s="443"/>
      <c r="B3167" s="43" t="str">
        <f>IF(A3167="", "", IFERROR(VLOOKUP(A3167, Clasificaciones!A:B, 2, FALSE), "DATO NO CARGADO"))
</f>
        <v/>
      </c>
      <c r="C3167" s="51"/>
      <c r="D3167" s="102"/>
      <c r="E3167" s="102"/>
      <c r="H3167" s="102"/>
      <c r="J3167" s="102"/>
      <c r="K3167" s="450"/>
      <c r="L3167" s="443"/>
      <c r="M3167" s="450"/>
      <c r="N3167" s="452">
        <f t="array" ref="N3167">IFERROR(
  INDEX(
    'Valor Hora Real y Estimada'!$A$4:$Z$78,
    MATCH(TRIM(CLEAN(A3167)), 'Valor Hora Real y Estimada'!$A$4:$A$78, 0),
    MATCH(
      TEXT(C3167,"dd mmm")&amp;" "&amp;D3167,
      'Valor Hora Real y Estimada'!$A$3:$Z$3,
      0
    ) + 1
  ),
  0
)</f>
        <v>0</v>
      </c>
      <c r="O3167" s="453"/>
      <c r="P3167" s="113"/>
      <c r="Q3167" s="106" t="str">
        <f>IF(ISBLANK(O3167), "", VLOOKUP(C3167&amp;" "&amp;D3167, 'Info Tipo de Cambio y REM'!$A$24:$B$35, 2, FALSE))</f>
        <v/>
      </c>
      <c r="R3167" s="107"/>
    </row>
    <row r="3168" hidden="1">
      <c r="A3168" s="443"/>
      <c r="B3168" s="43" t="str">
        <f>IF(A3168="", "", IFERROR(VLOOKUP(A3168, Clasificaciones!A:B, 2, FALSE), "DATO NO CARGADO"))
</f>
        <v/>
      </c>
      <c r="C3168" s="51"/>
      <c r="D3168" s="102"/>
      <c r="E3168" s="102"/>
      <c r="H3168" s="102"/>
      <c r="J3168" s="102"/>
      <c r="K3168" s="450"/>
      <c r="L3168" s="443"/>
      <c r="M3168" s="450"/>
      <c r="N3168" s="452">
        <f t="array" ref="N3168">IFERROR(
  INDEX(
    'Valor Hora Real y Estimada'!$A$4:$Z$78,
    MATCH(TRIM(CLEAN(A3168)), 'Valor Hora Real y Estimada'!$A$4:$A$78, 0),
    MATCH(
      TEXT(C3168,"dd mmm")&amp;" "&amp;D3168,
      'Valor Hora Real y Estimada'!$A$3:$Z$3,
      0
    ) + 1
  ),
  0
)</f>
        <v>0</v>
      </c>
      <c r="O3168" s="453"/>
      <c r="P3168" s="113"/>
      <c r="Q3168" s="106" t="str">
        <f>IF(ISBLANK(O3168), "", VLOOKUP(C3168&amp;" "&amp;D3168, 'Info Tipo de Cambio y REM'!$A$24:$B$35, 2, FALSE))</f>
        <v/>
      </c>
      <c r="R3168" s="107"/>
    </row>
    <row r="3169" hidden="1">
      <c r="A3169" s="443"/>
      <c r="B3169" s="43" t="str">
        <f>IF(A3169="", "", IFERROR(VLOOKUP(A3169, Clasificaciones!A:B, 2, FALSE), "DATO NO CARGADO"))
</f>
        <v/>
      </c>
      <c r="C3169" s="51"/>
      <c r="D3169" s="102"/>
      <c r="E3169" s="102"/>
      <c r="H3169" s="102"/>
      <c r="J3169" s="102"/>
      <c r="K3169" s="450"/>
      <c r="L3169" s="443"/>
      <c r="M3169" s="450"/>
      <c r="N3169" s="452">
        <f t="array" ref="N3169">IFERROR(
  INDEX(
    'Valor Hora Real y Estimada'!$A$4:$Z$78,
    MATCH(TRIM(CLEAN(A3169)), 'Valor Hora Real y Estimada'!$A$4:$A$78, 0),
    MATCH(
      TEXT(C3169,"dd mmm")&amp;" "&amp;D3169,
      'Valor Hora Real y Estimada'!$A$3:$Z$3,
      0
    ) + 1
  ),
  0
)</f>
        <v>0</v>
      </c>
      <c r="O3169" s="453"/>
      <c r="P3169" s="113"/>
      <c r="Q3169" s="106" t="str">
        <f>IF(ISBLANK(O3169), "", VLOOKUP(C3169&amp;" "&amp;D3169, 'Info Tipo de Cambio y REM'!$A$24:$B$35, 2, FALSE))</f>
        <v/>
      </c>
      <c r="R3169" s="107"/>
    </row>
    <row r="3170" hidden="1">
      <c r="A3170" s="443"/>
      <c r="B3170" s="43" t="str">
        <f>IF(A3170="", "", IFERROR(VLOOKUP(A3170, Clasificaciones!A:B, 2, FALSE), "DATO NO CARGADO"))
</f>
        <v/>
      </c>
      <c r="C3170" s="51"/>
      <c r="D3170" s="102"/>
      <c r="E3170" s="102"/>
      <c r="H3170" s="102"/>
      <c r="J3170" s="102"/>
      <c r="K3170" s="450"/>
      <c r="L3170" s="443"/>
      <c r="M3170" s="450"/>
      <c r="N3170" s="452">
        <f t="array" ref="N3170">IFERROR(
  INDEX(
    'Valor Hora Real y Estimada'!$A$4:$Z$78,
    MATCH(TRIM(CLEAN(A3170)), 'Valor Hora Real y Estimada'!$A$4:$A$78, 0),
    MATCH(
      TEXT(C3170,"dd mmm")&amp;" "&amp;D3170,
      'Valor Hora Real y Estimada'!$A$3:$Z$3,
      0
    ) + 1
  ),
  0
)</f>
        <v>0</v>
      </c>
      <c r="O3170" s="453"/>
      <c r="P3170" s="113"/>
      <c r="Q3170" s="106" t="str">
        <f>IF(ISBLANK(O3170), "", VLOOKUP(C3170&amp;" "&amp;D3170, 'Info Tipo de Cambio y REM'!$A$24:$B$35, 2, FALSE))</f>
        <v/>
      </c>
      <c r="R3170" s="107"/>
    </row>
    <row r="3171" hidden="1">
      <c r="A3171" s="443"/>
      <c r="B3171" s="43" t="str">
        <f>IF(A3171="", "", IFERROR(VLOOKUP(A3171, Clasificaciones!A:B, 2, FALSE), "DATO NO CARGADO"))
</f>
        <v/>
      </c>
      <c r="C3171" s="51"/>
      <c r="D3171" s="102"/>
      <c r="E3171" s="102"/>
      <c r="H3171" s="102"/>
      <c r="J3171" s="102"/>
      <c r="K3171" s="450"/>
      <c r="L3171" s="443"/>
      <c r="M3171" s="450"/>
      <c r="N3171" s="452">
        <f t="array" ref="N3171">IFERROR(
  INDEX(
    'Valor Hora Real y Estimada'!$A$4:$Z$78,
    MATCH(TRIM(CLEAN(A3171)), 'Valor Hora Real y Estimada'!$A$4:$A$78, 0),
    MATCH(
      TEXT(C3171,"dd mmm")&amp;" "&amp;D3171,
      'Valor Hora Real y Estimada'!$A$3:$Z$3,
      0
    ) + 1
  ),
  0
)</f>
        <v>0</v>
      </c>
      <c r="O3171" s="453"/>
      <c r="P3171" s="113"/>
      <c r="Q3171" s="106" t="str">
        <f>IF(ISBLANK(O3171), "", VLOOKUP(C3171&amp;" "&amp;D3171, 'Info Tipo de Cambio y REM'!$A$24:$B$35, 2, FALSE))</f>
        <v/>
      </c>
      <c r="R3171" s="107"/>
    </row>
    <row r="3172" hidden="1">
      <c r="A3172" s="443"/>
      <c r="B3172" s="43" t="str">
        <f>IF(A3172="", "", IFERROR(VLOOKUP(A3172, Clasificaciones!A:B, 2, FALSE), "DATO NO CARGADO"))
</f>
        <v/>
      </c>
      <c r="C3172" s="51"/>
      <c r="D3172" s="102"/>
      <c r="E3172" s="102"/>
      <c r="H3172" s="102"/>
      <c r="J3172" s="102"/>
      <c r="K3172" s="450"/>
      <c r="L3172" s="443"/>
      <c r="M3172" s="450"/>
      <c r="N3172" s="452">
        <f t="array" ref="N3172">IFERROR(
  INDEX(
    'Valor Hora Real y Estimada'!$A$4:$Z$78,
    MATCH(TRIM(CLEAN(A3172)), 'Valor Hora Real y Estimada'!$A$4:$A$78, 0),
    MATCH(
      TEXT(C3172,"dd mmm")&amp;" "&amp;D3172,
      'Valor Hora Real y Estimada'!$A$3:$Z$3,
      0
    ) + 1
  ),
  0
)</f>
        <v>0</v>
      </c>
      <c r="O3172" s="453"/>
      <c r="P3172" s="113"/>
      <c r="Q3172" s="106" t="str">
        <f>IF(ISBLANK(O3172), "", VLOOKUP(C3172&amp;" "&amp;D3172, 'Info Tipo de Cambio y REM'!$A$24:$B$35, 2, FALSE))</f>
        <v/>
      </c>
      <c r="R3172" s="107"/>
    </row>
    <row r="3173" hidden="1">
      <c r="A3173" s="443"/>
      <c r="B3173" s="43" t="str">
        <f>IF(A3173="", "", IFERROR(VLOOKUP(A3173, Clasificaciones!A:B, 2, FALSE), "DATO NO CARGADO"))
</f>
        <v/>
      </c>
      <c r="C3173" s="51"/>
      <c r="D3173" s="102"/>
      <c r="E3173" s="102"/>
      <c r="H3173" s="102"/>
      <c r="J3173" s="102"/>
      <c r="K3173" s="450"/>
      <c r="L3173" s="443"/>
      <c r="M3173" s="450"/>
      <c r="N3173" s="452">
        <f t="array" ref="N3173">IFERROR(
  INDEX(
    'Valor Hora Real y Estimada'!$A$4:$Z$78,
    MATCH(TRIM(CLEAN(A3173)), 'Valor Hora Real y Estimada'!$A$4:$A$78, 0),
    MATCH(
      TEXT(C3173,"dd mmm")&amp;" "&amp;D3173,
      'Valor Hora Real y Estimada'!$A$3:$Z$3,
      0
    ) + 1
  ),
  0
)</f>
        <v>0</v>
      </c>
      <c r="O3173" s="453"/>
      <c r="P3173" s="113"/>
      <c r="Q3173" s="106" t="str">
        <f>IF(ISBLANK(O3173), "", VLOOKUP(C3173&amp;" "&amp;D3173, 'Info Tipo de Cambio y REM'!$A$24:$B$35, 2, FALSE))</f>
        <v/>
      </c>
      <c r="R3173" s="107"/>
    </row>
    <row r="3174" hidden="1">
      <c r="A3174" s="443"/>
      <c r="B3174" s="43" t="str">
        <f>IF(A3174="", "", IFERROR(VLOOKUP(A3174, Clasificaciones!A:B, 2, FALSE), "DATO NO CARGADO"))
</f>
        <v/>
      </c>
      <c r="C3174" s="51"/>
      <c r="D3174" s="102"/>
      <c r="E3174" s="102"/>
      <c r="H3174" s="102"/>
      <c r="J3174" s="102"/>
      <c r="K3174" s="450"/>
      <c r="L3174" s="443"/>
      <c r="M3174" s="450"/>
      <c r="N3174" s="452">
        <f t="array" ref="N3174">IFERROR(
  INDEX(
    'Valor Hora Real y Estimada'!$A$4:$Z$78,
    MATCH(TRIM(CLEAN(A3174)), 'Valor Hora Real y Estimada'!$A$4:$A$78, 0),
    MATCH(
      TEXT(C3174,"dd mmm")&amp;" "&amp;D3174,
      'Valor Hora Real y Estimada'!$A$3:$Z$3,
      0
    ) + 1
  ),
  0
)</f>
        <v>0</v>
      </c>
      <c r="O3174" s="453"/>
      <c r="P3174" s="113"/>
      <c r="Q3174" s="106" t="str">
        <f>IF(ISBLANK(O3174), "", VLOOKUP(C3174&amp;" "&amp;D3174, 'Info Tipo de Cambio y REM'!$A$24:$B$35, 2, FALSE))</f>
        <v/>
      </c>
      <c r="R3174" s="107"/>
    </row>
    <row r="3175" hidden="1">
      <c r="A3175" s="443"/>
      <c r="B3175" s="43" t="str">
        <f>IF(A3175="", "", IFERROR(VLOOKUP(A3175, Clasificaciones!A:B, 2, FALSE), "DATO NO CARGADO"))
</f>
        <v/>
      </c>
      <c r="C3175" s="51"/>
      <c r="D3175" s="102"/>
      <c r="E3175" s="102"/>
      <c r="H3175" s="102"/>
      <c r="J3175" s="102"/>
      <c r="K3175" s="450"/>
      <c r="L3175" s="443"/>
      <c r="M3175" s="450"/>
      <c r="N3175" s="452">
        <f t="array" ref="N3175">IFERROR(
  INDEX(
    'Valor Hora Real y Estimada'!$A$4:$Z$78,
    MATCH(TRIM(CLEAN(A3175)), 'Valor Hora Real y Estimada'!$A$4:$A$78, 0),
    MATCH(
      TEXT(C3175,"dd mmm")&amp;" "&amp;D3175,
      'Valor Hora Real y Estimada'!$A$3:$Z$3,
      0
    ) + 1
  ),
  0
)</f>
        <v>0</v>
      </c>
      <c r="O3175" s="453"/>
      <c r="P3175" s="113"/>
      <c r="Q3175" s="106" t="str">
        <f>IF(ISBLANK(O3175), "", VLOOKUP(C3175&amp;" "&amp;D3175, 'Info Tipo de Cambio y REM'!$A$24:$B$35, 2, FALSE))</f>
        <v/>
      </c>
      <c r="R3175" s="107"/>
    </row>
    <row r="3176" hidden="1">
      <c r="A3176" s="443"/>
      <c r="B3176" s="43" t="str">
        <f>IF(A3176="", "", IFERROR(VLOOKUP(A3176, Clasificaciones!A:B, 2, FALSE), "DATO NO CARGADO"))
</f>
        <v/>
      </c>
      <c r="C3176" s="51"/>
      <c r="D3176" s="102"/>
      <c r="E3176" s="102"/>
      <c r="H3176" s="102"/>
      <c r="J3176" s="102"/>
      <c r="K3176" s="450"/>
      <c r="L3176" s="443"/>
      <c r="M3176" s="450"/>
      <c r="N3176" s="452">
        <f t="array" ref="N3176">IFERROR(
  INDEX(
    'Valor Hora Real y Estimada'!$A$4:$Z$78,
    MATCH(TRIM(CLEAN(A3176)), 'Valor Hora Real y Estimada'!$A$4:$A$78, 0),
    MATCH(
      TEXT(C3176,"dd mmm")&amp;" "&amp;D3176,
      'Valor Hora Real y Estimada'!$A$3:$Z$3,
      0
    ) + 1
  ),
  0
)</f>
        <v>0</v>
      </c>
      <c r="O3176" s="453"/>
      <c r="P3176" s="113"/>
      <c r="Q3176" s="106" t="str">
        <f>IF(ISBLANK(O3176), "", VLOOKUP(C3176&amp;" "&amp;D3176, 'Info Tipo de Cambio y REM'!$A$24:$B$35, 2, FALSE))</f>
        <v/>
      </c>
      <c r="R3176" s="107"/>
    </row>
    <row r="3177" hidden="1">
      <c r="A3177" s="443"/>
      <c r="B3177" s="43" t="str">
        <f>IF(A3177="", "", IFERROR(VLOOKUP(A3177, Clasificaciones!A:B, 2, FALSE), "DATO NO CARGADO"))
</f>
        <v/>
      </c>
      <c r="C3177" s="51"/>
      <c r="D3177" s="102"/>
      <c r="E3177" s="102"/>
      <c r="H3177" s="102"/>
      <c r="J3177" s="102"/>
      <c r="K3177" s="450"/>
      <c r="L3177" s="443"/>
      <c r="M3177" s="450"/>
      <c r="N3177" s="452">
        <f t="array" ref="N3177">IFERROR(
  INDEX(
    'Valor Hora Real y Estimada'!$A$4:$Z$78,
    MATCH(TRIM(CLEAN(A3177)), 'Valor Hora Real y Estimada'!$A$4:$A$78, 0),
    MATCH(
      TEXT(C3177,"dd mmm")&amp;" "&amp;D3177,
      'Valor Hora Real y Estimada'!$A$3:$Z$3,
      0
    ) + 1
  ),
  0
)</f>
        <v>0</v>
      </c>
      <c r="O3177" s="453"/>
      <c r="P3177" s="113"/>
      <c r="Q3177" s="106" t="str">
        <f>IF(ISBLANK(O3177), "", VLOOKUP(C3177&amp;" "&amp;D3177, 'Info Tipo de Cambio y REM'!$A$24:$B$35, 2, FALSE))</f>
        <v/>
      </c>
      <c r="R3177" s="107"/>
    </row>
    <row r="3178" hidden="1">
      <c r="A3178" s="443"/>
      <c r="B3178" s="43" t="str">
        <f>IF(A3178="", "", IFERROR(VLOOKUP(A3178, Clasificaciones!A:B, 2, FALSE), "DATO NO CARGADO"))
</f>
        <v/>
      </c>
      <c r="C3178" s="51"/>
      <c r="D3178" s="102"/>
      <c r="E3178" s="102"/>
      <c r="H3178" s="102"/>
      <c r="J3178" s="102"/>
      <c r="K3178" s="450"/>
      <c r="L3178" s="443"/>
      <c r="M3178" s="450"/>
      <c r="N3178" s="452">
        <f t="array" ref="N3178">IFERROR(
  INDEX(
    'Valor Hora Real y Estimada'!$A$4:$Z$78,
    MATCH(TRIM(CLEAN(A3178)), 'Valor Hora Real y Estimada'!$A$4:$A$78, 0),
    MATCH(
      TEXT(C3178,"dd mmm")&amp;" "&amp;D3178,
      'Valor Hora Real y Estimada'!$A$3:$Z$3,
      0
    ) + 1
  ),
  0
)</f>
        <v>0</v>
      </c>
      <c r="O3178" s="453"/>
      <c r="P3178" s="113"/>
      <c r="Q3178" s="106" t="str">
        <f>IF(ISBLANK(O3178), "", VLOOKUP(C3178&amp;" "&amp;D3178, 'Info Tipo de Cambio y REM'!$A$24:$B$35, 2, FALSE))</f>
        <v/>
      </c>
      <c r="R3178" s="107"/>
    </row>
    <row r="3179" hidden="1">
      <c r="A3179" s="443"/>
      <c r="B3179" s="43" t="str">
        <f>IF(A3179="", "", IFERROR(VLOOKUP(A3179, Clasificaciones!A:B, 2, FALSE), "DATO NO CARGADO"))
</f>
        <v/>
      </c>
      <c r="C3179" s="51"/>
      <c r="D3179" s="102"/>
      <c r="E3179" s="102"/>
      <c r="H3179" s="102"/>
      <c r="J3179" s="102"/>
      <c r="K3179" s="450"/>
      <c r="L3179" s="443"/>
      <c r="M3179" s="450"/>
      <c r="N3179" s="452">
        <f t="array" ref="N3179">IFERROR(
  INDEX(
    'Valor Hora Real y Estimada'!$A$4:$Z$78,
    MATCH(TRIM(CLEAN(A3179)), 'Valor Hora Real y Estimada'!$A$4:$A$78, 0),
    MATCH(
      TEXT(C3179,"dd mmm")&amp;" "&amp;D3179,
      'Valor Hora Real y Estimada'!$A$3:$Z$3,
      0
    ) + 1
  ),
  0
)</f>
        <v>0</v>
      </c>
      <c r="O3179" s="453"/>
      <c r="P3179" s="113"/>
      <c r="Q3179" s="106" t="str">
        <f>IF(ISBLANK(O3179), "", VLOOKUP(C3179&amp;" "&amp;D3179, 'Info Tipo de Cambio y REM'!$A$24:$B$35, 2, FALSE))</f>
        <v/>
      </c>
      <c r="R3179" s="107"/>
    </row>
    <row r="3180" hidden="1">
      <c r="A3180" s="443"/>
      <c r="B3180" s="43" t="str">
        <f>IF(A3180="", "", IFERROR(VLOOKUP(A3180, Clasificaciones!A:B, 2, FALSE), "DATO NO CARGADO"))
</f>
        <v/>
      </c>
      <c r="C3180" s="51"/>
      <c r="D3180" s="102"/>
      <c r="E3180" s="102"/>
      <c r="H3180" s="102"/>
      <c r="J3180" s="102"/>
      <c r="K3180" s="450"/>
      <c r="L3180" s="443"/>
      <c r="M3180" s="450"/>
      <c r="N3180" s="452">
        <f t="array" ref="N3180">IFERROR(
  INDEX(
    'Valor Hora Real y Estimada'!$A$4:$Z$78,
    MATCH(TRIM(CLEAN(A3180)), 'Valor Hora Real y Estimada'!$A$4:$A$78, 0),
    MATCH(
      TEXT(C3180,"dd mmm")&amp;" "&amp;D3180,
      'Valor Hora Real y Estimada'!$A$3:$Z$3,
      0
    ) + 1
  ),
  0
)</f>
        <v>0</v>
      </c>
      <c r="O3180" s="453"/>
      <c r="P3180" s="113"/>
      <c r="Q3180" s="106" t="str">
        <f>IF(ISBLANK(O3180), "", VLOOKUP(C3180&amp;" "&amp;D3180, 'Info Tipo de Cambio y REM'!$A$24:$B$35, 2, FALSE))</f>
        <v/>
      </c>
      <c r="R3180" s="107"/>
    </row>
    <row r="3181" hidden="1">
      <c r="A3181" s="443"/>
      <c r="B3181" s="43" t="str">
        <f>IF(A3181="", "", IFERROR(VLOOKUP(A3181, Clasificaciones!A:B, 2, FALSE), "DATO NO CARGADO"))
</f>
        <v/>
      </c>
      <c r="C3181" s="51"/>
      <c r="D3181" s="102"/>
      <c r="E3181" s="102"/>
      <c r="H3181" s="102"/>
      <c r="J3181" s="102"/>
      <c r="K3181" s="450"/>
      <c r="L3181" s="443"/>
      <c r="M3181" s="450"/>
      <c r="N3181" s="452">
        <f t="array" ref="N3181">IFERROR(
  INDEX(
    'Valor Hora Real y Estimada'!$A$4:$Z$78,
    MATCH(TRIM(CLEAN(A3181)), 'Valor Hora Real y Estimada'!$A$4:$A$78, 0),
    MATCH(
      TEXT(C3181,"dd mmm")&amp;" "&amp;D3181,
      'Valor Hora Real y Estimada'!$A$3:$Z$3,
      0
    ) + 1
  ),
  0
)</f>
        <v>0</v>
      </c>
      <c r="O3181" s="453"/>
      <c r="P3181" s="113"/>
      <c r="Q3181" s="106" t="str">
        <f>IF(ISBLANK(O3181), "", VLOOKUP(C3181&amp;" "&amp;D3181, 'Info Tipo de Cambio y REM'!$A$24:$B$35, 2, FALSE))</f>
        <v/>
      </c>
      <c r="R3181" s="107"/>
    </row>
    <row r="3182" hidden="1">
      <c r="A3182" s="443"/>
      <c r="B3182" s="43" t="str">
        <f>IF(A3182="", "", IFERROR(VLOOKUP(A3182, Clasificaciones!A:B, 2, FALSE), "DATO NO CARGADO"))
</f>
        <v/>
      </c>
      <c r="C3182" s="51"/>
      <c r="D3182" s="102"/>
      <c r="E3182" s="102"/>
      <c r="H3182" s="102"/>
      <c r="J3182" s="102"/>
      <c r="K3182" s="450"/>
      <c r="L3182" s="443"/>
      <c r="M3182" s="450"/>
      <c r="N3182" s="452">
        <f t="array" ref="N3182">IFERROR(
  INDEX(
    'Valor Hora Real y Estimada'!$A$4:$Z$78,
    MATCH(TRIM(CLEAN(A3182)), 'Valor Hora Real y Estimada'!$A$4:$A$78, 0),
    MATCH(
      TEXT(C3182,"dd mmm")&amp;" "&amp;D3182,
      'Valor Hora Real y Estimada'!$A$3:$Z$3,
      0
    ) + 1
  ),
  0
)</f>
        <v>0</v>
      </c>
      <c r="O3182" s="453"/>
      <c r="P3182" s="113"/>
      <c r="Q3182" s="106" t="str">
        <f>IF(ISBLANK(O3182), "", VLOOKUP(C3182&amp;" "&amp;D3182, 'Info Tipo de Cambio y REM'!$A$24:$B$35, 2, FALSE))</f>
        <v/>
      </c>
      <c r="R3182" s="107"/>
    </row>
    <row r="3183" hidden="1">
      <c r="A3183" s="443"/>
      <c r="B3183" s="43" t="str">
        <f>IF(A3183="", "", IFERROR(VLOOKUP(A3183, Clasificaciones!A:B, 2, FALSE), "DATO NO CARGADO"))
</f>
        <v/>
      </c>
      <c r="C3183" s="51"/>
      <c r="D3183" s="102"/>
      <c r="E3183" s="102"/>
      <c r="H3183" s="102"/>
      <c r="J3183" s="102"/>
      <c r="K3183" s="450"/>
      <c r="L3183" s="443"/>
      <c r="M3183" s="450"/>
      <c r="N3183" s="452">
        <f t="array" ref="N3183">IFERROR(
  INDEX(
    'Valor Hora Real y Estimada'!$A$4:$Z$78,
    MATCH(TRIM(CLEAN(A3183)), 'Valor Hora Real y Estimada'!$A$4:$A$78, 0),
    MATCH(
      TEXT(C3183,"dd mmm")&amp;" "&amp;D3183,
      'Valor Hora Real y Estimada'!$A$3:$Z$3,
      0
    ) + 1
  ),
  0
)</f>
        <v>0</v>
      </c>
      <c r="O3183" s="453"/>
      <c r="P3183" s="113"/>
      <c r="Q3183" s="106" t="str">
        <f>IF(ISBLANK(O3183), "", VLOOKUP(C3183&amp;" "&amp;D3183, 'Info Tipo de Cambio y REM'!$A$24:$B$35, 2, FALSE))</f>
        <v/>
      </c>
      <c r="R3183" s="107"/>
    </row>
    <row r="3184" hidden="1">
      <c r="A3184" s="443"/>
      <c r="B3184" s="43" t="str">
        <f>IF(A3184="", "", IFERROR(VLOOKUP(A3184, Clasificaciones!A:B, 2, FALSE), "DATO NO CARGADO"))
</f>
        <v/>
      </c>
      <c r="C3184" s="51"/>
      <c r="D3184" s="102"/>
      <c r="E3184" s="102"/>
      <c r="H3184" s="102"/>
      <c r="J3184" s="102"/>
      <c r="K3184" s="450"/>
      <c r="L3184" s="443"/>
      <c r="M3184" s="450"/>
      <c r="N3184" s="452">
        <f t="array" ref="N3184">IFERROR(
  INDEX(
    'Valor Hora Real y Estimada'!$A$4:$Z$78,
    MATCH(TRIM(CLEAN(A3184)), 'Valor Hora Real y Estimada'!$A$4:$A$78, 0),
    MATCH(
      TEXT(C3184,"dd mmm")&amp;" "&amp;D3184,
      'Valor Hora Real y Estimada'!$A$3:$Z$3,
      0
    ) + 1
  ),
  0
)</f>
        <v>0</v>
      </c>
      <c r="O3184" s="453"/>
      <c r="P3184" s="113"/>
      <c r="Q3184" s="106" t="str">
        <f>IF(ISBLANK(O3184), "", VLOOKUP(C3184&amp;" "&amp;D3184, 'Info Tipo de Cambio y REM'!$A$24:$B$35, 2, FALSE))</f>
        <v/>
      </c>
      <c r="R3184" s="107"/>
    </row>
    <row r="3185" hidden="1">
      <c r="A3185" s="443"/>
      <c r="B3185" s="43" t="str">
        <f>IF(A3185="", "", IFERROR(VLOOKUP(A3185, Clasificaciones!A:B, 2, FALSE), "DATO NO CARGADO"))
</f>
        <v/>
      </c>
      <c r="C3185" s="51"/>
      <c r="D3185" s="102"/>
      <c r="E3185" s="102"/>
      <c r="H3185" s="102"/>
      <c r="J3185" s="102"/>
      <c r="K3185" s="450"/>
      <c r="L3185" s="443"/>
      <c r="M3185" s="450"/>
      <c r="N3185" s="452">
        <f t="array" ref="N3185">IFERROR(
  INDEX(
    'Valor Hora Real y Estimada'!$A$4:$Z$78,
    MATCH(TRIM(CLEAN(A3185)), 'Valor Hora Real y Estimada'!$A$4:$A$78, 0),
    MATCH(
      TEXT(C3185,"dd mmm")&amp;" "&amp;D3185,
      'Valor Hora Real y Estimada'!$A$3:$Z$3,
      0
    ) + 1
  ),
  0
)</f>
        <v>0</v>
      </c>
      <c r="O3185" s="453"/>
      <c r="P3185" s="113"/>
      <c r="Q3185" s="106" t="str">
        <f>IF(ISBLANK(O3185), "", VLOOKUP(C3185&amp;" "&amp;D3185, 'Info Tipo de Cambio y REM'!$A$24:$B$35, 2, FALSE))</f>
        <v/>
      </c>
      <c r="R3185" s="107"/>
    </row>
    <row r="3186" hidden="1">
      <c r="A3186" s="443"/>
      <c r="B3186" s="43" t="str">
        <f>IF(A3186="", "", IFERROR(VLOOKUP(A3186, Clasificaciones!A:B, 2, FALSE), "DATO NO CARGADO"))
</f>
        <v/>
      </c>
      <c r="C3186" s="51"/>
      <c r="D3186" s="102"/>
      <c r="E3186" s="102"/>
      <c r="H3186" s="102"/>
      <c r="J3186" s="102"/>
      <c r="K3186" s="450"/>
      <c r="L3186" s="443"/>
      <c r="M3186" s="450"/>
      <c r="N3186" s="452">
        <f t="array" ref="N3186">IFERROR(
  INDEX(
    'Valor Hora Real y Estimada'!$A$4:$Z$78,
    MATCH(TRIM(CLEAN(A3186)), 'Valor Hora Real y Estimada'!$A$4:$A$78, 0),
    MATCH(
      TEXT(C3186,"dd mmm")&amp;" "&amp;D3186,
      'Valor Hora Real y Estimada'!$A$3:$Z$3,
      0
    ) + 1
  ),
  0
)</f>
        <v>0</v>
      </c>
      <c r="O3186" s="453"/>
      <c r="P3186" s="113"/>
      <c r="Q3186" s="106" t="str">
        <f>IF(ISBLANK(O3186), "", VLOOKUP(C3186&amp;" "&amp;D3186, 'Info Tipo de Cambio y REM'!$A$24:$B$35, 2, FALSE))</f>
        <v/>
      </c>
      <c r="R3186" s="107"/>
    </row>
    <row r="3187" hidden="1">
      <c r="A3187" s="443"/>
      <c r="B3187" s="43" t="str">
        <f>IF(A3187="", "", IFERROR(VLOOKUP(A3187, Clasificaciones!A:B, 2, FALSE), "DATO NO CARGADO"))
</f>
        <v/>
      </c>
      <c r="C3187" s="51"/>
      <c r="D3187" s="102"/>
      <c r="E3187" s="102"/>
      <c r="H3187" s="102"/>
      <c r="J3187" s="102"/>
      <c r="K3187" s="450"/>
      <c r="L3187" s="443"/>
      <c r="M3187" s="450"/>
      <c r="N3187" s="452">
        <f t="array" ref="N3187">IFERROR(
  INDEX(
    'Valor Hora Real y Estimada'!$A$4:$Z$78,
    MATCH(TRIM(CLEAN(A3187)), 'Valor Hora Real y Estimada'!$A$4:$A$78, 0),
    MATCH(
      TEXT(C3187,"dd mmm")&amp;" "&amp;D3187,
      'Valor Hora Real y Estimada'!$A$3:$Z$3,
      0
    ) + 1
  ),
  0
)</f>
        <v>0</v>
      </c>
      <c r="O3187" s="453"/>
      <c r="P3187" s="113"/>
      <c r="Q3187" s="106" t="str">
        <f>IF(ISBLANK(O3187), "", VLOOKUP(C3187&amp;" "&amp;D3187, 'Info Tipo de Cambio y REM'!$A$24:$B$35, 2, FALSE))</f>
        <v/>
      </c>
      <c r="R3187" s="107"/>
    </row>
    <row r="3188" hidden="1">
      <c r="A3188" s="443"/>
      <c r="B3188" s="43" t="str">
        <f>IF(A3188="", "", IFERROR(VLOOKUP(A3188, Clasificaciones!A:B, 2, FALSE), "DATO NO CARGADO"))
</f>
        <v/>
      </c>
      <c r="C3188" s="51"/>
      <c r="D3188" s="102"/>
      <c r="E3188" s="102"/>
      <c r="H3188" s="102"/>
      <c r="J3188" s="102"/>
      <c r="K3188" s="450"/>
      <c r="L3188" s="443"/>
      <c r="M3188" s="450"/>
      <c r="N3188" s="452">
        <f t="array" ref="N3188">IFERROR(
  INDEX(
    'Valor Hora Real y Estimada'!$A$4:$Z$78,
    MATCH(TRIM(CLEAN(A3188)), 'Valor Hora Real y Estimada'!$A$4:$A$78, 0),
    MATCH(
      TEXT(C3188,"dd mmm")&amp;" "&amp;D3188,
      'Valor Hora Real y Estimada'!$A$3:$Z$3,
      0
    ) + 1
  ),
  0
)</f>
        <v>0</v>
      </c>
      <c r="O3188" s="453"/>
      <c r="P3188" s="113"/>
      <c r="Q3188" s="106" t="str">
        <f>IF(ISBLANK(O3188), "", VLOOKUP(C3188&amp;" "&amp;D3188, 'Info Tipo de Cambio y REM'!$A$24:$B$35, 2, FALSE))</f>
        <v/>
      </c>
      <c r="R3188" s="107"/>
    </row>
    <row r="3189" hidden="1">
      <c r="A3189" s="443"/>
      <c r="B3189" s="43" t="str">
        <f>IF(A3189="", "", IFERROR(VLOOKUP(A3189, Clasificaciones!A:B, 2, FALSE), "DATO NO CARGADO"))
</f>
        <v/>
      </c>
      <c r="C3189" s="51"/>
      <c r="D3189" s="102"/>
      <c r="E3189" s="102"/>
      <c r="H3189" s="102"/>
      <c r="J3189" s="102"/>
      <c r="K3189" s="450"/>
      <c r="L3189" s="443"/>
      <c r="M3189" s="450"/>
      <c r="N3189" s="452">
        <f t="array" ref="N3189">IFERROR(
  INDEX(
    'Valor Hora Real y Estimada'!$A$4:$Z$78,
    MATCH(TRIM(CLEAN(A3189)), 'Valor Hora Real y Estimada'!$A$4:$A$78, 0),
    MATCH(
      TEXT(C3189,"dd mmm")&amp;" "&amp;D3189,
      'Valor Hora Real y Estimada'!$A$3:$Z$3,
      0
    ) + 1
  ),
  0
)</f>
        <v>0</v>
      </c>
      <c r="O3189" s="453"/>
      <c r="P3189" s="113"/>
      <c r="Q3189" s="106" t="str">
        <f>IF(ISBLANK(O3189), "", VLOOKUP(C3189&amp;" "&amp;D3189, 'Info Tipo de Cambio y REM'!$A$24:$B$35, 2, FALSE))</f>
        <v/>
      </c>
      <c r="R3189" s="107"/>
    </row>
    <row r="3190" hidden="1">
      <c r="A3190" s="443"/>
      <c r="B3190" s="43" t="str">
        <f>IF(A3190="", "", IFERROR(VLOOKUP(A3190, Clasificaciones!A:B, 2, FALSE), "DATO NO CARGADO"))
</f>
        <v/>
      </c>
      <c r="C3190" s="51"/>
      <c r="D3190" s="102"/>
      <c r="E3190" s="102"/>
      <c r="H3190" s="102"/>
      <c r="J3190" s="102"/>
      <c r="K3190" s="450"/>
      <c r="L3190" s="443"/>
      <c r="M3190" s="450"/>
      <c r="N3190" s="452">
        <f t="array" ref="N3190">IFERROR(
  INDEX(
    'Valor Hora Real y Estimada'!$A$4:$Z$78,
    MATCH(TRIM(CLEAN(A3190)), 'Valor Hora Real y Estimada'!$A$4:$A$78, 0),
    MATCH(
      TEXT(C3190,"dd mmm")&amp;" "&amp;D3190,
      'Valor Hora Real y Estimada'!$A$3:$Z$3,
      0
    ) + 1
  ),
  0
)</f>
        <v>0</v>
      </c>
      <c r="O3190" s="453"/>
      <c r="P3190" s="113"/>
      <c r="Q3190" s="106" t="str">
        <f>IF(ISBLANK(O3190), "", VLOOKUP(C3190&amp;" "&amp;D3190, 'Info Tipo de Cambio y REM'!$A$24:$B$35, 2, FALSE))</f>
        <v/>
      </c>
      <c r="R3190" s="107"/>
    </row>
    <row r="3191" hidden="1">
      <c r="A3191" s="443"/>
      <c r="B3191" s="43" t="str">
        <f>IF(A3191="", "", IFERROR(VLOOKUP(A3191, Clasificaciones!A:B, 2, FALSE), "DATO NO CARGADO"))
</f>
        <v/>
      </c>
      <c r="C3191" s="51"/>
      <c r="D3191" s="102"/>
      <c r="E3191" s="102"/>
      <c r="H3191" s="102"/>
      <c r="J3191" s="102"/>
      <c r="K3191" s="450"/>
      <c r="L3191" s="443"/>
      <c r="M3191" s="450"/>
      <c r="N3191" s="452">
        <f t="array" ref="N3191">IFERROR(
  INDEX(
    'Valor Hora Real y Estimada'!$A$4:$Z$78,
    MATCH(TRIM(CLEAN(A3191)), 'Valor Hora Real y Estimada'!$A$4:$A$78, 0),
    MATCH(
      TEXT(C3191,"dd mmm")&amp;" "&amp;D3191,
      'Valor Hora Real y Estimada'!$A$3:$Z$3,
      0
    ) + 1
  ),
  0
)</f>
        <v>0</v>
      </c>
      <c r="O3191" s="453"/>
      <c r="P3191" s="113"/>
      <c r="Q3191" s="106" t="str">
        <f>IF(ISBLANK(O3191), "", VLOOKUP(C3191&amp;" "&amp;D3191, 'Info Tipo de Cambio y REM'!$A$24:$B$35, 2, FALSE))</f>
        <v/>
      </c>
      <c r="R3191" s="107"/>
    </row>
    <row r="3192" hidden="1">
      <c r="A3192" s="443"/>
      <c r="B3192" s="43" t="str">
        <f>IF(A3192="", "", IFERROR(VLOOKUP(A3192, Clasificaciones!A:B, 2, FALSE), "DATO NO CARGADO"))
</f>
        <v/>
      </c>
      <c r="C3192" s="51"/>
      <c r="D3192" s="102"/>
      <c r="E3192" s="102"/>
      <c r="H3192" s="102"/>
      <c r="J3192" s="102"/>
      <c r="K3192" s="450"/>
      <c r="L3192" s="443"/>
      <c r="M3192" s="450"/>
      <c r="N3192" s="452">
        <f t="array" ref="N3192">IFERROR(
  INDEX(
    'Valor Hora Real y Estimada'!$A$4:$Z$78,
    MATCH(TRIM(CLEAN(A3192)), 'Valor Hora Real y Estimada'!$A$4:$A$78, 0),
    MATCH(
      TEXT(C3192,"dd mmm")&amp;" "&amp;D3192,
      'Valor Hora Real y Estimada'!$A$3:$Z$3,
      0
    ) + 1
  ),
  0
)</f>
        <v>0</v>
      </c>
      <c r="O3192" s="453"/>
      <c r="P3192" s="113"/>
      <c r="Q3192" s="106" t="str">
        <f>IF(ISBLANK(O3192), "", VLOOKUP(C3192&amp;" "&amp;D3192, 'Info Tipo de Cambio y REM'!$A$24:$B$35, 2, FALSE))</f>
        <v/>
      </c>
      <c r="R3192" s="107"/>
    </row>
    <row r="3193" hidden="1">
      <c r="A3193" s="443"/>
      <c r="B3193" s="43" t="str">
        <f>IF(A3193="", "", IFERROR(VLOOKUP(A3193, Clasificaciones!A:B, 2, FALSE), "DATO NO CARGADO"))
</f>
        <v/>
      </c>
      <c r="C3193" s="51"/>
      <c r="D3193" s="102"/>
      <c r="E3193" s="102"/>
      <c r="H3193" s="102"/>
      <c r="J3193" s="102"/>
      <c r="K3193" s="450"/>
      <c r="L3193" s="443"/>
      <c r="M3193" s="450"/>
      <c r="N3193" s="452">
        <f t="array" ref="N3193">IFERROR(
  INDEX(
    'Valor Hora Real y Estimada'!$A$4:$Z$78,
    MATCH(TRIM(CLEAN(A3193)), 'Valor Hora Real y Estimada'!$A$4:$A$78, 0),
    MATCH(
      TEXT(C3193,"dd mmm")&amp;" "&amp;D3193,
      'Valor Hora Real y Estimada'!$A$3:$Z$3,
      0
    ) + 1
  ),
  0
)</f>
        <v>0</v>
      </c>
      <c r="O3193" s="453"/>
      <c r="P3193" s="113"/>
      <c r="Q3193" s="106" t="str">
        <f>IF(ISBLANK(O3193), "", VLOOKUP(C3193&amp;" "&amp;D3193, 'Info Tipo de Cambio y REM'!$A$24:$B$35, 2, FALSE))</f>
        <v/>
      </c>
      <c r="R3193" s="107"/>
    </row>
    <row r="3194" hidden="1">
      <c r="A3194" s="443"/>
      <c r="B3194" s="43" t="str">
        <f>IF(A3194="", "", IFERROR(VLOOKUP(A3194, Clasificaciones!A:B, 2, FALSE), "DATO NO CARGADO"))
</f>
        <v/>
      </c>
      <c r="C3194" s="51"/>
      <c r="D3194" s="102"/>
      <c r="E3194" s="102"/>
      <c r="H3194" s="102"/>
      <c r="J3194" s="102"/>
      <c r="K3194" s="450"/>
      <c r="L3194" s="443"/>
      <c r="M3194" s="450"/>
      <c r="N3194" s="452">
        <f t="array" ref="N3194">IFERROR(
  INDEX(
    'Valor Hora Real y Estimada'!$A$4:$Z$78,
    MATCH(TRIM(CLEAN(A3194)), 'Valor Hora Real y Estimada'!$A$4:$A$78, 0),
    MATCH(
      TEXT(C3194,"dd mmm")&amp;" "&amp;D3194,
      'Valor Hora Real y Estimada'!$A$3:$Z$3,
      0
    ) + 1
  ),
  0
)</f>
        <v>0</v>
      </c>
      <c r="O3194" s="453"/>
      <c r="P3194" s="113"/>
      <c r="Q3194" s="106" t="str">
        <f>IF(ISBLANK(O3194), "", VLOOKUP(C3194&amp;" "&amp;D3194, 'Info Tipo de Cambio y REM'!$A$24:$B$35, 2, FALSE))</f>
        <v/>
      </c>
      <c r="R3194" s="107"/>
    </row>
    <row r="3195" hidden="1">
      <c r="A3195" s="443"/>
      <c r="B3195" s="43" t="str">
        <f>IF(A3195="", "", IFERROR(VLOOKUP(A3195, Clasificaciones!A:B, 2, FALSE), "DATO NO CARGADO"))
</f>
        <v/>
      </c>
      <c r="C3195" s="51"/>
      <c r="D3195" s="102"/>
      <c r="E3195" s="102"/>
      <c r="H3195" s="102"/>
      <c r="J3195" s="102"/>
      <c r="K3195" s="450"/>
      <c r="L3195" s="443"/>
      <c r="M3195" s="450"/>
      <c r="N3195" s="452">
        <f t="array" ref="N3195">IFERROR(
  INDEX(
    'Valor Hora Real y Estimada'!$A$4:$Z$78,
    MATCH(TRIM(CLEAN(A3195)), 'Valor Hora Real y Estimada'!$A$4:$A$78, 0),
    MATCH(
      TEXT(C3195,"dd mmm")&amp;" "&amp;D3195,
      'Valor Hora Real y Estimada'!$A$3:$Z$3,
      0
    ) + 1
  ),
  0
)</f>
        <v>0</v>
      </c>
      <c r="O3195" s="453"/>
      <c r="P3195" s="113"/>
      <c r="Q3195" s="106" t="str">
        <f>IF(ISBLANK(O3195), "", VLOOKUP(C3195&amp;" "&amp;D3195, 'Info Tipo de Cambio y REM'!$A$24:$B$35, 2, FALSE))</f>
        <v/>
      </c>
      <c r="R3195" s="107"/>
    </row>
    <row r="3196" hidden="1">
      <c r="A3196" s="443"/>
      <c r="B3196" s="43" t="str">
        <f>IF(A3196="", "", IFERROR(VLOOKUP(A3196, Clasificaciones!A:B, 2, FALSE), "DATO NO CARGADO"))
</f>
        <v/>
      </c>
      <c r="C3196" s="51"/>
      <c r="D3196" s="102"/>
      <c r="E3196" s="102"/>
      <c r="H3196" s="102"/>
      <c r="J3196" s="102"/>
      <c r="K3196" s="450"/>
      <c r="L3196" s="443"/>
      <c r="M3196" s="450"/>
      <c r="N3196" s="452">
        <f t="array" ref="N3196">IFERROR(
  INDEX(
    'Valor Hora Real y Estimada'!$A$4:$Z$78,
    MATCH(TRIM(CLEAN(A3196)), 'Valor Hora Real y Estimada'!$A$4:$A$78, 0),
    MATCH(
      TEXT(C3196,"dd mmm")&amp;" "&amp;D3196,
      'Valor Hora Real y Estimada'!$A$3:$Z$3,
      0
    ) + 1
  ),
  0
)</f>
        <v>0</v>
      </c>
      <c r="O3196" s="453"/>
      <c r="P3196" s="113"/>
      <c r="Q3196" s="106" t="str">
        <f>IF(ISBLANK(O3196), "", VLOOKUP(C3196&amp;" "&amp;D3196, 'Info Tipo de Cambio y REM'!$A$24:$B$35, 2, FALSE))</f>
        <v/>
      </c>
      <c r="R3196" s="107"/>
    </row>
    <row r="3197" hidden="1">
      <c r="A3197" s="443"/>
      <c r="B3197" s="43" t="str">
        <f>IF(A3197="", "", IFERROR(VLOOKUP(A3197, Clasificaciones!A:B, 2, FALSE), "DATO NO CARGADO"))
</f>
        <v/>
      </c>
      <c r="C3197" s="51"/>
      <c r="D3197" s="102"/>
      <c r="E3197" s="102"/>
      <c r="H3197" s="102"/>
      <c r="J3197" s="102"/>
      <c r="K3197" s="450"/>
      <c r="L3197" s="443"/>
      <c r="M3197" s="450"/>
      <c r="N3197" s="452">
        <f t="array" ref="N3197">IFERROR(
  INDEX(
    'Valor Hora Real y Estimada'!$A$4:$Z$78,
    MATCH(TRIM(CLEAN(A3197)), 'Valor Hora Real y Estimada'!$A$4:$A$78, 0),
    MATCH(
      TEXT(C3197,"dd mmm")&amp;" "&amp;D3197,
      'Valor Hora Real y Estimada'!$A$3:$Z$3,
      0
    ) + 1
  ),
  0
)</f>
        <v>0</v>
      </c>
      <c r="O3197" s="453"/>
      <c r="P3197" s="113"/>
      <c r="Q3197" s="106" t="str">
        <f>IF(ISBLANK(O3197), "", VLOOKUP(C3197&amp;" "&amp;D3197, 'Info Tipo de Cambio y REM'!$A$24:$B$35, 2, FALSE))</f>
        <v/>
      </c>
      <c r="R3197" s="107"/>
    </row>
    <row r="3198" hidden="1">
      <c r="A3198" s="443"/>
      <c r="B3198" s="43" t="str">
        <f>IF(A3198="", "", IFERROR(VLOOKUP(A3198, Clasificaciones!A:B, 2, FALSE), "DATO NO CARGADO"))
</f>
        <v/>
      </c>
      <c r="C3198" s="51"/>
      <c r="D3198" s="102"/>
      <c r="E3198" s="102"/>
      <c r="H3198" s="102"/>
      <c r="J3198" s="102"/>
      <c r="K3198" s="450"/>
      <c r="L3198" s="443"/>
      <c r="M3198" s="450"/>
      <c r="N3198" s="452">
        <f t="array" ref="N3198">IFERROR(
  INDEX(
    'Valor Hora Real y Estimada'!$A$4:$Z$78,
    MATCH(TRIM(CLEAN(A3198)), 'Valor Hora Real y Estimada'!$A$4:$A$78, 0),
    MATCH(
      TEXT(C3198,"dd mmm")&amp;" "&amp;D3198,
      'Valor Hora Real y Estimada'!$A$3:$Z$3,
      0
    ) + 1
  ),
  0
)</f>
        <v>0</v>
      </c>
      <c r="O3198" s="453"/>
      <c r="P3198" s="113"/>
      <c r="Q3198" s="106" t="str">
        <f>IF(ISBLANK(O3198), "", VLOOKUP(C3198&amp;" "&amp;D3198, 'Info Tipo de Cambio y REM'!$A$24:$B$35, 2, FALSE))</f>
        <v/>
      </c>
      <c r="R3198" s="107"/>
    </row>
    <row r="3199" hidden="1">
      <c r="A3199" s="443"/>
      <c r="B3199" s="43" t="str">
        <f>IF(A3199="", "", IFERROR(VLOOKUP(A3199, Clasificaciones!A:B, 2, FALSE), "DATO NO CARGADO"))
</f>
        <v/>
      </c>
      <c r="C3199" s="51"/>
      <c r="D3199" s="102"/>
      <c r="E3199" s="102"/>
      <c r="H3199" s="102"/>
      <c r="J3199" s="102"/>
      <c r="K3199" s="450"/>
      <c r="L3199" s="443"/>
      <c r="M3199" s="450"/>
      <c r="N3199" s="452">
        <f t="array" ref="N3199">IFERROR(
  INDEX(
    'Valor Hora Real y Estimada'!$A$4:$Z$78,
    MATCH(TRIM(CLEAN(A3199)), 'Valor Hora Real y Estimada'!$A$4:$A$78, 0),
    MATCH(
      TEXT(C3199,"dd mmm")&amp;" "&amp;D3199,
      'Valor Hora Real y Estimada'!$A$3:$Z$3,
      0
    ) + 1
  ),
  0
)</f>
        <v>0</v>
      </c>
      <c r="O3199" s="453"/>
      <c r="P3199" s="113"/>
      <c r="Q3199" s="106" t="str">
        <f>IF(ISBLANK(O3199), "", VLOOKUP(C3199&amp;" "&amp;D3199, 'Info Tipo de Cambio y REM'!$A$24:$B$35, 2, FALSE))</f>
        <v/>
      </c>
      <c r="R3199" s="107"/>
    </row>
    <row r="3200" hidden="1">
      <c r="A3200" s="443"/>
      <c r="B3200" s="43" t="str">
        <f>IF(A3200="", "", IFERROR(VLOOKUP(A3200, Clasificaciones!A:B, 2, FALSE), "DATO NO CARGADO"))
</f>
        <v/>
      </c>
      <c r="C3200" s="51"/>
      <c r="D3200" s="102"/>
      <c r="E3200" s="102"/>
      <c r="H3200" s="102"/>
      <c r="J3200" s="102"/>
      <c r="K3200" s="450"/>
      <c r="L3200" s="443"/>
      <c r="M3200" s="450"/>
      <c r="N3200" s="452">
        <f t="array" ref="N3200">IFERROR(
  INDEX(
    'Valor Hora Real y Estimada'!$A$4:$Z$78,
    MATCH(TRIM(CLEAN(A3200)), 'Valor Hora Real y Estimada'!$A$4:$A$78, 0),
    MATCH(
      TEXT(C3200,"dd mmm")&amp;" "&amp;D3200,
      'Valor Hora Real y Estimada'!$A$3:$Z$3,
      0
    ) + 1
  ),
  0
)</f>
        <v>0</v>
      </c>
      <c r="O3200" s="453"/>
      <c r="P3200" s="113"/>
      <c r="Q3200" s="106" t="str">
        <f>IF(ISBLANK(O3200), "", VLOOKUP(C3200&amp;" "&amp;D3200, 'Info Tipo de Cambio y REM'!$A$24:$B$35, 2, FALSE))</f>
        <v/>
      </c>
      <c r="R3200" s="107"/>
    </row>
    <row r="3201" hidden="1">
      <c r="A3201" s="443"/>
      <c r="B3201" s="43" t="str">
        <f>IF(A3201="", "", IFERROR(VLOOKUP(A3201, Clasificaciones!A:B, 2, FALSE), "DATO NO CARGADO"))
</f>
        <v/>
      </c>
      <c r="C3201" s="51"/>
      <c r="D3201" s="102"/>
      <c r="E3201" s="102"/>
      <c r="H3201" s="102"/>
      <c r="J3201" s="102"/>
      <c r="K3201" s="450"/>
      <c r="L3201" s="443"/>
      <c r="M3201" s="450"/>
      <c r="N3201" s="452">
        <f t="array" ref="N3201">IFERROR(
  INDEX(
    'Valor Hora Real y Estimada'!$A$4:$Z$78,
    MATCH(TRIM(CLEAN(A3201)), 'Valor Hora Real y Estimada'!$A$4:$A$78, 0),
    MATCH(
      TEXT(C3201,"dd mmm")&amp;" "&amp;D3201,
      'Valor Hora Real y Estimada'!$A$3:$Z$3,
      0
    ) + 1
  ),
  0
)</f>
        <v>0</v>
      </c>
      <c r="O3201" s="453"/>
      <c r="P3201" s="113"/>
      <c r="Q3201" s="106" t="str">
        <f>IF(ISBLANK(O3201), "", VLOOKUP(C3201&amp;" "&amp;D3201, 'Info Tipo de Cambio y REM'!$A$24:$B$35, 2, FALSE))</f>
        <v/>
      </c>
      <c r="R3201" s="107"/>
    </row>
    <row r="3202" hidden="1">
      <c r="A3202" s="443"/>
      <c r="B3202" s="43" t="str">
        <f>IF(A3202="", "", IFERROR(VLOOKUP(A3202, Clasificaciones!A:B, 2, FALSE), "DATO NO CARGADO"))
</f>
        <v/>
      </c>
      <c r="C3202" s="51"/>
      <c r="D3202" s="102"/>
      <c r="E3202" s="102"/>
      <c r="H3202" s="102"/>
      <c r="J3202" s="102"/>
      <c r="K3202" s="450"/>
      <c r="L3202" s="443"/>
      <c r="M3202" s="450"/>
      <c r="N3202" s="452">
        <f t="array" ref="N3202">IFERROR(
  INDEX(
    'Valor Hora Real y Estimada'!$A$4:$Z$78,
    MATCH(TRIM(CLEAN(A3202)), 'Valor Hora Real y Estimada'!$A$4:$A$78, 0),
    MATCH(
      TEXT(C3202,"dd mmm")&amp;" "&amp;D3202,
      'Valor Hora Real y Estimada'!$A$3:$Z$3,
      0
    ) + 1
  ),
  0
)</f>
        <v>0</v>
      </c>
      <c r="O3202" s="453"/>
      <c r="P3202" s="113"/>
      <c r="Q3202" s="106" t="str">
        <f>IF(ISBLANK(O3202), "", VLOOKUP(C3202&amp;" "&amp;D3202, 'Info Tipo de Cambio y REM'!$A$24:$B$35, 2, FALSE))</f>
        <v/>
      </c>
      <c r="R3202" s="107"/>
    </row>
    <row r="3203" hidden="1">
      <c r="A3203" s="443"/>
      <c r="B3203" s="43" t="str">
        <f>IF(A3203="", "", IFERROR(VLOOKUP(A3203, Clasificaciones!A:B, 2, FALSE), "DATO NO CARGADO"))
</f>
        <v/>
      </c>
      <c r="C3203" s="51"/>
      <c r="D3203" s="102"/>
      <c r="E3203" s="102"/>
      <c r="H3203" s="102"/>
      <c r="J3203" s="102"/>
      <c r="K3203" s="450"/>
      <c r="L3203" s="443"/>
      <c r="M3203" s="450"/>
      <c r="N3203" s="452">
        <f t="array" ref="N3203">IFERROR(
  INDEX(
    'Valor Hora Real y Estimada'!$A$4:$Z$78,
    MATCH(TRIM(CLEAN(A3203)), 'Valor Hora Real y Estimada'!$A$4:$A$78, 0),
    MATCH(
      TEXT(C3203,"dd mmm")&amp;" "&amp;D3203,
      'Valor Hora Real y Estimada'!$A$3:$Z$3,
      0
    ) + 1
  ),
  0
)</f>
        <v>0</v>
      </c>
      <c r="O3203" s="453"/>
      <c r="P3203" s="113"/>
      <c r="Q3203" s="106" t="str">
        <f>IF(ISBLANK(O3203), "", VLOOKUP(C3203&amp;" "&amp;D3203, 'Info Tipo de Cambio y REM'!$A$24:$B$35, 2, FALSE))</f>
        <v/>
      </c>
      <c r="R3203" s="107"/>
    </row>
    <row r="3204" hidden="1">
      <c r="A3204" s="443"/>
      <c r="B3204" s="43" t="str">
        <f>IF(A3204="", "", IFERROR(VLOOKUP(A3204, Clasificaciones!A:B, 2, FALSE), "DATO NO CARGADO"))
</f>
        <v/>
      </c>
      <c r="C3204" s="51"/>
      <c r="D3204" s="102"/>
      <c r="E3204" s="102"/>
      <c r="H3204" s="102"/>
      <c r="J3204" s="102"/>
      <c r="K3204" s="450"/>
      <c r="L3204" s="443"/>
      <c r="M3204" s="450"/>
      <c r="N3204" s="452">
        <f t="array" ref="N3204">IFERROR(
  INDEX(
    'Valor Hora Real y Estimada'!$A$4:$Z$78,
    MATCH(TRIM(CLEAN(A3204)), 'Valor Hora Real y Estimada'!$A$4:$A$78, 0),
    MATCH(
      TEXT(C3204,"dd mmm")&amp;" "&amp;D3204,
      'Valor Hora Real y Estimada'!$A$3:$Z$3,
      0
    ) + 1
  ),
  0
)</f>
        <v>0</v>
      </c>
      <c r="O3204" s="453"/>
      <c r="P3204" s="113"/>
      <c r="Q3204" s="106" t="str">
        <f>IF(ISBLANK(O3204), "", VLOOKUP(C3204&amp;" "&amp;D3204, 'Info Tipo de Cambio y REM'!$A$24:$B$35, 2, FALSE))</f>
        <v/>
      </c>
      <c r="R3204" s="107"/>
    </row>
    <row r="3205" hidden="1">
      <c r="A3205" s="443"/>
      <c r="B3205" s="43" t="str">
        <f>IF(A3205="", "", IFERROR(VLOOKUP(A3205, Clasificaciones!A:B, 2, FALSE), "DATO NO CARGADO"))
</f>
        <v/>
      </c>
      <c r="C3205" s="51"/>
      <c r="D3205" s="102"/>
      <c r="E3205" s="102"/>
      <c r="H3205" s="102"/>
      <c r="J3205" s="102"/>
      <c r="K3205" s="450"/>
      <c r="L3205" s="443"/>
      <c r="M3205" s="450"/>
      <c r="N3205" s="452">
        <f t="array" ref="N3205">IFERROR(
  INDEX(
    'Valor Hora Real y Estimada'!$A$4:$Z$78,
    MATCH(TRIM(CLEAN(A3205)), 'Valor Hora Real y Estimada'!$A$4:$A$78, 0),
    MATCH(
      TEXT(C3205,"dd mmm")&amp;" "&amp;D3205,
      'Valor Hora Real y Estimada'!$A$3:$Z$3,
      0
    ) + 1
  ),
  0
)</f>
        <v>0</v>
      </c>
      <c r="O3205" s="453"/>
      <c r="P3205" s="113"/>
      <c r="Q3205" s="106" t="str">
        <f>IF(ISBLANK(O3205), "", VLOOKUP(C3205&amp;" "&amp;D3205, 'Info Tipo de Cambio y REM'!$A$24:$B$35, 2, FALSE))</f>
        <v/>
      </c>
      <c r="R3205" s="107"/>
    </row>
    <row r="3206" hidden="1">
      <c r="A3206" s="443"/>
      <c r="B3206" s="43" t="str">
        <f>IF(A3206="", "", IFERROR(VLOOKUP(A3206, Clasificaciones!A:B, 2, FALSE), "DATO NO CARGADO"))
</f>
        <v/>
      </c>
      <c r="C3206" s="51"/>
      <c r="D3206" s="102"/>
      <c r="E3206" s="102"/>
      <c r="H3206" s="102"/>
      <c r="J3206" s="102"/>
      <c r="K3206" s="450"/>
      <c r="L3206" s="443"/>
      <c r="M3206" s="450"/>
      <c r="N3206" s="452">
        <f t="array" ref="N3206">IFERROR(
  INDEX(
    'Valor Hora Real y Estimada'!$A$4:$Z$78,
    MATCH(TRIM(CLEAN(A3206)), 'Valor Hora Real y Estimada'!$A$4:$A$78, 0),
    MATCH(
      TEXT(C3206,"dd mmm")&amp;" "&amp;D3206,
      'Valor Hora Real y Estimada'!$A$3:$Z$3,
      0
    ) + 1
  ),
  0
)</f>
        <v>0</v>
      </c>
      <c r="O3206" s="453"/>
      <c r="P3206" s="113"/>
      <c r="Q3206" s="106" t="str">
        <f>IF(ISBLANK(O3206), "", VLOOKUP(C3206&amp;" "&amp;D3206, 'Info Tipo de Cambio y REM'!$A$24:$B$35, 2, FALSE))</f>
        <v/>
      </c>
      <c r="R3206" s="107"/>
    </row>
    <row r="3207" hidden="1">
      <c r="A3207" s="443"/>
      <c r="B3207" s="43" t="str">
        <f>IF(A3207="", "", IFERROR(VLOOKUP(A3207, Clasificaciones!A:B, 2, FALSE), "DATO NO CARGADO"))
</f>
        <v/>
      </c>
      <c r="C3207" s="51"/>
      <c r="D3207" s="102"/>
      <c r="E3207" s="102"/>
      <c r="H3207" s="102"/>
      <c r="J3207" s="102"/>
      <c r="K3207" s="450"/>
      <c r="L3207" s="443"/>
      <c r="M3207" s="450"/>
      <c r="N3207" s="452">
        <f t="array" ref="N3207">IFERROR(
  INDEX(
    'Valor Hora Real y Estimada'!$A$4:$Z$78,
    MATCH(TRIM(CLEAN(A3207)), 'Valor Hora Real y Estimada'!$A$4:$A$78, 0),
    MATCH(
      TEXT(C3207,"dd mmm")&amp;" "&amp;D3207,
      'Valor Hora Real y Estimada'!$A$3:$Z$3,
      0
    ) + 1
  ),
  0
)</f>
        <v>0</v>
      </c>
      <c r="O3207" s="453"/>
      <c r="P3207" s="113"/>
      <c r="Q3207" s="106" t="str">
        <f>IF(ISBLANK(O3207), "", VLOOKUP(C3207&amp;" "&amp;D3207, 'Info Tipo de Cambio y REM'!$A$24:$B$35, 2, FALSE))</f>
        <v/>
      </c>
      <c r="R3207" s="107"/>
    </row>
    <row r="3208" hidden="1">
      <c r="A3208" s="443"/>
      <c r="B3208" s="43" t="str">
        <f>IF(A3208="", "", IFERROR(VLOOKUP(A3208, Clasificaciones!A:B, 2, FALSE), "DATO NO CARGADO"))
</f>
        <v/>
      </c>
      <c r="C3208" s="51"/>
      <c r="D3208" s="102"/>
      <c r="E3208" s="102"/>
      <c r="H3208" s="102"/>
      <c r="J3208" s="102"/>
      <c r="K3208" s="450"/>
      <c r="L3208" s="443"/>
      <c r="M3208" s="450"/>
      <c r="N3208" s="452">
        <f t="array" ref="N3208">IFERROR(
  INDEX(
    'Valor Hora Real y Estimada'!$A$4:$Z$78,
    MATCH(TRIM(CLEAN(A3208)), 'Valor Hora Real y Estimada'!$A$4:$A$78, 0),
    MATCH(
      TEXT(C3208,"dd mmm")&amp;" "&amp;D3208,
      'Valor Hora Real y Estimada'!$A$3:$Z$3,
      0
    ) + 1
  ),
  0
)</f>
        <v>0</v>
      </c>
      <c r="O3208" s="453"/>
      <c r="P3208" s="113"/>
      <c r="Q3208" s="106" t="str">
        <f>IF(ISBLANK(O3208), "", VLOOKUP(C3208&amp;" "&amp;D3208, 'Info Tipo de Cambio y REM'!$A$24:$B$35, 2, FALSE))</f>
        <v/>
      </c>
      <c r="R3208" s="107"/>
    </row>
    <row r="3209" hidden="1">
      <c r="A3209" s="443"/>
      <c r="B3209" s="43" t="str">
        <f>IF(A3209="", "", IFERROR(VLOOKUP(A3209, Clasificaciones!A:B, 2, FALSE), "DATO NO CARGADO"))
</f>
        <v/>
      </c>
      <c r="C3209" s="51"/>
      <c r="D3209" s="102"/>
      <c r="E3209" s="102"/>
      <c r="H3209" s="102"/>
      <c r="J3209" s="102"/>
      <c r="K3209" s="450"/>
      <c r="L3209" s="443"/>
      <c r="M3209" s="450"/>
      <c r="N3209" s="452">
        <f t="array" ref="N3209">IFERROR(
  INDEX(
    'Valor Hora Real y Estimada'!$A$4:$Z$78,
    MATCH(TRIM(CLEAN(A3209)), 'Valor Hora Real y Estimada'!$A$4:$A$78, 0),
    MATCH(
      TEXT(C3209,"dd mmm")&amp;" "&amp;D3209,
      'Valor Hora Real y Estimada'!$A$3:$Z$3,
      0
    ) + 1
  ),
  0
)</f>
        <v>0</v>
      </c>
      <c r="O3209" s="453"/>
      <c r="P3209" s="113"/>
      <c r="Q3209" s="106" t="str">
        <f>IF(ISBLANK(O3209), "", VLOOKUP(C3209&amp;" "&amp;D3209, 'Info Tipo de Cambio y REM'!$A$24:$B$35, 2, FALSE))</f>
        <v/>
      </c>
      <c r="R3209" s="107"/>
    </row>
    <row r="3210" hidden="1">
      <c r="A3210" s="443"/>
      <c r="B3210" s="43" t="str">
        <f>IF(A3210="", "", IFERROR(VLOOKUP(A3210, Clasificaciones!A:B, 2, FALSE), "DATO NO CARGADO"))
</f>
        <v/>
      </c>
      <c r="C3210" s="51"/>
      <c r="D3210" s="102"/>
      <c r="E3210" s="102"/>
      <c r="H3210" s="102"/>
      <c r="J3210" s="102"/>
      <c r="K3210" s="450"/>
      <c r="L3210" s="443"/>
      <c r="M3210" s="450"/>
      <c r="N3210" s="452">
        <f t="array" ref="N3210">IFERROR(
  INDEX(
    'Valor Hora Real y Estimada'!$A$4:$Z$78,
    MATCH(TRIM(CLEAN(A3210)), 'Valor Hora Real y Estimada'!$A$4:$A$78, 0),
    MATCH(
      TEXT(C3210,"dd mmm")&amp;" "&amp;D3210,
      'Valor Hora Real y Estimada'!$A$3:$Z$3,
      0
    ) + 1
  ),
  0
)</f>
        <v>0</v>
      </c>
      <c r="O3210" s="453"/>
      <c r="P3210" s="113"/>
      <c r="Q3210" s="106" t="str">
        <f>IF(ISBLANK(O3210), "", VLOOKUP(C3210&amp;" "&amp;D3210, 'Info Tipo de Cambio y REM'!$A$24:$B$35, 2, FALSE))</f>
        <v/>
      </c>
      <c r="R3210" s="107"/>
    </row>
    <row r="3211" hidden="1">
      <c r="A3211" s="443"/>
      <c r="B3211" s="43" t="str">
        <f>IF(A3211="", "", IFERROR(VLOOKUP(A3211, Clasificaciones!A:B, 2, FALSE), "DATO NO CARGADO"))
</f>
        <v/>
      </c>
      <c r="C3211" s="51"/>
      <c r="D3211" s="102"/>
      <c r="E3211" s="102"/>
      <c r="H3211" s="102"/>
      <c r="J3211" s="102"/>
      <c r="K3211" s="450"/>
      <c r="L3211" s="443"/>
      <c r="M3211" s="450"/>
      <c r="N3211" s="452">
        <f t="array" ref="N3211">IFERROR(
  INDEX(
    'Valor Hora Real y Estimada'!$A$4:$Z$78,
    MATCH(TRIM(CLEAN(A3211)), 'Valor Hora Real y Estimada'!$A$4:$A$78, 0),
    MATCH(
      TEXT(C3211,"dd mmm")&amp;" "&amp;D3211,
      'Valor Hora Real y Estimada'!$A$3:$Z$3,
      0
    ) + 1
  ),
  0
)</f>
        <v>0</v>
      </c>
      <c r="O3211" s="453"/>
      <c r="P3211" s="113"/>
      <c r="Q3211" s="106" t="str">
        <f>IF(ISBLANK(O3211), "", VLOOKUP(C3211&amp;" "&amp;D3211, 'Info Tipo de Cambio y REM'!$A$24:$B$35, 2, FALSE))</f>
        <v/>
      </c>
      <c r="R3211" s="107"/>
    </row>
    <row r="3212" hidden="1">
      <c r="A3212" s="443"/>
      <c r="B3212" s="43" t="str">
        <f>IF(A3212="", "", IFERROR(VLOOKUP(A3212, Clasificaciones!A:B, 2, FALSE), "DATO NO CARGADO"))
</f>
        <v/>
      </c>
      <c r="C3212" s="51"/>
      <c r="D3212" s="102"/>
      <c r="E3212" s="102"/>
      <c r="H3212" s="102"/>
      <c r="J3212" s="102"/>
      <c r="K3212" s="450"/>
      <c r="L3212" s="443"/>
      <c r="M3212" s="450"/>
      <c r="N3212" s="452">
        <f t="array" ref="N3212">IFERROR(
  INDEX(
    'Valor Hora Real y Estimada'!$A$4:$Z$78,
    MATCH(TRIM(CLEAN(A3212)), 'Valor Hora Real y Estimada'!$A$4:$A$78, 0),
    MATCH(
      TEXT(C3212,"dd mmm")&amp;" "&amp;D3212,
      'Valor Hora Real y Estimada'!$A$3:$Z$3,
      0
    ) + 1
  ),
  0
)</f>
        <v>0</v>
      </c>
      <c r="O3212" s="453"/>
      <c r="P3212" s="113"/>
      <c r="Q3212" s="106" t="str">
        <f>IF(ISBLANK(O3212), "", VLOOKUP(C3212&amp;" "&amp;D3212, 'Info Tipo de Cambio y REM'!$A$24:$B$35, 2, FALSE))</f>
        <v/>
      </c>
      <c r="R3212" s="107"/>
    </row>
    <row r="3213" hidden="1">
      <c r="A3213" s="443"/>
      <c r="B3213" s="43" t="str">
        <f>IF(A3213="", "", IFERROR(VLOOKUP(A3213, Clasificaciones!A:B, 2, FALSE), "DATO NO CARGADO"))
</f>
        <v/>
      </c>
      <c r="C3213" s="51"/>
      <c r="D3213" s="102"/>
      <c r="E3213" s="102"/>
      <c r="H3213" s="102"/>
      <c r="J3213" s="102"/>
      <c r="K3213" s="450"/>
      <c r="L3213" s="443"/>
      <c r="M3213" s="450"/>
      <c r="N3213" s="452">
        <f t="array" ref="N3213">IFERROR(
  INDEX(
    'Valor Hora Real y Estimada'!$A$4:$Z$78,
    MATCH(TRIM(CLEAN(A3213)), 'Valor Hora Real y Estimada'!$A$4:$A$78, 0),
    MATCH(
      TEXT(C3213,"dd mmm")&amp;" "&amp;D3213,
      'Valor Hora Real y Estimada'!$A$3:$Z$3,
      0
    ) + 1
  ),
  0
)</f>
        <v>0</v>
      </c>
      <c r="O3213" s="453"/>
      <c r="P3213" s="113"/>
      <c r="Q3213" s="106" t="str">
        <f>IF(ISBLANK(O3213), "", VLOOKUP(C3213&amp;" "&amp;D3213, 'Info Tipo de Cambio y REM'!$A$24:$B$35, 2, FALSE))</f>
        <v/>
      </c>
      <c r="R3213" s="107"/>
    </row>
    <row r="3214" hidden="1">
      <c r="A3214" s="443"/>
      <c r="B3214" s="43" t="str">
        <f>IF(A3214="", "", IFERROR(VLOOKUP(A3214, Clasificaciones!A:B, 2, FALSE), "DATO NO CARGADO"))
</f>
        <v/>
      </c>
      <c r="C3214" s="51"/>
      <c r="D3214" s="102"/>
      <c r="E3214" s="102"/>
      <c r="H3214" s="102"/>
      <c r="J3214" s="102"/>
      <c r="K3214" s="450"/>
      <c r="L3214" s="443"/>
      <c r="M3214" s="450"/>
      <c r="N3214" s="452">
        <f t="array" ref="N3214">IFERROR(
  INDEX(
    'Valor Hora Real y Estimada'!$A$4:$Z$78,
    MATCH(TRIM(CLEAN(A3214)), 'Valor Hora Real y Estimada'!$A$4:$A$78, 0),
    MATCH(
      TEXT(C3214,"dd mmm")&amp;" "&amp;D3214,
      'Valor Hora Real y Estimada'!$A$3:$Z$3,
      0
    ) + 1
  ),
  0
)</f>
        <v>0</v>
      </c>
      <c r="O3214" s="453"/>
      <c r="P3214" s="113"/>
      <c r="Q3214" s="106" t="str">
        <f>IF(ISBLANK(O3214), "", VLOOKUP(C3214&amp;" "&amp;D3214, 'Info Tipo de Cambio y REM'!$A$24:$B$35, 2, FALSE))</f>
        <v/>
      </c>
      <c r="R3214" s="107"/>
    </row>
    <row r="3215" hidden="1">
      <c r="A3215" s="443"/>
      <c r="B3215" s="43" t="str">
        <f>IF(A3215="", "", IFERROR(VLOOKUP(A3215, Clasificaciones!A:B, 2, FALSE), "DATO NO CARGADO"))
</f>
        <v/>
      </c>
      <c r="C3215" s="51"/>
      <c r="D3215" s="102"/>
      <c r="E3215" s="102"/>
      <c r="H3215" s="102"/>
      <c r="J3215" s="102"/>
      <c r="K3215" s="450"/>
      <c r="L3215" s="443"/>
      <c r="M3215" s="450"/>
      <c r="N3215" s="452">
        <f t="array" ref="N3215">IFERROR(
  INDEX(
    'Valor Hora Real y Estimada'!$A$4:$Z$78,
    MATCH(TRIM(CLEAN(A3215)), 'Valor Hora Real y Estimada'!$A$4:$A$78, 0),
    MATCH(
      TEXT(C3215,"dd mmm")&amp;" "&amp;D3215,
      'Valor Hora Real y Estimada'!$A$3:$Z$3,
      0
    ) + 1
  ),
  0
)</f>
        <v>0</v>
      </c>
      <c r="O3215" s="453"/>
      <c r="P3215" s="113"/>
      <c r="Q3215" s="106" t="str">
        <f>IF(ISBLANK(O3215), "", VLOOKUP(C3215&amp;" "&amp;D3215, 'Info Tipo de Cambio y REM'!$A$24:$B$35, 2, FALSE))</f>
        <v/>
      </c>
      <c r="R3215" s="107"/>
    </row>
    <row r="3216" hidden="1">
      <c r="A3216" s="443"/>
      <c r="B3216" s="43" t="str">
        <f>IF(A3216="", "", IFERROR(VLOOKUP(A3216, Clasificaciones!A:B, 2, FALSE), "DATO NO CARGADO"))
</f>
        <v/>
      </c>
      <c r="C3216" s="51"/>
      <c r="D3216" s="102"/>
      <c r="E3216" s="102"/>
      <c r="H3216" s="102"/>
      <c r="J3216" s="102"/>
      <c r="K3216" s="450"/>
      <c r="L3216" s="443"/>
      <c r="M3216" s="450"/>
      <c r="N3216" s="452">
        <f t="array" ref="N3216">IFERROR(
  INDEX(
    'Valor Hora Real y Estimada'!$A$4:$Z$78,
    MATCH(TRIM(CLEAN(A3216)), 'Valor Hora Real y Estimada'!$A$4:$A$78, 0),
    MATCH(
      TEXT(C3216,"dd mmm")&amp;" "&amp;D3216,
      'Valor Hora Real y Estimada'!$A$3:$Z$3,
      0
    ) + 1
  ),
  0
)</f>
        <v>0</v>
      </c>
      <c r="O3216" s="453"/>
      <c r="P3216" s="113"/>
      <c r="Q3216" s="106" t="str">
        <f>IF(ISBLANK(O3216), "", VLOOKUP(C3216&amp;" "&amp;D3216, 'Info Tipo de Cambio y REM'!$A$24:$B$35, 2, FALSE))</f>
        <v/>
      </c>
      <c r="R3216" s="107"/>
    </row>
    <row r="3217" hidden="1">
      <c r="A3217" s="443"/>
      <c r="B3217" s="43" t="str">
        <f>IF(A3217="", "", IFERROR(VLOOKUP(A3217, Clasificaciones!A:B, 2, FALSE), "DATO NO CARGADO"))
</f>
        <v/>
      </c>
      <c r="C3217" s="51"/>
      <c r="D3217" s="102"/>
      <c r="E3217" s="102"/>
      <c r="H3217" s="102"/>
      <c r="J3217" s="102"/>
      <c r="K3217" s="450"/>
      <c r="L3217" s="443"/>
      <c r="M3217" s="450"/>
      <c r="N3217" s="452">
        <f t="array" ref="N3217">IFERROR(
  INDEX(
    'Valor Hora Real y Estimada'!$A$4:$Z$78,
    MATCH(TRIM(CLEAN(A3217)), 'Valor Hora Real y Estimada'!$A$4:$A$78, 0),
    MATCH(
      TEXT(C3217,"dd mmm")&amp;" "&amp;D3217,
      'Valor Hora Real y Estimada'!$A$3:$Z$3,
      0
    ) + 1
  ),
  0
)</f>
        <v>0</v>
      </c>
      <c r="O3217" s="453"/>
      <c r="P3217" s="113"/>
      <c r="Q3217" s="106" t="str">
        <f>IF(ISBLANK(O3217), "", VLOOKUP(C3217&amp;" "&amp;D3217, 'Info Tipo de Cambio y REM'!$A$24:$B$35, 2, FALSE))</f>
        <v/>
      </c>
      <c r="R3217" s="107"/>
    </row>
    <row r="3218" hidden="1">
      <c r="A3218" s="443"/>
      <c r="B3218" s="43" t="str">
        <f>IF(A3218="", "", IFERROR(VLOOKUP(A3218, Clasificaciones!A:B, 2, FALSE), "DATO NO CARGADO"))
</f>
        <v/>
      </c>
      <c r="C3218" s="51"/>
      <c r="D3218" s="102"/>
      <c r="E3218" s="102"/>
      <c r="H3218" s="102"/>
      <c r="J3218" s="102"/>
      <c r="K3218" s="450"/>
      <c r="L3218" s="443"/>
      <c r="M3218" s="450"/>
      <c r="N3218" s="452">
        <f t="array" ref="N3218">IFERROR(
  INDEX(
    'Valor Hora Real y Estimada'!$A$4:$Z$78,
    MATCH(TRIM(CLEAN(A3218)), 'Valor Hora Real y Estimada'!$A$4:$A$78, 0),
    MATCH(
      TEXT(C3218,"dd mmm")&amp;" "&amp;D3218,
      'Valor Hora Real y Estimada'!$A$3:$Z$3,
      0
    ) + 1
  ),
  0
)</f>
        <v>0</v>
      </c>
      <c r="O3218" s="453"/>
      <c r="P3218" s="113"/>
      <c r="Q3218" s="106" t="str">
        <f>IF(ISBLANK(O3218), "", VLOOKUP(C3218&amp;" "&amp;D3218, 'Info Tipo de Cambio y REM'!$A$24:$B$35, 2, FALSE))</f>
        <v/>
      </c>
      <c r="R3218" s="107"/>
    </row>
    <row r="3219" hidden="1">
      <c r="A3219" s="443"/>
      <c r="B3219" s="43" t="str">
        <f>IF(A3219="", "", IFERROR(VLOOKUP(A3219, Clasificaciones!A:B, 2, FALSE), "DATO NO CARGADO"))
</f>
        <v/>
      </c>
      <c r="C3219" s="51"/>
      <c r="D3219" s="102"/>
      <c r="E3219" s="102"/>
      <c r="H3219" s="102"/>
      <c r="J3219" s="102"/>
      <c r="K3219" s="450"/>
      <c r="L3219" s="443"/>
      <c r="M3219" s="450"/>
      <c r="N3219" s="452">
        <f t="array" ref="N3219">IFERROR(
  INDEX(
    'Valor Hora Real y Estimada'!$A$4:$Z$78,
    MATCH(TRIM(CLEAN(A3219)), 'Valor Hora Real y Estimada'!$A$4:$A$78, 0),
    MATCH(
      TEXT(C3219,"dd mmm")&amp;" "&amp;D3219,
      'Valor Hora Real y Estimada'!$A$3:$Z$3,
      0
    ) + 1
  ),
  0
)</f>
        <v>0</v>
      </c>
      <c r="O3219" s="453"/>
      <c r="P3219" s="113"/>
      <c r="Q3219" s="106" t="str">
        <f>IF(ISBLANK(O3219), "", VLOOKUP(C3219&amp;" "&amp;D3219, 'Info Tipo de Cambio y REM'!$A$24:$B$35, 2, FALSE))</f>
        <v/>
      </c>
      <c r="R3219" s="107"/>
    </row>
    <row r="3220" hidden="1">
      <c r="A3220" s="443"/>
      <c r="B3220" s="102"/>
      <c r="C3220" s="51"/>
      <c r="D3220" s="102"/>
      <c r="E3220" s="102"/>
      <c r="H3220" s="102"/>
      <c r="J3220" s="102"/>
      <c r="K3220" s="450"/>
      <c r="L3220" s="443"/>
      <c r="M3220" s="450"/>
      <c r="N3220" s="452"/>
      <c r="O3220" s="453"/>
      <c r="P3220" s="113"/>
      <c r="Q3220" s="106" t="str">
        <f>IF(ISBLANK(O3220), "", VLOOKUP(C3220&amp;" "&amp;D3220, 'Info Tipo de Cambio y REM'!$A$24:$B$35, 2, FALSE))</f>
        <v/>
      </c>
      <c r="R3220" s="107"/>
    </row>
    <row r="3221" hidden="1">
      <c r="A3221" s="443"/>
      <c r="B3221" s="102"/>
      <c r="C3221" s="51"/>
      <c r="D3221" s="102"/>
      <c r="E3221" s="102"/>
      <c r="H3221" s="102"/>
      <c r="J3221" s="102"/>
      <c r="K3221" s="450"/>
      <c r="L3221" s="443"/>
      <c r="M3221" s="450"/>
      <c r="N3221" s="452"/>
      <c r="O3221" s="453"/>
      <c r="P3221" s="113"/>
      <c r="Q3221" s="106" t="str">
        <f>IF(ISBLANK(O3221), "", VLOOKUP(C3221&amp;" "&amp;D3221, 'Info Tipo de Cambio y REM'!$A$24:$B$35, 2, FALSE))</f>
        <v/>
      </c>
      <c r="R3221" s="107"/>
    </row>
    <row r="3222" hidden="1">
      <c r="A3222" s="443"/>
      <c r="B3222" s="102"/>
      <c r="C3222" s="51"/>
      <c r="D3222" s="102"/>
      <c r="E3222" s="102"/>
      <c r="H3222" s="102"/>
      <c r="J3222" s="102"/>
      <c r="K3222" s="450"/>
      <c r="L3222" s="443"/>
      <c r="M3222" s="450"/>
      <c r="N3222" s="452"/>
      <c r="O3222" s="453"/>
      <c r="P3222" s="113"/>
      <c r="Q3222" s="106" t="str">
        <f>IF(ISBLANK(O3222), "", VLOOKUP(C3222&amp;" "&amp;D3222, 'Info Tipo de Cambio y REM'!$A$24:$B$35, 2, FALSE))</f>
        <v/>
      </c>
      <c r="R3222" s="107"/>
    </row>
    <row r="3223" hidden="1">
      <c r="A3223" s="443"/>
      <c r="B3223" s="102"/>
      <c r="C3223" s="51"/>
      <c r="D3223" s="102"/>
      <c r="E3223" s="102"/>
      <c r="H3223" s="102"/>
      <c r="J3223" s="102"/>
      <c r="K3223" s="450"/>
      <c r="L3223" s="443"/>
      <c r="M3223" s="450"/>
      <c r="N3223" s="452"/>
      <c r="O3223" s="453"/>
      <c r="P3223" s="113"/>
      <c r="Q3223" s="106" t="str">
        <f>IF(ISBLANK(O3223), "", VLOOKUP(C3223&amp;" "&amp;D3223, 'Info Tipo de Cambio y REM'!$A$24:$B$35, 2, FALSE))</f>
        <v/>
      </c>
      <c r="R3223" s="107"/>
    </row>
    <row r="3224" hidden="1">
      <c r="A3224" s="443"/>
      <c r="B3224" s="102"/>
      <c r="C3224" s="51"/>
      <c r="D3224" s="102"/>
      <c r="E3224" s="102"/>
      <c r="H3224" s="102"/>
      <c r="J3224" s="102"/>
      <c r="K3224" s="450"/>
      <c r="L3224" s="443"/>
      <c r="M3224" s="450"/>
      <c r="N3224" s="452"/>
      <c r="O3224" s="453"/>
      <c r="P3224" s="113"/>
      <c r="Q3224" s="106" t="str">
        <f>IF(ISBLANK(O3224), "", VLOOKUP(C3224&amp;" "&amp;D3224, 'Info Tipo de Cambio y REM'!$A$24:$B$35, 2, FALSE))</f>
        <v/>
      </c>
      <c r="R3224" s="107"/>
    </row>
    <row r="3225" hidden="1">
      <c r="A3225" s="443"/>
      <c r="B3225" s="102"/>
      <c r="C3225" s="51"/>
      <c r="D3225" s="102"/>
      <c r="E3225" s="102"/>
      <c r="H3225" s="102"/>
      <c r="J3225" s="102"/>
      <c r="K3225" s="450"/>
      <c r="L3225" s="443"/>
      <c r="M3225" s="450"/>
      <c r="N3225" s="452"/>
      <c r="O3225" s="453"/>
      <c r="P3225" s="113"/>
      <c r="Q3225" s="106" t="str">
        <f>IF(ISBLANK(O3225), "", VLOOKUP(C3225&amp;" "&amp;D3225, 'Info Tipo de Cambio y REM'!$A$24:$B$35, 2, FALSE))</f>
        <v/>
      </c>
      <c r="R3225" s="107"/>
    </row>
    <row r="3226" hidden="1">
      <c r="A3226" s="443"/>
      <c r="B3226" s="43" t="str">
        <f>IF(A3226="", "", IFERROR(VLOOKUP(A3226, Clasificaciones!A:B, 2, FALSE), "DATO NO CARGADO"))
</f>
        <v/>
      </c>
      <c r="C3226" s="51"/>
      <c r="D3226" s="102"/>
      <c r="E3226" s="102"/>
      <c r="H3226" s="102"/>
      <c r="J3226" s="102"/>
      <c r="K3226" s="450"/>
      <c r="L3226" s="443"/>
      <c r="M3226" s="450"/>
      <c r="N3226" s="452"/>
      <c r="O3226" s="453"/>
      <c r="P3226" s="113"/>
      <c r="Q3226" s="106" t="str">
        <f>IF(ISBLANK(O3226), "", VLOOKUP(C3226&amp;" "&amp;D3226, 'Info Tipo de Cambio y REM'!$A$24:$B$35, 2, FALSE))</f>
        <v/>
      </c>
      <c r="R3226" s="107"/>
    </row>
    <row r="3227" hidden="1">
      <c r="A3227" s="443"/>
      <c r="B3227" s="43" t="str">
        <f>IF(A3227="", "", IFERROR(VLOOKUP(A3227, Clasificaciones!A:B, 2, FALSE), "DATO NO CARGADO"))
</f>
        <v/>
      </c>
      <c r="C3227" s="51"/>
      <c r="D3227" s="102"/>
      <c r="E3227" s="102"/>
      <c r="H3227" s="102"/>
      <c r="J3227" s="102"/>
      <c r="K3227" s="450"/>
      <c r="L3227" s="443"/>
      <c r="M3227" s="450"/>
      <c r="N3227" s="452"/>
      <c r="O3227" s="453"/>
      <c r="P3227" s="113"/>
      <c r="Q3227" s="106" t="str">
        <f>IF(ISBLANK(O3227), "", VLOOKUP(C3227&amp;" "&amp;D3227, 'Info Tipo de Cambio y REM'!$A$24:$B$35, 2, FALSE))</f>
        <v/>
      </c>
      <c r="R3227" s="107"/>
    </row>
    <row r="3228" hidden="1">
      <c r="A3228" s="443"/>
      <c r="B3228" s="43" t="str">
        <f>IF(A3228="", "", IFERROR(VLOOKUP(A3228, Clasificaciones!A:B, 2, FALSE), "DATO NO CARGADO"))
</f>
        <v/>
      </c>
      <c r="C3228" s="51"/>
      <c r="D3228" s="102"/>
      <c r="E3228" s="102"/>
      <c r="H3228" s="102"/>
      <c r="J3228" s="102"/>
      <c r="K3228" s="450"/>
      <c r="L3228" s="443"/>
      <c r="M3228" s="450"/>
      <c r="N3228" s="452"/>
      <c r="O3228" s="453"/>
      <c r="P3228" s="113"/>
      <c r="Q3228" s="106" t="str">
        <f>IF(ISBLANK(O3228), "", VLOOKUP(C3228&amp;" "&amp;D3228, 'Info Tipo de Cambio y REM'!$A$24:$B$35, 2, FALSE))</f>
        <v/>
      </c>
      <c r="R3228" s="107"/>
    </row>
    <row r="3229" hidden="1">
      <c r="A3229" s="443"/>
      <c r="B3229" s="43" t="str">
        <f>IF(A3229="", "", IFERROR(VLOOKUP(A3229, Clasificaciones!A:B, 2, FALSE), "DATO NO CARGADO"))
</f>
        <v/>
      </c>
      <c r="C3229" s="51"/>
      <c r="D3229" s="102"/>
      <c r="E3229" s="102"/>
      <c r="H3229" s="102"/>
      <c r="J3229" s="102"/>
      <c r="K3229" s="450"/>
      <c r="L3229" s="443"/>
      <c r="M3229" s="450"/>
      <c r="N3229" s="452"/>
      <c r="O3229" s="453"/>
      <c r="P3229" s="113"/>
      <c r="Q3229" s="106" t="str">
        <f>IF(ISBLANK(O3229), "", VLOOKUP(C3229&amp;" "&amp;D3229, 'Info Tipo de Cambio y REM'!$A$24:$B$35, 2, FALSE))</f>
        <v/>
      </c>
      <c r="R3229" s="107"/>
    </row>
    <row r="3230" hidden="1">
      <c r="A3230" s="443"/>
      <c r="B3230" s="43" t="str">
        <f>IF(A3230="", "", IFERROR(VLOOKUP(A3230, Clasificaciones!A:B, 2, FALSE), "DATO NO CARGADO"))
</f>
        <v/>
      </c>
      <c r="C3230" s="51"/>
      <c r="D3230" s="102"/>
      <c r="E3230" s="102"/>
      <c r="H3230" s="102"/>
      <c r="J3230" s="102"/>
      <c r="K3230" s="450"/>
      <c r="L3230" s="443"/>
      <c r="M3230" s="450"/>
      <c r="N3230" s="452"/>
      <c r="O3230" s="453"/>
      <c r="P3230" s="113"/>
      <c r="Q3230" s="106" t="str">
        <f>IF(ISBLANK(O3230), "", VLOOKUP(C3230&amp;" "&amp;D3230, 'Info Tipo de Cambio y REM'!$A$24:$B$35, 2, FALSE))</f>
        <v/>
      </c>
      <c r="R3230" s="107"/>
    </row>
    <row r="3231" hidden="1">
      <c r="A3231" s="443"/>
      <c r="B3231" s="43" t="str">
        <f>IF(A3231="", "", IFERROR(VLOOKUP(A3231, Clasificaciones!A:B, 2, FALSE), "DATO NO CARGADO"))
</f>
        <v/>
      </c>
      <c r="C3231" s="51"/>
      <c r="D3231" s="102"/>
      <c r="E3231" s="102"/>
      <c r="H3231" s="102"/>
      <c r="J3231" s="102"/>
      <c r="K3231" s="450"/>
      <c r="L3231" s="443"/>
      <c r="M3231" s="450"/>
      <c r="N3231" s="452"/>
      <c r="O3231" s="453"/>
      <c r="P3231" s="113"/>
      <c r="Q3231" s="106" t="str">
        <f>IF(ISBLANK(O3231), "", VLOOKUP(C3231&amp;" "&amp;D3231, 'Info Tipo de Cambio y REM'!$A$24:$B$35, 2, FALSE))</f>
        <v/>
      </c>
      <c r="R3231" s="107"/>
    </row>
    <row r="3232" hidden="1">
      <c r="A3232" s="443"/>
      <c r="B3232" s="43" t="str">
        <f>IF(A3232="", "", IFERROR(VLOOKUP(A3232, Clasificaciones!A:B, 2, FALSE), "DATO NO CARGADO"))
</f>
        <v/>
      </c>
      <c r="C3232" s="51"/>
      <c r="D3232" s="102"/>
      <c r="E3232" s="102"/>
      <c r="H3232" s="102"/>
      <c r="J3232" s="102"/>
      <c r="K3232" s="450"/>
      <c r="L3232" s="443"/>
      <c r="M3232" s="450"/>
      <c r="N3232" s="452"/>
      <c r="O3232" s="453"/>
      <c r="P3232" s="113"/>
      <c r="Q3232" s="106" t="str">
        <f>IF(ISBLANK(O3232), "", VLOOKUP(C3232&amp;" "&amp;D3232, 'Info Tipo de Cambio y REM'!$A$24:$B$35, 2, FALSE))</f>
        <v/>
      </c>
      <c r="R3232" s="107"/>
    </row>
    <row r="3233" hidden="1">
      <c r="A3233" s="443"/>
      <c r="B3233" s="43" t="str">
        <f>IF(A3233="", "", IFERROR(VLOOKUP(A3233, Clasificaciones!A:B, 2, FALSE), "DATO NO CARGADO"))
</f>
        <v/>
      </c>
      <c r="C3233" s="51"/>
      <c r="D3233" s="102"/>
      <c r="E3233" s="102"/>
      <c r="H3233" s="102"/>
      <c r="J3233" s="102"/>
      <c r="K3233" s="450"/>
      <c r="L3233" s="443"/>
      <c r="M3233" s="450"/>
      <c r="N3233" s="452"/>
      <c r="O3233" s="453"/>
      <c r="P3233" s="113"/>
      <c r="Q3233" s="106" t="str">
        <f>IF(ISBLANK(O3233), "", VLOOKUP(C3233&amp;" "&amp;D3233, 'Info Tipo de Cambio y REM'!$A$24:$B$35, 2, FALSE))</f>
        <v/>
      </c>
      <c r="R3233" s="107"/>
    </row>
    <row r="3234" hidden="1">
      <c r="A3234" s="443"/>
      <c r="B3234" s="43" t="str">
        <f>IF(A3234="", "", IFERROR(VLOOKUP(A3234, Clasificaciones!A:B, 2, FALSE), "DATO NO CARGADO"))
</f>
        <v/>
      </c>
      <c r="C3234" s="51"/>
      <c r="D3234" s="102"/>
      <c r="E3234" s="102"/>
      <c r="H3234" s="102"/>
      <c r="J3234" s="102"/>
      <c r="K3234" s="450"/>
      <c r="L3234" s="443"/>
      <c r="M3234" s="450"/>
      <c r="N3234" s="452"/>
      <c r="O3234" s="453"/>
      <c r="P3234" s="113"/>
      <c r="Q3234" s="106" t="str">
        <f>IF(ISBLANK(O3234), "", VLOOKUP(C3234&amp;" "&amp;D3234, 'Info Tipo de Cambio y REM'!$A$24:$B$35, 2, FALSE))</f>
        <v/>
      </c>
      <c r="R3234" s="107"/>
    </row>
    <row r="3235" hidden="1">
      <c r="A3235" s="443"/>
      <c r="B3235" s="43" t="str">
        <f>IF(A3235="", "", IFERROR(VLOOKUP(A3235, Clasificaciones!A:B, 2, FALSE), "DATO NO CARGADO"))
</f>
        <v/>
      </c>
      <c r="C3235" s="51"/>
      <c r="D3235" s="102"/>
      <c r="E3235" s="102"/>
      <c r="H3235" s="102"/>
      <c r="J3235" s="102"/>
      <c r="K3235" s="450"/>
      <c r="L3235" s="443"/>
      <c r="M3235" s="450"/>
      <c r="N3235" s="452"/>
      <c r="O3235" s="453"/>
      <c r="P3235" s="113"/>
      <c r="Q3235" s="106" t="str">
        <f>IF(ISBLANK(O3235), "", VLOOKUP(C3235&amp;" "&amp;D3235, 'Info Tipo de Cambio y REM'!$A$24:$B$35, 2, FALSE))</f>
        <v/>
      </c>
      <c r="R3235" s="107"/>
    </row>
    <row r="3236" hidden="1">
      <c r="A3236" s="443"/>
      <c r="B3236" s="43" t="str">
        <f>IF(A3236="", "", IFERROR(VLOOKUP(A3236, Clasificaciones!A:B, 2, FALSE), "DATO NO CARGADO"))
</f>
        <v/>
      </c>
      <c r="C3236" s="51"/>
      <c r="D3236" s="102"/>
      <c r="E3236" s="102"/>
      <c r="H3236" s="102"/>
      <c r="J3236" s="102"/>
      <c r="K3236" s="450"/>
      <c r="L3236" s="443"/>
      <c r="M3236" s="450"/>
      <c r="N3236" s="452"/>
      <c r="O3236" s="453"/>
      <c r="P3236" s="113"/>
      <c r="Q3236" s="106" t="str">
        <f>IF(ISBLANK(O3236), "", VLOOKUP(C3236&amp;" "&amp;D3236, 'Info Tipo de Cambio y REM'!$A$24:$B$35, 2, FALSE))</f>
        <v/>
      </c>
      <c r="R3236" s="107"/>
    </row>
    <row r="3237" hidden="1">
      <c r="A3237" s="443"/>
      <c r="B3237" s="43" t="str">
        <f>IF(A3237="", "", IFERROR(VLOOKUP(A3237, Clasificaciones!A:B, 2, FALSE), "DATO NO CARGADO"))
</f>
        <v/>
      </c>
      <c r="C3237" s="51"/>
      <c r="D3237" s="102"/>
      <c r="E3237" s="102"/>
      <c r="H3237" s="102"/>
      <c r="J3237" s="102"/>
      <c r="K3237" s="450"/>
      <c r="L3237" s="443"/>
      <c r="M3237" s="450"/>
      <c r="N3237" s="452"/>
      <c r="O3237" s="453"/>
      <c r="P3237" s="113"/>
      <c r="Q3237" s="106" t="str">
        <f>IF(ISBLANK(O3237), "", VLOOKUP(C3237&amp;" "&amp;D3237, 'Info Tipo de Cambio y REM'!$A$24:$B$35, 2, FALSE))</f>
        <v/>
      </c>
      <c r="R3237" s="107"/>
    </row>
    <row r="3238" hidden="1">
      <c r="A3238" s="443"/>
      <c r="B3238" s="43" t="str">
        <f>IF(A3238="", "", IFERROR(VLOOKUP(A3238, Clasificaciones!A:B, 2, FALSE), "DATO NO CARGADO"))
</f>
        <v/>
      </c>
      <c r="C3238" s="51"/>
      <c r="D3238" s="102"/>
      <c r="E3238" s="102"/>
      <c r="H3238" s="102"/>
      <c r="J3238" s="102"/>
      <c r="K3238" s="450"/>
      <c r="L3238" s="443"/>
      <c r="M3238" s="450"/>
      <c r="N3238" s="452"/>
      <c r="O3238" s="453"/>
      <c r="P3238" s="113"/>
      <c r="Q3238" s="106" t="str">
        <f>IF(ISBLANK(O3238), "", VLOOKUP(C3238&amp;" "&amp;D3238, 'Info Tipo de Cambio y REM'!$A$24:$B$35, 2, FALSE))</f>
        <v/>
      </c>
      <c r="R3238" s="107"/>
    </row>
    <row r="3239" hidden="1">
      <c r="A3239" s="443"/>
      <c r="B3239" s="43" t="str">
        <f>IF(A3239="", "", IFERROR(VLOOKUP(A3239, Clasificaciones!A:B, 2, FALSE), "DATO NO CARGADO"))
</f>
        <v/>
      </c>
      <c r="C3239" s="51"/>
      <c r="D3239" s="102"/>
      <c r="E3239" s="102"/>
      <c r="H3239" s="102"/>
      <c r="J3239" s="102"/>
      <c r="K3239" s="450"/>
      <c r="L3239" s="443"/>
      <c r="M3239" s="450"/>
      <c r="N3239" s="452"/>
      <c r="O3239" s="453"/>
      <c r="P3239" s="113"/>
      <c r="Q3239" s="106" t="str">
        <f>IF(ISBLANK(O3239), "", VLOOKUP(C3239&amp;" "&amp;D3239, 'Info Tipo de Cambio y REM'!$A$24:$B$35, 2, FALSE))</f>
        <v/>
      </c>
      <c r="R3239" s="107"/>
    </row>
    <row r="3240" hidden="1">
      <c r="A3240" s="443"/>
      <c r="B3240" s="43" t="str">
        <f>IF(A3240="", "", IFERROR(VLOOKUP(A3240, Clasificaciones!A:B, 2, FALSE), "DATO NO CARGADO"))
</f>
        <v/>
      </c>
      <c r="C3240" s="51"/>
      <c r="D3240" s="102"/>
      <c r="E3240" s="102"/>
      <c r="H3240" s="102"/>
      <c r="J3240" s="102"/>
      <c r="K3240" s="450"/>
      <c r="L3240" s="443"/>
      <c r="M3240" s="450"/>
      <c r="N3240" s="452"/>
      <c r="O3240" s="453"/>
      <c r="P3240" s="113"/>
      <c r="Q3240" s="106" t="str">
        <f>IF(ISBLANK(O3240), "", VLOOKUP(C3240&amp;" "&amp;D3240, 'Info Tipo de Cambio y REM'!$A$24:$B$35, 2, FALSE))</f>
        <v/>
      </c>
      <c r="R3240" s="107"/>
    </row>
    <row r="3241" hidden="1">
      <c r="A3241" s="443"/>
      <c r="B3241" s="43" t="str">
        <f>IF(A3241="", "", IFERROR(VLOOKUP(A3241, Clasificaciones!A:B, 2, FALSE), "DATO NO CARGADO"))
</f>
        <v/>
      </c>
      <c r="C3241" s="51"/>
      <c r="D3241" s="102"/>
      <c r="E3241" s="102"/>
      <c r="H3241" s="102"/>
      <c r="J3241" s="102"/>
      <c r="K3241" s="450"/>
      <c r="L3241" s="443"/>
      <c r="M3241" s="450"/>
      <c r="N3241" s="452"/>
      <c r="O3241" s="453"/>
      <c r="P3241" s="113"/>
      <c r="Q3241" s="106" t="str">
        <f>IF(ISBLANK(O3241), "", VLOOKUP(C3241&amp;" "&amp;D3241, 'Info Tipo de Cambio y REM'!$A$24:$B$35, 2, FALSE))</f>
        <v/>
      </c>
      <c r="R3241" s="107"/>
    </row>
    <row r="3242" hidden="1">
      <c r="A3242" s="443"/>
      <c r="B3242" s="43" t="str">
        <f>IF(A3242="", "", IFERROR(VLOOKUP(A3242, Clasificaciones!A:B, 2, FALSE), "DATO NO CARGADO"))
</f>
        <v/>
      </c>
      <c r="C3242" s="51"/>
      <c r="D3242" s="102"/>
      <c r="E3242" s="102"/>
      <c r="H3242" s="102"/>
      <c r="J3242" s="102"/>
      <c r="K3242" s="450"/>
      <c r="L3242" s="443"/>
      <c r="M3242" s="450"/>
      <c r="N3242" s="452"/>
      <c r="O3242" s="453"/>
      <c r="P3242" s="113"/>
      <c r="Q3242" s="106" t="str">
        <f>IF(ISBLANK(O3242), "", VLOOKUP(C3242&amp;" "&amp;D3242, 'Info Tipo de Cambio y REM'!$A$24:$B$35, 2, FALSE))</f>
        <v/>
      </c>
      <c r="R3242" s="107"/>
    </row>
    <row r="3243" hidden="1">
      <c r="A3243" s="443"/>
      <c r="B3243" s="43" t="str">
        <f>IF(A3243="", "", IFERROR(VLOOKUP(A3243, Clasificaciones!A:B, 2, FALSE), "DATO NO CARGADO"))
</f>
        <v/>
      </c>
      <c r="C3243" s="51"/>
      <c r="D3243" s="102"/>
      <c r="E3243" s="102"/>
      <c r="H3243" s="102"/>
      <c r="J3243" s="102"/>
      <c r="K3243" s="450"/>
      <c r="L3243" s="443"/>
      <c r="M3243" s="450"/>
      <c r="N3243" s="452"/>
      <c r="O3243" s="453"/>
      <c r="P3243" s="113"/>
      <c r="Q3243" s="106" t="str">
        <f>IF(ISBLANK(O3243), "", VLOOKUP(C3243&amp;" "&amp;D3243, 'Info Tipo de Cambio y REM'!$A$24:$B$35, 2, FALSE))</f>
        <v/>
      </c>
      <c r="R3243" s="107"/>
    </row>
    <row r="3244" hidden="1">
      <c r="A3244" s="443"/>
      <c r="B3244" s="43" t="str">
        <f>IF(A3244="", "", IFERROR(VLOOKUP(A3244, Clasificaciones!A:B, 2, FALSE), "DATO NO CARGADO"))
</f>
        <v/>
      </c>
      <c r="C3244" s="51"/>
      <c r="D3244" s="102"/>
      <c r="E3244" s="102"/>
      <c r="H3244" s="102"/>
      <c r="J3244" s="102"/>
      <c r="K3244" s="450"/>
      <c r="L3244" s="443"/>
      <c r="M3244" s="450"/>
      <c r="N3244" s="452"/>
      <c r="O3244" s="453"/>
      <c r="P3244" s="113"/>
      <c r="Q3244" s="106" t="str">
        <f>IF(ISBLANK(O3244), "", VLOOKUP(C3244&amp;" "&amp;D3244, 'Info Tipo de Cambio y REM'!$A$24:$B$35, 2, FALSE))</f>
        <v/>
      </c>
      <c r="R3244" s="107"/>
    </row>
    <row r="3245" hidden="1">
      <c r="A3245" s="443"/>
      <c r="B3245" s="43" t="str">
        <f>IF(A3245="", "", IFERROR(VLOOKUP(A3245, Clasificaciones!A:B, 2, FALSE), "DATO NO CARGADO"))
</f>
        <v/>
      </c>
      <c r="C3245" s="51"/>
      <c r="D3245" s="102"/>
      <c r="E3245" s="102"/>
      <c r="H3245" s="102"/>
      <c r="J3245" s="102"/>
      <c r="K3245" s="450"/>
      <c r="L3245" s="443"/>
      <c r="M3245" s="450"/>
      <c r="N3245" s="452"/>
      <c r="O3245" s="453"/>
      <c r="P3245" s="113"/>
      <c r="Q3245" s="106" t="str">
        <f>IF(ISBLANK(O3245), "", VLOOKUP(C3245&amp;" "&amp;D3245, 'Info Tipo de Cambio y REM'!$A$24:$B$35, 2, FALSE))</f>
        <v/>
      </c>
      <c r="R3245" s="107"/>
    </row>
    <row r="3246" hidden="1">
      <c r="A3246" s="443"/>
      <c r="B3246" s="43" t="str">
        <f>IF(A3246="", "", IFERROR(VLOOKUP(A3246, Clasificaciones!A:B, 2, FALSE), "DATO NO CARGADO"))
</f>
        <v/>
      </c>
      <c r="C3246" s="51"/>
      <c r="D3246" s="102"/>
      <c r="E3246" s="102"/>
      <c r="H3246" s="102"/>
      <c r="J3246" s="102"/>
      <c r="K3246" s="450"/>
      <c r="L3246" s="443"/>
      <c r="M3246" s="450"/>
      <c r="N3246" s="452"/>
      <c r="O3246" s="453"/>
      <c r="P3246" s="113"/>
      <c r="Q3246" s="106" t="str">
        <f>IF(ISBLANK(O3246), "", VLOOKUP(C3246&amp;" "&amp;D3246, 'Info Tipo de Cambio y REM'!$A$24:$B$35, 2, FALSE))</f>
        <v/>
      </c>
      <c r="R3246" s="107"/>
    </row>
    <row r="3247" hidden="1">
      <c r="A3247" s="443"/>
      <c r="B3247" s="43" t="str">
        <f>IF(A3247="", "", IFERROR(VLOOKUP(A3247, Clasificaciones!A:B, 2, FALSE), "DATO NO CARGADO"))
</f>
        <v/>
      </c>
      <c r="C3247" s="51"/>
      <c r="D3247" s="102"/>
      <c r="E3247" s="102"/>
      <c r="H3247" s="102"/>
      <c r="J3247" s="102"/>
      <c r="K3247" s="450"/>
      <c r="L3247" s="443"/>
      <c r="M3247" s="450"/>
      <c r="N3247" s="452"/>
      <c r="O3247" s="453"/>
      <c r="P3247" s="113"/>
      <c r="Q3247" s="106" t="str">
        <f>IF(ISBLANK(O3247), "", VLOOKUP(C3247&amp;" "&amp;D3247, 'Info Tipo de Cambio y REM'!$A$24:$B$35, 2, FALSE))</f>
        <v/>
      </c>
      <c r="R3247" s="107"/>
    </row>
    <row r="3248" hidden="1">
      <c r="A3248" s="443"/>
      <c r="B3248" s="43" t="str">
        <f>IF(A3248="", "", IFERROR(VLOOKUP(A3248, Clasificaciones!A:B, 2, FALSE), "DATO NO CARGADO"))
</f>
        <v/>
      </c>
      <c r="C3248" s="51"/>
      <c r="D3248" s="102"/>
      <c r="E3248" s="102"/>
      <c r="H3248" s="102"/>
      <c r="J3248" s="102"/>
      <c r="K3248" s="450"/>
      <c r="L3248" s="443"/>
      <c r="M3248" s="450"/>
      <c r="N3248" s="452"/>
      <c r="O3248" s="453"/>
      <c r="P3248" s="113"/>
      <c r="Q3248" s="106" t="str">
        <f>IF(ISBLANK(O3248), "", VLOOKUP(C3248&amp;" "&amp;D3248, 'Info Tipo de Cambio y REM'!$A$24:$B$35, 2, FALSE))</f>
        <v/>
      </c>
      <c r="R3248" s="107"/>
    </row>
    <row r="3249" hidden="1">
      <c r="A3249" s="443"/>
      <c r="B3249" s="43" t="str">
        <f>IF(A3249="", "", IFERROR(VLOOKUP(A3249, Clasificaciones!A:B, 2, FALSE), "DATO NO CARGADO"))
</f>
        <v/>
      </c>
      <c r="C3249" s="51"/>
      <c r="D3249" s="102"/>
      <c r="E3249" s="102"/>
      <c r="H3249" s="102"/>
      <c r="J3249" s="102"/>
      <c r="K3249" s="450"/>
      <c r="L3249" s="443"/>
      <c r="M3249" s="450"/>
      <c r="N3249" s="452"/>
      <c r="O3249" s="453"/>
      <c r="P3249" s="113"/>
      <c r="Q3249" s="106" t="str">
        <f>IF(ISBLANK(O3249), "", VLOOKUP(C3249&amp;" "&amp;D3249, 'Info Tipo de Cambio y REM'!$A$24:$B$35, 2, FALSE))</f>
        <v/>
      </c>
      <c r="R3249" s="107"/>
    </row>
    <row r="3250" hidden="1">
      <c r="A3250" s="443"/>
      <c r="B3250" s="43" t="str">
        <f>IF(A3250="", "", IFERROR(VLOOKUP(A3250, Clasificaciones!A:B, 2, FALSE), "DATO NO CARGADO"))
</f>
        <v/>
      </c>
      <c r="C3250" s="51"/>
      <c r="D3250" s="102"/>
      <c r="E3250" s="102"/>
      <c r="H3250" s="102"/>
      <c r="J3250" s="102"/>
      <c r="K3250" s="450"/>
      <c r="L3250" s="443"/>
      <c r="M3250" s="450"/>
      <c r="N3250" s="452"/>
      <c r="O3250" s="453"/>
      <c r="P3250" s="113"/>
      <c r="Q3250" s="106" t="str">
        <f>IF(ISBLANK(O3250), "", VLOOKUP(C3250&amp;" "&amp;D3250, 'Info Tipo de Cambio y REM'!$A$24:$B$35, 2, FALSE))</f>
        <v/>
      </c>
      <c r="R3250" s="107"/>
    </row>
    <row r="3251" hidden="1">
      <c r="A3251" s="443"/>
      <c r="B3251" s="43" t="str">
        <f>IF(A3251="", "", IFERROR(VLOOKUP(A3251, Clasificaciones!A:B, 2, FALSE), "DATO NO CARGADO"))
</f>
        <v/>
      </c>
      <c r="C3251" s="51"/>
      <c r="D3251" s="102"/>
      <c r="E3251" s="102"/>
      <c r="H3251" s="102"/>
      <c r="J3251" s="102"/>
      <c r="K3251" s="450"/>
      <c r="L3251" s="443"/>
      <c r="M3251" s="450"/>
      <c r="N3251" s="452"/>
      <c r="O3251" s="453"/>
      <c r="P3251" s="113"/>
      <c r="Q3251" s="106" t="str">
        <f>IF(ISBLANK(O3251), "", VLOOKUP(C3251&amp;" "&amp;D3251, 'Info Tipo de Cambio y REM'!$A$24:$B$35, 2, FALSE))</f>
        <v/>
      </c>
      <c r="R3251" s="107"/>
    </row>
    <row r="3252" hidden="1">
      <c r="A3252" s="443"/>
      <c r="B3252" s="43" t="str">
        <f>IF(A3252="", "", IFERROR(VLOOKUP(A3252, Clasificaciones!A:B, 2, FALSE), "DATO NO CARGADO"))
</f>
        <v/>
      </c>
      <c r="C3252" s="51"/>
      <c r="D3252" s="102"/>
      <c r="E3252" s="102"/>
      <c r="H3252" s="102"/>
      <c r="J3252" s="102"/>
      <c r="K3252" s="450"/>
      <c r="L3252" s="443"/>
      <c r="M3252" s="450"/>
      <c r="N3252" s="452"/>
      <c r="O3252" s="453"/>
      <c r="P3252" s="113"/>
      <c r="Q3252" s="106" t="str">
        <f>IF(ISBLANK(O3252), "", VLOOKUP(C3252&amp;" "&amp;D3252, 'Info Tipo de Cambio y REM'!$A$24:$B$35, 2, FALSE))</f>
        <v/>
      </c>
      <c r="R3252" s="107"/>
    </row>
    <row r="3253" hidden="1">
      <c r="A3253" s="443"/>
      <c r="B3253" s="43" t="str">
        <f>IF(A3253="", "", IFERROR(VLOOKUP(A3253, Clasificaciones!A:B, 2, FALSE), "DATO NO CARGADO"))
</f>
        <v/>
      </c>
      <c r="C3253" s="51"/>
      <c r="D3253" s="102"/>
      <c r="E3253" s="102"/>
      <c r="H3253" s="102"/>
      <c r="J3253" s="102"/>
      <c r="K3253" s="450"/>
      <c r="L3253" s="443"/>
      <c r="M3253" s="450"/>
      <c r="N3253" s="452"/>
      <c r="O3253" s="453"/>
      <c r="P3253" s="113"/>
      <c r="Q3253" s="106" t="str">
        <f>IF(ISBLANK(O3253), "", VLOOKUP(C3253&amp;" "&amp;D3253, 'Info Tipo de Cambio y REM'!$A$24:$B$35, 2, FALSE))</f>
        <v/>
      </c>
      <c r="R3253" s="107"/>
    </row>
    <row r="3254" hidden="1">
      <c r="A3254" s="443"/>
      <c r="B3254" s="43" t="str">
        <f>IF(A3254="", "", IFERROR(VLOOKUP(A3254, Clasificaciones!A:B, 2, FALSE), "DATO NO CARGADO"))
</f>
        <v/>
      </c>
      <c r="C3254" s="51"/>
      <c r="D3254" s="102"/>
      <c r="E3254" s="102"/>
      <c r="H3254" s="102"/>
      <c r="J3254" s="102"/>
      <c r="K3254" s="450"/>
      <c r="L3254" s="443"/>
      <c r="M3254" s="450"/>
      <c r="N3254" s="452"/>
      <c r="O3254" s="453"/>
      <c r="P3254" s="113"/>
      <c r="Q3254" s="106" t="str">
        <f>IF(ISBLANK(O3254), "", VLOOKUP(C3254&amp;" "&amp;D3254, 'Info Tipo de Cambio y REM'!$A$24:$B$35, 2, FALSE))</f>
        <v/>
      </c>
      <c r="R3254" s="107"/>
    </row>
    <row r="3255" hidden="1">
      <c r="A3255" s="443"/>
      <c r="B3255" s="43" t="str">
        <f>IF(A3255="", "", IFERROR(VLOOKUP(A3255, Clasificaciones!A:B, 2, FALSE), "DATO NO CARGADO"))
</f>
        <v/>
      </c>
      <c r="C3255" s="51"/>
      <c r="D3255" s="102"/>
      <c r="E3255" s="102"/>
      <c r="H3255" s="102"/>
      <c r="J3255" s="102"/>
      <c r="K3255" s="450"/>
      <c r="L3255" s="443"/>
      <c r="M3255" s="450"/>
      <c r="N3255" s="452"/>
      <c r="O3255" s="453"/>
      <c r="P3255" s="113"/>
      <c r="Q3255" s="106" t="str">
        <f>IF(ISBLANK(O3255), "", VLOOKUP(C3255&amp;" "&amp;D3255, 'Info Tipo de Cambio y REM'!$A$24:$B$35, 2, FALSE))</f>
        <v/>
      </c>
      <c r="R3255" s="107"/>
    </row>
    <row r="3256" hidden="1">
      <c r="A3256" s="443"/>
      <c r="B3256" s="43" t="str">
        <f>IF(A3256="", "", IFERROR(VLOOKUP(A3256, Clasificaciones!A:B, 2, FALSE), "DATO NO CARGADO"))
</f>
        <v/>
      </c>
      <c r="C3256" s="51"/>
      <c r="D3256" s="102"/>
      <c r="E3256" s="102"/>
      <c r="H3256" s="102"/>
      <c r="J3256" s="102"/>
      <c r="K3256" s="450"/>
      <c r="L3256" s="443"/>
      <c r="M3256" s="450"/>
      <c r="N3256" s="452"/>
      <c r="O3256" s="453"/>
      <c r="P3256" s="113"/>
      <c r="Q3256" s="106" t="str">
        <f>IF(ISBLANK(O3256), "", VLOOKUP(C3256&amp;" "&amp;D3256, 'Info Tipo de Cambio y REM'!$A$24:$B$35, 2, FALSE))</f>
        <v/>
      </c>
      <c r="R3256" s="107"/>
    </row>
    <row r="3257" hidden="1">
      <c r="A3257" s="443"/>
      <c r="B3257" s="43" t="str">
        <f>IF(A3257="", "", IFERROR(VLOOKUP(A3257, Clasificaciones!A:B, 2, FALSE), "DATO NO CARGADO"))
</f>
        <v/>
      </c>
      <c r="C3257" s="51"/>
      <c r="D3257" s="102"/>
      <c r="E3257" s="102"/>
      <c r="H3257" s="102"/>
      <c r="J3257" s="102"/>
      <c r="K3257" s="450"/>
      <c r="L3257" s="443"/>
      <c r="M3257" s="450"/>
      <c r="N3257" s="452"/>
      <c r="O3257" s="453"/>
      <c r="P3257" s="113"/>
      <c r="Q3257" s="106" t="str">
        <f>IF(ISBLANK(O3257), "", VLOOKUP(C3257&amp;" "&amp;D3257, 'Info Tipo de Cambio y REM'!$A$24:$B$35, 2, FALSE))</f>
        <v/>
      </c>
      <c r="R3257" s="107"/>
    </row>
    <row r="3258" hidden="1">
      <c r="A3258" s="443"/>
      <c r="B3258" s="43" t="str">
        <f>IF(A3258="", "", IFERROR(VLOOKUP(A3258, Clasificaciones!A:B, 2, FALSE), "DATO NO CARGADO"))
</f>
        <v/>
      </c>
      <c r="C3258" s="51"/>
      <c r="D3258" s="102"/>
      <c r="E3258" s="102"/>
      <c r="H3258" s="102"/>
      <c r="J3258" s="102"/>
      <c r="K3258" s="450"/>
      <c r="L3258" s="443"/>
      <c r="M3258" s="450"/>
      <c r="N3258" s="452"/>
      <c r="O3258" s="453"/>
      <c r="P3258" s="113"/>
      <c r="Q3258" s="106" t="str">
        <f>IF(ISBLANK(O3258), "", VLOOKUP(C3258&amp;" "&amp;D3258, 'Info Tipo de Cambio y REM'!$A$24:$B$35, 2, FALSE))</f>
        <v/>
      </c>
      <c r="R3258" s="107"/>
    </row>
    <row r="3259" hidden="1">
      <c r="A3259" s="443"/>
      <c r="B3259" s="43" t="str">
        <f>IF(A3259="", "", IFERROR(VLOOKUP(A3259, Clasificaciones!A:B, 2, FALSE), "DATO NO CARGADO"))
</f>
        <v/>
      </c>
      <c r="C3259" s="51"/>
      <c r="D3259" s="102"/>
      <c r="E3259" s="102"/>
      <c r="H3259" s="102"/>
      <c r="J3259" s="102"/>
      <c r="K3259" s="450"/>
      <c r="L3259" s="443"/>
      <c r="M3259" s="450"/>
      <c r="N3259" s="452"/>
      <c r="O3259" s="453"/>
      <c r="P3259" s="113"/>
      <c r="Q3259" s="106" t="str">
        <f>IF(ISBLANK(O3259), "", VLOOKUP(C3259&amp;" "&amp;D3259, 'Info Tipo de Cambio y REM'!$A$24:$B$35, 2, FALSE))</f>
        <v/>
      </c>
      <c r="R3259" s="107"/>
    </row>
    <row r="3260" hidden="1">
      <c r="A3260" s="443"/>
      <c r="B3260" s="43" t="str">
        <f>IF(A3260="", "", IFERROR(VLOOKUP(A3260, Clasificaciones!A:B, 2, FALSE), "DATO NO CARGADO"))
</f>
        <v/>
      </c>
      <c r="C3260" s="51"/>
      <c r="D3260" s="102"/>
      <c r="E3260" s="102"/>
      <c r="H3260" s="102"/>
      <c r="J3260" s="102"/>
      <c r="K3260" s="450"/>
      <c r="L3260" s="443"/>
      <c r="M3260" s="450"/>
      <c r="N3260" s="452"/>
      <c r="O3260" s="453"/>
      <c r="P3260" s="113"/>
      <c r="Q3260" s="106" t="str">
        <f>IF(ISBLANK(O3260), "", VLOOKUP(C3260&amp;" "&amp;D3260, 'Info Tipo de Cambio y REM'!$A$24:$B$35, 2, FALSE))</f>
        <v/>
      </c>
      <c r="R3260" s="107"/>
    </row>
    <row r="3261" hidden="1">
      <c r="A3261" s="443"/>
      <c r="B3261" s="43" t="str">
        <f>IF(A3261="", "", IFERROR(VLOOKUP(A3261, Clasificaciones!A:B, 2, FALSE), "DATO NO CARGADO"))
</f>
        <v/>
      </c>
      <c r="C3261" s="51"/>
      <c r="D3261" s="102"/>
      <c r="E3261" s="102"/>
      <c r="H3261" s="102"/>
      <c r="J3261" s="102"/>
      <c r="K3261" s="450"/>
      <c r="L3261" s="443"/>
      <c r="M3261" s="450"/>
      <c r="N3261" s="452"/>
      <c r="O3261" s="453"/>
      <c r="P3261" s="113"/>
      <c r="Q3261" s="106" t="str">
        <f>IF(ISBLANK(O3261), "", VLOOKUP(C3261&amp;" "&amp;D3261, 'Info Tipo de Cambio y REM'!$A$24:$B$35, 2, FALSE))</f>
        <v/>
      </c>
      <c r="R3261" s="107"/>
    </row>
    <row r="3262" hidden="1">
      <c r="A3262" s="443"/>
      <c r="B3262" s="43" t="str">
        <f>IF(A3262="", "", IFERROR(VLOOKUP(A3262, Clasificaciones!A:B, 2, FALSE), "DATO NO CARGADO"))
</f>
        <v/>
      </c>
      <c r="C3262" s="51"/>
      <c r="D3262" s="102"/>
      <c r="E3262" s="102"/>
      <c r="H3262" s="102"/>
      <c r="J3262" s="102"/>
      <c r="K3262" s="450"/>
      <c r="L3262" s="443"/>
      <c r="M3262" s="450"/>
      <c r="N3262" s="452"/>
      <c r="O3262" s="453"/>
      <c r="P3262" s="113"/>
      <c r="Q3262" s="106" t="str">
        <f>IF(ISBLANK(O3262), "", VLOOKUP(C3262&amp;" "&amp;D3262, 'Info Tipo de Cambio y REM'!$A$24:$B$35, 2, FALSE))</f>
        <v/>
      </c>
      <c r="R3262" s="107"/>
    </row>
    <row r="3263" hidden="1">
      <c r="A3263" s="443"/>
      <c r="B3263" s="43" t="str">
        <f>IF(A3263="", "", IFERROR(VLOOKUP(A3263, Clasificaciones!A:B, 2, FALSE), "DATO NO CARGADO"))
</f>
        <v/>
      </c>
      <c r="C3263" s="51"/>
      <c r="D3263" s="102"/>
      <c r="E3263" s="102"/>
      <c r="H3263" s="102"/>
      <c r="J3263" s="102"/>
      <c r="K3263" s="450"/>
      <c r="L3263" s="443"/>
      <c r="M3263" s="450"/>
      <c r="N3263" s="452"/>
      <c r="O3263" s="453"/>
      <c r="P3263" s="113"/>
      <c r="Q3263" s="106" t="str">
        <f>IF(ISBLANK(O3263), "", VLOOKUP(C3263&amp;" "&amp;D3263, 'Info Tipo de Cambio y REM'!$A$24:$B$35, 2, FALSE))</f>
        <v/>
      </c>
      <c r="R3263" s="107"/>
    </row>
    <row r="3264" hidden="1">
      <c r="A3264" s="443"/>
      <c r="B3264" s="43" t="str">
        <f>IF(A3264="", "", IFERROR(VLOOKUP(A3264, Clasificaciones!A:B, 2, FALSE), "DATO NO CARGADO"))
</f>
        <v/>
      </c>
      <c r="C3264" s="51"/>
      <c r="D3264" s="102"/>
      <c r="E3264" s="102"/>
      <c r="H3264" s="102"/>
      <c r="J3264" s="102"/>
      <c r="K3264" s="450"/>
      <c r="L3264" s="443"/>
      <c r="M3264" s="450"/>
      <c r="N3264" s="452"/>
      <c r="O3264" s="453"/>
      <c r="P3264" s="113"/>
      <c r="Q3264" s="106" t="str">
        <f>IF(ISBLANK(O3264), "", VLOOKUP(C3264&amp;" "&amp;D3264, 'Info Tipo de Cambio y REM'!$A$24:$B$35, 2, FALSE))</f>
        <v/>
      </c>
      <c r="R3264" s="107"/>
    </row>
    <row r="3265" hidden="1">
      <c r="A3265" s="443"/>
      <c r="B3265" s="43" t="str">
        <f>IF(A3265="", "", IFERROR(VLOOKUP(A3265, Clasificaciones!A:B, 2, FALSE), "DATO NO CARGADO"))
</f>
        <v/>
      </c>
      <c r="C3265" s="51"/>
      <c r="D3265" s="102"/>
      <c r="E3265" s="102"/>
      <c r="H3265" s="102"/>
      <c r="J3265" s="102"/>
      <c r="K3265" s="450"/>
      <c r="L3265" s="443"/>
      <c r="M3265" s="450"/>
      <c r="N3265" s="452"/>
      <c r="O3265" s="453"/>
      <c r="P3265" s="113"/>
      <c r="Q3265" s="106" t="str">
        <f>IF(ISBLANK(O3265), "", VLOOKUP(C3265&amp;" "&amp;D3265, 'Info Tipo de Cambio y REM'!$A$24:$B$35, 2, FALSE))</f>
        <v/>
      </c>
      <c r="R3265" s="107"/>
    </row>
    <row r="3266" hidden="1">
      <c r="A3266" s="443"/>
      <c r="B3266" s="43" t="str">
        <f>IF(A3266="", "", IFERROR(VLOOKUP(A3266, Clasificaciones!A:B, 2, FALSE), "DATO NO CARGADO"))
</f>
        <v/>
      </c>
      <c r="C3266" s="51"/>
      <c r="D3266" s="102"/>
      <c r="E3266" s="102"/>
      <c r="H3266" s="102"/>
      <c r="J3266" s="102"/>
      <c r="K3266" s="450"/>
      <c r="L3266" s="443"/>
      <c r="M3266" s="450"/>
      <c r="N3266" s="452"/>
      <c r="O3266" s="453"/>
      <c r="P3266" s="113"/>
      <c r="Q3266" s="106" t="str">
        <f>IF(ISBLANK(O3266), "", VLOOKUP(C3266&amp;" "&amp;D3266, 'Info Tipo de Cambio y REM'!$A$24:$B$35, 2, FALSE))</f>
        <v/>
      </c>
      <c r="R3266" s="107"/>
    </row>
    <row r="3267" hidden="1">
      <c r="A3267" s="443"/>
      <c r="B3267" s="43" t="str">
        <f>IF(A3267="", "", IFERROR(VLOOKUP(A3267, Clasificaciones!A:B, 2, FALSE), "DATO NO CARGADO"))
</f>
        <v/>
      </c>
      <c r="C3267" s="51"/>
      <c r="D3267" s="102"/>
      <c r="E3267" s="102"/>
      <c r="H3267" s="102"/>
      <c r="J3267" s="102"/>
      <c r="K3267" s="450"/>
      <c r="L3267" s="443"/>
      <c r="M3267" s="450"/>
      <c r="N3267" s="452"/>
      <c r="O3267" s="453"/>
      <c r="P3267" s="113"/>
      <c r="Q3267" s="106" t="str">
        <f>IF(ISBLANK(O3267), "", VLOOKUP(C3267&amp;" "&amp;D3267, 'Info Tipo de Cambio y REM'!$A$24:$B$35, 2, FALSE))</f>
        <v/>
      </c>
      <c r="R3267" s="107"/>
    </row>
    <row r="3268" hidden="1">
      <c r="A3268" s="443"/>
      <c r="B3268" s="43" t="str">
        <f>IF(A3268="", "", IFERROR(VLOOKUP(A3268, Clasificaciones!A:B, 2, FALSE), "DATO NO CARGADO"))
</f>
        <v/>
      </c>
      <c r="C3268" s="51"/>
      <c r="D3268" s="102"/>
      <c r="E3268" s="102"/>
      <c r="H3268" s="102"/>
      <c r="J3268" s="102"/>
      <c r="K3268" s="450"/>
      <c r="L3268" s="443"/>
      <c r="M3268" s="450"/>
      <c r="N3268" s="452"/>
      <c r="O3268" s="453"/>
      <c r="P3268" s="113"/>
      <c r="Q3268" s="106" t="str">
        <f>IF(ISBLANK(O3268), "", VLOOKUP(C3268&amp;" "&amp;D3268, 'Info Tipo de Cambio y REM'!$A$24:$B$35, 2, FALSE))</f>
        <v/>
      </c>
      <c r="R3268" s="107"/>
    </row>
    <row r="3269" hidden="1">
      <c r="A3269" s="443"/>
      <c r="B3269" s="43" t="str">
        <f>IF(A3269="", "", IFERROR(VLOOKUP(A3269, Clasificaciones!A:B, 2, FALSE), "DATO NO CARGADO"))
</f>
        <v/>
      </c>
      <c r="C3269" s="51"/>
      <c r="D3269" s="102"/>
      <c r="E3269" s="102"/>
      <c r="H3269" s="102"/>
      <c r="J3269" s="102"/>
      <c r="K3269" s="450"/>
      <c r="L3269" s="443"/>
      <c r="M3269" s="450"/>
      <c r="N3269" s="452"/>
      <c r="O3269" s="453"/>
      <c r="P3269" s="113"/>
      <c r="Q3269" s="106" t="str">
        <f>IF(ISBLANK(O3269), "", VLOOKUP(C3269&amp;" "&amp;D3269, 'Info Tipo de Cambio y REM'!$A$24:$B$35, 2, FALSE))</f>
        <v/>
      </c>
      <c r="R3269" s="107"/>
    </row>
    <row r="3270" hidden="1">
      <c r="A3270" s="443"/>
      <c r="B3270" s="43" t="str">
        <f>IF(A3270="", "", IFERROR(VLOOKUP(A3270, Clasificaciones!A:B, 2, FALSE), "DATO NO CARGADO"))
</f>
        <v/>
      </c>
      <c r="C3270" s="51"/>
      <c r="D3270" s="102"/>
      <c r="E3270" s="102"/>
      <c r="H3270" s="102"/>
      <c r="J3270" s="102"/>
      <c r="K3270" s="450"/>
      <c r="L3270" s="443"/>
      <c r="M3270" s="450"/>
      <c r="N3270" s="452"/>
      <c r="O3270" s="453"/>
      <c r="P3270" s="113"/>
      <c r="Q3270" s="106" t="str">
        <f>IF(ISBLANK(O3270), "", VLOOKUP(C3270&amp;" "&amp;D3270, 'Info Tipo de Cambio y REM'!$A$24:$B$35, 2, FALSE))</f>
        <v/>
      </c>
      <c r="R3270" s="107"/>
    </row>
    <row r="3271" hidden="1">
      <c r="A3271" s="443"/>
      <c r="B3271" s="43" t="str">
        <f>IF(A3271="", "", IFERROR(VLOOKUP(A3271, Clasificaciones!A:B, 2, FALSE), "DATO NO CARGADO"))
</f>
        <v/>
      </c>
      <c r="C3271" s="51"/>
      <c r="D3271" s="102"/>
      <c r="E3271" s="102"/>
      <c r="H3271" s="102"/>
      <c r="J3271" s="102"/>
      <c r="K3271" s="450"/>
      <c r="L3271" s="443"/>
      <c r="M3271" s="450"/>
      <c r="N3271" s="452"/>
      <c r="O3271" s="453"/>
      <c r="P3271" s="113"/>
      <c r="Q3271" s="106" t="str">
        <f>IF(ISBLANK(O3271), "", VLOOKUP(C3271&amp;" "&amp;D3271, 'Info Tipo de Cambio y REM'!$A$24:$B$35, 2, FALSE))</f>
        <v/>
      </c>
      <c r="R3271" s="107"/>
    </row>
    <row r="3272" hidden="1">
      <c r="A3272" s="443"/>
      <c r="B3272" s="43" t="str">
        <f>IF(A3272="", "", IFERROR(VLOOKUP(A3272, Clasificaciones!A:B, 2, FALSE), "DATO NO CARGADO"))
</f>
        <v/>
      </c>
      <c r="C3272" s="51"/>
      <c r="D3272" s="102"/>
      <c r="E3272" s="102"/>
      <c r="H3272" s="102"/>
      <c r="J3272" s="102"/>
      <c r="K3272" s="450"/>
      <c r="L3272" s="443"/>
      <c r="M3272" s="450"/>
      <c r="N3272" s="452"/>
      <c r="O3272" s="453"/>
      <c r="P3272" s="113"/>
      <c r="Q3272" s="106" t="str">
        <f>IF(ISBLANK(O3272), "", VLOOKUP(C3272&amp;" "&amp;D3272, 'Info Tipo de Cambio y REM'!$A$24:$B$35, 2, FALSE))</f>
        <v/>
      </c>
      <c r="R3272" s="107"/>
    </row>
    <row r="3273" hidden="1">
      <c r="A3273" s="443"/>
      <c r="B3273" s="43" t="str">
        <f>IF(A3273="", "", IFERROR(VLOOKUP(A3273, Clasificaciones!A:B, 2, FALSE), "DATO NO CARGADO"))
</f>
        <v/>
      </c>
      <c r="C3273" s="51"/>
      <c r="D3273" s="102"/>
      <c r="E3273" s="102"/>
      <c r="H3273" s="102"/>
      <c r="J3273" s="102"/>
      <c r="K3273" s="450"/>
      <c r="L3273" s="443"/>
      <c r="M3273" s="450"/>
      <c r="N3273" s="452"/>
      <c r="O3273" s="453"/>
      <c r="P3273" s="113"/>
      <c r="Q3273" s="106" t="str">
        <f>IF(ISBLANK(O3273), "", VLOOKUP(C3273&amp;" "&amp;D3273, 'Info Tipo de Cambio y REM'!$A$24:$B$35, 2, FALSE))</f>
        <v/>
      </c>
      <c r="R3273" s="107"/>
    </row>
    <row r="3274" hidden="1">
      <c r="A3274" s="443"/>
      <c r="B3274" s="43" t="str">
        <f>IF(A3274="", "", IFERROR(VLOOKUP(A3274, Clasificaciones!A:B, 2, FALSE), "DATO NO CARGADO"))
</f>
        <v/>
      </c>
      <c r="C3274" s="51"/>
      <c r="D3274" s="102"/>
      <c r="E3274" s="102"/>
      <c r="H3274" s="102"/>
      <c r="J3274" s="102"/>
      <c r="K3274" s="450"/>
      <c r="L3274" s="443"/>
      <c r="M3274" s="450"/>
      <c r="N3274" s="452"/>
      <c r="O3274" s="453"/>
      <c r="P3274" s="113"/>
      <c r="Q3274" s="106" t="str">
        <f>IF(ISBLANK(O3274), "", VLOOKUP(C3274&amp;" "&amp;D3274, 'Info Tipo de Cambio y REM'!$A$24:$B$35, 2, FALSE))</f>
        <v/>
      </c>
      <c r="R3274" s="107"/>
    </row>
    <row r="3275" hidden="1">
      <c r="A3275" s="443"/>
      <c r="B3275" s="43" t="str">
        <f>IF(A3275="", "", IFERROR(VLOOKUP(A3275, Clasificaciones!A:B, 2, FALSE), "DATO NO CARGADO"))
</f>
        <v/>
      </c>
      <c r="C3275" s="51"/>
      <c r="D3275" s="102"/>
      <c r="E3275" s="102"/>
      <c r="H3275" s="102"/>
      <c r="J3275" s="102"/>
      <c r="K3275" s="450"/>
      <c r="L3275" s="443"/>
      <c r="M3275" s="450"/>
      <c r="N3275" s="452"/>
      <c r="O3275" s="453"/>
      <c r="P3275" s="113"/>
      <c r="Q3275" s="106" t="str">
        <f>IF(ISBLANK(O3275), "", VLOOKUP(C3275&amp;" "&amp;D3275, 'Info Tipo de Cambio y REM'!$A$24:$B$35, 2, FALSE))</f>
        <v/>
      </c>
      <c r="R3275" s="107"/>
    </row>
    <row r="3276" hidden="1">
      <c r="A3276" s="443"/>
      <c r="B3276" s="43" t="str">
        <f>IF(A3276="", "", IFERROR(VLOOKUP(A3276, Clasificaciones!A:B, 2, FALSE), "DATO NO CARGADO"))
</f>
        <v/>
      </c>
      <c r="C3276" s="51"/>
      <c r="D3276" s="102"/>
      <c r="E3276" s="102"/>
      <c r="H3276" s="102"/>
      <c r="J3276" s="102"/>
      <c r="K3276" s="450"/>
      <c r="L3276" s="443"/>
      <c r="M3276" s="450"/>
      <c r="N3276" s="452"/>
      <c r="O3276" s="453"/>
      <c r="P3276" s="113"/>
      <c r="Q3276" s="106" t="str">
        <f>IF(ISBLANK(O3276), "", VLOOKUP(C3276&amp;" "&amp;D3276, 'Info Tipo de Cambio y REM'!$A$24:$B$35, 2, FALSE))</f>
        <v/>
      </c>
      <c r="R3276" s="107"/>
    </row>
    <row r="3277" hidden="1">
      <c r="A3277" s="443"/>
      <c r="B3277" s="43" t="str">
        <f>IF(A3277="", "", IFERROR(VLOOKUP(A3277, Clasificaciones!A:B, 2, FALSE), "DATO NO CARGADO"))
</f>
        <v/>
      </c>
      <c r="C3277" s="51"/>
      <c r="D3277" s="102"/>
      <c r="E3277" s="102"/>
      <c r="H3277" s="102"/>
      <c r="J3277" s="102"/>
      <c r="K3277" s="450"/>
      <c r="L3277" s="443"/>
      <c r="M3277" s="450"/>
      <c r="N3277" s="452"/>
      <c r="O3277" s="453"/>
      <c r="P3277" s="113"/>
      <c r="Q3277" s="106" t="str">
        <f>IF(ISBLANK(O3277), "", VLOOKUP(C3277&amp;" "&amp;D3277, 'Info Tipo de Cambio y REM'!$A$24:$B$35, 2, FALSE))</f>
        <v/>
      </c>
      <c r="R3277" s="107"/>
    </row>
    <row r="3278" hidden="1">
      <c r="A3278" s="443"/>
      <c r="B3278" s="43" t="str">
        <f>IF(A3278="", "", IFERROR(VLOOKUP(A3278, Clasificaciones!A:B, 2, FALSE), "DATO NO CARGADO"))
</f>
        <v/>
      </c>
      <c r="C3278" s="51"/>
      <c r="D3278" s="102"/>
      <c r="E3278" s="102"/>
      <c r="H3278" s="102"/>
      <c r="J3278" s="102"/>
      <c r="K3278" s="450"/>
      <c r="L3278" s="443"/>
      <c r="M3278" s="450"/>
      <c r="N3278" s="452"/>
      <c r="O3278" s="453"/>
      <c r="P3278" s="113"/>
      <c r="Q3278" s="106" t="str">
        <f>IF(ISBLANK(O3278), "", VLOOKUP(C3278&amp;" "&amp;D3278, 'Info Tipo de Cambio y REM'!$A$24:$B$35, 2, FALSE))</f>
        <v/>
      </c>
      <c r="R3278" s="107"/>
    </row>
    <row r="3279" hidden="1">
      <c r="A3279" s="443"/>
      <c r="B3279" s="43" t="str">
        <f>IF(A3279="", "", IFERROR(VLOOKUP(A3279, Clasificaciones!A:B, 2, FALSE), "DATO NO CARGADO"))
</f>
        <v/>
      </c>
      <c r="C3279" s="51"/>
      <c r="D3279" s="102"/>
      <c r="E3279" s="102"/>
      <c r="H3279" s="102"/>
      <c r="J3279" s="102"/>
      <c r="K3279" s="450"/>
      <c r="L3279" s="443"/>
      <c r="M3279" s="450"/>
      <c r="N3279" s="452"/>
      <c r="O3279" s="453"/>
      <c r="P3279" s="113"/>
      <c r="Q3279" s="106" t="str">
        <f>IF(ISBLANK(O3279), "", VLOOKUP(C3279&amp;" "&amp;D3279, 'Info Tipo de Cambio y REM'!$A$24:$B$35, 2, FALSE))</f>
        <v/>
      </c>
      <c r="R3279" s="107"/>
    </row>
    <row r="3280" hidden="1">
      <c r="A3280" s="443"/>
      <c r="B3280" s="43" t="str">
        <f>IF(A3280="", "", IFERROR(VLOOKUP(A3280, Clasificaciones!A:B, 2, FALSE), "DATO NO CARGADO"))
</f>
        <v/>
      </c>
      <c r="C3280" s="51"/>
      <c r="D3280" s="102"/>
      <c r="E3280" s="102"/>
      <c r="H3280" s="102"/>
      <c r="J3280" s="102"/>
      <c r="K3280" s="450"/>
      <c r="L3280" s="443"/>
      <c r="M3280" s="450"/>
      <c r="N3280" s="452"/>
      <c r="O3280" s="453"/>
      <c r="P3280" s="113"/>
      <c r="Q3280" s="106" t="str">
        <f>IF(ISBLANK(O3280), "", VLOOKUP(C3280&amp;" "&amp;D3280, 'Info Tipo de Cambio y REM'!$A$24:$B$35, 2, FALSE))</f>
        <v/>
      </c>
      <c r="R3280" s="107"/>
    </row>
    <row r="3281" hidden="1">
      <c r="A3281" s="443"/>
      <c r="B3281" s="43" t="str">
        <f>IF(A3281="", "", IFERROR(VLOOKUP(A3281, Clasificaciones!A:B, 2, FALSE), "DATO NO CARGADO"))
</f>
        <v/>
      </c>
      <c r="C3281" s="51"/>
      <c r="D3281" s="102"/>
      <c r="E3281" s="102"/>
      <c r="H3281" s="102"/>
      <c r="J3281" s="102"/>
      <c r="K3281" s="450"/>
      <c r="L3281" s="443"/>
      <c r="M3281" s="450"/>
      <c r="N3281" s="452"/>
      <c r="O3281" s="453"/>
      <c r="P3281" s="113"/>
      <c r="Q3281" s="106" t="str">
        <f>IF(ISBLANK(O3281), "", VLOOKUP(C3281&amp;" "&amp;D3281, 'Info Tipo de Cambio y REM'!$A$24:$B$35, 2, FALSE))</f>
        <v/>
      </c>
      <c r="R3281" s="107"/>
    </row>
    <row r="3282" hidden="1">
      <c r="A3282" s="443"/>
      <c r="B3282" s="43" t="str">
        <f>IF(A3282="", "", IFERROR(VLOOKUP(A3282, Clasificaciones!A:B, 2, FALSE), "DATO NO CARGADO"))
</f>
        <v/>
      </c>
      <c r="C3282" s="51"/>
      <c r="D3282" s="102"/>
      <c r="E3282" s="102"/>
      <c r="H3282" s="102"/>
      <c r="J3282" s="102"/>
      <c r="K3282" s="450"/>
      <c r="L3282" s="443"/>
      <c r="M3282" s="450"/>
      <c r="N3282" s="452"/>
      <c r="O3282" s="453"/>
      <c r="P3282" s="113"/>
      <c r="Q3282" s="106" t="str">
        <f>IF(ISBLANK(O3282), "", VLOOKUP(C3282&amp;" "&amp;D3282, 'Info Tipo de Cambio y REM'!$A$24:$B$35, 2, FALSE))</f>
        <v/>
      </c>
      <c r="R3282" s="107"/>
    </row>
    <row r="3283" hidden="1">
      <c r="A3283" s="443"/>
      <c r="B3283" s="43" t="str">
        <f>IF(A3283="", "", IFERROR(VLOOKUP(A3283, Clasificaciones!A:B, 2, FALSE), "DATO NO CARGADO"))
</f>
        <v/>
      </c>
      <c r="C3283" s="51"/>
      <c r="D3283" s="102"/>
      <c r="E3283" s="102"/>
      <c r="H3283" s="102"/>
      <c r="J3283" s="102"/>
      <c r="K3283" s="450"/>
      <c r="L3283" s="443"/>
      <c r="M3283" s="450"/>
      <c r="N3283" s="452"/>
      <c r="O3283" s="453"/>
      <c r="P3283" s="113"/>
      <c r="Q3283" s="106" t="str">
        <f>IF(ISBLANK(O3283), "", VLOOKUP(C3283&amp;" "&amp;D3283, 'Info Tipo de Cambio y REM'!$A$24:$B$35, 2, FALSE))</f>
        <v/>
      </c>
      <c r="R3283" s="107"/>
    </row>
    <row r="3284" hidden="1">
      <c r="A3284" s="443"/>
      <c r="B3284" s="43" t="str">
        <f>IF(A3284="", "", IFERROR(VLOOKUP(A3284, Clasificaciones!A:B, 2, FALSE), "DATO NO CARGADO"))
</f>
        <v/>
      </c>
      <c r="C3284" s="51"/>
      <c r="D3284" s="102"/>
      <c r="E3284" s="102"/>
      <c r="H3284" s="102"/>
      <c r="J3284" s="102"/>
      <c r="K3284" s="450"/>
      <c r="L3284" s="443"/>
      <c r="M3284" s="450"/>
      <c r="N3284" s="452"/>
      <c r="O3284" s="453"/>
      <c r="P3284" s="113"/>
      <c r="Q3284" s="106" t="str">
        <f>IF(ISBLANK(O3284), "", VLOOKUP(C3284&amp;" "&amp;D3284, 'Info Tipo de Cambio y REM'!$A$24:$B$35, 2, FALSE))</f>
        <v/>
      </c>
      <c r="R3284" s="107"/>
    </row>
    <row r="3285" hidden="1">
      <c r="A3285" s="443"/>
      <c r="B3285" s="43" t="str">
        <f>IF(A3285="", "", IFERROR(VLOOKUP(A3285, Clasificaciones!A:B, 2, FALSE), "DATO NO CARGADO"))
</f>
        <v/>
      </c>
      <c r="C3285" s="51"/>
      <c r="D3285" s="102"/>
      <c r="E3285" s="102"/>
      <c r="H3285" s="102"/>
      <c r="J3285" s="102"/>
      <c r="K3285" s="450"/>
      <c r="L3285" s="443"/>
      <c r="M3285" s="450"/>
      <c r="N3285" s="452"/>
      <c r="O3285" s="453"/>
      <c r="P3285" s="113"/>
      <c r="Q3285" s="106" t="str">
        <f>IF(ISBLANK(O3285), "", VLOOKUP(C3285&amp;" "&amp;D3285, 'Info Tipo de Cambio y REM'!$A$24:$B$35, 2, FALSE))</f>
        <v/>
      </c>
      <c r="R3285" s="107"/>
    </row>
    <row r="3286" hidden="1">
      <c r="A3286" s="443"/>
      <c r="B3286" s="43" t="str">
        <f>IF(A3286="", "", IFERROR(VLOOKUP(A3286, Clasificaciones!A:B, 2, FALSE), "DATO NO CARGADO"))
</f>
        <v/>
      </c>
      <c r="C3286" s="51"/>
      <c r="D3286" s="102"/>
      <c r="E3286" s="102"/>
      <c r="H3286" s="102"/>
      <c r="J3286" s="102"/>
      <c r="K3286" s="450"/>
      <c r="L3286" s="443"/>
      <c r="M3286" s="450"/>
      <c r="N3286" s="452"/>
      <c r="O3286" s="453"/>
      <c r="P3286" s="113"/>
      <c r="Q3286" s="106" t="str">
        <f>IF(ISBLANK(O3286), "", VLOOKUP(C3286&amp;" "&amp;D3286, 'Info Tipo de Cambio y REM'!$A$24:$B$35, 2, FALSE))</f>
        <v/>
      </c>
      <c r="R3286" s="107"/>
    </row>
    <row r="3287" hidden="1">
      <c r="A3287" s="443"/>
      <c r="B3287" s="43" t="str">
        <f>IF(A3287="", "", IFERROR(VLOOKUP(A3287, Clasificaciones!A:B, 2, FALSE), "DATO NO CARGADO"))
</f>
        <v/>
      </c>
      <c r="C3287" s="51"/>
      <c r="D3287" s="102"/>
      <c r="E3287" s="102"/>
      <c r="H3287" s="102"/>
      <c r="J3287" s="102"/>
      <c r="K3287" s="450"/>
      <c r="L3287" s="443"/>
      <c r="M3287" s="450"/>
      <c r="N3287" s="452"/>
      <c r="O3287" s="453"/>
      <c r="P3287" s="113"/>
      <c r="Q3287" s="106" t="str">
        <f>IF(ISBLANK(O3287), "", VLOOKUP(C3287&amp;" "&amp;D3287, 'Info Tipo de Cambio y REM'!$A$24:$B$35, 2, FALSE))</f>
        <v/>
      </c>
      <c r="R3287" s="107"/>
    </row>
    <row r="3288" hidden="1">
      <c r="A3288" s="443"/>
      <c r="B3288" s="43" t="str">
        <f>IF(A3288="", "", IFERROR(VLOOKUP(A3288, Clasificaciones!A:B, 2, FALSE), "DATO NO CARGADO"))
</f>
        <v/>
      </c>
      <c r="C3288" s="51"/>
      <c r="D3288" s="102"/>
      <c r="E3288" s="102"/>
      <c r="H3288" s="102"/>
      <c r="J3288" s="102"/>
      <c r="K3288" s="450"/>
      <c r="L3288" s="443"/>
      <c r="M3288" s="450"/>
      <c r="N3288" s="452"/>
      <c r="O3288" s="453"/>
      <c r="P3288" s="113"/>
      <c r="Q3288" s="106" t="str">
        <f>IF(ISBLANK(O3288), "", VLOOKUP(C3288&amp;" "&amp;D3288, 'Info Tipo de Cambio y REM'!$A$24:$B$35, 2, FALSE))</f>
        <v/>
      </c>
      <c r="R3288" s="107"/>
    </row>
    <row r="3289" hidden="1">
      <c r="A3289" s="443"/>
      <c r="B3289" s="43" t="str">
        <f>IF(A3289="", "", IFERROR(VLOOKUP(A3289, Clasificaciones!A:B, 2, FALSE), "DATO NO CARGADO"))
</f>
        <v/>
      </c>
      <c r="C3289" s="51"/>
      <c r="D3289" s="102"/>
      <c r="E3289" s="102"/>
      <c r="H3289" s="102"/>
      <c r="J3289" s="102"/>
      <c r="K3289" s="450"/>
      <c r="L3289" s="443"/>
      <c r="M3289" s="450"/>
      <c r="N3289" s="452"/>
      <c r="O3289" s="453"/>
      <c r="P3289" s="113"/>
      <c r="Q3289" s="106" t="str">
        <f>IF(ISBLANK(O3289), "", VLOOKUP(C3289&amp;" "&amp;D3289, 'Info Tipo de Cambio y REM'!$A$24:$B$35, 2, FALSE))</f>
        <v/>
      </c>
      <c r="R3289" s="107"/>
    </row>
    <row r="3290" hidden="1">
      <c r="A3290" s="443"/>
      <c r="B3290" s="43" t="str">
        <f>IF(A3290="", "", IFERROR(VLOOKUP(A3290, Clasificaciones!A:B, 2, FALSE), "DATO NO CARGADO"))
</f>
        <v/>
      </c>
      <c r="C3290" s="51"/>
      <c r="D3290" s="102"/>
      <c r="E3290" s="102"/>
      <c r="H3290" s="102"/>
      <c r="J3290" s="102"/>
      <c r="K3290" s="450"/>
      <c r="L3290" s="443"/>
      <c r="M3290" s="450"/>
      <c r="N3290" s="452"/>
      <c r="O3290" s="453"/>
      <c r="P3290" s="113"/>
      <c r="Q3290" s="106" t="str">
        <f>IF(ISBLANK(O3290), "", VLOOKUP(C3290&amp;" "&amp;D3290, 'Info Tipo de Cambio y REM'!$A$24:$B$35, 2, FALSE))</f>
        <v/>
      </c>
      <c r="R3290" s="107"/>
    </row>
    <row r="3291" hidden="1">
      <c r="A3291" s="443"/>
      <c r="B3291" s="43" t="str">
        <f>IF(A3291="", "", IFERROR(VLOOKUP(A3291, Clasificaciones!A:B, 2, FALSE), "DATO NO CARGADO"))
</f>
        <v/>
      </c>
      <c r="C3291" s="51"/>
      <c r="D3291" s="102"/>
      <c r="E3291" s="102"/>
      <c r="H3291" s="102"/>
      <c r="J3291" s="102"/>
      <c r="K3291" s="450"/>
      <c r="L3291" s="443"/>
      <c r="M3291" s="450"/>
      <c r="N3291" s="452"/>
      <c r="O3291" s="453"/>
      <c r="P3291" s="113"/>
      <c r="Q3291" s="106" t="str">
        <f>IF(ISBLANK(O3291), "", VLOOKUP(C3291&amp;" "&amp;D3291, 'Info Tipo de Cambio y REM'!$A$24:$B$35, 2, FALSE))</f>
        <v/>
      </c>
      <c r="R3291" s="107"/>
    </row>
    <row r="3292" hidden="1">
      <c r="A3292" s="443"/>
      <c r="B3292" s="43" t="str">
        <f>IF(A3292="", "", IFERROR(VLOOKUP(A3292, Clasificaciones!A:B, 2, FALSE), "DATO NO CARGADO"))
</f>
        <v/>
      </c>
      <c r="C3292" s="51"/>
      <c r="D3292" s="102"/>
      <c r="E3292" s="102"/>
      <c r="H3292" s="102"/>
      <c r="J3292" s="102"/>
      <c r="K3292" s="450"/>
      <c r="L3292" s="443"/>
      <c r="M3292" s="450"/>
      <c r="N3292" s="452"/>
      <c r="O3292" s="453"/>
      <c r="P3292" s="113"/>
      <c r="Q3292" s="106" t="str">
        <f>IF(ISBLANK(O3292), "", VLOOKUP(C3292&amp;" "&amp;D3292, 'Info Tipo de Cambio y REM'!$A$24:$B$35, 2, FALSE))</f>
        <v/>
      </c>
      <c r="R3292" s="107"/>
    </row>
    <row r="3293" hidden="1">
      <c r="A3293" s="443"/>
      <c r="B3293" s="43" t="str">
        <f>IF(A3293="", "", IFERROR(VLOOKUP(A3293, Clasificaciones!A:B, 2, FALSE), "DATO NO CARGADO"))
</f>
        <v/>
      </c>
      <c r="C3293" s="51"/>
      <c r="D3293" s="102"/>
      <c r="E3293" s="102"/>
      <c r="H3293" s="102"/>
      <c r="J3293" s="102"/>
      <c r="K3293" s="450"/>
      <c r="L3293" s="443"/>
      <c r="M3293" s="450"/>
      <c r="N3293" s="452"/>
      <c r="O3293" s="453"/>
      <c r="P3293" s="113"/>
      <c r="Q3293" s="106" t="str">
        <f>IF(ISBLANK(O3293), "", VLOOKUP(C3293&amp;" "&amp;D3293, 'Info Tipo de Cambio y REM'!$A$24:$B$35, 2, FALSE))</f>
        <v/>
      </c>
      <c r="R3293" s="107"/>
    </row>
    <row r="3294" hidden="1">
      <c r="A3294" s="443"/>
      <c r="B3294" s="43" t="str">
        <f>IF(A3294="", "", IFERROR(VLOOKUP(A3294, Clasificaciones!A:B, 2, FALSE), "DATO NO CARGADO"))
</f>
        <v/>
      </c>
      <c r="C3294" s="51"/>
      <c r="D3294" s="102"/>
      <c r="E3294" s="102"/>
      <c r="H3294" s="102"/>
      <c r="J3294" s="102"/>
      <c r="K3294" s="450"/>
      <c r="L3294" s="443"/>
      <c r="M3294" s="450"/>
      <c r="N3294" s="452"/>
      <c r="O3294" s="453"/>
      <c r="P3294" s="113"/>
      <c r="Q3294" s="106" t="str">
        <f>IF(ISBLANK(O3294), "", VLOOKUP(C3294&amp;" "&amp;D3294, 'Info Tipo de Cambio y REM'!$A$24:$B$35, 2, FALSE))</f>
        <v/>
      </c>
      <c r="R3294" s="107"/>
    </row>
    <row r="3295" hidden="1">
      <c r="A3295" s="443"/>
      <c r="B3295" s="43" t="str">
        <f>IF(A3295="", "", IFERROR(VLOOKUP(A3295, Clasificaciones!A:B, 2, FALSE), "DATO NO CARGADO"))
</f>
        <v/>
      </c>
      <c r="C3295" s="51"/>
      <c r="D3295" s="102"/>
      <c r="E3295" s="102"/>
      <c r="H3295" s="102"/>
      <c r="J3295" s="102"/>
      <c r="K3295" s="450"/>
      <c r="L3295" s="443"/>
      <c r="M3295" s="450"/>
      <c r="N3295" s="452"/>
      <c r="O3295" s="453"/>
      <c r="P3295" s="113"/>
      <c r="Q3295" s="106" t="str">
        <f>IF(ISBLANK(O3295), "", VLOOKUP(C3295&amp;" "&amp;D3295, 'Info Tipo de Cambio y REM'!$A$24:$B$35, 2, FALSE))</f>
        <v/>
      </c>
      <c r="R3295" s="107"/>
    </row>
    <row r="3296" hidden="1">
      <c r="A3296" s="443"/>
      <c r="B3296" s="43" t="str">
        <f>IF(A3296="", "", IFERROR(VLOOKUP(A3296, Clasificaciones!A:B, 2, FALSE), "DATO NO CARGADO"))
</f>
        <v/>
      </c>
      <c r="C3296" s="51"/>
      <c r="D3296" s="102"/>
      <c r="E3296" s="102"/>
      <c r="H3296" s="102"/>
      <c r="J3296" s="102"/>
      <c r="K3296" s="450"/>
      <c r="L3296" s="443"/>
      <c r="M3296" s="450"/>
      <c r="N3296" s="452"/>
      <c r="O3296" s="453"/>
      <c r="P3296" s="113"/>
      <c r="Q3296" s="106" t="str">
        <f>IF(ISBLANK(O3296), "", VLOOKUP(C3296&amp;" "&amp;D3296, 'Info Tipo de Cambio y REM'!$A$24:$B$35, 2, FALSE))</f>
        <v/>
      </c>
      <c r="R3296" s="107"/>
    </row>
    <row r="3297" hidden="1">
      <c r="A3297" s="443"/>
      <c r="B3297" s="43" t="str">
        <f>IF(A3297="", "", IFERROR(VLOOKUP(A3297, Clasificaciones!A:B, 2, FALSE), "DATO NO CARGADO"))
</f>
        <v/>
      </c>
      <c r="C3297" s="51"/>
      <c r="D3297" s="102"/>
      <c r="E3297" s="102"/>
      <c r="H3297" s="102"/>
      <c r="J3297" s="102"/>
      <c r="K3297" s="450"/>
      <c r="L3297" s="443"/>
      <c r="M3297" s="450"/>
      <c r="N3297" s="452"/>
      <c r="O3297" s="453"/>
      <c r="P3297" s="113"/>
      <c r="Q3297" s="106" t="str">
        <f>IF(ISBLANK(O3297), "", VLOOKUP(C3297&amp;" "&amp;D3297, 'Info Tipo de Cambio y REM'!$A$24:$B$35, 2, FALSE))</f>
        <v/>
      </c>
      <c r="R3297" s="107"/>
    </row>
    <row r="3298" hidden="1">
      <c r="A3298" s="443"/>
      <c r="B3298" s="43" t="str">
        <f>IF(A3298="", "", IFERROR(VLOOKUP(A3298, Clasificaciones!A:B, 2, FALSE), "DATO NO CARGADO"))
</f>
        <v/>
      </c>
      <c r="C3298" s="51"/>
      <c r="D3298" s="102"/>
      <c r="E3298" s="102"/>
      <c r="H3298" s="102"/>
      <c r="J3298" s="102"/>
      <c r="K3298" s="450"/>
      <c r="L3298" s="443"/>
      <c r="M3298" s="450"/>
      <c r="N3298" s="452"/>
      <c r="O3298" s="453"/>
      <c r="P3298" s="113"/>
      <c r="Q3298" s="106" t="str">
        <f>IF(ISBLANK(O3298), "", VLOOKUP(C3298&amp;" "&amp;D3298, 'Info Tipo de Cambio y REM'!$A$24:$B$35, 2, FALSE))</f>
        <v/>
      </c>
      <c r="R3298" s="107"/>
    </row>
    <row r="3299" hidden="1">
      <c r="A3299" s="443"/>
      <c r="B3299" s="43" t="str">
        <f>IF(A3299="", "", IFERROR(VLOOKUP(A3299, Clasificaciones!A:B, 2, FALSE), "DATO NO CARGADO"))
</f>
        <v/>
      </c>
      <c r="C3299" s="51"/>
      <c r="D3299" s="102"/>
      <c r="E3299" s="102"/>
      <c r="H3299" s="102"/>
      <c r="J3299" s="102"/>
      <c r="K3299" s="450"/>
      <c r="L3299" s="443"/>
      <c r="M3299" s="450"/>
      <c r="N3299" s="452"/>
      <c r="O3299" s="453"/>
      <c r="P3299" s="113"/>
      <c r="Q3299" s="106" t="str">
        <f>IF(ISBLANK(O3299), "", VLOOKUP(C3299&amp;" "&amp;D3299, 'Info Tipo de Cambio y REM'!$A$24:$B$35, 2, FALSE))</f>
        <v/>
      </c>
      <c r="R3299" s="107"/>
    </row>
    <row r="3300" hidden="1">
      <c r="A3300" s="443"/>
      <c r="B3300" s="43" t="str">
        <f>IF(A3300="", "", IFERROR(VLOOKUP(A3300, Clasificaciones!A:B, 2, FALSE), "DATO NO CARGADO"))
</f>
        <v/>
      </c>
      <c r="C3300" s="51"/>
      <c r="D3300" s="102"/>
      <c r="E3300" s="102"/>
      <c r="H3300" s="102"/>
      <c r="J3300" s="102"/>
      <c r="K3300" s="450"/>
      <c r="L3300" s="443"/>
      <c r="M3300" s="450"/>
      <c r="N3300" s="452"/>
      <c r="O3300" s="453"/>
      <c r="P3300" s="113"/>
      <c r="Q3300" s="106" t="str">
        <f>IF(ISBLANK(O3300), "", VLOOKUP(C3300&amp;" "&amp;D3300, 'Info Tipo de Cambio y REM'!$A$24:$B$35, 2, FALSE))</f>
        <v/>
      </c>
      <c r="R3300" s="107"/>
    </row>
    <row r="3301" hidden="1">
      <c r="A3301" s="443"/>
      <c r="B3301" s="43" t="str">
        <f>IF(A3301="", "", IFERROR(VLOOKUP(A3301, Clasificaciones!A:B, 2, FALSE), "DATO NO CARGADO"))
</f>
        <v/>
      </c>
      <c r="C3301" s="51"/>
      <c r="D3301" s="102"/>
      <c r="E3301" s="102"/>
      <c r="H3301" s="102"/>
      <c r="J3301" s="102"/>
      <c r="K3301" s="450"/>
      <c r="L3301" s="443"/>
      <c r="M3301" s="450"/>
      <c r="N3301" s="452"/>
      <c r="O3301" s="453"/>
      <c r="P3301" s="113"/>
      <c r="Q3301" s="106" t="str">
        <f>IF(ISBLANK(O3301), "", VLOOKUP(C3301&amp;" "&amp;D3301, 'Info Tipo de Cambio y REM'!$A$24:$B$35, 2, FALSE))</f>
        <v/>
      </c>
      <c r="R3301" s="107"/>
    </row>
    <row r="3302" hidden="1">
      <c r="A3302" s="443"/>
      <c r="B3302" s="43" t="str">
        <f>IF(A3302="", "", IFERROR(VLOOKUP(A3302, Clasificaciones!A:B, 2, FALSE), "DATO NO CARGADO"))
</f>
        <v/>
      </c>
      <c r="C3302" s="51"/>
      <c r="D3302" s="102"/>
      <c r="E3302" s="102"/>
      <c r="H3302" s="102"/>
      <c r="J3302" s="102"/>
      <c r="K3302" s="450"/>
      <c r="L3302" s="443"/>
      <c r="M3302" s="450"/>
      <c r="N3302" s="452"/>
      <c r="O3302" s="453"/>
      <c r="P3302" s="113"/>
      <c r="Q3302" s="106" t="str">
        <f>IF(ISBLANK(O3302), "", VLOOKUP(C3302&amp;" "&amp;D3302, 'Info Tipo de Cambio y REM'!$A$24:$B$35, 2, FALSE))</f>
        <v/>
      </c>
      <c r="R3302" s="107"/>
    </row>
    <row r="3303" hidden="1">
      <c r="A3303" s="443"/>
      <c r="B3303" s="43" t="str">
        <f>IF(A3303="", "", IFERROR(VLOOKUP(A3303, Clasificaciones!A:B, 2, FALSE), "DATO NO CARGADO"))
</f>
        <v/>
      </c>
      <c r="C3303" s="51"/>
      <c r="D3303" s="102"/>
      <c r="E3303" s="102"/>
      <c r="H3303" s="102"/>
      <c r="J3303" s="102"/>
      <c r="K3303" s="450"/>
      <c r="L3303" s="443"/>
      <c r="M3303" s="450"/>
      <c r="N3303" s="452"/>
      <c r="O3303" s="453"/>
      <c r="P3303" s="113"/>
      <c r="Q3303" s="106" t="str">
        <f>IF(ISBLANK(O3303), "", VLOOKUP(C3303&amp;" "&amp;D3303, 'Info Tipo de Cambio y REM'!$A$24:$B$35, 2, FALSE))</f>
        <v/>
      </c>
      <c r="R3303" s="107"/>
    </row>
    <row r="3304" hidden="1">
      <c r="A3304" s="443"/>
      <c r="B3304" s="43" t="str">
        <f>IF(A3304="", "", IFERROR(VLOOKUP(A3304, Clasificaciones!A:B, 2, FALSE), "DATO NO CARGADO"))
</f>
        <v/>
      </c>
      <c r="C3304" s="51"/>
      <c r="D3304" s="102"/>
      <c r="E3304" s="102"/>
      <c r="H3304" s="102"/>
      <c r="J3304" s="102"/>
      <c r="K3304" s="450"/>
      <c r="L3304" s="443"/>
      <c r="M3304" s="450"/>
      <c r="N3304" s="452"/>
      <c r="O3304" s="453"/>
      <c r="P3304" s="113"/>
      <c r="Q3304" s="106" t="str">
        <f>IF(ISBLANK(O3304), "", VLOOKUP(C3304&amp;" "&amp;D3304, 'Info Tipo de Cambio y REM'!$A$24:$B$35, 2, FALSE))</f>
        <v/>
      </c>
      <c r="R3304" s="107"/>
    </row>
    <row r="3305" hidden="1">
      <c r="A3305" s="443"/>
      <c r="B3305" s="43" t="str">
        <f>IF(A3305="", "", IFERROR(VLOOKUP(A3305, Clasificaciones!A:B, 2, FALSE), "DATO NO CARGADO"))
</f>
        <v/>
      </c>
      <c r="C3305" s="51"/>
      <c r="D3305" s="102"/>
      <c r="E3305" s="102"/>
      <c r="H3305" s="102"/>
      <c r="J3305" s="102"/>
      <c r="K3305" s="450"/>
      <c r="L3305" s="443"/>
      <c r="M3305" s="450"/>
      <c r="N3305" s="452"/>
      <c r="O3305" s="453"/>
      <c r="P3305" s="113"/>
      <c r="Q3305" s="106" t="str">
        <f>IF(ISBLANK(O3305), "", VLOOKUP(C3305&amp;" "&amp;D3305, 'Info Tipo de Cambio y REM'!$A$24:$B$35, 2, FALSE))</f>
        <v/>
      </c>
      <c r="R3305" s="107"/>
    </row>
    <row r="3306" hidden="1">
      <c r="A3306" s="443"/>
      <c r="B3306" s="43" t="str">
        <f>IF(A3306="", "", IFERROR(VLOOKUP(A3306, Clasificaciones!A:B, 2, FALSE), "DATO NO CARGADO"))
</f>
        <v/>
      </c>
      <c r="C3306" s="51"/>
      <c r="D3306" s="102"/>
      <c r="E3306" s="102"/>
      <c r="H3306" s="102"/>
      <c r="J3306" s="102"/>
      <c r="K3306" s="450"/>
      <c r="L3306" s="443"/>
      <c r="M3306" s="450"/>
      <c r="N3306" s="452"/>
      <c r="O3306" s="453"/>
      <c r="P3306" s="113"/>
      <c r="Q3306" s="106" t="str">
        <f>IF(ISBLANK(O3306), "", VLOOKUP(C3306&amp;" "&amp;D3306, 'Info Tipo de Cambio y REM'!$A$24:$B$35, 2, FALSE))</f>
        <v/>
      </c>
      <c r="R3306" s="107"/>
    </row>
    <row r="3307" hidden="1">
      <c r="A3307" s="443"/>
      <c r="B3307" s="43" t="str">
        <f>IF(A3307="", "", IFERROR(VLOOKUP(A3307, Clasificaciones!A:B, 2, FALSE), "DATO NO CARGADO"))
</f>
        <v/>
      </c>
      <c r="C3307" s="51"/>
      <c r="D3307" s="102"/>
      <c r="E3307" s="102"/>
      <c r="H3307" s="102"/>
      <c r="J3307" s="102"/>
      <c r="K3307" s="450"/>
      <c r="L3307" s="443"/>
      <c r="M3307" s="450"/>
      <c r="N3307" s="452"/>
      <c r="O3307" s="453"/>
      <c r="P3307" s="113"/>
      <c r="Q3307" s="106" t="str">
        <f>IF(ISBLANK(O3307), "", VLOOKUP(C3307&amp;" "&amp;D3307, 'Info Tipo de Cambio y REM'!$A$24:$B$35, 2, FALSE))</f>
        <v/>
      </c>
      <c r="R3307" s="107"/>
    </row>
    <row r="3308" hidden="1">
      <c r="A3308" s="443"/>
      <c r="B3308" s="43" t="str">
        <f>IF(A3308="", "", IFERROR(VLOOKUP(A3308, Clasificaciones!A:B, 2, FALSE), "DATO NO CARGADO"))
</f>
        <v/>
      </c>
      <c r="C3308" s="51"/>
      <c r="D3308" s="102"/>
      <c r="E3308" s="102"/>
      <c r="H3308" s="102"/>
      <c r="J3308" s="102"/>
      <c r="K3308" s="450"/>
      <c r="L3308" s="443"/>
      <c r="M3308" s="450"/>
      <c r="N3308" s="452"/>
      <c r="O3308" s="453"/>
      <c r="P3308" s="113"/>
      <c r="Q3308" s="106" t="str">
        <f>IF(ISBLANK(O3308), "", VLOOKUP(C3308&amp;" "&amp;D3308, 'Info Tipo de Cambio y REM'!$A$24:$B$35, 2, FALSE))</f>
        <v/>
      </c>
      <c r="R3308" s="107"/>
    </row>
    <row r="3309" hidden="1">
      <c r="A3309" s="443"/>
      <c r="B3309" s="43" t="str">
        <f>IF(A3309="", "", IFERROR(VLOOKUP(A3309, Clasificaciones!A:B, 2, FALSE), "DATO NO CARGADO"))
</f>
        <v/>
      </c>
      <c r="C3309" s="51"/>
      <c r="D3309" s="102"/>
      <c r="E3309" s="102"/>
      <c r="H3309" s="102"/>
      <c r="J3309" s="102"/>
      <c r="K3309" s="450"/>
      <c r="L3309" s="443"/>
      <c r="M3309" s="450"/>
      <c r="N3309" s="452"/>
      <c r="O3309" s="453"/>
      <c r="P3309" s="113"/>
      <c r="Q3309" s="106" t="str">
        <f>IF(ISBLANK(O3309), "", VLOOKUP(C3309&amp;" "&amp;D3309, 'Info Tipo de Cambio y REM'!$A$24:$B$35, 2, FALSE))</f>
        <v/>
      </c>
      <c r="R3309" s="107"/>
    </row>
    <row r="3310" hidden="1">
      <c r="A3310" s="443"/>
      <c r="B3310" s="43" t="str">
        <f>IF(A3310="", "", IFERROR(VLOOKUP(A3310, Clasificaciones!A:B, 2, FALSE), "DATO NO CARGADO"))
</f>
        <v/>
      </c>
      <c r="C3310" s="51"/>
      <c r="D3310" s="102"/>
      <c r="E3310" s="102"/>
      <c r="H3310" s="102"/>
      <c r="J3310" s="102"/>
      <c r="K3310" s="450"/>
      <c r="L3310" s="443"/>
      <c r="M3310" s="450"/>
      <c r="N3310" s="452"/>
      <c r="O3310" s="453"/>
      <c r="P3310" s="113"/>
      <c r="Q3310" s="106" t="str">
        <f>IF(ISBLANK(O3310), "", VLOOKUP(C3310&amp;" "&amp;D3310, 'Info Tipo de Cambio y REM'!$A$24:$B$35, 2, FALSE))</f>
        <v/>
      </c>
      <c r="R3310" s="107"/>
    </row>
    <row r="3311" hidden="1">
      <c r="A3311" s="443"/>
      <c r="B3311" s="43" t="str">
        <f>IF(A3311="", "", IFERROR(VLOOKUP(A3311, Clasificaciones!A:B, 2, FALSE), "DATO NO CARGADO"))
</f>
        <v/>
      </c>
      <c r="C3311" s="51"/>
      <c r="D3311" s="102"/>
      <c r="E3311" s="102"/>
      <c r="H3311" s="102"/>
      <c r="J3311" s="102"/>
      <c r="K3311" s="450"/>
      <c r="L3311" s="443"/>
      <c r="M3311" s="450"/>
      <c r="N3311" s="452"/>
      <c r="O3311" s="453"/>
      <c r="P3311" s="113"/>
      <c r="Q3311" s="106" t="str">
        <f>IF(ISBLANK(O3311), "", VLOOKUP(C3311&amp;" "&amp;D3311, 'Info Tipo de Cambio y REM'!$A$24:$B$35, 2, FALSE))</f>
        <v/>
      </c>
      <c r="R3311" s="107"/>
    </row>
    <row r="3312" hidden="1">
      <c r="A3312" s="443"/>
      <c r="B3312" s="43" t="str">
        <f>IF(A3312="", "", IFERROR(VLOOKUP(A3312, Clasificaciones!A:B, 2, FALSE), "DATO NO CARGADO"))
</f>
        <v/>
      </c>
      <c r="C3312" s="51"/>
      <c r="D3312" s="102"/>
      <c r="E3312" s="102"/>
      <c r="H3312" s="102"/>
      <c r="J3312" s="102"/>
      <c r="K3312" s="450"/>
      <c r="L3312" s="443"/>
      <c r="M3312" s="450"/>
      <c r="N3312" s="452"/>
      <c r="O3312" s="453"/>
      <c r="P3312" s="113"/>
      <c r="Q3312" s="106" t="str">
        <f>IF(ISBLANK(O3312), "", VLOOKUP(C3312&amp;" "&amp;D3312, 'Info Tipo de Cambio y REM'!$A$24:$B$35, 2, FALSE))</f>
        <v/>
      </c>
      <c r="R3312" s="107"/>
    </row>
    <row r="3313" hidden="1">
      <c r="A3313" s="443"/>
      <c r="B3313" s="43" t="str">
        <f>IF(A3313="", "", IFERROR(VLOOKUP(A3313, Clasificaciones!A:B, 2, FALSE), "DATO NO CARGADO"))
</f>
        <v/>
      </c>
      <c r="C3313" s="51"/>
      <c r="D3313" s="102"/>
      <c r="E3313" s="102"/>
      <c r="H3313" s="102"/>
      <c r="J3313" s="102"/>
      <c r="K3313" s="450"/>
      <c r="L3313" s="443"/>
      <c r="M3313" s="450"/>
      <c r="N3313" s="452"/>
      <c r="O3313" s="453"/>
      <c r="P3313" s="113"/>
      <c r="Q3313" s="106" t="str">
        <f>IF(ISBLANK(O3313), "", VLOOKUP(C3313&amp;" "&amp;D3313, 'Info Tipo de Cambio y REM'!$A$24:$B$35, 2, FALSE))</f>
        <v/>
      </c>
      <c r="R3313" s="107"/>
    </row>
    <row r="3314" hidden="1">
      <c r="A3314" s="443"/>
      <c r="B3314" s="43" t="str">
        <f>IF(A3314="", "", IFERROR(VLOOKUP(A3314, Clasificaciones!A:B, 2, FALSE), "DATO NO CARGADO"))
</f>
        <v/>
      </c>
      <c r="C3314" s="51"/>
      <c r="D3314" s="102"/>
      <c r="E3314" s="102"/>
      <c r="H3314" s="102"/>
      <c r="J3314" s="102"/>
      <c r="K3314" s="450"/>
      <c r="L3314" s="443"/>
      <c r="M3314" s="450"/>
      <c r="N3314" s="452"/>
      <c r="O3314" s="453"/>
      <c r="P3314" s="113"/>
      <c r="Q3314" s="106" t="str">
        <f>IF(ISBLANK(O3314), "", VLOOKUP(C3314&amp;" "&amp;D3314, 'Info Tipo de Cambio y REM'!$A$24:$B$35, 2, FALSE))</f>
        <v/>
      </c>
      <c r="R3314" s="107"/>
    </row>
    <row r="3315" hidden="1">
      <c r="A3315" s="443"/>
      <c r="B3315" s="43" t="str">
        <f>IF(A3315="", "", IFERROR(VLOOKUP(A3315, Clasificaciones!A:B, 2, FALSE), "DATO NO CARGADO"))
</f>
        <v/>
      </c>
      <c r="C3315" s="51"/>
      <c r="D3315" s="102"/>
      <c r="E3315" s="102"/>
      <c r="H3315" s="102"/>
      <c r="J3315" s="102"/>
      <c r="K3315" s="450"/>
      <c r="L3315" s="443"/>
      <c r="M3315" s="450"/>
      <c r="N3315" s="452"/>
      <c r="O3315" s="453"/>
      <c r="P3315" s="113"/>
      <c r="Q3315" s="106" t="str">
        <f>IF(ISBLANK(O3315), "", VLOOKUP(C3315&amp;" "&amp;D3315, 'Info Tipo de Cambio y REM'!$A$24:$B$35, 2, FALSE))</f>
        <v/>
      </c>
      <c r="R3315" s="107"/>
    </row>
    <row r="3316" hidden="1">
      <c r="A3316" s="443"/>
      <c r="B3316" s="43" t="str">
        <f>IF(A3316="", "", IFERROR(VLOOKUP(A3316, Clasificaciones!A:B, 2, FALSE), "DATO NO CARGADO"))
</f>
        <v/>
      </c>
      <c r="C3316" s="51"/>
      <c r="D3316" s="102"/>
      <c r="E3316" s="102"/>
      <c r="H3316" s="102"/>
      <c r="J3316" s="102"/>
      <c r="K3316" s="450"/>
      <c r="L3316" s="443"/>
      <c r="M3316" s="450"/>
      <c r="N3316" s="452"/>
      <c r="O3316" s="453"/>
      <c r="P3316" s="113"/>
      <c r="Q3316" s="106" t="str">
        <f>IF(ISBLANK(O3316), "", VLOOKUP(C3316&amp;" "&amp;D3316, 'Info Tipo de Cambio y REM'!$A$24:$B$35, 2, FALSE))</f>
        <v/>
      </c>
      <c r="R3316" s="107"/>
    </row>
    <row r="3317" hidden="1">
      <c r="A3317" s="443"/>
      <c r="B3317" s="43" t="str">
        <f>IF(A3317="", "", IFERROR(VLOOKUP(A3317, Clasificaciones!A:B, 2, FALSE), "DATO NO CARGADO"))
</f>
        <v/>
      </c>
      <c r="C3317" s="51"/>
      <c r="D3317" s="102"/>
      <c r="E3317" s="102"/>
      <c r="H3317" s="102"/>
      <c r="J3317" s="102"/>
      <c r="K3317" s="450"/>
      <c r="L3317" s="443"/>
      <c r="M3317" s="450"/>
      <c r="N3317" s="452"/>
      <c r="O3317" s="453"/>
      <c r="P3317" s="113"/>
      <c r="Q3317" s="106" t="str">
        <f>IF(ISBLANK(O3317), "", VLOOKUP(C3317&amp;" "&amp;D3317, 'Info Tipo de Cambio y REM'!$A$24:$B$35, 2, FALSE))</f>
        <v/>
      </c>
      <c r="R3317" s="107"/>
    </row>
    <row r="3318" hidden="1">
      <c r="A3318" s="443"/>
      <c r="B3318" s="43" t="str">
        <f>IF(A3318="", "", IFERROR(VLOOKUP(A3318, Clasificaciones!A:B, 2, FALSE), "DATO NO CARGADO"))
</f>
        <v/>
      </c>
      <c r="C3318" s="51"/>
      <c r="D3318" s="102"/>
      <c r="E3318" s="102"/>
      <c r="H3318" s="102"/>
      <c r="J3318" s="102"/>
      <c r="K3318" s="450"/>
      <c r="L3318" s="443"/>
      <c r="M3318" s="450"/>
      <c r="N3318" s="452"/>
      <c r="O3318" s="453"/>
      <c r="P3318" s="113"/>
      <c r="Q3318" s="106" t="str">
        <f>IF(ISBLANK(O3318), "", VLOOKUP(C3318&amp;" "&amp;D3318, 'Info Tipo de Cambio y REM'!$A$24:$B$35, 2, FALSE))</f>
        <v/>
      </c>
      <c r="R3318" s="107"/>
    </row>
    <row r="3319" hidden="1">
      <c r="A3319" s="443"/>
      <c r="B3319" s="43" t="str">
        <f>IF(A3319="", "", IFERROR(VLOOKUP(A3319, Clasificaciones!A:B, 2, FALSE), "DATO NO CARGADO"))
</f>
        <v/>
      </c>
      <c r="C3319" s="51"/>
      <c r="D3319" s="102"/>
      <c r="E3319" s="102"/>
      <c r="H3319" s="102"/>
      <c r="J3319" s="102"/>
      <c r="K3319" s="450"/>
      <c r="L3319" s="443"/>
      <c r="M3319" s="450"/>
      <c r="N3319" s="452"/>
      <c r="O3319" s="453"/>
      <c r="P3319" s="113"/>
      <c r="Q3319" s="106" t="str">
        <f>IF(ISBLANK(O3319), "", VLOOKUP(C3319&amp;" "&amp;D3319, 'Info Tipo de Cambio y REM'!$A$24:$B$35, 2, FALSE))</f>
        <v/>
      </c>
      <c r="R3319" s="107"/>
    </row>
    <row r="3320" hidden="1">
      <c r="A3320" s="443"/>
      <c r="B3320" s="43" t="str">
        <f>IF(A3320="", "", IFERROR(VLOOKUP(A3320, Clasificaciones!A:B, 2, FALSE), "DATO NO CARGADO"))
</f>
        <v/>
      </c>
      <c r="C3320" s="51"/>
      <c r="D3320" s="102"/>
      <c r="E3320" s="102"/>
      <c r="H3320" s="102"/>
      <c r="J3320" s="102"/>
      <c r="K3320" s="450"/>
      <c r="L3320" s="443"/>
      <c r="M3320" s="450"/>
      <c r="N3320" s="452"/>
      <c r="O3320" s="453"/>
      <c r="P3320" s="113"/>
      <c r="Q3320" s="106" t="str">
        <f>IF(ISBLANK(O3320), "", VLOOKUP(C3320&amp;" "&amp;D3320, 'Info Tipo de Cambio y REM'!$A$24:$B$35, 2, FALSE))</f>
        <v/>
      </c>
      <c r="R3320" s="107"/>
    </row>
    <row r="3321" hidden="1">
      <c r="A3321" s="443"/>
      <c r="B3321" s="43" t="str">
        <f>IF(A3321="", "", IFERROR(VLOOKUP(A3321, Clasificaciones!A:B, 2, FALSE), "DATO NO CARGADO"))
</f>
        <v/>
      </c>
      <c r="C3321" s="51"/>
      <c r="D3321" s="102"/>
      <c r="E3321" s="102"/>
      <c r="H3321" s="102"/>
      <c r="J3321" s="102"/>
      <c r="K3321" s="450"/>
      <c r="L3321" s="443"/>
      <c r="M3321" s="450"/>
      <c r="N3321" s="452"/>
      <c r="O3321" s="453"/>
      <c r="P3321" s="113"/>
      <c r="Q3321" s="106" t="str">
        <f>IF(ISBLANK(O3321), "", VLOOKUP(C3321&amp;" "&amp;D3321, 'Info Tipo de Cambio y REM'!$A$24:$B$35, 2, FALSE))</f>
        <v/>
      </c>
      <c r="R3321" s="107"/>
    </row>
    <row r="3322" hidden="1">
      <c r="A3322" s="443"/>
      <c r="B3322" s="43" t="str">
        <f>IF(A3322="", "", IFERROR(VLOOKUP(A3322, Clasificaciones!A:B, 2, FALSE), "DATO NO CARGADO"))
</f>
        <v/>
      </c>
      <c r="C3322" s="51"/>
      <c r="D3322" s="102"/>
      <c r="E3322" s="102"/>
      <c r="H3322" s="102"/>
      <c r="J3322" s="102"/>
      <c r="K3322" s="450"/>
      <c r="L3322" s="443"/>
      <c r="M3322" s="450"/>
      <c r="N3322" s="452"/>
      <c r="O3322" s="453"/>
      <c r="P3322" s="113"/>
      <c r="Q3322" s="106" t="str">
        <f>IF(ISBLANK(O3322), "", VLOOKUP(C3322&amp;" "&amp;D3322, 'Info Tipo de Cambio y REM'!$A$24:$B$35, 2, FALSE))</f>
        <v/>
      </c>
      <c r="R3322" s="107"/>
    </row>
    <row r="3323" hidden="1">
      <c r="A3323" s="443"/>
      <c r="B3323" s="43" t="str">
        <f>IF(A3323="", "", IFERROR(VLOOKUP(A3323, Clasificaciones!A:B, 2, FALSE), "DATO NO CARGADO"))
</f>
        <v/>
      </c>
      <c r="C3323" s="51"/>
      <c r="D3323" s="102"/>
      <c r="E3323" s="102"/>
      <c r="H3323" s="102"/>
      <c r="J3323" s="102"/>
      <c r="K3323" s="450"/>
      <c r="L3323" s="443"/>
      <c r="M3323" s="450"/>
      <c r="N3323" s="452"/>
      <c r="O3323" s="453"/>
      <c r="P3323" s="113"/>
      <c r="Q3323" s="106" t="str">
        <f>IF(ISBLANK(O3323), "", VLOOKUP(C3323&amp;" "&amp;D3323, 'Info Tipo de Cambio y REM'!$A$24:$B$35, 2, FALSE))</f>
        <v/>
      </c>
      <c r="R3323" s="107"/>
    </row>
    <row r="3324" hidden="1">
      <c r="A3324" s="443"/>
      <c r="B3324" s="43" t="str">
        <f>IF(A3324="", "", IFERROR(VLOOKUP(A3324, Clasificaciones!A:B, 2, FALSE), "DATO NO CARGADO"))
</f>
        <v/>
      </c>
      <c r="C3324" s="51"/>
      <c r="D3324" s="102"/>
      <c r="E3324" s="102"/>
      <c r="H3324" s="102"/>
      <c r="J3324" s="102"/>
      <c r="K3324" s="450"/>
      <c r="L3324" s="443"/>
      <c r="M3324" s="450"/>
      <c r="N3324" s="452"/>
      <c r="O3324" s="453"/>
      <c r="P3324" s="113"/>
      <c r="Q3324" s="106" t="str">
        <f>IF(ISBLANK(O3324), "", VLOOKUP(C3324&amp;" "&amp;D3324, 'Info Tipo de Cambio y REM'!$A$24:$B$35, 2, FALSE))</f>
        <v/>
      </c>
      <c r="R3324" s="107"/>
    </row>
    <row r="3325" hidden="1">
      <c r="A3325" s="443"/>
      <c r="B3325" s="43" t="str">
        <f>IF(A3325="", "", IFERROR(VLOOKUP(A3325, Clasificaciones!A:B, 2, FALSE), "DATO NO CARGADO"))
</f>
        <v/>
      </c>
      <c r="C3325" s="51"/>
      <c r="D3325" s="102"/>
      <c r="E3325" s="102"/>
      <c r="H3325" s="102"/>
      <c r="J3325" s="102"/>
      <c r="K3325" s="450"/>
      <c r="L3325" s="443"/>
      <c r="M3325" s="450"/>
      <c r="N3325" s="452"/>
      <c r="O3325" s="453"/>
      <c r="P3325" s="113"/>
      <c r="Q3325" s="106" t="str">
        <f>IF(ISBLANK(O3325), "", VLOOKUP(C3325&amp;" "&amp;D3325, 'Info Tipo de Cambio y REM'!$A$24:$B$35, 2, FALSE))</f>
        <v/>
      </c>
      <c r="R3325" s="107"/>
    </row>
    <row r="3326" hidden="1">
      <c r="A3326" s="443"/>
      <c r="B3326" s="43" t="str">
        <f>IF(A3326="", "", IFERROR(VLOOKUP(A3326, Clasificaciones!A:B, 2, FALSE), "DATO NO CARGADO"))
</f>
        <v/>
      </c>
      <c r="C3326" s="51"/>
      <c r="D3326" s="102"/>
      <c r="E3326" s="102"/>
      <c r="H3326" s="102"/>
      <c r="J3326" s="102"/>
      <c r="K3326" s="450"/>
      <c r="L3326" s="443"/>
      <c r="M3326" s="450"/>
      <c r="N3326" s="452"/>
      <c r="O3326" s="453"/>
      <c r="P3326" s="113"/>
      <c r="Q3326" s="106" t="str">
        <f>IF(ISBLANK(O3326), "", VLOOKUP(C3326&amp;" "&amp;D3326, 'Info Tipo de Cambio y REM'!$A$24:$B$35, 2, FALSE))</f>
        <v/>
      </c>
      <c r="R3326" s="107"/>
    </row>
    <row r="3327" hidden="1">
      <c r="A3327" s="443"/>
      <c r="B3327" s="43" t="str">
        <f>IF(A3327="", "", IFERROR(VLOOKUP(A3327, Clasificaciones!A:B, 2, FALSE), "DATO NO CARGADO"))
</f>
        <v/>
      </c>
      <c r="C3327" s="51"/>
      <c r="D3327" s="102"/>
      <c r="E3327" s="102"/>
      <c r="H3327" s="102"/>
      <c r="J3327" s="102"/>
      <c r="K3327" s="450"/>
      <c r="L3327" s="443"/>
      <c r="M3327" s="450"/>
      <c r="N3327" s="452"/>
      <c r="O3327" s="453"/>
      <c r="P3327" s="113"/>
      <c r="Q3327" s="106" t="str">
        <f>IF(ISBLANK(O3327), "", VLOOKUP(C3327&amp;" "&amp;D3327, 'Info Tipo de Cambio y REM'!$A$24:$B$35, 2, FALSE))</f>
        <v/>
      </c>
      <c r="R3327" s="107"/>
    </row>
    <row r="3328" hidden="1">
      <c r="A3328" s="443"/>
      <c r="B3328" s="43" t="str">
        <f>IF(A3328="", "", IFERROR(VLOOKUP(A3328, Clasificaciones!A:B, 2, FALSE), "DATO NO CARGADO"))
</f>
        <v/>
      </c>
      <c r="C3328" s="51"/>
      <c r="D3328" s="102"/>
      <c r="E3328" s="102"/>
      <c r="H3328" s="102"/>
      <c r="J3328" s="102"/>
      <c r="K3328" s="450"/>
      <c r="L3328" s="443"/>
      <c r="M3328" s="450"/>
      <c r="N3328" s="452"/>
      <c r="O3328" s="453"/>
      <c r="P3328" s="113"/>
      <c r="Q3328" s="106" t="str">
        <f>IF(ISBLANK(O3328), "", VLOOKUP(C3328&amp;" "&amp;D3328, 'Info Tipo de Cambio y REM'!$A$24:$B$35, 2, FALSE))</f>
        <v/>
      </c>
      <c r="R3328" s="107"/>
    </row>
    <row r="3329" hidden="1">
      <c r="A3329" s="443"/>
      <c r="B3329" s="43" t="str">
        <f>IF(A3329="", "", IFERROR(VLOOKUP(A3329, Clasificaciones!A:B, 2, FALSE), "DATO NO CARGADO"))
</f>
        <v/>
      </c>
      <c r="C3329" s="51"/>
      <c r="D3329" s="102"/>
      <c r="E3329" s="102"/>
      <c r="H3329" s="102"/>
      <c r="J3329" s="102"/>
      <c r="K3329" s="450"/>
      <c r="L3329" s="443"/>
      <c r="M3329" s="450"/>
      <c r="N3329" s="452"/>
      <c r="O3329" s="453"/>
      <c r="P3329" s="113"/>
      <c r="Q3329" s="106" t="str">
        <f>IF(ISBLANK(O3329), "", VLOOKUP(C3329&amp;" "&amp;D3329, 'Info Tipo de Cambio y REM'!$A$24:$B$35, 2, FALSE))</f>
        <v/>
      </c>
      <c r="R3329" s="107"/>
    </row>
    <row r="3330" hidden="1">
      <c r="A3330" s="443"/>
      <c r="B3330" s="43" t="str">
        <f>IF(A3330="", "", IFERROR(VLOOKUP(A3330, Clasificaciones!A:B, 2, FALSE), "DATO NO CARGADO"))
</f>
        <v/>
      </c>
      <c r="C3330" s="51"/>
      <c r="D3330" s="102"/>
      <c r="E3330" s="102"/>
      <c r="H3330" s="102"/>
      <c r="J3330" s="102"/>
      <c r="K3330" s="450"/>
      <c r="L3330" s="443"/>
      <c r="M3330" s="450"/>
      <c r="N3330" s="452"/>
      <c r="O3330" s="453"/>
      <c r="P3330" s="113"/>
      <c r="Q3330" s="106" t="str">
        <f>IF(ISBLANK(O3330), "", VLOOKUP(C3330&amp;" "&amp;D3330, 'Info Tipo de Cambio y REM'!$A$24:$B$35, 2, FALSE))</f>
        <v/>
      </c>
      <c r="R3330" s="107"/>
    </row>
    <row r="3331" hidden="1">
      <c r="A3331" s="443"/>
      <c r="B3331" s="43" t="str">
        <f>IF(A3331="", "", IFERROR(VLOOKUP(A3331, Clasificaciones!A:B, 2, FALSE), "DATO NO CARGADO"))
</f>
        <v/>
      </c>
      <c r="C3331" s="51"/>
      <c r="D3331" s="102"/>
      <c r="E3331" s="102"/>
      <c r="H3331" s="102"/>
      <c r="J3331" s="102"/>
      <c r="K3331" s="450"/>
      <c r="L3331" s="443"/>
      <c r="M3331" s="450"/>
      <c r="N3331" s="452"/>
      <c r="O3331" s="453"/>
      <c r="P3331" s="113"/>
      <c r="Q3331" s="106" t="str">
        <f>IF(ISBLANK(O3331), "", VLOOKUP(C3331&amp;" "&amp;D3331, 'Info Tipo de Cambio y REM'!$A$24:$B$35, 2, FALSE))</f>
        <v/>
      </c>
      <c r="R3331" s="107"/>
    </row>
    <row r="3332" hidden="1">
      <c r="A3332" s="443"/>
      <c r="B3332" s="43" t="str">
        <f>IF(A3332="", "", IFERROR(VLOOKUP(A3332, Clasificaciones!A:B, 2, FALSE), "DATO NO CARGADO"))
</f>
        <v/>
      </c>
      <c r="C3332" s="51"/>
      <c r="D3332" s="102"/>
      <c r="E3332" s="102"/>
      <c r="H3332" s="102"/>
      <c r="J3332" s="102"/>
      <c r="K3332" s="450"/>
      <c r="L3332" s="443"/>
      <c r="M3332" s="450"/>
      <c r="N3332" s="452"/>
      <c r="O3332" s="453"/>
      <c r="P3332" s="113"/>
      <c r="Q3332" s="106" t="str">
        <f>IF(ISBLANK(O3332), "", VLOOKUP(C3332&amp;" "&amp;D3332, 'Info Tipo de Cambio y REM'!$A$24:$B$35, 2, FALSE))</f>
        <v/>
      </c>
      <c r="R3332" s="107"/>
    </row>
    <row r="3333" hidden="1">
      <c r="A3333" s="443"/>
      <c r="B3333" s="43" t="str">
        <f>IF(A3333="", "", IFERROR(VLOOKUP(A3333, Clasificaciones!A:B, 2, FALSE), "DATO NO CARGADO"))
</f>
        <v/>
      </c>
      <c r="C3333" s="51"/>
      <c r="D3333" s="102"/>
      <c r="E3333" s="102"/>
      <c r="H3333" s="102"/>
      <c r="J3333" s="102"/>
      <c r="K3333" s="450"/>
      <c r="L3333" s="443"/>
      <c r="M3333" s="450"/>
      <c r="N3333" s="452"/>
      <c r="O3333" s="453"/>
      <c r="P3333" s="113"/>
      <c r="Q3333" s="106" t="str">
        <f>IF(ISBLANK(O3333), "", VLOOKUP(C3333&amp;" "&amp;D3333, 'Info Tipo de Cambio y REM'!$A$24:$B$35, 2, FALSE))</f>
        <v/>
      </c>
      <c r="R3333" s="107"/>
    </row>
    <row r="3334" hidden="1">
      <c r="A3334" s="443"/>
      <c r="B3334" s="43" t="str">
        <f>IF(A3334="", "", IFERROR(VLOOKUP(A3334, Clasificaciones!A:B, 2, FALSE), "DATO NO CARGADO"))
</f>
        <v/>
      </c>
      <c r="C3334" s="51"/>
      <c r="D3334" s="102"/>
      <c r="E3334" s="102"/>
      <c r="H3334" s="102"/>
      <c r="J3334" s="102"/>
      <c r="K3334" s="450"/>
      <c r="L3334" s="443"/>
      <c r="M3334" s="450"/>
      <c r="N3334" s="452"/>
      <c r="O3334" s="453"/>
      <c r="P3334" s="113"/>
      <c r="Q3334" s="106" t="str">
        <f>IF(ISBLANK(O3334), "", VLOOKUP(C3334&amp;" "&amp;D3334, 'Info Tipo de Cambio y REM'!$A$24:$B$35, 2, FALSE))</f>
        <v/>
      </c>
      <c r="R3334" s="107"/>
    </row>
    <row r="3335" hidden="1">
      <c r="A3335" s="443"/>
      <c r="B3335" s="43" t="str">
        <f>IF(A3335="", "", IFERROR(VLOOKUP(A3335, Clasificaciones!A:B, 2, FALSE), "DATO NO CARGADO"))
</f>
        <v/>
      </c>
      <c r="C3335" s="51"/>
      <c r="D3335" s="102"/>
      <c r="E3335" s="102"/>
      <c r="H3335" s="102"/>
      <c r="J3335" s="102"/>
      <c r="K3335" s="450"/>
      <c r="L3335" s="443"/>
      <c r="M3335" s="450"/>
      <c r="N3335" s="452"/>
      <c r="O3335" s="453"/>
      <c r="P3335" s="113"/>
      <c r="Q3335" s="106" t="str">
        <f>IF(ISBLANK(O3335), "", VLOOKUP(C3335&amp;" "&amp;D3335, 'Info Tipo de Cambio y REM'!$A$24:$B$35, 2, FALSE))</f>
        <v/>
      </c>
      <c r="R3335" s="107"/>
    </row>
    <row r="3336" hidden="1">
      <c r="A3336" s="443"/>
      <c r="B3336" s="43" t="str">
        <f>IF(A3336="", "", IFERROR(VLOOKUP(A3336, Clasificaciones!A:B, 2, FALSE), "DATO NO CARGADO"))
</f>
        <v/>
      </c>
      <c r="C3336" s="51"/>
      <c r="D3336" s="102"/>
      <c r="E3336" s="102"/>
      <c r="H3336" s="102"/>
      <c r="J3336" s="102"/>
      <c r="K3336" s="450"/>
      <c r="L3336" s="443"/>
      <c r="M3336" s="450"/>
      <c r="N3336" s="452"/>
      <c r="O3336" s="453"/>
      <c r="P3336" s="113"/>
      <c r="Q3336" s="106" t="str">
        <f>IF(ISBLANK(O3336), "", VLOOKUP(C3336&amp;" "&amp;D3336, 'Info Tipo de Cambio y REM'!$A$24:$B$35, 2, FALSE))</f>
        <v/>
      </c>
      <c r="R3336" s="107"/>
    </row>
    <row r="3337" hidden="1">
      <c r="A3337" s="443"/>
      <c r="B3337" s="43" t="str">
        <f>IF(A3337="", "", IFERROR(VLOOKUP(A3337, Clasificaciones!A:B, 2, FALSE), "DATO NO CARGADO"))
</f>
        <v/>
      </c>
      <c r="C3337" s="51"/>
      <c r="D3337" s="102"/>
      <c r="E3337" s="102"/>
      <c r="H3337" s="102"/>
      <c r="J3337" s="102"/>
      <c r="K3337" s="450"/>
      <c r="L3337" s="443"/>
      <c r="M3337" s="450"/>
      <c r="N3337" s="452"/>
      <c r="O3337" s="453"/>
      <c r="P3337" s="113"/>
      <c r="Q3337" s="106" t="str">
        <f>IF(ISBLANK(O3337), "", VLOOKUP(C3337&amp;" "&amp;D3337, 'Info Tipo de Cambio y REM'!$A$24:$B$35, 2, FALSE))</f>
        <v/>
      </c>
      <c r="R3337" s="107"/>
    </row>
    <row r="3338" hidden="1">
      <c r="A3338" s="443"/>
      <c r="B3338" s="43" t="str">
        <f>IF(A3338="", "", IFERROR(VLOOKUP(A3338, Clasificaciones!A:B, 2, FALSE), "DATO NO CARGADO"))
</f>
        <v/>
      </c>
      <c r="C3338" s="51"/>
      <c r="D3338" s="102"/>
      <c r="E3338" s="102"/>
      <c r="H3338" s="102"/>
      <c r="J3338" s="102"/>
      <c r="K3338" s="450"/>
      <c r="L3338" s="443"/>
      <c r="M3338" s="450"/>
      <c r="N3338" s="452"/>
      <c r="O3338" s="453"/>
      <c r="P3338" s="113"/>
      <c r="Q3338" s="106" t="str">
        <f>IF(ISBLANK(O3338), "", VLOOKUP(C3338&amp;" "&amp;D3338, 'Info Tipo de Cambio y REM'!$A$24:$B$35, 2, FALSE))</f>
        <v/>
      </c>
      <c r="R3338" s="107"/>
    </row>
    <row r="3339" hidden="1">
      <c r="A3339" s="443"/>
      <c r="B3339" s="43" t="str">
        <f>IF(A3339="", "", IFERROR(VLOOKUP(A3339, Clasificaciones!A:B, 2, FALSE), "DATO NO CARGADO"))
</f>
        <v/>
      </c>
      <c r="C3339" s="51"/>
      <c r="D3339" s="102"/>
      <c r="E3339" s="102"/>
      <c r="H3339" s="102"/>
      <c r="J3339" s="102"/>
      <c r="K3339" s="450"/>
      <c r="L3339" s="443"/>
      <c r="M3339" s="450"/>
      <c r="N3339" s="452"/>
      <c r="O3339" s="453"/>
      <c r="P3339" s="113"/>
      <c r="Q3339" s="106" t="str">
        <f>IF(ISBLANK(O3339), "", VLOOKUP(C3339&amp;" "&amp;D3339, 'Info Tipo de Cambio y REM'!$A$24:$B$35, 2, FALSE))</f>
        <v/>
      </c>
      <c r="R3339" s="107"/>
    </row>
    <row r="3340" hidden="1">
      <c r="A3340" s="443"/>
      <c r="B3340" s="43" t="str">
        <f>IF(A3340="", "", IFERROR(VLOOKUP(A3340, Clasificaciones!A:B, 2, FALSE), "DATO NO CARGADO"))
</f>
        <v/>
      </c>
      <c r="C3340" s="51"/>
      <c r="D3340" s="102"/>
      <c r="E3340" s="102"/>
      <c r="H3340" s="102"/>
      <c r="J3340" s="102"/>
      <c r="K3340" s="450"/>
      <c r="L3340" s="443"/>
      <c r="M3340" s="450"/>
      <c r="N3340" s="452"/>
      <c r="O3340" s="453"/>
      <c r="P3340" s="113"/>
      <c r="Q3340" s="106" t="str">
        <f>IF(ISBLANK(O3340), "", VLOOKUP(C3340&amp;" "&amp;D3340, 'Info Tipo de Cambio y REM'!$A$24:$B$35, 2, FALSE))</f>
        <v/>
      </c>
      <c r="R3340" s="107"/>
    </row>
    <row r="3341" hidden="1">
      <c r="A3341" s="443"/>
      <c r="B3341" s="43" t="str">
        <f>IF(A3341="", "", IFERROR(VLOOKUP(A3341, Clasificaciones!A:B, 2, FALSE), "DATO NO CARGADO"))
</f>
        <v/>
      </c>
      <c r="C3341" s="51"/>
      <c r="D3341" s="102"/>
      <c r="E3341" s="102"/>
      <c r="H3341" s="102"/>
      <c r="J3341" s="102"/>
      <c r="K3341" s="450"/>
      <c r="L3341" s="443"/>
      <c r="M3341" s="450"/>
      <c r="N3341" s="452"/>
      <c r="O3341" s="453"/>
      <c r="P3341" s="113"/>
      <c r="Q3341" s="106" t="str">
        <f>IF(ISBLANK(O3341), "", VLOOKUP(C3341&amp;" "&amp;D3341, 'Info Tipo de Cambio y REM'!$A$24:$B$35, 2, FALSE))</f>
        <v/>
      </c>
      <c r="R3341" s="107"/>
    </row>
    <row r="3342" hidden="1">
      <c r="A3342" s="443"/>
      <c r="B3342" s="43" t="str">
        <f>IF(A3342="", "", IFERROR(VLOOKUP(A3342, Clasificaciones!A:B, 2, FALSE), "DATO NO CARGADO"))
</f>
        <v/>
      </c>
      <c r="C3342" s="51"/>
      <c r="D3342" s="102"/>
      <c r="E3342" s="102"/>
      <c r="H3342" s="102"/>
      <c r="J3342" s="102"/>
      <c r="K3342" s="450"/>
      <c r="L3342" s="443"/>
      <c r="M3342" s="450"/>
      <c r="N3342" s="452"/>
      <c r="O3342" s="453"/>
      <c r="P3342" s="113"/>
      <c r="Q3342" s="106" t="str">
        <f>IF(ISBLANK(O3342), "", VLOOKUP(C3342&amp;" "&amp;D3342, 'Info Tipo de Cambio y REM'!$A$24:$B$35, 2, FALSE))</f>
        <v/>
      </c>
      <c r="R3342" s="107"/>
    </row>
    <row r="3343" hidden="1">
      <c r="A3343" s="443"/>
      <c r="B3343" s="43" t="str">
        <f>IF(A3343="", "", IFERROR(VLOOKUP(A3343, Clasificaciones!A:B, 2, FALSE), "DATO NO CARGADO"))
</f>
        <v/>
      </c>
      <c r="C3343" s="51"/>
      <c r="D3343" s="102"/>
      <c r="E3343" s="102"/>
      <c r="H3343" s="102"/>
      <c r="J3343" s="102"/>
      <c r="K3343" s="450"/>
      <c r="L3343" s="443"/>
      <c r="M3343" s="450"/>
      <c r="N3343" s="452"/>
      <c r="O3343" s="453"/>
      <c r="P3343" s="113"/>
      <c r="Q3343" s="106" t="str">
        <f>IF(ISBLANK(O3343), "", VLOOKUP(C3343&amp;" "&amp;D3343, 'Info Tipo de Cambio y REM'!$A$24:$B$35, 2, FALSE))</f>
        <v/>
      </c>
      <c r="R3343" s="107"/>
    </row>
    <row r="3344" hidden="1">
      <c r="A3344" s="443"/>
      <c r="B3344" s="43" t="str">
        <f>IF(A3344="", "", IFERROR(VLOOKUP(A3344, Clasificaciones!A:B, 2, FALSE), "DATO NO CARGADO"))
</f>
        <v/>
      </c>
      <c r="C3344" s="51"/>
      <c r="D3344" s="102"/>
      <c r="E3344" s="102"/>
      <c r="H3344" s="102"/>
      <c r="J3344" s="102"/>
      <c r="K3344" s="450"/>
      <c r="L3344" s="443"/>
      <c r="M3344" s="450"/>
      <c r="N3344" s="452"/>
      <c r="O3344" s="453"/>
      <c r="P3344" s="113"/>
      <c r="Q3344" s="106" t="str">
        <f>IF(ISBLANK(O3344), "", VLOOKUP(C3344&amp;" "&amp;D3344, 'Info Tipo de Cambio y REM'!$A$24:$B$35, 2, FALSE))</f>
        <v/>
      </c>
      <c r="R3344" s="107"/>
    </row>
    <row r="3345" hidden="1">
      <c r="A3345" s="443"/>
      <c r="B3345" s="43" t="str">
        <f>IF(A3345="", "", IFERROR(VLOOKUP(A3345, Clasificaciones!A:B, 2, FALSE), "DATO NO CARGADO"))
</f>
        <v/>
      </c>
      <c r="C3345" s="51"/>
      <c r="D3345" s="102"/>
      <c r="E3345" s="102"/>
      <c r="H3345" s="102"/>
      <c r="J3345" s="102"/>
      <c r="K3345" s="450"/>
      <c r="L3345" s="443"/>
      <c r="M3345" s="450"/>
      <c r="N3345" s="452"/>
      <c r="O3345" s="453"/>
      <c r="P3345" s="113"/>
      <c r="Q3345" s="106" t="str">
        <f>IF(ISBLANK(O3345), "", VLOOKUP(C3345&amp;" "&amp;D3345, 'Info Tipo de Cambio y REM'!$A$24:$B$35, 2, FALSE))</f>
        <v/>
      </c>
      <c r="R3345" s="107"/>
    </row>
    <row r="3346" hidden="1">
      <c r="A3346" s="443"/>
      <c r="B3346" s="43" t="str">
        <f>IF(A3346="", "", IFERROR(VLOOKUP(A3346, Clasificaciones!A:B, 2, FALSE), "DATO NO CARGADO"))
</f>
        <v/>
      </c>
      <c r="C3346" s="51"/>
      <c r="D3346" s="102"/>
      <c r="E3346" s="102"/>
      <c r="H3346" s="102"/>
      <c r="J3346" s="102"/>
      <c r="K3346" s="450"/>
      <c r="L3346" s="443"/>
      <c r="M3346" s="450"/>
      <c r="N3346" s="452"/>
      <c r="O3346" s="453"/>
      <c r="P3346" s="113"/>
      <c r="Q3346" s="106" t="str">
        <f>IF(ISBLANK(O3346), "", VLOOKUP(C3346&amp;" "&amp;D3346, 'Info Tipo de Cambio y REM'!$A$24:$B$35, 2, FALSE))</f>
        <v/>
      </c>
      <c r="R3346" s="107"/>
    </row>
    <row r="3347" hidden="1">
      <c r="A3347" s="443"/>
      <c r="B3347" s="43" t="str">
        <f>IF(A3347="", "", IFERROR(VLOOKUP(A3347, Clasificaciones!A:B, 2, FALSE), "DATO NO CARGADO"))
</f>
        <v/>
      </c>
      <c r="C3347" s="51"/>
      <c r="D3347" s="102"/>
      <c r="E3347" s="102"/>
      <c r="H3347" s="102"/>
      <c r="J3347" s="102"/>
      <c r="K3347" s="450"/>
      <c r="L3347" s="443"/>
      <c r="M3347" s="450"/>
      <c r="N3347" s="452"/>
      <c r="O3347" s="453"/>
      <c r="P3347" s="113"/>
      <c r="Q3347" s="106" t="str">
        <f>IF(ISBLANK(O3347), "", VLOOKUP(C3347&amp;" "&amp;D3347, 'Info Tipo de Cambio y REM'!$A$24:$B$35, 2, FALSE))</f>
        <v/>
      </c>
      <c r="R3347" s="107"/>
    </row>
    <row r="3348" hidden="1">
      <c r="A3348" s="443"/>
      <c r="B3348" s="43" t="str">
        <f>IF(A3348="", "", IFERROR(VLOOKUP(A3348, Clasificaciones!A:B, 2, FALSE), "DATO NO CARGADO"))
</f>
        <v/>
      </c>
      <c r="C3348" s="51"/>
      <c r="D3348" s="102"/>
      <c r="E3348" s="102"/>
      <c r="H3348" s="102"/>
      <c r="J3348" s="102"/>
      <c r="K3348" s="450"/>
      <c r="L3348" s="443"/>
      <c r="M3348" s="450"/>
      <c r="N3348" s="452"/>
      <c r="O3348" s="453"/>
      <c r="P3348" s="113"/>
      <c r="Q3348" s="106" t="str">
        <f>IF(ISBLANK(O3348), "", VLOOKUP(C3348&amp;" "&amp;D3348, 'Info Tipo de Cambio y REM'!$A$24:$B$35, 2, FALSE))</f>
        <v/>
      </c>
      <c r="R3348" s="107"/>
    </row>
    <row r="3349" hidden="1">
      <c r="A3349" s="443"/>
      <c r="B3349" s="43" t="str">
        <f>IF(A3349="", "", IFERROR(VLOOKUP(A3349, Clasificaciones!A:B, 2, FALSE), "DATO NO CARGADO"))
</f>
        <v/>
      </c>
      <c r="C3349" s="51"/>
      <c r="D3349" s="102"/>
      <c r="E3349" s="102"/>
      <c r="H3349" s="102"/>
      <c r="J3349" s="102"/>
      <c r="K3349" s="450"/>
      <c r="L3349" s="443"/>
      <c r="M3349" s="450"/>
      <c r="N3349" s="452"/>
      <c r="O3349" s="453"/>
      <c r="P3349" s="113"/>
      <c r="Q3349" s="106" t="str">
        <f>IF(ISBLANK(O3349), "", VLOOKUP(C3349&amp;" "&amp;D3349, 'Info Tipo de Cambio y REM'!$A$24:$B$35, 2, FALSE))</f>
        <v/>
      </c>
      <c r="R3349" s="107"/>
    </row>
    <row r="3350" hidden="1">
      <c r="A3350" s="443"/>
      <c r="B3350" s="43" t="str">
        <f>IF(A3350="", "", IFERROR(VLOOKUP(A3350, Clasificaciones!A:B, 2, FALSE), "DATO NO CARGADO"))
</f>
        <v/>
      </c>
      <c r="C3350" s="51"/>
      <c r="D3350" s="102"/>
      <c r="E3350" s="102"/>
      <c r="H3350" s="102"/>
      <c r="J3350" s="102"/>
      <c r="K3350" s="450"/>
      <c r="L3350" s="443"/>
      <c r="M3350" s="450"/>
      <c r="N3350" s="452"/>
      <c r="O3350" s="453"/>
      <c r="P3350" s="113"/>
      <c r="Q3350" s="106" t="str">
        <f>IF(ISBLANK(O3350), "", VLOOKUP(C3350&amp;" "&amp;D3350, 'Info Tipo de Cambio y REM'!$A$24:$B$35, 2, FALSE))</f>
        <v/>
      </c>
      <c r="R3350" s="107"/>
    </row>
    <row r="3351" hidden="1">
      <c r="A3351" s="443"/>
      <c r="B3351" s="43" t="str">
        <f>IF(A3351="", "", IFERROR(VLOOKUP(A3351, Clasificaciones!A:B, 2, FALSE), "DATO NO CARGADO"))
</f>
        <v/>
      </c>
      <c r="C3351" s="51"/>
      <c r="D3351" s="102"/>
      <c r="E3351" s="102"/>
      <c r="H3351" s="102"/>
      <c r="J3351" s="102"/>
      <c r="K3351" s="450"/>
      <c r="L3351" s="443"/>
      <c r="M3351" s="450"/>
      <c r="N3351" s="452"/>
      <c r="O3351" s="453"/>
      <c r="P3351" s="113"/>
      <c r="Q3351" s="106" t="str">
        <f>IF(ISBLANK(O3351), "", VLOOKUP(C3351&amp;" "&amp;D3351, 'Info Tipo de Cambio y REM'!$A$24:$B$35, 2, FALSE))</f>
        <v/>
      </c>
      <c r="R3351" s="107"/>
    </row>
    <row r="3352" hidden="1">
      <c r="A3352" s="443"/>
      <c r="B3352" s="43" t="str">
        <f>IF(A3352="", "", IFERROR(VLOOKUP(A3352, Clasificaciones!A:B, 2, FALSE), "DATO NO CARGADO"))
</f>
        <v/>
      </c>
      <c r="C3352" s="51"/>
      <c r="D3352" s="102"/>
      <c r="E3352" s="102"/>
      <c r="H3352" s="102"/>
      <c r="J3352" s="102"/>
      <c r="K3352" s="450"/>
      <c r="L3352" s="443"/>
      <c r="M3352" s="450"/>
      <c r="N3352" s="452"/>
      <c r="O3352" s="453"/>
      <c r="P3352" s="113"/>
      <c r="Q3352" s="106" t="str">
        <f>IF(ISBLANK(O3352), "", VLOOKUP(C3352&amp;" "&amp;D3352, 'Info Tipo de Cambio y REM'!$A$24:$B$35, 2, FALSE))</f>
        <v/>
      </c>
      <c r="R3352" s="107"/>
    </row>
    <row r="3353" hidden="1">
      <c r="A3353" s="443"/>
      <c r="B3353" s="43" t="str">
        <f>IF(A3353="", "", IFERROR(VLOOKUP(A3353, Clasificaciones!A:B, 2, FALSE), "DATO NO CARGADO"))
</f>
        <v/>
      </c>
      <c r="C3353" s="51"/>
      <c r="D3353" s="102"/>
      <c r="E3353" s="102"/>
      <c r="H3353" s="102"/>
      <c r="J3353" s="102"/>
      <c r="K3353" s="450"/>
      <c r="L3353" s="443"/>
      <c r="M3353" s="450"/>
      <c r="N3353" s="452"/>
      <c r="O3353" s="453"/>
      <c r="P3353" s="113"/>
      <c r="Q3353" s="106" t="str">
        <f>IF(ISBLANK(O3353), "", VLOOKUP(C3353&amp;" "&amp;D3353, 'Info Tipo de Cambio y REM'!$A$24:$B$35, 2, FALSE))</f>
        <v/>
      </c>
      <c r="R3353" s="107"/>
    </row>
    <row r="3354" hidden="1">
      <c r="A3354" s="443"/>
      <c r="B3354" s="43" t="str">
        <f>IF(A3354="", "", IFERROR(VLOOKUP(A3354, Clasificaciones!A:B, 2, FALSE), "DATO NO CARGADO"))
</f>
        <v/>
      </c>
      <c r="C3354" s="51"/>
      <c r="D3354" s="102"/>
      <c r="E3354" s="102"/>
      <c r="H3354" s="102"/>
      <c r="J3354" s="102"/>
      <c r="K3354" s="450"/>
      <c r="L3354" s="443"/>
      <c r="M3354" s="450"/>
      <c r="N3354" s="452"/>
      <c r="O3354" s="453"/>
      <c r="P3354" s="113"/>
      <c r="Q3354" s="106" t="str">
        <f>IF(ISBLANK(O3354), "", VLOOKUP(C3354&amp;" "&amp;D3354, 'Info Tipo de Cambio y REM'!$A$24:$B$35, 2, FALSE))</f>
        <v/>
      </c>
      <c r="R3354" s="107"/>
    </row>
    <row r="3355" hidden="1">
      <c r="A3355" s="443"/>
      <c r="B3355" s="43" t="str">
        <f>IF(A3355="", "", IFERROR(VLOOKUP(A3355, Clasificaciones!A:B, 2, FALSE), "DATO NO CARGADO"))
</f>
        <v/>
      </c>
      <c r="C3355" s="51"/>
      <c r="D3355" s="102"/>
      <c r="E3355" s="102"/>
      <c r="H3355" s="102"/>
      <c r="J3355" s="102"/>
      <c r="K3355" s="450"/>
      <c r="L3355" s="443"/>
      <c r="M3355" s="450"/>
      <c r="N3355" s="452"/>
      <c r="O3355" s="453"/>
      <c r="P3355" s="113"/>
      <c r="Q3355" s="106" t="str">
        <f>IF(ISBLANK(O3355), "", VLOOKUP(C3355&amp;" "&amp;D3355, 'Info Tipo de Cambio y REM'!$A$24:$B$35, 2, FALSE))</f>
        <v/>
      </c>
      <c r="R3355" s="107"/>
    </row>
    <row r="3356" hidden="1">
      <c r="A3356" s="443"/>
      <c r="B3356" s="43" t="str">
        <f>IF(A3356="", "", IFERROR(VLOOKUP(A3356, Clasificaciones!A:B, 2, FALSE), "DATO NO CARGADO"))
</f>
        <v/>
      </c>
      <c r="C3356" s="51"/>
      <c r="D3356" s="102"/>
      <c r="E3356" s="102"/>
      <c r="H3356" s="102"/>
      <c r="J3356" s="102"/>
      <c r="K3356" s="450"/>
      <c r="L3356" s="443"/>
      <c r="M3356" s="450"/>
      <c r="N3356" s="452"/>
      <c r="O3356" s="453"/>
      <c r="P3356" s="113"/>
      <c r="Q3356" s="106" t="str">
        <f>IF(ISBLANK(O3356), "", VLOOKUP(C3356&amp;" "&amp;D3356, 'Info Tipo de Cambio y REM'!$A$24:$B$35, 2, FALSE))</f>
        <v/>
      </c>
      <c r="R3356" s="107"/>
    </row>
    <row r="3357" hidden="1">
      <c r="A3357" s="443"/>
      <c r="B3357" s="43" t="str">
        <f>IF(A3357="", "", IFERROR(VLOOKUP(A3357, Clasificaciones!A:B, 2, FALSE), "DATO NO CARGADO"))
</f>
        <v/>
      </c>
      <c r="C3357" s="51"/>
      <c r="D3357" s="102"/>
      <c r="E3357" s="102"/>
      <c r="H3357" s="102"/>
      <c r="J3357" s="102"/>
      <c r="K3357" s="450"/>
      <c r="L3357" s="443"/>
      <c r="M3357" s="450"/>
      <c r="N3357" s="452"/>
      <c r="O3357" s="453"/>
      <c r="P3357" s="113"/>
      <c r="Q3357" s="106" t="str">
        <f>IF(ISBLANK(O3357), "", VLOOKUP(C3357&amp;" "&amp;D3357, 'Info Tipo de Cambio y REM'!$A$24:$B$35, 2, FALSE))</f>
        <v/>
      </c>
      <c r="R3357" s="107"/>
    </row>
    <row r="3358" hidden="1">
      <c r="A3358" s="443"/>
      <c r="B3358" s="43" t="str">
        <f>IF(A3358="", "", IFERROR(VLOOKUP(A3358, Clasificaciones!A:B, 2, FALSE), "DATO NO CARGADO"))
</f>
        <v/>
      </c>
      <c r="C3358" s="51"/>
      <c r="D3358" s="102"/>
      <c r="E3358" s="102"/>
      <c r="H3358" s="102"/>
      <c r="J3358" s="102"/>
      <c r="K3358" s="450"/>
      <c r="L3358" s="443"/>
      <c r="M3358" s="450"/>
      <c r="N3358" s="452"/>
      <c r="O3358" s="453"/>
      <c r="P3358" s="113"/>
      <c r="Q3358" s="106" t="str">
        <f>IF(ISBLANK(O3358), "", VLOOKUP(C3358&amp;" "&amp;D3358, 'Info Tipo de Cambio y REM'!$A$24:$B$35, 2, FALSE))</f>
        <v/>
      </c>
      <c r="R3358" s="107"/>
    </row>
    <row r="3359" hidden="1">
      <c r="A3359" s="443"/>
      <c r="B3359" s="43" t="str">
        <f>IF(A3359="", "", IFERROR(VLOOKUP(A3359, Clasificaciones!A:B, 2, FALSE), "DATO NO CARGADO"))
</f>
        <v/>
      </c>
      <c r="C3359" s="51"/>
      <c r="D3359" s="102"/>
      <c r="E3359" s="102"/>
      <c r="H3359" s="102"/>
      <c r="J3359" s="102"/>
      <c r="K3359" s="450"/>
      <c r="L3359" s="443"/>
      <c r="M3359" s="450"/>
      <c r="N3359" s="452"/>
      <c r="O3359" s="453"/>
      <c r="P3359" s="113"/>
      <c r="Q3359" s="106" t="str">
        <f>IF(ISBLANK(O3359), "", VLOOKUP(C3359&amp;" "&amp;D3359, 'Info Tipo de Cambio y REM'!$A$24:$B$35, 2, FALSE))</f>
        <v/>
      </c>
      <c r="R3359" s="107"/>
    </row>
    <row r="3360" hidden="1">
      <c r="A3360" s="443"/>
      <c r="B3360" s="43" t="str">
        <f>IF(A3360="", "", IFERROR(VLOOKUP(A3360, Clasificaciones!A:B, 2, FALSE), "DATO NO CARGADO"))
</f>
        <v/>
      </c>
      <c r="C3360" s="51"/>
      <c r="D3360" s="102"/>
      <c r="E3360" s="102"/>
      <c r="H3360" s="102"/>
      <c r="J3360" s="102"/>
      <c r="K3360" s="450"/>
      <c r="L3360" s="443"/>
      <c r="M3360" s="450"/>
      <c r="N3360" s="452"/>
      <c r="O3360" s="453"/>
      <c r="P3360" s="113"/>
      <c r="Q3360" s="106" t="str">
        <f>IF(ISBLANK(O3360), "", VLOOKUP(C3360&amp;" "&amp;D3360, 'Info Tipo de Cambio y REM'!$A$24:$B$35, 2, FALSE))</f>
        <v/>
      </c>
      <c r="R3360" s="107"/>
    </row>
    <row r="3361" hidden="1">
      <c r="A3361" s="443"/>
      <c r="B3361" s="43" t="str">
        <f>IF(A3361="", "", IFERROR(VLOOKUP(A3361, Clasificaciones!A:B, 2, FALSE), "DATO NO CARGADO"))
</f>
        <v/>
      </c>
      <c r="C3361" s="51"/>
      <c r="D3361" s="102"/>
      <c r="E3361" s="102"/>
      <c r="H3361" s="102"/>
      <c r="J3361" s="102"/>
      <c r="K3361" s="450"/>
      <c r="L3361" s="443"/>
      <c r="M3361" s="450"/>
      <c r="N3361" s="452"/>
      <c r="O3361" s="453"/>
      <c r="P3361" s="113"/>
      <c r="Q3361" s="106" t="str">
        <f>IF(ISBLANK(O3361), "", VLOOKUP(C3361&amp;" "&amp;D3361, 'Info Tipo de Cambio y REM'!$A$24:$B$35, 2, FALSE))</f>
        <v/>
      </c>
      <c r="R3361" s="107"/>
    </row>
    <row r="3362" hidden="1">
      <c r="A3362" s="443"/>
      <c r="B3362" s="43" t="str">
        <f>IF(A3362="", "", IFERROR(VLOOKUP(A3362, Clasificaciones!A:B, 2, FALSE), "DATO NO CARGADO"))
</f>
        <v/>
      </c>
      <c r="C3362" s="51"/>
      <c r="D3362" s="102"/>
      <c r="E3362" s="102"/>
      <c r="H3362" s="102"/>
      <c r="J3362" s="102"/>
      <c r="K3362" s="450"/>
      <c r="L3362" s="443"/>
      <c r="M3362" s="450"/>
      <c r="N3362" s="452"/>
      <c r="O3362" s="453"/>
      <c r="P3362" s="113"/>
      <c r="Q3362" s="106" t="str">
        <f>IF(ISBLANK(O3362), "", VLOOKUP(C3362&amp;" "&amp;D3362, 'Info Tipo de Cambio y REM'!$A$24:$B$35, 2, FALSE))</f>
        <v/>
      </c>
      <c r="R3362" s="107"/>
    </row>
    <row r="3363" hidden="1">
      <c r="A3363" s="443"/>
      <c r="B3363" s="43" t="str">
        <f>IF(A3363="", "", IFERROR(VLOOKUP(A3363, Clasificaciones!A:B, 2, FALSE), "DATO NO CARGADO"))
</f>
        <v/>
      </c>
      <c r="C3363" s="51"/>
      <c r="D3363" s="102"/>
      <c r="E3363" s="102"/>
      <c r="H3363" s="102"/>
      <c r="J3363" s="102"/>
      <c r="K3363" s="450"/>
      <c r="L3363" s="443"/>
      <c r="M3363" s="450"/>
      <c r="N3363" s="452"/>
      <c r="O3363" s="453"/>
      <c r="P3363" s="113"/>
      <c r="Q3363" s="106" t="str">
        <f>IF(ISBLANK(O3363), "", VLOOKUP(C3363&amp;" "&amp;D3363, 'Info Tipo de Cambio y REM'!$A$24:$B$35, 2, FALSE))</f>
        <v/>
      </c>
      <c r="R3363" s="107"/>
    </row>
    <row r="3364" hidden="1">
      <c r="A3364" s="443"/>
      <c r="B3364" s="43" t="str">
        <f>IF(A3364="", "", IFERROR(VLOOKUP(A3364, Clasificaciones!A:B, 2, FALSE), "DATO NO CARGADO"))
</f>
        <v/>
      </c>
      <c r="C3364" s="51"/>
      <c r="D3364" s="102"/>
      <c r="E3364" s="102"/>
      <c r="H3364" s="102"/>
      <c r="J3364" s="102"/>
      <c r="K3364" s="450"/>
      <c r="L3364" s="443"/>
      <c r="M3364" s="450"/>
      <c r="N3364" s="452"/>
      <c r="O3364" s="453"/>
      <c r="P3364" s="113"/>
      <c r="Q3364" s="106" t="str">
        <f>IF(ISBLANK(O3364), "", VLOOKUP(C3364&amp;" "&amp;D3364, 'Info Tipo de Cambio y REM'!$A$24:$B$35, 2, FALSE))</f>
        <v/>
      </c>
      <c r="R3364" s="107"/>
    </row>
    <row r="3365" hidden="1">
      <c r="A3365" s="443"/>
      <c r="B3365" s="43" t="str">
        <f>IF(A3365="", "", IFERROR(VLOOKUP(A3365, Clasificaciones!A:B, 2, FALSE), "DATO NO CARGADO"))
</f>
        <v/>
      </c>
      <c r="C3365" s="51"/>
      <c r="D3365" s="102"/>
      <c r="E3365" s="102"/>
      <c r="H3365" s="102"/>
      <c r="J3365" s="102"/>
      <c r="K3365" s="450"/>
      <c r="L3365" s="443"/>
      <c r="M3365" s="450"/>
      <c r="N3365" s="452"/>
      <c r="O3365" s="453"/>
      <c r="P3365" s="113"/>
      <c r="Q3365" s="106" t="str">
        <f>IF(ISBLANK(O3365), "", VLOOKUP(C3365&amp;" "&amp;D3365, 'Info Tipo de Cambio y REM'!$A$24:$B$35, 2, FALSE))</f>
        <v/>
      </c>
      <c r="R3365" s="107"/>
    </row>
    <row r="3366" hidden="1">
      <c r="A3366" s="443"/>
      <c r="B3366" s="43" t="str">
        <f>IF(A3366="", "", IFERROR(VLOOKUP(A3366, Clasificaciones!A:B, 2, FALSE), "DATO NO CARGADO"))
</f>
        <v/>
      </c>
      <c r="C3366" s="51"/>
      <c r="D3366" s="102"/>
      <c r="E3366" s="102"/>
      <c r="H3366" s="102"/>
      <c r="J3366" s="102"/>
      <c r="K3366" s="450"/>
      <c r="L3366" s="443"/>
      <c r="M3366" s="450"/>
      <c r="N3366" s="452"/>
      <c r="O3366" s="453"/>
      <c r="P3366" s="113"/>
      <c r="Q3366" s="106" t="str">
        <f>IF(ISBLANK(O3366), "", VLOOKUP(C3366&amp;" "&amp;D3366, 'Info Tipo de Cambio y REM'!$A$24:$B$35, 2, FALSE))</f>
        <v/>
      </c>
      <c r="R3366" s="107"/>
    </row>
    <row r="3367" hidden="1">
      <c r="A3367" s="443"/>
      <c r="B3367" s="43" t="str">
        <f>IF(A3367="", "", IFERROR(VLOOKUP(A3367, Clasificaciones!A:B, 2, FALSE), "DATO NO CARGADO"))
</f>
        <v/>
      </c>
      <c r="C3367" s="51"/>
      <c r="D3367" s="102"/>
      <c r="E3367" s="102"/>
      <c r="H3367" s="102"/>
      <c r="J3367" s="102"/>
      <c r="K3367" s="450"/>
      <c r="L3367" s="443"/>
      <c r="M3367" s="450"/>
      <c r="N3367" s="452"/>
      <c r="O3367" s="453"/>
      <c r="P3367" s="113"/>
      <c r="Q3367" s="106" t="str">
        <f>IF(ISBLANK(O3367), "", VLOOKUP(C3367&amp;" "&amp;D3367, 'Info Tipo de Cambio y REM'!$A$24:$B$35, 2, FALSE))</f>
        <v/>
      </c>
      <c r="R3367" s="107"/>
    </row>
    <row r="3368" hidden="1">
      <c r="A3368" s="443"/>
      <c r="B3368" s="43" t="str">
        <f>IF(A3368="", "", IFERROR(VLOOKUP(A3368, Clasificaciones!A:B, 2, FALSE), "DATO NO CARGADO"))
</f>
        <v/>
      </c>
      <c r="C3368" s="51"/>
      <c r="D3368" s="102"/>
      <c r="E3368" s="102"/>
      <c r="H3368" s="102"/>
      <c r="J3368" s="102"/>
      <c r="K3368" s="450"/>
      <c r="L3368" s="443"/>
      <c r="M3368" s="450"/>
      <c r="N3368" s="452"/>
      <c r="O3368" s="453"/>
      <c r="P3368" s="113"/>
      <c r="Q3368" s="106" t="str">
        <f>IF(ISBLANK(O3368), "", VLOOKUP(C3368&amp;" "&amp;D3368, 'Info Tipo de Cambio y REM'!$A$24:$B$35, 2, FALSE))</f>
        <v/>
      </c>
      <c r="R3368" s="107"/>
    </row>
    <row r="3369" hidden="1">
      <c r="A3369" s="443"/>
      <c r="B3369" s="43" t="str">
        <f>IF(A3369="", "", IFERROR(VLOOKUP(A3369, Clasificaciones!A:B, 2, FALSE), "DATO NO CARGADO"))
</f>
        <v/>
      </c>
      <c r="C3369" s="51"/>
      <c r="D3369" s="102"/>
      <c r="E3369" s="102"/>
      <c r="H3369" s="102"/>
      <c r="J3369" s="102"/>
      <c r="K3369" s="450"/>
      <c r="L3369" s="443"/>
      <c r="M3369" s="450"/>
      <c r="N3369" s="452"/>
      <c r="O3369" s="453"/>
      <c r="P3369" s="113"/>
      <c r="Q3369" s="106" t="str">
        <f>IF(ISBLANK(O3369), "", VLOOKUP(C3369&amp;" "&amp;D3369, 'Info Tipo de Cambio y REM'!$A$24:$B$35, 2, FALSE))</f>
        <v/>
      </c>
      <c r="R3369" s="107"/>
    </row>
    <row r="3370" hidden="1">
      <c r="A3370" s="443"/>
      <c r="B3370" s="43" t="str">
        <f>IF(A3370="", "", IFERROR(VLOOKUP(A3370, Clasificaciones!A:B, 2, FALSE), "DATO NO CARGADO"))
</f>
        <v/>
      </c>
      <c r="C3370" s="51"/>
      <c r="D3370" s="102"/>
      <c r="E3370" s="102"/>
      <c r="H3370" s="102"/>
      <c r="J3370" s="102"/>
      <c r="K3370" s="450"/>
      <c r="L3370" s="443"/>
      <c r="M3370" s="450"/>
      <c r="N3370" s="452"/>
      <c r="O3370" s="453"/>
      <c r="P3370" s="113"/>
      <c r="Q3370" s="106" t="str">
        <f>IF(ISBLANK(O3370), "", VLOOKUP(C3370&amp;" "&amp;D3370, 'Info Tipo de Cambio y REM'!$A$24:$B$35, 2, FALSE))</f>
        <v/>
      </c>
      <c r="R3370" s="107"/>
    </row>
    <row r="3371" hidden="1">
      <c r="A3371" s="443"/>
      <c r="B3371" s="43" t="str">
        <f>IF(A3371="", "", IFERROR(VLOOKUP(A3371, Clasificaciones!A:B, 2, FALSE), "DATO NO CARGADO"))
</f>
        <v/>
      </c>
      <c r="C3371" s="51"/>
      <c r="D3371" s="102"/>
      <c r="E3371" s="102"/>
      <c r="H3371" s="102"/>
      <c r="J3371" s="102"/>
      <c r="K3371" s="450"/>
      <c r="L3371" s="443"/>
      <c r="M3371" s="450"/>
      <c r="N3371" s="452"/>
      <c r="O3371" s="453"/>
      <c r="P3371" s="113"/>
      <c r="Q3371" s="106" t="str">
        <f>IF(ISBLANK(O3371), "", VLOOKUP(C3371&amp;" "&amp;D3371, 'Info Tipo de Cambio y REM'!$A$24:$B$35, 2, FALSE))</f>
        <v/>
      </c>
      <c r="R3371" s="107"/>
    </row>
    <row r="3372" hidden="1">
      <c r="A3372" s="443"/>
      <c r="B3372" s="43" t="str">
        <f>IF(A3372="", "", IFERROR(VLOOKUP(A3372, Clasificaciones!A:B, 2, FALSE), "DATO NO CARGADO"))
</f>
        <v/>
      </c>
      <c r="C3372" s="51"/>
      <c r="D3372" s="102"/>
      <c r="E3372" s="102"/>
      <c r="H3372" s="102"/>
      <c r="J3372" s="102"/>
      <c r="K3372" s="450"/>
      <c r="L3372" s="443"/>
      <c r="M3372" s="450"/>
      <c r="N3372" s="452"/>
      <c r="O3372" s="453"/>
      <c r="P3372" s="113"/>
      <c r="Q3372" s="106" t="str">
        <f>IF(ISBLANK(O3372), "", VLOOKUP(C3372&amp;" "&amp;D3372, 'Info Tipo de Cambio y REM'!$A$24:$B$35, 2, FALSE))</f>
        <v/>
      </c>
      <c r="R3372" s="107"/>
    </row>
    <row r="3373" hidden="1">
      <c r="A3373" s="443"/>
      <c r="B3373" s="43" t="str">
        <f>IF(A3373="", "", IFERROR(VLOOKUP(A3373, Clasificaciones!A:B, 2, FALSE), "DATO NO CARGADO"))
</f>
        <v/>
      </c>
      <c r="C3373" s="51"/>
      <c r="D3373" s="102"/>
      <c r="E3373" s="102"/>
      <c r="H3373" s="102"/>
      <c r="J3373" s="102"/>
      <c r="K3373" s="450"/>
      <c r="L3373" s="443"/>
      <c r="M3373" s="450"/>
      <c r="N3373" s="452"/>
      <c r="O3373" s="453"/>
      <c r="P3373" s="113"/>
      <c r="Q3373" s="106" t="str">
        <f>IF(ISBLANK(O3373), "", VLOOKUP(C3373&amp;" "&amp;D3373, 'Info Tipo de Cambio y REM'!$A$24:$B$35, 2, FALSE))</f>
        <v/>
      </c>
      <c r="R3373" s="107"/>
    </row>
    <row r="3374" hidden="1">
      <c r="A3374" s="443"/>
      <c r="B3374" s="43" t="str">
        <f>IF(A3374="", "", IFERROR(VLOOKUP(A3374, Clasificaciones!A:B, 2, FALSE), "DATO NO CARGADO"))
</f>
        <v/>
      </c>
      <c r="C3374" s="51"/>
      <c r="D3374" s="102"/>
      <c r="E3374" s="102"/>
      <c r="H3374" s="102"/>
      <c r="J3374" s="102"/>
      <c r="K3374" s="450"/>
      <c r="L3374" s="443"/>
      <c r="M3374" s="450"/>
      <c r="N3374" s="452"/>
      <c r="O3374" s="453"/>
      <c r="P3374" s="113"/>
      <c r="Q3374" s="106" t="str">
        <f>IF(ISBLANK(O3374), "", VLOOKUP(C3374&amp;" "&amp;D3374, 'Info Tipo de Cambio y REM'!$A$24:$B$35, 2, FALSE))</f>
        <v/>
      </c>
      <c r="R3374" s="107"/>
    </row>
    <row r="3375" hidden="1">
      <c r="A3375" s="443"/>
      <c r="B3375" s="43" t="str">
        <f>IF(A3375="", "", IFERROR(VLOOKUP(A3375, Clasificaciones!A:B, 2, FALSE), "DATO NO CARGADO"))
</f>
        <v/>
      </c>
      <c r="C3375" s="51"/>
      <c r="D3375" s="102"/>
      <c r="E3375" s="102"/>
      <c r="H3375" s="102"/>
      <c r="J3375" s="102"/>
      <c r="K3375" s="450"/>
      <c r="L3375" s="443"/>
      <c r="M3375" s="450"/>
      <c r="N3375" s="452"/>
      <c r="O3375" s="453"/>
      <c r="P3375" s="113"/>
      <c r="Q3375" s="106" t="str">
        <f>IF(ISBLANK(O3375), "", VLOOKUP(C3375&amp;" "&amp;D3375, 'Info Tipo de Cambio y REM'!$A$24:$B$35, 2, FALSE))</f>
        <v/>
      </c>
      <c r="R3375" s="107"/>
    </row>
    <row r="3376" hidden="1">
      <c r="A3376" s="443"/>
      <c r="B3376" s="43" t="str">
        <f>IF(A3376="", "", IFERROR(VLOOKUP(A3376, Clasificaciones!A:B, 2, FALSE), "DATO NO CARGADO"))
</f>
        <v/>
      </c>
      <c r="C3376" s="51"/>
      <c r="D3376" s="102"/>
      <c r="E3376" s="102"/>
      <c r="H3376" s="102"/>
      <c r="J3376" s="102"/>
      <c r="K3376" s="450"/>
      <c r="L3376" s="443"/>
      <c r="M3376" s="450"/>
      <c r="N3376" s="452"/>
      <c r="O3376" s="453"/>
      <c r="P3376" s="113"/>
      <c r="Q3376" s="106" t="str">
        <f>IF(ISBLANK(O3376), "", VLOOKUP(C3376&amp;" "&amp;D3376, 'Info Tipo de Cambio y REM'!$A$24:$B$35, 2, FALSE))</f>
        <v/>
      </c>
      <c r="R3376" s="107"/>
    </row>
    <row r="3377" hidden="1">
      <c r="A3377" s="443"/>
      <c r="B3377" s="43" t="str">
        <f>IF(A3377="", "", IFERROR(VLOOKUP(A3377, Clasificaciones!A:B, 2, FALSE), "DATO NO CARGADO"))
</f>
        <v/>
      </c>
      <c r="C3377" s="51"/>
      <c r="D3377" s="102"/>
      <c r="E3377" s="102"/>
      <c r="H3377" s="102"/>
      <c r="J3377" s="102"/>
      <c r="K3377" s="450"/>
      <c r="L3377" s="443"/>
      <c r="M3377" s="450"/>
      <c r="N3377" s="452"/>
      <c r="O3377" s="453"/>
      <c r="P3377" s="113"/>
      <c r="Q3377" s="106" t="str">
        <f>IF(ISBLANK(O3377), "", VLOOKUP(C3377&amp;" "&amp;D3377, 'Info Tipo de Cambio y REM'!$A$24:$B$35, 2, FALSE))</f>
        <v/>
      </c>
      <c r="R3377" s="107"/>
    </row>
    <row r="3378" hidden="1">
      <c r="A3378" s="443"/>
      <c r="B3378" s="43" t="str">
        <f>IF(A3378="", "", IFERROR(VLOOKUP(A3378, Clasificaciones!A:B, 2, FALSE), "DATO NO CARGADO"))
</f>
        <v/>
      </c>
      <c r="C3378" s="51"/>
      <c r="D3378" s="102"/>
      <c r="E3378" s="102"/>
      <c r="H3378" s="102"/>
      <c r="J3378" s="102"/>
      <c r="K3378" s="450"/>
      <c r="L3378" s="443"/>
      <c r="M3378" s="450"/>
      <c r="N3378" s="452"/>
      <c r="O3378" s="453"/>
      <c r="P3378" s="113"/>
      <c r="Q3378" s="106" t="str">
        <f>IF(ISBLANK(O3378), "", VLOOKUP(C3378&amp;" "&amp;D3378, 'Info Tipo de Cambio y REM'!$A$24:$B$35, 2, FALSE))</f>
        <v/>
      </c>
      <c r="R3378" s="107"/>
    </row>
    <row r="3379" hidden="1">
      <c r="A3379" s="443"/>
      <c r="B3379" s="43" t="str">
        <f>IF(A3379="", "", IFERROR(VLOOKUP(A3379, Clasificaciones!A:B, 2, FALSE), "DATO NO CARGADO"))
</f>
        <v/>
      </c>
      <c r="C3379" s="51"/>
      <c r="D3379" s="102"/>
      <c r="E3379" s="102"/>
      <c r="H3379" s="102"/>
      <c r="J3379" s="102"/>
      <c r="K3379" s="450"/>
      <c r="L3379" s="443"/>
      <c r="M3379" s="450"/>
      <c r="N3379" s="452"/>
      <c r="O3379" s="453"/>
      <c r="P3379" s="113"/>
      <c r="Q3379" s="106" t="str">
        <f>IF(ISBLANK(O3379), "", VLOOKUP(C3379&amp;" "&amp;D3379, 'Info Tipo de Cambio y REM'!$A$24:$B$35, 2, FALSE))</f>
        <v/>
      </c>
      <c r="R3379" s="107"/>
    </row>
    <row r="3380" hidden="1">
      <c r="A3380" s="443"/>
      <c r="B3380" s="43" t="str">
        <f>IF(A3380="", "", IFERROR(VLOOKUP(A3380, Clasificaciones!A:B, 2, FALSE), "DATO NO CARGADO"))
</f>
        <v/>
      </c>
      <c r="C3380" s="51"/>
      <c r="D3380" s="102"/>
      <c r="E3380" s="102"/>
      <c r="H3380" s="102"/>
      <c r="J3380" s="102"/>
      <c r="K3380" s="450"/>
      <c r="L3380" s="443"/>
      <c r="M3380" s="450"/>
      <c r="N3380" s="452"/>
      <c r="O3380" s="453"/>
      <c r="P3380" s="113"/>
      <c r="Q3380" s="106" t="str">
        <f>IF(ISBLANK(O3380), "", VLOOKUP(C3380&amp;" "&amp;D3380, 'Info Tipo de Cambio y REM'!$A$24:$B$35, 2, FALSE))</f>
        <v/>
      </c>
      <c r="R3380" s="107"/>
    </row>
    <row r="3381" hidden="1">
      <c r="A3381" s="443"/>
      <c r="B3381" s="43" t="str">
        <f>IF(A3381="", "", IFERROR(VLOOKUP(A3381, Clasificaciones!A:B, 2, FALSE), "DATO NO CARGADO"))
</f>
        <v/>
      </c>
      <c r="C3381" s="51"/>
      <c r="D3381" s="102"/>
      <c r="E3381" s="102"/>
      <c r="H3381" s="102"/>
      <c r="J3381" s="102"/>
      <c r="K3381" s="450"/>
      <c r="L3381" s="443"/>
      <c r="M3381" s="450"/>
      <c r="N3381" s="452"/>
      <c r="O3381" s="453"/>
      <c r="P3381" s="113"/>
      <c r="Q3381" s="106" t="str">
        <f>IF(ISBLANK(O3381), "", VLOOKUP(C3381&amp;" "&amp;D3381, 'Info Tipo de Cambio y REM'!$A$24:$B$35, 2, FALSE))</f>
        <v/>
      </c>
      <c r="R3381" s="107"/>
    </row>
    <row r="3382" hidden="1">
      <c r="A3382" s="443"/>
      <c r="B3382" s="43" t="str">
        <f>IF(A3382="", "", IFERROR(VLOOKUP(A3382, Clasificaciones!A:B, 2, FALSE), "DATO NO CARGADO"))
</f>
        <v/>
      </c>
      <c r="C3382" s="51"/>
      <c r="D3382" s="102"/>
      <c r="E3382" s="102"/>
      <c r="H3382" s="102"/>
      <c r="J3382" s="102"/>
      <c r="K3382" s="450"/>
      <c r="L3382" s="443"/>
      <c r="M3382" s="450"/>
      <c r="N3382" s="452"/>
      <c r="O3382" s="453"/>
      <c r="P3382" s="113"/>
      <c r="Q3382" s="106" t="str">
        <f>IF(ISBLANK(O3382), "", VLOOKUP(C3382&amp;" "&amp;D3382, 'Info Tipo de Cambio y REM'!$A$24:$B$35, 2, FALSE))</f>
        <v/>
      </c>
      <c r="R3382" s="107"/>
    </row>
    <row r="3383" hidden="1">
      <c r="A3383" s="443"/>
      <c r="B3383" s="43" t="str">
        <f>IF(A3383="", "", IFERROR(VLOOKUP(A3383, Clasificaciones!A:B, 2, FALSE), "DATO NO CARGADO"))
</f>
        <v/>
      </c>
      <c r="C3383" s="51"/>
      <c r="D3383" s="102"/>
      <c r="E3383" s="102"/>
      <c r="H3383" s="102"/>
      <c r="J3383" s="102"/>
      <c r="K3383" s="450"/>
      <c r="L3383" s="443"/>
      <c r="M3383" s="450"/>
      <c r="N3383" s="452"/>
      <c r="O3383" s="453"/>
      <c r="P3383" s="113"/>
      <c r="Q3383" s="106" t="str">
        <f>IF(ISBLANK(O3383), "", VLOOKUP(C3383&amp;" "&amp;D3383, 'Info Tipo de Cambio y REM'!$A$24:$B$35, 2, FALSE))</f>
        <v/>
      </c>
      <c r="R3383" s="107"/>
    </row>
    <row r="3384" hidden="1">
      <c r="A3384" s="443"/>
      <c r="B3384" s="43" t="str">
        <f>IF(A3384="", "", IFERROR(VLOOKUP(A3384, Clasificaciones!A:B, 2, FALSE), "DATO NO CARGADO"))
</f>
        <v/>
      </c>
      <c r="C3384" s="51"/>
      <c r="D3384" s="102"/>
      <c r="E3384" s="102"/>
      <c r="H3384" s="102"/>
      <c r="J3384" s="102"/>
      <c r="K3384" s="450"/>
      <c r="L3384" s="443"/>
      <c r="M3384" s="450"/>
      <c r="N3384" s="452"/>
      <c r="O3384" s="453"/>
      <c r="P3384" s="113"/>
      <c r="Q3384" s="106" t="str">
        <f>IF(ISBLANK(O3384), "", VLOOKUP(C3384&amp;" "&amp;D3384, 'Info Tipo de Cambio y REM'!$A$24:$B$35, 2, FALSE))</f>
        <v/>
      </c>
      <c r="R3384" s="107"/>
    </row>
    <row r="3385" hidden="1">
      <c r="A3385" s="443"/>
      <c r="B3385" s="43" t="str">
        <f>IF(A3385="", "", IFERROR(VLOOKUP(A3385, Clasificaciones!A:B, 2, FALSE), "DATO NO CARGADO"))
</f>
        <v/>
      </c>
      <c r="C3385" s="51"/>
      <c r="D3385" s="102"/>
      <c r="E3385" s="102"/>
      <c r="H3385" s="102"/>
      <c r="J3385" s="102"/>
      <c r="K3385" s="450"/>
      <c r="L3385" s="443"/>
      <c r="M3385" s="450"/>
      <c r="N3385" s="452"/>
      <c r="O3385" s="453"/>
      <c r="P3385" s="113"/>
      <c r="Q3385" s="106" t="str">
        <f>IF(ISBLANK(O3385), "", VLOOKUP(C3385&amp;" "&amp;D3385, 'Info Tipo de Cambio y REM'!$A$24:$B$35, 2, FALSE))</f>
        <v/>
      </c>
      <c r="R3385" s="107"/>
    </row>
    <row r="3386" hidden="1">
      <c r="A3386" s="443"/>
      <c r="B3386" s="43" t="str">
        <f>IF(A3386="", "", IFERROR(VLOOKUP(A3386, Clasificaciones!A:B, 2, FALSE), "DATO NO CARGADO"))
</f>
        <v/>
      </c>
      <c r="C3386" s="51"/>
      <c r="D3386" s="102"/>
      <c r="E3386" s="102"/>
      <c r="H3386" s="102"/>
      <c r="J3386" s="102"/>
      <c r="K3386" s="450"/>
      <c r="L3386" s="443"/>
      <c r="M3386" s="450"/>
      <c r="N3386" s="452"/>
      <c r="O3386" s="453"/>
      <c r="P3386" s="113"/>
      <c r="Q3386" s="106" t="str">
        <f>IF(ISBLANK(O3386), "", VLOOKUP(C3386&amp;" "&amp;D3386, 'Info Tipo de Cambio y REM'!$A$24:$B$35, 2, FALSE))</f>
        <v/>
      </c>
      <c r="R3386" s="107"/>
    </row>
    <row r="3387" hidden="1">
      <c r="A3387" s="443"/>
      <c r="B3387" s="43" t="str">
        <f>IF(A3387="", "", IFERROR(VLOOKUP(A3387, Clasificaciones!A:B, 2, FALSE), "DATO NO CARGADO"))
</f>
        <v/>
      </c>
      <c r="C3387" s="51"/>
      <c r="D3387" s="102"/>
      <c r="E3387" s="102"/>
      <c r="H3387" s="102"/>
      <c r="J3387" s="102"/>
      <c r="K3387" s="450"/>
      <c r="L3387" s="443"/>
      <c r="M3387" s="450"/>
      <c r="N3387" s="452"/>
      <c r="O3387" s="453"/>
      <c r="P3387" s="113"/>
      <c r="Q3387" s="106" t="str">
        <f>IF(ISBLANK(O3387), "", VLOOKUP(C3387&amp;" "&amp;D3387, 'Info Tipo de Cambio y REM'!$A$24:$B$35, 2, FALSE))</f>
        <v/>
      </c>
      <c r="R3387" s="107"/>
    </row>
    <row r="3388" hidden="1">
      <c r="A3388" s="443"/>
      <c r="B3388" s="43" t="str">
        <f>IF(A3388="", "", IFERROR(VLOOKUP(A3388, Clasificaciones!A:B, 2, FALSE), "DATO NO CARGADO"))
</f>
        <v/>
      </c>
      <c r="C3388" s="51"/>
      <c r="D3388" s="102"/>
      <c r="E3388" s="102"/>
      <c r="H3388" s="102"/>
      <c r="J3388" s="102"/>
      <c r="K3388" s="450"/>
      <c r="L3388" s="443"/>
      <c r="M3388" s="450"/>
      <c r="N3388" s="452"/>
      <c r="O3388" s="453"/>
      <c r="P3388" s="113"/>
      <c r="Q3388" s="106" t="str">
        <f>IF(ISBLANK(O3388), "", VLOOKUP(C3388&amp;" "&amp;D3388, 'Info Tipo de Cambio y REM'!$A$24:$B$35, 2, FALSE))</f>
        <v/>
      </c>
      <c r="R3388" s="107"/>
    </row>
    <row r="3389" hidden="1">
      <c r="A3389" s="443"/>
      <c r="B3389" s="43" t="str">
        <f>IF(A3389="", "", IFERROR(VLOOKUP(A3389, Clasificaciones!A:B, 2, FALSE), "DATO NO CARGADO"))
</f>
        <v/>
      </c>
      <c r="C3389" s="51"/>
      <c r="D3389" s="102"/>
      <c r="E3389" s="102"/>
      <c r="H3389" s="102"/>
      <c r="J3389" s="102"/>
      <c r="K3389" s="450"/>
      <c r="L3389" s="443"/>
      <c r="M3389" s="450"/>
      <c r="N3389" s="452"/>
      <c r="O3389" s="453"/>
      <c r="P3389" s="113"/>
      <c r="Q3389" s="106" t="str">
        <f>IF(ISBLANK(O3389), "", VLOOKUP(C3389&amp;" "&amp;D3389, 'Info Tipo de Cambio y REM'!$A$24:$B$35, 2, FALSE))</f>
        <v/>
      </c>
      <c r="R3389" s="107"/>
    </row>
    <row r="3390" hidden="1">
      <c r="A3390" s="443"/>
      <c r="B3390" s="43" t="str">
        <f>IF(A3390="", "", IFERROR(VLOOKUP(A3390, Clasificaciones!A:B, 2, FALSE), "DATO NO CARGADO"))
</f>
        <v/>
      </c>
      <c r="C3390" s="51"/>
      <c r="D3390" s="102"/>
      <c r="E3390" s="102"/>
      <c r="H3390" s="102"/>
      <c r="J3390" s="102"/>
      <c r="K3390" s="450"/>
      <c r="L3390" s="443"/>
      <c r="M3390" s="450"/>
      <c r="N3390" s="452"/>
      <c r="O3390" s="453"/>
      <c r="P3390" s="113"/>
      <c r="Q3390" s="106" t="str">
        <f>IF(ISBLANK(O3390), "", VLOOKUP(C3390&amp;" "&amp;D3390, 'Info Tipo de Cambio y REM'!$A$24:$B$35, 2, FALSE))</f>
        <v/>
      </c>
      <c r="R3390" s="107"/>
    </row>
    <row r="3391" hidden="1">
      <c r="A3391" s="443"/>
      <c r="B3391" s="43" t="str">
        <f>IF(A3391="", "", IFERROR(VLOOKUP(A3391, Clasificaciones!A:B, 2, FALSE), "DATO NO CARGADO"))
</f>
        <v/>
      </c>
      <c r="C3391" s="51"/>
      <c r="D3391" s="102"/>
      <c r="E3391" s="102"/>
      <c r="H3391" s="102"/>
      <c r="J3391" s="102"/>
      <c r="K3391" s="450"/>
      <c r="L3391" s="443"/>
      <c r="M3391" s="450"/>
      <c r="N3391" s="452"/>
      <c r="O3391" s="453"/>
      <c r="P3391" s="113"/>
      <c r="Q3391" s="106" t="str">
        <f>IF(ISBLANK(O3391), "", VLOOKUP(C3391&amp;" "&amp;D3391, 'Info Tipo de Cambio y REM'!$A$24:$B$35, 2, FALSE))</f>
        <v/>
      </c>
      <c r="R3391" s="107"/>
    </row>
    <row r="3392" hidden="1">
      <c r="A3392" s="443"/>
      <c r="B3392" s="43" t="str">
        <f>IF(A3392="", "", IFERROR(VLOOKUP(A3392, Clasificaciones!A:B, 2, FALSE), "DATO NO CARGADO"))
</f>
        <v/>
      </c>
      <c r="C3392" s="51"/>
      <c r="D3392" s="102"/>
      <c r="E3392" s="102"/>
      <c r="H3392" s="102"/>
      <c r="J3392" s="102"/>
      <c r="K3392" s="450"/>
      <c r="L3392" s="443"/>
      <c r="M3392" s="450"/>
      <c r="N3392" s="452"/>
      <c r="O3392" s="453"/>
      <c r="P3392" s="113"/>
      <c r="Q3392" s="106" t="str">
        <f>IF(ISBLANK(O3392), "", VLOOKUP(C3392&amp;" "&amp;D3392, 'Info Tipo de Cambio y REM'!$A$24:$B$35, 2, FALSE))</f>
        <v/>
      </c>
      <c r="R3392" s="107"/>
    </row>
    <row r="3393" hidden="1">
      <c r="A3393" s="443"/>
      <c r="B3393" s="43" t="str">
        <f>IF(A3393="", "", IFERROR(VLOOKUP(A3393, Clasificaciones!A:B, 2, FALSE), "DATO NO CARGADO"))
</f>
        <v/>
      </c>
      <c r="C3393" s="51"/>
      <c r="D3393" s="102"/>
      <c r="E3393" s="102"/>
      <c r="H3393" s="102"/>
      <c r="J3393" s="102"/>
      <c r="K3393" s="450"/>
      <c r="L3393" s="443"/>
      <c r="M3393" s="450"/>
      <c r="N3393" s="452"/>
      <c r="O3393" s="453"/>
      <c r="P3393" s="113"/>
      <c r="Q3393" s="106" t="str">
        <f>IF(ISBLANK(O3393), "", VLOOKUP(C3393&amp;" "&amp;D3393, 'Info Tipo de Cambio y REM'!$A$24:$B$35, 2, FALSE))</f>
        <v/>
      </c>
      <c r="R3393" s="107"/>
    </row>
    <row r="3394" hidden="1">
      <c r="A3394" s="443"/>
      <c r="B3394" s="43" t="str">
        <f>IF(A3394="", "", IFERROR(VLOOKUP(A3394, Clasificaciones!A:B, 2, FALSE), "DATO NO CARGADO"))
</f>
        <v/>
      </c>
      <c r="C3394" s="51"/>
      <c r="D3394" s="102"/>
      <c r="E3394" s="102"/>
      <c r="H3394" s="102"/>
      <c r="J3394" s="102"/>
      <c r="K3394" s="450"/>
      <c r="L3394" s="443"/>
      <c r="M3394" s="450"/>
      <c r="N3394" s="452"/>
      <c r="O3394" s="453"/>
      <c r="P3394" s="113"/>
      <c r="Q3394" s="106" t="str">
        <f>IF(ISBLANK(O3394), "", VLOOKUP(C3394&amp;" "&amp;D3394, 'Info Tipo de Cambio y REM'!$A$24:$B$35, 2, FALSE))</f>
        <v/>
      </c>
      <c r="R3394" s="107"/>
    </row>
    <row r="3395" hidden="1">
      <c r="A3395" s="443"/>
      <c r="B3395" s="43" t="str">
        <f>IF(A3395="", "", IFERROR(VLOOKUP(A3395, Clasificaciones!A:B, 2, FALSE), "DATO NO CARGADO"))
</f>
        <v/>
      </c>
      <c r="C3395" s="51"/>
      <c r="D3395" s="102"/>
      <c r="E3395" s="102"/>
      <c r="H3395" s="102"/>
      <c r="J3395" s="102"/>
      <c r="K3395" s="450"/>
      <c r="L3395" s="443"/>
      <c r="M3395" s="450"/>
      <c r="N3395" s="452"/>
      <c r="O3395" s="453"/>
      <c r="P3395" s="113"/>
      <c r="Q3395" s="106" t="str">
        <f>IF(ISBLANK(O3395), "", VLOOKUP(C3395&amp;" "&amp;D3395, 'Info Tipo de Cambio y REM'!$A$24:$B$35, 2, FALSE))</f>
        <v/>
      </c>
      <c r="R3395" s="107"/>
    </row>
    <row r="3396" hidden="1">
      <c r="A3396" s="443"/>
      <c r="B3396" s="43" t="str">
        <f>IF(A3396="", "", IFERROR(VLOOKUP(A3396, Clasificaciones!A:B, 2, FALSE), "DATO NO CARGADO"))
</f>
        <v/>
      </c>
      <c r="C3396" s="51"/>
      <c r="D3396" s="102"/>
      <c r="E3396" s="102"/>
      <c r="H3396" s="102"/>
      <c r="J3396" s="102"/>
      <c r="K3396" s="450"/>
      <c r="L3396" s="443"/>
      <c r="M3396" s="450"/>
      <c r="N3396" s="452"/>
      <c r="O3396" s="453"/>
      <c r="P3396" s="113"/>
      <c r="Q3396" s="106" t="str">
        <f>IF(ISBLANK(O3396), "", VLOOKUP(C3396&amp;" "&amp;D3396, 'Info Tipo de Cambio y REM'!$A$24:$B$35, 2, FALSE))</f>
        <v/>
      </c>
      <c r="R3396" s="107"/>
    </row>
    <row r="3397" hidden="1">
      <c r="A3397" s="443"/>
      <c r="B3397" s="43" t="str">
        <f>IF(A3397="", "", IFERROR(VLOOKUP(A3397, Clasificaciones!A:B, 2, FALSE), "DATO NO CARGADO"))
</f>
        <v/>
      </c>
      <c r="C3397" s="51"/>
      <c r="D3397" s="102"/>
      <c r="E3397" s="102"/>
      <c r="H3397" s="102"/>
      <c r="J3397" s="102"/>
      <c r="K3397" s="450"/>
      <c r="L3397" s="443"/>
      <c r="M3397" s="450"/>
      <c r="N3397" s="452"/>
      <c r="O3397" s="453"/>
      <c r="P3397" s="113"/>
      <c r="Q3397" s="106" t="str">
        <f>IF(ISBLANK(O3397), "", VLOOKUP(C3397&amp;" "&amp;D3397, 'Info Tipo de Cambio y REM'!$A$24:$B$35, 2, FALSE))</f>
        <v/>
      </c>
      <c r="R3397" s="107"/>
    </row>
    <row r="3398" hidden="1">
      <c r="A3398" s="443"/>
      <c r="B3398" s="43" t="str">
        <f>IF(A3398="", "", IFERROR(VLOOKUP(A3398, Clasificaciones!A:B, 2, FALSE), "DATO NO CARGADO"))
</f>
        <v/>
      </c>
      <c r="C3398" s="51"/>
      <c r="D3398" s="102"/>
      <c r="E3398" s="102"/>
      <c r="H3398" s="102"/>
      <c r="J3398" s="102"/>
      <c r="K3398" s="450"/>
      <c r="L3398" s="443"/>
      <c r="M3398" s="450"/>
      <c r="N3398" s="452"/>
      <c r="O3398" s="453"/>
      <c r="P3398" s="113"/>
      <c r="Q3398" s="106" t="str">
        <f>IF(ISBLANK(O3398), "", VLOOKUP(C3398&amp;" "&amp;D3398, 'Info Tipo de Cambio y REM'!$A$24:$B$35, 2, FALSE))</f>
        <v/>
      </c>
      <c r="R3398" s="107"/>
    </row>
    <row r="3399" hidden="1">
      <c r="A3399" s="443"/>
      <c r="B3399" s="43" t="str">
        <f>IF(A3399="", "", IFERROR(VLOOKUP(A3399, Clasificaciones!A:B, 2, FALSE), "DATO NO CARGADO"))
</f>
        <v/>
      </c>
      <c r="C3399" s="51"/>
      <c r="D3399" s="102"/>
      <c r="E3399" s="102"/>
      <c r="H3399" s="102"/>
      <c r="J3399" s="102"/>
      <c r="K3399" s="450"/>
      <c r="L3399" s="443"/>
      <c r="M3399" s="450"/>
      <c r="N3399" s="452"/>
      <c r="O3399" s="453"/>
      <c r="P3399" s="113"/>
      <c r="Q3399" s="106" t="str">
        <f>IF(ISBLANK(O3399), "", VLOOKUP(C3399&amp;" "&amp;D3399, 'Info Tipo de Cambio y REM'!$A$24:$B$35, 2, FALSE))</f>
        <v/>
      </c>
      <c r="R3399" s="107"/>
    </row>
    <row r="3400" hidden="1">
      <c r="A3400" s="443"/>
      <c r="B3400" s="43" t="str">
        <f>IF(A3400="", "", IFERROR(VLOOKUP(A3400, Clasificaciones!A:B, 2, FALSE), "DATO NO CARGADO"))
</f>
        <v/>
      </c>
      <c r="C3400" s="51"/>
      <c r="D3400" s="102"/>
      <c r="E3400" s="102"/>
      <c r="H3400" s="102"/>
      <c r="J3400" s="102"/>
      <c r="K3400" s="450"/>
      <c r="L3400" s="443"/>
      <c r="M3400" s="450"/>
      <c r="N3400" s="452"/>
      <c r="O3400" s="453"/>
      <c r="P3400" s="113"/>
      <c r="Q3400" s="106" t="str">
        <f>IF(ISBLANK(O3400), "", VLOOKUP(C3400&amp;" "&amp;D3400, 'Info Tipo de Cambio y REM'!$A$24:$B$35, 2, FALSE))</f>
        <v/>
      </c>
      <c r="R3400" s="107"/>
    </row>
    <row r="3401" hidden="1">
      <c r="A3401" s="443"/>
      <c r="B3401" s="43" t="str">
        <f>IF(A3401="", "", IFERROR(VLOOKUP(A3401, Clasificaciones!A:B, 2, FALSE), "DATO NO CARGADO"))
</f>
        <v/>
      </c>
      <c r="C3401" s="51"/>
      <c r="D3401" s="102"/>
      <c r="E3401" s="102"/>
      <c r="H3401" s="102"/>
      <c r="J3401" s="102"/>
      <c r="K3401" s="450"/>
      <c r="L3401" s="443"/>
      <c r="M3401" s="450"/>
      <c r="N3401" s="452"/>
      <c r="O3401" s="453"/>
      <c r="P3401" s="113"/>
      <c r="Q3401" s="106" t="str">
        <f>IF(ISBLANK(O3401), "", VLOOKUP(C3401&amp;" "&amp;D3401, 'Info Tipo de Cambio y REM'!$A$24:$B$35, 2, FALSE))</f>
        <v/>
      </c>
      <c r="R3401" s="107"/>
    </row>
    <row r="3402" hidden="1">
      <c r="A3402" s="443"/>
      <c r="B3402" s="43" t="str">
        <f>IF(A3402="", "", IFERROR(VLOOKUP(A3402, Clasificaciones!A:B, 2, FALSE), "DATO NO CARGADO"))
</f>
        <v/>
      </c>
      <c r="C3402" s="51"/>
      <c r="D3402" s="102"/>
      <c r="E3402" s="102"/>
      <c r="H3402" s="102"/>
      <c r="J3402" s="102"/>
      <c r="K3402" s="450"/>
      <c r="L3402" s="443"/>
      <c r="M3402" s="450"/>
      <c r="N3402" s="452"/>
      <c r="O3402" s="453"/>
      <c r="P3402" s="113"/>
      <c r="Q3402" s="106" t="str">
        <f>IF(ISBLANK(O3402), "", VLOOKUP(C3402&amp;" "&amp;D3402, 'Info Tipo de Cambio y REM'!$A$24:$B$35, 2, FALSE))</f>
        <v/>
      </c>
      <c r="R3402" s="107"/>
    </row>
    <row r="3403" hidden="1">
      <c r="A3403" s="443"/>
      <c r="B3403" s="43" t="str">
        <f>IF(A3403="", "", IFERROR(VLOOKUP(A3403, Clasificaciones!A:B, 2, FALSE), "DATO NO CARGADO"))
</f>
        <v/>
      </c>
      <c r="C3403" s="51"/>
      <c r="D3403" s="102"/>
      <c r="E3403" s="102"/>
      <c r="H3403" s="102"/>
      <c r="J3403" s="102"/>
      <c r="K3403" s="450"/>
      <c r="L3403" s="443"/>
      <c r="M3403" s="450"/>
      <c r="N3403" s="452"/>
      <c r="O3403" s="453"/>
      <c r="P3403" s="113"/>
      <c r="Q3403" s="106" t="str">
        <f>IF(ISBLANK(O3403), "", VLOOKUP(C3403&amp;" "&amp;D3403, 'Info Tipo de Cambio y REM'!$A$24:$B$35, 2, FALSE))</f>
        <v/>
      </c>
      <c r="R3403" s="107"/>
    </row>
    <row r="3404" hidden="1">
      <c r="A3404" s="443"/>
      <c r="B3404" s="43" t="str">
        <f>IF(A3404="", "", IFERROR(VLOOKUP(A3404, Clasificaciones!A:B, 2, FALSE), "DATO NO CARGADO"))
</f>
        <v/>
      </c>
      <c r="C3404" s="51"/>
      <c r="D3404" s="102"/>
      <c r="E3404" s="102"/>
      <c r="H3404" s="102"/>
      <c r="J3404" s="102"/>
      <c r="K3404" s="450"/>
      <c r="L3404" s="443"/>
      <c r="M3404" s="450"/>
      <c r="N3404" s="452"/>
      <c r="O3404" s="453"/>
      <c r="P3404" s="113"/>
      <c r="Q3404" s="106" t="str">
        <f>IF(ISBLANK(O3404), "", VLOOKUP(C3404&amp;" "&amp;D3404, 'Info Tipo de Cambio y REM'!$A$24:$B$35, 2, FALSE))</f>
        <v/>
      </c>
      <c r="R3404" s="107"/>
    </row>
    <row r="3405" hidden="1">
      <c r="A3405" s="443"/>
      <c r="B3405" s="43" t="str">
        <f>IF(A3405="", "", IFERROR(VLOOKUP(A3405, Clasificaciones!A:B, 2, FALSE), "DATO NO CARGADO"))
</f>
        <v/>
      </c>
      <c r="C3405" s="51"/>
      <c r="D3405" s="102"/>
      <c r="E3405" s="102"/>
      <c r="H3405" s="102"/>
      <c r="J3405" s="102"/>
      <c r="K3405" s="450"/>
      <c r="L3405" s="443"/>
      <c r="M3405" s="450"/>
      <c r="N3405" s="452"/>
      <c r="O3405" s="453"/>
      <c r="P3405" s="113"/>
      <c r="Q3405" s="106" t="str">
        <f>IF(ISBLANK(O3405), "", VLOOKUP(C3405&amp;" "&amp;D3405, 'Info Tipo de Cambio y REM'!$A$24:$B$35, 2, FALSE))</f>
        <v/>
      </c>
      <c r="R3405" s="107"/>
    </row>
    <row r="3406" hidden="1">
      <c r="A3406" s="443"/>
      <c r="B3406" s="43" t="str">
        <f>IF(A3406="", "", IFERROR(VLOOKUP(A3406, Clasificaciones!A:B, 2, FALSE), "DATO NO CARGADO"))
</f>
        <v/>
      </c>
      <c r="C3406" s="51"/>
      <c r="D3406" s="102"/>
      <c r="E3406" s="102"/>
      <c r="H3406" s="102"/>
      <c r="J3406" s="102"/>
      <c r="K3406" s="450"/>
      <c r="L3406" s="443"/>
      <c r="M3406" s="450"/>
      <c r="N3406" s="452"/>
      <c r="O3406" s="453"/>
      <c r="P3406" s="113"/>
      <c r="Q3406" s="106" t="str">
        <f>IF(ISBLANK(O3406), "", VLOOKUP(C3406&amp;" "&amp;D3406, 'Info Tipo de Cambio y REM'!$A$24:$B$35, 2, FALSE))</f>
        <v/>
      </c>
      <c r="R3406" s="107"/>
    </row>
    <row r="3407" hidden="1">
      <c r="A3407" s="443"/>
      <c r="B3407" s="43" t="str">
        <f>IF(A3407="", "", IFERROR(VLOOKUP(A3407, Clasificaciones!A:B, 2, FALSE), "DATO NO CARGADO"))
</f>
        <v/>
      </c>
      <c r="C3407" s="51"/>
      <c r="D3407" s="102"/>
      <c r="E3407" s="102"/>
      <c r="H3407" s="102"/>
      <c r="J3407" s="102"/>
      <c r="K3407" s="450"/>
      <c r="L3407" s="443"/>
      <c r="M3407" s="450"/>
      <c r="N3407" s="452"/>
      <c r="O3407" s="453"/>
      <c r="P3407" s="113"/>
      <c r="Q3407" s="106" t="str">
        <f>IF(ISBLANK(O3407), "", VLOOKUP(C3407&amp;" "&amp;D3407, 'Info Tipo de Cambio y REM'!$A$24:$B$35, 2, FALSE))</f>
        <v/>
      </c>
      <c r="R3407" s="107"/>
    </row>
    <row r="3408" hidden="1">
      <c r="A3408" s="443"/>
      <c r="B3408" s="43" t="str">
        <f>IF(A3408="", "", IFERROR(VLOOKUP(A3408, Clasificaciones!A:B, 2, FALSE), "DATO NO CARGADO"))
</f>
        <v/>
      </c>
      <c r="C3408" s="51"/>
      <c r="D3408" s="102"/>
      <c r="E3408" s="102"/>
      <c r="H3408" s="102"/>
      <c r="J3408" s="102"/>
      <c r="K3408" s="450"/>
      <c r="L3408" s="443"/>
      <c r="M3408" s="450"/>
      <c r="N3408" s="452"/>
      <c r="O3408" s="453"/>
      <c r="P3408" s="113"/>
      <c r="Q3408" s="106" t="str">
        <f>IF(ISBLANK(O3408), "", VLOOKUP(C3408&amp;" "&amp;D3408, 'Info Tipo de Cambio y REM'!$A$24:$B$35, 2, FALSE))</f>
        <v/>
      </c>
      <c r="R3408" s="107"/>
    </row>
    <row r="3409" hidden="1">
      <c r="A3409" s="443"/>
      <c r="B3409" s="43" t="str">
        <f>IF(A3409="", "", IFERROR(VLOOKUP(A3409, Clasificaciones!A:B, 2, FALSE), "DATO NO CARGADO"))
</f>
        <v/>
      </c>
      <c r="C3409" s="51"/>
      <c r="D3409" s="102"/>
      <c r="E3409" s="102"/>
      <c r="H3409" s="102"/>
      <c r="J3409" s="102"/>
      <c r="K3409" s="450"/>
      <c r="L3409" s="443"/>
      <c r="M3409" s="450"/>
      <c r="N3409" s="452"/>
      <c r="O3409" s="453"/>
      <c r="P3409" s="113"/>
      <c r="Q3409" s="106" t="str">
        <f>IF(ISBLANK(O3409), "", VLOOKUP(C3409&amp;" "&amp;D3409, 'Info Tipo de Cambio y REM'!$A$24:$B$35, 2, FALSE))</f>
        <v/>
      </c>
      <c r="R3409" s="107"/>
    </row>
    <row r="3410" hidden="1">
      <c r="A3410" s="443"/>
      <c r="B3410" s="43" t="str">
        <f>IF(A3410="", "", IFERROR(VLOOKUP(A3410, Clasificaciones!A:B, 2, FALSE), "DATO NO CARGADO"))
</f>
        <v/>
      </c>
      <c r="C3410" s="51"/>
      <c r="D3410" s="102"/>
      <c r="E3410" s="102"/>
      <c r="H3410" s="102"/>
      <c r="J3410" s="102"/>
      <c r="K3410" s="450"/>
      <c r="L3410" s="443"/>
      <c r="M3410" s="450"/>
      <c r="N3410" s="452"/>
      <c r="O3410" s="453"/>
      <c r="P3410" s="113"/>
      <c r="Q3410" s="106" t="str">
        <f>IF(ISBLANK(O3410), "", VLOOKUP(C3410&amp;" "&amp;D3410, 'Info Tipo de Cambio y REM'!$A$24:$B$35, 2, FALSE))</f>
        <v/>
      </c>
      <c r="R3410" s="107"/>
    </row>
    <row r="3411" hidden="1">
      <c r="A3411" s="443"/>
      <c r="B3411" s="43" t="str">
        <f>IF(A3411="", "", IFERROR(VLOOKUP(A3411, Clasificaciones!A:B, 2, FALSE), "DATO NO CARGADO"))
</f>
        <v/>
      </c>
      <c r="C3411" s="51"/>
      <c r="D3411" s="102"/>
      <c r="E3411" s="102"/>
      <c r="H3411" s="102"/>
      <c r="J3411" s="102"/>
      <c r="K3411" s="450"/>
      <c r="L3411" s="443"/>
      <c r="M3411" s="450"/>
      <c r="N3411" s="452"/>
      <c r="O3411" s="453"/>
      <c r="P3411" s="113"/>
      <c r="Q3411" s="106" t="str">
        <f>IF(ISBLANK(O3411), "", VLOOKUP(C3411&amp;" "&amp;D3411, 'Info Tipo de Cambio y REM'!$A$24:$B$35, 2, FALSE))</f>
        <v/>
      </c>
      <c r="R3411" s="107"/>
    </row>
    <row r="3412" hidden="1">
      <c r="A3412" s="443"/>
      <c r="B3412" s="43" t="str">
        <f>IF(A3412="", "", IFERROR(VLOOKUP(A3412, Clasificaciones!A:B, 2, FALSE), "DATO NO CARGADO"))
</f>
        <v/>
      </c>
      <c r="C3412" s="51"/>
      <c r="D3412" s="102"/>
      <c r="E3412" s="102"/>
      <c r="H3412" s="102"/>
      <c r="J3412" s="102"/>
      <c r="K3412" s="450"/>
      <c r="L3412" s="443"/>
      <c r="M3412" s="450"/>
      <c r="N3412" s="452"/>
      <c r="O3412" s="453"/>
      <c r="P3412" s="113"/>
      <c r="Q3412" s="106" t="str">
        <f>IF(ISBLANK(O3412), "", VLOOKUP(C3412&amp;" "&amp;D3412, 'Info Tipo de Cambio y REM'!$A$24:$B$35, 2, FALSE))</f>
        <v/>
      </c>
      <c r="R3412" s="107"/>
    </row>
    <row r="3413" hidden="1">
      <c r="A3413" s="443"/>
      <c r="B3413" s="43" t="str">
        <f>IF(A3413="", "", IFERROR(VLOOKUP(A3413, Clasificaciones!A:B, 2, FALSE), "DATO NO CARGADO"))
</f>
        <v/>
      </c>
      <c r="C3413" s="51"/>
      <c r="D3413" s="102"/>
      <c r="E3413" s="102"/>
      <c r="H3413" s="102"/>
      <c r="J3413" s="102"/>
      <c r="K3413" s="450"/>
      <c r="L3413" s="443"/>
      <c r="M3413" s="450"/>
      <c r="N3413" s="452"/>
      <c r="O3413" s="453"/>
      <c r="P3413" s="113"/>
      <c r="Q3413" s="106" t="str">
        <f>IF(ISBLANK(O3413), "", VLOOKUP(C3413&amp;" "&amp;D3413, 'Info Tipo de Cambio y REM'!$A$24:$B$35, 2, FALSE))</f>
        <v/>
      </c>
      <c r="R3413" s="107"/>
    </row>
    <row r="3414" hidden="1">
      <c r="A3414" s="443"/>
      <c r="B3414" s="43" t="str">
        <f>IF(A3414="", "", IFERROR(VLOOKUP(A3414, Clasificaciones!A:B, 2, FALSE), "DATO NO CARGADO"))
</f>
        <v/>
      </c>
      <c r="C3414" s="51"/>
      <c r="D3414" s="102"/>
      <c r="E3414" s="102"/>
      <c r="H3414" s="102"/>
      <c r="J3414" s="102"/>
      <c r="K3414" s="450"/>
      <c r="L3414" s="443"/>
      <c r="M3414" s="450"/>
      <c r="N3414" s="452"/>
      <c r="O3414" s="453"/>
      <c r="P3414" s="113"/>
      <c r="Q3414" s="106" t="str">
        <f>IF(ISBLANK(O3414), "", VLOOKUP(C3414&amp;" "&amp;D3414, 'Info Tipo de Cambio y REM'!$A$24:$B$35, 2, FALSE))</f>
        <v/>
      </c>
      <c r="R3414" s="107"/>
    </row>
    <row r="3415" hidden="1">
      <c r="A3415" s="443"/>
      <c r="B3415" s="43" t="str">
        <f>IF(A3415="", "", IFERROR(VLOOKUP(A3415, Clasificaciones!A:B, 2, FALSE), "DATO NO CARGADO"))
</f>
        <v/>
      </c>
      <c r="C3415" s="51"/>
      <c r="D3415" s="102"/>
      <c r="E3415" s="102"/>
      <c r="H3415" s="102"/>
      <c r="J3415" s="102"/>
      <c r="K3415" s="450"/>
      <c r="L3415" s="443"/>
      <c r="M3415" s="450"/>
      <c r="N3415" s="452"/>
      <c r="O3415" s="453"/>
      <c r="P3415" s="113"/>
      <c r="Q3415" s="106" t="str">
        <f>IF(ISBLANK(O3415), "", VLOOKUP(C3415&amp;" "&amp;D3415, 'Info Tipo de Cambio y REM'!$A$24:$B$35, 2, FALSE))</f>
        <v/>
      </c>
      <c r="R3415" s="107"/>
    </row>
    <row r="3416" hidden="1">
      <c r="A3416" s="443"/>
      <c r="B3416" s="43" t="str">
        <f>IF(A3416="", "", IFERROR(VLOOKUP(A3416, Clasificaciones!A:B, 2, FALSE), "DATO NO CARGADO"))
</f>
        <v/>
      </c>
      <c r="C3416" s="51"/>
      <c r="D3416" s="102"/>
      <c r="E3416" s="102"/>
      <c r="H3416" s="102"/>
      <c r="J3416" s="102"/>
      <c r="K3416" s="450"/>
      <c r="L3416" s="443"/>
      <c r="M3416" s="450"/>
      <c r="N3416" s="452"/>
      <c r="O3416" s="453"/>
      <c r="P3416" s="113"/>
      <c r="Q3416" s="106" t="str">
        <f>IF(ISBLANK(O3416), "", VLOOKUP(C3416&amp;" "&amp;D3416, 'Info Tipo de Cambio y REM'!$A$24:$B$35, 2, FALSE))</f>
        <v/>
      </c>
      <c r="R3416" s="107"/>
    </row>
    <row r="3417" hidden="1">
      <c r="A3417" s="443"/>
      <c r="B3417" s="43" t="str">
        <f>IF(A3417="", "", IFERROR(VLOOKUP(A3417, Clasificaciones!A:B, 2, FALSE), "DATO NO CARGADO"))
</f>
        <v/>
      </c>
      <c r="C3417" s="51"/>
      <c r="D3417" s="102"/>
      <c r="E3417" s="102"/>
      <c r="H3417" s="102"/>
      <c r="J3417" s="102"/>
      <c r="K3417" s="450"/>
      <c r="L3417" s="443"/>
      <c r="M3417" s="450"/>
      <c r="N3417" s="452"/>
      <c r="O3417" s="453"/>
      <c r="P3417" s="113"/>
      <c r="Q3417" s="106" t="str">
        <f>IF(ISBLANK(O3417), "", VLOOKUP(C3417&amp;" "&amp;D3417, 'Info Tipo de Cambio y REM'!$A$24:$B$35, 2, FALSE))</f>
        <v/>
      </c>
      <c r="R3417" s="107"/>
    </row>
    <row r="3418" hidden="1">
      <c r="A3418" s="443"/>
      <c r="B3418" s="43" t="str">
        <f>IF(A3418="", "", IFERROR(VLOOKUP(A3418, Clasificaciones!A:B, 2, FALSE), "DATO NO CARGADO"))
</f>
        <v/>
      </c>
      <c r="C3418" s="51"/>
      <c r="D3418" s="102"/>
      <c r="E3418" s="102"/>
      <c r="H3418" s="102"/>
      <c r="J3418" s="102"/>
      <c r="K3418" s="450"/>
      <c r="L3418" s="443"/>
      <c r="M3418" s="450"/>
      <c r="N3418" s="452"/>
      <c r="O3418" s="453"/>
      <c r="P3418" s="113"/>
      <c r="Q3418" s="106" t="str">
        <f>IF(ISBLANK(O3418), "", VLOOKUP(C3418&amp;" "&amp;D3418, 'Info Tipo de Cambio y REM'!$A$24:$B$35, 2, FALSE))</f>
        <v/>
      </c>
      <c r="R3418" s="107"/>
    </row>
    <row r="3419" hidden="1">
      <c r="A3419" s="443"/>
      <c r="B3419" s="43" t="str">
        <f>IF(A3419="", "", IFERROR(VLOOKUP(A3419, Clasificaciones!A:B, 2, FALSE), "DATO NO CARGADO"))
</f>
        <v/>
      </c>
      <c r="C3419" s="51"/>
      <c r="D3419" s="102"/>
      <c r="E3419" s="102"/>
      <c r="H3419" s="102"/>
      <c r="J3419" s="102"/>
      <c r="K3419" s="450"/>
      <c r="L3419" s="443"/>
      <c r="M3419" s="450"/>
      <c r="N3419" s="452"/>
      <c r="O3419" s="453"/>
      <c r="P3419" s="113"/>
      <c r="Q3419" s="106" t="str">
        <f>IF(ISBLANK(O3419), "", VLOOKUP(C3419&amp;" "&amp;D3419, 'Info Tipo de Cambio y REM'!$A$24:$B$35, 2, FALSE))</f>
        <v/>
      </c>
      <c r="R3419" s="107"/>
    </row>
    <row r="3420" hidden="1">
      <c r="A3420" s="443"/>
      <c r="B3420" s="43" t="str">
        <f>IF(A3420="", "", IFERROR(VLOOKUP(A3420, Clasificaciones!A:B, 2, FALSE), "DATO NO CARGADO"))
</f>
        <v/>
      </c>
      <c r="C3420" s="51"/>
      <c r="D3420" s="102"/>
      <c r="E3420" s="102"/>
      <c r="H3420" s="102"/>
      <c r="J3420" s="102"/>
      <c r="K3420" s="450"/>
      <c r="L3420" s="443"/>
      <c r="M3420" s="450"/>
      <c r="N3420" s="452"/>
      <c r="O3420" s="453"/>
      <c r="P3420" s="113"/>
      <c r="Q3420" s="106" t="str">
        <f>IF(ISBLANK(O3420), "", VLOOKUP(C3420&amp;" "&amp;D3420, 'Info Tipo de Cambio y REM'!$A$24:$B$35, 2, FALSE))</f>
        <v/>
      </c>
      <c r="R3420" s="107"/>
    </row>
    <row r="3421" hidden="1">
      <c r="A3421" s="443"/>
      <c r="B3421" s="43" t="str">
        <f>IF(A3421="", "", IFERROR(VLOOKUP(A3421, Clasificaciones!A:B, 2, FALSE), "DATO NO CARGADO"))
</f>
        <v/>
      </c>
      <c r="C3421" s="51"/>
      <c r="D3421" s="102"/>
      <c r="E3421" s="102"/>
      <c r="H3421" s="102"/>
      <c r="J3421" s="102"/>
      <c r="K3421" s="450"/>
      <c r="L3421" s="443"/>
      <c r="M3421" s="450"/>
      <c r="N3421" s="452"/>
      <c r="O3421" s="453"/>
      <c r="P3421" s="113"/>
      <c r="Q3421" s="106" t="str">
        <f>IF(ISBLANK(O3421), "", VLOOKUP(C3421&amp;" "&amp;D3421, 'Info Tipo de Cambio y REM'!$A$24:$B$35, 2, FALSE))</f>
        <v/>
      </c>
      <c r="R3421" s="107"/>
    </row>
    <row r="3422" hidden="1">
      <c r="A3422" s="443"/>
      <c r="B3422" s="43" t="str">
        <f>IF(A3422="", "", IFERROR(VLOOKUP(A3422, Clasificaciones!A:B, 2, FALSE), "DATO NO CARGADO"))
</f>
        <v/>
      </c>
      <c r="C3422" s="51"/>
      <c r="D3422" s="102"/>
      <c r="E3422" s="102"/>
      <c r="H3422" s="102"/>
      <c r="J3422" s="102"/>
      <c r="K3422" s="450"/>
      <c r="L3422" s="443"/>
      <c r="M3422" s="450"/>
      <c r="N3422" s="452"/>
      <c r="O3422" s="453"/>
      <c r="P3422" s="113"/>
      <c r="Q3422" s="106" t="str">
        <f>IF(ISBLANK(O3422), "", VLOOKUP(C3422&amp;" "&amp;D3422, 'Info Tipo de Cambio y REM'!$A$24:$B$35, 2, FALSE))</f>
        <v/>
      </c>
      <c r="R3422" s="107"/>
    </row>
    <row r="3423" hidden="1">
      <c r="A3423" s="443"/>
      <c r="B3423" s="43" t="str">
        <f>IF(A3423="", "", IFERROR(VLOOKUP(A3423, Clasificaciones!A:B, 2, FALSE), "DATO NO CARGADO"))
</f>
        <v/>
      </c>
      <c r="C3423" s="51"/>
      <c r="D3423" s="102"/>
      <c r="E3423" s="102"/>
      <c r="H3423" s="102"/>
      <c r="J3423" s="102"/>
      <c r="K3423" s="450"/>
      <c r="L3423" s="443"/>
      <c r="M3423" s="450"/>
      <c r="N3423" s="452"/>
      <c r="O3423" s="453"/>
      <c r="P3423" s="113"/>
      <c r="Q3423" s="106" t="str">
        <f>IF(ISBLANK(O3423), "", VLOOKUP(C3423&amp;" "&amp;D3423, 'Info Tipo de Cambio y REM'!$A$24:$B$35, 2, FALSE))</f>
        <v/>
      </c>
      <c r="R3423" s="107"/>
    </row>
    <row r="3424" hidden="1">
      <c r="A3424" s="443"/>
      <c r="B3424" s="43" t="str">
        <f>IF(A3424="", "", IFERROR(VLOOKUP(A3424, Clasificaciones!A:B, 2, FALSE), "DATO NO CARGADO"))
</f>
        <v/>
      </c>
      <c r="C3424" s="51"/>
      <c r="D3424" s="102"/>
      <c r="E3424" s="102"/>
      <c r="H3424" s="102"/>
      <c r="J3424" s="102"/>
      <c r="K3424" s="450"/>
      <c r="L3424" s="443"/>
      <c r="M3424" s="450"/>
      <c r="N3424" s="452"/>
      <c r="O3424" s="453"/>
      <c r="P3424" s="113"/>
      <c r="Q3424" s="106" t="str">
        <f>IF(ISBLANK(O3424), "", VLOOKUP(C3424&amp;" "&amp;D3424, 'Info Tipo de Cambio y REM'!$A$24:$B$35, 2, FALSE))</f>
        <v/>
      </c>
      <c r="R3424" s="107"/>
    </row>
    <row r="3425" hidden="1">
      <c r="A3425" s="443"/>
      <c r="B3425" s="43" t="str">
        <f>IF(A3425="", "", IFERROR(VLOOKUP(A3425, Clasificaciones!A:B, 2, FALSE), "DATO NO CARGADO"))
</f>
        <v/>
      </c>
      <c r="C3425" s="51"/>
      <c r="D3425" s="102"/>
      <c r="E3425" s="102"/>
      <c r="H3425" s="102"/>
      <c r="J3425" s="102"/>
      <c r="K3425" s="450"/>
      <c r="L3425" s="443"/>
      <c r="M3425" s="450"/>
      <c r="N3425" s="452"/>
      <c r="O3425" s="453"/>
      <c r="P3425" s="113"/>
      <c r="Q3425" s="106" t="str">
        <f>IF(ISBLANK(O3425), "", VLOOKUP(C3425&amp;" "&amp;D3425, 'Info Tipo de Cambio y REM'!$A$24:$B$35, 2, FALSE))</f>
        <v/>
      </c>
      <c r="R3425" s="107"/>
    </row>
    <row r="3426" hidden="1">
      <c r="A3426" s="443"/>
      <c r="B3426" s="43" t="str">
        <f>IF(A3426="", "", IFERROR(VLOOKUP(A3426, Clasificaciones!A:B, 2, FALSE), "DATO NO CARGADO"))
</f>
        <v/>
      </c>
      <c r="C3426" s="51"/>
      <c r="D3426" s="102"/>
      <c r="E3426" s="102"/>
      <c r="H3426" s="102"/>
      <c r="J3426" s="102"/>
      <c r="K3426" s="450"/>
      <c r="L3426" s="443"/>
      <c r="M3426" s="450"/>
      <c r="N3426" s="452"/>
      <c r="O3426" s="453"/>
      <c r="P3426" s="113"/>
      <c r="Q3426" s="106" t="str">
        <f>IF(ISBLANK(O3426), "", VLOOKUP(C3426&amp;" "&amp;D3426, 'Info Tipo de Cambio y REM'!$A$24:$B$35, 2, FALSE))</f>
        <v/>
      </c>
      <c r="R3426" s="107"/>
    </row>
    <row r="3427" hidden="1">
      <c r="A3427" s="443"/>
      <c r="B3427" s="43" t="str">
        <f>IF(A3427="", "", IFERROR(VLOOKUP(A3427, Clasificaciones!A:B, 2, FALSE), "DATO NO CARGADO"))
</f>
        <v/>
      </c>
      <c r="C3427" s="51"/>
      <c r="D3427" s="102"/>
      <c r="E3427" s="102"/>
      <c r="H3427" s="102"/>
      <c r="J3427" s="102"/>
      <c r="K3427" s="450"/>
      <c r="L3427" s="443"/>
      <c r="M3427" s="450"/>
      <c r="N3427" s="452"/>
      <c r="O3427" s="453"/>
      <c r="P3427" s="113"/>
      <c r="Q3427" s="106" t="str">
        <f>IF(ISBLANK(O3427), "", VLOOKUP(C3427&amp;" "&amp;D3427, 'Info Tipo de Cambio y REM'!$A$24:$B$35, 2, FALSE))</f>
        <v/>
      </c>
      <c r="R3427" s="107"/>
    </row>
    <row r="3428" hidden="1">
      <c r="A3428" s="443"/>
      <c r="B3428" s="43" t="str">
        <f>IF(A3428="", "", IFERROR(VLOOKUP(A3428, Clasificaciones!A:B, 2, FALSE), "DATO NO CARGADO"))
</f>
        <v/>
      </c>
      <c r="C3428" s="51"/>
      <c r="D3428" s="102"/>
      <c r="E3428" s="102"/>
      <c r="H3428" s="102"/>
      <c r="J3428" s="102"/>
      <c r="K3428" s="450"/>
      <c r="L3428" s="443"/>
      <c r="M3428" s="450"/>
      <c r="N3428" s="452"/>
      <c r="O3428" s="453"/>
      <c r="P3428" s="113"/>
      <c r="Q3428" s="106" t="str">
        <f>IF(ISBLANK(O3428), "", VLOOKUP(C3428&amp;" "&amp;D3428, 'Info Tipo de Cambio y REM'!$A$24:$B$35, 2, FALSE))</f>
        <v/>
      </c>
      <c r="R3428" s="107"/>
    </row>
    <row r="3429" hidden="1">
      <c r="A3429" s="443"/>
      <c r="B3429" s="43" t="str">
        <f>IF(A3429="", "", IFERROR(VLOOKUP(A3429, Clasificaciones!A:B, 2, FALSE), "DATO NO CARGADO"))
</f>
        <v/>
      </c>
      <c r="C3429" s="51"/>
      <c r="D3429" s="102"/>
      <c r="E3429" s="102"/>
      <c r="H3429" s="102"/>
      <c r="J3429" s="102"/>
      <c r="K3429" s="450"/>
      <c r="L3429" s="443"/>
      <c r="M3429" s="450"/>
      <c r="N3429" s="452"/>
      <c r="O3429" s="453"/>
      <c r="P3429" s="113"/>
      <c r="Q3429" s="106" t="str">
        <f>IF(ISBLANK(O3429), "", VLOOKUP(C3429&amp;" "&amp;D3429, 'Info Tipo de Cambio y REM'!$A$24:$B$35, 2, FALSE))</f>
        <v/>
      </c>
      <c r="R3429" s="107"/>
    </row>
    <row r="3430" hidden="1">
      <c r="A3430" s="443"/>
      <c r="B3430" s="43" t="str">
        <f>IF(A3430="", "", IFERROR(VLOOKUP(A3430, Clasificaciones!A:B, 2, FALSE), "DATO NO CARGADO"))
</f>
        <v/>
      </c>
      <c r="C3430" s="51"/>
      <c r="D3430" s="102"/>
      <c r="E3430" s="102"/>
      <c r="H3430" s="102"/>
      <c r="J3430" s="102"/>
      <c r="K3430" s="450"/>
      <c r="L3430" s="443"/>
      <c r="M3430" s="450"/>
      <c r="N3430" s="452"/>
      <c r="O3430" s="453"/>
      <c r="P3430" s="113"/>
      <c r="Q3430" s="106" t="str">
        <f>IF(ISBLANK(O3430), "", VLOOKUP(C3430&amp;" "&amp;D3430, 'Info Tipo de Cambio y REM'!$A$24:$B$35, 2, FALSE))</f>
        <v/>
      </c>
      <c r="R3430" s="107"/>
    </row>
    <row r="3431" hidden="1">
      <c r="A3431" s="443"/>
      <c r="B3431" s="43" t="str">
        <f>IF(A3431="", "", IFERROR(VLOOKUP(A3431, Clasificaciones!A:B, 2, FALSE), "DATO NO CARGADO"))
</f>
        <v/>
      </c>
      <c r="C3431" s="51"/>
      <c r="D3431" s="102"/>
      <c r="E3431" s="102"/>
      <c r="H3431" s="102"/>
      <c r="J3431" s="102"/>
      <c r="K3431" s="450"/>
      <c r="L3431" s="443"/>
      <c r="M3431" s="450"/>
      <c r="N3431" s="452"/>
      <c r="O3431" s="453"/>
      <c r="P3431" s="113"/>
      <c r="Q3431" s="106" t="str">
        <f>IF(ISBLANK(O3431), "", VLOOKUP(C3431&amp;" "&amp;D3431, 'Info Tipo de Cambio y REM'!$A$24:$B$35, 2, FALSE))</f>
        <v/>
      </c>
      <c r="R3431" s="107"/>
    </row>
    <row r="3432" hidden="1">
      <c r="A3432" s="443"/>
      <c r="B3432" s="43" t="str">
        <f>IF(A3432="", "", IFERROR(VLOOKUP(A3432, Clasificaciones!A:B, 2, FALSE), "DATO NO CARGADO"))
</f>
        <v/>
      </c>
      <c r="C3432" s="51"/>
      <c r="D3432" s="102"/>
      <c r="E3432" s="102"/>
      <c r="H3432" s="102"/>
      <c r="J3432" s="102"/>
      <c r="K3432" s="450"/>
      <c r="L3432" s="443"/>
      <c r="M3432" s="450"/>
      <c r="N3432" s="452"/>
      <c r="O3432" s="453"/>
      <c r="P3432" s="113"/>
      <c r="Q3432" s="106" t="str">
        <f>IF(ISBLANK(O3432), "", VLOOKUP(C3432&amp;" "&amp;D3432, 'Info Tipo de Cambio y REM'!$A$24:$B$35, 2, FALSE))</f>
        <v/>
      </c>
      <c r="R3432" s="107"/>
    </row>
    <row r="3433" hidden="1">
      <c r="A3433" s="443"/>
      <c r="B3433" s="43" t="str">
        <f>IF(A3433="", "", IFERROR(VLOOKUP(A3433, Clasificaciones!A:B, 2, FALSE), "DATO NO CARGADO"))
</f>
        <v/>
      </c>
      <c r="C3433" s="51"/>
      <c r="D3433" s="102"/>
      <c r="E3433" s="102"/>
      <c r="H3433" s="102"/>
      <c r="J3433" s="102"/>
      <c r="K3433" s="450"/>
      <c r="L3433" s="443"/>
      <c r="M3433" s="450"/>
      <c r="N3433" s="452"/>
      <c r="O3433" s="453"/>
      <c r="P3433" s="113"/>
      <c r="Q3433" s="106" t="str">
        <f>IF(ISBLANK(O3433), "", VLOOKUP(C3433&amp;" "&amp;D3433, 'Info Tipo de Cambio y REM'!$A$24:$B$35, 2, FALSE))</f>
        <v/>
      </c>
      <c r="R3433" s="107"/>
    </row>
    <row r="3434" hidden="1">
      <c r="A3434" s="443"/>
      <c r="B3434" s="43" t="str">
        <f>IF(A3434="", "", IFERROR(VLOOKUP(A3434, Clasificaciones!A:B, 2, FALSE), "DATO NO CARGADO"))
</f>
        <v/>
      </c>
      <c r="C3434" s="51"/>
      <c r="D3434" s="102"/>
      <c r="E3434" s="102"/>
      <c r="H3434" s="102"/>
      <c r="J3434" s="102"/>
      <c r="K3434" s="450"/>
      <c r="L3434" s="443"/>
      <c r="M3434" s="450"/>
      <c r="N3434" s="452"/>
      <c r="O3434" s="453"/>
      <c r="P3434" s="113"/>
      <c r="Q3434" s="106" t="str">
        <f>IF(ISBLANK(O3434), "", VLOOKUP(C3434&amp;" "&amp;D3434, 'Info Tipo de Cambio y REM'!$A$24:$B$35, 2, FALSE))</f>
        <v/>
      </c>
      <c r="R3434" s="107"/>
    </row>
    <row r="3435" hidden="1">
      <c r="A3435" s="443"/>
      <c r="B3435" s="43" t="str">
        <f>IF(A3435="", "", IFERROR(VLOOKUP(A3435, Clasificaciones!A:B, 2, FALSE), "DATO NO CARGADO"))
</f>
        <v/>
      </c>
      <c r="C3435" s="51"/>
      <c r="D3435" s="102"/>
      <c r="E3435" s="102"/>
      <c r="H3435" s="102"/>
      <c r="J3435" s="102"/>
      <c r="K3435" s="450"/>
      <c r="L3435" s="443"/>
      <c r="M3435" s="450"/>
      <c r="N3435" s="452"/>
      <c r="O3435" s="453"/>
      <c r="P3435" s="113"/>
      <c r="Q3435" s="106" t="str">
        <f>IF(ISBLANK(O3435), "", VLOOKUP(C3435&amp;" "&amp;D3435, 'Info Tipo de Cambio y REM'!$A$24:$B$35, 2, FALSE))</f>
        <v/>
      </c>
      <c r="R3435" s="107"/>
    </row>
    <row r="3436" hidden="1">
      <c r="A3436" s="443"/>
      <c r="B3436" s="43" t="str">
        <f>IF(A3436="", "", IFERROR(VLOOKUP(A3436, Clasificaciones!A:B, 2, FALSE), "DATO NO CARGADO"))
</f>
        <v/>
      </c>
      <c r="C3436" s="51"/>
      <c r="D3436" s="102"/>
      <c r="E3436" s="102"/>
      <c r="H3436" s="102"/>
      <c r="J3436" s="102"/>
      <c r="K3436" s="450"/>
      <c r="L3436" s="443"/>
      <c r="M3436" s="450"/>
      <c r="N3436" s="452"/>
      <c r="O3436" s="453"/>
      <c r="P3436" s="113"/>
      <c r="Q3436" s="106" t="str">
        <f>IF(ISBLANK(O3436), "", VLOOKUP(C3436&amp;" "&amp;D3436, 'Info Tipo de Cambio y REM'!$A$24:$B$35, 2, FALSE))</f>
        <v/>
      </c>
      <c r="R3436" s="107"/>
    </row>
    <row r="3437" hidden="1">
      <c r="A3437" s="443"/>
      <c r="B3437" s="43" t="str">
        <f>IF(A3437="", "", IFERROR(VLOOKUP(A3437, Clasificaciones!A:B, 2, FALSE), "DATO NO CARGADO"))
</f>
        <v/>
      </c>
      <c r="C3437" s="51"/>
      <c r="D3437" s="102"/>
      <c r="E3437" s="102"/>
      <c r="H3437" s="102"/>
      <c r="J3437" s="102"/>
      <c r="K3437" s="450"/>
      <c r="L3437" s="443"/>
      <c r="M3437" s="450"/>
      <c r="N3437" s="452"/>
      <c r="O3437" s="453"/>
      <c r="P3437" s="113"/>
      <c r="Q3437" s="106" t="str">
        <f>IF(ISBLANK(O3437), "", VLOOKUP(C3437&amp;" "&amp;D3437, 'Info Tipo de Cambio y REM'!$A$24:$B$35, 2, FALSE))</f>
        <v/>
      </c>
      <c r="R3437" s="107"/>
    </row>
    <row r="3438" hidden="1">
      <c r="A3438" s="443"/>
      <c r="B3438" s="43" t="str">
        <f>IF(A3438="", "", IFERROR(VLOOKUP(A3438, Clasificaciones!A:B, 2, FALSE), "DATO NO CARGADO"))
</f>
        <v/>
      </c>
      <c r="C3438" s="51"/>
      <c r="D3438" s="102"/>
      <c r="E3438" s="102"/>
      <c r="H3438" s="102"/>
      <c r="J3438" s="102"/>
      <c r="K3438" s="450"/>
      <c r="L3438" s="443"/>
      <c r="M3438" s="450"/>
      <c r="N3438" s="452"/>
      <c r="O3438" s="453"/>
      <c r="P3438" s="113"/>
      <c r="Q3438" s="106" t="str">
        <f>IF(ISBLANK(O3438), "", VLOOKUP(C3438&amp;" "&amp;D3438, 'Info Tipo de Cambio y REM'!$A$24:$B$35, 2, FALSE))</f>
        <v/>
      </c>
      <c r="R3438" s="107"/>
    </row>
    <row r="3439" hidden="1">
      <c r="A3439" s="443"/>
      <c r="B3439" s="43" t="str">
        <f>IF(A3439="", "", IFERROR(VLOOKUP(A3439, Clasificaciones!A:B, 2, FALSE), "DATO NO CARGADO"))
</f>
        <v/>
      </c>
      <c r="C3439" s="51"/>
      <c r="D3439" s="102"/>
      <c r="E3439" s="102"/>
      <c r="H3439" s="102"/>
      <c r="J3439" s="102"/>
      <c r="K3439" s="450"/>
      <c r="L3439" s="443"/>
      <c r="M3439" s="450"/>
      <c r="N3439" s="452"/>
      <c r="O3439" s="453"/>
      <c r="P3439" s="113"/>
      <c r="Q3439" s="106" t="str">
        <f>IF(ISBLANK(O3439), "", VLOOKUP(C3439&amp;" "&amp;D3439, 'Info Tipo de Cambio y REM'!$A$24:$B$35, 2, FALSE))</f>
        <v/>
      </c>
      <c r="R3439" s="107"/>
    </row>
    <row r="3440" hidden="1">
      <c r="A3440" s="443"/>
      <c r="B3440" s="43" t="str">
        <f>IF(A3440="", "", IFERROR(VLOOKUP(A3440, Clasificaciones!A:B, 2, FALSE), "DATO NO CARGADO"))
</f>
        <v/>
      </c>
      <c r="C3440" s="51"/>
      <c r="D3440" s="102"/>
      <c r="E3440" s="102"/>
      <c r="H3440" s="102"/>
      <c r="J3440" s="102"/>
      <c r="K3440" s="450"/>
      <c r="L3440" s="443"/>
      <c r="M3440" s="450"/>
      <c r="N3440" s="452"/>
      <c r="O3440" s="453"/>
      <c r="P3440" s="113"/>
      <c r="Q3440" s="106" t="str">
        <f>IF(ISBLANK(O3440), "", VLOOKUP(C3440&amp;" "&amp;D3440, 'Info Tipo de Cambio y REM'!$A$24:$B$35, 2, FALSE))</f>
        <v/>
      </c>
      <c r="R3440" s="107"/>
    </row>
    <row r="3441" hidden="1">
      <c r="A3441" s="443"/>
      <c r="B3441" s="43" t="str">
        <f>IF(A3441="", "", IFERROR(VLOOKUP(A3441, Clasificaciones!A:B, 2, FALSE), "DATO NO CARGADO"))
</f>
        <v/>
      </c>
      <c r="C3441" s="51"/>
      <c r="D3441" s="102"/>
      <c r="E3441" s="102"/>
      <c r="H3441" s="102"/>
      <c r="J3441" s="102"/>
      <c r="K3441" s="450"/>
      <c r="L3441" s="443"/>
      <c r="M3441" s="450"/>
      <c r="N3441" s="452"/>
      <c r="O3441" s="453"/>
      <c r="P3441" s="113"/>
      <c r="Q3441" s="106" t="str">
        <f>IF(ISBLANK(O3441), "", VLOOKUP(C3441&amp;" "&amp;D3441, 'Info Tipo de Cambio y REM'!$A$24:$B$35, 2, FALSE))</f>
        <v/>
      </c>
      <c r="R3441" s="107"/>
    </row>
    <row r="3442" hidden="1">
      <c r="A3442" s="443"/>
      <c r="B3442" s="43" t="str">
        <f>IF(A3442="", "", IFERROR(VLOOKUP(A3442, Clasificaciones!A:B, 2, FALSE), "DATO NO CARGADO"))
</f>
        <v/>
      </c>
      <c r="C3442" s="51"/>
      <c r="D3442" s="102"/>
      <c r="E3442" s="102"/>
      <c r="H3442" s="102"/>
      <c r="J3442" s="102"/>
      <c r="K3442" s="450"/>
      <c r="L3442" s="443"/>
      <c r="M3442" s="450"/>
      <c r="N3442" s="452"/>
      <c r="O3442" s="453"/>
      <c r="P3442" s="113"/>
      <c r="Q3442" s="106" t="str">
        <f>IF(ISBLANK(O3442), "", VLOOKUP(C3442&amp;" "&amp;D3442, 'Info Tipo de Cambio y REM'!$A$24:$B$35, 2, FALSE))</f>
        <v/>
      </c>
      <c r="R3442" s="107"/>
    </row>
    <row r="3443" hidden="1">
      <c r="A3443" s="443"/>
      <c r="B3443" s="43" t="str">
        <f>IF(A3443="", "", IFERROR(VLOOKUP(A3443, Clasificaciones!A:B, 2, FALSE), "DATO NO CARGADO"))
</f>
        <v/>
      </c>
      <c r="C3443" s="51"/>
      <c r="D3443" s="102"/>
      <c r="E3443" s="102"/>
      <c r="H3443" s="102"/>
      <c r="J3443" s="102"/>
      <c r="K3443" s="450"/>
      <c r="L3443" s="443"/>
      <c r="M3443" s="450"/>
      <c r="N3443" s="452"/>
      <c r="O3443" s="453"/>
      <c r="P3443" s="113"/>
      <c r="Q3443" s="106" t="str">
        <f>IF(ISBLANK(O3443), "", VLOOKUP(C3443&amp;" "&amp;D3443, 'Info Tipo de Cambio y REM'!$A$24:$B$35, 2, FALSE))</f>
        <v/>
      </c>
      <c r="R3443" s="107"/>
    </row>
    <row r="3444" hidden="1">
      <c r="A3444" s="443"/>
      <c r="B3444" s="43" t="str">
        <f>IF(A3444="", "", IFERROR(VLOOKUP(A3444, Clasificaciones!A:B, 2, FALSE), "DATO NO CARGADO"))
</f>
        <v/>
      </c>
      <c r="C3444" s="51"/>
      <c r="D3444" s="102"/>
      <c r="E3444" s="102"/>
      <c r="H3444" s="102"/>
      <c r="J3444" s="102"/>
      <c r="K3444" s="450"/>
      <c r="L3444" s="443"/>
      <c r="M3444" s="450"/>
      <c r="N3444" s="452"/>
      <c r="O3444" s="453"/>
      <c r="P3444" s="113"/>
      <c r="Q3444" s="106" t="str">
        <f>IF(ISBLANK(O3444), "", VLOOKUP(C3444&amp;" "&amp;D3444, 'Info Tipo de Cambio y REM'!$A$24:$B$35, 2, FALSE))</f>
        <v/>
      </c>
      <c r="R3444" s="107"/>
    </row>
    <row r="3445" hidden="1">
      <c r="A3445" s="443"/>
      <c r="B3445" s="43" t="str">
        <f>IF(A3445="", "", IFERROR(VLOOKUP(A3445, Clasificaciones!A:B, 2, FALSE), "DATO NO CARGADO"))
</f>
        <v/>
      </c>
      <c r="C3445" s="51"/>
      <c r="D3445" s="102"/>
      <c r="E3445" s="102"/>
      <c r="H3445" s="102"/>
      <c r="J3445" s="102"/>
      <c r="K3445" s="450"/>
      <c r="L3445" s="443"/>
      <c r="M3445" s="450"/>
      <c r="N3445" s="452"/>
      <c r="O3445" s="453"/>
      <c r="P3445" s="113"/>
      <c r="Q3445" s="106" t="str">
        <f>IF(ISBLANK(O3445), "", VLOOKUP(C3445&amp;" "&amp;D3445, 'Info Tipo de Cambio y REM'!$A$24:$B$35, 2, FALSE))</f>
        <v/>
      </c>
      <c r="R3445" s="107"/>
    </row>
    <row r="3446" hidden="1">
      <c r="A3446" s="443"/>
      <c r="B3446" s="43" t="str">
        <f>IF(A3446="", "", IFERROR(VLOOKUP(A3446, Clasificaciones!A:B, 2, FALSE), "DATO NO CARGADO"))
</f>
        <v/>
      </c>
      <c r="C3446" s="51"/>
      <c r="D3446" s="102"/>
      <c r="E3446" s="102"/>
      <c r="H3446" s="102"/>
      <c r="J3446" s="102"/>
      <c r="K3446" s="450"/>
      <c r="L3446" s="443"/>
      <c r="M3446" s="450"/>
      <c r="N3446" s="452"/>
      <c r="O3446" s="453"/>
      <c r="P3446" s="113"/>
      <c r="Q3446" s="106" t="str">
        <f>IF(ISBLANK(O3446), "", VLOOKUP(C3446&amp;" "&amp;D3446, 'Info Tipo de Cambio y REM'!$A$24:$B$35, 2, FALSE))</f>
        <v/>
      </c>
      <c r="R3446" s="107"/>
    </row>
    <row r="3447" hidden="1">
      <c r="A3447" s="443"/>
      <c r="B3447" s="43" t="str">
        <f>IF(A3447="", "", IFERROR(VLOOKUP(A3447, Clasificaciones!A:B, 2, FALSE), "DATO NO CARGADO"))
</f>
        <v/>
      </c>
      <c r="C3447" s="51"/>
      <c r="D3447" s="102"/>
      <c r="E3447" s="102"/>
      <c r="H3447" s="102"/>
      <c r="J3447" s="102"/>
      <c r="K3447" s="450"/>
      <c r="L3447" s="443"/>
      <c r="M3447" s="450"/>
      <c r="N3447" s="452"/>
      <c r="O3447" s="453"/>
      <c r="P3447" s="113"/>
      <c r="Q3447" s="106" t="str">
        <f>IF(ISBLANK(O3447), "", VLOOKUP(C3447&amp;" "&amp;D3447, 'Info Tipo de Cambio y REM'!$A$24:$B$35, 2, FALSE))</f>
        <v/>
      </c>
      <c r="R3447" s="107"/>
    </row>
    <row r="3448" hidden="1">
      <c r="A3448" s="443"/>
      <c r="B3448" s="43" t="str">
        <f>IF(A3448="", "", IFERROR(VLOOKUP(A3448, Clasificaciones!A:B, 2, FALSE), "DATO NO CARGADO"))
</f>
        <v/>
      </c>
      <c r="C3448" s="51"/>
      <c r="D3448" s="102"/>
      <c r="E3448" s="102"/>
      <c r="H3448" s="102"/>
      <c r="J3448" s="102"/>
      <c r="K3448" s="450"/>
      <c r="L3448" s="443"/>
      <c r="M3448" s="450"/>
      <c r="N3448" s="452"/>
      <c r="O3448" s="453"/>
      <c r="P3448" s="113"/>
      <c r="Q3448" s="106" t="str">
        <f>IF(ISBLANK(O3448), "", VLOOKUP(C3448&amp;" "&amp;D3448, 'Info Tipo de Cambio y REM'!$A$24:$B$35, 2, FALSE))</f>
        <v/>
      </c>
      <c r="R3448" s="107"/>
    </row>
    <row r="3449" hidden="1">
      <c r="A3449" s="443"/>
      <c r="B3449" s="43" t="str">
        <f>IF(A3449="", "", IFERROR(VLOOKUP(A3449, Clasificaciones!A:B, 2, FALSE), "DATO NO CARGADO"))
</f>
        <v/>
      </c>
      <c r="C3449" s="51"/>
      <c r="D3449" s="102"/>
      <c r="E3449" s="102"/>
      <c r="H3449" s="102"/>
      <c r="J3449" s="102"/>
      <c r="K3449" s="450"/>
      <c r="L3449" s="443"/>
      <c r="M3449" s="450"/>
      <c r="N3449" s="452"/>
      <c r="O3449" s="453"/>
      <c r="P3449" s="113"/>
      <c r="Q3449" s="106" t="str">
        <f>IF(ISBLANK(O3449), "", VLOOKUP(C3449&amp;" "&amp;D3449, 'Info Tipo de Cambio y REM'!$A$24:$B$35, 2, FALSE))</f>
        <v/>
      </c>
      <c r="R3449" s="107"/>
    </row>
    <row r="3450" hidden="1">
      <c r="A3450" s="443"/>
      <c r="B3450" s="43" t="str">
        <f>IF(A3450="", "", IFERROR(VLOOKUP(A3450, Clasificaciones!A:B, 2, FALSE), "DATO NO CARGADO"))
</f>
        <v/>
      </c>
      <c r="C3450" s="51"/>
      <c r="D3450" s="102"/>
      <c r="E3450" s="102"/>
      <c r="H3450" s="102"/>
      <c r="J3450" s="102"/>
      <c r="K3450" s="450"/>
      <c r="L3450" s="443"/>
      <c r="M3450" s="450"/>
      <c r="N3450" s="452"/>
      <c r="O3450" s="453"/>
      <c r="P3450" s="113"/>
      <c r="Q3450" s="106" t="str">
        <f>IF(ISBLANK(O3450), "", VLOOKUP(C3450&amp;" "&amp;D3450, 'Info Tipo de Cambio y REM'!$A$24:$B$35, 2, FALSE))</f>
        <v/>
      </c>
      <c r="R3450" s="107"/>
    </row>
    <row r="3451" hidden="1">
      <c r="A3451" s="443"/>
      <c r="B3451" s="43" t="str">
        <f>IF(A3451="", "", IFERROR(VLOOKUP(A3451, Clasificaciones!A:B, 2, FALSE), "DATO NO CARGADO"))
</f>
        <v/>
      </c>
      <c r="C3451" s="51"/>
      <c r="D3451" s="102"/>
      <c r="E3451" s="102"/>
      <c r="H3451" s="102"/>
      <c r="J3451" s="102"/>
      <c r="K3451" s="450"/>
      <c r="L3451" s="443"/>
      <c r="M3451" s="450"/>
      <c r="N3451" s="452"/>
      <c r="O3451" s="453"/>
      <c r="P3451" s="113"/>
      <c r="Q3451" s="106" t="str">
        <f>IF(ISBLANK(O3451), "", VLOOKUP(C3451&amp;" "&amp;D3451, 'Info Tipo de Cambio y REM'!$A$24:$B$35, 2, FALSE))</f>
        <v/>
      </c>
      <c r="R3451" s="107"/>
    </row>
    <row r="3452" hidden="1">
      <c r="A3452" s="443"/>
      <c r="B3452" s="43" t="str">
        <f>IF(A3452="", "", IFERROR(VLOOKUP(A3452, Clasificaciones!A:B, 2, FALSE), "DATO NO CARGADO"))
</f>
        <v/>
      </c>
      <c r="C3452" s="51"/>
      <c r="D3452" s="102"/>
      <c r="E3452" s="102"/>
      <c r="H3452" s="102"/>
      <c r="J3452" s="102"/>
      <c r="K3452" s="450"/>
      <c r="L3452" s="443"/>
      <c r="M3452" s="450"/>
      <c r="N3452" s="452"/>
      <c r="O3452" s="453"/>
      <c r="P3452" s="113"/>
      <c r="Q3452" s="106" t="str">
        <f>IF(ISBLANK(O3452), "", VLOOKUP(C3452&amp;" "&amp;D3452, 'Info Tipo de Cambio y REM'!$A$24:$B$35, 2, FALSE))</f>
        <v/>
      </c>
      <c r="R3452" s="107"/>
    </row>
    <row r="3453" hidden="1">
      <c r="A3453" s="443"/>
      <c r="B3453" s="43" t="str">
        <f>IF(A3453="", "", IFERROR(VLOOKUP(A3453, Clasificaciones!A:B, 2, FALSE), "DATO NO CARGADO"))
</f>
        <v/>
      </c>
      <c r="C3453" s="51"/>
      <c r="D3453" s="102"/>
      <c r="E3453" s="102"/>
      <c r="H3453" s="102"/>
      <c r="J3453" s="102"/>
      <c r="K3453" s="450"/>
      <c r="L3453" s="443"/>
      <c r="M3453" s="450"/>
      <c r="N3453" s="452"/>
      <c r="O3453" s="453"/>
      <c r="P3453" s="113"/>
      <c r="Q3453" s="106" t="str">
        <f>IF(ISBLANK(O3453), "", VLOOKUP(C3453&amp;" "&amp;D3453, 'Info Tipo de Cambio y REM'!$A$24:$B$35, 2, FALSE))</f>
        <v/>
      </c>
      <c r="R3453" s="107"/>
    </row>
    <row r="3454" hidden="1">
      <c r="A3454" s="443"/>
      <c r="B3454" s="43" t="str">
        <f>IF(A3454="", "", IFERROR(VLOOKUP(A3454, Clasificaciones!A:B, 2, FALSE), "DATO NO CARGADO"))
</f>
        <v/>
      </c>
      <c r="C3454" s="51"/>
      <c r="D3454" s="102"/>
      <c r="E3454" s="102"/>
      <c r="H3454" s="102"/>
      <c r="J3454" s="102"/>
      <c r="K3454" s="450"/>
      <c r="L3454" s="443"/>
      <c r="M3454" s="450"/>
      <c r="N3454" s="452"/>
      <c r="O3454" s="453"/>
      <c r="P3454" s="113"/>
      <c r="Q3454" s="106" t="str">
        <f>IF(ISBLANK(O3454), "", VLOOKUP(C3454&amp;" "&amp;D3454, 'Info Tipo de Cambio y REM'!$A$24:$B$35, 2, FALSE))</f>
        <v/>
      </c>
      <c r="R3454" s="107"/>
    </row>
    <row r="3455" hidden="1">
      <c r="A3455" s="443"/>
      <c r="B3455" s="43" t="str">
        <f>IF(A3455="", "", IFERROR(VLOOKUP(A3455, Clasificaciones!A:B, 2, FALSE), "DATO NO CARGADO"))
</f>
        <v/>
      </c>
      <c r="C3455" s="51"/>
      <c r="D3455" s="102"/>
      <c r="E3455" s="102"/>
      <c r="H3455" s="102"/>
      <c r="J3455" s="102"/>
      <c r="K3455" s="450"/>
      <c r="L3455" s="443"/>
      <c r="M3455" s="450"/>
      <c r="N3455" s="452"/>
      <c r="O3455" s="453"/>
      <c r="P3455" s="113"/>
      <c r="Q3455" s="106" t="str">
        <f>IF(ISBLANK(O3455), "", VLOOKUP(C3455&amp;" "&amp;D3455, 'Info Tipo de Cambio y REM'!$A$24:$B$35, 2, FALSE))</f>
        <v/>
      </c>
      <c r="R3455" s="107"/>
    </row>
    <row r="3456" hidden="1">
      <c r="A3456" s="443"/>
      <c r="B3456" s="43" t="str">
        <f>IF(A3456="", "", IFERROR(VLOOKUP(A3456, Clasificaciones!A:B, 2, FALSE), "DATO NO CARGADO"))
</f>
        <v/>
      </c>
      <c r="C3456" s="51"/>
      <c r="D3456" s="102"/>
      <c r="E3456" s="102"/>
      <c r="H3456" s="102"/>
      <c r="J3456" s="102"/>
      <c r="K3456" s="450"/>
      <c r="L3456" s="443"/>
      <c r="M3456" s="450"/>
      <c r="N3456" s="452"/>
      <c r="O3456" s="453"/>
      <c r="P3456" s="113"/>
      <c r="Q3456" s="106" t="str">
        <f>IF(ISBLANK(O3456), "", VLOOKUP(C3456&amp;" "&amp;D3456, 'Info Tipo de Cambio y REM'!$A$24:$B$35, 2, FALSE))</f>
        <v/>
      </c>
      <c r="R3456" s="107"/>
    </row>
    <row r="3457" hidden="1">
      <c r="A3457" s="443"/>
      <c r="B3457" s="43" t="str">
        <f>IF(A3457="", "", IFERROR(VLOOKUP(A3457, Clasificaciones!A:B, 2, FALSE), "DATO NO CARGADO"))
</f>
        <v/>
      </c>
      <c r="C3457" s="51"/>
      <c r="D3457" s="102"/>
      <c r="E3457" s="102"/>
      <c r="H3457" s="102"/>
      <c r="J3457" s="102"/>
      <c r="K3457" s="450"/>
      <c r="L3457" s="443"/>
      <c r="M3457" s="450"/>
      <c r="N3457" s="452"/>
      <c r="O3457" s="453"/>
      <c r="P3457" s="113"/>
      <c r="Q3457" s="106" t="str">
        <f>IF(ISBLANK(O3457), "", VLOOKUP(C3457&amp;" "&amp;D3457, 'Info Tipo de Cambio y REM'!$A$24:$B$35, 2, FALSE))</f>
        <v/>
      </c>
      <c r="R3457" s="107"/>
    </row>
    <row r="3458" hidden="1">
      <c r="A3458" s="443"/>
      <c r="B3458" s="43" t="str">
        <f>IF(A3458="", "", IFERROR(VLOOKUP(A3458, Clasificaciones!A:B, 2, FALSE), "DATO NO CARGADO"))
</f>
        <v/>
      </c>
      <c r="C3458" s="51"/>
      <c r="D3458" s="102"/>
      <c r="E3458" s="102"/>
      <c r="H3458" s="102"/>
      <c r="J3458" s="102"/>
      <c r="K3458" s="450"/>
      <c r="L3458" s="443"/>
      <c r="M3458" s="450"/>
      <c r="N3458" s="452"/>
      <c r="O3458" s="453"/>
      <c r="P3458" s="113"/>
      <c r="Q3458" s="106" t="str">
        <f>IF(ISBLANK(O3458), "", VLOOKUP(C3458&amp;" "&amp;D3458, 'Info Tipo de Cambio y REM'!$A$24:$B$35, 2, FALSE))</f>
        <v/>
      </c>
      <c r="R3458" s="107"/>
    </row>
    <row r="3459" hidden="1">
      <c r="A3459" s="443"/>
      <c r="B3459" s="43" t="str">
        <f>IF(A3459="", "", IFERROR(VLOOKUP(A3459, Clasificaciones!A:B, 2, FALSE), "DATO NO CARGADO"))
</f>
        <v/>
      </c>
      <c r="C3459" s="51"/>
      <c r="D3459" s="102"/>
      <c r="E3459" s="102"/>
      <c r="H3459" s="102"/>
      <c r="J3459" s="102"/>
      <c r="K3459" s="450"/>
      <c r="L3459" s="443"/>
      <c r="M3459" s="450"/>
      <c r="N3459" s="452"/>
      <c r="O3459" s="453"/>
      <c r="P3459" s="113"/>
      <c r="Q3459" s="106" t="str">
        <f>IF(ISBLANK(O3459), "", VLOOKUP(C3459&amp;" "&amp;D3459, 'Info Tipo de Cambio y REM'!$A$24:$B$35, 2, FALSE))</f>
        <v/>
      </c>
      <c r="R3459" s="107"/>
    </row>
    <row r="3460" hidden="1">
      <c r="A3460" s="443"/>
      <c r="B3460" s="43" t="str">
        <f>IF(A3460="", "", IFERROR(VLOOKUP(A3460, Clasificaciones!A:B, 2, FALSE), "DATO NO CARGADO"))
</f>
        <v/>
      </c>
      <c r="C3460" s="51"/>
      <c r="D3460" s="102"/>
      <c r="E3460" s="102"/>
      <c r="H3460" s="102"/>
      <c r="J3460" s="102"/>
      <c r="K3460" s="450"/>
      <c r="L3460" s="443"/>
      <c r="M3460" s="450"/>
      <c r="N3460" s="452"/>
      <c r="O3460" s="453"/>
      <c r="P3460" s="113"/>
      <c r="Q3460" s="106" t="str">
        <f>IF(ISBLANK(O3460), "", VLOOKUP(C3460&amp;" "&amp;D3460, 'Info Tipo de Cambio y REM'!$A$24:$B$35, 2, FALSE))</f>
        <v/>
      </c>
      <c r="R3460" s="107"/>
    </row>
    <row r="3461" hidden="1">
      <c r="A3461" s="443"/>
      <c r="B3461" s="43" t="str">
        <f>IF(A3461="", "", IFERROR(VLOOKUP(A3461, Clasificaciones!A:B, 2, FALSE), "DATO NO CARGADO"))
</f>
        <v/>
      </c>
      <c r="C3461" s="51"/>
      <c r="D3461" s="102"/>
      <c r="E3461" s="102"/>
      <c r="H3461" s="102"/>
      <c r="J3461" s="102"/>
      <c r="K3461" s="450"/>
      <c r="L3461" s="443"/>
      <c r="M3461" s="450"/>
      <c r="N3461" s="452"/>
      <c r="O3461" s="453"/>
      <c r="P3461" s="113"/>
      <c r="Q3461" s="106" t="str">
        <f>IF(ISBLANK(O3461), "", VLOOKUP(C3461&amp;" "&amp;D3461, 'Info Tipo de Cambio y REM'!$A$24:$B$35, 2, FALSE))</f>
        <v/>
      </c>
      <c r="R3461" s="107"/>
    </row>
    <row r="3462" hidden="1">
      <c r="A3462" s="443"/>
      <c r="B3462" s="43" t="str">
        <f>IF(A3462="", "", IFERROR(VLOOKUP(A3462, Clasificaciones!A:B, 2, FALSE), "DATO NO CARGADO"))
</f>
        <v/>
      </c>
      <c r="C3462" s="51"/>
      <c r="D3462" s="102"/>
      <c r="E3462" s="102"/>
      <c r="H3462" s="102"/>
      <c r="J3462" s="102"/>
      <c r="K3462" s="450"/>
      <c r="L3462" s="443"/>
      <c r="M3462" s="450"/>
      <c r="N3462" s="452"/>
      <c r="O3462" s="453"/>
      <c r="P3462" s="113"/>
      <c r="Q3462" s="106" t="str">
        <f>IF(ISBLANK(O3462), "", VLOOKUP(C3462&amp;" "&amp;D3462, 'Info Tipo de Cambio y REM'!$A$24:$B$35, 2, FALSE))</f>
        <v/>
      </c>
      <c r="R3462" s="107"/>
    </row>
    <row r="3463" hidden="1">
      <c r="A3463" s="443"/>
      <c r="B3463" s="43" t="str">
        <f>IF(A3463="", "", IFERROR(VLOOKUP(A3463, Clasificaciones!A:B, 2, FALSE), "DATO NO CARGADO"))
</f>
        <v/>
      </c>
      <c r="C3463" s="51"/>
      <c r="D3463" s="102"/>
      <c r="E3463" s="102"/>
      <c r="H3463" s="102"/>
      <c r="J3463" s="102"/>
      <c r="K3463" s="450"/>
      <c r="L3463" s="443"/>
      <c r="M3463" s="450"/>
      <c r="N3463" s="452"/>
      <c r="O3463" s="453"/>
      <c r="P3463" s="113"/>
      <c r="Q3463" s="106" t="str">
        <f>IF(ISBLANK(O3463), "", VLOOKUP(C3463&amp;" "&amp;D3463, 'Info Tipo de Cambio y REM'!$A$24:$B$35, 2, FALSE))</f>
        <v/>
      </c>
      <c r="R3463" s="107"/>
    </row>
    <row r="3464" hidden="1">
      <c r="A3464" s="443"/>
      <c r="B3464" s="43" t="str">
        <f>IF(A3464="", "", IFERROR(VLOOKUP(A3464, Clasificaciones!A:B, 2, FALSE), "DATO NO CARGADO"))
</f>
        <v/>
      </c>
      <c r="C3464" s="51"/>
      <c r="D3464" s="102"/>
      <c r="E3464" s="102"/>
      <c r="H3464" s="102"/>
      <c r="J3464" s="102"/>
      <c r="K3464" s="450"/>
      <c r="L3464" s="443"/>
      <c r="M3464" s="450"/>
      <c r="N3464" s="452"/>
      <c r="O3464" s="453"/>
      <c r="P3464" s="113"/>
      <c r="Q3464" s="106" t="str">
        <f>IF(ISBLANK(O3464), "", VLOOKUP(C3464&amp;" "&amp;D3464, 'Info Tipo de Cambio y REM'!$A$24:$B$35, 2, FALSE))</f>
        <v/>
      </c>
      <c r="R3464" s="107"/>
    </row>
    <row r="3465" hidden="1">
      <c r="A3465" s="443"/>
      <c r="B3465" s="43" t="str">
        <f>IF(A3465="", "", IFERROR(VLOOKUP(A3465, Clasificaciones!A:B, 2, FALSE), "DATO NO CARGADO"))
</f>
        <v/>
      </c>
      <c r="C3465" s="51"/>
      <c r="D3465" s="102"/>
      <c r="E3465" s="102"/>
      <c r="H3465" s="102"/>
      <c r="J3465" s="102"/>
      <c r="K3465" s="450"/>
      <c r="L3465" s="443"/>
      <c r="M3465" s="450"/>
      <c r="N3465" s="452"/>
      <c r="O3465" s="453"/>
      <c r="P3465" s="113"/>
      <c r="Q3465" s="106" t="str">
        <f>IF(ISBLANK(O3465), "", VLOOKUP(C3465&amp;" "&amp;D3465, 'Info Tipo de Cambio y REM'!$A$24:$B$35, 2, FALSE))</f>
        <v/>
      </c>
      <c r="R3465" s="107"/>
    </row>
    <row r="3466" hidden="1">
      <c r="A3466" s="443"/>
      <c r="B3466" s="43" t="str">
        <f>IF(A3466="", "", IFERROR(VLOOKUP(A3466, Clasificaciones!A:B, 2, FALSE), "DATO NO CARGADO"))
</f>
        <v/>
      </c>
      <c r="C3466" s="51"/>
      <c r="D3466" s="102"/>
      <c r="E3466" s="102"/>
      <c r="H3466" s="102"/>
      <c r="J3466" s="102"/>
      <c r="K3466" s="450"/>
      <c r="L3466" s="443"/>
      <c r="M3466" s="450"/>
      <c r="N3466" s="452"/>
      <c r="O3466" s="453"/>
      <c r="P3466" s="113"/>
      <c r="Q3466" s="106" t="str">
        <f>IF(ISBLANK(O3466), "", VLOOKUP(C3466&amp;" "&amp;D3466, 'Info Tipo de Cambio y REM'!$A$24:$B$35, 2, FALSE))</f>
        <v/>
      </c>
      <c r="R3466" s="107"/>
    </row>
    <row r="3467" hidden="1">
      <c r="A3467" s="443"/>
      <c r="B3467" s="43" t="str">
        <f>IF(A3467="", "", IFERROR(VLOOKUP(A3467, Clasificaciones!A:B, 2, FALSE), "DATO NO CARGADO"))
</f>
        <v/>
      </c>
      <c r="C3467" s="51"/>
      <c r="D3467" s="102"/>
      <c r="E3467" s="102"/>
      <c r="H3467" s="102"/>
      <c r="J3467" s="102"/>
      <c r="K3467" s="450"/>
      <c r="L3467" s="443"/>
      <c r="M3467" s="450"/>
      <c r="N3467" s="452"/>
      <c r="O3467" s="453"/>
      <c r="P3467" s="113"/>
      <c r="Q3467" s="106" t="str">
        <f>IF(ISBLANK(O3467), "", VLOOKUP(C3467&amp;" "&amp;D3467, 'Info Tipo de Cambio y REM'!$A$24:$B$35, 2, FALSE))</f>
        <v/>
      </c>
      <c r="R3467" s="107"/>
    </row>
    <row r="3468" hidden="1">
      <c r="A3468" s="443"/>
      <c r="B3468" s="43" t="str">
        <f>IF(A3468="", "", IFERROR(VLOOKUP(A3468, Clasificaciones!A:B, 2, FALSE), "DATO NO CARGADO"))
</f>
        <v/>
      </c>
      <c r="C3468" s="51"/>
      <c r="D3468" s="102"/>
      <c r="E3468" s="102"/>
      <c r="H3468" s="102"/>
      <c r="J3468" s="102"/>
      <c r="K3468" s="450"/>
      <c r="L3468" s="443"/>
      <c r="M3468" s="450"/>
      <c r="N3468" s="452"/>
      <c r="O3468" s="453"/>
      <c r="P3468" s="113"/>
      <c r="Q3468" s="106" t="str">
        <f>IF(ISBLANK(O3468), "", VLOOKUP(C3468&amp;" "&amp;D3468, 'Info Tipo de Cambio y REM'!$A$24:$B$35, 2, FALSE))</f>
        <v/>
      </c>
      <c r="R3468" s="107"/>
    </row>
    <row r="3469" hidden="1">
      <c r="A3469" s="443"/>
      <c r="B3469" s="43" t="str">
        <f>IF(A3469="", "", IFERROR(VLOOKUP(A3469, Clasificaciones!A:B, 2, FALSE), "DATO NO CARGADO"))
</f>
        <v/>
      </c>
      <c r="C3469" s="51"/>
      <c r="D3469" s="102"/>
      <c r="E3469" s="102"/>
      <c r="H3469" s="102"/>
      <c r="J3469" s="102"/>
      <c r="K3469" s="450"/>
      <c r="L3469" s="443"/>
      <c r="M3469" s="450"/>
      <c r="N3469" s="452"/>
      <c r="O3469" s="453"/>
      <c r="P3469" s="113"/>
      <c r="Q3469" s="106" t="str">
        <f>IF(ISBLANK(O3469), "", VLOOKUP(C3469&amp;" "&amp;D3469, 'Info Tipo de Cambio y REM'!$A$24:$B$35, 2, FALSE))</f>
        <v/>
      </c>
      <c r="R3469" s="107"/>
    </row>
    <row r="3470" hidden="1">
      <c r="A3470" s="443"/>
      <c r="B3470" s="43" t="str">
        <f>IF(A3470="", "", IFERROR(VLOOKUP(A3470, Clasificaciones!A:B, 2, FALSE), "DATO NO CARGADO"))
</f>
        <v/>
      </c>
      <c r="C3470" s="51"/>
      <c r="D3470" s="102"/>
      <c r="E3470" s="102"/>
      <c r="H3470" s="102"/>
      <c r="J3470" s="102"/>
      <c r="K3470" s="450"/>
      <c r="L3470" s="443"/>
      <c r="M3470" s="450"/>
      <c r="N3470" s="452"/>
      <c r="O3470" s="453"/>
      <c r="P3470" s="113"/>
      <c r="Q3470" s="106" t="str">
        <f>IF(ISBLANK(O3470), "", VLOOKUP(C3470&amp;" "&amp;D3470, 'Info Tipo de Cambio y REM'!$A$24:$B$35, 2, FALSE))</f>
        <v/>
      </c>
      <c r="R3470" s="107"/>
    </row>
    <row r="3471" hidden="1">
      <c r="A3471" s="443"/>
      <c r="B3471" s="43" t="str">
        <f>IF(A3471="", "", IFERROR(VLOOKUP(A3471, Clasificaciones!A:B, 2, FALSE), "DATO NO CARGADO"))
</f>
        <v/>
      </c>
      <c r="C3471" s="51"/>
      <c r="D3471" s="102"/>
      <c r="E3471" s="102"/>
      <c r="H3471" s="102"/>
      <c r="J3471" s="102"/>
      <c r="K3471" s="450"/>
      <c r="L3471" s="443"/>
      <c r="M3471" s="450"/>
      <c r="N3471" s="452"/>
      <c r="O3471" s="453"/>
      <c r="P3471" s="113"/>
      <c r="Q3471" s="106" t="str">
        <f>IF(ISBLANK(O3471), "", VLOOKUP(C3471&amp;" "&amp;D3471, 'Info Tipo de Cambio y REM'!$A$24:$B$35, 2, FALSE))</f>
        <v/>
      </c>
      <c r="R3471" s="107"/>
    </row>
    <row r="3472" hidden="1">
      <c r="A3472" s="443"/>
      <c r="B3472" s="43" t="str">
        <f>IF(A3472="", "", IFERROR(VLOOKUP(A3472, Clasificaciones!A:B, 2, FALSE), "DATO NO CARGADO"))
</f>
        <v/>
      </c>
      <c r="C3472" s="51"/>
      <c r="D3472" s="102"/>
      <c r="E3472" s="102"/>
      <c r="H3472" s="102"/>
      <c r="J3472" s="102"/>
      <c r="K3472" s="450"/>
      <c r="L3472" s="443"/>
      <c r="M3472" s="450"/>
      <c r="N3472" s="452"/>
      <c r="O3472" s="453"/>
      <c r="P3472" s="113"/>
      <c r="Q3472" s="106" t="str">
        <f>IF(ISBLANK(O3472), "", VLOOKUP(C3472&amp;" "&amp;D3472, 'Info Tipo de Cambio y REM'!$A$24:$B$35, 2, FALSE))</f>
        <v/>
      </c>
      <c r="R3472" s="107"/>
    </row>
    <row r="3473" hidden="1">
      <c r="A3473" s="443"/>
      <c r="B3473" s="43" t="str">
        <f>IF(A3473="", "", IFERROR(VLOOKUP(A3473, Clasificaciones!A:B, 2, FALSE), "DATO NO CARGADO"))
</f>
        <v/>
      </c>
      <c r="C3473" s="51"/>
      <c r="D3473" s="102"/>
      <c r="E3473" s="102"/>
      <c r="H3473" s="102"/>
      <c r="J3473" s="102"/>
      <c r="K3473" s="450"/>
      <c r="L3473" s="443"/>
      <c r="M3473" s="450"/>
      <c r="N3473" s="452"/>
      <c r="O3473" s="453"/>
      <c r="P3473" s="113"/>
      <c r="Q3473" s="106" t="str">
        <f>IF(ISBLANK(O3473), "", VLOOKUP(C3473&amp;" "&amp;D3473, 'Info Tipo de Cambio y REM'!$A$24:$B$35, 2, FALSE))</f>
        <v/>
      </c>
      <c r="R3473" s="107"/>
    </row>
    <row r="3474" hidden="1">
      <c r="A3474" s="443"/>
      <c r="B3474" s="43" t="str">
        <f>IF(A3474="", "", IFERROR(VLOOKUP(A3474, Clasificaciones!A:B, 2, FALSE), "DATO NO CARGADO"))
</f>
        <v/>
      </c>
      <c r="C3474" s="51"/>
      <c r="D3474" s="102"/>
      <c r="E3474" s="102"/>
      <c r="H3474" s="102"/>
      <c r="J3474" s="102"/>
      <c r="K3474" s="450"/>
      <c r="L3474" s="443"/>
      <c r="M3474" s="450"/>
      <c r="N3474" s="452"/>
      <c r="O3474" s="453"/>
      <c r="P3474" s="113"/>
      <c r="Q3474" s="106" t="str">
        <f>IF(ISBLANK(O3474), "", VLOOKUP(C3474&amp;" "&amp;D3474, 'Info Tipo de Cambio y REM'!$A$24:$B$35, 2, FALSE))</f>
        <v/>
      </c>
      <c r="R3474" s="107"/>
    </row>
    <row r="3475" hidden="1">
      <c r="A3475" s="443"/>
      <c r="B3475" s="43" t="str">
        <f>IF(A3475="", "", IFERROR(VLOOKUP(A3475, Clasificaciones!A:B, 2, FALSE), "DATO NO CARGADO"))
</f>
        <v/>
      </c>
      <c r="C3475" s="51"/>
      <c r="D3475" s="102"/>
      <c r="E3475" s="102"/>
      <c r="H3475" s="102"/>
      <c r="J3475" s="102"/>
      <c r="K3475" s="450"/>
      <c r="L3475" s="443"/>
      <c r="M3475" s="450"/>
      <c r="N3475" s="452"/>
      <c r="O3475" s="453"/>
      <c r="P3475" s="113"/>
      <c r="Q3475" s="106" t="str">
        <f>IF(ISBLANK(O3475), "", VLOOKUP(C3475&amp;" "&amp;D3475, 'Info Tipo de Cambio y REM'!$A$24:$B$35, 2, FALSE))</f>
        <v/>
      </c>
      <c r="R3475" s="107"/>
    </row>
    <row r="3476" hidden="1">
      <c r="A3476" s="443"/>
      <c r="B3476" s="43" t="str">
        <f>IF(A3476="", "", IFERROR(VLOOKUP(A3476, Clasificaciones!A:B, 2, FALSE), "DATO NO CARGADO"))
</f>
        <v/>
      </c>
      <c r="C3476" s="51"/>
      <c r="D3476" s="102"/>
      <c r="E3476" s="102"/>
      <c r="H3476" s="102"/>
      <c r="J3476" s="102"/>
      <c r="K3476" s="450"/>
      <c r="L3476" s="443"/>
      <c r="M3476" s="450"/>
      <c r="N3476" s="452"/>
      <c r="O3476" s="453"/>
      <c r="P3476" s="113"/>
      <c r="Q3476" s="106" t="str">
        <f>IF(ISBLANK(O3476), "", VLOOKUP(C3476&amp;" "&amp;D3476, 'Info Tipo de Cambio y REM'!$A$24:$B$35, 2, FALSE))</f>
        <v/>
      </c>
      <c r="R3476" s="107"/>
    </row>
    <row r="3477" hidden="1">
      <c r="A3477" s="443"/>
      <c r="B3477" s="43" t="str">
        <f>IF(A3477="", "", IFERROR(VLOOKUP(A3477, Clasificaciones!A:B, 2, FALSE), "DATO NO CARGADO"))
</f>
        <v/>
      </c>
      <c r="C3477" s="51"/>
      <c r="D3477" s="102"/>
      <c r="E3477" s="102"/>
      <c r="H3477" s="102"/>
      <c r="J3477" s="102"/>
      <c r="K3477" s="450"/>
      <c r="L3477" s="443"/>
      <c r="M3477" s="450"/>
      <c r="N3477" s="452"/>
      <c r="O3477" s="453"/>
      <c r="P3477" s="113"/>
      <c r="Q3477" s="106" t="str">
        <f>IF(ISBLANK(O3477), "", VLOOKUP(C3477&amp;" "&amp;D3477, 'Info Tipo de Cambio y REM'!$A$24:$B$35, 2, FALSE))</f>
        <v/>
      </c>
      <c r="R3477" s="107"/>
    </row>
    <row r="3478" hidden="1">
      <c r="A3478" s="443"/>
      <c r="B3478" s="43" t="str">
        <f>IF(A3478="", "", IFERROR(VLOOKUP(A3478, Clasificaciones!A:B, 2, FALSE), "DATO NO CARGADO"))
</f>
        <v/>
      </c>
      <c r="C3478" s="51"/>
      <c r="D3478" s="102"/>
      <c r="E3478" s="102"/>
      <c r="H3478" s="102"/>
      <c r="J3478" s="102"/>
      <c r="K3478" s="450"/>
      <c r="L3478" s="443"/>
      <c r="M3478" s="450"/>
      <c r="N3478" s="452"/>
      <c r="O3478" s="453"/>
      <c r="P3478" s="113"/>
      <c r="Q3478" s="106" t="str">
        <f>IF(ISBLANK(O3478), "", VLOOKUP(C3478&amp;" "&amp;D3478, 'Info Tipo de Cambio y REM'!$A$24:$B$35, 2, FALSE))</f>
        <v/>
      </c>
      <c r="R3478" s="107"/>
    </row>
    <row r="3479" hidden="1">
      <c r="A3479" s="443"/>
      <c r="B3479" s="43" t="str">
        <f>IF(A3479="", "", IFERROR(VLOOKUP(A3479, Clasificaciones!A:B, 2, FALSE), "DATO NO CARGADO"))
</f>
        <v/>
      </c>
      <c r="C3479" s="51"/>
      <c r="D3479" s="102"/>
      <c r="E3479" s="102"/>
      <c r="H3479" s="102"/>
      <c r="J3479" s="102"/>
      <c r="K3479" s="450"/>
      <c r="L3479" s="443"/>
      <c r="M3479" s="450"/>
      <c r="N3479" s="452"/>
      <c r="O3479" s="453"/>
      <c r="P3479" s="113"/>
      <c r="Q3479" s="106" t="str">
        <f>IF(ISBLANK(O3479), "", VLOOKUP(C3479&amp;" "&amp;D3479, 'Info Tipo de Cambio y REM'!$A$24:$B$35, 2, FALSE))</f>
        <v/>
      </c>
      <c r="R3479" s="107"/>
    </row>
    <row r="3480" hidden="1">
      <c r="A3480" s="443"/>
      <c r="B3480" s="43" t="str">
        <f>IF(A3480="", "", IFERROR(VLOOKUP(A3480, Clasificaciones!A:B, 2, FALSE), "DATO NO CARGADO"))
</f>
        <v/>
      </c>
      <c r="C3480" s="51"/>
      <c r="D3480" s="102"/>
      <c r="E3480" s="102"/>
      <c r="H3480" s="102"/>
      <c r="J3480" s="102"/>
      <c r="K3480" s="450"/>
      <c r="L3480" s="443"/>
      <c r="M3480" s="450"/>
      <c r="N3480" s="452"/>
      <c r="O3480" s="453"/>
      <c r="P3480" s="113"/>
      <c r="Q3480" s="106" t="str">
        <f>IF(ISBLANK(O3480), "", VLOOKUP(C3480&amp;" "&amp;D3480, 'Info Tipo de Cambio y REM'!$A$24:$B$35, 2, FALSE))</f>
        <v/>
      </c>
      <c r="R3480" s="107"/>
    </row>
    <row r="3481" hidden="1">
      <c r="A3481" s="443"/>
      <c r="B3481" s="43" t="str">
        <f>IF(A3481="", "", IFERROR(VLOOKUP(A3481, Clasificaciones!A:B, 2, FALSE), "DATO NO CARGADO"))
</f>
        <v/>
      </c>
      <c r="C3481" s="51"/>
      <c r="D3481" s="102"/>
      <c r="E3481" s="102"/>
      <c r="H3481" s="102"/>
      <c r="J3481" s="102"/>
      <c r="K3481" s="450"/>
      <c r="L3481" s="443"/>
      <c r="M3481" s="450"/>
      <c r="N3481" s="452"/>
      <c r="O3481" s="453"/>
      <c r="P3481" s="113"/>
      <c r="Q3481" s="106" t="str">
        <f>IF(ISBLANK(O3481), "", VLOOKUP(C3481&amp;" "&amp;D3481, 'Info Tipo de Cambio y REM'!$A$24:$B$35, 2, FALSE))</f>
        <v/>
      </c>
      <c r="R3481" s="107"/>
    </row>
    <row r="3482" hidden="1">
      <c r="A3482" s="443"/>
      <c r="B3482" s="43" t="str">
        <f>IF(A3482="", "", IFERROR(VLOOKUP(A3482, Clasificaciones!A:B, 2, FALSE), "DATO NO CARGADO"))
</f>
        <v/>
      </c>
      <c r="C3482" s="51"/>
      <c r="D3482" s="102"/>
      <c r="E3482" s="102"/>
      <c r="H3482" s="102"/>
      <c r="J3482" s="102"/>
      <c r="K3482" s="450"/>
      <c r="L3482" s="443"/>
      <c r="M3482" s="450"/>
      <c r="N3482" s="452"/>
      <c r="O3482" s="453"/>
      <c r="P3482" s="113"/>
      <c r="Q3482" s="106" t="str">
        <f>IF(ISBLANK(O3482), "", VLOOKUP(C3482&amp;" "&amp;D3482, 'Info Tipo de Cambio y REM'!$A$24:$B$35, 2, FALSE))</f>
        <v/>
      </c>
      <c r="R3482" s="107"/>
    </row>
    <row r="3483" hidden="1">
      <c r="A3483" s="443"/>
      <c r="B3483" s="43" t="str">
        <f>IF(A3483="", "", IFERROR(VLOOKUP(A3483, Clasificaciones!A:B, 2, FALSE), "DATO NO CARGADO"))
</f>
        <v/>
      </c>
      <c r="C3483" s="51"/>
      <c r="D3483" s="102"/>
      <c r="E3483" s="102"/>
      <c r="H3483" s="102"/>
      <c r="J3483" s="102"/>
      <c r="K3483" s="450"/>
      <c r="L3483" s="443"/>
      <c r="M3483" s="450"/>
      <c r="N3483" s="452"/>
      <c r="O3483" s="453"/>
      <c r="P3483" s="113"/>
      <c r="Q3483" s="106" t="str">
        <f>IF(ISBLANK(O3483), "", VLOOKUP(C3483&amp;" "&amp;D3483, 'Info Tipo de Cambio y REM'!$A$24:$B$35, 2, FALSE))</f>
        <v/>
      </c>
      <c r="R3483" s="107"/>
    </row>
    <row r="3484" hidden="1">
      <c r="A3484" s="443"/>
      <c r="B3484" s="43" t="str">
        <f>IF(A3484="", "", IFERROR(VLOOKUP(A3484, Clasificaciones!A:B, 2, FALSE), "DATO NO CARGADO"))
</f>
        <v/>
      </c>
      <c r="C3484" s="51"/>
      <c r="D3484" s="102"/>
      <c r="E3484" s="102"/>
      <c r="H3484" s="102"/>
      <c r="J3484" s="102"/>
      <c r="K3484" s="450"/>
      <c r="L3484" s="443"/>
      <c r="M3484" s="450"/>
      <c r="N3484" s="452"/>
      <c r="O3484" s="453"/>
      <c r="P3484" s="113"/>
      <c r="Q3484" s="106" t="str">
        <f>IF(ISBLANK(O3484), "", VLOOKUP(C3484&amp;" "&amp;D3484, 'Info Tipo de Cambio y REM'!$A$24:$B$35, 2, FALSE))</f>
        <v/>
      </c>
      <c r="R3484" s="107"/>
    </row>
    <row r="3485" hidden="1">
      <c r="A3485" s="443"/>
      <c r="B3485" s="43" t="str">
        <f>IF(A3485="", "", IFERROR(VLOOKUP(A3485, Clasificaciones!A:B, 2, FALSE), "DATO NO CARGADO"))
</f>
        <v/>
      </c>
      <c r="C3485" s="51"/>
      <c r="D3485" s="102"/>
      <c r="E3485" s="102"/>
      <c r="H3485" s="102"/>
      <c r="J3485" s="102"/>
      <c r="K3485" s="450"/>
      <c r="L3485" s="443"/>
      <c r="M3485" s="450"/>
      <c r="N3485" s="452"/>
      <c r="O3485" s="453"/>
      <c r="P3485" s="113"/>
      <c r="Q3485" s="106" t="str">
        <f>IF(ISBLANK(O3485), "", VLOOKUP(C3485&amp;" "&amp;D3485, 'Info Tipo de Cambio y REM'!$A$24:$B$35, 2, FALSE))</f>
        <v/>
      </c>
      <c r="R3485" s="107"/>
    </row>
    <row r="3486" hidden="1">
      <c r="A3486" s="443"/>
      <c r="B3486" s="43" t="str">
        <f>IF(A3486="", "", IFERROR(VLOOKUP(A3486, Clasificaciones!A:B, 2, FALSE), "DATO NO CARGADO"))
</f>
        <v/>
      </c>
      <c r="C3486" s="51"/>
      <c r="D3486" s="102"/>
      <c r="E3486" s="102"/>
      <c r="H3486" s="102"/>
      <c r="J3486" s="102"/>
      <c r="K3486" s="450"/>
      <c r="L3486" s="443"/>
      <c r="M3486" s="450"/>
      <c r="N3486" s="452"/>
      <c r="O3486" s="453"/>
      <c r="P3486" s="113"/>
      <c r="Q3486" s="106" t="str">
        <f>IF(ISBLANK(O3486), "", VLOOKUP(C3486&amp;" "&amp;D3486, 'Info Tipo de Cambio y REM'!$A$24:$B$35, 2, FALSE))</f>
        <v/>
      </c>
      <c r="R3486" s="107"/>
    </row>
    <row r="3487" hidden="1">
      <c r="A3487" s="443"/>
      <c r="B3487" s="43" t="str">
        <f>IF(A3487="", "", IFERROR(VLOOKUP(A3487, Clasificaciones!A:B, 2, FALSE), "DATO NO CARGADO"))
</f>
        <v/>
      </c>
      <c r="C3487" s="51"/>
      <c r="D3487" s="102"/>
      <c r="E3487" s="102"/>
      <c r="H3487" s="102"/>
      <c r="J3487" s="102"/>
      <c r="K3487" s="450"/>
      <c r="L3487" s="443"/>
      <c r="M3487" s="450"/>
      <c r="N3487" s="452"/>
      <c r="O3487" s="453"/>
      <c r="P3487" s="113"/>
      <c r="Q3487" s="106" t="str">
        <f>IF(ISBLANK(O3487), "", VLOOKUP(C3487&amp;" "&amp;D3487, 'Info Tipo de Cambio y REM'!$A$24:$B$35, 2, FALSE))</f>
        <v/>
      </c>
      <c r="R3487" s="107"/>
    </row>
    <row r="3488" hidden="1">
      <c r="A3488" s="443"/>
      <c r="B3488" s="43" t="str">
        <f>IF(A3488="", "", IFERROR(VLOOKUP(A3488, Clasificaciones!A:B, 2, FALSE), "DATO NO CARGADO"))
</f>
        <v/>
      </c>
      <c r="C3488" s="51"/>
      <c r="D3488" s="102"/>
      <c r="E3488" s="102"/>
      <c r="H3488" s="102"/>
      <c r="J3488" s="102"/>
      <c r="K3488" s="450"/>
      <c r="L3488" s="443"/>
      <c r="M3488" s="450"/>
      <c r="N3488" s="452"/>
      <c r="O3488" s="453"/>
      <c r="P3488" s="113"/>
      <c r="Q3488" s="106" t="str">
        <f>IF(ISBLANK(O3488), "", VLOOKUP(C3488&amp;" "&amp;D3488, 'Info Tipo de Cambio y REM'!$A$24:$B$35, 2, FALSE))</f>
        <v/>
      </c>
      <c r="R3488" s="107"/>
    </row>
    <row r="3489" hidden="1">
      <c r="A3489" s="443"/>
      <c r="B3489" s="43" t="str">
        <f>IF(A3489="", "", IFERROR(VLOOKUP(A3489, Clasificaciones!A:B, 2, FALSE), "DATO NO CARGADO"))
</f>
        <v/>
      </c>
      <c r="C3489" s="51"/>
      <c r="D3489" s="102"/>
      <c r="E3489" s="102"/>
      <c r="H3489" s="102"/>
      <c r="J3489" s="102"/>
      <c r="K3489" s="450"/>
      <c r="L3489" s="443"/>
      <c r="M3489" s="450"/>
      <c r="N3489" s="452"/>
      <c r="O3489" s="453"/>
      <c r="P3489" s="113"/>
      <c r="Q3489" s="106" t="str">
        <f>IF(ISBLANK(O3489), "", VLOOKUP(C3489&amp;" "&amp;D3489, 'Info Tipo de Cambio y REM'!$A$24:$B$35, 2, FALSE))</f>
        <v/>
      </c>
      <c r="R3489" s="107"/>
    </row>
    <row r="3490" hidden="1">
      <c r="A3490" s="443"/>
      <c r="B3490" s="43" t="str">
        <f>IF(A3490="", "", IFERROR(VLOOKUP(A3490, Clasificaciones!A:B, 2, FALSE), "DATO NO CARGADO"))
</f>
        <v/>
      </c>
      <c r="C3490" s="51"/>
      <c r="D3490" s="102"/>
      <c r="E3490" s="102"/>
      <c r="H3490" s="102"/>
      <c r="J3490" s="102"/>
      <c r="K3490" s="450"/>
      <c r="L3490" s="443"/>
      <c r="M3490" s="450"/>
      <c r="N3490" s="452"/>
      <c r="O3490" s="453"/>
      <c r="P3490" s="113"/>
      <c r="Q3490" s="106" t="str">
        <f>IF(ISBLANK(O3490), "", VLOOKUP(C3490&amp;" "&amp;D3490, 'Info Tipo de Cambio y REM'!$A$24:$B$35, 2, FALSE))</f>
        <v/>
      </c>
      <c r="R3490" s="107"/>
    </row>
    <row r="3491" hidden="1">
      <c r="A3491" s="443"/>
      <c r="B3491" s="43" t="str">
        <f>IF(A3491="", "", IFERROR(VLOOKUP(A3491, Clasificaciones!A:B, 2, FALSE), "DATO NO CARGADO"))
</f>
        <v/>
      </c>
      <c r="C3491" s="51"/>
      <c r="D3491" s="102"/>
      <c r="E3491" s="102"/>
      <c r="H3491" s="102"/>
      <c r="J3491" s="102"/>
      <c r="K3491" s="450"/>
      <c r="L3491" s="443"/>
      <c r="M3491" s="450"/>
      <c r="N3491" s="452"/>
      <c r="O3491" s="453"/>
      <c r="P3491" s="113"/>
      <c r="Q3491" s="106" t="str">
        <f>IF(ISBLANK(O3491), "", VLOOKUP(C3491&amp;" "&amp;D3491, 'Info Tipo de Cambio y REM'!$A$24:$B$35, 2, FALSE))</f>
        <v/>
      </c>
      <c r="R3491" s="107"/>
    </row>
    <row r="3492" hidden="1">
      <c r="A3492" s="443"/>
      <c r="B3492" s="43" t="str">
        <f>IF(A3492="", "", IFERROR(VLOOKUP(A3492, Clasificaciones!A:B, 2, FALSE), "DATO NO CARGADO"))
</f>
        <v/>
      </c>
      <c r="C3492" s="51"/>
      <c r="D3492" s="102"/>
      <c r="E3492" s="102"/>
      <c r="H3492" s="102"/>
      <c r="J3492" s="102"/>
      <c r="K3492" s="450"/>
      <c r="L3492" s="443"/>
      <c r="M3492" s="450"/>
      <c r="N3492" s="452"/>
      <c r="O3492" s="453"/>
      <c r="P3492" s="113"/>
      <c r="Q3492" s="106" t="str">
        <f>IF(ISBLANK(O3492), "", VLOOKUP(C3492&amp;" "&amp;D3492, 'Info Tipo de Cambio y REM'!$A$24:$B$35, 2, FALSE))</f>
        <v/>
      </c>
      <c r="R3492" s="107"/>
    </row>
    <row r="3493" hidden="1">
      <c r="A3493" s="443"/>
      <c r="B3493" s="43" t="str">
        <f>IF(A3493="", "", IFERROR(VLOOKUP(A3493, Clasificaciones!A:B, 2, FALSE), "DATO NO CARGADO"))
</f>
        <v/>
      </c>
      <c r="C3493" s="51"/>
      <c r="D3493" s="102"/>
      <c r="E3493" s="102"/>
      <c r="H3493" s="102"/>
      <c r="J3493" s="102"/>
      <c r="K3493" s="450"/>
      <c r="L3493" s="443"/>
      <c r="M3493" s="450"/>
      <c r="N3493" s="452"/>
      <c r="O3493" s="453"/>
      <c r="P3493" s="113"/>
      <c r="Q3493" s="106" t="str">
        <f>IF(ISBLANK(O3493), "", VLOOKUP(C3493&amp;" "&amp;D3493, 'Info Tipo de Cambio y REM'!$A$24:$B$35, 2, FALSE))</f>
        <v/>
      </c>
      <c r="R3493" s="107"/>
    </row>
    <row r="3494" hidden="1">
      <c r="A3494" s="443"/>
      <c r="B3494" s="43" t="str">
        <f>IF(A3494="", "", IFERROR(VLOOKUP(A3494, Clasificaciones!A:B, 2, FALSE), "DATO NO CARGADO"))
</f>
        <v/>
      </c>
      <c r="C3494" s="51"/>
      <c r="D3494" s="102"/>
      <c r="E3494" s="102"/>
      <c r="H3494" s="102"/>
      <c r="J3494" s="102"/>
      <c r="K3494" s="450"/>
      <c r="L3494" s="443"/>
      <c r="M3494" s="450"/>
      <c r="N3494" s="452"/>
      <c r="O3494" s="453"/>
      <c r="P3494" s="113"/>
      <c r="Q3494" s="106" t="str">
        <f>IF(ISBLANK(O3494), "", VLOOKUP(C3494&amp;" "&amp;D3494, 'Info Tipo de Cambio y REM'!$A$24:$B$35, 2, FALSE))</f>
        <v/>
      </c>
      <c r="R3494" s="107"/>
    </row>
    <row r="3495" hidden="1">
      <c r="A3495" s="443"/>
      <c r="B3495" s="43" t="str">
        <f>IF(A3495="", "", IFERROR(VLOOKUP(A3495, Clasificaciones!A:B, 2, FALSE), "DATO NO CARGADO"))
</f>
        <v/>
      </c>
      <c r="C3495" s="51"/>
      <c r="D3495" s="102"/>
      <c r="E3495" s="102"/>
      <c r="H3495" s="102"/>
      <c r="J3495" s="102"/>
      <c r="K3495" s="450"/>
      <c r="L3495" s="443"/>
      <c r="M3495" s="450"/>
      <c r="N3495" s="452"/>
      <c r="O3495" s="453"/>
      <c r="P3495" s="113"/>
      <c r="Q3495" s="106" t="str">
        <f>IF(ISBLANK(O3495), "", VLOOKUP(C3495&amp;" "&amp;D3495, 'Info Tipo de Cambio y REM'!$A$24:$B$35, 2, FALSE))</f>
        <v/>
      </c>
      <c r="R3495" s="107"/>
    </row>
    <row r="3496" hidden="1">
      <c r="A3496" s="443"/>
      <c r="B3496" s="43" t="str">
        <f>IF(A3496="", "", IFERROR(VLOOKUP(A3496, Clasificaciones!A:B, 2, FALSE), "DATO NO CARGADO"))
</f>
        <v/>
      </c>
      <c r="C3496" s="51"/>
      <c r="D3496" s="102"/>
      <c r="E3496" s="102"/>
      <c r="H3496" s="102"/>
      <c r="J3496" s="102"/>
      <c r="K3496" s="450"/>
      <c r="L3496" s="443"/>
      <c r="M3496" s="450"/>
      <c r="N3496" s="452"/>
      <c r="O3496" s="453"/>
      <c r="P3496" s="113"/>
      <c r="Q3496" s="106" t="str">
        <f>IF(ISBLANK(O3496), "", VLOOKUP(C3496&amp;" "&amp;D3496, 'Info Tipo de Cambio y REM'!$A$24:$B$35, 2, FALSE))</f>
        <v/>
      </c>
      <c r="R3496" s="107"/>
    </row>
    <row r="3497" hidden="1">
      <c r="A3497" s="443"/>
      <c r="B3497" s="43" t="str">
        <f>IF(A3497="", "", IFERROR(VLOOKUP(A3497, Clasificaciones!A:B, 2, FALSE), "DATO NO CARGADO"))
</f>
        <v/>
      </c>
      <c r="C3497" s="51"/>
      <c r="D3497" s="102"/>
      <c r="E3497" s="102"/>
      <c r="H3497" s="102"/>
      <c r="J3497" s="102"/>
      <c r="K3497" s="450"/>
      <c r="L3497" s="443"/>
      <c r="M3497" s="450"/>
      <c r="N3497" s="452"/>
      <c r="O3497" s="453"/>
      <c r="P3497" s="113"/>
      <c r="Q3497" s="106" t="str">
        <f>IF(ISBLANK(O3497), "", VLOOKUP(C3497&amp;" "&amp;D3497, 'Info Tipo de Cambio y REM'!$A$24:$B$35, 2, FALSE))</f>
        <v/>
      </c>
      <c r="R3497" s="107"/>
    </row>
    <row r="3498" hidden="1">
      <c r="A3498" s="443"/>
      <c r="B3498" s="43" t="str">
        <f>IF(A3498="", "", IFERROR(VLOOKUP(A3498, Clasificaciones!A:B, 2, FALSE), "DATO NO CARGADO"))
</f>
        <v/>
      </c>
      <c r="C3498" s="51"/>
      <c r="D3498" s="102"/>
      <c r="E3498" s="102"/>
      <c r="H3498" s="102"/>
      <c r="J3498" s="102"/>
      <c r="K3498" s="450"/>
      <c r="L3498" s="443"/>
      <c r="M3498" s="450"/>
      <c r="N3498" s="452"/>
      <c r="O3498" s="453"/>
      <c r="P3498" s="113"/>
      <c r="Q3498" s="106" t="str">
        <f>IF(ISBLANK(O3498), "", VLOOKUP(C3498&amp;" "&amp;D3498, 'Info Tipo de Cambio y REM'!$A$24:$B$35, 2, FALSE))</f>
        <v/>
      </c>
      <c r="R3498" s="107"/>
    </row>
    <row r="3499" hidden="1">
      <c r="A3499" s="443"/>
      <c r="B3499" s="43" t="str">
        <f>IF(A3499="", "", IFERROR(VLOOKUP(A3499, Clasificaciones!A:B, 2, FALSE), "DATO NO CARGADO"))
</f>
        <v/>
      </c>
      <c r="C3499" s="51"/>
      <c r="D3499" s="102"/>
      <c r="E3499" s="102"/>
      <c r="H3499" s="102"/>
      <c r="J3499" s="102"/>
      <c r="K3499" s="450"/>
      <c r="L3499" s="443"/>
      <c r="M3499" s="450"/>
      <c r="N3499" s="452"/>
      <c r="O3499" s="453"/>
      <c r="P3499" s="113"/>
      <c r="Q3499" s="106" t="str">
        <f>IF(ISBLANK(O3499), "", VLOOKUP(C3499&amp;" "&amp;D3499, 'Info Tipo de Cambio y REM'!$A$24:$B$35, 2, FALSE))</f>
        <v/>
      </c>
      <c r="R3499" s="107"/>
    </row>
    <row r="3500" hidden="1">
      <c r="A3500" s="443"/>
      <c r="B3500" s="43" t="str">
        <f>IF(A3500="", "", IFERROR(VLOOKUP(A3500, Clasificaciones!A:B, 2, FALSE), "DATO NO CARGADO"))
</f>
        <v/>
      </c>
      <c r="C3500" s="51"/>
      <c r="D3500" s="102"/>
      <c r="E3500" s="102"/>
      <c r="H3500" s="102"/>
      <c r="J3500" s="102"/>
      <c r="K3500" s="450"/>
      <c r="L3500" s="443"/>
      <c r="M3500" s="450"/>
      <c r="N3500" s="452"/>
      <c r="O3500" s="453"/>
      <c r="P3500" s="113"/>
      <c r="Q3500" s="106" t="str">
        <f>IF(ISBLANK(O3500), "", VLOOKUP(C3500&amp;" "&amp;D3500, 'Info Tipo de Cambio y REM'!$A$24:$B$35, 2, FALSE))</f>
        <v/>
      </c>
      <c r="R3500" s="107"/>
    </row>
    <row r="3501" hidden="1">
      <c r="A3501" s="443"/>
      <c r="B3501" s="43" t="str">
        <f>IF(A3501="", "", IFERROR(VLOOKUP(A3501, Clasificaciones!A:B, 2, FALSE), "DATO NO CARGADO"))
</f>
        <v/>
      </c>
      <c r="C3501" s="51"/>
      <c r="D3501" s="102"/>
      <c r="E3501" s="102"/>
      <c r="H3501" s="102"/>
      <c r="J3501" s="102"/>
      <c r="K3501" s="450"/>
      <c r="L3501" s="443"/>
      <c r="M3501" s="450"/>
      <c r="N3501" s="452"/>
      <c r="O3501" s="453"/>
      <c r="P3501" s="113"/>
      <c r="Q3501" s="106" t="str">
        <f>IF(ISBLANK(O3501), "", VLOOKUP(C3501&amp;" "&amp;D3501, 'Info Tipo de Cambio y REM'!$A$24:$B$35, 2, FALSE))</f>
        <v/>
      </c>
      <c r="R3501" s="107"/>
    </row>
    <row r="3502" hidden="1">
      <c r="A3502" s="443"/>
      <c r="B3502" s="43" t="str">
        <f>IF(A3502="", "", IFERROR(VLOOKUP(A3502, Clasificaciones!A:B, 2, FALSE), "DATO NO CARGADO"))
</f>
        <v/>
      </c>
      <c r="C3502" s="51"/>
      <c r="D3502" s="102"/>
      <c r="E3502" s="102"/>
      <c r="H3502" s="102"/>
      <c r="J3502" s="102"/>
      <c r="K3502" s="450"/>
      <c r="L3502" s="443"/>
      <c r="M3502" s="450"/>
      <c r="N3502" s="452"/>
      <c r="O3502" s="453"/>
      <c r="P3502" s="113"/>
      <c r="Q3502" s="106" t="str">
        <f>IF(ISBLANK(O3502), "", VLOOKUP(C3502&amp;" "&amp;D3502, 'Info Tipo de Cambio y REM'!$A$24:$B$35, 2, FALSE))</f>
        <v/>
      </c>
      <c r="R3502" s="107"/>
    </row>
    <row r="3503" hidden="1">
      <c r="A3503" s="443"/>
      <c r="B3503" s="43" t="str">
        <f>IF(A3503="", "", IFERROR(VLOOKUP(A3503, Clasificaciones!A:B, 2, FALSE), "DATO NO CARGADO"))
</f>
        <v/>
      </c>
      <c r="C3503" s="51"/>
      <c r="D3503" s="102"/>
      <c r="E3503" s="102"/>
      <c r="H3503" s="102"/>
      <c r="J3503" s="102"/>
      <c r="K3503" s="450"/>
      <c r="L3503" s="443"/>
      <c r="M3503" s="450"/>
      <c r="N3503" s="452"/>
      <c r="O3503" s="453"/>
      <c r="P3503" s="113"/>
      <c r="Q3503" s="106" t="str">
        <f>IF(ISBLANK(O3503), "", VLOOKUP(C3503&amp;" "&amp;D3503, 'Info Tipo de Cambio y REM'!$A$24:$B$35, 2, FALSE))</f>
        <v/>
      </c>
      <c r="R3503" s="107"/>
    </row>
    <row r="3504" hidden="1">
      <c r="A3504" s="443"/>
      <c r="B3504" s="43" t="str">
        <f>IF(A3504="", "", IFERROR(VLOOKUP(A3504, Clasificaciones!A:B, 2, FALSE), "DATO NO CARGADO"))
</f>
        <v/>
      </c>
      <c r="C3504" s="51"/>
      <c r="D3504" s="102"/>
      <c r="E3504" s="102"/>
      <c r="H3504" s="102"/>
      <c r="J3504" s="102"/>
      <c r="K3504" s="450"/>
      <c r="L3504" s="443"/>
      <c r="M3504" s="450"/>
      <c r="N3504" s="452"/>
      <c r="O3504" s="453"/>
      <c r="P3504" s="113"/>
      <c r="Q3504" s="106" t="str">
        <f>IF(ISBLANK(O3504), "", VLOOKUP(C3504&amp;" "&amp;D3504, 'Info Tipo de Cambio y REM'!$A$24:$B$35, 2, FALSE))</f>
        <v/>
      </c>
      <c r="R3504" s="107"/>
    </row>
    <row r="3505" hidden="1">
      <c r="A3505" s="443"/>
      <c r="B3505" s="43" t="str">
        <f>IF(A3505="", "", IFERROR(VLOOKUP(A3505, Clasificaciones!A:B, 2, FALSE), "DATO NO CARGADO"))
</f>
        <v/>
      </c>
      <c r="C3505" s="51"/>
      <c r="D3505" s="102"/>
      <c r="E3505" s="102"/>
      <c r="H3505" s="102"/>
      <c r="J3505" s="102"/>
      <c r="K3505" s="450"/>
      <c r="L3505" s="443"/>
      <c r="M3505" s="450"/>
      <c r="N3505" s="452"/>
      <c r="O3505" s="453"/>
      <c r="P3505" s="113"/>
      <c r="Q3505" s="106" t="str">
        <f>IF(ISBLANK(O3505), "", VLOOKUP(C3505&amp;" "&amp;D3505, 'Info Tipo de Cambio y REM'!$A$24:$B$35, 2, FALSE))</f>
        <v/>
      </c>
      <c r="R3505" s="107"/>
    </row>
    <row r="3506" hidden="1">
      <c r="A3506" s="443"/>
      <c r="B3506" s="43" t="str">
        <f>IF(A3506="", "", IFERROR(VLOOKUP(A3506, Clasificaciones!A:B, 2, FALSE), "DATO NO CARGADO"))
</f>
        <v/>
      </c>
      <c r="C3506" s="51"/>
      <c r="D3506" s="102"/>
      <c r="E3506" s="102"/>
      <c r="H3506" s="102"/>
      <c r="J3506" s="102"/>
      <c r="K3506" s="450"/>
      <c r="L3506" s="443"/>
      <c r="M3506" s="450"/>
      <c r="N3506" s="452"/>
      <c r="O3506" s="453"/>
      <c r="P3506" s="113"/>
      <c r="Q3506" s="106" t="str">
        <f>IF(ISBLANK(O3506), "", VLOOKUP(C3506&amp;" "&amp;D3506, 'Info Tipo de Cambio y REM'!$A$24:$B$35, 2, FALSE))</f>
        <v/>
      </c>
      <c r="R3506" s="107"/>
    </row>
    <row r="3507" hidden="1">
      <c r="A3507" s="443"/>
      <c r="B3507" s="43" t="str">
        <f>IF(A3507="", "", IFERROR(VLOOKUP(A3507, Clasificaciones!A:B, 2, FALSE), "DATO NO CARGADO"))
</f>
        <v/>
      </c>
      <c r="C3507" s="51"/>
      <c r="D3507" s="102"/>
      <c r="E3507" s="102"/>
      <c r="H3507" s="102"/>
      <c r="J3507" s="102"/>
      <c r="K3507" s="450"/>
      <c r="L3507" s="443"/>
      <c r="M3507" s="450"/>
      <c r="N3507" s="452"/>
      <c r="O3507" s="453"/>
      <c r="P3507" s="113"/>
      <c r="Q3507" s="106" t="str">
        <f>IF(ISBLANK(O3507), "", VLOOKUP(C3507&amp;" "&amp;D3507, 'Info Tipo de Cambio y REM'!$A$24:$B$35, 2, FALSE))</f>
        <v/>
      </c>
      <c r="R3507" s="107"/>
    </row>
    <row r="3508" hidden="1">
      <c r="A3508" s="443"/>
      <c r="B3508" s="43" t="str">
        <f>IF(A3508="", "", IFERROR(VLOOKUP(A3508, Clasificaciones!A:B, 2, FALSE), "DATO NO CARGADO"))
</f>
        <v/>
      </c>
      <c r="C3508" s="51"/>
      <c r="D3508" s="102"/>
      <c r="E3508" s="102"/>
      <c r="H3508" s="102"/>
      <c r="J3508" s="102"/>
      <c r="K3508" s="450"/>
      <c r="L3508" s="443"/>
      <c r="M3508" s="450"/>
      <c r="N3508" s="452"/>
      <c r="O3508" s="453"/>
      <c r="P3508" s="113"/>
      <c r="Q3508" s="106" t="str">
        <f>IF(ISBLANK(O3508), "", VLOOKUP(C3508&amp;" "&amp;D3508, 'Info Tipo de Cambio y REM'!$A$24:$B$35, 2, FALSE))</f>
        <v/>
      </c>
      <c r="R3508" s="107"/>
    </row>
    <row r="3509" hidden="1">
      <c r="A3509" s="443"/>
      <c r="B3509" s="43" t="str">
        <f>IF(A3509="", "", IFERROR(VLOOKUP(A3509, Clasificaciones!A:B, 2, FALSE), "DATO NO CARGADO"))
</f>
        <v/>
      </c>
      <c r="C3509" s="51"/>
      <c r="D3509" s="102"/>
      <c r="E3509" s="102"/>
      <c r="H3509" s="102"/>
      <c r="J3509" s="102"/>
      <c r="K3509" s="450"/>
      <c r="L3509" s="443"/>
      <c r="M3509" s="450"/>
      <c r="N3509" s="452"/>
      <c r="O3509" s="453"/>
      <c r="P3509" s="113"/>
      <c r="Q3509" s="106" t="str">
        <f>IF(ISBLANK(O3509), "", VLOOKUP(C3509&amp;" "&amp;D3509, 'Info Tipo de Cambio y REM'!$A$24:$B$35, 2, FALSE))</f>
        <v/>
      </c>
      <c r="R3509" s="107"/>
    </row>
    <row r="3510" hidden="1">
      <c r="A3510" s="443"/>
      <c r="B3510" s="43" t="str">
        <f>IF(A3510="", "", IFERROR(VLOOKUP(A3510, Clasificaciones!A:B, 2, FALSE), "DATO NO CARGADO"))
</f>
        <v/>
      </c>
      <c r="C3510" s="51"/>
      <c r="D3510" s="102"/>
      <c r="E3510" s="102"/>
      <c r="H3510" s="102"/>
      <c r="J3510" s="102"/>
      <c r="K3510" s="450"/>
      <c r="L3510" s="443"/>
      <c r="M3510" s="450"/>
      <c r="N3510" s="452"/>
      <c r="O3510" s="453"/>
      <c r="P3510" s="113"/>
      <c r="Q3510" s="106" t="str">
        <f>IF(ISBLANK(O3510), "", VLOOKUP(C3510&amp;" "&amp;D3510, 'Info Tipo de Cambio y REM'!$A$24:$B$35, 2, FALSE))</f>
        <v/>
      </c>
      <c r="R3510" s="107"/>
    </row>
    <row r="3511" hidden="1">
      <c r="A3511" s="443"/>
      <c r="B3511" s="43" t="str">
        <f>IF(A3511="", "", IFERROR(VLOOKUP(A3511, Clasificaciones!A:B, 2, FALSE), "DATO NO CARGADO"))
</f>
        <v/>
      </c>
      <c r="C3511" s="51"/>
      <c r="D3511" s="102"/>
      <c r="E3511" s="102"/>
      <c r="H3511" s="102"/>
      <c r="J3511" s="102"/>
      <c r="K3511" s="450"/>
      <c r="L3511" s="443"/>
      <c r="M3511" s="450"/>
      <c r="N3511" s="452"/>
      <c r="O3511" s="453"/>
      <c r="P3511" s="113"/>
      <c r="Q3511" s="106" t="str">
        <f>IF(ISBLANK(O3511), "", VLOOKUP(C3511&amp;" "&amp;D3511, 'Info Tipo de Cambio y REM'!$A$24:$B$35, 2, FALSE))</f>
        <v/>
      </c>
      <c r="R3511" s="107"/>
    </row>
    <row r="3512" hidden="1">
      <c r="A3512" s="443"/>
      <c r="B3512" s="43" t="str">
        <f>IF(A3512="", "", IFERROR(VLOOKUP(A3512, Clasificaciones!A:B, 2, FALSE), "DATO NO CARGADO"))
</f>
        <v/>
      </c>
      <c r="C3512" s="51"/>
      <c r="D3512" s="102"/>
      <c r="E3512" s="102"/>
      <c r="H3512" s="102"/>
      <c r="J3512" s="102"/>
      <c r="K3512" s="450"/>
      <c r="L3512" s="443"/>
      <c r="M3512" s="450"/>
      <c r="N3512" s="452"/>
      <c r="O3512" s="453"/>
      <c r="P3512" s="113"/>
      <c r="Q3512" s="106" t="str">
        <f>IF(ISBLANK(O3512), "", VLOOKUP(C3512&amp;" "&amp;D3512, 'Info Tipo de Cambio y REM'!$A$24:$B$35, 2, FALSE))</f>
        <v/>
      </c>
      <c r="R3512" s="107"/>
    </row>
    <row r="3513" hidden="1">
      <c r="A3513" s="443"/>
      <c r="B3513" s="43" t="str">
        <f>IF(A3513="", "", IFERROR(VLOOKUP(A3513, Clasificaciones!A:B, 2, FALSE), "DATO NO CARGADO"))
</f>
        <v/>
      </c>
      <c r="C3513" s="51"/>
      <c r="D3513" s="102"/>
      <c r="E3513" s="102"/>
      <c r="H3513" s="102"/>
      <c r="J3513" s="102"/>
      <c r="K3513" s="450"/>
      <c r="L3513" s="443"/>
      <c r="M3513" s="450"/>
      <c r="N3513" s="452"/>
      <c r="O3513" s="453"/>
      <c r="P3513" s="113"/>
      <c r="Q3513" s="106" t="str">
        <f>IF(ISBLANK(O3513), "", VLOOKUP(C3513&amp;" "&amp;D3513, 'Info Tipo de Cambio y REM'!$A$24:$B$35, 2, FALSE))</f>
        <v/>
      </c>
      <c r="R3513" s="107"/>
    </row>
    <row r="3514" hidden="1">
      <c r="A3514" s="443"/>
      <c r="B3514" s="43" t="str">
        <f>IF(A3514="", "", IFERROR(VLOOKUP(A3514, Clasificaciones!A:B, 2, FALSE), "DATO NO CARGADO"))
</f>
        <v/>
      </c>
      <c r="C3514" s="51"/>
      <c r="D3514" s="102"/>
      <c r="E3514" s="102"/>
      <c r="H3514" s="102"/>
      <c r="J3514" s="102"/>
      <c r="K3514" s="450"/>
      <c r="L3514" s="443"/>
      <c r="M3514" s="450"/>
      <c r="N3514" s="452"/>
      <c r="O3514" s="453"/>
      <c r="P3514" s="113"/>
      <c r="Q3514" s="106" t="str">
        <f>IF(ISBLANK(O3514), "", VLOOKUP(C3514&amp;" "&amp;D3514, 'Info Tipo de Cambio y REM'!$A$24:$B$35, 2, FALSE))</f>
        <v/>
      </c>
      <c r="R3514" s="107"/>
    </row>
    <row r="3515" hidden="1">
      <c r="A3515" s="443"/>
      <c r="B3515" s="43" t="str">
        <f>IF(A3515="", "", IFERROR(VLOOKUP(A3515, Clasificaciones!A:B, 2, FALSE), "DATO NO CARGADO"))
</f>
        <v/>
      </c>
      <c r="C3515" s="51"/>
      <c r="D3515" s="102"/>
      <c r="E3515" s="102"/>
      <c r="H3515" s="102"/>
      <c r="J3515" s="102"/>
      <c r="K3515" s="450"/>
      <c r="L3515" s="443"/>
      <c r="M3515" s="450"/>
      <c r="N3515" s="452"/>
      <c r="O3515" s="453"/>
      <c r="P3515" s="113"/>
      <c r="Q3515" s="106" t="str">
        <f>IF(ISBLANK(O3515), "", VLOOKUP(C3515&amp;" "&amp;D3515, 'Info Tipo de Cambio y REM'!$A$24:$B$35, 2, FALSE))</f>
        <v/>
      </c>
      <c r="R3515" s="107"/>
    </row>
    <row r="3516" hidden="1">
      <c r="A3516" s="443"/>
      <c r="B3516" s="43" t="str">
        <f>IF(A3516="", "", IFERROR(VLOOKUP(A3516, Clasificaciones!A:B, 2, FALSE), "DATO NO CARGADO"))
</f>
        <v/>
      </c>
      <c r="C3516" s="51"/>
      <c r="D3516" s="102"/>
      <c r="E3516" s="102"/>
      <c r="H3516" s="102"/>
      <c r="J3516" s="102"/>
      <c r="K3516" s="450"/>
      <c r="L3516" s="443"/>
      <c r="M3516" s="450"/>
      <c r="N3516" s="452"/>
      <c r="O3516" s="453"/>
      <c r="P3516" s="113"/>
      <c r="Q3516" s="106" t="str">
        <f>IF(ISBLANK(O3516), "", VLOOKUP(C3516&amp;" "&amp;D3516, 'Info Tipo de Cambio y REM'!$A$24:$B$35, 2, FALSE))</f>
        <v/>
      </c>
      <c r="R3516" s="107"/>
    </row>
    <row r="3517" hidden="1">
      <c r="A3517" s="443"/>
      <c r="B3517" s="43" t="str">
        <f>IF(A3517="", "", IFERROR(VLOOKUP(A3517, Clasificaciones!A:B, 2, FALSE), "DATO NO CARGADO"))
</f>
        <v/>
      </c>
      <c r="C3517" s="51"/>
      <c r="D3517" s="102"/>
      <c r="E3517" s="102"/>
      <c r="H3517" s="102"/>
      <c r="J3517" s="102"/>
      <c r="K3517" s="450"/>
      <c r="L3517" s="443"/>
      <c r="M3517" s="450"/>
      <c r="N3517" s="452"/>
      <c r="O3517" s="453"/>
      <c r="P3517" s="113"/>
      <c r="Q3517" s="106" t="str">
        <f>IF(ISBLANK(O3517), "", VLOOKUP(C3517&amp;" "&amp;D3517, 'Info Tipo de Cambio y REM'!$A$24:$B$35, 2, FALSE))</f>
        <v/>
      </c>
      <c r="R3517" s="107"/>
    </row>
    <row r="3518" hidden="1">
      <c r="A3518" s="443"/>
      <c r="B3518" s="43" t="str">
        <f>IF(A3518="", "", IFERROR(VLOOKUP(A3518, Clasificaciones!A:B, 2, FALSE), "DATO NO CARGADO"))
</f>
        <v/>
      </c>
      <c r="C3518" s="51"/>
      <c r="D3518" s="102"/>
      <c r="E3518" s="102"/>
      <c r="H3518" s="102"/>
      <c r="J3518" s="102"/>
      <c r="K3518" s="450"/>
      <c r="L3518" s="443"/>
      <c r="M3518" s="450"/>
      <c r="N3518" s="452"/>
      <c r="O3518" s="453"/>
      <c r="P3518" s="113"/>
      <c r="Q3518" s="106" t="str">
        <f>IF(ISBLANK(O3518), "", VLOOKUP(C3518&amp;" "&amp;D3518, 'Info Tipo de Cambio y REM'!$A$24:$B$35, 2, FALSE))</f>
        <v/>
      </c>
      <c r="R3518" s="107"/>
    </row>
    <row r="3519" hidden="1">
      <c r="A3519" s="443"/>
      <c r="B3519" s="43" t="str">
        <f>IF(A3519="", "", IFERROR(VLOOKUP(A3519, Clasificaciones!A:B, 2, FALSE), "DATO NO CARGADO"))
</f>
        <v/>
      </c>
      <c r="C3519" s="51"/>
      <c r="D3519" s="102"/>
      <c r="E3519" s="102"/>
      <c r="H3519" s="102"/>
      <c r="J3519" s="102"/>
      <c r="K3519" s="450"/>
      <c r="L3519" s="443"/>
      <c r="M3519" s="450"/>
      <c r="N3519" s="452"/>
      <c r="O3519" s="453"/>
      <c r="P3519" s="113"/>
      <c r="Q3519" s="106" t="str">
        <f>IF(ISBLANK(O3519), "", VLOOKUP(C3519&amp;" "&amp;D3519, 'Info Tipo de Cambio y REM'!$A$24:$B$35, 2, FALSE))</f>
        <v/>
      </c>
      <c r="R3519" s="107"/>
    </row>
    <row r="3520" hidden="1">
      <c r="A3520" s="443"/>
      <c r="B3520" s="43" t="str">
        <f>IF(A3520="", "", IFERROR(VLOOKUP(A3520, Clasificaciones!A:B, 2, FALSE), "DATO NO CARGADO"))
</f>
        <v/>
      </c>
      <c r="C3520" s="51"/>
      <c r="D3520" s="102"/>
      <c r="E3520" s="102"/>
      <c r="H3520" s="102"/>
      <c r="J3520" s="102"/>
      <c r="K3520" s="450"/>
      <c r="L3520" s="443"/>
      <c r="M3520" s="450"/>
      <c r="N3520" s="452"/>
      <c r="O3520" s="453"/>
      <c r="P3520" s="113"/>
      <c r="Q3520" s="106" t="str">
        <f>IF(ISBLANK(O3520), "", VLOOKUP(C3520&amp;" "&amp;D3520, 'Info Tipo de Cambio y REM'!$A$24:$B$35, 2, FALSE))</f>
        <v/>
      </c>
      <c r="R3520" s="107"/>
    </row>
    <row r="3521" hidden="1">
      <c r="A3521" s="443"/>
      <c r="B3521" s="43" t="str">
        <f>IF(A3521="", "", IFERROR(VLOOKUP(A3521, Clasificaciones!A:B, 2, FALSE), "DATO NO CARGADO"))
</f>
        <v/>
      </c>
      <c r="C3521" s="51"/>
      <c r="D3521" s="102"/>
      <c r="E3521" s="102"/>
      <c r="H3521" s="102"/>
      <c r="J3521" s="102"/>
      <c r="K3521" s="450"/>
      <c r="L3521" s="443"/>
      <c r="M3521" s="450"/>
      <c r="N3521" s="452"/>
      <c r="O3521" s="453"/>
      <c r="P3521" s="113"/>
      <c r="Q3521" s="106" t="str">
        <f>IF(ISBLANK(O3521), "", VLOOKUP(C3521&amp;" "&amp;D3521, 'Info Tipo de Cambio y REM'!$A$24:$B$35, 2, FALSE))</f>
        <v/>
      </c>
      <c r="R3521" s="107"/>
    </row>
    <row r="3522" hidden="1">
      <c r="A3522" s="443"/>
      <c r="B3522" s="43" t="str">
        <f>IF(A3522="", "", IFERROR(VLOOKUP(A3522, Clasificaciones!A:B, 2, FALSE), "DATO NO CARGADO"))
</f>
        <v/>
      </c>
      <c r="C3522" s="51"/>
      <c r="D3522" s="102"/>
      <c r="E3522" s="102"/>
      <c r="H3522" s="102"/>
      <c r="J3522" s="102"/>
      <c r="K3522" s="450"/>
      <c r="L3522" s="443"/>
      <c r="M3522" s="450"/>
      <c r="N3522" s="452"/>
      <c r="O3522" s="453"/>
      <c r="P3522" s="113"/>
      <c r="Q3522" s="106" t="str">
        <f>IF(ISBLANK(O3522), "", VLOOKUP(C3522&amp;" "&amp;D3522, 'Info Tipo de Cambio y REM'!$A$24:$B$35, 2, FALSE))</f>
        <v/>
      </c>
      <c r="R3522" s="107"/>
    </row>
    <row r="3523" hidden="1">
      <c r="A3523" s="443"/>
      <c r="B3523" s="43" t="str">
        <f>IF(A3523="", "", IFERROR(VLOOKUP(A3523, Clasificaciones!A:B, 2, FALSE), "DATO NO CARGADO"))
</f>
        <v/>
      </c>
      <c r="C3523" s="51"/>
      <c r="D3523" s="102"/>
      <c r="E3523" s="102"/>
      <c r="H3523" s="102"/>
      <c r="J3523" s="102"/>
      <c r="K3523" s="450"/>
      <c r="L3523" s="443"/>
      <c r="M3523" s="450"/>
      <c r="N3523" s="452"/>
      <c r="O3523" s="453"/>
      <c r="P3523" s="113"/>
      <c r="Q3523" s="106" t="str">
        <f>IF(ISBLANK(O3523), "", VLOOKUP(C3523&amp;" "&amp;D3523, 'Info Tipo de Cambio y REM'!$A$24:$B$35, 2, FALSE))</f>
        <v/>
      </c>
      <c r="R3523" s="107"/>
    </row>
    <row r="3524" hidden="1">
      <c r="A3524" s="443"/>
      <c r="B3524" s="43" t="str">
        <f>IF(A3524="", "", IFERROR(VLOOKUP(A3524, Clasificaciones!A:B, 2, FALSE), "DATO NO CARGADO"))
</f>
        <v/>
      </c>
      <c r="C3524" s="51"/>
      <c r="D3524" s="102"/>
      <c r="E3524" s="102"/>
      <c r="H3524" s="102"/>
      <c r="J3524" s="102"/>
      <c r="K3524" s="450"/>
      <c r="L3524" s="443"/>
      <c r="M3524" s="450"/>
      <c r="N3524" s="452"/>
      <c r="O3524" s="453"/>
      <c r="P3524" s="113"/>
      <c r="Q3524" s="106" t="str">
        <f>IF(ISBLANK(O3524), "", VLOOKUP(C3524&amp;" "&amp;D3524, 'Info Tipo de Cambio y REM'!$A$24:$B$35, 2, FALSE))</f>
        <v/>
      </c>
      <c r="R3524" s="107"/>
    </row>
    <row r="3525" hidden="1">
      <c r="A3525" s="443"/>
      <c r="B3525" s="43" t="str">
        <f>IF(A3525="", "", IFERROR(VLOOKUP(A3525, Clasificaciones!A:B, 2, FALSE), "DATO NO CARGADO"))
</f>
        <v/>
      </c>
      <c r="C3525" s="51"/>
      <c r="D3525" s="102"/>
      <c r="E3525" s="102"/>
      <c r="H3525" s="102"/>
      <c r="J3525" s="102"/>
      <c r="K3525" s="450"/>
      <c r="L3525" s="443"/>
      <c r="M3525" s="450"/>
      <c r="N3525" s="452"/>
      <c r="O3525" s="453"/>
      <c r="P3525" s="113"/>
      <c r="Q3525" s="106" t="str">
        <f>IF(ISBLANK(O3525), "", VLOOKUP(C3525&amp;" "&amp;D3525, 'Info Tipo de Cambio y REM'!$A$24:$B$35, 2, FALSE))</f>
        <v/>
      </c>
      <c r="R3525" s="107"/>
    </row>
    <row r="3526" hidden="1">
      <c r="A3526" s="443"/>
      <c r="B3526" s="43" t="str">
        <f>IF(A3526="", "", IFERROR(VLOOKUP(A3526, Clasificaciones!A:B, 2, FALSE), "DATO NO CARGADO"))
</f>
        <v/>
      </c>
      <c r="C3526" s="51"/>
      <c r="D3526" s="102"/>
      <c r="E3526" s="102"/>
      <c r="H3526" s="102"/>
      <c r="J3526" s="102"/>
      <c r="K3526" s="450"/>
      <c r="L3526" s="443"/>
      <c r="M3526" s="450"/>
      <c r="N3526" s="452"/>
      <c r="O3526" s="453"/>
      <c r="P3526" s="113"/>
      <c r="Q3526" s="106" t="str">
        <f>IF(ISBLANK(O3526), "", VLOOKUP(C3526&amp;" "&amp;D3526, 'Info Tipo de Cambio y REM'!$A$24:$B$35, 2, FALSE))</f>
        <v/>
      </c>
      <c r="R3526" s="107"/>
    </row>
    <row r="3527" hidden="1">
      <c r="A3527" s="443"/>
      <c r="B3527" s="43" t="str">
        <f>IF(A3527="", "", IFERROR(VLOOKUP(A3527, Clasificaciones!A:B, 2, FALSE), "DATO NO CARGADO"))
</f>
        <v/>
      </c>
      <c r="C3527" s="51"/>
      <c r="D3527" s="102"/>
      <c r="E3527" s="102"/>
      <c r="H3527" s="102"/>
      <c r="J3527" s="102"/>
      <c r="K3527" s="450"/>
      <c r="L3527" s="443"/>
      <c r="M3527" s="450"/>
      <c r="N3527" s="452"/>
      <c r="O3527" s="453"/>
      <c r="P3527" s="113"/>
      <c r="Q3527" s="106" t="str">
        <f>IF(ISBLANK(O3527), "", VLOOKUP(C3527&amp;" "&amp;D3527, 'Info Tipo de Cambio y REM'!$A$24:$B$35, 2, FALSE))</f>
        <v/>
      </c>
      <c r="R3527" s="107"/>
    </row>
    <row r="3528" hidden="1">
      <c r="A3528" s="443"/>
      <c r="B3528" s="43" t="str">
        <f>IF(A3528="", "", IFERROR(VLOOKUP(A3528, Clasificaciones!A:B, 2, FALSE), "DATO NO CARGADO"))
</f>
        <v/>
      </c>
      <c r="C3528" s="51"/>
      <c r="D3528" s="102"/>
      <c r="E3528" s="102"/>
      <c r="H3528" s="102"/>
      <c r="J3528" s="102"/>
      <c r="K3528" s="450"/>
      <c r="L3528" s="443"/>
      <c r="M3528" s="450"/>
      <c r="N3528" s="452"/>
      <c r="O3528" s="453"/>
      <c r="P3528" s="113"/>
      <c r="Q3528" s="106" t="str">
        <f>IF(ISBLANK(O3528), "", VLOOKUP(C3528&amp;" "&amp;D3528, 'Info Tipo de Cambio y REM'!$A$24:$B$35, 2, FALSE))</f>
        <v/>
      </c>
      <c r="R3528" s="107"/>
    </row>
    <row r="3529" hidden="1">
      <c r="A3529" s="443"/>
      <c r="B3529" s="43" t="str">
        <f>IF(A3529="", "", IFERROR(VLOOKUP(A3529, Clasificaciones!A:B, 2, FALSE), "DATO NO CARGADO"))
</f>
        <v/>
      </c>
      <c r="C3529" s="51"/>
      <c r="D3529" s="102"/>
      <c r="E3529" s="102"/>
      <c r="H3529" s="102"/>
      <c r="J3529" s="102"/>
      <c r="K3529" s="450"/>
      <c r="L3529" s="443"/>
      <c r="M3529" s="450"/>
      <c r="N3529" s="452"/>
      <c r="O3529" s="453"/>
      <c r="P3529" s="113"/>
      <c r="Q3529" s="106" t="str">
        <f>IF(ISBLANK(O3529), "", VLOOKUP(C3529&amp;" "&amp;D3529, 'Info Tipo de Cambio y REM'!$A$24:$B$35, 2, FALSE))</f>
        <v/>
      </c>
      <c r="R3529" s="107"/>
    </row>
    <row r="3530" hidden="1">
      <c r="A3530" s="443"/>
      <c r="B3530" s="43" t="str">
        <f>IF(A3530="", "", IFERROR(VLOOKUP(A3530, Clasificaciones!A:B, 2, FALSE), "DATO NO CARGADO"))
</f>
        <v/>
      </c>
      <c r="C3530" s="51"/>
      <c r="D3530" s="102"/>
      <c r="E3530" s="102"/>
      <c r="H3530" s="102"/>
      <c r="J3530" s="102"/>
      <c r="K3530" s="450"/>
      <c r="L3530" s="443"/>
      <c r="M3530" s="450"/>
      <c r="N3530" s="452"/>
      <c r="O3530" s="453"/>
      <c r="P3530" s="113"/>
      <c r="Q3530" s="106" t="str">
        <f>IF(ISBLANK(O3530), "", VLOOKUP(C3530&amp;" "&amp;D3530, 'Info Tipo de Cambio y REM'!$A$24:$B$35, 2, FALSE))</f>
        <v/>
      </c>
      <c r="R3530" s="107"/>
    </row>
    <row r="3531" hidden="1">
      <c r="A3531" s="443"/>
      <c r="B3531" s="43" t="str">
        <f>IF(A3531="", "", IFERROR(VLOOKUP(A3531, Clasificaciones!A:B, 2, FALSE), "DATO NO CARGADO"))
</f>
        <v/>
      </c>
      <c r="C3531" s="51"/>
      <c r="D3531" s="102"/>
      <c r="E3531" s="102"/>
      <c r="H3531" s="102"/>
      <c r="J3531" s="102"/>
      <c r="K3531" s="450"/>
      <c r="L3531" s="443"/>
      <c r="M3531" s="450"/>
      <c r="N3531" s="452"/>
      <c r="O3531" s="453"/>
      <c r="P3531" s="113"/>
      <c r="Q3531" s="106" t="str">
        <f>IF(ISBLANK(O3531), "", VLOOKUP(C3531&amp;" "&amp;D3531, 'Info Tipo de Cambio y REM'!$A$24:$B$35, 2, FALSE))</f>
        <v/>
      </c>
      <c r="R3531" s="107"/>
    </row>
    <row r="3532" hidden="1">
      <c r="A3532" s="443"/>
      <c r="B3532" s="43" t="str">
        <f>IF(A3532="", "", IFERROR(VLOOKUP(A3532, Clasificaciones!A:B, 2, FALSE), "DATO NO CARGADO"))
</f>
        <v/>
      </c>
      <c r="C3532" s="51"/>
      <c r="D3532" s="102"/>
      <c r="E3532" s="102"/>
      <c r="H3532" s="102"/>
      <c r="J3532" s="102"/>
      <c r="K3532" s="450"/>
      <c r="L3532" s="443"/>
      <c r="M3532" s="450"/>
      <c r="N3532" s="452"/>
      <c r="O3532" s="453"/>
      <c r="P3532" s="113"/>
      <c r="Q3532" s="106" t="str">
        <f>IF(ISBLANK(O3532), "", VLOOKUP(C3532&amp;" "&amp;D3532, 'Info Tipo de Cambio y REM'!$A$24:$B$35, 2, FALSE))</f>
        <v/>
      </c>
      <c r="R3532" s="107"/>
    </row>
    <row r="3533" hidden="1">
      <c r="A3533" s="443"/>
      <c r="B3533" s="43" t="str">
        <f>IF(A3533="", "", IFERROR(VLOOKUP(A3533, Clasificaciones!A:B, 2, FALSE), "DATO NO CARGADO"))
</f>
        <v/>
      </c>
      <c r="C3533" s="51"/>
      <c r="D3533" s="102"/>
      <c r="E3533" s="102"/>
      <c r="H3533" s="102"/>
      <c r="J3533" s="102"/>
      <c r="K3533" s="450"/>
      <c r="L3533" s="443"/>
      <c r="M3533" s="450"/>
      <c r="N3533" s="452"/>
      <c r="O3533" s="453"/>
      <c r="P3533" s="113"/>
      <c r="Q3533" s="106" t="str">
        <f>IF(ISBLANK(O3533), "", VLOOKUP(C3533&amp;" "&amp;D3533, 'Info Tipo de Cambio y REM'!$A$24:$B$35, 2, FALSE))</f>
        <v/>
      </c>
      <c r="R3533" s="107"/>
    </row>
    <row r="3534" hidden="1">
      <c r="A3534" s="443"/>
      <c r="B3534" s="43" t="str">
        <f>IF(A3534="", "", IFERROR(VLOOKUP(A3534, Clasificaciones!A:B, 2, FALSE), "DATO NO CARGADO"))
</f>
        <v/>
      </c>
      <c r="C3534" s="51"/>
      <c r="D3534" s="102"/>
      <c r="E3534" s="102"/>
      <c r="H3534" s="102"/>
      <c r="J3534" s="102"/>
      <c r="K3534" s="450"/>
      <c r="L3534" s="443"/>
      <c r="M3534" s="450"/>
      <c r="N3534" s="452"/>
      <c r="O3534" s="453"/>
      <c r="P3534" s="113"/>
      <c r="Q3534" s="106" t="str">
        <f>IF(ISBLANK(O3534), "", VLOOKUP(C3534&amp;" "&amp;D3534, 'Info Tipo de Cambio y REM'!$A$24:$B$35, 2, FALSE))</f>
        <v/>
      </c>
      <c r="R3534" s="107"/>
    </row>
    <row r="3535" hidden="1">
      <c r="A3535" s="443"/>
      <c r="B3535" s="43" t="str">
        <f>IF(A3535="", "", IFERROR(VLOOKUP(A3535, Clasificaciones!A:B, 2, FALSE), "DATO NO CARGADO"))
</f>
        <v/>
      </c>
      <c r="C3535" s="51"/>
      <c r="D3535" s="102"/>
      <c r="E3535" s="102"/>
      <c r="H3535" s="102"/>
      <c r="J3535" s="102"/>
      <c r="K3535" s="450"/>
      <c r="L3535" s="443"/>
      <c r="M3535" s="450"/>
      <c r="N3535" s="452"/>
      <c r="O3535" s="453"/>
      <c r="P3535" s="113"/>
      <c r="Q3535" s="106" t="str">
        <f>IF(ISBLANK(O3535), "", VLOOKUP(C3535&amp;" "&amp;D3535, 'Info Tipo de Cambio y REM'!$A$24:$B$35, 2, FALSE))</f>
        <v/>
      </c>
      <c r="R3535" s="107"/>
    </row>
    <row r="3536" hidden="1">
      <c r="A3536" s="443"/>
      <c r="B3536" s="43" t="str">
        <f>IF(A3536="", "", IFERROR(VLOOKUP(A3536, Clasificaciones!A:B, 2, FALSE), "DATO NO CARGADO"))
</f>
        <v/>
      </c>
      <c r="C3536" s="51"/>
      <c r="D3536" s="102"/>
      <c r="E3536" s="102"/>
      <c r="H3536" s="102"/>
      <c r="J3536" s="102"/>
      <c r="K3536" s="450"/>
      <c r="L3536" s="443"/>
      <c r="M3536" s="450"/>
      <c r="N3536" s="452"/>
      <c r="O3536" s="453"/>
      <c r="P3536" s="113"/>
      <c r="Q3536" s="106" t="str">
        <f>IF(ISBLANK(O3536), "", VLOOKUP(C3536&amp;" "&amp;D3536, 'Info Tipo de Cambio y REM'!$A$24:$B$35, 2, FALSE))</f>
        <v/>
      </c>
      <c r="R3536" s="107"/>
    </row>
    <row r="3537" hidden="1">
      <c r="A3537" s="443"/>
      <c r="B3537" s="43" t="str">
        <f>IF(A3537="", "", IFERROR(VLOOKUP(A3537, Clasificaciones!A:B, 2, FALSE), "DATO NO CARGADO"))
</f>
        <v/>
      </c>
      <c r="C3537" s="51"/>
      <c r="D3537" s="102"/>
      <c r="E3537" s="102"/>
      <c r="H3537" s="102"/>
      <c r="J3537" s="102"/>
      <c r="K3537" s="450"/>
      <c r="L3537" s="443"/>
      <c r="M3537" s="450"/>
      <c r="N3537" s="452"/>
      <c r="O3537" s="453"/>
      <c r="P3537" s="113"/>
      <c r="Q3537" s="106" t="str">
        <f>IF(ISBLANK(O3537), "", VLOOKUP(C3537&amp;" "&amp;D3537, 'Info Tipo de Cambio y REM'!$A$24:$B$35, 2, FALSE))</f>
        <v/>
      </c>
      <c r="R3537" s="107"/>
    </row>
    <row r="3538" hidden="1">
      <c r="A3538" s="443"/>
      <c r="B3538" s="43" t="str">
        <f>IF(A3538="", "", IFERROR(VLOOKUP(A3538, Clasificaciones!A:B, 2, FALSE), "DATO NO CARGADO"))
</f>
        <v/>
      </c>
      <c r="C3538" s="51"/>
      <c r="D3538" s="102"/>
      <c r="E3538" s="102"/>
      <c r="H3538" s="102"/>
      <c r="J3538" s="102"/>
      <c r="K3538" s="450"/>
      <c r="L3538" s="443"/>
      <c r="M3538" s="450"/>
      <c r="N3538" s="452"/>
      <c r="O3538" s="453"/>
      <c r="P3538" s="113"/>
      <c r="Q3538" s="106" t="str">
        <f>IF(ISBLANK(O3538), "", VLOOKUP(C3538&amp;" "&amp;D3538, 'Info Tipo de Cambio y REM'!$A$24:$B$35, 2, FALSE))</f>
        <v/>
      </c>
      <c r="R3538" s="107"/>
    </row>
    <row r="3539" hidden="1">
      <c r="A3539" s="443"/>
      <c r="B3539" s="43" t="str">
        <f>IF(A3539="", "", IFERROR(VLOOKUP(A3539, Clasificaciones!A:B, 2, FALSE), "DATO NO CARGADO"))
</f>
        <v/>
      </c>
      <c r="C3539" s="51"/>
      <c r="D3539" s="102"/>
      <c r="E3539" s="102"/>
      <c r="H3539" s="102"/>
      <c r="J3539" s="102"/>
      <c r="K3539" s="450"/>
      <c r="L3539" s="443"/>
      <c r="M3539" s="450"/>
      <c r="N3539" s="452"/>
      <c r="O3539" s="453"/>
      <c r="P3539" s="113"/>
      <c r="Q3539" s="106" t="str">
        <f>IF(ISBLANK(O3539), "", VLOOKUP(C3539&amp;" "&amp;D3539, 'Info Tipo de Cambio y REM'!$A$24:$B$35, 2, FALSE))</f>
        <v/>
      </c>
      <c r="R3539" s="107"/>
    </row>
    <row r="3540" hidden="1">
      <c r="A3540" s="443"/>
      <c r="B3540" s="43" t="str">
        <f>IF(A3540="", "", IFERROR(VLOOKUP(A3540, Clasificaciones!A:B, 2, FALSE), "DATO NO CARGADO"))
</f>
        <v/>
      </c>
      <c r="C3540" s="51"/>
      <c r="D3540" s="102"/>
      <c r="E3540" s="102"/>
      <c r="H3540" s="102"/>
      <c r="J3540" s="102"/>
      <c r="K3540" s="450"/>
      <c r="L3540" s="443"/>
      <c r="M3540" s="450"/>
      <c r="N3540" s="452"/>
      <c r="O3540" s="453"/>
      <c r="P3540" s="113"/>
      <c r="Q3540" s="106" t="str">
        <f>IF(ISBLANK(O3540), "", VLOOKUP(C3540&amp;" "&amp;D3540, 'Info Tipo de Cambio y REM'!$A$24:$B$35, 2, FALSE))</f>
        <v/>
      </c>
      <c r="R3540" s="107"/>
    </row>
    <row r="3541" hidden="1">
      <c r="A3541" s="443"/>
      <c r="B3541" s="43" t="str">
        <f>IF(A3541="", "", IFERROR(VLOOKUP(A3541, Clasificaciones!A:B, 2, FALSE), "DATO NO CARGADO"))
</f>
        <v/>
      </c>
      <c r="C3541" s="51"/>
      <c r="D3541" s="102"/>
      <c r="E3541" s="102"/>
      <c r="H3541" s="102"/>
      <c r="J3541" s="102"/>
      <c r="K3541" s="450"/>
      <c r="L3541" s="443"/>
      <c r="M3541" s="450"/>
      <c r="N3541" s="452"/>
      <c r="O3541" s="453"/>
      <c r="P3541" s="113"/>
      <c r="Q3541" s="106" t="str">
        <f>IF(ISBLANK(O3541), "", VLOOKUP(C3541&amp;" "&amp;D3541, 'Info Tipo de Cambio y REM'!$A$24:$B$35, 2, FALSE))</f>
        <v/>
      </c>
      <c r="R3541" s="107"/>
    </row>
    <row r="3542" hidden="1">
      <c r="A3542" s="443"/>
      <c r="B3542" s="43" t="str">
        <f>IF(A3542="", "", IFERROR(VLOOKUP(A3542, Clasificaciones!A:B, 2, FALSE), "DATO NO CARGADO"))
</f>
        <v/>
      </c>
      <c r="C3542" s="51"/>
      <c r="D3542" s="102"/>
      <c r="E3542" s="102"/>
      <c r="H3542" s="102"/>
      <c r="J3542" s="102"/>
      <c r="K3542" s="450"/>
      <c r="L3542" s="443"/>
      <c r="M3542" s="450"/>
      <c r="N3542" s="452"/>
      <c r="O3542" s="453"/>
      <c r="P3542" s="113"/>
      <c r="Q3542" s="106" t="str">
        <f>IF(ISBLANK(O3542), "", VLOOKUP(C3542&amp;" "&amp;D3542, 'Info Tipo de Cambio y REM'!$A$24:$B$35, 2, FALSE))</f>
        <v/>
      </c>
      <c r="R3542" s="107"/>
    </row>
    <row r="3543" hidden="1">
      <c r="A3543" s="443"/>
      <c r="B3543" s="43" t="str">
        <f>IF(A3543="", "", IFERROR(VLOOKUP(A3543, Clasificaciones!A:B, 2, FALSE), "DATO NO CARGADO"))
</f>
        <v/>
      </c>
      <c r="C3543" s="51"/>
      <c r="D3543" s="102"/>
      <c r="E3543" s="102"/>
      <c r="H3543" s="102"/>
      <c r="J3543" s="102"/>
      <c r="K3543" s="450"/>
      <c r="L3543" s="443"/>
      <c r="M3543" s="450"/>
      <c r="N3543" s="452"/>
      <c r="O3543" s="453"/>
      <c r="P3543" s="113"/>
      <c r="Q3543" s="106" t="str">
        <f>IF(ISBLANK(O3543), "", VLOOKUP(C3543&amp;" "&amp;D3543, 'Info Tipo de Cambio y REM'!$A$24:$B$35, 2, FALSE))</f>
        <v/>
      </c>
      <c r="R3543" s="107"/>
    </row>
    <row r="3544" hidden="1">
      <c r="A3544" s="443"/>
      <c r="B3544" s="43" t="str">
        <f>IF(A3544="", "", IFERROR(VLOOKUP(A3544, Clasificaciones!A:B, 2, FALSE), "DATO NO CARGADO"))
</f>
        <v/>
      </c>
      <c r="C3544" s="51"/>
      <c r="D3544" s="102"/>
      <c r="E3544" s="102"/>
      <c r="H3544" s="102"/>
      <c r="J3544" s="102"/>
      <c r="K3544" s="450"/>
      <c r="L3544" s="443"/>
      <c r="M3544" s="450"/>
      <c r="N3544" s="452"/>
      <c r="O3544" s="453"/>
      <c r="P3544" s="113"/>
      <c r="Q3544" s="106" t="str">
        <f>IF(ISBLANK(O3544), "", VLOOKUP(C3544&amp;" "&amp;D3544, 'Info Tipo de Cambio y REM'!$A$24:$B$35, 2, FALSE))</f>
        <v/>
      </c>
      <c r="R3544" s="107"/>
    </row>
    <row r="3545" hidden="1">
      <c r="A3545" s="443"/>
      <c r="B3545" s="43" t="str">
        <f>IF(A3545="", "", IFERROR(VLOOKUP(A3545, Clasificaciones!A:B, 2, FALSE), "DATO NO CARGADO"))
</f>
        <v/>
      </c>
      <c r="C3545" s="51"/>
      <c r="D3545" s="102"/>
      <c r="E3545" s="102"/>
      <c r="H3545" s="102"/>
      <c r="J3545" s="102"/>
      <c r="K3545" s="450"/>
      <c r="L3545" s="443"/>
      <c r="M3545" s="450"/>
      <c r="N3545" s="452"/>
      <c r="O3545" s="453"/>
      <c r="P3545" s="113"/>
      <c r="Q3545" s="106" t="str">
        <f>IF(ISBLANK(O3545), "", VLOOKUP(C3545&amp;" "&amp;D3545, 'Info Tipo de Cambio y REM'!$A$24:$B$35, 2, FALSE))</f>
        <v/>
      </c>
      <c r="R3545" s="107"/>
    </row>
    <row r="3546" hidden="1">
      <c r="A3546" s="443"/>
      <c r="B3546" s="43" t="str">
        <f>IF(A3546="", "", IFERROR(VLOOKUP(A3546, Clasificaciones!A:B, 2, FALSE), "DATO NO CARGADO"))
</f>
        <v/>
      </c>
      <c r="C3546" s="51"/>
      <c r="D3546" s="102"/>
      <c r="E3546" s="102"/>
      <c r="H3546" s="102"/>
      <c r="J3546" s="102"/>
      <c r="K3546" s="450"/>
      <c r="L3546" s="443"/>
      <c r="M3546" s="450"/>
      <c r="N3546" s="452"/>
      <c r="O3546" s="453"/>
      <c r="P3546" s="113"/>
      <c r="Q3546" s="106" t="str">
        <f>IF(ISBLANK(O3546), "", VLOOKUP(C3546&amp;" "&amp;D3546, 'Info Tipo de Cambio y REM'!$A$24:$B$35, 2, FALSE))</f>
        <v/>
      </c>
      <c r="R3546" s="107"/>
    </row>
    <row r="3547" hidden="1">
      <c r="A3547" s="443"/>
      <c r="B3547" s="43" t="str">
        <f>IF(A3547="", "", IFERROR(VLOOKUP(A3547, Clasificaciones!A:B, 2, FALSE), "DATO NO CARGADO"))
</f>
        <v/>
      </c>
      <c r="C3547" s="51"/>
      <c r="D3547" s="102"/>
      <c r="E3547" s="102"/>
      <c r="H3547" s="102"/>
      <c r="J3547" s="102"/>
      <c r="K3547" s="450"/>
      <c r="L3547" s="443"/>
      <c r="M3547" s="450"/>
      <c r="N3547" s="452"/>
      <c r="O3547" s="453"/>
      <c r="P3547" s="113"/>
      <c r="Q3547" s="106" t="str">
        <f>IF(ISBLANK(O3547), "", VLOOKUP(C3547&amp;" "&amp;D3547, 'Info Tipo de Cambio y REM'!$A$24:$B$35, 2, FALSE))</f>
        <v/>
      </c>
      <c r="R3547" s="107"/>
    </row>
    <row r="3548" hidden="1">
      <c r="A3548" s="443"/>
      <c r="B3548" s="43" t="str">
        <f>IF(A3548="", "", IFERROR(VLOOKUP(A3548, Clasificaciones!A:B, 2, FALSE), "DATO NO CARGADO"))
</f>
        <v/>
      </c>
      <c r="C3548" s="51"/>
      <c r="D3548" s="102"/>
      <c r="E3548" s="102"/>
      <c r="H3548" s="102"/>
      <c r="J3548" s="102"/>
      <c r="K3548" s="450"/>
      <c r="L3548" s="443"/>
      <c r="M3548" s="450"/>
      <c r="N3548" s="452"/>
      <c r="O3548" s="453"/>
      <c r="P3548" s="113"/>
      <c r="Q3548" s="106" t="str">
        <f>IF(ISBLANK(O3548), "", VLOOKUP(C3548&amp;" "&amp;D3548, 'Info Tipo de Cambio y REM'!$A$24:$B$35, 2, FALSE))</f>
        <v/>
      </c>
      <c r="R3548" s="107"/>
    </row>
    <row r="3549" hidden="1">
      <c r="A3549" s="443"/>
      <c r="B3549" s="43" t="str">
        <f>IF(A3549="", "", IFERROR(VLOOKUP(A3549, Clasificaciones!A:B, 2, FALSE), "DATO NO CARGADO"))
</f>
        <v/>
      </c>
      <c r="C3549" s="51"/>
      <c r="D3549" s="102"/>
      <c r="E3549" s="102"/>
      <c r="H3549" s="102"/>
      <c r="J3549" s="102"/>
      <c r="K3549" s="450"/>
      <c r="L3549" s="443"/>
      <c r="M3549" s="450"/>
      <c r="N3549" s="452"/>
      <c r="O3549" s="453"/>
      <c r="P3549" s="113"/>
      <c r="Q3549" s="106" t="str">
        <f>IF(ISBLANK(O3549), "", VLOOKUP(C3549&amp;" "&amp;D3549, 'Info Tipo de Cambio y REM'!$A$24:$B$35, 2, FALSE))</f>
        <v/>
      </c>
      <c r="R3549" s="107"/>
    </row>
    <row r="3550" hidden="1">
      <c r="A3550" s="443"/>
      <c r="B3550" s="43" t="str">
        <f>IF(A3550="", "", IFERROR(VLOOKUP(A3550, Clasificaciones!A:B, 2, FALSE), "DATO NO CARGADO"))
</f>
        <v/>
      </c>
      <c r="C3550" s="51"/>
      <c r="D3550" s="102"/>
      <c r="E3550" s="102"/>
      <c r="H3550" s="102"/>
      <c r="J3550" s="102"/>
      <c r="K3550" s="450"/>
      <c r="L3550" s="443"/>
      <c r="M3550" s="450"/>
      <c r="N3550" s="452"/>
      <c r="O3550" s="453"/>
      <c r="P3550" s="113"/>
      <c r="Q3550" s="106" t="str">
        <f>IF(ISBLANK(O3550), "", VLOOKUP(C3550&amp;" "&amp;D3550, 'Info Tipo de Cambio y REM'!$A$24:$B$35, 2, FALSE))</f>
        <v/>
      </c>
      <c r="R3550" s="107"/>
    </row>
    <row r="3551" hidden="1">
      <c r="A3551" s="443"/>
      <c r="B3551" s="43" t="str">
        <f>IF(A3551="", "", IFERROR(VLOOKUP(A3551, Clasificaciones!A:B, 2, FALSE), "DATO NO CARGADO"))
</f>
        <v/>
      </c>
      <c r="C3551" s="51"/>
      <c r="D3551" s="102"/>
      <c r="E3551" s="102"/>
      <c r="H3551" s="102"/>
      <c r="J3551" s="102"/>
      <c r="K3551" s="450"/>
      <c r="L3551" s="443"/>
      <c r="M3551" s="450"/>
      <c r="N3551" s="452"/>
      <c r="O3551" s="453"/>
      <c r="P3551" s="113"/>
      <c r="Q3551" s="106" t="str">
        <f>IF(ISBLANK(O3551), "", VLOOKUP(C3551&amp;" "&amp;D3551, 'Info Tipo de Cambio y REM'!$A$24:$B$35, 2, FALSE))</f>
        <v/>
      </c>
      <c r="R3551" s="107"/>
    </row>
    <row r="3552" hidden="1">
      <c r="A3552" s="443"/>
      <c r="B3552" s="43" t="str">
        <f>IF(A3552="", "", IFERROR(VLOOKUP(A3552, Clasificaciones!A:B, 2, FALSE), "DATO NO CARGADO"))
</f>
        <v/>
      </c>
      <c r="C3552" s="51"/>
      <c r="D3552" s="102"/>
      <c r="E3552" s="102"/>
      <c r="H3552" s="102"/>
      <c r="J3552" s="102"/>
      <c r="K3552" s="450"/>
      <c r="L3552" s="443"/>
      <c r="M3552" s="450"/>
      <c r="N3552" s="452"/>
      <c r="O3552" s="453"/>
      <c r="P3552" s="113"/>
      <c r="Q3552" s="106" t="str">
        <f>IF(ISBLANK(O3552), "", VLOOKUP(C3552&amp;" "&amp;D3552, 'Info Tipo de Cambio y REM'!$A$24:$B$35, 2, FALSE))</f>
        <v/>
      </c>
      <c r="R3552" s="107"/>
    </row>
    <row r="3553" hidden="1">
      <c r="A3553" s="443"/>
      <c r="B3553" s="43" t="str">
        <f>IF(A3553="", "", IFERROR(VLOOKUP(A3553, Clasificaciones!A:B, 2, FALSE), "DATO NO CARGADO"))
</f>
        <v/>
      </c>
      <c r="C3553" s="51"/>
      <c r="D3553" s="102"/>
      <c r="E3553" s="102"/>
      <c r="H3553" s="102"/>
      <c r="J3553" s="102"/>
      <c r="K3553" s="450"/>
      <c r="L3553" s="443"/>
      <c r="M3553" s="450"/>
      <c r="N3553" s="452"/>
      <c r="O3553" s="453"/>
      <c r="P3553" s="113"/>
      <c r="Q3553" s="106" t="str">
        <f>IF(ISBLANK(O3553), "", VLOOKUP(C3553&amp;" "&amp;D3553, 'Info Tipo de Cambio y REM'!$A$24:$B$35, 2, FALSE))</f>
        <v/>
      </c>
      <c r="R3553" s="107"/>
    </row>
    <row r="3554" hidden="1">
      <c r="A3554" s="443"/>
      <c r="B3554" s="43" t="str">
        <f>IF(A3554="", "", IFERROR(VLOOKUP(A3554, Clasificaciones!A:B, 2, FALSE), "DATO NO CARGADO"))
</f>
        <v/>
      </c>
      <c r="C3554" s="51"/>
      <c r="D3554" s="102"/>
      <c r="E3554" s="102"/>
      <c r="H3554" s="102"/>
      <c r="J3554" s="102"/>
      <c r="K3554" s="450"/>
      <c r="L3554" s="443"/>
      <c r="M3554" s="450"/>
      <c r="N3554" s="452"/>
      <c r="O3554" s="453"/>
      <c r="P3554" s="113"/>
      <c r="Q3554" s="106" t="str">
        <f>IF(ISBLANK(O3554), "", VLOOKUP(C3554&amp;" "&amp;D3554, 'Info Tipo de Cambio y REM'!$A$24:$B$35, 2, FALSE))</f>
        <v/>
      </c>
      <c r="R3554" s="107"/>
    </row>
    <row r="3555" hidden="1">
      <c r="A3555" s="443"/>
      <c r="B3555" s="43" t="str">
        <f>IF(A3555="", "", IFERROR(VLOOKUP(A3555, Clasificaciones!A:B, 2, FALSE), "DATO NO CARGADO"))
</f>
        <v/>
      </c>
      <c r="C3555" s="51"/>
      <c r="D3555" s="102"/>
      <c r="E3555" s="102"/>
      <c r="H3555" s="102"/>
      <c r="J3555" s="102"/>
      <c r="K3555" s="450"/>
      <c r="L3555" s="443"/>
      <c r="M3555" s="450"/>
      <c r="N3555" s="452"/>
      <c r="O3555" s="453"/>
      <c r="P3555" s="113"/>
      <c r="Q3555" s="106" t="str">
        <f>IF(ISBLANK(O3555), "", VLOOKUP(C3555&amp;" "&amp;D3555, 'Info Tipo de Cambio y REM'!$A$24:$B$35, 2, FALSE))</f>
        <v/>
      </c>
      <c r="R3555" s="107"/>
    </row>
    <row r="3556" hidden="1">
      <c r="A3556" s="443"/>
      <c r="B3556" s="43" t="str">
        <f>IF(A3556="", "", IFERROR(VLOOKUP(A3556, Clasificaciones!A:B, 2, FALSE), "DATO NO CARGADO"))
</f>
        <v/>
      </c>
      <c r="C3556" s="51"/>
      <c r="D3556" s="102"/>
      <c r="E3556" s="102"/>
      <c r="H3556" s="102"/>
      <c r="J3556" s="102"/>
      <c r="K3556" s="450"/>
      <c r="L3556" s="443"/>
      <c r="M3556" s="450"/>
      <c r="N3556" s="452"/>
      <c r="O3556" s="453"/>
      <c r="P3556" s="113"/>
      <c r="Q3556" s="106" t="str">
        <f>IF(ISBLANK(O3556), "", VLOOKUP(C3556&amp;" "&amp;D3556, 'Info Tipo de Cambio y REM'!$A$24:$B$35, 2, FALSE))</f>
        <v/>
      </c>
      <c r="R3556" s="107"/>
    </row>
    <row r="3557" hidden="1">
      <c r="A3557" s="443"/>
      <c r="B3557" s="43" t="str">
        <f>IF(A3557="", "", IFERROR(VLOOKUP(A3557, Clasificaciones!A:B, 2, FALSE), "DATO NO CARGADO"))
</f>
        <v/>
      </c>
      <c r="C3557" s="51"/>
      <c r="D3557" s="102"/>
      <c r="E3557" s="102"/>
      <c r="H3557" s="102"/>
      <c r="J3557" s="102"/>
      <c r="K3557" s="450"/>
      <c r="L3557" s="443"/>
      <c r="M3557" s="450"/>
      <c r="N3557" s="452"/>
      <c r="O3557" s="453"/>
      <c r="P3557" s="113"/>
      <c r="Q3557" s="106" t="str">
        <f>IF(ISBLANK(O3557), "", VLOOKUP(C3557&amp;" "&amp;D3557, 'Info Tipo de Cambio y REM'!$A$24:$B$35, 2, FALSE))</f>
        <v/>
      </c>
      <c r="R3557" s="107"/>
    </row>
    <row r="3558" hidden="1">
      <c r="A3558" s="443"/>
      <c r="B3558" s="43" t="str">
        <f>IF(A3558="", "", IFERROR(VLOOKUP(A3558, Clasificaciones!A:B, 2, FALSE), "DATO NO CARGADO"))
</f>
        <v/>
      </c>
      <c r="C3558" s="51"/>
      <c r="D3558" s="102"/>
      <c r="E3558" s="102"/>
      <c r="H3558" s="102"/>
      <c r="J3558" s="102"/>
      <c r="K3558" s="450"/>
      <c r="L3558" s="443"/>
      <c r="M3558" s="450"/>
      <c r="N3558" s="452"/>
      <c r="O3558" s="453"/>
      <c r="P3558" s="113"/>
      <c r="Q3558" s="106" t="str">
        <f>IF(ISBLANK(O3558), "", VLOOKUP(C3558&amp;" "&amp;D3558, 'Info Tipo de Cambio y REM'!$A$24:$B$35, 2, FALSE))</f>
        <v/>
      </c>
      <c r="R3558" s="107"/>
    </row>
    <row r="3559" hidden="1">
      <c r="A3559" s="443"/>
      <c r="B3559" s="43" t="str">
        <f>IF(A3559="", "", IFERROR(VLOOKUP(A3559, Clasificaciones!A:B, 2, FALSE), "DATO NO CARGADO"))
</f>
        <v/>
      </c>
      <c r="C3559" s="51"/>
      <c r="D3559" s="102"/>
      <c r="E3559" s="102"/>
      <c r="H3559" s="102"/>
      <c r="J3559" s="102"/>
      <c r="K3559" s="450"/>
      <c r="L3559" s="443"/>
      <c r="M3559" s="450"/>
      <c r="N3559" s="452"/>
      <c r="O3559" s="453"/>
      <c r="P3559" s="113"/>
      <c r="Q3559" s="106" t="str">
        <f>IF(ISBLANK(O3559), "", VLOOKUP(C3559&amp;" "&amp;D3559, 'Info Tipo de Cambio y REM'!$A$24:$B$35, 2, FALSE))</f>
        <v/>
      </c>
      <c r="R3559" s="107"/>
    </row>
    <row r="3560" hidden="1">
      <c r="A3560" s="443"/>
      <c r="B3560" s="43" t="str">
        <f>IF(A3560="", "", IFERROR(VLOOKUP(A3560, Clasificaciones!A:B, 2, FALSE), "DATO NO CARGADO"))
</f>
        <v/>
      </c>
      <c r="C3560" s="51"/>
      <c r="D3560" s="102"/>
      <c r="E3560" s="102"/>
      <c r="H3560" s="102"/>
      <c r="J3560" s="102"/>
      <c r="K3560" s="450"/>
      <c r="L3560" s="443"/>
      <c r="M3560" s="450"/>
      <c r="N3560" s="452"/>
      <c r="O3560" s="453"/>
      <c r="P3560" s="113"/>
      <c r="Q3560" s="106" t="str">
        <f>IF(ISBLANK(O3560), "", VLOOKUP(C3560&amp;" "&amp;D3560, 'Info Tipo de Cambio y REM'!$A$24:$B$35, 2, FALSE))</f>
        <v/>
      </c>
      <c r="R3560" s="107"/>
    </row>
    <row r="3561" hidden="1">
      <c r="A3561" s="443"/>
      <c r="B3561" s="43" t="str">
        <f>IF(A3561="", "", IFERROR(VLOOKUP(A3561, Clasificaciones!A:B, 2, FALSE), "DATO NO CARGADO"))
</f>
        <v/>
      </c>
      <c r="C3561" s="51"/>
      <c r="D3561" s="102"/>
      <c r="E3561" s="102"/>
      <c r="H3561" s="102"/>
      <c r="J3561" s="102"/>
      <c r="K3561" s="450"/>
      <c r="L3561" s="443"/>
      <c r="M3561" s="450"/>
      <c r="N3561" s="452"/>
      <c r="O3561" s="453"/>
      <c r="P3561" s="113"/>
      <c r="Q3561" s="106" t="str">
        <f>IF(ISBLANK(O3561), "", VLOOKUP(C3561&amp;" "&amp;D3561, 'Info Tipo de Cambio y REM'!$A$24:$B$35, 2, FALSE))</f>
        <v/>
      </c>
      <c r="R3561" s="107"/>
    </row>
    <row r="3562" hidden="1">
      <c r="A3562" s="443"/>
      <c r="B3562" s="43" t="str">
        <f>IF(A3562="", "", IFERROR(VLOOKUP(A3562, Clasificaciones!A:B, 2, FALSE), "DATO NO CARGADO"))
</f>
        <v/>
      </c>
      <c r="C3562" s="51"/>
      <c r="D3562" s="102"/>
      <c r="E3562" s="102"/>
      <c r="H3562" s="102"/>
      <c r="J3562" s="102"/>
      <c r="K3562" s="450"/>
      <c r="L3562" s="443"/>
      <c r="M3562" s="450"/>
      <c r="N3562" s="452"/>
      <c r="O3562" s="453"/>
      <c r="P3562" s="113"/>
      <c r="Q3562" s="106" t="str">
        <f>IF(ISBLANK(O3562), "", VLOOKUP(C3562&amp;" "&amp;D3562, 'Info Tipo de Cambio y REM'!$A$24:$B$35, 2, FALSE))</f>
        <v/>
      </c>
      <c r="R3562" s="107"/>
    </row>
    <row r="3563" hidden="1">
      <c r="A3563" s="443"/>
      <c r="B3563" s="43" t="str">
        <f>IF(A3563="", "", IFERROR(VLOOKUP(A3563, Clasificaciones!A:B, 2, FALSE), "DATO NO CARGADO"))
</f>
        <v/>
      </c>
      <c r="C3563" s="51"/>
      <c r="D3563" s="102"/>
      <c r="E3563" s="102"/>
      <c r="H3563" s="102"/>
      <c r="J3563" s="102"/>
      <c r="K3563" s="450"/>
      <c r="L3563" s="443"/>
      <c r="M3563" s="450"/>
      <c r="N3563" s="452"/>
      <c r="O3563" s="453"/>
      <c r="P3563" s="113"/>
      <c r="Q3563" s="106" t="str">
        <f>IF(ISBLANK(O3563), "", VLOOKUP(C3563&amp;" "&amp;D3563, 'Info Tipo de Cambio y REM'!$A$24:$B$35, 2, FALSE))</f>
        <v/>
      </c>
      <c r="R3563" s="107"/>
    </row>
    <row r="3564" hidden="1">
      <c r="A3564" s="443"/>
      <c r="B3564" s="43" t="str">
        <f>IF(A3564="", "", IFERROR(VLOOKUP(A3564, Clasificaciones!A:B, 2, FALSE), "DATO NO CARGADO"))
</f>
        <v/>
      </c>
      <c r="C3564" s="51"/>
      <c r="D3564" s="102"/>
      <c r="E3564" s="102"/>
      <c r="H3564" s="102"/>
      <c r="J3564" s="102"/>
      <c r="K3564" s="450"/>
      <c r="L3564" s="443"/>
      <c r="M3564" s="450"/>
      <c r="N3564" s="452"/>
      <c r="O3564" s="453"/>
      <c r="P3564" s="113"/>
      <c r="Q3564" s="106" t="str">
        <f>IF(ISBLANK(O3564), "", VLOOKUP(C3564&amp;" "&amp;D3564, 'Info Tipo de Cambio y REM'!$A$24:$B$35, 2, FALSE))</f>
        <v/>
      </c>
      <c r="R3564" s="107"/>
    </row>
    <row r="3565" hidden="1">
      <c r="A3565" s="443"/>
      <c r="B3565" s="43" t="str">
        <f>IF(A3565="", "", IFERROR(VLOOKUP(A3565, Clasificaciones!A:B, 2, FALSE), "DATO NO CARGADO"))
</f>
        <v/>
      </c>
      <c r="C3565" s="51"/>
      <c r="D3565" s="102"/>
      <c r="E3565" s="102"/>
      <c r="H3565" s="102"/>
      <c r="J3565" s="102"/>
      <c r="K3565" s="450"/>
      <c r="L3565" s="443"/>
      <c r="M3565" s="450"/>
      <c r="N3565" s="452"/>
      <c r="O3565" s="453"/>
      <c r="P3565" s="113"/>
      <c r="Q3565" s="106" t="str">
        <f>IF(ISBLANK(O3565), "", VLOOKUP(C3565&amp;" "&amp;D3565, 'Info Tipo de Cambio y REM'!$A$24:$B$35, 2, FALSE))</f>
        <v/>
      </c>
      <c r="R3565" s="107"/>
    </row>
    <row r="3566" hidden="1">
      <c r="A3566" s="443"/>
      <c r="B3566" s="43" t="str">
        <f>IF(A3566="", "", IFERROR(VLOOKUP(A3566, Clasificaciones!A:B, 2, FALSE), "DATO NO CARGADO"))
</f>
        <v/>
      </c>
      <c r="C3566" s="51"/>
      <c r="D3566" s="102"/>
      <c r="E3566" s="102"/>
      <c r="H3566" s="102"/>
      <c r="J3566" s="102"/>
      <c r="K3566" s="450"/>
      <c r="L3566" s="443"/>
      <c r="M3566" s="450"/>
      <c r="N3566" s="452"/>
      <c r="O3566" s="453"/>
      <c r="P3566" s="113"/>
      <c r="Q3566" s="106" t="str">
        <f>IF(ISBLANK(O3566), "", VLOOKUP(C3566&amp;" "&amp;D3566, 'Info Tipo de Cambio y REM'!$A$24:$B$35, 2, FALSE))</f>
        <v/>
      </c>
      <c r="R3566" s="107"/>
    </row>
    <row r="3567" hidden="1">
      <c r="A3567" s="443"/>
      <c r="B3567" s="43" t="str">
        <f>IF(A3567="", "", IFERROR(VLOOKUP(A3567, Clasificaciones!A:B, 2, FALSE), "DATO NO CARGADO"))
</f>
        <v/>
      </c>
      <c r="C3567" s="51"/>
      <c r="D3567" s="102"/>
      <c r="E3567" s="102"/>
      <c r="H3567" s="102"/>
      <c r="J3567" s="102"/>
      <c r="K3567" s="450"/>
      <c r="L3567" s="443"/>
      <c r="M3567" s="450"/>
      <c r="N3567" s="452"/>
      <c r="O3567" s="453"/>
      <c r="P3567" s="113"/>
      <c r="Q3567" s="106" t="str">
        <f>IF(ISBLANK(O3567), "", VLOOKUP(C3567&amp;" "&amp;D3567, 'Info Tipo de Cambio y REM'!$A$24:$B$35, 2, FALSE))</f>
        <v/>
      </c>
      <c r="R3567" s="107"/>
    </row>
    <row r="3568" hidden="1">
      <c r="A3568" s="443"/>
      <c r="B3568" s="43" t="str">
        <f>IF(A3568="", "", IFERROR(VLOOKUP(A3568, Clasificaciones!A:B, 2, FALSE), "DATO NO CARGADO"))
</f>
        <v/>
      </c>
      <c r="C3568" s="51"/>
      <c r="D3568" s="102"/>
      <c r="E3568" s="102"/>
      <c r="H3568" s="102"/>
      <c r="J3568" s="102"/>
      <c r="K3568" s="450"/>
      <c r="L3568" s="443"/>
      <c r="M3568" s="450"/>
      <c r="N3568" s="452"/>
      <c r="O3568" s="453"/>
      <c r="P3568" s="113"/>
      <c r="Q3568" s="106" t="str">
        <f>IF(ISBLANK(O3568), "", VLOOKUP(C3568&amp;" "&amp;D3568, 'Info Tipo de Cambio y REM'!$A$24:$B$35, 2, FALSE))</f>
        <v/>
      </c>
      <c r="R3568" s="107"/>
    </row>
    <row r="3569" hidden="1">
      <c r="A3569" s="443"/>
      <c r="B3569" s="43" t="str">
        <f>IF(A3569="", "", IFERROR(VLOOKUP(A3569, Clasificaciones!A:B, 2, FALSE), "DATO NO CARGADO"))
</f>
        <v/>
      </c>
      <c r="C3569" s="51"/>
      <c r="D3569" s="102"/>
      <c r="E3569" s="102"/>
      <c r="H3569" s="102"/>
      <c r="J3569" s="102"/>
      <c r="K3569" s="450"/>
      <c r="L3569" s="443"/>
      <c r="M3569" s="450"/>
      <c r="N3569" s="452"/>
      <c r="O3569" s="453"/>
      <c r="P3569" s="113"/>
      <c r="Q3569" s="106" t="str">
        <f>IF(ISBLANK(O3569), "", VLOOKUP(C3569&amp;" "&amp;D3569, 'Info Tipo de Cambio y REM'!$A$24:$B$35, 2, FALSE))</f>
        <v/>
      </c>
      <c r="R3569" s="107"/>
    </row>
    <row r="3570" hidden="1">
      <c r="A3570" s="443"/>
      <c r="B3570" s="43" t="str">
        <f>IF(A3570="", "", IFERROR(VLOOKUP(A3570, Clasificaciones!A:B, 2, FALSE), "DATO NO CARGADO"))
</f>
        <v/>
      </c>
      <c r="C3570" s="51"/>
      <c r="D3570" s="102"/>
      <c r="E3570" s="102"/>
      <c r="H3570" s="102"/>
      <c r="J3570" s="102"/>
      <c r="K3570" s="450"/>
      <c r="L3570" s="443"/>
      <c r="M3570" s="450"/>
      <c r="N3570" s="452"/>
      <c r="O3570" s="453"/>
      <c r="P3570" s="113"/>
      <c r="Q3570" s="106" t="str">
        <f>IF(ISBLANK(O3570), "", VLOOKUP(C3570&amp;" "&amp;D3570, 'Info Tipo de Cambio y REM'!$A$24:$B$35, 2, FALSE))</f>
        <v/>
      </c>
      <c r="R3570" s="107"/>
    </row>
    <row r="3571" hidden="1">
      <c r="A3571" s="443"/>
      <c r="B3571" s="43" t="str">
        <f>IF(A3571="", "", IFERROR(VLOOKUP(A3571, Clasificaciones!A:B, 2, FALSE), "DATO NO CARGADO"))
</f>
        <v/>
      </c>
      <c r="C3571" s="51"/>
      <c r="D3571" s="102"/>
      <c r="E3571" s="102"/>
      <c r="H3571" s="102"/>
      <c r="J3571" s="102"/>
      <c r="K3571" s="450"/>
      <c r="L3571" s="443"/>
      <c r="M3571" s="450"/>
      <c r="N3571" s="452"/>
      <c r="O3571" s="453"/>
      <c r="P3571" s="113"/>
      <c r="Q3571" s="106" t="str">
        <f>IF(ISBLANK(O3571), "", VLOOKUP(C3571&amp;" "&amp;D3571, 'Info Tipo de Cambio y REM'!$A$24:$B$35, 2, FALSE))</f>
        <v/>
      </c>
      <c r="R3571" s="107"/>
    </row>
    <row r="3572" hidden="1">
      <c r="A3572" s="443"/>
      <c r="B3572" s="43" t="str">
        <f>IF(A3572="", "", IFERROR(VLOOKUP(A3572, Clasificaciones!A:B, 2, FALSE), "DATO NO CARGADO"))
</f>
        <v/>
      </c>
      <c r="C3572" s="51"/>
      <c r="D3572" s="102"/>
      <c r="E3572" s="102"/>
      <c r="H3572" s="102"/>
      <c r="J3572" s="102"/>
      <c r="K3572" s="450"/>
      <c r="L3572" s="443"/>
      <c r="M3572" s="450"/>
      <c r="N3572" s="452"/>
      <c r="O3572" s="453"/>
      <c r="P3572" s="113"/>
      <c r="Q3572" s="106" t="str">
        <f>IF(ISBLANK(O3572), "", VLOOKUP(C3572&amp;" "&amp;D3572, 'Info Tipo de Cambio y REM'!$A$24:$B$35, 2, FALSE))</f>
        <v/>
      </c>
      <c r="R3572" s="107"/>
    </row>
    <row r="3573" hidden="1">
      <c r="A3573" s="443"/>
      <c r="B3573" s="43" t="str">
        <f>IF(A3573="", "", IFERROR(VLOOKUP(A3573, Clasificaciones!A:B, 2, FALSE), "DATO NO CARGADO"))
</f>
        <v/>
      </c>
      <c r="C3573" s="51"/>
      <c r="D3573" s="102"/>
      <c r="E3573" s="102"/>
      <c r="H3573" s="102"/>
      <c r="J3573" s="102"/>
      <c r="K3573" s="450"/>
      <c r="L3573" s="443"/>
      <c r="M3573" s="450"/>
      <c r="N3573" s="452"/>
      <c r="O3573" s="453"/>
      <c r="P3573" s="113"/>
      <c r="Q3573" s="106" t="str">
        <f>IF(ISBLANK(O3573), "", VLOOKUP(C3573&amp;" "&amp;D3573, 'Info Tipo de Cambio y REM'!$A$24:$B$35, 2, FALSE))</f>
        <v/>
      </c>
      <c r="R3573" s="107"/>
    </row>
    <row r="3574" hidden="1">
      <c r="A3574" s="443"/>
      <c r="B3574" s="43" t="str">
        <f>IF(A3574="", "", IFERROR(VLOOKUP(A3574, Clasificaciones!A:B, 2, FALSE), "DATO NO CARGADO"))
</f>
        <v/>
      </c>
      <c r="C3574" s="51"/>
      <c r="D3574" s="102"/>
      <c r="E3574" s="102"/>
      <c r="H3574" s="102"/>
      <c r="J3574" s="102"/>
      <c r="K3574" s="450"/>
      <c r="L3574" s="443"/>
      <c r="M3574" s="450"/>
      <c r="N3574" s="452"/>
      <c r="O3574" s="453"/>
      <c r="P3574" s="113"/>
      <c r="Q3574" s="106" t="str">
        <f>IF(ISBLANK(O3574), "", VLOOKUP(C3574&amp;" "&amp;D3574, 'Info Tipo de Cambio y REM'!$A$24:$B$35, 2, FALSE))</f>
        <v/>
      </c>
      <c r="R3574" s="107"/>
    </row>
    <row r="3575" hidden="1">
      <c r="A3575" s="443"/>
      <c r="B3575" s="43" t="str">
        <f>IF(A3575="", "", IFERROR(VLOOKUP(A3575, Clasificaciones!A:B, 2, FALSE), "DATO NO CARGADO"))
</f>
        <v/>
      </c>
      <c r="C3575" s="51"/>
      <c r="D3575" s="102"/>
      <c r="E3575" s="102"/>
      <c r="H3575" s="102"/>
      <c r="J3575" s="102"/>
      <c r="K3575" s="450"/>
      <c r="L3575" s="443"/>
      <c r="M3575" s="450"/>
      <c r="N3575" s="452"/>
      <c r="O3575" s="453"/>
      <c r="P3575" s="113"/>
      <c r="Q3575" s="106" t="str">
        <f>IF(ISBLANK(O3575), "", VLOOKUP(C3575&amp;" "&amp;D3575, 'Info Tipo de Cambio y REM'!$A$24:$B$35, 2, FALSE))</f>
        <v/>
      </c>
      <c r="R3575" s="107"/>
    </row>
    <row r="3576" hidden="1">
      <c r="A3576" s="443"/>
      <c r="B3576" s="43" t="str">
        <f>IF(A3576="", "", IFERROR(VLOOKUP(A3576, Clasificaciones!A:B, 2, FALSE), "DATO NO CARGADO"))
</f>
        <v/>
      </c>
      <c r="C3576" s="51"/>
      <c r="D3576" s="102"/>
      <c r="E3576" s="102"/>
      <c r="H3576" s="102"/>
      <c r="J3576" s="102"/>
      <c r="K3576" s="450"/>
      <c r="L3576" s="443"/>
      <c r="M3576" s="450"/>
      <c r="N3576" s="452"/>
      <c r="O3576" s="453"/>
      <c r="P3576" s="113"/>
      <c r="Q3576" s="106" t="str">
        <f>IF(ISBLANK(O3576), "", VLOOKUP(C3576&amp;" "&amp;D3576, 'Info Tipo de Cambio y REM'!$A$24:$B$35, 2, FALSE))</f>
        <v/>
      </c>
      <c r="R3576" s="107"/>
    </row>
    <row r="3577" hidden="1">
      <c r="A3577" s="443"/>
      <c r="B3577" s="43" t="str">
        <f>IF(A3577="", "", IFERROR(VLOOKUP(A3577, Clasificaciones!A:B, 2, FALSE), "DATO NO CARGADO"))
</f>
        <v/>
      </c>
      <c r="C3577" s="51"/>
      <c r="D3577" s="102"/>
      <c r="E3577" s="102"/>
      <c r="H3577" s="102"/>
      <c r="J3577" s="102"/>
      <c r="K3577" s="450"/>
      <c r="L3577" s="443"/>
      <c r="M3577" s="450"/>
      <c r="N3577" s="452"/>
      <c r="O3577" s="453"/>
      <c r="P3577" s="113"/>
      <c r="Q3577" s="106" t="str">
        <f>IF(ISBLANK(O3577), "", VLOOKUP(C3577&amp;" "&amp;D3577, 'Info Tipo de Cambio y REM'!$A$24:$B$35, 2, FALSE))</f>
        <v/>
      </c>
      <c r="R3577" s="107"/>
    </row>
    <row r="3578" hidden="1">
      <c r="A3578" s="443"/>
      <c r="B3578" s="43" t="str">
        <f>IF(A3578="", "", IFERROR(VLOOKUP(A3578, Clasificaciones!A:B, 2, FALSE), "DATO NO CARGADO"))
</f>
        <v/>
      </c>
      <c r="C3578" s="51"/>
      <c r="D3578" s="102"/>
      <c r="E3578" s="102"/>
      <c r="H3578" s="102"/>
      <c r="J3578" s="102"/>
      <c r="K3578" s="450"/>
      <c r="L3578" s="443"/>
      <c r="M3578" s="450"/>
      <c r="N3578" s="452"/>
      <c r="O3578" s="453"/>
      <c r="P3578" s="113"/>
      <c r="Q3578" s="106" t="str">
        <f>IF(ISBLANK(O3578), "", VLOOKUP(C3578&amp;" "&amp;D3578, 'Info Tipo de Cambio y REM'!$A$24:$B$35, 2, FALSE))</f>
        <v/>
      </c>
      <c r="R3578" s="107"/>
    </row>
    <row r="3579" hidden="1">
      <c r="A3579" s="443"/>
      <c r="B3579" s="43" t="str">
        <f>IF(A3579="", "", IFERROR(VLOOKUP(A3579, Clasificaciones!A:B, 2, FALSE), "DATO NO CARGADO"))
</f>
        <v/>
      </c>
      <c r="C3579" s="51"/>
      <c r="D3579" s="102"/>
      <c r="E3579" s="102"/>
      <c r="H3579" s="102"/>
      <c r="J3579" s="102"/>
      <c r="K3579" s="450"/>
      <c r="L3579" s="443"/>
      <c r="M3579" s="450"/>
      <c r="N3579" s="452"/>
      <c r="O3579" s="453"/>
      <c r="P3579" s="113"/>
      <c r="Q3579" s="106" t="str">
        <f>IF(ISBLANK(O3579), "", VLOOKUP(C3579&amp;" "&amp;D3579, 'Info Tipo de Cambio y REM'!$A$24:$B$35, 2, FALSE))</f>
        <v/>
      </c>
      <c r="R3579" s="107"/>
    </row>
    <row r="3580" hidden="1">
      <c r="A3580" s="443"/>
      <c r="B3580" s="43" t="str">
        <f>IF(A3580="", "", IFERROR(VLOOKUP(A3580, Clasificaciones!A:B, 2, FALSE), "DATO NO CARGADO"))
</f>
        <v/>
      </c>
      <c r="C3580" s="51"/>
      <c r="D3580" s="102"/>
      <c r="E3580" s="102"/>
      <c r="H3580" s="102"/>
      <c r="J3580" s="102"/>
      <c r="K3580" s="450"/>
      <c r="L3580" s="443"/>
      <c r="M3580" s="450"/>
      <c r="N3580" s="452"/>
      <c r="O3580" s="453"/>
      <c r="P3580" s="113"/>
      <c r="Q3580" s="106" t="str">
        <f>IF(ISBLANK(O3580), "", VLOOKUP(C3580&amp;" "&amp;D3580, 'Info Tipo de Cambio y REM'!$A$24:$B$35, 2, FALSE))</f>
        <v/>
      </c>
      <c r="R3580" s="107"/>
    </row>
    <row r="3581" hidden="1">
      <c r="A3581" s="443"/>
      <c r="B3581" s="43" t="str">
        <f>IF(A3581="", "", IFERROR(VLOOKUP(A3581, Clasificaciones!A:B, 2, FALSE), "DATO NO CARGADO"))
</f>
        <v/>
      </c>
      <c r="C3581" s="51"/>
      <c r="D3581" s="102"/>
      <c r="E3581" s="102"/>
      <c r="H3581" s="102"/>
      <c r="J3581" s="102"/>
      <c r="K3581" s="450"/>
      <c r="L3581" s="443"/>
      <c r="M3581" s="450"/>
      <c r="N3581" s="452"/>
      <c r="O3581" s="453"/>
      <c r="P3581" s="113"/>
      <c r="Q3581" s="106" t="str">
        <f>IF(ISBLANK(O3581), "", VLOOKUP(C3581&amp;" "&amp;D3581, 'Info Tipo de Cambio y REM'!$A$24:$B$35, 2, FALSE))</f>
        <v/>
      </c>
      <c r="R3581" s="107"/>
    </row>
    <row r="3582" hidden="1">
      <c r="A3582" s="443"/>
      <c r="B3582" s="43" t="str">
        <f>IF(A3582="", "", IFERROR(VLOOKUP(A3582, Clasificaciones!A:B, 2, FALSE), "DATO NO CARGADO"))
</f>
        <v/>
      </c>
      <c r="C3582" s="51"/>
      <c r="D3582" s="102"/>
      <c r="E3582" s="102"/>
      <c r="H3582" s="102"/>
      <c r="J3582" s="102"/>
      <c r="K3582" s="450"/>
      <c r="L3582" s="443"/>
      <c r="M3582" s="450"/>
      <c r="N3582" s="452"/>
      <c r="O3582" s="453"/>
      <c r="P3582" s="113"/>
      <c r="Q3582" s="106" t="str">
        <f>IF(ISBLANK(O3582), "", VLOOKUP(C3582&amp;" "&amp;D3582, 'Info Tipo de Cambio y REM'!$A$24:$B$35, 2, FALSE))</f>
        <v/>
      </c>
      <c r="R3582" s="107"/>
    </row>
    <row r="3583" hidden="1">
      <c r="A3583" s="443"/>
      <c r="B3583" s="43" t="str">
        <f>IF(A3583="", "", IFERROR(VLOOKUP(A3583, Clasificaciones!A:B, 2, FALSE), "DATO NO CARGADO"))
</f>
        <v/>
      </c>
      <c r="C3583" s="51"/>
      <c r="D3583" s="102"/>
      <c r="E3583" s="102"/>
      <c r="H3583" s="102"/>
      <c r="J3583" s="102"/>
      <c r="K3583" s="450"/>
      <c r="L3583" s="443"/>
      <c r="M3583" s="450"/>
      <c r="N3583" s="452"/>
      <c r="O3583" s="453"/>
      <c r="P3583" s="113"/>
      <c r="Q3583" s="106" t="str">
        <f>IF(ISBLANK(O3583), "", VLOOKUP(C3583&amp;" "&amp;D3583, 'Info Tipo de Cambio y REM'!$A$24:$B$35, 2, FALSE))</f>
        <v/>
      </c>
      <c r="R3583" s="107"/>
    </row>
    <row r="3584" hidden="1">
      <c r="A3584" s="443"/>
      <c r="B3584" s="43" t="str">
        <f>IF(A3584="", "", IFERROR(VLOOKUP(A3584, Clasificaciones!A:B, 2, FALSE), "DATO NO CARGADO"))
</f>
        <v/>
      </c>
      <c r="C3584" s="51"/>
      <c r="D3584" s="102"/>
      <c r="E3584" s="102"/>
      <c r="H3584" s="102"/>
      <c r="J3584" s="102"/>
      <c r="K3584" s="450"/>
      <c r="L3584" s="443"/>
      <c r="M3584" s="450"/>
      <c r="N3584" s="452"/>
      <c r="O3584" s="453"/>
      <c r="P3584" s="113"/>
      <c r="Q3584" s="106" t="str">
        <f>IF(ISBLANK(O3584), "", VLOOKUP(C3584&amp;" "&amp;D3584, 'Info Tipo de Cambio y REM'!$A$24:$B$35, 2, FALSE))</f>
        <v/>
      </c>
      <c r="R3584" s="107"/>
    </row>
    <row r="3585" hidden="1">
      <c r="A3585" s="443"/>
      <c r="B3585" s="43" t="str">
        <f>IF(A3585="", "", IFERROR(VLOOKUP(A3585, Clasificaciones!A:B, 2, FALSE), "DATO NO CARGADO"))
</f>
        <v/>
      </c>
      <c r="C3585" s="51"/>
      <c r="D3585" s="102"/>
      <c r="E3585" s="102"/>
      <c r="H3585" s="102"/>
      <c r="J3585" s="102"/>
      <c r="K3585" s="450"/>
      <c r="L3585" s="443"/>
      <c r="M3585" s="450"/>
      <c r="N3585" s="452"/>
      <c r="O3585" s="453"/>
      <c r="P3585" s="113"/>
      <c r="Q3585" s="106" t="str">
        <f>IF(ISBLANK(O3585), "", VLOOKUP(C3585&amp;" "&amp;D3585, 'Info Tipo de Cambio y REM'!$A$24:$B$35, 2, FALSE))</f>
        <v/>
      </c>
      <c r="R3585" s="107"/>
    </row>
    <row r="3586" hidden="1">
      <c r="A3586" s="443"/>
      <c r="B3586" s="43" t="str">
        <f>IF(A3586="", "", IFERROR(VLOOKUP(A3586, Clasificaciones!A:B, 2, FALSE), "DATO NO CARGADO"))
</f>
        <v/>
      </c>
      <c r="C3586" s="51"/>
      <c r="D3586" s="102"/>
      <c r="E3586" s="102"/>
      <c r="H3586" s="102"/>
      <c r="J3586" s="102"/>
      <c r="K3586" s="450"/>
      <c r="L3586" s="443"/>
      <c r="M3586" s="450"/>
      <c r="N3586" s="452"/>
      <c r="O3586" s="453"/>
      <c r="P3586" s="113"/>
      <c r="Q3586" s="106" t="str">
        <f>IF(ISBLANK(O3586), "", VLOOKUP(C3586&amp;" "&amp;D3586, 'Info Tipo de Cambio y REM'!$A$24:$B$35, 2, FALSE))</f>
        <v/>
      </c>
      <c r="R3586" s="107"/>
    </row>
    <row r="3587" hidden="1">
      <c r="A3587" s="443"/>
      <c r="B3587" s="43" t="str">
        <f>IF(A3587="", "", IFERROR(VLOOKUP(A3587, Clasificaciones!A:B, 2, FALSE), "DATO NO CARGADO"))
</f>
        <v/>
      </c>
      <c r="C3587" s="51"/>
      <c r="D3587" s="102"/>
      <c r="E3587" s="102"/>
      <c r="H3587" s="102"/>
      <c r="J3587" s="102"/>
      <c r="K3587" s="450"/>
      <c r="L3587" s="443"/>
      <c r="M3587" s="450"/>
      <c r="N3587" s="452"/>
      <c r="O3587" s="453"/>
      <c r="P3587" s="113"/>
      <c r="Q3587" s="106" t="str">
        <f>IF(ISBLANK(O3587), "", VLOOKUP(C3587&amp;" "&amp;D3587, 'Info Tipo de Cambio y REM'!$A$24:$B$35, 2, FALSE))</f>
        <v/>
      </c>
      <c r="R3587" s="107"/>
    </row>
    <row r="3588" hidden="1">
      <c r="A3588" s="443"/>
      <c r="B3588" s="43" t="str">
        <f>IF(A3588="", "", IFERROR(VLOOKUP(A3588, Clasificaciones!A:B, 2, FALSE), "DATO NO CARGADO"))
</f>
        <v/>
      </c>
      <c r="C3588" s="51"/>
      <c r="D3588" s="102"/>
      <c r="E3588" s="102"/>
      <c r="H3588" s="102"/>
      <c r="J3588" s="102"/>
      <c r="K3588" s="450"/>
      <c r="L3588" s="443"/>
      <c r="M3588" s="450"/>
      <c r="N3588" s="452"/>
      <c r="O3588" s="453"/>
      <c r="P3588" s="113"/>
      <c r="Q3588" s="106" t="str">
        <f>IF(ISBLANK(O3588), "", VLOOKUP(C3588&amp;" "&amp;D3588, 'Info Tipo de Cambio y REM'!$A$24:$B$35, 2, FALSE))</f>
        <v/>
      </c>
      <c r="R3588" s="107"/>
    </row>
    <row r="3589" hidden="1">
      <c r="A3589" s="443"/>
      <c r="B3589" s="43" t="str">
        <f>IF(A3589="", "", IFERROR(VLOOKUP(A3589, Clasificaciones!A:B, 2, FALSE), "DATO NO CARGADO"))
</f>
        <v/>
      </c>
      <c r="C3589" s="51"/>
      <c r="D3589" s="102"/>
      <c r="E3589" s="102"/>
      <c r="H3589" s="102"/>
      <c r="J3589" s="102"/>
      <c r="K3589" s="450"/>
      <c r="L3589" s="443"/>
      <c r="M3589" s="450"/>
      <c r="N3589" s="452"/>
      <c r="O3589" s="453"/>
      <c r="P3589" s="113"/>
      <c r="Q3589" s="106" t="str">
        <f>IF(ISBLANK(O3589), "", VLOOKUP(C3589&amp;" "&amp;D3589, 'Info Tipo de Cambio y REM'!$A$24:$B$35, 2, FALSE))</f>
        <v/>
      </c>
      <c r="R3589" s="107"/>
    </row>
    <row r="3590" hidden="1">
      <c r="A3590" s="443"/>
      <c r="B3590" s="43" t="str">
        <f>IF(A3590="", "", IFERROR(VLOOKUP(A3590, Clasificaciones!A:B, 2, FALSE), "DATO NO CARGADO"))
</f>
        <v/>
      </c>
      <c r="C3590" s="51"/>
      <c r="D3590" s="102"/>
      <c r="E3590" s="102"/>
      <c r="H3590" s="102"/>
      <c r="J3590" s="102"/>
      <c r="K3590" s="450"/>
      <c r="L3590" s="443"/>
      <c r="M3590" s="450"/>
      <c r="N3590" s="452"/>
      <c r="O3590" s="453"/>
      <c r="P3590" s="113"/>
      <c r="Q3590" s="106" t="str">
        <f>IF(ISBLANK(O3590), "", VLOOKUP(C3590&amp;" "&amp;D3590, 'Info Tipo de Cambio y REM'!$A$24:$B$35, 2, FALSE))</f>
        <v/>
      </c>
      <c r="R3590" s="107"/>
    </row>
    <row r="3591" hidden="1">
      <c r="A3591" s="443"/>
      <c r="B3591" s="43" t="str">
        <f>IF(A3591="", "", IFERROR(VLOOKUP(A3591, Clasificaciones!A:B, 2, FALSE), "DATO NO CARGADO"))
</f>
        <v/>
      </c>
      <c r="C3591" s="51"/>
      <c r="D3591" s="102"/>
      <c r="E3591" s="102"/>
      <c r="H3591" s="102"/>
      <c r="J3591" s="102"/>
      <c r="K3591" s="450"/>
      <c r="L3591" s="443"/>
      <c r="M3591" s="450"/>
      <c r="N3591" s="452"/>
      <c r="O3591" s="453"/>
      <c r="P3591" s="113"/>
      <c r="Q3591" s="106" t="str">
        <f>IF(ISBLANK(O3591), "", VLOOKUP(C3591&amp;" "&amp;D3591, 'Info Tipo de Cambio y REM'!$A$24:$B$35, 2, FALSE))</f>
        <v/>
      </c>
      <c r="R3591" s="107"/>
    </row>
    <row r="3592" hidden="1">
      <c r="A3592" s="443"/>
      <c r="B3592" s="43" t="str">
        <f>IF(A3592="", "", IFERROR(VLOOKUP(A3592, Clasificaciones!A:B, 2, FALSE), "DATO NO CARGADO"))
</f>
        <v/>
      </c>
      <c r="C3592" s="51"/>
      <c r="D3592" s="102"/>
      <c r="E3592" s="102"/>
      <c r="H3592" s="102"/>
      <c r="J3592" s="102"/>
      <c r="K3592" s="450"/>
      <c r="L3592" s="443"/>
      <c r="M3592" s="450"/>
      <c r="N3592" s="452"/>
      <c r="O3592" s="453"/>
      <c r="P3592" s="113"/>
      <c r="Q3592" s="106" t="str">
        <f>IF(ISBLANK(O3592), "", VLOOKUP(C3592&amp;" "&amp;D3592, 'Info Tipo de Cambio y REM'!$A$24:$B$35, 2, FALSE))</f>
        <v/>
      </c>
      <c r="R3592" s="107"/>
    </row>
    <row r="3593" hidden="1">
      <c r="A3593" s="443"/>
      <c r="B3593" s="43" t="str">
        <f>IF(A3593="", "", IFERROR(VLOOKUP(A3593, Clasificaciones!A:B, 2, FALSE), "DATO NO CARGADO"))
</f>
        <v/>
      </c>
      <c r="C3593" s="51"/>
      <c r="D3593" s="102"/>
      <c r="E3593" s="102"/>
      <c r="H3593" s="102"/>
      <c r="J3593" s="102"/>
      <c r="K3593" s="450"/>
      <c r="L3593" s="443"/>
      <c r="M3593" s="450"/>
      <c r="N3593" s="452"/>
      <c r="O3593" s="453"/>
      <c r="P3593" s="113"/>
      <c r="Q3593" s="106" t="str">
        <f>IF(ISBLANK(O3593), "", VLOOKUP(C3593&amp;" "&amp;D3593, 'Info Tipo de Cambio y REM'!$A$24:$B$35, 2, FALSE))</f>
        <v/>
      </c>
      <c r="R3593" s="107"/>
    </row>
    <row r="3594" hidden="1">
      <c r="A3594" s="443"/>
      <c r="B3594" s="43" t="str">
        <f>IF(A3594="", "", IFERROR(VLOOKUP(A3594, Clasificaciones!A:B, 2, FALSE), "DATO NO CARGADO"))
</f>
        <v/>
      </c>
      <c r="C3594" s="51"/>
      <c r="D3594" s="102"/>
      <c r="E3594" s="102"/>
      <c r="H3594" s="102"/>
      <c r="J3594" s="102"/>
      <c r="K3594" s="450"/>
      <c r="L3594" s="443"/>
      <c r="M3594" s="450"/>
      <c r="N3594" s="452"/>
      <c r="O3594" s="453"/>
      <c r="P3594" s="113"/>
      <c r="Q3594" s="106" t="str">
        <f>IF(ISBLANK(O3594), "", VLOOKUP(C3594&amp;" "&amp;D3594, 'Info Tipo de Cambio y REM'!$A$24:$B$35, 2, FALSE))</f>
        <v/>
      </c>
      <c r="R3594" s="107"/>
    </row>
    <row r="3595" hidden="1">
      <c r="A3595" s="443"/>
      <c r="B3595" s="43" t="str">
        <f>IF(A3595="", "", IFERROR(VLOOKUP(A3595, Clasificaciones!A:B, 2, FALSE), "DATO NO CARGADO"))
</f>
        <v/>
      </c>
      <c r="C3595" s="51"/>
      <c r="D3595" s="102"/>
      <c r="E3595" s="102"/>
      <c r="H3595" s="102"/>
      <c r="J3595" s="102"/>
      <c r="K3595" s="450"/>
      <c r="L3595" s="443"/>
      <c r="M3595" s="450"/>
      <c r="N3595" s="452"/>
      <c r="O3595" s="453"/>
      <c r="P3595" s="113"/>
      <c r="Q3595" s="106" t="str">
        <f>IF(ISBLANK(O3595), "", VLOOKUP(C3595&amp;" "&amp;D3595, 'Info Tipo de Cambio y REM'!$A$24:$B$35, 2, FALSE))</f>
        <v/>
      </c>
      <c r="R3595" s="107"/>
    </row>
    <row r="3596" hidden="1">
      <c r="A3596" s="443"/>
      <c r="B3596" s="43" t="str">
        <f>IF(A3596="", "", IFERROR(VLOOKUP(A3596, Clasificaciones!A:B, 2, FALSE), "DATO NO CARGADO"))
</f>
        <v/>
      </c>
      <c r="C3596" s="51"/>
      <c r="D3596" s="102"/>
      <c r="E3596" s="102"/>
      <c r="H3596" s="102"/>
      <c r="J3596" s="102"/>
      <c r="K3596" s="450"/>
      <c r="L3596" s="443"/>
      <c r="M3596" s="450"/>
      <c r="N3596" s="452"/>
      <c r="O3596" s="453"/>
      <c r="P3596" s="113"/>
      <c r="Q3596" s="106" t="str">
        <f>IF(ISBLANK(O3596), "", VLOOKUP(C3596&amp;" "&amp;D3596, 'Info Tipo de Cambio y REM'!$A$24:$B$35, 2, FALSE))</f>
        <v/>
      </c>
      <c r="R3596" s="107"/>
    </row>
    <row r="3597" hidden="1">
      <c r="A3597" s="443"/>
      <c r="B3597" s="43" t="str">
        <f>IF(A3597="", "", IFERROR(VLOOKUP(A3597, Clasificaciones!A:B, 2, FALSE), "DATO NO CARGADO"))
</f>
        <v/>
      </c>
      <c r="C3597" s="51"/>
      <c r="D3597" s="102"/>
      <c r="E3597" s="102"/>
      <c r="H3597" s="102"/>
      <c r="J3597" s="102"/>
      <c r="K3597" s="450"/>
      <c r="L3597" s="443"/>
      <c r="M3597" s="450"/>
      <c r="N3597" s="452"/>
      <c r="O3597" s="453"/>
      <c r="P3597" s="113"/>
      <c r="Q3597" s="106" t="str">
        <f>IF(ISBLANK(O3597), "", VLOOKUP(C3597&amp;" "&amp;D3597, 'Info Tipo de Cambio y REM'!$A$24:$B$35, 2, FALSE))</f>
        <v/>
      </c>
      <c r="R3597" s="107"/>
    </row>
    <row r="3598" hidden="1">
      <c r="A3598" s="443"/>
      <c r="B3598" s="43" t="str">
        <f>IF(A3598="", "", IFERROR(VLOOKUP(A3598, Clasificaciones!A:B, 2, FALSE), "DATO NO CARGADO"))
</f>
        <v/>
      </c>
      <c r="C3598" s="51"/>
      <c r="D3598" s="102"/>
      <c r="E3598" s="102"/>
      <c r="H3598" s="102"/>
      <c r="J3598" s="102"/>
      <c r="K3598" s="450"/>
      <c r="L3598" s="443"/>
      <c r="M3598" s="450"/>
      <c r="N3598" s="452"/>
      <c r="O3598" s="453"/>
      <c r="P3598" s="113"/>
      <c r="Q3598" s="106" t="str">
        <f>IF(ISBLANK(O3598), "", VLOOKUP(C3598&amp;" "&amp;D3598, 'Info Tipo de Cambio y REM'!$A$24:$B$35, 2, FALSE))</f>
        <v/>
      </c>
      <c r="R3598" s="107"/>
    </row>
    <row r="3599" hidden="1">
      <c r="A3599" s="443"/>
      <c r="B3599" s="43" t="str">
        <f>IF(A3599="", "", IFERROR(VLOOKUP(A3599, Clasificaciones!A:B, 2, FALSE), "DATO NO CARGADO"))
</f>
        <v/>
      </c>
      <c r="C3599" s="51"/>
      <c r="D3599" s="102"/>
      <c r="E3599" s="102"/>
      <c r="H3599" s="102"/>
      <c r="J3599" s="102"/>
      <c r="K3599" s="450"/>
      <c r="L3599" s="443"/>
      <c r="M3599" s="450"/>
      <c r="N3599" s="452"/>
      <c r="O3599" s="453"/>
      <c r="P3599" s="113"/>
      <c r="Q3599" s="106" t="str">
        <f>IF(ISBLANK(O3599), "", VLOOKUP(C3599&amp;" "&amp;D3599, 'Info Tipo de Cambio y REM'!$A$24:$B$35, 2, FALSE))</f>
        <v/>
      </c>
      <c r="R3599" s="107"/>
    </row>
    <row r="3600" hidden="1">
      <c r="A3600" s="443"/>
      <c r="B3600" s="43" t="str">
        <f>IF(A3600="", "", IFERROR(VLOOKUP(A3600, Clasificaciones!A:B, 2, FALSE), "DATO NO CARGADO"))
</f>
        <v/>
      </c>
      <c r="C3600" s="51"/>
      <c r="D3600" s="102"/>
      <c r="E3600" s="102"/>
      <c r="H3600" s="102"/>
      <c r="J3600" s="102"/>
      <c r="K3600" s="450"/>
      <c r="L3600" s="443"/>
      <c r="M3600" s="450"/>
      <c r="N3600" s="452"/>
      <c r="O3600" s="453"/>
      <c r="P3600" s="113"/>
      <c r="Q3600" s="106" t="str">
        <f>IF(ISBLANK(O3600), "", VLOOKUP(C3600&amp;" "&amp;D3600, 'Info Tipo de Cambio y REM'!$A$24:$B$35, 2, FALSE))</f>
        <v/>
      </c>
      <c r="R3600" s="107"/>
    </row>
    <row r="3601" hidden="1">
      <c r="A3601" s="443"/>
      <c r="B3601" s="43" t="str">
        <f>IF(A3601="", "", IFERROR(VLOOKUP(A3601, Clasificaciones!A:B, 2, FALSE), "DATO NO CARGADO"))
</f>
        <v/>
      </c>
      <c r="C3601" s="51"/>
      <c r="D3601" s="102"/>
      <c r="E3601" s="102"/>
      <c r="H3601" s="102"/>
      <c r="J3601" s="102"/>
      <c r="K3601" s="450"/>
      <c r="L3601" s="443"/>
      <c r="M3601" s="450"/>
      <c r="N3601" s="452"/>
      <c r="O3601" s="453"/>
      <c r="P3601" s="113"/>
      <c r="Q3601" s="106" t="str">
        <f>IF(ISBLANK(O3601), "", VLOOKUP(C3601&amp;" "&amp;D3601, 'Info Tipo de Cambio y REM'!$A$24:$B$35, 2, FALSE))</f>
        <v/>
      </c>
      <c r="R3601" s="107"/>
    </row>
    <row r="3602" hidden="1">
      <c r="A3602" s="443"/>
      <c r="B3602" s="43" t="str">
        <f>IF(A3602="", "", IFERROR(VLOOKUP(A3602, Clasificaciones!A:B, 2, FALSE), "DATO NO CARGADO"))
</f>
        <v/>
      </c>
      <c r="C3602" s="51"/>
      <c r="D3602" s="102"/>
      <c r="E3602" s="102"/>
      <c r="H3602" s="102"/>
      <c r="J3602" s="102"/>
      <c r="K3602" s="450"/>
      <c r="L3602" s="443"/>
      <c r="M3602" s="450"/>
      <c r="N3602" s="452"/>
      <c r="O3602" s="453"/>
      <c r="P3602" s="113"/>
      <c r="Q3602" s="106" t="str">
        <f>IF(ISBLANK(O3602), "", VLOOKUP(C3602&amp;" "&amp;D3602, 'Info Tipo de Cambio y REM'!$A$24:$B$35, 2, FALSE))</f>
        <v/>
      </c>
      <c r="R3602" s="107"/>
    </row>
    <row r="3603" hidden="1">
      <c r="A3603" s="443"/>
      <c r="B3603" s="43" t="str">
        <f>IF(A3603="", "", IFERROR(VLOOKUP(A3603, Clasificaciones!A:B, 2, FALSE), "DATO NO CARGADO"))
</f>
        <v/>
      </c>
      <c r="C3603" s="51"/>
      <c r="D3603" s="102"/>
      <c r="E3603" s="102"/>
      <c r="H3603" s="102"/>
      <c r="J3603" s="102"/>
      <c r="K3603" s="450"/>
      <c r="L3603" s="443"/>
      <c r="M3603" s="450"/>
      <c r="N3603" s="452"/>
      <c r="O3603" s="453"/>
      <c r="P3603" s="113"/>
      <c r="Q3603" s="106" t="str">
        <f>IF(ISBLANK(O3603), "", VLOOKUP(C3603&amp;" "&amp;D3603, 'Info Tipo de Cambio y REM'!$A$24:$B$35, 2, FALSE))</f>
        <v/>
      </c>
      <c r="R3603" s="107"/>
    </row>
    <row r="3604" hidden="1">
      <c r="A3604" s="443"/>
      <c r="B3604" s="43" t="str">
        <f>IF(A3604="", "", IFERROR(VLOOKUP(A3604, Clasificaciones!A:B, 2, FALSE), "DATO NO CARGADO"))
</f>
        <v/>
      </c>
      <c r="C3604" s="51"/>
      <c r="D3604" s="102"/>
      <c r="E3604" s="102"/>
      <c r="H3604" s="102"/>
      <c r="J3604" s="102"/>
      <c r="K3604" s="450"/>
      <c r="L3604" s="443"/>
      <c r="M3604" s="450"/>
      <c r="N3604" s="452"/>
      <c r="O3604" s="453"/>
      <c r="P3604" s="113"/>
      <c r="Q3604" s="106" t="str">
        <f>IF(ISBLANK(O3604), "", VLOOKUP(C3604&amp;" "&amp;D3604, 'Info Tipo de Cambio y REM'!$A$24:$B$35, 2, FALSE))</f>
        <v/>
      </c>
      <c r="R3604" s="107"/>
    </row>
    <row r="3605" hidden="1">
      <c r="A3605" s="443"/>
      <c r="B3605" s="43" t="str">
        <f>IF(A3605="", "", IFERROR(VLOOKUP(A3605, Clasificaciones!A:B, 2, FALSE), "DATO NO CARGADO"))
</f>
        <v/>
      </c>
      <c r="C3605" s="51"/>
      <c r="D3605" s="102"/>
      <c r="E3605" s="102"/>
      <c r="H3605" s="102"/>
      <c r="J3605" s="102"/>
      <c r="K3605" s="450"/>
      <c r="L3605" s="443"/>
      <c r="M3605" s="450"/>
      <c r="N3605" s="452"/>
      <c r="O3605" s="453"/>
      <c r="P3605" s="113"/>
      <c r="Q3605" s="106" t="str">
        <f>IF(ISBLANK(O3605), "", VLOOKUP(C3605&amp;" "&amp;D3605, 'Info Tipo de Cambio y REM'!$A$24:$B$35, 2, FALSE))</f>
        <v/>
      </c>
      <c r="R3605" s="107"/>
    </row>
    <row r="3606" hidden="1">
      <c r="A3606" s="443"/>
      <c r="B3606" s="43" t="str">
        <f>IF(A3606="", "", IFERROR(VLOOKUP(A3606, Clasificaciones!A:B, 2, FALSE), "DATO NO CARGADO"))
</f>
        <v/>
      </c>
      <c r="C3606" s="51"/>
      <c r="D3606" s="102"/>
      <c r="E3606" s="102"/>
      <c r="H3606" s="102"/>
      <c r="J3606" s="102"/>
      <c r="K3606" s="450"/>
      <c r="L3606" s="443"/>
      <c r="M3606" s="450"/>
      <c r="N3606" s="452"/>
      <c r="O3606" s="453"/>
      <c r="P3606" s="113"/>
      <c r="Q3606" s="106" t="str">
        <f>IF(ISBLANK(O3606), "", VLOOKUP(C3606&amp;" "&amp;D3606, 'Info Tipo de Cambio y REM'!$A$24:$B$35, 2, FALSE))</f>
        <v/>
      </c>
      <c r="R3606" s="107"/>
    </row>
    <row r="3607" hidden="1">
      <c r="A3607" s="443"/>
      <c r="B3607" s="43" t="str">
        <f>IF(A3607="", "", IFERROR(VLOOKUP(A3607, Clasificaciones!A:B, 2, FALSE), "DATO NO CARGADO"))
</f>
        <v/>
      </c>
      <c r="C3607" s="51"/>
      <c r="D3607" s="102"/>
      <c r="E3607" s="102"/>
      <c r="H3607" s="102"/>
      <c r="J3607" s="102"/>
      <c r="K3607" s="450"/>
      <c r="L3607" s="443"/>
      <c r="M3607" s="450"/>
      <c r="N3607" s="452"/>
      <c r="O3607" s="453"/>
      <c r="P3607" s="113"/>
      <c r="Q3607" s="106" t="str">
        <f>IF(ISBLANK(O3607), "", VLOOKUP(C3607&amp;" "&amp;D3607, 'Info Tipo de Cambio y REM'!$A$24:$B$35, 2, FALSE))</f>
        <v/>
      </c>
      <c r="R3607" s="107"/>
    </row>
    <row r="3608" hidden="1">
      <c r="A3608" s="443"/>
      <c r="B3608" s="43" t="str">
        <f>IF(A3608="", "", IFERROR(VLOOKUP(A3608, Clasificaciones!A:B, 2, FALSE), "DATO NO CARGADO"))
</f>
        <v/>
      </c>
      <c r="C3608" s="51"/>
      <c r="D3608" s="102"/>
      <c r="E3608" s="102"/>
      <c r="H3608" s="102"/>
      <c r="J3608" s="102"/>
      <c r="K3608" s="450"/>
      <c r="L3608" s="443"/>
      <c r="M3608" s="450"/>
      <c r="N3608" s="452"/>
      <c r="O3608" s="453"/>
      <c r="P3608" s="113"/>
      <c r="Q3608" s="106" t="str">
        <f>IF(ISBLANK(O3608), "", VLOOKUP(C3608&amp;" "&amp;D3608, 'Info Tipo de Cambio y REM'!$A$24:$B$35, 2, FALSE))</f>
        <v/>
      </c>
      <c r="R3608" s="107"/>
    </row>
    <row r="3609" hidden="1">
      <c r="A3609" s="443"/>
      <c r="B3609" s="43" t="str">
        <f>IF(A3609="", "", IFERROR(VLOOKUP(A3609, Clasificaciones!A:B, 2, FALSE), "DATO NO CARGADO"))
</f>
        <v/>
      </c>
      <c r="C3609" s="51"/>
      <c r="D3609" s="102"/>
      <c r="E3609" s="102"/>
      <c r="H3609" s="102"/>
      <c r="J3609" s="102"/>
      <c r="K3609" s="450"/>
      <c r="L3609" s="443"/>
      <c r="M3609" s="450"/>
      <c r="N3609" s="452"/>
      <c r="O3609" s="453"/>
      <c r="P3609" s="113"/>
      <c r="Q3609" s="106" t="str">
        <f>IF(ISBLANK(O3609), "", VLOOKUP(C3609&amp;" "&amp;D3609, 'Info Tipo de Cambio y REM'!$A$24:$B$35, 2, FALSE))</f>
        <v/>
      </c>
      <c r="R3609" s="107"/>
    </row>
    <row r="3610" hidden="1">
      <c r="A3610" s="443"/>
      <c r="B3610" s="43" t="str">
        <f>IF(A3610="", "", IFERROR(VLOOKUP(A3610, Clasificaciones!A:B, 2, FALSE), "DATO NO CARGADO"))
</f>
        <v/>
      </c>
      <c r="C3610" s="51"/>
      <c r="D3610" s="102"/>
      <c r="E3610" s="102"/>
      <c r="H3610" s="102"/>
      <c r="J3610" s="102"/>
      <c r="K3610" s="450"/>
      <c r="L3610" s="443"/>
      <c r="M3610" s="450"/>
      <c r="N3610" s="452"/>
      <c r="O3610" s="453"/>
      <c r="P3610" s="113"/>
      <c r="Q3610" s="106" t="str">
        <f>IF(ISBLANK(O3610), "", VLOOKUP(C3610&amp;" "&amp;D3610, 'Info Tipo de Cambio y REM'!$A$24:$B$35, 2, FALSE))</f>
        <v/>
      </c>
      <c r="R3610" s="107"/>
    </row>
    <row r="3611" hidden="1">
      <c r="A3611" s="443"/>
      <c r="B3611" s="43" t="str">
        <f>IF(A3611="", "", IFERROR(VLOOKUP(A3611, Clasificaciones!A:B, 2, FALSE), "DATO NO CARGADO"))
</f>
        <v/>
      </c>
      <c r="C3611" s="51"/>
      <c r="D3611" s="102"/>
      <c r="E3611" s="102"/>
      <c r="H3611" s="102"/>
      <c r="J3611" s="102"/>
      <c r="K3611" s="450"/>
      <c r="L3611" s="443"/>
      <c r="M3611" s="450"/>
      <c r="N3611" s="452"/>
      <c r="O3611" s="453"/>
      <c r="P3611" s="113"/>
      <c r="Q3611" s="106" t="str">
        <f>IF(ISBLANK(O3611), "", VLOOKUP(C3611&amp;" "&amp;D3611, 'Info Tipo de Cambio y REM'!$A$24:$B$35, 2, FALSE))</f>
        <v/>
      </c>
      <c r="R3611" s="107"/>
    </row>
    <row r="3612" hidden="1">
      <c r="A3612" s="443"/>
      <c r="B3612" s="43" t="str">
        <f>IF(A3612="", "", IFERROR(VLOOKUP(A3612, Clasificaciones!A:B, 2, FALSE), "DATO NO CARGADO"))
</f>
        <v/>
      </c>
      <c r="C3612" s="51"/>
      <c r="D3612" s="102"/>
      <c r="E3612" s="102"/>
      <c r="H3612" s="102"/>
      <c r="J3612" s="102"/>
      <c r="K3612" s="450"/>
      <c r="L3612" s="443"/>
      <c r="M3612" s="450"/>
      <c r="N3612" s="452"/>
      <c r="O3612" s="453"/>
      <c r="P3612" s="113"/>
      <c r="Q3612" s="106" t="str">
        <f>IF(ISBLANK(O3612), "", VLOOKUP(C3612&amp;" "&amp;D3612, 'Info Tipo de Cambio y REM'!$A$24:$B$35, 2, FALSE))</f>
        <v/>
      </c>
      <c r="R3612" s="107"/>
    </row>
    <row r="3613" hidden="1">
      <c r="A3613" s="443"/>
      <c r="B3613" s="43" t="str">
        <f>IF(A3613="", "", IFERROR(VLOOKUP(A3613, Clasificaciones!A:B, 2, FALSE), "DATO NO CARGADO"))
</f>
        <v/>
      </c>
      <c r="C3613" s="51"/>
      <c r="D3613" s="102"/>
      <c r="E3613" s="102"/>
      <c r="H3613" s="102"/>
      <c r="J3613" s="102"/>
      <c r="K3613" s="450"/>
      <c r="L3613" s="443"/>
      <c r="M3613" s="450"/>
      <c r="N3613" s="452"/>
      <c r="O3613" s="453"/>
      <c r="P3613" s="113"/>
      <c r="Q3613" s="106" t="str">
        <f>IF(ISBLANK(O3613), "", VLOOKUP(C3613&amp;" "&amp;D3613, 'Info Tipo de Cambio y REM'!$A$24:$B$35, 2, FALSE))</f>
        <v/>
      </c>
      <c r="R3613" s="107"/>
    </row>
    <row r="3614" hidden="1">
      <c r="A3614" s="443"/>
      <c r="B3614" s="43" t="str">
        <f>IF(A3614="", "", IFERROR(VLOOKUP(A3614, Clasificaciones!A:B, 2, FALSE), "DATO NO CARGADO"))
</f>
        <v/>
      </c>
      <c r="C3614" s="51"/>
      <c r="D3614" s="102"/>
      <c r="E3614" s="102"/>
      <c r="H3614" s="102"/>
      <c r="J3614" s="102"/>
      <c r="K3614" s="450"/>
      <c r="L3614" s="443"/>
      <c r="M3614" s="450"/>
      <c r="N3614" s="452"/>
      <c r="O3614" s="453"/>
      <c r="P3614" s="113"/>
      <c r="Q3614" s="106" t="str">
        <f>IF(ISBLANK(O3614), "", VLOOKUP(C3614&amp;" "&amp;D3614, 'Info Tipo de Cambio y REM'!$A$24:$B$35, 2, FALSE))</f>
        <v/>
      </c>
      <c r="R3614" s="107"/>
    </row>
    <row r="3615" hidden="1">
      <c r="A3615" s="443"/>
      <c r="B3615" s="43" t="str">
        <f>IF(A3615="", "", IFERROR(VLOOKUP(A3615, Clasificaciones!A:B, 2, FALSE), "DATO NO CARGADO"))
</f>
        <v/>
      </c>
      <c r="C3615" s="51"/>
      <c r="D3615" s="102"/>
      <c r="E3615" s="102"/>
      <c r="H3615" s="102"/>
      <c r="J3615" s="102"/>
      <c r="K3615" s="450"/>
      <c r="L3615" s="443"/>
      <c r="M3615" s="450"/>
      <c r="N3615" s="452"/>
      <c r="O3615" s="453"/>
      <c r="P3615" s="113"/>
      <c r="Q3615" s="106" t="str">
        <f>IF(ISBLANK(O3615), "", VLOOKUP(C3615&amp;" "&amp;D3615, 'Info Tipo de Cambio y REM'!$A$24:$B$35, 2, FALSE))</f>
        <v/>
      </c>
      <c r="R3615" s="107"/>
    </row>
    <row r="3616" hidden="1">
      <c r="A3616" s="443"/>
      <c r="B3616" s="43" t="str">
        <f>IF(A3616="", "", IFERROR(VLOOKUP(A3616, Clasificaciones!A:B, 2, FALSE), "DATO NO CARGADO"))
</f>
        <v/>
      </c>
      <c r="C3616" s="51"/>
      <c r="D3616" s="102"/>
      <c r="E3616" s="102"/>
      <c r="H3616" s="102"/>
      <c r="J3616" s="102"/>
      <c r="K3616" s="450"/>
      <c r="L3616" s="443"/>
      <c r="M3616" s="450"/>
      <c r="N3616" s="452"/>
      <c r="O3616" s="453"/>
      <c r="P3616" s="113"/>
      <c r="Q3616" s="106" t="str">
        <f>IF(ISBLANK(O3616), "", VLOOKUP(C3616&amp;" "&amp;D3616, 'Info Tipo de Cambio y REM'!$A$24:$B$35, 2, FALSE))</f>
        <v/>
      </c>
      <c r="R3616" s="107"/>
    </row>
    <row r="3617" hidden="1">
      <c r="A3617" s="443"/>
      <c r="B3617" s="43" t="str">
        <f>IF(A3617="", "", IFERROR(VLOOKUP(A3617, Clasificaciones!A:B, 2, FALSE), "DATO NO CARGADO"))
</f>
        <v/>
      </c>
      <c r="C3617" s="51"/>
      <c r="D3617" s="102"/>
      <c r="E3617" s="102"/>
      <c r="H3617" s="102"/>
      <c r="J3617" s="102"/>
      <c r="K3617" s="450"/>
      <c r="L3617" s="443"/>
      <c r="M3617" s="450"/>
      <c r="N3617" s="452"/>
      <c r="O3617" s="453"/>
      <c r="P3617" s="113"/>
      <c r="Q3617" s="106" t="str">
        <f>IF(ISBLANK(O3617), "", VLOOKUP(C3617&amp;" "&amp;D3617, 'Info Tipo de Cambio y REM'!$A$24:$B$35, 2, FALSE))</f>
        <v/>
      </c>
      <c r="R3617" s="107"/>
    </row>
    <row r="3618" hidden="1">
      <c r="A3618" s="443"/>
      <c r="B3618" s="43" t="str">
        <f>IF(A3618="", "", IFERROR(VLOOKUP(A3618, Clasificaciones!A:B, 2, FALSE), "DATO NO CARGADO"))
</f>
        <v/>
      </c>
      <c r="C3618" s="51"/>
      <c r="D3618" s="102"/>
      <c r="E3618" s="102"/>
      <c r="H3618" s="102"/>
      <c r="J3618" s="102"/>
      <c r="K3618" s="450"/>
      <c r="L3618" s="443"/>
      <c r="M3618" s="450"/>
      <c r="N3618" s="452"/>
      <c r="O3618" s="453"/>
      <c r="P3618" s="113"/>
      <c r="Q3618" s="106" t="str">
        <f>IF(ISBLANK(O3618), "", VLOOKUP(C3618&amp;" "&amp;D3618, 'Info Tipo de Cambio y REM'!$A$24:$B$35, 2, FALSE))</f>
        <v/>
      </c>
      <c r="R3618" s="107"/>
    </row>
    <row r="3619" hidden="1">
      <c r="A3619" s="443"/>
      <c r="B3619" s="43" t="str">
        <f>IF(A3619="", "", IFERROR(VLOOKUP(A3619, Clasificaciones!A:B, 2, FALSE), "DATO NO CARGADO"))
</f>
        <v/>
      </c>
      <c r="C3619" s="51"/>
      <c r="D3619" s="102"/>
      <c r="E3619" s="102"/>
      <c r="H3619" s="102"/>
      <c r="J3619" s="102"/>
      <c r="K3619" s="450"/>
      <c r="L3619" s="443"/>
      <c r="M3619" s="450"/>
      <c r="N3619" s="452"/>
      <c r="O3619" s="453"/>
      <c r="P3619" s="113"/>
      <c r="Q3619" s="106" t="str">
        <f>IF(ISBLANK(O3619), "", VLOOKUP(C3619&amp;" "&amp;D3619, 'Info Tipo de Cambio y REM'!$A$24:$B$35, 2, FALSE))</f>
        <v/>
      </c>
      <c r="R3619" s="107"/>
    </row>
    <row r="3620" hidden="1">
      <c r="A3620" s="443"/>
      <c r="B3620" s="43" t="str">
        <f>IF(A3620="", "", IFERROR(VLOOKUP(A3620, Clasificaciones!A:B, 2, FALSE), "DATO NO CARGADO"))
</f>
        <v/>
      </c>
      <c r="C3620" s="51"/>
      <c r="D3620" s="102"/>
      <c r="E3620" s="102"/>
      <c r="H3620" s="102"/>
      <c r="J3620" s="102"/>
      <c r="K3620" s="450"/>
      <c r="L3620" s="443"/>
      <c r="M3620" s="450"/>
      <c r="N3620" s="452"/>
      <c r="O3620" s="453"/>
      <c r="P3620" s="113"/>
      <c r="Q3620" s="106" t="str">
        <f>IF(ISBLANK(O3620), "", VLOOKUP(C3620&amp;" "&amp;D3620, 'Info Tipo de Cambio y REM'!$A$24:$B$35, 2, FALSE))</f>
        <v/>
      </c>
      <c r="R3620" s="107"/>
    </row>
    <row r="3621" hidden="1">
      <c r="A3621" s="443"/>
      <c r="B3621" s="43" t="str">
        <f>IF(A3621="", "", IFERROR(VLOOKUP(A3621, Clasificaciones!A:B, 2, FALSE), "DATO NO CARGADO"))
</f>
        <v/>
      </c>
      <c r="C3621" s="51"/>
      <c r="D3621" s="102"/>
      <c r="E3621" s="102"/>
      <c r="H3621" s="102"/>
      <c r="J3621" s="102"/>
      <c r="K3621" s="450"/>
      <c r="L3621" s="443"/>
      <c r="M3621" s="450"/>
      <c r="N3621" s="452"/>
      <c r="O3621" s="453"/>
      <c r="P3621" s="113"/>
      <c r="Q3621" s="106" t="str">
        <f>IF(ISBLANK(O3621), "", VLOOKUP(C3621&amp;" "&amp;D3621, 'Info Tipo de Cambio y REM'!$A$24:$B$35, 2, FALSE))</f>
        <v/>
      </c>
      <c r="R3621" s="107"/>
    </row>
    <row r="3622" hidden="1">
      <c r="A3622" s="443"/>
      <c r="B3622" s="43" t="str">
        <f>IF(A3622="", "", IFERROR(VLOOKUP(A3622, Clasificaciones!A:B, 2, FALSE), "DATO NO CARGADO"))
</f>
        <v/>
      </c>
      <c r="C3622" s="51"/>
      <c r="D3622" s="102"/>
      <c r="E3622" s="102"/>
      <c r="H3622" s="102"/>
      <c r="J3622" s="102"/>
      <c r="K3622" s="450"/>
      <c r="L3622" s="443"/>
      <c r="M3622" s="450"/>
      <c r="N3622" s="452"/>
      <c r="O3622" s="453"/>
      <c r="P3622" s="113"/>
      <c r="Q3622" s="106" t="str">
        <f>IF(ISBLANK(O3622), "", VLOOKUP(C3622&amp;" "&amp;D3622, 'Info Tipo de Cambio y REM'!$A$24:$B$35, 2, FALSE))</f>
        <v/>
      </c>
      <c r="R3622" s="107"/>
    </row>
    <row r="3623" hidden="1">
      <c r="A3623" s="443"/>
      <c r="B3623" s="43" t="str">
        <f>IF(A3623="", "", IFERROR(VLOOKUP(A3623, Clasificaciones!A:B, 2, FALSE), "DATO NO CARGADO"))
</f>
        <v/>
      </c>
      <c r="C3623" s="51"/>
      <c r="D3623" s="102"/>
      <c r="E3623" s="102"/>
      <c r="H3623" s="102"/>
      <c r="J3623" s="102"/>
      <c r="K3623" s="450"/>
      <c r="L3623" s="443"/>
      <c r="M3623" s="450"/>
      <c r="N3623" s="452"/>
      <c r="O3623" s="453"/>
      <c r="P3623" s="113"/>
      <c r="Q3623" s="106" t="str">
        <f>IF(ISBLANK(O3623), "", VLOOKUP(C3623&amp;" "&amp;D3623, 'Info Tipo de Cambio y REM'!$A$24:$B$35, 2, FALSE))</f>
        <v/>
      </c>
      <c r="R3623" s="107"/>
    </row>
    <row r="3624" hidden="1">
      <c r="A3624" s="443"/>
      <c r="B3624" s="43" t="str">
        <f>IF(A3624="", "", IFERROR(VLOOKUP(A3624, Clasificaciones!A:B, 2, FALSE), "DATO NO CARGADO"))
</f>
        <v/>
      </c>
      <c r="C3624" s="51"/>
      <c r="D3624" s="102"/>
      <c r="E3624" s="102"/>
      <c r="H3624" s="102"/>
      <c r="J3624" s="102"/>
      <c r="K3624" s="450"/>
      <c r="L3624" s="443"/>
      <c r="M3624" s="450"/>
      <c r="N3624" s="452"/>
      <c r="O3624" s="453"/>
      <c r="P3624" s="113"/>
      <c r="Q3624" s="106" t="str">
        <f>IF(ISBLANK(O3624), "", VLOOKUP(C3624&amp;" "&amp;D3624, 'Info Tipo de Cambio y REM'!$A$24:$B$35, 2, FALSE))</f>
        <v/>
      </c>
      <c r="R3624" s="107"/>
    </row>
    <row r="3625" hidden="1">
      <c r="A3625" s="443"/>
      <c r="B3625" s="43" t="str">
        <f>IF(A3625="", "", IFERROR(VLOOKUP(A3625, Clasificaciones!A:B, 2, FALSE), "DATO NO CARGADO"))
</f>
        <v/>
      </c>
      <c r="C3625" s="51"/>
      <c r="D3625" s="102"/>
      <c r="E3625" s="102"/>
      <c r="H3625" s="102"/>
      <c r="J3625" s="102"/>
      <c r="K3625" s="450"/>
      <c r="L3625" s="443"/>
      <c r="M3625" s="450"/>
      <c r="N3625" s="452"/>
      <c r="O3625" s="453"/>
      <c r="P3625" s="113"/>
      <c r="Q3625" s="106" t="str">
        <f>IF(ISBLANK(O3625), "", VLOOKUP(C3625&amp;" "&amp;D3625, 'Info Tipo de Cambio y REM'!$A$24:$B$35, 2, FALSE))</f>
        <v/>
      </c>
      <c r="R3625" s="107"/>
    </row>
    <row r="3626" hidden="1">
      <c r="A3626" s="443"/>
      <c r="B3626" s="43" t="str">
        <f>IF(A3626="", "", IFERROR(VLOOKUP(A3626, Clasificaciones!A:B, 2, FALSE), "DATO NO CARGADO"))
</f>
        <v/>
      </c>
      <c r="C3626" s="51"/>
      <c r="D3626" s="102"/>
      <c r="E3626" s="102"/>
      <c r="H3626" s="102"/>
      <c r="J3626" s="102"/>
      <c r="K3626" s="450"/>
      <c r="L3626" s="443"/>
      <c r="M3626" s="450"/>
      <c r="N3626" s="452"/>
      <c r="O3626" s="453"/>
      <c r="P3626" s="113"/>
      <c r="Q3626" s="106" t="str">
        <f>IF(ISBLANK(O3626), "", VLOOKUP(C3626&amp;" "&amp;D3626, 'Info Tipo de Cambio y REM'!$A$24:$B$35, 2, FALSE))</f>
        <v/>
      </c>
      <c r="R3626" s="107"/>
    </row>
    <row r="3627" hidden="1">
      <c r="A3627" s="443"/>
      <c r="B3627" s="43" t="str">
        <f>IF(A3627="", "", IFERROR(VLOOKUP(A3627, Clasificaciones!A:B, 2, FALSE), "DATO NO CARGADO"))
</f>
        <v/>
      </c>
      <c r="C3627" s="51"/>
      <c r="D3627" s="102"/>
      <c r="E3627" s="102"/>
      <c r="H3627" s="102"/>
      <c r="J3627" s="102"/>
      <c r="K3627" s="450"/>
      <c r="L3627" s="443"/>
      <c r="M3627" s="450"/>
      <c r="N3627" s="452"/>
      <c r="O3627" s="453"/>
      <c r="P3627" s="113"/>
      <c r="Q3627" s="106" t="str">
        <f>IF(ISBLANK(O3627), "", VLOOKUP(C3627&amp;" "&amp;D3627, 'Info Tipo de Cambio y REM'!$A$24:$B$35, 2, FALSE))</f>
        <v/>
      </c>
      <c r="R3627" s="107"/>
    </row>
    <row r="3628" hidden="1">
      <c r="A3628" s="443"/>
      <c r="B3628" s="43" t="str">
        <f>IF(A3628="", "", IFERROR(VLOOKUP(A3628, Clasificaciones!A:B, 2, FALSE), "DATO NO CARGADO"))
</f>
        <v/>
      </c>
      <c r="C3628" s="51"/>
      <c r="D3628" s="102"/>
      <c r="E3628" s="102"/>
      <c r="H3628" s="102"/>
      <c r="J3628" s="102"/>
      <c r="K3628" s="450"/>
      <c r="L3628" s="443"/>
      <c r="M3628" s="450"/>
      <c r="N3628" s="452"/>
      <c r="O3628" s="453"/>
      <c r="P3628" s="113"/>
      <c r="Q3628" s="106" t="str">
        <f>IF(ISBLANK(O3628), "", VLOOKUP(C3628&amp;" "&amp;D3628, 'Info Tipo de Cambio y REM'!$A$24:$B$35, 2, FALSE))</f>
        <v/>
      </c>
      <c r="R3628" s="107"/>
    </row>
    <row r="3629" hidden="1">
      <c r="A3629" s="443"/>
      <c r="B3629" s="43" t="str">
        <f>IF(A3629="", "", IFERROR(VLOOKUP(A3629, Clasificaciones!A:B, 2, FALSE), "DATO NO CARGADO"))
</f>
        <v/>
      </c>
      <c r="C3629" s="51"/>
      <c r="D3629" s="102"/>
      <c r="E3629" s="102"/>
      <c r="H3629" s="102"/>
      <c r="J3629" s="102"/>
      <c r="K3629" s="450"/>
      <c r="L3629" s="443"/>
      <c r="M3629" s="450"/>
      <c r="N3629" s="452"/>
      <c r="O3629" s="453"/>
      <c r="P3629" s="113"/>
      <c r="Q3629" s="106" t="str">
        <f>IF(ISBLANK(O3629), "", VLOOKUP(C3629&amp;" "&amp;D3629, 'Info Tipo de Cambio y REM'!$A$24:$B$35, 2, FALSE))</f>
        <v/>
      </c>
      <c r="R3629" s="107"/>
    </row>
    <row r="3630" hidden="1">
      <c r="A3630" s="443"/>
      <c r="B3630" s="43" t="str">
        <f>IF(A3630="", "", IFERROR(VLOOKUP(A3630, Clasificaciones!A:B, 2, FALSE), "DATO NO CARGADO"))
</f>
        <v/>
      </c>
      <c r="C3630" s="51"/>
      <c r="D3630" s="102"/>
      <c r="E3630" s="102"/>
      <c r="H3630" s="102"/>
      <c r="J3630" s="102"/>
      <c r="K3630" s="450"/>
      <c r="L3630" s="443"/>
      <c r="M3630" s="450"/>
      <c r="N3630" s="452"/>
      <c r="O3630" s="453"/>
      <c r="P3630" s="113"/>
      <c r="Q3630" s="106" t="str">
        <f>IF(ISBLANK(O3630), "", VLOOKUP(C3630&amp;" "&amp;D3630, 'Info Tipo de Cambio y REM'!$A$24:$B$35, 2, FALSE))</f>
        <v/>
      </c>
      <c r="R3630" s="107"/>
    </row>
    <row r="3631" hidden="1">
      <c r="A3631" s="443"/>
      <c r="B3631" s="43" t="str">
        <f>IF(A3631="", "", IFERROR(VLOOKUP(A3631, Clasificaciones!A:B, 2, FALSE), "DATO NO CARGADO"))
</f>
        <v/>
      </c>
      <c r="C3631" s="51"/>
      <c r="D3631" s="102"/>
      <c r="E3631" s="102"/>
      <c r="H3631" s="102"/>
      <c r="J3631" s="102"/>
      <c r="K3631" s="450"/>
      <c r="L3631" s="443"/>
      <c r="M3631" s="450"/>
      <c r="N3631" s="452"/>
      <c r="O3631" s="453"/>
      <c r="P3631" s="113"/>
      <c r="Q3631" s="106" t="str">
        <f>IF(ISBLANK(O3631), "", VLOOKUP(C3631&amp;" "&amp;D3631, 'Info Tipo de Cambio y REM'!$A$24:$B$35, 2, FALSE))</f>
        <v/>
      </c>
      <c r="R3631" s="107"/>
    </row>
    <row r="3632" hidden="1">
      <c r="A3632" s="443"/>
      <c r="B3632" s="43" t="str">
        <f>IF(A3632="", "", IFERROR(VLOOKUP(A3632, Clasificaciones!A:B, 2, FALSE), "DATO NO CARGADO"))
</f>
        <v/>
      </c>
      <c r="C3632" s="51"/>
      <c r="D3632" s="102"/>
      <c r="E3632" s="102"/>
      <c r="H3632" s="102"/>
      <c r="J3632" s="102"/>
      <c r="K3632" s="450"/>
      <c r="L3632" s="443"/>
      <c r="M3632" s="450"/>
      <c r="N3632" s="452"/>
      <c r="O3632" s="453"/>
      <c r="P3632" s="113"/>
      <c r="Q3632" s="106" t="str">
        <f>IF(ISBLANK(O3632), "", VLOOKUP(C3632&amp;" "&amp;D3632, 'Info Tipo de Cambio y REM'!$A$24:$B$35, 2, FALSE))</f>
        <v/>
      </c>
      <c r="R3632" s="107"/>
    </row>
    <row r="3633" hidden="1">
      <c r="A3633" s="443"/>
      <c r="B3633" s="43" t="str">
        <f>IF(A3633="", "", IFERROR(VLOOKUP(A3633, Clasificaciones!A:B, 2, FALSE), "DATO NO CARGADO"))
</f>
        <v/>
      </c>
      <c r="C3633" s="51"/>
      <c r="D3633" s="102"/>
      <c r="E3633" s="102"/>
      <c r="H3633" s="102"/>
      <c r="J3633" s="102"/>
      <c r="K3633" s="450"/>
      <c r="L3633" s="443"/>
      <c r="M3633" s="450"/>
      <c r="N3633" s="452"/>
      <c r="O3633" s="453"/>
      <c r="P3633" s="113"/>
      <c r="Q3633" s="106" t="str">
        <f>IF(ISBLANK(O3633), "", VLOOKUP(C3633&amp;" "&amp;D3633, 'Info Tipo de Cambio y REM'!$A$24:$B$35, 2, FALSE))</f>
        <v/>
      </c>
      <c r="R3633" s="107"/>
    </row>
    <row r="3634" hidden="1">
      <c r="A3634" s="443"/>
      <c r="B3634" s="43" t="str">
        <f>IF(A3634="", "", IFERROR(VLOOKUP(A3634, Clasificaciones!A:B, 2, FALSE), "DATO NO CARGADO"))
</f>
        <v/>
      </c>
      <c r="C3634" s="51"/>
      <c r="D3634" s="102"/>
      <c r="E3634" s="102"/>
      <c r="H3634" s="102"/>
      <c r="J3634" s="102"/>
      <c r="K3634" s="450"/>
      <c r="L3634" s="443"/>
      <c r="M3634" s="450"/>
      <c r="N3634" s="452"/>
      <c r="O3634" s="453"/>
      <c r="P3634" s="113"/>
      <c r="Q3634" s="106" t="str">
        <f>IF(ISBLANK(O3634), "", VLOOKUP(C3634&amp;" "&amp;D3634, 'Info Tipo de Cambio y REM'!$A$24:$B$35, 2, FALSE))</f>
        <v/>
      </c>
      <c r="R3634" s="107"/>
    </row>
    <row r="3635" hidden="1">
      <c r="A3635" s="443"/>
      <c r="B3635" s="43" t="str">
        <f>IF(A3635="", "", IFERROR(VLOOKUP(A3635, Clasificaciones!A:B, 2, FALSE), "DATO NO CARGADO"))
</f>
        <v/>
      </c>
      <c r="C3635" s="51"/>
      <c r="D3635" s="102"/>
      <c r="E3635" s="102"/>
      <c r="H3635" s="102"/>
      <c r="J3635" s="102"/>
      <c r="K3635" s="450"/>
      <c r="L3635" s="443"/>
      <c r="M3635" s="450"/>
      <c r="N3635" s="452"/>
      <c r="O3635" s="453"/>
      <c r="P3635" s="113"/>
      <c r="Q3635" s="106" t="str">
        <f>IF(ISBLANK(O3635), "", VLOOKUP(C3635&amp;" "&amp;D3635, 'Info Tipo de Cambio y REM'!$A$24:$B$35, 2, FALSE))</f>
        <v/>
      </c>
      <c r="R3635" s="107"/>
    </row>
    <row r="3636" hidden="1">
      <c r="A3636" s="443"/>
      <c r="B3636" s="43" t="str">
        <f>IF(A3636="", "", IFERROR(VLOOKUP(A3636, Clasificaciones!A:B, 2, FALSE), "DATO NO CARGADO"))
</f>
        <v/>
      </c>
      <c r="C3636" s="51"/>
      <c r="D3636" s="102"/>
      <c r="E3636" s="102"/>
      <c r="H3636" s="102"/>
      <c r="J3636" s="102"/>
      <c r="K3636" s="450"/>
      <c r="L3636" s="443"/>
      <c r="M3636" s="450"/>
      <c r="N3636" s="452"/>
      <c r="O3636" s="453"/>
      <c r="P3636" s="113"/>
      <c r="Q3636" s="106" t="str">
        <f>IF(ISBLANK(O3636), "", VLOOKUP(C3636&amp;" "&amp;D3636, 'Info Tipo de Cambio y REM'!$A$24:$B$35, 2, FALSE))</f>
        <v/>
      </c>
      <c r="R3636" s="107"/>
    </row>
    <row r="3637" hidden="1">
      <c r="A3637" s="443"/>
      <c r="B3637" s="43" t="str">
        <f>IF(A3637="", "", IFERROR(VLOOKUP(A3637, Clasificaciones!A:B, 2, FALSE), "DATO NO CARGADO"))
</f>
        <v/>
      </c>
      <c r="C3637" s="51"/>
      <c r="D3637" s="102"/>
      <c r="E3637" s="102"/>
      <c r="H3637" s="102"/>
      <c r="J3637" s="102"/>
      <c r="K3637" s="450"/>
      <c r="L3637" s="443"/>
      <c r="M3637" s="450"/>
      <c r="N3637" s="452"/>
      <c r="O3637" s="453"/>
      <c r="P3637" s="113"/>
      <c r="Q3637" s="106" t="str">
        <f>IF(ISBLANK(O3637), "", VLOOKUP(C3637&amp;" "&amp;D3637, 'Info Tipo de Cambio y REM'!$A$24:$B$35, 2, FALSE))</f>
        <v/>
      </c>
      <c r="R3637" s="107"/>
    </row>
    <row r="3638" hidden="1">
      <c r="A3638" s="443"/>
      <c r="B3638" s="43" t="str">
        <f>IF(A3638="", "", IFERROR(VLOOKUP(A3638, Clasificaciones!A:B, 2, FALSE), "DATO NO CARGADO"))
</f>
        <v/>
      </c>
      <c r="C3638" s="51"/>
      <c r="D3638" s="102"/>
      <c r="E3638" s="102"/>
      <c r="H3638" s="102"/>
      <c r="J3638" s="102"/>
      <c r="K3638" s="450"/>
      <c r="L3638" s="443"/>
      <c r="M3638" s="450"/>
      <c r="N3638" s="452"/>
      <c r="O3638" s="453"/>
      <c r="P3638" s="113"/>
      <c r="Q3638" s="106" t="str">
        <f>IF(ISBLANK(O3638), "", VLOOKUP(C3638&amp;" "&amp;D3638, 'Info Tipo de Cambio y REM'!$A$24:$B$35, 2, FALSE))</f>
        <v/>
      </c>
      <c r="R3638" s="107"/>
    </row>
    <row r="3639" hidden="1">
      <c r="A3639" s="443"/>
      <c r="B3639" s="43" t="str">
        <f>IF(A3639="", "", IFERROR(VLOOKUP(A3639, Clasificaciones!A:B, 2, FALSE), "DATO NO CARGADO"))
</f>
        <v/>
      </c>
      <c r="C3639" s="51"/>
      <c r="D3639" s="102"/>
      <c r="E3639" s="102"/>
      <c r="H3639" s="102"/>
      <c r="J3639" s="102"/>
      <c r="K3639" s="450"/>
      <c r="L3639" s="443"/>
      <c r="M3639" s="450"/>
      <c r="N3639" s="452"/>
      <c r="O3639" s="453"/>
      <c r="P3639" s="113"/>
      <c r="Q3639" s="106" t="str">
        <f>IF(ISBLANK(O3639), "", VLOOKUP(C3639&amp;" "&amp;D3639, 'Info Tipo de Cambio y REM'!$A$24:$B$35, 2, FALSE))</f>
        <v/>
      </c>
      <c r="R3639" s="107"/>
    </row>
    <row r="3640" hidden="1">
      <c r="A3640" s="443"/>
      <c r="B3640" s="43" t="str">
        <f>IF(A3640="", "", IFERROR(VLOOKUP(A3640, Clasificaciones!A:B, 2, FALSE), "DATO NO CARGADO"))
</f>
        <v/>
      </c>
      <c r="C3640" s="51"/>
      <c r="D3640" s="102"/>
      <c r="E3640" s="102"/>
      <c r="H3640" s="102"/>
      <c r="J3640" s="102"/>
      <c r="K3640" s="450"/>
      <c r="L3640" s="443"/>
      <c r="M3640" s="450"/>
      <c r="N3640" s="452"/>
      <c r="O3640" s="453"/>
      <c r="P3640" s="113"/>
      <c r="Q3640" s="106" t="str">
        <f>IF(ISBLANK(O3640), "", VLOOKUP(C3640&amp;" "&amp;D3640, 'Info Tipo de Cambio y REM'!$A$24:$B$35, 2, FALSE))</f>
        <v/>
      </c>
      <c r="R3640" s="107"/>
    </row>
    <row r="3641" hidden="1">
      <c r="A3641" s="443"/>
      <c r="B3641" s="43" t="str">
        <f>IF(A3641="", "", IFERROR(VLOOKUP(A3641, Clasificaciones!A:B, 2, FALSE), "DATO NO CARGADO"))
</f>
        <v/>
      </c>
      <c r="C3641" s="51"/>
      <c r="D3641" s="102"/>
      <c r="E3641" s="102"/>
      <c r="H3641" s="102"/>
      <c r="J3641" s="102"/>
      <c r="K3641" s="450"/>
      <c r="L3641" s="443"/>
      <c r="M3641" s="450"/>
      <c r="N3641" s="452"/>
      <c r="O3641" s="453"/>
      <c r="P3641" s="113"/>
      <c r="Q3641" s="106" t="str">
        <f>IF(ISBLANK(O3641), "", VLOOKUP(C3641&amp;" "&amp;D3641, 'Info Tipo de Cambio y REM'!$A$24:$B$35, 2, FALSE))</f>
        <v/>
      </c>
      <c r="R3641" s="107"/>
    </row>
    <row r="3642" hidden="1">
      <c r="A3642" s="443"/>
      <c r="B3642" s="43" t="str">
        <f>IF(A3642="", "", IFERROR(VLOOKUP(A3642, Clasificaciones!A:B, 2, FALSE), "DATO NO CARGADO"))
</f>
        <v/>
      </c>
      <c r="C3642" s="51"/>
      <c r="D3642" s="102"/>
      <c r="E3642" s="102"/>
      <c r="H3642" s="102"/>
      <c r="J3642" s="102"/>
      <c r="K3642" s="450"/>
      <c r="L3642" s="443"/>
      <c r="M3642" s="450"/>
      <c r="N3642" s="452"/>
      <c r="O3642" s="453"/>
      <c r="P3642" s="113"/>
      <c r="Q3642" s="106" t="str">
        <f>IF(ISBLANK(O3642), "", VLOOKUP(C3642&amp;" "&amp;D3642, 'Info Tipo de Cambio y REM'!$A$24:$B$35, 2, FALSE))</f>
        <v/>
      </c>
      <c r="R3642" s="107"/>
    </row>
    <row r="3643" hidden="1">
      <c r="A3643" s="443"/>
      <c r="B3643" s="43" t="str">
        <f>IF(A3643="", "", IFERROR(VLOOKUP(A3643, Clasificaciones!A:B, 2, FALSE), "DATO NO CARGADO"))
</f>
        <v/>
      </c>
      <c r="C3643" s="51"/>
      <c r="D3643" s="102"/>
      <c r="E3643" s="102"/>
      <c r="H3643" s="102"/>
      <c r="J3643" s="102"/>
      <c r="K3643" s="450"/>
      <c r="L3643" s="443"/>
      <c r="M3643" s="450"/>
      <c r="N3643" s="452"/>
      <c r="O3643" s="453"/>
      <c r="P3643" s="113"/>
      <c r="Q3643" s="106" t="str">
        <f>IF(ISBLANK(O3643), "", VLOOKUP(C3643&amp;" "&amp;D3643, 'Info Tipo de Cambio y REM'!$A$24:$B$35, 2, FALSE))</f>
        <v/>
      </c>
      <c r="R3643" s="107"/>
    </row>
    <row r="3644" hidden="1">
      <c r="A3644" s="443"/>
      <c r="B3644" s="43" t="str">
        <f>IF(A3644="", "", IFERROR(VLOOKUP(A3644, Clasificaciones!A:B, 2, FALSE), "DATO NO CARGADO"))
</f>
        <v/>
      </c>
      <c r="C3644" s="51"/>
      <c r="D3644" s="102"/>
      <c r="E3644" s="102"/>
      <c r="H3644" s="102"/>
      <c r="J3644" s="102"/>
      <c r="K3644" s="450"/>
      <c r="L3644" s="443"/>
      <c r="M3644" s="450"/>
      <c r="N3644" s="452"/>
      <c r="O3644" s="453"/>
      <c r="P3644" s="113"/>
      <c r="Q3644" s="106" t="str">
        <f>IF(ISBLANK(O3644), "", VLOOKUP(C3644&amp;" "&amp;D3644, 'Info Tipo de Cambio y REM'!$A$24:$B$35, 2, FALSE))</f>
        <v/>
      </c>
      <c r="R3644" s="107"/>
    </row>
    <row r="3645" hidden="1">
      <c r="A3645" s="443"/>
      <c r="B3645" s="43" t="str">
        <f>IF(A3645="", "", IFERROR(VLOOKUP(A3645, Clasificaciones!A:B, 2, FALSE), "DATO NO CARGADO"))
</f>
        <v/>
      </c>
      <c r="C3645" s="51"/>
      <c r="D3645" s="102"/>
      <c r="E3645" s="102"/>
      <c r="H3645" s="102"/>
      <c r="J3645" s="102"/>
      <c r="K3645" s="450"/>
      <c r="L3645" s="443"/>
      <c r="M3645" s="450"/>
      <c r="N3645" s="452"/>
      <c r="O3645" s="453"/>
      <c r="P3645" s="113"/>
      <c r="Q3645" s="106" t="str">
        <f>IF(ISBLANK(O3645), "", VLOOKUP(C3645&amp;" "&amp;D3645, 'Info Tipo de Cambio y REM'!$A$24:$B$35, 2, FALSE))</f>
        <v/>
      </c>
      <c r="R3645" s="107"/>
    </row>
    <row r="3646" hidden="1">
      <c r="A3646" s="443"/>
      <c r="B3646" s="43" t="str">
        <f>IF(A3646="", "", IFERROR(VLOOKUP(A3646, Clasificaciones!A:B, 2, FALSE), "DATO NO CARGADO"))
</f>
        <v/>
      </c>
      <c r="C3646" s="51"/>
      <c r="D3646" s="102"/>
      <c r="E3646" s="102"/>
      <c r="H3646" s="102"/>
      <c r="J3646" s="102"/>
      <c r="K3646" s="450"/>
      <c r="L3646" s="443"/>
      <c r="M3646" s="450"/>
      <c r="N3646" s="452"/>
      <c r="O3646" s="453"/>
      <c r="P3646" s="113"/>
      <c r="Q3646" s="106" t="str">
        <f>IF(ISBLANK(O3646), "", VLOOKUP(C3646&amp;" "&amp;D3646, 'Info Tipo de Cambio y REM'!$A$24:$B$35, 2, FALSE))</f>
        <v/>
      </c>
      <c r="R3646" s="107"/>
    </row>
    <row r="3647" hidden="1">
      <c r="A3647" s="443"/>
      <c r="B3647" s="43" t="str">
        <f>IF(A3647="", "", IFERROR(VLOOKUP(A3647, Clasificaciones!A:B, 2, FALSE), "DATO NO CARGADO"))
</f>
        <v/>
      </c>
      <c r="C3647" s="51"/>
      <c r="D3647" s="102"/>
      <c r="E3647" s="102"/>
      <c r="H3647" s="102"/>
      <c r="J3647" s="102"/>
      <c r="K3647" s="450"/>
      <c r="L3647" s="443"/>
      <c r="M3647" s="450"/>
      <c r="N3647" s="452"/>
      <c r="O3647" s="453"/>
      <c r="P3647" s="113"/>
      <c r="Q3647" s="106" t="str">
        <f>IF(ISBLANK(O3647), "", VLOOKUP(C3647&amp;" "&amp;D3647, 'Info Tipo de Cambio y REM'!$A$24:$B$35, 2, FALSE))</f>
        <v/>
      </c>
      <c r="R3647" s="107"/>
    </row>
    <row r="3648" hidden="1">
      <c r="A3648" s="443"/>
      <c r="B3648" s="43" t="str">
        <f>IF(A3648="", "", IFERROR(VLOOKUP(A3648, Clasificaciones!A:B, 2, FALSE), "DATO NO CARGADO"))
</f>
        <v/>
      </c>
      <c r="C3648" s="51"/>
      <c r="D3648" s="102"/>
      <c r="E3648" s="102"/>
      <c r="H3648" s="102"/>
      <c r="J3648" s="102"/>
      <c r="K3648" s="450"/>
      <c r="L3648" s="443"/>
      <c r="M3648" s="450"/>
      <c r="N3648" s="452"/>
      <c r="O3648" s="453"/>
      <c r="P3648" s="113"/>
      <c r="Q3648" s="106" t="str">
        <f>IF(ISBLANK(O3648), "", VLOOKUP(C3648&amp;" "&amp;D3648, 'Info Tipo de Cambio y REM'!$A$24:$B$35, 2, FALSE))</f>
        <v/>
      </c>
      <c r="R3648" s="107"/>
    </row>
    <row r="3649" hidden="1">
      <c r="A3649" s="443"/>
      <c r="B3649" s="43" t="str">
        <f>IF(A3649="", "", IFERROR(VLOOKUP(A3649, Clasificaciones!A:B, 2, FALSE), "DATO NO CARGADO"))
</f>
        <v/>
      </c>
      <c r="C3649" s="51"/>
      <c r="D3649" s="102"/>
      <c r="E3649" s="102"/>
      <c r="H3649" s="102"/>
      <c r="J3649" s="102"/>
      <c r="K3649" s="450"/>
      <c r="L3649" s="443"/>
      <c r="M3649" s="450"/>
      <c r="N3649" s="452"/>
      <c r="O3649" s="453"/>
      <c r="P3649" s="113"/>
      <c r="Q3649" s="106" t="str">
        <f>IF(ISBLANK(O3649), "", VLOOKUP(C3649&amp;" "&amp;D3649, 'Info Tipo de Cambio y REM'!$A$24:$B$35, 2, FALSE))</f>
        <v/>
      </c>
      <c r="R3649" s="107"/>
    </row>
    <row r="3650" hidden="1">
      <c r="A3650" s="443"/>
      <c r="B3650" s="43" t="str">
        <f>IF(A3650="", "", IFERROR(VLOOKUP(A3650, Clasificaciones!A:B, 2, FALSE), "DATO NO CARGADO"))
</f>
        <v/>
      </c>
      <c r="C3650" s="51"/>
      <c r="D3650" s="102"/>
      <c r="E3650" s="102"/>
      <c r="H3650" s="102"/>
      <c r="J3650" s="102"/>
      <c r="K3650" s="450"/>
      <c r="L3650" s="443"/>
      <c r="M3650" s="450"/>
      <c r="N3650" s="452"/>
      <c r="O3650" s="453"/>
      <c r="P3650" s="113"/>
      <c r="Q3650" s="106" t="str">
        <f>IF(ISBLANK(O3650), "", VLOOKUP(C3650&amp;" "&amp;D3650, 'Info Tipo de Cambio y REM'!$A$24:$B$35, 2, FALSE))</f>
        <v/>
      </c>
      <c r="R3650" s="107"/>
    </row>
    <row r="3651" hidden="1">
      <c r="A3651" s="443"/>
      <c r="B3651" s="43" t="str">
        <f>IF(A3651="", "", IFERROR(VLOOKUP(A3651, Clasificaciones!A:B, 2, FALSE), "DATO NO CARGADO"))
</f>
        <v/>
      </c>
      <c r="C3651" s="51"/>
      <c r="D3651" s="102"/>
      <c r="E3651" s="102"/>
      <c r="H3651" s="102"/>
      <c r="J3651" s="102"/>
      <c r="K3651" s="450"/>
      <c r="L3651" s="443"/>
      <c r="M3651" s="450"/>
      <c r="N3651" s="452"/>
      <c r="O3651" s="453"/>
      <c r="P3651" s="113"/>
      <c r="Q3651" s="106" t="str">
        <f>IF(ISBLANK(O3651), "", VLOOKUP(C3651&amp;" "&amp;D3651, 'Info Tipo de Cambio y REM'!$A$24:$B$35, 2, FALSE))</f>
        <v/>
      </c>
      <c r="R3651" s="107"/>
    </row>
    <row r="3652" hidden="1">
      <c r="A3652" s="443"/>
      <c r="B3652" s="43" t="str">
        <f>IF(A3652="", "", IFERROR(VLOOKUP(A3652, Clasificaciones!A:B, 2, FALSE), "DATO NO CARGADO"))
</f>
        <v/>
      </c>
      <c r="C3652" s="51"/>
      <c r="D3652" s="102"/>
      <c r="E3652" s="102"/>
      <c r="H3652" s="102"/>
      <c r="J3652" s="102"/>
      <c r="K3652" s="450"/>
      <c r="L3652" s="443"/>
      <c r="M3652" s="450"/>
      <c r="N3652" s="452"/>
      <c r="O3652" s="453"/>
      <c r="P3652" s="113"/>
      <c r="Q3652" s="106" t="str">
        <f>IF(ISBLANK(O3652), "", VLOOKUP(C3652&amp;" "&amp;D3652, 'Info Tipo de Cambio y REM'!$A$24:$B$35, 2, FALSE))</f>
        <v/>
      </c>
      <c r="R3652" s="107"/>
    </row>
    <row r="3653" hidden="1">
      <c r="A3653" s="443"/>
      <c r="B3653" s="43" t="str">
        <f>IF(A3653="", "", IFERROR(VLOOKUP(A3653, Clasificaciones!A:B, 2, FALSE), "DATO NO CARGADO"))
</f>
        <v/>
      </c>
      <c r="C3653" s="51"/>
      <c r="D3653" s="102"/>
      <c r="E3653" s="102"/>
      <c r="H3653" s="102"/>
      <c r="J3653" s="102"/>
      <c r="K3653" s="450"/>
      <c r="L3653" s="443"/>
      <c r="M3653" s="450"/>
      <c r="N3653" s="452"/>
      <c r="O3653" s="453"/>
      <c r="P3653" s="113"/>
      <c r="Q3653" s="106" t="str">
        <f>IF(ISBLANK(O3653), "", VLOOKUP(C3653&amp;" "&amp;D3653, 'Info Tipo de Cambio y REM'!$A$24:$B$35, 2, FALSE))</f>
        <v/>
      </c>
      <c r="R3653" s="107"/>
    </row>
    <row r="3654" hidden="1">
      <c r="A3654" s="443"/>
      <c r="B3654" s="43" t="str">
        <f>IF(A3654="", "", IFERROR(VLOOKUP(A3654, Clasificaciones!A:B, 2, FALSE), "DATO NO CARGADO"))
</f>
        <v/>
      </c>
      <c r="C3654" s="51"/>
      <c r="D3654" s="102"/>
      <c r="E3654" s="102"/>
      <c r="H3654" s="102"/>
      <c r="J3654" s="102"/>
      <c r="K3654" s="450"/>
      <c r="L3654" s="443"/>
      <c r="M3654" s="450"/>
      <c r="N3654" s="452"/>
      <c r="O3654" s="453"/>
      <c r="P3654" s="113"/>
      <c r="Q3654" s="106" t="str">
        <f>IF(ISBLANK(O3654), "", VLOOKUP(C3654&amp;" "&amp;D3654, 'Info Tipo de Cambio y REM'!$A$24:$B$35, 2, FALSE))</f>
        <v/>
      </c>
      <c r="R3654" s="107"/>
    </row>
    <row r="3655" hidden="1">
      <c r="A3655" s="443"/>
      <c r="B3655" s="43" t="str">
        <f>IF(A3655="", "", IFERROR(VLOOKUP(A3655, Clasificaciones!A:B, 2, FALSE), "DATO NO CARGADO"))
</f>
        <v/>
      </c>
      <c r="C3655" s="51"/>
      <c r="D3655" s="102"/>
      <c r="E3655" s="102"/>
      <c r="H3655" s="102"/>
      <c r="J3655" s="102"/>
      <c r="K3655" s="450"/>
      <c r="L3655" s="443"/>
      <c r="M3655" s="450"/>
      <c r="N3655" s="452"/>
      <c r="O3655" s="453"/>
      <c r="P3655" s="113"/>
      <c r="Q3655" s="106" t="str">
        <f>IF(ISBLANK(O3655), "", VLOOKUP(C3655&amp;" "&amp;D3655, 'Info Tipo de Cambio y REM'!$A$24:$B$35, 2, FALSE))</f>
        <v/>
      </c>
      <c r="R3655" s="107"/>
    </row>
    <row r="3656" hidden="1">
      <c r="A3656" s="443"/>
      <c r="B3656" s="43" t="str">
        <f>IF(A3656="", "", IFERROR(VLOOKUP(A3656, Clasificaciones!A:B, 2, FALSE), "DATO NO CARGADO"))
</f>
        <v/>
      </c>
      <c r="C3656" s="51"/>
      <c r="D3656" s="102"/>
      <c r="E3656" s="102"/>
      <c r="H3656" s="102"/>
      <c r="J3656" s="102"/>
      <c r="K3656" s="450"/>
      <c r="L3656" s="443"/>
      <c r="M3656" s="450"/>
      <c r="N3656" s="452"/>
      <c r="O3656" s="453"/>
      <c r="P3656" s="113"/>
      <c r="Q3656" s="106" t="str">
        <f>IF(ISBLANK(O3656), "", VLOOKUP(C3656&amp;" "&amp;D3656, 'Info Tipo de Cambio y REM'!$A$24:$B$35, 2, FALSE))</f>
        <v/>
      </c>
      <c r="R3656" s="107"/>
    </row>
    <row r="3657" hidden="1">
      <c r="A3657" s="443"/>
      <c r="B3657" s="43" t="str">
        <f>IF(A3657="", "", IFERROR(VLOOKUP(A3657, Clasificaciones!A:B, 2, FALSE), "DATO NO CARGADO"))
</f>
        <v/>
      </c>
      <c r="C3657" s="51"/>
      <c r="D3657" s="102"/>
      <c r="E3657" s="102"/>
      <c r="H3657" s="102"/>
      <c r="J3657" s="102"/>
      <c r="K3657" s="450"/>
      <c r="L3657" s="443"/>
      <c r="M3657" s="450"/>
      <c r="N3657" s="452"/>
      <c r="O3657" s="453"/>
      <c r="P3657" s="113"/>
      <c r="Q3657" s="106" t="str">
        <f>IF(ISBLANK(O3657), "", VLOOKUP(C3657&amp;" "&amp;D3657, 'Info Tipo de Cambio y REM'!$A$24:$B$35, 2, FALSE))</f>
        <v/>
      </c>
      <c r="R3657" s="107"/>
    </row>
    <row r="3658" hidden="1">
      <c r="A3658" s="443"/>
      <c r="B3658" s="43" t="str">
        <f>IF(A3658="", "", IFERROR(VLOOKUP(A3658, Clasificaciones!A:B, 2, FALSE), "DATO NO CARGADO"))
</f>
        <v/>
      </c>
      <c r="C3658" s="51"/>
      <c r="D3658" s="102"/>
      <c r="E3658" s="102"/>
      <c r="H3658" s="102"/>
      <c r="J3658" s="102"/>
      <c r="K3658" s="450"/>
      <c r="L3658" s="443"/>
      <c r="M3658" s="450"/>
      <c r="N3658" s="452"/>
      <c r="O3658" s="453"/>
      <c r="P3658" s="113"/>
      <c r="Q3658" s="106" t="str">
        <f>IF(ISBLANK(O3658), "", VLOOKUP(C3658&amp;" "&amp;D3658, 'Info Tipo de Cambio y REM'!$A$24:$B$35, 2, FALSE))</f>
        <v/>
      </c>
      <c r="R3658" s="107"/>
    </row>
    <row r="3659" hidden="1">
      <c r="A3659" s="443"/>
      <c r="B3659" s="43" t="str">
        <f>IF(A3659="", "", IFERROR(VLOOKUP(A3659, Clasificaciones!A:B, 2, FALSE), "DATO NO CARGADO"))
</f>
        <v/>
      </c>
      <c r="C3659" s="51"/>
      <c r="D3659" s="102"/>
      <c r="E3659" s="102"/>
      <c r="H3659" s="102"/>
      <c r="J3659" s="102"/>
      <c r="K3659" s="450"/>
      <c r="L3659" s="443"/>
      <c r="M3659" s="450"/>
      <c r="N3659" s="452"/>
      <c r="O3659" s="453"/>
      <c r="P3659" s="113"/>
      <c r="Q3659" s="106" t="str">
        <f>IF(ISBLANK(O3659), "", VLOOKUP(C3659&amp;" "&amp;D3659, 'Info Tipo de Cambio y REM'!$A$24:$B$35, 2, FALSE))</f>
        <v/>
      </c>
      <c r="R3659" s="107"/>
    </row>
    <row r="3660" hidden="1">
      <c r="A3660" s="443"/>
      <c r="B3660" s="43" t="str">
        <f>IF(A3660="", "", IFERROR(VLOOKUP(A3660, Clasificaciones!A:B, 2, FALSE), "DATO NO CARGADO"))
</f>
        <v/>
      </c>
      <c r="C3660" s="51"/>
      <c r="D3660" s="102"/>
      <c r="E3660" s="102"/>
      <c r="H3660" s="102"/>
      <c r="J3660" s="102"/>
      <c r="K3660" s="450"/>
      <c r="L3660" s="443"/>
      <c r="M3660" s="450"/>
      <c r="N3660" s="452"/>
      <c r="O3660" s="453"/>
      <c r="P3660" s="113"/>
      <c r="Q3660" s="106" t="str">
        <f>IF(ISBLANK(O3660), "", VLOOKUP(C3660&amp;" "&amp;D3660, 'Info Tipo de Cambio y REM'!$A$24:$B$35, 2, FALSE))</f>
        <v/>
      </c>
      <c r="R3660" s="107"/>
    </row>
    <row r="3661" hidden="1">
      <c r="A3661" s="443"/>
      <c r="B3661" s="43" t="str">
        <f>IF(A3661="", "", IFERROR(VLOOKUP(A3661, Clasificaciones!A:B, 2, FALSE), "DATO NO CARGADO"))
</f>
        <v/>
      </c>
      <c r="C3661" s="51"/>
      <c r="D3661" s="102"/>
      <c r="E3661" s="102"/>
      <c r="H3661" s="102"/>
      <c r="J3661" s="102"/>
      <c r="K3661" s="450"/>
      <c r="L3661" s="443"/>
      <c r="M3661" s="450"/>
      <c r="N3661" s="452"/>
      <c r="O3661" s="453"/>
      <c r="P3661" s="113"/>
      <c r="Q3661" s="106" t="str">
        <f>IF(ISBLANK(O3661), "", VLOOKUP(C3661&amp;" "&amp;D3661, 'Info Tipo de Cambio y REM'!$A$24:$B$35, 2, FALSE))</f>
        <v/>
      </c>
      <c r="R3661" s="107"/>
    </row>
    <row r="3662" hidden="1">
      <c r="A3662" s="443"/>
      <c r="B3662" s="43" t="str">
        <f>IF(A3662="", "", IFERROR(VLOOKUP(A3662, Clasificaciones!A:B, 2, FALSE), "DATO NO CARGADO"))
</f>
        <v/>
      </c>
      <c r="C3662" s="51"/>
      <c r="D3662" s="102"/>
      <c r="E3662" s="102"/>
      <c r="H3662" s="102"/>
      <c r="J3662" s="102"/>
      <c r="K3662" s="450"/>
      <c r="L3662" s="443"/>
      <c r="M3662" s="450"/>
      <c r="N3662" s="452"/>
      <c r="O3662" s="453"/>
      <c r="P3662" s="113"/>
      <c r="Q3662" s="106" t="str">
        <f>IF(ISBLANK(O3662), "", VLOOKUP(C3662&amp;" "&amp;D3662, 'Info Tipo de Cambio y REM'!$A$24:$B$35, 2, FALSE))</f>
        <v/>
      </c>
      <c r="R3662" s="107"/>
    </row>
    <row r="3663" hidden="1">
      <c r="A3663" s="443"/>
      <c r="B3663" s="43" t="str">
        <f>IF(A3663="", "", IFERROR(VLOOKUP(A3663, Clasificaciones!A:B, 2, FALSE), "DATO NO CARGADO"))
</f>
        <v/>
      </c>
      <c r="C3663" s="51"/>
      <c r="D3663" s="102"/>
      <c r="E3663" s="102"/>
      <c r="H3663" s="102"/>
      <c r="J3663" s="102"/>
      <c r="K3663" s="450"/>
      <c r="L3663" s="443"/>
      <c r="M3663" s="450"/>
      <c r="N3663" s="452"/>
      <c r="O3663" s="453"/>
      <c r="P3663" s="113"/>
      <c r="Q3663" s="106" t="str">
        <f>IF(ISBLANK(O3663), "", VLOOKUP(C3663&amp;" "&amp;D3663, 'Info Tipo de Cambio y REM'!$A$24:$B$35, 2, FALSE))</f>
        <v/>
      </c>
      <c r="R3663" s="107"/>
    </row>
    <row r="3664" hidden="1">
      <c r="A3664" s="443"/>
      <c r="B3664" s="43" t="str">
        <f>IF(A3664="", "", IFERROR(VLOOKUP(A3664, Clasificaciones!A:B, 2, FALSE), "DATO NO CARGADO"))
</f>
        <v/>
      </c>
      <c r="C3664" s="51"/>
      <c r="D3664" s="102"/>
      <c r="E3664" s="102"/>
      <c r="H3664" s="102"/>
      <c r="J3664" s="102"/>
      <c r="K3664" s="450"/>
      <c r="L3664" s="443"/>
      <c r="M3664" s="450"/>
      <c r="N3664" s="452"/>
      <c r="O3664" s="453"/>
      <c r="P3664" s="113"/>
      <c r="Q3664" s="106" t="str">
        <f>IF(ISBLANK(O3664), "", VLOOKUP(C3664&amp;" "&amp;D3664, 'Info Tipo de Cambio y REM'!$A$24:$B$35, 2, FALSE))</f>
        <v/>
      </c>
      <c r="R3664" s="107"/>
    </row>
    <row r="3665" hidden="1">
      <c r="A3665" s="443"/>
      <c r="B3665" s="43" t="str">
        <f>IF(A3665="", "", IFERROR(VLOOKUP(A3665, Clasificaciones!A:B, 2, FALSE), "DATO NO CARGADO"))
</f>
        <v/>
      </c>
      <c r="C3665" s="51"/>
      <c r="D3665" s="102"/>
      <c r="E3665" s="102"/>
      <c r="H3665" s="102"/>
      <c r="J3665" s="102"/>
      <c r="K3665" s="450"/>
      <c r="L3665" s="443"/>
      <c r="M3665" s="450"/>
      <c r="N3665" s="452"/>
      <c r="O3665" s="453"/>
      <c r="P3665" s="113"/>
      <c r="Q3665" s="106" t="str">
        <f>IF(ISBLANK(O3665), "", VLOOKUP(C3665&amp;" "&amp;D3665, 'Info Tipo de Cambio y REM'!$A$24:$B$35, 2, FALSE))</f>
        <v/>
      </c>
      <c r="R3665" s="107"/>
    </row>
    <row r="3666" hidden="1">
      <c r="A3666" s="443"/>
      <c r="B3666" s="43" t="str">
        <f>IF(A3666="", "", IFERROR(VLOOKUP(A3666, Clasificaciones!A:B, 2, FALSE), "DATO NO CARGADO"))
</f>
        <v/>
      </c>
      <c r="C3666" s="51"/>
      <c r="D3666" s="102"/>
      <c r="E3666" s="102"/>
      <c r="H3666" s="102"/>
      <c r="J3666" s="102"/>
      <c r="K3666" s="450"/>
      <c r="L3666" s="443"/>
      <c r="M3666" s="450"/>
      <c r="N3666" s="452"/>
      <c r="O3666" s="453"/>
      <c r="P3666" s="113"/>
      <c r="Q3666" s="106" t="str">
        <f>IF(ISBLANK(O3666), "", VLOOKUP(C3666&amp;" "&amp;D3666, 'Info Tipo de Cambio y REM'!$A$24:$B$35, 2, FALSE))</f>
        <v/>
      </c>
      <c r="R3666" s="107"/>
    </row>
    <row r="3667" hidden="1">
      <c r="A3667" s="443"/>
      <c r="B3667" s="43" t="str">
        <f>IF(A3667="", "", IFERROR(VLOOKUP(A3667, Clasificaciones!A:B, 2, FALSE), "DATO NO CARGADO"))
</f>
        <v/>
      </c>
      <c r="C3667" s="51"/>
      <c r="D3667" s="102"/>
      <c r="E3667" s="102"/>
      <c r="H3667" s="102"/>
      <c r="J3667" s="102"/>
      <c r="K3667" s="450"/>
      <c r="L3667" s="443"/>
      <c r="M3667" s="450"/>
      <c r="N3667" s="452"/>
      <c r="O3667" s="453"/>
      <c r="P3667" s="113"/>
      <c r="Q3667" s="106" t="str">
        <f>IF(ISBLANK(O3667), "", VLOOKUP(C3667&amp;" "&amp;D3667, 'Info Tipo de Cambio y REM'!$A$24:$B$35, 2, FALSE))</f>
        <v/>
      </c>
      <c r="R3667" s="107"/>
    </row>
    <row r="3668" hidden="1">
      <c r="A3668" s="443"/>
      <c r="B3668" s="43" t="str">
        <f>IF(A3668="", "", IFERROR(VLOOKUP(A3668, Clasificaciones!A:B, 2, FALSE), "DATO NO CARGADO"))
</f>
        <v/>
      </c>
      <c r="C3668" s="51"/>
      <c r="D3668" s="102"/>
      <c r="E3668" s="102"/>
      <c r="H3668" s="102"/>
      <c r="J3668" s="102"/>
      <c r="K3668" s="450"/>
      <c r="L3668" s="443"/>
      <c r="M3668" s="450"/>
      <c r="N3668" s="452"/>
      <c r="O3668" s="453"/>
      <c r="P3668" s="113"/>
      <c r="Q3668" s="106" t="str">
        <f>IF(ISBLANK(O3668), "", VLOOKUP(C3668&amp;" "&amp;D3668, 'Info Tipo de Cambio y REM'!$A$24:$B$35, 2, FALSE))</f>
        <v/>
      </c>
      <c r="R3668" s="107"/>
    </row>
    <row r="3669" hidden="1">
      <c r="A3669" s="443"/>
      <c r="B3669" s="43" t="str">
        <f>IF(A3669="", "", IFERROR(VLOOKUP(A3669, Clasificaciones!A:B, 2, FALSE), "DATO NO CARGADO"))
</f>
        <v/>
      </c>
      <c r="C3669" s="51"/>
      <c r="D3669" s="102"/>
      <c r="E3669" s="102"/>
      <c r="H3669" s="102"/>
      <c r="J3669" s="102"/>
      <c r="K3669" s="450"/>
      <c r="L3669" s="443"/>
      <c r="M3669" s="450"/>
      <c r="N3669" s="452"/>
      <c r="O3669" s="453"/>
      <c r="P3669" s="113"/>
      <c r="Q3669" s="106" t="str">
        <f>IF(ISBLANK(O3669), "", VLOOKUP(C3669&amp;" "&amp;D3669, 'Info Tipo de Cambio y REM'!$A$24:$B$35, 2, FALSE))</f>
        <v/>
      </c>
      <c r="R3669" s="107"/>
    </row>
    <row r="3670" hidden="1">
      <c r="A3670" s="443"/>
      <c r="B3670" s="43" t="str">
        <f>IF(A3670="", "", IFERROR(VLOOKUP(A3670, Clasificaciones!A:B, 2, FALSE), "DATO NO CARGADO"))
</f>
        <v/>
      </c>
      <c r="C3670" s="51"/>
      <c r="D3670" s="102"/>
      <c r="E3670" s="102"/>
      <c r="H3670" s="102"/>
      <c r="J3670" s="102"/>
      <c r="K3670" s="450"/>
      <c r="L3670" s="443"/>
      <c r="M3670" s="450"/>
      <c r="N3670" s="452"/>
      <c r="O3670" s="453"/>
      <c r="P3670" s="113"/>
      <c r="Q3670" s="106" t="str">
        <f>IF(ISBLANK(O3670), "", VLOOKUP(C3670&amp;" "&amp;D3670, 'Info Tipo de Cambio y REM'!$A$24:$B$35, 2, FALSE))</f>
        <v/>
      </c>
      <c r="R3670" s="107"/>
    </row>
    <row r="3671" hidden="1">
      <c r="A3671" s="443"/>
      <c r="B3671" s="43" t="str">
        <f>IF(A3671="", "", IFERROR(VLOOKUP(A3671, Clasificaciones!A:B, 2, FALSE), "DATO NO CARGADO"))
</f>
        <v/>
      </c>
      <c r="C3671" s="51"/>
      <c r="D3671" s="102"/>
      <c r="E3671" s="102"/>
      <c r="H3671" s="102"/>
      <c r="J3671" s="102"/>
      <c r="K3671" s="450"/>
      <c r="L3671" s="443"/>
      <c r="M3671" s="450"/>
      <c r="N3671" s="452"/>
      <c r="O3671" s="453"/>
      <c r="P3671" s="113"/>
      <c r="Q3671" s="106" t="str">
        <f>IF(ISBLANK(O3671), "", VLOOKUP(C3671&amp;" "&amp;D3671, 'Info Tipo de Cambio y REM'!$A$24:$B$35, 2, FALSE))</f>
        <v/>
      </c>
      <c r="R3671" s="107"/>
    </row>
    <row r="3672" hidden="1">
      <c r="A3672" s="443"/>
      <c r="B3672" s="43" t="str">
        <f>IF(A3672="", "", IFERROR(VLOOKUP(A3672, Clasificaciones!A:B, 2, FALSE), "DATO NO CARGADO"))
</f>
        <v/>
      </c>
      <c r="C3672" s="51"/>
      <c r="D3672" s="102"/>
      <c r="E3672" s="102"/>
      <c r="H3672" s="102"/>
      <c r="J3672" s="102"/>
      <c r="K3672" s="450"/>
      <c r="L3672" s="443"/>
      <c r="M3672" s="450"/>
      <c r="N3672" s="452"/>
      <c r="O3672" s="453"/>
      <c r="P3672" s="113"/>
      <c r="Q3672" s="106" t="str">
        <f>IF(ISBLANK(O3672), "", VLOOKUP(C3672&amp;" "&amp;D3672, 'Info Tipo de Cambio y REM'!$A$24:$B$35, 2, FALSE))</f>
        <v/>
      </c>
      <c r="R3672" s="107"/>
    </row>
    <row r="3673" hidden="1">
      <c r="A3673" s="443"/>
      <c r="B3673" s="43" t="str">
        <f>IF(A3673="", "", IFERROR(VLOOKUP(A3673, Clasificaciones!A:B, 2, FALSE), "DATO NO CARGADO"))
</f>
        <v/>
      </c>
      <c r="C3673" s="51"/>
      <c r="D3673" s="102"/>
      <c r="E3673" s="102"/>
      <c r="H3673" s="102"/>
      <c r="J3673" s="102"/>
      <c r="K3673" s="450"/>
      <c r="L3673" s="443"/>
      <c r="M3673" s="450"/>
      <c r="N3673" s="452"/>
      <c r="O3673" s="453"/>
      <c r="P3673" s="113"/>
      <c r="Q3673" s="106" t="str">
        <f>IF(ISBLANK(O3673), "", VLOOKUP(C3673&amp;" "&amp;D3673, 'Info Tipo de Cambio y REM'!$A$24:$B$35, 2, FALSE))</f>
        <v/>
      </c>
      <c r="R3673" s="107"/>
    </row>
    <row r="3674" hidden="1">
      <c r="A3674" s="443"/>
      <c r="B3674" s="43" t="str">
        <f>IF(A3674="", "", IFERROR(VLOOKUP(A3674, Clasificaciones!A:B, 2, FALSE), "DATO NO CARGADO"))
</f>
        <v/>
      </c>
      <c r="C3674" s="51"/>
      <c r="D3674" s="102"/>
      <c r="E3674" s="102"/>
      <c r="H3674" s="102"/>
      <c r="J3674" s="102"/>
      <c r="K3674" s="450"/>
      <c r="L3674" s="443"/>
      <c r="M3674" s="450"/>
      <c r="N3674" s="452"/>
      <c r="O3674" s="453"/>
      <c r="P3674" s="113"/>
      <c r="Q3674" s="106" t="str">
        <f>IF(ISBLANK(O3674), "", VLOOKUP(C3674&amp;" "&amp;D3674, 'Info Tipo de Cambio y REM'!$A$24:$B$35, 2, FALSE))</f>
        <v/>
      </c>
      <c r="R3674" s="107"/>
    </row>
    <row r="3675" hidden="1">
      <c r="A3675" s="443"/>
      <c r="B3675" s="43" t="str">
        <f>IF(A3675="", "", IFERROR(VLOOKUP(A3675, Clasificaciones!A:B, 2, FALSE), "DATO NO CARGADO"))
</f>
        <v/>
      </c>
      <c r="C3675" s="51"/>
      <c r="D3675" s="102"/>
      <c r="E3675" s="102"/>
      <c r="H3675" s="102"/>
      <c r="J3675" s="102"/>
      <c r="K3675" s="450"/>
      <c r="L3675" s="443"/>
      <c r="M3675" s="450"/>
      <c r="N3675" s="452"/>
      <c r="O3675" s="453"/>
      <c r="P3675" s="113"/>
      <c r="Q3675" s="106" t="str">
        <f>IF(ISBLANK(O3675), "", VLOOKUP(C3675&amp;" "&amp;D3675, 'Info Tipo de Cambio y REM'!$A$24:$B$35, 2, FALSE))</f>
        <v/>
      </c>
      <c r="R3675" s="107"/>
    </row>
    <row r="3676" hidden="1">
      <c r="A3676" s="443"/>
      <c r="B3676" s="43" t="str">
        <f>IF(A3676="", "", IFERROR(VLOOKUP(A3676, Clasificaciones!A:B, 2, FALSE), "DATO NO CARGADO"))
</f>
        <v/>
      </c>
      <c r="C3676" s="51"/>
      <c r="D3676" s="102"/>
      <c r="E3676" s="102"/>
      <c r="H3676" s="102"/>
      <c r="J3676" s="102"/>
      <c r="K3676" s="450"/>
      <c r="L3676" s="443"/>
      <c r="M3676" s="450"/>
      <c r="N3676" s="452"/>
      <c r="O3676" s="453"/>
      <c r="P3676" s="113"/>
      <c r="Q3676" s="106" t="str">
        <f>IF(ISBLANK(O3676), "", VLOOKUP(C3676&amp;" "&amp;D3676, 'Info Tipo de Cambio y REM'!$A$24:$B$35, 2, FALSE))</f>
        <v/>
      </c>
      <c r="R3676" s="107"/>
    </row>
    <row r="3677" hidden="1">
      <c r="A3677" s="443"/>
      <c r="B3677" s="43" t="str">
        <f>IF(A3677="", "", IFERROR(VLOOKUP(A3677, Clasificaciones!A:B, 2, FALSE), "DATO NO CARGADO"))
</f>
        <v/>
      </c>
      <c r="C3677" s="51"/>
      <c r="D3677" s="102"/>
      <c r="E3677" s="102"/>
      <c r="H3677" s="102"/>
      <c r="J3677" s="102"/>
      <c r="K3677" s="450"/>
      <c r="L3677" s="443"/>
      <c r="M3677" s="450"/>
      <c r="N3677" s="452"/>
      <c r="O3677" s="453"/>
      <c r="P3677" s="113"/>
      <c r="Q3677" s="106" t="str">
        <f>IF(ISBLANK(O3677), "", VLOOKUP(C3677&amp;" "&amp;D3677, 'Info Tipo de Cambio y REM'!$A$24:$B$35, 2, FALSE))</f>
        <v/>
      </c>
      <c r="R3677" s="107"/>
    </row>
    <row r="3678" hidden="1">
      <c r="A3678" s="443"/>
      <c r="B3678" s="43" t="str">
        <f>IF(A3678="", "", IFERROR(VLOOKUP(A3678, Clasificaciones!A:B, 2, FALSE), "DATO NO CARGADO"))
</f>
        <v/>
      </c>
      <c r="C3678" s="51"/>
      <c r="D3678" s="102"/>
      <c r="E3678" s="102"/>
      <c r="H3678" s="102"/>
      <c r="J3678" s="102"/>
      <c r="K3678" s="450"/>
      <c r="L3678" s="443"/>
      <c r="M3678" s="450"/>
      <c r="N3678" s="452"/>
      <c r="O3678" s="453"/>
      <c r="P3678" s="113"/>
      <c r="Q3678" s="106" t="str">
        <f>IF(ISBLANK(O3678), "", VLOOKUP(C3678&amp;" "&amp;D3678, 'Info Tipo de Cambio y REM'!$A$24:$B$35, 2, FALSE))</f>
        <v/>
      </c>
      <c r="R3678" s="107"/>
    </row>
    <row r="3679" hidden="1">
      <c r="A3679" s="443"/>
      <c r="B3679" s="43" t="str">
        <f>IF(A3679="", "", IFERROR(VLOOKUP(A3679, Clasificaciones!A:B, 2, FALSE), "DATO NO CARGADO"))
</f>
        <v/>
      </c>
      <c r="C3679" s="51"/>
      <c r="D3679" s="102"/>
      <c r="E3679" s="102"/>
      <c r="H3679" s="102"/>
      <c r="J3679" s="102"/>
      <c r="K3679" s="450"/>
      <c r="L3679" s="443"/>
      <c r="M3679" s="450"/>
      <c r="N3679" s="452"/>
      <c r="O3679" s="453"/>
      <c r="P3679" s="113"/>
      <c r="Q3679" s="106" t="str">
        <f>IF(ISBLANK(O3679), "", VLOOKUP(C3679&amp;" "&amp;D3679, 'Info Tipo de Cambio y REM'!$A$24:$B$35, 2, FALSE))</f>
        <v/>
      </c>
      <c r="R3679" s="107"/>
    </row>
    <row r="3680" hidden="1">
      <c r="A3680" s="443"/>
      <c r="B3680" s="43" t="str">
        <f>IF(A3680="", "", IFERROR(VLOOKUP(A3680, Clasificaciones!A:B, 2, FALSE), "DATO NO CARGADO"))
</f>
        <v/>
      </c>
      <c r="C3680" s="51"/>
      <c r="D3680" s="102"/>
      <c r="E3680" s="102"/>
      <c r="H3680" s="102"/>
      <c r="J3680" s="102"/>
      <c r="K3680" s="450"/>
      <c r="L3680" s="443"/>
      <c r="M3680" s="450"/>
      <c r="N3680" s="452"/>
      <c r="O3680" s="453"/>
      <c r="P3680" s="113"/>
      <c r="Q3680" s="106" t="str">
        <f>IF(ISBLANK(O3680), "", VLOOKUP(C3680&amp;" "&amp;D3680, 'Info Tipo de Cambio y REM'!$A$24:$B$35, 2, FALSE))</f>
        <v/>
      </c>
      <c r="R3680" s="107"/>
    </row>
    <row r="3681" hidden="1">
      <c r="A3681" s="443"/>
      <c r="B3681" s="43" t="str">
        <f>IF(A3681="", "", IFERROR(VLOOKUP(A3681, Clasificaciones!A:B, 2, FALSE), "DATO NO CARGADO"))
</f>
        <v/>
      </c>
      <c r="C3681" s="51"/>
      <c r="D3681" s="102"/>
      <c r="E3681" s="102"/>
      <c r="H3681" s="102"/>
      <c r="J3681" s="102"/>
      <c r="K3681" s="450"/>
      <c r="L3681" s="443"/>
      <c r="M3681" s="450"/>
      <c r="N3681" s="452"/>
      <c r="O3681" s="453"/>
      <c r="P3681" s="113"/>
      <c r="Q3681" s="106" t="str">
        <f>IF(ISBLANK(O3681), "", VLOOKUP(C3681&amp;" "&amp;D3681, 'Info Tipo de Cambio y REM'!$A$24:$B$35, 2, FALSE))</f>
        <v/>
      </c>
      <c r="R3681" s="107"/>
    </row>
    <row r="3682" hidden="1">
      <c r="A3682" s="443"/>
      <c r="B3682" s="43" t="str">
        <f>IF(A3682="", "", IFERROR(VLOOKUP(A3682, Clasificaciones!A:B, 2, FALSE), "DATO NO CARGADO"))
</f>
        <v/>
      </c>
      <c r="C3682" s="51"/>
      <c r="D3682" s="102"/>
      <c r="E3682" s="102"/>
      <c r="H3682" s="102"/>
      <c r="J3682" s="102"/>
      <c r="K3682" s="450"/>
      <c r="L3682" s="443"/>
      <c r="M3682" s="450"/>
      <c r="N3682" s="452"/>
      <c r="O3682" s="453"/>
      <c r="P3682" s="113"/>
      <c r="Q3682" s="106" t="str">
        <f>IF(ISBLANK(O3682), "", VLOOKUP(C3682&amp;" "&amp;D3682, 'Info Tipo de Cambio y REM'!$A$24:$B$35, 2, FALSE))</f>
        <v/>
      </c>
      <c r="R3682" s="107"/>
    </row>
    <row r="3683" hidden="1">
      <c r="A3683" s="443"/>
      <c r="B3683" s="43" t="str">
        <f>IF(A3683="", "", IFERROR(VLOOKUP(A3683, Clasificaciones!A:B, 2, FALSE), "DATO NO CARGADO"))
</f>
        <v/>
      </c>
      <c r="C3683" s="51"/>
      <c r="D3683" s="102"/>
      <c r="E3683" s="102"/>
      <c r="H3683" s="102"/>
      <c r="J3683" s="102"/>
      <c r="K3683" s="450"/>
      <c r="L3683" s="443"/>
      <c r="M3683" s="450"/>
      <c r="N3683" s="452"/>
      <c r="O3683" s="453"/>
      <c r="P3683" s="113"/>
      <c r="Q3683" s="106" t="str">
        <f>IF(ISBLANK(O3683), "", VLOOKUP(C3683&amp;" "&amp;D3683, 'Info Tipo de Cambio y REM'!$A$24:$B$35, 2, FALSE))</f>
        <v/>
      </c>
      <c r="R3683" s="107"/>
    </row>
    <row r="3684" hidden="1">
      <c r="A3684" s="443"/>
      <c r="B3684" s="43" t="str">
        <f>IF(A3684="", "", IFERROR(VLOOKUP(A3684, Clasificaciones!A:B, 2, FALSE), "DATO NO CARGADO"))
</f>
        <v/>
      </c>
      <c r="C3684" s="51"/>
      <c r="D3684" s="102"/>
      <c r="E3684" s="102"/>
      <c r="H3684" s="102"/>
      <c r="J3684" s="102"/>
      <c r="K3684" s="450"/>
      <c r="L3684" s="443"/>
      <c r="M3684" s="450"/>
      <c r="N3684" s="452"/>
      <c r="O3684" s="453"/>
      <c r="P3684" s="113"/>
      <c r="Q3684" s="106" t="str">
        <f>IF(ISBLANK(O3684), "", VLOOKUP(C3684&amp;" "&amp;D3684, 'Info Tipo de Cambio y REM'!$A$24:$B$35, 2, FALSE))</f>
        <v/>
      </c>
      <c r="R3684" s="107"/>
    </row>
    <row r="3685" hidden="1">
      <c r="A3685" s="443"/>
      <c r="B3685" s="43" t="str">
        <f>IF(A3685="", "", IFERROR(VLOOKUP(A3685, Clasificaciones!A:B, 2, FALSE), "DATO NO CARGADO"))
</f>
        <v/>
      </c>
      <c r="C3685" s="51"/>
      <c r="D3685" s="102"/>
      <c r="E3685" s="102"/>
      <c r="H3685" s="102"/>
      <c r="J3685" s="102"/>
      <c r="K3685" s="450"/>
      <c r="L3685" s="443"/>
      <c r="M3685" s="450"/>
      <c r="N3685" s="452"/>
      <c r="O3685" s="453"/>
      <c r="P3685" s="113"/>
      <c r="Q3685" s="106" t="str">
        <f>IF(ISBLANK(O3685), "", VLOOKUP(C3685&amp;" "&amp;D3685, 'Info Tipo de Cambio y REM'!$A$24:$B$35, 2, FALSE))</f>
        <v/>
      </c>
      <c r="R3685" s="107"/>
    </row>
    <row r="3686" hidden="1">
      <c r="A3686" s="443"/>
      <c r="B3686" s="43" t="str">
        <f>IF(A3686="", "", IFERROR(VLOOKUP(A3686, Clasificaciones!A:B, 2, FALSE), "DATO NO CARGADO"))
</f>
        <v/>
      </c>
      <c r="C3686" s="51"/>
      <c r="D3686" s="102"/>
      <c r="E3686" s="102"/>
      <c r="H3686" s="102"/>
      <c r="J3686" s="102"/>
      <c r="K3686" s="450"/>
      <c r="L3686" s="443"/>
      <c r="M3686" s="450"/>
      <c r="N3686" s="452"/>
      <c r="O3686" s="453"/>
      <c r="P3686" s="113"/>
      <c r="Q3686" s="106" t="str">
        <f>IF(ISBLANK(O3686), "", VLOOKUP(C3686&amp;" "&amp;D3686, 'Info Tipo de Cambio y REM'!$A$24:$B$35, 2, FALSE))</f>
        <v/>
      </c>
      <c r="R3686" s="107"/>
    </row>
    <row r="3687" hidden="1">
      <c r="A3687" s="443"/>
      <c r="B3687" s="43" t="str">
        <f>IF(A3687="", "", IFERROR(VLOOKUP(A3687, Clasificaciones!A:B, 2, FALSE), "DATO NO CARGADO"))
</f>
        <v/>
      </c>
      <c r="C3687" s="51"/>
      <c r="D3687" s="102"/>
      <c r="E3687" s="102"/>
      <c r="H3687" s="102"/>
      <c r="J3687" s="102"/>
      <c r="K3687" s="450"/>
      <c r="L3687" s="443"/>
      <c r="M3687" s="450"/>
      <c r="N3687" s="452"/>
      <c r="O3687" s="453"/>
      <c r="P3687" s="113"/>
      <c r="Q3687" s="106" t="str">
        <f>IF(ISBLANK(O3687), "", VLOOKUP(C3687&amp;" "&amp;D3687, 'Info Tipo de Cambio y REM'!$A$24:$B$35, 2, FALSE))</f>
        <v/>
      </c>
      <c r="R3687" s="107"/>
    </row>
    <row r="3688" hidden="1">
      <c r="A3688" s="443"/>
      <c r="B3688" s="43" t="str">
        <f>IF(A3688="", "", IFERROR(VLOOKUP(A3688, Clasificaciones!A:B, 2, FALSE), "DATO NO CARGADO"))
</f>
        <v/>
      </c>
      <c r="C3688" s="51"/>
      <c r="D3688" s="102"/>
      <c r="E3688" s="102"/>
      <c r="H3688" s="102"/>
      <c r="J3688" s="102"/>
      <c r="K3688" s="450"/>
      <c r="L3688" s="443"/>
      <c r="M3688" s="450"/>
      <c r="N3688" s="452"/>
      <c r="O3688" s="453"/>
      <c r="P3688" s="113"/>
      <c r="Q3688" s="106" t="str">
        <f>IF(ISBLANK(O3688), "", VLOOKUP(C3688&amp;" "&amp;D3688, 'Info Tipo de Cambio y REM'!$A$24:$B$35, 2, FALSE))</f>
        <v/>
      </c>
      <c r="R3688" s="107"/>
    </row>
    <row r="3689" hidden="1">
      <c r="A3689" s="443"/>
      <c r="B3689" s="43" t="str">
        <f>IF(A3689="", "", IFERROR(VLOOKUP(A3689, Clasificaciones!A:B, 2, FALSE), "DATO NO CARGADO"))
</f>
        <v/>
      </c>
      <c r="C3689" s="51"/>
      <c r="D3689" s="102"/>
      <c r="E3689" s="102"/>
      <c r="H3689" s="102"/>
      <c r="J3689" s="102"/>
      <c r="K3689" s="450"/>
      <c r="L3689" s="443"/>
      <c r="M3689" s="450"/>
      <c r="N3689" s="452"/>
      <c r="O3689" s="453"/>
      <c r="P3689" s="113"/>
      <c r="Q3689" s="106" t="str">
        <f>IF(ISBLANK(O3689), "", VLOOKUP(C3689&amp;" "&amp;D3689, 'Info Tipo de Cambio y REM'!$A$24:$B$35, 2, FALSE))</f>
        <v/>
      </c>
      <c r="R3689" s="107"/>
    </row>
    <row r="3690" hidden="1">
      <c r="A3690" s="443"/>
      <c r="B3690" s="43" t="str">
        <f>IF(A3690="", "", IFERROR(VLOOKUP(A3690, Clasificaciones!A:B, 2, FALSE), "DATO NO CARGADO"))
</f>
        <v/>
      </c>
      <c r="C3690" s="51"/>
      <c r="D3690" s="102"/>
      <c r="E3690" s="102"/>
      <c r="H3690" s="102"/>
      <c r="J3690" s="102"/>
      <c r="K3690" s="450"/>
      <c r="L3690" s="443"/>
      <c r="M3690" s="450"/>
      <c r="N3690" s="452"/>
      <c r="O3690" s="453"/>
      <c r="P3690" s="113"/>
      <c r="Q3690" s="106" t="str">
        <f>IF(ISBLANK(O3690), "", VLOOKUP(C3690&amp;" "&amp;D3690, 'Info Tipo de Cambio y REM'!$A$24:$B$35, 2, FALSE))</f>
        <v/>
      </c>
      <c r="R3690" s="107"/>
    </row>
    <row r="3691" hidden="1">
      <c r="A3691" s="443"/>
      <c r="B3691" s="43" t="str">
        <f>IF(A3691="", "", IFERROR(VLOOKUP(A3691, Clasificaciones!A:B, 2, FALSE), "DATO NO CARGADO"))
</f>
        <v/>
      </c>
      <c r="C3691" s="51"/>
      <c r="D3691" s="102"/>
      <c r="E3691" s="102"/>
      <c r="H3691" s="102"/>
      <c r="J3691" s="102"/>
      <c r="K3691" s="450"/>
      <c r="L3691" s="443"/>
      <c r="M3691" s="450"/>
      <c r="N3691" s="452"/>
      <c r="O3691" s="453"/>
      <c r="P3691" s="113"/>
      <c r="Q3691" s="106" t="str">
        <f>IF(ISBLANK(O3691), "", VLOOKUP(C3691&amp;" "&amp;D3691, 'Info Tipo de Cambio y REM'!$A$24:$B$35, 2, FALSE))</f>
        <v/>
      </c>
      <c r="R3691" s="107"/>
    </row>
    <row r="3692" hidden="1">
      <c r="A3692" s="443"/>
      <c r="B3692" s="43" t="str">
        <f>IF(A3692="", "", IFERROR(VLOOKUP(A3692, Clasificaciones!A:B, 2, FALSE), "DATO NO CARGADO"))
</f>
        <v/>
      </c>
      <c r="C3692" s="51"/>
      <c r="D3692" s="102"/>
      <c r="E3692" s="102"/>
      <c r="H3692" s="102"/>
      <c r="J3692" s="102"/>
      <c r="K3692" s="450"/>
      <c r="L3692" s="443"/>
      <c r="M3692" s="450"/>
      <c r="N3692" s="452"/>
      <c r="O3692" s="453"/>
      <c r="P3692" s="113"/>
      <c r="Q3692" s="106" t="str">
        <f>IF(ISBLANK(O3692), "", VLOOKUP(C3692&amp;" "&amp;D3692, 'Info Tipo de Cambio y REM'!$A$24:$B$35, 2, FALSE))</f>
        <v/>
      </c>
      <c r="R3692" s="107"/>
    </row>
    <row r="3693" hidden="1">
      <c r="A3693" s="443"/>
      <c r="B3693" s="43" t="str">
        <f>IF(A3693="", "", IFERROR(VLOOKUP(A3693, Clasificaciones!A:B, 2, FALSE), "DATO NO CARGADO"))
</f>
        <v/>
      </c>
      <c r="C3693" s="51"/>
      <c r="D3693" s="102"/>
      <c r="E3693" s="102"/>
      <c r="H3693" s="102"/>
      <c r="J3693" s="102"/>
      <c r="K3693" s="450"/>
      <c r="L3693" s="443"/>
      <c r="M3693" s="450"/>
      <c r="N3693" s="452"/>
      <c r="O3693" s="453"/>
      <c r="P3693" s="113"/>
      <c r="Q3693" s="106" t="str">
        <f>IF(ISBLANK(O3693), "", VLOOKUP(C3693&amp;" "&amp;D3693, 'Info Tipo de Cambio y REM'!$A$24:$B$35, 2, FALSE))</f>
        <v/>
      </c>
      <c r="R3693" s="107"/>
    </row>
    <row r="3694" hidden="1">
      <c r="A3694" s="443"/>
      <c r="B3694" s="43" t="str">
        <f>IF(A3694="", "", IFERROR(VLOOKUP(A3694, Clasificaciones!A:B, 2, FALSE), "DATO NO CARGADO"))
</f>
        <v/>
      </c>
      <c r="C3694" s="51"/>
      <c r="D3694" s="102"/>
      <c r="E3694" s="102"/>
      <c r="H3694" s="102"/>
      <c r="J3694" s="102"/>
      <c r="K3694" s="450"/>
      <c r="L3694" s="443"/>
      <c r="M3694" s="450"/>
      <c r="N3694" s="452"/>
      <c r="O3694" s="453"/>
      <c r="P3694" s="113"/>
      <c r="Q3694" s="106" t="str">
        <f>IF(ISBLANK(O3694), "", VLOOKUP(C3694&amp;" "&amp;D3694, 'Info Tipo de Cambio y REM'!$A$24:$B$35, 2, FALSE))</f>
        <v/>
      </c>
      <c r="R3694" s="107"/>
    </row>
    <row r="3695" hidden="1">
      <c r="A3695" s="443"/>
      <c r="B3695" s="43" t="str">
        <f>IF(A3695="", "", IFERROR(VLOOKUP(A3695, Clasificaciones!A:B, 2, FALSE), "DATO NO CARGADO"))
</f>
        <v/>
      </c>
      <c r="C3695" s="51"/>
      <c r="D3695" s="102"/>
      <c r="E3695" s="102"/>
      <c r="H3695" s="102"/>
      <c r="J3695" s="102"/>
      <c r="K3695" s="450"/>
      <c r="L3695" s="443"/>
      <c r="M3695" s="450"/>
      <c r="N3695" s="452"/>
      <c r="O3695" s="453"/>
      <c r="P3695" s="113"/>
      <c r="Q3695" s="106" t="str">
        <f>IF(ISBLANK(O3695), "", VLOOKUP(C3695&amp;" "&amp;D3695, 'Info Tipo de Cambio y REM'!$A$24:$B$35, 2, FALSE))</f>
        <v/>
      </c>
      <c r="R3695" s="107"/>
    </row>
    <row r="3696" hidden="1">
      <c r="A3696" s="443"/>
      <c r="B3696" s="43" t="str">
        <f>IF(A3696="", "", IFERROR(VLOOKUP(A3696, Clasificaciones!A:B, 2, FALSE), "DATO NO CARGADO"))
</f>
        <v/>
      </c>
      <c r="C3696" s="51"/>
      <c r="D3696" s="102"/>
      <c r="E3696" s="102"/>
      <c r="H3696" s="102"/>
      <c r="J3696" s="102"/>
      <c r="K3696" s="450"/>
      <c r="L3696" s="443"/>
      <c r="M3696" s="450"/>
      <c r="N3696" s="452"/>
      <c r="O3696" s="453"/>
      <c r="P3696" s="113"/>
      <c r="Q3696" s="106" t="str">
        <f>IF(ISBLANK(O3696), "", VLOOKUP(C3696&amp;" "&amp;D3696, 'Info Tipo de Cambio y REM'!$A$24:$B$35, 2, FALSE))</f>
        <v/>
      </c>
      <c r="R3696" s="107"/>
    </row>
    <row r="3697" hidden="1">
      <c r="A3697" s="443"/>
      <c r="B3697" s="43" t="str">
        <f>IF(A3697="", "", IFERROR(VLOOKUP(A3697, Clasificaciones!A:B, 2, FALSE), "DATO NO CARGADO"))
</f>
        <v/>
      </c>
      <c r="C3697" s="51"/>
      <c r="D3697" s="102"/>
      <c r="E3697" s="102"/>
      <c r="H3697" s="102"/>
      <c r="J3697" s="102"/>
      <c r="K3697" s="450"/>
      <c r="L3697" s="443"/>
      <c r="M3697" s="450"/>
      <c r="N3697" s="452"/>
      <c r="O3697" s="453"/>
      <c r="P3697" s="113"/>
      <c r="Q3697" s="106" t="str">
        <f>IF(ISBLANK(O3697), "", VLOOKUP(C3697&amp;" "&amp;D3697, 'Info Tipo de Cambio y REM'!$A$24:$B$35, 2, FALSE))</f>
        <v/>
      </c>
      <c r="R3697" s="107"/>
    </row>
    <row r="3698" hidden="1">
      <c r="A3698" s="443"/>
      <c r="B3698" s="43" t="str">
        <f>IF(A3698="", "", IFERROR(VLOOKUP(A3698, Clasificaciones!A:B, 2, FALSE), "DATO NO CARGADO"))
</f>
        <v/>
      </c>
      <c r="C3698" s="51"/>
      <c r="D3698" s="102"/>
      <c r="E3698" s="102"/>
      <c r="H3698" s="102"/>
      <c r="J3698" s="102"/>
      <c r="K3698" s="450"/>
      <c r="L3698" s="443"/>
      <c r="M3698" s="450"/>
      <c r="N3698" s="452"/>
      <c r="O3698" s="453"/>
      <c r="P3698" s="113"/>
      <c r="Q3698" s="106" t="str">
        <f>IF(ISBLANK(O3698), "", VLOOKUP(C3698&amp;" "&amp;D3698, 'Info Tipo de Cambio y REM'!$A$24:$B$35, 2, FALSE))</f>
        <v/>
      </c>
      <c r="R3698" s="107"/>
    </row>
    <row r="3699" hidden="1">
      <c r="A3699" s="443"/>
      <c r="B3699" s="43" t="str">
        <f>IF(A3699="", "", IFERROR(VLOOKUP(A3699, Clasificaciones!A:B, 2, FALSE), "DATO NO CARGADO"))
</f>
        <v/>
      </c>
      <c r="C3699" s="51"/>
      <c r="D3699" s="102"/>
      <c r="E3699" s="102"/>
      <c r="H3699" s="102"/>
      <c r="J3699" s="102"/>
      <c r="K3699" s="450"/>
      <c r="L3699" s="443"/>
      <c r="M3699" s="450"/>
      <c r="N3699" s="452"/>
      <c r="O3699" s="453"/>
      <c r="P3699" s="113"/>
      <c r="Q3699" s="106" t="str">
        <f>IF(ISBLANK(O3699), "", VLOOKUP(C3699&amp;" "&amp;D3699, 'Info Tipo de Cambio y REM'!$A$24:$B$35, 2, FALSE))</f>
        <v/>
      </c>
      <c r="R3699" s="107"/>
    </row>
    <row r="3700" hidden="1">
      <c r="A3700" s="443"/>
      <c r="B3700" s="43" t="str">
        <f>IF(A3700="", "", IFERROR(VLOOKUP(A3700, Clasificaciones!A:B, 2, FALSE), "DATO NO CARGADO"))
</f>
        <v/>
      </c>
      <c r="C3700" s="51"/>
      <c r="D3700" s="102"/>
      <c r="E3700" s="102"/>
      <c r="H3700" s="102"/>
      <c r="J3700" s="102"/>
      <c r="K3700" s="450"/>
      <c r="L3700" s="443"/>
      <c r="M3700" s="450"/>
      <c r="N3700" s="452"/>
      <c r="O3700" s="453"/>
      <c r="P3700" s="113"/>
      <c r="Q3700" s="106" t="str">
        <f>IF(ISBLANK(O3700), "", VLOOKUP(C3700&amp;" "&amp;D3700, 'Info Tipo de Cambio y REM'!$A$24:$B$35, 2, FALSE))</f>
        <v/>
      </c>
      <c r="R3700" s="107"/>
    </row>
    <row r="3701" hidden="1">
      <c r="A3701" s="443"/>
      <c r="B3701" s="43" t="str">
        <f>IF(A3701="", "", IFERROR(VLOOKUP(A3701, Clasificaciones!A:B, 2, FALSE), "DATO NO CARGADO"))
</f>
        <v/>
      </c>
      <c r="C3701" s="51"/>
      <c r="D3701" s="102"/>
      <c r="E3701" s="102"/>
      <c r="H3701" s="102"/>
      <c r="J3701" s="102"/>
      <c r="K3701" s="450"/>
      <c r="L3701" s="443"/>
      <c r="M3701" s="450"/>
      <c r="N3701" s="452"/>
      <c r="O3701" s="453"/>
      <c r="P3701" s="113"/>
      <c r="Q3701" s="106" t="str">
        <f>IF(ISBLANK(O3701), "", VLOOKUP(C3701&amp;" "&amp;D3701, 'Info Tipo de Cambio y REM'!$A$24:$B$35, 2, FALSE))</f>
        <v/>
      </c>
      <c r="R3701" s="107"/>
    </row>
    <row r="3702" hidden="1">
      <c r="A3702" s="443"/>
      <c r="B3702" s="43" t="str">
        <f>IF(A3702="", "", IFERROR(VLOOKUP(A3702, Clasificaciones!A:B, 2, FALSE), "DATO NO CARGADO"))
</f>
        <v/>
      </c>
      <c r="C3702" s="51"/>
      <c r="D3702" s="102"/>
      <c r="E3702" s="102"/>
      <c r="H3702" s="102"/>
      <c r="J3702" s="102"/>
      <c r="K3702" s="450"/>
      <c r="L3702" s="443"/>
      <c r="M3702" s="450"/>
      <c r="N3702" s="452"/>
      <c r="O3702" s="453"/>
      <c r="P3702" s="113"/>
      <c r="Q3702" s="106" t="str">
        <f>IF(ISBLANK(O3702), "", VLOOKUP(C3702&amp;" "&amp;D3702, 'Info Tipo de Cambio y REM'!$A$24:$B$35, 2, FALSE))</f>
        <v/>
      </c>
      <c r="R3702" s="107"/>
    </row>
    <row r="3703" hidden="1">
      <c r="A3703" s="443"/>
      <c r="B3703" s="43" t="str">
        <f>IF(A3703="", "", IFERROR(VLOOKUP(A3703, Clasificaciones!A:B, 2, FALSE), "DATO NO CARGADO"))
</f>
        <v/>
      </c>
      <c r="C3703" s="51"/>
      <c r="D3703" s="102"/>
      <c r="E3703" s="102"/>
      <c r="H3703" s="102"/>
      <c r="J3703" s="102"/>
      <c r="K3703" s="450"/>
      <c r="L3703" s="443"/>
      <c r="M3703" s="450"/>
      <c r="N3703" s="452"/>
      <c r="O3703" s="453"/>
      <c r="P3703" s="113"/>
      <c r="Q3703" s="106" t="str">
        <f>IF(ISBLANK(O3703), "", VLOOKUP(C3703&amp;" "&amp;D3703, 'Info Tipo de Cambio y REM'!$A$24:$B$35, 2, FALSE))</f>
        <v/>
      </c>
      <c r="R3703" s="107"/>
    </row>
    <row r="3704" hidden="1">
      <c r="A3704" s="443"/>
      <c r="B3704" s="43" t="str">
        <f>IF(A3704="", "", IFERROR(VLOOKUP(A3704, Clasificaciones!A:B, 2, FALSE), "DATO NO CARGADO"))
</f>
        <v/>
      </c>
      <c r="C3704" s="51"/>
      <c r="D3704" s="102"/>
      <c r="E3704" s="102"/>
      <c r="H3704" s="102"/>
      <c r="J3704" s="102"/>
      <c r="K3704" s="450"/>
      <c r="L3704" s="443"/>
      <c r="M3704" s="450"/>
      <c r="N3704" s="452"/>
      <c r="O3704" s="453"/>
      <c r="P3704" s="113"/>
      <c r="Q3704" s="106" t="str">
        <f>IF(ISBLANK(O3704), "", VLOOKUP(C3704&amp;" "&amp;D3704, 'Info Tipo de Cambio y REM'!$A$24:$B$35, 2, FALSE))</f>
        <v/>
      </c>
      <c r="R3704" s="107"/>
    </row>
    <row r="3705" hidden="1">
      <c r="A3705" s="443"/>
      <c r="B3705" s="43" t="str">
        <f>IF(A3705="", "", IFERROR(VLOOKUP(A3705, Clasificaciones!A:B, 2, FALSE), "DATO NO CARGADO"))
</f>
        <v/>
      </c>
      <c r="C3705" s="51"/>
      <c r="D3705" s="102"/>
      <c r="E3705" s="102"/>
      <c r="H3705" s="102"/>
      <c r="J3705" s="102"/>
      <c r="K3705" s="450"/>
      <c r="L3705" s="443"/>
      <c r="M3705" s="450"/>
      <c r="N3705" s="452"/>
      <c r="O3705" s="453"/>
      <c r="P3705" s="113"/>
      <c r="Q3705" s="106" t="str">
        <f>IF(ISBLANK(O3705), "", VLOOKUP(C3705&amp;" "&amp;D3705, 'Info Tipo de Cambio y REM'!$A$24:$B$35, 2, FALSE))</f>
        <v/>
      </c>
      <c r="R3705" s="107"/>
    </row>
    <row r="3706" hidden="1">
      <c r="A3706" s="443"/>
      <c r="B3706" s="43" t="str">
        <f>IF(A3706="", "", IFERROR(VLOOKUP(A3706, Clasificaciones!A:B, 2, FALSE), "DATO NO CARGADO"))
</f>
        <v/>
      </c>
      <c r="C3706" s="51"/>
      <c r="D3706" s="102"/>
      <c r="E3706" s="102"/>
      <c r="H3706" s="102"/>
      <c r="J3706" s="102"/>
      <c r="K3706" s="450"/>
      <c r="L3706" s="443"/>
      <c r="M3706" s="450"/>
      <c r="N3706" s="452"/>
      <c r="O3706" s="453"/>
      <c r="P3706" s="113"/>
      <c r="Q3706" s="106" t="str">
        <f>IF(ISBLANK(O3706), "", VLOOKUP(C3706&amp;" "&amp;D3706, 'Info Tipo de Cambio y REM'!$A$24:$B$35, 2, FALSE))</f>
        <v/>
      </c>
      <c r="R3706" s="107"/>
    </row>
    <row r="3707" hidden="1">
      <c r="A3707" s="443"/>
      <c r="B3707" s="43" t="str">
        <f>IF(A3707="", "", IFERROR(VLOOKUP(A3707, Clasificaciones!A:B, 2, FALSE), "DATO NO CARGADO"))
</f>
        <v/>
      </c>
      <c r="C3707" s="51"/>
      <c r="D3707" s="102"/>
      <c r="E3707" s="102"/>
      <c r="H3707" s="102"/>
      <c r="J3707" s="102"/>
      <c r="K3707" s="450"/>
      <c r="L3707" s="443"/>
      <c r="M3707" s="450"/>
      <c r="N3707" s="452"/>
      <c r="O3707" s="453"/>
      <c r="P3707" s="113"/>
      <c r="Q3707" s="106" t="str">
        <f>IF(ISBLANK(O3707), "", VLOOKUP(C3707&amp;" "&amp;D3707, 'Info Tipo de Cambio y REM'!$A$24:$B$35, 2, FALSE))</f>
        <v/>
      </c>
      <c r="R3707" s="107"/>
    </row>
    <row r="3708" hidden="1">
      <c r="A3708" s="443"/>
      <c r="B3708" s="43" t="str">
        <f>IF(A3708="", "", IFERROR(VLOOKUP(A3708, Clasificaciones!A:B, 2, FALSE), "DATO NO CARGADO"))
</f>
        <v/>
      </c>
      <c r="C3708" s="51"/>
      <c r="D3708" s="102"/>
      <c r="E3708" s="102"/>
      <c r="H3708" s="102"/>
      <c r="J3708" s="102"/>
      <c r="K3708" s="450"/>
      <c r="L3708" s="443"/>
      <c r="M3708" s="450"/>
      <c r="N3708" s="452"/>
      <c r="O3708" s="453"/>
      <c r="P3708" s="113"/>
      <c r="Q3708" s="106" t="str">
        <f>IF(ISBLANK(O3708), "", VLOOKUP(C3708&amp;" "&amp;D3708, 'Info Tipo de Cambio y REM'!$A$24:$B$35, 2, FALSE))</f>
        <v/>
      </c>
      <c r="R3708" s="107"/>
    </row>
    <row r="3709" hidden="1">
      <c r="A3709" s="443"/>
      <c r="B3709" s="43" t="str">
        <f>IF(A3709="", "", IFERROR(VLOOKUP(A3709, Clasificaciones!A:B, 2, FALSE), "DATO NO CARGADO"))
</f>
        <v/>
      </c>
      <c r="C3709" s="51"/>
      <c r="D3709" s="102"/>
      <c r="E3709" s="102"/>
      <c r="H3709" s="102"/>
      <c r="J3709" s="102"/>
      <c r="K3709" s="450"/>
      <c r="L3709" s="443"/>
      <c r="M3709" s="450"/>
      <c r="N3709" s="452"/>
      <c r="O3709" s="453"/>
      <c r="P3709" s="113"/>
      <c r="Q3709" s="106" t="str">
        <f>IF(ISBLANK(O3709), "", VLOOKUP(C3709&amp;" "&amp;D3709, 'Info Tipo de Cambio y REM'!$A$24:$B$35, 2, FALSE))</f>
        <v/>
      </c>
      <c r="R3709" s="107"/>
    </row>
    <row r="3710" hidden="1">
      <c r="A3710" s="443"/>
      <c r="B3710" s="43" t="str">
        <f>IF(A3710="", "", IFERROR(VLOOKUP(A3710, Clasificaciones!A:B, 2, FALSE), "DATO NO CARGADO"))
</f>
        <v/>
      </c>
      <c r="C3710" s="51"/>
      <c r="D3710" s="102"/>
      <c r="E3710" s="102"/>
      <c r="H3710" s="102"/>
      <c r="J3710" s="102"/>
      <c r="K3710" s="450"/>
      <c r="L3710" s="443"/>
      <c r="M3710" s="450"/>
      <c r="N3710" s="452"/>
      <c r="O3710" s="453"/>
      <c r="P3710" s="113"/>
      <c r="Q3710" s="106" t="str">
        <f>IF(ISBLANK(O3710), "", VLOOKUP(C3710&amp;" "&amp;D3710, 'Info Tipo de Cambio y REM'!$A$24:$B$35, 2, FALSE))</f>
        <v/>
      </c>
      <c r="R3710" s="107"/>
    </row>
    <row r="3711" hidden="1">
      <c r="A3711" s="443"/>
      <c r="B3711" s="43" t="str">
        <f>IF(A3711="", "", IFERROR(VLOOKUP(A3711, Clasificaciones!A:B, 2, FALSE), "DATO NO CARGADO"))
</f>
        <v/>
      </c>
      <c r="C3711" s="51"/>
      <c r="D3711" s="102"/>
      <c r="E3711" s="102"/>
      <c r="H3711" s="102"/>
      <c r="J3711" s="102"/>
      <c r="K3711" s="450"/>
      <c r="L3711" s="443"/>
      <c r="M3711" s="450"/>
      <c r="N3711" s="452"/>
      <c r="O3711" s="453"/>
      <c r="P3711" s="113"/>
      <c r="Q3711" s="106" t="str">
        <f>IF(ISBLANK(O3711), "", VLOOKUP(C3711&amp;" "&amp;D3711, 'Info Tipo de Cambio y REM'!$A$24:$B$35, 2, FALSE))</f>
        <v/>
      </c>
      <c r="R3711" s="107"/>
    </row>
    <row r="3712" hidden="1">
      <c r="A3712" s="443"/>
      <c r="B3712" s="43" t="str">
        <f>IF(A3712="", "", IFERROR(VLOOKUP(A3712, Clasificaciones!A:B, 2, FALSE), "DATO NO CARGADO"))
</f>
        <v/>
      </c>
      <c r="C3712" s="51"/>
      <c r="D3712" s="102"/>
      <c r="E3712" s="102"/>
      <c r="H3712" s="102"/>
      <c r="J3712" s="102"/>
      <c r="K3712" s="450"/>
      <c r="L3712" s="443"/>
      <c r="M3712" s="450"/>
      <c r="N3712" s="452"/>
      <c r="O3712" s="453"/>
      <c r="P3712" s="113"/>
      <c r="Q3712" s="106" t="str">
        <f>IF(ISBLANK(O3712), "", VLOOKUP(C3712&amp;" "&amp;D3712, 'Info Tipo de Cambio y REM'!$A$24:$B$35, 2, FALSE))</f>
        <v/>
      </c>
      <c r="R3712" s="107"/>
    </row>
    <row r="3713" hidden="1">
      <c r="A3713" s="443"/>
      <c r="B3713" s="43" t="str">
        <f>IF(A3713="", "", IFERROR(VLOOKUP(A3713, Clasificaciones!A:B, 2, FALSE), "DATO NO CARGADO"))
</f>
        <v/>
      </c>
      <c r="C3713" s="51"/>
      <c r="D3713" s="102"/>
      <c r="E3713" s="102"/>
      <c r="H3713" s="102"/>
      <c r="J3713" s="102"/>
      <c r="K3713" s="450"/>
      <c r="L3713" s="443"/>
      <c r="M3713" s="450"/>
      <c r="N3713" s="452"/>
      <c r="O3713" s="453"/>
      <c r="P3713" s="113"/>
      <c r="Q3713" s="106" t="str">
        <f>IF(ISBLANK(O3713), "", VLOOKUP(C3713&amp;" "&amp;D3713, 'Info Tipo de Cambio y REM'!$A$24:$B$35, 2, FALSE))</f>
        <v/>
      </c>
      <c r="R3713" s="107"/>
    </row>
    <row r="3714" hidden="1">
      <c r="A3714" s="443"/>
      <c r="B3714" s="43" t="str">
        <f>IF(A3714="", "", IFERROR(VLOOKUP(A3714, Clasificaciones!A:B, 2, FALSE), "DATO NO CARGADO"))
</f>
        <v/>
      </c>
      <c r="C3714" s="51"/>
      <c r="D3714" s="102"/>
      <c r="E3714" s="102"/>
      <c r="H3714" s="102"/>
      <c r="J3714" s="102"/>
      <c r="K3714" s="450"/>
      <c r="L3714" s="443"/>
      <c r="M3714" s="450"/>
      <c r="N3714" s="452"/>
      <c r="O3714" s="453"/>
      <c r="P3714" s="113"/>
      <c r="Q3714" s="106" t="str">
        <f>IF(ISBLANK(O3714), "", VLOOKUP(C3714&amp;" "&amp;D3714, 'Info Tipo de Cambio y REM'!$A$24:$B$35, 2, FALSE))</f>
        <v/>
      </c>
      <c r="R3714" s="107"/>
    </row>
    <row r="3715" hidden="1">
      <c r="A3715" s="443"/>
      <c r="B3715" s="43" t="str">
        <f>IF(A3715="", "", IFERROR(VLOOKUP(A3715, Clasificaciones!A:B, 2, FALSE), "DATO NO CARGADO"))
</f>
        <v/>
      </c>
      <c r="C3715" s="51"/>
      <c r="D3715" s="102"/>
      <c r="E3715" s="102"/>
      <c r="H3715" s="102"/>
      <c r="J3715" s="102"/>
      <c r="K3715" s="450"/>
      <c r="L3715" s="443"/>
      <c r="M3715" s="450"/>
      <c r="N3715" s="452"/>
      <c r="O3715" s="453"/>
      <c r="P3715" s="113"/>
      <c r="Q3715" s="106" t="str">
        <f>IF(ISBLANK(O3715), "", VLOOKUP(C3715&amp;" "&amp;D3715, 'Info Tipo de Cambio y REM'!$A$24:$B$35, 2, FALSE))</f>
        <v/>
      </c>
      <c r="R3715" s="107"/>
    </row>
    <row r="3716" hidden="1">
      <c r="A3716" s="443"/>
      <c r="B3716" s="43" t="str">
        <f>IF(A3716="", "", IFERROR(VLOOKUP(A3716, Clasificaciones!A:B, 2, FALSE), "DATO NO CARGADO"))
</f>
        <v/>
      </c>
      <c r="C3716" s="51"/>
      <c r="D3716" s="102"/>
      <c r="E3716" s="102"/>
      <c r="H3716" s="102"/>
      <c r="J3716" s="102"/>
      <c r="K3716" s="450"/>
      <c r="L3716" s="443"/>
      <c r="M3716" s="450"/>
      <c r="N3716" s="452"/>
      <c r="O3716" s="453"/>
      <c r="P3716" s="113"/>
      <c r="Q3716" s="106" t="str">
        <f>IF(ISBLANK(O3716), "", VLOOKUP(C3716&amp;" "&amp;D3716, 'Info Tipo de Cambio y REM'!$A$24:$B$35, 2, FALSE))</f>
        <v/>
      </c>
      <c r="R3716" s="107"/>
    </row>
    <row r="3717" hidden="1">
      <c r="A3717" s="443"/>
      <c r="B3717" s="43" t="str">
        <f>IF(A3717="", "", IFERROR(VLOOKUP(A3717, Clasificaciones!A:B, 2, FALSE), "DATO NO CARGADO"))
</f>
        <v/>
      </c>
      <c r="C3717" s="51"/>
      <c r="D3717" s="102"/>
      <c r="E3717" s="102"/>
      <c r="H3717" s="102"/>
      <c r="J3717" s="102"/>
      <c r="K3717" s="450"/>
      <c r="L3717" s="443"/>
      <c r="M3717" s="450"/>
      <c r="N3717" s="452"/>
      <c r="O3717" s="453"/>
      <c r="P3717" s="113"/>
      <c r="Q3717" s="106" t="str">
        <f>IF(ISBLANK(O3717), "", VLOOKUP(C3717&amp;" "&amp;D3717, 'Info Tipo de Cambio y REM'!$A$24:$B$35, 2, FALSE))</f>
        <v/>
      </c>
      <c r="R3717" s="107"/>
    </row>
    <row r="3718" hidden="1">
      <c r="A3718" s="443"/>
      <c r="B3718" s="43" t="str">
        <f>IF(A3718="", "", IFERROR(VLOOKUP(A3718, Clasificaciones!A:B, 2, FALSE), "DATO NO CARGADO"))
</f>
        <v/>
      </c>
      <c r="C3718" s="51"/>
      <c r="D3718" s="102"/>
      <c r="E3718" s="102"/>
      <c r="H3718" s="102"/>
      <c r="J3718" s="102"/>
      <c r="K3718" s="450"/>
      <c r="L3718" s="443"/>
      <c r="M3718" s="450"/>
      <c r="N3718" s="452"/>
      <c r="O3718" s="453"/>
      <c r="P3718" s="113"/>
      <c r="Q3718" s="106" t="str">
        <f>IF(ISBLANK(O3718), "", VLOOKUP(C3718&amp;" "&amp;D3718, 'Info Tipo de Cambio y REM'!$A$24:$B$35, 2, FALSE))</f>
        <v/>
      </c>
      <c r="R3718" s="107"/>
    </row>
    <row r="3719" hidden="1">
      <c r="A3719" s="443"/>
      <c r="B3719" s="43" t="str">
        <f>IF(A3719="", "", IFERROR(VLOOKUP(A3719, Clasificaciones!A:B, 2, FALSE), "DATO NO CARGADO"))
</f>
        <v/>
      </c>
      <c r="C3719" s="51"/>
      <c r="D3719" s="102"/>
      <c r="E3719" s="102"/>
      <c r="H3719" s="102"/>
      <c r="J3719" s="102"/>
      <c r="K3719" s="450"/>
      <c r="L3719" s="443"/>
      <c r="M3719" s="450"/>
      <c r="N3719" s="452"/>
      <c r="O3719" s="453"/>
      <c r="P3719" s="113"/>
      <c r="Q3719" s="106" t="str">
        <f>IF(ISBLANK(O3719), "", VLOOKUP(C3719&amp;" "&amp;D3719, 'Info Tipo de Cambio y REM'!$A$24:$B$35, 2, FALSE))</f>
        <v/>
      </c>
      <c r="R3719" s="107"/>
    </row>
    <row r="3720" hidden="1">
      <c r="A3720" s="443"/>
      <c r="B3720" s="43" t="str">
        <f>IF(A3720="", "", IFERROR(VLOOKUP(A3720, Clasificaciones!A:B, 2, FALSE), "DATO NO CARGADO"))
</f>
        <v/>
      </c>
      <c r="C3720" s="51"/>
      <c r="D3720" s="102"/>
      <c r="E3720" s="102"/>
      <c r="H3720" s="102"/>
      <c r="J3720" s="102"/>
      <c r="K3720" s="450"/>
      <c r="L3720" s="443"/>
      <c r="M3720" s="450"/>
      <c r="N3720" s="452"/>
      <c r="O3720" s="453"/>
      <c r="P3720" s="113"/>
      <c r="Q3720" s="106" t="str">
        <f>IF(ISBLANK(O3720), "", VLOOKUP(C3720&amp;" "&amp;D3720, 'Info Tipo de Cambio y REM'!$A$24:$B$35, 2, FALSE))</f>
        <v/>
      </c>
      <c r="R3720" s="107"/>
    </row>
    <row r="3721" hidden="1">
      <c r="A3721" s="443"/>
      <c r="B3721" s="43" t="str">
        <f>IF(A3721="", "", IFERROR(VLOOKUP(A3721, Clasificaciones!A:B, 2, FALSE), "DATO NO CARGADO"))
</f>
        <v/>
      </c>
      <c r="C3721" s="51"/>
      <c r="D3721" s="102"/>
      <c r="E3721" s="102"/>
      <c r="H3721" s="102"/>
      <c r="J3721" s="102"/>
      <c r="K3721" s="450"/>
      <c r="L3721" s="443"/>
      <c r="M3721" s="450"/>
      <c r="N3721" s="452"/>
      <c r="O3721" s="453"/>
      <c r="P3721" s="113"/>
      <c r="Q3721" s="106" t="str">
        <f>IF(ISBLANK(O3721), "", VLOOKUP(C3721&amp;" "&amp;D3721, 'Info Tipo de Cambio y REM'!$A$24:$B$35, 2, FALSE))</f>
        <v/>
      </c>
      <c r="R3721" s="107"/>
    </row>
    <row r="3722" hidden="1">
      <c r="A3722" s="443"/>
      <c r="B3722" s="43" t="str">
        <f>IF(A3722="", "", IFERROR(VLOOKUP(A3722, Clasificaciones!A:B, 2, FALSE), "DATO NO CARGADO"))
</f>
        <v/>
      </c>
      <c r="C3722" s="51"/>
      <c r="D3722" s="102"/>
      <c r="E3722" s="102"/>
      <c r="H3722" s="102"/>
      <c r="J3722" s="102"/>
      <c r="K3722" s="450"/>
      <c r="L3722" s="443"/>
      <c r="M3722" s="450"/>
      <c r="N3722" s="452"/>
      <c r="O3722" s="453"/>
      <c r="P3722" s="113"/>
      <c r="Q3722" s="106" t="str">
        <f>IF(ISBLANK(O3722), "", VLOOKUP(C3722&amp;" "&amp;D3722, 'Info Tipo de Cambio y REM'!$A$24:$B$35, 2, FALSE))</f>
        <v/>
      </c>
      <c r="R3722" s="107"/>
    </row>
    <row r="3723" hidden="1">
      <c r="A3723" s="443"/>
      <c r="B3723" s="43" t="str">
        <f>IF(A3723="", "", IFERROR(VLOOKUP(A3723, Clasificaciones!A:B, 2, FALSE), "DATO NO CARGADO"))
</f>
        <v/>
      </c>
      <c r="C3723" s="51"/>
      <c r="D3723" s="102"/>
      <c r="E3723" s="102"/>
      <c r="H3723" s="102"/>
      <c r="J3723" s="102"/>
      <c r="K3723" s="450"/>
      <c r="L3723" s="443"/>
      <c r="M3723" s="450"/>
      <c r="N3723" s="452"/>
      <c r="O3723" s="453"/>
      <c r="P3723" s="113"/>
      <c r="Q3723" s="106" t="str">
        <f>IF(ISBLANK(O3723), "", VLOOKUP(C3723&amp;" "&amp;D3723, 'Info Tipo de Cambio y REM'!$A$24:$B$35, 2, FALSE))</f>
        <v/>
      </c>
      <c r="R3723" s="107"/>
    </row>
    <row r="3724" hidden="1">
      <c r="A3724" s="443"/>
      <c r="B3724" s="43" t="str">
        <f>IF(A3724="", "", IFERROR(VLOOKUP(A3724, Clasificaciones!A:B, 2, FALSE), "DATO NO CARGADO"))
</f>
        <v/>
      </c>
      <c r="C3724" s="51"/>
      <c r="D3724" s="102"/>
      <c r="E3724" s="102"/>
      <c r="H3724" s="102"/>
      <c r="J3724" s="102"/>
      <c r="K3724" s="450"/>
      <c r="L3724" s="443"/>
      <c r="M3724" s="450"/>
      <c r="N3724" s="452"/>
      <c r="O3724" s="453"/>
      <c r="P3724" s="113"/>
      <c r="Q3724" s="106" t="str">
        <f>IF(ISBLANK(O3724), "", VLOOKUP(C3724&amp;" "&amp;D3724, 'Info Tipo de Cambio y REM'!$A$24:$B$35, 2, FALSE))</f>
        <v/>
      </c>
      <c r="R3724" s="107"/>
    </row>
    <row r="3725" hidden="1">
      <c r="A3725" s="443"/>
      <c r="B3725" s="43" t="str">
        <f>IF(A3725="", "", IFERROR(VLOOKUP(A3725, Clasificaciones!A:B, 2, FALSE), "DATO NO CARGADO"))
</f>
        <v/>
      </c>
      <c r="C3725" s="51"/>
      <c r="D3725" s="102"/>
      <c r="E3725" s="102"/>
      <c r="H3725" s="102"/>
      <c r="J3725" s="102"/>
      <c r="K3725" s="450"/>
      <c r="L3725" s="443"/>
      <c r="M3725" s="450"/>
      <c r="N3725" s="452"/>
      <c r="O3725" s="453"/>
      <c r="P3725" s="113"/>
      <c r="Q3725" s="106" t="str">
        <f>IF(ISBLANK(O3725), "", VLOOKUP(C3725&amp;" "&amp;D3725, 'Info Tipo de Cambio y REM'!$A$24:$B$35, 2, FALSE))</f>
        <v/>
      </c>
      <c r="R3725" s="107"/>
    </row>
    <row r="3726" hidden="1">
      <c r="A3726" s="443"/>
      <c r="B3726" s="43" t="str">
        <f>IF(A3726="", "", IFERROR(VLOOKUP(A3726, Clasificaciones!A:B, 2, FALSE), "DATO NO CARGADO"))
</f>
        <v/>
      </c>
      <c r="C3726" s="51"/>
      <c r="D3726" s="102"/>
      <c r="E3726" s="102"/>
      <c r="H3726" s="102"/>
      <c r="J3726" s="102"/>
      <c r="K3726" s="450"/>
      <c r="L3726" s="443"/>
      <c r="M3726" s="450"/>
      <c r="N3726" s="452"/>
      <c r="O3726" s="453"/>
      <c r="P3726" s="113"/>
      <c r="Q3726" s="106" t="str">
        <f>IF(ISBLANK(O3726), "", VLOOKUP(C3726&amp;" "&amp;D3726, 'Info Tipo de Cambio y REM'!$A$24:$B$35, 2, FALSE))</f>
        <v/>
      </c>
      <c r="R3726" s="107"/>
    </row>
    <row r="3727" hidden="1">
      <c r="A3727" s="443"/>
      <c r="B3727" s="43" t="str">
        <f>IF(A3727="", "", IFERROR(VLOOKUP(A3727, Clasificaciones!A:B, 2, FALSE), "DATO NO CARGADO"))
</f>
        <v/>
      </c>
      <c r="C3727" s="51"/>
      <c r="D3727" s="102"/>
      <c r="E3727" s="102"/>
      <c r="H3727" s="102"/>
      <c r="J3727" s="102"/>
      <c r="K3727" s="450"/>
      <c r="L3727" s="443"/>
      <c r="M3727" s="450"/>
      <c r="N3727" s="452"/>
      <c r="O3727" s="453"/>
      <c r="P3727" s="113"/>
      <c r="Q3727" s="106" t="str">
        <f>IF(ISBLANK(O3727), "", VLOOKUP(C3727&amp;" "&amp;D3727, 'Info Tipo de Cambio y REM'!$A$24:$B$35, 2, FALSE))</f>
        <v/>
      </c>
      <c r="R3727" s="107"/>
    </row>
    <row r="3728" hidden="1">
      <c r="A3728" s="443"/>
      <c r="B3728" s="43" t="str">
        <f>IF(A3728="", "", IFERROR(VLOOKUP(A3728, Clasificaciones!A:B, 2, FALSE), "DATO NO CARGADO"))
</f>
        <v/>
      </c>
      <c r="C3728" s="51"/>
      <c r="D3728" s="102"/>
      <c r="E3728" s="102"/>
      <c r="H3728" s="102"/>
      <c r="J3728" s="102"/>
      <c r="K3728" s="450"/>
      <c r="L3728" s="443"/>
      <c r="M3728" s="450"/>
      <c r="N3728" s="452"/>
      <c r="O3728" s="453"/>
      <c r="P3728" s="113"/>
      <c r="Q3728" s="106" t="str">
        <f>IF(ISBLANK(O3728), "", VLOOKUP(C3728&amp;" "&amp;D3728, 'Info Tipo de Cambio y REM'!$A$24:$B$35, 2, FALSE))</f>
        <v/>
      </c>
      <c r="R3728" s="107"/>
    </row>
    <row r="3729" hidden="1">
      <c r="A3729" s="443"/>
      <c r="B3729" s="43" t="str">
        <f>IF(A3729="", "", IFERROR(VLOOKUP(A3729, Clasificaciones!A:B, 2, FALSE), "DATO NO CARGADO"))
</f>
        <v/>
      </c>
      <c r="C3729" s="51"/>
      <c r="D3729" s="102"/>
      <c r="E3729" s="102"/>
      <c r="H3729" s="102"/>
      <c r="J3729" s="102"/>
      <c r="K3729" s="450"/>
      <c r="L3729" s="443"/>
      <c r="M3729" s="450"/>
      <c r="N3729" s="452"/>
      <c r="O3729" s="453"/>
      <c r="P3729" s="113"/>
      <c r="Q3729" s="106" t="str">
        <f>IF(ISBLANK(O3729), "", VLOOKUP(C3729&amp;" "&amp;D3729, 'Info Tipo de Cambio y REM'!$A$24:$B$35, 2, FALSE))</f>
        <v/>
      </c>
      <c r="R3729" s="107"/>
    </row>
    <row r="3730" hidden="1">
      <c r="A3730" s="443"/>
      <c r="B3730" s="43" t="str">
        <f>IF(A3730="", "", IFERROR(VLOOKUP(A3730, Clasificaciones!A:B, 2, FALSE), "DATO NO CARGADO"))
</f>
        <v/>
      </c>
      <c r="C3730" s="51"/>
      <c r="D3730" s="102"/>
      <c r="E3730" s="102"/>
      <c r="H3730" s="102"/>
      <c r="J3730" s="102"/>
      <c r="K3730" s="450"/>
      <c r="L3730" s="443"/>
      <c r="M3730" s="450"/>
      <c r="N3730" s="452"/>
      <c r="O3730" s="453"/>
      <c r="P3730" s="113"/>
      <c r="Q3730" s="106" t="str">
        <f>IF(ISBLANK(O3730), "", VLOOKUP(C3730&amp;" "&amp;D3730, 'Info Tipo de Cambio y REM'!$A$24:$B$35, 2, FALSE))</f>
        <v/>
      </c>
      <c r="R3730" s="107"/>
    </row>
    <row r="3731" hidden="1">
      <c r="A3731" s="443"/>
      <c r="B3731" s="43" t="str">
        <f>IF(A3731="", "", IFERROR(VLOOKUP(A3731, Clasificaciones!A:B, 2, FALSE), "DATO NO CARGADO"))
</f>
        <v/>
      </c>
      <c r="C3731" s="51"/>
      <c r="D3731" s="102"/>
      <c r="E3731" s="102"/>
      <c r="H3731" s="102"/>
      <c r="J3731" s="102"/>
      <c r="K3731" s="450"/>
      <c r="L3731" s="443"/>
      <c r="M3731" s="450"/>
      <c r="N3731" s="452"/>
      <c r="O3731" s="453"/>
      <c r="P3731" s="113"/>
      <c r="Q3731" s="106" t="str">
        <f>IF(ISBLANK(O3731), "", VLOOKUP(C3731&amp;" "&amp;D3731, 'Info Tipo de Cambio y REM'!$A$24:$B$35, 2, FALSE))</f>
        <v/>
      </c>
      <c r="R3731" s="107"/>
    </row>
    <row r="3732" hidden="1">
      <c r="A3732" s="443"/>
      <c r="B3732" s="43" t="str">
        <f>IF(A3732="", "", IFERROR(VLOOKUP(A3732, Clasificaciones!A:B, 2, FALSE), "DATO NO CARGADO"))
</f>
        <v/>
      </c>
      <c r="C3732" s="51"/>
      <c r="D3732" s="102"/>
      <c r="E3732" s="102"/>
      <c r="H3732" s="102"/>
      <c r="J3732" s="102"/>
      <c r="K3732" s="450"/>
      <c r="L3732" s="443"/>
      <c r="M3732" s="450"/>
      <c r="N3732" s="452"/>
      <c r="O3732" s="453"/>
      <c r="P3732" s="113"/>
      <c r="Q3732" s="106" t="str">
        <f>IF(ISBLANK(O3732), "", VLOOKUP(C3732&amp;" "&amp;D3732, 'Info Tipo de Cambio y REM'!$A$24:$B$35, 2, FALSE))</f>
        <v/>
      </c>
      <c r="R3732" s="107"/>
    </row>
    <row r="3733" hidden="1">
      <c r="A3733" s="443"/>
      <c r="B3733" s="43" t="str">
        <f>IF(A3733="", "", IFERROR(VLOOKUP(A3733, Clasificaciones!A:B, 2, FALSE), "DATO NO CARGADO"))
</f>
        <v/>
      </c>
      <c r="C3733" s="51"/>
      <c r="D3733" s="102"/>
      <c r="E3733" s="102"/>
      <c r="H3733" s="102"/>
      <c r="J3733" s="102"/>
      <c r="K3733" s="450"/>
      <c r="L3733" s="443"/>
      <c r="M3733" s="450"/>
      <c r="N3733" s="452"/>
      <c r="O3733" s="453"/>
      <c r="P3733" s="113"/>
      <c r="Q3733" s="106" t="str">
        <f>IF(ISBLANK(O3733), "", VLOOKUP(C3733&amp;" "&amp;D3733, 'Info Tipo de Cambio y REM'!$A$24:$B$35, 2, FALSE))</f>
        <v/>
      </c>
      <c r="R3733" s="107"/>
    </row>
    <row r="3734" hidden="1">
      <c r="A3734" s="443"/>
      <c r="B3734" s="43" t="str">
        <f>IF(A3734="", "", IFERROR(VLOOKUP(A3734, Clasificaciones!A:B, 2, FALSE), "DATO NO CARGADO"))
</f>
        <v/>
      </c>
      <c r="C3734" s="51"/>
      <c r="D3734" s="102"/>
      <c r="E3734" s="102"/>
      <c r="H3734" s="102"/>
      <c r="J3734" s="102"/>
      <c r="K3734" s="450"/>
      <c r="L3734" s="443"/>
      <c r="M3734" s="450"/>
      <c r="N3734" s="452"/>
      <c r="O3734" s="453"/>
      <c r="P3734" s="113"/>
      <c r="Q3734" s="106" t="str">
        <f>IF(ISBLANK(O3734), "", VLOOKUP(C3734&amp;" "&amp;D3734, 'Info Tipo de Cambio y REM'!$A$24:$B$35, 2, FALSE))</f>
        <v/>
      </c>
      <c r="R3734" s="107"/>
    </row>
    <row r="3735" hidden="1">
      <c r="A3735" s="443"/>
      <c r="B3735" s="43" t="str">
        <f>IF(A3735="", "", IFERROR(VLOOKUP(A3735, Clasificaciones!A:B, 2, FALSE), "DATO NO CARGADO"))
</f>
        <v/>
      </c>
      <c r="C3735" s="51"/>
      <c r="D3735" s="102"/>
      <c r="E3735" s="102"/>
      <c r="H3735" s="102"/>
      <c r="J3735" s="102"/>
      <c r="K3735" s="450"/>
      <c r="L3735" s="443"/>
      <c r="M3735" s="450"/>
      <c r="N3735" s="452"/>
      <c r="O3735" s="453"/>
      <c r="P3735" s="113"/>
      <c r="Q3735" s="106" t="str">
        <f>IF(ISBLANK(O3735), "", VLOOKUP(C3735&amp;" "&amp;D3735, 'Info Tipo de Cambio y REM'!$A$24:$B$35, 2, FALSE))</f>
        <v/>
      </c>
      <c r="R3735" s="107"/>
    </row>
    <row r="3736" hidden="1">
      <c r="A3736" s="443"/>
      <c r="B3736" s="43" t="str">
        <f>IF(A3736="", "", IFERROR(VLOOKUP(A3736, Clasificaciones!A:B, 2, FALSE), "DATO NO CARGADO"))
</f>
        <v/>
      </c>
      <c r="C3736" s="51"/>
      <c r="D3736" s="102"/>
      <c r="E3736" s="102"/>
      <c r="H3736" s="102"/>
      <c r="J3736" s="102"/>
      <c r="K3736" s="450"/>
      <c r="L3736" s="443"/>
      <c r="M3736" s="450"/>
      <c r="N3736" s="452"/>
      <c r="O3736" s="453"/>
      <c r="P3736" s="113"/>
      <c r="Q3736" s="106" t="str">
        <f>IF(ISBLANK(O3736), "", VLOOKUP(C3736&amp;" "&amp;D3736, 'Info Tipo de Cambio y REM'!$A$24:$B$35, 2, FALSE))</f>
        <v/>
      </c>
      <c r="R3736" s="107"/>
    </row>
    <row r="3737" hidden="1">
      <c r="A3737" s="443"/>
      <c r="B3737" s="43" t="str">
        <f>IF(A3737="", "", IFERROR(VLOOKUP(A3737, Clasificaciones!A:B, 2, FALSE), "DATO NO CARGADO"))
</f>
        <v/>
      </c>
      <c r="C3737" s="51"/>
      <c r="D3737" s="102"/>
      <c r="E3737" s="102"/>
      <c r="H3737" s="102"/>
      <c r="J3737" s="102"/>
      <c r="K3737" s="450"/>
      <c r="L3737" s="443"/>
      <c r="M3737" s="450"/>
      <c r="N3737" s="452"/>
      <c r="O3737" s="453"/>
      <c r="P3737" s="113"/>
      <c r="Q3737" s="106" t="str">
        <f>IF(ISBLANK(O3737), "", VLOOKUP(C3737&amp;" "&amp;D3737, 'Info Tipo de Cambio y REM'!$A$24:$B$35, 2, FALSE))</f>
        <v/>
      </c>
      <c r="R3737" s="107"/>
    </row>
    <row r="3738" hidden="1">
      <c r="A3738" s="443"/>
      <c r="B3738" s="43" t="str">
        <f>IF(A3738="", "", IFERROR(VLOOKUP(A3738, Clasificaciones!A:B, 2, FALSE), "DATO NO CARGADO"))
</f>
        <v/>
      </c>
      <c r="C3738" s="51"/>
      <c r="D3738" s="102"/>
      <c r="E3738" s="102"/>
      <c r="H3738" s="102"/>
      <c r="J3738" s="102"/>
      <c r="K3738" s="450"/>
      <c r="L3738" s="443"/>
      <c r="M3738" s="450"/>
      <c r="N3738" s="452"/>
      <c r="O3738" s="453"/>
      <c r="P3738" s="113"/>
      <c r="Q3738" s="106" t="str">
        <f>IF(ISBLANK(O3738), "", VLOOKUP(C3738&amp;" "&amp;D3738, 'Info Tipo de Cambio y REM'!$A$24:$B$35, 2, FALSE))</f>
        <v/>
      </c>
      <c r="R3738" s="107"/>
    </row>
    <row r="3739" hidden="1">
      <c r="A3739" s="443"/>
      <c r="B3739" s="43" t="str">
        <f>IF(A3739="", "", IFERROR(VLOOKUP(A3739, Clasificaciones!A:B, 2, FALSE), "DATO NO CARGADO"))
</f>
        <v/>
      </c>
      <c r="C3739" s="51"/>
      <c r="D3739" s="102"/>
      <c r="E3739" s="102"/>
      <c r="H3739" s="102"/>
      <c r="J3739" s="102"/>
      <c r="K3739" s="450"/>
      <c r="L3739" s="443"/>
      <c r="M3739" s="450"/>
      <c r="N3739" s="452"/>
      <c r="O3739" s="453"/>
      <c r="P3739" s="113"/>
      <c r="Q3739" s="106" t="str">
        <f>IF(ISBLANK(O3739), "", VLOOKUP(C3739&amp;" "&amp;D3739, 'Info Tipo de Cambio y REM'!$A$24:$B$35, 2, FALSE))</f>
        <v/>
      </c>
      <c r="R3739" s="107"/>
    </row>
    <row r="3740" hidden="1">
      <c r="A3740" s="443"/>
      <c r="B3740" s="43" t="str">
        <f>IF(A3740="", "", IFERROR(VLOOKUP(A3740, Clasificaciones!A:B, 2, FALSE), "DATO NO CARGADO"))
</f>
        <v/>
      </c>
      <c r="C3740" s="51"/>
      <c r="D3740" s="102"/>
      <c r="E3740" s="102"/>
      <c r="H3740" s="102"/>
      <c r="J3740" s="102"/>
      <c r="K3740" s="450"/>
      <c r="L3740" s="443"/>
      <c r="M3740" s="450"/>
      <c r="N3740" s="452"/>
      <c r="O3740" s="453"/>
      <c r="P3740" s="113"/>
      <c r="Q3740" s="106" t="str">
        <f>IF(ISBLANK(O3740), "", VLOOKUP(C3740&amp;" "&amp;D3740, 'Info Tipo de Cambio y REM'!$A$24:$B$35, 2, FALSE))</f>
        <v/>
      </c>
      <c r="R3740" s="107"/>
    </row>
    <row r="3741" hidden="1">
      <c r="A3741" s="443"/>
      <c r="B3741" s="43" t="str">
        <f>IF(A3741="", "", IFERROR(VLOOKUP(A3741, Clasificaciones!A:B, 2, FALSE), "DATO NO CARGADO"))
</f>
        <v/>
      </c>
      <c r="C3741" s="51"/>
      <c r="D3741" s="102"/>
      <c r="E3741" s="102"/>
      <c r="H3741" s="102"/>
      <c r="J3741" s="102"/>
      <c r="K3741" s="450"/>
      <c r="L3741" s="443"/>
      <c r="M3741" s="450"/>
      <c r="N3741" s="452"/>
      <c r="O3741" s="453"/>
      <c r="P3741" s="113"/>
      <c r="Q3741" s="106" t="str">
        <f>IF(ISBLANK(O3741), "", VLOOKUP(C3741&amp;" "&amp;D3741, 'Info Tipo de Cambio y REM'!$A$24:$B$35, 2, FALSE))</f>
        <v/>
      </c>
      <c r="R3741" s="107"/>
    </row>
    <row r="3742" hidden="1">
      <c r="A3742" s="443"/>
      <c r="B3742" s="43" t="str">
        <f>IF(A3742="", "", IFERROR(VLOOKUP(A3742, Clasificaciones!A:B, 2, FALSE), "DATO NO CARGADO"))
</f>
        <v/>
      </c>
      <c r="C3742" s="51"/>
      <c r="D3742" s="102"/>
      <c r="E3742" s="102"/>
      <c r="H3742" s="102"/>
      <c r="J3742" s="102"/>
      <c r="K3742" s="450"/>
      <c r="L3742" s="443"/>
      <c r="M3742" s="450"/>
      <c r="N3742" s="452"/>
      <c r="O3742" s="453"/>
      <c r="P3742" s="113"/>
      <c r="Q3742" s="106" t="str">
        <f>IF(ISBLANK(O3742), "", VLOOKUP(C3742&amp;" "&amp;D3742, 'Info Tipo de Cambio y REM'!$A$24:$B$35, 2, FALSE))</f>
        <v/>
      </c>
      <c r="R3742" s="107"/>
    </row>
    <row r="3743" hidden="1">
      <c r="A3743" s="443"/>
      <c r="B3743" s="43" t="str">
        <f>IF(A3743="", "", IFERROR(VLOOKUP(A3743, Clasificaciones!A:B, 2, FALSE), "DATO NO CARGADO"))
</f>
        <v/>
      </c>
      <c r="C3743" s="51"/>
      <c r="D3743" s="102"/>
      <c r="E3743" s="102"/>
      <c r="H3743" s="102"/>
      <c r="J3743" s="102"/>
      <c r="K3743" s="450"/>
      <c r="L3743" s="443"/>
      <c r="M3743" s="450"/>
      <c r="N3743" s="452"/>
      <c r="O3743" s="453"/>
      <c r="P3743" s="113"/>
      <c r="Q3743" s="106" t="str">
        <f>IF(ISBLANK(O3743), "", VLOOKUP(C3743&amp;" "&amp;D3743, 'Info Tipo de Cambio y REM'!$A$24:$B$35, 2, FALSE))</f>
        <v/>
      </c>
      <c r="R3743" s="107"/>
    </row>
    <row r="3744" hidden="1">
      <c r="A3744" s="443"/>
      <c r="B3744" s="43" t="str">
        <f>IF(A3744="", "", IFERROR(VLOOKUP(A3744, Clasificaciones!A:B, 2, FALSE), "DATO NO CARGADO"))
</f>
        <v/>
      </c>
      <c r="C3744" s="51"/>
      <c r="D3744" s="102"/>
      <c r="E3744" s="102"/>
      <c r="H3744" s="102"/>
      <c r="J3744" s="102"/>
      <c r="K3744" s="450"/>
      <c r="L3744" s="443"/>
      <c r="M3744" s="450"/>
      <c r="N3744" s="452"/>
      <c r="O3744" s="453"/>
      <c r="P3744" s="113"/>
      <c r="Q3744" s="106" t="str">
        <f>IF(ISBLANK(O3744), "", VLOOKUP(C3744&amp;" "&amp;D3744, 'Info Tipo de Cambio y REM'!$A$24:$B$35, 2, FALSE))</f>
        <v/>
      </c>
      <c r="R3744" s="107"/>
    </row>
    <row r="3745" hidden="1">
      <c r="A3745" s="443"/>
      <c r="B3745" s="43" t="str">
        <f>IF(A3745="", "", IFERROR(VLOOKUP(A3745, Clasificaciones!A:B, 2, FALSE), "DATO NO CARGADO"))
</f>
        <v/>
      </c>
      <c r="C3745" s="51"/>
      <c r="D3745" s="102"/>
      <c r="E3745" s="102"/>
      <c r="H3745" s="102"/>
      <c r="J3745" s="102"/>
      <c r="K3745" s="450"/>
      <c r="L3745" s="443"/>
      <c r="M3745" s="450"/>
      <c r="N3745" s="452"/>
      <c r="O3745" s="453"/>
      <c r="P3745" s="113"/>
      <c r="Q3745" s="106" t="str">
        <f>IF(ISBLANK(O3745), "", VLOOKUP(C3745&amp;" "&amp;D3745, 'Info Tipo de Cambio y REM'!$A$24:$B$35, 2, FALSE))</f>
        <v/>
      </c>
      <c r="R3745" s="107"/>
    </row>
    <row r="3746" hidden="1">
      <c r="A3746" s="443"/>
      <c r="B3746" s="43" t="str">
        <f>IF(A3746="", "", IFERROR(VLOOKUP(A3746, Clasificaciones!A:B, 2, FALSE), "DATO NO CARGADO"))
</f>
        <v/>
      </c>
      <c r="C3746" s="51"/>
      <c r="D3746" s="102"/>
      <c r="E3746" s="102"/>
      <c r="H3746" s="102"/>
      <c r="J3746" s="102"/>
      <c r="K3746" s="450"/>
      <c r="L3746" s="443"/>
      <c r="M3746" s="450"/>
      <c r="N3746" s="452"/>
      <c r="O3746" s="453"/>
      <c r="P3746" s="113"/>
      <c r="Q3746" s="106" t="str">
        <f>IF(ISBLANK(O3746), "", VLOOKUP(C3746&amp;" "&amp;D3746, 'Info Tipo de Cambio y REM'!$A$24:$B$35, 2, FALSE))</f>
        <v/>
      </c>
      <c r="R3746" s="107"/>
    </row>
    <row r="3747" hidden="1">
      <c r="A3747" s="443"/>
      <c r="B3747" s="43" t="str">
        <f>IF(A3747="", "", IFERROR(VLOOKUP(A3747, Clasificaciones!A:B, 2, FALSE), "DATO NO CARGADO"))
</f>
        <v/>
      </c>
      <c r="C3747" s="51"/>
      <c r="D3747" s="102"/>
      <c r="E3747" s="102"/>
      <c r="H3747" s="102"/>
      <c r="J3747" s="102"/>
      <c r="K3747" s="450"/>
      <c r="L3747" s="443"/>
      <c r="M3747" s="450"/>
      <c r="N3747" s="452"/>
      <c r="O3747" s="453"/>
      <c r="P3747" s="113"/>
      <c r="Q3747" s="106" t="str">
        <f>IF(ISBLANK(O3747), "", VLOOKUP(C3747&amp;" "&amp;D3747, 'Info Tipo de Cambio y REM'!$A$24:$B$35, 2, FALSE))</f>
        <v/>
      </c>
      <c r="R3747" s="107"/>
    </row>
    <row r="3748" hidden="1">
      <c r="A3748" s="443"/>
      <c r="B3748" s="43" t="str">
        <f>IF(A3748="", "", IFERROR(VLOOKUP(A3748, Clasificaciones!A:B, 2, FALSE), "DATO NO CARGADO"))
</f>
        <v/>
      </c>
      <c r="C3748" s="51"/>
      <c r="D3748" s="102"/>
      <c r="E3748" s="102"/>
      <c r="H3748" s="102"/>
      <c r="J3748" s="102"/>
      <c r="K3748" s="450"/>
      <c r="L3748" s="443"/>
      <c r="M3748" s="450"/>
      <c r="N3748" s="452"/>
      <c r="O3748" s="453"/>
      <c r="P3748" s="113"/>
      <c r="Q3748" s="106" t="str">
        <f>IF(ISBLANK(O3748), "", VLOOKUP(C3748&amp;" "&amp;D3748, 'Info Tipo de Cambio y REM'!$A$24:$B$35, 2, FALSE))</f>
        <v/>
      </c>
      <c r="R3748" s="107"/>
    </row>
    <row r="3749" hidden="1">
      <c r="A3749" s="443"/>
      <c r="B3749" s="43" t="str">
        <f>IF(A3749="", "", IFERROR(VLOOKUP(A3749, Clasificaciones!A:B, 2, FALSE), "DATO NO CARGADO"))
</f>
        <v/>
      </c>
      <c r="C3749" s="51"/>
      <c r="D3749" s="102"/>
      <c r="E3749" s="102"/>
      <c r="H3749" s="102"/>
      <c r="J3749" s="102"/>
      <c r="K3749" s="450"/>
      <c r="L3749" s="443"/>
      <c r="M3749" s="450"/>
      <c r="N3749" s="452"/>
      <c r="O3749" s="453"/>
      <c r="P3749" s="113"/>
      <c r="Q3749" s="106" t="str">
        <f>IF(ISBLANK(O3749), "", VLOOKUP(C3749&amp;" "&amp;D3749, 'Info Tipo de Cambio y REM'!$A$24:$B$35, 2, FALSE))</f>
        <v/>
      </c>
      <c r="R3749" s="107"/>
    </row>
    <row r="3750" hidden="1">
      <c r="A3750" s="443"/>
      <c r="B3750" s="43" t="str">
        <f>IF(A3750="", "", IFERROR(VLOOKUP(A3750, Clasificaciones!A:B, 2, FALSE), "DATO NO CARGADO"))
</f>
        <v/>
      </c>
      <c r="C3750" s="51"/>
      <c r="D3750" s="102"/>
      <c r="E3750" s="102"/>
      <c r="H3750" s="102"/>
      <c r="J3750" s="102"/>
      <c r="K3750" s="450"/>
      <c r="L3750" s="443"/>
      <c r="M3750" s="450"/>
      <c r="N3750" s="452"/>
      <c r="O3750" s="453"/>
      <c r="P3750" s="113"/>
      <c r="Q3750" s="106" t="str">
        <f>IF(ISBLANK(O3750), "", VLOOKUP(C3750&amp;" "&amp;D3750, 'Info Tipo de Cambio y REM'!$A$24:$B$35, 2, FALSE))</f>
        <v/>
      </c>
      <c r="R3750" s="107"/>
    </row>
    <row r="3751" hidden="1">
      <c r="A3751" s="443"/>
      <c r="B3751" s="43" t="str">
        <f>IF(A3751="", "", IFERROR(VLOOKUP(A3751, Clasificaciones!A:B, 2, FALSE), "DATO NO CARGADO"))
</f>
        <v/>
      </c>
      <c r="C3751" s="51"/>
      <c r="D3751" s="102"/>
      <c r="E3751" s="102"/>
      <c r="H3751" s="102"/>
      <c r="J3751" s="102"/>
      <c r="K3751" s="450"/>
      <c r="L3751" s="443"/>
      <c r="M3751" s="450"/>
      <c r="N3751" s="452"/>
      <c r="O3751" s="453"/>
      <c r="P3751" s="113"/>
      <c r="Q3751" s="106" t="str">
        <f>IF(ISBLANK(O3751), "", VLOOKUP(C3751&amp;" "&amp;D3751, 'Info Tipo de Cambio y REM'!$A$24:$B$35, 2, FALSE))</f>
        <v/>
      </c>
      <c r="R3751" s="107"/>
    </row>
    <row r="3752" hidden="1">
      <c r="A3752" s="443"/>
      <c r="B3752" s="43" t="str">
        <f>IF(A3752="", "", IFERROR(VLOOKUP(A3752, Clasificaciones!A:B, 2, FALSE), "DATO NO CARGADO"))
</f>
        <v/>
      </c>
      <c r="C3752" s="51"/>
      <c r="D3752" s="102"/>
      <c r="E3752" s="102"/>
      <c r="H3752" s="102"/>
      <c r="J3752" s="102"/>
      <c r="K3752" s="450"/>
      <c r="L3752" s="443"/>
      <c r="M3752" s="450"/>
      <c r="N3752" s="452"/>
      <c r="O3752" s="453"/>
      <c r="P3752" s="113"/>
      <c r="Q3752" s="106" t="str">
        <f>IF(ISBLANK(O3752), "", VLOOKUP(C3752&amp;" "&amp;D3752, 'Info Tipo de Cambio y REM'!$A$24:$B$35, 2, FALSE))</f>
        <v/>
      </c>
      <c r="R3752" s="107"/>
    </row>
    <row r="3753" hidden="1">
      <c r="A3753" s="443"/>
      <c r="B3753" s="43" t="str">
        <f>IF(A3753="", "", IFERROR(VLOOKUP(A3753, Clasificaciones!A:B, 2, FALSE), "DATO NO CARGADO"))
</f>
        <v/>
      </c>
      <c r="C3753" s="51"/>
      <c r="D3753" s="102"/>
      <c r="E3753" s="102"/>
      <c r="H3753" s="102"/>
      <c r="J3753" s="102"/>
      <c r="K3753" s="450"/>
      <c r="L3753" s="443"/>
      <c r="M3753" s="450"/>
      <c r="N3753" s="452"/>
      <c r="O3753" s="453"/>
      <c r="P3753" s="113"/>
      <c r="Q3753" s="106" t="str">
        <f>IF(ISBLANK(O3753), "", VLOOKUP(C3753&amp;" "&amp;D3753, 'Info Tipo de Cambio y REM'!$A$24:$B$35, 2, FALSE))</f>
        <v/>
      </c>
      <c r="R3753" s="107"/>
    </row>
    <row r="3754" hidden="1">
      <c r="A3754" s="443"/>
      <c r="B3754" s="43" t="str">
        <f>IF(A3754="", "", IFERROR(VLOOKUP(A3754, Clasificaciones!A:B, 2, FALSE), "DATO NO CARGADO"))
</f>
        <v/>
      </c>
      <c r="C3754" s="51"/>
      <c r="D3754" s="102"/>
      <c r="E3754" s="102"/>
      <c r="H3754" s="102"/>
      <c r="J3754" s="102"/>
      <c r="K3754" s="450"/>
      <c r="L3754" s="443"/>
      <c r="M3754" s="450"/>
      <c r="N3754" s="452"/>
      <c r="O3754" s="453"/>
      <c r="P3754" s="113"/>
      <c r="Q3754" s="106" t="str">
        <f>IF(ISBLANK(O3754), "", VLOOKUP(C3754&amp;" "&amp;D3754, 'Info Tipo de Cambio y REM'!$A$24:$B$35, 2, FALSE))</f>
        <v/>
      </c>
      <c r="R3754" s="107"/>
    </row>
    <row r="3755" hidden="1">
      <c r="A3755" s="443"/>
      <c r="B3755" s="43" t="str">
        <f>IF(A3755="", "", IFERROR(VLOOKUP(A3755, Clasificaciones!A:B, 2, FALSE), "DATO NO CARGADO"))
</f>
        <v/>
      </c>
      <c r="C3755" s="51"/>
      <c r="D3755" s="102"/>
      <c r="E3755" s="102"/>
      <c r="H3755" s="102"/>
      <c r="J3755" s="102"/>
      <c r="K3755" s="450"/>
      <c r="L3755" s="443"/>
      <c r="M3755" s="450"/>
      <c r="N3755" s="452"/>
      <c r="O3755" s="453"/>
      <c r="P3755" s="113"/>
      <c r="Q3755" s="106" t="str">
        <f>IF(ISBLANK(O3755), "", VLOOKUP(C3755&amp;" "&amp;D3755, 'Info Tipo de Cambio y REM'!$A$24:$B$35, 2, FALSE))</f>
        <v/>
      </c>
      <c r="R3755" s="107"/>
    </row>
    <row r="3756" hidden="1">
      <c r="A3756" s="443"/>
      <c r="B3756" s="43" t="str">
        <f>IF(A3756="", "", IFERROR(VLOOKUP(A3756, Clasificaciones!A:B, 2, FALSE), "DATO NO CARGADO"))
</f>
        <v/>
      </c>
      <c r="C3756" s="51"/>
      <c r="D3756" s="102"/>
      <c r="E3756" s="102"/>
      <c r="H3756" s="102"/>
      <c r="J3756" s="102"/>
      <c r="K3756" s="450"/>
      <c r="L3756" s="443"/>
      <c r="M3756" s="450"/>
      <c r="N3756" s="452"/>
      <c r="O3756" s="453"/>
      <c r="P3756" s="113"/>
      <c r="Q3756" s="106" t="str">
        <f>IF(ISBLANK(O3756), "", VLOOKUP(C3756&amp;" "&amp;D3756, 'Info Tipo de Cambio y REM'!$A$24:$B$35, 2, FALSE))</f>
        <v/>
      </c>
      <c r="R3756" s="107"/>
    </row>
    <row r="3757" hidden="1">
      <c r="A3757" s="443"/>
      <c r="B3757" s="43" t="str">
        <f>IF(A3757="", "", IFERROR(VLOOKUP(A3757, Clasificaciones!A:B, 2, FALSE), "DATO NO CARGADO"))
</f>
        <v/>
      </c>
      <c r="C3757" s="51"/>
      <c r="D3757" s="102"/>
      <c r="E3757" s="102"/>
      <c r="H3757" s="102"/>
      <c r="J3757" s="102"/>
      <c r="K3757" s="450"/>
      <c r="L3757" s="443"/>
      <c r="M3757" s="450"/>
      <c r="N3757" s="452"/>
      <c r="O3757" s="453"/>
      <c r="P3757" s="113"/>
      <c r="Q3757" s="106" t="str">
        <f>IF(ISBLANK(O3757), "", VLOOKUP(C3757&amp;" "&amp;D3757, 'Info Tipo de Cambio y REM'!$A$24:$B$35, 2, FALSE))</f>
        <v/>
      </c>
      <c r="R3757" s="107"/>
    </row>
    <row r="3758" hidden="1">
      <c r="A3758" s="443"/>
      <c r="B3758" s="43" t="str">
        <f>IF(A3758="", "", IFERROR(VLOOKUP(A3758, Clasificaciones!A:B, 2, FALSE), "DATO NO CARGADO"))
</f>
        <v/>
      </c>
      <c r="C3758" s="51"/>
      <c r="D3758" s="102"/>
      <c r="E3758" s="102"/>
      <c r="H3758" s="102"/>
      <c r="J3758" s="102"/>
      <c r="K3758" s="450"/>
      <c r="L3758" s="443"/>
      <c r="M3758" s="450"/>
      <c r="N3758" s="452"/>
      <c r="O3758" s="453"/>
      <c r="P3758" s="113"/>
      <c r="Q3758" s="106" t="str">
        <f>IF(ISBLANK(O3758), "", VLOOKUP(C3758&amp;" "&amp;D3758, 'Info Tipo de Cambio y REM'!$A$24:$B$35, 2, FALSE))</f>
        <v/>
      </c>
      <c r="R3758" s="107"/>
    </row>
    <row r="3759" hidden="1">
      <c r="A3759" s="443"/>
      <c r="B3759" s="43" t="str">
        <f>IF(A3759="", "", IFERROR(VLOOKUP(A3759, Clasificaciones!A:B, 2, FALSE), "DATO NO CARGADO"))
</f>
        <v/>
      </c>
      <c r="C3759" s="51"/>
      <c r="D3759" s="102"/>
      <c r="E3759" s="102"/>
      <c r="H3759" s="102"/>
      <c r="J3759" s="102"/>
      <c r="K3759" s="450"/>
      <c r="L3759" s="443"/>
      <c r="M3759" s="450"/>
      <c r="N3759" s="452"/>
      <c r="O3759" s="453"/>
      <c r="P3759" s="113"/>
      <c r="Q3759" s="106" t="str">
        <f>IF(ISBLANK(O3759), "", VLOOKUP(C3759&amp;" "&amp;D3759, 'Info Tipo de Cambio y REM'!$A$24:$B$35, 2, FALSE))</f>
        <v/>
      </c>
      <c r="R3759" s="107"/>
    </row>
    <row r="3760" hidden="1">
      <c r="A3760" s="443"/>
      <c r="B3760" s="43" t="str">
        <f>IF(A3760="", "", IFERROR(VLOOKUP(A3760, Clasificaciones!A:B, 2, FALSE), "DATO NO CARGADO"))
</f>
        <v/>
      </c>
      <c r="C3760" s="51"/>
      <c r="D3760" s="102"/>
      <c r="E3760" s="102"/>
      <c r="H3760" s="102"/>
      <c r="J3760" s="102"/>
      <c r="K3760" s="450"/>
      <c r="L3760" s="443"/>
      <c r="M3760" s="450"/>
      <c r="N3760" s="452"/>
      <c r="O3760" s="453"/>
      <c r="P3760" s="113"/>
      <c r="Q3760" s="106" t="str">
        <f>IF(ISBLANK(O3760), "", VLOOKUP(C3760&amp;" "&amp;D3760, 'Info Tipo de Cambio y REM'!$A$24:$B$35, 2, FALSE))</f>
        <v/>
      </c>
      <c r="R3760" s="107"/>
    </row>
    <row r="3761" hidden="1">
      <c r="A3761" s="443"/>
      <c r="B3761" s="43" t="str">
        <f>IF(A3761="", "", IFERROR(VLOOKUP(A3761, Clasificaciones!A:B, 2, FALSE), "DATO NO CARGADO"))
</f>
        <v/>
      </c>
      <c r="C3761" s="51"/>
      <c r="D3761" s="102"/>
      <c r="E3761" s="102"/>
      <c r="H3761" s="102"/>
      <c r="J3761" s="102"/>
      <c r="K3761" s="450"/>
      <c r="L3761" s="443"/>
      <c r="M3761" s="450"/>
      <c r="N3761" s="452"/>
      <c r="O3761" s="453"/>
      <c r="P3761" s="113"/>
      <c r="Q3761" s="106" t="str">
        <f>IF(ISBLANK(O3761), "", VLOOKUP(C3761&amp;" "&amp;D3761, 'Info Tipo de Cambio y REM'!$A$24:$B$35, 2, FALSE))</f>
        <v/>
      </c>
      <c r="R3761" s="107"/>
    </row>
    <row r="3762" hidden="1">
      <c r="A3762" s="443"/>
      <c r="B3762" s="43" t="str">
        <f>IF(A3762="", "", IFERROR(VLOOKUP(A3762, Clasificaciones!A:B, 2, FALSE), "DATO NO CARGADO"))
</f>
        <v/>
      </c>
      <c r="C3762" s="51"/>
      <c r="D3762" s="102"/>
      <c r="E3762" s="102"/>
      <c r="H3762" s="102"/>
      <c r="J3762" s="102"/>
      <c r="K3762" s="450"/>
      <c r="L3762" s="443"/>
      <c r="M3762" s="450"/>
      <c r="N3762" s="452"/>
      <c r="O3762" s="453"/>
      <c r="P3762" s="113"/>
      <c r="Q3762" s="106" t="str">
        <f>IF(ISBLANK(O3762), "", VLOOKUP(C3762&amp;" "&amp;D3762, 'Info Tipo de Cambio y REM'!$A$24:$B$35, 2, FALSE))</f>
        <v/>
      </c>
      <c r="R3762" s="107"/>
    </row>
    <row r="3763" hidden="1">
      <c r="A3763" s="443"/>
      <c r="B3763" s="43" t="str">
        <f>IF(A3763="", "", IFERROR(VLOOKUP(A3763, Clasificaciones!A:B, 2, FALSE), "DATO NO CARGADO"))
</f>
        <v/>
      </c>
      <c r="C3763" s="51"/>
      <c r="D3763" s="102"/>
      <c r="E3763" s="102"/>
      <c r="H3763" s="102"/>
      <c r="J3763" s="102"/>
      <c r="K3763" s="450"/>
      <c r="L3763" s="443"/>
      <c r="M3763" s="450"/>
      <c r="N3763" s="452"/>
      <c r="O3763" s="453"/>
      <c r="P3763" s="113"/>
      <c r="Q3763" s="106" t="str">
        <f>IF(ISBLANK(O3763), "", VLOOKUP(C3763&amp;" "&amp;D3763, 'Info Tipo de Cambio y REM'!$A$24:$B$35, 2, FALSE))</f>
        <v/>
      </c>
      <c r="R3763" s="107"/>
    </row>
    <row r="3764" hidden="1">
      <c r="A3764" s="443"/>
      <c r="B3764" s="43" t="str">
        <f>IF(A3764="", "", IFERROR(VLOOKUP(A3764, Clasificaciones!A:B, 2, FALSE), "DATO NO CARGADO"))
</f>
        <v/>
      </c>
      <c r="C3764" s="51"/>
      <c r="D3764" s="102"/>
      <c r="E3764" s="102"/>
      <c r="H3764" s="102"/>
      <c r="J3764" s="102"/>
      <c r="K3764" s="450"/>
      <c r="L3764" s="443"/>
      <c r="M3764" s="450"/>
      <c r="N3764" s="452"/>
      <c r="O3764" s="453"/>
      <c r="P3764" s="113"/>
      <c r="Q3764" s="106" t="str">
        <f>IF(ISBLANK(O3764), "", VLOOKUP(C3764&amp;" "&amp;D3764, 'Info Tipo de Cambio y REM'!$A$24:$B$35, 2, FALSE))</f>
        <v/>
      </c>
      <c r="R3764" s="107"/>
    </row>
    <row r="3765" hidden="1">
      <c r="A3765" s="443"/>
      <c r="B3765" s="43" t="str">
        <f>IF(A3765="", "", IFERROR(VLOOKUP(A3765, Clasificaciones!A:B, 2, FALSE), "DATO NO CARGADO"))
</f>
        <v/>
      </c>
      <c r="C3765" s="51"/>
      <c r="D3765" s="102"/>
      <c r="E3765" s="102"/>
      <c r="H3765" s="102"/>
      <c r="J3765" s="102"/>
      <c r="K3765" s="450"/>
      <c r="L3765" s="443"/>
      <c r="M3765" s="450"/>
      <c r="N3765" s="452"/>
      <c r="O3765" s="453"/>
      <c r="P3765" s="113"/>
      <c r="Q3765" s="106" t="str">
        <f>IF(ISBLANK(O3765), "", VLOOKUP(C3765&amp;" "&amp;D3765, 'Info Tipo de Cambio y REM'!$A$24:$B$35, 2, FALSE))</f>
        <v/>
      </c>
      <c r="R3765" s="107"/>
    </row>
    <row r="3766" hidden="1">
      <c r="A3766" s="443"/>
      <c r="B3766" s="43" t="str">
        <f>IF(A3766="", "", IFERROR(VLOOKUP(A3766, Clasificaciones!A:B, 2, FALSE), "DATO NO CARGADO"))
</f>
        <v/>
      </c>
      <c r="C3766" s="51"/>
      <c r="D3766" s="102"/>
      <c r="E3766" s="102"/>
      <c r="H3766" s="102"/>
      <c r="J3766" s="102"/>
      <c r="K3766" s="450"/>
      <c r="L3766" s="443"/>
      <c r="M3766" s="450"/>
      <c r="N3766" s="452"/>
      <c r="O3766" s="453"/>
      <c r="P3766" s="113"/>
      <c r="Q3766" s="106" t="str">
        <f>IF(ISBLANK(O3766), "", VLOOKUP(C3766&amp;" "&amp;D3766, 'Info Tipo de Cambio y REM'!$A$24:$B$35, 2, FALSE))</f>
        <v/>
      </c>
      <c r="R3766" s="107"/>
    </row>
    <row r="3767" hidden="1">
      <c r="A3767" s="443"/>
      <c r="B3767" s="43" t="str">
        <f>IF(A3767="", "", IFERROR(VLOOKUP(A3767, Clasificaciones!A:B, 2, FALSE), "DATO NO CARGADO"))
</f>
        <v/>
      </c>
      <c r="C3767" s="51"/>
      <c r="D3767" s="102"/>
      <c r="E3767" s="102"/>
      <c r="H3767" s="102"/>
      <c r="J3767" s="102"/>
      <c r="K3767" s="450"/>
      <c r="L3767" s="443"/>
      <c r="M3767" s="450"/>
      <c r="N3767" s="452"/>
      <c r="O3767" s="453"/>
      <c r="P3767" s="113"/>
      <c r="Q3767" s="106" t="str">
        <f>IF(ISBLANK(O3767), "", VLOOKUP(C3767&amp;" "&amp;D3767, 'Info Tipo de Cambio y REM'!$A$24:$B$35, 2, FALSE))</f>
        <v/>
      </c>
      <c r="R3767" s="107"/>
    </row>
    <row r="3768" hidden="1">
      <c r="A3768" s="443"/>
      <c r="B3768" s="43" t="str">
        <f>IF(A3768="", "", IFERROR(VLOOKUP(A3768, Clasificaciones!A:B, 2, FALSE), "DATO NO CARGADO"))
</f>
        <v/>
      </c>
      <c r="C3768" s="51"/>
      <c r="D3768" s="102"/>
      <c r="E3768" s="102"/>
      <c r="H3768" s="102"/>
      <c r="J3768" s="102"/>
      <c r="K3768" s="450"/>
      <c r="L3768" s="443"/>
      <c r="M3768" s="450"/>
      <c r="N3768" s="452"/>
      <c r="O3768" s="453"/>
      <c r="P3768" s="113"/>
      <c r="Q3768" s="106" t="str">
        <f>IF(ISBLANK(O3768), "", VLOOKUP(C3768&amp;" "&amp;D3768, 'Info Tipo de Cambio y REM'!$A$24:$B$35, 2, FALSE))</f>
        <v/>
      </c>
      <c r="R3768" s="107"/>
    </row>
    <row r="3769" hidden="1">
      <c r="A3769" s="443"/>
      <c r="B3769" s="43" t="str">
        <f>IF(A3769="", "", IFERROR(VLOOKUP(A3769, Clasificaciones!A:B, 2, FALSE), "DATO NO CARGADO"))
</f>
        <v/>
      </c>
      <c r="C3769" s="51"/>
      <c r="D3769" s="102"/>
      <c r="E3769" s="102"/>
      <c r="H3769" s="102"/>
      <c r="J3769" s="102"/>
      <c r="K3769" s="450"/>
      <c r="L3769" s="443"/>
      <c r="M3769" s="450"/>
      <c r="N3769" s="452"/>
      <c r="O3769" s="453"/>
      <c r="P3769" s="113"/>
      <c r="Q3769" s="106" t="str">
        <f>IF(ISBLANK(O3769), "", VLOOKUP(C3769&amp;" "&amp;D3769, 'Info Tipo de Cambio y REM'!$A$24:$B$35, 2, FALSE))</f>
        <v/>
      </c>
      <c r="R3769" s="107"/>
    </row>
    <row r="3770" hidden="1">
      <c r="A3770" s="443"/>
      <c r="B3770" s="43" t="str">
        <f>IF(A3770="", "", IFERROR(VLOOKUP(A3770, Clasificaciones!A:B, 2, FALSE), "DATO NO CARGADO"))
</f>
        <v/>
      </c>
      <c r="C3770" s="51"/>
      <c r="D3770" s="102"/>
      <c r="E3770" s="102"/>
      <c r="H3770" s="102"/>
      <c r="J3770" s="102"/>
      <c r="K3770" s="450"/>
      <c r="L3770" s="443"/>
      <c r="M3770" s="450"/>
      <c r="N3770" s="452"/>
      <c r="O3770" s="453"/>
      <c r="P3770" s="113"/>
      <c r="Q3770" s="106" t="str">
        <f>IF(ISBLANK(O3770), "", VLOOKUP(C3770&amp;" "&amp;D3770, 'Info Tipo de Cambio y REM'!$A$24:$B$35, 2, FALSE))</f>
        <v/>
      </c>
      <c r="R3770" s="107"/>
    </row>
    <row r="3771" hidden="1">
      <c r="A3771" s="443"/>
      <c r="B3771" s="43" t="str">
        <f>IF(A3771="", "", IFERROR(VLOOKUP(A3771, Clasificaciones!A:B, 2, FALSE), "DATO NO CARGADO"))
</f>
        <v/>
      </c>
      <c r="C3771" s="51"/>
      <c r="D3771" s="102"/>
      <c r="E3771" s="102"/>
      <c r="H3771" s="102"/>
      <c r="J3771" s="102"/>
      <c r="K3771" s="450"/>
      <c r="L3771" s="443"/>
      <c r="M3771" s="450"/>
      <c r="N3771" s="452"/>
      <c r="O3771" s="453"/>
      <c r="P3771" s="113"/>
      <c r="Q3771" s="106" t="str">
        <f>IF(ISBLANK(O3771), "", VLOOKUP(C3771&amp;" "&amp;D3771, 'Info Tipo de Cambio y REM'!$A$24:$B$35, 2, FALSE))</f>
        <v/>
      </c>
      <c r="R3771" s="107"/>
    </row>
    <row r="3772" hidden="1">
      <c r="A3772" s="443"/>
      <c r="B3772" s="43" t="str">
        <f>IF(A3772="", "", IFERROR(VLOOKUP(A3772, Clasificaciones!A:B, 2, FALSE), "DATO NO CARGADO"))
</f>
        <v/>
      </c>
      <c r="C3772" s="51"/>
      <c r="D3772" s="102"/>
      <c r="E3772" s="102"/>
      <c r="H3772" s="102"/>
      <c r="J3772" s="102"/>
      <c r="K3772" s="450"/>
      <c r="L3772" s="443"/>
      <c r="M3772" s="450"/>
      <c r="N3772" s="452"/>
      <c r="O3772" s="453"/>
      <c r="P3772" s="113"/>
      <c r="Q3772" s="106" t="str">
        <f>IF(ISBLANK(O3772), "", VLOOKUP(C3772&amp;" "&amp;D3772, 'Info Tipo de Cambio y REM'!$A$24:$B$35, 2, FALSE))</f>
        <v/>
      </c>
      <c r="R3772" s="107"/>
    </row>
    <row r="3773" hidden="1">
      <c r="A3773" s="443"/>
      <c r="B3773" s="43" t="str">
        <f>IF(A3773="", "", IFERROR(VLOOKUP(A3773, Clasificaciones!A:B, 2, FALSE), "DATO NO CARGADO"))
</f>
        <v/>
      </c>
      <c r="C3773" s="51"/>
      <c r="D3773" s="102"/>
      <c r="E3773" s="102"/>
      <c r="H3773" s="102"/>
      <c r="J3773" s="102"/>
      <c r="K3773" s="450"/>
      <c r="L3773" s="443"/>
      <c r="M3773" s="450"/>
      <c r="N3773" s="452"/>
      <c r="O3773" s="453"/>
      <c r="P3773" s="113"/>
      <c r="Q3773" s="106" t="str">
        <f>IF(ISBLANK(O3773), "", VLOOKUP(C3773&amp;" "&amp;D3773, 'Info Tipo de Cambio y REM'!$A$24:$B$35, 2, FALSE))</f>
        <v/>
      </c>
      <c r="R3773" s="107"/>
    </row>
    <row r="3774" hidden="1">
      <c r="A3774" s="443"/>
      <c r="B3774" s="43" t="str">
        <f>IF(A3774="", "", IFERROR(VLOOKUP(A3774, Clasificaciones!A:B, 2, FALSE), "DATO NO CARGADO"))
</f>
        <v/>
      </c>
      <c r="C3774" s="51"/>
      <c r="D3774" s="102"/>
      <c r="E3774" s="102"/>
      <c r="H3774" s="102"/>
      <c r="J3774" s="102"/>
      <c r="K3774" s="450"/>
      <c r="L3774" s="443"/>
      <c r="M3774" s="450"/>
      <c r="N3774" s="452"/>
      <c r="O3774" s="453"/>
      <c r="P3774" s="113"/>
      <c r="Q3774" s="106" t="str">
        <f>IF(ISBLANK(O3774), "", VLOOKUP(C3774&amp;" "&amp;D3774, 'Info Tipo de Cambio y REM'!$A$24:$B$35, 2, FALSE))</f>
        <v/>
      </c>
      <c r="R3774" s="107"/>
    </row>
    <row r="3775" hidden="1">
      <c r="A3775" s="443"/>
      <c r="B3775" s="43" t="str">
        <f>IF(A3775="", "", IFERROR(VLOOKUP(A3775, Clasificaciones!A:B, 2, FALSE), "DATO NO CARGADO"))
</f>
        <v/>
      </c>
      <c r="C3775" s="51"/>
      <c r="D3775" s="102"/>
      <c r="E3775" s="102"/>
      <c r="H3775" s="102"/>
      <c r="J3775" s="102"/>
      <c r="K3775" s="450"/>
      <c r="L3775" s="443"/>
      <c r="M3775" s="450"/>
      <c r="N3775" s="452"/>
      <c r="O3775" s="453"/>
      <c r="P3775" s="113"/>
      <c r="Q3775" s="106" t="str">
        <f>IF(ISBLANK(O3775), "", VLOOKUP(C3775&amp;" "&amp;D3775, 'Info Tipo de Cambio y REM'!$A$24:$B$35, 2, FALSE))</f>
        <v/>
      </c>
      <c r="R3775" s="107"/>
    </row>
    <row r="3776" hidden="1">
      <c r="A3776" s="443"/>
      <c r="B3776" s="43" t="str">
        <f>IF(A3776="", "", IFERROR(VLOOKUP(A3776, Clasificaciones!A:B, 2, FALSE), "DATO NO CARGADO"))
</f>
        <v/>
      </c>
      <c r="C3776" s="51"/>
      <c r="D3776" s="102"/>
      <c r="E3776" s="102"/>
      <c r="H3776" s="102"/>
      <c r="J3776" s="102"/>
      <c r="K3776" s="450"/>
      <c r="L3776" s="443"/>
      <c r="M3776" s="450"/>
      <c r="N3776" s="452"/>
      <c r="O3776" s="453"/>
      <c r="P3776" s="113"/>
      <c r="Q3776" s="106" t="str">
        <f>IF(ISBLANK(O3776), "", VLOOKUP(C3776&amp;" "&amp;D3776, 'Info Tipo de Cambio y REM'!$A$24:$B$35, 2, FALSE))</f>
        <v/>
      </c>
      <c r="R3776" s="107"/>
    </row>
    <row r="3777" hidden="1">
      <c r="A3777" s="443"/>
      <c r="B3777" s="43" t="str">
        <f>IF(A3777="", "", IFERROR(VLOOKUP(A3777, Clasificaciones!A:B, 2, FALSE), "DATO NO CARGADO"))
</f>
        <v/>
      </c>
      <c r="C3777" s="51"/>
      <c r="D3777" s="102"/>
      <c r="E3777" s="102"/>
      <c r="H3777" s="102"/>
      <c r="J3777" s="102"/>
      <c r="K3777" s="450"/>
      <c r="L3777" s="443"/>
      <c r="M3777" s="450"/>
      <c r="N3777" s="452"/>
      <c r="O3777" s="453"/>
      <c r="P3777" s="113"/>
      <c r="Q3777" s="106" t="str">
        <f>IF(ISBLANK(O3777), "", VLOOKUP(C3777&amp;" "&amp;D3777, 'Info Tipo de Cambio y REM'!$A$24:$B$35, 2, FALSE))</f>
        <v/>
      </c>
      <c r="R3777" s="107"/>
    </row>
    <row r="3778" hidden="1">
      <c r="A3778" s="443"/>
      <c r="B3778" s="43" t="str">
        <f>IF(A3778="", "", IFERROR(VLOOKUP(A3778, Clasificaciones!A:B, 2, FALSE), "DATO NO CARGADO"))
</f>
        <v/>
      </c>
      <c r="C3778" s="51"/>
      <c r="D3778" s="102"/>
      <c r="E3778" s="102"/>
      <c r="H3778" s="102"/>
      <c r="J3778" s="102"/>
      <c r="K3778" s="450"/>
      <c r="L3778" s="443"/>
      <c r="M3778" s="450"/>
      <c r="N3778" s="452"/>
      <c r="O3778" s="453"/>
      <c r="P3778" s="113"/>
      <c r="Q3778" s="106" t="str">
        <f>IF(ISBLANK(O3778), "", VLOOKUP(C3778&amp;" "&amp;D3778, 'Info Tipo de Cambio y REM'!$A$24:$B$35, 2, FALSE))</f>
        <v/>
      </c>
      <c r="R3778" s="107"/>
    </row>
    <row r="3779" hidden="1">
      <c r="A3779" s="443"/>
      <c r="B3779" s="43" t="str">
        <f>IF(A3779="", "", IFERROR(VLOOKUP(A3779, Clasificaciones!A:B, 2, FALSE), "DATO NO CARGADO"))
</f>
        <v/>
      </c>
      <c r="C3779" s="51"/>
      <c r="D3779" s="102"/>
      <c r="E3779" s="102"/>
      <c r="H3779" s="102"/>
      <c r="J3779" s="102"/>
      <c r="K3779" s="450"/>
      <c r="L3779" s="443"/>
      <c r="M3779" s="450"/>
      <c r="N3779" s="452"/>
      <c r="O3779" s="453"/>
      <c r="P3779" s="113"/>
      <c r="Q3779" s="106" t="str">
        <f>IF(ISBLANK(O3779), "", VLOOKUP(C3779&amp;" "&amp;D3779, 'Info Tipo de Cambio y REM'!$A$24:$B$35, 2, FALSE))</f>
        <v/>
      </c>
      <c r="R3779" s="107"/>
    </row>
    <row r="3780" hidden="1">
      <c r="A3780" s="443"/>
      <c r="B3780" s="43" t="str">
        <f>IF(A3780="", "", IFERROR(VLOOKUP(A3780, Clasificaciones!A:B, 2, FALSE), "DATO NO CARGADO"))
</f>
        <v/>
      </c>
      <c r="C3780" s="51"/>
      <c r="D3780" s="102"/>
      <c r="E3780" s="102"/>
      <c r="H3780" s="102"/>
      <c r="J3780" s="102"/>
      <c r="K3780" s="450"/>
      <c r="L3780" s="443"/>
      <c r="M3780" s="450"/>
      <c r="N3780" s="452"/>
      <c r="O3780" s="453"/>
      <c r="P3780" s="113"/>
      <c r="Q3780" s="106" t="str">
        <f>IF(ISBLANK(O3780), "", VLOOKUP(C3780&amp;" "&amp;D3780, 'Info Tipo de Cambio y REM'!$A$24:$B$35, 2, FALSE))</f>
        <v/>
      </c>
      <c r="R3780" s="107"/>
    </row>
    <row r="3781" hidden="1">
      <c r="A3781" s="443"/>
      <c r="B3781" s="43" t="str">
        <f>IF(A3781="", "", IFERROR(VLOOKUP(A3781, Clasificaciones!A:B, 2, FALSE), "DATO NO CARGADO"))
</f>
        <v/>
      </c>
      <c r="C3781" s="51"/>
      <c r="D3781" s="102"/>
      <c r="E3781" s="102"/>
      <c r="H3781" s="102"/>
      <c r="J3781" s="102"/>
      <c r="K3781" s="450"/>
      <c r="L3781" s="443"/>
      <c r="M3781" s="450"/>
      <c r="N3781" s="452"/>
      <c r="O3781" s="453"/>
      <c r="P3781" s="113"/>
      <c r="Q3781" s="106" t="str">
        <f>IF(ISBLANK(O3781), "", VLOOKUP(C3781&amp;" "&amp;D3781, 'Info Tipo de Cambio y REM'!$A$24:$B$35, 2, FALSE))</f>
        <v/>
      </c>
      <c r="R3781" s="107"/>
    </row>
    <row r="3782" hidden="1">
      <c r="A3782" s="443"/>
      <c r="B3782" s="43" t="str">
        <f>IF(A3782="", "", IFERROR(VLOOKUP(A3782, Clasificaciones!A:B, 2, FALSE), "DATO NO CARGADO"))
</f>
        <v/>
      </c>
      <c r="C3782" s="51"/>
      <c r="D3782" s="102"/>
      <c r="E3782" s="102"/>
      <c r="H3782" s="102"/>
      <c r="J3782" s="102"/>
      <c r="K3782" s="450"/>
      <c r="L3782" s="443"/>
      <c r="M3782" s="450"/>
      <c r="N3782" s="452"/>
      <c r="O3782" s="453"/>
      <c r="P3782" s="113"/>
      <c r="Q3782" s="106" t="str">
        <f>IF(ISBLANK(O3782), "", VLOOKUP(C3782&amp;" "&amp;D3782, 'Info Tipo de Cambio y REM'!$A$24:$B$35, 2, FALSE))</f>
        <v/>
      </c>
      <c r="R3782" s="107"/>
    </row>
    <row r="3783" hidden="1">
      <c r="A3783" s="443"/>
      <c r="B3783" s="43" t="str">
        <f>IF(A3783="", "", IFERROR(VLOOKUP(A3783, Clasificaciones!A:B, 2, FALSE), "DATO NO CARGADO"))
</f>
        <v/>
      </c>
      <c r="C3783" s="51"/>
      <c r="D3783" s="102"/>
      <c r="E3783" s="102"/>
      <c r="H3783" s="102"/>
      <c r="J3783" s="102"/>
      <c r="K3783" s="450"/>
      <c r="L3783" s="443"/>
      <c r="M3783" s="450"/>
      <c r="N3783" s="452"/>
      <c r="O3783" s="453"/>
      <c r="P3783" s="113"/>
      <c r="Q3783" s="106" t="str">
        <f>IF(ISBLANK(O3783), "", VLOOKUP(C3783&amp;" "&amp;D3783, 'Info Tipo de Cambio y REM'!$A$24:$B$35, 2, FALSE))</f>
        <v/>
      </c>
      <c r="R3783" s="107"/>
    </row>
    <row r="3784" hidden="1">
      <c r="A3784" s="443"/>
      <c r="B3784" s="43" t="str">
        <f>IF(A3784="", "", IFERROR(VLOOKUP(A3784, Clasificaciones!A:B, 2, FALSE), "DATO NO CARGADO"))
</f>
        <v/>
      </c>
      <c r="C3784" s="51"/>
      <c r="D3784" s="102"/>
      <c r="E3784" s="102"/>
      <c r="H3784" s="102"/>
      <c r="J3784" s="102"/>
      <c r="K3784" s="450"/>
      <c r="L3784" s="443"/>
      <c r="M3784" s="450"/>
      <c r="N3784" s="452"/>
      <c r="O3784" s="453"/>
      <c r="P3784" s="113"/>
      <c r="Q3784" s="106" t="str">
        <f>IF(ISBLANK(O3784), "", VLOOKUP(C3784&amp;" "&amp;D3784, 'Info Tipo de Cambio y REM'!$A$24:$B$35, 2, FALSE))</f>
        <v/>
      </c>
      <c r="R3784" s="107"/>
    </row>
    <row r="3785" hidden="1">
      <c r="A3785" s="443"/>
      <c r="B3785" s="43" t="str">
        <f>IF(A3785="", "", IFERROR(VLOOKUP(A3785, Clasificaciones!A:B, 2, FALSE), "DATO NO CARGADO"))
</f>
        <v/>
      </c>
      <c r="C3785" s="51"/>
      <c r="D3785" s="102"/>
      <c r="E3785" s="102"/>
      <c r="H3785" s="102"/>
      <c r="J3785" s="102"/>
      <c r="K3785" s="450"/>
      <c r="L3785" s="443"/>
      <c r="M3785" s="450"/>
      <c r="N3785" s="452"/>
      <c r="O3785" s="453"/>
      <c r="P3785" s="113"/>
      <c r="Q3785" s="106" t="str">
        <f>IF(ISBLANK(O3785), "", VLOOKUP(C3785&amp;" "&amp;D3785, 'Info Tipo de Cambio y REM'!$A$24:$B$35, 2, FALSE))</f>
        <v/>
      </c>
      <c r="R3785" s="107"/>
    </row>
    <row r="3786" hidden="1">
      <c r="A3786" s="443"/>
      <c r="B3786" s="43" t="str">
        <f>IF(A3786="", "", IFERROR(VLOOKUP(A3786, Clasificaciones!A:B, 2, FALSE), "DATO NO CARGADO"))
</f>
        <v/>
      </c>
      <c r="C3786" s="51"/>
      <c r="D3786" s="102"/>
      <c r="E3786" s="102"/>
      <c r="H3786" s="102"/>
      <c r="J3786" s="102"/>
      <c r="K3786" s="450"/>
      <c r="L3786" s="443"/>
      <c r="M3786" s="450"/>
      <c r="N3786" s="452"/>
      <c r="O3786" s="453"/>
      <c r="P3786" s="113"/>
      <c r="Q3786" s="106" t="str">
        <f>IF(ISBLANK(O3786), "", VLOOKUP(C3786&amp;" "&amp;D3786, 'Info Tipo de Cambio y REM'!$A$24:$B$35, 2, FALSE))</f>
        <v/>
      </c>
      <c r="R3786" s="107"/>
    </row>
    <row r="3787" hidden="1">
      <c r="A3787" s="443"/>
      <c r="B3787" s="43" t="str">
        <f>IF(A3787="", "", IFERROR(VLOOKUP(A3787, Clasificaciones!A:B, 2, FALSE), "DATO NO CARGADO"))
</f>
        <v/>
      </c>
      <c r="C3787" s="51"/>
      <c r="D3787" s="102"/>
      <c r="E3787" s="102"/>
      <c r="H3787" s="102"/>
      <c r="J3787" s="102"/>
      <c r="K3787" s="450"/>
      <c r="L3787" s="443"/>
      <c r="M3787" s="450"/>
      <c r="N3787" s="452"/>
      <c r="O3787" s="453"/>
      <c r="P3787" s="113"/>
      <c r="Q3787" s="106" t="str">
        <f>IF(ISBLANK(O3787), "", VLOOKUP(C3787&amp;" "&amp;D3787, 'Info Tipo de Cambio y REM'!$A$24:$B$35, 2, FALSE))</f>
        <v/>
      </c>
      <c r="R3787" s="107"/>
    </row>
    <row r="3788" hidden="1">
      <c r="A3788" s="443"/>
      <c r="B3788" s="43" t="str">
        <f>IF(A3788="", "", IFERROR(VLOOKUP(A3788, Clasificaciones!A:B, 2, FALSE), "DATO NO CARGADO"))
</f>
        <v/>
      </c>
      <c r="C3788" s="51"/>
      <c r="D3788" s="102"/>
      <c r="E3788" s="102"/>
      <c r="H3788" s="102"/>
      <c r="J3788" s="102"/>
      <c r="K3788" s="450"/>
      <c r="L3788" s="443"/>
      <c r="M3788" s="450"/>
      <c r="N3788" s="452"/>
      <c r="O3788" s="453"/>
      <c r="P3788" s="113"/>
      <c r="Q3788" s="106" t="str">
        <f>IF(ISBLANK(O3788), "", VLOOKUP(C3788&amp;" "&amp;D3788, 'Info Tipo de Cambio y REM'!$A$24:$B$35, 2, FALSE))</f>
        <v/>
      </c>
      <c r="R3788" s="107"/>
    </row>
    <row r="3789" hidden="1">
      <c r="A3789" s="443"/>
      <c r="B3789" s="43" t="str">
        <f>IF(A3789="", "", IFERROR(VLOOKUP(A3789, Clasificaciones!A:B, 2, FALSE), "DATO NO CARGADO"))
</f>
        <v/>
      </c>
      <c r="C3789" s="51"/>
      <c r="D3789" s="102"/>
      <c r="E3789" s="102"/>
      <c r="H3789" s="102"/>
      <c r="J3789" s="102"/>
      <c r="K3789" s="450"/>
      <c r="L3789" s="443"/>
      <c r="M3789" s="450"/>
      <c r="N3789" s="452"/>
      <c r="O3789" s="453"/>
      <c r="P3789" s="113"/>
      <c r="Q3789" s="106" t="str">
        <f>IF(ISBLANK(O3789), "", VLOOKUP(C3789&amp;" "&amp;D3789, 'Info Tipo de Cambio y REM'!$A$24:$B$35, 2, FALSE))</f>
        <v/>
      </c>
      <c r="R3789" s="107"/>
    </row>
    <row r="3790" hidden="1">
      <c r="A3790" s="443"/>
      <c r="B3790" s="43" t="str">
        <f>IF(A3790="", "", IFERROR(VLOOKUP(A3790, Clasificaciones!A:B, 2, FALSE), "DATO NO CARGADO"))
</f>
        <v/>
      </c>
      <c r="C3790" s="51"/>
      <c r="D3790" s="102"/>
      <c r="E3790" s="102"/>
      <c r="H3790" s="102"/>
      <c r="J3790" s="102"/>
      <c r="K3790" s="450"/>
      <c r="L3790" s="443"/>
      <c r="M3790" s="450"/>
      <c r="N3790" s="452"/>
      <c r="O3790" s="453"/>
      <c r="P3790" s="113"/>
      <c r="Q3790" s="106" t="str">
        <f>IF(ISBLANK(O3790), "", VLOOKUP(C3790&amp;" "&amp;D3790, 'Info Tipo de Cambio y REM'!$A$24:$B$35, 2, FALSE))</f>
        <v/>
      </c>
      <c r="R3790" s="107"/>
    </row>
    <row r="3791" hidden="1">
      <c r="A3791" s="443"/>
      <c r="B3791" s="43" t="str">
        <f>IF(A3791="", "", IFERROR(VLOOKUP(A3791, Clasificaciones!A:B, 2, FALSE), "DATO NO CARGADO"))
</f>
        <v/>
      </c>
      <c r="C3791" s="51"/>
      <c r="D3791" s="102"/>
      <c r="E3791" s="102"/>
      <c r="H3791" s="102"/>
      <c r="J3791" s="102"/>
      <c r="K3791" s="450"/>
      <c r="L3791" s="443"/>
      <c r="M3791" s="450"/>
      <c r="N3791" s="452"/>
      <c r="O3791" s="453"/>
      <c r="P3791" s="113"/>
      <c r="Q3791" s="106" t="str">
        <f>IF(ISBLANK(O3791), "", VLOOKUP(C3791&amp;" "&amp;D3791, 'Info Tipo de Cambio y REM'!$A$24:$B$35, 2, FALSE))</f>
        <v/>
      </c>
      <c r="R3791" s="107"/>
    </row>
    <row r="3792" hidden="1">
      <c r="A3792" s="443"/>
      <c r="B3792" s="43" t="str">
        <f>IF(A3792="", "", IFERROR(VLOOKUP(A3792, Clasificaciones!A:B, 2, FALSE), "DATO NO CARGADO"))
</f>
        <v/>
      </c>
      <c r="C3792" s="51"/>
      <c r="D3792" s="102"/>
      <c r="E3792" s="102"/>
      <c r="H3792" s="102"/>
      <c r="J3792" s="102"/>
      <c r="K3792" s="450"/>
      <c r="L3792" s="443"/>
      <c r="M3792" s="450"/>
      <c r="N3792" s="452"/>
      <c r="O3792" s="453"/>
      <c r="P3792" s="113"/>
      <c r="Q3792" s="106" t="str">
        <f>IF(ISBLANK(O3792), "", VLOOKUP(C3792&amp;" "&amp;D3792, 'Info Tipo de Cambio y REM'!$A$24:$B$35, 2, FALSE))</f>
        <v/>
      </c>
      <c r="R3792" s="107"/>
    </row>
    <row r="3793" hidden="1">
      <c r="A3793" s="443"/>
      <c r="B3793" s="43" t="str">
        <f>IF(A3793="", "", IFERROR(VLOOKUP(A3793, Clasificaciones!A:B, 2, FALSE), "DATO NO CARGADO"))
</f>
        <v/>
      </c>
      <c r="C3793" s="51"/>
      <c r="D3793" s="102"/>
      <c r="E3793" s="102"/>
      <c r="H3793" s="102"/>
      <c r="J3793" s="102"/>
      <c r="K3793" s="450"/>
      <c r="L3793" s="443"/>
      <c r="M3793" s="450"/>
      <c r="N3793" s="452"/>
      <c r="O3793" s="453"/>
      <c r="P3793" s="113"/>
      <c r="Q3793" s="106" t="str">
        <f>IF(ISBLANK(O3793), "", VLOOKUP(C3793&amp;" "&amp;D3793, 'Info Tipo de Cambio y REM'!$A$24:$B$35, 2, FALSE))</f>
        <v/>
      </c>
      <c r="R3793" s="107"/>
    </row>
    <row r="3794" hidden="1">
      <c r="A3794" s="443"/>
      <c r="B3794" s="43" t="str">
        <f>IF(A3794="", "", IFERROR(VLOOKUP(A3794, Clasificaciones!A:B, 2, FALSE), "DATO NO CARGADO"))
</f>
        <v/>
      </c>
      <c r="C3794" s="51"/>
      <c r="D3794" s="102"/>
      <c r="E3794" s="102"/>
      <c r="H3794" s="102"/>
      <c r="J3794" s="102"/>
      <c r="K3794" s="450"/>
      <c r="L3794" s="443"/>
      <c r="M3794" s="450"/>
      <c r="N3794" s="452"/>
      <c r="O3794" s="453"/>
      <c r="P3794" s="113"/>
      <c r="Q3794" s="106" t="str">
        <f>IF(ISBLANK(O3794), "", VLOOKUP(C3794&amp;" "&amp;D3794, 'Info Tipo de Cambio y REM'!$A$24:$B$35, 2, FALSE))</f>
        <v/>
      </c>
      <c r="R3794" s="107"/>
    </row>
    <row r="3795" hidden="1">
      <c r="A3795" s="443"/>
      <c r="B3795" s="43" t="str">
        <f>IF(A3795="", "", IFERROR(VLOOKUP(A3795, Clasificaciones!A:B, 2, FALSE), "DATO NO CARGADO"))
</f>
        <v/>
      </c>
      <c r="C3795" s="51"/>
      <c r="D3795" s="102"/>
      <c r="E3795" s="102"/>
      <c r="H3795" s="102"/>
      <c r="J3795" s="102"/>
      <c r="K3795" s="450"/>
      <c r="L3795" s="443"/>
      <c r="M3795" s="450"/>
      <c r="N3795" s="452"/>
      <c r="O3795" s="453"/>
      <c r="P3795" s="113"/>
      <c r="Q3795" s="106" t="str">
        <f>IF(ISBLANK(O3795), "", VLOOKUP(C3795&amp;" "&amp;D3795, 'Info Tipo de Cambio y REM'!$A$24:$B$35, 2, FALSE))</f>
        <v/>
      </c>
      <c r="R3795" s="107"/>
    </row>
    <row r="3796" hidden="1">
      <c r="A3796" s="443"/>
      <c r="B3796" s="43" t="str">
        <f>IF(A3796="", "", IFERROR(VLOOKUP(A3796, Clasificaciones!A:B, 2, FALSE), "DATO NO CARGADO"))
</f>
        <v/>
      </c>
      <c r="C3796" s="51"/>
      <c r="D3796" s="102"/>
      <c r="E3796" s="102"/>
      <c r="H3796" s="102"/>
      <c r="J3796" s="102"/>
      <c r="K3796" s="450"/>
      <c r="L3796" s="443"/>
      <c r="M3796" s="450"/>
      <c r="N3796" s="452"/>
      <c r="O3796" s="453"/>
      <c r="P3796" s="113"/>
      <c r="Q3796" s="106" t="str">
        <f>IF(ISBLANK(O3796), "", VLOOKUP(C3796&amp;" "&amp;D3796, 'Info Tipo de Cambio y REM'!$A$24:$B$35, 2, FALSE))</f>
        <v/>
      </c>
      <c r="R3796" s="107"/>
    </row>
    <row r="3797" hidden="1">
      <c r="A3797" s="443"/>
      <c r="B3797" s="43" t="str">
        <f>IF(A3797="", "", IFERROR(VLOOKUP(A3797, Clasificaciones!A:B, 2, FALSE), "DATO NO CARGADO"))
</f>
        <v/>
      </c>
      <c r="C3797" s="51"/>
      <c r="D3797" s="102"/>
      <c r="E3797" s="102"/>
      <c r="H3797" s="102"/>
      <c r="J3797" s="102"/>
      <c r="K3797" s="450"/>
      <c r="L3797" s="443"/>
      <c r="M3797" s="450"/>
      <c r="N3797" s="452"/>
      <c r="O3797" s="453"/>
      <c r="P3797" s="113"/>
      <c r="Q3797" s="106" t="str">
        <f>IF(ISBLANK(O3797), "", VLOOKUP(C3797&amp;" "&amp;D3797, 'Info Tipo de Cambio y REM'!$A$24:$B$35, 2, FALSE))</f>
        <v/>
      </c>
      <c r="R3797" s="107"/>
    </row>
    <row r="3798" hidden="1">
      <c r="A3798" s="443"/>
      <c r="B3798" s="43" t="str">
        <f>IF(A3798="", "", IFERROR(VLOOKUP(A3798, Clasificaciones!A:B, 2, FALSE), "DATO NO CARGADO"))
</f>
        <v/>
      </c>
      <c r="C3798" s="51"/>
      <c r="D3798" s="102"/>
      <c r="E3798" s="102"/>
      <c r="H3798" s="102"/>
      <c r="J3798" s="102"/>
      <c r="K3798" s="450"/>
      <c r="L3798" s="443"/>
      <c r="M3798" s="450"/>
      <c r="N3798" s="452"/>
      <c r="O3798" s="453"/>
      <c r="P3798" s="113"/>
      <c r="Q3798" s="106" t="str">
        <f>IF(ISBLANK(O3798), "", VLOOKUP(C3798&amp;" "&amp;D3798, 'Info Tipo de Cambio y REM'!$A$24:$B$35, 2, FALSE))</f>
        <v/>
      </c>
      <c r="R3798" s="107"/>
    </row>
    <row r="3799" hidden="1">
      <c r="A3799" s="443"/>
      <c r="B3799" s="43" t="str">
        <f>IF(A3799="", "", IFERROR(VLOOKUP(A3799, Clasificaciones!A:B, 2, FALSE), "DATO NO CARGADO"))
</f>
        <v/>
      </c>
      <c r="C3799" s="51"/>
      <c r="D3799" s="102"/>
      <c r="E3799" s="102"/>
      <c r="H3799" s="102"/>
      <c r="J3799" s="102"/>
      <c r="K3799" s="450"/>
      <c r="L3799" s="443"/>
      <c r="M3799" s="450"/>
      <c r="N3799" s="452"/>
      <c r="O3799" s="453"/>
      <c r="P3799" s="113"/>
      <c r="Q3799" s="106" t="str">
        <f>IF(ISBLANK(O3799), "", VLOOKUP(C3799&amp;" "&amp;D3799, 'Info Tipo de Cambio y REM'!$A$24:$B$35, 2, FALSE))</f>
        <v/>
      </c>
      <c r="R3799" s="107"/>
    </row>
    <row r="3800" hidden="1">
      <c r="A3800" s="443"/>
      <c r="B3800" s="43" t="str">
        <f>IF(A3800="", "", IFERROR(VLOOKUP(A3800, Clasificaciones!A:B, 2, FALSE), "DATO NO CARGADO"))
</f>
        <v/>
      </c>
      <c r="C3800" s="51"/>
      <c r="D3800" s="102"/>
      <c r="E3800" s="102"/>
      <c r="H3800" s="102"/>
      <c r="J3800" s="102"/>
      <c r="K3800" s="450"/>
      <c r="L3800" s="443"/>
      <c r="M3800" s="450"/>
      <c r="N3800" s="452"/>
      <c r="O3800" s="453"/>
      <c r="P3800" s="113"/>
      <c r="Q3800" s="106" t="str">
        <f>IF(ISBLANK(O3800), "", VLOOKUP(C3800&amp;" "&amp;D3800, 'Info Tipo de Cambio y REM'!$A$24:$B$35, 2, FALSE))</f>
        <v/>
      </c>
      <c r="R3800" s="107"/>
    </row>
    <row r="3801" hidden="1">
      <c r="A3801" s="443"/>
      <c r="B3801" s="43" t="str">
        <f>IF(A3801="", "", IFERROR(VLOOKUP(A3801, Clasificaciones!A:B, 2, FALSE), "DATO NO CARGADO"))
</f>
        <v/>
      </c>
      <c r="C3801" s="51"/>
      <c r="D3801" s="102"/>
      <c r="E3801" s="102"/>
      <c r="H3801" s="102"/>
      <c r="J3801" s="102"/>
      <c r="K3801" s="450"/>
      <c r="L3801" s="443"/>
      <c r="M3801" s="450"/>
      <c r="N3801" s="452"/>
      <c r="O3801" s="453"/>
      <c r="P3801" s="113"/>
      <c r="Q3801" s="106" t="str">
        <f>IF(ISBLANK(O3801), "", VLOOKUP(C3801&amp;" "&amp;D3801, 'Info Tipo de Cambio y REM'!$A$24:$B$35, 2, FALSE))</f>
        <v/>
      </c>
      <c r="R3801" s="107"/>
    </row>
    <row r="3802" hidden="1">
      <c r="A3802" s="443"/>
      <c r="B3802" s="43" t="str">
        <f>IF(A3802="", "", IFERROR(VLOOKUP(A3802, Clasificaciones!A:B, 2, FALSE), "DATO NO CARGADO"))
</f>
        <v/>
      </c>
      <c r="C3802" s="51"/>
      <c r="D3802" s="102"/>
      <c r="E3802" s="102"/>
      <c r="H3802" s="102"/>
      <c r="J3802" s="102"/>
      <c r="K3802" s="450"/>
      <c r="L3802" s="443"/>
      <c r="M3802" s="450"/>
      <c r="N3802" s="452"/>
      <c r="O3802" s="453"/>
      <c r="P3802" s="113"/>
      <c r="Q3802" s="106" t="str">
        <f>IF(ISBLANK(O3802), "", VLOOKUP(C3802&amp;" "&amp;D3802, 'Info Tipo de Cambio y REM'!$A$24:$B$35, 2, FALSE))</f>
        <v/>
      </c>
      <c r="R3802" s="107"/>
    </row>
    <row r="3803" hidden="1">
      <c r="A3803" s="443"/>
      <c r="B3803" s="43" t="str">
        <f>IF(A3803="", "", IFERROR(VLOOKUP(A3803, Clasificaciones!A:B, 2, FALSE), "DATO NO CARGADO"))
</f>
        <v/>
      </c>
      <c r="C3803" s="51"/>
      <c r="D3803" s="102"/>
      <c r="E3803" s="102"/>
      <c r="H3803" s="102"/>
      <c r="J3803" s="102"/>
      <c r="K3803" s="450"/>
      <c r="L3803" s="443"/>
      <c r="M3803" s="450"/>
      <c r="N3803" s="452"/>
      <c r="O3803" s="453"/>
      <c r="P3803" s="113"/>
      <c r="Q3803" s="106" t="str">
        <f>IF(ISBLANK(O3803), "", VLOOKUP(C3803&amp;" "&amp;D3803, 'Info Tipo de Cambio y REM'!$A$24:$B$35, 2, FALSE))</f>
        <v/>
      </c>
      <c r="R3803" s="107"/>
    </row>
    <row r="3804" hidden="1">
      <c r="A3804" s="443"/>
      <c r="B3804" s="43" t="str">
        <f>IF(A3804="", "", IFERROR(VLOOKUP(A3804, Clasificaciones!A:B, 2, FALSE), "DATO NO CARGADO"))
</f>
        <v/>
      </c>
      <c r="C3804" s="51"/>
      <c r="D3804" s="102"/>
      <c r="E3804" s="102"/>
      <c r="H3804" s="102"/>
      <c r="J3804" s="102"/>
      <c r="K3804" s="450"/>
      <c r="L3804" s="443"/>
      <c r="M3804" s="450"/>
      <c r="N3804" s="452"/>
      <c r="O3804" s="453"/>
      <c r="P3804" s="113"/>
      <c r="Q3804" s="106" t="str">
        <f>IF(ISBLANK(O3804), "", VLOOKUP(C3804&amp;" "&amp;D3804, 'Info Tipo de Cambio y REM'!$A$24:$B$35, 2, FALSE))</f>
        <v/>
      </c>
      <c r="R3804" s="107"/>
    </row>
    <row r="3805" hidden="1">
      <c r="A3805" s="443"/>
      <c r="B3805" s="43" t="str">
        <f>IF(A3805="", "", IFERROR(VLOOKUP(A3805, Clasificaciones!A:B, 2, FALSE), "DATO NO CARGADO"))
</f>
        <v/>
      </c>
      <c r="C3805" s="51"/>
      <c r="D3805" s="102"/>
      <c r="E3805" s="102"/>
      <c r="H3805" s="102"/>
      <c r="J3805" s="102"/>
      <c r="K3805" s="450"/>
      <c r="L3805" s="443"/>
      <c r="M3805" s="450"/>
      <c r="N3805" s="452"/>
      <c r="O3805" s="453"/>
      <c r="P3805" s="113"/>
      <c r="Q3805" s="106" t="str">
        <f>IF(ISBLANK(O3805), "", VLOOKUP(C3805&amp;" "&amp;D3805, 'Info Tipo de Cambio y REM'!$A$24:$B$35, 2, FALSE))</f>
        <v/>
      </c>
      <c r="R3805" s="107"/>
    </row>
    <row r="3806" hidden="1">
      <c r="A3806" s="443"/>
      <c r="B3806" s="43" t="str">
        <f>IF(A3806="", "", IFERROR(VLOOKUP(A3806, Clasificaciones!A:B, 2, FALSE), "DATO NO CARGADO"))
</f>
        <v/>
      </c>
      <c r="C3806" s="51"/>
      <c r="D3806" s="102"/>
      <c r="E3806" s="102"/>
      <c r="H3806" s="102"/>
      <c r="J3806" s="102"/>
      <c r="K3806" s="450"/>
      <c r="L3806" s="443"/>
      <c r="M3806" s="450"/>
      <c r="N3806" s="452"/>
      <c r="O3806" s="453"/>
      <c r="P3806" s="113"/>
      <c r="Q3806" s="106" t="str">
        <f>IF(ISBLANK(O3806), "", VLOOKUP(C3806&amp;" "&amp;D3806, 'Info Tipo de Cambio y REM'!$A$24:$B$35, 2, FALSE))</f>
        <v/>
      </c>
      <c r="R3806" s="107"/>
    </row>
    <row r="3807" hidden="1">
      <c r="A3807" s="443"/>
      <c r="B3807" s="43" t="str">
        <f>IF(A3807="", "", IFERROR(VLOOKUP(A3807, Clasificaciones!A:B, 2, FALSE), "DATO NO CARGADO"))
</f>
        <v/>
      </c>
      <c r="C3807" s="51"/>
      <c r="D3807" s="102"/>
      <c r="E3807" s="102"/>
      <c r="H3807" s="102"/>
      <c r="J3807" s="102"/>
      <c r="K3807" s="450"/>
      <c r="L3807" s="443"/>
      <c r="M3807" s="450"/>
      <c r="N3807" s="452"/>
      <c r="O3807" s="453"/>
      <c r="P3807" s="113"/>
      <c r="Q3807" s="106" t="str">
        <f>IF(ISBLANK(O3807), "", VLOOKUP(C3807&amp;" "&amp;D3807, 'Info Tipo de Cambio y REM'!$A$24:$B$35, 2, FALSE))</f>
        <v/>
      </c>
      <c r="R3807" s="107"/>
    </row>
    <row r="3808" hidden="1">
      <c r="A3808" s="443"/>
      <c r="B3808" s="43" t="str">
        <f>IF(A3808="", "", IFERROR(VLOOKUP(A3808, Clasificaciones!A:B, 2, FALSE), "DATO NO CARGADO"))
</f>
        <v/>
      </c>
      <c r="C3808" s="51"/>
      <c r="D3808" s="102"/>
      <c r="E3808" s="102"/>
      <c r="H3808" s="102"/>
      <c r="J3808" s="102"/>
      <c r="K3808" s="450"/>
      <c r="L3808" s="443"/>
      <c r="M3808" s="450"/>
      <c r="N3808" s="452"/>
      <c r="O3808" s="453"/>
      <c r="P3808" s="113"/>
      <c r="Q3808" s="106" t="str">
        <f>IF(ISBLANK(O3808), "", VLOOKUP(C3808&amp;" "&amp;D3808, 'Info Tipo de Cambio y REM'!$A$24:$B$35, 2, FALSE))</f>
        <v/>
      </c>
      <c r="R3808" s="107"/>
    </row>
    <row r="3809" hidden="1">
      <c r="A3809" s="443"/>
      <c r="B3809" s="43" t="str">
        <f>IF(A3809="", "", IFERROR(VLOOKUP(A3809, Clasificaciones!A:B, 2, FALSE), "DATO NO CARGADO"))
</f>
        <v/>
      </c>
      <c r="C3809" s="51"/>
      <c r="D3809" s="102"/>
      <c r="E3809" s="102"/>
      <c r="H3809" s="102"/>
      <c r="J3809" s="102"/>
      <c r="K3809" s="450"/>
      <c r="L3809" s="443"/>
      <c r="M3809" s="450"/>
      <c r="N3809" s="452"/>
      <c r="O3809" s="453"/>
      <c r="P3809" s="113"/>
      <c r="Q3809" s="106" t="str">
        <f>IF(ISBLANK(O3809), "", VLOOKUP(C3809&amp;" "&amp;D3809, 'Info Tipo de Cambio y REM'!$A$24:$B$35, 2, FALSE))</f>
        <v/>
      </c>
      <c r="R3809" s="107"/>
    </row>
    <row r="3810" hidden="1">
      <c r="A3810" s="443"/>
      <c r="B3810" s="43" t="str">
        <f>IF(A3810="", "", IFERROR(VLOOKUP(A3810, Clasificaciones!A:B, 2, FALSE), "DATO NO CARGADO"))
</f>
        <v/>
      </c>
      <c r="C3810" s="51"/>
      <c r="D3810" s="102"/>
      <c r="E3810" s="102"/>
      <c r="H3810" s="102"/>
      <c r="J3810" s="102"/>
      <c r="K3810" s="450"/>
      <c r="L3810" s="443"/>
      <c r="M3810" s="450"/>
      <c r="N3810" s="452"/>
      <c r="O3810" s="453"/>
      <c r="P3810" s="113"/>
      <c r="Q3810" s="106" t="str">
        <f>IF(ISBLANK(O3810), "", VLOOKUP(C3810&amp;" "&amp;D3810, 'Info Tipo de Cambio y REM'!$A$24:$B$35, 2, FALSE))</f>
        <v/>
      </c>
      <c r="R3810" s="107"/>
    </row>
    <row r="3811" hidden="1">
      <c r="A3811" s="443"/>
      <c r="B3811" s="43" t="str">
        <f>IF(A3811="", "", IFERROR(VLOOKUP(A3811, Clasificaciones!A:B, 2, FALSE), "DATO NO CARGADO"))
</f>
        <v/>
      </c>
      <c r="C3811" s="51"/>
      <c r="D3811" s="102"/>
      <c r="E3811" s="102"/>
      <c r="H3811" s="102"/>
      <c r="J3811" s="102"/>
      <c r="K3811" s="450"/>
      <c r="L3811" s="443"/>
      <c r="M3811" s="450"/>
      <c r="N3811" s="452"/>
      <c r="O3811" s="453"/>
      <c r="P3811" s="113"/>
      <c r="Q3811" s="106" t="str">
        <f>IF(ISBLANK(O3811), "", VLOOKUP(C3811&amp;" "&amp;D3811, 'Info Tipo de Cambio y REM'!$A$24:$B$35, 2, FALSE))</f>
        <v/>
      </c>
      <c r="R3811" s="107"/>
    </row>
    <row r="3812" hidden="1">
      <c r="A3812" s="443"/>
      <c r="B3812" s="43" t="str">
        <f>IF(A3812="", "", IFERROR(VLOOKUP(A3812, Clasificaciones!A:B, 2, FALSE), "DATO NO CARGADO"))
</f>
        <v/>
      </c>
      <c r="C3812" s="51"/>
      <c r="D3812" s="102"/>
      <c r="E3812" s="102"/>
      <c r="H3812" s="102"/>
      <c r="J3812" s="102"/>
      <c r="K3812" s="450"/>
      <c r="L3812" s="443"/>
      <c r="M3812" s="450"/>
      <c r="N3812" s="452"/>
      <c r="O3812" s="453"/>
      <c r="P3812" s="113"/>
      <c r="Q3812" s="106" t="str">
        <f>IF(ISBLANK(O3812), "", VLOOKUP(C3812&amp;" "&amp;D3812, 'Info Tipo de Cambio y REM'!$A$24:$B$35, 2, FALSE))</f>
        <v/>
      </c>
      <c r="R3812" s="107"/>
    </row>
    <row r="3813" hidden="1">
      <c r="A3813" s="443"/>
      <c r="B3813" s="43" t="str">
        <f>IF(A3813="", "", IFERROR(VLOOKUP(A3813, Clasificaciones!A:B, 2, FALSE), "DATO NO CARGADO"))
</f>
        <v/>
      </c>
      <c r="C3813" s="51"/>
      <c r="D3813" s="102"/>
      <c r="E3813" s="102"/>
      <c r="H3813" s="102"/>
      <c r="J3813" s="102"/>
      <c r="K3813" s="450"/>
      <c r="L3813" s="443"/>
      <c r="M3813" s="450"/>
      <c r="N3813" s="452"/>
      <c r="O3813" s="453"/>
      <c r="P3813" s="113"/>
      <c r="Q3813" s="106" t="str">
        <f>IF(ISBLANK(O3813), "", VLOOKUP(C3813&amp;" "&amp;D3813, 'Info Tipo de Cambio y REM'!$A$24:$B$35, 2, FALSE))</f>
        <v/>
      </c>
      <c r="R3813" s="107"/>
    </row>
    <row r="3814" hidden="1">
      <c r="A3814" s="443"/>
      <c r="B3814" s="43" t="str">
        <f>IF(A3814="", "", IFERROR(VLOOKUP(A3814, Clasificaciones!A:B, 2, FALSE), "DATO NO CARGADO"))
</f>
        <v/>
      </c>
      <c r="C3814" s="51"/>
      <c r="D3814" s="102"/>
      <c r="E3814" s="102"/>
      <c r="H3814" s="102"/>
      <c r="J3814" s="102"/>
      <c r="K3814" s="450"/>
      <c r="L3814" s="443"/>
      <c r="M3814" s="450"/>
      <c r="N3814" s="452"/>
      <c r="O3814" s="453"/>
      <c r="P3814" s="113"/>
      <c r="Q3814" s="106" t="str">
        <f>IF(ISBLANK(O3814), "", VLOOKUP(C3814&amp;" "&amp;D3814, 'Info Tipo de Cambio y REM'!$A$24:$B$35, 2, FALSE))</f>
        <v/>
      </c>
      <c r="R3814" s="107"/>
    </row>
    <row r="3815" hidden="1">
      <c r="A3815" s="443"/>
      <c r="B3815" s="43" t="str">
        <f>IF(A3815="", "", IFERROR(VLOOKUP(A3815, Clasificaciones!A:B, 2, FALSE), "DATO NO CARGADO"))
</f>
        <v/>
      </c>
      <c r="C3815" s="51"/>
      <c r="D3815" s="102"/>
      <c r="E3815" s="102"/>
      <c r="H3815" s="102"/>
      <c r="J3815" s="102"/>
      <c r="K3815" s="450"/>
      <c r="L3815" s="443"/>
      <c r="M3815" s="450"/>
      <c r="N3815" s="452"/>
      <c r="O3815" s="453"/>
      <c r="P3815" s="113"/>
      <c r="Q3815" s="106" t="str">
        <f>IF(ISBLANK(O3815), "", VLOOKUP(C3815&amp;" "&amp;D3815, 'Info Tipo de Cambio y REM'!$A$24:$B$35, 2, FALSE))</f>
        <v/>
      </c>
      <c r="R3815" s="107"/>
    </row>
    <row r="3816" hidden="1">
      <c r="A3816" s="443"/>
      <c r="B3816" s="43" t="str">
        <f>IF(A3816="", "", IFERROR(VLOOKUP(A3816, Clasificaciones!A:B, 2, FALSE), "DATO NO CARGADO"))
</f>
        <v/>
      </c>
      <c r="C3816" s="51"/>
      <c r="D3816" s="102"/>
      <c r="E3816" s="102"/>
      <c r="H3816" s="102"/>
      <c r="J3816" s="102"/>
      <c r="K3816" s="450"/>
      <c r="L3816" s="443"/>
      <c r="M3816" s="450"/>
      <c r="N3816" s="452"/>
      <c r="O3816" s="453"/>
      <c r="P3816" s="113"/>
      <c r="Q3816" s="106" t="str">
        <f>IF(ISBLANK(O3816), "", VLOOKUP(C3816&amp;" "&amp;D3816, 'Info Tipo de Cambio y REM'!$A$24:$B$35, 2, FALSE))</f>
        <v/>
      </c>
      <c r="R3816" s="107"/>
    </row>
    <row r="3817" hidden="1">
      <c r="A3817" s="443"/>
      <c r="B3817" s="43" t="str">
        <f>IF(A3817="", "", IFERROR(VLOOKUP(A3817, Clasificaciones!A:B, 2, FALSE), "DATO NO CARGADO"))
</f>
        <v/>
      </c>
      <c r="C3817" s="51"/>
      <c r="D3817" s="102"/>
      <c r="E3817" s="102"/>
      <c r="H3817" s="102"/>
      <c r="J3817" s="102"/>
      <c r="K3817" s="450"/>
      <c r="L3817" s="443"/>
      <c r="M3817" s="450"/>
      <c r="N3817" s="452"/>
      <c r="O3817" s="453"/>
      <c r="P3817" s="113"/>
      <c r="Q3817" s="106" t="str">
        <f>IF(ISBLANK(O3817), "", VLOOKUP(C3817&amp;" "&amp;D3817, 'Info Tipo de Cambio y REM'!$A$24:$B$35, 2, FALSE))</f>
        <v/>
      </c>
      <c r="R3817" s="107"/>
    </row>
    <row r="3818" hidden="1">
      <c r="A3818" s="443"/>
      <c r="B3818" s="43" t="str">
        <f>IF(A3818="", "", IFERROR(VLOOKUP(A3818, Clasificaciones!A:B, 2, FALSE), "DATO NO CARGADO"))
</f>
        <v/>
      </c>
      <c r="C3818" s="51"/>
      <c r="D3818" s="102"/>
      <c r="E3818" s="102"/>
      <c r="H3818" s="102"/>
      <c r="J3818" s="102"/>
      <c r="K3818" s="450"/>
      <c r="L3818" s="443"/>
      <c r="M3818" s="450"/>
      <c r="N3818" s="452"/>
      <c r="O3818" s="453"/>
      <c r="P3818" s="113"/>
      <c r="Q3818" s="106" t="str">
        <f>IF(ISBLANK(O3818), "", VLOOKUP(C3818&amp;" "&amp;D3818, 'Info Tipo de Cambio y REM'!$A$24:$B$35, 2, FALSE))</f>
        <v/>
      </c>
      <c r="R3818" s="107"/>
    </row>
    <row r="3819" hidden="1">
      <c r="A3819" s="443"/>
      <c r="B3819" s="43" t="str">
        <f>IF(A3819="", "", IFERROR(VLOOKUP(A3819, Clasificaciones!A:B, 2, FALSE), "DATO NO CARGADO"))
</f>
        <v/>
      </c>
      <c r="C3819" s="51"/>
      <c r="D3819" s="102"/>
      <c r="E3819" s="102"/>
      <c r="H3819" s="102"/>
      <c r="J3819" s="102"/>
      <c r="K3819" s="450"/>
      <c r="L3819" s="443"/>
      <c r="M3819" s="450"/>
      <c r="N3819" s="452"/>
      <c r="O3819" s="453"/>
      <c r="P3819" s="113"/>
      <c r="Q3819" s="106" t="str">
        <f>IF(ISBLANK(O3819), "", VLOOKUP(C3819&amp;" "&amp;D3819, 'Info Tipo de Cambio y REM'!$A$24:$B$35, 2, FALSE))</f>
        <v/>
      </c>
      <c r="R3819" s="107"/>
    </row>
    <row r="3820" hidden="1">
      <c r="A3820" s="443"/>
      <c r="B3820" s="43" t="str">
        <f>IF(A3820="", "", IFERROR(VLOOKUP(A3820, Clasificaciones!A:B, 2, FALSE), "DATO NO CARGADO"))
</f>
        <v/>
      </c>
      <c r="C3820" s="51"/>
      <c r="D3820" s="102"/>
      <c r="E3820" s="102"/>
      <c r="H3820" s="102"/>
      <c r="J3820" s="102"/>
      <c r="K3820" s="450"/>
      <c r="L3820" s="443"/>
      <c r="M3820" s="450"/>
      <c r="N3820" s="452"/>
      <c r="O3820" s="453"/>
      <c r="P3820" s="113"/>
      <c r="Q3820" s="106" t="str">
        <f>IF(ISBLANK(O3820), "", VLOOKUP(C3820&amp;" "&amp;D3820, 'Info Tipo de Cambio y REM'!$A$24:$B$35, 2, FALSE))</f>
        <v/>
      </c>
      <c r="R3820" s="107"/>
    </row>
    <row r="3821" hidden="1">
      <c r="A3821" s="443"/>
      <c r="B3821" s="43" t="str">
        <f>IF(A3821="", "", IFERROR(VLOOKUP(A3821, Clasificaciones!A:B, 2, FALSE), "DATO NO CARGADO"))
</f>
        <v/>
      </c>
      <c r="C3821" s="51"/>
      <c r="D3821" s="102"/>
      <c r="E3821" s="102"/>
      <c r="H3821" s="102"/>
      <c r="J3821" s="102"/>
      <c r="K3821" s="450"/>
      <c r="L3821" s="443"/>
      <c r="M3821" s="450"/>
      <c r="N3821" s="452"/>
      <c r="O3821" s="453"/>
      <c r="P3821" s="113"/>
      <c r="Q3821" s="106" t="str">
        <f>IF(ISBLANK(O3821), "", VLOOKUP(C3821&amp;" "&amp;D3821, 'Info Tipo de Cambio y REM'!$A$24:$B$35, 2, FALSE))</f>
        <v/>
      </c>
      <c r="R3821" s="107"/>
    </row>
    <row r="3822" hidden="1">
      <c r="A3822" s="443"/>
      <c r="B3822" s="43" t="str">
        <f>IF(A3822="", "", IFERROR(VLOOKUP(A3822, Clasificaciones!A:B, 2, FALSE), "DATO NO CARGADO"))
</f>
        <v/>
      </c>
      <c r="C3822" s="51"/>
      <c r="D3822" s="102"/>
      <c r="E3822" s="102"/>
      <c r="H3822" s="102"/>
      <c r="J3822" s="102"/>
      <c r="K3822" s="450"/>
      <c r="L3822" s="443"/>
      <c r="M3822" s="450"/>
      <c r="N3822" s="452"/>
      <c r="O3822" s="453"/>
      <c r="P3822" s="113"/>
      <c r="Q3822" s="106" t="str">
        <f>IF(ISBLANK(O3822), "", VLOOKUP(C3822&amp;" "&amp;D3822, 'Info Tipo de Cambio y REM'!$A$24:$B$35, 2, FALSE))</f>
        <v/>
      </c>
      <c r="R3822" s="107"/>
    </row>
    <row r="3823" hidden="1">
      <c r="A3823" s="443"/>
      <c r="B3823" s="43" t="str">
        <f>IF(A3823="", "", IFERROR(VLOOKUP(A3823, Clasificaciones!A:B, 2, FALSE), "DATO NO CARGADO"))
</f>
        <v/>
      </c>
      <c r="C3823" s="51"/>
      <c r="D3823" s="102"/>
      <c r="E3823" s="102"/>
      <c r="H3823" s="102"/>
      <c r="J3823" s="102"/>
      <c r="K3823" s="450"/>
      <c r="L3823" s="443"/>
      <c r="M3823" s="450"/>
      <c r="N3823" s="452"/>
      <c r="O3823" s="453"/>
      <c r="P3823" s="113"/>
      <c r="Q3823" s="106" t="str">
        <f>IF(ISBLANK(O3823), "", VLOOKUP(C3823&amp;" "&amp;D3823, 'Info Tipo de Cambio y REM'!$A$24:$B$35, 2, FALSE))</f>
        <v/>
      </c>
      <c r="R3823" s="107"/>
    </row>
    <row r="3824" hidden="1">
      <c r="A3824" s="443"/>
      <c r="B3824" s="43" t="str">
        <f>IF(A3824="", "", IFERROR(VLOOKUP(A3824, Clasificaciones!A:B, 2, FALSE), "DATO NO CARGADO"))
</f>
        <v/>
      </c>
      <c r="C3824" s="51"/>
      <c r="D3824" s="102"/>
      <c r="E3824" s="102"/>
      <c r="H3824" s="102"/>
      <c r="J3824" s="102"/>
      <c r="K3824" s="450"/>
      <c r="L3824" s="443"/>
      <c r="M3824" s="450"/>
      <c r="N3824" s="452"/>
      <c r="O3824" s="453"/>
      <c r="P3824" s="113"/>
      <c r="Q3824" s="106" t="str">
        <f>IF(ISBLANK(O3824), "", VLOOKUP(C3824&amp;" "&amp;D3824, 'Info Tipo de Cambio y REM'!$A$24:$B$35, 2, FALSE))</f>
        <v/>
      </c>
      <c r="R3824" s="107"/>
    </row>
    <row r="3825" hidden="1">
      <c r="A3825" s="443"/>
      <c r="B3825" s="43" t="str">
        <f>IF(A3825="", "", IFERROR(VLOOKUP(A3825, Clasificaciones!A:B, 2, FALSE), "DATO NO CARGADO"))
</f>
        <v/>
      </c>
      <c r="C3825" s="51"/>
      <c r="D3825" s="102"/>
      <c r="E3825" s="102"/>
      <c r="H3825" s="102"/>
      <c r="J3825" s="102"/>
      <c r="K3825" s="450"/>
      <c r="L3825" s="443"/>
      <c r="M3825" s="450"/>
      <c r="N3825" s="452"/>
      <c r="O3825" s="453"/>
      <c r="P3825" s="113"/>
      <c r="Q3825" s="106" t="str">
        <f>IF(ISBLANK(O3825), "", VLOOKUP(C3825&amp;" "&amp;D3825, 'Info Tipo de Cambio y REM'!$A$24:$B$35, 2, FALSE))</f>
        <v/>
      </c>
      <c r="R3825" s="107"/>
    </row>
    <row r="3826" hidden="1">
      <c r="A3826" s="443"/>
      <c r="B3826" s="43" t="str">
        <f>IF(A3826="", "", IFERROR(VLOOKUP(A3826, Clasificaciones!A:B, 2, FALSE), "DATO NO CARGADO"))
</f>
        <v/>
      </c>
      <c r="C3826" s="51"/>
      <c r="D3826" s="102"/>
      <c r="E3826" s="102"/>
      <c r="H3826" s="102"/>
      <c r="J3826" s="102"/>
      <c r="K3826" s="450"/>
      <c r="L3826" s="443"/>
      <c r="M3826" s="450"/>
      <c r="N3826" s="452"/>
      <c r="O3826" s="453"/>
      <c r="P3826" s="113"/>
      <c r="Q3826" s="106" t="str">
        <f>IF(ISBLANK(O3826), "", VLOOKUP(C3826&amp;" "&amp;D3826, 'Info Tipo de Cambio y REM'!$A$24:$B$35, 2, FALSE))</f>
        <v/>
      </c>
      <c r="R3826" s="107"/>
    </row>
    <row r="3827" hidden="1">
      <c r="A3827" s="443"/>
      <c r="B3827" s="43" t="str">
        <f>IF(A3827="", "", IFERROR(VLOOKUP(A3827, Clasificaciones!A:B, 2, FALSE), "DATO NO CARGADO"))
</f>
        <v/>
      </c>
      <c r="C3827" s="51"/>
      <c r="D3827" s="102"/>
      <c r="E3827" s="102"/>
      <c r="H3827" s="102"/>
      <c r="J3827" s="102"/>
      <c r="K3827" s="450"/>
      <c r="L3827" s="443"/>
      <c r="M3827" s="450"/>
      <c r="N3827" s="452"/>
      <c r="O3827" s="453"/>
      <c r="P3827" s="113"/>
      <c r="Q3827" s="106" t="str">
        <f>IF(ISBLANK(O3827), "", VLOOKUP(C3827&amp;" "&amp;D3827, 'Info Tipo de Cambio y REM'!$A$24:$B$35, 2, FALSE))</f>
        <v/>
      </c>
      <c r="R3827" s="107"/>
    </row>
    <row r="3828" hidden="1">
      <c r="A3828" s="443"/>
      <c r="B3828" s="43" t="str">
        <f>IF(A3828="", "", IFERROR(VLOOKUP(A3828, Clasificaciones!A:B, 2, FALSE), "DATO NO CARGADO"))
</f>
        <v/>
      </c>
      <c r="C3828" s="51"/>
      <c r="D3828" s="102"/>
      <c r="E3828" s="102"/>
      <c r="H3828" s="102"/>
      <c r="J3828" s="102"/>
      <c r="K3828" s="450"/>
      <c r="L3828" s="443"/>
      <c r="M3828" s="450"/>
      <c r="N3828" s="452"/>
      <c r="O3828" s="453"/>
      <c r="P3828" s="113"/>
      <c r="Q3828" s="106" t="str">
        <f>IF(ISBLANK(O3828), "", VLOOKUP(C3828&amp;" "&amp;D3828, 'Info Tipo de Cambio y REM'!$A$24:$B$35, 2, FALSE))</f>
        <v/>
      </c>
      <c r="R3828" s="107"/>
    </row>
    <row r="3829" hidden="1">
      <c r="A3829" s="443"/>
      <c r="B3829" s="43" t="str">
        <f>IF(A3829="", "", IFERROR(VLOOKUP(A3829, Clasificaciones!A:B, 2, FALSE), "DATO NO CARGADO"))
</f>
        <v/>
      </c>
      <c r="C3829" s="51"/>
      <c r="D3829" s="102"/>
      <c r="E3829" s="102"/>
      <c r="H3829" s="102"/>
      <c r="J3829" s="102"/>
      <c r="K3829" s="450"/>
      <c r="L3829" s="443"/>
      <c r="M3829" s="450"/>
      <c r="N3829" s="452"/>
      <c r="O3829" s="453"/>
      <c r="P3829" s="113"/>
      <c r="Q3829" s="106" t="str">
        <f>IF(ISBLANK(O3829), "", VLOOKUP(C3829&amp;" "&amp;D3829, 'Info Tipo de Cambio y REM'!$A$24:$B$35, 2, FALSE))</f>
        <v/>
      </c>
      <c r="R3829" s="107"/>
    </row>
    <row r="3830" hidden="1">
      <c r="A3830" s="443"/>
      <c r="B3830" s="43" t="str">
        <f>IF(A3830="", "", IFERROR(VLOOKUP(A3830, Clasificaciones!A:B, 2, FALSE), "DATO NO CARGADO"))
</f>
        <v/>
      </c>
      <c r="C3830" s="51"/>
      <c r="D3830" s="102"/>
      <c r="E3830" s="102"/>
      <c r="H3830" s="102"/>
      <c r="J3830" s="102"/>
      <c r="K3830" s="450"/>
      <c r="L3830" s="443"/>
      <c r="M3830" s="450"/>
      <c r="N3830" s="452"/>
      <c r="O3830" s="453"/>
      <c r="P3830" s="113"/>
      <c r="Q3830" s="106" t="str">
        <f>IF(ISBLANK(O3830), "", VLOOKUP(C3830&amp;" "&amp;D3830, 'Info Tipo de Cambio y REM'!$A$24:$B$35, 2, FALSE))</f>
        <v/>
      </c>
      <c r="R3830" s="107"/>
    </row>
    <row r="3831" hidden="1">
      <c r="A3831" s="443"/>
      <c r="B3831" s="43" t="str">
        <f>IF(A3831="", "", IFERROR(VLOOKUP(A3831, Clasificaciones!A:B, 2, FALSE), "DATO NO CARGADO"))
</f>
        <v/>
      </c>
      <c r="C3831" s="51"/>
      <c r="D3831" s="102"/>
      <c r="E3831" s="102"/>
      <c r="H3831" s="102"/>
      <c r="J3831" s="102"/>
      <c r="K3831" s="450"/>
      <c r="L3831" s="443"/>
      <c r="M3831" s="450"/>
      <c r="N3831" s="452"/>
      <c r="O3831" s="453"/>
      <c r="P3831" s="113"/>
      <c r="Q3831" s="106" t="str">
        <f>IF(ISBLANK(O3831), "", VLOOKUP(C3831&amp;" "&amp;D3831, 'Info Tipo de Cambio y REM'!$A$24:$B$35, 2, FALSE))</f>
        <v/>
      </c>
      <c r="R3831" s="107"/>
    </row>
    <row r="3832" hidden="1">
      <c r="A3832" s="443"/>
      <c r="B3832" s="43" t="str">
        <f>IF(A3832="", "", IFERROR(VLOOKUP(A3832, Clasificaciones!A:B, 2, FALSE), "DATO NO CARGADO"))
</f>
        <v/>
      </c>
      <c r="C3832" s="51"/>
      <c r="D3832" s="102"/>
      <c r="E3832" s="102"/>
      <c r="H3832" s="102"/>
      <c r="J3832" s="102"/>
      <c r="K3832" s="450"/>
      <c r="L3832" s="443"/>
      <c r="M3832" s="450"/>
      <c r="N3832" s="452"/>
      <c r="O3832" s="453"/>
      <c r="P3832" s="113"/>
      <c r="Q3832" s="106" t="str">
        <f>IF(ISBLANK(O3832), "", VLOOKUP(C3832&amp;" "&amp;D3832, 'Info Tipo de Cambio y REM'!$A$24:$B$35, 2, FALSE))</f>
        <v/>
      </c>
      <c r="R3832" s="107"/>
    </row>
    <row r="3833" hidden="1">
      <c r="A3833" s="443"/>
      <c r="B3833" s="43" t="str">
        <f>IF(A3833="", "", IFERROR(VLOOKUP(A3833, Clasificaciones!A:B, 2, FALSE), "DATO NO CARGADO"))
</f>
        <v/>
      </c>
      <c r="C3833" s="51"/>
      <c r="D3833" s="102"/>
      <c r="E3833" s="102"/>
      <c r="H3833" s="102"/>
      <c r="J3833" s="102"/>
      <c r="K3833" s="450"/>
      <c r="L3833" s="443"/>
      <c r="M3833" s="450"/>
      <c r="N3833" s="452"/>
      <c r="O3833" s="453"/>
      <c r="P3833" s="113"/>
      <c r="Q3833" s="106" t="str">
        <f>IF(ISBLANK(O3833), "", VLOOKUP(C3833&amp;" "&amp;D3833, 'Info Tipo de Cambio y REM'!$A$24:$B$35, 2, FALSE))</f>
        <v/>
      </c>
      <c r="R3833" s="107"/>
    </row>
    <row r="3834" hidden="1">
      <c r="A3834" s="443"/>
      <c r="B3834" s="43" t="str">
        <f>IF(A3834="", "", IFERROR(VLOOKUP(A3834, Clasificaciones!A:B, 2, FALSE), "DATO NO CARGADO"))
</f>
        <v/>
      </c>
      <c r="C3834" s="51"/>
      <c r="D3834" s="102"/>
      <c r="E3834" s="102"/>
      <c r="H3834" s="102"/>
      <c r="J3834" s="102"/>
      <c r="K3834" s="450"/>
      <c r="L3834" s="443"/>
      <c r="M3834" s="450"/>
      <c r="N3834" s="452"/>
      <c r="O3834" s="453"/>
      <c r="P3834" s="113"/>
      <c r="Q3834" s="106" t="str">
        <f>IF(ISBLANK(O3834), "", VLOOKUP(C3834&amp;" "&amp;D3834, 'Info Tipo de Cambio y REM'!$A$24:$B$35, 2, FALSE))</f>
        <v/>
      </c>
      <c r="R3834" s="107"/>
    </row>
    <row r="3835" hidden="1">
      <c r="A3835" s="443"/>
      <c r="B3835" s="43" t="str">
        <f>IF(A3835="", "", IFERROR(VLOOKUP(A3835, Clasificaciones!A:B, 2, FALSE), "DATO NO CARGADO"))
</f>
        <v/>
      </c>
      <c r="C3835" s="51"/>
      <c r="D3835" s="102"/>
      <c r="E3835" s="102"/>
      <c r="H3835" s="102"/>
      <c r="J3835" s="102"/>
      <c r="K3835" s="450"/>
      <c r="L3835" s="443"/>
      <c r="M3835" s="450"/>
      <c r="N3835" s="452"/>
      <c r="O3835" s="453"/>
      <c r="P3835" s="113"/>
      <c r="Q3835" s="106" t="str">
        <f>IF(ISBLANK(O3835), "", VLOOKUP(C3835&amp;" "&amp;D3835, 'Info Tipo de Cambio y REM'!$A$24:$B$35, 2, FALSE))</f>
        <v/>
      </c>
      <c r="R3835" s="107"/>
    </row>
    <row r="3836" hidden="1">
      <c r="A3836" s="443"/>
      <c r="B3836" s="43" t="str">
        <f>IF(A3836="", "", IFERROR(VLOOKUP(A3836, Clasificaciones!A:B, 2, FALSE), "DATO NO CARGADO"))
</f>
        <v/>
      </c>
      <c r="C3836" s="51"/>
      <c r="D3836" s="102"/>
      <c r="E3836" s="102"/>
      <c r="H3836" s="102"/>
      <c r="J3836" s="102"/>
      <c r="K3836" s="450"/>
      <c r="L3836" s="443"/>
      <c r="M3836" s="450"/>
      <c r="N3836" s="452"/>
      <c r="O3836" s="453"/>
      <c r="P3836" s="113"/>
      <c r="Q3836" s="106" t="str">
        <f>IF(ISBLANK(O3836), "", VLOOKUP(C3836&amp;" "&amp;D3836, 'Info Tipo de Cambio y REM'!$A$24:$B$35, 2, FALSE))</f>
        <v/>
      </c>
      <c r="R3836" s="107"/>
    </row>
    <row r="3837" hidden="1">
      <c r="A3837" s="443"/>
      <c r="B3837" s="43" t="str">
        <f>IF(A3837="", "", IFERROR(VLOOKUP(A3837, Clasificaciones!A:B, 2, FALSE), "DATO NO CARGADO"))
</f>
        <v/>
      </c>
      <c r="C3837" s="51"/>
      <c r="D3837" s="102"/>
      <c r="E3837" s="102"/>
      <c r="H3837" s="102"/>
      <c r="J3837" s="102"/>
      <c r="K3837" s="450"/>
      <c r="L3837" s="443"/>
      <c r="M3837" s="450"/>
      <c r="N3837" s="452"/>
      <c r="O3837" s="453"/>
      <c r="P3837" s="113"/>
      <c r="Q3837" s="106" t="str">
        <f>IF(ISBLANK(O3837), "", VLOOKUP(C3837&amp;" "&amp;D3837, 'Info Tipo de Cambio y REM'!$A$24:$B$35, 2, FALSE))</f>
        <v/>
      </c>
      <c r="R3837" s="107"/>
    </row>
    <row r="3838" hidden="1">
      <c r="A3838" s="443"/>
      <c r="B3838" s="43" t="str">
        <f>IF(A3838="", "", IFERROR(VLOOKUP(A3838, Clasificaciones!A:B, 2, FALSE), "DATO NO CARGADO"))
</f>
        <v/>
      </c>
      <c r="C3838" s="51"/>
      <c r="D3838" s="102"/>
      <c r="E3838" s="102"/>
      <c r="H3838" s="102"/>
      <c r="J3838" s="102"/>
      <c r="K3838" s="450"/>
      <c r="L3838" s="443"/>
      <c r="M3838" s="450"/>
      <c r="N3838" s="452"/>
      <c r="O3838" s="453"/>
      <c r="P3838" s="113"/>
      <c r="Q3838" s="106" t="str">
        <f>IF(ISBLANK(O3838), "", VLOOKUP(C3838&amp;" "&amp;D3838, 'Info Tipo de Cambio y REM'!$A$24:$B$35, 2, FALSE))</f>
        <v/>
      </c>
      <c r="R3838" s="107"/>
    </row>
    <row r="3839" hidden="1">
      <c r="A3839" s="443"/>
      <c r="B3839" s="43" t="str">
        <f>IF(A3839="", "", IFERROR(VLOOKUP(A3839, Clasificaciones!A:B, 2, FALSE), "DATO NO CARGADO"))
</f>
        <v/>
      </c>
      <c r="C3839" s="51"/>
      <c r="D3839" s="102"/>
      <c r="E3839" s="102"/>
      <c r="H3839" s="102"/>
      <c r="J3839" s="102"/>
      <c r="K3839" s="450"/>
      <c r="L3839" s="443"/>
      <c r="M3839" s="450"/>
      <c r="N3839" s="452"/>
      <c r="O3839" s="453"/>
      <c r="P3839" s="113"/>
      <c r="Q3839" s="106" t="str">
        <f>IF(ISBLANK(O3839), "", VLOOKUP(C3839&amp;" "&amp;D3839, 'Info Tipo de Cambio y REM'!$A$24:$B$35, 2, FALSE))</f>
        <v/>
      </c>
      <c r="R3839" s="107"/>
    </row>
    <row r="3840" hidden="1">
      <c r="A3840" s="443"/>
      <c r="B3840" s="43" t="str">
        <f>IF(A3840="", "", IFERROR(VLOOKUP(A3840, Clasificaciones!A:B, 2, FALSE), "DATO NO CARGADO"))
</f>
        <v/>
      </c>
      <c r="C3840" s="51"/>
      <c r="D3840" s="102"/>
      <c r="E3840" s="102"/>
      <c r="H3840" s="102"/>
      <c r="J3840" s="102"/>
      <c r="K3840" s="450"/>
      <c r="L3840" s="443"/>
      <c r="M3840" s="450"/>
      <c r="N3840" s="452"/>
      <c r="O3840" s="453"/>
      <c r="P3840" s="113"/>
      <c r="Q3840" s="106" t="str">
        <f>IF(ISBLANK(O3840), "", VLOOKUP(C3840&amp;" "&amp;D3840, 'Info Tipo de Cambio y REM'!$A$24:$B$35, 2, FALSE))</f>
        <v/>
      </c>
      <c r="R3840" s="107"/>
    </row>
    <row r="3841" hidden="1">
      <c r="A3841" s="443"/>
      <c r="B3841" s="43" t="str">
        <f>IF(A3841="", "", IFERROR(VLOOKUP(A3841, Clasificaciones!A:B, 2, FALSE), "DATO NO CARGADO"))
</f>
        <v/>
      </c>
      <c r="C3841" s="51"/>
      <c r="D3841" s="102"/>
      <c r="E3841" s="102"/>
      <c r="H3841" s="102"/>
      <c r="J3841" s="102"/>
      <c r="K3841" s="450"/>
      <c r="L3841" s="443"/>
      <c r="M3841" s="450"/>
      <c r="N3841" s="452"/>
      <c r="O3841" s="453"/>
      <c r="P3841" s="113"/>
      <c r="Q3841" s="106" t="str">
        <f>IF(ISBLANK(O3841), "", VLOOKUP(C3841&amp;" "&amp;D3841, 'Info Tipo de Cambio y REM'!$A$24:$B$35, 2, FALSE))</f>
        <v/>
      </c>
      <c r="R3841" s="107"/>
    </row>
    <row r="3842" hidden="1">
      <c r="A3842" s="443"/>
      <c r="B3842" s="43" t="str">
        <f>IF(A3842="", "", IFERROR(VLOOKUP(A3842, Clasificaciones!A:B, 2, FALSE), "DATO NO CARGADO"))
</f>
        <v/>
      </c>
      <c r="C3842" s="51"/>
      <c r="D3842" s="102"/>
      <c r="E3842" s="102"/>
      <c r="H3842" s="102"/>
      <c r="J3842" s="102"/>
      <c r="K3842" s="450"/>
      <c r="L3842" s="443"/>
      <c r="M3842" s="450"/>
      <c r="N3842" s="452"/>
      <c r="O3842" s="453"/>
      <c r="P3842" s="113"/>
      <c r="Q3842" s="106" t="str">
        <f>IF(ISBLANK(O3842), "", VLOOKUP(C3842&amp;" "&amp;D3842, 'Info Tipo de Cambio y REM'!$A$24:$B$35, 2, FALSE))</f>
        <v/>
      </c>
      <c r="R3842" s="107"/>
    </row>
    <row r="3843" hidden="1">
      <c r="A3843" s="443"/>
      <c r="B3843" s="43" t="str">
        <f>IF(A3843="", "", IFERROR(VLOOKUP(A3843, Clasificaciones!A:B, 2, FALSE), "DATO NO CARGADO"))
</f>
        <v/>
      </c>
      <c r="C3843" s="51"/>
      <c r="D3843" s="102"/>
      <c r="E3843" s="102"/>
      <c r="H3843" s="102"/>
      <c r="J3843" s="102"/>
      <c r="K3843" s="450"/>
      <c r="L3843" s="443"/>
      <c r="M3843" s="450"/>
      <c r="N3843" s="452"/>
      <c r="O3843" s="453"/>
      <c r="P3843" s="113"/>
      <c r="Q3843" s="106" t="str">
        <f>IF(ISBLANK(O3843), "", VLOOKUP(C3843&amp;" "&amp;D3843, 'Info Tipo de Cambio y REM'!$A$24:$B$35, 2, FALSE))</f>
        <v/>
      </c>
      <c r="R3843" s="107"/>
    </row>
    <row r="3844" hidden="1">
      <c r="A3844" s="443"/>
      <c r="B3844" s="43" t="str">
        <f>IF(A3844="", "", IFERROR(VLOOKUP(A3844, Clasificaciones!A:B, 2, FALSE), "DATO NO CARGADO"))
</f>
        <v/>
      </c>
      <c r="C3844" s="51"/>
      <c r="D3844" s="102"/>
      <c r="E3844" s="102"/>
      <c r="H3844" s="102"/>
      <c r="J3844" s="102"/>
      <c r="K3844" s="450"/>
      <c r="L3844" s="443"/>
      <c r="M3844" s="450"/>
      <c r="N3844" s="452"/>
      <c r="O3844" s="453"/>
      <c r="P3844" s="113"/>
      <c r="Q3844" s="106" t="str">
        <f>IF(ISBLANK(O3844), "", VLOOKUP(C3844&amp;" "&amp;D3844, 'Info Tipo de Cambio y REM'!$A$24:$B$35, 2, FALSE))</f>
        <v/>
      </c>
      <c r="R3844" s="107"/>
    </row>
    <row r="3845" hidden="1">
      <c r="A3845" s="443"/>
      <c r="B3845" s="43" t="str">
        <f>IF(A3845="", "", IFERROR(VLOOKUP(A3845, Clasificaciones!A:B, 2, FALSE), "DATO NO CARGADO"))
</f>
        <v/>
      </c>
      <c r="C3845" s="51"/>
      <c r="D3845" s="102"/>
      <c r="E3845" s="102"/>
      <c r="H3845" s="102"/>
      <c r="J3845" s="102"/>
      <c r="K3845" s="450"/>
      <c r="L3845" s="443"/>
      <c r="M3845" s="450"/>
      <c r="N3845" s="452"/>
      <c r="O3845" s="453"/>
      <c r="P3845" s="113"/>
      <c r="Q3845" s="106" t="str">
        <f>IF(ISBLANK(O3845), "", VLOOKUP(C3845&amp;" "&amp;D3845, 'Info Tipo de Cambio y REM'!$A$24:$B$35, 2, FALSE))</f>
        <v/>
      </c>
      <c r="R3845" s="107"/>
    </row>
    <row r="3846" hidden="1">
      <c r="A3846" s="443"/>
      <c r="B3846" s="43" t="str">
        <f>IF(A3846="", "", IFERROR(VLOOKUP(A3846, Clasificaciones!A:B, 2, FALSE), "DATO NO CARGADO"))
</f>
        <v/>
      </c>
      <c r="C3846" s="51"/>
      <c r="D3846" s="102"/>
      <c r="E3846" s="102"/>
      <c r="H3846" s="102"/>
      <c r="J3846" s="102"/>
      <c r="K3846" s="450"/>
      <c r="L3846" s="443"/>
      <c r="M3846" s="450"/>
      <c r="N3846" s="452"/>
      <c r="O3846" s="453"/>
      <c r="P3846" s="113"/>
      <c r="Q3846" s="106" t="str">
        <f>IF(ISBLANK(O3846), "", VLOOKUP(C3846&amp;" "&amp;D3846, 'Info Tipo de Cambio y REM'!$A$24:$B$35, 2, FALSE))</f>
        <v/>
      </c>
      <c r="R3846" s="107"/>
    </row>
    <row r="3847" hidden="1">
      <c r="A3847" s="443"/>
      <c r="B3847" s="43" t="str">
        <f>IF(A3847="", "", IFERROR(VLOOKUP(A3847, Clasificaciones!A:B, 2, FALSE), "DATO NO CARGADO"))
</f>
        <v/>
      </c>
      <c r="C3847" s="51"/>
      <c r="D3847" s="102"/>
      <c r="E3847" s="102"/>
      <c r="H3847" s="102"/>
      <c r="J3847" s="102"/>
      <c r="K3847" s="450"/>
      <c r="L3847" s="443"/>
      <c r="M3847" s="450"/>
      <c r="N3847" s="452"/>
      <c r="O3847" s="453"/>
      <c r="P3847" s="113"/>
      <c r="Q3847" s="106" t="str">
        <f>IF(ISBLANK(O3847), "", VLOOKUP(C3847&amp;" "&amp;D3847, 'Info Tipo de Cambio y REM'!$A$24:$B$35, 2, FALSE))</f>
        <v/>
      </c>
      <c r="R3847" s="107"/>
    </row>
    <row r="3848" hidden="1">
      <c r="A3848" s="443"/>
      <c r="B3848" s="43" t="str">
        <f>IF(A3848="", "", IFERROR(VLOOKUP(A3848, Clasificaciones!A:B, 2, FALSE), "DATO NO CARGADO"))
</f>
        <v/>
      </c>
      <c r="C3848" s="51"/>
      <c r="D3848" s="102"/>
      <c r="E3848" s="102"/>
      <c r="H3848" s="102"/>
      <c r="J3848" s="102"/>
      <c r="K3848" s="450"/>
      <c r="L3848" s="443"/>
      <c r="M3848" s="450"/>
      <c r="N3848" s="452"/>
      <c r="O3848" s="453"/>
      <c r="P3848" s="113"/>
      <c r="Q3848" s="106" t="str">
        <f>IF(ISBLANK(O3848), "", VLOOKUP(C3848&amp;" "&amp;D3848, 'Info Tipo de Cambio y REM'!$A$24:$B$35, 2, FALSE))</f>
        <v/>
      </c>
      <c r="R3848" s="107"/>
    </row>
    <row r="3849" hidden="1">
      <c r="A3849" s="443"/>
      <c r="B3849" s="43" t="str">
        <f>IF(A3849="", "", IFERROR(VLOOKUP(A3849, Clasificaciones!A:B, 2, FALSE), "DATO NO CARGADO"))
</f>
        <v/>
      </c>
      <c r="C3849" s="51"/>
      <c r="D3849" s="102"/>
      <c r="E3849" s="102"/>
      <c r="H3849" s="102"/>
      <c r="J3849" s="102"/>
      <c r="K3849" s="450"/>
      <c r="L3849" s="443"/>
      <c r="M3849" s="450"/>
      <c r="N3849" s="452"/>
      <c r="O3849" s="453"/>
      <c r="P3849" s="113"/>
      <c r="Q3849" s="106" t="str">
        <f>IF(ISBLANK(O3849), "", VLOOKUP(C3849&amp;" "&amp;D3849, 'Info Tipo de Cambio y REM'!$A$24:$B$35, 2, FALSE))</f>
        <v/>
      </c>
      <c r="R3849" s="107"/>
    </row>
    <row r="3850" hidden="1">
      <c r="A3850" s="443"/>
      <c r="B3850" s="43" t="str">
        <f>IF(A3850="", "", IFERROR(VLOOKUP(A3850, Clasificaciones!A:B, 2, FALSE), "DATO NO CARGADO"))
</f>
        <v/>
      </c>
      <c r="C3850" s="51"/>
      <c r="D3850" s="102"/>
      <c r="E3850" s="102"/>
      <c r="H3850" s="102"/>
      <c r="J3850" s="102"/>
      <c r="K3850" s="450"/>
      <c r="L3850" s="443"/>
      <c r="M3850" s="450"/>
      <c r="N3850" s="452"/>
      <c r="O3850" s="453"/>
      <c r="P3850" s="113"/>
      <c r="Q3850" s="106" t="str">
        <f>IF(ISBLANK(O3850), "", VLOOKUP(C3850&amp;" "&amp;D3850, 'Info Tipo de Cambio y REM'!$A$24:$B$35, 2, FALSE))</f>
        <v/>
      </c>
      <c r="R3850" s="107"/>
    </row>
    <row r="3851" hidden="1">
      <c r="A3851" s="443"/>
      <c r="B3851" s="43" t="str">
        <f>IF(A3851="", "", IFERROR(VLOOKUP(A3851, Clasificaciones!A:B, 2, FALSE), "DATO NO CARGADO"))
</f>
        <v/>
      </c>
      <c r="C3851" s="51"/>
      <c r="D3851" s="102"/>
      <c r="E3851" s="102"/>
      <c r="H3851" s="102"/>
      <c r="J3851" s="102"/>
      <c r="K3851" s="450"/>
      <c r="L3851" s="443"/>
      <c r="M3851" s="450"/>
      <c r="N3851" s="452"/>
      <c r="O3851" s="453"/>
      <c r="P3851" s="113"/>
      <c r="Q3851" s="106" t="str">
        <f>IF(ISBLANK(O3851), "", VLOOKUP(C3851&amp;" "&amp;D3851, 'Info Tipo de Cambio y REM'!$A$24:$B$35, 2, FALSE))</f>
        <v/>
      </c>
      <c r="R3851" s="107"/>
    </row>
    <row r="3852" hidden="1">
      <c r="A3852" s="443"/>
      <c r="B3852" s="43" t="str">
        <f>IF(A3852="", "", IFERROR(VLOOKUP(A3852, Clasificaciones!A:B, 2, FALSE), "DATO NO CARGADO"))
</f>
        <v/>
      </c>
      <c r="C3852" s="51"/>
      <c r="D3852" s="102"/>
      <c r="E3852" s="102"/>
      <c r="H3852" s="102"/>
      <c r="J3852" s="102"/>
      <c r="K3852" s="450"/>
      <c r="L3852" s="443"/>
      <c r="M3852" s="450"/>
      <c r="N3852" s="452"/>
      <c r="O3852" s="453"/>
      <c r="P3852" s="113"/>
      <c r="Q3852" s="106" t="str">
        <f>IF(ISBLANK(O3852), "", VLOOKUP(C3852&amp;" "&amp;D3852, 'Info Tipo de Cambio y REM'!$A$24:$B$35, 2, FALSE))</f>
        <v/>
      </c>
      <c r="R3852" s="107"/>
    </row>
    <row r="3853" hidden="1">
      <c r="A3853" s="443"/>
      <c r="B3853" s="43" t="str">
        <f>IF(A3853="", "", IFERROR(VLOOKUP(A3853, Clasificaciones!A:B, 2, FALSE), "DATO NO CARGADO"))
</f>
        <v/>
      </c>
      <c r="C3853" s="51"/>
      <c r="D3853" s="102"/>
      <c r="E3853" s="102"/>
      <c r="H3853" s="102"/>
      <c r="J3853" s="102"/>
      <c r="K3853" s="450"/>
      <c r="L3853" s="443"/>
      <c r="M3853" s="450"/>
      <c r="N3853" s="452"/>
      <c r="O3853" s="453"/>
      <c r="P3853" s="113"/>
      <c r="Q3853" s="106" t="str">
        <f>IF(ISBLANK(O3853), "", VLOOKUP(C3853&amp;" "&amp;D3853, 'Info Tipo de Cambio y REM'!$A$24:$B$35, 2, FALSE))</f>
        <v/>
      </c>
      <c r="R3853" s="107"/>
    </row>
    <row r="3854" hidden="1">
      <c r="A3854" s="443"/>
      <c r="B3854" s="43" t="str">
        <f>IF(A3854="", "", IFERROR(VLOOKUP(A3854, Clasificaciones!A:B, 2, FALSE), "DATO NO CARGADO"))
</f>
        <v/>
      </c>
      <c r="C3854" s="51"/>
      <c r="D3854" s="102"/>
      <c r="E3854" s="102"/>
      <c r="H3854" s="102"/>
      <c r="J3854" s="102"/>
      <c r="K3854" s="450"/>
      <c r="L3854" s="443"/>
      <c r="M3854" s="450"/>
      <c r="N3854" s="452"/>
      <c r="O3854" s="453"/>
      <c r="P3854" s="113"/>
      <c r="Q3854" s="106" t="str">
        <f>IF(ISBLANK(O3854), "", VLOOKUP(C3854&amp;" "&amp;D3854, 'Info Tipo de Cambio y REM'!$A$24:$B$35, 2, FALSE))</f>
        <v/>
      </c>
      <c r="R3854" s="107"/>
    </row>
    <row r="3855" hidden="1">
      <c r="A3855" s="443"/>
      <c r="B3855" s="43" t="str">
        <f>IF(A3855="", "", IFERROR(VLOOKUP(A3855, Clasificaciones!A:B, 2, FALSE), "DATO NO CARGADO"))
</f>
        <v/>
      </c>
      <c r="C3855" s="51"/>
      <c r="D3855" s="102"/>
      <c r="E3855" s="102"/>
      <c r="H3855" s="102"/>
      <c r="J3855" s="102"/>
      <c r="K3855" s="450"/>
      <c r="L3855" s="443"/>
      <c r="M3855" s="450"/>
      <c r="N3855" s="452"/>
      <c r="O3855" s="453"/>
      <c r="P3855" s="113"/>
      <c r="Q3855" s="106" t="str">
        <f>IF(ISBLANK(O3855), "", VLOOKUP(C3855&amp;" "&amp;D3855, 'Info Tipo de Cambio y REM'!$A$24:$B$35, 2, FALSE))</f>
        <v/>
      </c>
      <c r="R3855" s="107"/>
    </row>
    <row r="3856" hidden="1">
      <c r="A3856" s="443"/>
      <c r="B3856" s="43" t="str">
        <f>IF(A3856="", "", IFERROR(VLOOKUP(A3856, Clasificaciones!A:B, 2, FALSE), "DATO NO CARGADO"))
</f>
        <v/>
      </c>
      <c r="C3856" s="51"/>
      <c r="D3856" s="102"/>
      <c r="E3856" s="102"/>
      <c r="H3856" s="102"/>
      <c r="J3856" s="102"/>
      <c r="K3856" s="450"/>
      <c r="L3856" s="443"/>
      <c r="M3856" s="450"/>
      <c r="N3856" s="452"/>
      <c r="O3856" s="453"/>
      <c r="P3856" s="113"/>
      <c r="Q3856" s="106" t="str">
        <f>IF(ISBLANK(O3856), "", VLOOKUP(C3856&amp;" "&amp;D3856, 'Info Tipo de Cambio y REM'!$A$24:$B$35, 2, FALSE))</f>
        <v/>
      </c>
      <c r="R3856" s="107"/>
    </row>
    <row r="3857" hidden="1">
      <c r="A3857" s="443"/>
      <c r="B3857" s="43" t="str">
        <f>IF(A3857="", "", IFERROR(VLOOKUP(A3857, Clasificaciones!A:B, 2, FALSE), "DATO NO CARGADO"))
</f>
        <v/>
      </c>
      <c r="C3857" s="51"/>
      <c r="D3857" s="102"/>
      <c r="E3857" s="102"/>
      <c r="H3857" s="102"/>
      <c r="J3857" s="102"/>
      <c r="K3857" s="450"/>
      <c r="L3857" s="443"/>
      <c r="M3857" s="450"/>
      <c r="N3857" s="452"/>
      <c r="O3857" s="453"/>
      <c r="P3857" s="113"/>
      <c r="Q3857" s="106" t="str">
        <f>IF(ISBLANK(O3857), "", VLOOKUP(C3857&amp;" "&amp;D3857, 'Info Tipo de Cambio y REM'!$A$24:$B$35, 2, FALSE))</f>
        <v/>
      </c>
      <c r="R3857" s="107"/>
    </row>
    <row r="3858" hidden="1">
      <c r="A3858" s="443"/>
      <c r="B3858" s="43" t="str">
        <f>IF(A3858="", "", IFERROR(VLOOKUP(A3858, Clasificaciones!A:B, 2, FALSE), "DATO NO CARGADO"))
</f>
        <v/>
      </c>
      <c r="C3858" s="51"/>
      <c r="D3858" s="102"/>
      <c r="E3858" s="102"/>
      <c r="H3858" s="102"/>
      <c r="J3858" s="102"/>
      <c r="K3858" s="450"/>
      <c r="L3858" s="443"/>
      <c r="M3858" s="450"/>
      <c r="N3858" s="452"/>
      <c r="O3858" s="453"/>
      <c r="P3858" s="113"/>
      <c r="Q3858" s="106" t="str">
        <f>IF(ISBLANK(O3858), "", VLOOKUP(C3858&amp;" "&amp;D3858, 'Info Tipo de Cambio y REM'!$A$24:$B$35, 2, FALSE))</f>
        <v/>
      </c>
      <c r="R3858" s="107"/>
    </row>
    <row r="3859" hidden="1">
      <c r="A3859" s="443"/>
      <c r="B3859" s="43" t="str">
        <f>IF(A3859="", "", IFERROR(VLOOKUP(A3859, Clasificaciones!A:B, 2, FALSE), "DATO NO CARGADO"))
</f>
        <v/>
      </c>
      <c r="C3859" s="51"/>
      <c r="D3859" s="102"/>
      <c r="E3859" s="102"/>
      <c r="H3859" s="102"/>
      <c r="J3859" s="102"/>
      <c r="K3859" s="450"/>
      <c r="L3859" s="443"/>
      <c r="M3859" s="450"/>
      <c r="N3859" s="452"/>
      <c r="O3859" s="453"/>
      <c r="P3859" s="113"/>
      <c r="Q3859" s="106" t="str">
        <f>IF(ISBLANK(O3859), "", VLOOKUP(C3859&amp;" "&amp;D3859, 'Info Tipo de Cambio y REM'!$A$24:$B$35, 2, FALSE))</f>
        <v/>
      </c>
      <c r="R3859" s="107"/>
    </row>
    <row r="3860" hidden="1">
      <c r="A3860" s="443"/>
      <c r="B3860" s="43" t="str">
        <f>IF(A3860="", "", IFERROR(VLOOKUP(A3860, Clasificaciones!A:B, 2, FALSE), "DATO NO CARGADO"))
</f>
        <v/>
      </c>
      <c r="C3860" s="51"/>
      <c r="D3860" s="102"/>
      <c r="E3860" s="102"/>
      <c r="H3860" s="102"/>
      <c r="J3860" s="102"/>
      <c r="K3860" s="450"/>
      <c r="L3860" s="443"/>
      <c r="M3860" s="450"/>
      <c r="N3860" s="452"/>
      <c r="O3860" s="453"/>
      <c r="P3860" s="113"/>
      <c r="Q3860" s="106" t="str">
        <f>IF(ISBLANK(O3860), "", VLOOKUP(C3860&amp;" "&amp;D3860, 'Info Tipo de Cambio y REM'!$A$24:$B$35, 2, FALSE))</f>
        <v/>
      </c>
      <c r="R3860" s="107"/>
    </row>
    <row r="3861" hidden="1">
      <c r="A3861" s="443"/>
      <c r="B3861" s="43" t="str">
        <f>IF(A3861="", "", IFERROR(VLOOKUP(A3861, Clasificaciones!A:B, 2, FALSE), "DATO NO CARGADO"))
</f>
        <v/>
      </c>
      <c r="C3861" s="51"/>
      <c r="D3861" s="102"/>
      <c r="E3861" s="102"/>
      <c r="H3861" s="102"/>
      <c r="J3861" s="102"/>
      <c r="K3861" s="450"/>
      <c r="L3861" s="443"/>
      <c r="M3861" s="450"/>
      <c r="N3861" s="452"/>
      <c r="O3861" s="453"/>
      <c r="P3861" s="113"/>
      <c r="Q3861" s="106" t="str">
        <f>IF(ISBLANK(O3861), "", VLOOKUP(C3861&amp;" "&amp;D3861, 'Info Tipo de Cambio y REM'!$A$24:$B$35, 2, FALSE))</f>
        <v/>
      </c>
      <c r="R3861" s="107"/>
    </row>
    <row r="3862" hidden="1">
      <c r="A3862" s="443"/>
      <c r="B3862" s="43" t="str">
        <f>IF(A3862="", "", IFERROR(VLOOKUP(A3862, Clasificaciones!A:B, 2, FALSE), "DATO NO CARGADO"))
</f>
        <v/>
      </c>
      <c r="C3862" s="51"/>
      <c r="D3862" s="102"/>
      <c r="E3862" s="102"/>
      <c r="H3862" s="102"/>
      <c r="J3862" s="102"/>
      <c r="K3862" s="450"/>
      <c r="L3862" s="443"/>
      <c r="M3862" s="450"/>
      <c r="N3862" s="452"/>
      <c r="O3862" s="453"/>
      <c r="P3862" s="113"/>
      <c r="Q3862" s="106" t="str">
        <f>IF(ISBLANK(O3862), "", VLOOKUP(C3862&amp;" "&amp;D3862, 'Info Tipo de Cambio y REM'!$A$24:$B$35, 2, FALSE))</f>
        <v/>
      </c>
      <c r="R3862" s="107"/>
    </row>
    <row r="3863" hidden="1">
      <c r="A3863" s="443"/>
      <c r="B3863" s="43" t="str">
        <f>IF(A3863="", "", IFERROR(VLOOKUP(A3863, Clasificaciones!A:B, 2, FALSE), "DATO NO CARGADO"))
</f>
        <v/>
      </c>
      <c r="C3863" s="51"/>
      <c r="D3863" s="102"/>
      <c r="E3863" s="102"/>
      <c r="H3863" s="102"/>
      <c r="J3863" s="102"/>
      <c r="K3863" s="450"/>
      <c r="L3863" s="443"/>
      <c r="M3863" s="450"/>
      <c r="N3863" s="452"/>
      <c r="O3863" s="453"/>
      <c r="P3863" s="113"/>
      <c r="Q3863" s="106" t="str">
        <f>IF(ISBLANK(O3863), "", VLOOKUP(C3863&amp;" "&amp;D3863, 'Info Tipo de Cambio y REM'!$A$24:$B$35, 2, FALSE))</f>
        <v/>
      </c>
      <c r="R3863" s="107"/>
    </row>
    <row r="3864" hidden="1">
      <c r="A3864" s="443"/>
      <c r="B3864" s="43" t="str">
        <f>IF(A3864="", "", IFERROR(VLOOKUP(A3864, Clasificaciones!A:B, 2, FALSE), "DATO NO CARGADO"))
</f>
        <v/>
      </c>
      <c r="C3864" s="51"/>
      <c r="D3864" s="102"/>
      <c r="E3864" s="102"/>
      <c r="H3864" s="102"/>
      <c r="J3864" s="102"/>
      <c r="K3864" s="450"/>
      <c r="L3864" s="443"/>
      <c r="M3864" s="450"/>
      <c r="N3864" s="452"/>
      <c r="O3864" s="453"/>
      <c r="P3864" s="113"/>
      <c r="Q3864" s="106" t="str">
        <f>IF(ISBLANK(O3864), "", VLOOKUP(C3864&amp;" "&amp;D3864, 'Info Tipo de Cambio y REM'!$A$24:$B$35, 2, FALSE))</f>
        <v/>
      </c>
      <c r="R3864" s="107"/>
    </row>
    <row r="3865" hidden="1">
      <c r="A3865" s="443"/>
      <c r="B3865" s="43" t="str">
        <f>IF(A3865="", "", IFERROR(VLOOKUP(A3865, Clasificaciones!A:B, 2, FALSE), "DATO NO CARGADO"))
</f>
        <v/>
      </c>
      <c r="C3865" s="51"/>
      <c r="D3865" s="102"/>
      <c r="E3865" s="102"/>
      <c r="H3865" s="102"/>
      <c r="J3865" s="102"/>
      <c r="K3865" s="450"/>
      <c r="L3865" s="443"/>
      <c r="M3865" s="450"/>
      <c r="N3865" s="452"/>
      <c r="O3865" s="453"/>
      <c r="P3865" s="113"/>
      <c r="Q3865" s="106" t="str">
        <f>IF(ISBLANK(O3865), "", VLOOKUP(C3865&amp;" "&amp;D3865, 'Info Tipo de Cambio y REM'!$A$24:$B$35, 2, FALSE))</f>
        <v/>
      </c>
      <c r="R3865" s="107"/>
    </row>
    <row r="3866" hidden="1">
      <c r="A3866" s="443"/>
      <c r="B3866" s="43" t="str">
        <f>IF(A3866="", "", IFERROR(VLOOKUP(A3866, Clasificaciones!A:B, 2, FALSE), "DATO NO CARGADO"))
</f>
        <v/>
      </c>
      <c r="C3866" s="51"/>
      <c r="D3866" s="102"/>
      <c r="E3866" s="102"/>
      <c r="H3866" s="102"/>
      <c r="J3866" s="102"/>
      <c r="K3866" s="450"/>
      <c r="L3866" s="443"/>
      <c r="M3866" s="450"/>
      <c r="N3866" s="452"/>
      <c r="O3866" s="453"/>
      <c r="P3866" s="113"/>
      <c r="Q3866" s="106" t="str">
        <f>IF(ISBLANK(O3866), "", VLOOKUP(C3866&amp;" "&amp;D3866, 'Info Tipo de Cambio y REM'!$A$24:$B$35, 2, FALSE))</f>
        <v/>
      </c>
      <c r="R3866" s="107"/>
    </row>
    <row r="3867" hidden="1">
      <c r="A3867" s="443"/>
      <c r="B3867" s="43" t="str">
        <f>IF(A3867="", "", IFERROR(VLOOKUP(A3867, Clasificaciones!A:B, 2, FALSE), "DATO NO CARGADO"))
</f>
        <v/>
      </c>
      <c r="C3867" s="51"/>
      <c r="D3867" s="102"/>
      <c r="E3867" s="102"/>
      <c r="H3867" s="102"/>
      <c r="J3867" s="102"/>
      <c r="K3867" s="450"/>
      <c r="L3867" s="443"/>
      <c r="M3867" s="450"/>
      <c r="N3867" s="452"/>
      <c r="O3867" s="453"/>
      <c r="P3867" s="113"/>
      <c r="Q3867" s="106" t="str">
        <f>IF(ISBLANK(O3867), "", VLOOKUP(C3867&amp;" "&amp;D3867, 'Info Tipo de Cambio y REM'!$A$24:$B$35, 2, FALSE))</f>
        <v/>
      </c>
      <c r="R3867" s="107"/>
    </row>
    <row r="3868" hidden="1">
      <c r="A3868" s="443"/>
      <c r="B3868" s="43" t="str">
        <f>IF(A3868="", "", IFERROR(VLOOKUP(A3868, Clasificaciones!A:B, 2, FALSE), "DATO NO CARGADO"))
</f>
        <v/>
      </c>
      <c r="C3868" s="51"/>
      <c r="D3868" s="102"/>
      <c r="E3868" s="102"/>
      <c r="H3868" s="102"/>
      <c r="J3868" s="102"/>
      <c r="K3868" s="450"/>
      <c r="L3868" s="443"/>
      <c r="M3868" s="450"/>
      <c r="N3868" s="452"/>
      <c r="O3868" s="453"/>
      <c r="P3868" s="113"/>
      <c r="Q3868" s="106" t="str">
        <f>IF(ISBLANK(O3868), "", VLOOKUP(C3868&amp;" "&amp;D3868, 'Info Tipo de Cambio y REM'!$A$24:$B$35, 2, FALSE))</f>
        <v/>
      </c>
      <c r="R3868" s="107"/>
    </row>
    <row r="3869" hidden="1">
      <c r="A3869" s="443"/>
      <c r="B3869" s="43" t="str">
        <f>IF(A3869="", "", IFERROR(VLOOKUP(A3869, Clasificaciones!A:B, 2, FALSE), "DATO NO CARGADO"))
</f>
        <v/>
      </c>
      <c r="C3869" s="51"/>
      <c r="D3869" s="102"/>
      <c r="E3869" s="102"/>
      <c r="H3869" s="102"/>
      <c r="J3869" s="102"/>
      <c r="K3869" s="450"/>
      <c r="L3869" s="443"/>
      <c r="M3869" s="450"/>
      <c r="N3869" s="452"/>
      <c r="O3869" s="453"/>
      <c r="P3869" s="113"/>
      <c r="Q3869" s="106" t="str">
        <f>IF(ISBLANK(O3869), "", VLOOKUP(C3869&amp;" "&amp;D3869, 'Info Tipo de Cambio y REM'!$A$24:$B$35, 2, FALSE))</f>
        <v/>
      </c>
      <c r="R3869" s="107"/>
    </row>
    <row r="3870" hidden="1">
      <c r="A3870" s="443"/>
      <c r="B3870" s="43" t="str">
        <f>IF(A3870="", "", IFERROR(VLOOKUP(A3870, Clasificaciones!A:B, 2, FALSE), "DATO NO CARGADO"))
</f>
        <v/>
      </c>
      <c r="C3870" s="51"/>
      <c r="D3870" s="102"/>
      <c r="E3870" s="102"/>
      <c r="H3870" s="102"/>
      <c r="J3870" s="102"/>
      <c r="K3870" s="450"/>
      <c r="L3870" s="443"/>
      <c r="M3870" s="450"/>
      <c r="N3870" s="452"/>
      <c r="O3870" s="453"/>
      <c r="P3870" s="113"/>
      <c r="Q3870" s="106" t="str">
        <f>IF(ISBLANK(O3870), "", VLOOKUP(C3870&amp;" "&amp;D3870, 'Info Tipo de Cambio y REM'!$A$24:$B$35, 2, FALSE))</f>
        <v/>
      </c>
      <c r="R3870" s="107"/>
    </row>
    <row r="3871" hidden="1">
      <c r="A3871" s="443"/>
      <c r="B3871" s="43" t="str">
        <f>IF(A3871="", "", IFERROR(VLOOKUP(A3871, Clasificaciones!A:B, 2, FALSE), "DATO NO CARGADO"))
</f>
        <v/>
      </c>
      <c r="C3871" s="51"/>
      <c r="D3871" s="102"/>
      <c r="E3871" s="102"/>
      <c r="H3871" s="102"/>
      <c r="J3871" s="102"/>
      <c r="K3871" s="450"/>
      <c r="L3871" s="443"/>
      <c r="M3871" s="450"/>
      <c r="N3871" s="452"/>
      <c r="O3871" s="453"/>
      <c r="P3871" s="113"/>
      <c r="Q3871" s="106" t="str">
        <f>IF(ISBLANK(O3871), "", VLOOKUP(C3871&amp;" "&amp;D3871, 'Info Tipo de Cambio y REM'!$A$24:$B$35, 2, FALSE))</f>
        <v/>
      </c>
      <c r="R3871" s="107"/>
    </row>
    <row r="3872" hidden="1">
      <c r="A3872" s="443"/>
      <c r="B3872" s="43" t="str">
        <f>IF(A3872="", "", IFERROR(VLOOKUP(A3872, Clasificaciones!A:B, 2, FALSE), "DATO NO CARGADO"))
</f>
        <v/>
      </c>
      <c r="C3872" s="51"/>
      <c r="D3872" s="102"/>
      <c r="E3872" s="102"/>
      <c r="H3872" s="102"/>
      <c r="J3872" s="102"/>
      <c r="K3872" s="450"/>
      <c r="L3872" s="443"/>
      <c r="M3872" s="450"/>
      <c r="N3872" s="452"/>
      <c r="O3872" s="453"/>
      <c r="P3872" s="113"/>
      <c r="Q3872" s="106" t="str">
        <f>IF(ISBLANK(O3872), "", VLOOKUP(C3872&amp;" "&amp;D3872, 'Info Tipo de Cambio y REM'!$A$24:$B$35, 2, FALSE))</f>
        <v/>
      </c>
      <c r="R3872" s="107"/>
    </row>
    <row r="3873" hidden="1">
      <c r="A3873" s="443"/>
      <c r="B3873" s="43" t="str">
        <f>IF(A3873="", "", IFERROR(VLOOKUP(A3873, Clasificaciones!A:B, 2, FALSE), "DATO NO CARGADO"))
</f>
        <v/>
      </c>
      <c r="C3873" s="51"/>
      <c r="D3873" s="102"/>
      <c r="E3873" s="102"/>
      <c r="H3873" s="102"/>
      <c r="J3873" s="102"/>
      <c r="K3873" s="450"/>
      <c r="L3873" s="443"/>
      <c r="M3873" s="450"/>
      <c r="N3873" s="452"/>
      <c r="O3873" s="453"/>
      <c r="P3873" s="113"/>
      <c r="Q3873" s="106" t="str">
        <f>IF(ISBLANK(O3873), "", VLOOKUP(C3873&amp;" "&amp;D3873, 'Info Tipo de Cambio y REM'!$A$24:$B$35, 2, FALSE))</f>
        <v/>
      </c>
      <c r="R3873" s="107"/>
    </row>
    <row r="3874" hidden="1">
      <c r="A3874" s="443"/>
      <c r="B3874" s="43" t="str">
        <f>IF(A3874="", "", IFERROR(VLOOKUP(A3874, Clasificaciones!A:B, 2, FALSE), "DATO NO CARGADO"))
</f>
        <v/>
      </c>
      <c r="C3874" s="51"/>
      <c r="D3874" s="102"/>
      <c r="E3874" s="102"/>
      <c r="H3874" s="102"/>
      <c r="J3874" s="102"/>
      <c r="K3874" s="450"/>
      <c r="L3874" s="443"/>
      <c r="M3874" s="450"/>
      <c r="N3874" s="452"/>
      <c r="O3874" s="453"/>
      <c r="P3874" s="113"/>
      <c r="Q3874" s="106" t="str">
        <f>IF(ISBLANK(O3874), "", VLOOKUP(C3874&amp;" "&amp;D3874, 'Info Tipo de Cambio y REM'!$A$24:$B$35, 2, FALSE))</f>
        <v/>
      </c>
      <c r="R3874" s="107"/>
    </row>
    <row r="3875" hidden="1">
      <c r="A3875" s="443"/>
      <c r="B3875" s="43" t="str">
        <f>IF(A3875="", "", IFERROR(VLOOKUP(A3875, Clasificaciones!A:B, 2, FALSE), "DATO NO CARGADO"))
</f>
        <v/>
      </c>
      <c r="C3875" s="51"/>
      <c r="D3875" s="102"/>
      <c r="E3875" s="102"/>
      <c r="H3875" s="102"/>
      <c r="J3875" s="102"/>
      <c r="K3875" s="450"/>
      <c r="L3875" s="443"/>
      <c r="M3875" s="450"/>
      <c r="N3875" s="452"/>
      <c r="O3875" s="453"/>
      <c r="P3875" s="113"/>
      <c r="Q3875" s="106" t="str">
        <f>IF(ISBLANK(O3875), "", VLOOKUP(C3875&amp;" "&amp;D3875, 'Info Tipo de Cambio y REM'!$A$24:$B$35, 2, FALSE))</f>
        <v/>
      </c>
      <c r="R3875" s="107"/>
    </row>
    <row r="3876" hidden="1">
      <c r="A3876" s="443"/>
      <c r="B3876" s="43" t="str">
        <f>IF(A3876="", "", IFERROR(VLOOKUP(A3876, Clasificaciones!A:B, 2, FALSE), "DATO NO CARGADO"))
</f>
        <v/>
      </c>
      <c r="C3876" s="51"/>
      <c r="D3876" s="102"/>
      <c r="E3876" s="102"/>
      <c r="H3876" s="102"/>
      <c r="J3876" s="102"/>
      <c r="K3876" s="450"/>
      <c r="L3876" s="443"/>
      <c r="M3876" s="450"/>
      <c r="N3876" s="452"/>
      <c r="O3876" s="453"/>
      <c r="P3876" s="113"/>
      <c r="Q3876" s="106" t="str">
        <f>IF(ISBLANK(O3876), "", VLOOKUP(C3876&amp;" "&amp;D3876, 'Info Tipo de Cambio y REM'!$A$24:$B$35, 2, FALSE))</f>
        <v/>
      </c>
      <c r="R3876" s="107"/>
    </row>
    <row r="3877" hidden="1">
      <c r="A3877" s="443"/>
      <c r="B3877" s="43" t="str">
        <f>IF(A3877="", "", IFERROR(VLOOKUP(A3877, Clasificaciones!A:B, 2, FALSE), "DATO NO CARGADO"))
</f>
        <v/>
      </c>
      <c r="C3877" s="51"/>
      <c r="D3877" s="102"/>
      <c r="E3877" s="102"/>
      <c r="H3877" s="102"/>
      <c r="J3877" s="102"/>
      <c r="K3877" s="450"/>
      <c r="L3877" s="443"/>
      <c r="M3877" s="450"/>
      <c r="N3877" s="452"/>
      <c r="O3877" s="453"/>
      <c r="P3877" s="113"/>
      <c r="Q3877" s="106" t="str">
        <f>IF(ISBLANK(O3877), "", VLOOKUP(C3877&amp;" "&amp;D3877, 'Info Tipo de Cambio y REM'!$A$24:$B$35, 2, FALSE))</f>
        <v/>
      </c>
      <c r="R3877" s="107"/>
    </row>
    <row r="3878" hidden="1">
      <c r="A3878" s="443"/>
      <c r="B3878" s="43" t="str">
        <f>IF(A3878="", "", IFERROR(VLOOKUP(A3878, Clasificaciones!A:B, 2, FALSE), "DATO NO CARGADO"))
</f>
        <v/>
      </c>
      <c r="C3878" s="51"/>
      <c r="D3878" s="102"/>
      <c r="E3878" s="102"/>
      <c r="H3878" s="102"/>
      <c r="J3878" s="102"/>
      <c r="K3878" s="450"/>
      <c r="L3878" s="443"/>
      <c r="M3878" s="450"/>
      <c r="N3878" s="452"/>
      <c r="O3878" s="453"/>
      <c r="P3878" s="113"/>
      <c r="Q3878" s="106" t="str">
        <f>IF(ISBLANK(O3878), "", VLOOKUP(C3878&amp;" "&amp;D3878, 'Info Tipo de Cambio y REM'!$A$24:$B$35, 2, FALSE))</f>
        <v/>
      </c>
      <c r="R3878" s="107"/>
    </row>
    <row r="3879" hidden="1">
      <c r="A3879" s="443"/>
      <c r="B3879" s="43" t="str">
        <f>IF(A3879="", "", IFERROR(VLOOKUP(A3879, Clasificaciones!A:B, 2, FALSE), "DATO NO CARGADO"))
</f>
        <v/>
      </c>
      <c r="C3879" s="51"/>
      <c r="D3879" s="102"/>
      <c r="E3879" s="102"/>
      <c r="H3879" s="102"/>
      <c r="J3879" s="102"/>
      <c r="K3879" s="450"/>
      <c r="L3879" s="443"/>
      <c r="M3879" s="450"/>
      <c r="N3879" s="452"/>
      <c r="O3879" s="453"/>
      <c r="P3879" s="113"/>
      <c r="Q3879" s="106" t="str">
        <f>IF(ISBLANK(O3879), "", VLOOKUP(C3879&amp;" "&amp;D3879, 'Info Tipo de Cambio y REM'!$A$24:$B$35, 2, FALSE))</f>
        <v/>
      </c>
      <c r="R3879" s="107"/>
    </row>
    <row r="3880" hidden="1">
      <c r="A3880" s="443"/>
      <c r="B3880" s="43" t="str">
        <f>IF(A3880="", "", IFERROR(VLOOKUP(A3880, Clasificaciones!A:B, 2, FALSE), "DATO NO CARGADO"))
</f>
        <v/>
      </c>
      <c r="C3880" s="51"/>
      <c r="D3880" s="102"/>
      <c r="E3880" s="102"/>
      <c r="H3880" s="102"/>
      <c r="J3880" s="102"/>
      <c r="K3880" s="450"/>
      <c r="L3880" s="443"/>
      <c r="M3880" s="450"/>
      <c r="N3880" s="452"/>
      <c r="O3880" s="453"/>
      <c r="P3880" s="113"/>
      <c r="Q3880" s="106" t="str">
        <f>IF(ISBLANK(O3880), "", VLOOKUP(C3880&amp;" "&amp;D3880, 'Info Tipo de Cambio y REM'!$A$24:$B$35, 2, FALSE))</f>
        <v/>
      </c>
      <c r="R3880" s="107"/>
    </row>
    <row r="3881" hidden="1">
      <c r="A3881" s="443"/>
      <c r="B3881" s="43" t="str">
        <f>IF(A3881="", "", IFERROR(VLOOKUP(A3881, Clasificaciones!A:B, 2, FALSE), "DATO NO CARGADO"))
</f>
        <v/>
      </c>
      <c r="C3881" s="51"/>
      <c r="D3881" s="102"/>
      <c r="E3881" s="102"/>
      <c r="H3881" s="102"/>
      <c r="J3881" s="102"/>
      <c r="K3881" s="450"/>
      <c r="L3881" s="443"/>
      <c r="M3881" s="450"/>
      <c r="N3881" s="452"/>
      <c r="O3881" s="453"/>
      <c r="P3881" s="113"/>
      <c r="Q3881" s="106" t="str">
        <f>IF(ISBLANK(O3881), "", VLOOKUP(C3881&amp;" "&amp;D3881, 'Info Tipo de Cambio y REM'!$A$24:$B$35, 2, FALSE))</f>
        <v/>
      </c>
      <c r="R3881" s="107"/>
    </row>
    <row r="3882" hidden="1">
      <c r="A3882" s="443"/>
      <c r="B3882" s="43" t="str">
        <f>IF(A3882="", "", IFERROR(VLOOKUP(A3882, Clasificaciones!A:B, 2, FALSE), "DATO NO CARGADO"))
</f>
        <v/>
      </c>
      <c r="C3882" s="51"/>
      <c r="D3882" s="102"/>
      <c r="E3882" s="102"/>
      <c r="H3882" s="102"/>
      <c r="J3882" s="102"/>
      <c r="K3882" s="450"/>
      <c r="L3882" s="443"/>
      <c r="M3882" s="450"/>
      <c r="N3882" s="452"/>
      <c r="O3882" s="453"/>
      <c r="P3882" s="113"/>
      <c r="Q3882" s="106" t="str">
        <f>IF(ISBLANK(O3882), "", VLOOKUP(C3882&amp;" "&amp;D3882, 'Info Tipo de Cambio y REM'!$A$24:$B$35, 2, FALSE))</f>
        <v/>
      </c>
      <c r="R3882" s="107"/>
    </row>
    <row r="3883" hidden="1">
      <c r="A3883" s="443"/>
      <c r="B3883" s="43" t="str">
        <f>IF(A3883="", "", IFERROR(VLOOKUP(A3883, Clasificaciones!A:B, 2, FALSE), "DATO NO CARGADO"))
</f>
        <v/>
      </c>
      <c r="C3883" s="51"/>
      <c r="D3883" s="102"/>
      <c r="E3883" s="102"/>
      <c r="H3883" s="102"/>
      <c r="J3883" s="102"/>
      <c r="K3883" s="450"/>
      <c r="L3883" s="443"/>
      <c r="M3883" s="450"/>
      <c r="N3883" s="452"/>
      <c r="O3883" s="453"/>
      <c r="P3883" s="113"/>
      <c r="Q3883" s="106" t="str">
        <f>IF(ISBLANK(O3883), "", VLOOKUP(C3883&amp;" "&amp;D3883, 'Info Tipo de Cambio y REM'!$A$24:$B$35, 2, FALSE))</f>
        <v/>
      </c>
      <c r="R3883" s="107"/>
    </row>
    <row r="3884" hidden="1">
      <c r="A3884" s="443"/>
      <c r="B3884" s="43" t="str">
        <f>IF(A3884="", "", IFERROR(VLOOKUP(A3884, Clasificaciones!A:B, 2, FALSE), "DATO NO CARGADO"))
</f>
        <v/>
      </c>
      <c r="C3884" s="51"/>
      <c r="D3884" s="102"/>
      <c r="E3884" s="102"/>
      <c r="H3884" s="102"/>
      <c r="J3884" s="102"/>
      <c r="K3884" s="450"/>
      <c r="L3884" s="443"/>
      <c r="M3884" s="450"/>
      <c r="N3884" s="452"/>
      <c r="O3884" s="453"/>
      <c r="P3884" s="113"/>
      <c r="Q3884" s="106" t="str">
        <f>IF(ISBLANK(O3884), "", VLOOKUP(C3884&amp;" "&amp;D3884, 'Info Tipo de Cambio y REM'!$A$24:$B$35, 2, FALSE))</f>
        <v/>
      </c>
      <c r="R3884" s="107"/>
    </row>
    <row r="3885" hidden="1">
      <c r="A3885" s="443"/>
      <c r="B3885" s="43" t="str">
        <f>IF(A3885="", "", IFERROR(VLOOKUP(A3885, Clasificaciones!A:B, 2, FALSE), "DATO NO CARGADO"))
</f>
        <v/>
      </c>
      <c r="C3885" s="51"/>
      <c r="D3885" s="102"/>
      <c r="E3885" s="102"/>
      <c r="H3885" s="102"/>
      <c r="J3885" s="102"/>
      <c r="K3885" s="450"/>
      <c r="L3885" s="443"/>
      <c r="M3885" s="450"/>
      <c r="N3885" s="452"/>
      <c r="O3885" s="453"/>
      <c r="P3885" s="113"/>
      <c r="Q3885" s="106" t="str">
        <f>IF(ISBLANK(O3885), "", VLOOKUP(C3885&amp;" "&amp;D3885, 'Info Tipo de Cambio y REM'!$A$24:$B$35, 2, FALSE))</f>
        <v/>
      </c>
      <c r="R3885" s="107"/>
    </row>
    <row r="3886" hidden="1">
      <c r="A3886" s="443"/>
      <c r="B3886" s="43" t="str">
        <f>IF(A3886="", "", IFERROR(VLOOKUP(A3886, Clasificaciones!A:B, 2, FALSE), "DATO NO CARGADO"))
</f>
        <v/>
      </c>
      <c r="C3886" s="51"/>
      <c r="D3886" s="102"/>
      <c r="E3886" s="102"/>
      <c r="H3886" s="102"/>
      <c r="J3886" s="102"/>
      <c r="K3886" s="450"/>
      <c r="L3886" s="443"/>
      <c r="M3886" s="450"/>
      <c r="N3886" s="452"/>
      <c r="O3886" s="453"/>
      <c r="P3886" s="113"/>
      <c r="Q3886" s="106" t="str">
        <f>IF(ISBLANK(O3886), "", VLOOKUP(C3886&amp;" "&amp;D3886, 'Info Tipo de Cambio y REM'!$A$24:$B$35, 2, FALSE))</f>
        <v/>
      </c>
      <c r="R3886" s="107"/>
    </row>
    <row r="3887" hidden="1">
      <c r="A3887" s="443"/>
      <c r="B3887" s="43" t="str">
        <f>IF(A3887="", "", IFERROR(VLOOKUP(A3887, Clasificaciones!A:B, 2, FALSE), "DATO NO CARGADO"))
</f>
        <v/>
      </c>
      <c r="C3887" s="51"/>
      <c r="D3887" s="102"/>
      <c r="E3887" s="102"/>
      <c r="H3887" s="102"/>
      <c r="J3887" s="102"/>
      <c r="K3887" s="450"/>
      <c r="L3887" s="443"/>
      <c r="M3887" s="450"/>
      <c r="N3887" s="452"/>
      <c r="O3887" s="453"/>
      <c r="P3887" s="113"/>
      <c r="Q3887" s="106" t="str">
        <f>IF(ISBLANK(O3887), "", VLOOKUP(C3887&amp;" "&amp;D3887, 'Info Tipo de Cambio y REM'!$A$24:$B$35, 2, FALSE))</f>
        <v/>
      </c>
      <c r="R3887" s="107"/>
    </row>
    <row r="3888" hidden="1">
      <c r="A3888" s="443"/>
      <c r="B3888" s="43" t="str">
        <f>IF(A3888="", "", IFERROR(VLOOKUP(A3888, Clasificaciones!A:B, 2, FALSE), "DATO NO CARGADO"))
</f>
        <v/>
      </c>
      <c r="C3888" s="51"/>
      <c r="D3888" s="102"/>
      <c r="E3888" s="102"/>
      <c r="H3888" s="102"/>
      <c r="J3888" s="102"/>
      <c r="K3888" s="450"/>
      <c r="L3888" s="443"/>
      <c r="M3888" s="450"/>
      <c r="N3888" s="452"/>
      <c r="O3888" s="453"/>
      <c r="P3888" s="113"/>
      <c r="Q3888" s="106" t="str">
        <f>IF(ISBLANK(O3888), "", VLOOKUP(C3888&amp;" "&amp;D3888, 'Info Tipo de Cambio y REM'!$A$24:$B$35, 2, FALSE))</f>
        <v/>
      </c>
      <c r="R3888" s="107"/>
    </row>
    <row r="3889" hidden="1">
      <c r="A3889" s="443"/>
      <c r="B3889" s="43" t="str">
        <f>IF(A3889="", "", IFERROR(VLOOKUP(A3889, Clasificaciones!A:B, 2, FALSE), "DATO NO CARGADO"))
</f>
        <v/>
      </c>
      <c r="C3889" s="51"/>
      <c r="D3889" s="102"/>
      <c r="E3889" s="102"/>
      <c r="H3889" s="102"/>
      <c r="J3889" s="102"/>
      <c r="K3889" s="450"/>
      <c r="L3889" s="443"/>
      <c r="M3889" s="450"/>
      <c r="N3889" s="452"/>
      <c r="O3889" s="453"/>
      <c r="P3889" s="113"/>
      <c r="Q3889" s="106" t="str">
        <f>IF(ISBLANK(O3889), "", VLOOKUP(C3889&amp;" "&amp;D3889, 'Info Tipo de Cambio y REM'!$A$24:$B$35, 2, FALSE))</f>
        <v/>
      </c>
      <c r="R3889" s="107"/>
    </row>
    <row r="3890" hidden="1">
      <c r="A3890" s="443"/>
      <c r="B3890" s="43" t="str">
        <f>IF(A3890="", "", IFERROR(VLOOKUP(A3890, Clasificaciones!A:B, 2, FALSE), "DATO NO CARGADO"))
</f>
        <v/>
      </c>
      <c r="C3890" s="51"/>
      <c r="D3890" s="102"/>
      <c r="E3890" s="102"/>
      <c r="H3890" s="102"/>
      <c r="J3890" s="102"/>
      <c r="K3890" s="450"/>
      <c r="L3890" s="443"/>
      <c r="M3890" s="450"/>
      <c r="N3890" s="452"/>
      <c r="O3890" s="453"/>
      <c r="P3890" s="113"/>
      <c r="Q3890" s="106" t="str">
        <f>IF(ISBLANK(O3890), "", VLOOKUP(C3890&amp;" "&amp;D3890, 'Info Tipo de Cambio y REM'!$A$24:$B$35, 2, FALSE))</f>
        <v/>
      </c>
      <c r="R3890" s="107"/>
    </row>
    <row r="3891" hidden="1">
      <c r="A3891" s="443"/>
      <c r="B3891" s="43" t="str">
        <f>IF(A3891="", "", IFERROR(VLOOKUP(A3891, Clasificaciones!A:B, 2, FALSE), "DATO NO CARGADO"))
</f>
        <v/>
      </c>
      <c r="C3891" s="51"/>
      <c r="D3891" s="102"/>
      <c r="E3891" s="102"/>
      <c r="H3891" s="102"/>
      <c r="J3891" s="102"/>
      <c r="K3891" s="450"/>
      <c r="L3891" s="443"/>
      <c r="M3891" s="450"/>
      <c r="N3891" s="452"/>
      <c r="O3891" s="453"/>
      <c r="P3891" s="113"/>
      <c r="Q3891" s="106" t="str">
        <f>IF(ISBLANK(O3891), "", VLOOKUP(C3891&amp;" "&amp;D3891, 'Info Tipo de Cambio y REM'!$A$24:$B$35, 2, FALSE))</f>
        <v/>
      </c>
      <c r="R3891" s="107"/>
    </row>
    <row r="3892" hidden="1">
      <c r="A3892" s="443"/>
      <c r="B3892" s="43" t="str">
        <f>IF(A3892="", "", IFERROR(VLOOKUP(A3892, Clasificaciones!A:B, 2, FALSE), "DATO NO CARGADO"))
</f>
        <v/>
      </c>
      <c r="C3892" s="51"/>
      <c r="D3892" s="102"/>
      <c r="E3892" s="102"/>
      <c r="H3892" s="102"/>
      <c r="J3892" s="102"/>
      <c r="K3892" s="450"/>
      <c r="L3892" s="443"/>
      <c r="M3892" s="450"/>
      <c r="N3892" s="452"/>
      <c r="O3892" s="453"/>
      <c r="P3892" s="113"/>
      <c r="Q3892" s="106" t="str">
        <f>IF(ISBLANK(O3892), "", VLOOKUP(C3892&amp;" "&amp;D3892, 'Info Tipo de Cambio y REM'!$A$24:$B$35, 2, FALSE))</f>
        <v/>
      </c>
      <c r="R3892" s="107"/>
    </row>
    <row r="3893" hidden="1">
      <c r="A3893" s="443"/>
      <c r="B3893" s="43" t="str">
        <f>IF(A3893="", "", IFERROR(VLOOKUP(A3893, Clasificaciones!A:B, 2, FALSE), "DATO NO CARGADO"))
</f>
        <v/>
      </c>
      <c r="C3893" s="51"/>
      <c r="D3893" s="102"/>
      <c r="E3893" s="102"/>
      <c r="H3893" s="102"/>
      <c r="J3893" s="102"/>
      <c r="K3893" s="450"/>
      <c r="L3893" s="443"/>
      <c r="M3893" s="450"/>
      <c r="N3893" s="452"/>
      <c r="O3893" s="453"/>
      <c r="P3893" s="113"/>
      <c r="Q3893" s="106" t="str">
        <f>IF(ISBLANK(O3893), "", VLOOKUP(C3893&amp;" "&amp;D3893, 'Info Tipo de Cambio y REM'!$A$24:$B$35, 2, FALSE))</f>
        <v/>
      </c>
      <c r="R3893" s="107"/>
    </row>
    <row r="3894" hidden="1">
      <c r="A3894" s="443"/>
      <c r="B3894" s="43" t="str">
        <f>IF(A3894="", "", IFERROR(VLOOKUP(A3894, Clasificaciones!A:B, 2, FALSE), "DATO NO CARGADO"))
</f>
        <v/>
      </c>
      <c r="C3894" s="51"/>
      <c r="D3894" s="102"/>
      <c r="E3894" s="102"/>
      <c r="H3894" s="102"/>
      <c r="J3894" s="102"/>
      <c r="K3894" s="450"/>
      <c r="L3894" s="443"/>
      <c r="M3894" s="450"/>
      <c r="N3894" s="452"/>
      <c r="O3894" s="453"/>
      <c r="P3894" s="113"/>
      <c r="Q3894" s="106" t="str">
        <f>IF(ISBLANK(O3894), "", VLOOKUP(C3894&amp;" "&amp;D3894, 'Info Tipo de Cambio y REM'!$A$24:$B$35, 2, FALSE))</f>
        <v/>
      </c>
      <c r="R3894" s="107"/>
    </row>
    <row r="3895" hidden="1">
      <c r="A3895" s="443"/>
      <c r="B3895" s="43" t="str">
        <f>IF(A3895="", "", IFERROR(VLOOKUP(A3895, Clasificaciones!A:B, 2, FALSE), "DATO NO CARGADO"))
</f>
        <v/>
      </c>
      <c r="C3895" s="51"/>
      <c r="D3895" s="102"/>
      <c r="E3895" s="102"/>
      <c r="H3895" s="102"/>
      <c r="J3895" s="102"/>
      <c r="K3895" s="450"/>
      <c r="L3895" s="443"/>
      <c r="M3895" s="450"/>
      <c r="N3895" s="452"/>
      <c r="O3895" s="453"/>
      <c r="P3895" s="113"/>
      <c r="Q3895" s="106" t="str">
        <f>IF(ISBLANK(O3895), "", VLOOKUP(C3895&amp;" "&amp;D3895, 'Info Tipo de Cambio y REM'!$A$24:$B$35, 2, FALSE))</f>
        <v/>
      </c>
      <c r="R3895" s="107"/>
    </row>
    <row r="3896" hidden="1">
      <c r="A3896" s="443"/>
      <c r="B3896" s="43" t="str">
        <f>IF(A3896="", "", IFERROR(VLOOKUP(A3896, Clasificaciones!A:B, 2, FALSE), "DATO NO CARGADO"))
</f>
        <v/>
      </c>
      <c r="C3896" s="51"/>
      <c r="D3896" s="102"/>
      <c r="E3896" s="102"/>
      <c r="H3896" s="102"/>
      <c r="J3896" s="102"/>
      <c r="K3896" s="450"/>
      <c r="L3896" s="443"/>
      <c r="M3896" s="450"/>
      <c r="N3896" s="452"/>
      <c r="O3896" s="453"/>
      <c r="P3896" s="113"/>
      <c r="Q3896" s="106" t="str">
        <f>IF(ISBLANK(O3896), "", VLOOKUP(C3896&amp;" "&amp;D3896, 'Info Tipo de Cambio y REM'!$A$24:$B$35, 2, FALSE))</f>
        <v/>
      </c>
      <c r="R3896" s="107"/>
    </row>
    <row r="3897" hidden="1">
      <c r="A3897" s="443"/>
      <c r="B3897" s="43" t="str">
        <f>IF(A3897="", "", IFERROR(VLOOKUP(A3897, Clasificaciones!A:B, 2, FALSE), "DATO NO CARGADO"))
</f>
        <v/>
      </c>
      <c r="C3897" s="51"/>
      <c r="D3897" s="102"/>
      <c r="E3897" s="102"/>
      <c r="H3897" s="102"/>
      <c r="J3897" s="102"/>
      <c r="K3897" s="450"/>
      <c r="L3897" s="443"/>
      <c r="M3897" s="450"/>
      <c r="N3897" s="452"/>
      <c r="O3897" s="453"/>
      <c r="P3897" s="113"/>
      <c r="Q3897" s="106" t="str">
        <f>IF(ISBLANK(O3897), "", VLOOKUP(C3897&amp;" "&amp;D3897, 'Info Tipo de Cambio y REM'!$A$24:$B$35, 2, FALSE))</f>
        <v/>
      </c>
      <c r="R3897" s="107"/>
    </row>
    <row r="3898" hidden="1">
      <c r="A3898" s="443"/>
      <c r="B3898" s="43" t="str">
        <f>IF(A3898="", "", IFERROR(VLOOKUP(A3898, Clasificaciones!A:B, 2, FALSE), "DATO NO CARGADO"))
</f>
        <v/>
      </c>
      <c r="C3898" s="51"/>
      <c r="D3898" s="102"/>
      <c r="E3898" s="102"/>
      <c r="H3898" s="102"/>
      <c r="J3898" s="102"/>
      <c r="K3898" s="450"/>
      <c r="L3898" s="443"/>
      <c r="M3898" s="450"/>
      <c r="N3898" s="452"/>
      <c r="O3898" s="453"/>
      <c r="P3898" s="113"/>
      <c r="Q3898" s="106" t="str">
        <f>IF(ISBLANK(O3898), "", VLOOKUP(C3898&amp;" "&amp;D3898, 'Info Tipo de Cambio y REM'!$A$24:$B$35, 2, FALSE))</f>
        <v/>
      </c>
      <c r="R3898" s="107"/>
    </row>
    <row r="3899" hidden="1">
      <c r="A3899" s="443"/>
      <c r="B3899" s="43" t="str">
        <f>IF(A3899="", "", IFERROR(VLOOKUP(A3899, Clasificaciones!A:B, 2, FALSE), "DATO NO CARGADO"))
</f>
        <v/>
      </c>
      <c r="C3899" s="51"/>
      <c r="D3899" s="102"/>
      <c r="E3899" s="102"/>
      <c r="H3899" s="102"/>
      <c r="J3899" s="102"/>
      <c r="K3899" s="450"/>
      <c r="L3899" s="443"/>
      <c r="M3899" s="450"/>
      <c r="N3899" s="452"/>
      <c r="O3899" s="453"/>
      <c r="P3899" s="113"/>
      <c r="Q3899" s="106" t="str">
        <f>IF(ISBLANK(O3899), "", VLOOKUP(C3899&amp;" "&amp;D3899, 'Info Tipo de Cambio y REM'!$A$24:$B$35, 2, FALSE))</f>
        <v/>
      </c>
      <c r="R3899" s="107"/>
    </row>
    <row r="3900" hidden="1">
      <c r="A3900" s="443"/>
      <c r="B3900" s="43" t="str">
        <f>IF(A3900="", "", IFERROR(VLOOKUP(A3900, Clasificaciones!A:B, 2, FALSE), "DATO NO CARGADO"))
</f>
        <v/>
      </c>
      <c r="C3900" s="51"/>
      <c r="D3900" s="102"/>
      <c r="E3900" s="102"/>
      <c r="H3900" s="102"/>
      <c r="J3900" s="102"/>
      <c r="K3900" s="450"/>
      <c r="L3900" s="443"/>
      <c r="M3900" s="450"/>
      <c r="N3900" s="452"/>
      <c r="O3900" s="453"/>
      <c r="P3900" s="113"/>
      <c r="Q3900" s="106" t="str">
        <f>IF(ISBLANK(O3900), "", VLOOKUP(C3900&amp;" "&amp;D3900, 'Info Tipo de Cambio y REM'!$A$24:$B$35, 2, FALSE))</f>
        <v/>
      </c>
      <c r="R3900" s="107"/>
    </row>
    <row r="3901" hidden="1">
      <c r="A3901" s="443"/>
      <c r="B3901" s="43" t="str">
        <f>IF(A3901="", "", IFERROR(VLOOKUP(A3901, Clasificaciones!A:B, 2, FALSE), "DATO NO CARGADO"))
</f>
        <v/>
      </c>
      <c r="C3901" s="51"/>
      <c r="D3901" s="102"/>
      <c r="E3901" s="102"/>
      <c r="H3901" s="102"/>
      <c r="J3901" s="102"/>
      <c r="K3901" s="450"/>
      <c r="L3901" s="443"/>
      <c r="M3901" s="450"/>
      <c r="N3901" s="452"/>
      <c r="O3901" s="453"/>
      <c r="P3901" s="113"/>
      <c r="Q3901" s="106" t="str">
        <f>IF(ISBLANK(O3901), "", VLOOKUP(C3901&amp;" "&amp;D3901, 'Info Tipo de Cambio y REM'!$A$24:$B$35, 2, FALSE))</f>
        <v/>
      </c>
      <c r="R3901" s="107"/>
    </row>
    <row r="3902" hidden="1">
      <c r="A3902" s="443"/>
      <c r="B3902" s="43" t="str">
        <f>IF(A3902="", "", IFERROR(VLOOKUP(A3902, Clasificaciones!A:B, 2, FALSE), "DATO NO CARGADO"))
</f>
        <v/>
      </c>
      <c r="C3902" s="51"/>
      <c r="D3902" s="102"/>
      <c r="E3902" s="102"/>
      <c r="H3902" s="102"/>
      <c r="J3902" s="102"/>
      <c r="K3902" s="450"/>
      <c r="L3902" s="443"/>
      <c r="M3902" s="450"/>
      <c r="N3902" s="452"/>
      <c r="O3902" s="453"/>
      <c r="P3902" s="113"/>
      <c r="Q3902" s="106" t="str">
        <f>IF(ISBLANK(O3902), "", VLOOKUP(C3902&amp;" "&amp;D3902, 'Info Tipo de Cambio y REM'!$A$24:$B$35, 2, FALSE))</f>
        <v/>
      </c>
      <c r="R3902" s="107"/>
    </row>
    <row r="3903" hidden="1">
      <c r="A3903" s="443"/>
      <c r="B3903" s="43" t="str">
        <f>IF(A3903="", "", IFERROR(VLOOKUP(A3903, Clasificaciones!A:B, 2, FALSE), "DATO NO CARGADO"))
</f>
        <v/>
      </c>
      <c r="C3903" s="51"/>
      <c r="D3903" s="102"/>
      <c r="E3903" s="102"/>
      <c r="H3903" s="102"/>
      <c r="J3903" s="102"/>
      <c r="K3903" s="450"/>
      <c r="L3903" s="443"/>
      <c r="M3903" s="450"/>
      <c r="N3903" s="452"/>
      <c r="O3903" s="453"/>
      <c r="P3903" s="113"/>
      <c r="Q3903" s="106" t="str">
        <f>IF(ISBLANK(O3903), "", VLOOKUP(C3903&amp;" "&amp;D3903, 'Info Tipo de Cambio y REM'!$A$24:$B$35, 2, FALSE))</f>
        <v/>
      </c>
      <c r="R3903" s="107"/>
    </row>
    <row r="3904" hidden="1">
      <c r="A3904" s="443"/>
      <c r="B3904" s="43" t="str">
        <f>IF(A3904="", "", IFERROR(VLOOKUP(A3904, Clasificaciones!A:B, 2, FALSE), "DATO NO CARGADO"))
</f>
        <v/>
      </c>
      <c r="C3904" s="51"/>
      <c r="D3904" s="102"/>
      <c r="E3904" s="102"/>
      <c r="H3904" s="102"/>
      <c r="J3904" s="102"/>
      <c r="K3904" s="450"/>
      <c r="L3904" s="443"/>
      <c r="M3904" s="450"/>
      <c r="N3904" s="452"/>
      <c r="O3904" s="453"/>
      <c r="P3904" s="113"/>
      <c r="Q3904" s="106" t="str">
        <f>IF(ISBLANK(O3904), "", VLOOKUP(C3904&amp;" "&amp;D3904, 'Info Tipo de Cambio y REM'!$A$24:$B$35, 2, FALSE))</f>
        <v/>
      </c>
      <c r="R3904" s="107"/>
    </row>
    <row r="3905" hidden="1">
      <c r="A3905" s="443"/>
      <c r="B3905" s="43" t="str">
        <f>IF(A3905="", "", IFERROR(VLOOKUP(A3905, Clasificaciones!A:B, 2, FALSE), "DATO NO CARGADO"))
</f>
        <v/>
      </c>
      <c r="C3905" s="51"/>
      <c r="D3905" s="102"/>
      <c r="E3905" s="102"/>
      <c r="H3905" s="102"/>
      <c r="J3905" s="102"/>
      <c r="K3905" s="450"/>
      <c r="L3905" s="443"/>
      <c r="M3905" s="450"/>
      <c r="N3905" s="452"/>
      <c r="O3905" s="453"/>
      <c r="P3905" s="113"/>
      <c r="Q3905" s="106" t="str">
        <f>IF(ISBLANK(O3905), "", VLOOKUP(C3905&amp;" "&amp;D3905, 'Info Tipo de Cambio y REM'!$A$24:$B$35, 2, FALSE))</f>
        <v/>
      </c>
      <c r="R3905" s="107"/>
    </row>
    <row r="3906" hidden="1">
      <c r="A3906" s="443"/>
      <c r="B3906" s="43" t="str">
        <f>IF(A3906="", "", IFERROR(VLOOKUP(A3906, Clasificaciones!A:B, 2, FALSE), "DATO NO CARGADO"))
</f>
        <v/>
      </c>
      <c r="C3906" s="51"/>
      <c r="D3906" s="102"/>
      <c r="E3906" s="102"/>
      <c r="H3906" s="102"/>
      <c r="J3906" s="102"/>
      <c r="K3906" s="450"/>
      <c r="L3906" s="443"/>
      <c r="M3906" s="450"/>
      <c r="N3906" s="452"/>
      <c r="O3906" s="453"/>
      <c r="P3906" s="113"/>
      <c r="Q3906" s="106" t="str">
        <f>IF(ISBLANK(O3906), "", VLOOKUP(C3906&amp;" "&amp;D3906, 'Info Tipo de Cambio y REM'!$A$24:$B$35, 2, FALSE))</f>
        <v/>
      </c>
      <c r="R3906" s="107"/>
    </row>
    <row r="3907" hidden="1">
      <c r="A3907" s="443"/>
      <c r="B3907" s="43" t="str">
        <f>IF(A3907="", "", IFERROR(VLOOKUP(A3907, Clasificaciones!A:B, 2, FALSE), "DATO NO CARGADO"))
</f>
        <v/>
      </c>
      <c r="C3907" s="51"/>
      <c r="D3907" s="102"/>
      <c r="E3907" s="102"/>
      <c r="H3907" s="102"/>
      <c r="J3907" s="102"/>
      <c r="K3907" s="450"/>
      <c r="L3907" s="443"/>
      <c r="M3907" s="450"/>
      <c r="N3907" s="452"/>
      <c r="O3907" s="453"/>
      <c r="P3907" s="113"/>
      <c r="Q3907" s="106" t="str">
        <f>IF(ISBLANK(O3907), "", VLOOKUP(C3907&amp;" "&amp;D3907, 'Info Tipo de Cambio y REM'!$A$24:$B$35, 2, FALSE))</f>
        <v/>
      </c>
      <c r="R3907" s="107"/>
    </row>
    <row r="3908" hidden="1">
      <c r="A3908" s="443"/>
      <c r="B3908" s="43" t="str">
        <f>IF(A3908="", "", IFERROR(VLOOKUP(A3908, Clasificaciones!A:B, 2, FALSE), "DATO NO CARGADO"))
</f>
        <v/>
      </c>
      <c r="C3908" s="51"/>
      <c r="D3908" s="102"/>
      <c r="E3908" s="102"/>
      <c r="H3908" s="102"/>
      <c r="J3908" s="102"/>
      <c r="K3908" s="450"/>
      <c r="L3908" s="443"/>
      <c r="M3908" s="450"/>
      <c r="N3908" s="452"/>
      <c r="O3908" s="453"/>
      <c r="P3908" s="113"/>
      <c r="Q3908" s="106" t="str">
        <f>IF(ISBLANK(O3908), "", VLOOKUP(C3908&amp;" "&amp;D3908, 'Info Tipo de Cambio y REM'!$A$24:$B$35, 2, FALSE))</f>
        <v/>
      </c>
      <c r="R3908" s="107"/>
    </row>
    <row r="3909" hidden="1">
      <c r="A3909" s="443"/>
      <c r="B3909" s="43" t="str">
        <f>IF(A3909="", "", IFERROR(VLOOKUP(A3909, Clasificaciones!A:B, 2, FALSE), "DATO NO CARGADO"))
</f>
        <v/>
      </c>
      <c r="C3909" s="51"/>
      <c r="D3909" s="102"/>
      <c r="E3909" s="102"/>
      <c r="H3909" s="102"/>
      <c r="J3909" s="102"/>
      <c r="K3909" s="450"/>
      <c r="L3909" s="443"/>
      <c r="M3909" s="450"/>
      <c r="N3909" s="452"/>
      <c r="O3909" s="453"/>
      <c r="P3909" s="113"/>
      <c r="Q3909" s="106" t="str">
        <f>IF(ISBLANK(O3909), "", VLOOKUP(C3909&amp;" "&amp;D3909, 'Info Tipo de Cambio y REM'!$A$24:$B$35, 2, FALSE))</f>
        <v/>
      </c>
      <c r="R3909" s="107"/>
    </row>
    <row r="3910" hidden="1">
      <c r="A3910" s="443"/>
      <c r="B3910" s="43" t="str">
        <f>IF(A3910="", "", IFERROR(VLOOKUP(A3910, Clasificaciones!A:B, 2, FALSE), "DATO NO CARGADO"))
</f>
        <v/>
      </c>
      <c r="C3910" s="51"/>
      <c r="D3910" s="102"/>
      <c r="E3910" s="102"/>
      <c r="H3910" s="102"/>
      <c r="J3910" s="102"/>
      <c r="K3910" s="450"/>
      <c r="L3910" s="443"/>
      <c r="M3910" s="450"/>
      <c r="N3910" s="452"/>
      <c r="O3910" s="453"/>
      <c r="P3910" s="113"/>
      <c r="Q3910" s="106" t="str">
        <f>IF(ISBLANK(O3910), "", VLOOKUP(C3910&amp;" "&amp;D3910, 'Info Tipo de Cambio y REM'!$A$24:$B$35, 2, FALSE))</f>
        <v/>
      </c>
      <c r="R3910" s="107"/>
    </row>
    <row r="3911" hidden="1">
      <c r="A3911" s="443"/>
      <c r="B3911" s="43" t="str">
        <f>IF(A3911="", "", IFERROR(VLOOKUP(A3911, Clasificaciones!A:B, 2, FALSE), "DATO NO CARGADO"))
</f>
        <v/>
      </c>
      <c r="C3911" s="51"/>
      <c r="D3911" s="102"/>
      <c r="E3911" s="102"/>
      <c r="H3911" s="102"/>
      <c r="J3911" s="102"/>
      <c r="K3911" s="450"/>
      <c r="L3911" s="443"/>
      <c r="M3911" s="450"/>
      <c r="N3911" s="452"/>
      <c r="O3911" s="453"/>
      <c r="P3911" s="113"/>
      <c r="Q3911" s="106" t="str">
        <f>IF(ISBLANK(O3911), "", VLOOKUP(C3911&amp;" "&amp;D3911, 'Info Tipo de Cambio y REM'!$A$24:$B$35, 2, FALSE))</f>
        <v/>
      </c>
      <c r="R3911" s="107"/>
    </row>
    <row r="3912" hidden="1">
      <c r="A3912" s="443"/>
      <c r="B3912" s="43" t="str">
        <f>IF(A3912="", "", IFERROR(VLOOKUP(A3912, Clasificaciones!A:B, 2, FALSE), "DATO NO CARGADO"))
</f>
        <v/>
      </c>
      <c r="C3912" s="51"/>
      <c r="D3912" s="102"/>
      <c r="E3912" s="102"/>
      <c r="H3912" s="102"/>
      <c r="J3912" s="102"/>
      <c r="K3912" s="450"/>
      <c r="L3912" s="443"/>
      <c r="M3912" s="450"/>
      <c r="N3912" s="452"/>
      <c r="O3912" s="453"/>
      <c r="P3912" s="113"/>
      <c r="Q3912" s="106" t="str">
        <f>IF(ISBLANK(O3912), "", VLOOKUP(C3912&amp;" "&amp;D3912, 'Info Tipo de Cambio y REM'!$A$24:$B$35, 2, FALSE))</f>
        <v/>
      </c>
      <c r="R3912" s="107"/>
    </row>
    <row r="3913" hidden="1">
      <c r="A3913" s="443"/>
      <c r="B3913" s="43" t="str">
        <f>IF(A3913="", "", IFERROR(VLOOKUP(A3913, Clasificaciones!A:B, 2, FALSE), "DATO NO CARGADO"))
</f>
        <v/>
      </c>
      <c r="C3913" s="51"/>
      <c r="D3913" s="102"/>
      <c r="E3913" s="102"/>
      <c r="H3913" s="102"/>
      <c r="J3913" s="102"/>
      <c r="K3913" s="450"/>
      <c r="L3913" s="443"/>
      <c r="M3913" s="450"/>
      <c r="N3913" s="452"/>
      <c r="O3913" s="453"/>
      <c r="P3913" s="113"/>
      <c r="Q3913" s="106" t="str">
        <f>IF(ISBLANK(O3913), "", VLOOKUP(C3913&amp;" "&amp;D3913, 'Info Tipo de Cambio y REM'!$A$24:$B$35, 2, FALSE))</f>
        <v/>
      </c>
      <c r="R3913" s="107"/>
    </row>
    <row r="3914" hidden="1">
      <c r="A3914" s="443"/>
      <c r="B3914" s="43" t="str">
        <f>IF(A3914="", "", IFERROR(VLOOKUP(A3914, Clasificaciones!A:B, 2, FALSE), "DATO NO CARGADO"))
</f>
        <v/>
      </c>
      <c r="C3914" s="51"/>
      <c r="D3914" s="102"/>
      <c r="E3914" s="102"/>
      <c r="H3914" s="102"/>
      <c r="J3914" s="102"/>
      <c r="K3914" s="450"/>
      <c r="L3914" s="443"/>
      <c r="M3914" s="450"/>
      <c r="N3914" s="452"/>
      <c r="O3914" s="453"/>
      <c r="P3914" s="113"/>
      <c r="Q3914" s="106" t="str">
        <f>IF(ISBLANK(O3914), "", VLOOKUP(C3914&amp;" "&amp;D3914, 'Info Tipo de Cambio y REM'!$A$24:$B$35, 2, FALSE))</f>
        <v/>
      </c>
      <c r="R3914" s="107"/>
    </row>
    <row r="3915" hidden="1">
      <c r="A3915" s="443"/>
      <c r="B3915" s="43" t="str">
        <f>IF(A3915="", "", IFERROR(VLOOKUP(A3915, Clasificaciones!A:B, 2, FALSE), "DATO NO CARGADO"))
</f>
        <v/>
      </c>
      <c r="C3915" s="51"/>
      <c r="D3915" s="102"/>
      <c r="E3915" s="102"/>
      <c r="H3915" s="102"/>
      <c r="J3915" s="102"/>
      <c r="K3915" s="450"/>
      <c r="L3915" s="443"/>
      <c r="M3915" s="450"/>
      <c r="N3915" s="452"/>
      <c r="O3915" s="453"/>
      <c r="P3915" s="113"/>
      <c r="Q3915" s="106" t="str">
        <f>IF(ISBLANK(O3915), "", VLOOKUP(C3915&amp;" "&amp;D3915, 'Info Tipo de Cambio y REM'!$A$24:$B$35, 2, FALSE))</f>
        <v/>
      </c>
      <c r="R3915" s="107"/>
    </row>
    <row r="3916" hidden="1">
      <c r="A3916" s="443"/>
      <c r="B3916" s="43" t="str">
        <f>IF(A3916="", "", IFERROR(VLOOKUP(A3916, Clasificaciones!A:B, 2, FALSE), "DATO NO CARGADO"))
</f>
        <v/>
      </c>
      <c r="C3916" s="51"/>
      <c r="D3916" s="102"/>
      <c r="E3916" s="102"/>
      <c r="H3916" s="102"/>
      <c r="J3916" s="102"/>
      <c r="K3916" s="450"/>
      <c r="L3916" s="443"/>
      <c r="M3916" s="450"/>
      <c r="N3916" s="452"/>
      <c r="O3916" s="453"/>
      <c r="P3916" s="113"/>
      <c r="Q3916" s="106" t="str">
        <f>IF(ISBLANK(O3916), "", VLOOKUP(C3916&amp;" "&amp;D3916, 'Info Tipo de Cambio y REM'!$A$24:$B$35, 2, FALSE))</f>
        <v/>
      </c>
      <c r="R3916" s="107"/>
    </row>
    <row r="3917" hidden="1">
      <c r="A3917" s="443"/>
      <c r="B3917" s="43" t="str">
        <f>IF(A3917="", "", IFERROR(VLOOKUP(A3917, Clasificaciones!A:B, 2, FALSE), "DATO NO CARGADO"))
</f>
        <v/>
      </c>
      <c r="C3917" s="51"/>
      <c r="D3917" s="102"/>
      <c r="E3917" s="102"/>
      <c r="H3917" s="102"/>
      <c r="J3917" s="102"/>
      <c r="K3917" s="450"/>
      <c r="L3917" s="443"/>
      <c r="M3917" s="450"/>
      <c r="N3917" s="452"/>
      <c r="O3917" s="453"/>
      <c r="P3917" s="113"/>
      <c r="Q3917" s="106" t="str">
        <f>IF(ISBLANK(O3917), "", VLOOKUP(C3917&amp;" "&amp;D3917, 'Info Tipo de Cambio y REM'!$A$24:$B$35, 2, FALSE))</f>
        <v/>
      </c>
      <c r="R3917" s="107"/>
    </row>
    <row r="3918" hidden="1">
      <c r="A3918" s="443"/>
      <c r="B3918" s="43" t="str">
        <f>IF(A3918="", "", IFERROR(VLOOKUP(A3918, Clasificaciones!A:B, 2, FALSE), "DATO NO CARGADO"))
</f>
        <v/>
      </c>
      <c r="C3918" s="51"/>
      <c r="D3918" s="102"/>
      <c r="E3918" s="102"/>
      <c r="H3918" s="102"/>
      <c r="J3918" s="102"/>
      <c r="K3918" s="450"/>
      <c r="L3918" s="443"/>
      <c r="M3918" s="450"/>
      <c r="N3918" s="452"/>
      <c r="O3918" s="453"/>
      <c r="P3918" s="113"/>
      <c r="Q3918" s="106" t="str">
        <f>IF(ISBLANK(O3918), "", VLOOKUP(C3918&amp;" "&amp;D3918, 'Info Tipo de Cambio y REM'!$A$24:$B$35, 2, FALSE))</f>
        <v/>
      </c>
      <c r="R3918" s="107"/>
    </row>
    <row r="3919" hidden="1">
      <c r="A3919" s="443"/>
      <c r="B3919" s="43" t="str">
        <f>IF(A3919="", "", IFERROR(VLOOKUP(A3919, Clasificaciones!A:B, 2, FALSE), "DATO NO CARGADO"))
</f>
        <v/>
      </c>
      <c r="C3919" s="51"/>
      <c r="D3919" s="102"/>
      <c r="E3919" s="102"/>
      <c r="H3919" s="102"/>
      <c r="J3919" s="102"/>
      <c r="K3919" s="450"/>
      <c r="L3919" s="443"/>
      <c r="M3919" s="450"/>
      <c r="N3919" s="452"/>
      <c r="O3919" s="453"/>
      <c r="P3919" s="113"/>
      <c r="Q3919" s="106" t="str">
        <f>IF(ISBLANK(O3919), "", VLOOKUP(C3919&amp;" "&amp;D3919, 'Info Tipo de Cambio y REM'!$A$24:$B$35, 2, FALSE))</f>
        <v/>
      </c>
      <c r="R3919" s="107"/>
    </row>
    <row r="3920" hidden="1">
      <c r="A3920" s="443"/>
      <c r="B3920" s="43" t="str">
        <f>IF(A3920="", "", IFERROR(VLOOKUP(A3920, Clasificaciones!A:B, 2, FALSE), "DATO NO CARGADO"))
</f>
        <v/>
      </c>
      <c r="C3920" s="51"/>
      <c r="D3920" s="102"/>
      <c r="E3920" s="102"/>
      <c r="H3920" s="102"/>
      <c r="J3920" s="102"/>
      <c r="K3920" s="450"/>
      <c r="L3920" s="443"/>
      <c r="M3920" s="450"/>
      <c r="N3920" s="452"/>
      <c r="O3920" s="453"/>
      <c r="P3920" s="113"/>
      <c r="Q3920" s="106" t="str">
        <f>IF(ISBLANK(O3920), "", VLOOKUP(C3920&amp;" "&amp;D3920, 'Info Tipo de Cambio y REM'!$A$24:$B$35, 2, FALSE))</f>
        <v/>
      </c>
      <c r="R3920" s="107"/>
    </row>
    <row r="3921" hidden="1">
      <c r="A3921" s="443"/>
      <c r="B3921" s="43" t="str">
        <f>IF(A3921="", "", IFERROR(VLOOKUP(A3921, Clasificaciones!A:B, 2, FALSE), "DATO NO CARGADO"))
</f>
        <v/>
      </c>
      <c r="C3921" s="51"/>
      <c r="D3921" s="102"/>
      <c r="E3921" s="102"/>
      <c r="H3921" s="102"/>
      <c r="J3921" s="102"/>
      <c r="K3921" s="450"/>
      <c r="L3921" s="443"/>
      <c r="M3921" s="450"/>
      <c r="N3921" s="452"/>
      <c r="O3921" s="453"/>
      <c r="P3921" s="113"/>
      <c r="Q3921" s="106" t="str">
        <f>IF(ISBLANK(O3921), "", VLOOKUP(C3921&amp;" "&amp;D3921, 'Info Tipo de Cambio y REM'!$A$24:$B$35, 2, FALSE))</f>
        <v/>
      </c>
      <c r="R3921" s="107"/>
    </row>
    <row r="3922" hidden="1">
      <c r="A3922" s="443"/>
      <c r="B3922" s="43" t="str">
        <f>IF(A3922="", "", IFERROR(VLOOKUP(A3922, Clasificaciones!A:B, 2, FALSE), "DATO NO CARGADO"))
</f>
        <v/>
      </c>
      <c r="C3922" s="51"/>
      <c r="D3922" s="102"/>
      <c r="E3922" s="102"/>
      <c r="H3922" s="102"/>
      <c r="J3922" s="102"/>
      <c r="K3922" s="450"/>
      <c r="L3922" s="443"/>
      <c r="M3922" s="450"/>
      <c r="N3922" s="452"/>
      <c r="O3922" s="453"/>
      <c r="P3922" s="113"/>
      <c r="Q3922" s="106" t="str">
        <f>IF(ISBLANK(O3922), "", VLOOKUP(C3922&amp;" "&amp;D3922, 'Info Tipo de Cambio y REM'!$A$24:$B$35, 2, FALSE))</f>
        <v/>
      </c>
      <c r="R3922" s="107"/>
    </row>
    <row r="3923" hidden="1">
      <c r="A3923" s="443"/>
      <c r="B3923" s="43" t="str">
        <f>IF(A3923="", "", IFERROR(VLOOKUP(A3923, Clasificaciones!A:B, 2, FALSE), "DATO NO CARGADO"))
</f>
        <v/>
      </c>
      <c r="C3923" s="51"/>
      <c r="D3923" s="102"/>
      <c r="E3923" s="102"/>
      <c r="H3923" s="102"/>
      <c r="J3923" s="102"/>
      <c r="K3923" s="450"/>
      <c r="L3923" s="443"/>
      <c r="M3923" s="450"/>
      <c r="N3923" s="452"/>
      <c r="O3923" s="453"/>
      <c r="P3923" s="113"/>
      <c r="Q3923" s="106" t="str">
        <f>IF(ISBLANK(O3923), "", VLOOKUP(C3923&amp;" "&amp;D3923, 'Info Tipo de Cambio y REM'!$A$24:$B$35, 2, FALSE))</f>
        <v/>
      </c>
      <c r="R3923" s="107"/>
    </row>
    <row r="3924" hidden="1">
      <c r="A3924" s="443"/>
      <c r="B3924" s="43" t="str">
        <f>IF(A3924="", "", IFERROR(VLOOKUP(A3924, Clasificaciones!A:B, 2, FALSE), "DATO NO CARGADO"))
</f>
        <v/>
      </c>
      <c r="C3924" s="51"/>
      <c r="D3924" s="102"/>
      <c r="E3924" s="102"/>
      <c r="H3924" s="102"/>
      <c r="J3924" s="102"/>
      <c r="K3924" s="450"/>
      <c r="L3924" s="443"/>
      <c r="M3924" s="450"/>
      <c r="N3924" s="452"/>
      <c r="O3924" s="453"/>
      <c r="P3924" s="113"/>
      <c r="Q3924" s="106" t="str">
        <f>IF(ISBLANK(O3924), "", VLOOKUP(C3924&amp;" "&amp;D3924, 'Info Tipo de Cambio y REM'!$A$24:$B$35, 2, FALSE))</f>
        <v/>
      </c>
      <c r="R3924" s="107"/>
    </row>
    <row r="3925" hidden="1">
      <c r="A3925" s="443"/>
      <c r="B3925" s="43" t="str">
        <f>IF(A3925="", "", IFERROR(VLOOKUP(A3925, Clasificaciones!A:B, 2, FALSE), "DATO NO CARGADO"))
</f>
        <v/>
      </c>
      <c r="C3925" s="51"/>
      <c r="D3925" s="102"/>
      <c r="E3925" s="102"/>
      <c r="H3925" s="102"/>
      <c r="J3925" s="102"/>
      <c r="K3925" s="450"/>
      <c r="L3925" s="443"/>
      <c r="M3925" s="450"/>
      <c r="N3925" s="452"/>
      <c r="O3925" s="453"/>
      <c r="P3925" s="113"/>
      <c r="Q3925" s="106" t="str">
        <f>IF(ISBLANK(O3925), "", VLOOKUP(C3925&amp;" "&amp;D3925, 'Info Tipo de Cambio y REM'!$A$24:$B$35, 2, FALSE))</f>
        <v/>
      </c>
      <c r="R3925" s="107"/>
    </row>
    <row r="3926" hidden="1">
      <c r="A3926" s="443"/>
      <c r="B3926" s="43" t="str">
        <f>IF(A3926="", "", IFERROR(VLOOKUP(A3926, Clasificaciones!A:B, 2, FALSE), "DATO NO CARGADO"))
</f>
        <v/>
      </c>
      <c r="C3926" s="51"/>
      <c r="D3926" s="102"/>
      <c r="E3926" s="102"/>
      <c r="H3926" s="102"/>
      <c r="J3926" s="102"/>
      <c r="K3926" s="450"/>
      <c r="L3926" s="443"/>
      <c r="M3926" s="450"/>
      <c r="N3926" s="452"/>
      <c r="O3926" s="453"/>
      <c r="P3926" s="113"/>
      <c r="Q3926" s="106" t="str">
        <f>IF(ISBLANK(O3926), "", VLOOKUP(C3926&amp;" "&amp;D3926, 'Info Tipo de Cambio y REM'!$A$24:$B$35, 2, FALSE))</f>
        <v/>
      </c>
      <c r="R3926" s="107"/>
    </row>
    <row r="3927" hidden="1">
      <c r="A3927" s="443"/>
      <c r="B3927" s="43" t="str">
        <f>IF(A3927="", "", IFERROR(VLOOKUP(A3927, Clasificaciones!A:B, 2, FALSE), "DATO NO CARGADO"))
</f>
        <v/>
      </c>
      <c r="C3927" s="51"/>
      <c r="D3927" s="102"/>
      <c r="E3927" s="102"/>
      <c r="H3927" s="102"/>
      <c r="J3927" s="102"/>
      <c r="K3927" s="450"/>
      <c r="L3927" s="443"/>
      <c r="M3927" s="450"/>
      <c r="N3927" s="452"/>
      <c r="O3927" s="453"/>
      <c r="P3927" s="113"/>
      <c r="Q3927" s="106" t="str">
        <f>IF(ISBLANK(O3927), "", VLOOKUP(C3927&amp;" "&amp;D3927, 'Info Tipo de Cambio y REM'!$A$24:$B$35, 2, FALSE))</f>
        <v/>
      </c>
      <c r="R3927" s="107"/>
    </row>
    <row r="3928" hidden="1">
      <c r="A3928" s="443"/>
      <c r="B3928" s="43" t="str">
        <f>IF(A3928="", "", IFERROR(VLOOKUP(A3928, Clasificaciones!A:B, 2, FALSE), "DATO NO CARGADO"))
</f>
        <v/>
      </c>
      <c r="C3928" s="51"/>
      <c r="D3928" s="102"/>
      <c r="E3928" s="102"/>
      <c r="H3928" s="102"/>
      <c r="J3928" s="102"/>
      <c r="K3928" s="450"/>
      <c r="L3928" s="443"/>
      <c r="M3928" s="450"/>
      <c r="N3928" s="452"/>
      <c r="O3928" s="453"/>
      <c r="P3928" s="113"/>
      <c r="Q3928" s="106" t="str">
        <f>IF(ISBLANK(O3928), "", VLOOKUP(C3928&amp;" "&amp;D3928, 'Info Tipo de Cambio y REM'!$A$24:$B$35, 2, FALSE))</f>
        <v/>
      </c>
      <c r="R3928" s="107"/>
    </row>
    <row r="3929" hidden="1">
      <c r="A3929" s="443"/>
      <c r="B3929" s="43" t="str">
        <f>IF(A3929="", "", IFERROR(VLOOKUP(A3929, Clasificaciones!A:B, 2, FALSE), "DATO NO CARGADO"))
</f>
        <v/>
      </c>
      <c r="C3929" s="51"/>
      <c r="D3929" s="102"/>
      <c r="E3929" s="102"/>
      <c r="H3929" s="102"/>
      <c r="J3929" s="102"/>
      <c r="K3929" s="450"/>
      <c r="L3929" s="443"/>
      <c r="M3929" s="450"/>
      <c r="N3929" s="452"/>
      <c r="O3929" s="453"/>
      <c r="P3929" s="113"/>
      <c r="Q3929" s="106" t="str">
        <f>IF(ISBLANK(O3929), "", VLOOKUP(C3929&amp;" "&amp;D3929, 'Info Tipo de Cambio y REM'!$A$24:$B$35, 2, FALSE))</f>
        <v/>
      </c>
      <c r="R3929" s="107"/>
    </row>
    <row r="3930" hidden="1">
      <c r="A3930" s="443"/>
      <c r="B3930" s="43" t="str">
        <f>IF(A3930="", "", IFERROR(VLOOKUP(A3930, Clasificaciones!A:B, 2, FALSE), "DATO NO CARGADO"))
</f>
        <v/>
      </c>
      <c r="C3930" s="51"/>
      <c r="D3930" s="102"/>
      <c r="E3930" s="102"/>
      <c r="H3930" s="102"/>
      <c r="J3930" s="102"/>
      <c r="K3930" s="450"/>
      <c r="L3930" s="443"/>
      <c r="M3930" s="450"/>
      <c r="N3930" s="452"/>
      <c r="O3930" s="453"/>
      <c r="P3930" s="113"/>
      <c r="Q3930" s="106" t="str">
        <f>IF(ISBLANK(O3930), "", VLOOKUP(C3930&amp;" "&amp;D3930, 'Info Tipo de Cambio y REM'!$A$24:$B$35, 2, FALSE))</f>
        <v/>
      </c>
      <c r="R3930" s="107"/>
    </row>
    <row r="3931" hidden="1">
      <c r="A3931" s="443"/>
      <c r="B3931" s="43" t="str">
        <f>IF(A3931="", "", IFERROR(VLOOKUP(A3931, Clasificaciones!A:B, 2, FALSE), "DATO NO CARGADO"))
</f>
        <v/>
      </c>
      <c r="C3931" s="51"/>
      <c r="D3931" s="102"/>
      <c r="E3931" s="102"/>
      <c r="H3931" s="102"/>
      <c r="J3931" s="102"/>
      <c r="K3931" s="450"/>
      <c r="L3931" s="443"/>
      <c r="M3931" s="450"/>
      <c r="N3931" s="452"/>
      <c r="O3931" s="453"/>
      <c r="P3931" s="113"/>
      <c r="Q3931" s="106" t="str">
        <f>IF(ISBLANK(O3931), "", VLOOKUP(C3931&amp;" "&amp;D3931, 'Info Tipo de Cambio y REM'!$A$24:$B$35, 2, FALSE))</f>
        <v/>
      </c>
      <c r="R3931" s="107"/>
    </row>
    <row r="3932" hidden="1">
      <c r="A3932" s="443"/>
      <c r="B3932" s="43" t="str">
        <f>IF(A3932="", "", IFERROR(VLOOKUP(A3932, Clasificaciones!A:B, 2, FALSE), "DATO NO CARGADO"))
</f>
        <v/>
      </c>
      <c r="C3932" s="51"/>
      <c r="D3932" s="102"/>
      <c r="E3932" s="102"/>
      <c r="H3932" s="102"/>
      <c r="J3932" s="102"/>
      <c r="K3932" s="450"/>
      <c r="L3932" s="443"/>
      <c r="M3932" s="450"/>
      <c r="N3932" s="452"/>
      <c r="O3932" s="453"/>
      <c r="P3932" s="113"/>
      <c r="Q3932" s="106" t="str">
        <f>IF(ISBLANK(O3932), "", VLOOKUP(C3932&amp;" "&amp;D3932, 'Info Tipo de Cambio y REM'!$A$24:$B$35, 2, FALSE))</f>
        <v/>
      </c>
      <c r="R3932" s="107"/>
    </row>
    <row r="3933" hidden="1">
      <c r="A3933" s="443"/>
      <c r="B3933" s="43" t="str">
        <f>IF(A3933="", "", IFERROR(VLOOKUP(A3933, Clasificaciones!A:B, 2, FALSE), "DATO NO CARGADO"))
</f>
        <v/>
      </c>
      <c r="C3933" s="51"/>
      <c r="D3933" s="102"/>
      <c r="E3933" s="102"/>
      <c r="H3933" s="102"/>
      <c r="J3933" s="102"/>
      <c r="K3933" s="450"/>
      <c r="L3933" s="443"/>
      <c r="M3933" s="450"/>
      <c r="N3933" s="452"/>
      <c r="O3933" s="453"/>
      <c r="P3933" s="113"/>
      <c r="Q3933" s="106" t="str">
        <f>IF(ISBLANK(O3933), "", VLOOKUP(C3933&amp;" "&amp;D3933, 'Info Tipo de Cambio y REM'!$A$24:$B$35, 2, FALSE))</f>
        <v/>
      </c>
      <c r="R3933" s="107"/>
    </row>
    <row r="3934" hidden="1">
      <c r="A3934" s="443"/>
      <c r="B3934" s="43" t="str">
        <f>IF(A3934="", "", IFERROR(VLOOKUP(A3934, Clasificaciones!A:B, 2, FALSE), "DATO NO CARGADO"))
</f>
        <v/>
      </c>
      <c r="C3934" s="51"/>
      <c r="D3934" s="102"/>
      <c r="E3934" s="102"/>
      <c r="H3934" s="102"/>
      <c r="J3934" s="102"/>
      <c r="K3934" s="450"/>
      <c r="L3934" s="443"/>
      <c r="M3934" s="450"/>
      <c r="N3934" s="452"/>
      <c r="O3934" s="453"/>
      <c r="P3934" s="113"/>
      <c r="Q3934" s="106" t="str">
        <f>IF(ISBLANK(O3934), "", VLOOKUP(C3934&amp;" "&amp;D3934, 'Info Tipo de Cambio y REM'!$A$24:$B$35, 2, FALSE))</f>
        <v/>
      </c>
      <c r="R3934" s="107"/>
    </row>
    <row r="3935" hidden="1">
      <c r="A3935" s="443"/>
      <c r="B3935" s="43" t="str">
        <f>IF(A3935="", "", IFERROR(VLOOKUP(A3935, Clasificaciones!A:B, 2, FALSE), "DATO NO CARGADO"))
</f>
        <v/>
      </c>
      <c r="C3935" s="51"/>
      <c r="D3935" s="102"/>
      <c r="E3935" s="102"/>
      <c r="H3935" s="102"/>
      <c r="J3935" s="102"/>
      <c r="K3935" s="450"/>
      <c r="L3935" s="443"/>
      <c r="M3935" s="450"/>
      <c r="N3935" s="452"/>
      <c r="O3935" s="453"/>
      <c r="P3935" s="113"/>
      <c r="Q3935" s="106" t="str">
        <f>IF(ISBLANK(O3935), "", VLOOKUP(C3935&amp;" "&amp;D3935, 'Info Tipo de Cambio y REM'!$A$24:$B$35, 2, FALSE))</f>
        <v/>
      </c>
      <c r="R3935" s="107"/>
    </row>
    <row r="3936" hidden="1">
      <c r="A3936" s="443"/>
      <c r="B3936" s="43" t="str">
        <f>IF(A3936="", "", IFERROR(VLOOKUP(A3936, Clasificaciones!A:B, 2, FALSE), "DATO NO CARGADO"))
</f>
        <v/>
      </c>
      <c r="C3936" s="51"/>
      <c r="D3936" s="102"/>
      <c r="E3936" s="102"/>
      <c r="H3936" s="102"/>
      <c r="J3936" s="102"/>
      <c r="K3936" s="450"/>
      <c r="L3936" s="443"/>
      <c r="M3936" s="450"/>
      <c r="N3936" s="452"/>
      <c r="O3936" s="453"/>
      <c r="P3936" s="113"/>
      <c r="Q3936" s="106" t="str">
        <f>IF(ISBLANK(O3936), "", VLOOKUP(C3936&amp;" "&amp;D3936, 'Info Tipo de Cambio y REM'!$A$24:$B$35, 2, FALSE))</f>
        <v/>
      </c>
      <c r="R3936" s="107"/>
    </row>
    <row r="3937" hidden="1">
      <c r="A3937" s="443"/>
      <c r="B3937" s="43" t="str">
        <f>IF(A3937="", "", IFERROR(VLOOKUP(A3937, Clasificaciones!A:B, 2, FALSE), "DATO NO CARGADO"))
</f>
        <v/>
      </c>
      <c r="C3937" s="51"/>
      <c r="D3937" s="102"/>
      <c r="E3937" s="102"/>
      <c r="H3937" s="102"/>
      <c r="J3937" s="102"/>
      <c r="K3937" s="450"/>
      <c r="L3937" s="443"/>
      <c r="M3937" s="450"/>
      <c r="N3937" s="452"/>
      <c r="O3937" s="453"/>
      <c r="P3937" s="113"/>
      <c r="Q3937" s="106" t="str">
        <f>IF(ISBLANK(O3937), "", VLOOKUP(C3937&amp;" "&amp;D3937, 'Info Tipo de Cambio y REM'!$A$24:$B$35, 2, FALSE))</f>
        <v/>
      </c>
      <c r="R3937" s="107"/>
    </row>
    <row r="3938" hidden="1">
      <c r="A3938" s="443"/>
      <c r="B3938" s="43" t="str">
        <f>IF(A3938="", "", IFERROR(VLOOKUP(A3938, Clasificaciones!A:B, 2, FALSE), "DATO NO CARGADO"))
</f>
        <v/>
      </c>
      <c r="C3938" s="51"/>
      <c r="D3938" s="102"/>
      <c r="E3938" s="102"/>
      <c r="H3938" s="102"/>
      <c r="J3938" s="102"/>
      <c r="K3938" s="450"/>
      <c r="L3938" s="443"/>
      <c r="M3938" s="450"/>
      <c r="N3938" s="452"/>
      <c r="O3938" s="453"/>
      <c r="P3938" s="113"/>
      <c r="Q3938" s="106" t="str">
        <f>IF(ISBLANK(O3938), "", VLOOKUP(C3938&amp;" "&amp;D3938, 'Info Tipo de Cambio y REM'!$A$24:$B$35, 2, FALSE))</f>
        <v/>
      </c>
      <c r="R3938" s="107"/>
    </row>
    <row r="3939" hidden="1">
      <c r="A3939" s="443"/>
      <c r="B3939" s="43" t="str">
        <f>IF(A3939="", "", IFERROR(VLOOKUP(A3939, Clasificaciones!A:B, 2, FALSE), "DATO NO CARGADO"))
</f>
        <v/>
      </c>
      <c r="C3939" s="51"/>
      <c r="D3939" s="102"/>
      <c r="E3939" s="102"/>
      <c r="H3939" s="102"/>
      <c r="J3939" s="102"/>
      <c r="K3939" s="450"/>
      <c r="L3939" s="443"/>
      <c r="M3939" s="450"/>
      <c r="N3939" s="452"/>
      <c r="O3939" s="453"/>
      <c r="P3939" s="113"/>
      <c r="Q3939" s="106" t="str">
        <f>IF(ISBLANK(O3939), "", VLOOKUP(C3939&amp;" "&amp;D3939, 'Info Tipo de Cambio y REM'!$A$24:$B$35, 2, FALSE))</f>
        <v/>
      </c>
      <c r="R3939" s="107"/>
    </row>
    <row r="3940" hidden="1">
      <c r="A3940" s="443"/>
      <c r="B3940" s="43" t="str">
        <f>IF(A3940="", "", IFERROR(VLOOKUP(A3940, Clasificaciones!A:B, 2, FALSE), "DATO NO CARGADO"))
</f>
        <v/>
      </c>
      <c r="C3940" s="51"/>
      <c r="D3940" s="102"/>
      <c r="E3940" s="102"/>
      <c r="H3940" s="102"/>
      <c r="J3940" s="102"/>
      <c r="K3940" s="450"/>
      <c r="L3940" s="443"/>
      <c r="M3940" s="450"/>
      <c r="N3940" s="452"/>
      <c r="O3940" s="453"/>
      <c r="P3940" s="113"/>
      <c r="Q3940" s="106" t="str">
        <f>IF(ISBLANK(O3940), "", VLOOKUP(C3940&amp;" "&amp;D3940, 'Info Tipo de Cambio y REM'!$A$24:$B$35, 2, FALSE))</f>
        <v/>
      </c>
      <c r="R3940" s="107"/>
    </row>
    <row r="3941" hidden="1">
      <c r="A3941" s="443"/>
      <c r="B3941" s="43" t="str">
        <f>IF(A3941="", "", IFERROR(VLOOKUP(A3941, Clasificaciones!A:B, 2, FALSE), "DATO NO CARGADO"))
</f>
        <v/>
      </c>
      <c r="C3941" s="51"/>
      <c r="D3941" s="102"/>
      <c r="E3941" s="102"/>
      <c r="H3941" s="102"/>
      <c r="J3941" s="102"/>
      <c r="K3941" s="450"/>
      <c r="L3941" s="443"/>
      <c r="M3941" s="450"/>
      <c r="N3941" s="452"/>
      <c r="O3941" s="453"/>
      <c r="P3941" s="113"/>
      <c r="Q3941" s="106" t="str">
        <f>IF(ISBLANK(O3941), "", VLOOKUP(C3941&amp;" "&amp;D3941, 'Info Tipo de Cambio y REM'!$A$24:$B$35, 2, FALSE))</f>
        <v/>
      </c>
      <c r="R3941" s="107"/>
    </row>
    <row r="3942" hidden="1">
      <c r="A3942" s="443"/>
      <c r="B3942" s="43" t="str">
        <f>IF(A3942="", "", IFERROR(VLOOKUP(A3942, Clasificaciones!A:B, 2, FALSE), "DATO NO CARGADO"))
</f>
        <v/>
      </c>
      <c r="C3942" s="51"/>
      <c r="D3942" s="102"/>
      <c r="E3942" s="102"/>
      <c r="H3942" s="102"/>
      <c r="J3942" s="102"/>
      <c r="K3942" s="450"/>
      <c r="L3942" s="443"/>
      <c r="M3942" s="450"/>
      <c r="N3942" s="452"/>
      <c r="O3942" s="453"/>
      <c r="P3942" s="113"/>
      <c r="Q3942" s="106" t="str">
        <f>IF(ISBLANK(O3942), "", VLOOKUP(C3942&amp;" "&amp;D3942, 'Info Tipo de Cambio y REM'!$A$24:$B$35, 2, FALSE))</f>
        <v/>
      </c>
      <c r="R3942" s="107"/>
    </row>
    <row r="3943" hidden="1">
      <c r="A3943" s="443"/>
      <c r="B3943" s="43" t="str">
        <f>IF(A3943="", "", IFERROR(VLOOKUP(A3943, Clasificaciones!A:B, 2, FALSE), "DATO NO CARGADO"))
</f>
        <v/>
      </c>
      <c r="C3943" s="51"/>
      <c r="D3943" s="102"/>
      <c r="E3943" s="102"/>
      <c r="H3943" s="102"/>
      <c r="J3943" s="102"/>
      <c r="K3943" s="450"/>
      <c r="L3943" s="443"/>
      <c r="M3943" s="450"/>
      <c r="N3943" s="452"/>
      <c r="O3943" s="453"/>
      <c r="P3943" s="113"/>
      <c r="Q3943" s="106" t="str">
        <f>IF(ISBLANK(O3943), "", VLOOKUP(C3943&amp;" "&amp;D3943, 'Info Tipo de Cambio y REM'!$A$24:$B$35, 2, FALSE))</f>
        <v/>
      </c>
      <c r="R3943" s="107"/>
    </row>
    <row r="3944" hidden="1">
      <c r="A3944" s="443"/>
      <c r="B3944" s="43" t="str">
        <f>IF(A3944="", "", IFERROR(VLOOKUP(A3944, Clasificaciones!A:B, 2, FALSE), "DATO NO CARGADO"))
</f>
        <v/>
      </c>
      <c r="C3944" s="51"/>
      <c r="D3944" s="102"/>
      <c r="E3944" s="102"/>
      <c r="H3944" s="102"/>
      <c r="J3944" s="102"/>
      <c r="K3944" s="450"/>
      <c r="L3944" s="443"/>
      <c r="M3944" s="450"/>
      <c r="N3944" s="452"/>
      <c r="O3944" s="453"/>
      <c r="P3944" s="113"/>
      <c r="Q3944" s="106" t="str">
        <f>IF(ISBLANK(O3944), "", VLOOKUP(C3944&amp;" "&amp;D3944, 'Info Tipo de Cambio y REM'!$A$24:$B$35, 2, FALSE))</f>
        <v/>
      </c>
      <c r="R3944" s="107"/>
    </row>
    <row r="3945" hidden="1">
      <c r="A3945" s="443"/>
      <c r="B3945" s="43" t="str">
        <f>IF(A3945="", "", IFERROR(VLOOKUP(A3945, Clasificaciones!A:B, 2, FALSE), "DATO NO CARGADO"))
</f>
        <v/>
      </c>
      <c r="C3945" s="51"/>
      <c r="D3945" s="102"/>
      <c r="E3945" s="102"/>
      <c r="H3945" s="102"/>
      <c r="J3945" s="102"/>
      <c r="K3945" s="450"/>
      <c r="L3945" s="443"/>
      <c r="M3945" s="450"/>
      <c r="N3945" s="452"/>
      <c r="O3945" s="453"/>
      <c r="P3945" s="113"/>
      <c r="Q3945" s="106" t="str">
        <f>IF(ISBLANK(O3945), "", VLOOKUP(C3945&amp;" "&amp;D3945, 'Info Tipo de Cambio y REM'!$A$24:$B$35, 2, FALSE))</f>
        <v/>
      </c>
      <c r="R3945" s="107"/>
    </row>
    <row r="3946" hidden="1">
      <c r="A3946" s="443"/>
      <c r="B3946" s="43" t="str">
        <f>IF(A3946="", "", IFERROR(VLOOKUP(A3946, Clasificaciones!A:B, 2, FALSE), "DATO NO CARGADO"))
</f>
        <v/>
      </c>
      <c r="C3946" s="51"/>
      <c r="D3946" s="102"/>
      <c r="E3946" s="102"/>
      <c r="H3946" s="102"/>
      <c r="J3946" s="102"/>
      <c r="K3946" s="450"/>
      <c r="L3946" s="443"/>
      <c r="M3946" s="450"/>
      <c r="N3946" s="452"/>
      <c r="O3946" s="453"/>
      <c r="P3946" s="113"/>
      <c r="Q3946" s="106" t="str">
        <f>IF(ISBLANK(O3946), "", VLOOKUP(C3946&amp;" "&amp;D3946, 'Info Tipo de Cambio y REM'!$A$24:$B$35, 2, FALSE))</f>
        <v/>
      </c>
      <c r="R3946" s="107"/>
    </row>
    <row r="3947" hidden="1">
      <c r="A3947" s="443"/>
      <c r="B3947" s="43" t="str">
        <f>IF(A3947="", "", IFERROR(VLOOKUP(A3947, Clasificaciones!A:B, 2, FALSE), "DATO NO CARGADO"))
</f>
        <v/>
      </c>
      <c r="C3947" s="51"/>
      <c r="D3947" s="102"/>
      <c r="E3947" s="102"/>
      <c r="H3947" s="102"/>
      <c r="J3947" s="102"/>
      <c r="K3947" s="450"/>
      <c r="L3947" s="443"/>
      <c r="M3947" s="450"/>
      <c r="N3947" s="452"/>
      <c r="O3947" s="453"/>
      <c r="P3947" s="113"/>
      <c r="Q3947" s="106" t="str">
        <f>IF(ISBLANK(O3947), "", VLOOKUP(C3947&amp;" "&amp;D3947, 'Info Tipo de Cambio y REM'!$A$24:$B$35, 2, FALSE))</f>
        <v/>
      </c>
      <c r="R3947" s="107"/>
    </row>
    <row r="3948" hidden="1">
      <c r="A3948" s="443"/>
      <c r="B3948" s="43" t="str">
        <f>IF(A3948="", "", IFERROR(VLOOKUP(A3948, Clasificaciones!A:B, 2, FALSE), "DATO NO CARGADO"))
</f>
        <v/>
      </c>
      <c r="C3948" s="51"/>
      <c r="D3948" s="102"/>
      <c r="E3948" s="102"/>
      <c r="H3948" s="102"/>
      <c r="J3948" s="102"/>
      <c r="K3948" s="450"/>
      <c r="L3948" s="443"/>
      <c r="M3948" s="450"/>
      <c r="N3948" s="452"/>
      <c r="O3948" s="453"/>
      <c r="P3948" s="113"/>
      <c r="Q3948" s="106" t="str">
        <f>IF(ISBLANK(O3948), "", VLOOKUP(C3948&amp;" "&amp;D3948, 'Info Tipo de Cambio y REM'!$A$24:$B$35, 2, FALSE))</f>
        <v/>
      </c>
      <c r="R3948" s="107"/>
    </row>
    <row r="3949" hidden="1">
      <c r="A3949" s="443"/>
      <c r="B3949" s="43" t="str">
        <f>IF(A3949="", "", IFERROR(VLOOKUP(A3949, Clasificaciones!A:B, 2, FALSE), "DATO NO CARGADO"))
</f>
        <v/>
      </c>
      <c r="C3949" s="51"/>
      <c r="D3949" s="102"/>
      <c r="E3949" s="102"/>
      <c r="H3949" s="102"/>
      <c r="J3949" s="102"/>
      <c r="K3949" s="450"/>
      <c r="L3949" s="443"/>
      <c r="M3949" s="450"/>
      <c r="N3949" s="452"/>
      <c r="O3949" s="453"/>
      <c r="P3949" s="113"/>
      <c r="Q3949" s="106" t="str">
        <f>IF(ISBLANK(O3949), "", VLOOKUP(C3949&amp;" "&amp;D3949, 'Info Tipo de Cambio y REM'!$A$24:$B$35, 2, FALSE))</f>
        <v/>
      </c>
      <c r="R3949" s="107"/>
    </row>
    <row r="3950" hidden="1">
      <c r="A3950" s="443"/>
      <c r="B3950" s="43" t="str">
        <f>IF(A3950="", "", IFERROR(VLOOKUP(A3950, Clasificaciones!A:B, 2, FALSE), "DATO NO CARGADO"))
</f>
        <v/>
      </c>
      <c r="C3950" s="51"/>
      <c r="D3950" s="102"/>
      <c r="E3950" s="102"/>
      <c r="H3950" s="102"/>
      <c r="J3950" s="102"/>
      <c r="K3950" s="450"/>
      <c r="L3950" s="443"/>
      <c r="M3950" s="450"/>
      <c r="N3950" s="452"/>
      <c r="O3950" s="453"/>
      <c r="P3950" s="113"/>
      <c r="Q3950" s="106" t="str">
        <f>IF(ISBLANK(O3950), "", VLOOKUP(C3950&amp;" "&amp;D3950, 'Info Tipo de Cambio y REM'!$A$24:$B$35, 2, FALSE))</f>
        <v/>
      </c>
      <c r="R3950" s="107"/>
    </row>
    <row r="3951" hidden="1">
      <c r="A3951" s="443"/>
      <c r="B3951" s="43" t="str">
        <f>IF(A3951="", "", IFERROR(VLOOKUP(A3951, Clasificaciones!A:B, 2, FALSE), "DATO NO CARGADO"))
</f>
        <v/>
      </c>
      <c r="C3951" s="51"/>
      <c r="D3951" s="102"/>
      <c r="E3951" s="102"/>
      <c r="H3951" s="102"/>
      <c r="J3951" s="102"/>
      <c r="K3951" s="450"/>
      <c r="L3951" s="443"/>
      <c r="M3951" s="450"/>
      <c r="N3951" s="452"/>
      <c r="O3951" s="453"/>
      <c r="P3951" s="113"/>
      <c r="Q3951" s="106" t="str">
        <f>IF(ISBLANK(O3951), "", VLOOKUP(C3951&amp;" "&amp;D3951, 'Info Tipo de Cambio y REM'!$A$24:$B$35, 2, FALSE))</f>
        <v/>
      </c>
      <c r="R3951" s="107"/>
    </row>
    <row r="3952" hidden="1">
      <c r="A3952" s="443"/>
      <c r="B3952" s="43" t="str">
        <f>IF(A3952="", "", IFERROR(VLOOKUP(A3952, Clasificaciones!A:B, 2, FALSE), "DATO NO CARGADO"))
</f>
        <v/>
      </c>
      <c r="C3952" s="51"/>
      <c r="D3952" s="102"/>
      <c r="E3952" s="102"/>
      <c r="H3952" s="102"/>
      <c r="J3952" s="102"/>
      <c r="K3952" s="450"/>
      <c r="L3952" s="443"/>
      <c r="M3952" s="450"/>
      <c r="N3952" s="452"/>
      <c r="O3952" s="453"/>
      <c r="P3952" s="113"/>
      <c r="Q3952" s="106" t="str">
        <f>IF(ISBLANK(O3952), "", VLOOKUP(C3952&amp;" "&amp;D3952, 'Info Tipo de Cambio y REM'!$A$24:$B$35, 2, FALSE))</f>
        <v/>
      </c>
      <c r="R3952" s="107"/>
    </row>
    <row r="3953" hidden="1">
      <c r="A3953" s="443"/>
      <c r="B3953" s="43" t="str">
        <f>IF(A3953="", "", IFERROR(VLOOKUP(A3953, Clasificaciones!A:B, 2, FALSE), "DATO NO CARGADO"))
</f>
        <v/>
      </c>
      <c r="C3953" s="51"/>
      <c r="D3953" s="102"/>
      <c r="E3953" s="102"/>
      <c r="H3953" s="102"/>
      <c r="J3953" s="102"/>
      <c r="K3953" s="450"/>
      <c r="L3953" s="443"/>
      <c r="M3953" s="450"/>
      <c r="N3953" s="452"/>
      <c r="O3953" s="453"/>
      <c r="P3953" s="113"/>
      <c r="Q3953" s="106" t="str">
        <f>IF(ISBLANK(O3953), "", VLOOKUP(C3953&amp;" "&amp;D3953, 'Info Tipo de Cambio y REM'!$A$24:$B$35, 2, FALSE))</f>
        <v/>
      </c>
      <c r="R3953" s="107"/>
    </row>
    <row r="3954" hidden="1">
      <c r="A3954" s="443"/>
      <c r="B3954" s="43" t="str">
        <f>IF(A3954="", "", IFERROR(VLOOKUP(A3954, Clasificaciones!A:B, 2, FALSE), "DATO NO CARGADO"))
</f>
        <v/>
      </c>
      <c r="C3954" s="51"/>
      <c r="D3954" s="102"/>
      <c r="E3954" s="102"/>
      <c r="H3954" s="102"/>
      <c r="J3954" s="102"/>
      <c r="K3954" s="450"/>
      <c r="L3954" s="443"/>
      <c r="M3954" s="450"/>
      <c r="N3954" s="452"/>
      <c r="O3954" s="453"/>
      <c r="P3954" s="113"/>
      <c r="Q3954" s="106" t="str">
        <f>IF(ISBLANK(O3954), "", VLOOKUP(C3954&amp;" "&amp;D3954, 'Info Tipo de Cambio y REM'!$A$24:$B$35, 2, FALSE))</f>
        <v/>
      </c>
      <c r="R3954" s="107"/>
    </row>
    <row r="3955" hidden="1">
      <c r="A3955" s="443"/>
      <c r="B3955" s="43" t="str">
        <f>IF(A3955="", "", IFERROR(VLOOKUP(A3955, Clasificaciones!A:B, 2, FALSE), "DATO NO CARGADO"))
</f>
        <v/>
      </c>
      <c r="C3955" s="51"/>
      <c r="D3955" s="102"/>
      <c r="E3955" s="102"/>
      <c r="H3955" s="102"/>
      <c r="J3955" s="102"/>
      <c r="K3955" s="450"/>
      <c r="L3955" s="443"/>
      <c r="M3955" s="450"/>
      <c r="N3955" s="452"/>
      <c r="O3955" s="453"/>
      <c r="P3955" s="113"/>
      <c r="Q3955" s="106" t="str">
        <f>IF(ISBLANK(O3955), "", VLOOKUP(C3955&amp;" "&amp;D3955, 'Info Tipo de Cambio y REM'!$A$24:$B$35, 2, FALSE))</f>
        <v/>
      </c>
      <c r="R3955" s="107"/>
    </row>
    <row r="3956" hidden="1">
      <c r="A3956" s="443"/>
      <c r="B3956" s="43" t="str">
        <f>IF(A3956="", "", IFERROR(VLOOKUP(A3956, Clasificaciones!A:B, 2, FALSE), "DATO NO CARGADO"))
</f>
        <v/>
      </c>
      <c r="C3956" s="51"/>
      <c r="D3956" s="102"/>
      <c r="E3956" s="102"/>
      <c r="H3956" s="102"/>
      <c r="J3956" s="102"/>
      <c r="K3956" s="450"/>
      <c r="L3956" s="443"/>
      <c r="M3956" s="450"/>
      <c r="N3956" s="452"/>
      <c r="O3956" s="453"/>
      <c r="P3956" s="113"/>
      <c r="Q3956" s="106" t="str">
        <f>IF(ISBLANK(O3956), "", VLOOKUP(C3956&amp;" "&amp;D3956, 'Info Tipo de Cambio y REM'!$A$24:$B$35, 2, FALSE))</f>
        <v/>
      </c>
      <c r="R3956" s="107"/>
    </row>
    <row r="3957" hidden="1">
      <c r="A3957" s="443"/>
      <c r="B3957" s="43" t="str">
        <f>IF(A3957="", "", IFERROR(VLOOKUP(A3957, Clasificaciones!A:B, 2, FALSE), "DATO NO CARGADO"))
</f>
        <v/>
      </c>
      <c r="C3957" s="51"/>
      <c r="D3957" s="102"/>
      <c r="E3957" s="102"/>
      <c r="H3957" s="102"/>
      <c r="J3957" s="102"/>
      <c r="K3957" s="450"/>
      <c r="L3957" s="443"/>
      <c r="M3957" s="450"/>
      <c r="N3957" s="452"/>
      <c r="O3957" s="453"/>
      <c r="P3957" s="113"/>
      <c r="Q3957" s="106" t="str">
        <f>IF(ISBLANK(O3957), "", VLOOKUP(C3957&amp;" "&amp;D3957, 'Info Tipo de Cambio y REM'!$A$24:$B$35, 2, FALSE))</f>
        <v/>
      </c>
      <c r="R3957" s="107"/>
    </row>
    <row r="3958" hidden="1">
      <c r="A3958" s="443"/>
      <c r="B3958" s="43" t="str">
        <f>IF(A3958="", "", IFERROR(VLOOKUP(A3958, Clasificaciones!A:B, 2, FALSE), "DATO NO CARGADO"))
</f>
        <v/>
      </c>
      <c r="C3958" s="51"/>
      <c r="D3958" s="102"/>
      <c r="E3958" s="102"/>
      <c r="H3958" s="102"/>
      <c r="J3958" s="102"/>
      <c r="K3958" s="450"/>
      <c r="L3958" s="443"/>
      <c r="M3958" s="450"/>
      <c r="N3958" s="452"/>
      <c r="O3958" s="453"/>
      <c r="P3958" s="113"/>
      <c r="Q3958" s="106" t="str">
        <f>IF(ISBLANK(O3958), "", VLOOKUP(C3958&amp;" "&amp;D3958, 'Info Tipo de Cambio y REM'!$A$24:$B$35, 2, FALSE))</f>
        <v/>
      </c>
      <c r="R3958" s="107"/>
    </row>
    <row r="3959" hidden="1">
      <c r="A3959" s="443"/>
      <c r="B3959" s="43" t="str">
        <f>IF(A3959="", "", IFERROR(VLOOKUP(A3959, Clasificaciones!A:B, 2, FALSE), "DATO NO CARGADO"))
</f>
        <v/>
      </c>
      <c r="C3959" s="51"/>
      <c r="D3959" s="102"/>
      <c r="E3959" s="102"/>
      <c r="H3959" s="102"/>
      <c r="J3959" s="102"/>
      <c r="K3959" s="450"/>
      <c r="L3959" s="443"/>
      <c r="M3959" s="450"/>
      <c r="N3959" s="452"/>
      <c r="O3959" s="453"/>
      <c r="P3959" s="113"/>
      <c r="Q3959" s="106" t="str">
        <f>IF(ISBLANK(O3959), "", VLOOKUP(C3959&amp;" "&amp;D3959, 'Info Tipo de Cambio y REM'!$A$24:$B$35, 2, FALSE))</f>
        <v/>
      </c>
      <c r="R3959" s="107"/>
    </row>
    <row r="3960" hidden="1">
      <c r="A3960" s="443"/>
      <c r="B3960" s="43" t="str">
        <f>IF(A3960="", "", IFERROR(VLOOKUP(A3960, Clasificaciones!A:B, 2, FALSE), "DATO NO CARGADO"))
</f>
        <v/>
      </c>
      <c r="C3960" s="51"/>
      <c r="D3960" s="102"/>
      <c r="E3960" s="102"/>
      <c r="H3960" s="102"/>
      <c r="J3960" s="102"/>
      <c r="K3960" s="450"/>
      <c r="L3960" s="443"/>
      <c r="M3960" s="450"/>
      <c r="N3960" s="452"/>
      <c r="O3960" s="453"/>
      <c r="P3960" s="113"/>
      <c r="Q3960" s="106" t="str">
        <f>IF(ISBLANK(O3960), "", VLOOKUP(C3960&amp;" "&amp;D3960, 'Info Tipo de Cambio y REM'!$A$24:$B$35, 2, FALSE))</f>
        <v/>
      </c>
      <c r="R3960" s="107"/>
    </row>
    <row r="3961" hidden="1">
      <c r="A3961" s="443"/>
      <c r="B3961" s="43" t="str">
        <f>IF(A3961="", "", IFERROR(VLOOKUP(A3961, Clasificaciones!A:B, 2, FALSE), "DATO NO CARGADO"))
</f>
        <v/>
      </c>
      <c r="C3961" s="51"/>
      <c r="D3961" s="102"/>
      <c r="E3961" s="102"/>
      <c r="H3961" s="102"/>
      <c r="J3961" s="102"/>
      <c r="K3961" s="450"/>
      <c r="L3961" s="443"/>
      <c r="M3961" s="450"/>
      <c r="N3961" s="452"/>
      <c r="O3961" s="453"/>
      <c r="P3961" s="113"/>
      <c r="Q3961" s="106" t="str">
        <f>IF(ISBLANK(O3961), "", VLOOKUP(C3961&amp;" "&amp;D3961, 'Info Tipo de Cambio y REM'!$A$24:$B$35, 2, FALSE))</f>
        <v/>
      </c>
      <c r="R3961" s="107"/>
    </row>
    <row r="3962" hidden="1">
      <c r="A3962" s="443"/>
      <c r="B3962" s="43" t="str">
        <f>IF(A3962="", "", IFERROR(VLOOKUP(A3962, Clasificaciones!A:B, 2, FALSE), "DATO NO CARGADO"))
</f>
        <v/>
      </c>
      <c r="C3962" s="51"/>
      <c r="D3962" s="102"/>
      <c r="E3962" s="102"/>
      <c r="H3962" s="102"/>
      <c r="J3962" s="102"/>
      <c r="K3962" s="450"/>
      <c r="L3962" s="443"/>
      <c r="M3962" s="450"/>
      <c r="N3962" s="452"/>
      <c r="O3962" s="453"/>
      <c r="P3962" s="113"/>
      <c r="Q3962" s="106" t="str">
        <f>IF(ISBLANK(O3962), "", VLOOKUP(C3962&amp;" "&amp;D3962, 'Info Tipo de Cambio y REM'!$A$24:$B$35, 2, FALSE))</f>
        <v/>
      </c>
      <c r="R3962" s="107"/>
    </row>
    <row r="3963" hidden="1">
      <c r="A3963" s="443"/>
      <c r="B3963" s="43" t="str">
        <f>IF(A3963="", "", IFERROR(VLOOKUP(A3963, Clasificaciones!A:B, 2, FALSE), "DATO NO CARGADO"))
</f>
        <v/>
      </c>
      <c r="C3963" s="51"/>
      <c r="D3963" s="102"/>
      <c r="E3963" s="102"/>
      <c r="H3963" s="102"/>
      <c r="J3963" s="102"/>
      <c r="K3963" s="450"/>
      <c r="L3963" s="443"/>
      <c r="M3963" s="450"/>
      <c r="N3963" s="452"/>
      <c r="O3963" s="453"/>
      <c r="P3963" s="113"/>
      <c r="Q3963" s="106" t="str">
        <f>IF(ISBLANK(O3963), "", VLOOKUP(C3963&amp;" "&amp;D3963, 'Info Tipo de Cambio y REM'!$A$24:$B$35, 2, FALSE))</f>
        <v/>
      </c>
      <c r="R3963" s="107"/>
    </row>
    <row r="3964" hidden="1">
      <c r="A3964" s="443"/>
      <c r="B3964" s="43" t="str">
        <f>IF(A3964="", "", IFERROR(VLOOKUP(A3964, Clasificaciones!A:B, 2, FALSE), "DATO NO CARGADO"))
</f>
        <v/>
      </c>
      <c r="C3964" s="51"/>
      <c r="D3964" s="102"/>
      <c r="E3964" s="102"/>
      <c r="H3964" s="102"/>
      <c r="J3964" s="102"/>
      <c r="K3964" s="450"/>
      <c r="L3964" s="443"/>
      <c r="M3964" s="450"/>
      <c r="N3964" s="452"/>
      <c r="O3964" s="453"/>
      <c r="P3964" s="113"/>
      <c r="Q3964" s="106" t="str">
        <f>IF(ISBLANK(O3964), "", VLOOKUP(C3964&amp;" "&amp;D3964, 'Info Tipo de Cambio y REM'!$A$24:$B$35, 2, FALSE))</f>
        <v/>
      </c>
      <c r="R3964" s="107"/>
    </row>
    <row r="3965" hidden="1">
      <c r="A3965" s="443"/>
      <c r="B3965" s="43" t="str">
        <f>IF(A3965="", "", IFERROR(VLOOKUP(A3965, Clasificaciones!A:B, 2, FALSE), "DATO NO CARGADO"))
</f>
        <v/>
      </c>
      <c r="C3965" s="51"/>
      <c r="D3965" s="102"/>
      <c r="E3965" s="102"/>
      <c r="H3965" s="102"/>
      <c r="J3965" s="102"/>
      <c r="K3965" s="450"/>
      <c r="L3965" s="443"/>
      <c r="M3965" s="450"/>
      <c r="N3965" s="452"/>
      <c r="O3965" s="453"/>
      <c r="P3965" s="113"/>
      <c r="Q3965" s="106" t="str">
        <f>IF(ISBLANK(O3965), "", VLOOKUP(C3965&amp;" "&amp;D3965, 'Info Tipo de Cambio y REM'!$A$24:$B$35, 2, FALSE))</f>
        <v/>
      </c>
      <c r="R3965" s="107"/>
    </row>
    <row r="3966" hidden="1">
      <c r="A3966" s="443"/>
      <c r="B3966" s="43" t="str">
        <f>IF(A3966="", "", IFERROR(VLOOKUP(A3966, Clasificaciones!A:B, 2, FALSE), "DATO NO CARGADO"))
</f>
        <v/>
      </c>
      <c r="C3966" s="51"/>
      <c r="D3966" s="102"/>
      <c r="E3966" s="102"/>
      <c r="H3966" s="102"/>
      <c r="J3966" s="102"/>
      <c r="K3966" s="450"/>
      <c r="L3966" s="443"/>
      <c r="M3966" s="450"/>
      <c r="N3966" s="452"/>
      <c r="O3966" s="453"/>
      <c r="P3966" s="113"/>
      <c r="Q3966" s="106" t="str">
        <f>IF(ISBLANK(O3966), "", VLOOKUP(C3966&amp;" "&amp;D3966, 'Info Tipo de Cambio y REM'!$A$24:$B$35, 2, FALSE))</f>
        <v/>
      </c>
      <c r="R3966" s="107"/>
    </row>
    <row r="3967" hidden="1">
      <c r="A3967" s="443"/>
      <c r="B3967" s="43" t="str">
        <f>IF(A3967="", "", IFERROR(VLOOKUP(A3967, Clasificaciones!A:B, 2, FALSE), "DATO NO CARGADO"))
</f>
        <v/>
      </c>
      <c r="C3967" s="51"/>
      <c r="D3967" s="102"/>
      <c r="E3967" s="102"/>
      <c r="H3967" s="102"/>
      <c r="J3967" s="102"/>
      <c r="K3967" s="450"/>
      <c r="L3967" s="443"/>
      <c r="M3967" s="450"/>
      <c r="N3967" s="452"/>
      <c r="O3967" s="453"/>
      <c r="P3967" s="113"/>
      <c r="Q3967" s="106" t="str">
        <f>IF(ISBLANK(O3967), "", VLOOKUP(C3967&amp;" "&amp;D3967, 'Info Tipo de Cambio y REM'!$A$24:$B$35, 2, FALSE))</f>
        <v/>
      </c>
      <c r="R3967" s="107"/>
    </row>
    <row r="3968" hidden="1">
      <c r="A3968" s="443"/>
      <c r="B3968" s="43" t="str">
        <f>IF(A3968="", "", IFERROR(VLOOKUP(A3968, Clasificaciones!A:B, 2, FALSE), "DATO NO CARGADO"))
</f>
        <v/>
      </c>
      <c r="C3968" s="51"/>
      <c r="D3968" s="102"/>
      <c r="E3968" s="102"/>
      <c r="H3968" s="102"/>
      <c r="J3968" s="102"/>
      <c r="K3968" s="450"/>
      <c r="L3968" s="443"/>
      <c r="M3968" s="450"/>
      <c r="N3968" s="452"/>
      <c r="O3968" s="453"/>
      <c r="P3968" s="113"/>
      <c r="Q3968" s="106" t="str">
        <f>IF(ISBLANK(O3968), "", VLOOKUP(C3968&amp;" "&amp;D3968, 'Info Tipo de Cambio y REM'!$A$24:$B$35, 2, FALSE))</f>
        <v/>
      </c>
      <c r="R3968" s="107"/>
    </row>
    <row r="3969" hidden="1">
      <c r="A3969" s="443"/>
      <c r="B3969" s="43" t="str">
        <f>IF(A3969="", "", IFERROR(VLOOKUP(A3969, Clasificaciones!A:B, 2, FALSE), "DATO NO CARGADO"))
</f>
        <v/>
      </c>
      <c r="C3969" s="51"/>
      <c r="D3969" s="102"/>
      <c r="E3969" s="102"/>
      <c r="H3969" s="102"/>
      <c r="J3969" s="102"/>
      <c r="K3969" s="450"/>
      <c r="L3969" s="443"/>
      <c r="M3969" s="450"/>
      <c r="N3969" s="452"/>
      <c r="O3969" s="453"/>
      <c r="P3969" s="113"/>
      <c r="Q3969" s="106" t="str">
        <f>IF(ISBLANK(O3969), "", VLOOKUP(C3969&amp;" "&amp;D3969, 'Info Tipo de Cambio y REM'!$A$24:$B$35, 2, FALSE))</f>
        <v/>
      </c>
      <c r="R3969" s="107"/>
    </row>
    <row r="3970" hidden="1">
      <c r="A3970" s="443"/>
      <c r="B3970" s="43" t="str">
        <f>IF(A3970="", "", IFERROR(VLOOKUP(A3970, Clasificaciones!A:B, 2, FALSE), "DATO NO CARGADO"))
</f>
        <v/>
      </c>
      <c r="C3970" s="51"/>
      <c r="D3970" s="102"/>
      <c r="E3970" s="102"/>
      <c r="H3970" s="102"/>
      <c r="J3970" s="102"/>
      <c r="K3970" s="450"/>
      <c r="L3970" s="443"/>
      <c r="M3970" s="450"/>
      <c r="N3970" s="452"/>
      <c r="O3970" s="453"/>
      <c r="P3970" s="113"/>
      <c r="Q3970" s="106" t="str">
        <f>IF(ISBLANK(O3970), "", VLOOKUP(C3970&amp;" "&amp;D3970, 'Info Tipo de Cambio y REM'!$A$24:$B$35, 2, FALSE))</f>
        <v/>
      </c>
      <c r="R3970" s="107"/>
    </row>
    <row r="3971" hidden="1">
      <c r="A3971" s="443"/>
      <c r="B3971" s="43" t="str">
        <f>IF(A3971="", "", IFERROR(VLOOKUP(A3971, Clasificaciones!A:B, 2, FALSE), "DATO NO CARGADO"))
</f>
        <v/>
      </c>
      <c r="C3971" s="51"/>
      <c r="D3971" s="102"/>
      <c r="E3971" s="102"/>
      <c r="H3971" s="102"/>
      <c r="J3971" s="102"/>
      <c r="K3971" s="450"/>
      <c r="L3971" s="443"/>
      <c r="M3971" s="450"/>
      <c r="N3971" s="452"/>
      <c r="O3971" s="453"/>
      <c r="P3971" s="113"/>
      <c r="Q3971" s="106" t="str">
        <f>IF(ISBLANK(O3971), "", VLOOKUP(C3971&amp;" "&amp;D3971, 'Info Tipo de Cambio y REM'!$A$24:$B$35, 2, FALSE))</f>
        <v/>
      </c>
      <c r="R3971" s="107"/>
    </row>
    <row r="3972" hidden="1">
      <c r="A3972" s="443"/>
      <c r="B3972" s="43" t="str">
        <f>IF(A3972="", "", IFERROR(VLOOKUP(A3972, Clasificaciones!A:B, 2, FALSE), "DATO NO CARGADO"))
</f>
        <v/>
      </c>
      <c r="C3972" s="51"/>
      <c r="D3972" s="102"/>
      <c r="E3972" s="102"/>
      <c r="H3972" s="102"/>
      <c r="J3972" s="102"/>
      <c r="K3972" s="450"/>
      <c r="L3972" s="443"/>
      <c r="M3972" s="450"/>
      <c r="N3972" s="452"/>
      <c r="O3972" s="453"/>
      <c r="P3972" s="113"/>
      <c r="Q3972" s="106" t="str">
        <f>IF(ISBLANK(O3972), "", VLOOKUP(C3972&amp;" "&amp;D3972, 'Info Tipo de Cambio y REM'!$A$24:$B$35, 2, FALSE))</f>
        <v/>
      </c>
      <c r="R3972" s="107"/>
    </row>
    <row r="3973" hidden="1">
      <c r="A3973" s="443"/>
      <c r="B3973" s="43" t="str">
        <f>IF(A3973="", "", IFERROR(VLOOKUP(A3973, Clasificaciones!A:B, 2, FALSE), "DATO NO CARGADO"))
</f>
        <v/>
      </c>
      <c r="C3973" s="51"/>
      <c r="D3973" s="102"/>
      <c r="E3973" s="102"/>
      <c r="H3973" s="102"/>
      <c r="J3973" s="102"/>
      <c r="K3973" s="450"/>
      <c r="L3973" s="443"/>
      <c r="M3973" s="450"/>
      <c r="N3973" s="452"/>
      <c r="O3973" s="453"/>
      <c r="P3973" s="113"/>
      <c r="Q3973" s="106" t="str">
        <f>IF(ISBLANK(O3973), "", VLOOKUP(C3973&amp;" "&amp;D3973, 'Info Tipo de Cambio y REM'!$A$24:$B$35, 2, FALSE))</f>
        <v/>
      </c>
      <c r="R3973" s="107"/>
    </row>
    <row r="3974" hidden="1">
      <c r="A3974" s="443"/>
      <c r="B3974" s="43" t="str">
        <f>IF(A3974="", "", IFERROR(VLOOKUP(A3974, Clasificaciones!A:B, 2, FALSE), "DATO NO CARGADO"))
</f>
        <v/>
      </c>
      <c r="C3974" s="51"/>
      <c r="D3974" s="102"/>
      <c r="E3974" s="102"/>
      <c r="H3974" s="102"/>
      <c r="J3974" s="102"/>
      <c r="K3974" s="450"/>
      <c r="L3974" s="443"/>
      <c r="M3974" s="450"/>
      <c r="N3974" s="452"/>
      <c r="O3974" s="453"/>
      <c r="P3974" s="113"/>
      <c r="Q3974" s="106" t="str">
        <f>IF(ISBLANK(O3974), "", VLOOKUP(C3974&amp;" "&amp;D3974, 'Info Tipo de Cambio y REM'!$A$24:$B$35, 2, FALSE))</f>
        <v/>
      </c>
      <c r="R3974" s="107"/>
    </row>
    <row r="3975" hidden="1">
      <c r="A3975" s="443"/>
      <c r="B3975" s="43" t="str">
        <f>IF(A3975="", "", IFERROR(VLOOKUP(A3975, Clasificaciones!A:B, 2, FALSE), "DATO NO CARGADO"))
</f>
        <v/>
      </c>
      <c r="C3975" s="51"/>
      <c r="D3975" s="102"/>
      <c r="E3975" s="102"/>
      <c r="H3975" s="102"/>
      <c r="J3975" s="102"/>
      <c r="K3975" s="450"/>
      <c r="L3975" s="443"/>
      <c r="M3975" s="450"/>
      <c r="N3975" s="452"/>
      <c r="O3975" s="453"/>
      <c r="P3975" s="113"/>
      <c r="Q3975" s="106" t="str">
        <f>IF(ISBLANK(O3975), "", VLOOKUP(C3975&amp;" "&amp;D3975, 'Info Tipo de Cambio y REM'!$A$24:$B$35, 2, FALSE))</f>
        <v/>
      </c>
      <c r="R3975" s="107"/>
    </row>
    <row r="3976" hidden="1">
      <c r="A3976" s="443"/>
      <c r="B3976" s="43" t="str">
        <f>IF(A3976="", "", IFERROR(VLOOKUP(A3976, Clasificaciones!A:B, 2, FALSE), "DATO NO CARGADO"))
</f>
        <v/>
      </c>
      <c r="C3976" s="51"/>
      <c r="D3976" s="102"/>
      <c r="E3976" s="102"/>
      <c r="H3976" s="102"/>
      <c r="J3976" s="102"/>
      <c r="K3976" s="450"/>
      <c r="L3976" s="443"/>
      <c r="M3976" s="450"/>
      <c r="N3976" s="452"/>
      <c r="O3976" s="453"/>
      <c r="P3976" s="113"/>
      <c r="Q3976" s="106" t="str">
        <f>IF(ISBLANK(O3976), "", VLOOKUP(C3976&amp;" "&amp;D3976, 'Info Tipo de Cambio y REM'!$A$24:$B$35, 2, FALSE))</f>
        <v/>
      </c>
      <c r="R3976" s="107"/>
    </row>
    <row r="3977" hidden="1">
      <c r="A3977" s="443"/>
      <c r="B3977" s="43" t="str">
        <f>IF(A3977="", "", IFERROR(VLOOKUP(A3977, Clasificaciones!A:B, 2, FALSE), "DATO NO CARGADO"))
</f>
        <v/>
      </c>
      <c r="C3977" s="51"/>
      <c r="D3977" s="102"/>
      <c r="E3977" s="102"/>
      <c r="H3977" s="102"/>
      <c r="J3977" s="102"/>
      <c r="K3977" s="450"/>
      <c r="L3977" s="443"/>
      <c r="M3977" s="450"/>
      <c r="N3977" s="452"/>
      <c r="O3977" s="453"/>
      <c r="P3977" s="113"/>
      <c r="Q3977" s="106" t="str">
        <f>IF(ISBLANK(O3977), "", VLOOKUP(C3977&amp;" "&amp;D3977, 'Info Tipo de Cambio y REM'!$A$24:$B$35, 2, FALSE))</f>
        <v/>
      </c>
      <c r="R3977" s="107"/>
    </row>
    <row r="3978" hidden="1">
      <c r="A3978" s="443"/>
      <c r="B3978" s="43" t="str">
        <f>IF(A3978="", "", IFERROR(VLOOKUP(A3978, Clasificaciones!A:B, 2, FALSE), "DATO NO CARGADO"))
</f>
        <v/>
      </c>
      <c r="C3978" s="51"/>
      <c r="D3978" s="102"/>
      <c r="E3978" s="102"/>
      <c r="H3978" s="102"/>
      <c r="J3978" s="102"/>
      <c r="K3978" s="450"/>
      <c r="L3978" s="443"/>
      <c r="M3978" s="450"/>
      <c r="N3978" s="452"/>
      <c r="O3978" s="453"/>
      <c r="P3978" s="113"/>
      <c r="Q3978" s="106" t="str">
        <f>IF(ISBLANK(O3978), "", VLOOKUP(C3978&amp;" "&amp;D3978, 'Info Tipo de Cambio y REM'!$A$24:$B$35, 2, FALSE))</f>
        <v/>
      </c>
      <c r="R3978" s="107"/>
    </row>
    <row r="3979" hidden="1">
      <c r="A3979" s="443"/>
      <c r="B3979" s="43" t="str">
        <f>IF(A3979="", "", IFERROR(VLOOKUP(A3979, Clasificaciones!A:B, 2, FALSE), "DATO NO CARGADO"))
</f>
        <v/>
      </c>
      <c r="C3979" s="51"/>
      <c r="D3979" s="102"/>
      <c r="E3979" s="102"/>
      <c r="H3979" s="102"/>
      <c r="J3979" s="102"/>
      <c r="K3979" s="450"/>
      <c r="L3979" s="443"/>
      <c r="M3979" s="450"/>
      <c r="N3979" s="452"/>
      <c r="O3979" s="453"/>
      <c r="P3979" s="113"/>
      <c r="Q3979" s="106" t="str">
        <f>IF(ISBLANK(O3979), "", VLOOKUP(C3979&amp;" "&amp;D3979, 'Info Tipo de Cambio y REM'!$A$24:$B$35, 2, FALSE))</f>
        <v/>
      </c>
      <c r="R3979" s="107"/>
    </row>
    <row r="3980" hidden="1">
      <c r="A3980" s="443"/>
      <c r="B3980" s="43" t="str">
        <f>IF(A3980="", "", IFERROR(VLOOKUP(A3980, Clasificaciones!A:B, 2, FALSE), "DATO NO CARGADO"))
</f>
        <v/>
      </c>
      <c r="C3980" s="51"/>
      <c r="D3980" s="102"/>
      <c r="E3980" s="102"/>
      <c r="H3980" s="102"/>
      <c r="J3980" s="102"/>
      <c r="K3980" s="450"/>
      <c r="L3980" s="443"/>
      <c r="M3980" s="450"/>
      <c r="N3980" s="452"/>
      <c r="O3980" s="453"/>
      <c r="P3980" s="113"/>
      <c r="Q3980" s="106" t="str">
        <f>IF(ISBLANK(O3980), "", VLOOKUP(C3980&amp;" "&amp;D3980, 'Info Tipo de Cambio y REM'!$A$24:$B$35, 2, FALSE))</f>
        <v/>
      </c>
      <c r="R3980" s="107"/>
    </row>
    <row r="3981" hidden="1">
      <c r="A3981" s="443"/>
      <c r="B3981" s="43" t="str">
        <f>IF(A3981="", "", IFERROR(VLOOKUP(A3981, Clasificaciones!A:B, 2, FALSE), "DATO NO CARGADO"))
</f>
        <v/>
      </c>
      <c r="C3981" s="51"/>
      <c r="D3981" s="102"/>
      <c r="E3981" s="102"/>
      <c r="H3981" s="102"/>
      <c r="J3981" s="102"/>
      <c r="K3981" s="450"/>
      <c r="L3981" s="443"/>
      <c r="M3981" s="450"/>
      <c r="N3981" s="452"/>
      <c r="O3981" s="453"/>
      <c r="P3981" s="113"/>
      <c r="Q3981" s="106" t="str">
        <f>IF(ISBLANK(O3981), "", VLOOKUP(C3981&amp;" "&amp;D3981, 'Info Tipo de Cambio y REM'!$A$24:$B$35, 2, FALSE))</f>
        <v/>
      </c>
      <c r="R3981" s="107"/>
    </row>
    <row r="3982" hidden="1">
      <c r="A3982" s="443"/>
      <c r="B3982" s="43" t="str">
        <f>IF(A3982="", "", IFERROR(VLOOKUP(A3982, Clasificaciones!A:B, 2, FALSE), "DATO NO CARGADO"))
</f>
        <v/>
      </c>
      <c r="C3982" s="51"/>
      <c r="D3982" s="102"/>
      <c r="E3982" s="102"/>
      <c r="H3982" s="102"/>
      <c r="J3982" s="102"/>
      <c r="K3982" s="450"/>
      <c r="L3982" s="443"/>
      <c r="M3982" s="450"/>
      <c r="N3982" s="452"/>
      <c r="O3982" s="453"/>
      <c r="P3982" s="113"/>
      <c r="Q3982" s="106" t="str">
        <f>IF(ISBLANK(O3982), "", VLOOKUP(C3982&amp;" "&amp;D3982, 'Info Tipo de Cambio y REM'!$A$24:$B$35, 2, FALSE))</f>
        <v/>
      </c>
      <c r="R3982" s="107"/>
    </row>
    <row r="3983" hidden="1">
      <c r="A3983" s="443"/>
      <c r="B3983" s="43" t="str">
        <f>IF(A3983="", "", IFERROR(VLOOKUP(A3983, Clasificaciones!A:B, 2, FALSE), "DATO NO CARGADO"))
</f>
        <v/>
      </c>
      <c r="C3983" s="51"/>
      <c r="D3983" s="102"/>
      <c r="E3983" s="102"/>
      <c r="H3983" s="102"/>
      <c r="J3983" s="102"/>
      <c r="K3983" s="450"/>
      <c r="L3983" s="443"/>
      <c r="M3983" s="450"/>
      <c r="N3983" s="452"/>
      <c r="O3983" s="453"/>
      <c r="P3983" s="113"/>
      <c r="Q3983" s="106" t="str">
        <f>IF(ISBLANK(O3983), "", VLOOKUP(C3983&amp;" "&amp;D3983, 'Info Tipo de Cambio y REM'!$A$24:$B$35, 2, FALSE))</f>
        <v/>
      </c>
      <c r="R3983" s="107"/>
    </row>
    <row r="3984" hidden="1">
      <c r="A3984" s="443"/>
      <c r="B3984" s="43" t="str">
        <f>IF(A3984="", "", IFERROR(VLOOKUP(A3984, Clasificaciones!A:B, 2, FALSE), "DATO NO CARGADO"))
</f>
        <v/>
      </c>
      <c r="C3984" s="51"/>
      <c r="D3984" s="102"/>
      <c r="E3984" s="102"/>
      <c r="H3984" s="102"/>
      <c r="J3984" s="102"/>
      <c r="K3984" s="450"/>
      <c r="L3984" s="443"/>
      <c r="M3984" s="450"/>
      <c r="N3984" s="452"/>
      <c r="O3984" s="453"/>
      <c r="P3984" s="113"/>
      <c r="Q3984" s="106" t="str">
        <f>IF(ISBLANK(O3984), "", VLOOKUP(C3984&amp;" "&amp;D3984, 'Info Tipo de Cambio y REM'!$A$24:$B$35, 2, FALSE))</f>
        <v/>
      </c>
      <c r="R3984" s="107"/>
    </row>
    <row r="3985" hidden="1">
      <c r="A3985" s="443"/>
      <c r="B3985" s="43" t="str">
        <f>IF(A3985="", "", IFERROR(VLOOKUP(A3985, Clasificaciones!A:B, 2, FALSE), "DATO NO CARGADO"))
</f>
        <v/>
      </c>
      <c r="C3985" s="51"/>
      <c r="D3985" s="102"/>
      <c r="E3985" s="102"/>
      <c r="H3985" s="102"/>
      <c r="J3985" s="102"/>
      <c r="K3985" s="450"/>
      <c r="L3985" s="443"/>
      <c r="M3985" s="450"/>
      <c r="N3985" s="452"/>
      <c r="O3985" s="453"/>
      <c r="P3985" s="113"/>
      <c r="Q3985" s="106" t="str">
        <f>IF(ISBLANK(O3985), "", VLOOKUP(C3985&amp;" "&amp;D3985, 'Info Tipo de Cambio y REM'!$A$24:$B$35, 2, FALSE))</f>
        <v/>
      </c>
      <c r="R3985" s="107"/>
    </row>
    <row r="3986" hidden="1">
      <c r="A3986" s="443"/>
      <c r="B3986" s="43" t="str">
        <f>IF(A3986="", "", IFERROR(VLOOKUP(A3986, Clasificaciones!A:B, 2, FALSE), "DATO NO CARGADO"))
</f>
        <v/>
      </c>
      <c r="C3986" s="51"/>
      <c r="D3986" s="102"/>
      <c r="E3986" s="102"/>
      <c r="H3986" s="102"/>
      <c r="J3986" s="102"/>
      <c r="K3986" s="450"/>
      <c r="L3986" s="443"/>
      <c r="M3986" s="450"/>
      <c r="N3986" s="452"/>
      <c r="O3986" s="453"/>
      <c r="P3986" s="113"/>
      <c r="Q3986" s="106" t="str">
        <f>IF(ISBLANK(O3986), "", VLOOKUP(C3986&amp;" "&amp;D3986, 'Info Tipo de Cambio y REM'!$A$24:$B$35, 2, FALSE))</f>
        <v/>
      </c>
      <c r="R3986" s="107"/>
    </row>
    <row r="3987" hidden="1">
      <c r="A3987" s="443"/>
      <c r="B3987" s="43" t="str">
        <f>IF(A3987="", "", IFERROR(VLOOKUP(A3987, Clasificaciones!A:B, 2, FALSE), "DATO NO CARGADO"))
</f>
        <v/>
      </c>
      <c r="C3987" s="51"/>
      <c r="D3987" s="102"/>
      <c r="E3987" s="102"/>
      <c r="H3987" s="102"/>
      <c r="J3987" s="102"/>
      <c r="K3987" s="450"/>
      <c r="L3987" s="443"/>
      <c r="M3987" s="450"/>
      <c r="N3987" s="452"/>
      <c r="O3987" s="453"/>
      <c r="P3987" s="113"/>
      <c r="Q3987" s="106" t="str">
        <f>IF(ISBLANK(O3987), "", VLOOKUP(C3987&amp;" "&amp;D3987, 'Info Tipo de Cambio y REM'!$A$24:$B$35, 2, FALSE))</f>
        <v/>
      </c>
      <c r="R3987" s="107"/>
    </row>
    <row r="3988" hidden="1">
      <c r="A3988" s="443"/>
      <c r="B3988" s="43" t="str">
        <f>IF(A3988="", "", IFERROR(VLOOKUP(A3988, Clasificaciones!A:B, 2, FALSE), "DATO NO CARGADO"))
</f>
        <v/>
      </c>
      <c r="C3988" s="51"/>
      <c r="D3988" s="102"/>
      <c r="E3988" s="102"/>
      <c r="H3988" s="102"/>
      <c r="J3988" s="102"/>
      <c r="K3988" s="450"/>
      <c r="L3988" s="443"/>
      <c r="M3988" s="450"/>
      <c r="N3988" s="452"/>
      <c r="O3988" s="453"/>
      <c r="P3988" s="113"/>
      <c r="Q3988" s="106" t="str">
        <f>IF(ISBLANK(O3988), "", VLOOKUP(C3988&amp;" "&amp;D3988, 'Info Tipo de Cambio y REM'!$A$24:$B$35, 2, FALSE))</f>
        <v/>
      </c>
      <c r="R3988" s="107"/>
    </row>
    <row r="3989" hidden="1">
      <c r="A3989" s="443"/>
      <c r="B3989" s="43" t="str">
        <f>IF(A3989="", "", IFERROR(VLOOKUP(A3989, Clasificaciones!A:B, 2, FALSE), "DATO NO CARGADO"))
</f>
        <v/>
      </c>
      <c r="C3989" s="51"/>
      <c r="D3989" s="102"/>
      <c r="E3989" s="102"/>
      <c r="H3989" s="102"/>
      <c r="J3989" s="102"/>
      <c r="K3989" s="450"/>
      <c r="L3989" s="443"/>
      <c r="M3989" s="450"/>
      <c r="N3989" s="452"/>
      <c r="O3989" s="453"/>
      <c r="P3989" s="113"/>
      <c r="Q3989" s="106" t="str">
        <f>IF(ISBLANK(O3989), "", VLOOKUP(C3989&amp;" "&amp;D3989, 'Info Tipo de Cambio y REM'!$A$24:$B$35, 2, FALSE))</f>
        <v/>
      </c>
      <c r="R3989" s="107"/>
    </row>
    <row r="3990" hidden="1">
      <c r="A3990" s="443"/>
      <c r="B3990" s="43" t="str">
        <f>IF(A3990="", "", IFERROR(VLOOKUP(A3990, Clasificaciones!A:B, 2, FALSE), "DATO NO CARGADO"))
</f>
        <v/>
      </c>
      <c r="C3990" s="51"/>
      <c r="D3990" s="102"/>
      <c r="E3990" s="102"/>
      <c r="H3990" s="102"/>
      <c r="J3990" s="102"/>
      <c r="K3990" s="450"/>
      <c r="L3990" s="443"/>
      <c r="M3990" s="450"/>
      <c r="N3990" s="452"/>
      <c r="O3990" s="453"/>
      <c r="P3990" s="113"/>
      <c r="Q3990" s="106" t="str">
        <f>IF(ISBLANK(O3990), "", VLOOKUP(C3990&amp;" "&amp;D3990, 'Info Tipo de Cambio y REM'!$A$24:$B$35, 2, FALSE))</f>
        <v/>
      </c>
      <c r="R3990" s="107"/>
    </row>
    <row r="3991" hidden="1">
      <c r="A3991" s="443"/>
      <c r="B3991" s="43" t="str">
        <f>IF(A3991="", "", IFERROR(VLOOKUP(A3991, Clasificaciones!A:B, 2, FALSE), "DATO NO CARGADO"))
</f>
        <v/>
      </c>
      <c r="C3991" s="51"/>
      <c r="D3991" s="102"/>
      <c r="E3991" s="102"/>
      <c r="H3991" s="102"/>
      <c r="J3991" s="102"/>
      <c r="K3991" s="450"/>
      <c r="L3991" s="443"/>
      <c r="M3991" s="450"/>
      <c r="N3991" s="452"/>
      <c r="O3991" s="453"/>
      <c r="P3991" s="113"/>
      <c r="Q3991" s="106" t="str">
        <f>IF(ISBLANK(O3991), "", VLOOKUP(C3991&amp;" "&amp;D3991, 'Info Tipo de Cambio y REM'!$A$24:$B$35, 2, FALSE))</f>
        <v/>
      </c>
      <c r="R3991" s="107"/>
    </row>
    <row r="3992" hidden="1">
      <c r="A3992" s="443"/>
      <c r="B3992" s="43" t="str">
        <f>IF(A3992="", "", IFERROR(VLOOKUP(A3992, Clasificaciones!A:B, 2, FALSE), "DATO NO CARGADO"))
</f>
        <v/>
      </c>
      <c r="C3992" s="51"/>
      <c r="D3992" s="102"/>
      <c r="E3992" s="102"/>
      <c r="H3992" s="102"/>
      <c r="J3992" s="102"/>
      <c r="K3992" s="450"/>
      <c r="L3992" s="443"/>
      <c r="M3992" s="450"/>
      <c r="N3992" s="452"/>
      <c r="O3992" s="453"/>
      <c r="P3992" s="113"/>
      <c r="Q3992" s="106" t="str">
        <f>IF(ISBLANK(O3992), "", VLOOKUP(C3992&amp;" "&amp;D3992, 'Info Tipo de Cambio y REM'!$A$24:$B$35, 2, FALSE))</f>
        <v/>
      </c>
      <c r="R3992" s="107"/>
    </row>
    <row r="3993" hidden="1">
      <c r="A3993" s="443"/>
      <c r="B3993" s="43" t="str">
        <f>IF(A3993="", "", IFERROR(VLOOKUP(A3993, Clasificaciones!A:B, 2, FALSE), "DATO NO CARGADO"))
</f>
        <v/>
      </c>
      <c r="C3993" s="51"/>
      <c r="D3993" s="102"/>
      <c r="E3993" s="102"/>
      <c r="H3993" s="102"/>
      <c r="J3993" s="102"/>
      <c r="K3993" s="450"/>
      <c r="L3993" s="443"/>
      <c r="M3993" s="450"/>
      <c r="N3993" s="452"/>
      <c r="O3993" s="453"/>
      <c r="P3993" s="113"/>
      <c r="Q3993" s="106" t="str">
        <f>IF(ISBLANK(O3993), "", VLOOKUP(C3993&amp;" "&amp;D3993, 'Info Tipo de Cambio y REM'!$A$24:$B$35, 2, FALSE))</f>
        <v/>
      </c>
      <c r="R3993" s="107"/>
    </row>
    <row r="3994" hidden="1">
      <c r="A3994" s="443"/>
      <c r="B3994" s="43" t="str">
        <f>IF(A3994="", "", IFERROR(VLOOKUP(A3994, Clasificaciones!A:B, 2, FALSE), "DATO NO CARGADO"))
</f>
        <v/>
      </c>
      <c r="C3994" s="51"/>
      <c r="D3994" s="102"/>
      <c r="E3994" s="102"/>
      <c r="H3994" s="102"/>
      <c r="J3994" s="102"/>
      <c r="K3994" s="450"/>
      <c r="L3994" s="443"/>
      <c r="M3994" s="450"/>
      <c r="N3994" s="452"/>
      <c r="O3994" s="453"/>
      <c r="P3994" s="113"/>
      <c r="Q3994" s="106" t="str">
        <f>IF(ISBLANK(O3994), "", VLOOKUP(C3994&amp;" "&amp;D3994, 'Info Tipo de Cambio y REM'!$A$24:$B$35, 2, FALSE))</f>
        <v/>
      </c>
      <c r="R3994" s="107"/>
    </row>
    <row r="3995" hidden="1">
      <c r="A3995" s="443"/>
      <c r="B3995" s="43" t="str">
        <f>IF(A3995="", "", IFERROR(VLOOKUP(A3995, Clasificaciones!A:B, 2, FALSE), "DATO NO CARGADO"))
</f>
        <v/>
      </c>
      <c r="C3995" s="51"/>
      <c r="D3995" s="102"/>
      <c r="E3995" s="102"/>
      <c r="H3995" s="102"/>
      <c r="J3995" s="102"/>
      <c r="K3995" s="450"/>
      <c r="L3995" s="443"/>
      <c r="M3995" s="450"/>
      <c r="N3995" s="452"/>
      <c r="O3995" s="453"/>
      <c r="P3995" s="113"/>
      <c r="Q3995" s="106" t="str">
        <f>IF(ISBLANK(O3995), "", VLOOKUP(C3995&amp;" "&amp;D3995, 'Info Tipo de Cambio y REM'!$A$24:$B$35, 2, FALSE))</f>
        <v/>
      </c>
      <c r="R3995" s="107"/>
    </row>
    <row r="3996" hidden="1">
      <c r="A3996" s="443"/>
      <c r="B3996" s="43" t="str">
        <f>IF(A3996="", "", IFERROR(VLOOKUP(A3996, Clasificaciones!A:B, 2, FALSE), "DATO NO CARGADO"))
</f>
        <v/>
      </c>
      <c r="C3996" s="51"/>
      <c r="D3996" s="102"/>
      <c r="E3996" s="102"/>
      <c r="H3996" s="102"/>
      <c r="J3996" s="102"/>
      <c r="K3996" s="450"/>
      <c r="L3996" s="443"/>
      <c r="M3996" s="450"/>
      <c r="N3996" s="452"/>
      <c r="O3996" s="453"/>
      <c r="P3996" s="113"/>
      <c r="Q3996" s="106" t="str">
        <f>IF(ISBLANK(O3996), "", VLOOKUP(C3996&amp;" "&amp;D3996, 'Info Tipo de Cambio y REM'!$A$24:$B$35, 2, FALSE))</f>
        <v/>
      </c>
      <c r="R3996" s="107"/>
    </row>
    <row r="3997" hidden="1">
      <c r="A3997" s="443"/>
      <c r="B3997" s="43" t="str">
        <f>IF(A3997="", "", IFERROR(VLOOKUP(A3997, Clasificaciones!A:B, 2, FALSE), "DATO NO CARGADO"))
</f>
        <v/>
      </c>
      <c r="C3997" s="51"/>
      <c r="D3997" s="102"/>
      <c r="E3997" s="102"/>
      <c r="H3997" s="102"/>
      <c r="J3997" s="102"/>
      <c r="K3997" s="450"/>
      <c r="L3997" s="443"/>
      <c r="M3997" s="450"/>
      <c r="N3997" s="452"/>
      <c r="O3997" s="453"/>
      <c r="P3997" s="113"/>
      <c r="Q3997" s="106" t="str">
        <f>IF(ISBLANK(O3997), "", VLOOKUP(C3997&amp;" "&amp;D3997, 'Info Tipo de Cambio y REM'!$A$24:$B$35, 2, FALSE))</f>
        <v/>
      </c>
      <c r="R3997" s="107"/>
    </row>
    <row r="3998" hidden="1">
      <c r="A3998" s="443"/>
      <c r="B3998" s="43" t="str">
        <f>IF(A3998="", "", IFERROR(VLOOKUP(A3998, Clasificaciones!A:B, 2, FALSE), "DATO NO CARGADO"))
</f>
        <v/>
      </c>
      <c r="C3998" s="51"/>
      <c r="D3998" s="102"/>
      <c r="E3998" s="102"/>
      <c r="H3998" s="102"/>
      <c r="J3998" s="102"/>
      <c r="K3998" s="450"/>
      <c r="L3998" s="443"/>
      <c r="M3998" s="450"/>
      <c r="N3998" s="452"/>
      <c r="O3998" s="453"/>
      <c r="P3998" s="113"/>
      <c r="Q3998" s="106" t="str">
        <f>IF(ISBLANK(O3998), "", VLOOKUP(C3998&amp;" "&amp;D3998, 'Info Tipo de Cambio y REM'!$A$24:$B$35, 2, FALSE))</f>
        <v/>
      </c>
      <c r="R3998" s="107"/>
    </row>
    <row r="3999" hidden="1">
      <c r="A3999" s="443"/>
      <c r="B3999" s="43" t="str">
        <f>IF(A3999="", "", IFERROR(VLOOKUP(A3999, Clasificaciones!A:B, 2, FALSE), "DATO NO CARGADO"))
</f>
        <v/>
      </c>
      <c r="C3999" s="51"/>
      <c r="D3999" s="102"/>
      <c r="E3999" s="102"/>
      <c r="H3999" s="102"/>
      <c r="J3999" s="102"/>
      <c r="K3999" s="450"/>
      <c r="L3999" s="443"/>
      <c r="M3999" s="450"/>
      <c r="N3999" s="452"/>
      <c r="O3999" s="453"/>
      <c r="P3999" s="113"/>
      <c r="Q3999" s="106" t="str">
        <f>IF(ISBLANK(O3999), "", VLOOKUP(C3999&amp;" "&amp;D3999, 'Info Tipo de Cambio y REM'!$A$24:$B$35, 2, FALSE))</f>
        <v/>
      </c>
      <c r="R3999" s="107"/>
    </row>
    <row r="4000" hidden="1">
      <c r="A4000" s="443"/>
      <c r="B4000" s="43" t="str">
        <f>IF(A4000="", "", IFERROR(VLOOKUP(A4000, Clasificaciones!A:B, 2, FALSE), "DATO NO CARGADO"))
</f>
        <v/>
      </c>
      <c r="C4000" s="51"/>
      <c r="D4000" s="102"/>
      <c r="E4000" s="102"/>
      <c r="H4000" s="102"/>
      <c r="J4000" s="102"/>
      <c r="K4000" s="450"/>
      <c r="L4000" s="443"/>
      <c r="M4000" s="450"/>
      <c r="N4000" s="452"/>
      <c r="O4000" s="453"/>
      <c r="P4000" s="113"/>
      <c r="Q4000" s="106" t="str">
        <f>IF(ISBLANK(O4000), "", VLOOKUP(C4000&amp;" "&amp;D4000, 'Info Tipo de Cambio y REM'!$A$24:$B$35, 2, FALSE))</f>
        <v/>
      </c>
      <c r="R4000" s="107"/>
    </row>
    <row r="4001" hidden="1">
      <c r="A4001" s="443"/>
      <c r="B4001" s="43" t="str">
        <f>IF(A4001="", "", IFERROR(VLOOKUP(A4001, Clasificaciones!A:B, 2, FALSE), "DATO NO CARGADO"))
</f>
        <v/>
      </c>
      <c r="C4001" s="51"/>
      <c r="D4001" s="102"/>
      <c r="E4001" s="102"/>
      <c r="H4001" s="102"/>
      <c r="J4001" s="102"/>
      <c r="K4001" s="450"/>
      <c r="L4001" s="443"/>
      <c r="M4001" s="450"/>
      <c r="N4001" s="452"/>
      <c r="O4001" s="453"/>
      <c r="P4001" s="113"/>
      <c r="Q4001" s="106" t="str">
        <f>IF(ISBLANK(O4001), "", VLOOKUP(C4001&amp;" "&amp;D4001, 'Info Tipo de Cambio y REM'!$A$24:$B$35, 2, FALSE))</f>
        <v/>
      </c>
      <c r="R4001" s="107"/>
    </row>
    <row r="4002" hidden="1">
      <c r="A4002" s="443"/>
      <c r="B4002" s="43" t="str">
        <f>IF(A4002="", "", IFERROR(VLOOKUP(A4002, Clasificaciones!A:B, 2, FALSE), "DATO NO CARGADO"))
</f>
        <v/>
      </c>
      <c r="C4002" s="51"/>
      <c r="D4002" s="102"/>
      <c r="E4002" s="102"/>
      <c r="H4002" s="102"/>
      <c r="J4002" s="102"/>
      <c r="K4002" s="450"/>
      <c r="L4002" s="443"/>
      <c r="M4002" s="450"/>
      <c r="N4002" s="452"/>
      <c r="O4002" s="453"/>
      <c r="P4002" s="113"/>
      <c r="Q4002" s="106" t="str">
        <f>IF(ISBLANK(O4002), "", VLOOKUP(C4002&amp;" "&amp;D4002, 'Info Tipo de Cambio y REM'!$A$24:$B$35, 2, FALSE))</f>
        <v/>
      </c>
      <c r="R4002" s="107"/>
    </row>
    <row r="4003" hidden="1">
      <c r="A4003" s="443"/>
      <c r="B4003" s="43" t="str">
        <f>IF(A4003="", "", IFERROR(VLOOKUP(A4003, Clasificaciones!A:B, 2, FALSE), "DATO NO CARGADO"))
</f>
        <v/>
      </c>
      <c r="C4003" s="51"/>
      <c r="D4003" s="102"/>
      <c r="E4003" s="102"/>
      <c r="H4003" s="102"/>
      <c r="J4003" s="102"/>
      <c r="K4003" s="450"/>
      <c r="L4003" s="443"/>
      <c r="M4003" s="450"/>
      <c r="N4003" s="452"/>
      <c r="O4003" s="453"/>
      <c r="P4003" s="113"/>
      <c r="Q4003" s="106" t="str">
        <f>IF(ISBLANK(O4003), "", VLOOKUP(C4003&amp;" "&amp;D4003, 'Info Tipo de Cambio y REM'!$A$24:$B$35, 2, FALSE))</f>
        <v/>
      </c>
      <c r="R4003" s="107"/>
    </row>
    <row r="4004" hidden="1">
      <c r="A4004" s="443"/>
      <c r="B4004" s="43" t="str">
        <f>IF(A4004="", "", IFERROR(VLOOKUP(A4004, Clasificaciones!A:B, 2, FALSE), "DATO NO CARGADO"))
</f>
        <v/>
      </c>
      <c r="C4004" s="51"/>
      <c r="D4004" s="102"/>
      <c r="E4004" s="102"/>
      <c r="H4004" s="102"/>
      <c r="J4004" s="102"/>
      <c r="K4004" s="450"/>
      <c r="L4004" s="443"/>
      <c r="M4004" s="450"/>
      <c r="N4004" s="452"/>
      <c r="O4004" s="453"/>
      <c r="P4004" s="113"/>
      <c r="Q4004" s="106" t="str">
        <f>IF(ISBLANK(O4004), "", VLOOKUP(C4004&amp;" "&amp;D4004, 'Info Tipo de Cambio y REM'!$A$24:$B$35, 2, FALSE))</f>
        <v/>
      </c>
      <c r="R4004" s="107"/>
    </row>
    <row r="4005" hidden="1">
      <c r="A4005" s="443"/>
      <c r="B4005" s="43" t="str">
        <f>IF(A4005="", "", IFERROR(VLOOKUP(A4005, Clasificaciones!A:B, 2, FALSE), "DATO NO CARGADO"))
</f>
        <v/>
      </c>
      <c r="C4005" s="51"/>
      <c r="D4005" s="102"/>
      <c r="E4005" s="102"/>
      <c r="H4005" s="102"/>
      <c r="J4005" s="102"/>
      <c r="K4005" s="450"/>
      <c r="L4005" s="443"/>
      <c r="M4005" s="450"/>
      <c r="N4005" s="452"/>
      <c r="O4005" s="453"/>
      <c r="P4005" s="113"/>
      <c r="Q4005" s="106" t="str">
        <f>IF(ISBLANK(O4005), "", VLOOKUP(C4005&amp;" "&amp;D4005, 'Info Tipo de Cambio y REM'!$A$24:$B$35, 2, FALSE))</f>
        <v/>
      </c>
      <c r="R4005" s="107"/>
    </row>
    <row r="4006" hidden="1">
      <c r="A4006" s="443"/>
      <c r="B4006" s="43" t="str">
        <f>IF(A4006="", "", IFERROR(VLOOKUP(A4006, Clasificaciones!A:B, 2, FALSE), "DATO NO CARGADO"))
</f>
        <v/>
      </c>
      <c r="C4006" s="51"/>
      <c r="D4006" s="102"/>
      <c r="E4006" s="102"/>
      <c r="H4006" s="102"/>
      <c r="J4006" s="102"/>
      <c r="K4006" s="450"/>
      <c r="L4006" s="443"/>
      <c r="M4006" s="450"/>
      <c r="N4006" s="452"/>
      <c r="O4006" s="453"/>
      <c r="P4006" s="113"/>
      <c r="Q4006" s="106" t="str">
        <f>IF(ISBLANK(O4006), "", VLOOKUP(C4006&amp;" "&amp;D4006, 'Info Tipo de Cambio y REM'!$A$24:$B$35, 2, FALSE))</f>
        <v/>
      </c>
      <c r="R4006" s="107"/>
    </row>
    <row r="4007" hidden="1">
      <c r="A4007" s="443"/>
      <c r="B4007" s="43" t="str">
        <f>IF(A4007="", "", IFERROR(VLOOKUP(A4007, Clasificaciones!A:B, 2, FALSE), "DATO NO CARGADO"))
</f>
        <v/>
      </c>
      <c r="C4007" s="51"/>
      <c r="D4007" s="102"/>
      <c r="E4007" s="102"/>
      <c r="H4007" s="102"/>
      <c r="J4007" s="102"/>
      <c r="K4007" s="450"/>
      <c r="L4007" s="443"/>
      <c r="M4007" s="450"/>
      <c r="N4007" s="452"/>
      <c r="O4007" s="453"/>
      <c r="P4007" s="113"/>
      <c r="Q4007" s="106" t="str">
        <f>IF(ISBLANK(O4007), "", VLOOKUP(C4007&amp;" "&amp;D4007, 'Info Tipo de Cambio y REM'!$A$24:$B$35, 2, FALSE))</f>
        <v/>
      </c>
      <c r="R4007" s="107"/>
    </row>
    <row r="4008" hidden="1">
      <c r="A4008" s="443"/>
      <c r="B4008" s="43" t="str">
        <f>IF(A4008="", "", IFERROR(VLOOKUP(A4008, Clasificaciones!A:B, 2, FALSE), "DATO NO CARGADO"))
</f>
        <v/>
      </c>
      <c r="C4008" s="51"/>
      <c r="D4008" s="102"/>
      <c r="E4008" s="102"/>
      <c r="H4008" s="102"/>
      <c r="J4008" s="102"/>
      <c r="K4008" s="450"/>
      <c r="L4008" s="443"/>
      <c r="M4008" s="450"/>
      <c r="N4008" s="452"/>
      <c r="O4008" s="453"/>
      <c r="P4008" s="113"/>
      <c r="Q4008" s="106" t="str">
        <f>IF(ISBLANK(O4008), "", VLOOKUP(C4008&amp;" "&amp;D4008, 'Info Tipo de Cambio y REM'!$A$24:$B$35, 2, FALSE))</f>
        <v/>
      </c>
      <c r="R4008" s="107"/>
    </row>
    <row r="4009" hidden="1">
      <c r="A4009" s="443"/>
      <c r="B4009" s="43" t="str">
        <f>IF(A4009="", "", IFERROR(VLOOKUP(A4009, Clasificaciones!A:B, 2, FALSE), "DATO NO CARGADO"))
</f>
        <v/>
      </c>
      <c r="C4009" s="51"/>
      <c r="D4009" s="102"/>
      <c r="E4009" s="102"/>
      <c r="H4009" s="102"/>
      <c r="J4009" s="102"/>
      <c r="K4009" s="450"/>
      <c r="L4009" s="443"/>
      <c r="M4009" s="450"/>
      <c r="N4009" s="452"/>
      <c r="O4009" s="453"/>
      <c r="P4009" s="113"/>
      <c r="Q4009" s="106" t="str">
        <f>IF(ISBLANK(O4009), "", VLOOKUP(C4009&amp;" "&amp;D4009, 'Info Tipo de Cambio y REM'!$A$24:$B$35, 2, FALSE))</f>
        <v/>
      </c>
      <c r="R4009" s="107"/>
    </row>
    <row r="4010" hidden="1">
      <c r="A4010" s="443"/>
      <c r="B4010" s="43" t="str">
        <f>IF(A4010="", "", IFERROR(VLOOKUP(A4010, Clasificaciones!A:B, 2, FALSE), "DATO NO CARGADO"))
</f>
        <v/>
      </c>
      <c r="C4010" s="51"/>
      <c r="D4010" s="102"/>
      <c r="E4010" s="102"/>
      <c r="H4010" s="102"/>
      <c r="J4010" s="102"/>
      <c r="K4010" s="450"/>
      <c r="L4010" s="443"/>
      <c r="M4010" s="450"/>
      <c r="N4010" s="452"/>
      <c r="O4010" s="453"/>
      <c r="P4010" s="113"/>
      <c r="Q4010" s="106" t="str">
        <f>IF(ISBLANK(O4010), "", VLOOKUP(C4010&amp;" "&amp;D4010, 'Info Tipo de Cambio y REM'!$A$24:$B$35, 2, FALSE))</f>
        <v/>
      </c>
      <c r="R4010" s="107"/>
    </row>
    <row r="4011" hidden="1">
      <c r="A4011" s="443"/>
      <c r="B4011" s="43" t="str">
        <f>IF(A4011="", "", IFERROR(VLOOKUP(A4011, Clasificaciones!A:B, 2, FALSE), "DATO NO CARGADO"))
</f>
        <v/>
      </c>
      <c r="C4011" s="51"/>
      <c r="D4011" s="102"/>
      <c r="E4011" s="102"/>
      <c r="H4011" s="102"/>
      <c r="J4011" s="102"/>
      <c r="K4011" s="450"/>
      <c r="L4011" s="443"/>
      <c r="M4011" s="450"/>
      <c r="N4011" s="452"/>
      <c r="O4011" s="453"/>
      <c r="P4011" s="113"/>
      <c r="Q4011" s="106" t="str">
        <f>IF(ISBLANK(O4011), "", VLOOKUP(C4011&amp;" "&amp;D4011, 'Info Tipo de Cambio y REM'!$A$24:$B$35, 2, FALSE))</f>
        <v/>
      </c>
      <c r="R4011" s="107"/>
    </row>
    <row r="4012" hidden="1">
      <c r="A4012" s="443"/>
      <c r="B4012" s="43" t="str">
        <f>IF(A4012="", "", IFERROR(VLOOKUP(A4012, Clasificaciones!A:B, 2, FALSE), "DATO NO CARGADO"))
</f>
        <v/>
      </c>
      <c r="C4012" s="51"/>
      <c r="D4012" s="102"/>
      <c r="E4012" s="102"/>
      <c r="H4012" s="102"/>
      <c r="J4012" s="102"/>
      <c r="K4012" s="450"/>
      <c r="L4012" s="443"/>
      <c r="M4012" s="450"/>
      <c r="N4012" s="452"/>
      <c r="O4012" s="453"/>
      <c r="P4012" s="113"/>
      <c r="Q4012" s="106" t="str">
        <f>IF(ISBLANK(O4012), "", VLOOKUP(C4012&amp;" "&amp;D4012, 'Info Tipo de Cambio y REM'!$A$24:$B$35, 2, FALSE))</f>
        <v/>
      </c>
      <c r="R4012" s="107"/>
    </row>
    <row r="4013" hidden="1">
      <c r="A4013" s="443"/>
      <c r="B4013" s="43" t="str">
        <f>IF(A4013="", "", IFERROR(VLOOKUP(A4013, Clasificaciones!A:B, 2, FALSE), "DATO NO CARGADO"))
</f>
        <v/>
      </c>
      <c r="C4013" s="51"/>
      <c r="D4013" s="102"/>
      <c r="E4013" s="102"/>
      <c r="H4013" s="102"/>
      <c r="J4013" s="102"/>
      <c r="K4013" s="450"/>
      <c r="L4013" s="443"/>
      <c r="M4013" s="450"/>
      <c r="N4013" s="452"/>
      <c r="O4013" s="453"/>
      <c r="P4013" s="113"/>
      <c r="Q4013" s="106" t="str">
        <f>IF(ISBLANK(O4013), "", VLOOKUP(C4013&amp;" "&amp;D4013, 'Info Tipo de Cambio y REM'!$A$24:$B$35, 2, FALSE))</f>
        <v/>
      </c>
      <c r="R4013" s="107"/>
    </row>
    <row r="4014" hidden="1">
      <c r="A4014" s="443"/>
      <c r="B4014" s="43" t="str">
        <f>IF(A4014="", "", IFERROR(VLOOKUP(A4014, Clasificaciones!A:B, 2, FALSE), "DATO NO CARGADO"))
</f>
        <v/>
      </c>
      <c r="C4014" s="51"/>
      <c r="D4014" s="102"/>
      <c r="E4014" s="102"/>
      <c r="H4014" s="102"/>
      <c r="J4014" s="102"/>
      <c r="K4014" s="450"/>
      <c r="L4014" s="443"/>
      <c r="M4014" s="450"/>
      <c r="N4014" s="452"/>
      <c r="O4014" s="453"/>
      <c r="P4014" s="113"/>
      <c r="Q4014" s="106" t="str">
        <f>IF(ISBLANK(O4014), "", VLOOKUP(C4014&amp;" "&amp;D4014, 'Info Tipo de Cambio y REM'!$A$24:$B$35, 2, FALSE))</f>
        <v/>
      </c>
      <c r="R4014" s="107"/>
    </row>
    <row r="4015" hidden="1">
      <c r="A4015" s="443"/>
      <c r="B4015" s="43" t="str">
        <f>IF(A4015="", "", IFERROR(VLOOKUP(A4015, Clasificaciones!A:B, 2, FALSE), "DATO NO CARGADO"))
</f>
        <v/>
      </c>
      <c r="C4015" s="51"/>
      <c r="D4015" s="102"/>
      <c r="E4015" s="102"/>
      <c r="H4015" s="102"/>
      <c r="J4015" s="102"/>
      <c r="K4015" s="450"/>
      <c r="L4015" s="443"/>
      <c r="M4015" s="450"/>
      <c r="N4015" s="452"/>
      <c r="O4015" s="453"/>
      <c r="P4015" s="113"/>
      <c r="Q4015" s="106" t="str">
        <f>IF(ISBLANK(O4015), "", VLOOKUP(C4015&amp;" "&amp;D4015, 'Info Tipo de Cambio y REM'!$A$24:$B$35, 2, FALSE))</f>
        <v/>
      </c>
      <c r="R4015" s="107"/>
    </row>
    <row r="4016" hidden="1">
      <c r="A4016" s="443"/>
      <c r="B4016" s="43" t="str">
        <f>IF(A4016="", "", IFERROR(VLOOKUP(A4016, Clasificaciones!A:B, 2, FALSE), "DATO NO CARGADO"))
</f>
        <v/>
      </c>
      <c r="C4016" s="51"/>
      <c r="D4016" s="102"/>
      <c r="E4016" s="102"/>
      <c r="H4016" s="102"/>
      <c r="J4016" s="102"/>
      <c r="K4016" s="450"/>
      <c r="L4016" s="443"/>
      <c r="M4016" s="450"/>
      <c r="N4016" s="452"/>
      <c r="O4016" s="453"/>
      <c r="P4016" s="113"/>
      <c r="Q4016" s="106" t="str">
        <f>IF(ISBLANK(O4016), "", VLOOKUP(C4016&amp;" "&amp;D4016, 'Info Tipo de Cambio y REM'!$A$24:$B$35, 2, FALSE))</f>
        <v/>
      </c>
      <c r="R4016" s="107"/>
    </row>
    <row r="4017" hidden="1">
      <c r="A4017" s="443"/>
      <c r="B4017" s="43" t="str">
        <f>IF(A4017="", "", IFERROR(VLOOKUP(A4017, Clasificaciones!A:B, 2, FALSE), "DATO NO CARGADO"))
</f>
        <v/>
      </c>
      <c r="C4017" s="51"/>
      <c r="D4017" s="102"/>
      <c r="E4017" s="102"/>
      <c r="H4017" s="102"/>
      <c r="J4017" s="102"/>
      <c r="K4017" s="450"/>
      <c r="L4017" s="443"/>
      <c r="M4017" s="450"/>
      <c r="N4017" s="452"/>
      <c r="O4017" s="453"/>
      <c r="P4017" s="113"/>
      <c r="Q4017" s="106" t="str">
        <f>IF(ISBLANK(O4017), "", VLOOKUP(C4017&amp;" "&amp;D4017, 'Info Tipo de Cambio y REM'!$A$24:$B$35, 2, FALSE))</f>
        <v/>
      </c>
      <c r="R4017" s="107"/>
    </row>
    <row r="4018" hidden="1">
      <c r="A4018" s="443"/>
      <c r="B4018" s="43" t="str">
        <f>IF(A4018="", "", IFERROR(VLOOKUP(A4018, Clasificaciones!A:B, 2, FALSE), "DATO NO CARGADO"))
</f>
        <v/>
      </c>
      <c r="C4018" s="51"/>
      <c r="D4018" s="102"/>
      <c r="E4018" s="102"/>
      <c r="H4018" s="102"/>
      <c r="J4018" s="102"/>
      <c r="K4018" s="450"/>
      <c r="L4018" s="443"/>
      <c r="M4018" s="450"/>
      <c r="N4018" s="452"/>
      <c r="O4018" s="453"/>
      <c r="P4018" s="113"/>
      <c r="Q4018" s="106" t="str">
        <f>IF(ISBLANK(O4018), "", VLOOKUP(C4018&amp;" "&amp;D4018, 'Info Tipo de Cambio y REM'!$A$24:$B$35, 2, FALSE))</f>
        <v/>
      </c>
      <c r="R4018" s="107"/>
    </row>
    <row r="4019" hidden="1">
      <c r="A4019" s="443"/>
      <c r="B4019" s="43" t="str">
        <f>IF(A4019="", "", IFERROR(VLOOKUP(A4019, Clasificaciones!A:B, 2, FALSE), "DATO NO CARGADO"))
</f>
        <v/>
      </c>
      <c r="C4019" s="51"/>
      <c r="D4019" s="102"/>
      <c r="E4019" s="102"/>
      <c r="H4019" s="102"/>
      <c r="J4019" s="102"/>
      <c r="K4019" s="450"/>
      <c r="L4019" s="443"/>
      <c r="M4019" s="450"/>
      <c r="N4019" s="452"/>
      <c r="O4019" s="453"/>
      <c r="P4019" s="113"/>
      <c r="Q4019" s="106" t="str">
        <f>IF(ISBLANK(O4019), "", VLOOKUP(C4019&amp;" "&amp;D4019, 'Info Tipo de Cambio y REM'!$A$24:$B$35, 2, FALSE))</f>
        <v/>
      </c>
      <c r="R4019" s="107"/>
    </row>
    <row r="4020" hidden="1">
      <c r="A4020" s="443"/>
      <c r="B4020" s="43" t="str">
        <f>IF(A4020="", "", IFERROR(VLOOKUP(A4020, Clasificaciones!A:B, 2, FALSE), "DATO NO CARGADO"))
</f>
        <v/>
      </c>
      <c r="C4020" s="51"/>
      <c r="D4020" s="102"/>
      <c r="E4020" s="102"/>
      <c r="H4020" s="102"/>
      <c r="J4020" s="102"/>
      <c r="K4020" s="450"/>
      <c r="L4020" s="443"/>
      <c r="M4020" s="450"/>
      <c r="N4020" s="452"/>
      <c r="O4020" s="453"/>
      <c r="P4020" s="113"/>
      <c r="Q4020" s="106" t="str">
        <f>IF(ISBLANK(O4020), "", VLOOKUP(C4020&amp;" "&amp;D4020, 'Info Tipo de Cambio y REM'!$A$24:$B$35, 2, FALSE))</f>
        <v/>
      </c>
      <c r="R4020" s="107"/>
    </row>
    <row r="4021" hidden="1">
      <c r="A4021" s="443"/>
      <c r="B4021" s="43" t="str">
        <f>IF(A4021="", "", IFERROR(VLOOKUP(A4021, Clasificaciones!A:B, 2, FALSE), "DATO NO CARGADO"))
</f>
        <v/>
      </c>
      <c r="C4021" s="51"/>
      <c r="D4021" s="102"/>
      <c r="E4021" s="102"/>
      <c r="H4021" s="102"/>
      <c r="J4021" s="102"/>
      <c r="K4021" s="450"/>
      <c r="L4021" s="443"/>
      <c r="M4021" s="450"/>
      <c r="N4021" s="452"/>
      <c r="O4021" s="453"/>
      <c r="P4021" s="113"/>
      <c r="Q4021" s="106" t="str">
        <f>IF(ISBLANK(O4021), "", VLOOKUP(C4021&amp;" "&amp;D4021, 'Info Tipo de Cambio y REM'!$A$24:$B$35, 2, FALSE))</f>
        <v/>
      </c>
      <c r="R4021" s="107"/>
    </row>
    <row r="4022" hidden="1">
      <c r="A4022" s="443"/>
      <c r="B4022" s="43" t="str">
        <f>IF(A4022="", "", IFERROR(VLOOKUP(A4022, Clasificaciones!A:B, 2, FALSE), "DATO NO CARGADO"))
</f>
        <v/>
      </c>
      <c r="C4022" s="51"/>
      <c r="D4022" s="102"/>
      <c r="E4022" s="102"/>
      <c r="H4022" s="102"/>
      <c r="J4022" s="102"/>
      <c r="K4022" s="450"/>
      <c r="L4022" s="443"/>
      <c r="M4022" s="450"/>
      <c r="N4022" s="452"/>
      <c r="O4022" s="453"/>
      <c r="P4022" s="113"/>
      <c r="Q4022" s="106" t="str">
        <f>IF(ISBLANK(O4022), "", VLOOKUP(C4022&amp;" "&amp;D4022, 'Info Tipo de Cambio y REM'!$A$24:$B$35, 2, FALSE))</f>
        <v/>
      </c>
      <c r="R4022" s="107"/>
    </row>
    <row r="4023" hidden="1">
      <c r="A4023" s="443"/>
      <c r="B4023" s="43" t="str">
        <f>IF(A4023="", "", IFERROR(VLOOKUP(A4023, Clasificaciones!A:B, 2, FALSE), "DATO NO CARGADO"))
</f>
        <v/>
      </c>
      <c r="C4023" s="51"/>
      <c r="D4023" s="102"/>
      <c r="E4023" s="102"/>
      <c r="H4023" s="102"/>
      <c r="J4023" s="102"/>
      <c r="K4023" s="450"/>
      <c r="L4023" s="443"/>
      <c r="M4023" s="450"/>
      <c r="N4023" s="452"/>
      <c r="O4023" s="453"/>
      <c r="P4023" s="113"/>
      <c r="Q4023" s="106" t="str">
        <f>IF(ISBLANK(O4023), "", VLOOKUP(C4023&amp;" "&amp;D4023, 'Info Tipo de Cambio y REM'!$A$24:$B$35, 2, FALSE))</f>
        <v/>
      </c>
      <c r="R4023" s="107"/>
    </row>
    <row r="4024" hidden="1">
      <c r="A4024" s="443"/>
      <c r="B4024" s="43" t="str">
        <f>IF(A4024="", "", IFERROR(VLOOKUP(A4024, Clasificaciones!A:B, 2, FALSE), "DATO NO CARGADO"))
</f>
        <v/>
      </c>
      <c r="C4024" s="51"/>
      <c r="D4024" s="102"/>
      <c r="E4024" s="102"/>
      <c r="H4024" s="102"/>
      <c r="J4024" s="102"/>
      <c r="K4024" s="450"/>
      <c r="L4024" s="443"/>
      <c r="M4024" s="450"/>
      <c r="N4024" s="452"/>
      <c r="O4024" s="453"/>
      <c r="P4024" s="113"/>
      <c r="Q4024" s="106" t="str">
        <f>IF(ISBLANK(O4024), "", VLOOKUP(C4024&amp;" "&amp;D4024, 'Info Tipo de Cambio y REM'!$A$24:$B$35, 2, FALSE))</f>
        <v/>
      </c>
      <c r="R4024" s="107"/>
    </row>
    <row r="4025" hidden="1">
      <c r="A4025" s="443"/>
      <c r="B4025" s="43" t="str">
        <f>IF(A4025="", "", IFERROR(VLOOKUP(A4025, Clasificaciones!A:B, 2, FALSE), "DATO NO CARGADO"))
</f>
        <v/>
      </c>
      <c r="C4025" s="51"/>
      <c r="D4025" s="102"/>
      <c r="E4025" s="102"/>
      <c r="H4025" s="102"/>
      <c r="J4025" s="102"/>
      <c r="K4025" s="450"/>
      <c r="L4025" s="443"/>
      <c r="M4025" s="450"/>
      <c r="N4025" s="452"/>
      <c r="O4025" s="453"/>
      <c r="P4025" s="113"/>
      <c r="Q4025" s="106" t="str">
        <f>IF(ISBLANK(O4025), "", VLOOKUP(C4025&amp;" "&amp;D4025, 'Info Tipo de Cambio y REM'!$A$24:$B$35, 2, FALSE))</f>
        <v/>
      </c>
      <c r="R4025" s="107"/>
    </row>
    <row r="4026" hidden="1">
      <c r="A4026" s="443"/>
      <c r="B4026" s="43" t="str">
        <f>IF(A4026="", "", IFERROR(VLOOKUP(A4026, Clasificaciones!A:B, 2, FALSE), "DATO NO CARGADO"))
</f>
        <v/>
      </c>
      <c r="C4026" s="51"/>
      <c r="D4026" s="102"/>
      <c r="E4026" s="102"/>
      <c r="H4026" s="102"/>
      <c r="J4026" s="102"/>
      <c r="K4026" s="450"/>
      <c r="L4026" s="443"/>
      <c r="M4026" s="450"/>
      <c r="N4026" s="452"/>
      <c r="O4026" s="453"/>
      <c r="P4026" s="113"/>
      <c r="Q4026" s="106" t="str">
        <f>IF(ISBLANK(O4026), "", VLOOKUP(C4026&amp;" "&amp;D4026, 'Info Tipo de Cambio y REM'!$A$24:$B$35, 2, FALSE))</f>
        <v/>
      </c>
      <c r="R4026" s="107"/>
    </row>
    <row r="4027" hidden="1">
      <c r="A4027" s="443"/>
      <c r="B4027" s="43" t="str">
        <f>IF(A4027="", "", IFERROR(VLOOKUP(A4027, Clasificaciones!A:B, 2, FALSE), "DATO NO CARGADO"))
</f>
        <v/>
      </c>
      <c r="C4027" s="51"/>
      <c r="D4027" s="102"/>
      <c r="E4027" s="102"/>
      <c r="H4027" s="102"/>
      <c r="J4027" s="102"/>
      <c r="K4027" s="450"/>
      <c r="L4027" s="443"/>
      <c r="M4027" s="450"/>
      <c r="N4027" s="452"/>
      <c r="O4027" s="453"/>
      <c r="P4027" s="113"/>
      <c r="Q4027" s="106" t="str">
        <f>IF(ISBLANK(O4027), "", VLOOKUP(C4027&amp;" "&amp;D4027, 'Info Tipo de Cambio y REM'!$A$24:$B$35, 2, FALSE))</f>
        <v/>
      </c>
      <c r="R4027" s="107"/>
    </row>
    <row r="4028" hidden="1">
      <c r="A4028" s="443"/>
      <c r="B4028" s="43" t="str">
        <f>IF(A4028="", "", IFERROR(VLOOKUP(A4028, Clasificaciones!A:B, 2, FALSE), "DATO NO CARGADO"))
</f>
        <v/>
      </c>
      <c r="C4028" s="51"/>
      <c r="D4028" s="102"/>
      <c r="E4028" s="102"/>
      <c r="H4028" s="102"/>
      <c r="J4028" s="102"/>
      <c r="K4028" s="450"/>
      <c r="L4028" s="443"/>
      <c r="M4028" s="450"/>
      <c r="N4028" s="452"/>
      <c r="O4028" s="453"/>
      <c r="P4028" s="113"/>
      <c r="Q4028" s="106" t="str">
        <f>IF(ISBLANK(O4028), "", VLOOKUP(C4028&amp;" "&amp;D4028, 'Info Tipo de Cambio y REM'!$A$24:$B$35, 2, FALSE))</f>
        <v/>
      </c>
      <c r="R4028" s="107"/>
    </row>
    <row r="4029" hidden="1">
      <c r="A4029" s="443"/>
      <c r="B4029" s="43" t="str">
        <f>IF(A4029="", "", IFERROR(VLOOKUP(A4029, Clasificaciones!A:B, 2, FALSE), "DATO NO CARGADO"))
</f>
        <v/>
      </c>
      <c r="C4029" s="51"/>
      <c r="D4029" s="102"/>
      <c r="E4029" s="102"/>
      <c r="H4029" s="102"/>
      <c r="J4029" s="102"/>
      <c r="K4029" s="450"/>
      <c r="L4029" s="443"/>
      <c r="M4029" s="450"/>
      <c r="N4029" s="452"/>
      <c r="O4029" s="453"/>
      <c r="P4029" s="113"/>
      <c r="Q4029" s="106" t="str">
        <f>IF(ISBLANK(O4029), "", VLOOKUP(C4029&amp;" "&amp;D4029, 'Info Tipo de Cambio y REM'!$A$24:$B$35, 2, FALSE))</f>
        <v/>
      </c>
      <c r="R4029" s="107"/>
    </row>
    <row r="4030" hidden="1">
      <c r="A4030" s="443"/>
      <c r="B4030" s="43" t="str">
        <f>IF(A4030="", "", IFERROR(VLOOKUP(A4030, Clasificaciones!A:B, 2, FALSE), "DATO NO CARGADO"))
</f>
        <v/>
      </c>
      <c r="C4030" s="51"/>
      <c r="D4030" s="102"/>
      <c r="E4030" s="102"/>
      <c r="H4030" s="102"/>
      <c r="J4030" s="102"/>
      <c r="K4030" s="450"/>
      <c r="L4030" s="443"/>
      <c r="M4030" s="450"/>
      <c r="N4030" s="452"/>
      <c r="O4030" s="453"/>
      <c r="P4030" s="113"/>
      <c r="Q4030" s="106" t="str">
        <f>IF(ISBLANK(O4030), "", VLOOKUP(C4030&amp;" "&amp;D4030, 'Info Tipo de Cambio y REM'!$A$24:$B$35, 2, FALSE))</f>
        <v/>
      </c>
      <c r="R4030" s="107"/>
    </row>
    <row r="4031" hidden="1">
      <c r="A4031" s="443"/>
      <c r="B4031" s="43" t="str">
        <f>IF(A4031="", "", IFERROR(VLOOKUP(A4031, Clasificaciones!A:B, 2, FALSE), "DATO NO CARGADO"))
</f>
        <v/>
      </c>
      <c r="C4031" s="51"/>
      <c r="D4031" s="102"/>
      <c r="E4031" s="102"/>
      <c r="H4031" s="102"/>
      <c r="J4031" s="102"/>
      <c r="K4031" s="450"/>
      <c r="L4031" s="443"/>
      <c r="M4031" s="450"/>
      <c r="N4031" s="452"/>
      <c r="O4031" s="453"/>
      <c r="P4031" s="113"/>
      <c r="Q4031" s="106" t="str">
        <f>IF(ISBLANK(O4031), "", VLOOKUP(C4031&amp;" "&amp;D4031, 'Info Tipo de Cambio y REM'!$A$24:$B$35, 2, FALSE))</f>
        <v/>
      </c>
      <c r="R4031" s="107"/>
    </row>
    <row r="4032" hidden="1">
      <c r="A4032" s="443"/>
      <c r="B4032" s="43" t="str">
        <f>IF(A4032="", "", IFERROR(VLOOKUP(A4032, Clasificaciones!A:B, 2, FALSE), "DATO NO CARGADO"))
</f>
        <v/>
      </c>
      <c r="C4032" s="51"/>
      <c r="D4032" s="102"/>
      <c r="E4032" s="102"/>
      <c r="H4032" s="102"/>
      <c r="J4032" s="102"/>
      <c r="K4032" s="450"/>
      <c r="L4032" s="443"/>
      <c r="M4032" s="450"/>
      <c r="N4032" s="452"/>
      <c r="O4032" s="453"/>
      <c r="P4032" s="113"/>
      <c r="Q4032" s="106" t="str">
        <f>IF(ISBLANK(O4032), "", VLOOKUP(C4032&amp;" "&amp;D4032, 'Info Tipo de Cambio y REM'!$A$24:$B$35, 2, FALSE))</f>
        <v/>
      </c>
      <c r="R4032" s="107"/>
    </row>
    <row r="4033" hidden="1">
      <c r="A4033" s="443"/>
      <c r="B4033" s="43" t="str">
        <f>IF(A4033="", "", IFERROR(VLOOKUP(A4033, Clasificaciones!A:B, 2, FALSE), "DATO NO CARGADO"))
</f>
        <v/>
      </c>
      <c r="C4033" s="51"/>
      <c r="D4033" s="102"/>
      <c r="E4033" s="102"/>
      <c r="H4033" s="102"/>
      <c r="J4033" s="102"/>
      <c r="K4033" s="450"/>
      <c r="L4033" s="443"/>
      <c r="M4033" s="450"/>
      <c r="N4033" s="452"/>
      <c r="O4033" s="453"/>
      <c r="P4033" s="113"/>
      <c r="Q4033" s="106" t="str">
        <f>IF(ISBLANK(O4033), "", VLOOKUP(C4033&amp;" "&amp;D4033, 'Info Tipo de Cambio y REM'!$A$24:$B$35, 2, FALSE))</f>
        <v/>
      </c>
      <c r="R4033" s="107"/>
    </row>
    <row r="4034" hidden="1">
      <c r="A4034" s="443"/>
      <c r="B4034" s="43" t="str">
        <f>IF(A4034="", "", IFERROR(VLOOKUP(A4034, Clasificaciones!A:B, 2, FALSE), "DATO NO CARGADO"))
</f>
        <v/>
      </c>
      <c r="C4034" s="51"/>
      <c r="D4034" s="102"/>
      <c r="E4034" s="102"/>
      <c r="H4034" s="102"/>
      <c r="J4034" s="102"/>
      <c r="K4034" s="450"/>
      <c r="L4034" s="443"/>
      <c r="M4034" s="450"/>
      <c r="N4034" s="452"/>
      <c r="O4034" s="453"/>
      <c r="P4034" s="113"/>
      <c r="Q4034" s="106" t="str">
        <f>IF(ISBLANK(O4034), "", VLOOKUP(C4034&amp;" "&amp;D4034, 'Info Tipo de Cambio y REM'!$A$24:$B$35, 2, FALSE))</f>
        <v/>
      </c>
      <c r="R4034" s="107"/>
    </row>
    <row r="4035" hidden="1">
      <c r="A4035" s="443"/>
      <c r="B4035" s="43" t="str">
        <f>IF(A4035="", "", IFERROR(VLOOKUP(A4035, Clasificaciones!A:B, 2, FALSE), "DATO NO CARGADO"))
</f>
        <v/>
      </c>
      <c r="C4035" s="51"/>
      <c r="D4035" s="102"/>
      <c r="E4035" s="102"/>
      <c r="H4035" s="102"/>
      <c r="J4035" s="102"/>
      <c r="K4035" s="450"/>
      <c r="L4035" s="443"/>
      <c r="M4035" s="450"/>
      <c r="N4035" s="452"/>
      <c r="O4035" s="453"/>
      <c r="P4035" s="113"/>
      <c r="Q4035" s="106" t="str">
        <f>IF(ISBLANK(O4035), "", VLOOKUP(C4035&amp;" "&amp;D4035, 'Info Tipo de Cambio y REM'!$A$24:$B$35, 2, FALSE))</f>
        <v/>
      </c>
      <c r="R4035" s="107"/>
    </row>
    <row r="4036" hidden="1">
      <c r="A4036" s="443"/>
      <c r="B4036" s="43" t="str">
        <f>IF(A4036="", "", IFERROR(VLOOKUP(A4036, Clasificaciones!A:B, 2, FALSE), "DATO NO CARGADO"))
</f>
        <v/>
      </c>
      <c r="C4036" s="51"/>
      <c r="D4036" s="102"/>
      <c r="E4036" s="102"/>
      <c r="H4036" s="102"/>
      <c r="J4036" s="102"/>
      <c r="K4036" s="450"/>
      <c r="L4036" s="443"/>
      <c r="M4036" s="450"/>
      <c r="N4036" s="452"/>
      <c r="O4036" s="453"/>
      <c r="P4036" s="113"/>
      <c r="Q4036" s="106" t="str">
        <f>IF(ISBLANK(O4036), "", VLOOKUP(C4036&amp;" "&amp;D4036, 'Info Tipo de Cambio y REM'!$A$24:$B$35, 2, FALSE))</f>
        <v/>
      </c>
      <c r="R4036" s="107"/>
    </row>
    <row r="4037" hidden="1">
      <c r="A4037" s="443"/>
      <c r="B4037" s="43" t="str">
        <f>IF(A4037="", "", IFERROR(VLOOKUP(A4037, Clasificaciones!A:B, 2, FALSE), "DATO NO CARGADO"))
</f>
        <v/>
      </c>
      <c r="C4037" s="51"/>
      <c r="D4037" s="102"/>
      <c r="E4037" s="102"/>
      <c r="H4037" s="102"/>
      <c r="J4037" s="102"/>
      <c r="K4037" s="450"/>
      <c r="L4037" s="443"/>
      <c r="M4037" s="450"/>
      <c r="N4037" s="452"/>
      <c r="O4037" s="453"/>
      <c r="P4037" s="113"/>
      <c r="Q4037" s="106" t="str">
        <f>IF(ISBLANK(O4037), "", VLOOKUP(C4037&amp;" "&amp;D4037, 'Info Tipo de Cambio y REM'!$A$24:$B$35, 2, FALSE))</f>
        <v/>
      </c>
      <c r="R4037" s="107"/>
    </row>
    <row r="4038" hidden="1">
      <c r="A4038" s="443"/>
      <c r="B4038" s="43" t="str">
        <f>IF(A4038="", "", IFERROR(VLOOKUP(A4038, Clasificaciones!A:B, 2, FALSE), "DATO NO CARGADO"))
</f>
        <v/>
      </c>
      <c r="C4038" s="51"/>
      <c r="D4038" s="102"/>
      <c r="E4038" s="102"/>
      <c r="H4038" s="102"/>
      <c r="J4038" s="102"/>
      <c r="K4038" s="450"/>
      <c r="L4038" s="443"/>
      <c r="M4038" s="450"/>
      <c r="N4038" s="452"/>
      <c r="O4038" s="453"/>
      <c r="P4038" s="113"/>
      <c r="Q4038" s="106" t="str">
        <f>IF(ISBLANK(O4038), "", VLOOKUP(C4038&amp;" "&amp;D4038, 'Info Tipo de Cambio y REM'!$A$24:$B$35, 2, FALSE))</f>
        <v/>
      </c>
      <c r="R4038" s="107"/>
    </row>
    <row r="4039" hidden="1">
      <c r="A4039" s="443"/>
      <c r="B4039" s="43" t="str">
        <f>IF(A4039="", "", IFERROR(VLOOKUP(A4039, Clasificaciones!A:B, 2, FALSE), "DATO NO CARGADO"))
</f>
        <v/>
      </c>
      <c r="C4039" s="51"/>
      <c r="D4039" s="102"/>
      <c r="E4039" s="102"/>
      <c r="H4039" s="102"/>
      <c r="J4039" s="102"/>
      <c r="K4039" s="450"/>
      <c r="L4039" s="443"/>
      <c r="M4039" s="450"/>
      <c r="N4039" s="452"/>
      <c r="O4039" s="453"/>
      <c r="P4039" s="113"/>
      <c r="Q4039" s="106" t="str">
        <f>IF(ISBLANK(O4039), "", VLOOKUP(C4039&amp;" "&amp;D4039, 'Info Tipo de Cambio y REM'!$A$24:$B$35, 2, FALSE))</f>
        <v/>
      </c>
      <c r="R4039" s="107"/>
    </row>
    <row r="4040" hidden="1">
      <c r="A4040" s="443"/>
      <c r="B4040" s="43" t="str">
        <f>IF(A4040="", "", IFERROR(VLOOKUP(A4040, Clasificaciones!A:B, 2, FALSE), "DATO NO CARGADO"))
</f>
        <v/>
      </c>
      <c r="C4040" s="51"/>
      <c r="D4040" s="102"/>
      <c r="E4040" s="102"/>
      <c r="H4040" s="102"/>
      <c r="J4040" s="102"/>
      <c r="K4040" s="450"/>
      <c r="L4040" s="443"/>
      <c r="M4040" s="450"/>
      <c r="N4040" s="452"/>
      <c r="O4040" s="453"/>
      <c r="P4040" s="113"/>
      <c r="Q4040" s="106" t="str">
        <f>IF(ISBLANK(O4040), "", VLOOKUP(C4040&amp;" "&amp;D4040, 'Info Tipo de Cambio y REM'!$A$24:$B$35, 2, FALSE))</f>
        <v/>
      </c>
      <c r="R4040" s="107"/>
    </row>
    <row r="4041" hidden="1">
      <c r="A4041" s="443"/>
      <c r="B4041" s="43" t="str">
        <f>IF(A4041="", "", IFERROR(VLOOKUP(A4041, Clasificaciones!A:B, 2, FALSE), "DATO NO CARGADO"))
</f>
        <v/>
      </c>
      <c r="C4041" s="51"/>
      <c r="D4041" s="102"/>
      <c r="E4041" s="102"/>
      <c r="H4041" s="102"/>
      <c r="J4041" s="102"/>
      <c r="K4041" s="450"/>
      <c r="L4041" s="443"/>
      <c r="M4041" s="450"/>
      <c r="N4041" s="452"/>
      <c r="O4041" s="453"/>
      <c r="P4041" s="113"/>
      <c r="Q4041" s="106" t="str">
        <f>IF(ISBLANK(O4041), "", VLOOKUP(C4041&amp;" "&amp;D4041, 'Info Tipo de Cambio y REM'!$A$24:$B$35, 2, FALSE))</f>
        <v/>
      </c>
      <c r="R4041" s="107"/>
    </row>
    <row r="4042" hidden="1">
      <c r="A4042" s="443"/>
      <c r="B4042" s="43" t="str">
        <f>IF(A4042="", "", IFERROR(VLOOKUP(A4042, Clasificaciones!A:B, 2, FALSE), "DATO NO CARGADO"))
</f>
        <v/>
      </c>
      <c r="C4042" s="51"/>
      <c r="D4042" s="102"/>
      <c r="E4042" s="102"/>
      <c r="H4042" s="102"/>
      <c r="J4042" s="102"/>
      <c r="K4042" s="450"/>
      <c r="L4042" s="443"/>
      <c r="M4042" s="450"/>
      <c r="N4042" s="452"/>
      <c r="O4042" s="453"/>
      <c r="P4042" s="113"/>
      <c r="Q4042" s="106" t="str">
        <f>IF(ISBLANK(O4042), "", VLOOKUP(C4042&amp;" "&amp;D4042, 'Info Tipo de Cambio y REM'!$A$24:$B$35, 2, FALSE))</f>
        <v/>
      </c>
      <c r="R4042" s="107"/>
    </row>
    <row r="4043" hidden="1">
      <c r="A4043" s="443"/>
      <c r="B4043" s="43" t="str">
        <f>IF(A4043="", "", IFERROR(VLOOKUP(A4043, Clasificaciones!A:B, 2, FALSE), "DATO NO CARGADO"))
</f>
        <v/>
      </c>
      <c r="C4043" s="51"/>
      <c r="D4043" s="102"/>
      <c r="E4043" s="102"/>
      <c r="H4043" s="102"/>
      <c r="J4043" s="102"/>
      <c r="K4043" s="450"/>
      <c r="L4043" s="443"/>
      <c r="M4043" s="450"/>
      <c r="N4043" s="452"/>
      <c r="O4043" s="453"/>
      <c r="P4043" s="113"/>
      <c r="Q4043" s="106" t="str">
        <f>IF(ISBLANK(O4043), "", VLOOKUP(C4043&amp;" "&amp;D4043, 'Info Tipo de Cambio y REM'!$A$24:$B$35, 2, FALSE))</f>
        <v/>
      </c>
      <c r="R4043" s="107"/>
    </row>
    <row r="4044" hidden="1">
      <c r="A4044" s="443"/>
      <c r="B4044" s="43" t="str">
        <f>IF(A4044="", "", IFERROR(VLOOKUP(A4044, Clasificaciones!A:B, 2, FALSE), "DATO NO CARGADO"))
</f>
        <v/>
      </c>
      <c r="C4044" s="51"/>
      <c r="D4044" s="102"/>
      <c r="E4044" s="102"/>
      <c r="H4044" s="102"/>
      <c r="J4044" s="102"/>
      <c r="K4044" s="450"/>
      <c r="L4044" s="443"/>
      <c r="M4044" s="450"/>
      <c r="N4044" s="452"/>
      <c r="O4044" s="453"/>
      <c r="P4044" s="113"/>
      <c r="Q4044" s="106" t="str">
        <f>IF(ISBLANK(O4044), "", VLOOKUP(C4044&amp;" "&amp;D4044, 'Info Tipo de Cambio y REM'!$A$24:$B$35, 2, FALSE))</f>
        <v/>
      </c>
      <c r="R4044" s="107"/>
    </row>
    <row r="4045" hidden="1">
      <c r="A4045" s="443"/>
      <c r="B4045" s="43" t="str">
        <f>IF(A4045="", "", IFERROR(VLOOKUP(A4045, Clasificaciones!A:B, 2, FALSE), "DATO NO CARGADO"))
</f>
        <v/>
      </c>
      <c r="C4045" s="51"/>
      <c r="D4045" s="102"/>
      <c r="E4045" s="102"/>
      <c r="H4045" s="102"/>
      <c r="J4045" s="102"/>
      <c r="K4045" s="450"/>
      <c r="L4045" s="443"/>
      <c r="M4045" s="450"/>
      <c r="N4045" s="452"/>
      <c r="O4045" s="453"/>
      <c r="P4045" s="113"/>
      <c r="Q4045" s="106" t="str">
        <f>IF(ISBLANK(O4045), "", VLOOKUP(C4045&amp;" "&amp;D4045, 'Info Tipo de Cambio y REM'!$A$24:$B$35, 2, FALSE))</f>
        <v/>
      </c>
      <c r="R4045" s="107"/>
    </row>
    <row r="4046" hidden="1">
      <c r="A4046" s="443"/>
      <c r="B4046" s="43" t="str">
        <f>IF(A4046="", "", IFERROR(VLOOKUP(A4046, Clasificaciones!A:B, 2, FALSE), "DATO NO CARGADO"))
</f>
        <v/>
      </c>
      <c r="C4046" s="51"/>
      <c r="D4046" s="102"/>
      <c r="E4046" s="102"/>
      <c r="H4046" s="102"/>
      <c r="J4046" s="102"/>
      <c r="K4046" s="450"/>
      <c r="L4046" s="443"/>
      <c r="M4046" s="450"/>
      <c r="N4046" s="452"/>
      <c r="O4046" s="453"/>
      <c r="P4046" s="113"/>
      <c r="Q4046" s="106" t="str">
        <f>IF(ISBLANK(O4046), "", VLOOKUP(C4046&amp;" "&amp;D4046, 'Info Tipo de Cambio y REM'!$A$24:$B$35, 2, FALSE))</f>
        <v/>
      </c>
      <c r="R4046" s="107"/>
    </row>
    <row r="4047" hidden="1">
      <c r="A4047" s="443"/>
      <c r="B4047" s="43" t="str">
        <f>IF(A4047="", "", IFERROR(VLOOKUP(A4047, Clasificaciones!A:B, 2, FALSE), "DATO NO CARGADO"))
</f>
        <v/>
      </c>
      <c r="C4047" s="51"/>
      <c r="D4047" s="102"/>
      <c r="E4047" s="102"/>
      <c r="H4047" s="102"/>
      <c r="J4047" s="102"/>
      <c r="K4047" s="450"/>
      <c r="L4047" s="443"/>
      <c r="M4047" s="450"/>
      <c r="N4047" s="452"/>
      <c r="O4047" s="453"/>
      <c r="P4047" s="113"/>
      <c r="Q4047" s="106" t="str">
        <f>IF(ISBLANK(O4047), "", VLOOKUP(C4047&amp;" "&amp;D4047, 'Info Tipo de Cambio y REM'!$A$24:$B$35, 2, FALSE))</f>
        <v/>
      </c>
      <c r="R4047" s="107"/>
    </row>
    <row r="4048" hidden="1">
      <c r="A4048" s="443"/>
      <c r="B4048" s="43" t="str">
        <f>IF(A4048="", "", IFERROR(VLOOKUP(A4048, Clasificaciones!A:B, 2, FALSE), "DATO NO CARGADO"))
</f>
        <v/>
      </c>
      <c r="C4048" s="51"/>
      <c r="D4048" s="102"/>
      <c r="E4048" s="102"/>
      <c r="H4048" s="102"/>
      <c r="J4048" s="102"/>
      <c r="K4048" s="450"/>
      <c r="L4048" s="443"/>
      <c r="M4048" s="450"/>
      <c r="N4048" s="452"/>
      <c r="O4048" s="453"/>
      <c r="P4048" s="113"/>
      <c r="Q4048" s="106" t="str">
        <f>IF(ISBLANK(O4048), "", VLOOKUP(C4048&amp;" "&amp;D4048, 'Info Tipo de Cambio y REM'!$A$24:$B$35, 2, FALSE))</f>
        <v/>
      </c>
      <c r="R4048" s="107"/>
    </row>
    <row r="4049" hidden="1">
      <c r="A4049" s="443"/>
      <c r="B4049" s="43" t="str">
        <f>IF(A4049="", "", IFERROR(VLOOKUP(A4049, Clasificaciones!A:B, 2, FALSE), "DATO NO CARGADO"))
</f>
        <v/>
      </c>
      <c r="C4049" s="51"/>
      <c r="D4049" s="102"/>
      <c r="E4049" s="102"/>
      <c r="H4049" s="102"/>
      <c r="J4049" s="102"/>
      <c r="K4049" s="450"/>
      <c r="L4049" s="443"/>
      <c r="M4049" s="450"/>
      <c r="N4049" s="452"/>
      <c r="O4049" s="453"/>
      <c r="P4049" s="113"/>
      <c r="Q4049" s="106" t="str">
        <f>IF(ISBLANK(O4049), "", VLOOKUP(C4049&amp;" "&amp;D4049, 'Info Tipo de Cambio y REM'!$A$24:$B$35, 2, FALSE))</f>
        <v/>
      </c>
      <c r="R4049" s="107"/>
    </row>
    <row r="4050" hidden="1">
      <c r="A4050" s="443"/>
      <c r="B4050" s="43" t="str">
        <f>IF(A4050="", "", IFERROR(VLOOKUP(A4050, Clasificaciones!A:B, 2, FALSE), "DATO NO CARGADO"))
</f>
        <v/>
      </c>
      <c r="C4050" s="51"/>
      <c r="D4050" s="102"/>
      <c r="E4050" s="102"/>
      <c r="H4050" s="102"/>
      <c r="J4050" s="102"/>
      <c r="K4050" s="450"/>
      <c r="L4050" s="443"/>
      <c r="M4050" s="450"/>
      <c r="N4050" s="452"/>
      <c r="O4050" s="453"/>
      <c r="P4050" s="113"/>
      <c r="Q4050" s="106" t="str">
        <f>IF(ISBLANK(O4050), "", VLOOKUP(C4050&amp;" "&amp;D4050, 'Info Tipo de Cambio y REM'!$A$24:$B$35, 2, FALSE))</f>
        <v/>
      </c>
      <c r="R4050" s="107"/>
    </row>
    <row r="4051" hidden="1">
      <c r="A4051" s="443"/>
      <c r="B4051" s="43" t="str">
        <f>IF(A4051="", "", IFERROR(VLOOKUP(A4051, Clasificaciones!A:B, 2, FALSE), "DATO NO CARGADO"))
</f>
        <v/>
      </c>
      <c r="C4051" s="51"/>
      <c r="D4051" s="102"/>
      <c r="E4051" s="102"/>
      <c r="H4051" s="102"/>
      <c r="J4051" s="102"/>
      <c r="K4051" s="450"/>
      <c r="L4051" s="443"/>
      <c r="M4051" s="450"/>
      <c r="N4051" s="452"/>
      <c r="O4051" s="453"/>
      <c r="P4051" s="113"/>
      <c r="Q4051" s="106" t="str">
        <f>IF(ISBLANK(O4051), "", VLOOKUP(C4051&amp;" "&amp;D4051, 'Info Tipo de Cambio y REM'!$A$24:$B$35, 2, FALSE))</f>
        <v/>
      </c>
      <c r="R4051" s="107"/>
    </row>
    <row r="4052" hidden="1">
      <c r="A4052" s="443"/>
      <c r="B4052" s="43" t="str">
        <f>IF(A4052="", "", IFERROR(VLOOKUP(A4052, Clasificaciones!A:B, 2, FALSE), "DATO NO CARGADO"))
</f>
        <v/>
      </c>
      <c r="C4052" s="51"/>
      <c r="D4052" s="102"/>
      <c r="E4052" s="102"/>
      <c r="H4052" s="102"/>
      <c r="J4052" s="102"/>
      <c r="K4052" s="450"/>
      <c r="L4052" s="443"/>
      <c r="M4052" s="450"/>
      <c r="N4052" s="452"/>
      <c r="O4052" s="453"/>
      <c r="P4052" s="113"/>
      <c r="Q4052" s="106" t="str">
        <f>IF(ISBLANK(O4052), "", VLOOKUP(C4052&amp;" "&amp;D4052, 'Info Tipo de Cambio y REM'!$A$24:$B$35, 2, FALSE))</f>
        <v/>
      </c>
      <c r="R4052" s="107"/>
    </row>
    <row r="4053" hidden="1">
      <c r="A4053" s="443"/>
      <c r="B4053" s="43" t="str">
        <f>IF(A4053="", "", IFERROR(VLOOKUP(A4053, Clasificaciones!A:B, 2, FALSE), "DATO NO CARGADO"))
</f>
        <v/>
      </c>
      <c r="C4053" s="51"/>
      <c r="D4053" s="102"/>
      <c r="E4053" s="102"/>
      <c r="H4053" s="102"/>
      <c r="J4053" s="102"/>
      <c r="K4053" s="450"/>
      <c r="L4053" s="443"/>
      <c r="M4053" s="450"/>
      <c r="N4053" s="452"/>
      <c r="O4053" s="453"/>
      <c r="P4053" s="113"/>
      <c r="Q4053" s="106" t="str">
        <f>IF(ISBLANK(O4053), "", VLOOKUP(C4053&amp;" "&amp;D4053, 'Info Tipo de Cambio y REM'!$A$24:$B$35, 2, FALSE))</f>
        <v/>
      </c>
      <c r="R4053" s="107"/>
    </row>
    <row r="4054" hidden="1">
      <c r="A4054" s="443"/>
      <c r="B4054" s="43" t="str">
        <f>IF(A4054="", "", IFERROR(VLOOKUP(A4054, Clasificaciones!A:B, 2, FALSE), "DATO NO CARGADO"))
</f>
        <v/>
      </c>
      <c r="C4054" s="51"/>
      <c r="D4054" s="102"/>
      <c r="E4054" s="102"/>
      <c r="H4054" s="102"/>
      <c r="J4054" s="102"/>
      <c r="K4054" s="450"/>
      <c r="L4054" s="443"/>
      <c r="M4054" s="450"/>
      <c r="N4054" s="452"/>
      <c r="O4054" s="453"/>
      <c r="P4054" s="113"/>
      <c r="Q4054" s="106" t="str">
        <f>IF(ISBLANK(O4054), "", VLOOKUP(C4054&amp;" "&amp;D4054, 'Info Tipo de Cambio y REM'!$A$24:$B$35, 2, FALSE))</f>
        <v/>
      </c>
      <c r="R4054" s="107"/>
    </row>
    <row r="4055" hidden="1">
      <c r="A4055" s="443"/>
      <c r="B4055" s="43" t="str">
        <f>IF(A4055="", "", IFERROR(VLOOKUP(A4055, Clasificaciones!A:B, 2, FALSE), "DATO NO CARGADO"))
</f>
        <v/>
      </c>
      <c r="C4055" s="51"/>
      <c r="D4055" s="102"/>
      <c r="E4055" s="102"/>
      <c r="H4055" s="102"/>
      <c r="J4055" s="102"/>
      <c r="K4055" s="450"/>
      <c r="L4055" s="443"/>
      <c r="M4055" s="450"/>
      <c r="N4055" s="452"/>
      <c r="O4055" s="453"/>
      <c r="P4055" s="113"/>
      <c r="Q4055" s="106" t="str">
        <f>IF(ISBLANK(O4055), "", VLOOKUP(C4055&amp;" "&amp;D4055, 'Info Tipo de Cambio y REM'!$A$24:$B$35, 2, FALSE))</f>
        <v/>
      </c>
      <c r="R4055" s="107"/>
    </row>
    <row r="4056" hidden="1">
      <c r="A4056" s="443"/>
      <c r="B4056" s="43" t="str">
        <f>IF(A4056="", "", IFERROR(VLOOKUP(A4056, Clasificaciones!A:B, 2, FALSE), "DATO NO CARGADO"))
</f>
        <v/>
      </c>
      <c r="C4056" s="51"/>
      <c r="D4056" s="102"/>
      <c r="E4056" s="102"/>
      <c r="H4056" s="102"/>
      <c r="J4056" s="102"/>
      <c r="K4056" s="450"/>
      <c r="L4056" s="443"/>
      <c r="M4056" s="450"/>
      <c r="N4056" s="452"/>
      <c r="O4056" s="453"/>
      <c r="P4056" s="113"/>
      <c r="Q4056" s="106" t="str">
        <f>IF(ISBLANK(O4056), "", VLOOKUP(C4056&amp;" "&amp;D4056, 'Info Tipo de Cambio y REM'!$A$24:$B$35, 2, FALSE))</f>
        <v/>
      </c>
      <c r="R4056" s="107"/>
    </row>
    <row r="4057" hidden="1">
      <c r="A4057" s="443"/>
      <c r="B4057" s="43" t="str">
        <f>IF(A4057="", "", IFERROR(VLOOKUP(A4057, Clasificaciones!A:B, 2, FALSE), "DATO NO CARGADO"))
</f>
        <v/>
      </c>
      <c r="C4057" s="51"/>
      <c r="D4057" s="102"/>
      <c r="E4057" s="102"/>
      <c r="H4057" s="102"/>
      <c r="J4057" s="102"/>
      <c r="K4057" s="450"/>
      <c r="L4057" s="443"/>
      <c r="M4057" s="450"/>
      <c r="N4057" s="452"/>
      <c r="O4057" s="453"/>
      <c r="P4057" s="113"/>
      <c r="Q4057" s="106" t="str">
        <f>IF(ISBLANK(O4057), "", VLOOKUP(C4057&amp;" "&amp;D4057, 'Info Tipo de Cambio y REM'!$A$24:$B$35, 2, FALSE))</f>
        <v/>
      </c>
      <c r="R4057" s="107"/>
    </row>
    <row r="4058" hidden="1">
      <c r="A4058" s="443"/>
      <c r="B4058" s="43" t="str">
        <f>IF(A4058="", "", IFERROR(VLOOKUP(A4058, Clasificaciones!A:B, 2, FALSE), "DATO NO CARGADO"))
</f>
        <v/>
      </c>
      <c r="C4058" s="51"/>
      <c r="D4058" s="102"/>
      <c r="E4058" s="102"/>
      <c r="H4058" s="102"/>
      <c r="J4058" s="102"/>
      <c r="K4058" s="450"/>
      <c r="L4058" s="443"/>
      <c r="M4058" s="450"/>
      <c r="N4058" s="452"/>
      <c r="O4058" s="453"/>
      <c r="P4058" s="113"/>
      <c r="Q4058" s="106" t="str">
        <f>IF(ISBLANK(O4058), "", VLOOKUP(C4058&amp;" "&amp;D4058, 'Info Tipo de Cambio y REM'!$A$24:$B$35, 2, FALSE))</f>
        <v/>
      </c>
      <c r="R4058" s="107"/>
    </row>
    <row r="4059" hidden="1">
      <c r="A4059" s="443"/>
      <c r="B4059" s="43" t="str">
        <f>IF(A4059="", "", IFERROR(VLOOKUP(A4059, Clasificaciones!A:B, 2, FALSE), "DATO NO CARGADO"))
</f>
        <v/>
      </c>
      <c r="C4059" s="51"/>
      <c r="D4059" s="102"/>
      <c r="E4059" s="102"/>
      <c r="H4059" s="102"/>
      <c r="J4059" s="102"/>
      <c r="K4059" s="450"/>
      <c r="L4059" s="443"/>
      <c r="M4059" s="450"/>
      <c r="N4059" s="452"/>
      <c r="O4059" s="453"/>
      <c r="P4059" s="113"/>
      <c r="Q4059" s="106" t="str">
        <f>IF(ISBLANK(O4059), "", VLOOKUP(C4059&amp;" "&amp;D4059, 'Info Tipo de Cambio y REM'!$A$24:$B$35, 2, FALSE))</f>
        <v/>
      </c>
      <c r="R4059" s="107"/>
    </row>
    <row r="4060" hidden="1">
      <c r="A4060" s="443"/>
      <c r="B4060" s="43" t="str">
        <f>IF(A4060="", "", IFERROR(VLOOKUP(A4060, Clasificaciones!A:B, 2, FALSE), "DATO NO CARGADO"))
</f>
        <v/>
      </c>
      <c r="C4060" s="51"/>
      <c r="D4060" s="102"/>
      <c r="E4060" s="102"/>
      <c r="H4060" s="102"/>
      <c r="J4060" s="102"/>
      <c r="K4060" s="450"/>
      <c r="L4060" s="443"/>
      <c r="M4060" s="450"/>
      <c r="N4060" s="452"/>
      <c r="O4060" s="453"/>
      <c r="P4060" s="113"/>
      <c r="Q4060" s="106" t="str">
        <f>IF(ISBLANK(O4060), "", VLOOKUP(C4060&amp;" "&amp;D4060, 'Info Tipo de Cambio y REM'!$A$24:$B$35, 2, FALSE))</f>
        <v/>
      </c>
      <c r="R4060" s="107"/>
    </row>
    <row r="4061" hidden="1">
      <c r="A4061" s="443"/>
      <c r="B4061" s="43" t="str">
        <f>IF(A4061="", "", IFERROR(VLOOKUP(A4061, Clasificaciones!A:B, 2, FALSE), "DATO NO CARGADO"))
</f>
        <v/>
      </c>
      <c r="C4061" s="51"/>
      <c r="D4061" s="102"/>
      <c r="E4061" s="102"/>
      <c r="H4061" s="102"/>
      <c r="J4061" s="102"/>
      <c r="K4061" s="450"/>
      <c r="L4061" s="443"/>
      <c r="M4061" s="450"/>
      <c r="N4061" s="452"/>
      <c r="O4061" s="453"/>
      <c r="P4061" s="113"/>
      <c r="Q4061" s="106" t="str">
        <f>IF(ISBLANK(O4061), "", VLOOKUP(C4061&amp;" "&amp;D4061, 'Info Tipo de Cambio y REM'!$A$24:$B$35, 2, FALSE))</f>
        <v/>
      </c>
      <c r="R4061" s="107"/>
    </row>
    <row r="4062" hidden="1">
      <c r="A4062" s="443"/>
      <c r="B4062" s="43" t="str">
        <f>IF(A4062="", "", IFERROR(VLOOKUP(A4062, Clasificaciones!A:B, 2, FALSE), "DATO NO CARGADO"))
</f>
        <v/>
      </c>
      <c r="C4062" s="51"/>
      <c r="D4062" s="102"/>
      <c r="E4062" s="102"/>
      <c r="H4062" s="102"/>
      <c r="J4062" s="102"/>
      <c r="K4062" s="450"/>
      <c r="L4062" s="443"/>
      <c r="M4062" s="450"/>
      <c r="N4062" s="452"/>
      <c r="O4062" s="453"/>
      <c r="P4062" s="113"/>
      <c r="Q4062" s="106" t="str">
        <f>IF(ISBLANK(O4062), "", VLOOKUP(C4062&amp;" "&amp;D4062, 'Info Tipo de Cambio y REM'!$A$24:$B$35, 2, FALSE))</f>
        <v/>
      </c>
      <c r="R4062" s="107"/>
    </row>
    <row r="4063" hidden="1">
      <c r="A4063" s="443"/>
      <c r="B4063" s="43" t="str">
        <f>IF(A4063="", "", IFERROR(VLOOKUP(A4063, Clasificaciones!A:B, 2, FALSE), "DATO NO CARGADO"))
</f>
        <v/>
      </c>
      <c r="C4063" s="51"/>
      <c r="D4063" s="102"/>
      <c r="E4063" s="102"/>
      <c r="H4063" s="102"/>
      <c r="J4063" s="102"/>
      <c r="K4063" s="450"/>
      <c r="L4063" s="443"/>
      <c r="M4063" s="450"/>
      <c r="N4063" s="452"/>
      <c r="O4063" s="453"/>
      <c r="P4063" s="113"/>
      <c r="Q4063" s="106" t="str">
        <f>IF(ISBLANK(O4063), "", VLOOKUP(C4063&amp;" "&amp;D4063, 'Info Tipo de Cambio y REM'!$A$24:$B$35, 2, FALSE))</f>
        <v/>
      </c>
      <c r="R4063" s="107"/>
    </row>
    <row r="4064" hidden="1">
      <c r="A4064" s="443"/>
      <c r="B4064" s="43" t="str">
        <f>IF(A4064="", "", IFERROR(VLOOKUP(A4064, Clasificaciones!A:B, 2, FALSE), "DATO NO CARGADO"))
</f>
        <v/>
      </c>
      <c r="C4064" s="51"/>
      <c r="D4064" s="102"/>
      <c r="E4064" s="102"/>
      <c r="H4064" s="102"/>
      <c r="J4064" s="102"/>
      <c r="K4064" s="450"/>
      <c r="L4064" s="443"/>
      <c r="M4064" s="450"/>
      <c r="N4064" s="452"/>
      <c r="O4064" s="453"/>
      <c r="P4064" s="113"/>
      <c r="Q4064" s="106" t="str">
        <f>IF(ISBLANK(O4064), "", VLOOKUP(C4064&amp;" "&amp;D4064, 'Info Tipo de Cambio y REM'!$A$24:$B$35, 2, FALSE))</f>
        <v/>
      </c>
      <c r="R4064" s="107"/>
    </row>
    <row r="4065" hidden="1">
      <c r="A4065" s="443"/>
      <c r="B4065" s="43" t="str">
        <f>IF(A4065="", "", IFERROR(VLOOKUP(A4065, Clasificaciones!A:B, 2, FALSE), "DATO NO CARGADO"))
</f>
        <v/>
      </c>
      <c r="C4065" s="51"/>
      <c r="D4065" s="102"/>
      <c r="E4065" s="102"/>
      <c r="H4065" s="102"/>
      <c r="J4065" s="102"/>
      <c r="K4065" s="450"/>
      <c r="L4065" s="443"/>
      <c r="M4065" s="450"/>
      <c r="N4065" s="452"/>
      <c r="O4065" s="453"/>
      <c r="P4065" s="113"/>
      <c r="Q4065" s="106" t="str">
        <f>IF(ISBLANK(O4065), "", VLOOKUP(C4065&amp;" "&amp;D4065, 'Info Tipo de Cambio y REM'!$A$24:$B$35, 2, FALSE))</f>
        <v/>
      </c>
      <c r="R4065" s="107"/>
    </row>
    <row r="4066" hidden="1">
      <c r="A4066" s="443"/>
      <c r="B4066" s="43" t="str">
        <f>IF(A4066="", "", IFERROR(VLOOKUP(A4066, Clasificaciones!A:B, 2, FALSE), "DATO NO CARGADO"))
</f>
        <v/>
      </c>
      <c r="C4066" s="51"/>
      <c r="D4066" s="102"/>
      <c r="E4066" s="102"/>
      <c r="H4066" s="102"/>
      <c r="J4066" s="102"/>
      <c r="K4066" s="450"/>
      <c r="L4066" s="443"/>
      <c r="M4066" s="450"/>
      <c r="N4066" s="452"/>
      <c r="O4066" s="453"/>
      <c r="P4066" s="113"/>
      <c r="Q4066" s="106" t="str">
        <f>IF(ISBLANK(O4066), "", VLOOKUP(C4066&amp;" "&amp;D4066, 'Info Tipo de Cambio y REM'!$A$24:$B$35, 2, FALSE))</f>
        <v/>
      </c>
      <c r="R4066" s="107"/>
    </row>
    <row r="4067" hidden="1">
      <c r="A4067" s="443"/>
      <c r="B4067" s="43" t="str">
        <f>IF(A4067="", "", IFERROR(VLOOKUP(A4067, Clasificaciones!A:B, 2, FALSE), "DATO NO CARGADO"))
</f>
        <v/>
      </c>
      <c r="C4067" s="51"/>
      <c r="D4067" s="102"/>
      <c r="E4067" s="102"/>
      <c r="H4067" s="102"/>
      <c r="J4067" s="102"/>
      <c r="K4067" s="450"/>
      <c r="L4067" s="443"/>
      <c r="M4067" s="450"/>
      <c r="N4067" s="452"/>
      <c r="O4067" s="453"/>
      <c r="P4067" s="113"/>
      <c r="Q4067" s="106" t="str">
        <f>IF(ISBLANK(O4067), "", VLOOKUP(C4067&amp;" "&amp;D4067, 'Info Tipo de Cambio y REM'!$A$24:$B$35, 2, FALSE))</f>
        <v/>
      </c>
      <c r="R4067" s="107"/>
    </row>
    <row r="4068" hidden="1">
      <c r="A4068" s="443"/>
      <c r="B4068" s="43" t="str">
        <f>IF(A4068="", "", IFERROR(VLOOKUP(A4068, Clasificaciones!A:B, 2, FALSE), "DATO NO CARGADO"))
</f>
        <v/>
      </c>
      <c r="C4068" s="51"/>
      <c r="D4068" s="102"/>
      <c r="E4068" s="102"/>
      <c r="H4068" s="102"/>
      <c r="J4068" s="102"/>
      <c r="K4068" s="450"/>
      <c r="L4068" s="443"/>
      <c r="M4068" s="450"/>
      <c r="N4068" s="452"/>
      <c r="O4068" s="453"/>
      <c r="P4068" s="113"/>
      <c r="Q4068" s="106" t="str">
        <f>IF(ISBLANK(O4068), "", VLOOKUP(C4068&amp;" "&amp;D4068, 'Info Tipo de Cambio y REM'!$A$24:$B$35, 2, FALSE))</f>
        <v/>
      </c>
      <c r="R4068" s="107"/>
    </row>
    <row r="4069" hidden="1">
      <c r="A4069" s="443"/>
      <c r="B4069" s="43" t="str">
        <f>IF(A4069="", "", IFERROR(VLOOKUP(A4069, Clasificaciones!A:B, 2, FALSE), "DATO NO CARGADO"))
</f>
        <v/>
      </c>
      <c r="C4069" s="51"/>
      <c r="D4069" s="102"/>
      <c r="E4069" s="102"/>
      <c r="H4069" s="102"/>
      <c r="J4069" s="102"/>
      <c r="K4069" s="450"/>
      <c r="L4069" s="443"/>
      <c r="M4069" s="450"/>
      <c r="N4069" s="452"/>
      <c r="O4069" s="453"/>
      <c r="P4069" s="113"/>
      <c r="Q4069" s="106" t="str">
        <f>IF(ISBLANK(O4069), "", VLOOKUP(C4069&amp;" "&amp;D4069, 'Info Tipo de Cambio y REM'!$A$24:$B$35, 2, FALSE))</f>
        <v/>
      </c>
      <c r="R4069" s="107"/>
    </row>
    <row r="4070" hidden="1">
      <c r="A4070" s="443"/>
      <c r="B4070" s="43" t="str">
        <f>IF(A4070="", "", IFERROR(VLOOKUP(A4070, Clasificaciones!A:B, 2, FALSE), "DATO NO CARGADO"))
</f>
        <v/>
      </c>
      <c r="C4070" s="51"/>
      <c r="D4070" s="102"/>
      <c r="E4070" s="102"/>
      <c r="H4070" s="102"/>
      <c r="J4070" s="102"/>
      <c r="K4070" s="450"/>
      <c r="L4070" s="443"/>
      <c r="M4070" s="450"/>
      <c r="N4070" s="452"/>
      <c r="O4070" s="453"/>
      <c r="P4070" s="113"/>
      <c r="Q4070" s="106" t="str">
        <f>IF(ISBLANK(O4070), "", VLOOKUP(C4070&amp;" "&amp;D4070, 'Info Tipo de Cambio y REM'!$A$24:$B$35, 2, FALSE))</f>
        <v/>
      </c>
      <c r="R4070" s="107"/>
    </row>
    <row r="4071" hidden="1">
      <c r="A4071" s="443"/>
      <c r="B4071" s="43" t="str">
        <f>IF(A4071="", "", IFERROR(VLOOKUP(A4071, Clasificaciones!A:B, 2, FALSE), "DATO NO CARGADO"))
</f>
        <v/>
      </c>
      <c r="C4071" s="51"/>
      <c r="D4071" s="102"/>
      <c r="E4071" s="102"/>
      <c r="H4071" s="102"/>
      <c r="J4071" s="102"/>
      <c r="K4071" s="450"/>
      <c r="L4071" s="443"/>
      <c r="M4071" s="450"/>
      <c r="N4071" s="452"/>
      <c r="O4071" s="453"/>
      <c r="P4071" s="113"/>
      <c r="Q4071" s="106" t="str">
        <f>IF(ISBLANK(O4071), "", VLOOKUP(C4071&amp;" "&amp;D4071, 'Info Tipo de Cambio y REM'!$A$24:$B$35, 2, FALSE))</f>
        <v/>
      </c>
      <c r="R4071" s="107"/>
    </row>
    <row r="4072" hidden="1">
      <c r="A4072" s="443"/>
      <c r="B4072" s="43" t="str">
        <f>IF(A4072="", "", IFERROR(VLOOKUP(A4072, Clasificaciones!A:B, 2, FALSE), "DATO NO CARGADO"))
</f>
        <v/>
      </c>
      <c r="C4072" s="51"/>
      <c r="D4072" s="102"/>
      <c r="E4072" s="102"/>
      <c r="H4072" s="102"/>
      <c r="J4072" s="102"/>
      <c r="K4072" s="450"/>
      <c r="L4072" s="443"/>
      <c r="M4072" s="450"/>
      <c r="N4072" s="452"/>
      <c r="O4072" s="453"/>
      <c r="P4072" s="113"/>
      <c r="Q4072" s="106" t="str">
        <f>IF(ISBLANK(O4072), "", VLOOKUP(C4072&amp;" "&amp;D4072, 'Info Tipo de Cambio y REM'!$A$24:$B$35, 2, FALSE))</f>
        <v/>
      </c>
      <c r="R4072" s="107"/>
    </row>
    <row r="4073" hidden="1">
      <c r="A4073" s="443"/>
      <c r="B4073" s="43" t="str">
        <f>IF(A4073="", "", IFERROR(VLOOKUP(A4073, Clasificaciones!A:B, 2, FALSE), "DATO NO CARGADO"))
</f>
        <v/>
      </c>
      <c r="C4073" s="51"/>
      <c r="D4073" s="102"/>
      <c r="E4073" s="102"/>
      <c r="H4073" s="102"/>
      <c r="J4073" s="102"/>
      <c r="K4073" s="450"/>
      <c r="L4073" s="443"/>
      <c r="M4073" s="450"/>
      <c r="N4073" s="452"/>
      <c r="O4073" s="453"/>
      <c r="P4073" s="113"/>
      <c r="Q4073" s="106" t="str">
        <f>IF(ISBLANK(O4073), "", VLOOKUP(C4073&amp;" "&amp;D4073, 'Info Tipo de Cambio y REM'!$A$24:$B$35, 2, FALSE))</f>
        <v/>
      </c>
      <c r="R4073" s="107"/>
    </row>
    <row r="4074" hidden="1">
      <c r="A4074" s="443"/>
      <c r="B4074" s="43" t="str">
        <f>IF(A4074="", "", IFERROR(VLOOKUP(A4074, Clasificaciones!A:B, 2, FALSE), "DATO NO CARGADO"))
</f>
        <v/>
      </c>
      <c r="C4074" s="51"/>
      <c r="D4074" s="102"/>
      <c r="E4074" s="102"/>
      <c r="H4074" s="102"/>
      <c r="J4074" s="102"/>
      <c r="K4074" s="450"/>
      <c r="L4074" s="443"/>
      <c r="M4074" s="450"/>
      <c r="N4074" s="452"/>
      <c r="O4074" s="453"/>
      <c r="P4074" s="113"/>
      <c r="Q4074" s="106" t="str">
        <f>IF(ISBLANK(O4074), "", VLOOKUP(C4074&amp;" "&amp;D4074, 'Info Tipo de Cambio y REM'!$A$24:$B$35, 2, FALSE))</f>
        <v/>
      </c>
      <c r="R4074" s="107"/>
    </row>
    <row r="4075" hidden="1">
      <c r="A4075" s="443"/>
      <c r="B4075" s="43" t="str">
        <f>IF(A4075="", "", IFERROR(VLOOKUP(A4075, Clasificaciones!A:B, 2, FALSE), "DATO NO CARGADO"))
</f>
        <v/>
      </c>
      <c r="C4075" s="51"/>
      <c r="D4075" s="102"/>
      <c r="E4075" s="102"/>
      <c r="H4075" s="102"/>
      <c r="J4075" s="102"/>
      <c r="K4075" s="450"/>
      <c r="L4075" s="443"/>
      <c r="M4075" s="450"/>
      <c r="N4075" s="452"/>
      <c r="O4075" s="453"/>
      <c r="P4075" s="113"/>
      <c r="Q4075" s="106" t="str">
        <f>IF(ISBLANK(O4075), "", VLOOKUP(C4075&amp;" "&amp;D4075, 'Info Tipo de Cambio y REM'!$A$24:$B$35, 2, FALSE))</f>
        <v/>
      </c>
      <c r="R4075" s="107"/>
    </row>
    <row r="4076" hidden="1">
      <c r="A4076" s="443"/>
      <c r="B4076" s="43" t="str">
        <f>IF(A4076="", "", IFERROR(VLOOKUP(A4076, Clasificaciones!A:B, 2, FALSE), "DATO NO CARGADO"))
</f>
        <v/>
      </c>
      <c r="C4076" s="51"/>
      <c r="D4076" s="102"/>
      <c r="E4076" s="102"/>
      <c r="H4076" s="102"/>
      <c r="J4076" s="102"/>
      <c r="K4076" s="450"/>
      <c r="L4076" s="443"/>
      <c r="M4076" s="450"/>
      <c r="N4076" s="452"/>
      <c r="O4076" s="453"/>
      <c r="P4076" s="113"/>
      <c r="Q4076" s="106" t="str">
        <f>IF(ISBLANK(O4076), "", VLOOKUP(C4076&amp;" "&amp;D4076, 'Info Tipo de Cambio y REM'!$A$24:$B$35, 2, FALSE))</f>
        <v/>
      </c>
      <c r="R4076" s="107"/>
    </row>
    <row r="4077" hidden="1">
      <c r="A4077" s="443"/>
      <c r="B4077" s="43" t="str">
        <f>IF(A4077="", "", IFERROR(VLOOKUP(A4077, Clasificaciones!A:B, 2, FALSE), "DATO NO CARGADO"))
</f>
        <v/>
      </c>
      <c r="C4077" s="51"/>
      <c r="D4077" s="102"/>
      <c r="E4077" s="102"/>
      <c r="H4077" s="102"/>
      <c r="J4077" s="102"/>
      <c r="K4077" s="450"/>
      <c r="L4077" s="443"/>
      <c r="M4077" s="450"/>
      <c r="N4077" s="452"/>
      <c r="O4077" s="453"/>
      <c r="P4077" s="113"/>
      <c r="Q4077" s="106" t="str">
        <f>IF(ISBLANK(O4077), "", VLOOKUP(C4077&amp;" "&amp;D4077, 'Info Tipo de Cambio y REM'!$A$24:$B$35, 2, FALSE))</f>
        <v/>
      </c>
      <c r="R4077" s="107"/>
    </row>
    <row r="4078" hidden="1">
      <c r="A4078" s="443"/>
      <c r="B4078" s="43" t="str">
        <f>IF(A4078="", "", IFERROR(VLOOKUP(A4078, Clasificaciones!A:B, 2, FALSE), "DATO NO CARGADO"))
</f>
        <v/>
      </c>
      <c r="C4078" s="51"/>
      <c r="D4078" s="102"/>
      <c r="E4078" s="102"/>
      <c r="H4078" s="102"/>
      <c r="J4078" s="102"/>
      <c r="K4078" s="450"/>
      <c r="L4078" s="443"/>
      <c r="M4078" s="450"/>
      <c r="N4078" s="452"/>
      <c r="O4078" s="453"/>
      <c r="P4078" s="113"/>
      <c r="Q4078" s="106" t="str">
        <f>IF(ISBLANK(O4078), "", VLOOKUP(C4078&amp;" "&amp;D4078, 'Info Tipo de Cambio y REM'!$A$24:$B$35, 2, FALSE))</f>
        <v/>
      </c>
      <c r="R4078" s="107"/>
    </row>
    <row r="4079" hidden="1">
      <c r="A4079" s="443"/>
      <c r="B4079" s="43" t="str">
        <f>IF(A4079="", "", IFERROR(VLOOKUP(A4079, Clasificaciones!A:B, 2, FALSE), "DATO NO CARGADO"))
</f>
        <v/>
      </c>
      <c r="C4079" s="51"/>
      <c r="D4079" s="102"/>
      <c r="E4079" s="102"/>
      <c r="H4079" s="102"/>
      <c r="J4079" s="102"/>
      <c r="K4079" s="450"/>
      <c r="L4079" s="443"/>
      <c r="M4079" s="450"/>
      <c r="N4079" s="452"/>
      <c r="O4079" s="453"/>
      <c r="P4079" s="113"/>
      <c r="Q4079" s="106" t="str">
        <f>IF(ISBLANK(O4079), "", VLOOKUP(C4079&amp;" "&amp;D4079, 'Info Tipo de Cambio y REM'!$A$24:$B$35, 2, FALSE))</f>
        <v/>
      </c>
      <c r="R4079" s="107"/>
    </row>
    <row r="4080" hidden="1">
      <c r="A4080" s="443"/>
      <c r="B4080" s="43" t="str">
        <f>IF(A4080="", "", IFERROR(VLOOKUP(A4080, Clasificaciones!A:B, 2, FALSE), "DATO NO CARGADO"))
</f>
        <v/>
      </c>
      <c r="C4080" s="51"/>
      <c r="D4080" s="102"/>
      <c r="E4080" s="102"/>
      <c r="H4080" s="102"/>
      <c r="J4080" s="102"/>
      <c r="K4080" s="450"/>
      <c r="L4080" s="443"/>
      <c r="M4080" s="450"/>
      <c r="N4080" s="452"/>
      <c r="O4080" s="453"/>
      <c r="P4080" s="113"/>
      <c r="Q4080" s="106" t="str">
        <f>IF(ISBLANK(O4080), "", VLOOKUP(C4080&amp;" "&amp;D4080, 'Info Tipo de Cambio y REM'!$A$24:$B$35, 2, FALSE))</f>
        <v/>
      </c>
      <c r="R4080" s="107"/>
    </row>
    <row r="4081" hidden="1">
      <c r="A4081" s="443"/>
      <c r="B4081" s="43" t="str">
        <f>IF(A4081="", "", IFERROR(VLOOKUP(A4081, Clasificaciones!A:B, 2, FALSE), "DATO NO CARGADO"))
</f>
        <v/>
      </c>
      <c r="C4081" s="51"/>
      <c r="D4081" s="102"/>
      <c r="E4081" s="102"/>
      <c r="H4081" s="102"/>
      <c r="J4081" s="102"/>
      <c r="K4081" s="450"/>
      <c r="L4081" s="443"/>
      <c r="M4081" s="450"/>
      <c r="N4081" s="452"/>
      <c r="O4081" s="453"/>
      <c r="P4081" s="113"/>
      <c r="Q4081" s="106" t="str">
        <f>IF(ISBLANK(O4081), "", VLOOKUP(C4081&amp;" "&amp;D4081, 'Info Tipo de Cambio y REM'!$A$24:$B$35, 2, FALSE))</f>
        <v/>
      </c>
      <c r="R4081" s="107"/>
    </row>
    <row r="4082" hidden="1">
      <c r="A4082" s="443"/>
      <c r="B4082" s="43" t="str">
        <f>IF(A4082="", "", IFERROR(VLOOKUP(A4082, Clasificaciones!A:B, 2, FALSE), "DATO NO CARGADO"))
</f>
        <v/>
      </c>
      <c r="C4082" s="51"/>
      <c r="D4082" s="102"/>
      <c r="E4082" s="102"/>
      <c r="H4082" s="102"/>
      <c r="J4082" s="102"/>
      <c r="K4082" s="450"/>
      <c r="L4082" s="443"/>
      <c r="M4082" s="450"/>
      <c r="N4082" s="452"/>
      <c r="O4082" s="453"/>
      <c r="P4082" s="113"/>
      <c r="Q4082" s="106" t="str">
        <f>IF(ISBLANK(O4082), "", VLOOKUP(C4082&amp;" "&amp;D4082, 'Info Tipo de Cambio y REM'!$A$24:$B$35, 2, FALSE))</f>
        <v/>
      </c>
      <c r="R4082" s="107"/>
    </row>
    <row r="4083" hidden="1">
      <c r="A4083" s="443"/>
      <c r="B4083" s="43" t="str">
        <f>IF(A4083="", "", IFERROR(VLOOKUP(A4083, Clasificaciones!A:B, 2, FALSE), "DATO NO CARGADO"))
</f>
        <v/>
      </c>
      <c r="C4083" s="51"/>
      <c r="D4083" s="102"/>
      <c r="E4083" s="102"/>
      <c r="H4083" s="102"/>
      <c r="J4083" s="102"/>
      <c r="K4083" s="450"/>
      <c r="L4083" s="443"/>
      <c r="M4083" s="450"/>
      <c r="N4083" s="452"/>
      <c r="O4083" s="453"/>
      <c r="P4083" s="113"/>
      <c r="Q4083" s="106" t="str">
        <f>IF(ISBLANK(O4083), "", VLOOKUP(C4083&amp;" "&amp;D4083, 'Info Tipo de Cambio y REM'!$A$24:$B$35, 2, FALSE))</f>
        <v/>
      </c>
      <c r="R4083" s="107"/>
    </row>
    <row r="4084" hidden="1">
      <c r="A4084" s="443"/>
      <c r="B4084" s="43" t="str">
        <f>IF(A4084="", "", IFERROR(VLOOKUP(A4084, Clasificaciones!A:B, 2, FALSE), "DATO NO CARGADO"))
</f>
        <v/>
      </c>
      <c r="C4084" s="51"/>
      <c r="D4084" s="102"/>
      <c r="E4084" s="102"/>
      <c r="H4084" s="102"/>
      <c r="J4084" s="102"/>
      <c r="K4084" s="450"/>
      <c r="L4084" s="443"/>
      <c r="M4084" s="450"/>
      <c r="N4084" s="452"/>
      <c r="O4084" s="453"/>
      <c r="P4084" s="113"/>
      <c r="Q4084" s="106" t="str">
        <f>IF(ISBLANK(O4084), "", VLOOKUP(C4084&amp;" "&amp;D4084, 'Info Tipo de Cambio y REM'!$A$24:$B$35, 2, FALSE))</f>
        <v/>
      </c>
      <c r="R4084" s="107"/>
    </row>
    <row r="4085" hidden="1">
      <c r="A4085" s="443"/>
      <c r="B4085" s="43" t="str">
        <f>IF(A4085="", "", IFERROR(VLOOKUP(A4085, Clasificaciones!A:B, 2, FALSE), "DATO NO CARGADO"))
</f>
        <v/>
      </c>
      <c r="C4085" s="51"/>
      <c r="D4085" s="102"/>
      <c r="E4085" s="102"/>
      <c r="H4085" s="102"/>
      <c r="J4085" s="102"/>
      <c r="K4085" s="450"/>
      <c r="L4085" s="443"/>
      <c r="M4085" s="450"/>
      <c r="N4085" s="452"/>
      <c r="O4085" s="453"/>
      <c r="P4085" s="113"/>
      <c r="Q4085" s="106" t="str">
        <f>IF(ISBLANK(O4085), "", VLOOKUP(C4085&amp;" "&amp;D4085, 'Info Tipo de Cambio y REM'!$A$24:$B$35, 2, FALSE))</f>
        <v/>
      </c>
      <c r="R4085" s="107"/>
    </row>
    <row r="4086" hidden="1">
      <c r="A4086" s="443"/>
      <c r="B4086" s="43" t="str">
        <f>IF(A4086="", "", IFERROR(VLOOKUP(A4086, Clasificaciones!A:B, 2, FALSE), "DATO NO CARGADO"))
</f>
        <v/>
      </c>
      <c r="C4086" s="51"/>
      <c r="D4086" s="102"/>
      <c r="E4086" s="102"/>
      <c r="H4086" s="102"/>
      <c r="J4086" s="102"/>
      <c r="K4086" s="450"/>
      <c r="L4086" s="443"/>
      <c r="M4086" s="450"/>
      <c r="N4086" s="452"/>
      <c r="O4086" s="453"/>
      <c r="P4086" s="113"/>
      <c r="Q4086" s="106" t="str">
        <f>IF(ISBLANK(O4086), "", VLOOKUP(C4086&amp;" "&amp;D4086, 'Info Tipo de Cambio y REM'!$A$24:$B$35, 2, FALSE))</f>
        <v/>
      </c>
      <c r="R4086" s="107"/>
    </row>
    <row r="4087" hidden="1">
      <c r="A4087" s="443"/>
      <c r="B4087" s="43" t="str">
        <f>IF(A4087="", "", IFERROR(VLOOKUP(A4087, Clasificaciones!A:B, 2, FALSE), "DATO NO CARGADO"))
</f>
        <v/>
      </c>
      <c r="C4087" s="51"/>
      <c r="D4087" s="102"/>
      <c r="E4087" s="102"/>
      <c r="H4087" s="102"/>
      <c r="J4087" s="102"/>
      <c r="K4087" s="450"/>
      <c r="L4087" s="443"/>
      <c r="M4087" s="450"/>
      <c r="N4087" s="452"/>
      <c r="O4087" s="453"/>
      <c r="P4087" s="113"/>
      <c r="Q4087" s="106" t="str">
        <f>IF(ISBLANK(O4087), "", VLOOKUP(C4087&amp;" "&amp;D4087, 'Info Tipo de Cambio y REM'!$A$24:$B$35, 2, FALSE))</f>
        <v/>
      </c>
      <c r="R4087" s="107"/>
    </row>
    <row r="4088" hidden="1">
      <c r="A4088" s="443"/>
      <c r="B4088" s="43" t="str">
        <f>IF(A4088="", "", IFERROR(VLOOKUP(A4088, Clasificaciones!A:B, 2, FALSE), "DATO NO CARGADO"))
</f>
        <v/>
      </c>
      <c r="C4088" s="51"/>
      <c r="D4088" s="102"/>
      <c r="E4088" s="102"/>
      <c r="H4088" s="102"/>
      <c r="J4088" s="102"/>
      <c r="K4088" s="450"/>
      <c r="L4088" s="443"/>
      <c r="M4088" s="450"/>
      <c r="N4088" s="452"/>
      <c r="O4088" s="453"/>
      <c r="P4088" s="113"/>
      <c r="Q4088" s="106" t="str">
        <f>IF(ISBLANK(O4088), "", VLOOKUP(C4088&amp;" "&amp;D4088, 'Info Tipo de Cambio y REM'!$A$24:$B$35, 2, FALSE))</f>
        <v/>
      </c>
      <c r="R4088" s="107"/>
    </row>
    <row r="4089" hidden="1">
      <c r="A4089" s="443"/>
      <c r="B4089" s="43" t="str">
        <f>IF(A4089="", "", IFERROR(VLOOKUP(A4089, Clasificaciones!A:B, 2, FALSE), "DATO NO CARGADO"))
</f>
        <v/>
      </c>
      <c r="C4089" s="51"/>
      <c r="D4089" s="102"/>
      <c r="E4089" s="102"/>
      <c r="H4089" s="102"/>
      <c r="J4089" s="102"/>
      <c r="K4089" s="450"/>
      <c r="L4089" s="443"/>
      <c r="M4089" s="450"/>
      <c r="N4089" s="452"/>
      <c r="O4089" s="453"/>
      <c r="P4089" s="113"/>
      <c r="Q4089" s="106" t="str">
        <f>IF(ISBLANK(O4089), "", VLOOKUP(C4089&amp;" "&amp;D4089, 'Info Tipo de Cambio y REM'!$A$24:$B$35, 2, FALSE))</f>
        <v/>
      </c>
      <c r="R4089" s="107"/>
    </row>
    <row r="4090" hidden="1">
      <c r="A4090" s="443"/>
      <c r="B4090" s="43" t="str">
        <f>IF(A4090="", "", IFERROR(VLOOKUP(A4090, Clasificaciones!A:B, 2, FALSE), "DATO NO CARGADO"))
</f>
        <v/>
      </c>
      <c r="C4090" s="51"/>
      <c r="D4090" s="102"/>
      <c r="E4090" s="102"/>
      <c r="H4090" s="102"/>
      <c r="J4090" s="102"/>
      <c r="K4090" s="450"/>
      <c r="L4090" s="443"/>
      <c r="M4090" s="450"/>
      <c r="N4090" s="452"/>
      <c r="O4090" s="453"/>
      <c r="P4090" s="113"/>
      <c r="Q4090" s="106" t="str">
        <f>IF(ISBLANK(O4090), "", VLOOKUP(C4090&amp;" "&amp;D4090, 'Info Tipo de Cambio y REM'!$A$24:$B$35, 2, FALSE))</f>
        <v/>
      </c>
      <c r="R4090" s="107"/>
    </row>
    <row r="4091" hidden="1">
      <c r="A4091" s="443"/>
      <c r="B4091" s="43" t="str">
        <f>IF(A4091="", "", IFERROR(VLOOKUP(A4091, Clasificaciones!A:B, 2, FALSE), "DATO NO CARGADO"))
</f>
        <v/>
      </c>
      <c r="C4091" s="51"/>
      <c r="D4091" s="102"/>
      <c r="E4091" s="102"/>
      <c r="H4091" s="102"/>
      <c r="J4091" s="102"/>
      <c r="K4091" s="450"/>
      <c r="L4091" s="443"/>
      <c r="M4091" s="450"/>
      <c r="N4091" s="452"/>
      <c r="O4091" s="453"/>
      <c r="P4091" s="113"/>
      <c r="Q4091" s="106" t="str">
        <f>IF(ISBLANK(O4091), "", VLOOKUP(C4091&amp;" "&amp;D4091, 'Info Tipo de Cambio y REM'!$A$24:$B$35, 2, FALSE))</f>
        <v/>
      </c>
      <c r="R4091" s="107"/>
    </row>
    <row r="4092" hidden="1">
      <c r="A4092" s="443"/>
      <c r="B4092" s="43" t="str">
        <f>IF(A4092="", "", IFERROR(VLOOKUP(A4092, Clasificaciones!A:B, 2, FALSE), "DATO NO CARGADO"))
</f>
        <v/>
      </c>
      <c r="C4092" s="51"/>
      <c r="D4092" s="102"/>
      <c r="E4092" s="102"/>
      <c r="H4092" s="102"/>
      <c r="J4092" s="102"/>
      <c r="K4092" s="450"/>
      <c r="L4092" s="443"/>
      <c r="M4092" s="450"/>
      <c r="N4092" s="452"/>
      <c r="O4092" s="453"/>
      <c r="P4092" s="113"/>
      <c r="Q4092" s="106" t="str">
        <f>IF(ISBLANK(O4092), "", VLOOKUP(C4092&amp;" "&amp;D4092, 'Info Tipo de Cambio y REM'!$A$24:$B$35, 2, FALSE))</f>
        <v/>
      </c>
      <c r="R4092" s="107"/>
    </row>
    <row r="4093" hidden="1">
      <c r="A4093" s="443"/>
      <c r="B4093" s="43" t="str">
        <f>IF(A4093="", "", IFERROR(VLOOKUP(A4093, Clasificaciones!A:B, 2, FALSE), "DATO NO CARGADO"))
</f>
        <v/>
      </c>
      <c r="C4093" s="51"/>
      <c r="D4093" s="102"/>
      <c r="E4093" s="102"/>
      <c r="H4093" s="102"/>
      <c r="J4093" s="102"/>
      <c r="K4093" s="450"/>
      <c r="L4093" s="443"/>
      <c r="M4093" s="450"/>
      <c r="N4093" s="452"/>
      <c r="O4093" s="453"/>
      <c r="P4093" s="113"/>
      <c r="Q4093" s="106" t="str">
        <f>IF(ISBLANK(O4093), "", VLOOKUP(C4093&amp;" "&amp;D4093, 'Info Tipo de Cambio y REM'!$A$24:$B$35, 2, FALSE))</f>
        <v/>
      </c>
      <c r="R4093" s="107"/>
    </row>
    <row r="4094" hidden="1">
      <c r="A4094" s="443"/>
      <c r="B4094" s="43" t="str">
        <f>IF(A4094="", "", IFERROR(VLOOKUP(A4094, Clasificaciones!A:B, 2, FALSE), "DATO NO CARGADO"))
</f>
        <v/>
      </c>
      <c r="C4094" s="51"/>
      <c r="D4094" s="102"/>
      <c r="E4094" s="102"/>
      <c r="H4094" s="102"/>
      <c r="J4094" s="102"/>
      <c r="K4094" s="450"/>
      <c r="L4094" s="443"/>
      <c r="M4094" s="450"/>
      <c r="N4094" s="452"/>
      <c r="O4094" s="453"/>
      <c r="P4094" s="113"/>
      <c r="Q4094" s="106" t="str">
        <f>IF(ISBLANK(O4094), "", VLOOKUP(C4094&amp;" "&amp;D4094, 'Info Tipo de Cambio y REM'!$A$24:$B$35, 2, FALSE))</f>
        <v/>
      </c>
      <c r="R4094" s="107"/>
    </row>
    <row r="4095" hidden="1">
      <c r="A4095" s="443"/>
      <c r="B4095" s="43" t="str">
        <f>IF(A4095="", "", IFERROR(VLOOKUP(A4095, Clasificaciones!A:B, 2, FALSE), "DATO NO CARGADO"))
</f>
        <v/>
      </c>
      <c r="C4095" s="51"/>
      <c r="D4095" s="102"/>
      <c r="E4095" s="102"/>
      <c r="H4095" s="102"/>
      <c r="J4095" s="102"/>
      <c r="K4095" s="450"/>
      <c r="L4095" s="443"/>
      <c r="M4095" s="450"/>
      <c r="N4095" s="452"/>
      <c r="O4095" s="453"/>
      <c r="P4095" s="113"/>
      <c r="Q4095" s="106" t="str">
        <f>IF(ISBLANK(O4095), "", VLOOKUP(C4095&amp;" "&amp;D4095, 'Info Tipo de Cambio y REM'!$A$24:$B$35, 2, FALSE))</f>
        <v/>
      </c>
      <c r="R4095" s="107"/>
    </row>
    <row r="4096" hidden="1">
      <c r="A4096" s="443"/>
      <c r="B4096" s="43" t="str">
        <f>IF(A4096="", "", IFERROR(VLOOKUP(A4096, Clasificaciones!A:B, 2, FALSE), "DATO NO CARGADO"))
</f>
        <v/>
      </c>
      <c r="C4096" s="51"/>
      <c r="D4096" s="102"/>
      <c r="E4096" s="102"/>
      <c r="H4096" s="102"/>
      <c r="J4096" s="102"/>
      <c r="K4096" s="450"/>
      <c r="L4096" s="443"/>
      <c r="M4096" s="450"/>
      <c r="N4096" s="452"/>
      <c r="O4096" s="453"/>
      <c r="P4096" s="113"/>
      <c r="Q4096" s="106" t="str">
        <f>IF(ISBLANK(O4096), "", VLOOKUP(C4096&amp;" "&amp;D4096, 'Info Tipo de Cambio y REM'!$A$24:$B$35, 2, FALSE))</f>
        <v/>
      </c>
      <c r="R4096" s="107"/>
    </row>
    <row r="4097" hidden="1">
      <c r="A4097" s="443"/>
      <c r="B4097" s="43" t="str">
        <f>IF(A4097="", "", IFERROR(VLOOKUP(A4097, Clasificaciones!A:B, 2, FALSE), "DATO NO CARGADO"))
</f>
        <v/>
      </c>
      <c r="C4097" s="51"/>
      <c r="D4097" s="102"/>
      <c r="E4097" s="102"/>
      <c r="H4097" s="102"/>
      <c r="J4097" s="102"/>
      <c r="K4097" s="450"/>
      <c r="L4097" s="443"/>
      <c r="M4097" s="450"/>
      <c r="N4097" s="452"/>
      <c r="O4097" s="453"/>
      <c r="P4097" s="113"/>
      <c r="Q4097" s="106" t="str">
        <f>IF(ISBLANK(O4097), "", VLOOKUP(C4097&amp;" "&amp;D4097, 'Info Tipo de Cambio y REM'!$A$24:$B$35, 2, FALSE))</f>
        <v/>
      </c>
      <c r="R4097" s="107"/>
    </row>
    <row r="4098" hidden="1">
      <c r="A4098" s="443"/>
      <c r="B4098" s="43" t="str">
        <f>IF(A4098="", "", IFERROR(VLOOKUP(A4098, Clasificaciones!A:B, 2, FALSE), "DATO NO CARGADO"))
</f>
        <v/>
      </c>
      <c r="C4098" s="51"/>
      <c r="D4098" s="102"/>
      <c r="E4098" s="102"/>
      <c r="H4098" s="102"/>
      <c r="J4098" s="102"/>
      <c r="K4098" s="450"/>
      <c r="L4098" s="443"/>
      <c r="M4098" s="450"/>
      <c r="N4098" s="452"/>
      <c r="O4098" s="453"/>
      <c r="P4098" s="113"/>
      <c r="Q4098" s="106" t="str">
        <f>IF(ISBLANK(O4098), "", VLOOKUP(C4098&amp;" "&amp;D4098, 'Info Tipo de Cambio y REM'!$A$24:$B$35, 2, FALSE))</f>
        <v/>
      </c>
      <c r="R4098" s="107"/>
    </row>
    <row r="4099" hidden="1">
      <c r="A4099" s="443"/>
      <c r="B4099" s="43" t="str">
        <f>IF(A4099="", "", IFERROR(VLOOKUP(A4099, Clasificaciones!A:B, 2, FALSE), "DATO NO CARGADO"))
</f>
        <v/>
      </c>
      <c r="C4099" s="51"/>
      <c r="D4099" s="102"/>
      <c r="E4099" s="102"/>
      <c r="H4099" s="102"/>
      <c r="J4099" s="102"/>
      <c r="K4099" s="450"/>
      <c r="L4099" s="443"/>
      <c r="M4099" s="450"/>
      <c r="N4099" s="452"/>
      <c r="O4099" s="453"/>
      <c r="P4099" s="113"/>
      <c r="Q4099" s="106" t="str">
        <f>IF(ISBLANK(O4099), "", VLOOKUP(C4099&amp;" "&amp;D4099, 'Info Tipo de Cambio y REM'!$A$24:$B$35, 2, FALSE))</f>
        <v/>
      </c>
      <c r="R4099" s="107"/>
    </row>
    <row r="4100" hidden="1">
      <c r="A4100" s="443"/>
      <c r="B4100" s="43" t="str">
        <f>IF(A4100="", "", IFERROR(VLOOKUP(A4100, Clasificaciones!A:B, 2, FALSE), "DATO NO CARGADO"))
</f>
        <v/>
      </c>
      <c r="C4100" s="51"/>
      <c r="D4100" s="102"/>
      <c r="E4100" s="102"/>
      <c r="H4100" s="102"/>
      <c r="J4100" s="102"/>
      <c r="K4100" s="450"/>
      <c r="L4100" s="443"/>
      <c r="M4100" s="450"/>
      <c r="N4100" s="452"/>
      <c r="O4100" s="453"/>
      <c r="P4100" s="113"/>
      <c r="Q4100" s="106" t="str">
        <f>IF(ISBLANK(O4100), "", VLOOKUP(C4100&amp;" "&amp;D4100, 'Info Tipo de Cambio y REM'!$A$24:$B$35, 2, FALSE))</f>
        <v/>
      </c>
      <c r="R4100" s="107"/>
    </row>
    <row r="4101" hidden="1">
      <c r="A4101" s="443"/>
      <c r="B4101" s="43" t="str">
        <f>IF(A4101="", "", IFERROR(VLOOKUP(A4101, Clasificaciones!A:B, 2, FALSE), "DATO NO CARGADO"))
</f>
        <v/>
      </c>
      <c r="C4101" s="51"/>
      <c r="D4101" s="102"/>
      <c r="E4101" s="102"/>
      <c r="H4101" s="102"/>
      <c r="J4101" s="102"/>
      <c r="K4101" s="450"/>
      <c r="L4101" s="443"/>
      <c r="M4101" s="450"/>
      <c r="N4101" s="452"/>
      <c r="O4101" s="453"/>
      <c r="P4101" s="113"/>
      <c r="Q4101" s="106" t="str">
        <f>IF(ISBLANK(O4101), "", VLOOKUP(C4101&amp;" "&amp;D4101, 'Info Tipo de Cambio y REM'!$A$24:$B$35, 2, FALSE))</f>
        <v/>
      </c>
      <c r="R4101" s="107"/>
    </row>
    <row r="4102" hidden="1">
      <c r="A4102" s="443"/>
      <c r="B4102" s="43" t="str">
        <f>IF(A4102="", "", IFERROR(VLOOKUP(A4102, Clasificaciones!A:B, 2, FALSE), "DATO NO CARGADO"))
</f>
        <v/>
      </c>
      <c r="C4102" s="51"/>
      <c r="D4102" s="102"/>
      <c r="E4102" s="102"/>
      <c r="H4102" s="102"/>
      <c r="J4102" s="102"/>
      <c r="K4102" s="450"/>
      <c r="L4102" s="443"/>
      <c r="M4102" s="450"/>
      <c r="N4102" s="452"/>
      <c r="O4102" s="453"/>
      <c r="P4102" s="113"/>
      <c r="Q4102" s="106" t="str">
        <f>IF(ISBLANK(O4102), "", VLOOKUP(C4102&amp;" "&amp;D4102, 'Info Tipo de Cambio y REM'!$A$24:$B$35, 2, FALSE))</f>
        <v/>
      </c>
      <c r="R4102" s="107"/>
    </row>
    <row r="4103" hidden="1">
      <c r="A4103" s="443"/>
      <c r="B4103" s="43" t="str">
        <f>IF(A4103="", "", IFERROR(VLOOKUP(A4103, Clasificaciones!A:B, 2, FALSE), "DATO NO CARGADO"))
</f>
        <v/>
      </c>
      <c r="C4103" s="51"/>
      <c r="D4103" s="102"/>
      <c r="E4103" s="102"/>
      <c r="H4103" s="102"/>
      <c r="J4103" s="102"/>
      <c r="K4103" s="450"/>
      <c r="L4103" s="443"/>
      <c r="M4103" s="450"/>
      <c r="N4103" s="452"/>
      <c r="O4103" s="453"/>
      <c r="P4103" s="113"/>
      <c r="Q4103" s="106" t="str">
        <f>IF(ISBLANK(O4103), "", VLOOKUP(C4103&amp;" "&amp;D4103, 'Info Tipo de Cambio y REM'!$A$24:$B$35, 2, FALSE))</f>
        <v/>
      </c>
      <c r="R4103" s="107"/>
    </row>
    <row r="4104" hidden="1">
      <c r="A4104" s="443"/>
      <c r="B4104" s="43" t="str">
        <f>IF(A4104="", "", IFERROR(VLOOKUP(A4104, Clasificaciones!A:B, 2, FALSE), "DATO NO CARGADO"))
</f>
        <v/>
      </c>
      <c r="C4104" s="51"/>
      <c r="D4104" s="102"/>
      <c r="E4104" s="102"/>
      <c r="H4104" s="102"/>
      <c r="J4104" s="102"/>
      <c r="K4104" s="450"/>
      <c r="L4104" s="443"/>
      <c r="M4104" s="450"/>
      <c r="N4104" s="452"/>
      <c r="O4104" s="453"/>
      <c r="P4104" s="113"/>
      <c r="Q4104" s="106" t="str">
        <f>IF(ISBLANK(O4104), "", VLOOKUP(C4104&amp;" "&amp;D4104, 'Info Tipo de Cambio y REM'!$A$24:$B$35, 2, FALSE))</f>
        <v/>
      </c>
      <c r="R4104" s="107"/>
    </row>
    <row r="4105" hidden="1">
      <c r="A4105" s="443"/>
      <c r="B4105" s="43" t="str">
        <f>IF(A4105="", "", IFERROR(VLOOKUP(A4105, Clasificaciones!A:B, 2, FALSE), "DATO NO CARGADO"))
</f>
        <v/>
      </c>
      <c r="C4105" s="51"/>
      <c r="D4105" s="102"/>
      <c r="E4105" s="102"/>
      <c r="H4105" s="102"/>
      <c r="J4105" s="102"/>
      <c r="K4105" s="450"/>
      <c r="L4105" s="443"/>
      <c r="M4105" s="450"/>
      <c r="N4105" s="452"/>
      <c r="O4105" s="453"/>
      <c r="P4105" s="113"/>
      <c r="Q4105" s="106" t="str">
        <f>IF(ISBLANK(O4105), "", VLOOKUP(C4105&amp;" "&amp;D4105, 'Info Tipo de Cambio y REM'!$A$24:$B$35, 2, FALSE))</f>
        <v/>
      </c>
      <c r="R4105" s="107"/>
    </row>
    <row r="4106" hidden="1">
      <c r="A4106" s="443"/>
      <c r="B4106" s="43" t="str">
        <f>IF(A4106="", "", IFERROR(VLOOKUP(A4106, Clasificaciones!A:B, 2, FALSE), "DATO NO CARGADO"))
</f>
        <v/>
      </c>
      <c r="C4106" s="51"/>
      <c r="D4106" s="102"/>
      <c r="E4106" s="102"/>
      <c r="H4106" s="102"/>
      <c r="J4106" s="102"/>
      <c r="K4106" s="450"/>
      <c r="L4106" s="443"/>
      <c r="M4106" s="450"/>
      <c r="N4106" s="452"/>
      <c r="O4106" s="453"/>
      <c r="P4106" s="113"/>
      <c r="Q4106" s="106" t="str">
        <f>IF(ISBLANK(O4106), "", VLOOKUP(C4106&amp;" "&amp;D4106, 'Info Tipo de Cambio y REM'!$A$24:$B$35, 2, FALSE))</f>
        <v/>
      </c>
      <c r="R4106" s="107"/>
    </row>
    <row r="4107" hidden="1">
      <c r="A4107" s="443"/>
      <c r="B4107" s="43" t="str">
        <f>IF(A4107="", "", IFERROR(VLOOKUP(A4107, Clasificaciones!A:B, 2, FALSE), "DATO NO CARGADO"))
</f>
        <v/>
      </c>
      <c r="C4107" s="51"/>
      <c r="D4107" s="102"/>
      <c r="E4107" s="102"/>
      <c r="H4107" s="102"/>
      <c r="J4107" s="102"/>
      <c r="K4107" s="450"/>
      <c r="L4107" s="443"/>
      <c r="M4107" s="450"/>
      <c r="N4107" s="452"/>
      <c r="O4107" s="453"/>
      <c r="P4107" s="113"/>
      <c r="Q4107" s="106" t="str">
        <f>IF(ISBLANK(O4107), "", VLOOKUP(C4107&amp;" "&amp;D4107, 'Info Tipo de Cambio y REM'!$A$24:$B$35, 2, FALSE))</f>
        <v/>
      </c>
      <c r="R4107" s="107"/>
    </row>
    <row r="4108" hidden="1">
      <c r="A4108" s="443"/>
      <c r="B4108" s="43" t="str">
        <f>IF(A4108="", "", IFERROR(VLOOKUP(A4108, Clasificaciones!A:B, 2, FALSE), "DATO NO CARGADO"))
</f>
        <v/>
      </c>
      <c r="C4108" s="51"/>
      <c r="D4108" s="102"/>
      <c r="E4108" s="102"/>
      <c r="H4108" s="102"/>
      <c r="J4108" s="102"/>
      <c r="K4108" s="450"/>
      <c r="L4108" s="443"/>
      <c r="M4108" s="450"/>
      <c r="N4108" s="452"/>
      <c r="O4108" s="453"/>
      <c r="P4108" s="113"/>
      <c r="Q4108" s="106" t="str">
        <f>IF(ISBLANK(O4108), "", VLOOKUP(C4108&amp;" "&amp;D4108, 'Info Tipo de Cambio y REM'!$A$24:$B$35, 2, FALSE))</f>
        <v/>
      </c>
      <c r="R4108" s="107"/>
    </row>
    <row r="4109" hidden="1">
      <c r="A4109" s="443"/>
      <c r="B4109" s="43" t="str">
        <f>IF(A4109="", "", IFERROR(VLOOKUP(A4109, Clasificaciones!A:B, 2, FALSE), "DATO NO CARGADO"))
</f>
        <v/>
      </c>
      <c r="C4109" s="51"/>
      <c r="D4109" s="102"/>
      <c r="E4109" s="102"/>
      <c r="H4109" s="102"/>
      <c r="J4109" s="102"/>
      <c r="K4109" s="450"/>
      <c r="L4109" s="443"/>
      <c r="M4109" s="450"/>
      <c r="N4109" s="452"/>
      <c r="O4109" s="453"/>
      <c r="P4109" s="113"/>
      <c r="Q4109" s="106" t="str">
        <f>IF(ISBLANK(O4109), "", VLOOKUP(C4109&amp;" "&amp;D4109, 'Info Tipo de Cambio y REM'!$A$24:$B$35, 2, FALSE))</f>
        <v/>
      </c>
      <c r="R4109" s="107"/>
    </row>
    <row r="4110" hidden="1">
      <c r="A4110" s="443"/>
      <c r="B4110" s="43" t="str">
        <f>IF(A4110="", "", IFERROR(VLOOKUP(A4110, Clasificaciones!A:B, 2, FALSE), "DATO NO CARGADO"))
</f>
        <v/>
      </c>
      <c r="C4110" s="51"/>
      <c r="D4110" s="102"/>
      <c r="E4110" s="102"/>
      <c r="H4110" s="102"/>
      <c r="J4110" s="102"/>
      <c r="K4110" s="450"/>
      <c r="L4110" s="443"/>
      <c r="M4110" s="450"/>
      <c r="N4110" s="452"/>
      <c r="O4110" s="453"/>
      <c r="P4110" s="113"/>
      <c r="Q4110" s="106" t="str">
        <f>IF(ISBLANK(O4110), "", VLOOKUP(C4110&amp;" "&amp;D4110, 'Info Tipo de Cambio y REM'!$A$24:$B$35, 2, FALSE))</f>
        <v/>
      </c>
      <c r="R4110" s="107"/>
    </row>
    <row r="4111" hidden="1">
      <c r="A4111" s="443"/>
      <c r="B4111" s="43" t="str">
        <f>IF(A4111="", "", IFERROR(VLOOKUP(A4111, Clasificaciones!A:B, 2, FALSE), "DATO NO CARGADO"))
</f>
        <v/>
      </c>
      <c r="C4111" s="51"/>
      <c r="D4111" s="102"/>
      <c r="E4111" s="102"/>
      <c r="H4111" s="102"/>
      <c r="J4111" s="102"/>
      <c r="K4111" s="450"/>
      <c r="L4111" s="443"/>
      <c r="M4111" s="450"/>
      <c r="N4111" s="452"/>
      <c r="O4111" s="453"/>
      <c r="P4111" s="113"/>
      <c r="Q4111" s="106" t="str">
        <f>IF(ISBLANK(O4111), "", VLOOKUP(C4111&amp;" "&amp;D4111, 'Info Tipo de Cambio y REM'!$A$24:$B$35, 2, FALSE))</f>
        <v/>
      </c>
      <c r="R4111" s="107"/>
    </row>
    <row r="4112" hidden="1">
      <c r="A4112" s="443"/>
      <c r="B4112" s="43" t="str">
        <f>IF(A4112="", "", IFERROR(VLOOKUP(A4112, Clasificaciones!A:B, 2, FALSE), "DATO NO CARGADO"))
</f>
        <v/>
      </c>
      <c r="C4112" s="51"/>
      <c r="D4112" s="102"/>
      <c r="E4112" s="102"/>
      <c r="H4112" s="102"/>
      <c r="J4112" s="102"/>
      <c r="K4112" s="450"/>
      <c r="L4112" s="443"/>
      <c r="M4112" s="450"/>
      <c r="N4112" s="452"/>
      <c r="O4112" s="453"/>
      <c r="P4112" s="113"/>
      <c r="Q4112" s="106" t="str">
        <f>IF(ISBLANK(O4112), "", VLOOKUP(C4112&amp;" "&amp;D4112, 'Info Tipo de Cambio y REM'!$A$24:$B$35, 2, FALSE))</f>
        <v/>
      </c>
      <c r="R4112" s="107"/>
    </row>
    <row r="4113" hidden="1">
      <c r="A4113" s="443"/>
      <c r="B4113" s="43" t="str">
        <f>IF(A4113="", "", IFERROR(VLOOKUP(A4113, Clasificaciones!A:B, 2, FALSE), "DATO NO CARGADO"))
</f>
        <v/>
      </c>
      <c r="C4113" s="51"/>
      <c r="D4113" s="102"/>
      <c r="E4113" s="102"/>
      <c r="H4113" s="102"/>
      <c r="J4113" s="102"/>
      <c r="K4113" s="450"/>
      <c r="L4113" s="443"/>
      <c r="M4113" s="450"/>
      <c r="N4113" s="452"/>
      <c r="O4113" s="453"/>
      <c r="P4113" s="113"/>
      <c r="Q4113" s="106" t="str">
        <f>IF(ISBLANK(O4113), "", VLOOKUP(C4113&amp;" "&amp;D4113, 'Info Tipo de Cambio y REM'!$A$24:$B$35, 2, FALSE))</f>
        <v/>
      </c>
      <c r="R4113" s="107"/>
    </row>
    <row r="4114" hidden="1">
      <c r="A4114" s="443"/>
      <c r="B4114" s="43" t="str">
        <f>IF(A4114="", "", IFERROR(VLOOKUP(A4114, Clasificaciones!A:B, 2, FALSE), "DATO NO CARGADO"))
</f>
        <v/>
      </c>
      <c r="C4114" s="51"/>
      <c r="D4114" s="102"/>
      <c r="E4114" s="102"/>
      <c r="H4114" s="102"/>
      <c r="J4114" s="102"/>
      <c r="K4114" s="450"/>
      <c r="L4114" s="443"/>
      <c r="M4114" s="450"/>
      <c r="N4114" s="452"/>
      <c r="O4114" s="453"/>
      <c r="P4114" s="113"/>
      <c r="Q4114" s="106" t="str">
        <f>IF(ISBLANK(O4114), "", VLOOKUP(C4114&amp;" "&amp;D4114, 'Info Tipo de Cambio y REM'!$A$24:$B$35, 2, FALSE))</f>
        <v/>
      </c>
      <c r="R4114" s="107"/>
    </row>
    <row r="4115" hidden="1">
      <c r="A4115" s="443"/>
      <c r="B4115" s="43" t="str">
        <f>IF(A4115="", "", IFERROR(VLOOKUP(A4115, Clasificaciones!A:B, 2, FALSE), "DATO NO CARGADO"))
</f>
        <v/>
      </c>
      <c r="C4115" s="51"/>
      <c r="D4115" s="102"/>
      <c r="E4115" s="102"/>
      <c r="H4115" s="102"/>
      <c r="J4115" s="102"/>
      <c r="K4115" s="450"/>
      <c r="L4115" s="443"/>
      <c r="M4115" s="450"/>
      <c r="N4115" s="452"/>
      <c r="O4115" s="453"/>
      <c r="P4115" s="113"/>
      <c r="Q4115" s="106" t="str">
        <f>IF(ISBLANK(O4115), "", VLOOKUP(C4115&amp;" "&amp;D4115, 'Info Tipo de Cambio y REM'!$A$24:$B$35, 2, FALSE))</f>
        <v/>
      </c>
      <c r="R4115" s="107"/>
    </row>
    <row r="4116" hidden="1">
      <c r="A4116" s="443"/>
      <c r="B4116" s="43" t="str">
        <f>IF(A4116="", "", IFERROR(VLOOKUP(A4116, Clasificaciones!A:B, 2, FALSE), "DATO NO CARGADO"))
</f>
        <v/>
      </c>
      <c r="C4116" s="51"/>
      <c r="D4116" s="102"/>
      <c r="E4116" s="102"/>
      <c r="H4116" s="102"/>
      <c r="J4116" s="102"/>
      <c r="K4116" s="450"/>
      <c r="L4116" s="443"/>
      <c r="M4116" s="450"/>
      <c r="N4116" s="452"/>
      <c r="O4116" s="453"/>
      <c r="P4116" s="113"/>
      <c r="Q4116" s="106" t="str">
        <f>IF(ISBLANK(O4116), "", VLOOKUP(C4116&amp;" "&amp;D4116, 'Info Tipo de Cambio y REM'!$A$24:$B$35, 2, FALSE))</f>
        <v/>
      </c>
      <c r="R4116" s="107"/>
    </row>
    <row r="4117" hidden="1">
      <c r="A4117" s="443"/>
      <c r="B4117" s="43" t="str">
        <f>IF(A4117="", "", IFERROR(VLOOKUP(A4117, Clasificaciones!A:B, 2, FALSE), "DATO NO CARGADO"))
</f>
        <v/>
      </c>
      <c r="C4117" s="51"/>
      <c r="D4117" s="102"/>
      <c r="E4117" s="102"/>
      <c r="H4117" s="102"/>
      <c r="J4117" s="102"/>
      <c r="K4117" s="450"/>
      <c r="L4117" s="443"/>
      <c r="M4117" s="450"/>
      <c r="N4117" s="452"/>
      <c r="O4117" s="453"/>
      <c r="P4117" s="113"/>
      <c r="Q4117" s="106" t="str">
        <f>IF(ISBLANK(O4117), "", VLOOKUP(C4117&amp;" "&amp;D4117, 'Info Tipo de Cambio y REM'!$A$24:$B$35, 2, FALSE))</f>
        <v/>
      </c>
      <c r="R4117" s="107"/>
    </row>
    <row r="4118" hidden="1">
      <c r="A4118" s="443"/>
      <c r="B4118" s="43" t="str">
        <f>IF(A4118="", "", IFERROR(VLOOKUP(A4118, Clasificaciones!A:B, 2, FALSE), "DATO NO CARGADO"))
</f>
        <v/>
      </c>
      <c r="C4118" s="51"/>
      <c r="D4118" s="102"/>
      <c r="E4118" s="102"/>
      <c r="H4118" s="102"/>
      <c r="J4118" s="102"/>
      <c r="K4118" s="450"/>
      <c r="L4118" s="443"/>
      <c r="M4118" s="450"/>
      <c r="N4118" s="452"/>
      <c r="O4118" s="453"/>
      <c r="P4118" s="113"/>
      <c r="Q4118" s="106" t="str">
        <f>IF(ISBLANK(O4118), "", VLOOKUP(C4118&amp;" "&amp;D4118, 'Info Tipo de Cambio y REM'!$A$24:$B$35, 2, FALSE))</f>
        <v/>
      </c>
      <c r="R4118" s="107"/>
    </row>
    <row r="4119" hidden="1">
      <c r="A4119" s="443"/>
      <c r="B4119" s="43" t="str">
        <f>IF(A4119="", "", IFERROR(VLOOKUP(A4119, Clasificaciones!A:B, 2, FALSE), "DATO NO CARGADO"))
</f>
        <v/>
      </c>
      <c r="C4119" s="51"/>
      <c r="D4119" s="102"/>
      <c r="E4119" s="102"/>
      <c r="H4119" s="102"/>
      <c r="J4119" s="102"/>
      <c r="K4119" s="450"/>
      <c r="L4119" s="443"/>
      <c r="M4119" s="450"/>
      <c r="N4119" s="452"/>
      <c r="O4119" s="453"/>
      <c r="P4119" s="113"/>
      <c r="Q4119" s="106" t="str">
        <f>IF(ISBLANK(O4119), "", VLOOKUP(C4119&amp;" "&amp;D4119, 'Info Tipo de Cambio y REM'!$A$24:$B$35, 2, FALSE))</f>
        <v/>
      </c>
      <c r="R4119" s="107"/>
    </row>
    <row r="4120" hidden="1">
      <c r="A4120" s="443"/>
      <c r="B4120" s="43" t="str">
        <f>IF(A4120="", "", IFERROR(VLOOKUP(A4120, Clasificaciones!A:B, 2, FALSE), "DATO NO CARGADO"))
</f>
        <v/>
      </c>
      <c r="C4120" s="51"/>
      <c r="D4120" s="102"/>
      <c r="E4120" s="102"/>
      <c r="H4120" s="102"/>
      <c r="J4120" s="102"/>
      <c r="K4120" s="450"/>
      <c r="L4120" s="443"/>
      <c r="M4120" s="450"/>
      <c r="N4120" s="452"/>
      <c r="O4120" s="453"/>
      <c r="P4120" s="113"/>
      <c r="Q4120" s="106" t="str">
        <f>IF(ISBLANK(O4120), "", VLOOKUP(C4120&amp;" "&amp;D4120, 'Info Tipo de Cambio y REM'!$A$24:$B$35, 2, FALSE))</f>
        <v/>
      </c>
      <c r="R4120" s="107"/>
    </row>
    <row r="4121" hidden="1">
      <c r="A4121" s="443"/>
      <c r="B4121" s="43" t="str">
        <f>IF(A4121="", "", IFERROR(VLOOKUP(A4121, Clasificaciones!A:B, 2, FALSE), "DATO NO CARGADO"))
</f>
        <v/>
      </c>
      <c r="C4121" s="51"/>
      <c r="D4121" s="102"/>
      <c r="E4121" s="102"/>
      <c r="H4121" s="102"/>
      <c r="J4121" s="102"/>
      <c r="K4121" s="450"/>
      <c r="L4121" s="443"/>
      <c r="M4121" s="450"/>
      <c r="N4121" s="452"/>
      <c r="O4121" s="453"/>
      <c r="P4121" s="113"/>
      <c r="Q4121" s="106" t="str">
        <f>IF(ISBLANK(O4121), "", VLOOKUP(C4121&amp;" "&amp;D4121, 'Info Tipo de Cambio y REM'!$A$24:$B$35, 2, FALSE))</f>
        <v/>
      </c>
      <c r="R4121" s="107"/>
    </row>
    <row r="4122" hidden="1">
      <c r="A4122" s="443"/>
      <c r="B4122" s="43" t="str">
        <f>IF(A4122="", "", IFERROR(VLOOKUP(A4122, Clasificaciones!A:B, 2, FALSE), "DATO NO CARGADO"))
</f>
        <v/>
      </c>
      <c r="C4122" s="51"/>
      <c r="D4122" s="102"/>
      <c r="E4122" s="102"/>
      <c r="H4122" s="102"/>
      <c r="J4122" s="102"/>
      <c r="K4122" s="450"/>
      <c r="L4122" s="443"/>
      <c r="M4122" s="450"/>
      <c r="N4122" s="452"/>
      <c r="O4122" s="453"/>
      <c r="P4122" s="113"/>
      <c r="Q4122" s="106" t="str">
        <f>IF(ISBLANK(O4122), "", VLOOKUP(C4122&amp;" "&amp;D4122, 'Info Tipo de Cambio y REM'!$A$24:$B$35, 2, FALSE))</f>
        <v/>
      </c>
      <c r="R4122" s="107"/>
    </row>
    <row r="4123" hidden="1">
      <c r="A4123" s="443"/>
      <c r="B4123" s="43" t="str">
        <f>IF(A4123="", "", IFERROR(VLOOKUP(A4123, Clasificaciones!A:B, 2, FALSE), "DATO NO CARGADO"))
</f>
        <v/>
      </c>
      <c r="C4123" s="51"/>
      <c r="D4123" s="102"/>
      <c r="E4123" s="102"/>
      <c r="H4123" s="102"/>
      <c r="J4123" s="102"/>
      <c r="K4123" s="450"/>
      <c r="L4123" s="443"/>
      <c r="M4123" s="450"/>
      <c r="N4123" s="452"/>
      <c r="O4123" s="453"/>
      <c r="P4123" s="113"/>
      <c r="Q4123" s="106" t="str">
        <f>IF(ISBLANK(O4123), "", VLOOKUP(C4123&amp;" "&amp;D4123, 'Info Tipo de Cambio y REM'!$A$24:$B$35, 2, FALSE))</f>
        <v/>
      </c>
      <c r="R4123" s="107"/>
    </row>
    <row r="4124" hidden="1">
      <c r="A4124" s="443"/>
      <c r="B4124" s="43" t="str">
        <f>IF(A4124="", "", IFERROR(VLOOKUP(A4124, Clasificaciones!A:B, 2, FALSE), "DATO NO CARGADO"))
</f>
        <v/>
      </c>
      <c r="C4124" s="51"/>
      <c r="D4124" s="102"/>
      <c r="E4124" s="102"/>
      <c r="H4124" s="102"/>
      <c r="J4124" s="102"/>
      <c r="K4124" s="450"/>
      <c r="L4124" s="443"/>
      <c r="M4124" s="450"/>
      <c r="N4124" s="452"/>
      <c r="O4124" s="453"/>
      <c r="P4124" s="113"/>
      <c r="Q4124" s="106" t="str">
        <f>IF(ISBLANK(O4124), "", VLOOKUP(C4124&amp;" "&amp;D4124, 'Info Tipo de Cambio y REM'!$A$24:$B$35, 2, FALSE))</f>
        <v/>
      </c>
      <c r="R4124" s="107"/>
    </row>
    <row r="4125" hidden="1">
      <c r="A4125" s="443"/>
      <c r="B4125" s="43" t="str">
        <f>IF(A4125="", "", IFERROR(VLOOKUP(A4125, Clasificaciones!A:B, 2, FALSE), "DATO NO CARGADO"))
</f>
        <v/>
      </c>
      <c r="C4125" s="51"/>
      <c r="D4125" s="102"/>
      <c r="E4125" s="102"/>
      <c r="H4125" s="102"/>
      <c r="J4125" s="102"/>
      <c r="K4125" s="450"/>
      <c r="L4125" s="443"/>
      <c r="M4125" s="450"/>
      <c r="N4125" s="452"/>
      <c r="O4125" s="453"/>
      <c r="P4125" s="113"/>
      <c r="Q4125" s="106" t="str">
        <f>IF(ISBLANK(O4125), "", VLOOKUP(C4125&amp;" "&amp;D4125, 'Info Tipo de Cambio y REM'!$A$24:$B$35, 2, FALSE))</f>
        <v/>
      </c>
      <c r="R4125" s="107"/>
    </row>
    <row r="4126" hidden="1">
      <c r="A4126" s="443"/>
      <c r="B4126" s="43" t="str">
        <f>IF(A4126="", "", IFERROR(VLOOKUP(A4126, Clasificaciones!A:B, 2, FALSE), "DATO NO CARGADO"))
</f>
        <v/>
      </c>
      <c r="C4126" s="51"/>
      <c r="D4126" s="102"/>
      <c r="E4126" s="102"/>
      <c r="H4126" s="102"/>
      <c r="J4126" s="102"/>
      <c r="K4126" s="450"/>
      <c r="L4126" s="443"/>
      <c r="M4126" s="450"/>
      <c r="N4126" s="452"/>
      <c r="O4126" s="453"/>
      <c r="P4126" s="113"/>
      <c r="Q4126" s="106" t="str">
        <f>IF(ISBLANK(O4126), "", VLOOKUP(C4126&amp;" "&amp;D4126, 'Info Tipo de Cambio y REM'!$A$24:$B$35, 2, FALSE))</f>
        <v/>
      </c>
      <c r="R4126" s="107"/>
    </row>
    <row r="4127" hidden="1">
      <c r="A4127" s="443"/>
      <c r="B4127" s="43" t="str">
        <f>IF(A4127="", "", IFERROR(VLOOKUP(A4127, Clasificaciones!A:B, 2, FALSE), "DATO NO CARGADO"))
</f>
        <v/>
      </c>
      <c r="C4127" s="51"/>
      <c r="D4127" s="102"/>
      <c r="E4127" s="102"/>
      <c r="H4127" s="102"/>
      <c r="J4127" s="102"/>
      <c r="K4127" s="450"/>
      <c r="L4127" s="443"/>
      <c r="M4127" s="450"/>
      <c r="N4127" s="452"/>
      <c r="O4127" s="453"/>
      <c r="P4127" s="113"/>
      <c r="Q4127" s="106" t="str">
        <f>IF(ISBLANK(O4127), "", VLOOKUP(C4127&amp;" "&amp;D4127, 'Info Tipo de Cambio y REM'!$A$24:$B$35, 2, FALSE))</f>
        <v/>
      </c>
      <c r="R4127" s="107"/>
    </row>
    <row r="4128" hidden="1">
      <c r="A4128" s="443"/>
      <c r="B4128" s="43" t="str">
        <f>IF(A4128="", "", IFERROR(VLOOKUP(A4128, Clasificaciones!A:B, 2, FALSE), "DATO NO CARGADO"))
</f>
        <v/>
      </c>
      <c r="C4128" s="51"/>
      <c r="D4128" s="102"/>
      <c r="E4128" s="102"/>
      <c r="H4128" s="102"/>
      <c r="J4128" s="102"/>
      <c r="K4128" s="450"/>
      <c r="L4128" s="443"/>
      <c r="M4128" s="450"/>
      <c r="N4128" s="452"/>
      <c r="O4128" s="453"/>
      <c r="P4128" s="113"/>
      <c r="Q4128" s="106" t="str">
        <f>IF(ISBLANK(O4128), "", VLOOKUP(C4128&amp;" "&amp;D4128, 'Info Tipo de Cambio y REM'!$A$24:$B$35, 2, FALSE))</f>
        <v/>
      </c>
      <c r="R4128" s="107"/>
    </row>
    <row r="4129" hidden="1">
      <c r="A4129" s="443"/>
      <c r="B4129" s="43" t="str">
        <f>IF(A4129="", "", IFERROR(VLOOKUP(A4129, Clasificaciones!A:B, 2, FALSE), "DATO NO CARGADO"))
</f>
        <v/>
      </c>
      <c r="C4129" s="51"/>
      <c r="D4129" s="102"/>
      <c r="E4129" s="102"/>
      <c r="H4129" s="102"/>
      <c r="J4129" s="102"/>
      <c r="K4129" s="450"/>
      <c r="L4129" s="443"/>
      <c r="M4129" s="450"/>
      <c r="N4129" s="452"/>
      <c r="O4129" s="453"/>
      <c r="P4129" s="113"/>
      <c r="Q4129" s="106" t="str">
        <f>IF(ISBLANK(O4129), "", VLOOKUP(C4129&amp;" "&amp;D4129, 'Info Tipo de Cambio y REM'!$A$24:$B$35, 2, FALSE))</f>
        <v/>
      </c>
      <c r="R4129" s="107"/>
    </row>
    <row r="4130" hidden="1">
      <c r="A4130" s="443"/>
      <c r="B4130" s="43" t="str">
        <f>IF(A4130="", "", IFERROR(VLOOKUP(A4130, Clasificaciones!A:B, 2, FALSE), "DATO NO CARGADO"))
</f>
        <v/>
      </c>
      <c r="C4130" s="51"/>
      <c r="D4130" s="102"/>
      <c r="E4130" s="102"/>
      <c r="H4130" s="102"/>
      <c r="J4130" s="102"/>
      <c r="K4130" s="450"/>
      <c r="L4130" s="443"/>
      <c r="M4130" s="450"/>
      <c r="N4130" s="452"/>
      <c r="O4130" s="453"/>
      <c r="P4130" s="113"/>
      <c r="Q4130" s="106" t="str">
        <f>IF(ISBLANK(O4130), "", VLOOKUP(C4130&amp;" "&amp;D4130, 'Info Tipo de Cambio y REM'!$A$24:$B$35, 2, FALSE))</f>
        <v/>
      </c>
      <c r="R4130" s="107"/>
    </row>
    <row r="4131" hidden="1">
      <c r="A4131" s="443"/>
      <c r="B4131" s="43" t="str">
        <f>IF(A4131="", "", IFERROR(VLOOKUP(A4131, Clasificaciones!A:B, 2, FALSE), "DATO NO CARGADO"))
</f>
        <v/>
      </c>
      <c r="C4131" s="51"/>
      <c r="D4131" s="102"/>
      <c r="E4131" s="102"/>
      <c r="H4131" s="102"/>
      <c r="J4131" s="102"/>
      <c r="K4131" s="450"/>
      <c r="L4131" s="443"/>
      <c r="M4131" s="450"/>
      <c r="N4131" s="452"/>
      <c r="O4131" s="453"/>
      <c r="P4131" s="113"/>
      <c r="Q4131" s="106" t="str">
        <f>IF(ISBLANK(O4131), "", VLOOKUP(C4131&amp;" "&amp;D4131, 'Info Tipo de Cambio y REM'!$A$24:$B$35, 2, FALSE))</f>
        <v/>
      </c>
      <c r="R4131" s="107"/>
    </row>
    <row r="4132" hidden="1">
      <c r="A4132" s="443"/>
      <c r="B4132" s="43" t="str">
        <f>IF(A4132="", "", IFERROR(VLOOKUP(A4132, Clasificaciones!A:B, 2, FALSE), "DATO NO CARGADO"))
</f>
        <v/>
      </c>
      <c r="C4132" s="51"/>
      <c r="D4132" s="102"/>
      <c r="E4132" s="102"/>
      <c r="H4132" s="102"/>
      <c r="J4132" s="102"/>
      <c r="K4132" s="450"/>
      <c r="L4132" s="443"/>
      <c r="M4132" s="450"/>
      <c r="N4132" s="452"/>
      <c r="O4132" s="453"/>
      <c r="P4132" s="113"/>
      <c r="Q4132" s="106" t="str">
        <f>IF(ISBLANK(O4132), "", VLOOKUP(C4132&amp;" "&amp;D4132, 'Info Tipo de Cambio y REM'!$A$24:$B$35, 2, FALSE))</f>
        <v/>
      </c>
      <c r="R4132" s="107"/>
    </row>
    <row r="4133" hidden="1">
      <c r="A4133" s="443"/>
      <c r="B4133" s="43" t="str">
        <f>IF(A4133="", "", IFERROR(VLOOKUP(A4133, Clasificaciones!A:B, 2, FALSE), "DATO NO CARGADO"))
</f>
        <v/>
      </c>
      <c r="C4133" s="51"/>
      <c r="D4133" s="102"/>
      <c r="E4133" s="102"/>
      <c r="H4133" s="102"/>
      <c r="J4133" s="102"/>
      <c r="K4133" s="450"/>
      <c r="L4133" s="443"/>
      <c r="M4133" s="450"/>
      <c r="N4133" s="452"/>
      <c r="O4133" s="453"/>
      <c r="P4133" s="113"/>
      <c r="Q4133" s="106" t="str">
        <f>IF(ISBLANK(O4133), "", VLOOKUP(C4133&amp;" "&amp;D4133, 'Info Tipo de Cambio y REM'!$A$24:$B$35, 2, FALSE))</f>
        <v/>
      </c>
      <c r="R4133" s="107"/>
    </row>
    <row r="4134" hidden="1">
      <c r="A4134" s="443"/>
      <c r="B4134" s="43" t="str">
        <f>IF(A4134="", "", IFERROR(VLOOKUP(A4134, Clasificaciones!A:B, 2, FALSE), "DATO NO CARGADO"))
</f>
        <v/>
      </c>
      <c r="C4134" s="51"/>
      <c r="D4134" s="102"/>
      <c r="E4134" s="102"/>
      <c r="H4134" s="102"/>
      <c r="J4134" s="102"/>
      <c r="K4134" s="450"/>
      <c r="L4134" s="443"/>
      <c r="M4134" s="450"/>
      <c r="N4134" s="452"/>
      <c r="O4134" s="453"/>
      <c r="P4134" s="113"/>
      <c r="Q4134" s="106" t="str">
        <f>IF(ISBLANK(O4134), "", VLOOKUP(C4134&amp;" "&amp;D4134, 'Info Tipo de Cambio y REM'!$A$24:$B$35, 2, FALSE))</f>
        <v/>
      </c>
      <c r="R4134" s="107"/>
    </row>
    <row r="4135" hidden="1">
      <c r="A4135" s="443"/>
      <c r="B4135" s="43" t="str">
        <f>IF(A4135="", "", IFERROR(VLOOKUP(A4135, Clasificaciones!A:B, 2, FALSE), "DATO NO CARGADO"))
</f>
        <v/>
      </c>
      <c r="C4135" s="51"/>
      <c r="D4135" s="102"/>
      <c r="E4135" s="102"/>
      <c r="H4135" s="102"/>
      <c r="J4135" s="102"/>
      <c r="K4135" s="450"/>
      <c r="L4135" s="443"/>
      <c r="M4135" s="450"/>
      <c r="N4135" s="452"/>
      <c r="O4135" s="453"/>
      <c r="P4135" s="113"/>
      <c r="Q4135" s="106" t="str">
        <f>IF(ISBLANK(O4135), "", VLOOKUP(C4135&amp;" "&amp;D4135, 'Info Tipo de Cambio y REM'!$A$24:$B$35, 2, FALSE))</f>
        <v/>
      </c>
      <c r="R4135" s="107"/>
    </row>
    <row r="4136" hidden="1">
      <c r="A4136" s="443"/>
      <c r="B4136" s="43" t="str">
        <f>IF(A4136="", "", IFERROR(VLOOKUP(A4136, Clasificaciones!A:B, 2, FALSE), "DATO NO CARGADO"))
</f>
        <v/>
      </c>
      <c r="C4136" s="51"/>
      <c r="D4136" s="102"/>
      <c r="E4136" s="102"/>
      <c r="H4136" s="102"/>
      <c r="J4136" s="102"/>
      <c r="K4136" s="450"/>
      <c r="L4136" s="443"/>
      <c r="M4136" s="450"/>
      <c r="N4136" s="452"/>
      <c r="O4136" s="453"/>
      <c r="P4136" s="113"/>
      <c r="Q4136" s="106" t="str">
        <f>IF(ISBLANK(O4136), "", VLOOKUP(C4136&amp;" "&amp;D4136, 'Info Tipo de Cambio y REM'!$A$24:$B$35, 2, FALSE))</f>
        <v/>
      </c>
      <c r="R4136" s="107"/>
    </row>
    <row r="4137" hidden="1">
      <c r="A4137" s="443"/>
      <c r="B4137" s="43" t="str">
        <f>IF(A4137="", "", IFERROR(VLOOKUP(A4137, Clasificaciones!A:B, 2, FALSE), "DATO NO CARGADO"))
</f>
        <v/>
      </c>
      <c r="C4137" s="51"/>
      <c r="D4137" s="102"/>
      <c r="E4137" s="102"/>
      <c r="H4137" s="102"/>
      <c r="J4137" s="102"/>
      <c r="K4137" s="450"/>
      <c r="L4137" s="443"/>
      <c r="M4137" s="450"/>
      <c r="N4137" s="452"/>
      <c r="O4137" s="453"/>
      <c r="P4137" s="113"/>
      <c r="Q4137" s="106" t="str">
        <f>IF(ISBLANK(O4137), "", VLOOKUP(C4137&amp;" "&amp;D4137, 'Info Tipo de Cambio y REM'!$A$24:$B$35, 2, FALSE))</f>
        <v/>
      </c>
      <c r="R4137" s="107"/>
    </row>
    <row r="4138" hidden="1">
      <c r="A4138" s="443"/>
      <c r="B4138" s="43" t="str">
        <f>IF(A4138="", "", IFERROR(VLOOKUP(A4138, Clasificaciones!A:B, 2, FALSE), "DATO NO CARGADO"))
</f>
        <v/>
      </c>
      <c r="C4138" s="51"/>
      <c r="D4138" s="102"/>
      <c r="E4138" s="102"/>
      <c r="H4138" s="102"/>
      <c r="J4138" s="102"/>
      <c r="K4138" s="450"/>
      <c r="L4138" s="443"/>
      <c r="M4138" s="450"/>
      <c r="N4138" s="452"/>
      <c r="O4138" s="453"/>
      <c r="P4138" s="113"/>
      <c r="Q4138" s="106" t="str">
        <f>IF(ISBLANK(O4138), "", VLOOKUP(C4138&amp;" "&amp;D4138, 'Info Tipo de Cambio y REM'!$A$24:$B$35, 2, FALSE))</f>
        <v/>
      </c>
      <c r="R4138" s="107"/>
    </row>
    <row r="4139" hidden="1">
      <c r="A4139" s="443"/>
      <c r="B4139" s="43" t="str">
        <f>IF(A4139="", "", IFERROR(VLOOKUP(A4139, Clasificaciones!A:B, 2, FALSE), "DATO NO CARGADO"))
</f>
        <v/>
      </c>
      <c r="C4139" s="51"/>
      <c r="D4139" s="102"/>
      <c r="E4139" s="102"/>
      <c r="H4139" s="102"/>
      <c r="J4139" s="102"/>
      <c r="K4139" s="450"/>
      <c r="L4139" s="443"/>
      <c r="M4139" s="450"/>
      <c r="N4139" s="452"/>
      <c r="O4139" s="453"/>
      <c r="P4139" s="113"/>
      <c r="Q4139" s="106" t="str">
        <f>IF(ISBLANK(O4139), "", VLOOKUP(C4139&amp;" "&amp;D4139, 'Info Tipo de Cambio y REM'!$A$24:$B$35, 2, FALSE))</f>
        <v/>
      </c>
      <c r="R4139" s="107"/>
    </row>
    <row r="4140" hidden="1">
      <c r="A4140" s="443"/>
      <c r="B4140" s="43" t="str">
        <f>IF(A4140="", "", IFERROR(VLOOKUP(A4140, Clasificaciones!A:B, 2, FALSE), "DATO NO CARGADO"))
</f>
        <v/>
      </c>
      <c r="C4140" s="51"/>
      <c r="D4140" s="102"/>
      <c r="E4140" s="102"/>
      <c r="H4140" s="102"/>
      <c r="J4140" s="102"/>
      <c r="K4140" s="450"/>
      <c r="L4140" s="443"/>
      <c r="M4140" s="450"/>
      <c r="N4140" s="452"/>
      <c r="O4140" s="453"/>
      <c r="P4140" s="113"/>
      <c r="Q4140" s="106" t="str">
        <f>IF(ISBLANK(O4140), "", VLOOKUP(C4140&amp;" "&amp;D4140, 'Info Tipo de Cambio y REM'!$A$24:$B$35, 2, FALSE))</f>
        <v/>
      </c>
      <c r="R4140" s="107"/>
    </row>
    <row r="4141" hidden="1">
      <c r="A4141" s="443"/>
      <c r="B4141" s="43" t="str">
        <f>IF(A4141="", "", IFERROR(VLOOKUP(A4141, Clasificaciones!A:B, 2, FALSE), "DATO NO CARGADO"))
</f>
        <v/>
      </c>
      <c r="C4141" s="51"/>
      <c r="D4141" s="102"/>
      <c r="E4141" s="102"/>
      <c r="H4141" s="102"/>
      <c r="J4141" s="102"/>
      <c r="K4141" s="450"/>
      <c r="L4141" s="443"/>
      <c r="M4141" s="450"/>
      <c r="N4141" s="452"/>
      <c r="O4141" s="453"/>
      <c r="P4141" s="113"/>
      <c r="Q4141" s="106" t="str">
        <f>IF(ISBLANK(O4141), "", VLOOKUP(C4141&amp;" "&amp;D4141, 'Info Tipo de Cambio y REM'!$A$24:$B$35, 2, FALSE))</f>
        <v/>
      </c>
      <c r="R4141" s="107"/>
    </row>
    <row r="4142" hidden="1">
      <c r="A4142" s="443"/>
      <c r="B4142" s="43" t="str">
        <f>IF(A4142="", "", IFERROR(VLOOKUP(A4142, Clasificaciones!A:B, 2, FALSE), "DATO NO CARGADO"))
</f>
        <v/>
      </c>
      <c r="C4142" s="51"/>
      <c r="D4142" s="102"/>
      <c r="E4142" s="102"/>
      <c r="H4142" s="102"/>
      <c r="J4142" s="102"/>
      <c r="K4142" s="450"/>
      <c r="L4142" s="443"/>
      <c r="M4142" s="450"/>
      <c r="N4142" s="452"/>
      <c r="O4142" s="453"/>
      <c r="P4142" s="113"/>
      <c r="Q4142" s="106" t="str">
        <f>IF(ISBLANK(O4142), "", VLOOKUP(C4142&amp;" "&amp;D4142, 'Info Tipo de Cambio y REM'!$A$24:$B$35, 2, FALSE))</f>
        <v/>
      </c>
      <c r="R4142" s="107"/>
    </row>
    <row r="4143" hidden="1">
      <c r="A4143" s="443"/>
      <c r="B4143" s="43" t="str">
        <f>IF(A4143="", "", IFERROR(VLOOKUP(A4143, Clasificaciones!A:B, 2, FALSE), "DATO NO CARGADO"))
</f>
        <v/>
      </c>
      <c r="C4143" s="51"/>
      <c r="D4143" s="102"/>
      <c r="E4143" s="102"/>
      <c r="H4143" s="102"/>
      <c r="J4143" s="102"/>
      <c r="K4143" s="450"/>
      <c r="L4143" s="443"/>
      <c r="M4143" s="450"/>
      <c r="N4143" s="452"/>
      <c r="O4143" s="453"/>
      <c r="P4143" s="113"/>
      <c r="Q4143" s="106" t="str">
        <f>IF(ISBLANK(O4143), "", VLOOKUP(C4143&amp;" "&amp;D4143, 'Info Tipo de Cambio y REM'!$A$24:$B$35, 2, FALSE))</f>
        <v/>
      </c>
      <c r="R4143" s="107"/>
    </row>
    <row r="4144" hidden="1">
      <c r="A4144" s="443"/>
      <c r="B4144" s="43" t="str">
        <f>IF(A4144="", "", IFERROR(VLOOKUP(A4144, Clasificaciones!A:B, 2, FALSE), "DATO NO CARGADO"))
</f>
        <v/>
      </c>
      <c r="C4144" s="51"/>
      <c r="D4144" s="102"/>
      <c r="E4144" s="102"/>
      <c r="H4144" s="102"/>
      <c r="J4144" s="102"/>
      <c r="K4144" s="450"/>
      <c r="L4144" s="443"/>
      <c r="M4144" s="450"/>
      <c r="N4144" s="452"/>
      <c r="O4144" s="453"/>
      <c r="P4144" s="113"/>
      <c r="Q4144" s="106" t="str">
        <f>IF(ISBLANK(O4144), "", VLOOKUP(C4144&amp;" "&amp;D4144, 'Info Tipo de Cambio y REM'!$A$24:$B$35, 2, FALSE))</f>
        <v/>
      </c>
      <c r="R4144" s="107"/>
    </row>
    <row r="4145" hidden="1">
      <c r="A4145" s="443"/>
      <c r="B4145" s="43" t="str">
        <f>IF(A4145="", "", IFERROR(VLOOKUP(A4145, Clasificaciones!A:B, 2, FALSE), "DATO NO CARGADO"))
</f>
        <v/>
      </c>
      <c r="C4145" s="51"/>
      <c r="D4145" s="102"/>
      <c r="E4145" s="102"/>
      <c r="H4145" s="102"/>
      <c r="J4145" s="102"/>
      <c r="K4145" s="450"/>
      <c r="L4145" s="443"/>
      <c r="M4145" s="450"/>
      <c r="N4145" s="452"/>
      <c r="O4145" s="453"/>
      <c r="P4145" s="113"/>
      <c r="Q4145" s="106" t="str">
        <f>IF(ISBLANK(O4145), "", VLOOKUP(C4145&amp;" "&amp;D4145, 'Info Tipo de Cambio y REM'!$A$24:$B$35, 2, FALSE))</f>
        <v/>
      </c>
      <c r="R4145" s="107"/>
    </row>
    <row r="4146" hidden="1">
      <c r="A4146" s="443"/>
      <c r="B4146" s="43" t="str">
        <f>IF(A4146="", "", IFERROR(VLOOKUP(A4146, Clasificaciones!A:B, 2, FALSE), "DATO NO CARGADO"))
</f>
        <v/>
      </c>
      <c r="C4146" s="51"/>
      <c r="D4146" s="102"/>
      <c r="E4146" s="102"/>
      <c r="H4146" s="102"/>
      <c r="J4146" s="102"/>
      <c r="K4146" s="450"/>
      <c r="L4146" s="443"/>
      <c r="M4146" s="450"/>
      <c r="N4146" s="452"/>
      <c r="O4146" s="453"/>
      <c r="P4146" s="113"/>
      <c r="Q4146" s="106" t="str">
        <f>IF(ISBLANK(O4146), "", VLOOKUP(C4146&amp;" "&amp;D4146, 'Info Tipo de Cambio y REM'!$A$24:$B$35, 2, FALSE))</f>
        <v/>
      </c>
      <c r="R4146" s="107"/>
    </row>
    <row r="4147" hidden="1">
      <c r="A4147" s="443"/>
      <c r="B4147" s="43" t="str">
        <f>IF(A4147="", "", IFERROR(VLOOKUP(A4147, Clasificaciones!A:B, 2, FALSE), "DATO NO CARGADO"))
</f>
        <v/>
      </c>
      <c r="C4147" s="51"/>
      <c r="D4147" s="102"/>
      <c r="E4147" s="102"/>
      <c r="H4147" s="102"/>
      <c r="J4147" s="102"/>
      <c r="K4147" s="450"/>
      <c r="L4147" s="443"/>
      <c r="M4147" s="450"/>
      <c r="N4147" s="452"/>
      <c r="O4147" s="453"/>
      <c r="P4147" s="113"/>
      <c r="Q4147" s="106" t="str">
        <f>IF(ISBLANK(O4147), "", VLOOKUP(C4147&amp;" "&amp;D4147, 'Info Tipo de Cambio y REM'!$A$24:$B$35, 2, FALSE))</f>
        <v/>
      </c>
      <c r="R4147" s="107"/>
    </row>
    <row r="4148" hidden="1">
      <c r="A4148" s="443"/>
      <c r="B4148" s="43" t="str">
        <f>IF(A4148="", "", IFERROR(VLOOKUP(A4148, Clasificaciones!A:B, 2, FALSE), "DATO NO CARGADO"))
</f>
        <v/>
      </c>
      <c r="C4148" s="51"/>
      <c r="D4148" s="102"/>
      <c r="E4148" s="102"/>
      <c r="H4148" s="102"/>
      <c r="J4148" s="102"/>
      <c r="K4148" s="450"/>
      <c r="L4148" s="443"/>
      <c r="M4148" s="450"/>
      <c r="N4148" s="452"/>
      <c r="O4148" s="453"/>
      <c r="P4148" s="113"/>
      <c r="Q4148" s="106" t="str">
        <f>IF(ISBLANK(O4148), "", VLOOKUP(C4148&amp;" "&amp;D4148, 'Info Tipo de Cambio y REM'!$A$24:$B$35, 2, FALSE))</f>
        <v/>
      </c>
      <c r="R4148" s="107"/>
    </row>
    <row r="4149" hidden="1">
      <c r="A4149" s="443"/>
      <c r="B4149" s="43" t="str">
        <f>IF(A4149="", "", IFERROR(VLOOKUP(A4149, Clasificaciones!A:B, 2, FALSE), "DATO NO CARGADO"))
</f>
        <v/>
      </c>
      <c r="C4149" s="51"/>
      <c r="D4149" s="102"/>
      <c r="E4149" s="102"/>
      <c r="H4149" s="102"/>
      <c r="J4149" s="102"/>
      <c r="K4149" s="450"/>
      <c r="L4149" s="443"/>
      <c r="M4149" s="450"/>
      <c r="N4149" s="452"/>
      <c r="O4149" s="453"/>
      <c r="P4149" s="113"/>
      <c r="Q4149" s="106" t="str">
        <f>IF(ISBLANK(O4149), "", VLOOKUP(C4149&amp;" "&amp;D4149, 'Info Tipo de Cambio y REM'!$A$24:$B$35, 2, FALSE))</f>
        <v/>
      </c>
      <c r="R4149" s="107"/>
    </row>
    <row r="4150" hidden="1">
      <c r="A4150" s="443"/>
      <c r="B4150" s="43" t="str">
        <f>IF(A4150="", "", IFERROR(VLOOKUP(A4150, Clasificaciones!A:B, 2, FALSE), "DATO NO CARGADO"))
</f>
        <v/>
      </c>
      <c r="C4150" s="51"/>
      <c r="D4150" s="102"/>
      <c r="E4150" s="102"/>
      <c r="H4150" s="102"/>
      <c r="J4150" s="102"/>
      <c r="K4150" s="450"/>
      <c r="L4150" s="443"/>
      <c r="M4150" s="450"/>
      <c r="N4150" s="452"/>
      <c r="O4150" s="453"/>
      <c r="P4150" s="113"/>
      <c r="Q4150" s="106" t="str">
        <f>IF(ISBLANK(O4150), "", VLOOKUP(C4150&amp;" "&amp;D4150, 'Info Tipo de Cambio y REM'!$A$24:$B$35, 2, FALSE))</f>
        <v/>
      </c>
      <c r="R4150" s="107"/>
    </row>
    <row r="4151" hidden="1">
      <c r="A4151" s="443"/>
      <c r="B4151" s="43" t="str">
        <f>IF(A4151="", "", IFERROR(VLOOKUP(A4151, Clasificaciones!A:B, 2, FALSE), "DATO NO CARGADO"))
</f>
        <v/>
      </c>
      <c r="C4151" s="51"/>
      <c r="D4151" s="102"/>
      <c r="E4151" s="102"/>
      <c r="H4151" s="102"/>
      <c r="J4151" s="102"/>
      <c r="K4151" s="450"/>
      <c r="L4151" s="443"/>
      <c r="M4151" s="450"/>
      <c r="N4151" s="452"/>
      <c r="O4151" s="453"/>
      <c r="P4151" s="113"/>
      <c r="Q4151" s="106" t="str">
        <f>IF(ISBLANK(O4151), "", VLOOKUP(C4151&amp;" "&amp;D4151, 'Info Tipo de Cambio y REM'!$A$24:$B$35, 2, FALSE))</f>
        <v/>
      </c>
      <c r="R4151" s="107"/>
    </row>
    <row r="4152" hidden="1">
      <c r="A4152" s="443"/>
      <c r="B4152" s="43" t="str">
        <f>IF(A4152="", "", IFERROR(VLOOKUP(A4152, Clasificaciones!A:B, 2, FALSE), "DATO NO CARGADO"))
</f>
        <v/>
      </c>
      <c r="C4152" s="51"/>
      <c r="D4152" s="102"/>
      <c r="E4152" s="102"/>
      <c r="H4152" s="102"/>
      <c r="J4152" s="102"/>
      <c r="K4152" s="450"/>
      <c r="L4152" s="443"/>
      <c r="M4152" s="450"/>
      <c r="N4152" s="452"/>
      <c r="O4152" s="453"/>
      <c r="P4152" s="113"/>
      <c r="Q4152" s="106" t="str">
        <f>IF(ISBLANK(O4152), "", VLOOKUP(C4152&amp;" "&amp;D4152, 'Info Tipo de Cambio y REM'!$A$24:$B$35, 2, FALSE))</f>
        <v/>
      </c>
      <c r="R4152" s="107"/>
    </row>
    <row r="4153" hidden="1">
      <c r="A4153" s="443"/>
      <c r="B4153" s="43" t="str">
        <f>IF(A4153="", "", IFERROR(VLOOKUP(A4153, Clasificaciones!A:B, 2, FALSE), "DATO NO CARGADO"))
</f>
        <v/>
      </c>
      <c r="C4153" s="51"/>
      <c r="D4153" s="102"/>
      <c r="E4153" s="102"/>
      <c r="H4153" s="102"/>
      <c r="J4153" s="102"/>
      <c r="K4153" s="450"/>
      <c r="L4153" s="443"/>
      <c r="M4153" s="450"/>
      <c r="N4153" s="452"/>
      <c r="O4153" s="453"/>
      <c r="P4153" s="113"/>
      <c r="Q4153" s="106" t="str">
        <f>IF(ISBLANK(O4153), "", VLOOKUP(C4153&amp;" "&amp;D4153, 'Info Tipo de Cambio y REM'!$A$24:$B$35, 2, FALSE))</f>
        <v/>
      </c>
      <c r="R4153" s="107"/>
    </row>
    <row r="4154" hidden="1">
      <c r="A4154" s="443"/>
      <c r="B4154" s="43" t="str">
        <f>IF(A4154="", "", IFERROR(VLOOKUP(A4154, Clasificaciones!A:B, 2, FALSE), "DATO NO CARGADO"))
</f>
        <v/>
      </c>
      <c r="C4154" s="51"/>
      <c r="D4154" s="102"/>
      <c r="E4154" s="102"/>
      <c r="H4154" s="102"/>
      <c r="J4154" s="102"/>
      <c r="K4154" s="450"/>
      <c r="L4154" s="443"/>
      <c r="M4154" s="450"/>
      <c r="N4154" s="452"/>
      <c r="O4154" s="453"/>
      <c r="P4154" s="113"/>
      <c r="Q4154" s="106" t="str">
        <f>IF(ISBLANK(O4154), "", VLOOKUP(C4154&amp;" "&amp;D4154, 'Info Tipo de Cambio y REM'!$A$24:$B$35, 2, FALSE))</f>
        <v/>
      </c>
      <c r="R4154" s="107"/>
    </row>
    <row r="4155" hidden="1">
      <c r="A4155" s="443"/>
      <c r="B4155" s="43" t="str">
        <f>IF(A4155="", "", IFERROR(VLOOKUP(A4155, Clasificaciones!A:B, 2, FALSE), "DATO NO CARGADO"))
</f>
        <v/>
      </c>
      <c r="C4155" s="51"/>
      <c r="D4155" s="102"/>
      <c r="E4155" s="102"/>
      <c r="H4155" s="102"/>
      <c r="J4155" s="102"/>
      <c r="K4155" s="450"/>
      <c r="L4155" s="443"/>
      <c r="M4155" s="450"/>
      <c r="N4155" s="452"/>
      <c r="O4155" s="453"/>
      <c r="P4155" s="113"/>
      <c r="Q4155" s="106" t="str">
        <f>IF(ISBLANK(O4155), "", VLOOKUP(C4155&amp;" "&amp;D4155, 'Info Tipo de Cambio y REM'!$A$24:$B$35, 2, FALSE))</f>
        <v/>
      </c>
      <c r="R4155" s="107"/>
    </row>
    <row r="4156" hidden="1">
      <c r="A4156" s="443"/>
      <c r="B4156" s="43" t="str">
        <f>IF(A4156="", "", IFERROR(VLOOKUP(A4156, Clasificaciones!A:B, 2, FALSE), "DATO NO CARGADO"))
</f>
        <v/>
      </c>
      <c r="C4156" s="51"/>
      <c r="D4156" s="102"/>
      <c r="E4156" s="102"/>
      <c r="H4156" s="102"/>
      <c r="J4156" s="102"/>
      <c r="K4156" s="450"/>
      <c r="L4156" s="443"/>
      <c r="M4156" s="450"/>
      <c r="N4156" s="452"/>
      <c r="O4156" s="453"/>
      <c r="P4156" s="113"/>
      <c r="Q4156" s="106" t="str">
        <f>IF(ISBLANK(O4156), "", VLOOKUP(C4156&amp;" "&amp;D4156, 'Info Tipo de Cambio y REM'!$A$24:$B$35, 2, FALSE))</f>
        <v/>
      </c>
      <c r="R4156" s="107"/>
    </row>
    <row r="4157" hidden="1">
      <c r="A4157" s="443"/>
      <c r="B4157" s="43" t="str">
        <f>IF(A4157="", "", IFERROR(VLOOKUP(A4157, Clasificaciones!A:B, 2, FALSE), "DATO NO CARGADO"))
</f>
        <v/>
      </c>
      <c r="C4157" s="51"/>
      <c r="D4157" s="102"/>
      <c r="E4157" s="102"/>
      <c r="H4157" s="102"/>
      <c r="J4157" s="102"/>
      <c r="K4157" s="450"/>
      <c r="L4157" s="443"/>
      <c r="M4157" s="450"/>
      <c r="N4157" s="452"/>
      <c r="O4157" s="453"/>
      <c r="P4157" s="113"/>
      <c r="Q4157" s="106" t="str">
        <f>IF(ISBLANK(O4157), "", VLOOKUP(C4157&amp;" "&amp;D4157, 'Info Tipo de Cambio y REM'!$A$24:$B$35, 2, FALSE))</f>
        <v/>
      </c>
      <c r="R4157" s="107"/>
    </row>
    <row r="4158" hidden="1">
      <c r="A4158" s="443"/>
      <c r="B4158" s="43" t="str">
        <f>IF(A4158="", "", IFERROR(VLOOKUP(A4158, Clasificaciones!A:B, 2, FALSE), "DATO NO CARGADO"))
</f>
        <v/>
      </c>
      <c r="C4158" s="51"/>
      <c r="D4158" s="102"/>
      <c r="E4158" s="102"/>
      <c r="H4158" s="102"/>
      <c r="J4158" s="102"/>
      <c r="K4158" s="450"/>
      <c r="L4158" s="443"/>
      <c r="M4158" s="450"/>
      <c r="N4158" s="452"/>
      <c r="O4158" s="453"/>
      <c r="P4158" s="113"/>
      <c r="Q4158" s="106" t="str">
        <f>IF(ISBLANK(O4158), "", VLOOKUP(C4158&amp;" "&amp;D4158, 'Info Tipo de Cambio y REM'!$A$24:$B$35, 2, FALSE))</f>
        <v/>
      </c>
      <c r="R4158" s="107"/>
    </row>
    <row r="4159" hidden="1">
      <c r="A4159" s="443"/>
      <c r="B4159" s="43" t="str">
        <f>IF(A4159="", "", IFERROR(VLOOKUP(A4159, Clasificaciones!A:B, 2, FALSE), "DATO NO CARGADO"))
</f>
        <v/>
      </c>
      <c r="C4159" s="51"/>
      <c r="D4159" s="102"/>
      <c r="E4159" s="102"/>
      <c r="H4159" s="102"/>
      <c r="J4159" s="102"/>
      <c r="K4159" s="450"/>
      <c r="L4159" s="443"/>
      <c r="M4159" s="450"/>
      <c r="N4159" s="452"/>
      <c r="O4159" s="453"/>
      <c r="P4159" s="113"/>
      <c r="Q4159" s="106" t="str">
        <f>IF(ISBLANK(O4159), "", VLOOKUP(C4159&amp;" "&amp;D4159, 'Info Tipo de Cambio y REM'!$A$24:$B$35, 2, FALSE))</f>
        <v/>
      </c>
      <c r="R4159" s="107"/>
    </row>
    <row r="4160" hidden="1">
      <c r="A4160" s="443"/>
      <c r="B4160" s="43" t="str">
        <f>IF(A4160="", "", IFERROR(VLOOKUP(A4160, Clasificaciones!A:B, 2, FALSE), "DATO NO CARGADO"))
</f>
        <v/>
      </c>
      <c r="C4160" s="51"/>
      <c r="D4160" s="102"/>
      <c r="E4160" s="102"/>
      <c r="H4160" s="102"/>
      <c r="J4160" s="102"/>
      <c r="K4160" s="450"/>
      <c r="L4160" s="443"/>
      <c r="M4160" s="450"/>
      <c r="N4160" s="452"/>
      <c r="O4160" s="453"/>
      <c r="P4160" s="113"/>
      <c r="Q4160" s="106" t="str">
        <f>IF(ISBLANK(O4160), "", VLOOKUP(C4160&amp;" "&amp;D4160, 'Info Tipo de Cambio y REM'!$A$24:$B$35, 2, FALSE))</f>
        <v/>
      </c>
      <c r="R4160" s="107"/>
    </row>
    <row r="4161" hidden="1">
      <c r="A4161" s="443"/>
      <c r="B4161" s="43" t="str">
        <f>IF(A4161="", "", IFERROR(VLOOKUP(A4161, Clasificaciones!A:B, 2, FALSE), "DATO NO CARGADO"))
</f>
        <v/>
      </c>
      <c r="C4161" s="51"/>
      <c r="D4161" s="102"/>
      <c r="E4161" s="102"/>
      <c r="H4161" s="102"/>
      <c r="J4161" s="102"/>
      <c r="K4161" s="450"/>
      <c r="L4161" s="443"/>
      <c r="M4161" s="450"/>
      <c r="N4161" s="452"/>
      <c r="O4161" s="453"/>
      <c r="P4161" s="113"/>
      <c r="Q4161" s="106" t="str">
        <f>IF(ISBLANK(O4161), "", VLOOKUP(C4161&amp;" "&amp;D4161, 'Info Tipo de Cambio y REM'!$A$24:$B$35, 2, FALSE))</f>
        <v/>
      </c>
      <c r="R4161" s="107"/>
    </row>
    <row r="4162" hidden="1">
      <c r="A4162" s="443"/>
      <c r="B4162" s="43" t="str">
        <f>IF(A4162="", "", IFERROR(VLOOKUP(A4162, Clasificaciones!A:B, 2, FALSE), "DATO NO CARGADO"))
</f>
        <v/>
      </c>
      <c r="C4162" s="51"/>
      <c r="D4162" s="102"/>
      <c r="E4162" s="102"/>
      <c r="H4162" s="102"/>
      <c r="J4162" s="102"/>
      <c r="K4162" s="450"/>
      <c r="L4162" s="443"/>
      <c r="M4162" s="450"/>
      <c r="N4162" s="452"/>
      <c r="O4162" s="453"/>
      <c r="P4162" s="113"/>
      <c r="Q4162" s="106" t="str">
        <f>IF(ISBLANK(O4162), "", VLOOKUP(C4162&amp;" "&amp;D4162, 'Info Tipo de Cambio y REM'!$A$24:$B$35, 2, FALSE))</f>
        <v/>
      </c>
      <c r="R4162" s="107"/>
    </row>
    <row r="4163" hidden="1">
      <c r="A4163" s="443"/>
      <c r="B4163" s="43" t="str">
        <f>IF(A4163="", "", IFERROR(VLOOKUP(A4163, Clasificaciones!A:B, 2, FALSE), "DATO NO CARGADO"))
</f>
        <v/>
      </c>
      <c r="C4163" s="51"/>
      <c r="D4163" s="102"/>
      <c r="E4163" s="102"/>
      <c r="H4163" s="102"/>
      <c r="J4163" s="102"/>
      <c r="K4163" s="450"/>
      <c r="L4163" s="443"/>
      <c r="M4163" s="450"/>
      <c r="N4163" s="452"/>
      <c r="O4163" s="453"/>
      <c r="P4163" s="113"/>
      <c r="Q4163" s="106" t="str">
        <f>IF(ISBLANK(O4163), "", VLOOKUP(C4163&amp;" "&amp;D4163, 'Info Tipo de Cambio y REM'!$A$24:$B$35, 2, FALSE))</f>
        <v/>
      </c>
      <c r="R4163" s="107"/>
    </row>
    <row r="4164" hidden="1">
      <c r="A4164" s="443"/>
      <c r="B4164" s="43" t="str">
        <f>IF(A4164="", "", IFERROR(VLOOKUP(A4164, Clasificaciones!A:B, 2, FALSE), "DATO NO CARGADO"))
</f>
        <v/>
      </c>
      <c r="C4164" s="51"/>
      <c r="D4164" s="102"/>
      <c r="E4164" s="102"/>
      <c r="H4164" s="102"/>
      <c r="J4164" s="102"/>
      <c r="K4164" s="450"/>
      <c r="L4164" s="443"/>
      <c r="M4164" s="450"/>
      <c r="N4164" s="452"/>
      <c r="O4164" s="453"/>
      <c r="P4164" s="113"/>
      <c r="Q4164" s="106" t="str">
        <f>IF(ISBLANK(O4164), "", VLOOKUP(C4164&amp;" "&amp;D4164, 'Info Tipo de Cambio y REM'!$A$24:$B$35, 2, FALSE))</f>
        <v/>
      </c>
      <c r="R4164" s="107"/>
    </row>
    <row r="4165" hidden="1">
      <c r="A4165" s="443"/>
      <c r="B4165" s="43" t="str">
        <f>IF(A4165="", "", IFERROR(VLOOKUP(A4165, Clasificaciones!A:B, 2, FALSE), "DATO NO CARGADO"))
</f>
        <v/>
      </c>
      <c r="C4165" s="51"/>
      <c r="D4165" s="102"/>
      <c r="E4165" s="102"/>
      <c r="H4165" s="102"/>
      <c r="J4165" s="102"/>
      <c r="K4165" s="450"/>
      <c r="L4165" s="443"/>
      <c r="M4165" s="450"/>
      <c r="N4165" s="452"/>
      <c r="O4165" s="453"/>
      <c r="P4165" s="113"/>
      <c r="Q4165" s="106" t="str">
        <f>IF(ISBLANK(O4165), "", VLOOKUP(C4165&amp;" "&amp;D4165, 'Info Tipo de Cambio y REM'!$A$24:$B$35, 2, FALSE))</f>
        <v/>
      </c>
      <c r="R4165" s="107"/>
    </row>
    <row r="4166" hidden="1">
      <c r="A4166" s="443"/>
      <c r="B4166" s="43" t="str">
        <f>IF(A4166="", "", IFERROR(VLOOKUP(A4166, Clasificaciones!A:B, 2, FALSE), "DATO NO CARGADO"))
</f>
        <v/>
      </c>
      <c r="C4166" s="51"/>
      <c r="D4166" s="102"/>
      <c r="E4166" s="102"/>
      <c r="H4166" s="102"/>
      <c r="J4166" s="102"/>
      <c r="K4166" s="450"/>
      <c r="L4166" s="443"/>
      <c r="M4166" s="450"/>
      <c r="N4166" s="452"/>
      <c r="O4166" s="453"/>
      <c r="P4166" s="113"/>
      <c r="Q4166" s="106" t="str">
        <f>IF(ISBLANK(O4166), "", VLOOKUP(C4166&amp;" "&amp;D4166, 'Info Tipo de Cambio y REM'!$A$24:$B$35, 2, FALSE))</f>
        <v/>
      </c>
      <c r="R4166" s="107"/>
    </row>
    <row r="4167" hidden="1">
      <c r="A4167" s="443"/>
      <c r="B4167" s="43" t="str">
        <f>IF(A4167="", "", IFERROR(VLOOKUP(A4167, Clasificaciones!A:B, 2, FALSE), "DATO NO CARGADO"))
</f>
        <v/>
      </c>
      <c r="C4167" s="51"/>
      <c r="D4167" s="102"/>
      <c r="E4167" s="102"/>
      <c r="H4167" s="102"/>
      <c r="J4167" s="102"/>
      <c r="K4167" s="450"/>
      <c r="L4167" s="443"/>
      <c r="M4167" s="450"/>
      <c r="N4167" s="452"/>
      <c r="O4167" s="453"/>
      <c r="P4167" s="113"/>
      <c r="Q4167" s="106" t="str">
        <f>IF(ISBLANK(O4167), "", VLOOKUP(C4167&amp;" "&amp;D4167, 'Info Tipo de Cambio y REM'!$A$24:$B$35, 2, FALSE))</f>
        <v/>
      </c>
      <c r="R4167" s="107"/>
    </row>
    <row r="4168" hidden="1">
      <c r="A4168" s="443"/>
      <c r="B4168" s="43" t="str">
        <f>IF(A4168="", "", IFERROR(VLOOKUP(A4168, Clasificaciones!A:B, 2, FALSE), "DATO NO CARGADO"))
</f>
        <v/>
      </c>
      <c r="C4168" s="51"/>
      <c r="D4168" s="102"/>
      <c r="E4168" s="102"/>
      <c r="H4168" s="102"/>
      <c r="J4168" s="102"/>
      <c r="K4168" s="450"/>
      <c r="L4168" s="443"/>
      <c r="M4168" s="450"/>
      <c r="N4168" s="452"/>
      <c r="O4168" s="453"/>
      <c r="P4168" s="113"/>
      <c r="Q4168" s="106" t="str">
        <f>IF(ISBLANK(O4168), "", VLOOKUP(C4168&amp;" "&amp;D4168, 'Info Tipo de Cambio y REM'!$A$24:$B$35, 2, FALSE))</f>
        <v/>
      </c>
      <c r="R4168" s="107"/>
    </row>
    <row r="4169" hidden="1">
      <c r="A4169" s="443"/>
      <c r="B4169" s="43" t="str">
        <f>IF(A4169="", "", IFERROR(VLOOKUP(A4169, Clasificaciones!A:B, 2, FALSE), "DATO NO CARGADO"))
</f>
        <v/>
      </c>
      <c r="C4169" s="51"/>
      <c r="D4169" s="102"/>
      <c r="E4169" s="102"/>
      <c r="H4169" s="102"/>
      <c r="J4169" s="102"/>
      <c r="K4169" s="450"/>
      <c r="L4169" s="443"/>
      <c r="M4169" s="450"/>
      <c r="N4169" s="452"/>
      <c r="O4169" s="453"/>
      <c r="P4169" s="113"/>
      <c r="Q4169" s="106" t="str">
        <f>IF(ISBLANK(O4169), "", VLOOKUP(C4169&amp;" "&amp;D4169, 'Info Tipo de Cambio y REM'!$A$24:$B$35, 2, FALSE))</f>
        <v/>
      </c>
      <c r="R4169" s="107"/>
    </row>
    <row r="4170" hidden="1">
      <c r="A4170" s="443"/>
      <c r="B4170" s="43" t="str">
        <f>IF(A4170="", "", IFERROR(VLOOKUP(A4170, Clasificaciones!A:B, 2, FALSE), "DATO NO CARGADO"))
</f>
        <v/>
      </c>
      <c r="C4170" s="51"/>
      <c r="D4170" s="102"/>
      <c r="E4170" s="102"/>
      <c r="H4170" s="102"/>
      <c r="J4170" s="102"/>
      <c r="K4170" s="450"/>
      <c r="L4170" s="443"/>
      <c r="M4170" s="450"/>
      <c r="N4170" s="452"/>
      <c r="O4170" s="453"/>
      <c r="P4170" s="113"/>
      <c r="Q4170" s="106" t="str">
        <f>IF(ISBLANK(O4170), "", VLOOKUP(C4170&amp;" "&amp;D4170, 'Info Tipo de Cambio y REM'!$A$24:$B$35, 2, FALSE))</f>
        <v/>
      </c>
      <c r="R4170" s="107"/>
    </row>
    <row r="4171" hidden="1">
      <c r="A4171" s="443"/>
      <c r="B4171" s="43" t="str">
        <f>IF(A4171="", "", IFERROR(VLOOKUP(A4171, Clasificaciones!A:B, 2, FALSE), "DATO NO CARGADO"))
</f>
        <v/>
      </c>
      <c r="C4171" s="51"/>
      <c r="D4171" s="102"/>
      <c r="E4171" s="102"/>
      <c r="H4171" s="102"/>
      <c r="J4171" s="102"/>
      <c r="K4171" s="450"/>
      <c r="L4171" s="443"/>
      <c r="M4171" s="450"/>
      <c r="N4171" s="452"/>
      <c r="O4171" s="453"/>
      <c r="P4171" s="113"/>
      <c r="Q4171" s="106" t="str">
        <f>IF(ISBLANK(O4171), "", VLOOKUP(C4171&amp;" "&amp;D4171, 'Info Tipo de Cambio y REM'!$A$24:$B$35, 2, FALSE))</f>
        <v/>
      </c>
      <c r="R4171" s="107"/>
    </row>
    <row r="4172" hidden="1">
      <c r="A4172" s="443"/>
      <c r="B4172" s="43" t="str">
        <f>IF(A4172="", "", IFERROR(VLOOKUP(A4172, Clasificaciones!A:B, 2, FALSE), "DATO NO CARGADO"))
</f>
        <v/>
      </c>
      <c r="C4172" s="51"/>
      <c r="D4172" s="102"/>
      <c r="E4172" s="102"/>
      <c r="H4172" s="102"/>
      <c r="J4172" s="102"/>
      <c r="K4172" s="450"/>
      <c r="L4172" s="443"/>
      <c r="M4172" s="450"/>
      <c r="N4172" s="452"/>
      <c r="O4172" s="453"/>
      <c r="P4172" s="113"/>
      <c r="Q4172" s="106" t="str">
        <f>IF(ISBLANK(O4172), "", VLOOKUP(C4172&amp;" "&amp;D4172, 'Info Tipo de Cambio y REM'!$A$24:$B$35, 2, FALSE))</f>
        <v/>
      </c>
      <c r="R4172" s="107"/>
    </row>
    <row r="4173" hidden="1">
      <c r="A4173" s="443"/>
      <c r="B4173" s="43" t="str">
        <f>IF(A4173="", "", IFERROR(VLOOKUP(A4173, Clasificaciones!A:B, 2, FALSE), "DATO NO CARGADO"))
</f>
        <v/>
      </c>
      <c r="C4173" s="51"/>
      <c r="D4173" s="102"/>
      <c r="E4173" s="102"/>
      <c r="H4173" s="102"/>
      <c r="J4173" s="102"/>
      <c r="K4173" s="450"/>
      <c r="L4173" s="443"/>
      <c r="M4173" s="450"/>
      <c r="N4173" s="452"/>
      <c r="O4173" s="453"/>
      <c r="P4173" s="113"/>
      <c r="Q4173" s="106" t="str">
        <f>IF(ISBLANK(O4173), "", VLOOKUP(C4173&amp;" "&amp;D4173, 'Info Tipo de Cambio y REM'!$A$24:$B$35, 2, FALSE))</f>
        <v/>
      </c>
      <c r="R4173" s="107"/>
    </row>
    <row r="4174" hidden="1">
      <c r="A4174" s="443"/>
      <c r="B4174" s="43" t="str">
        <f>IF(A4174="", "", IFERROR(VLOOKUP(A4174, Clasificaciones!A:B, 2, FALSE), "DATO NO CARGADO"))
</f>
        <v/>
      </c>
      <c r="C4174" s="51"/>
      <c r="D4174" s="102"/>
      <c r="E4174" s="102"/>
      <c r="H4174" s="102"/>
      <c r="J4174" s="102"/>
      <c r="K4174" s="450"/>
      <c r="L4174" s="443"/>
      <c r="M4174" s="450"/>
      <c r="N4174" s="452"/>
      <c r="O4174" s="453"/>
      <c r="P4174" s="113"/>
      <c r="Q4174" s="106" t="str">
        <f>IF(ISBLANK(O4174), "", VLOOKUP(C4174&amp;" "&amp;D4174, 'Info Tipo de Cambio y REM'!$A$24:$B$35, 2, FALSE))</f>
        <v/>
      </c>
      <c r="R4174" s="107"/>
    </row>
    <row r="4175" hidden="1">
      <c r="A4175" s="443"/>
      <c r="B4175" s="43" t="str">
        <f>IF(A4175="", "", IFERROR(VLOOKUP(A4175, Clasificaciones!A:B, 2, FALSE), "DATO NO CARGADO"))
</f>
        <v/>
      </c>
      <c r="C4175" s="51"/>
      <c r="D4175" s="102"/>
      <c r="E4175" s="102"/>
      <c r="H4175" s="102"/>
      <c r="J4175" s="102"/>
      <c r="K4175" s="450"/>
      <c r="L4175" s="443"/>
      <c r="M4175" s="450"/>
      <c r="N4175" s="452"/>
      <c r="O4175" s="453"/>
      <c r="P4175" s="113"/>
      <c r="Q4175" s="106" t="str">
        <f>IF(ISBLANK(O4175), "", VLOOKUP(C4175&amp;" "&amp;D4175, 'Info Tipo de Cambio y REM'!$A$24:$B$35, 2, FALSE))</f>
        <v/>
      </c>
      <c r="R4175" s="107"/>
    </row>
    <row r="4176" hidden="1">
      <c r="A4176" s="443"/>
      <c r="B4176" s="43" t="str">
        <f>IF(A4176="", "", IFERROR(VLOOKUP(A4176, Clasificaciones!A:B, 2, FALSE), "DATO NO CARGADO"))
</f>
        <v/>
      </c>
      <c r="C4176" s="51"/>
      <c r="D4176" s="102"/>
      <c r="E4176" s="102"/>
      <c r="H4176" s="102"/>
      <c r="J4176" s="102"/>
      <c r="K4176" s="450"/>
      <c r="L4176" s="443"/>
      <c r="M4176" s="450"/>
      <c r="N4176" s="452"/>
      <c r="O4176" s="453"/>
      <c r="P4176" s="113"/>
      <c r="Q4176" s="106" t="str">
        <f>IF(ISBLANK(O4176), "", VLOOKUP(C4176&amp;" "&amp;D4176, 'Info Tipo de Cambio y REM'!$A$24:$B$35, 2, FALSE))</f>
        <v/>
      </c>
      <c r="R4176" s="107"/>
    </row>
    <row r="4177" hidden="1">
      <c r="A4177" s="443"/>
      <c r="B4177" s="43" t="str">
        <f>IF(A4177="", "", IFERROR(VLOOKUP(A4177, Clasificaciones!A:B, 2, FALSE), "DATO NO CARGADO"))
</f>
        <v/>
      </c>
      <c r="C4177" s="51"/>
      <c r="D4177" s="102"/>
      <c r="E4177" s="102"/>
      <c r="H4177" s="102"/>
      <c r="J4177" s="102"/>
      <c r="K4177" s="450"/>
      <c r="L4177" s="443"/>
      <c r="M4177" s="450"/>
      <c r="N4177" s="452"/>
      <c r="O4177" s="453"/>
      <c r="P4177" s="113"/>
      <c r="Q4177" s="106" t="str">
        <f>IF(ISBLANK(O4177), "", VLOOKUP(C4177&amp;" "&amp;D4177, 'Info Tipo de Cambio y REM'!$A$24:$B$35, 2, FALSE))</f>
        <v/>
      </c>
      <c r="R4177" s="107"/>
    </row>
    <row r="4178" hidden="1">
      <c r="A4178" s="443"/>
      <c r="B4178" s="43" t="str">
        <f>IF(A4178="", "", IFERROR(VLOOKUP(A4178, Clasificaciones!A:B, 2, FALSE), "DATO NO CARGADO"))
</f>
        <v/>
      </c>
      <c r="C4178" s="51"/>
      <c r="D4178" s="102"/>
      <c r="E4178" s="102"/>
      <c r="H4178" s="102"/>
      <c r="J4178" s="102"/>
      <c r="K4178" s="450"/>
      <c r="L4178" s="443"/>
      <c r="M4178" s="450"/>
      <c r="N4178" s="452"/>
      <c r="O4178" s="453"/>
      <c r="P4178" s="113"/>
      <c r="Q4178" s="106" t="str">
        <f>IF(ISBLANK(O4178), "", VLOOKUP(C4178&amp;" "&amp;D4178, 'Info Tipo de Cambio y REM'!$A$24:$B$35, 2, FALSE))</f>
        <v/>
      </c>
      <c r="R4178" s="107"/>
    </row>
    <row r="4179" hidden="1">
      <c r="A4179" s="443"/>
      <c r="B4179" s="43" t="str">
        <f>IF(A4179="", "", IFERROR(VLOOKUP(A4179, Clasificaciones!A:B, 2, FALSE), "DATO NO CARGADO"))
</f>
        <v/>
      </c>
      <c r="C4179" s="51"/>
      <c r="D4179" s="102"/>
      <c r="E4179" s="102"/>
      <c r="H4179" s="102"/>
      <c r="J4179" s="102"/>
      <c r="K4179" s="450"/>
      <c r="L4179" s="443"/>
      <c r="M4179" s="450"/>
      <c r="N4179" s="452"/>
      <c r="O4179" s="453"/>
      <c r="P4179" s="113"/>
      <c r="Q4179" s="106" t="str">
        <f>IF(ISBLANK(O4179), "", VLOOKUP(C4179&amp;" "&amp;D4179, 'Info Tipo de Cambio y REM'!$A$24:$B$35, 2, FALSE))</f>
        <v/>
      </c>
      <c r="R4179" s="107"/>
    </row>
    <row r="4180" hidden="1">
      <c r="A4180" s="443"/>
      <c r="B4180" s="43" t="str">
        <f>IF(A4180="", "", IFERROR(VLOOKUP(A4180, Clasificaciones!A:B, 2, FALSE), "DATO NO CARGADO"))
</f>
        <v/>
      </c>
      <c r="C4180" s="51"/>
      <c r="D4180" s="102"/>
      <c r="E4180" s="102"/>
      <c r="H4180" s="102"/>
      <c r="J4180" s="102"/>
      <c r="K4180" s="450"/>
      <c r="L4180" s="443"/>
      <c r="M4180" s="450"/>
      <c r="N4180" s="452"/>
      <c r="O4180" s="453"/>
      <c r="P4180" s="113"/>
      <c r="Q4180" s="106" t="str">
        <f>IF(ISBLANK(O4180), "", VLOOKUP(C4180&amp;" "&amp;D4180, 'Info Tipo de Cambio y REM'!$A$24:$B$35, 2, FALSE))</f>
        <v/>
      </c>
      <c r="R4180" s="107"/>
    </row>
    <row r="4181" hidden="1">
      <c r="A4181" s="443"/>
      <c r="B4181" s="43" t="str">
        <f>IF(A4181="", "", IFERROR(VLOOKUP(A4181, Clasificaciones!A:B, 2, FALSE), "DATO NO CARGADO"))
</f>
        <v/>
      </c>
      <c r="C4181" s="51"/>
      <c r="D4181" s="102"/>
      <c r="E4181" s="102"/>
      <c r="H4181" s="102"/>
      <c r="J4181" s="102"/>
      <c r="K4181" s="450"/>
      <c r="L4181" s="443"/>
      <c r="M4181" s="450"/>
      <c r="N4181" s="452"/>
      <c r="O4181" s="453"/>
      <c r="P4181" s="113"/>
      <c r="Q4181" s="106" t="str">
        <f>IF(ISBLANK(O4181), "", VLOOKUP(C4181&amp;" "&amp;D4181, 'Info Tipo de Cambio y REM'!$A$24:$B$35, 2, FALSE))</f>
        <v/>
      </c>
      <c r="R4181" s="107"/>
    </row>
    <row r="4182" hidden="1">
      <c r="A4182" s="443"/>
      <c r="B4182" s="43" t="str">
        <f>IF(A4182="", "", IFERROR(VLOOKUP(A4182, Clasificaciones!A:B, 2, FALSE), "DATO NO CARGADO"))
</f>
        <v/>
      </c>
      <c r="C4182" s="51"/>
      <c r="D4182" s="102"/>
      <c r="E4182" s="102"/>
      <c r="H4182" s="102"/>
      <c r="J4182" s="102"/>
      <c r="K4182" s="450"/>
      <c r="L4182" s="443"/>
      <c r="M4182" s="450"/>
      <c r="N4182" s="452"/>
      <c r="O4182" s="453"/>
      <c r="P4182" s="113"/>
      <c r="Q4182" s="106" t="str">
        <f>IF(ISBLANK(O4182), "", VLOOKUP(C4182&amp;" "&amp;D4182, 'Info Tipo de Cambio y REM'!$A$24:$B$35, 2, FALSE))</f>
        <v/>
      </c>
      <c r="R4182" s="107"/>
    </row>
    <row r="4183" hidden="1">
      <c r="A4183" s="443"/>
      <c r="B4183" s="43" t="str">
        <f>IF(A4183="", "", IFERROR(VLOOKUP(A4183, Clasificaciones!A:B, 2, FALSE), "DATO NO CARGADO"))
</f>
        <v/>
      </c>
      <c r="C4183" s="51"/>
      <c r="D4183" s="102"/>
      <c r="E4183" s="102"/>
      <c r="H4183" s="102"/>
      <c r="J4183" s="102"/>
      <c r="K4183" s="450"/>
      <c r="L4183" s="443"/>
      <c r="M4183" s="450"/>
      <c r="N4183" s="452"/>
      <c r="O4183" s="453"/>
      <c r="P4183" s="113"/>
      <c r="Q4183" s="106" t="str">
        <f>IF(ISBLANK(O4183), "", VLOOKUP(C4183&amp;" "&amp;D4183, 'Info Tipo de Cambio y REM'!$A$24:$B$35, 2, FALSE))</f>
        <v/>
      </c>
      <c r="R4183" s="107"/>
    </row>
    <row r="4184" hidden="1">
      <c r="A4184" s="443"/>
      <c r="B4184" s="43" t="str">
        <f>IF(A4184="", "", IFERROR(VLOOKUP(A4184, Clasificaciones!A:B, 2, FALSE), "DATO NO CARGADO"))
</f>
        <v/>
      </c>
      <c r="C4184" s="51"/>
      <c r="D4184" s="102"/>
      <c r="E4184" s="102"/>
      <c r="H4184" s="102"/>
      <c r="J4184" s="102"/>
      <c r="K4184" s="450"/>
      <c r="L4184" s="443"/>
      <c r="M4184" s="450"/>
      <c r="N4184" s="452"/>
      <c r="O4184" s="453"/>
      <c r="P4184" s="113"/>
      <c r="Q4184" s="106" t="str">
        <f>IF(ISBLANK(O4184), "", VLOOKUP(C4184&amp;" "&amp;D4184, 'Info Tipo de Cambio y REM'!$A$24:$B$35, 2, FALSE))</f>
        <v/>
      </c>
      <c r="R4184" s="107"/>
    </row>
    <row r="4185" hidden="1">
      <c r="A4185" s="443"/>
      <c r="B4185" s="43" t="str">
        <f>IF(A4185="", "", IFERROR(VLOOKUP(A4185, Clasificaciones!A:B, 2, FALSE), "DATO NO CARGADO"))
</f>
        <v/>
      </c>
      <c r="C4185" s="51"/>
      <c r="D4185" s="102"/>
      <c r="E4185" s="102"/>
      <c r="H4185" s="102"/>
      <c r="J4185" s="102"/>
      <c r="K4185" s="450"/>
      <c r="L4185" s="443"/>
      <c r="M4185" s="450"/>
      <c r="N4185" s="452"/>
      <c r="O4185" s="453"/>
      <c r="P4185" s="113"/>
      <c r="Q4185" s="106" t="str">
        <f>IF(ISBLANK(O4185), "", VLOOKUP(C4185&amp;" "&amp;D4185, 'Info Tipo de Cambio y REM'!$A$24:$B$35, 2, FALSE))</f>
        <v/>
      </c>
      <c r="R4185" s="107"/>
    </row>
    <row r="4186" hidden="1">
      <c r="A4186" s="443"/>
      <c r="B4186" s="43" t="str">
        <f>IF(A4186="", "", IFERROR(VLOOKUP(A4186, Clasificaciones!A:B, 2, FALSE), "DATO NO CARGADO"))
</f>
        <v/>
      </c>
      <c r="C4186" s="51"/>
      <c r="D4186" s="102"/>
      <c r="E4186" s="102"/>
      <c r="H4186" s="102"/>
      <c r="J4186" s="102"/>
      <c r="K4186" s="450"/>
      <c r="L4186" s="443"/>
      <c r="M4186" s="450"/>
      <c r="N4186" s="452"/>
      <c r="O4186" s="453"/>
      <c r="P4186" s="113"/>
      <c r="Q4186" s="106" t="str">
        <f>IF(ISBLANK(O4186), "", VLOOKUP(C4186&amp;" "&amp;D4186, 'Info Tipo de Cambio y REM'!$A$24:$B$35, 2, FALSE))</f>
        <v/>
      </c>
      <c r="R4186" s="107"/>
    </row>
    <row r="4187" hidden="1">
      <c r="A4187" s="443"/>
      <c r="B4187" s="43" t="str">
        <f>IF(A4187="", "", IFERROR(VLOOKUP(A4187, Clasificaciones!A:B, 2, FALSE), "DATO NO CARGADO"))
</f>
        <v/>
      </c>
      <c r="C4187" s="51"/>
      <c r="D4187" s="102"/>
      <c r="E4187" s="102"/>
      <c r="H4187" s="102"/>
      <c r="J4187" s="102"/>
      <c r="K4187" s="450"/>
      <c r="L4187" s="443"/>
      <c r="M4187" s="450"/>
      <c r="N4187" s="452"/>
      <c r="O4187" s="453"/>
      <c r="P4187" s="113"/>
      <c r="Q4187" s="106" t="str">
        <f>IF(ISBLANK(O4187), "", VLOOKUP(C4187&amp;" "&amp;D4187, 'Info Tipo de Cambio y REM'!$A$24:$B$35, 2, FALSE))</f>
        <v/>
      </c>
      <c r="R4187" s="107"/>
    </row>
    <row r="4188" hidden="1">
      <c r="A4188" s="443"/>
      <c r="B4188" s="43" t="str">
        <f>IF(A4188="", "", IFERROR(VLOOKUP(A4188, Clasificaciones!A:B, 2, FALSE), "DATO NO CARGADO"))
</f>
        <v/>
      </c>
      <c r="C4188" s="51"/>
      <c r="D4188" s="102"/>
      <c r="E4188" s="102"/>
      <c r="H4188" s="102"/>
      <c r="J4188" s="102"/>
      <c r="K4188" s="450"/>
      <c r="L4188" s="443"/>
      <c r="M4188" s="450"/>
      <c r="N4188" s="452"/>
      <c r="O4188" s="453"/>
      <c r="P4188" s="113"/>
      <c r="Q4188" s="106" t="str">
        <f>IF(ISBLANK(O4188), "", VLOOKUP(C4188&amp;" "&amp;D4188, 'Info Tipo de Cambio y REM'!$A$24:$B$35, 2, FALSE))</f>
        <v/>
      </c>
      <c r="R4188" s="107"/>
    </row>
    <row r="4189" hidden="1">
      <c r="A4189" s="443"/>
      <c r="B4189" s="43" t="str">
        <f>IF(A4189="", "", IFERROR(VLOOKUP(A4189, Clasificaciones!A:B, 2, FALSE), "DATO NO CARGADO"))
</f>
        <v/>
      </c>
      <c r="C4189" s="51"/>
      <c r="D4189" s="102"/>
      <c r="E4189" s="102"/>
      <c r="H4189" s="102"/>
      <c r="J4189" s="102"/>
      <c r="K4189" s="450"/>
      <c r="L4189" s="443"/>
      <c r="M4189" s="450"/>
      <c r="N4189" s="452"/>
      <c r="O4189" s="453"/>
      <c r="P4189" s="113"/>
      <c r="Q4189" s="106" t="str">
        <f>IF(ISBLANK(O4189), "", VLOOKUP(C4189&amp;" "&amp;D4189, 'Info Tipo de Cambio y REM'!$A$24:$B$35, 2, FALSE))</f>
        <v/>
      </c>
      <c r="R4189" s="107"/>
    </row>
    <row r="4190" hidden="1">
      <c r="A4190" s="443"/>
      <c r="B4190" s="43" t="str">
        <f>IF(A4190="", "", IFERROR(VLOOKUP(A4190, Clasificaciones!A:B, 2, FALSE), "DATO NO CARGADO"))
</f>
        <v/>
      </c>
      <c r="C4190" s="51"/>
      <c r="D4190" s="102"/>
      <c r="E4190" s="102"/>
      <c r="H4190" s="102"/>
      <c r="J4190" s="102"/>
      <c r="K4190" s="450"/>
      <c r="L4190" s="443"/>
      <c r="M4190" s="450"/>
      <c r="N4190" s="452"/>
      <c r="O4190" s="453"/>
      <c r="P4190" s="113"/>
      <c r="Q4190" s="106" t="str">
        <f>IF(ISBLANK(O4190), "", VLOOKUP(C4190&amp;" "&amp;D4190, 'Info Tipo de Cambio y REM'!$A$24:$B$35, 2, FALSE))</f>
        <v/>
      </c>
      <c r="R4190" s="107"/>
    </row>
    <row r="4191" hidden="1">
      <c r="A4191" s="443"/>
      <c r="B4191" s="43" t="str">
        <f>IF(A4191="", "", IFERROR(VLOOKUP(A4191, Clasificaciones!A:B, 2, FALSE), "DATO NO CARGADO"))
</f>
        <v/>
      </c>
      <c r="C4191" s="51"/>
      <c r="D4191" s="102"/>
      <c r="E4191" s="102"/>
      <c r="H4191" s="102"/>
      <c r="J4191" s="102"/>
      <c r="K4191" s="450"/>
      <c r="L4191" s="443"/>
      <c r="M4191" s="450"/>
      <c r="N4191" s="452"/>
      <c r="O4191" s="453"/>
      <c r="P4191" s="113"/>
      <c r="Q4191" s="106" t="str">
        <f>IF(ISBLANK(O4191), "", VLOOKUP(C4191&amp;" "&amp;D4191, 'Info Tipo de Cambio y REM'!$A$24:$B$35, 2, FALSE))</f>
        <v/>
      </c>
      <c r="R4191" s="107"/>
    </row>
    <row r="4192" hidden="1">
      <c r="A4192" s="443"/>
      <c r="B4192" s="43" t="str">
        <f>IF(A4192="", "", IFERROR(VLOOKUP(A4192, Clasificaciones!A:B, 2, FALSE), "DATO NO CARGADO"))
</f>
        <v/>
      </c>
      <c r="C4192" s="51"/>
      <c r="D4192" s="102"/>
      <c r="E4192" s="102"/>
      <c r="H4192" s="102"/>
      <c r="J4192" s="102"/>
      <c r="K4192" s="450"/>
      <c r="L4192" s="443"/>
      <c r="M4192" s="450"/>
      <c r="N4192" s="452"/>
      <c r="O4192" s="453"/>
      <c r="P4192" s="113"/>
      <c r="Q4192" s="106" t="str">
        <f>IF(ISBLANK(O4192), "", VLOOKUP(C4192&amp;" "&amp;D4192, 'Info Tipo de Cambio y REM'!$A$24:$B$35, 2, FALSE))</f>
        <v/>
      </c>
      <c r="R4192" s="107"/>
    </row>
    <row r="4193" hidden="1">
      <c r="A4193" s="443"/>
      <c r="B4193" s="43" t="str">
        <f>IF(A4193="", "", IFERROR(VLOOKUP(A4193, Clasificaciones!A:B, 2, FALSE), "DATO NO CARGADO"))
</f>
        <v/>
      </c>
      <c r="C4193" s="51"/>
      <c r="D4193" s="102"/>
      <c r="E4193" s="102"/>
      <c r="H4193" s="102"/>
      <c r="J4193" s="102"/>
      <c r="K4193" s="450"/>
      <c r="L4193" s="443"/>
      <c r="M4193" s="450"/>
      <c r="N4193" s="452"/>
      <c r="O4193" s="453"/>
      <c r="P4193" s="113"/>
      <c r="Q4193" s="106" t="str">
        <f>IF(ISBLANK(O4193), "", VLOOKUP(C4193&amp;" "&amp;D4193, 'Info Tipo de Cambio y REM'!$A$24:$B$35, 2, FALSE))</f>
        <v/>
      </c>
      <c r="R4193" s="107"/>
    </row>
    <row r="4194" hidden="1">
      <c r="A4194" s="443"/>
      <c r="B4194" s="43" t="str">
        <f>IF(A4194="", "", IFERROR(VLOOKUP(A4194, Clasificaciones!A:B, 2, FALSE), "DATO NO CARGADO"))
</f>
        <v/>
      </c>
      <c r="C4194" s="51"/>
      <c r="D4194" s="102"/>
      <c r="E4194" s="102"/>
      <c r="H4194" s="102"/>
      <c r="J4194" s="102"/>
      <c r="K4194" s="450"/>
      <c r="L4194" s="443"/>
      <c r="M4194" s="450"/>
      <c r="N4194" s="452"/>
      <c r="O4194" s="453"/>
      <c r="P4194" s="113"/>
      <c r="Q4194" s="106" t="str">
        <f>IF(ISBLANK(O4194), "", VLOOKUP(C4194&amp;" "&amp;D4194, 'Info Tipo de Cambio y REM'!$A$24:$B$35, 2, FALSE))</f>
        <v/>
      </c>
      <c r="R4194" s="107"/>
    </row>
    <row r="4195" hidden="1">
      <c r="A4195" s="443"/>
      <c r="B4195" s="43" t="str">
        <f>IF(A4195="", "", IFERROR(VLOOKUP(A4195, Clasificaciones!A:B, 2, FALSE), "DATO NO CARGADO"))
</f>
        <v/>
      </c>
      <c r="C4195" s="51"/>
      <c r="D4195" s="102"/>
      <c r="E4195" s="102"/>
      <c r="H4195" s="102"/>
      <c r="J4195" s="102"/>
      <c r="K4195" s="450"/>
      <c r="L4195" s="443"/>
      <c r="M4195" s="450"/>
      <c r="N4195" s="452"/>
      <c r="O4195" s="453"/>
      <c r="P4195" s="113"/>
      <c r="Q4195" s="106" t="str">
        <f>IF(ISBLANK(O4195), "", VLOOKUP(C4195&amp;" "&amp;D4195, 'Info Tipo de Cambio y REM'!$A$24:$B$35, 2, FALSE))</f>
        <v/>
      </c>
      <c r="R4195" s="107"/>
    </row>
    <row r="4196" hidden="1">
      <c r="A4196" s="443"/>
      <c r="B4196" s="43" t="str">
        <f>IF(A4196="", "", IFERROR(VLOOKUP(A4196, Clasificaciones!A:B, 2, FALSE), "DATO NO CARGADO"))
</f>
        <v/>
      </c>
      <c r="C4196" s="51"/>
      <c r="D4196" s="102"/>
      <c r="E4196" s="102"/>
      <c r="H4196" s="102"/>
      <c r="J4196" s="102"/>
      <c r="K4196" s="450"/>
      <c r="L4196" s="443"/>
      <c r="M4196" s="450"/>
      <c r="N4196" s="452"/>
      <c r="O4196" s="453"/>
      <c r="P4196" s="113"/>
      <c r="Q4196" s="106" t="str">
        <f>IF(ISBLANK(O4196), "", VLOOKUP(C4196&amp;" "&amp;D4196, 'Info Tipo de Cambio y REM'!$A$24:$B$35, 2, FALSE))</f>
        <v/>
      </c>
      <c r="R4196" s="107"/>
    </row>
    <row r="4197" hidden="1">
      <c r="A4197" s="443"/>
      <c r="B4197" s="43" t="str">
        <f>IF(A4197="", "", IFERROR(VLOOKUP(A4197, Clasificaciones!A:B, 2, FALSE), "DATO NO CARGADO"))
</f>
        <v/>
      </c>
      <c r="C4197" s="51"/>
      <c r="D4197" s="102"/>
      <c r="E4197" s="102"/>
      <c r="H4197" s="102"/>
      <c r="J4197" s="102"/>
      <c r="K4197" s="450"/>
      <c r="L4197" s="443"/>
      <c r="M4197" s="450"/>
      <c r="N4197" s="452"/>
      <c r="O4197" s="453"/>
      <c r="P4197" s="113"/>
      <c r="Q4197" s="106" t="str">
        <f>IF(ISBLANK(O4197), "", VLOOKUP(C4197&amp;" "&amp;D4197, 'Info Tipo de Cambio y REM'!$A$24:$B$35, 2, FALSE))</f>
        <v/>
      </c>
      <c r="R4197" s="107"/>
    </row>
    <row r="4198" hidden="1">
      <c r="A4198" s="443"/>
      <c r="B4198" s="43" t="str">
        <f>IF(A4198="", "", IFERROR(VLOOKUP(A4198, Clasificaciones!A:B, 2, FALSE), "DATO NO CARGADO"))
</f>
        <v/>
      </c>
      <c r="C4198" s="51"/>
      <c r="D4198" s="102"/>
      <c r="E4198" s="102"/>
      <c r="H4198" s="102"/>
      <c r="J4198" s="102"/>
      <c r="K4198" s="450"/>
      <c r="L4198" s="443"/>
      <c r="M4198" s="450"/>
      <c r="N4198" s="452"/>
      <c r="O4198" s="453"/>
      <c r="P4198" s="113"/>
      <c r="Q4198" s="106" t="str">
        <f>IF(ISBLANK(O4198), "", VLOOKUP(C4198&amp;" "&amp;D4198, 'Info Tipo de Cambio y REM'!$A$24:$B$35, 2, FALSE))</f>
        <v/>
      </c>
      <c r="R4198" s="107"/>
    </row>
    <row r="4199" hidden="1">
      <c r="A4199" s="443"/>
      <c r="B4199" s="43" t="str">
        <f>IF(A4199="", "", IFERROR(VLOOKUP(A4199, Clasificaciones!A:B, 2, FALSE), "DATO NO CARGADO"))
</f>
        <v/>
      </c>
      <c r="C4199" s="51"/>
      <c r="D4199" s="102"/>
      <c r="E4199" s="102"/>
      <c r="H4199" s="102"/>
      <c r="J4199" s="102"/>
      <c r="K4199" s="450"/>
      <c r="L4199" s="443"/>
      <c r="M4199" s="450"/>
      <c r="N4199" s="452"/>
      <c r="O4199" s="453"/>
      <c r="P4199" s="113"/>
      <c r="Q4199" s="106" t="str">
        <f>IF(ISBLANK(O4199), "", VLOOKUP(C4199&amp;" "&amp;D4199, 'Info Tipo de Cambio y REM'!$A$24:$B$35, 2, FALSE))</f>
        <v/>
      </c>
      <c r="R4199" s="107"/>
    </row>
    <row r="4200" hidden="1">
      <c r="A4200" s="443"/>
      <c r="B4200" s="43" t="str">
        <f>IF(A4200="", "", IFERROR(VLOOKUP(A4200, Clasificaciones!A:B, 2, FALSE), "DATO NO CARGADO"))
</f>
        <v/>
      </c>
      <c r="C4200" s="51"/>
      <c r="D4200" s="102"/>
      <c r="E4200" s="102"/>
      <c r="H4200" s="102"/>
      <c r="J4200" s="102"/>
      <c r="K4200" s="450"/>
      <c r="L4200" s="443"/>
      <c r="M4200" s="450"/>
      <c r="N4200" s="452"/>
      <c r="O4200" s="453"/>
      <c r="P4200" s="113"/>
      <c r="Q4200" s="106" t="str">
        <f>IF(ISBLANK(O4200), "", VLOOKUP(C4200&amp;" "&amp;D4200, 'Info Tipo de Cambio y REM'!$A$24:$B$35, 2, FALSE))</f>
        <v/>
      </c>
      <c r="R4200" s="107"/>
    </row>
    <row r="4201" hidden="1">
      <c r="A4201" s="443"/>
      <c r="B4201" s="43" t="str">
        <f>IF(A4201="", "", IFERROR(VLOOKUP(A4201, Clasificaciones!A:B, 2, FALSE), "DATO NO CARGADO"))
</f>
        <v/>
      </c>
      <c r="C4201" s="51"/>
      <c r="D4201" s="102"/>
      <c r="E4201" s="102"/>
      <c r="H4201" s="102"/>
      <c r="J4201" s="102"/>
      <c r="K4201" s="450"/>
      <c r="L4201" s="443"/>
      <c r="M4201" s="450"/>
      <c r="N4201" s="452"/>
      <c r="O4201" s="453"/>
      <c r="P4201" s="113"/>
      <c r="Q4201" s="106" t="str">
        <f>IF(ISBLANK(O4201), "", VLOOKUP(C4201&amp;" "&amp;D4201, 'Info Tipo de Cambio y REM'!$A$24:$B$35, 2, FALSE))</f>
        <v/>
      </c>
      <c r="R4201" s="107"/>
    </row>
    <row r="4202" hidden="1">
      <c r="A4202" s="443"/>
      <c r="B4202" s="43" t="str">
        <f>IF(A4202="", "", IFERROR(VLOOKUP(A4202, Clasificaciones!A:B, 2, FALSE), "DATO NO CARGADO"))
</f>
        <v/>
      </c>
      <c r="C4202" s="51"/>
      <c r="D4202" s="102"/>
      <c r="E4202" s="102"/>
      <c r="H4202" s="102"/>
      <c r="J4202" s="102"/>
      <c r="K4202" s="450"/>
      <c r="L4202" s="443"/>
      <c r="M4202" s="450"/>
      <c r="N4202" s="452"/>
      <c r="O4202" s="453"/>
      <c r="P4202" s="113"/>
      <c r="Q4202" s="106" t="str">
        <f>IF(ISBLANK(O4202), "", VLOOKUP(C4202&amp;" "&amp;D4202, 'Info Tipo de Cambio y REM'!$A$24:$B$35, 2, FALSE))</f>
        <v/>
      </c>
      <c r="R4202" s="107"/>
    </row>
    <row r="4203" hidden="1">
      <c r="A4203" s="443"/>
      <c r="B4203" s="43" t="str">
        <f>IF(A4203="", "", IFERROR(VLOOKUP(A4203, Clasificaciones!A:B, 2, FALSE), "DATO NO CARGADO"))
</f>
        <v/>
      </c>
      <c r="C4203" s="51"/>
      <c r="D4203" s="102"/>
      <c r="E4203" s="102"/>
      <c r="H4203" s="102"/>
      <c r="J4203" s="102"/>
      <c r="K4203" s="450"/>
      <c r="L4203" s="443"/>
      <c r="M4203" s="450"/>
      <c r="N4203" s="452"/>
      <c r="O4203" s="453"/>
      <c r="P4203" s="113"/>
      <c r="Q4203" s="106" t="str">
        <f>IF(ISBLANK(O4203), "", VLOOKUP(C4203&amp;" "&amp;D4203, 'Info Tipo de Cambio y REM'!$A$24:$B$35, 2, FALSE))</f>
        <v/>
      </c>
      <c r="R4203" s="107"/>
    </row>
    <row r="4204" hidden="1">
      <c r="A4204" s="443"/>
      <c r="B4204" s="43" t="str">
        <f>IF(A4204="", "", IFERROR(VLOOKUP(A4204, Clasificaciones!A:B, 2, FALSE), "DATO NO CARGADO"))
</f>
        <v/>
      </c>
      <c r="C4204" s="51"/>
      <c r="D4204" s="102"/>
      <c r="E4204" s="102"/>
      <c r="H4204" s="102"/>
      <c r="J4204" s="102"/>
      <c r="K4204" s="450"/>
      <c r="L4204" s="443"/>
      <c r="M4204" s="450"/>
      <c r="N4204" s="452"/>
      <c r="O4204" s="453"/>
      <c r="P4204" s="113"/>
      <c r="Q4204" s="106" t="str">
        <f>IF(ISBLANK(O4204), "", VLOOKUP(C4204&amp;" "&amp;D4204, 'Info Tipo de Cambio y REM'!$A$24:$B$35, 2, FALSE))</f>
        <v/>
      </c>
      <c r="R4204" s="107"/>
    </row>
    <row r="4205" hidden="1">
      <c r="A4205" s="443"/>
      <c r="B4205" s="43" t="str">
        <f>IF(A4205="", "", IFERROR(VLOOKUP(A4205, Clasificaciones!A:B, 2, FALSE), "DATO NO CARGADO"))
</f>
        <v/>
      </c>
      <c r="C4205" s="51"/>
      <c r="D4205" s="102"/>
      <c r="E4205" s="102"/>
      <c r="H4205" s="102"/>
      <c r="J4205" s="102"/>
      <c r="K4205" s="450"/>
      <c r="L4205" s="443"/>
      <c r="M4205" s="450"/>
      <c r="N4205" s="452"/>
      <c r="O4205" s="453"/>
      <c r="P4205" s="113"/>
      <c r="Q4205" s="106" t="str">
        <f>IF(ISBLANK(O4205), "", VLOOKUP(C4205&amp;" "&amp;D4205, 'Info Tipo de Cambio y REM'!$A$24:$B$35, 2, FALSE))</f>
        <v/>
      </c>
      <c r="R4205" s="107"/>
    </row>
    <row r="4206" hidden="1">
      <c r="A4206" s="443"/>
      <c r="B4206" s="43" t="str">
        <f>IF(A4206="", "", IFERROR(VLOOKUP(A4206, Clasificaciones!A:B, 2, FALSE), "DATO NO CARGADO"))
</f>
        <v/>
      </c>
      <c r="C4206" s="51"/>
      <c r="D4206" s="102"/>
      <c r="E4206" s="102"/>
      <c r="H4206" s="102"/>
      <c r="J4206" s="102"/>
      <c r="K4206" s="450"/>
      <c r="L4206" s="443"/>
      <c r="M4206" s="450"/>
      <c r="N4206" s="452"/>
      <c r="O4206" s="453"/>
      <c r="P4206" s="113"/>
      <c r="Q4206" s="106" t="str">
        <f>IF(ISBLANK(O4206), "", VLOOKUP(C4206&amp;" "&amp;D4206, 'Info Tipo de Cambio y REM'!$A$24:$B$35, 2, FALSE))</f>
        <v/>
      </c>
      <c r="R4206" s="107"/>
    </row>
    <row r="4207" hidden="1">
      <c r="A4207" s="443"/>
      <c r="B4207" s="43" t="str">
        <f>IF(A4207="", "", IFERROR(VLOOKUP(A4207, Clasificaciones!A:B, 2, FALSE), "DATO NO CARGADO"))
</f>
        <v/>
      </c>
      <c r="C4207" s="51"/>
      <c r="D4207" s="102"/>
      <c r="E4207" s="102"/>
      <c r="H4207" s="102"/>
      <c r="J4207" s="102"/>
      <c r="K4207" s="450"/>
      <c r="L4207" s="443"/>
      <c r="M4207" s="450"/>
      <c r="N4207" s="452"/>
      <c r="O4207" s="453"/>
      <c r="P4207" s="113"/>
      <c r="Q4207" s="106" t="str">
        <f>IF(ISBLANK(O4207), "", VLOOKUP(C4207&amp;" "&amp;D4207, 'Info Tipo de Cambio y REM'!$A$24:$B$35, 2, FALSE))</f>
        <v/>
      </c>
      <c r="R4207" s="107"/>
    </row>
    <row r="4208" hidden="1">
      <c r="A4208" s="443"/>
      <c r="B4208" s="43" t="str">
        <f>IF(A4208="", "", IFERROR(VLOOKUP(A4208, Clasificaciones!A:B, 2, FALSE), "DATO NO CARGADO"))
</f>
        <v/>
      </c>
      <c r="C4208" s="51"/>
      <c r="D4208" s="102"/>
      <c r="E4208" s="102"/>
      <c r="H4208" s="102"/>
      <c r="J4208" s="102"/>
      <c r="K4208" s="450"/>
      <c r="L4208" s="443"/>
      <c r="M4208" s="450"/>
      <c r="N4208" s="452"/>
      <c r="O4208" s="453"/>
      <c r="P4208" s="113"/>
      <c r="Q4208" s="106" t="str">
        <f>IF(ISBLANK(O4208), "", VLOOKUP(C4208&amp;" "&amp;D4208, 'Info Tipo de Cambio y REM'!$A$24:$B$35, 2, FALSE))</f>
        <v/>
      </c>
      <c r="R4208" s="107"/>
    </row>
    <row r="4209" hidden="1">
      <c r="A4209" s="443"/>
      <c r="B4209" s="43" t="str">
        <f>IF(A4209="", "", IFERROR(VLOOKUP(A4209, Clasificaciones!A:B, 2, FALSE), "DATO NO CARGADO"))
</f>
        <v/>
      </c>
      <c r="C4209" s="51"/>
      <c r="D4209" s="102"/>
      <c r="E4209" s="102"/>
      <c r="H4209" s="102"/>
      <c r="J4209" s="102"/>
      <c r="K4209" s="450"/>
      <c r="L4209" s="443"/>
      <c r="M4209" s="450"/>
      <c r="N4209" s="452"/>
      <c r="O4209" s="453"/>
      <c r="P4209" s="113"/>
      <c r="Q4209" s="106" t="str">
        <f>IF(ISBLANK(O4209), "", VLOOKUP(C4209&amp;" "&amp;D4209, 'Info Tipo de Cambio y REM'!$A$24:$B$35, 2, FALSE))</f>
        <v/>
      </c>
      <c r="R4209" s="107"/>
    </row>
    <row r="4210" hidden="1">
      <c r="A4210" s="443"/>
      <c r="B4210" s="43" t="str">
        <f>IF(A4210="", "", IFERROR(VLOOKUP(A4210, Clasificaciones!A:B, 2, FALSE), "DATO NO CARGADO"))
</f>
        <v/>
      </c>
      <c r="C4210" s="51"/>
      <c r="D4210" s="102"/>
      <c r="E4210" s="102"/>
      <c r="H4210" s="102"/>
      <c r="J4210" s="102"/>
      <c r="K4210" s="450"/>
      <c r="L4210" s="443"/>
      <c r="M4210" s="450"/>
      <c r="N4210" s="452"/>
      <c r="O4210" s="453"/>
      <c r="P4210" s="113"/>
      <c r="Q4210" s="106" t="str">
        <f>IF(ISBLANK(O4210), "", VLOOKUP(C4210&amp;" "&amp;D4210, 'Info Tipo de Cambio y REM'!$A$24:$B$35, 2, FALSE))</f>
        <v/>
      </c>
      <c r="R4210" s="107"/>
    </row>
    <row r="4211" hidden="1">
      <c r="A4211" s="443"/>
      <c r="B4211" s="43" t="str">
        <f>IF(A4211="", "", IFERROR(VLOOKUP(A4211, Clasificaciones!A:B, 2, FALSE), "DATO NO CARGADO"))
</f>
        <v/>
      </c>
      <c r="C4211" s="51"/>
      <c r="D4211" s="102"/>
      <c r="E4211" s="102"/>
      <c r="H4211" s="102"/>
      <c r="J4211" s="102"/>
      <c r="K4211" s="450"/>
      <c r="L4211" s="443"/>
      <c r="M4211" s="450"/>
      <c r="N4211" s="452"/>
      <c r="O4211" s="453"/>
      <c r="P4211" s="113"/>
      <c r="Q4211" s="106" t="str">
        <f>IF(ISBLANK(O4211), "", VLOOKUP(C4211&amp;" "&amp;D4211, 'Info Tipo de Cambio y REM'!$A$24:$B$35, 2, FALSE))</f>
        <v/>
      </c>
      <c r="R4211" s="107"/>
    </row>
    <row r="4212" hidden="1">
      <c r="A4212" s="443"/>
      <c r="B4212" s="43" t="str">
        <f>IF(A4212="", "", IFERROR(VLOOKUP(A4212, Clasificaciones!A:B, 2, FALSE), "DATO NO CARGADO"))
</f>
        <v/>
      </c>
      <c r="C4212" s="51"/>
      <c r="D4212" s="102"/>
      <c r="E4212" s="102"/>
      <c r="H4212" s="102"/>
      <c r="J4212" s="102"/>
      <c r="K4212" s="450"/>
      <c r="L4212" s="443"/>
      <c r="M4212" s="450"/>
      <c r="N4212" s="452"/>
      <c r="O4212" s="453"/>
      <c r="P4212" s="113"/>
      <c r="Q4212" s="106" t="str">
        <f>IF(ISBLANK(O4212), "", VLOOKUP(C4212&amp;" "&amp;D4212, 'Info Tipo de Cambio y REM'!$A$24:$B$35, 2, FALSE))</f>
        <v/>
      </c>
      <c r="R4212" s="107"/>
    </row>
    <row r="4213" hidden="1">
      <c r="A4213" s="443"/>
      <c r="B4213" s="43" t="str">
        <f>IF(A4213="", "", IFERROR(VLOOKUP(A4213, Clasificaciones!A:B, 2, FALSE), "DATO NO CARGADO"))
</f>
        <v/>
      </c>
      <c r="C4213" s="51"/>
      <c r="D4213" s="102"/>
      <c r="E4213" s="102"/>
      <c r="H4213" s="102"/>
      <c r="J4213" s="102"/>
      <c r="K4213" s="450"/>
      <c r="L4213" s="443"/>
      <c r="M4213" s="450"/>
      <c r="N4213" s="452"/>
      <c r="O4213" s="453"/>
      <c r="P4213" s="113"/>
      <c r="Q4213" s="106" t="str">
        <f>IF(ISBLANK(O4213), "", VLOOKUP(C4213&amp;" "&amp;D4213, 'Info Tipo de Cambio y REM'!$A$24:$B$35, 2, FALSE))</f>
        <v/>
      </c>
      <c r="R4213" s="107"/>
    </row>
    <row r="4214" hidden="1">
      <c r="A4214" s="443"/>
      <c r="B4214" s="43" t="str">
        <f>IF(A4214="", "", IFERROR(VLOOKUP(A4214, Clasificaciones!A:B, 2, FALSE), "DATO NO CARGADO"))
</f>
        <v/>
      </c>
      <c r="C4214" s="51"/>
      <c r="D4214" s="102"/>
      <c r="E4214" s="102"/>
      <c r="H4214" s="102"/>
      <c r="J4214" s="102"/>
      <c r="K4214" s="450"/>
      <c r="L4214" s="443"/>
      <c r="M4214" s="450"/>
      <c r="N4214" s="452"/>
      <c r="O4214" s="453"/>
      <c r="P4214" s="113"/>
      <c r="Q4214" s="106" t="str">
        <f>IF(ISBLANK(O4214), "", VLOOKUP(C4214&amp;" "&amp;D4214, 'Info Tipo de Cambio y REM'!$A$24:$B$35, 2, FALSE))</f>
        <v/>
      </c>
      <c r="R4214" s="107"/>
    </row>
    <row r="4215" hidden="1">
      <c r="A4215" s="443"/>
      <c r="B4215" s="43" t="str">
        <f>IF(A4215="", "", IFERROR(VLOOKUP(A4215, Clasificaciones!A:B, 2, FALSE), "DATO NO CARGADO"))
</f>
        <v/>
      </c>
      <c r="C4215" s="51"/>
      <c r="D4215" s="102"/>
      <c r="E4215" s="102"/>
      <c r="H4215" s="102"/>
      <c r="J4215" s="102"/>
      <c r="K4215" s="450"/>
      <c r="L4215" s="443"/>
      <c r="M4215" s="450"/>
      <c r="N4215" s="452"/>
      <c r="O4215" s="453"/>
      <c r="P4215" s="113"/>
      <c r="Q4215" s="106" t="str">
        <f>IF(ISBLANK(O4215), "", VLOOKUP(C4215&amp;" "&amp;D4215, 'Info Tipo de Cambio y REM'!$A$24:$B$35, 2, FALSE))</f>
        <v/>
      </c>
      <c r="R4215" s="107"/>
    </row>
    <row r="4216" hidden="1">
      <c r="A4216" s="443"/>
      <c r="B4216" s="43" t="str">
        <f>IF(A4216="", "", IFERROR(VLOOKUP(A4216, Clasificaciones!A:B, 2, FALSE), "DATO NO CARGADO"))
</f>
        <v/>
      </c>
      <c r="C4216" s="51"/>
      <c r="D4216" s="102"/>
      <c r="E4216" s="102"/>
      <c r="H4216" s="102"/>
      <c r="J4216" s="102"/>
      <c r="K4216" s="450"/>
      <c r="L4216" s="443"/>
      <c r="M4216" s="450"/>
      <c r="N4216" s="452"/>
      <c r="O4216" s="453"/>
      <c r="P4216" s="113"/>
      <c r="Q4216" s="106" t="str">
        <f>IF(ISBLANK(O4216), "", VLOOKUP(C4216&amp;" "&amp;D4216, 'Info Tipo de Cambio y REM'!$A$24:$B$35, 2, FALSE))</f>
        <v/>
      </c>
      <c r="R4216" s="107"/>
    </row>
    <row r="4217" hidden="1">
      <c r="A4217" s="443"/>
      <c r="B4217" s="43" t="str">
        <f>IF(A4217="", "", IFERROR(VLOOKUP(A4217, Clasificaciones!A:B, 2, FALSE), "DATO NO CARGADO"))
</f>
        <v/>
      </c>
      <c r="C4217" s="51"/>
      <c r="D4217" s="102"/>
      <c r="E4217" s="102"/>
      <c r="H4217" s="102"/>
      <c r="J4217" s="102"/>
      <c r="K4217" s="450"/>
      <c r="L4217" s="443"/>
      <c r="M4217" s="450"/>
      <c r="N4217" s="452"/>
      <c r="O4217" s="453"/>
      <c r="P4217" s="113"/>
      <c r="Q4217" s="106" t="str">
        <f>IF(ISBLANK(O4217), "", VLOOKUP(C4217&amp;" "&amp;D4217, 'Info Tipo de Cambio y REM'!$A$24:$B$35, 2, FALSE))</f>
        <v/>
      </c>
      <c r="R4217" s="107"/>
    </row>
    <row r="4218" hidden="1">
      <c r="A4218" s="443"/>
      <c r="B4218" s="43" t="str">
        <f>IF(A4218="", "", IFERROR(VLOOKUP(A4218, Clasificaciones!A:B, 2, FALSE), "DATO NO CARGADO"))
</f>
        <v/>
      </c>
      <c r="C4218" s="51"/>
      <c r="D4218" s="102"/>
      <c r="E4218" s="102"/>
      <c r="H4218" s="102"/>
      <c r="J4218" s="102"/>
      <c r="K4218" s="450"/>
      <c r="L4218" s="443"/>
      <c r="M4218" s="450"/>
      <c r="N4218" s="452"/>
      <c r="O4218" s="453"/>
      <c r="P4218" s="113"/>
      <c r="Q4218" s="106" t="str">
        <f>IF(ISBLANK(O4218), "", VLOOKUP(C4218&amp;" "&amp;D4218, 'Info Tipo de Cambio y REM'!$A$24:$B$35, 2, FALSE))</f>
        <v/>
      </c>
      <c r="R4218" s="107"/>
    </row>
    <row r="4219" hidden="1">
      <c r="A4219" s="443"/>
      <c r="B4219" s="43" t="str">
        <f>IF(A4219="", "", IFERROR(VLOOKUP(A4219, Clasificaciones!A:B, 2, FALSE), "DATO NO CARGADO"))
</f>
        <v/>
      </c>
      <c r="C4219" s="51"/>
      <c r="D4219" s="102"/>
      <c r="E4219" s="102"/>
      <c r="H4219" s="102"/>
      <c r="J4219" s="102"/>
      <c r="K4219" s="450"/>
      <c r="L4219" s="443"/>
      <c r="M4219" s="450"/>
      <c r="N4219" s="452"/>
      <c r="O4219" s="453"/>
      <c r="P4219" s="113"/>
      <c r="Q4219" s="106" t="str">
        <f>IF(ISBLANK(O4219), "", VLOOKUP(C4219&amp;" "&amp;D4219, 'Info Tipo de Cambio y REM'!$A$24:$B$35, 2, FALSE))</f>
        <v/>
      </c>
      <c r="R4219" s="107"/>
    </row>
    <row r="4220" hidden="1">
      <c r="A4220" s="443"/>
      <c r="B4220" s="43"/>
      <c r="C4220" s="51"/>
      <c r="D4220" s="102"/>
      <c r="E4220" s="102"/>
      <c r="H4220" s="102"/>
      <c r="J4220" s="102"/>
      <c r="K4220" s="450"/>
      <c r="L4220" s="443"/>
      <c r="M4220" s="450"/>
      <c r="N4220" s="452"/>
      <c r="O4220" s="453"/>
      <c r="P4220" s="113"/>
      <c r="Q4220" s="106"/>
      <c r="R4220" s="107"/>
    </row>
    <row r="4221" hidden="1">
      <c r="A4221" s="443"/>
      <c r="B4221" s="43"/>
      <c r="C4221" s="51"/>
      <c r="D4221" s="102"/>
      <c r="E4221" s="102"/>
      <c r="H4221" s="102"/>
      <c r="J4221" s="102"/>
      <c r="K4221" s="450"/>
      <c r="L4221" s="443"/>
      <c r="M4221" s="450"/>
      <c r="N4221" s="452"/>
      <c r="O4221" s="453"/>
      <c r="P4221" s="113"/>
      <c r="Q4221" s="106"/>
      <c r="R4221" s="107"/>
    </row>
    <row r="4222" hidden="1">
      <c r="A4222" s="443"/>
      <c r="B4222" s="43"/>
      <c r="C4222" s="51"/>
      <c r="D4222" s="102"/>
      <c r="E4222" s="102"/>
      <c r="H4222" s="102"/>
      <c r="J4222" s="102"/>
      <c r="K4222" s="450"/>
      <c r="L4222" s="443"/>
      <c r="M4222" s="450"/>
      <c r="N4222" s="452"/>
      <c r="O4222" s="453"/>
      <c r="P4222" s="113"/>
      <c r="Q4222" s="106"/>
      <c r="R4222" s="107"/>
    </row>
    <row r="4223" hidden="1">
      <c r="A4223" s="443"/>
      <c r="B4223" s="43"/>
      <c r="C4223" s="51"/>
      <c r="D4223" s="102"/>
      <c r="E4223" s="102"/>
      <c r="H4223" s="102"/>
      <c r="J4223" s="102"/>
      <c r="K4223" s="450"/>
      <c r="L4223" s="443"/>
      <c r="M4223" s="450"/>
      <c r="N4223" s="452"/>
      <c r="O4223" s="453"/>
      <c r="P4223" s="113"/>
      <c r="Q4223" s="106"/>
      <c r="R4223" s="107"/>
    </row>
    <row r="4224" hidden="1">
      <c r="A4224" s="443"/>
      <c r="B4224" s="43"/>
      <c r="C4224" s="51"/>
      <c r="D4224" s="102"/>
      <c r="E4224" s="102"/>
      <c r="H4224" s="102"/>
      <c r="J4224" s="102"/>
      <c r="K4224" s="450"/>
      <c r="L4224" s="443"/>
      <c r="M4224" s="450"/>
      <c r="N4224" s="452"/>
      <c r="O4224" s="453"/>
      <c r="P4224" s="113"/>
      <c r="Q4224" s="106"/>
      <c r="R4224" s="107"/>
    </row>
    <row r="4225" hidden="1">
      <c r="A4225" s="443"/>
      <c r="B4225" s="43"/>
      <c r="C4225" s="51"/>
      <c r="D4225" s="102"/>
      <c r="E4225" s="102"/>
      <c r="H4225" s="102"/>
      <c r="J4225" s="102"/>
      <c r="K4225" s="450"/>
      <c r="L4225" s="443"/>
      <c r="M4225" s="450"/>
      <c r="N4225" s="452"/>
      <c r="O4225" s="453"/>
      <c r="P4225" s="113"/>
      <c r="Q4225" s="106"/>
      <c r="R4225" s="107"/>
    </row>
    <row r="4226" hidden="1">
      <c r="A4226" s="443"/>
      <c r="B4226" s="43"/>
      <c r="C4226" s="51"/>
      <c r="D4226" s="102"/>
      <c r="E4226" s="102"/>
      <c r="H4226" s="102"/>
      <c r="J4226" s="102"/>
      <c r="K4226" s="450"/>
      <c r="L4226" s="443"/>
      <c r="M4226" s="450"/>
      <c r="N4226" s="452"/>
      <c r="O4226" s="453"/>
      <c r="P4226" s="113"/>
      <c r="Q4226" s="106"/>
      <c r="R4226" s="107"/>
    </row>
    <row r="4227" hidden="1">
      <c r="A4227" s="443"/>
      <c r="B4227" s="43"/>
      <c r="C4227" s="51"/>
      <c r="D4227" s="102"/>
      <c r="E4227" s="102"/>
      <c r="H4227" s="102"/>
      <c r="J4227" s="102"/>
      <c r="K4227" s="450"/>
      <c r="L4227" s="443"/>
      <c r="M4227" s="450"/>
      <c r="N4227" s="452"/>
      <c r="O4227" s="453"/>
      <c r="P4227" s="113"/>
      <c r="Q4227" s="106"/>
      <c r="R4227" s="107"/>
    </row>
    <row r="4228" hidden="1">
      <c r="A4228" s="443"/>
      <c r="B4228" s="43"/>
      <c r="C4228" s="51"/>
      <c r="D4228" s="102"/>
      <c r="E4228" s="102"/>
      <c r="H4228" s="102"/>
      <c r="J4228" s="102"/>
      <c r="K4228" s="450"/>
      <c r="L4228" s="443"/>
      <c r="M4228" s="450"/>
      <c r="N4228" s="452"/>
      <c r="O4228" s="453"/>
      <c r="P4228" s="113"/>
      <c r="Q4228" s="106"/>
      <c r="R4228" s="107"/>
    </row>
    <row r="4229" hidden="1">
      <c r="A4229" s="443"/>
      <c r="B4229" s="43"/>
      <c r="C4229" s="51"/>
      <c r="D4229" s="102"/>
      <c r="E4229" s="102"/>
      <c r="H4229" s="102"/>
      <c r="J4229" s="102"/>
      <c r="K4229" s="450"/>
      <c r="L4229" s="443"/>
      <c r="M4229" s="450"/>
      <c r="N4229" s="452"/>
      <c r="O4229" s="453"/>
      <c r="P4229" s="113"/>
      <c r="Q4229" s="106"/>
      <c r="R4229" s="107"/>
    </row>
    <row r="4230" hidden="1">
      <c r="A4230" s="443"/>
      <c r="B4230" s="43"/>
      <c r="C4230" s="51"/>
      <c r="D4230" s="102"/>
      <c r="E4230" s="102"/>
      <c r="H4230" s="102"/>
      <c r="J4230" s="102"/>
      <c r="K4230" s="450"/>
      <c r="L4230" s="443"/>
      <c r="M4230" s="450"/>
      <c r="N4230" s="452"/>
      <c r="O4230" s="453"/>
      <c r="P4230" s="113"/>
      <c r="Q4230" s="106"/>
      <c r="R4230" s="107"/>
    </row>
    <row r="4231" hidden="1">
      <c r="A4231" s="443"/>
      <c r="B4231" s="43"/>
      <c r="C4231" s="51"/>
      <c r="D4231" s="102"/>
      <c r="E4231" s="102"/>
      <c r="H4231" s="102"/>
      <c r="J4231" s="102"/>
      <c r="K4231" s="450"/>
      <c r="L4231" s="443"/>
      <c r="M4231" s="450"/>
      <c r="N4231" s="452"/>
      <c r="O4231" s="453"/>
      <c r="P4231" s="113"/>
      <c r="Q4231" s="106"/>
      <c r="R4231" s="107"/>
    </row>
    <row r="4232" hidden="1">
      <c r="A4232" s="443"/>
      <c r="B4232" s="43"/>
      <c r="C4232" s="51"/>
      <c r="D4232" s="102"/>
      <c r="E4232" s="102"/>
      <c r="H4232" s="102"/>
      <c r="J4232" s="102"/>
      <c r="K4232" s="450"/>
      <c r="L4232" s="443"/>
      <c r="M4232" s="450"/>
      <c r="N4232" s="452"/>
      <c r="O4232" s="453"/>
      <c r="P4232" s="113"/>
      <c r="Q4232" s="106"/>
      <c r="R4232" s="107"/>
    </row>
    <row r="4233" hidden="1">
      <c r="A4233" s="443"/>
      <c r="B4233" s="43"/>
      <c r="C4233" s="51"/>
      <c r="D4233" s="102"/>
      <c r="E4233" s="102"/>
      <c r="H4233" s="102"/>
      <c r="J4233" s="102"/>
      <c r="K4233" s="450"/>
      <c r="L4233" s="443"/>
      <c r="M4233" s="450"/>
      <c r="N4233" s="452"/>
      <c r="O4233" s="453"/>
      <c r="P4233" s="113"/>
      <c r="Q4233" s="106"/>
      <c r="R4233" s="107"/>
    </row>
    <row r="4234" hidden="1">
      <c r="A4234" s="443"/>
      <c r="B4234" s="43"/>
      <c r="C4234" s="51"/>
      <c r="D4234" s="102"/>
      <c r="E4234" s="102"/>
      <c r="H4234" s="102"/>
      <c r="J4234" s="102"/>
      <c r="K4234" s="450"/>
      <c r="L4234" s="443"/>
      <c r="M4234" s="450"/>
      <c r="N4234" s="452"/>
      <c r="O4234" s="453"/>
      <c r="P4234" s="113"/>
      <c r="Q4234" s="106"/>
      <c r="R4234" s="107"/>
    </row>
    <row r="4235" hidden="1">
      <c r="A4235" s="443"/>
      <c r="B4235" s="43"/>
      <c r="C4235" s="51"/>
      <c r="D4235" s="102"/>
      <c r="E4235" s="102"/>
      <c r="H4235" s="102"/>
      <c r="J4235" s="102"/>
      <c r="K4235" s="450"/>
      <c r="L4235" s="443"/>
      <c r="M4235" s="450"/>
      <c r="N4235" s="452"/>
      <c r="O4235" s="453"/>
      <c r="P4235" s="113"/>
      <c r="Q4235" s="106"/>
      <c r="R4235" s="107"/>
    </row>
    <row r="4236" hidden="1">
      <c r="A4236" s="443"/>
      <c r="B4236" s="43"/>
      <c r="C4236" s="51"/>
      <c r="D4236" s="102"/>
      <c r="E4236" s="102"/>
      <c r="H4236" s="102"/>
      <c r="J4236" s="102"/>
      <c r="K4236" s="450"/>
      <c r="L4236" s="443"/>
      <c r="M4236" s="450"/>
      <c r="N4236" s="452"/>
      <c r="O4236" s="453"/>
      <c r="P4236" s="113"/>
      <c r="Q4236" s="106"/>
      <c r="R4236" s="107"/>
    </row>
    <row r="4237" hidden="1">
      <c r="A4237" s="443"/>
      <c r="B4237" s="43"/>
      <c r="C4237" s="51"/>
      <c r="D4237" s="102"/>
      <c r="E4237" s="102"/>
      <c r="H4237" s="102"/>
      <c r="J4237" s="102"/>
      <c r="K4237" s="450"/>
      <c r="L4237" s="443"/>
      <c r="M4237" s="450"/>
      <c r="N4237" s="452"/>
      <c r="O4237" s="453"/>
      <c r="P4237" s="113"/>
      <c r="Q4237" s="106"/>
      <c r="R4237" s="107"/>
    </row>
    <row r="4238" hidden="1">
      <c r="A4238" s="443"/>
      <c r="B4238" s="43"/>
      <c r="C4238" s="51"/>
      <c r="D4238" s="102"/>
      <c r="E4238" s="102"/>
      <c r="H4238" s="102"/>
      <c r="J4238" s="102"/>
      <c r="K4238" s="450"/>
      <c r="L4238" s="443"/>
      <c r="M4238" s="450"/>
      <c r="N4238" s="452"/>
      <c r="O4238" s="453"/>
      <c r="P4238" s="113"/>
      <c r="Q4238" s="106"/>
      <c r="R4238" s="107"/>
    </row>
    <row r="4239" hidden="1">
      <c r="A4239" s="443"/>
      <c r="B4239" s="43"/>
      <c r="C4239" s="51"/>
      <c r="D4239" s="102"/>
      <c r="E4239" s="102"/>
      <c r="H4239" s="102"/>
      <c r="J4239" s="102"/>
      <c r="K4239" s="450"/>
      <c r="L4239" s="443"/>
      <c r="M4239" s="450"/>
      <c r="N4239" s="452"/>
      <c r="O4239" s="453"/>
      <c r="P4239" s="113"/>
      <c r="Q4239" s="106"/>
      <c r="R4239" s="107"/>
    </row>
    <row r="4240" hidden="1">
      <c r="A4240" s="443"/>
      <c r="B4240" s="43"/>
      <c r="C4240" s="51"/>
      <c r="D4240" s="102"/>
      <c r="E4240" s="102"/>
      <c r="H4240" s="102"/>
      <c r="J4240" s="102"/>
      <c r="K4240" s="450"/>
      <c r="L4240" s="443"/>
      <c r="M4240" s="450"/>
      <c r="N4240" s="452"/>
      <c r="O4240" s="453"/>
      <c r="P4240" s="113"/>
      <c r="Q4240" s="106"/>
      <c r="R4240" s="107"/>
    </row>
    <row r="4241" hidden="1">
      <c r="A4241" s="443"/>
      <c r="B4241" s="43"/>
      <c r="C4241" s="51"/>
      <c r="D4241" s="102"/>
      <c r="E4241" s="102"/>
      <c r="H4241" s="102"/>
      <c r="J4241" s="102"/>
      <c r="K4241" s="450"/>
      <c r="L4241" s="443"/>
      <c r="M4241" s="450"/>
      <c r="N4241" s="452"/>
      <c r="O4241" s="453"/>
      <c r="P4241" s="113"/>
      <c r="Q4241" s="106"/>
      <c r="R4241" s="107"/>
    </row>
    <row r="4242" hidden="1">
      <c r="A4242" s="443"/>
      <c r="B4242" s="43"/>
      <c r="C4242" s="51"/>
      <c r="D4242" s="102"/>
      <c r="E4242" s="102"/>
      <c r="H4242" s="102"/>
      <c r="J4242" s="102"/>
      <c r="K4242" s="450"/>
      <c r="L4242" s="443"/>
      <c r="M4242" s="450"/>
      <c r="N4242" s="452"/>
      <c r="O4242" s="453"/>
      <c r="P4242" s="113"/>
      <c r="Q4242" s="106"/>
      <c r="R4242" s="107"/>
    </row>
    <row r="4243" hidden="1">
      <c r="A4243" s="443"/>
      <c r="B4243" s="43"/>
      <c r="C4243" s="51"/>
      <c r="D4243" s="102"/>
      <c r="E4243" s="102"/>
      <c r="H4243" s="102"/>
      <c r="J4243" s="102"/>
      <c r="K4243" s="450"/>
      <c r="L4243" s="443"/>
      <c r="M4243" s="450"/>
      <c r="N4243" s="452"/>
      <c r="O4243" s="453"/>
      <c r="P4243" s="113"/>
      <c r="Q4243" s="106"/>
      <c r="R4243" s="107"/>
    </row>
    <row r="4244" hidden="1">
      <c r="A4244" s="443"/>
      <c r="B4244" s="43"/>
      <c r="C4244" s="51"/>
      <c r="D4244" s="102"/>
      <c r="E4244" s="102"/>
      <c r="H4244" s="102"/>
      <c r="J4244" s="102"/>
      <c r="K4244" s="450"/>
      <c r="L4244" s="443"/>
      <c r="M4244" s="450"/>
      <c r="N4244" s="452"/>
      <c r="O4244" s="453"/>
      <c r="P4244" s="113"/>
      <c r="Q4244" s="106"/>
      <c r="R4244" s="107"/>
    </row>
    <row r="4245" hidden="1">
      <c r="A4245" s="443"/>
      <c r="B4245" s="43"/>
      <c r="C4245" s="51"/>
      <c r="D4245" s="102"/>
      <c r="E4245" s="102"/>
      <c r="H4245" s="102"/>
      <c r="J4245" s="102"/>
      <c r="K4245" s="450"/>
      <c r="L4245" s="443"/>
      <c r="M4245" s="450"/>
      <c r="N4245" s="452"/>
      <c r="O4245" s="453"/>
      <c r="P4245" s="113"/>
      <c r="Q4245" s="106"/>
      <c r="R4245" s="107"/>
    </row>
    <row r="4246" hidden="1">
      <c r="A4246" s="443"/>
      <c r="B4246" s="43"/>
      <c r="C4246" s="51"/>
      <c r="D4246" s="102"/>
      <c r="E4246" s="102"/>
      <c r="H4246" s="102"/>
      <c r="J4246" s="102"/>
      <c r="K4246" s="450"/>
      <c r="L4246" s="443"/>
      <c r="M4246" s="450"/>
      <c r="N4246" s="452"/>
      <c r="O4246" s="453"/>
      <c r="P4246" s="113"/>
      <c r="Q4246" s="106"/>
      <c r="R4246" s="107"/>
    </row>
    <row r="4247" hidden="1">
      <c r="A4247" s="443"/>
      <c r="B4247" s="43"/>
      <c r="C4247" s="51"/>
      <c r="D4247" s="102"/>
      <c r="E4247" s="102"/>
      <c r="H4247" s="102"/>
      <c r="J4247" s="102"/>
      <c r="K4247" s="450"/>
      <c r="L4247" s="443"/>
      <c r="M4247" s="450"/>
      <c r="N4247" s="452"/>
      <c r="O4247" s="453"/>
      <c r="P4247" s="113"/>
      <c r="Q4247" s="106"/>
      <c r="R4247" s="107"/>
    </row>
    <row r="4248" hidden="1">
      <c r="A4248" s="443"/>
      <c r="B4248" s="43"/>
      <c r="C4248" s="51"/>
      <c r="D4248" s="102"/>
      <c r="E4248" s="102"/>
      <c r="H4248" s="102"/>
      <c r="J4248" s="102"/>
      <c r="K4248" s="450"/>
      <c r="L4248" s="443"/>
      <c r="M4248" s="450"/>
      <c r="N4248" s="452"/>
      <c r="O4248" s="453"/>
      <c r="P4248" s="113"/>
      <c r="Q4248" s="106"/>
      <c r="R4248" s="107"/>
    </row>
    <row r="4249" hidden="1">
      <c r="A4249" s="443"/>
      <c r="B4249" s="43"/>
      <c r="C4249" s="51"/>
      <c r="D4249" s="102"/>
      <c r="E4249" s="102"/>
      <c r="H4249" s="102"/>
      <c r="J4249" s="102"/>
      <c r="K4249" s="450"/>
      <c r="L4249" s="443"/>
      <c r="M4249" s="450"/>
      <c r="N4249" s="452"/>
      <c r="O4249" s="453"/>
      <c r="P4249" s="113"/>
      <c r="Q4249" s="106"/>
      <c r="R4249" s="107"/>
    </row>
    <row r="4250" hidden="1">
      <c r="A4250" s="443"/>
      <c r="B4250" s="43"/>
      <c r="C4250" s="51"/>
      <c r="D4250" s="102"/>
      <c r="E4250" s="102"/>
      <c r="H4250" s="102"/>
      <c r="J4250" s="102"/>
      <c r="K4250" s="450"/>
      <c r="L4250" s="443"/>
      <c r="M4250" s="450"/>
      <c r="N4250" s="452"/>
      <c r="O4250" s="453"/>
      <c r="P4250" s="113"/>
      <c r="Q4250" s="106"/>
      <c r="R4250" s="107"/>
    </row>
    <row r="4251" hidden="1">
      <c r="A4251" s="443"/>
      <c r="B4251" s="43"/>
      <c r="C4251" s="51"/>
      <c r="D4251" s="102"/>
      <c r="E4251" s="102"/>
      <c r="H4251" s="102"/>
      <c r="J4251" s="102"/>
      <c r="K4251" s="450"/>
      <c r="L4251" s="443"/>
      <c r="M4251" s="450"/>
      <c r="N4251" s="452"/>
      <c r="O4251" s="453"/>
      <c r="P4251" s="113"/>
      <c r="Q4251" s="106"/>
      <c r="R4251" s="107"/>
    </row>
    <row r="4252" hidden="1">
      <c r="A4252" s="443"/>
      <c r="B4252" s="43"/>
      <c r="C4252" s="51"/>
      <c r="D4252" s="102"/>
      <c r="E4252" s="102"/>
      <c r="H4252" s="102"/>
      <c r="J4252" s="102"/>
      <c r="K4252" s="450"/>
      <c r="L4252" s="443"/>
      <c r="M4252" s="450"/>
      <c r="N4252" s="452"/>
      <c r="O4252" s="453"/>
      <c r="P4252" s="113"/>
      <c r="Q4252" s="106"/>
      <c r="R4252" s="107"/>
    </row>
    <row r="4253" hidden="1">
      <c r="A4253" s="443"/>
      <c r="B4253" s="43"/>
      <c r="C4253" s="51"/>
      <c r="D4253" s="102"/>
      <c r="E4253" s="102"/>
      <c r="H4253" s="102"/>
      <c r="J4253" s="102"/>
      <c r="K4253" s="450"/>
      <c r="L4253" s="443"/>
      <c r="M4253" s="450"/>
      <c r="N4253" s="452"/>
      <c r="O4253" s="453"/>
      <c r="P4253" s="113"/>
      <c r="Q4253" s="106"/>
      <c r="R4253" s="107"/>
    </row>
    <row r="4254" hidden="1">
      <c r="A4254" s="443"/>
      <c r="B4254" s="43"/>
      <c r="C4254" s="51"/>
      <c r="D4254" s="102"/>
      <c r="E4254" s="102"/>
      <c r="H4254" s="102"/>
      <c r="J4254" s="102"/>
      <c r="K4254" s="450"/>
      <c r="L4254" s="443"/>
      <c r="M4254" s="450"/>
      <c r="N4254" s="452"/>
      <c r="O4254" s="453"/>
      <c r="P4254" s="113"/>
      <c r="Q4254" s="106"/>
      <c r="R4254" s="107"/>
    </row>
    <row r="4255" hidden="1">
      <c r="A4255" s="443"/>
      <c r="B4255" s="43"/>
      <c r="C4255" s="51"/>
      <c r="D4255" s="102"/>
      <c r="E4255" s="102"/>
      <c r="H4255" s="102"/>
      <c r="J4255" s="102"/>
      <c r="K4255" s="450"/>
      <c r="L4255" s="443"/>
      <c r="M4255" s="450"/>
      <c r="N4255" s="452"/>
      <c r="O4255" s="453"/>
      <c r="P4255" s="113"/>
      <c r="Q4255" s="106"/>
      <c r="R4255" s="107"/>
    </row>
    <row r="4256" hidden="1">
      <c r="A4256" s="443"/>
      <c r="B4256" s="43"/>
      <c r="C4256" s="51"/>
      <c r="D4256" s="102"/>
      <c r="E4256" s="102"/>
      <c r="H4256" s="102"/>
      <c r="J4256" s="102"/>
      <c r="K4256" s="450"/>
      <c r="L4256" s="443"/>
      <c r="M4256" s="450"/>
      <c r="N4256" s="452"/>
      <c r="O4256" s="453"/>
      <c r="P4256" s="113"/>
      <c r="Q4256" s="106"/>
      <c r="R4256" s="107"/>
    </row>
    <row r="4257" hidden="1">
      <c r="A4257" s="443"/>
      <c r="B4257" s="43"/>
      <c r="C4257" s="51"/>
      <c r="D4257" s="102"/>
      <c r="E4257" s="102"/>
      <c r="H4257" s="102"/>
      <c r="J4257" s="102"/>
      <c r="K4257" s="450"/>
      <c r="L4257" s="443"/>
      <c r="M4257" s="450"/>
      <c r="N4257" s="452"/>
      <c r="O4257" s="453"/>
      <c r="P4257" s="113"/>
      <c r="Q4257" s="106"/>
      <c r="R4257" s="107"/>
    </row>
    <row r="4258" hidden="1">
      <c r="A4258" s="443"/>
      <c r="B4258" s="43"/>
      <c r="C4258" s="51"/>
      <c r="D4258" s="102"/>
      <c r="E4258" s="102"/>
      <c r="H4258" s="102"/>
      <c r="J4258" s="102"/>
      <c r="K4258" s="450"/>
      <c r="L4258" s="443"/>
      <c r="M4258" s="450"/>
      <c r="N4258" s="452"/>
      <c r="O4258" s="453"/>
      <c r="P4258" s="113"/>
      <c r="Q4258" s="106"/>
      <c r="R4258" s="107"/>
    </row>
    <row r="4259" hidden="1">
      <c r="A4259" s="443"/>
      <c r="B4259" s="43"/>
      <c r="C4259" s="51"/>
      <c r="D4259" s="102"/>
      <c r="E4259" s="102"/>
      <c r="H4259" s="102"/>
      <c r="J4259" s="102"/>
      <c r="K4259" s="450"/>
      <c r="L4259" s="443"/>
      <c r="M4259" s="450"/>
      <c r="N4259" s="452"/>
      <c r="O4259" s="453"/>
      <c r="P4259" s="113"/>
      <c r="Q4259" s="106"/>
      <c r="R4259" s="107"/>
    </row>
    <row r="4260" hidden="1">
      <c r="A4260" s="443"/>
      <c r="B4260" s="43"/>
      <c r="C4260" s="51"/>
      <c r="D4260" s="102"/>
      <c r="E4260" s="102"/>
      <c r="H4260" s="102"/>
      <c r="J4260" s="102"/>
      <c r="K4260" s="450"/>
      <c r="L4260" s="443"/>
      <c r="M4260" s="450"/>
      <c r="N4260" s="452"/>
      <c r="O4260" s="453"/>
      <c r="P4260" s="113"/>
      <c r="Q4260" s="106"/>
      <c r="R4260" s="107"/>
    </row>
    <row r="4261" hidden="1">
      <c r="A4261" s="443"/>
      <c r="B4261" s="43"/>
      <c r="C4261" s="51"/>
      <c r="D4261" s="102"/>
      <c r="E4261" s="102"/>
      <c r="H4261" s="102"/>
      <c r="J4261" s="102"/>
      <c r="K4261" s="450"/>
      <c r="L4261" s="443"/>
      <c r="M4261" s="450"/>
      <c r="N4261" s="452"/>
      <c r="O4261" s="453"/>
      <c r="P4261" s="113"/>
      <c r="Q4261" s="106"/>
      <c r="R4261" s="107"/>
    </row>
    <row r="4262" hidden="1">
      <c r="A4262" s="443"/>
      <c r="B4262" s="43"/>
      <c r="C4262" s="51"/>
      <c r="D4262" s="102"/>
      <c r="E4262" s="102"/>
      <c r="H4262" s="102"/>
      <c r="J4262" s="102"/>
      <c r="K4262" s="450"/>
      <c r="L4262" s="443"/>
      <c r="M4262" s="450"/>
      <c r="N4262" s="452"/>
      <c r="O4262" s="453"/>
      <c r="P4262" s="113"/>
      <c r="Q4262" s="106"/>
      <c r="R4262" s="107"/>
    </row>
    <row r="4263" hidden="1">
      <c r="A4263" s="443"/>
      <c r="B4263" s="43"/>
      <c r="C4263" s="51"/>
      <c r="D4263" s="102"/>
      <c r="E4263" s="102"/>
      <c r="H4263" s="102"/>
      <c r="J4263" s="102"/>
      <c r="K4263" s="450"/>
      <c r="L4263" s="443"/>
      <c r="M4263" s="450"/>
      <c r="N4263" s="452"/>
      <c r="O4263" s="453"/>
      <c r="P4263" s="113"/>
      <c r="Q4263" s="106"/>
      <c r="R4263" s="107"/>
    </row>
    <row r="4264" hidden="1">
      <c r="A4264" s="443"/>
      <c r="B4264" s="43"/>
      <c r="C4264" s="51"/>
      <c r="D4264" s="102"/>
      <c r="E4264" s="102"/>
      <c r="H4264" s="102"/>
      <c r="J4264" s="102"/>
      <c r="K4264" s="450"/>
      <c r="L4264" s="443"/>
      <c r="M4264" s="450"/>
      <c r="N4264" s="452"/>
      <c r="O4264" s="453"/>
      <c r="P4264" s="113"/>
      <c r="Q4264" s="106"/>
      <c r="R4264" s="107"/>
    </row>
    <row r="4265" hidden="1">
      <c r="A4265" s="443"/>
      <c r="B4265" s="43"/>
      <c r="C4265" s="51"/>
      <c r="D4265" s="102"/>
      <c r="E4265" s="102"/>
      <c r="H4265" s="102"/>
      <c r="J4265" s="102"/>
      <c r="K4265" s="450"/>
      <c r="L4265" s="443"/>
      <c r="M4265" s="450"/>
      <c r="N4265" s="452"/>
      <c r="O4265" s="453"/>
      <c r="P4265" s="113"/>
      <c r="Q4265" s="106"/>
      <c r="R4265" s="107"/>
    </row>
    <row r="4266" hidden="1">
      <c r="A4266" s="443"/>
      <c r="B4266" s="43"/>
      <c r="C4266" s="51"/>
      <c r="D4266" s="102"/>
      <c r="E4266" s="102"/>
      <c r="H4266" s="102"/>
      <c r="J4266" s="102"/>
      <c r="K4266" s="450"/>
      <c r="L4266" s="443"/>
      <c r="M4266" s="450"/>
      <c r="N4266" s="452"/>
      <c r="O4266" s="453"/>
      <c r="P4266" s="113"/>
      <c r="Q4266" s="106"/>
      <c r="R4266" s="107"/>
    </row>
    <row r="4267" hidden="1">
      <c r="A4267" s="443"/>
      <c r="B4267" s="43"/>
      <c r="C4267" s="51"/>
      <c r="D4267" s="102"/>
      <c r="E4267" s="102"/>
      <c r="H4267" s="102"/>
      <c r="J4267" s="102"/>
      <c r="K4267" s="450"/>
      <c r="L4267" s="443"/>
      <c r="M4267" s="450"/>
      <c r="N4267" s="452"/>
      <c r="O4267" s="453"/>
      <c r="P4267" s="113"/>
      <c r="Q4267" s="106"/>
      <c r="R4267" s="107"/>
    </row>
    <row r="4268" hidden="1">
      <c r="A4268" s="443"/>
      <c r="B4268" s="43"/>
      <c r="C4268" s="51"/>
      <c r="D4268" s="102"/>
      <c r="E4268" s="102"/>
      <c r="H4268" s="102"/>
      <c r="J4268" s="102"/>
      <c r="K4268" s="450"/>
      <c r="L4268" s="443"/>
      <c r="M4268" s="450"/>
      <c r="N4268" s="452"/>
      <c r="O4268" s="453"/>
      <c r="P4268" s="113"/>
      <c r="Q4268" s="106"/>
      <c r="R4268" s="107"/>
    </row>
    <row r="4269" hidden="1">
      <c r="A4269" s="443"/>
      <c r="B4269" s="43"/>
      <c r="C4269" s="51"/>
      <c r="D4269" s="102"/>
      <c r="E4269" s="102"/>
      <c r="H4269" s="102"/>
      <c r="J4269" s="102"/>
      <c r="K4269" s="450"/>
      <c r="L4269" s="443"/>
      <c r="M4269" s="450"/>
      <c r="N4269" s="452"/>
      <c r="O4269" s="453"/>
      <c r="P4269" s="113"/>
      <c r="Q4269" s="106"/>
      <c r="R4269" s="107"/>
    </row>
    <row r="4270" hidden="1">
      <c r="A4270" s="443"/>
      <c r="B4270" s="43"/>
      <c r="C4270" s="51"/>
      <c r="D4270" s="102"/>
      <c r="E4270" s="102"/>
      <c r="H4270" s="102"/>
      <c r="J4270" s="102"/>
      <c r="K4270" s="450"/>
      <c r="L4270" s="443"/>
      <c r="M4270" s="450"/>
      <c r="N4270" s="452"/>
      <c r="O4270" s="453"/>
      <c r="P4270" s="113"/>
      <c r="Q4270" s="106"/>
      <c r="R4270" s="107"/>
    </row>
    <row r="4271" hidden="1">
      <c r="A4271" s="443"/>
      <c r="B4271" s="43"/>
      <c r="C4271" s="51"/>
      <c r="D4271" s="102"/>
      <c r="E4271" s="102"/>
      <c r="H4271" s="102"/>
      <c r="J4271" s="102"/>
      <c r="K4271" s="450"/>
      <c r="L4271" s="443"/>
      <c r="M4271" s="450"/>
      <c r="N4271" s="452"/>
      <c r="O4271" s="453"/>
      <c r="P4271" s="113"/>
      <c r="Q4271" s="106"/>
      <c r="R4271" s="107"/>
    </row>
    <row r="4272" hidden="1">
      <c r="A4272" s="443"/>
      <c r="B4272" s="43"/>
      <c r="C4272" s="51"/>
      <c r="D4272" s="102"/>
      <c r="E4272" s="102"/>
      <c r="H4272" s="102"/>
      <c r="J4272" s="102"/>
      <c r="K4272" s="450"/>
      <c r="L4272" s="443"/>
      <c r="M4272" s="450"/>
      <c r="N4272" s="452"/>
      <c r="O4272" s="453"/>
      <c r="P4272" s="113"/>
      <c r="Q4272" s="106"/>
      <c r="R4272" s="107"/>
    </row>
    <row r="4273" hidden="1">
      <c r="A4273" s="443"/>
      <c r="B4273" s="43"/>
      <c r="C4273" s="51"/>
      <c r="D4273" s="102"/>
      <c r="E4273" s="102"/>
      <c r="H4273" s="102"/>
      <c r="J4273" s="102"/>
      <c r="K4273" s="450"/>
      <c r="L4273" s="443"/>
      <c r="M4273" s="450"/>
      <c r="N4273" s="452"/>
      <c r="O4273" s="453"/>
      <c r="P4273" s="113"/>
      <c r="Q4273" s="106"/>
      <c r="R4273" s="107"/>
    </row>
    <row r="4274" hidden="1">
      <c r="A4274" s="443"/>
      <c r="B4274" s="43"/>
      <c r="C4274" s="51"/>
      <c r="D4274" s="102"/>
      <c r="E4274" s="102"/>
      <c r="H4274" s="102"/>
      <c r="J4274" s="102"/>
      <c r="K4274" s="450"/>
      <c r="L4274" s="443"/>
      <c r="M4274" s="450"/>
      <c r="N4274" s="452"/>
      <c r="O4274" s="453"/>
      <c r="P4274" s="113"/>
      <c r="Q4274" s="106"/>
      <c r="R4274" s="107"/>
    </row>
    <row r="4275" hidden="1">
      <c r="A4275" s="443"/>
      <c r="B4275" s="43"/>
      <c r="C4275" s="51"/>
      <c r="D4275" s="102"/>
      <c r="E4275" s="102"/>
      <c r="H4275" s="102"/>
      <c r="J4275" s="102"/>
      <c r="K4275" s="450"/>
      <c r="L4275" s="443"/>
      <c r="M4275" s="450"/>
      <c r="N4275" s="452"/>
      <c r="O4275" s="453"/>
      <c r="P4275" s="113"/>
      <c r="Q4275" s="106"/>
      <c r="R4275" s="107"/>
    </row>
    <row r="4276" hidden="1">
      <c r="A4276" s="443"/>
      <c r="B4276" s="43"/>
      <c r="C4276" s="51"/>
      <c r="D4276" s="102"/>
      <c r="E4276" s="102"/>
      <c r="H4276" s="102"/>
      <c r="J4276" s="102"/>
      <c r="K4276" s="450"/>
      <c r="L4276" s="443"/>
      <c r="M4276" s="450"/>
      <c r="N4276" s="452"/>
      <c r="O4276" s="453"/>
      <c r="P4276" s="113"/>
      <c r="Q4276" s="106"/>
      <c r="R4276" s="107"/>
    </row>
    <row r="4277" hidden="1">
      <c r="A4277" s="443"/>
      <c r="B4277" s="43"/>
      <c r="C4277" s="51"/>
      <c r="D4277" s="102"/>
      <c r="E4277" s="102"/>
      <c r="H4277" s="102"/>
      <c r="J4277" s="102"/>
      <c r="K4277" s="450"/>
      <c r="L4277" s="443"/>
      <c r="M4277" s="450"/>
      <c r="N4277" s="452"/>
      <c r="O4277" s="453"/>
      <c r="P4277" s="113"/>
      <c r="Q4277" s="106"/>
      <c r="R4277" s="107"/>
    </row>
    <row r="4278" hidden="1">
      <c r="A4278" s="443"/>
      <c r="B4278" s="43"/>
      <c r="C4278" s="51"/>
      <c r="D4278" s="102"/>
      <c r="E4278" s="102"/>
      <c r="H4278" s="102"/>
      <c r="J4278" s="102"/>
      <c r="K4278" s="450"/>
      <c r="L4278" s="443"/>
      <c r="M4278" s="450"/>
      <c r="N4278" s="452"/>
      <c r="O4278" s="453"/>
      <c r="P4278" s="113"/>
      <c r="Q4278" s="106"/>
      <c r="R4278" s="107"/>
    </row>
    <row r="4279" hidden="1">
      <c r="A4279" s="443"/>
      <c r="B4279" s="43"/>
      <c r="C4279" s="51"/>
      <c r="D4279" s="102"/>
      <c r="E4279" s="102"/>
      <c r="H4279" s="102"/>
      <c r="J4279" s="102"/>
      <c r="K4279" s="450"/>
      <c r="L4279" s="443"/>
      <c r="M4279" s="450"/>
      <c r="N4279" s="452"/>
      <c r="O4279" s="453"/>
      <c r="P4279" s="113"/>
      <c r="Q4279" s="106"/>
      <c r="R4279" s="107"/>
    </row>
    <row r="4280" hidden="1">
      <c r="A4280" s="443"/>
      <c r="B4280" s="43"/>
      <c r="C4280" s="51"/>
      <c r="D4280" s="102"/>
      <c r="E4280" s="102"/>
      <c r="H4280" s="102"/>
      <c r="J4280" s="102"/>
      <c r="K4280" s="450"/>
      <c r="L4280" s="443"/>
      <c r="M4280" s="450"/>
      <c r="N4280" s="452"/>
      <c r="O4280" s="453"/>
      <c r="P4280" s="113"/>
      <c r="Q4280" s="106"/>
      <c r="R4280" s="107"/>
    </row>
    <row r="4281" hidden="1">
      <c r="A4281" s="443"/>
      <c r="B4281" s="43"/>
      <c r="C4281" s="51"/>
      <c r="D4281" s="102"/>
      <c r="E4281" s="102"/>
      <c r="H4281" s="102"/>
      <c r="J4281" s="102"/>
      <c r="K4281" s="450"/>
      <c r="L4281" s="443"/>
      <c r="M4281" s="450"/>
      <c r="N4281" s="452"/>
      <c r="O4281" s="453"/>
      <c r="P4281" s="113"/>
      <c r="Q4281" s="106"/>
      <c r="R4281" s="107"/>
    </row>
    <row r="4282" hidden="1">
      <c r="A4282" s="443"/>
      <c r="B4282" s="43"/>
      <c r="C4282" s="51"/>
      <c r="D4282" s="102"/>
      <c r="E4282" s="102"/>
      <c r="H4282" s="102"/>
      <c r="J4282" s="102"/>
      <c r="K4282" s="450"/>
      <c r="L4282" s="443"/>
      <c r="M4282" s="450"/>
      <c r="N4282" s="452"/>
      <c r="O4282" s="453"/>
      <c r="P4282" s="113"/>
      <c r="Q4282" s="106"/>
      <c r="R4282" s="107"/>
    </row>
    <row r="4283" hidden="1">
      <c r="A4283" s="443"/>
      <c r="B4283" s="43"/>
      <c r="C4283" s="51"/>
      <c r="D4283" s="102"/>
      <c r="E4283" s="102"/>
      <c r="H4283" s="102"/>
      <c r="J4283" s="102"/>
      <c r="K4283" s="450"/>
      <c r="L4283" s="443"/>
      <c r="M4283" s="450"/>
      <c r="N4283" s="452"/>
      <c r="O4283" s="453"/>
      <c r="P4283" s="113"/>
      <c r="Q4283" s="106"/>
      <c r="R4283" s="107"/>
    </row>
    <row r="4284" hidden="1">
      <c r="A4284" s="443"/>
      <c r="B4284" s="43"/>
      <c r="C4284" s="51"/>
      <c r="D4284" s="102"/>
      <c r="E4284" s="102"/>
      <c r="H4284" s="102"/>
      <c r="J4284" s="102"/>
      <c r="K4284" s="450"/>
      <c r="L4284" s="443"/>
      <c r="M4284" s="450"/>
      <c r="N4284" s="452"/>
      <c r="O4284" s="453"/>
      <c r="P4284" s="113"/>
      <c r="Q4284" s="106"/>
      <c r="R4284" s="107"/>
    </row>
    <row r="4285" hidden="1">
      <c r="A4285" s="443"/>
      <c r="B4285" s="43"/>
      <c r="C4285" s="51"/>
      <c r="D4285" s="102"/>
      <c r="E4285" s="102"/>
      <c r="H4285" s="102"/>
      <c r="J4285" s="102"/>
      <c r="K4285" s="450"/>
      <c r="L4285" s="443"/>
      <c r="M4285" s="450"/>
      <c r="N4285" s="452"/>
      <c r="O4285" s="453"/>
      <c r="P4285" s="113"/>
      <c r="Q4285" s="106"/>
      <c r="R4285" s="107"/>
    </row>
    <row r="4286" hidden="1">
      <c r="A4286" s="443"/>
      <c r="B4286" s="43"/>
      <c r="C4286" s="51"/>
      <c r="D4286" s="102"/>
      <c r="E4286" s="102"/>
      <c r="H4286" s="102"/>
      <c r="J4286" s="102"/>
      <c r="K4286" s="450"/>
      <c r="L4286" s="443"/>
      <c r="M4286" s="450"/>
      <c r="N4286" s="452"/>
      <c r="O4286" s="453"/>
      <c r="P4286" s="113"/>
      <c r="Q4286" s="106"/>
      <c r="R4286" s="107"/>
    </row>
    <row r="4287" hidden="1">
      <c r="A4287" s="443"/>
      <c r="B4287" s="43"/>
      <c r="C4287" s="51"/>
      <c r="D4287" s="102"/>
      <c r="E4287" s="102"/>
      <c r="H4287" s="102"/>
      <c r="J4287" s="102"/>
      <c r="K4287" s="450"/>
      <c r="L4287" s="443"/>
      <c r="M4287" s="450"/>
      <c r="N4287" s="452"/>
      <c r="O4287" s="453"/>
      <c r="P4287" s="113"/>
      <c r="Q4287" s="106"/>
      <c r="R4287" s="107"/>
    </row>
    <row r="4288" hidden="1">
      <c r="A4288" s="443"/>
      <c r="B4288" s="43"/>
      <c r="C4288" s="51"/>
      <c r="D4288" s="102"/>
      <c r="E4288" s="102"/>
      <c r="H4288" s="102"/>
      <c r="J4288" s="102"/>
      <c r="K4288" s="450"/>
      <c r="L4288" s="443"/>
      <c r="M4288" s="450"/>
      <c r="N4288" s="452"/>
      <c r="O4288" s="453"/>
      <c r="P4288" s="113"/>
      <c r="Q4288" s="106"/>
      <c r="R4288" s="107"/>
    </row>
    <row r="4289" hidden="1">
      <c r="A4289" s="443"/>
      <c r="B4289" s="43"/>
      <c r="C4289" s="51"/>
      <c r="D4289" s="102"/>
      <c r="E4289" s="102"/>
      <c r="H4289" s="102"/>
      <c r="J4289" s="102"/>
      <c r="K4289" s="450"/>
      <c r="L4289" s="443"/>
      <c r="M4289" s="450"/>
      <c r="N4289" s="452"/>
      <c r="O4289" s="453"/>
      <c r="P4289" s="113"/>
      <c r="Q4289" s="106"/>
      <c r="R4289" s="107"/>
    </row>
    <row r="4290" hidden="1">
      <c r="A4290" s="443"/>
      <c r="B4290" s="43"/>
      <c r="C4290" s="51"/>
      <c r="D4290" s="102"/>
      <c r="E4290" s="102"/>
      <c r="H4290" s="102"/>
      <c r="J4290" s="102"/>
      <c r="K4290" s="450"/>
      <c r="L4290" s="443"/>
      <c r="M4290" s="450"/>
      <c r="N4290" s="452"/>
      <c r="O4290" s="453"/>
      <c r="P4290" s="113"/>
      <c r="Q4290" s="106"/>
      <c r="R4290" s="107"/>
    </row>
    <row r="4291" hidden="1">
      <c r="A4291" s="443"/>
      <c r="B4291" s="43"/>
      <c r="C4291" s="51"/>
      <c r="D4291" s="102"/>
      <c r="E4291" s="102"/>
      <c r="H4291" s="102"/>
      <c r="J4291" s="102"/>
      <c r="K4291" s="450"/>
      <c r="L4291" s="443"/>
      <c r="M4291" s="450"/>
      <c r="N4291" s="452"/>
      <c r="O4291" s="453"/>
      <c r="P4291" s="113"/>
      <c r="Q4291" s="106"/>
      <c r="R4291" s="107"/>
    </row>
    <row r="4292" hidden="1">
      <c r="A4292" s="443"/>
      <c r="B4292" s="43"/>
      <c r="C4292" s="51"/>
      <c r="D4292" s="102"/>
      <c r="E4292" s="102"/>
      <c r="H4292" s="102"/>
      <c r="J4292" s="102"/>
      <c r="K4292" s="450"/>
      <c r="L4292" s="443"/>
      <c r="M4292" s="450"/>
      <c r="N4292" s="452"/>
      <c r="O4292" s="453"/>
      <c r="P4292" s="113"/>
      <c r="Q4292" s="106"/>
      <c r="R4292" s="107"/>
    </row>
    <row r="4293" hidden="1">
      <c r="A4293" s="443"/>
      <c r="B4293" s="43"/>
      <c r="C4293" s="51"/>
      <c r="D4293" s="102"/>
      <c r="E4293" s="102"/>
      <c r="H4293" s="102"/>
      <c r="J4293" s="102"/>
      <c r="K4293" s="450"/>
      <c r="L4293" s="443"/>
      <c r="M4293" s="450"/>
      <c r="N4293" s="452"/>
      <c r="O4293" s="453"/>
      <c r="P4293" s="113"/>
      <c r="Q4293" s="106"/>
      <c r="R4293" s="107"/>
    </row>
    <row r="4294" hidden="1">
      <c r="A4294" s="443"/>
      <c r="B4294" s="43"/>
      <c r="C4294" s="51"/>
      <c r="D4294" s="102"/>
      <c r="E4294" s="102"/>
      <c r="H4294" s="102"/>
      <c r="J4294" s="102"/>
      <c r="K4294" s="450"/>
      <c r="L4294" s="443"/>
      <c r="M4294" s="450"/>
      <c r="N4294" s="452"/>
      <c r="O4294" s="453"/>
      <c r="P4294" s="113"/>
      <c r="Q4294" s="106"/>
      <c r="R4294" s="107"/>
    </row>
    <row r="4295" hidden="1">
      <c r="A4295" s="443"/>
      <c r="B4295" s="43"/>
      <c r="C4295" s="51"/>
      <c r="D4295" s="102"/>
      <c r="E4295" s="102"/>
      <c r="H4295" s="102"/>
      <c r="J4295" s="102"/>
      <c r="K4295" s="450"/>
      <c r="L4295" s="443"/>
      <c r="M4295" s="450"/>
      <c r="N4295" s="452"/>
      <c r="O4295" s="453"/>
      <c r="P4295" s="113"/>
      <c r="Q4295" s="106"/>
      <c r="R4295" s="107"/>
    </row>
    <row r="4296" hidden="1">
      <c r="A4296" s="443"/>
      <c r="B4296" s="43"/>
      <c r="C4296" s="51"/>
      <c r="D4296" s="102"/>
      <c r="E4296" s="102"/>
      <c r="H4296" s="102"/>
      <c r="J4296" s="102"/>
      <c r="K4296" s="450"/>
      <c r="L4296" s="443"/>
      <c r="M4296" s="450"/>
      <c r="N4296" s="452"/>
      <c r="O4296" s="453"/>
      <c r="P4296" s="113"/>
      <c r="Q4296" s="106"/>
      <c r="R4296" s="107"/>
    </row>
    <row r="4297" hidden="1">
      <c r="A4297" s="443"/>
      <c r="B4297" s="43"/>
      <c r="C4297" s="51"/>
      <c r="D4297" s="102"/>
      <c r="E4297" s="102"/>
      <c r="H4297" s="102"/>
      <c r="J4297" s="102"/>
      <c r="K4297" s="450"/>
      <c r="L4297" s="443"/>
      <c r="M4297" s="450"/>
      <c r="N4297" s="452"/>
      <c r="O4297" s="453"/>
      <c r="P4297" s="113"/>
      <c r="Q4297" s="106"/>
      <c r="R4297" s="107"/>
    </row>
    <row r="4298" hidden="1">
      <c r="A4298" s="443"/>
      <c r="B4298" s="43"/>
      <c r="C4298" s="51"/>
      <c r="D4298" s="102"/>
      <c r="E4298" s="102"/>
      <c r="H4298" s="102"/>
      <c r="J4298" s="102"/>
      <c r="K4298" s="450"/>
      <c r="L4298" s="443"/>
      <c r="M4298" s="450"/>
      <c r="N4298" s="452"/>
      <c r="O4298" s="453"/>
      <c r="P4298" s="113"/>
      <c r="Q4298" s="106"/>
      <c r="R4298" s="107"/>
    </row>
    <row r="4299" hidden="1">
      <c r="A4299" s="443"/>
      <c r="B4299" s="43"/>
      <c r="C4299" s="51"/>
      <c r="D4299" s="102"/>
      <c r="E4299" s="102"/>
      <c r="H4299" s="102"/>
      <c r="J4299" s="102"/>
      <c r="K4299" s="450"/>
      <c r="L4299" s="443"/>
      <c r="M4299" s="450"/>
      <c r="N4299" s="452"/>
      <c r="O4299" s="453"/>
      <c r="P4299" s="113"/>
      <c r="Q4299" s="106"/>
      <c r="R4299" s="107"/>
    </row>
    <row r="4300" hidden="1">
      <c r="A4300" s="443"/>
      <c r="B4300" s="43"/>
      <c r="C4300" s="51"/>
      <c r="D4300" s="102"/>
      <c r="E4300" s="102"/>
      <c r="H4300" s="102"/>
      <c r="J4300" s="102"/>
      <c r="K4300" s="450"/>
      <c r="L4300" s="443"/>
      <c r="M4300" s="450"/>
      <c r="N4300" s="452"/>
      <c r="O4300" s="453"/>
      <c r="P4300" s="113"/>
      <c r="Q4300" s="106"/>
      <c r="R4300" s="107"/>
    </row>
    <row r="4301" hidden="1">
      <c r="A4301" s="443"/>
      <c r="B4301" s="43"/>
      <c r="C4301" s="51"/>
      <c r="D4301" s="102"/>
      <c r="E4301" s="102"/>
      <c r="H4301" s="102"/>
      <c r="J4301" s="102"/>
      <c r="K4301" s="450"/>
      <c r="L4301" s="443"/>
      <c r="M4301" s="450"/>
      <c r="N4301" s="452"/>
      <c r="O4301" s="453"/>
      <c r="P4301" s="113"/>
      <c r="Q4301" s="106"/>
      <c r="R4301" s="107"/>
    </row>
    <row r="4302" hidden="1">
      <c r="A4302" s="443"/>
      <c r="B4302" s="43"/>
      <c r="C4302" s="51"/>
      <c r="D4302" s="102"/>
      <c r="E4302" s="102"/>
      <c r="H4302" s="102"/>
      <c r="J4302" s="102"/>
      <c r="K4302" s="450"/>
      <c r="L4302" s="443"/>
      <c r="M4302" s="450"/>
      <c r="N4302" s="452"/>
      <c r="O4302" s="453"/>
      <c r="P4302" s="113"/>
      <c r="Q4302" s="106"/>
      <c r="R4302" s="107"/>
    </row>
    <row r="4303" hidden="1">
      <c r="A4303" s="443"/>
      <c r="B4303" s="43"/>
      <c r="C4303" s="51"/>
      <c r="D4303" s="102"/>
      <c r="E4303" s="102"/>
      <c r="H4303" s="102"/>
      <c r="J4303" s="102"/>
      <c r="K4303" s="450"/>
      <c r="L4303" s="443"/>
      <c r="M4303" s="450"/>
      <c r="N4303" s="452"/>
      <c r="O4303" s="453"/>
      <c r="P4303" s="113"/>
      <c r="Q4303" s="106"/>
      <c r="R4303" s="107"/>
    </row>
    <row r="4304" hidden="1">
      <c r="A4304" s="443"/>
      <c r="B4304" s="43"/>
      <c r="C4304" s="51"/>
      <c r="D4304" s="102"/>
      <c r="E4304" s="102"/>
      <c r="H4304" s="102"/>
      <c r="J4304" s="102"/>
      <c r="K4304" s="450"/>
      <c r="L4304" s="443"/>
      <c r="M4304" s="450"/>
      <c r="N4304" s="452"/>
      <c r="O4304" s="453"/>
      <c r="P4304" s="113"/>
      <c r="Q4304" s="106"/>
      <c r="R4304" s="107"/>
    </row>
    <row r="4305" hidden="1">
      <c r="A4305" s="443"/>
      <c r="B4305" s="43"/>
      <c r="C4305" s="51"/>
      <c r="D4305" s="102"/>
      <c r="E4305" s="102"/>
      <c r="H4305" s="102"/>
      <c r="J4305" s="102"/>
      <c r="K4305" s="450"/>
      <c r="L4305" s="443"/>
      <c r="M4305" s="450"/>
      <c r="N4305" s="452"/>
      <c r="O4305" s="453"/>
      <c r="P4305" s="113"/>
      <c r="Q4305" s="106"/>
      <c r="R4305" s="107"/>
    </row>
    <row r="4306" hidden="1">
      <c r="A4306" s="443"/>
      <c r="B4306" s="43"/>
      <c r="C4306" s="51"/>
      <c r="D4306" s="102"/>
      <c r="E4306" s="102"/>
      <c r="H4306" s="102"/>
      <c r="J4306" s="102"/>
      <c r="K4306" s="450"/>
      <c r="L4306" s="443"/>
      <c r="M4306" s="450"/>
      <c r="N4306" s="452"/>
      <c r="O4306" s="453"/>
      <c r="P4306" s="113"/>
      <c r="Q4306" s="106"/>
      <c r="R4306" s="107"/>
    </row>
    <row r="4307" hidden="1">
      <c r="A4307" s="443"/>
      <c r="B4307" s="43"/>
      <c r="C4307" s="51"/>
      <c r="D4307" s="102"/>
      <c r="E4307" s="102"/>
      <c r="H4307" s="102"/>
      <c r="J4307" s="102"/>
      <c r="K4307" s="450"/>
      <c r="L4307" s="443"/>
      <c r="M4307" s="450"/>
      <c r="N4307" s="452"/>
      <c r="O4307" s="453"/>
      <c r="P4307" s="113"/>
      <c r="Q4307" s="106"/>
      <c r="R4307" s="107"/>
    </row>
    <row r="4308" hidden="1">
      <c r="A4308" s="443"/>
      <c r="B4308" s="43"/>
      <c r="C4308" s="51"/>
      <c r="D4308" s="102"/>
      <c r="E4308" s="102"/>
      <c r="H4308" s="102"/>
      <c r="J4308" s="102"/>
      <c r="K4308" s="450"/>
      <c r="L4308" s="443"/>
      <c r="M4308" s="450"/>
      <c r="N4308" s="452"/>
      <c r="O4308" s="453"/>
      <c r="P4308" s="113"/>
      <c r="Q4308" s="106"/>
      <c r="R4308" s="107"/>
    </row>
    <row r="4309" hidden="1">
      <c r="A4309" s="443"/>
      <c r="B4309" s="43"/>
      <c r="C4309" s="51"/>
      <c r="D4309" s="102"/>
      <c r="E4309" s="102"/>
      <c r="H4309" s="102"/>
      <c r="J4309" s="102"/>
      <c r="K4309" s="450"/>
      <c r="L4309" s="443"/>
      <c r="M4309" s="450"/>
      <c r="N4309" s="452"/>
      <c r="O4309" s="453"/>
      <c r="P4309" s="113"/>
      <c r="Q4309" s="106"/>
      <c r="R4309" s="107"/>
    </row>
    <row r="4310" hidden="1">
      <c r="A4310" s="443"/>
      <c r="B4310" s="43"/>
      <c r="C4310" s="51"/>
      <c r="D4310" s="102"/>
      <c r="E4310" s="102"/>
      <c r="H4310" s="102"/>
      <c r="J4310" s="102"/>
      <c r="K4310" s="450"/>
      <c r="L4310" s="443"/>
      <c r="M4310" s="450"/>
      <c r="N4310" s="452"/>
      <c r="O4310" s="453"/>
      <c r="P4310" s="113"/>
      <c r="Q4310" s="106"/>
      <c r="R4310" s="107"/>
    </row>
    <row r="4311" hidden="1">
      <c r="A4311" s="443"/>
      <c r="B4311" s="43"/>
      <c r="C4311" s="51"/>
      <c r="D4311" s="102"/>
      <c r="E4311" s="102"/>
      <c r="H4311" s="102"/>
      <c r="J4311" s="102"/>
      <c r="K4311" s="450"/>
      <c r="L4311" s="443"/>
      <c r="M4311" s="450"/>
      <c r="N4311" s="452"/>
      <c r="O4311" s="453"/>
      <c r="P4311" s="113"/>
      <c r="Q4311" s="106"/>
      <c r="R4311" s="107"/>
    </row>
    <row r="4312" hidden="1">
      <c r="A4312" s="443"/>
      <c r="B4312" s="43"/>
      <c r="C4312" s="51"/>
      <c r="D4312" s="102"/>
      <c r="E4312" s="102"/>
      <c r="H4312" s="102"/>
      <c r="J4312" s="102"/>
      <c r="K4312" s="450"/>
      <c r="L4312" s="443"/>
      <c r="M4312" s="450"/>
      <c r="N4312" s="452"/>
      <c r="O4312" s="453"/>
      <c r="P4312" s="113"/>
      <c r="Q4312" s="106"/>
      <c r="R4312" s="107"/>
    </row>
    <row r="4313" hidden="1">
      <c r="A4313" s="443"/>
      <c r="B4313" s="43"/>
      <c r="C4313" s="51"/>
      <c r="D4313" s="102"/>
      <c r="E4313" s="102"/>
      <c r="H4313" s="102"/>
      <c r="J4313" s="102"/>
      <c r="K4313" s="450"/>
      <c r="L4313" s="443"/>
      <c r="M4313" s="450"/>
      <c r="N4313" s="452"/>
      <c r="O4313" s="453"/>
      <c r="P4313" s="113"/>
      <c r="Q4313" s="106"/>
      <c r="R4313" s="107"/>
    </row>
    <row r="4314" hidden="1">
      <c r="A4314" s="443"/>
      <c r="B4314" s="43"/>
      <c r="C4314" s="51"/>
      <c r="D4314" s="102"/>
      <c r="E4314" s="102"/>
      <c r="H4314" s="102"/>
      <c r="J4314" s="102"/>
      <c r="K4314" s="450"/>
      <c r="L4314" s="443"/>
      <c r="M4314" s="450"/>
      <c r="N4314" s="452"/>
      <c r="O4314" s="453"/>
      <c r="P4314" s="113"/>
      <c r="Q4314" s="106"/>
      <c r="R4314" s="107"/>
    </row>
    <row r="4315" hidden="1">
      <c r="A4315" s="443"/>
      <c r="B4315" s="43"/>
      <c r="C4315" s="51"/>
      <c r="D4315" s="102"/>
      <c r="E4315" s="102"/>
      <c r="H4315" s="102"/>
      <c r="J4315" s="102"/>
      <c r="K4315" s="450"/>
      <c r="L4315" s="443"/>
      <c r="M4315" s="450"/>
      <c r="N4315" s="452"/>
      <c r="O4315" s="453"/>
      <c r="P4315" s="113"/>
      <c r="Q4315" s="106"/>
      <c r="R4315" s="107"/>
    </row>
    <row r="4316" hidden="1">
      <c r="A4316" s="443"/>
      <c r="B4316" s="43"/>
      <c r="C4316" s="51"/>
      <c r="D4316" s="102"/>
      <c r="E4316" s="102"/>
      <c r="H4316" s="102"/>
      <c r="J4316" s="102"/>
      <c r="K4316" s="450"/>
      <c r="L4316" s="443"/>
      <c r="M4316" s="450"/>
      <c r="N4316" s="452"/>
      <c r="O4316" s="453"/>
      <c r="P4316" s="113"/>
      <c r="Q4316" s="106"/>
      <c r="R4316" s="107"/>
    </row>
    <row r="4317" hidden="1">
      <c r="A4317" s="443"/>
      <c r="B4317" s="43"/>
      <c r="C4317" s="51"/>
      <c r="D4317" s="102"/>
      <c r="E4317" s="102"/>
      <c r="H4317" s="102"/>
      <c r="J4317" s="102"/>
      <c r="K4317" s="450"/>
      <c r="L4317" s="443"/>
      <c r="M4317" s="450"/>
      <c r="N4317" s="452"/>
      <c r="O4317" s="453"/>
      <c r="P4317" s="113"/>
      <c r="Q4317" s="106"/>
      <c r="R4317" s="107"/>
    </row>
    <row r="4318" hidden="1">
      <c r="A4318" s="443"/>
      <c r="B4318" s="43"/>
      <c r="C4318" s="51"/>
      <c r="D4318" s="102"/>
      <c r="E4318" s="102"/>
      <c r="H4318" s="102"/>
      <c r="J4318" s="102"/>
      <c r="K4318" s="450"/>
      <c r="L4318" s="443"/>
      <c r="M4318" s="450"/>
      <c r="N4318" s="452"/>
      <c r="O4318" s="453"/>
      <c r="P4318" s="113"/>
      <c r="Q4318" s="106"/>
      <c r="R4318" s="107"/>
    </row>
    <row r="4319" hidden="1">
      <c r="A4319" s="443"/>
      <c r="B4319" s="43"/>
      <c r="C4319" s="51"/>
      <c r="D4319" s="102"/>
      <c r="E4319" s="102"/>
      <c r="H4319" s="102"/>
      <c r="J4319" s="102"/>
      <c r="K4319" s="450"/>
      <c r="L4319" s="443"/>
      <c r="M4319" s="450"/>
      <c r="N4319" s="452"/>
      <c r="O4319" s="453"/>
      <c r="P4319" s="113"/>
      <c r="Q4319" s="106"/>
      <c r="R4319" s="107"/>
    </row>
    <row r="4320" hidden="1">
      <c r="A4320" s="443"/>
      <c r="B4320" s="43"/>
      <c r="C4320" s="51"/>
      <c r="D4320" s="102"/>
      <c r="E4320" s="102"/>
      <c r="H4320" s="102"/>
      <c r="J4320" s="102"/>
      <c r="K4320" s="450"/>
      <c r="L4320" s="443"/>
      <c r="M4320" s="450"/>
      <c r="N4320" s="452"/>
      <c r="O4320" s="453"/>
      <c r="P4320" s="113"/>
      <c r="Q4320" s="106"/>
      <c r="R4320" s="107"/>
    </row>
    <row r="4321" hidden="1">
      <c r="A4321" s="443"/>
      <c r="B4321" s="43"/>
      <c r="C4321" s="51"/>
      <c r="D4321" s="102"/>
      <c r="E4321" s="102"/>
      <c r="H4321" s="102"/>
      <c r="J4321" s="102"/>
      <c r="K4321" s="450"/>
      <c r="L4321" s="443"/>
      <c r="M4321" s="450"/>
      <c r="N4321" s="452"/>
      <c r="O4321" s="453"/>
      <c r="P4321" s="113"/>
      <c r="Q4321" s="106"/>
      <c r="R4321" s="107"/>
    </row>
    <row r="4322" hidden="1">
      <c r="A4322" s="443"/>
      <c r="B4322" s="43"/>
      <c r="C4322" s="51"/>
      <c r="D4322" s="102"/>
      <c r="E4322" s="102"/>
      <c r="H4322" s="102"/>
      <c r="J4322" s="102"/>
      <c r="K4322" s="450"/>
      <c r="L4322" s="443"/>
      <c r="M4322" s="450"/>
      <c r="N4322" s="452"/>
      <c r="O4322" s="453"/>
      <c r="P4322" s="113"/>
      <c r="Q4322" s="106"/>
      <c r="R4322" s="107"/>
    </row>
    <row r="4323" hidden="1">
      <c r="A4323" s="443"/>
      <c r="B4323" s="43"/>
      <c r="C4323" s="51"/>
      <c r="D4323" s="102"/>
      <c r="E4323" s="102"/>
      <c r="H4323" s="102"/>
      <c r="J4323" s="102"/>
      <c r="K4323" s="450"/>
      <c r="L4323" s="443"/>
      <c r="M4323" s="450"/>
      <c r="N4323" s="452"/>
      <c r="O4323" s="453"/>
      <c r="P4323" s="113"/>
      <c r="Q4323" s="106"/>
      <c r="R4323" s="107"/>
    </row>
    <row r="4324" hidden="1">
      <c r="A4324" s="443"/>
      <c r="B4324" s="43"/>
      <c r="C4324" s="51"/>
      <c r="D4324" s="102"/>
      <c r="E4324" s="102"/>
      <c r="H4324" s="102"/>
      <c r="J4324" s="102"/>
      <c r="K4324" s="450"/>
      <c r="L4324" s="443"/>
      <c r="M4324" s="450"/>
      <c r="N4324" s="452"/>
      <c r="O4324" s="453"/>
      <c r="P4324" s="113"/>
      <c r="Q4324" s="106"/>
      <c r="R4324" s="107"/>
    </row>
    <row r="4325" hidden="1">
      <c r="A4325" s="443"/>
      <c r="B4325" s="43"/>
      <c r="C4325" s="51"/>
      <c r="D4325" s="102"/>
      <c r="E4325" s="102"/>
      <c r="H4325" s="102"/>
      <c r="J4325" s="102"/>
      <c r="K4325" s="450"/>
      <c r="L4325" s="443"/>
      <c r="M4325" s="450"/>
      <c r="N4325" s="452"/>
      <c r="O4325" s="453"/>
      <c r="P4325" s="113"/>
      <c r="Q4325" s="106"/>
      <c r="R4325" s="107"/>
    </row>
    <row r="4326" hidden="1">
      <c r="A4326" s="443"/>
      <c r="B4326" s="43"/>
      <c r="C4326" s="51"/>
      <c r="D4326" s="102"/>
      <c r="E4326" s="102"/>
      <c r="H4326" s="102"/>
      <c r="J4326" s="102"/>
      <c r="K4326" s="450"/>
      <c r="L4326" s="443"/>
      <c r="M4326" s="450"/>
      <c r="N4326" s="452"/>
      <c r="O4326" s="453"/>
      <c r="P4326" s="113"/>
      <c r="Q4326" s="106"/>
      <c r="R4326" s="107"/>
    </row>
    <row r="4327" hidden="1">
      <c r="A4327" s="443"/>
      <c r="B4327" s="43"/>
      <c r="C4327" s="51"/>
      <c r="D4327" s="102"/>
      <c r="E4327" s="102"/>
      <c r="H4327" s="102"/>
      <c r="J4327" s="102"/>
      <c r="K4327" s="450"/>
      <c r="L4327" s="443"/>
      <c r="M4327" s="450"/>
      <c r="N4327" s="452"/>
      <c r="O4327" s="453"/>
      <c r="P4327" s="113"/>
      <c r="Q4327" s="106"/>
      <c r="R4327" s="107"/>
    </row>
    <row r="4328" hidden="1">
      <c r="A4328" s="443"/>
      <c r="B4328" s="43"/>
      <c r="C4328" s="51"/>
      <c r="D4328" s="102"/>
      <c r="E4328" s="102"/>
      <c r="H4328" s="102"/>
      <c r="J4328" s="102"/>
      <c r="K4328" s="450"/>
      <c r="L4328" s="443"/>
      <c r="M4328" s="450"/>
      <c r="N4328" s="452"/>
      <c r="O4328" s="453"/>
      <c r="P4328" s="113"/>
      <c r="Q4328" s="106"/>
      <c r="R4328" s="107"/>
    </row>
    <row r="4329" hidden="1">
      <c r="A4329" s="443"/>
      <c r="B4329" s="43"/>
      <c r="C4329" s="51"/>
      <c r="D4329" s="102"/>
      <c r="E4329" s="102"/>
      <c r="H4329" s="102"/>
      <c r="J4329" s="102"/>
      <c r="K4329" s="450"/>
      <c r="L4329" s="443"/>
      <c r="M4329" s="450"/>
      <c r="N4329" s="452"/>
      <c r="O4329" s="453"/>
      <c r="P4329" s="113"/>
      <c r="Q4329" s="106"/>
      <c r="R4329" s="107"/>
    </row>
    <row r="4330" hidden="1">
      <c r="A4330" s="443"/>
      <c r="B4330" s="43"/>
      <c r="C4330" s="51"/>
      <c r="D4330" s="102"/>
      <c r="E4330" s="102"/>
      <c r="H4330" s="102"/>
      <c r="J4330" s="102"/>
      <c r="K4330" s="450"/>
      <c r="L4330" s="443"/>
      <c r="M4330" s="450"/>
      <c r="N4330" s="452"/>
      <c r="O4330" s="453"/>
      <c r="P4330" s="113"/>
      <c r="Q4330" s="106"/>
      <c r="R4330" s="107"/>
    </row>
    <row r="4331" hidden="1">
      <c r="A4331" s="443"/>
      <c r="B4331" s="43"/>
      <c r="C4331" s="51"/>
      <c r="D4331" s="102"/>
      <c r="E4331" s="102"/>
      <c r="H4331" s="102"/>
      <c r="J4331" s="102"/>
      <c r="K4331" s="450"/>
      <c r="L4331" s="443"/>
      <c r="M4331" s="450"/>
      <c r="N4331" s="452"/>
      <c r="O4331" s="453"/>
      <c r="P4331" s="113"/>
      <c r="Q4331" s="106"/>
      <c r="R4331" s="107"/>
    </row>
    <row r="4332" hidden="1">
      <c r="A4332" s="443"/>
      <c r="B4332" s="43"/>
      <c r="C4332" s="51"/>
      <c r="D4332" s="102"/>
      <c r="E4332" s="102"/>
      <c r="H4332" s="102"/>
      <c r="J4332" s="102"/>
      <c r="K4332" s="450"/>
      <c r="L4332" s="443"/>
      <c r="M4332" s="450"/>
      <c r="N4332" s="452"/>
      <c r="O4332" s="453"/>
      <c r="P4332" s="113"/>
      <c r="Q4332" s="106"/>
      <c r="R4332" s="107"/>
    </row>
    <row r="4333" hidden="1">
      <c r="A4333" s="443"/>
      <c r="B4333" s="43"/>
      <c r="C4333" s="51"/>
      <c r="D4333" s="102"/>
      <c r="E4333" s="102"/>
      <c r="H4333" s="102"/>
      <c r="J4333" s="102"/>
      <c r="K4333" s="450"/>
      <c r="L4333" s="443"/>
      <c r="M4333" s="450"/>
      <c r="N4333" s="452"/>
      <c r="O4333" s="453"/>
      <c r="P4333" s="113"/>
      <c r="Q4333" s="106"/>
      <c r="R4333" s="107"/>
    </row>
    <row r="4334" hidden="1">
      <c r="A4334" s="443"/>
      <c r="B4334" s="43"/>
      <c r="C4334" s="51"/>
      <c r="D4334" s="102"/>
      <c r="E4334" s="102"/>
      <c r="H4334" s="102"/>
      <c r="J4334" s="102"/>
      <c r="K4334" s="450"/>
      <c r="L4334" s="443"/>
      <c r="M4334" s="450"/>
      <c r="N4334" s="452"/>
      <c r="O4334" s="453"/>
      <c r="P4334" s="113"/>
      <c r="Q4334" s="106"/>
      <c r="R4334" s="107"/>
    </row>
    <row r="4335" hidden="1">
      <c r="A4335" s="443"/>
      <c r="B4335" s="43"/>
      <c r="C4335" s="51"/>
      <c r="D4335" s="102"/>
      <c r="E4335" s="102"/>
      <c r="H4335" s="102"/>
      <c r="J4335" s="102"/>
      <c r="K4335" s="450"/>
      <c r="L4335" s="443"/>
      <c r="M4335" s="450"/>
      <c r="N4335" s="452"/>
      <c r="O4335" s="453"/>
      <c r="P4335" s="113"/>
      <c r="Q4335" s="106"/>
      <c r="R4335" s="107"/>
    </row>
    <row r="4336" hidden="1">
      <c r="A4336" s="443"/>
      <c r="B4336" s="43"/>
      <c r="C4336" s="51"/>
      <c r="D4336" s="102"/>
      <c r="E4336" s="102"/>
      <c r="H4336" s="102"/>
      <c r="J4336" s="102"/>
      <c r="K4336" s="450"/>
      <c r="L4336" s="443"/>
      <c r="M4336" s="450"/>
      <c r="N4336" s="452"/>
      <c r="O4336" s="453"/>
      <c r="P4336" s="113"/>
      <c r="Q4336" s="106"/>
      <c r="R4336" s="107"/>
    </row>
    <row r="4337" hidden="1">
      <c r="A4337" s="443"/>
      <c r="B4337" s="43"/>
      <c r="C4337" s="51"/>
      <c r="D4337" s="102"/>
      <c r="E4337" s="102"/>
      <c r="H4337" s="102"/>
      <c r="J4337" s="102"/>
      <c r="K4337" s="450"/>
      <c r="L4337" s="443"/>
      <c r="M4337" s="450"/>
      <c r="N4337" s="452"/>
      <c r="O4337" s="453"/>
      <c r="P4337" s="113"/>
      <c r="Q4337" s="106"/>
      <c r="R4337" s="107"/>
    </row>
    <row r="4338" hidden="1">
      <c r="A4338" s="443"/>
      <c r="B4338" s="43"/>
      <c r="C4338" s="51"/>
      <c r="D4338" s="102"/>
      <c r="E4338" s="102"/>
      <c r="H4338" s="102"/>
      <c r="J4338" s="102"/>
      <c r="K4338" s="450"/>
      <c r="L4338" s="443"/>
      <c r="M4338" s="450"/>
      <c r="N4338" s="452"/>
      <c r="O4338" s="453"/>
      <c r="P4338" s="113"/>
      <c r="Q4338" s="106"/>
      <c r="R4338" s="107"/>
    </row>
    <row r="4339" hidden="1">
      <c r="A4339" s="443"/>
      <c r="B4339" s="43"/>
      <c r="C4339" s="51"/>
      <c r="D4339" s="102"/>
      <c r="E4339" s="102"/>
      <c r="H4339" s="102"/>
      <c r="J4339" s="102"/>
      <c r="K4339" s="450"/>
      <c r="L4339" s="443"/>
      <c r="M4339" s="450"/>
      <c r="N4339" s="452"/>
      <c r="O4339" s="453"/>
      <c r="P4339" s="113"/>
      <c r="Q4339" s="106"/>
      <c r="R4339" s="107"/>
    </row>
    <row r="4340" hidden="1">
      <c r="A4340" s="443"/>
      <c r="B4340" s="43"/>
      <c r="C4340" s="51"/>
      <c r="D4340" s="102"/>
      <c r="E4340" s="102"/>
      <c r="H4340" s="102"/>
      <c r="J4340" s="102"/>
      <c r="K4340" s="450"/>
      <c r="L4340" s="443"/>
      <c r="M4340" s="450"/>
      <c r="N4340" s="452"/>
      <c r="O4340" s="453"/>
      <c r="P4340" s="113"/>
      <c r="Q4340" s="106"/>
      <c r="R4340" s="107"/>
    </row>
    <row r="4341" hidden="1">
      <c r="A4341" s="443"/>
      <c r="B4341" s="43"/>
      <c r="C4341" s="51"/>
      <c r="D4341" s="102"/>
      <c r="E4341" s="102"/>
      <c r="H4341" s="102"/>
      <c r="J4341" s="102"/>
      <c r="K4341" s="450"/>
      <c r="L4341" s="443"/>
      <c r="M4341" s="450"/>
      <c r="N4341" s="452"/>
      <c r="O4341" s="453"/>
      <c r="P4341" s="113"/>
      <c r="Q4341" s="106"/>
      <c r="R4341" s="107"/>
    </row>
    <row r="4342" hidden="1">
      <c r="A4342" s="443"/>
      <c r="B4342" s="43"/>
      <c r="C4342" s="51"/>
      <c r="D4342" s="102"/>
      <c r="E4342" s="102"/>
      <c r="H4342" s="102"/>
      <c r="J4342" s="102"/>
      <c r="K4342" s="450"/>
      <c r="L4342" s="443"/>
      <c r="M4342" s="450"/>
      <c r="N4342" s="452"/>
      <c r="O4342" s="453"/>
      <c r="P4342" s="113"/>
      <c r="Q4342" s="106"/>
      <c r="R4342" s="107"/>
    </row>
    <row r="4343" hidden="1">
      <c r="A4343" s="443"/>
      <c r="B4343" s="43"/>
      <c r="C4343" s="51"/>
      <c r="D4343" s="102"/>
      <c r="E4343" s="102"/>
      <c r="H4343" s="102"/>
      <c r="J4343" s="102"/>
      <c r="K4343" s="450"/>
      <c r="L4343" s="443"/>
      <c r="M4343" s="450"/>
      <c r="N4343" s="452"/>
      <c r="O4343" s="453"/>
      <c r="P4343" s="113"/>
      <c r="Q4343" s="106"/>
      <c r="R4343" s="107"/>
    </row>
    <row r="4344" hidden="1">
      <c r="A4344" s="443"/>
      <c r="B4344" s="43"/>
      <c r="C4344" s="51"/>
      <c r="D4344" s="102"/>
      <c r="E4344" s="102"/>
      <c r="H4344" s="102"/>
      <c r="J4344" s="102"/>
      <c r="K4344" s="450"/>
      <c r="L4344" s="443"/>
      <c r="M4344" s="450"/>
      <c r="N4344" s="452"/>
      <c r="O4344" s="453"/>
      <c r="P4344" s="113"/>
      <c r="Q4344" s="106"/>
      <c r="R4344" s="107"/>
    </row>
    <row r="4345" hidden="1">
      <c r="A4345" s="443"/>
      <c r="B4345" s="43"/>
      <c r="C4345" s="51"/>
      <c r="D4345" s="102"/>
      <c r="E4345" s="102"/>
      <c r="H4345" s="102"/>
      <c r="J4345" s="102"/>
      <c r="K4345" s="450"/>
      <c r="L4345" s="443"/>
      <c r="M4345" s="450"/>
      <c r="N4345" s="452"/>
      <c r="O4345" s="453"/>
      <c r="P4345" s="113"/>
      <c r="Q4345" s="106"/>
      <c r="R4345" s="107"/>
    </row>
    <row r="4346" hidden="1">
      <c r="A4346" s="443"/>
      <c r="B4346" s="43"/>
      <c r="C4346" s="51"/>
      <c r="D4346" s="102"/>
      <c r="E4346" s="102"/>
      <c r="H4346" s="102"/>
      <c r="J4346" s="102"/>
      <c r="K4346" s="450"/>
      <c r="L4346" s="443"/>
      <c r="M4346" s="450"/>
      <c r="N4346" s="452"/>
      <c r="O4346" s="453"/>
      <c r="P4346" s="113"/>
      <c r="Q4346" s="106"/>
      <c r="R4346" s="107"/>
    </row>
    <row r="4347" hidden="1">
      <c r="A4347" s="443"/>
      <c r="B4347" s="43"/>
      <c r="C4347" s="51"/>
      <c r="D4347" s="102"/>
      <c r="E4347" s="102"/>
      <c r="H4347" s="102"/>
      <c r="J4347" s="102"/>
      <c r="K4347" s="450"/>
      <c r="L4347" s="443"/>
      <c r="M4347" s="450"/>
      <c r="N4347" s="452"/>
      <c r="O4347" s="453"/>
      <c r="P4347" s="113"/>
      <c r="Q4347" s="106"/>
      <c r="R4347" s="107"/>
    </row>
    <row r="4348" hidden="1">
      <c r="A4348" s="443"/>
      <c r="B4348" s="43"/>
      <c r="C4348" s="51"/>
      <c r="D4348" s="102"/>
      <c r="E4348" s="102"/>
      <c r="H4348" s="102"/>
      <c r="J4348" s="102"/>
      <c r="K4348" s="450"/>
      <c r="L4348" s="443"/>
      <c r="M4348" s="450"/>
      <c r="N4348" s="452"/>
      <c r="O4348" s="453"/>
      <c r="P4348" s="113"/>
      <c r="Q4348" s="106"/>
      <c r="R4348" s="107"/>
    </row>
    <row r="4349" hidden="1">
      <c r="A4349" s="443"/>
      <c r="B4349" s="43"/>
      <c r="C4349" s="51"/>
      <c r="D4349" s="102"/>
      <c r="E4349" s="102"/>
      <c r="H4349" s="102"/>
      <c r="J4349" s="102"/>
      <c r="K4349" s="450"/>
      <c r="L4349" s="443"/>
      <c r="M4349" s="450"/>
      <c r="N4349" s="452"/>
      <c r="O4349" s="453"/>
      <c r="P4349" s="113"/>
      <c r="Q4349" s="106"/>
      <c r="R4349" s="107"/>
    </row>
    <row r="4350" hidden="1">
      <c r="A4350" s="443"/>
      <c r="B4350" s="43"/>
      <c r="C4350" s="51"/>
      <c r="D4350" s="102"/>
      <c r="E4350" s="102"/>
      <c r="H4350" s="102"/>
      <c r="J4350" s="102"/>
      <c r="K4350" s="450"/>
      <c r="L4350" s="443"/>
      <c r="M4350" s="450"/>
      <c r="N4350" s="452"/>
      <c r="O4350" s="453"/>
      <c r="P4350" s="113"/>
      <c r="Q4350" s="106"/>
      <c r="R4350" s="107"/>
    </row>
    <row r="4351" hidden="1">
      <c r="A4351" s="443"/>
      <c r="B4351" s="43"/>
      <c r="C4351" s="51"/>
      <c r="D4351" s="102"/>
      <c r="E4351" s="102"/>
      <c r="H4351" s="102"/>
      <c r="J4351" s="102"/>
      <c r="K4351" s="450"/>
      <c r="L4351" s="443"/>
      <c r="M4351" s="450"/>
      <c r="N4351" s="452"/>
      <c r="O4351" s="453"/>
      <c r="P4351" s="113"/>
      <c r="Q4351" s="106"/>
      <c r="R4351" s="107"/>
    </row>
    <row r="4352" hidden="1">
      <c r="A4352" s="443"/>
      <c r="B4352" s="43"/>
      <c r="C4352" s="51"/>
      <c r="D4352" s="102"/>
      <c r="E4352" s="102"/>
      <c r="H4352" s="102"/>
      <c r="J4352" s="102"/>
      <c r="K4352" s="450"/>
      <c r="L4352" s="443"/>
      <c r="M4352" s="450"/>
      <c r="N4352" s="452"/>
      <c r="O4352" s="453"/>
      <c r="P4352" s="113"/>
      <c r="Q4352" s="106"/>
      <c r="R4352" s="107"/>
    </row>
    <row r="4353" hidden="1">
      <c r="A4353" s="443"/>
      <c r="B4353" s="43"/>
      <c r="C4353" s="51"/>
      <c r="D4353" s="102"/>
      <c r="E4353" s="102"/>
      <c r="H4353" s="102"/>
      <c r="J4353" s="102"/>
      <c r="K4353" s="450"/>
      <c r="L4353" s="443"/>
      <c r="M4353" s="450"/>
      <c r="N4353" s="452"/>
      <c r="O4353" s="453"/>
      <c r="P4353" s="113"/>
      <c r="Q4353" s="106"/>
      <c r="R4353" s="107"/>
    </row>
    <row r="4354" hidden="1">
      <c r="A4354" s="443"/>
      <c r="B4354" s="43"/>
      <c r="C4354" s="51"/>
      <c r="D4354" s="102"/>
      <c r="E4354" s="102"/>
      <c r="H4354" s="102"/>
      <c r="J4354" s="102"/>
      <c r="K4354" s="450"/>
      <c r="L4354" s="443"/>
      <c r="M4354" s="450"/>
      <c r="N4354" s="452"/>
      <c r="O4354" s="453"/>
      <c r="P4354" s="113"/>
      <c r="Q4354" s="106"/>
      <c r="R4354" s="107"/>
    </row>
    <row r="4355" hidden="1">
      <c r="A4355" s="443"/>
      <c r="B4355" s="43"/>
      <c r="C4355" s="51"/>
      <c r="D4355" s="102"/>
      <c r="E4355" s="102"/>
      <c r="H4355" s="102"/>
      <c r="J4355" s="102"/>
      <c r="K4355" s="450"/>
      <c r="L4355" s="443"/>
      <c r="M4355" s="450"/>
      <c r="N4355" s="452"/>
      <c r="O4355" s="453"/>
      <c r="P4355" s="113"/>
      <c r="Q4355" s="106"/>
      <c r="R4355" s="107"/>
    </row>
    <row r="4356" hidden="1">
      <c r="A4356" s="443"/>
      <c r="B4356" s="43"/>
      <c r="C4356" s="51"/>
      <c r="D4356" s="102"/>
      <c r="E4356" s="102"/>
      <c r="H4356" s="102"/>
      <c r="J4356" s="102"/>
      <c r="K4356" s="450"/>
      <c r="L4356" s="443"/>
      <c r="M4356" s="450"/>
      <c r="N4356" s="452"/>
      <c r="O4356" s="453"/>
      <c r="P4356" s="113"/>
      <c r="Q4356" s="106"/>
      <c r="R4356" s="107"/>
    </row>
    <row r="4357" hidden="1">
      <c r="A4357" s="443"/>
      <c r="B4357" s="43"/>
      <c r="C4357" s="51"/>
      <c r="D4357" s="102"/>
      <c r="E4357" s="102"/>
      <c r="H4357" s="102"/>
      <c r="J4357" s="102"/>
      <c r="K4357" s="450"/>
      <c r="L4357" s="443"/>
      <c r="M4357" s="450"/>
      <c r="N4357" s="452"/>
      <c r="O4357" s="453"/>
      <c r="P4357" s="113"/>
      <c r="Q4357" s="106"/>
      <c r="R4357" s="107"/>
    </row>
    <row r="4358" hidden="1">
      <c r="A4358" s="443"/>
      <c r="B4358" s="43"/>
      <c r="C4358" s="51"/>
      <c r="D4358" s="102"/>
      <c r="E4358" s="102"/>
      <c r="H4358" s="102"/>
      <c r="J4358" s="102"/>
      <c r="K4358" s="450"/>
      <c r="L4358" s="443"/>
      <c r="M4358" s="450"/>
      <c r="N4358" s="452"/>
      <c r="O4358" s="453"/>
      <c r="P4358" s="113"/>
      <c r="Q4358" s="106"/>
      <c r="R4358" s="107"/>
    </row>
    <row r="4359" hidden="1">
      <c r="A4359" s="443"/>
      <c r="B4359" s="43"/>
      <c r="C4359" s="51"/>
      <c r="D4359" s="102"/>
      <c r="E4359" s="102"/>
      <c r="H4359" s="102"/>
      <c r="J4359" s="102"/>
      <c r="K4359" s="450"/>
      <c r="L4359" s="443"/>
      <c r="M4359" s="450"/>
      <c r="N4359" s="452"/>
      <c r="O4359" s="453"/>
      <c r="P4359" s="113"/>
      <c r="Q4359" s="106"/>
      <c r="R4359" s="107"/>
    </row>
    <row r="4360" hidden="1">
      <c r="A4360" s="443"/>
      <c r="B4360" s="43"/>
      <c r="C4360" s="51"/>
      <c r="D4360" s="102"/>
      <c r="E4360" s="102"/>
      <c r="H4360" s="102"/>
      <c r="J4360" s="102"/>
      <c r="K4360" s="450"/>
      <c r="L4360" s="443"/>
      <c r="M4360" s="450"/>
      <c r="N4360" s="452"/>
      <c r="O4360" s="453"/>
      <c r="P4360" s="113"/>
      <c r="Q4360" s="106"/>
      <c r="R4360" s="107"/>
    </row>
    <row r="4361" hidden="1">
      <c r="A4361" s="443"/>
      <c r="B4361" s="43"/>
      <c r="C4361" s="51"/>
      <c r="D4361" s="102"/>
      <c r="E4361" s="102"/>
      <c r="H4361" s="102"/>
      <c r="J4361" s="102"/>
      <c r="K4361" s="450"/>
      <c r="L4361" s="443"/>
      <c r="M4361" s="450"/>
      <c r="N4361" s="452"/>
      <c r="O4361" s="453"/>
      <c r="P4361" s="113"/>
      <c r="Q4361" s="106"/>
      <c r="R4361" s="107"/>
    </row>
    <row r="4362" hidden="1">
      <c r="A4362" s="443"/>
      <c r="B4362" s="43"/>
      <c r="C4362" s="51"/>
      <c r="D4362" s="102"/>
      <c r="E4362" s="102"/>
      <c r="H4362" s="102"/>
      <c r="J4362" s="102"/>
      <c r="K4362" s="450"/>
      <c r="L4362" s="443"/>
      <c r="M4362" s="450"/>
      <c r="N4362" s="452"/>
      <c r="O4362" s="453"/>
      <c r="P4362" s="113"/>
      <c r="Q4362" s="106"/>
      <c r="R4362" s="107"/>
    </row>
    <row r="4363" hidden="1">
      <c r="A4363" s="443"/>
      <c r="B4363" s="43"/>
      <c r="C4363" s="51"/>
      <c r="D4363" s="102"/>
      <c r="E4363" s="102"/>
      <c r="H4363" s="102"/>
      <c r="J4363" s="102"/>
      <c r="K4363" s="450"/>
      <c r="L4363" s="443"/>
      <c r="M4363" s="450"/>
      <c r="N4363" s="452"/>
      <c r="O4363" s="453"/>
      <c r="P4363" s="113"/>
      <c r="Q4363" s="106"/>
      <c r="R4363" s="107"/>
    </row>
    <row r="4364" hidden="1">
      <c r="A4364" s="443"/>
      <c r="B4364" s="43"/>
      <c r="C4364" s="51"/>
      <c r="D4364" s="102"/>
      <c r="E4364" s="102"/>
      <c r="H4364" s="102"/>
      <c r="J4364" s="102"/>
      <c r="K4364" s="450"/>
      <c r="L4364" s="443"/>
      <c r="M4364" s="450"/>
      <c r="N4364" s="452"/>
      <c r="O4364" s="453"/>
      <c r="P4364" s="113"/>
      <c r="Q4364" s="106"/>
      <c r="R4364" s="107"/>
    </row>
    <row r="4365" hidden="1">
      <c r="A4365" s="443"/>
      <c r="B4365" s="43"/>
      <c r="C4365" s="51"/>
      <c r="D4365" s="102"/>
      <c r="E4365" s="102"/>
      <c r="H4365" s="102"/>
      <c r="J4365" s="102"/>
      <c r="K4365" s="450"/>
      <c r="L4365" s="443"/>
      <c r="M4365" s="450"/>
      <c r="N4365" s="452"/>
      <c r="O4365" s="453"/>
      <c r="P4365" s="113"/>
      <c r="Q4365" s="106"/>
      <c r="R4365" s="107"/>
    </row>
    <row r="4366" hidden="1">
      <c r="A4366" s="443"/>
      <c r="B4366" s="43"/>
      <c r="C4366" s="51"/>
      <c r="D4366" s="102"/>
      <c r="E4366" s="102"/>
      <c r="H4366" s="102"/>
      <c r="J4366" s="102"/>
      <c r="K4366" s="450"/>
      <c r="L4366" s="443"/>
      <c r="M4366" s="450"/>
      <c r="N4366" s="452"/>
      <c r="O4366" s="453"/>
      <c r="P4366" s="113"/>
      <c r="Q4366" s="106"/>
      <c r="R4366" s="107"/>
    </row>
    <row r="4367" hidden="1">
      <c r="A4367" s="443"/>
      <c r="B4367" s="43"/>
      <c r="C4367" s="51"/>
      <c r="D4367" s="102"/>
      <c r="E4367" s="102"/>
      <c r="H4367" s="102"/>
      <c r="J4367" s="102"/>
      <c r="K4367" s="450"/>
      <c r="L4367" s="443"/>
      <c r="M4367" s="450"/>
      <c r="N4367" s="452"/>
      <c r="O4367" s="453"/>
      <c r="P4367" s="113"/>
      <c r="Q4367" s="106"/>
      <c r="R4367" s="107"/>
    </row>
    <row r="4368" hidden="1">
      <c r="A4368" s="443"/>
      <c r="B4368" s="43"/>
      <c r="C4368" s="51"/>
      <c r="D4368" s="102"/>
      <c r="E4368" s="102"/>
      <c r="H4368" s="102"/>
      <c r="J4368" s="102"/>
      <c r="K4368" s="450"/>
      <c r="L4368" s="443"/>
      <c r="M4368" s="450"/>
      <c r="N4368" s="452"/>
      <c r="O4368" s="453"/>
      <c r="P4368" s="113"/>
      <c r="Q4368" s="106"/>
      <c r="R4368" s="107"/>
    </row>
    <row r="4369" hidden="1">
      <c r="A4369" s="443"/>
      <c r="B4369" s="43"/>
      <c r="C4369" s="51"/>
      <c r="D4369" s="102"/>
      <c r="E4369" s="102"/>
      <c r="H4369" s="102"/>
      <c r="J4369" s="102"/>
      <c r="K4369" s="450"/>
      <c r="L4369" s="443"/>
      <c r="M4369" s="450"/>
      <c r="N4369" s="452"/>
      <c r="O4369" s="453"/>
      <c r="P4369" s="113"/>
      <c r="Q4369" s="106"/>
      <c r="R4369" s="107"/>
    </row>
    <row r="4370" hidden="1">
      <c r="A4370" s="443"/>
      <c r="B4370" s="43"/>
      <c r="C4370" s="51"/>
      <c r="D4370" s="102"/>
      <c r="E4370" s="102"/>
      <c r="H4370" s="102"/>
      <c r="J4370" s="102"/>
      <c r="K4370" s="450"/>
      <c r="L4370" s="443"/>
      <c r="M4370" s="450"/>
      <c r="N4370" s="452"/>
      <c r="O4370" s="453"/>
      <c r="P4370" s="113"/>
      <c r="Q4370" s="106"/>
      <c r="R4370" s="107"/>
    </row>
    <row r="4371" hidden="1">
      <c r="A4371" s="443"/>
      <c r="B4371" s="43"/>
      <c r="C4371" s="51"/>
      <c r="D4371" s="102"/>
      <c r="E4371" s="102"/>
      <c r="H4371" s="102"/>
      <c r="J4371" s="102"/>
      <c r="K4371" s="450"/>
      <c r="L4371" s="443"/>
      <c r="M4371" s="450"/>
      <c r="N4371" s="452"/>
      <c r="O4371" s="453"/>
      <c r="P4371" s="113"/>
      <c r="Q4371" s="106"/>
      <c r="R4371" s="107"/>
    </row>
    <row r="4372" hidden="1">
      <c r="A4372" s="443"/>
      <c r="B4372" s="43"/>
      <c r="C4372" s="51"/>
      <c r="D4372" s="102"/>
      <c r="E4372" s="102"/>
      <c r="H4372" s="102"/>
      <c r="J4372" s="102"/>
      <c r="K4372" s="450"/>
      <c r="L4372" s="443"/>
      <c r="M4372" s="450"/>
      <c r="N4372" s="452"/>
      <c r="O4372" s="453"/>
      <c r="P4372" s="113"/>
      <c r="Q4372" s="106"/>
      <c r="R4372" s="107"/>
    </row>
    <row r="4373" hidden="1">
      <c r="A4373" s="443"/>
      <c r="B4373" s="43"/>
      <c r="C4373" s="51"/>
      <c r="D4373" s="102"/>
      <c r="E4373" s="102"/>
      <c r="H4373" s="102"/>
      <c r="J4373" s="102"/>
      <c r="K4373" s="450"/>
      <c r="L4373" s="443"/>
      <c r="M4373" s="450"/>
      <c r="N4373" s="452"/>
      <c r="O4373" s="453"/>
      <c r="P4373" s="113"/>
      <c r="Q4373" s="106"/>
      <c r="R4373" s="107"/>
    </row>
    <row r="4374" hidden="1">
      <c r="A4374" s="443"/>
      <c r="B4374" s="43"/>
      <c r="C4374" s="51"/>
      <c r="D4374" s="102"/>
      <c r="E4374" s="102"/>
      <c r="H4374" s="102"/>
      <c r="J4374" s="102"/>
      <c r="K4374" s="450"/>
      <c r="L4374" s="443"/>
      <c r="M4374" s="450"/>
      <c r="N4374" s="452"/>
      <c r="O4374" s="453"/>
      <c r="P4374" s="113"/>
      <c r="Q4374" s="106"/>
      <c r="R4374" s="107"/>
    </row>
    <row r="4375" hidden="1">
      <c r="A4375" s="443"/>
      <c r="B4375" s="43"/>
      <c r="C4375" s="51"/>
      <c r="D4375" s="102"/>
      <c r="E4375" s="102"/>
      <c r="H4375" s="102"/>
      <c r="J4375" s="102"/>
      <c r="K4375" s="450"/>
      <c r="L4375" s="443"/>
      <c r="M4375" s="450"/>
      <c r="N4375" s="452"/>
      <c r="O4375" s="453"/>
      <c r="P4375" s="113"/>
      <c r="Q4375" s="106"/>
      <c r="R4375" s="107"/>
    </row>
    <row r="4376" hidden="1">
      <c r="A4376" s="443"/>
      <c r="B4376" s="43"/>
      <c r="C4376" s="51"/>
      <c r="D4376" s="102"/>
      <c r="E4376" s="102"/>
      <c r="H4376" s="102"/>
      <c r="J4376" s="102"/>
      <c r="K4376" s="450"/>
      <c r="L4376" s="443"/>
      <c r="M4376" s="450"/>
      <c r="N4376" s="452"/>
      <c r="O4376" s="453"/>
      <c r="P4376" s="113"/>
      <c r="Q4376" s="106"/>
      <c r="R4376" s="107"/>
    </row>
    <row r="4377" hidden="1">
      <c r="A4377" s="443"/>
      <c r="B4377" s="43"/>
      <c r="C4377" s="51"/>
      <c r="D4377" s="102"/>
      <c r="E4377" s="102"/>
      <c r="H4377" s="102"/>
      <c r="J4377" s="102"/>
      <c r="K4377" s="450"/>
      <c r="L4377" s="443"/>
      <c r="M4377" s="450"/>
      <c r="N4377" s="452"/>
      <c r="O4377" s="453"/>
      <c r="P4377" s="113"/>
      <c r="Q4377" s="106"/>
      <c r="R4377" s="107"/>
    </row>
    <row r="4378" hidden="1">
      <c r="A4378" s="443"/>
      <c r="B4378" s="43"/>
      <c r="C4378" s="51"/>
      <c r="D4378" s="102"/>
      <c r="E4378" s="102"/>
      <c r="H4378" s="102"/>
      <c r="J4378" s="102"/>
      <c r="K4378" s="450"/>
      <c r="L4378" s="443"/>
      <c r="M4378" s="450"/>
      <c r="N4378" s="452"/>
      <c r="O4378" s="453"/>
      <c r="P4378" s="113"/>
      <c r="Q4378" s="106"/>
      <c r="R4378" s="107"/>
    </row>
    <row r="4379" hidden="1">
      <c r="A4379" s="443"/>
      <c r="B4379" s="43"/>
      <c r="C4379" s="51"/>
      <c r="D4379" s="102"/>
      <c r="E4379" s="102"/>
      <c r="H4379" s="102"/>
      <c r="J4379" s="102"/>
      <c r="K4379" s="450"/>
      <c r="L4379" s="443"/>
      <c r="M4379" s="450"/>
      <c r="N4379" s="452"/>
      <c r="O4379" s="453"/>
      <c r="P4379" s="113"/>
      <c r="Q4379" s="106"/>
      <c r="R4379" s="107"/>
    </row>
    <row r="4380" hidden="1">
      <c r="A4380" s="443"/>
      <c r="B4380" s="43"/>
      <c r="C4380" s="51"/>
      <c r="D4380" s="102"/>
      <c r="E4380" s="102"/>
      <c r="H4380" s="102"/>
      <c r="J4380" s="102"/>
      <c r="K4380" s="450"/>
      <c r="L4380" s="443"/>
      <c r="M4380" s="450"/>
      <c r="N4380" s="452"/>
      <c r="O4380" s="453"/>
      <c r="P4380" s="113"/>
      <c r="Q4380" s="106"/>
      <c r="R4380" s="107"/>
    </row>
    <row r="4381" hidden="1">
      <c r="A4381" s="443"/>
      <c r="B4381" s="43"/>
      <c r="C4381" s="51"/>
      <c r="D4381" s="102"/>
      <c r="E4381" s="102"/>
      <c r="H4381" s="102"/>
      <c r="J4381" s="102"/>
      <c r="K4381" s="450"/>
      <c r="L4381" s="443"/>
      <c r="M4381" s="450"/>
      <c r="N4381" s="452"/>
      <c r="O4381" s="453"/>
      <c r="P4381" s="113"/>
      <c r="Q4381" s="106"/>
      <c r="R4381" s="107"/>
    </row>
    <row r="4382" hidden="1">
      <c r="A4382" s="443"/>
      <c r="B4382" s="43"/>
      <c r="C4382" s="51"/>
      <c r="D4382" s="102"/>
      <c r="E4382" s="102"/>
      <c r="H4382" s="102"/>
      <c r="J4382" s="102"/>
      <c r="K4382" s="450"/>
      <c r="L4382" s="443"/>
      <c r="M4382" s="450"/>
      <c r="N4382" s="452"/>
      <c r="O4382" s="453"/>
      <c r="P4382" s="113"/>
      <c r="Q4382" s="106"/>
      <c r="R4382" s="107"/>
    </row>
    <row r="4383" hidden="1">
      <c r="A4383" s="443"/>
      <c r="B4383" s="43"/>
      <c r="C4383" s="51"/>
      <c r="D4383" s="102"/>
      <c r="E4383" s="102"/>
      <c r="H4383" s="102"/>
      <c r="J4383" s="102"/>
      <c r="K4383" s="450"/>
      <c r="L4383" s="443"/>
      <c r="M4383" s="450"/>
      <c r="N4383" s="452"/>
      <c r="O4383" s="453"/>
      <c r="P4383" s="113"/>
      <c r="Q4383" s="106"/>
      <c r="R4383" s="107"/>
    </row>
    <row r="4384" hidden="1">
      <c r="A4384" s="443"/>
      <c r="B4384" s="43"/>
      <c r="C4384" s="51"/>
      <c r="D4384" s="102"/>
      <c r="E4384" s="102"/>
      <c r="H4384" s="102"/>
      <c r="J4384" s="102"/>
      <c r="K4384" s="450"/>
      <c r="L4384" s="443"/>
      <c r="M4384" s="450"/>
      <c r="N4384" s="452"/>
      <c r="O4384" s="453"/>
      <c r="P4384" s="113"/>
      <c r="Q4384" s="106"/>
      <c r="R4384" s="107"/>
    </row>
    <row r="4385" hidden="1">
      <c r="A4385" s="443"/>
      <c r="B4385" s="43"/>
      <c r="C4385" s="51"/>
      <c r="D4385" s="102"/>
      <c r="E4385" s="102"/>
      <c r="H4385" s="102"/>
      <c r="J4385" s="102"/>
      <c r="K4385" s="450"/>
      <c r="L4385" s="443"/>
      <c r="M4385" s="450"/>
      <c r="N4385" s="452"/>
      <c r="O4385" s="453"/>
      <c r="P4385" s="113"/>
      <c r="Q4385" s="106"/>
      <c r="R4385" s="107"/>
    </row>
    <row r="4386" hidden="1">
      <c r="A4386" s="443"/>
      <c r="B4386" s="43"/>
      <c r="C4386" s="51"/>
      <c r="D4386" s="102"/>
      <c r="E4386" s="102"/>
      <c r="H4386" s="102"/>
      <c r="J4386" s="102"/>
      <c r="K4386" s="450"/>
      <c r="L4386" s="443"/>
      <c r="M4386" s="450"/>
      <c r="N4386" s="452"/>
      <c r="O4386" s="453"/>
      <c r="P4386" s="113"/>
      <c r="Q4386" s="106"/>
      <c r="R4386" s="107"/>
    </row>
    <row r="4387" hidden="1">
      <c r="A4387" s="443"/>
      <c r="B4387" s="43"/>
      <c r="C4387" s="51"/>
      <c r="D4387" s="102"/>
      <c r="E4387" s="102"/>
      <c r="H4387" s="102"/>
      <c r="J4387" s="102"/>
      <c r="K4387" s="450"/>
      <c r="L4387" s="443"/>
      <c r="M4387" s="450"/>
      <c r="N4387" s="452"/>
      <c r="O4387" s="453"/>
      <c r="P4387" s="113"/>
      <c r="Q4387" s="106"/>
      <c r="R4387" s="107"/>
    </row>
    <row r="4388" hidden="1">
      <c r="A4388" s="443"/>
      <c r="B4388" s="43"/>
      <c r="C4388" s="51"/>
      <c r="D4388" s="102"/>
      <c r="E4388" s="102"/>
      <c r="H4388" s="102"/>
      <c r="J4388" s="102"/>
      <c r="K4388" s="450"/>
      <c r="L4388" s="443"/>
      <c r="M4388" s="450"/>
      <c r="N4388" s="452"/>
      <c r="O4388" s="453"/>
      <c r="P4388" s="113"/>
      <c r="Q4388" s="106"/>
      <c r="R4388" s="107"/>
    </row>
    <row r="4389" hidden="1">
      <c r="A4389" s="443"/>
      <c r="B4389" s="43"/>
      <c r="C4389" s="51"/>
      <c r="D4389" s="102"/>
      <c r="E4389" s="102"/>
      <c r="H4389" s="102"/>
      <c r="J4389" s="102"/>
      <c r="K4389" s="450"/>
      <c r="L4389" s="443"/>
      <c r="M4389" s="450"/>
      <c r="N4389" s="452"/>
      <c r="O4389" s="453"/>
      <c r="P4389" s="113"/>
      <c r="Q4389" s="106"/>
      <c r="R4389" s="107"/>
    </row>
    <row r="4390" hidden="1">
      <c r="A4390" s="443"/>
      <c r="B4390" s="43"/>
      <c r="C4390" s="51"/>
      <c r="D4390" s="102"/>
      <c r="E4390" s="102"/>
      <c r="H4390" s="102"/>
      <c r="J4390" s="102"/>
      <c r="K4390" s="450"/>
      <c r="L4390" s="443"/>
      <c r="M4390" s="450"/>
      <c r="N4390" s="452"/>
      <c r="O4390" s="453"/>
      <c r="P4390" s="113"/>
      <c r="Q4390" s="106"/>
      <c r="R4390" s="107"/>
    </row>
    <row r="4391" hidden="1">
      <c r="A4391" s="443"/>
      <c r="B4391" s="43"/>
      <c r="C4391" s="51"/>
      <c r="D4391" s="102"/>
      <c r="E4391" s="102"/>
      <c r="H4391" s="102"/>
      <c r="J4391" s="102"/>
      <c r="K4391" s="450"/>
      <c r="L4391" s="443"/>
      <c r="M4391" s="450"/>
      <c r="N4391" s="452"/>
      <c r="O4391" s="453"/>
      <c r="P4391" s="113"/>
      <c r="Q4391" s="106"/>
      <c r="R4391" s="107"/>
    </row>
    <row r="4392" hidden="1">
      <c r="A4392" s="443"/>
      <c r="B4392" s="43"/>
      <c r="C4392" s="51"/>
      <c r="D4392" s="102"/>
      <c r="E4392" s="102"/>
      <c r="H4392" s="102"/>
      <c r="J4392" s="102"/>
      <c r="K4392" s="450"/>
      <c r="L4392" s="443"/>
      <c r="M4392" s="450"/>
      <c r="N4392" s="452"/>
      <c r="O4392" s="453"/>
      <c r="P4392" s="113"/>
      <c r="Q4392" s="106"/>
      <c r="R4392" s="107"/>
    </row>
    <row r="4393" hidden="1">
      <c r="A4393" s="443"/>
      <c r="B4393" s="43"/>
      <c r="C4393" s="51"/>
      <c r="D4393" s="102"/>
      <c r="E4393" s="102"/>
      <c r="H4393" s="102"/>
      <c r="J4393" s="102"/>
      <c r="K4393" s="450"/>
      <c r="L4393" s="443"/>
      <c r="M4393" s="450"/>
      <c r="N4393" s="452"/>
      <c r="O4393" s="453"/>
      <c r="P4393" s="113"/>
      <c r="Q4393" s="106"/>
      <c r="R4393" s="107"/>
    </row>
    <row r="4394" hidden="1">
      <c r="A4394" s="443"/>
      <c r="B4394" s="43"/>
      <c r="C4394" s="51"/>
      <c r="D4394" s="102"/>
      <c r="E4394" s="102"/>
      <c r="H4394" s="102"/>
      <c r="J4394" s="102"/>
      <c r="K4394" s="450"/>
      <c r="L4394" s="443"/>
      <c r="M4394" s="450"/>
      <c r="N4394" s="452"/>
      <c r="O4394" s="453"/>
      <c r="P4394" s="113"/>
      <c r="Q4394" s="106"/>
      <c r="R4394" s="107"/>
    </row>
    <row r="4395" hidden="1">
      <c r="A4395" s="443"/>
      <c r="B4395" s="43"/>
      <c r="C4395" s="51"/>
      <c r="D4395" s="102"/>
      <c r="E4395" s="102"/>
      <c r="H4395" s="102"/>
      <c r="J4395" s="102"/>
      <c r="K4395" s="450"/>
      <c r="L4395" s="443"/>
      <c r="M4395" s="450"/>
      <c r="N4395" s="452"/>
      <c r="O4395" s="453"/>
      <c r="P4395" s="113"/>
      <c r="Q4395" s="106"/>
      <c r="R4395" s="107"/>
    </row>
    <row r="4396" hidden="1">
      <c r="A4396" s="443"/>
      <c r="B4396" s="43"/>
      <c r="C4396" s="51"/>
      <c r="D4396" s="102"/>
      <c r="E4396" s="102"/>
      <c r="H4396" s="102"/>
      <c r="J4396" s="102"/>
      <c r="K4396" s="450"/>
      <c r="L4396" s="443"/>
      <c r="M4396" s="450"/>
      <c r="N4396" s="452"/>
      <c r="O4396" s="453"/>
      <c r="P4396" s="113"/>
      <c r="Q4396" s="106"/>
      <c r="R4396" s="107"/>
    </row>
    <row r="4397" hidden="1">
      <c r="A4397" s="443"/>
      <c r="B4397" s="43"/>
      <c r="C4397" s="51"/>
      <c r="D4397" s="102"/>
      <c r="E4397" s="102"/>
      <c r="H4397" s="102"/>
      <c r="J4397" s="102"/>
      <c r="K4397" s="450"/>
      <c r="L4397" s="443"/>
      <c r="M4397" s="450"/>
      <c r="N4397" s="452"/>
      <c r="O4397" s="453"/>
      <c r="P4397" s="113"/>
      <c r="Q4397" s="106"/>
      <c r="R4397" s="107"/>
    </row>
    <row r="4398" hidden="1">
      <c r="A4398" s="443"/>
      <c r="B4398" s="43"/>
      <c r="C4398" s="51"/>
      <c r="D4398" s="102"/>
      <c r="E4398" s="102"/>
      <c r="H4398" s="102"/>
      <c r="J4398" s="102"/>
      <c r="K4398" s="450"/>
      <c r="L4398" s="443"/>
      <c r="M4398" s="450"/>
      <c r="N4398" s="452"/>
      <c r="O4398" s="453"/>
      <c r="P4398" s="113"/>
      <c r="Q4398" s="106"/>
      <c r="R4398" s="107"/>
    </row>
    <row r="4399" hidden="1">
      <c r="A4399" s="443"/>
      <c r="B4399" s="43"/>
      <c r="C4399" s="51"/>
      <c r="D4399" s="102"/>
      <c r="E4399" s="102"/>
      <c r="H4399" s="102"/>
      <c r="J4399" s="102"/>
      <c r="K4399" s="450"/>
      <c r="L4399" s="443"/>
      <c r="M4399" s="450"/>
      <c r="N4399" s="452"/>
      <c r="O4399" s="453"/>
      <c r="P4399" s="113"/>
      <c r="Q4399" s="106"/>
      <c r="R4399" s="107"/>
    </row>
    <row r="4400" hidden="1">
      <c r="A4400" s="443"/>
      <c r="B4400" s="43"/>
      <c r="C4400" s="51"/>
      <c r="D4400" s="102"/>
      <c r="E4400" s="102"/>
      <c r="H4400" s="102"/>
      <c r="J4400" s="102"/>
      <c r="K4400" s="450"/>
      <c r="L4400" s="443"/>
      <c r="M4400" s="450"/>
      <c r="N4400" s="452"/>
      <c r="O4400" s="453"/>
      <c r="P4400" s="113"/>
      <c r="Q4400" s="106"/>
      <c r="R4400" s="107"/>
    </row>
    <row r="4401" hidden="1">
      <c r="A4401" s="443"/>
      <c r="B4401" s="43"/>
      <c r="C4401" s="51"/>
      <c r="D4401" s="102"/>
      <c r="E4401" s="102"/>
      <c r="H4401" s="102"/>
      <c r="J4401" s="102"/>
      <c r="K4401" s="450"/>
      <c r="L4401" s="443"/>
      <c r="M4401" s="450"/>
      <c r="N4401" s="452"/>
      <c r="O4401" s="453"/>
      <c r="P4401" s="113"/>
      <c r="Q4401" s="106"/>
      <c r="R4401" s="107"/>
    </row>
    <row r="4402" hidden="1">
      <c r="A4402" s="443"/>
      <c r="B4402" s="43"/>
      <c r="C4402" s="51"/>
      <c r="D4402" s="102"/>
      <c r="E4402" s="102"/>
      <c r="H4402" s="102"/>
      <c r="J4402" s="102"/>
      <c r="K4402" s="450"/>
      <c r="L4402" s="443"/>
      <c r="M4402" s="450"/>
      <c r="N4402" s="452"/>
      <c r="O4402" s="453"/>
      <c r="P4402" s="113"/>
      <c r="Q4402" s="106"/>
      <c r="R4402" s="107"/>
    </row>
    <row r="4403" hidden="1">
      <c r="A4403" s="443"/>
      <c r="B4403" s="43"/>
      <c r="C4403" s="51"/>
      <c r="D4403" s="102"/>
      <c r="E4403" s="102"/>
      <c r="H4403" s="102"/>
      <c r="J4403" s="102"/>
      <c r="K4403" s="450"/>
      <c r="L4403" s="443"/>
      <c r="M4403" s="450"/>
      <c r="N4403" s="452"/>
      <c r="O4403" s="453"/>
      <c r="P4403" s="113"/>
      <c r="Q4403" s="106"/>
      <c r="R4403" s="107"/>
    </row>
    <row r="4404" hidden="1">
      <c r="A4404" s="443"/>
      <c r="B4404" s="43"/>
      <c r="C4404" s="51"/>
      <c r="D4404" s="102"/>
      <c r="E4404" s="102"/>
      <c r="H4404" s="102"/>
      <c r="J4404" s="102"/>
      <c r="K4404" s="450"/>
      <c r="L4404" s="443"/>
      <c r="M4404" s="450"/>
      <c r="N4404" s="452"/>
      <c r="O4404" s="453"/>
      <c r="P4404" s="113"/>
      <c r="Q4404" s="106"/>
      <c r="R4404" s="107"/>
    </row>
    <row r="4405" hidden="1">
      <c r="A4405" s="443"/>
      <c r="B4405" s="43"/>
      <c r="C4405" s="51"/>
      <c r="D4405" s="102"/>
      <c r="E4405" s="102"/>
      <c r="H4405" s="102"/>
      <c r="J4405" s="102"/>
      <c r="K4405" s="450"/>
      <c r="L4405" s="443"/>
      <c r="M4405" s="450"/>
      <c r="N4405" s="452"/>
      <c r="O4405" s="453"/>
      <c r="P4405" s="113"/>
      <c r="Q4405" s="106"/>
      <c r="R4405" s="107"/>
    </row>
    <row r="4406" hidden="1">
      <c r="A4406" s="443"/>
      <c r="B4406" s="43"/>
      <c r="C4406" s="51"/>
      <c r="D4406" s="102"/>
      <c r="E4406" s="102"/>
      <c r="H4406" s="102"/>
      <c r="J4406" s="102"/>
      <c r="K4406" s="450"/>
      <c r="L4406" s="443"/>
      <c r="M4406" s="450"/>
      <c r="N4406" s="452"/>
      <c r="O4406" s="453"/>
      <c r="P4406" s="113"/>
      <c r="Q4406" s="106"/>
      <c r="R4406" s="107"/>
    </row>
    <row r="4407" hidden="1">
      <c r="A4407" s="443"/>
      <c r="B4407" s="43"/>
      <c r="C4407" s="51"/>
      <c r="D4407" s="102"/>
      <c r="E4407" s="102"/>
      <c r="H4407" s="102"/>
      <c r="J4407" s="102"/>
      <c r="K4407" s="450"/>
      <c r="L4407" s="443"/>
      <c r="M4407" s="450"/>
      <c r="N4407" s="452"/>
      <c r="O4407" s="453"/>
      <c r="P4407" s="113"/>
      <c r="Q4407" s="106"/>
      <c r="R4407" s="107"/>
    </row>
    <row r="4408" hidden="1">
      <c r="A4408" s="443"/>
      <c r="B4408" s="43"/>
      <c r="C4408" s="51"/>
      <c r="D4408" s="102"/>
      <c r="E4408" s="102"/>
      <c r="H4408" s="102"/>
      <c r="J4408" s="102"/>
      <c r="K4408" s="450"/>
      <c r="L4408" s="443"/>
      <c r="M4408" s="450"/>
      <c r="N4408" s="452"/>
      <c r="O4408" s="453"/>
      <c r="P4408" s="113"/>
      <c r="Q4408" s="106"/>
      <c r="R4408" s="107"/>
    </row>
    <row r="4409" hidden="1">
      <c r="A4409" s="443"/>
      <c r="B4409" s="43"/>
      <c r="C4409" s="51"/>
      <c r="D4409" s="102"/>
      <c r="E4409" s="102"/>
      <c r="H4409" s="102"/>
      <c r="J4409" s="102"/>
      <c r="K4409" s="450"/>
      <c r="L4409" s="443"/>
      <c r="M4409" s="450"/>
      <c r="N4409" s="452"/>
      <c r="O4409" s="453"/>
      <c r="P4409" s="113"/>
      <c r="Q4409" s="106"/>
      <c r="R4409" s="107"/>
    </row>
    <row r="4410" hidden="1">
      <c r="A4410" s="443"/>
      <c r="B4410" s="43"/>
      <c r="C4410" s="51"/>
      <c r="D4410" s="102"/>
      <c r="E4410" s="102"/>
      <c r="H4410" s="102"/>
      <c r="J4410" s="102"/>
      <c r="K4410" s="450"/>
      <c r="L4410" s="443"/>
      <c r="M4410" s="450"/>
      <c r="N4410" s="452"/>
      <c r="O4410" s="453"/>
      <c r="P4410" s="113"/>
      <c r="Q4410" s="106"/>
      <c r="R4410" s="107"/>
    </row>
    <row r="4411" hidden="1">
      <c r="A4411" s="443"/>
      <c r="B4411" s="43"/>
      <c r="C4411" s="51"/>
      <c r="D4411" s="102"/>
      <c r="E4411" s="102"/>
      <c r="H4411" s="102"/>
      <c r="J4411" s="102"/>
      <c r="K4411" s="450"/>
      <c r="L4411" s="443"/>
      <c r="M4411" s="450"/>
      <c r="N4411" s="452"/>
      <c r="O4411" s="453"/>
      <c r="P4411" s="113"/>
      <c r="Q4411" s="106"/>
      <c r="R4411" s="107"/>
    </row>
    <row r="4412" hidden="1">
      <c r="A4412" s="443"/>
      <c r="B4412" s="43"/>
      <c r="C4412" s="51"/>
      <c r="D4412" s="102"/>
      <c r="E4412" s="102"/>
      <c r="H4412" s="102"/>
      <c r="J4412" s="102"/>
      <c r="K4412" s="450"/>
      <c r="L4412" s="443"/>
      <c r="M4412" s="450"/>
      <c r="N4412" s="452"/>
      <c r="O4412" s="453"/>
      <c r="P4412" s="113"/>
      <c r="Q4412" s="106"/>
      <c r="R4412" s="107"/>
    </row>
    <row r="4413" hidden="1">
      <c r="A4413" s="443"/>
      <c r="B4413" s="43"/>
      <c r="C4413" s="51"/>
      <c r="D4413" s="102"/>
      <c r="E4413" s="102"/>
      <c r="H4413" s="102"/>
      <c r="J4413" s="102"/>
      <c r="K4413" s="450"/>
      <c r="L4413" s="443"/>
      <c r="M4413" s="450"/>
      <c r="N4413" s="452"/>
      <c r="O4413" s="453"/>
      <c r="P4413" s="113"/>
      <c r="Q4413" s="106"/>
      <c r="R4413" s="107"/>
    </row>
    <row r="4414" hidden="1">
      <c r="A4414" s="443"/>
      <c r="B4414" s="43"/>
      <c r="C4414" s="51"/>
      <c r="D4414" s="102"/>
      <c r="E4414" s="102"/>
      <c r="H4414" s="102"/>
      <c r="J4414" s="102"/>
      <c r="K4414" s="450"/>
      <c r="L4414" s="443"/>
      <c r="M4414" s="450"/>
      <c r="N4414" s="452"/>
      <c r="O4414" s="453"/>
      <c r="P4414" s="113"/>
      <c r="Q4414" s="106"/>
      <c r="R4414" s="107"/>
    </row>
    <row r="4415" hidden="1">
      <c r="A4415" s="443"/>
      <c r="B4415" s="43"/>
      <c r="C4415" s="51"/>
      <c r="D4415" s="102"/>
      <c r="E4415" s="102"/>
      <c r="H4415" s="102"/>
      <c r="J4415" s="102"/>
      <c r="K4415" s="450"/>
      <c r="L4415" s="443"/>
      <c r="M4415" s="450"/>
      <c r="N4415" s="452"/>
      <c r="O4415" s="453"/>
      <c r="P4415" s="113"/>
      <c r="Q4415" s="106"/>
      <c r="R4415" s="107"/>
    </row>
    <row r="4416" hidden="1">
      <c r="A4416" s="443"/>
      <c r="B4416" s="43"/>
      <c r="C4416" s="51"/>
      <c r="D4416" s="102"/>
      <c r="E4416" s="102"/>
      <c r="H4416" s="102"/>
      <c r="J4416" s="102"/>
      <c r="K4416" s="450"/>
      <c r="L4416" s="443"/>
      <c r="M4416" s="450"/>
      <c r="N4416" s="452"/>
      <c r="O4416" s="453"/>
      <c r="P4416" s="113"/>
      <c r="Q4416" s="106"/>
      <c r="R4416" s="107"/>
    </row>
    <row r="4417" hidden="1">
      <c r="A4417" s="443"/>
      <c r="B4417" s="43"/>
      <c r="C4417" s="51"/>
      <c r="D4417" s="102"/>
      <c r="E4417" s="102"/>
      <c r="H4417" s="102"/>
      <c r="J4417" s="102"/>
      <c r="K4417" s="450"/>
      <c r="L4417" s="443"/>
      <c r="M4417" s="450"/>
      <c r="N4417" s="452"/>
      <c r="O4417" s="453"/>
      <c r="P4417" s="113"/>
      <c r="Q4417" s="106"/>
      <c r="R4417" s="107"/>
    </row>
    <row r="4418" hidden="1">
      <c r="A4418" s="443"/>
      <c r="B4418" s="43"/>
      <c r="C4418" s="51"/>
      <c r="D4418" s="102"/>
      <c r="E4418" s="102"/>
      <c r="H4418" s="102"/>
      <c r="J4418" s="102"/>
      <c r="K4418" s="450"/>
      <c r="L4418" s="443"/>
      <c r="M4418" s="450"/>
      <c r="N4418" s="452"/>
      <c r="O4418" s="453"/>
      <c r="P4418" s="113"/>
      <c r="Q4418" s="106"/>
      <c r="R4418" s="107"/>
    </row>
    <row r="4419" hidden="1">
      <c r="A4419" s="443"/>
      <c r="B4419" s="43"/>
      <c r="C4419" s="51"/>
      <c r="D4419" s="102"/>
      <c r="E4419" s="102"/>
      <c r="H4419" s="102"/>
      <c r="J4419" s="102"/>
      <c r="K4419" s="450"/>
      <c r="L4419" s="443"/>
      <c r="M4419" s="450"/>
      <c r="N4419" s="452"/>
      <c r="O4419" s="453"/>
      <c r="P4419" s="113"/>
      <c r="Q4419" s="106"/>
      <c r="R4419" s="107"/>
    </row>
    <row r="4420" hidden="1">
      <c r="A4420" s="443"/>
      <c r="B4420" s="43"/>
      <c r="C4420" s="51"/>
      <c r="D4420" s="102"/>
      <c r="E4420" s="102"/>
      <c r="H4420" s="102"/>
      <c r="J4420" s="102"/>
      <c r="K4420" s="450"/>
      <c r="L4420" s="443"/>
      <c r="M4420" s="450"/>
      <c r="N4420" s="452"/>
      <c r="O4420" s="453"/>
      <c r="P4420" s="113"/>
      <c r="Q4420" s="106"/>
      <c r="R4420" s="107"/>
    </row>
    <row r="4421" hidden="1">
      <c r="A4421" s="443"/>
      <c r="B4421" s="43"/>
      <c r="C4421" s="51"/>
      <c r="D4421" s="102"/>
      <c r="E4421" s="102"/>
      <c r="H4421" s="102"/>
      <c r="J4421" s="102"/>
      <c r="K4421" s="450"/>
      <c r="L4421" s="443"/>
      <c r="M4421" s="450"/>
      <c r="N4421" s="452"/>
      <c r="O4421" s="453"/>
      <c r="P4421" s="113"/>
      <c r="Q4421" s="106"/>
      <c r="R4421" s="107"/>
    </row>
    <row r="4422" hidden="1">
      <c r="A4422" s="443"/>
      <c r="B4422" s="43"/>
      <c r="C4422" s="51"/>
      <c r="D4422" s="102"/>
      <c r="E4422" s="102"/>
      <c r="H4422" s="102"/>
      <c r="J4422" s="102"/>
      <c r="K4422" s="450"/>
      <c r="L4422" s="443"/>
      <c r="M4422" s="450"/>
      <c r="N4422" s="452"/>
      <c r="O4422" s="453"/>
      <c r="P4422" s="113"/>
      <c r="Q4422" s="106"/>
      <c r="R4422" s="107"/>
    </row>
    <row r="4423" hidden="1">
      <c r="A4423" s="443"/>
      <c r="B4423" s="43"/>
      <c r="C4423" s="51"/>
      <c r="D4423" s="102"/>
      <c r="E4423" s="102"/>
      <c r="H4423" s="102"/>
      <c r="J4423" s="102"/>
      <c r="K4423" s="450"/>
      <c r="L4423" s="443"/>
      <c r="M4423" s="450"/>
      <c r="N4423" s="452"/>
      <c r="O4423" s="453"/>
      <c r="P4423" s="113"/>
      <c r="Q4423" s="106"/>
      <c r="R4423" s="107"/>
    </row>
    <row r="4424" hidden="1">
      <c r="A4424" s="443"/>
      <c r="B4424" s="43"/>
      <c r="C4424" s="51"/>
      <c r="D4424" s="102"/>
      <c r="E4424" s="102"/>
      <c r="H4424" s="102"/>
      <c r="J4424" s="102"/>
      <c r="K4424" s="450"/>
      <c r="L4424" s="443"/>
      <c r="M4424" s="450"/>
      <c r="N4424" s="452"/>
      <c r="O4424" s="453"/>
      <c r="P4424" s="113"/>
      <c r="Q4424" s="106"/>
      <c r="R4424" s="107"/>
    </row>
    <row r="4425" hidden="1">
      <c r="A4425" s="443"/>
      <c r="B4425" s="43"/>
      <c r="C4425" s="51"/>
      <c r="D4425" s="102"/>
      <c r="E4425" s="102"/>
      <c r="H4425" s="102"/>
      <c r="J4425" s="102"/>
      <c r="K4425" s="450"/>
      <c r="L4425" s="443"/>
      <c r="M4425" s="450"/>
      <c r="N4425" s="452"/>
      <c r="O4425" s="453"/>
      <c r="P4425" s="113"/>
      <c r="Q4425" s="106"/>
      <c r="R4425" s="107"/>
    </row>
    <row r="4426" hidden="1">
      <c r="A4426" s="443"/>
      <c r="B4426" s="43"/>
      <c r="C4426" s="51"/>
      <c r="D4426" s="102"/>
      <c r="E4426" s="102"/>
      <c r="H4426" s="102"/>
      <c r="J4426" s="102"/>
      <c r="K4426" s="450"/>
      <c r="L4426" s="443"/>
      <c r="M4426" s="450"/>
      <c r="N4426" s="452"/>
      <c r="O4426" s="453"/>
      <c r="P4426" s="113"/>
      <c r="Q4426" s="106"/>
      <c r="R4426" s="107"/>
    </row>
    <row r="4427" hidden="1">
      <c r="A4427" s="443"/>
      <c r="B4427" s="43"/>
      <c r="C4427" s="51"/>
      <c r="D4427" s="102"/>
      <c r="E4427" s="102"/>
      <c r="H4427" s="102"/>
      <c r="J4427" s="102"/>
      <c r="K4427" s="450"/>
      <c r="L4427" s="443"/>
      <c r="M4427" s="450"/>
      <c r="N4427" s="452"/>
      <c r="O4427" s="453"/>
      <c r="P4427" s="113"/>
      <c r="Q4427" s="106"/>
      <c r="R4427" s="107"/>
    </row>
    <row r="4428" hidden="1">
      <c r="A4428" s="443"/>
      <c r="B4428" s="43"/>
      <c r="C4428" s="51"/>
      <c r="D4428" s="102"/>
      <c r="E4428" s="102"/>
      <c r="H4428" s="102"/>
      <c r="J4428" s="102"/>
      <c r="K4428" s="450"/>
      <c r="L4428" s="443"/>
      <c r="M4428" s="450"/>
      <c r="N4428" s="452"/>
      <c r="O4428" s="453"/>
      <c r="P4428" s="113"/>
      <c r="Q4428" s="106"/>
      <c r="R4428" s="107"/>
    </row>
    <row r="4429" hidden="1">
      <c r="A4429" s="443"/>
      <c r="B4429" s="43"/>
      <c r="C4429" s="51"/>
      <c r="D4429" s="102"/>
      <c r="E4429" s="102"/>
      <c r="H4429" s="102"/>
      <c r="J4429" s="102"/>
      <c r="K4429" s="450"/>
      <c r="L4429" s="443"/>
      <c r="M4429" s="450"/>
      <c r="N4429" s="452"/>
      <c r="O4429" s="453"/>
      <c r="P4429" s="113"/>
      <c r="Q4429" s="106"/>
      <c r="R4429" s="107"/>
    </row>
    <row r="4430" hidden="1">
      <c r="A4430" s="443"/>
      <c r="B4430" s="43"/>
      <c r="C4430" s="51"/>
      <c r="D4430" s="102"/>
      <c r="E4430" s="102"/>
      <c r="H4430" s="102"/>
      <c r="J4430" s="102"/>
      <c r="K4430" s="450"/>
      <c r="L4430" s="443"/>
      <c r="M4430" s="450"/>
      <c r="N4430" s="452"/>
      <c r="O4430" s="453"/>
      <c r="P4430" s="113"/>
      <c r="Q4430" s="106"/>
      <c r="R4430" s="107"/>
    </row>
    <row r="4431" hidden="1">
      <c r="A4431" s="443"/>
      <c r="B4431" s="43"/>
      <c r="C4431" s="51"/>
      <c r="D4431" s="102"/>
      <c r="E4431" s="102"/>
      <c r="H4431" s="102"/>
      <c r="J4431" s="102"/>
      <c r="K4431" s="450"/>
      <c r="L4431" s="443"/>
      <c r="M4431" s="450"/>
      <c r="N4431" s="452"/>
      <c r="O4431" s="453"/>
      <c r="P4431" s="113"/>
      <c r="Q4431" s="106"/>
      <c r="R4431" s="107"/>
    </row>
    <row r="4432" hidden="1">
      <c r="A4432" s="443"/>
      <c r="B4432" s="43"/>
      <c r="C4432" s="51"/>
      <c r="D4432" s="102"/>
      <c r="E4432" s="102"/>
      <c r="H4432" s="102"/>
      <c r="J4432" s="102"/>
      <c r="K4432" s="450"/>
      <c r="L4432" s="443"/>
      <c r="M4432" s="450"/>
      <c r="N4432" s="452"/>
      <c r="O4432" s="453"/>
      <c r="P4432" s="113"/>
      <c r="Q4432" s="106"/>
      <c r="R4432" s="107"/>
    </row>
    <row r="4433" hidden="1">
      <c r="A4433" s="443"/>
      <c r="B4433" s="43"/>
      <c r="C4433" s="51"/>
      <c r="D4433" s="102"/>
      <c r="E4433" s="102"/>
      <c r="H4433" s="102"/>
      <c r="J4433" s="102"/>
      <c r="K4433" s="450"/>
      <c r="L4433" s="443"/>
      <c r="M4433" s="450"/>
      <c r="N4433" s="452"/>
      <c r="O4433" s="453"/>
      <c r="P4433" s="113"/>
      <c r="Q4433" s="106"/>
      <c r="R4433" s="107"/>
    </row>
    <row r="4434" hidden="1">
      <c r="A4434" s="443"/>
      <c r="B4434" s="43"/>
      <c r="C4434" s="51"/>
      <c r="D4434" s="102"/>
      <c r="E4434" s="102"/>
      <c r="H4434" s="102"/>
      <c r="J4434" s="102"/>
      <c r="K4434" s="450"/>
      <c r="L4434" s="443"/>
      <c r="M4434" s="450"/>
      <c r="N4434" s="452"/>
      <c r="O4434" s="453"/>
      <c r="P4434" s="113"/>
      <c r="Q4434" s="106"/>
      <c r="R4434" s="107"/>
    </row>
    <row r="4435" hidden="1">
      <c r="A4435" s="443"/>
      <c r="B4435" s="43"/>
      <c r="C4435" s="51"/>
      <c r="D4435" s="102"/>
      <c r="E4435" s="102"/>
      <c r="H4435" s="102"/>
      <c r="J4435" s="102"/>
      <c r="K4435" s="450"/>
      <c r="L4435" s="443"/>
      <c r="M4435" s="450"/>
      <c r="N4435" s="452"/>
      <c r="O4435" s="453"/>
      <c r="P4435" s="113"/>
      <c r="Q4435" s="106"/>
      <c r="R4435" s="107"/>
    </row>
    <row r="4436" hidden="1">
      <c r="A4436" s="443"/>
      <c r="B4436" s="43"/>
      <c r="C4436" s="51"/>
      <c r="D4436" s="102"/>
      <c r="E4436" s="102"/>
      <c r="H4436" s="102"/>
      <c r="J4436" s="102"/>
      <c r="K4436" s="450"/>
      <c r="L4436" s="443"/>
      <c r="M4436" s="450"/>
      <c r="N4436" s="452"/>
      <c r="O4436" s="453"/>
      <c r="P4436" s="113"/>
      <c r="Q4436" s="106"/>
      <c r="R4436" s="107"/>
    </row>
    <row r="4437" hidden="1">
      <c r="A4437" s="443"/>
      <c r="B4437" s="43"/>
      <c r="C4437" s="51"/>
      <c r="D4437" s="102"/>
      <c r="E4437" s="102"/>
      <c r="H4437" s="102"/>
      <c r="J4437" s="102"/>
      <c r="K4437" s="450"/>
      <c r="L4437" s="443"/>
      <c r="M4437" s="450"/>
      <c r="N4437" s="452"/>
      <c r="O4437" s="453"/>
      <c r="P4437" s="113"/>
      <c r="Q4437" s="106"/>
      <c r="R4437" s="107"/>
    </row>
    <row r="4438" hidden="1">
      <c r="A4438" s="443"/>
      <c r="B4438" s="43"/>
      <c r="C4438" s="51"/>
      <c r="D4438" s="102"/>
      <c r="E4438" s="102"/>
      <c r="H4438" s="102"/>
      <c r="J4438" s="102"/>
      <c r="K4438" s="450"/>
      <c r="L4438" s="443"/>
      <c r="M4438" s="450"/>
      <c r="N4438" s="452"/>
      <c r="O4438" s="453"/>
      <c r="P4438" s="113"/>
      <c r="Q4438" s="106"/>
      <c r="R4438" s="107"/>
    </row>
    <row r="4439" hidden="1">
      <c r="A4439" s="443"/>
      <c r="B4439" s="43"/>
      <c r="C4439" s="51"/>
      <c r="D4439" s="102"/>
      <c r="E4439" s="102"/>
      <c r="H4439" s="102"/>
      <c r="J4439" s="102"/>
      <c r="K4439" s="450"/>
      <c r="L4439" s="443"/>
      <c r="M4439" s="450"/>
      <c r="N4439" s="452"/>
      <c r="O4439" s="453"/>
      <c r="P4439" s="113"/>
      <c r="Q4439" s="106"/>
      <c r="R4439" s="107"/>
    </row>
    <row r="4440" hidden="1">
      <c r="A4440" s="443"/>
      <c r="B4440" s="43"/>
      <c r="C4440" s="51"/>
      <c r="D4440" s="102"/>
      <c r="E4440" s="102"/>
      <c r="H4440" s="102"/>
      <c r="J4440" s="102"/>
      <c r="K4440" s="450"/>
      <c r="L4440" s="443"/>
      <c r="M4440" s="450"/>
      <c r="N4440" s="452"/>
      <c r="O4440" s="453"/>
      <c r="P4440" s="113"/>
      <c r="Q4440" s="106"/>
      <c r="R4440" s="107"/>
    </row>
    <row r="4441" hidden="1">
      <c r="A4441" s="443"/>
      <c r="B4441" s="43"/>
      <c r="C4441" s="51"/>
      <c r="D4441" s="102"/>
      <c r="E4441" s="102"/>
      <c r="H4441" s="102"/>
      <c r="J4441" s="102"/>
      <c r="K4441" s="450"/>
      <c r="L4441" s="443"/>
      <c r="M4441" s="450"/>
      <c r="N4441" s="452"/>
      <c r="O4441" s="453"/>
      <c r="P4441" s="113"/>
      <c r="Q4441" s="106"/>
      <c r="R4441" s="107"/>
    </row>
    <row r="4442" hidden="1">
      <c r="A4442" s="443"/>
      <c r="B4442" s="43"/>
      <c r="C4442" s="51"/>
      <c r="D4442" s="102"/>
      <c r="E4442" s="102"/>
      <c r="H4442" s="102"/>
      <c r="J4442" s="102"/>
      <c r="K4442" s="450"/>
      <c r="L4442" s="443"/>
      <c r="M4442" s="450"/>
      <c r="N4442" s="452"/>
      <c r="O4442" s="453"/>
      <c r="P4442" s="113"/>
      <c r="Q4442" s="106"/>
      <c r="R4442" s="107"/>
    </row>
    <row r="4443" hidden="1">
      <c r="A4443" s="443"/>
      <c r="B4443" s="43"/>
      <c r="C4443" s="51"/>
      <c r="D4443" s="102"/>
      <c r="E4443" s="102"/>
      <c r="H4443" s="102"/>
      <c r="J4443" s="102"/>
      <c r="K4443" s="450"/>
      <c r="L4443" s="443"/>
      <c r="M4443" s="450"/>
      <c r="N4443" s="452"/>
      <c r="O4443" s="453"/>
      <c r="P4443" s="113"/>
      <c r="Q4443" s="106"/>
      <c r="R4443" s="107"/>
    </row>
    <row r="4444" hidden="1">
      <c r="A4444" s="443"/>
      <c r="B4444" s="43"/>
      <c r="C4444" s="51"/>
      <c r="D4444" s="102"/>
      <c r="E4444" s="102"/>
      <c r="H4444" s="102"/>
      <c r="J4444" s="102"/>
      <c r="K4444" s="450"/>
      <c r="L4444" s="443"/>
      <c r="M4444" s="450"/>
      <c r="N4444" s="452"/>
      <c r="O4444" s="453"/>
      <c r="P4444" s="113"/>
      <c r="Q4444" s="106"/>
      <c r="R4444" s="107"/>
    </row>
    <row r="4445" hidden="1">
      <c r="A4445" s="443"/>
      <c r="B4445" s="43"/>
      <c r="C4445" s="51"/>
      <c r="D4445" s="102"/>
      <c r="E4445" s="102"/>
      <c r="H4445" s="102"/>
      <c r="J4445" s="102"/>
      <c r="K4445" s="450"/>
      <c r="L4445" s="443"/>
      <c r="M4445" s="450"/>
      <c r="N4445" s="452"/>
      <c r="O4445" s="453"/>
      <c r="P4445" s="113"/>
      <c r="Q4445" s="106"/>
      <c r="R4445" s="107"/>
    </row>
    <row r="4446" hidden="1">
      <c r="A4446" s="443"/>
      <c r="B4446" s="43"/>
      <c r="C4446" s="51"/>
      <c r="D4446" s="102"/>
      <c r="E4446" s="102"/>
      <c r="H4446" s="102"/>
      <c r="J4446" s="102"/>
      <c r="K4446" s="450"/>
      <c r="L4446" s="443"/>
      <c r="M4446" s="450"/>
      <c r="N4446" s="452"/>
      <c r="O4446" s="453"/>
      <c r="P4446" s="113"/>
      <c r="Q4446" s="106"/>
      <c r="R4446" s="107"/>
    </row>
    <row r="4447" hidden="1">
      <c r="A4447" s="443"/>
      <c r="B4447" s="43"/>
      <c r="C4447" s="51"/>
      <c r="D4447" s="102"/>
      <c r="E4447" s="102"/>
      <c r="H4447" s="102"/>
      <c r="J4447" s="102"/>
      <c r="K4447" s="450"/>
      <c r="L4447" s="443"/>
      <c r="M4447" s="450"/>
      <c r="N4447" s="452"/>
      <c r="O4447" s="453"/>
      <c r="P4447" s="113"/>
      <c r="Q4447" s="106"/>
      <c r="R4447" s="107"/>
    </row>
    <row r="4448" hidden="1">
      <c r="A4448" s="443"/>
      <c r="B4448" s="43"/>
      <c r="C4448" s="51"/>
      <c r="D4448" s="102"/>
      <c r="E4448" s="102"/>
      <c r="H4448" s="102"/>
      <c r="J4448" s="102"/>
      <c r="K4448" s="450"/>
      <c r="L4448" s="443"/>
      <c r="M4448" s="450"/>
      <c r="N4448" s="452"/>
      <c r="O4448" s="453"/>
      <c r="P4448" s="113"/>
      <c r="Q4448" s="106"/>
      <c r="R4448" s="107"/>
    </row>
    <row r="4449" hidden="1">
      <c r="A4449" s="443"/>
      <c r="B4449" s="43"/>
      <c r="C4449" s="51"/>
      <c r="D4449" s="102"/>
      <c r="E4449" s="102"/>
      <c r="H4449" s="102"/>
      <c r="J4449" s="102"/>
      <c r="K4449" s="450"/>
      <c r="L4449" s="443"/>
      <c r="M4449" s="450"/>
      <c r="N4449" s="452"/>
      <c r="O4449" s="453"/>
      <c r="P4449" s="113"/>
      <c r="Q4449" s="106"/>
      <c r="R4449" s="107"/>
    </row>
    <row r="4450" hidden="1">
      <c r="A4450" s="443"/>
      <c r="B4450" s="43"/>
      <c r="C4450" s="51"/>
      <c r="D4450" s="102"/>
      <c r="E4450" s="102"/>
      <c r="H4450" s="102"/>
      <c r="J4450" s="102"/>
      <c r="K4450" s="450"/>
      <c r="L4450" s="443"/>
      <c r="M4450" s="450"/>
      <c r="N4450" s="452"/>
      <c r="O4450" s="453"/>
      <c r="P4450" s="113"/>
      <c r="Q4450" s="106"/>
      <c r="R4450" s="107"/>
    </row>
    <row r="4451" hidden="1">
      <c r="A4451" s="443"/>
      <c r="B4451" s="43"/>
      <c r="C4451" s="51"/>
      <c r="D4451" s="102"/>
      <c r="E4451" s="102"/>
      <c r="H4451" s="102"/>
      <c r="J4451" s="102"/>
      <c r="K4451" s="450"/>
      <c r="L4451" s="443"/>
      <c r="M4451" s="450"/>
      <c r="N4451" s="452"/>
      <c r="O4451" s="453"/>
      <c r="P4451" s="113"/>
      <c r="Q4451" s="106"/>
      <c r="R4451" s="107"/>
    </row>
    <row r="4452" hidden="1">
      <c r="A4452" s="443"/>
      <c r="B4452" s="43"/>
      <c r="C4452" s="51"/>
      <c r="D4452" s="102"/>
      <c r="E4452" s="102"/>
      <c r="H4452" s="102"/>
      <c r="J4452" s="102"/>
      <c r="K4452" s="450"/>
      <c r="L4452" s="443"/>
      <c r="M4452" s="450"/>
      <c r="N4452" s="452"/>
      <c r="O4452" s="453"/>
      <c r="P4452" s="113"/>
      <c r="Q4452" s="106"/>
      <c r="R4452" s="107"/>
    </row>
    <row r="4453" hidden="1">
      <c r="A4453" s="443"/>
      <c r="B4453" s="43"/>
      <c r="C4453" s="51"/>
      <c r="D4453" s="102"/>
      <c r="E4453" s="102"/>
      <c r="H4453" s="102"/>
      <c r="J4453" s="102"/>
      <c r="K4453" s="450"/>
      <c r="L4453" s="443"/>
      <c r="M4453" s="450"/>
      <c r="N4453" s="452"/>
      <c r="O4453" s="453"/>
      <c r="P4453" s="113"/>
      <c r="Q4453" s="106"/>
      <c r="R4453" s="107"/>
    </row>
    <row r="4454" hidden="1">
      <c r="A4454" s="443"/>
      <c r="B4454" s="43"/>
      <c r="C4454" s="51"/>
      <c r="D4454" s="102"/>
      <c r="E4454" s="102"/>
      <c r="H4454" s="102"/>
      <c r="J4454" s="102"/>
      <c r="K4454" s="450"/>
      <c r="L4454" s="443"/>
      <c r="M4454" s="450"/>
      <c r="N4454" s="452"/>
      <c r="O4454" s="453"/>
      <c r="P4454" s="113"/>
      <c r="Q4454" s="106"/>
      <c r="R4454" s="107"/>
    </row>
    <row r="4455" hidden="1">
      <c r="A4455" s="443"/>
      <c r="B4455" s="43"/>
      <c r="C4455" s="51"/>
      <c r="D4455" s="102"/>
      <c r="E4455" s="102"/>
      <c r="H4455" s="102"/>
      <c r="J4455" s="102"/>
      <c r="K4455" s="450"/>
      <c r="L4455" s="443"/>
      <c r="M4455" s="450"/>
      <c r="N4455" s="452"/>
      <c r="O4455" s="453"/>
      <c r="P4455" s="113"/>
      <c r="Q4455" s="106"/>
      <c r="R4455" s="107"/>
    </row>
    <row r="4456" hidden="1">
      <c r="A4456" s="443"/>
      <c r="B4456" s="43"/>
      <c r="C4456" s="51"/>
      <c r="D4456" s="102"/>
      <c r="E4456" s="102"/>
      <c r="H4456" s="102"/>
      <c r="J4456" s="102"/>
      <c r="K4456" s="450"/>
      <c r="L4456" s="443"/>
      <c r="M4456" s="450"/>
      <c r="N4456" s="452"/>
      <c r="O4456" s="453"/>
      <c r="P4456" s="113"/>
      <c r="Q4456" s="106"/>
      <c r="R4456" s="107"/>
    </row>
    <row r="4457" hidden="1">
      <c r="A4457" s="443"/>
      <c r="B4457" s="43"/>
      <c r="C4457" s="51"/>
      <c r="D4457" s="102"/>
      <c r="E4457" s="102"/>
      <c r="H4457" s="102"/>
      <c r="J4457" s="102"/>
      <c r="K4457" s="450"/>
      <c r="L4457" s="443"/>
      <c r="M4457" s="450"/>
      <c r="N4457" s="452"/>
      <c r="O4457" s="453"/>
      <c r="P4457" s="113"/>
      <c r="Q4457" s="106"/>
      <c r="R4457" s="107"/>
    </row>
    <row r="4458" hidden="1">
      <c r="A4458" s="443"/>
      <c r="B4458" s="43"/>
      <c r="C4458" s="51"/>
      <c r="D4458" s="102"/>
      <c r="E4458" s="102"/>
      <c r="H4458" s="102"/>
      <c r="J4458" s="102"/>
      <c r="K4458" s="450"/>
      <c r="L4458" s="443"/>
      <c r="M4458" s="450"/>
      <c r="N4458" s="452"/>
      <c r="O4458" s="453"/>
      <c r="P4458" s="113"/>
      <c r="Q4458" s="106"/>
      <c r="R4458" s="107"/>
    </row>
    <row r="4459" hidden="1">
      <c r="A4459" s="443"/>
      <c r="B4459" s="43"/>
      <c r="C4459" s="51"/>
      <c r="D4459" s="102"/>
      <c r="E4459" s="102"/>
      <c r="H4459" s="102"/>
      <c r="J4459" s="102"/>
      <c r="K4459" s="450"/>
      <c r="L4459" s="443"/>
      <c r="M4459" s="450"/>
      <c r="N4459" s="452"/>
      <c r="O4459" s="453"/>
      <c r="P4459" s="113"/>
      <c r="Q4459" s="106"/>
      <c r="R4459" s="107"/>
    </row>
    <row r="4460" hidden="1">
      <c r="A4460" s="443"/>
      <c r="B4460" s="43"/>
      <c r="C4460" s="51"/>
      <c r="D4460" s="102"/>
      <c r="E4460" s="102"/>
      <c r="H4460" s="102"/>
      <c r="J4460" s="102"/>
      <c r="K4460" s="450"/>
      <c r="L4460" s="443"/>
      <c r="M4460" s="450"/>
      <c r="N4460" s="452"/>
      <c r="O4460" s="453"/>
      <c r="P4460" s="113"/>
      <c r="Q4460" s="106"/>
      <c r="R4460" s="107"/>
    </row>
    <row r="4461" hidden="1">
      <c r="A4461" s="443"/>
      <c r="B4461" s="43"/>
      <c r="C4461" s="51"/>
      <c r="D4461" s="102"/>
      <c r="E4461" s="102"/>
      <c r="H4461" s="102"/>
      <c r="J4461" s="102"/>
      <c r="K4461" s="450"/>
      <c r="L4461" s="443"/>
      <c r="M4461" s="450"/>
      <c r="N4461" s="452"/>
      <c r="O4461" s="453"/>
      <c r="P4461" s="113"/>
      <c r="Q4461" s="106"/>
      <c r="R4461" s="107"/>
    </row>
    <row r="4462" hidden="1">
      <c r="A4462" s="443"/>
      <c r="B4462" s="43"/>
      <c r="C4462" s="51"/>
      <c r="D4462" s="102"/>
      <c r="E4462" s="102"/>
      <c r="H4462" s="102"/>
      <c r="J4462" s="102"/>
      <c r="K4462" s="450"/>
      <c r="L4462" s="443"/>
      <c r="M4462" s="450"/>
      <c r="N4462" s="452"/>
      <c r="O4462" s="453"/>
      <c r="P4462" s="113"/>
      <c r="Q4462" s="106"/>
      <c r="R4462" s="107"/>
    </row>
    <row r="4463" hidden="1">
      <c r="A4463" s="443"/>
      <c r="B4463" s="43"/>
      <c r="C4463" s="51"/>
      <c r="D4463" s="102"/>
      <c r="E4463" s="102"/>
      <c r="H4463" s="102"/>
      <c r="J4463" s="102"/>
      <c r="K4463" s="450"/>
      <c r="L4463" s="443"/>
      <c r="M4463" s="450"/>
      <c r="N4463" s="452"/>
      <c r="O4463" s="453"/>
      <c r="P4463" s="113"/>
      <c r="Q4463" s="106"/>
      <c r="R4463" s="107"/>
    </row>
    <row r="4464" hidden="1">
      <c r="A4464" s="443"/>
      <c r="B4464" s="43"/>
      <c r="C4464" s="51"/>
      <c r="D4464" s="102"/>
      <c r="E4464" s="102"/>
      <c r="H4464" s="102"/>
      <c r="J4464" s="102"/>
      <c r="K4464" s="450"/>
      <c r="L4464" s="443"/>
      <c r="M4464" s="450"/>
      <c r="N4464" s="452"/>
      <c r="O4464" s="453"/>
      <c r="P4464" s="113"/>
      <c r="Q4464" s="106"/>
      <c r="R4464" s="107"/>
    </row>
    <row r="4465" hidden="1">
      <c r="A4465" s="443"/>
      <c r="B4465" s="43"/>
      <c r="C4465" s="51"/>
      <c r="D4465" s="102"/>
      <c r="E4465" s="102"/>
      <c r="H4465" s="102"/>
      <c r="J4465" s="102"/>
      <c r="K4465" s="450"/>
      <c r="L4465" s="443"/>
      <c r="M4465" s="450"/>
      <c r="N4465" s="452"/>
      <c r="O4465" s="453"/>
      <c r="P4465" s="113"/>
      <c r="Q4465" s="106"/>
      <c r="R4465" s="107"/>
    </row>
    <row r="4466" hidden="1">
      <c r="A4466" s="443"/>
      <c r="B4466" s="43"/>
      <c r="C4466" s="51"/>
      <c r="D4466" s="102"/>
      <c r="E4466" s="102"/>
      <c r="H4466" s="102"/>
      <c r="J4466" s="102"/>
      <c r="K4466" s="450"/>
      <c r="L4466" s="443"/>
      <c r="M4466" s="450"/>
      <c r="N4466" s="452"/>
      <c r="O4466" s="453"/>
      <c r="P4466" s="113"/>
      <c r="Q4466" s="106"/>
      <c r="R4466" s="107"/>
    </row>
    <row r="4467" hidden="1">
      <c r="A4467" s="443"/>
      <c r="B4467" s="43"/>
      <c r="C4467" s="51"/>
      <c r="D4467" s="102"/>
      <c r="E4467" s="102"/>
      <c r="H4467" s="102"/>
      <c r="J4467" s="102"/>
      <c r="K4467" s="450"/>
      <c r="L4467" s="443"/>
      <c r="M4467" s="450"/>
      <c r="N4467" s="452"/>
      <c r="O4467" s="453"/>
      <c r="P4467" s="113"/>
      <c r="Q4467" s="106"/>
      <c r="R4467" s="107"/>
    </row>
    <row r="4468" hidden="1">
      <c r="A4468" s="443"/>
      <c r="B4468" s="43"/>
      <c r="C4468" s="51"/>
      <c r="D4468" s="102"/>
      <c r="E4468" s="102"/>
      <c r="H4468" s="102"/>
      <c r="J4468" s="102"/>
      <c r="K4468" s="450"/>
      <c r="L4468" s="443"/>
      <c r="M4468" s="450"/>
      <c r="N4468" s="452"/>
      <c r="O4468" s="453"/>
      <c r="P4468" s="113"/>
      <c r="Q4468" s="106"/>
      <c r="R4468" s="107"/>
    </row>
    <row r="4469" hidden="1">
      <c r="A4469" s="443"/>
      <c r="B4469" s="43"/>
      <c r="C4469" s="51"/>
      <c r="D4469" s="102"/>
      <c r="E4469" s="102"/>
      <c r="H4469" s="102"/>
      <c r="J4469" s="102"/>
      <c r="K4469" s="450"/>
      <c r="L4469" s="443"/>
      <c r="M4469" s="450"/>
      <c r="N4469" s="452"/>
      <c r="O4469" s="453"/>
      <c r="P4469" s="113"/>
      <c r="Q4469" s="106"/>
      <c r="R4469" s="107"/>
    </row>
    <row r="4470" hidden="1">
      <c r="A4470" s="443"/>
      <c r="B4470" s="43"/>
      <c r="C4470" s="51"/>
      <c r="D4470" s="102"/>
      <c r="E4470" s="102"/>
      <c r="H4470" s="102"/>
      <c r="J4470" s="102"/>
      <c r="K4470" s="450"/>
      <c r="L4470" s="443"/>
      <c r="M4470" s="450"/>
      <c r="N4470" s="452"/>
      <c r="O4470" s="453"/>
      <c r="P4470" s="113"/>
      <c r="Q4470" s="106"/>
      <c r="R4470" s="107"/>
    </row>
    <row r="4471" hidden="1">
      <c r="A4471" s="443"/>
      <c r="B4471" s="43"/>
      <c r="C4471" s="51"/>
      <c r="D4471" s="102"/>
      <c r="E4471" s="102"/>
      <c r="H4471" s="102"/>
      <c r="J4471" s="102"/>
      <c r="K4471" s="450"/>
      <c r="L4471" s="443"/>
      <c r="M4471" s="450"/>
      <c r="N4471" s="452"/>
      <c r="O4471" s="453"/>
      <c r="P4471" s="113"/>
      <c r="Q4471" s="106"/>
      <c r="R4471" s="107"/>
    </row>
    <row r="4472" hidden="1">
      <c r="A4472" s="443"/>
      <c r="B4472" s="43"/>
      <c r="C4472" s="51"/>
      <c r="D4472" s="102"/>
      <c r="E4472" s="102"/>
      <c r="H4472" s="102"/>
      <c r="J4472" s="102"/>
      <c r="K4472" s="450"/>
      <c r="L4472" s="443"/>
      <c r="M4472" s="450"/>
      <c r="N4472" s="452"/>
      <c r="O4472" s="453"/>
      <c r="P4472" s="113"/>
      <c r="Q4472" s="106"/>
      <c r="R4472" s="107"/>
    </row>
    <row r="4473" hidden="1">
      <c r="A4473" s="443"/>
      <c r="B4473" s="43"/>
      <c r="C4473" s="51"/>
      <c r="D4473" s="102"/>
      <c r="E4473" s="102"/>
      <c r="H4473" s="102"/>
      <c r="J4473" s="102"/>
      <c r="K4473" s="450"/>
      <c r="L4473" s="443"/>
      <c r="M4473" s="450"/>
      <c r="N4473" s="452"/>
      <c r="O4473" s="453"/>
      <c r="P4473" s="113"/>
      <c r="Q4473" s="106"/>
      <c r="R4473" s="107"/>
    </row>
    <row r="4474" hidden="1">
      <c r="A4474" s="443"/>
      <c r="B4474" s="43"/>
      <c r="C4474" s="51"/>
      <c r="D4474" s="102"/>
      <c r="E4474" s="102"/>
      <c r="H4474" s="102"/>
      <c r="J4474" s="102"/>
      <c r="K4474" s="450"/>
      <c r="L4474" s="443"/>
      <c r="M4474" s="450"/>
      <c r="N4474" s="452"/>
      <c r="O4474" s="453"/>
      <c r="P4474" s="113"/>
      <c r="Q4474" s="106"/>
      <c r="R4474" s="107"/>
    </row>
    <row r="4475" hidden="1">
      <c r="A4475" s="443"/>
      <c r="B4475" s="43"/>
      <c r="C4475" s="51"/>
      <c r="D4475" s="102"/>
      <c r="E4475" s="102"/>
      <c r="H4475" s="102"/>
      <c r="J4475" s="102"/>
      <c r="K4475" s="450"/>
      <c r="L4475" s="443"/>
      <c r="M4475" s="450"/>
      <c r="N4475" s="452"/>
      <c r="O4475" s="453"/>
      <c r="P4475" s="113"/>
      <c r="Q4475" s="106"/>
      <c r="R4475" s="107"/>
    </row>
    <row r="4476" hidden="1">
      <c r="A4476" s="443"/>
      <c r="B4476" s="43"/>
      <c r="C4476" s="51"/>
      <c r="D4476" s="102"/>
      <c r="E4476" s="102"/>
      <c r="H4476" s="102"/>
      <c r="J4476" s="102"/>
      <c r="K4476" s="450"/>
      <c r="L4476" s="443"/>
      <c r="M4476" s="450"/>
      <c r="N4476" s="452"/>
      <c r="O4476" s="453"/>
      <c r="P4476" s="113"/>
      <c r="Q4476" s="106"/>
      <c r="R4476" s="107"/>
    </row>
    <row r="4477" hidden="1">
      <c r="A4477" s="443"/>
      <c r="B4477" s="43"/>
      <c r="C4477" s="51"/>
      <c r="D4477" s="102"/>
      <c r="E4477" s="102"/>
      <c r="H4477" s="102"/>
      <c r="J4477" s="102"/>
      <c r="K4477" s="450"/>
      <c r="L4477" s="443"/>
      <c r="M4477" s="450"/>
      <c r="N4477" s="452"/>
      <c r="O4477" s="453"/>
      <c r="P4477" s="113"/>
      <c r="Q4477" s="106"/>
      <c r="R4477" s="107"/>
    </row>
    <row r="4478" hidden="1">
      <c r="A4478" s="443"/>
      <c r="B4478" s="43"/>
      <c r="C4478" s="51"/>
      <c r="D4478" s="102"/>
      <c r="E4478" s="102"/>
      <c r="H4478" s="102"/>
      <c r="J4478" s="102"/>
      <c r="K4478" s="450"/>
      <c r="L4478" s="443"/>
      <c r="M4478" s="450"/>
      <c r="N4478" s="452"/>
      <c r="O4478" s="453"/>
      <c r="P4478" s="113"/>
      <c r="Q4478" s="106"/>
      <c r="R4478" s="107"/>
    </row>
    <row r="4479" hidden="1">
      <c r="A4479" s="443"/>
      <c r="B4479" s="43"/>
      <c r="C4479" s="51"/>
      <c r="D4479" s="102"/>
      <c r="E4479" s="102"/>
      <c r="H4479" s="102"/>
      <c r="J4479" s="102"/>
      <c r="K4479" s="450"/>
      <c r="L4479" s="443"/>
      <c r="M4479" s="450"/>
      <c r="N4479" s="452"/>
      <c r="O4479" s="453"/>
      <c r="P4479" s="113"/>
      <c r="Q4479" s="106"/>
      <c r="R4479" s="107"/>
    </row>
    <row r="4480" hidden="1">
      <c r="A4480" s="443"/>
      <c r="B4480" s="43"/>
      <c r="C4480" s="51"/>
      <c r="D4480" s="102"/>
      <c r="E4480" s="102"/>
      <c r="H4480" s="102"/>
      <c r="J4480" s="102"/>
      <c r="K4480" s="450"/>
      <c r="L4480" s="443"/>
      <c r="M4480" s="450"/>
      <c r="N4480" s="452"/>
      <c r="O4480" s="453"/>
      <c r="P4480" s="113"/>
      <c r="Q4480" s="106"/>
      <c r="R4480" s="107"/>
    </row>
    <row r="4481" hidden="1">
      <c r="A4481" s="443"/>
      <c r="B4481" s="43"/>
      <c r="C4481" s="51"/>
      <c r="D4481" s="102"/>
      <c r="E4481" s="102"/>
      <c r="H4481" s="102"/>
      <c r="J4481" s="102"/>
      <c r="K4481" s="450"/>
      <c r="L4481" s="443"/>
      <c r="M4481" s="450"/>
      <c r="N4481" s="452"/>
      <c r="O4481" s="453"/>
      <c r="P4481" s="113"/>
      <c r="Q4481" s="106"/>
      <c r="R4481" s="107"/>
    </row>
    <row r="4482" hidden="1">
      <c r="A4482" s="443"/>
      <c r="B4482" s="43"/>
      <c r="C4482" s="51"/>
      <c r="D4482" s="102"/>
      <c r="E4482" s="102"/>
      <c r="H4482" s="102"/>
      <c r="J4482" s="102"/>
      <c r="K4482" s="450"/>
      <c r="L4482" s="443"/>
      <c r="M4482" s="450"/>
      <c r="N4482" s="452"/>
      <c r="O4482" s="453"/>
      <c r="P4482" s="113"/>
      <c r="Q4482" s="106"/>
      <c r="R4482" s="107"/>
    </row>
    <row r="4483" hidden="1">
      <c r="A4483" s="443"/>
      <c r="B4483" s="43"/>
      <c r="C4483" s="51"/>
      <c r="D4483" s="102"/>
      <c r="E4483" s="102"/>
      <c r="H4483" s="102"/>
      <c r="J4483" s="102"/>
      <c r="K4483" s="450"/>
      <c r="L4483" s="443"/>
      <c r="M4483" s="450"/>
      <c r="N4483" s="452"/>
      <c r="O4483" s="453"/>
      <c r="P4483" s="113"/>
      <c r="Q4483" s="106"/>
      <c r="R4483" s="107"/>
    </row>
    <row r="4484" hidden="1">
      <c r="A4484" s="443"/>
      <c r="B4484" s="43"/>
      <c r="C4484" s="51"/>
      <c r="D4484" s="102"/>
      <c r="E4484" s="102"/>
      <c r="H4484" s="102"/>
      <c r="J4484" s="102"/>
      <c r="K4484" s="450"/>
      <c r="L4484" s="443"/>
      <c r="M4484" s="450"/>
      <c r="N4484" s="452"/>
      <c r="O4484" s="453"/>
      <c r="P4484" s="113"/>
      <c r="Q4484" s="106"/>
      <c r="R4484" s="107"/>
    </row>
    <row r="4485" hidden="1">
      <c r="A4485" s="443"/>
      <c r="B4485" s="43"/>
      <c r="C4485" s="51"/>
      <c r="D4485" s="102"/>
      <c r="E4485" s="102"/>
      <c r="H4485" s="102"/>
      <c r="J4485" s="102"/>
      <c r="K4485" s="450"/>
      <c r="L4485" s="443"/>
      <c r="M4485" s="450"/>
      <c r="N4485" s="452"/>
      <c r="O4485" s="453"/>
      <c r="P4485" s="113"/>
      <c r="Q4485" s="106"/>
      <c r="R4485" s="107"/>
    </row>
    <row r="4486" hidden="1">
      <c r="A4486" s="443"/>
      <c r="B4486" s="43"/>
      <c r="C4486" s="51"/>
      <c r="D4486" s="102"/>
      <c r="E4486" s="102"/>
      <c r="H4486" s="102"/>
      <c r="J4486" s="102"/>
      <c r="K4486" s="450"/>
      <c r="L4486" s="443"/>
      <c r="M4486" s="450"/>
      <c r="N4486" s="452"/>
      <c r="O4486" s="453"/>
      <c r="P4486" s="113"/>
      <c r="Q4486" s="106"/>
      <c r="R4486" s="107"/>
    </row>
    <row r="4487" hidden="1">
      <c r="A4487" s="443"/>
      <c r="B4487" s="43"/>
      <c r="C4487" s="51"/>
      <c r="D4487" s="102"/>
      <c r="E4487" s="102"/>
      <c r="H4487" s="102"/>
      <c r="J4487" s="102"/>
      <c r="K4487" s="450"/>
      <c r="L4487" s="443"/>
      <c r="M4487" s="450"/>
      <c r="N4487" s="452"/>
      <c r="O4487" s="453"/>
      <c r="P4487" s="113"/>
      <c r="Q4487" s="106"/>
      <c r="R4487" s="107"/>
    </row>
    <row r="4488" hidden="1">
      <c r="A4488" s="443"/>
      <c r="B4488" s="43"/>
      <c r="C4488" s="51"/>
      <c r="D4488" s="102"/>
      <c r="E4488" s="102"/>
      <c r="H4488" s="102"/>
      <c r="J4488" s="102"/>
      <c r="K4488" s="450"/>
      <c r="L4488" s="443"/>
      <c r="M4488" s="450"/>
      <c r="N4488" s="452"/>
      <c r="O4488" s="453"/>
      <c r="P4488" s="113"/>
      <c r="Q4488" s="106"/>
      <c r="R4488" s="107"/>
    </row>
    <row r="4489" hidden="1">
      <c r="A4489" s="443"/>
      <c r="B4489" s="43"/>
      <c r="C4489" s="51"/>
      <c r="D4489" s="102"/>
      <c r="E4489" s="102"/>
      <c r="H4489" s="102"/>
      <c r="J4489" s="102"/>
      <c r="K4489" s="450"/>
      <c r="L4489" s="443"/>
      <c r="M4489" s="450"/>
      <c r="N4489" s="452"/>
      <c r="O4489" s="453"/>
      <c r="P4489" s="113"/>
      <c r="Q4489" s="106"/>
      <c r="R4489" s="107"/>
    </row>
    <row r="4490" hidden="1">
      <c r="A4490" s="443"/>
      <c r="B4490" s="43"/>
      <c r="C4490" s="51"/>
      <c r="D4490" s="102"/>
      <c r="E4490" s="102"/>
      <c r="H4490" s="102"/>
      <c r="J4490" s="102"/>
      <c r="K4490" s="450"/>
      <c r="L4490" s="443"/>
      <c r="M4490" s="450"/>
      <c r="N4490" s="452"/>
      <c r="O4490" s="453"/>
      <c r="P4490" s="113"/>
      <c r="Q4490" s="106"/>
      <c r="R4490" s="107"/>
    </row>
    <row r="4491" hidden="1">
      <c r="A4491" s="443"/>
      <c r="B4491" s="43"/>
      <c r="C4491" s="51"/>
      <c r="D4491" s="102"/>
      <c r="E4491" s="102"/>
      <c r="H4491" s="102"/>
      <c r="J4491" s="102"/>
      <c r="K4491" s="450"/>
      <c r="L4491" s="443"/>
      <c r="M4491" s="450"/>
      <c r="N4491" s="452"/>
      <c r="O4491" s="453"/>
      <c r="P4491" s="113"/>
      <c r="Q4491" s="106"/>
      <c r="R4491" s="107"/>
    </row>
    <row r="4492" hidden="1">
      <c r="A4492" s="443"/>
      <c r="B4492" s="43"/>
      <c r="C4492" s="51"/>
      <c r="D4492" s="102"/>
      <c r="E4492" s="102"/>
      <c r="H4492" s="102"/>
      <c r="J4492" s="102"/>
      <c r="K4492" s="450"/>
      <c r="L4492" s="443"/>
      <c r="M4492" s="450"/>
      <c r="N4492" s="452"/>
      <c r="O4492" s="453"/>
      <c r="P4492" s="113"/>
      <c r="Q4492" s="106"/>
      <c r="R4492" s="107"/>
    </row>
    <row r="4493" hidden="1">
      <c r="A4493" s="443"/>
      <c r="B4493" s="43"/>
      <c r="C4493" s="51"/>
      <c r="D4493" s="102"/>
      <c r="E4493" s="102"/>
      <c r="H4493" s="102"/>
      <c r="J4493" s="102"/>
      <c r="K4493" s="450"/>
      <c r="L4493" s="443"/>
      <c r="M4493" s="450"/>
      <c r="N4493" s="452"/>
      <c r="O4493" s="453"/>
      <c r="P4493" s="113"/>
      <c r="Q4493" s="106"/>
      <c r="R4493" s="107"/>
    </row>
    <row r="4494" hidden="1">
      <c r="A4494" s="443"/>
      <c r="B4494" s="43"/>
      <c r="C4494" s="51"/>
      <c r="D4494" s="102"/>
      <c r="E4494" s="102"/>
      <c r="H4494" s="102"/>
      <c r="J4494" s="102"/>
      <c r="K4494" s="450"/>
      <c r="L4494" s="443"/>
      <c r="M4494" s="450"/>
      <c r="N4494" s="452"/>
      <c r="O4494" s="453"/>
      <c r="P4494" s="113"/>
      <c r="Q4494" s="106"/>
      <c r="R4494" s="107"/>
    </row>
    <row r="4495" hidden="1">
      <c r="A4495" s="443"/>
      <c r="B4495" s="43"/>
      <c r="C4495" s="51"/>
      <c r="D4495" s="102"/>
      <c r="E4495" s="102"/>
      <c r="H4495" s="102"/>
      <c r="J4495" s="102"/>
      <c r="K4495" s="450"/>
      <c r="L4495" s="443"/>
      <c r="M4495" s="450"/>
      <c r="N4495" s="452"/>
      <c r="O4495" s="453"/>
      <c r="P4495" s="113"/>
      <c r="Q4495" s="106"/>
      <c r="R4495" s="107"/>
    </row>
    <row r="4496" hidden="1">
      <c r="A4496" s="443"/>
      <c r="B4496" s="43"/>
      <c r="C4496" s="51"/>
      <c r="D4496" s="102"/>
      <c r="E4496" s="102"/>
      <c r="H4496" s="102"/>
      <c r="J4496" s="102"/>
      <c r="K4496" s="450"/>
      <c r="L4496" s="443"/>
      <c r="M4496" s="450"/>
      <c r="N4496" s="452"/>
      <c r="O4496" s="453"/>
      <c r="P4496" s="113"/>
      <c r="Q4496" s="106"/>
      <c r="R4496" s="107"/>
    </row>
    <row r="4497" hidden="1">
      <c r="A4497" s="443"/>
      <c r="B4497" s="43"/>
      <c r="C4497" s="51"/>
      <c r="D4497" s="102"/>
      <c r="E4497" s="102"/>
      <c r="H4497" s="102"/>
      <c r="J4497" s="102"/>
      <c r="K4497" s="450"/>
      <c r="L4497" s="443"/>
      <c r="M4497" s="450"/>
      <c r="N4497" s="452"/>
      <c r="O4497" s="453"/>
      <c r="P4497" s="113"/>
      <c r="Q4497" s="106"/>
      <c r="R4497" s="107"/>
    </row>
    <row r="4498" hidden="1">
      <c r="A4498" s="443"/>
      <c r="B4498" s="43"/>
      <c r="C4498" s="51"/>
      <c r="D4498" s="102"/>
      <c r="E4498" s="102"/>
      <c r="H4498" s="102"/>
      <c r="J4498" s="102"/>
      <c r="K4498" s="450"/>
      <c r="L4498" s="443"/>
      <c r="M4498" s="450"/>
      <c r="N4498" s="452"/>
      <c r="O4498" s="453"/>
      <c r="P4498" s="113"/>
      <c r="Q4498" s="106"/>
      <c r="R4498" s="107"/>
    </row>
    <row r="4499" hidden="1">
      <c r="A4499" s="443"/>
      <c r="B4499" s="43"/>
      <c r="C4499" s="51"/>
      <c r="D4499" s="102"/>
      <c r="E4499" s="102"/>
      <c r="H4499" s="102"/>
      <c r="J4499" s="102"/>
      <c r="K4499" s="450"/>
      <c r="L4499" s="443"/>
      <c r="M4499" s="450"/>
      <c r="N4499" s="452"/>
      <c r="O4499" s="453"/>
      <c r="P4499" s="113"/>
      <c r="Q4499" s="106"/>
      <c r="R4499" s="107"/>
    </row>
    <row r="4500" hidden="1">
      <c r="A4500" s="443"/>
      <c r="B4500" s="43"/>
      <c r="C4500" s="51"/>
      <c r="D4500" s="102"/>
      <c r="E4500" s="102"/>
      <c r="H4500" s="102"/>
      <c r="J4500" s="102"/>
      <c r="K4500" s="450"/>
      <c r="L4500" s="443"/>
      <c r="M4500" s="450"/>
      <c r="N4500" s="452"/>
      <c r="O4500" s="453"/>
      <c r="P4500" s="113"/>
      <c r="Q4500" s="106"/>
      <c r="R4500" s="107"/>
    </row>
    <row r="4501" hidden="1">
      <c r="A4501" s="443"/>
      <c r="B4501" s="43"/>
      <c r="C4501" s="51"/>
      <c r="D4501" s="102"/>
      <c r="E4501" s="102"/>
      <c r="H4501" s="102"/>
      <c r="J4501" s="102"/>
      <c r="K4501" s="450"/>
      <c r="L4501" s="443"/>
      <c r="M4501" s="450"/>
      <c r="N4501" s="452"/>
      <c r="O4501" s="453"/>
      <c r="P4501" s="113"/>
      <c r="Q4501" s="106"/>
      <c r="R4501" s="107"/>
    </row>
    <row r="4502" hidden="1">
      <c r="A4502" s="443"/>
      <c r="B4502" s="43"/>
      <c r="C4502" s="51"/>
      <c r="D4502" s="102"/>
      <c r="E4502" s="102"/>
      <c r="H4502" s="102"/>
      <c r="J4502" s="102"/>
      <c r="K4502" s="450"/>
      <c r="L4502" s="443"/>
      <c r="M4502" s="450"/>
      <c r="N4502" s="452"/>
      <c r="O4502" s="453"/>
      <c r="P4502" s="113"/>
      <c r="Q4502" s="106"/>
      <c r="R4502" s="107"/>
    </row>
    <row r="4503" hidden="1">
      <c r="A4503" s="443"/>
      <c r="B4503" s="43"/>
      <c r="C4503" s="51"/>
      <c r="D4503" s="102"/>
      <c r="E4503" s="102"/>
      <c r="H4503" s="102"/>
      <c r="J4503" s="102"/>
      <c r="K4503" s="450"/>
      <c r="L4503" s="443"/>
      <c r="M4503" s="450"/>
      <c r="N4503" s="452"/>
      <c r="O4503" s="453"/>
      <c r="P4503" s="113"/>
      <c r="Q4503" s="106"/>
      <c r="R4503" s="107"/>
    </row>
    <row r="4504" hidden="1">
      <c r="A4504" s="443"/>
      <c r="B4504" s="43"/>
      <c r="C4504" s="51"/>
      <c r="D4504" s="102"/>
      <c r="E4504" s="102"/>
      <c r="H4504" s="102"/>
      <c r="J4504" s="102"/>
      <c r="K4504" s="450"/>
      <c r="L4504" s="443"/>
      <c r="M4504" s="450"/>
      <c r="N4504" s="452"/>
      <c r="O4504" s="453"/>
      <c r="P4504" s="113"/>
      <c r="Q4504" s="106"/>
      <c r="R4504" s="107"/>
    </row>
    <row r="4505" hidden="1">
      <c r="A4505" s="443"/>
      <c r="B4505" s="43"/>
      <c r="C4505" s="51"/>
      <c r="D4505" s="102"/>
      <c r="E4505" s="102"/>
      <c r="H4505" s="102"/>
      <c r="J4505" s="102"/>
      <c r="K4505" s="450"/>
      <c r="L4505" s="443"/>
      <c r="M4505" s="450"/>
      <c r="N4505" s="452"/>
      <c r="O4505" s="453"/>
      <c r="P4505" s="113"/>
      <c r="Q4505" s="106"/>
      <c r="R4505" s="107"/>
    </row>
    <row r="4506" hidden="1">
      <c r="A4506" s="443"/>
      <c r="B4506" s="43"/>
      <c r="C4506" s="51"/>
      <c r="D4506" s="102"/>
      <c r="E4506" s="102"/>
      <c r="H4506" s="102"/>
      <c r="J4506" s="102"/>
      <c r="K4506" s="450"/>
      <c r="L4506" s="443"/>
      <c r="M4506" s="450"/>
      <c r="N4506" s="452"/>
      <c r="O4506" s="453"/>
      <c r="P4506" s="113"/>
      <c r="Q4506" s="106"/>
      <c r="R4506" s="107"/>
    </row>
    <row r="4507" hidden="1">
      <c r="A4507" s="443"/>
      <c r="B4507" s="43"/>
      <c r="C4507" s="51"/>
      <c r="D4507" s="102"/>
      <c r="E4507" s="102"/>
      <c r="H4507" s="102"/>
      <c r="J4507" s="102"/>
      <c r="K4507" s="450"/>
      <c r="L4507" s="443"/>
      <c r="M4507" s="450"/>
      <c r="N4507" s="452"/>
      <c r="O4507" s="453"/>
      <c r="P4507" s="113"/>
      <c r="Q4507" s="106"/>
      <c r="R4507" s="107"/>
    </row>
    <row r="4508" hidden="1">
      <c r="A4508" s="443"/>
      <c r="B4508" s="43"/>
      <c r="C4508" s="51"/>
      <c r="D4508" s="102"/>
      <c r="E4508" s="102"/>
      <c r="H4508" s="102"/>
      <c r="J4508" s="102"/>
      <c r="K4508" s="450"/>
      <c r="L4508" s="443"/>
      <c r="M4508" s="450"/>
      <c r="N4508" s="452"/>
      <c r="O4508" s="453"/>
      <c r="P4508" s="113"/>
      <c r="Q4508" s="106"/>
      <c r="R4508" s="107"/>
    </row>
    <row r="4509" hidden="1">
      <c r="A4509" s="443"/>
      <c r="B4509" s="43"/>
      <c r="C4509" s="51"/>
      <c r="D4509" s="102"/>
      <c r="E4509" s="102"/>
      <c r="H4509" s="102"/>
      <c r="J4509" s="102"/>
      <c r="K4509" s="450"/>
      <c r="L4509" s="443"/>
      <c r="M4509" s="450"/>
      <c r="N4509" s="452"/>
      <c r="O4509" s="453"/>
      <c r="P4509" s="113"/>
      <c r="Q4509" s="106"/>
      <c r="R4509" s="107"/>
    </row>
    <row r="4510" hidden="1">
      <c r="A4510" s="443"/>
      <c r="B4510" s="43"/>
      <c r="C4510" s="51"/>
      <c r="D4510" s="102"/>
      <c r="E4510" s="102"/>
      <c r="H4510" s="102"/>
      <c r="J4510" s="102"/>
      <c r="K4510" s="450"/>
      <c r="L4510" s="443"/>
      <c r="M4510" s="450"/>
      <c r="N4510" s="452"/>
      <c r="O4510" s="453"/>
      <c r="P4510" s="113"/>
      <c r="Q4510" s="106"/>
      <c r="R4510" s="107"/>
    </row>
    <row r="4511" hidden="1">
      <c r="A4511" s="443"/>
      <c r="B4511" s="43"/>
      <c r="C4511" s="51"/>
      <c r="D4511" s="102"/>
      <c r="E4511" s="102"/>
      <c r="H4511" s="102"/>
      <c r="J4511" s="102"/>
      <c r="K4511" s="450"/>
      <c r="L4511" s="443"/>
      <c r="M4511" s="450"/>
      <c r="N4511" s="452"/>
      <c r="O4511" s="453"/>
      <c r="P4511" s="113"/>
      <c r="Q4511" s="106"/>
      <c r="R4511" s="107"/>
    </row>
    <row r="4512" hidden="1">
      <c r="A4512" s="443"/>
      <c r="B4512" s="43"/>
      <c r="C4512" s="51"/>
      <c r="D4512" s="102"/>
      <c r="E4512" s="102"/>
      <c r="H4512" s="102"/>
      <c r="J4512" s="102"/>
      <c r="K4512" s="450"/>
      <c r="L4512" s="443"/>
      <c r="M4512" s="450"/>
      <c r="N4512" s="452"/>
      <c r="O4512" s="453"/>
      <c r="P4512" s="113"/>
      <c r="Q4512" s="106"/>
      <c r="R4512" s="107"/>
    </row>
    <row r="4513" hidden="1">
      <c r="A4513" s="443"/>
      <c r="B4513" s="43"/>
      <c r="C4513" s="51"/>
      <c r="D4513" s="102"/>
      <c r="E4513" s="102"/>
      <c r="H4513" s="102"/>
      <c r="J4513" s="102"/>
      <c r="K4513" s="450"/>
      <c r="L4513" s="443"/>
      <c r="M4513" s="450"/>
      <c r="N4513" s="452"/>
      <c r="O4513" s="453"/>
      <c r="P4513" s="113"/>
      <c r="Q4513" s="106"/>
      <c r="R4513" s="107"/>
    </row>
    <row r="4514" hidden="1">
      <c r="A4514" s="443"/>
      <c r="B4514" s="43"/>
      <c r="C4514" s="51"/>
      <c r="D4514" s="102"/>
      <c r="E4514" s="102"/>
      <c r="H4514" s="102"/>
      <c r="J4514" s="102"/>
      <c r="K4514" s="450"/>
      <c r="L4514" s="443"/>
      <c r="M4514" s="450"/>
      <c r="N4514" s="452"/>
      <c r="O4514" s="453"/>
      <c r="P4514" s="113"/>
      <c r="Q4514" s="106"/>
      <c r="R4514" s="107"/>
    </row>
    <row r="4515" hidden="1">
      <c r="A4515" s="443"/>
      <c r="B4515" s="43"/>
      <c r="C4515" s="51"/>
      <c r="D4515" s="102"/>
      <c r="E4515" s="102"/>
      <c r="H4515" s="102"/>
      <c r="J4515" s="102"/>
      <c r="K4515" s="450"/>
      <c r="L4515" s="443"/>
      <c r="M4515" s="450"/>
      <c r="N4515" s="452"/>
      <c r="O4515" s="453"/>
      <c r="P4515" s="113"/>
      <c r="Q4515" s="106"/>
      <c r="R4515" s="107"/>
    </row>
    <row r="4516" hidden="1">
      <c r="A4516" s="443"/>
      <c r="B4516" s="43"/>
      <c r="C4516" s="51"/>
      <c r="D4516" s="102"/>
      <c r="E4516" s="102"/>
      <c r="H4516" s="102"/>
      <c r="J4516" s="102"/>
      <c r="K4516" s="450"/>
      <c r="L4516" s="443"/>
      <c r="M4516" s="450"/>
      <c r="N4516" s="452"/>
      <c r="O4516" s="453"/>
      <c r="P4516" s="113"/>
      <c r="Q4516" s="106"/>
      <c r="R4516" s="107"/>
    </row>
    <row r="4517" hidden="1">
      <c r="A4517" s="443"/>
      <c r="B4517" s="43"/>
      <c r="C4517" s="51"/>
      <c r="D4517" s="102"/>
      <c r="E4517" s="102"/>
      <c r="H4517" s="102"/>
      <c r="J4517" s="102"/>
      <c r="K4517" s="450"/>
      <c r="L4517" s="443"/>
      <c r="M4517" s="450"/>
      <c r="N4517" s="452"/>
      <c r="O4517" s="453"/>
      <c r="P4517" s="113"/>
      <c r="Q4517" s="106"/>
      <c r="R4517" s="107"/>
    </row>
    <row r="4518" hidden="1">
      <c r="A4518" s="443"/>
      <c r="B4518" s="43"/>
      <c r="C4518" s="51"/>
      <c r="D4518" s="102"/>
      <c r="E4518" s="102"/>
      <c r="H4518" s="102"/>
      <c r="J4518" s="102"/>
      <c r="K4518" s="450"/>
      <c r="L4518" s="443"/>
      <c r="M4518" s="450"/>
      <c r="N4518" s="452"/>
      <c r="O4518" s="453"/>
      <c r="P4518" s="113"/>
      <c r="Q4518" s="106"/>
      <c r="R4518" s="107"/>
    </row>
    <row r="4519" hidden="1">
      <c r="A4519" s="443"/>
      <c r="B4519" s="43"/>
      <c r="C4519" s="51"/>
      <c r="D4519" s="102"/>
      <c r="E4519" s="102"/>
      <c r="H4519" s="102"/>
      <c r="J4519" s="102"/>
      <c r="K4519" s="450"/>
      <c r="L4519" s="443"/>
      <c r="M4519" s="450"/>
      <c r="N4519" s="452"/>
      <c r="O4519" s="453"/>
      <c r="P4519" s="113"/>
      <c r="Q4519" s="106"/>
      <c r="R4519" s="107"/>
    </row>
    <row r="4520" hidden="1">
      <c r="A4520" s="443"/>
      <c r="B4520" s="43"/>
      <c r="C4520" s="51"/>
      <c r="D4520" s="102"/>
      <c r="E4520" s="102"/>
      <c r="H4520" s="102"/>
      <c r="J4520" s="102"/>
      <c r="K4520" s="450"/>
      <c r="L4520" s="443"/>
      <c r="M4520" s="450"/>
      <c r="N4520" s="452"/>
      <c r="O4520" s="453"/>
      <c r="P4520" s="113"/>
      <c r="Q4520" s="106"/>
      <c r="R4520" s="107"/>
    </row>
    <row r="4521" hidden="1">
      <c r="A4521" s="443"/>
      <c r="B4521" s="43"/>
      <c r="C4521" s="51"/>
      <c r="D4521" s="102"/>
      <c r="E4521" s="102"/>
      <c r="H4521" s="102"/>
      <c r="J4521" s="102"/>
      <c r="K4521" s="450"/>
      <c r="L4521" s="443"/>
      <c r="M4521" s="450"/>
      <c r="N4521" s="452"/>
      <c r="O4521" s="453"/>
      <c r="P4521" s="113"/>
      <c r="Q4521" s="106"/>
      <c r="R4521" s="107"/>
    </row>
    <row r="4522" hidden="1">
      <c r="A4522" s="443"/>
      <c r="B4522" s="43"/>
      <c r="C4522" s="51"/>
      <c r="D4522" s="102"/>
      <c r="E4522" s="102"/>
      <c r="H4522" s="102"/>
      <c r="J4522" s="102"/>
      <c r="K4522" s="450"/>
      <c r="L4522" s="443"/>
      <c r="M4522" s="450"/>
      <c r="N4522" s="452"/>
      <c r="O4522" s="453"/>
      <c r="P4522" s="113"/>
      <c r="Q4522" s="106"/>
      <c r="R4522" s="107"/>
    </row>
    <row r="4523" hidden="1">
      <c r="A4523" s="443"/>
      <c r="B4523" s="43"/>
      <c r="C4523" s="51"/>
      <c r="D4523" s="102"/>
      <c r="E4523" s="102"/>
      <c r="H4523" s="102"/>
      <c r="J4523" s="102"/>
      <c r="K4523" s="450"/>
      <c r="L4523" s="443"/>
      <c r="M4523" s="450"/>
      <c r="N4523" s="452"/>
      <c r="O4523" s="453"/>
      <c r="P4523" s="113"/>
      <c r="Q4523" s="106"/>
      <c r="R4523" s="107"/>
    </row>
    <row r="4524" hidden="1">
      <c r="A4524" s="443"/>
      <c r="B4524" s="43"/>
      <c r="C4524" s="51"/>
      <c r="D4524" s="102"/>
      <c r="E4524" s="102"/>
      <c r="H4524" s="102"/>
      <c r="J4524" s="102"/>
      <c r="K4524" s="450"/>
      <c r="L4524" s="443"/>
      <c r="M4524" s="450"/>
      <c r="N4524" s="452"/>
      <c r="O4524" s="453"/>
      <c r="P4524" s="113"/>
      <c r="Q4524" s="106"/>
      <c r="R4524" s="107"/>
    </row>
    <row r="4525" hidden="1">
      <c r="A4525" s="443"/>
      <c r="B4525" s="43"/>
      <c r="C4525" s="51"/>
      <c r="D4525" s="102"/>
      <c r="E4525" s="102"/>
      <c r="H4525" s="102"/>
      <c r="J4525" s="102"/>
      <c r="K4525" s="450"/>
      <c r="L4525" s="443"/>
      <c r="M4525" s="450"/>
      <c r="N4525" s="452"/>
      <c r="O4525" s="453"/>
      <c r="P4525" s="113"/>
      <c r="Q4525" s="106"/>
      <c r="R4525" s="107"/>
    </row>
    <row r="4526" hidden="1">
      <c r="A4526" s="443"/>
      <c r="B4526" s="43"/>
      <c r="C4526" s="51"/>
      <c r="D4526" s="102"/>
      <c r="E4526" s="102"/>
      <c r="H4526" s="102"/>
      <c r="J4526" s="102"/>
      <c r="K4526" s="450"/>
      <c r="L4526" s="443"/>
      <c r="M4526" s="450"/>
      <c r="N4526" s="452"/>
      <c r="O4526" s="453"/>
      <c r="P4526" s="113"/>
      <c r="Q4526" s="106"/>
      <c r="R4526" s="107"/>
    </row>
    <row r="4527" hidden="1">
      <c r="A4527" s="443"/>
      <c r="B4527" s="43"/>
      <c r="C4527" s="51"/>
      <c r="D4527" s="102"/>
      <c r="E4527" s="102"/>
      <c r="H4527" s="102"/>
      <c r="J4527" s="102"/>
      <c r="K4527" s="450"/>
      <c r="L4527" s="443"/>
      <c r="M4527" s="450"/>
      <c r="N4527" s="452"/>
      <c r="O4527" s="453"/>
      <c r="P4527" s="113"/>
      <c r="Q4527" s="106"/>
      <c r="R4527" s="107"/>
    </row>
    <row r="4528" hidden="1">
      <c r="A4528" s="443"/>
      <c r="B4528" s="43"/>
      <c r="C4528" s="51"/>
      <c r="D4528" s="102"/>
      <c r="E4528" s="102"/>
      <c r="H4528" s="102"/>
      <c r="J4528" s="102"/>
      <c r="K4528" s="450"/>
      <c r="L4528" s="443"/>
      <c r="M4528" s="450"/>
      <c r="N4528" s="452"/>
      <c r="O4528" s="453"/>
      <c r="P4528" s="113"/>
      <c r="Q4528" s="106"/>
      <c r="R4528" s="107"/>
    </row>
    <row r="4529" hidden="1">
      <c r="A4529" s="443"/>
      <c r="B4529" s="43"/>
      <c r="C4529" s="51"/>
      <c r="D4529" s="102"/>
      <c r="E4529" s="102"/>
      <c r="H4529" s="102"/>
      <c r="J4529" s="102"/>
      <c r="K4529" s="450"/>
      <c r="L4529" s="443"/>
      <c r="M4529" s="450"/>
      <c r="N4529" s="452"/>
      <c r="O4529" s="453"/>
      <c r="P4529" s="113"/>
      <c r="Q4529" s="106"/>
      <c r="R4529" s="107"/>
    </row>
    <row r="4530" hidden="1">
      <c r="A4530" s="443"/>
      <c r="B4530" s="43"/>
      <c r="C4530" s="51"/>
      <c r="D4530" s="102"/>
      <c r="E4530" s="102"/>
      <c r="H4530" s="102"/>
      <c r="J4530" s="102"/>
      <c r="K4530" s="450"/>
      <c r="L4530" s="443"/>
      <c r="M4530" s="450"/>
      <c r="N4530" s="452"/>
      <c r="O4530" s="453"/>
      <c r="P4530" s="113"/>
      <c r="Q4530" s="106"/>
      <c r="R4530" s="107"/>
    </row>
    <row r="4531" hidden="1">
      <c r="A4531" s="443"/>
      <c r="B4531" s="43"/>
      <c r="C4531" s="51"/>
      <c r="D4531" s="102"/>
      <c r="E4531" s="102"/>
      <c r="H4531" s="102"/>
      <c r="J4531" s="102"/>
      <c r="K4531" s="450"/>
      <c r="L4531" s="443"/>
      <c r="M4531" s="450"/>
      <c r="N4531" s="452"/>
      <c r="O4531" s="453"/>
      <c r="P4531" s="113"/>
      <c r="Q4531" s="106"/>
      <c r="R4531" s="107"/>
    </row>
    <row r="4532" hidden="1">
      <c r="A4532" s="443"/>
      <c r="B4532" s="43"/>
      <c r="C4532" s="51"/>
      <c r="D4532" s="102"/>
      <c r="E4532" s="102"/>
      <c r="H4532" s="102"/>
      <c r="J4532" s="102"/>
      <c r="K4532" s="450"/>
      <c r="L4532" s="443"/>
      <c r="M4532" s="450"/>
      <c r="N4532" s="452"/>
      <c r="O4532" s="453"/>
      <c r="P4532" s="113"/>
      <c r="Q4532" s="106"/>
      <c r="R4532" s="107"/>
    </row>
    <row r="4533" hidden="1">
      <c r="A4533" s="443"/>
      <c r="B4533" s="43"/>
      <c r="C4533" s="51"/>
      <c r="D4533" s="102"/>
      <c r="E4533" s="102"/>
      <c r="H4533" s="102"/>
      <c r="J4533" s="102"/>
      <c r="K4533" s="450"/>
      <c r="L4533" s="443"/>
      <c r="M4533" s="450"/>
      <c r="N4533" s="452"/>
      <c r="O4533" s="453"/>
      <c r="P4533" s="113"/>
      <c r="Q4533" s="106"/>
      <c r="R4533" s="107"/>
    </row>
    <row r="4534" hidden="1">
      <c r="A4534" s="443"/>
      <c r="B4534" s="43"/>
      <c r="C4534" s="51"/>
      <c r="D4534" s="102"/>
      <c r="E4534" s="102"/>
      <c r="H4534" s="102"/>
      <c r="J4534" s="102"/>
      <c r="K4534" s="450"/>
      <c r="L4534" s="443"/>
      <c r="M4534" s="450"/>
      <c r="N4534" s="452"/>
      <c r="O4534" s="453"/>
      <c r="P4534" s="113"/>
      <c r="Q4534" s="106"/>
      <c r="R4534" s="107"/>
    </row>
    <row r="4535" hidden="1">
      <c r="A4535" s="443"/>
      <c r="B4535" s="43"/>
      <c r="C4535" s="51"/>
      <c r="D4535" s="102"/>
      <c r="E4535" s="102"/>
      <c r="H4535" s="102"/>
      <c r="J4535" s="102"/>
      <c r="K4535" s="450"/>
      <c r="L4535" s="443"/>
      <c r="M4535" s="450"/>
      <c r="N4535" s="452"/>
      <c r="O4535" s="453"/>
      <c r="P4535" s="113"/>
      <c r="Q4535" s="106"/>
      <c r="R4535" s="107"/>
    </row>
    <row r="4536" hidden="1">
      <c r="A4536" s="443"/>
      <c r="B4536" s="43"/>
      <c r="C4536" s="51"/>
      <c r="D4536" s="102"/>
      <c r="E4536" s="102"/>
      <c r="H4536" s="102"/>
      <c r="J4536" s="102"/>
      <c r="K4536" s="450"/>
      <c r="L4536" s="443"/>
      <c r="M4536" s="450"/>
      <c r="N4536" s="452"/>
      <c r="O4536" s="453"/>
      <c r="P4536" s="113"/>
      <c r="Q4536" s="106"/>
      <c r="R4536" s="107"/>
    </row>
    <row r="4537" hidden="1">
      <c r="A4537" s="443"/>
      <c r="B4537" s="43"/>
      <c r="C4537" s="51"/>
      <c r="D4537" s="102"/>
      <c r="E4537" s="102"/>
      <c r="H4537" s="102"/>
      <c r="J4537" s="102"/>
      <c r="K4537" s="450"/>
      <c r="L4537" s="443"/>
      <c r="M4537" s="450"/>
      <c r="N4537" s="452"/>
      <c r="O4537" s="453"/>
      <c r="P4537" s="113"/>
      <c r="Q4537" s="106"/>
      <c r="R4537" s="107"/>
    </row>
    <row r="4538" hidden="1">
      <c r="A4538" s="443"/>
      <c r="B4538" s="43"/>
      <c r="C4538" s="51"/>
      <c r="D4538" s="102"/>
      <c r="E4538" s="102"/>
      <c r="H4538" s="102"/>
      <c r="J4538" s="102"/>
      <c r="K4538" s="450"/>
      <c r="L4538" s="443"/>
      <c r="M4538" s="450"/>
      <c r="N4538" s="452"/>
      <c r="O4538" s="453"/>
      <c r="P4538" s="113"/>
      <c r="Q4538" s="106"/>
      <c r="R4538" s="107"/>
    </row>
    <row r="4539" hidden="1">
      <c r="A4539" s="443"/>
      <c r="B4539" s="43"/>
      <c r="C4539" s="51"/>
      <c r="D4539" s="102"/>
      <c r="E4539" s="102"/>
      <c r="H4539" s="102"/>
      <c r="J4539" s="102"/>
      <c r="K4539" s="450"/>
      <c r="L4539" s="443"/>
      <c r="M4539" s="450"/>
      <c r="N4539" s="452"/>
      <c r="O4539" s="453"/>
      <c r="P4539" s="113"/>
      <c r="Q4539" s="106"/>
      <c r="R4539" s="107"/>
    </row>
    <row r="4540" hidden="1">
      <c r="A4540" s="443"/>
      <c r="B4540" s="43"/>
      <c r="C4540" s="51"/>
      <c r="D4540" s="102"/>
      <c r="E4540" s="102"/>
      <c r="H4540" s="102"/>
      <c r="J4540" s="102"/>
      <c r="K4540" s="450"/>
      <c r="L4540" s="443"/>
      <c r="M4540" s="450"/>
      <c r="N4540" s="452"/>
      <c r="O4540" s="453"/>
      <c r="P4540" s="113"/>
      <c r="Q4540" s="106"/>
      <c r="R4540" s="107"/>
    </row>
    <row r="4541" hidden="1">
      <c r="A4541" s="443"/>
      <c r="B4541" s="43"/>
      <c r="C4541" s="51"/>
      <c r="D4541" s="102"/>
      <c r="E4541" s="102"/>
      <c r="H4541" s="102"/>
      <c r="J4541" s="102"/>
      <c r="K4541" s="450"/>
      <c r="L4541" s="443"/>
      <c r="M4541" s="450"/>
      <c r="N4541" s="452"/>
      <c r="O4541" s="453"/>
      <c r="P4541" s="113"/>
      <c r="Q4541" s="106"/>
      <c r="R4541" s="107"/>
    </row>
    <row r="4542" hidden="1">
      <c r="A4542" s="443"/>
      <c r="B4542" s="43"/>
      <c r="C4542" s="51"/>
      <c r="D4542" s="102"/>
      <c r="E4542" s="102"/>
      <c r="H4542" s="102"/>
      <c r="J4542" s="102"/>
      <c r="K4542" s="450"/>
      <c r="L4542" s="443"/>
      <c r="M4542" s="450"/>
      <c r="N4542" s="452"/>
      <c r="O4542" s="453"/>
      <c r="P4542" s="113"/>
      <c r="Q4542" s="106"/>
      <c r="R4542" s="107"/>
    </row>
    <row r="4543" hidden="1">
      <c r="A4543" s="443"/>
      <c r="B4543" s="43"/>
      <c r="C4543" s="51"/>
      <c r="D4543" s="102"/>
      <c r="E4543" s="102"/>
      <c r="H4543" s="102"/>
      <c r="J4543" s="102"/>
      <c r="K4543" s="450"/>
      <c r="L4543" s="443"/>
      <c r="M4543" s="450"/>
      <c r="N4543" s="452"/>
      <c r="O4543" s="453"/>
      <c r="P4543" s="113"/>
      <c r="Q4543" s="106"/>
      <c r="R4543" s="107"/>
    </row>
    <row r="4544" hidden="1">
      <c r="A4544" s="443"/>
      <c r="B4544" s="43"/>
      <c r="C4544" s="51"/>
      <c r="D4544" s="102"/>
      <c r="E4544" s="102"/>
      <c r="H4544" s="102"/>
      <c r="J4544" s="102"/>
      <c r="K4544" s="450"/>
      <c r="L4544" s="443"/>
      <c r="M4544" s="450"/>
      <c r="N4544" s="452"/>
      <c r="O4544" s="453"/>
      <c r="P4544" s="113"/>
      <c r="Q4544" s="106"/>
      <c r="R4544" s="107"/>
    </row>
    <row r="4545" hidden="1">
      <c r="A4545" s="443"/>
      <c r="B4545" s="43"/>
      <c r="C4545" s="51"/>
      <c r="D4545" s="102"/>
      <c r="E4545" s="102"/>
      <c r="H4545" s="102"/>
      <c r="J4545" s="102"/>
      <c r="K4545" s="450"/>
      <c r="L4545" s="443"/>
      <c r="M4545" s="450"/>
      <c r="N4545" s="452"/>
      <c r="O4545" s="453"/>
      <c r="P4545" s="113"/>
      <c r="Q4545" s="106"/>
      <c r="R4545" s="107"/>
    </row>
    <row r="4546" hidden="1">
      <c r="A4546" s="443"/>
      <c r="B4546" s="43"/>
      <c r="C4546" s="51"/>
      <c r="D4546" s="102"/>
      <c r="E4546" s="102"/>
      <c r="H4546" s="102"/>
      <c r="J4546" s="102"/>
      <c r="K4546" s="450"/>
      <c r="L4546" s="443"/>
      <c r="M4546" s="450"/>
      <c r="N4546" s="452"/>
      <c r="O4546" s="453"/>
      <c r="P4546" s="113"/>
      <c r="Q4546" s="106"/>
      <c r="R4546" s="107"/>
    </row>
    <row r="4547" hidden="1">
      <c r="A4547" s="443"/>
      <c r="B4547" s="43"/>
      <c r="C4547" s="51"/>
      <c r="D4547" s="102"/>
      <c r="E4547" s="102"/>
      <c r="H4547" s="102"/>
      <c r="J4547" s="102"/>
      <c r="K4547" s="450"/>
      <c r="L4547" s="443"/>
      <c r="M4547" s="450"/>
      <c r="N4547" s="452"/>
      <c r="O4547" s="453"/>
      <c r="P4547" s="113"/>
      <c r="Q4547" s="106"/>
      <c r="R4547" s="107"/>
    </row>
    <row r="4548" hidden="1">
      <c r="A4548" s="443"/>
      <c r="B4548" s="43"/>
      <c r="C4548" s="51"/>
      <c r="D4548" s="102"/>
      <c r="E4548" s="102"/>
      <c r="H4548" s="102"/>
      <c r="J4548" s="102"/>
      <c r="K4548" s="450"/>
      <c r="L4548" s="443"/>
      <c r="M4548" s="450"/>
      <c r="N4548" s="452"/>
      <c r="O4548" s="453"/>
      <c r="P4548" s="113"/>
      <c r="Q4548" s="106"/>
      <c r="R4548" s="107"/>
    </row>
    <row r="4549" hidden="1">
      <c r="A4549" s="443"/>
      <c r="B4549" s="43"/>
      <c r="C4549" s="51"/>
      <c r="D4549" s="102"/>
      <c r="E4549" s="102"/>
      <c r="H4549" s="102"/>
      <c r="J4549" s="102"/>
      <c r="K4549" s="450"/>
      <c r="L4549" s="443"/>
      <c r="M4549" s="450"/>
      <c r="N4549" s="452"/>
      <c r="O4549" s="453"/>
      <c r="P4549" s="113"/>
      <c r="Q4549" s="106"/>
      <c r="R4549" s="107"/>
    </row>
    <row r="4550" hidden="1">
      <c r="A4550" s="443"/>
      <c r="B4550" s="43"/>
      <c r="C4550" s="51"/>
      <c r="D4550" s="102"/>
      <c r="E4550" s="102"/>
      <c r="H4550" s="102"/>
      <c r="J4550" s="102"/>
      <c r="K4550" s="450"/>
      <c r="L4550" s="443"/>
      <c r="M4550" s="450"/>
      <c r="N4550" s="452"/>
      <c r="O4550" s="453"/>
      <c r="P4550" s="113"/>
      <c r="Q4550" s="106"/>
      <c r="R4550" s="107"/>
    </row>
    <row r="4551" hidden="1">
      <c r="A4551" s="443"/>
      <c r="B4551" s="43"/>
      <c r="C4551" s="51"/>
      <c r="D4551" s="102"/>
      <c r="E4551" s="102"/>
      <c r="H4551" s="102"/>
      <c r="J4551" s="102"/>
      <c r="K4551" s="450"/>
      <c r="L4551" s="443"/>
      <c r="M4551" s="450"/>
      <c r="N4551" s="452"/>
      <c r="O4551" s="453"/>
      <c r="P4551" s="113"/>
      <c r="Q4551" s="106"/>
      <c r="R4551" s="107"/>
    </row>
    <row r="4552" hidden="1">
      <c r="A4552" s="443"/>
      <c r="B4552" s="43"/>
      <c r="C4552" s="51"/>
      <c r="D4552" s="102"/>
      <c r="E4552" s="102"/>
      <c r="H4552" s="102"/>
      <c r="J4552" s="102"/>
      <c r="K4552" s="450"/>
      <c r="L4552" s="443"/>
      <c r="M4552" s="450"/>
      <c r="N4552" s="452"/>
      <c r="O4552" s="453"/>
      <c r="P4552" s="113"/>
      <c r="Q4552" s="106"/>
      <c r="R4552" s="107"/>
    </row>
    <row r="4553" hidden="1">
      <c r="A4553" s="443"/>
      <c r="B4553" s="43"/>
      <c r="C4553" s="51"/>
      <c r="D4553" s="102"/>
      <c r="E4553" s="102"/>
      <c r="H4553" s="102"/>
      <c r="J4553" s="102"/>
      <c r="K4553" s="450"/>
      <c r="L4553" s="443"/>
      <c r="M4553" s="450"/>
      <c r="N4553" s="452"/>
      <c r="O4553" s="453"/>
      <c r="P4553" s="113"/>
      <c r="Q4553" s="106"/>
      <c r="R4553" s="107"/>
    </row>
    <row r="4554" hidden="1">
      <c r="A4554" s="443"/>
      <c r="B4554" s="43"/>
      <c r="C4554" s="51"/>
      <c r="D4554" s="102"/>
      <c r="E4554" s="102"/>
      <c r="H4554" s="102"/>
      <c r="J4554" s="102"/>
      <c r="K4554" s="450"/>
      <c r="L4554" s="443"/>
      <c r="M4554" s="450"/>
      <c r="N4554" s="452"/>
      <c r="O4554" s="453"/>
      <c r="P4554" s="113"/>
      <c r="Q4554" s="106"/>
      <c r="R4554" s="107"/>
    </row>
    <row r="4555" hidden="1">
      <c r="A4555" s="443"/>
      <c r="B4555" s="43"/>
      <c r="C4555" s="51"/>
      <c r="D4555" s="102"/>
      <c r="E4555" s="102"/>
      <c r="H4555" s="102"/>
      <c r="J4555" s="102"/>
      <c r="K4555" s="450"/>
      <c r="L4555" s="443"/>
      <c r="M4555" s="450"/>
      <c r="N4555" s="452"/>
      <c r="O4555" s="453"/>
      <c r="P4555" s="113"/>
      <c r="Q4555" s="106"/>
      <c r="R4555" s="107"/>
    </row>
    <row r="4556" hidden="1">
      <c r="A4556" s="443"/>
      <c r="B4556" s="43"/>
      <c r="C4556" s="51"/>
      <c r="D4556" s="102"/>
      <c r="E4556" s="102"/>
      <c r="H4556" s="102"/>
      <c r="J4556" s="102"/>
      <c r="K4556" s="450"/>
      <c r="L4556" s="443"/>
      <c r="M4556" s="450"/>
      <c r="N4556" s="452"/>
      <c r="O4556" s="453"/>
      <c r="P4556" s="113"/>
      <c r="Q4556" s="106"/>
      <c r="R4556" s="107"/>
    </row>
    <row r="4557" hidden="1">
      <c r="A4557" s="443"/>
      <c r="B4557" s="43"/>
      <c r="C4557" s="51"/>
      <c r="D4557" s="102"/>
      <c r="E4557" s="102"/>
      <c r="H4557" s="102"/>
      <c r="J4557" s="102"/>
      <c r="K4557" s="450"/>
      <c r="L4557" s="443"/>
      <c r="M4557" s="450"/>
      <c r="N4557" s="452"/>
      <c r="O4557" s="453"/>
      <c r="P4557" s="113"/>
      <c r="Q4557" s="106"/>
      <c r="R4557" s="107"/>
    </row>
    <row r="4558" hidden="1">
      <c r="A4558" s="443"/>
      <c r="B4558" s="43"/>
      <c r="C4558" s="51"/>
      <c r="D4558" s="102"/>
      <c r="E4558" s="102"/>
      <c r="H4558" s="102"/>
      <c r="J4558" s="102"/>
      <c r="K4558" s="450"/>
      <c r="L4558" s="443"/>
      <c r="M4558" s="450"/>
      <c r="N4558" s="452"/>
      <c r="O4558" s="453"/>
      <c r="P4558" s="113"/>
      <c r="Q4558" s="106"/>
      <c r="R4558" s="107"/>
    </row>
    <row r="4559" hidden="1">
      <c r="A4559" s="443"/>
      <c r="B4559" s="43"/>
      <c r="C4559" s="51"/>
      <c r="D4559" s="102"/>
      <c r="E4559" s="102"/>
      <c r="H4559" s="102"/>
      <c r="J4559" s="102"/>
      <c r="K4559" s="450"/>
      <c r="L4559" s="443"/>
      <c r="M4559" s="450"/>
      <c r="N4559" s="452"/>
      <c r="O4559" s="453"/>
      <c r="P4559" s="113"/>
      <c r="Q4559" s="106"/>
      <c r="R4559" s="107"/>
    </row>
    <row r="4560" hidden="1">
      <c r="A4560" s="443"/>
      <c r="B4560" s="43"/>
      <c r="C4560" s="51"/>
      <c r="D4560" s="102"/>
      <c r="E4560" s="102"/>
      <c r="H4560" s="102"/>
      <c r="J4560" s="102"/>
      <c r="K4560" s="450"/>
      <c r="L4560" s="443"/>
      <c r="M4560" s="450"/>
      <c r="N4560" s="452"/>
      <c r="O4560" s="453"/>
      <c r="P4560" s="113"/>
      <c r="Q4560" s="106"/>
      <c r="R4560" s="107"/>
    </row>
    <row r="4561" hidden="1">
      <c r="A4561" s="443"/>
      <c r="B4561" s="43"/>
      <c r="C4561" s="51"/>
      <c r="D4561" s="102"/>
      <c r="E4561" s="102"/>
      <c r="H4561" s="102"/>
      <c r="J4561" s="102"/>
      <c r="K4561" s="450"/>
      <c r="L4561" s="443"/>
      <c r="M4561" s="450"/>
      <c r="N4561" s="452"/>
      <c r="O4561" s="453"/>
      <c r="P4561" s="113"/>
      <c r="Q4561" s="106"/>
      <c r="R4561" s="107"/>
    </row>
    <row r="4562" hidden="1">
      <c r="A4562" s="443"/>
      <c r="B4562" s="43"/>
      <c r="C4562" s="51"/>
      <c r="D4562" s="102"/>
      <c r="E4562" s="102"/>
      <c r="H4562" s="102"/>
      <c r="J4562" s="102"/>
      <c r="K4562" s="450"/>
      <c r="L4562" s="443"/>
      <c r="M4562" s="450"/>
      <c r="N4562" s="452"/>
      <c r="O4562" s="453"/>
      <c r="P4562" s="113"/>
      <c r="Q4562" s="106"/>
      <c r="R4562" s="107"/>
    </row>
    <row r="4563" hidden="1">
      <c r="A4563" s="443"/>
      <c r="B4563" s="43"/>
      <c r="C4563" s="51"/>
      <c r="D4563" s="102"/>
      <c r="E4563" s="102"/>
      <c r="H4563" s="102"/>
      <c r="J4563" s="102"/>
      <c r="K4563" s="450"/>
      <c r="L4563" s="443"/>
      <c r="M4563" s="450"/>
      <c r="N4563" s="452"/>
      <c r="O4563" s="453"/>
      <c r="P4563" s="113"/>
      <c r="Q4563" s="106"/>
      <c r="R4563" s="107"/>
    </row>
    <row r="4564" hidden="1">
      <c r="A4564" s="443"/>
      <c r="B4564" s="43"/>
      <c r="C4564" s="51"/>
      <c r="D4564" s="102"/>
      <c r="E4564" s="102"/>
      <c r="H4564" s="102"/>
      <c r="J4564" s="102"/>
      <c r="K4564" s="450"/>
      <c r="L4564" s="443"/>
      <c r="M4564" s="450"/>
      <c r="N4564" s="452"/>
      <c r="O4564" s="453"/>
      <c r="P4564" s="113"/>
      <c r="Q4564" s="106"/>
      <c r="R4564" s="107"/>
    </row>
    <row r="4565" hidden="1">
      <c r="A4565" s="443"/>
      <c r="B4565" s="43"/>
      <c r="C4565" s="51"/>
      <c r="D4565" s="102"/>
      <c r="E4565" s="102"/>
      <c r="H4565" s="102"/>
      <c r="J4565" s="102"/>
      <c r="K4565" s="450"/>
      <c r="L4565" s="443"/>
      <c r="M4565" s="450"/>
      <c r="N4565" s="452"/>
      <c r="O4565" s="453"/>
      <c r="P4565" s="113"/>
      <c r="Q4565" s="106"/>
      <c r="R4565" s="107"/>
    </row>
    <row r="4566" hidden="1">
      <c r="A4566" s="443"/>
      <c r="B4566" s="43"/>
      <c r="C4566" s="51"/>
      <c r="D4566" s="102"/>
      <c r="E4566" s="102"/>
      <c r="H4566" s="102"/>
      <c r="J4566" s="102"/>
      <c r="K4566" s="450"/>
      <c r="L4566" s="443"/>
      <c r="M4566" s="450"/>
      <c r="N4566" s="452"/>
      <c r="O4566" s="453"/>
      <c r="P4566" s="113"/>
      <c r="Q4566" s="106"/>
      <c r="R4566" s="107"/>
    </row>
    <row r="4567" hidden="1">
      <c r="A4567" s="443"/>
      <c r="B4567" s="43"/>
      <c r="C4567" s="51"/>
      <c r="D4567" s="102"/>
      <c r="E4567" s="102"/>
      <c r="H4567" s="102"/>
      <c r="J4567" s="102"/>
      <c r="K4567" s="450"/>
      <c r="L4567" s="443"/>
      <c r="M4567" s="450"/>
      <c r="N4567" s="452"/>
      <c r="O4567" s="453"/>
      <c r="P4567" s="113"/>
      <c r="Q4567" s="106"/>
      <c r="R4567" s="107"/>
    </row>
    <row r="4568" hidden="1">
      <c r="A4568" s="443"/>
      <c r="B4568" s="43"/>
      <c r="C4568" s="51"/>
      <c r="D4568" s="102"/>
      <c r="E4568" s="102"/>
      <c r="H4568" s="102"/>
      <c r="J4568" s="102"/>
      <c r="K4568" s="450"/>
      <c r="L4568" s="443"/>
      <c r="M4568" s="450"/>
      <c r="N4568" s="452"/>
      <c r="O4568" s="453"/>
      <c r="P4568" s="113"/>
      <c r="Q4568" s="106"/>
      <c r="R4568" s="107"/>
    </row>
    <row r="4569" hidden="1">
      <c r="A4569" s="443"/>
      <c r="B4569" s="43"/>
      <c r="C4569" s="51"/>
      <c r="D4569" s="102"/>
      <c r="E4569" s="102"/>
      <c r="H4569" s="102"/>
      <c r="J4569" s="102"/>
      <c r="K4569" s="450"/>
      <c r="L4569" s="443"/>
      <c r="M4569" s="450"/>
      <c r="N4569" s="452"/>
      <c r="O4569" s="453"/>
      <c r="P4569" s="113"/>
      <c r="Q4569" s="106"/>
      <c r="R4569" s="107"/>
    </row>
    <row r="4570" hidden="1">
      <c r="A4570" s="443"/>
      <c r="B4570" s="43"/>
      <c r="C4570" s="51"/>
      <c r="D4570" s="102"/>
      <c r="E4570" s="102"/>
      <c r="H4570" s="102"/>
      <c r="J4570" s="102"/>
      <c r="K4570" s="450"/>
      <c r="L4570" s="443"/>
      <c r="M4570" s="450"/>
      <c r="N4570" s="452"/>
      <c r="O4570" s="453"/>
      <c r="P4570" s="113"/>
      <c r="Q4570" s="106"/>
      <c r="R4570" s="107"/>
    </row>
    <row r="4571" hidden="1">
      <c r="A4571" s="443"/>
      <c r="B4571" s="43"/>
      <c r="C4571" s="51"/>
      <c r="D4571" s="102"/>
      <c r="E4571" s="102"/>
      <c r="H4571" s="102"/>
      <c r="J4571" s="102"/>
      <c r="K4571" s="450"/>
      <c r="L4571" s="443"/>
      <c r="M4571" s="450"/>
      <c r="N4571" s="452"/>
      <c r="O4571" s="453"/>
      <c r="P4571" s="113"/>
      <c r="Q4571" s="106"/>
      <c r="R4571" s="107"/>
    </row>
    <row r="4572" hidden="1">
      <c r="A4572" s="443"/>
      <c r="B4572" s="43"/>
      <c r="C4572" s="51"/>
      <c r="D4572" s="102"/>
      <c r="E4572" s="102"/>
      <c r="H4572" s="102"/>
      <c r="J4572" s="102"/>
      <c r="K4572" s="450"/>
      <c r="L4572" s="443"/>
      <c r="M4572" s="450"/>
      <c r="N4572" s="452"/>
      <c r="O4572" s="453"/>
      <c r="P4572" s="113"/>
      <c r="Q4572" s="106"/>
      <c r="R4572" s="107"/>
    </row>
    <row r="4573" hidden="1">
      <c r="A4573" s="443"/>
      <c r="B4573" s="43"/>
      <c r="C4573" s="51"/>
      <c r="D4573" s="102"/>
      <c r="E4573" s="102"/>
      <c r="H4573" s="102"/>
      <c r="J4573" s="102"/>
      <c r="K4573" s="450"/>
      <c r="L4573" s="443"/>
      <c r="M4573" s="450"/>
      <c r="N4573" s="452"/>
      <c r="O4573" s="453"/>
      <c r="P4573" s="113"/>
      <c r="Q4573" s="106"/>
      <c r="R4573" s="107"/>
    </row>
    <row r="4574" hidden="1">
      <c r="A4574" s="443"/>
      <c r="B4574" s="43"/>
      <c r="C4574" s="51"/>
      <c r="D4574" s="102"/>
      <c r="E4574" s="102"/>
      <c r="H4574" s="102"/>
      <c r="J4574" s="102"/>
      <c r="K4574" s="450"/>
      <c r="L4574" s="443"/>
      <c r="M4574" s="450"/>
      <c r="N4574" s="452"/>
      <c r="O4574" s="453"/>
      <c r="P4574" s="113"/>
      <c r="Q4574" s="106"/>
      <c r="R4574" s="107"/>
    </row>
    <row r="4575" hidden="1">
      <c r="A4575" s="443"/>
      <c r="B4575" s="43"/>
      <c r="C4575" s="51"/>
      <c r="D4575" s="102"/>
      <c r="E4575" s="102"/>
      <c r="H4575" s="102"/>
      <c r="J4575" s="102"/>
      <c r="K4575" s="450"/>
      <c r="L4575" s="443"/>
      <c r="M4575" s="450"/>
      <c r="N4575" s="452"/>
      <c r="O4575" s="453"/>
      <c r="P4575" s="113"/>
      <c r="Q4575" s="106"/>
      <c r="R4575" s="107"/>
    </row>
    <row r="4576" hidden="1">
      <c r="A4576" s="443"/>
      <c r="B4576" s="43"/>
      <c r="C4576" s="51"/>
      <c r="D4576" s="102"/>
      <c r="E4576" s="102"/>
      <c r="H4576" s="102"/>
      <c r="J4576" s="102"/>
      <c r="K4576" s="450"/>
      <c r="L4576" s="443"/>
      <c r="M4576" s="450"/>
      <c r="N4576" s="452"/>
      <c r="O4576" s="453"/>
      <c r="P4576" s="113"/>
      <c r="Q4576" s="106"/>
      <c r="R4576" s="107"/>
    </row>
    <row r="4577" hidden="1">
      <c r="A4577" s="443"/>
      <c r="B4577" s="43"/>
      <c r="C4577" s="51"/>
      <c r="D4577" s="102"/>
      <c r="E4577" s="102"/>
      <c r="H4577" s="102"/>
      <c r="J4577" s="102"/>
      <c r="K4577" s="450"/>
      <c r="L4577" s="443"/>
      <c r="M4577" s="450"/>
      <c r="N4577" s="452"/>
      <c r="O4577" s="453"/>
      <c r="P4577" s="113"/>
      <c r="Q4577" s="106"/>
      <c r="R4577" s="107"/>
    </row>
    <row r="4578" hidden="1">
      <c r="A4578" s="443"/>
      <c r="B4578" s="43"/>
      <c r="C4578" s="51"/>
      <c r="D4578" s="102"/>
      <c r="E4578" s="102"/>
      <c r="H4578" s="102"/>
      <c r="J4578" s="102"/>
      <c r="K4578" s="450"/>
      <c r="L4578" s="443"/>
      <c r="M4578" s="450"/>
      <c r="N4578" s="452"/>
      <c r="O4578" s="453"/>
      <c r="P4578" s="113"/>
      <c r="Q4578" s="106"/>
      <c r="R4578" s="107"/>
    </row>
    <row r="4579" hidden="1">
      <c r="A4579" s="443"/>
      <c r="B4579" s="43"/>
      <c r="C4579" s="51"/>
      <c r="D4579" s="102"/>
      <c r="E4579" s="102"/>
      <c r="H4579" s="102"/>
      <c r="J4579" s="102"/>
      <c r="K4579" s="450"/>
      <c r="L4579" s="443"/>
      <c r="M4579" s="450"/>
      <c r="N4579" s="452"/>
      <c r="O4579" s="453"/>
      <c r="P4579" s="113"/>
      <c r="Q4579" s="106"/>
      <c r="R4579" s="107"/>
    </row>
    <row r="4580" hidden="1">
      <c r="A4580" s="443"/>
      <c r="B4580" s="43"/>
      <c r="C4580" s="51"/>
      <c r="D4580" s="102"/>
      <c r="E4580" s="102"/>
      <c r="H4580" s="102"/>
      <c r="J4580" s="102"/>
      <c r="K4580" s="450"/>
      <c r="L4580" s="443"/>
      <c r="M4580" s="450"/>
      <c r="N4580" s="452"/>
      <c r="O4580" s="453"/>
      <c r="P4580" s="113"/>
      <c r="Q4580" s="106"/>
      <c r="R4580" s="107"/>
    </row>
    <row r="4581" hidden="1">
      <c r="A4581" s="443"/>
      <c r="B4581" s="43"/>
      <c r="C4581" s="51"/>
      <c r="D4581" s="102"/>
      <c r="E4581" s="102"/>
      <c r="H4581" s="102"/>
      <c r="J4581" s="102"/>
      <c r="K4581" s="450"/>
      <c r="L4581" s="443"/>
      <c r="M4581" s="450"/>
      <c r="N4581" s="452"/>
      <c r="O4581" s="453"/>
      <c r="P4581" s="113"/>
      <c r="Q4581" s="106"/>
      <c r="R4581" s="107"/>
    </row>
    <row r="4582" hidden="1">
      <c r="A4582" s="443"/>
      <c r="B4582" s="43"/>
      <c r="C4582" s="51"/>
      <c r="D4582" s="102"/>
      <c r="E4582" s="102"/>
      <c r="H4582" s="102"/>
      <c r="J4582" s="102"/>
      <c r="K4582" s="450"/>
      <c r="L4582" s="443"/>
      <c r="M4582" s="450"/>
      <c r="N4582" s="452"/>
      <c r="O4582" s="453"/>
      <c r="P4582" s="113"/>
      <c r="Q4582" s="106"/>
      <c r="R4582" s="107"/>
    </row>
    <row r="4583" hidden="1">
      <c r="A4583" s="443"/>
      <c r="B4583" s="43"/>
      <c r="C4583" s="51"/>
      <c r="D4583" s="102"/>
      <c r="E4583" s="102"/>
      <c r="H4583" s="102"/>
      <c r="J4583" s="102"/>
      <c r="K4583" s="450"/>
      <c r="L4583" s="443"/>
      <c r="M4583" s="450"/>
      <c r="N4583" s="452"/>
      <c r="O4583" s="453"/>
      <c r="P4583" s="113"/>
      <c r="Q4583" s="106"/>
      <c r="R4583" s="107"/>
    </row>
    <row r="4584" hidden="1">
      <c r="A4584" s="443"/>
      <c r="B4584" s="43"/>
      <c r="C4584" s="51"/>
      <c r="D4584" s="102"/>
      <c r="E4584" s="102"/>
      <c r="H4584" s="102"/>
      <c r="J4584" s="102"/>
      <c r="K4584" s="450"/>
      <c r="L4584" s="443"/>
      <c r="M4584" s="450"/>
      <c r="N4584" s="452"/>
      <c r="O4584" s="453"/>
      <c r="P4584" s="113"/>
      <c r="Q4584" s="106"/>
      <c r="R4584" s="107"/>
    </row>
    <row r="4585" hidden="1">
      <c r="A4585" s="443"/>
      <c r="B4585" s="43"/>
      <c r="C4585" s="51"/>
      <c r="D4585" s="102"/>
      <c r="E4585" s="102"/>
      <c r="H4585" s="102"/>
      <c r="J4585" s="102"/>
      <c r="K4585" s="450"/>
      <c r="L4585" s="443"/>
      <c r="M4585" s="450"/>
      <c r="N4585" s="452"/>
      <c r="O4585" s="453"/>
      <c r="P4585" s="113"/>
      <c r="Q4585" s="106"/>
      <c r="R4585" s="107"/>
    </row>
    <row r="4586" hidden="1">
      <c r="A4586" s="443"/>
      <c r="B4586" s="43"/>
      <c r="C4586" s="51"/>
      <c r="D4586" s="102"/>
      <c r="E4586" s="102"/>
      <c r="H4586" s="102"/>
      <c r="J4586" s="102"/>
      <c r="K4586" s="450"/>
      <c r="L4586" s="443"/>
      <c r="M4586" s="450"/>
      <c r="N4586" s="452"/>
      <c r="O4586" s="453"/>
      <c r="P4586" s="113"/>
      <c r="Q4586" s="106"/>
      <c r="R4586" s="107"/>
    </row>
    <row r="4587" hidden="1">
      <c r="A4587" s="443"/>
      <c r="B4587" s="43"/>
      <c r="C4587" s="51"/>
      <c r="D4587" s="102"/>
      <c r="E4587" s="102"/>
      <c r="H4587" s="102"/>
      <c r="J4587" s="102"/>
      <c r="K4587" s="450"/>
      <c r="L4587" s="443"/>
      <c r="M4587" s="450"/>
      <c r="N4587" s="452"/>
      <c r="O4587" s="453"/>
      <c r="P4587" s="113"/>
      <c r="Q4587" s="106"/>
      <c r="R4587" s="107"/>
    </row>
    <row r="4588" hidden="1">
      <c r="A4588" s="443"/>
      <c r="B4588" s="43"/>
      <c r="C4588" s="51"/>
      <c r="D4588" s="102"/>
      <c r="E4588" s="102"/>
      <c r="H4588" s="102"/>
      <c r="J4588" s="102"/>
      <c r="K4588" s="450"/>
      <c r="L4588" s="443"/>
      <c r="M4588" s="450"/>
      <c r="N4588" s="452"/>
      <c r="O4588" s="453"/>
      <c r="P4588" s="113"/>
      <c r="Q4588" s="106"/>
      <c r="R4588" s="107"/>
    </row>
    <row r="4589" hidden="1">
      <c r="A4589" s="443"/>
      <c r="B4589" s="43"/>
      <c r="C4589" s="51"/>
      <c r="D4589" s="102"/>
      <c r="E4589" s="102"/>
      <c r="H4589" s="102"/>
      <c r="J4589" s="102"/>
      <c r="K4589" s="450"/>
      <c r="L4589" s="443"/>
      <c r="M4589" s="450"/>
      <c r="N4589" s="452"/>
      <c r="O4589" s="453"/>
      <c r="P4589" s="113"/>
      <c r="Q4589" s="106"/>
      <c r="R4589" s="107"/>
    </row>
    <row r="4590" hidden="1">
      <c r="A4590" s="443"/>
      <c r="B4590" s="43"/>
      <c r="C4590" s="51"/>
      <c r="D4590" s="102"/>
      <c r="E4590" s="102"/>
      <c r="H4590" s="102"/>
      <c r="J4590" s="102"/>
      <c r="K4590" s="450"/>
      <c r="L4590" s="443"/>
      <c r="M4590" s="450"/>
      <c r="N4590" s="452"/>
      <c r="O4590" s="453"/>
      <c r="P4590" s="113"/>
      <c r="Q4590" s="106"/>
      <c r="R4590" s="107"/>
    </row>
    <row r="4591" hidden="1">
      <c r="A4591" s="443"/>
      <c r="B4591" s="43"/>
      <c r="C4591" s="51"/>
      <c r="D4591" s="102"/>
      <c r="E4591" s="102"/>
      <c r="H4591" s="102"/>
      <c r="J4591" s="102"/>
      <c r="K4591" s="450"/>
      <c r="L4591" s="443"/>
      <c r="M4591" s="450"/>
      <c r="N4591" s="452"/>
      <c r="O4591" s="453"/>
      <c r="P4591" s="113"/>
      <c r="Q4591" s="106"/>
      <c r="R4591" s="107"/>
    </row>
    <row r="4592" hidden="1">
      <c r="A4592" s="443"/>
      <c r="B4592" s="43"/>
      <c r="C4592" s="51"/>
      <c r="D4592" s="102"/>
      <c r="E4592" s="102"/>
      <c r="H4592" s="102"/>
      <c r="J4592" s="102"/>
      <c r="K4592" s="450"/>
      <c r="L4592" s="443"/>
      <c r="M4592" s="450"/>
      <c r="N4592" s="452"/>
      <c r="O4592" s="453"/>
      <c r="P4592" s="113"/>
      <c r="Q4592" s="106"/>
      <c r="R4592" s="107"/>
    </row>
    <row r="4593" hidden="1">
      <c r="A4593" s="443"/>
      <c r="B4593" s="43"/>
      <c r="C4593" s="51"/>
      <c r="D4593" s="102"/>
      <c r="E4593" s="102"/>
      <c r="H4593" s="102"/>
      <c r="J4593" s="102"/>
      <c r="K4593" s="450"/>
      <c r="L4593" s="443"/>
      <c r="M4593" s="450"/>
      <c r="N4593" s="452"/>
      <c r="O4593" s="453"/>
      <c r="P4593" s="113"/>
      <c r="Q4593" s="106"/>
      <c r="R4593" s="107"/>
    </row>
    <row r="4594" hidden="1">
      <c r="A4594" s="443"/>
      <c r="B4594" s="43"/>
      <c r="C4594" s="51"/>
      <c r="D4594" s="102"/>
      <c r="E4594" s="102"/>
      <c r="H4594" s="102"/>
      <c r="J4594" s="102"/>
      <c r="K4594" s="450"/>
      <c r="L4594" s="443"/>
      <c r="M4594" s="450"/>
      <c r="N4594" s="452"/>
      <c r="O4594" s="453"/>
      <c r="P4594" s="113"/>
      <c r="Q4594" s="106"/>
      <c r="R4594" s="107"/>
    </row>
    <row r="4595" hidden="1">
      <c r="A4595" s="443"/>
      <c r="B4595" s="43"/>
      <c r="C4595" s="51"/>
      <c r="D4595" s="102"/>
      <c r="E4595" s="102"/>
      <c r="H4595" s="102"/>
      <c r="J4595" s="102"/>
      <c r="K4595" s="450"/>
      <c r="L4595" s="443"/>
      <c r="M4595" s="450"/>
      <c r="N4595" s="452"/>
      <c r="O4595" s="453"/>
      <c r="P4595" s="113"/>
      <c r="Q4595" s="106"/>
      <c r="R4595" s="107"/>
    </row>
    <row r="4596" hidden="1">
      <c r="A4596" s="443"/>
      <c r="B4596" s="43"/>
      <c r="C4596" s="51"/>
      <c r="D4596" s="102"/>
      <c r="E4596" s="102"/>
      <c r="H4596" s="102"/>
      <c r="J4596" s="102"/>
      <c r="K4596" s="450"/>
      <c r="L4596" s="443"/>
      <c r="M4596" s="450"/>
      <c r="N4596" s="452"/>
      <c r="O4596" s="453"/>
      <c r="P4596" s="113"/>
      <c r="Q4596" s="106"/>
      <c r="R4596" s="107"/>
    </row>
    <row r="4597" hidden="1">
      <c r="A4597" s="443"/>
      <c r="B4597" s="43"/>
      <c r="C4597" s="51"/>
      <c r="D4597" s="102"/>
      <c r="E4597" s="102"/>
      <c r="H4597" s="102"/>
      <c r="J4597" s="102"/>
      <c r="K4597" s="450"/>
      <c r="L4597" s="443"/>
      <c r="M4597" s="450"/>
      <c r="N4597" s="452"/>
      <c r="O4597" s="453"/>
      <c r="P4597" s="113"/>
      <c r="Q4597" s="106"/>
      <c r="R4597" s="107"/>
    </row>
    <row r="4598" hidden="1">
      <c r="A4598" s="443"/>
      <c r="B4598" s="43"/>
      <c r="C4598" s="51"/>
      <c r="D4598" s="102"/>
      <c r="E4598" s="102"/>
      <c r="H4598" s="102"/>
      <c r="J4598" s="102"/>
      <c r="K4598" s="450"/>
      <c r="L4598" s="443"/>
      <c r="M4598" s="450"/>
      <c r="N4598" s="452"/>
      <c r="O4598" s="453"/>
      <c r="P4598" s="113"/>
      <c r="Q4598" s="106"/>
      <c r="R4598" s="107"/>
    </row>
    <row r="4599" hidden="1">
      <c r="A4599" s="443"/>
      <c r="B4599" s="43"/>
      <c r="C4599" s="51"/>
      <c r="D4599" s="102"/>
      <c r="E4599" s="102"/>
      <c r="H4599" s="102"/>
      <c r="J4599" s="102"/>
      <c r="K4599" s="450"/>
      <c r="L4599" s="443"/>
      <c r="M4599" s="450"/>
      <c r="N4599" s="452"/>
      <c r="O4599" s="453"/>
      <c r="P4599" s="113"/>
      <c r="Q4599" s="106"/>
      <c r="R4599" s="107"/>
    </row>
    <row r="4600" hidden="1">
      <c r="A4600" s="443"/>
      <c r="B4600" s="43"/>
      <c r="C4600" s="51"/>
      <c r="D4600" s="102"/>
      <c r="E4600" s="102"/>
      <c r="H4600" s="102"/>
      <c r="J4600" s="102"/>
      <c r="K4600" s="450"/>
      <c r="L4600" s="443"/>
      <c r="M4600" s="450"/>
      <c r="N4600" s="452"/>
      <c r="O4600" s="453"/>
      <c r="P4600" s="113"/>
      <c r="Q4600" s="106"/>
      <c r="R4600" s="107"/>
    </row>
    <row r="4601" hidden="1">
      <c r="A4601" s="443"/>
      <c r="B4601" s="43"/>
      <c r="C4601" s="51"/>
      <c r="D4601" s="102"/>
      <c r="E4601" s="102"/>
      <c r="H4601" s="102"/>
      <c r="J4601" s="102"/>
      <c r="K4601" s="450"/>
      <c r="L4601" s="443"/>
      <c r="M4601" s="450"/>
      <c r="N4601" s="452"/>
      <c r="O4601" s="453"/>
      <c r="P4601" s="113"/>
      <c r="Q4601" s="106"/>
      <c r="R4601" s="107"/>
    </row>
    <row r="4602" hidden="1">
      <c r="A4602" s="443"/>
      <c r="B4602" s="43"/>
      <c r="C4602" s="51"/>
      <c r="D4602" s="102"/>
      <c r="E4602" s="102"/>
      <c r="H4602" s="102"/>
      <c r="J4602" s="102"/>
      <c r="K4602" s="450"/>
      <c r="L4602" s="443"/>
      <c r="M4602" s="450"/>
      <c r="N4602" s="452"/>
      <c r="O4602" s="453"/>
      <c r="P4602" s="113"/>
      <c r="Q4602" s="106"/>
      <c r="R4602" s="107"/>
    </row>
    <row r="4603" hidden="1">
      <c r="A4603" s="443"/>
      <c r="B4603" s="43"/>
      <c r="C4603" s="51"/>
      <c r="D4603" s="102"/>
      <c r="E4603" s="102"/>
      <c r="H4603" s="102"/>
      <c r="J4603" s="102"/>
      <c r="K4603" s="450"/>
      <c r="L4603" s="443"/>
      <c r="M4603" s="450"/>
      <c r="N4603" s="452"/>
      <c r="O4603" s="453"/>
      <c r="P4603" s="113"/>
      <c r="Q4603" s="106"/>
      <c r="R4603" s="107"/>
    </row>
    <row r="4604" hidden="1">
      <c r="A4604" s="443"/>
      <c r="B4604" s="43"/>
      <c r="C4604" s="51"/>
      <c r="D4604" s="102"/>
      <c r="E4604" s="102"/>
      <c r="H4604" s="102"/>
      <c r="J4604" s="102"/>
      <c r="K4604" s="450"/>
      <c r="L4604" s="443"/>
      <c r="M4604" s="450"/>
      <c r="N4604" s="452"/>
      <c r="O4604" s="453"/>
      <c r="P4604" s="113"/>
      <c r="Q4604" s="106"/>
      <c r="R4604" s="107"/>
    </row>
    <row r="4605" hidden="1">
      <c r="A4605" s="443"/>
      <c r="B4605" s="43"/>
      <c r="C4605" s="51"/>
      <c r="D4605" s="102"/>
      <c r="E4605" s="102"/>
      <c r="H4605" s="102"/>
      <c r="J4605" s="102"/>
      <c r="K4605" s="450"/>
      <c r="L4605" s="443"/>
      <c r="M4605" s="450"/>
      <c r="N4605" s="452"/>
      <c r="O4605" s="453"/>
      <c r="P4605" s="113"/>
      <c r="Q4605" s="106"/>
      <c r="R4605" s="107"/>
    </row>
    <row r="4606" hidden="1">
      <c r="A4606" s="443"/>
      <c r="B4606" s="43"/>
      <c r="C4606" s="51"/>
      <c r="D4606" s="102"/>
      <c r="E4606" s="102"/>
      <c r="H4606" s="102"/>
      <c r="J4606" s="102"/>
      <c r="K4606" s="450"/>
      <c r="L4606" s="443"/>
      <c r="M4606" s="450"/>
      <c r="N4606" s="452"/>
      <c r="O4606" s="453"/>
      <c r="P4606" s="113"/>
      <c r="Q4606" s="106"/>
      <c r="R4606" s="107"/>
    </row>
    <row r="4607" hidden="1">
      <c r="A4607" s="443"/>
      <c r="B4607" s="43"/>
      <c r="C4607" s="51"/>
      <c r="D4607" s="102"/>
      <c r="E4607" s="102"/>
      <c r="H4607" s="102"/>
      <c r="J4607" s="102"/>
      <c r="K4607" s="450"/>
      <c r="L4607" s="443"/>
      <c r="M4607" s="450"/>
      <c r="N4607" s="452"/>
      <c r="O4607" s="453"/>
      <c r="P4607" s="113"/>
      <c r="Q4607" s="106"/>
      <c r="R4607" s="107"/>
    </row>
    <row r="4608" hidden="1">
      <c r="A4608" s="443"/>
      <c r="B4608" s="43"/>
      <c r="C4608" s="51"/>
      <c r="D4608" s="102"/>
      <c r="E4608" s="102"/>
      <c r="H4608" s="102"/>
      <c r="J4608" s="102"/>
      <c r="K4608" s="450"/>
      <c r="L4608" s="443"/>
      <c r="M4608" s="450"/>
      <c r="N4608" s="452"/>
      <c r="O4608" s="453"/>
      <c r="P4608" s="113"/>
      <c r="Q4608" s="106"/>
      <c r="R4608" s="107"/>
    </row>
    <row r="4609" hidden="1">
      <c r="A4609" s="443"/>
      <c r="B4609" s="43"/>
      <c r="C4609" s="51"/>
      <c r="D4609" s="102"/>
      <c r="E4609" s="102"/>
      <c r="H4609" s="102"/>
      <c r="J4609" s="102"/>
      <c r="K4609" s="450"/>
      <c r="L4609" s="443"/>
      <c r="M4609" s="450"/>
      <c r="N4609" s="452"/>
      <c r="O4609" s="453"/>
      <c r="P4609" s="113"/>
      <c r="Q4609" s="106"/>
      <c r="R4609" s="107"/>
    </row>
    <row r="4610" hidden="1">
      <c r="A4610" s="443"/>
      <c r="B4610" s="43"/>
      <c r="C4610" s="51"/>
      <c r="D4610" s="102"/>
      <c r="E4610" s="102"/>
      <c r="H4610" s="102"/>
      <c r="J4610" s="102"/>
      <c r="K4610" s="450"/>
      <c r="L4610" s="443"/>
      <c r="M4610" s="450"/>
      <c r="N4610" s="452"/>
      <c r="O4610" s="453"/>
      <c r="P4610" s="113"/>
      <c r="Q4610" s="106"/>
      <c r="R4610" s="107"/>
    </row>
    <row r="4611" hidden="1">
      <c r="A4611" s="443"/>
      <c r="B4611" s="43"/>
      <c r="C4611" s="51"/>
      <c r="D4611" s="102"/>
      <c r="E4611" s="102"/>
      <c r="H4611" s="102"/>
      <c r="J4611" s="102"/>
      <c r="K4611" s="450"/>
      <c r="L4611" s="443"/>
      <c r="M4611" s="450"/>
      <c r="N4611" s="452"/>
      <c r="O4611" s="453"/>
      <c r="P4611" s="113"/>
      <c r="Q4611" s="106"/>
      <c r="R4611" s="107"/>
    </row>
    <row r="4612" hidden="1">
      <c r="A4612" s="443"/>
      <c r="B4612" s="43"/>
      <c r="C4612" s="51"/>
      <c r="D4612" s="102"/>
      <c r="E4612" s="102"/>
      <c r="H4612" s="102"/>
      <c r="J4612" s="102"/>
      <c r="K4612" s="450"/>
      <c r="L4612" s="443"/>
      <c r="M4612" s="450"/>
      <c r="N4612" s="452"/>
      <c r="O4612" s="453"/>
      <c r="P4612" s="113"/>
      <c r="Q4612" s="106"/>
      <c r="R4612" s="107"/>
    </row>
    <row r="4613" hidden="1">
      <c r="A4613" s="443"/>
      <c r="B4613" s="43"/>
      <c r="C4613" s="51"/>
      <c r="D4613" s="102"/>
      <c r="E4613" s="102"/>
      <c r="H4613" s="102"/>
      <c r="J4613" s="102"/>
      <c r="K4613" s="450"/>
      <c r="L4613" s="443"/>
      <c r="M4613" s="450"/>
      <c r="N4613" s="452"/>
      <c r="O4613" s="453"/>
      <c r="P4613" s="113"/>
      <c r="Q4613" s="106"/>
      <c r="R4613" s="107"/>
    </row>
    <row r="4614" hidden="1">
      <c r="A4614" s="443"/>
      <c r="B4614" s="43"/>
      <c r="C4614" s="51"/>
      <c r="D4614" s="102"/>
      <c r="E4614" s="102"/>
      <c r="H4614" s="102"/>
      <c r="J4614" s="102"/>
      <c r="K4614" s="450"/>
      <c r="L4614" s="443"/>
      <c r="M4614" s="450"/>
      <c r="N4614" s="452"/>
      <c r="O4614" s="453"/>
      <c r="P4614" s="113"/>
      <c r="Q4614" s="106"/>
      <c r="R4614" s="107"/>
    </row>
    <row r="4615" hidden="1">
      <c r="A4615" s="443"/>
      <c r="B4615" s="43"/>
      <c r="C4615" s="51"/>
      <c r="D4615" s="102"/>
      <c r="E4615" s="102"/>
      <c r="H4615" s="102"/>
      <c r="J4615" s="102"/>
      <c r="K4615" s="450"/>
      <c r="L4615" s="443"/>
      <c r="M4615" s="450"/>
      <c r="N4615" s="452"/>
      <c r="O4615" s="453"/>
      <c r="P4615" s="113"/>
      <c r="Q4615" s="106"/>
      <c r="R4615" s="107"/>
    </row>
    <row r="4616" hidden="1">
      <c r="A4616" s="443"/>
      <c r="B4616" s="43"/>
      <c r="C4616" s="51"/>
      <c r="D4616" s="102"/>
      <c r="E4616" s="102"/>
      <c r="H4616" s="102"/>
      <c r="J4616" s="102"/>
      <c r="K4616" s="450"/>
      <c r="L4616" s="443"/>
      <c r="M4616" s="450"/>
      <c r="N4616" s="452"/>
      <c r="O4616" s="453"/>
      <c r="P4616" s="113"/>
      <c r="Q4616" s="106"/>
      <c r="R4616" s="107"/>
    </row>
    <row r="4617" hidden="1">
      <c r="A4617" s="443"/>
      <c r="B4617" s="43"/>
      <c r="C4617" s="51"/>
      <c r="D4617" s="102"/>
      <c r="E4617" s="102"/>
      <c r="H4617" s="102"/>
      <c r="J4617" s="102"/>
      <c r="K4617" s="450"/>
      <c r="L4617" s="443"/>
      <c r="M4617" s="450"/>
      <c r="N4617" s="452"/>
      <c r="O4617" s="453"/>
      <c r="P4617" s="113"/>
      <c r="Q4617" s="106"/>
      <c r="R4617" s="107"/>
    </row>
    <row r="4618" hidden="1">
      <c r="A4618" s="443"/>
      <c r="B4618" s="43"/>
      <c r="C4618" s="51"/>
      <c r="D4618" s="102"/>
      <c r="E4618" s="102"/>
      <c r="H4618" s="102"/>
      <c r="J4618" s="102"/>
      <c r="K4618" s="450"/>
      <c r="L4618" s="443"/>
      <c r="M4618" s="450"/>
      <c r="N4618" s="452"/>
      <c r="O4618" s="453"/>
      <c r="P4618" s="113"/>
      <c r="Q4618" s="106"/>
      <c r="R4618" s="107"/>
    </row>
    <row r="4619" hidden="1">
      <c r="A4619" s="443"/>
      <c r="B4619" s="43"/>
      <c r="C4619" s="51"/>
      <c r="D4619" s="102"/>
      <c r="E4619" s="102"/>
      <c r="H4619" s="102"/>
      <c r="J4619" s="102"/>
      <c r="K4619" s="450"/>
      <c r="L4619" s="443"/>
      <c r="M4619" s="450"/>
      <c r="N4619" s="452"/>
      <c r="O4619" s="453"/>
      <c r="P4619" s="113"/>
      <c r="Q4619" s="106"/>
      <c r="R4619" s="107"/>
    </row>
    <row r="4620" hidden="1">
      <c r="A4620" s="443"/>
      <c r="B4620" s="43"/>
      <c r="C4620" s="51"/>
      <c r="D4620" s="102"/>
      <c r="E4620" s="102"/>
      <c r="H4620" s="102"/>
      <c r="J4620" s="102"/>
      <c r="K4620" s="450"/>
      <c r="L4620" s="443"/>
      <c r="M4620" s="450"/>
      <c r="N4620" s="452"/>
      <c r="O4620" s="453"/>
      <c r="P4620" s="113"/>
      <c r="Q4620" s="106"/>
      <c r="R4620" s="107"/>
    </row>
    <row r="4621" hidden="1">
      <c r="A4621" s="443"/>
      <c r="B4621" s="43"/>
      <c r="C4621" s="51"/>
      <c r="D4621" s="102"/>
      <c r="E4621" s="102"/>
      <c r="H4621" s="102"/>
      <c r="J4621" s="102"/>
      <c r="K4621" s="450"/>
      <c r="L4621" s="443"/>
      <c r="M4621" s="450"/>
      <c r="N4621" s="452"/>
      <c r="O4621" s="453"/>
      <c r="P4621" s="113"/>
      <c r="Q4621" s="106"/>
      <c r="R4621" s="107"/>
    </row>
    <row r="4622" hidden="1">
      <c r="A4622" s="443"/>
      <c r="B4622" s="43"/>
      <c r="C4622" s="51"/>
      <c r="D4622" s="102"/>
      <c r="E4622" s="102"/>
      <c r="H4622" s="102"/>
      <c r="J4622" s="102"/>
      <c r="K4622" s="450"/>
      <c r="L4622" s="443"/>
      <c r="M4622" s="450"/>
      <c r="N4622" s="452"/>
      <c r="O4622" s="453"/>
      <c r="P4622" s="113"/>
      <c r="Q4622" s="106"/>
      <c r="R4622" s="107"/>
    </row>
    <row r="4623" hidden="1">
      <c r="A4623" s="443"/>
      <c r="B4623" s="43"/>
      <c r="C4623" s="51"/>
      <c r="D4623" s="102"/>
      <c r="E4623" s="102"/>
      <c r="H4623" s="102"/>
      <c r="J4623" s="102"/>
      <c r="K4623" s="450"/>
      <c r="L4623" s="443"/>
      <c r="M4623" s="450"/>
      <c r="N4623" s="452"/>
      <c r="O4623" s="453"/>
      <c r="P4623" s="113"/>
      <c r="Q4623" s="106"/>
      <c r="R4623" s="107"/>
    </row>
    <row r="4624" hidden="1">
      <c r="A4624" s="443"/>
      <c r="B4624" s="43"/>
      <c r="C4624" s="51"/>
      <c r="D4624" s="102"/>
      <c r="E4624" s="102"/>
      <c r="H4624" s="102"/>
      <c r="J4624" s="102"/>
      <c r="K4624" s="450"/>
      <c r="L4624" s="443"/>
      <c r="M4624" s="450"/>
      <c r="N4624" s="452"/>
      <c r="O4624" s="453"/>
      <c r="P4624" s="113"/>
      <c r="Q4624" s="106"/>
      <c r="R4624" s="107"/>
    </row>
    <row r="4625" hidden="1">
      <c r="A4625" s="443"/>
      <c r="B4625" s="43"/>
      <c r="C4625" s="51"/>
      <c r="D4625" s="102"/>
      <c r="E4625" s="102"/>
      <c r="H4625" s="102"/>
      <c r="J4625" s="102"/>
      <c r="K4625" s="450"/>
      <c r="L4625" s="443"/>
      <c r="M4625" s="450"/>
      <c r="N4625" s="452"/>
      <c r="O4625" s="453"/>
      <c r="P4625" s="113"/>
      <c r="Q4625" s="106"/>
      <c r="R4625" s="107"/>
    </row>
    <row r="4626" hidden="1">
      <c r="A4626" s="443"/>
      <c r="B4626" s="43"/>
      <c r="C4626" s="51"/>
      <c r="D4626" s="102"/>
      <c r="E4626" s="102"/>
      <c r="H4626" s="102"/>
      <c r="J4626" s="102"/>
      <c r="K4626" s="450"/>
      <c r="L4626" s="443"/>
      <c r="M4626" s="450"/>
      <c r="N4626" s="452"/>
      <c r="O4626" s="453"/>
      <c r="P4626" s="113"/>
      <c r="Q4626" s="106"/>
      <c r="R4626" s="107"/>
    </row>
    <row r="4627" hidden="1">
      <c r="A4627" s="443"/>
      <c r="B4627" s="43"/>
      <c r="C4627" s="51"/>
      <c r="D4627" s="102"/>
      <c r="E4627" s="102"/>
      <c r="H4627" s="102"/>
      <c r="J4627" s="102"/>
      <c r="K4627" s="450"/>
      <c r="L4627" s="443"/>
      <c r="M4627" s="450"/>
      <c r="N4627" s="452"/>
      <c r="O4627" s="453"/>
      <c r="P4627" s="113"/>
      <c r="Q4627" s="106"/>
      <c r="R4627" s="107"/>
    </row>
    <row r="4628" hidden="1">
      <c r="A4628" s="443"/>
      <c r="B4628" s="43"/>
      <c r="C4628" s="51"/>
      <c r="D4628" s="102"/>
      <c r="E4628" s="102"/>
      <c r="H4628" s="102"/>
      <c r="J4628" s="102"/>
      <c r="K4628" s="450"/>
      <c r="L4628" s="443"/>
      <c r="M4628" s="450"/>
      <c r="N4628" s="452"/>
      <c r="O4628" s="453"/>
      <c r="P4628" s="113"/>
      <c r="Q4628" s="106"/>
      <c r="R4628" s="107"/>
    </row>
    <row r="4629" hidden="1">
      <c r="A4629" s="443"/>
      <c r="B4629" s="43"/>
      <c r="C4629" s="51"/>
      <c r="D4629" s="102"/>
      <c r="E4629" s="102"/>
      <c r="H4629" s="102"/>
      <c r="J4629" s="102"/>
      <c r="K4629" s="450"/>
      <c r="L4629" s="443"/>
      <c r="M4629" s="450"/>
      <c r="N4629" s="452"/>
      <c r="O4629" s="453"/>
      <c r="P4629" s="113"/>
      <c r="Q4629" s="106"/>
      <c r="R4629" s="107"/>
    </row>
    <row r="4630" hidden="1">
      <c r="A4630" s="443"/>
      <c r="B4630" s="43"/>
      <c r="C4630" s="51"/>
      <c r="D4630" s="102"/>
      <c r="E4630" s="102"/>
      <c r="H4630" s="102"/>
      <c r="J4630" s="102"/>
      <c r="K4630" s="450"/>
      <c r="L4630" s="443"/>
      <c r="M4630" s="450"/>
      <c r="N4630" s="452"/>
      <c r="O4630" s="453"/>
      <c r="P4630" s="113"/>
      <c r="Q4630" s="106"/>
      <c r="R4630" s="107"/>
    </row>
    <row r="4631" hidden="1">
      <c r="A4631" s="443"/>
      <c r="B4631" s="43"/>
      <c r="C4631" s="51"/>
      <c r="D4631" s="102"/>
      <c r="E4631" s="102"/>
      <c r="H4631" s="102"/>
      <c r="J4631" s="102"/>
      <c r="K4631" s="450"/>
      <c r="L4631" s="443"/>
      <c r="M4631" s="450"/>
      <c r="N4631" s="452"/>
      <c r="O4631" s="453"/>
      <c r="P4631" s="113"/>
      <c r="Q4631" s="106"/>
      <c r="R4631" s="107"/>
    </row>
    <row r="4632" hidden="1">
      <c r="A4632" s="443"/>
      <c r="B4632" s="43"/>
      <c r="C4632" s="51"/>
      <c r="D4632" s="102"/>
      <c r="E4632" s="102"/>
      <c r="H4632" s="102"/>
      <c r="J4632" s="102"/>
      <c r="K4632" s="450"/>
      <c r="L4632" s="443"/>
      <c r="M4632" s="450"/>
      <c r="N4632" s="452"/>
      <c r="O4632" s="453"/>
      <c r="P4632" s="113"/>
      <c r="Q4632" s="106"/>
      <c r="R4632" s="107"/>
    </row>
    <row r="4633" hidden="1">
      <c r="A4633" s="443"/>
      <c r="B4633" s="43"/>
      <c r="C4633" s="51"/>
      <c r="D4633" s="102"/>
      <c r="E4633" s="102"/>
      <c r="H4633" s="102"/>
      <c r="J4633" s="102"/>
      <c r="K4633" s="450"/>
      <c r="L4633" s="443"/>
      <c r="M4633" s="450"/>
      <c r="N4633" s="452"/>
      <c r="O4633" s="453"/>
      <c r="P4633" s="113"/>
      <c r="Q4633" s="106"/>
      <c r="R4633" s="107"/>
    </row>
    <row r="4634" hidden="1">
      <c r="A4634" s="443"/>
      <c r="B4634" s="43"/>
      <c r="C4634" s="51"/>
      <c r="D4634" s="102"/>
      <c r="E4634" s="102"/>
      <c r="H4634" s="102"/>
      <c r="J4634" s="102"/>
      <c r="K4634" s="450"/>
      <c r="L4634" s="443"/>
      <c r="M4634" s="450"/>
      <c r="N4634" s="452"/>
      <c r="O4634" s="453"/>
      <c r="P4634" s="113"/>
      <c r="Q4634" s="106"/>
      <c r="R4634" s="107"/>
    </row>
    <row r="4635" hidden="1">
      <c r="A4635" s="443"/>
      <c r="B4635" s="43"/>
      <c r="C4635" s="51"/>
      <c r="D4635" s="102"/>
      <c r="E4635" s="102"/>
      <c r="H4635" s="102"/>
      <c r="J4635" s="102"/>
      <c r="K4635" s="450"/>
      <c r="L4635" s="443"/>
      <c r="M4635" s="450"/>
      <c r="N4635" s="452"/>
      <c r="O4635" s="453"/>
      <c r="P4635" s="113"/>
      <c r="Q4635" s="106"/>
      <c r="R4635" s="107"/>
    </row>
    <row r="4636" hidden="1">
      <c r="A4636" s="443"/>
      <c r="B4636" s="43"/>
      <c r="C4636" s="51"/>
      <c r="D4636" s="102"/>
      <c r="E4636" s="102"/>
      <c r="H4636" s="102"/>
      <c r="J4636" s="102"/>
      <c r="K4636" s="450"/>
      <c r="L4636" s="443"/>
      <c r="M4636" s="450"/>
      <c r="N4636" s="452"/>
      <c r="O4636" s="453"/>
      <c r="P4636" s="113"/>
      <c r="Q4636" s="106"/>
      <c r="R4636" s="107"/>
    </row>
    <row r="4637" hidden="1">
      <c r="A4637" s="443"/>
      <c r="B4637" s="43"/>
      <c r="C4637" s="51"/>
      <c r="D4637" s="102"/>
      <c r="E4637" s="102"/>
      <c r="H4637" s="102"/>
      <c r="J4637" s="102"/>
      <c r="K4637" s="450"/>
      <c r="L4637" s="443"/>
      <c r="M4637" s="450"/>
      <c r="N4637" s="452"/>
      <c r="O4637" s="453"/>
      <c r="P4637" s="113"/>
      <c r="Q4637" s="106"/>
      <c r="R4637" s="107"/>
    </row>
    <row r="4638" hidden="1">
      <c r="A4638" s="443"/>
      <c r="B4638" s="43"/>
      <c r="C4638" s="51"/>
      <c r="D4638" s="102"/>
      <c r="E4638" s="102"/>
      <c r="H4638" s="102"/>
      <c r="J4638" s="102"/>
      <c r="K4638" s="450"/>
      <c r="L4638" s="443"/>
      <c r="M4638" s="450"/>
      <c r="N4638" s="452"/>
      <c r="O4638" s="453"/>
      <c r="P4638" s="113"/>
      <c r="Q4638" s="106"/>
      <c r="R4638" s="107"/>
    </row>
    <row r="4639" hidden="1">
      <c r="A4639" s="443"/>
      <c r="B4639" s="43"/>
      <c r="C4639" s="51"/>
      <c r="D4639" s="102"/>
      <c r="E4639" s="102"/>
      <c r="H4639" s="102"/>
      <c r="J4639" s="102"/>
      <c r="K4639" s="450"/>
      <c r="L4639" s="443"/>
      <c r="M4639" s="450"/>
      <c r="N4639" s="452"/>
      <c r="O4639" s="453"/>
      <c r="P4639" s="113"/>
      <c r="Q4639" s="106"/>
      <c r="R4639" s="107"/>
    </row>
    <row r="4640" hidden="1">
      <c r="A4640" s="443"/>
      <c r="B4640" s="43"/>
      <c r="C4640" s="51"/>
      <c r="D4640" s="102"/>
      <c r="E4640" s="102"/>
      <c r="H4640" s="102"/>
      <c r="J4640" s="102"/>
      <c r="K4640" s="450"/>
      <c r="L4640" s="443"/>
      <c r="M4640" s="450"/>
      <c r="N4640" s="452"/>
      <c r="O4640" s="453"/>
      <c r="P4640" s="113"/>
      <c r="Q4640" s="106"/>
      <c r="R4640" s="107"/>
    </row>
    <row r="4641" hidden="1">
      <c r="A4641" s="443"/>
      <c r="B4641" s="43"/>
      <c r="C4641" s="51"/>
      <c r="D4641" s="102"/>
      <c r="E4641" s="102"/>
      <c r="H4641" s="102"/>
      <c r="J4641" s="102"/>
      <c r="K4641" s="450"/>
      <c r="L4641" s="443"/>
      <c r="M4641" s="450"/>
      <c r="N4641" s="452"/>
      <c r="O4641" s="453"/>
      <c r="P4641" s="113"/>
      <c r="Q4641" s="106"/>
      <c r="R4641" s="107"/>
    </row>
    <row r="4642" hidden="1">
      <c r="A4642" s="443"/>
      <c r="B4642" s="43"/>
      <c r="C4642" s="51"/>
      <c r="D4642" s="102"/>
      <c r="E4642" s="102"/>
      <c r="H4642" s="102"/>
      <c r="J4642" s="102"/>
      <c r="K4642" s="450"/>
      <c r="L4642" s="443"/>
      <c r="M4642" s="450"/>
      <c r="N4642" s="452"/>
      <c r="O4642" s="453"/>
      <c r="P4642" s="113"/>
      <c r="Q4642" s="106"/>
      <c r="R4642" s="107"/>
    </row>
    <row r="4643" hidden="1">
      <c r="A4643" s="443"/>
      <c r="B4643" s="43"/>
      <c r="C4643" s="51"/>
      <c r="D4643" s="102"/>
      <c r="E4643" s="102"/>
      <c r="H4643" s="102"/>
      <c r="J4643" s="102"/>
      <c r="K4643" s="450"/>
      <c r="L4643" s="443"/>
      <c r="M4643" s="450"/>
      <c r="N4643" s="452"/>
      <c r="O4643" s="453"/>
      <c r="P4643" s="113"/>
      <c r="Q4643" s="106"/>
      <c r="R4643" s="107"/>
    </row>
    <row r="4644" hidden="1">
      <c r="A4644" s="443"/>
      <c r="B4644" s="43"/>
      <c r="C4644" s="51"/>
      <c r="D4644" s="102"/>
      <c r="E4644" s="102"/>
      <c r="H4644" s="102"/>
      <c r="J4644" s="102"/>
      <c r="K4644" s="450"/>
      <c r="L4644" s="443"/>
      <c r="M4644" s="450"/>
      <c r="N4644" s="452"/>
      <c r="O4644" s="453"/>
      <c r="P4644" s="113"/>
      <c r="Q4644" s="106"/>
      <c r="R4644" s="107"/>
    </row>
    <row r="4645" hidden="1">
      <c r="A4645" s="443"/>
      <c r="B4645" s="43"/>
      <c r="C4645" s="51"/>
      <c r="D4645" s="102"/>
      <c r="E4645" s="102"/>
      <c r="H4645" s="102"/>
      <c r="J4645" s="102"/>
      <c r="K4645" s="450"/>
      <c r="L4645" s="443"/>
      <c r="M4645" s="450"/>
      <c r="N4645" s="452"/>
      <c r="O4645" s="453"/>
      <c r="P4645" s="113"/>
      <c r="Q4645" s="106"/>
      <c r="R4645" s="107"/>
    </row>
    <row r="4646" hidden="1">
      <c r="A4646" s="443"/>
      <c r="B4646" s="43"/>
      <c r="C4646" s="51"/>
      <c r="D4646" s="102"/>
      <c r="E4646" s="102"/>
      <c r="H4646" s="102"/>
      <c r="J4646" s="102"/>
      <c r="K4646" s="450"/>
      <c r="L4646" s="443"/>
      <c r="M4646" s="450"/>
      <c r="N4646" s="452"/>
      <c r="O4646" s="453"/>
      <c r="P4646" s="113"/>
      <c r="Q4646" s="106"/>
      <c r="R4646" s="107"/>
    </row>
    <row r="4647" hidden="1">
      <c r="A4647" s="443"/>
      <c r="B4647" s="43"/>
      <c r="C4647" s="51"/>
      <c r="D4647" s="102"/>
      <c r="E4647" s="102"/>
      <c r="H4647" s="102"/>
      <c r="J4647" s="102"/>
      <c r="K4647" s="450"/>
      <c r="L4647" s="443"/>
      <c r="M4647" s="450"/>
      <c r="N4647" s="452"/>
      <c r="O4647" s="453"/>
      <c r="P4647" s="113"/>
      <c r="Q4647" s="106"/>
      <c r="R4647" s="107"/>
    </row>
    <row r="4648" hidden="1">
      <c r="A4648" s="443"/>
      <c r="B4648" s="43"/>
      <c r="C4648" s="51"/>
      <c r="D4648" s="102"/>
      <c r="E4648" s="102"/>
      <c r="H4648" s="102"/>
      <c r="J4648" s="102"/>
      <c r="K4648" s="450"/>
      <c r="L4648" s="443"/>
      <c r="M4648" s="450"/>
      <c r="N4648" s="452"/>
      <c r="O4648" s="453"/>
      <c r="P4648" s="113"/>
      <c r="Q4648" s="106"/>
      <c r="R4648" s="107"/>
    </row>
    <row r="4649" hidden="1">
      <c r="A4649" s="443"/>
      <c r="B4649" s="43"/>
      <c r="C4649" s="51"/>
      <c r="D4649" s="102"/>
      <c r="E4649" s="102"/>
      <c r="H4649" s="102"/>
      <c r="J4649" s="102"/>
      <c r="K4649" s="450"/>
      <c r="L4649" s="443"/>
      <c r="M4649" s="450"/>
      <c r="N4649" s="452"/>
      <c r="O4649" s="453"/>
      <c r="P4649" s="113"/>
      <c r="Q4649" s="106"/>
      <c r="R4649" s="107"/>
    </row>
    <row r="4650" hidden="1">
      <c r="A4650" s="443"/>
      <c r="B4650" s="43"/>
      <c r="C4650" s="51"/>
      <c r="D4650" s="102"/>
      <c r="E4650" s="102"/>
      <c r="H4650" s="102"/>
      <c r="J4650" s="102"/>
      <c r="K4650" s="450"/>
      <c r="L4650" s="443"/>
      <c r="M4650" s="450"/>
      <c r="N4650" s="452"/>
      <c r="O4650" s="453"/>
      <c r="P4650" s="113"/>
      <c r="Q4650" s="106"/>
      <c r="R4650" s="107"/>
    </row>
    <row r="4651" hidden="1">
      <c r="A4651" s="443"/>
      <c r="B4651" s="43"/>
      <c r="C4651" s="51"/>
      <c r="D4651" s="102"/>
      <c r="E4651" s="102"/>
      <c r="H4651" s="102"/>
      <c r="J4651" s="102"/>
      <c r="K4651" s="450"/>
      <c r="L4651" s="443"/>
      <c r="M4651" s="450"/>
      <c r="N4651" s="452"/>
      <c r="O4651" s="453"/>
      <c r="P4651" s="113"/>
      <c r="Q4651" s="106"/>
      <c r="R4651" s="107"/>
    </row>
    <row r="4652" hidden="1">
      <c r="A4652" s="443"/>
      <c r="B4652" s="43"/>
      <c r="C4652" s="51"/>
      <c r="D4652" s="102"/>
      <c r="E4652" s="102"/>
      <c r="H4652" s="102"/>
      <c r="J4652" s="102"/>
      <c r="K4652" s="450"/>
      <c r="L4652" s="443"/>
      <c r="M4652" s="450"/>
      <c r="N4652" s="452"/>
      <c r="O4652" s="453"/>
      <c r="P4652" s="113"/>
      <c r="Q4652" s="106"/>
      <c r="R4652" s="107"/>
    </row>
    <row r="4653" hidden="1">
      <c r="A4653" s="443"/>
      <c r="B4653" s="43"/>
      <c r="C4653" s="51"/>
      <c r="D4653" s="102"/>
      <c r="E4653" s="102"/>
      <c r="H4653" s="102"/>
      <c r="J4653" s="102"/>
      <c r="K4653" s="450"/>
      <c r="L4653" s="443"/>
      <c r="M4653" s="450"/>
      <c r="N4653" s="452"/>
      <c r="O4653" s="453"/>
      <c r="P4653" s="113"/>
      <c r="Q4653" s="106"/>
      <c r="R4653" s="107"/>
    </row>
    <row r="4654" hidden="1">
      <c r="A4654" s="443"/>
      <c r="B4654" s="43"/>
      <c r="C4654" s="51"/>
      <c r="D4654" s="102"/>
      <c r="E4654" s="102"/>
      <c r="H4654" s="102"/>
      <c r="J4654" s="102"/>
      <c r="K4654" s="450"/>
      <c r="L4654" s="443"/>
      <c r="M4654" s="450"/>
      <c r="N4654" s="452"/>
      <c r="O4654" s="453"/>
      <c r="P4654" s="113"/>
      <c r="Q4654" s="106"/>
      <c r="R4654" s="107"/>
    </row>
    <row r="4655" hidden="1">
      <c r="A4655" s="443"/>
      <c r="B4655" s="43"/>
      <c r="C4655" s="51"/>
      <c r="D4655" s="102"/>
      <c r="E4655" s="102"/>
      <c r="H4655" s="102"/>
      <c r="J4655" s="102"/>
      <c r="K4655" s="450"/>
      <c r="L4655" s="443"/>
      <c r="M4655" s="450"/>
      <c r="N4655" s="452"/>
      <c r="O4655" s="453"/>
      <c r="P4655" s="113"/>
      <c r="Q4655" s="106"/>
      <c r="R4655" s="107"/>
    </row>
    <row r="4656" hidden="1">
      <c r="A4656" s="443"/>
      <c r="B4656" s="43"/>
      <c r="C4656" s="51"/>
      <c r="D4656" s="102"/>
      <c r="E4656" s="102"/>
      <c r="H4656" s="102"/>
      <c r="J4656" s="102"/>
      <c r="K4656" s="450"/>
      <c r="L4656" s="443"/>
      <c r="M4656" s="450"/>
      <c r="N4656" s="452"/>
      <c r="O4656" s="453"/>
      <c r="P4656" s="113"/>
      <c r="Q4656" s="106"/>
      <c r="R4656" s="107"/>
    </row>
    <row r="4657" hidden="1">
      <c r="A4657" s="443"/>
      <c r="B4657" s="43"/>
      <c r="C4657" s="51"/>
      <c r="D4657" s="102"/>
      <c r="E4657" s="102"/>
      <c r="H4657" s="102"/>
      <c r="J4657" s="102"/>
      <c r="K4657" s="450"/>
      <c r="L4657" s="443"/>
      <c r="M4657" s="450"/>
      <c r="N4657" s="452"/>
      <c r="O4657" s="453"/>
      <c r="P4657" s="113"/>
      <c r="Q4657" s="106"/>
      <c r="R4657" s="107"/>
    </row>
    <row r="4658" hidden="1">
      <c r="A4658" s="443"/>
      <c r="B4658" s="43"/>
      <c r="C4658" s="51"/>
      <c r="D4658" s="102"/>
      <c r="E4658" s="102"/>
      <c r="H4658" s="102"/>
      <c r="J4658" s="102"/>
      <c r="K4658" s="450"/>
      <c r="L4658" s="443"/>
      <c r="M4658" s="450"/>
      <c r="N4658" s="452"/>
      <c r="O4658" s="453"/>
      <c r="P4658" s="113"/>
      <c r="Q4658" s="106"/>
      <c r="R4658" s="107"/>
    </row>
    <row r="4659" hidden="1">
      <c r="A4659" s="443"/>
      <c r="B4659" s="43"/>
      <c r="C4659" s="51"/>
      <c r="D4659" s="102"/>
      <c r="E4659" s="102"/>
      <c r="H4659" s="102"/>
      <c r="J4659" s="102"/>
      <c r="K4659" s="450"/>
      <c r="L4659" s="443"/>
      <c r="M4659" s="450"/>
      <c r="N4659" s="452"/>
      <c r="O4659" s="453"/>
      <c r="P4659" s="113"/>
      <c r="Q4659" s="106"/>
      <c r="R4659" s="107"/>
    </row>
    <row r="4660" hidden="1">
      <c r="A4660" s="443"/>
      <c r="B4660" s="43"/>
      <c r="C4660" s="51"/>
      <c r="D4660" s="102"/>
      <c r="E4660" s="102"/>
      <c r="H4660" s="102"/>
      <c r="J4660" s="102"/>
      <c r="K4660" s="450"/>
      <c r="L4660" s="443"/>
      <c r="M4660" s="450"/>
      <c r="N4660" s="452"/>
      <c r="O4660" s="453"/>
      <c r="P4660" s="113"/>
      <c r="Q4660" s="106"/>
      <c r="R4660" s="107"/>
    </row>
    <row r="4661" hidden="1">
      <c r="A4661" s="443"/>
      <c r="B4661" s="43"/>
      <c r="C4661" s="51"/>
      <c r="D4661" s="102"/>
      <c r="E4661" s="102"/>
      <c r="H4661" s="102"/>
      <c r="J4661" s="102"/>
      <c r="K4661" s="450"/>
      <c r="L4661" s="443"/>
      <c r="M4661" s="450"/>
      <c r="N4661" s="452"/>
      <c r="O4661" s="453"/>
      <c r="P4661" s="113"/>
      <c r="Q4661" s="106"/>
      <c r="R4661" s="107"/>
    </row>
    <row r="4662" hidden="1">
      <c r="A4662" s="443"/>
      <c r="B4662" s="43"/>
      <c r="C4662" s="51"/>
      <c r="D4662" s="102"/>
      <c r="E4662" s="102"/>
      <c r="H4662" s="102"/>
      <c r="J4662" s="102"/>
      <c r="K4662" s="450"/>
      <c r="L4662" s="443"/>
      <c r="M4662" s="450"/>
      <c r="N4662" s="452"/>
      <c r="O4662" s="453"/>
      <c r="P4662" s="113"/>
      <c r="Q4662" s="106"/>
      <c r="R4662" s="107"/>
    </row>
    <row r="4663" hidden="1">
      <c r="A4663" s="443"/>
      <c r="B4663" s="43"/>
      <c r="C4663" s="51"/>
      <c r="D4663" s="102"/>
      <c r="E4663" s="102"/>
      <c r="H4663" s="102"/>
      <c r="J4663" s="102"/>
      <c r="K4663" s="450"/>
      <c r="L4663" s="443"/>
      <c r="M4663" s="450"/>
      <c r="N4663" s="452"/>
      <c r="O4663" s="453"/>
      <c r="P4663" s="113"/>
      <c r="Q4663" s="106"/>
      <c r="R4663" s="107"/>
    </row>
    <row r="4664" hidden="1">
      <c r="A4664" s="443"/>
      <c r="B4664" s="43"/>
      <c r="C4664" s="51"/>
      <c r="D4664" s="102"/>
      <c r="E4664" s="102"/>
      <c r="H4664" s="102"/>
      <c r="J4664" s="102"/>
      <c r="K4664" s="450"/>
      <c r="L4664" s="443"/>
      <c r="M4664" s="450"/>
      <c r="N4664" s="452"/>
      <c r="O4664" s="453"/>
      <c r="P4664" s="113"/>
      <c r="Q4664" s="106"/>
      <c r="R4664" s="107"/>
    </row>
    <row r="4665" hidden="1">
      <c r="A4665" s="443"/>
      <c r="B4665" s="43"/>
      <c r="C4665" s="51"/>
      <c r="D4665" s="102"/>
      <c r="E4665" s="102"/>
      <c r="H4665" s="102"/>
      <c r="J4665" s="102"/>
      <c r="K4665" s="450"/>
      <c r="L4665" s="443"/>
      <c r="M4665" s="450"/>
      <c r="N4665" s="452"/>
      <c r="O4665" s="453"/>
      <c r="P4665" s="113"/>
      <c r="Q4665" s="106"/>
      <c r="R4665" s="107"/>
    </row>
    <row r="4666" hidden="1">
      <c r="A4666" s="443"/>
      <c r="B4666" s="43"/>
      <c r="C4666" s="51"/>
      <c r="D4666" s="102"/>
      <c r="E4666" s="102"/>
      <c r="H4666" s="102"/>
      <c r="J4666" s="102"/>
      <c r="K4666" s="450"/>
      <c r="L4666" s="443"/>
      <c r="M4666" s="450"/>
      <c r="N4666" s="452"/>
      <c r="O4666" s="453"/>
      <c r="P4666" s="113"/>
      <c r="Q4666" s="106"/>
      <c r="R4666" s="107"/>
    </row>
    <row r="4667" hidden="1">
      <c r="A4667" s="443"/>
      <c r="B4667" s="43"/>
      <c r="C4667" s="51"/>
      <c r="D4667" s="102"/>
      <c r="E4667" s="102"/>
      <c r="H4667" s="102"/>
      <c r="J4667" s="102"/>
      <c r="K4667" s="450"/>
      <c r="L4667" s="443"/>
      <c r="M4667" s="450"/>
      <c r="N4667" s="452"/>
      <c r="O4667" s="453"/>
      <c r="P4667" s="113"/>
      <c r="Q4667" s="106"/>
      <c r="R4667" s="107"/>
    </row>
    <row r="4668" hidden="1">
      <c r="A4668" s="443"/>
      <c r="B4668" s="43"/>
      <c r="C4668" s="51"/>
      <c r="D4668" s="102"/>
      <c r="E4668" s="102"/>
      <c r="H4668" s="102"/>
      <c r="J4668" s="102"/>
      <c r="K4668" s="450"/>
      <c r="L4668" s="443"/>
      <c r="M4668" s="450"/>
      <c r="N4668" s="452"/>
      <c r="O4668" s="453"/>
      <c r="P4668" s="113"/>
      <c r="Q4668" s="106"/>
      <c r="R4668" s="107"/>
    </row>
    <row r="4669" hidden="1">
      <c r="A4669" s="443"/>
      <c r="B4669" s="43"/>
      <c r="C4669" s="51"/>
      <c r="D4669" s="102"/>
      <c r="E4669" s="102"/>
      <c r="H4669" s="102"/>
      <c r="J4669" s="102"/>
      <c r="K4669" s="450"/>
      <c r="L4669" s="443"/>
      <c r="M4669" s="450"/>
      <c r="N4669" s="452"/>
      <c r="O4669" s="453"/>
      <c r="P4669" s="113"/>
      <c r="Q4669" s="106"/>
      <c r="R4669" s="107"/>
    </row>
    <row r="4670" hidden="1">
      <c r="A4670" s="443"/>
      <c r="B4670" s="43"/>
      <c r="C4670" s="51"/>
      <c r="D4670" s="102"/>
      <c r="E4670" s="102"/>
      <c r="H4670" s="102"/>
      <c r="J4670" s="102"/>
      <c r="K4670" s="450"/>
      <c r="L4670" s="443"/>
      <c r="M4670" s="450"/>
      <c r="N4670" s="452"/>
      <c r="O4670" s="453"/>
      <c r="P4670" s="113"/>
      <c r="Q4670" s="106"/>
      <c r="R4670" s="107"/>
    </row>
    <row r="4671" hidden="1">
      <c r="A4671" s="443"/>
      <c r="B4671" s="43"/>
      <c r="C4671" s="51"/>
      <c r="D4671" s="102"/>
      <c r="E4671" s="102"/>
      <c r="H4671" s="102"/>
      <c r="J4671" s="102"/>
      <c r="K4671" s="450"/>
      <c r="L4671" s="443"/>
      <c r="M4671" s="450"/>
      <c r="N4671" s="452"/>
      <c r="O4671" s="453"/>
      <c r="P4671" s="113"/>
      <c r="Q4671" s="106"/>
      <c r="R4671" s="107"/>
    </row>
    <row r="4672" hidden="1">
      <c r="A4672" s="443"/>
      <c r="B4672" s="43"/>
      <c r="C4672" s="51"/>
      <c r="D4672" s="102"/>
      <c r="E4672" s="102"/>
      <c r="H4672" s="102"/>
      <c r="J4672" s="102"/>
      <c r="K4672" s="450"/>
      <c r="L4672" s="443"/>
      <c r="M4672" s="450"/>
      <c r="N4672" s="452"/>
      <c r="O4672" s="453"/>
      <c r="P4672" s="113"/>
      <c r="Q4672" s="106"/>
      <c r="R4672" s="107"/>
    </row>
    <row r="4673" hidden="1">
      <c r="A4673" s="443"/>
      <c r="B4673" s="43"/>
      <c r="C4673" s="51"/>
      <c r="D4673" s="102"/>
      <c r="E4673" s="102"/>
      <c r="H4673" s="102"/>
      <c r="J4673" s="102"/>
      <c r="K4673" s="450"/>
      <c r="L4673" s="443"/>
      <c r="M4673" s="450"/>
      <c r="N4673" s="452"/>
      <c r="O4673" s="453"/>
      <c r="P4673" s="113"/>
      <c r="Q4673" s="106"/>
      <c r="R4673" s="107"/>
    </row>
    <row r="4674" hidden="1">
      <c r="A4674" s="443"/>
      <c r="B4674" s="43"/>
      <c r="C4674" s="51"/>
      <c r="D4674" s="102"/>
      <c r="E4674" s="102"/>
      <c r="H4674" s="102"/>
      <c r="J4674" s="102"/>
      <c r="K4674" s="450"/>
      <c r="L4674" s="443"/>
      <c r="M4674" s="450"/>
      <c r="N4674" s="452"/>
      <c r="O4674" s="453"/>
      <c r="P4674" s="113"/>
      <c r="Q4674" s="106"/>
      <c r="R4674" s="107"/>
    </row>
    <row r="4675" hidden="1">
      <c r="A4675" s="443"/>
      <c r="B4675" s="43"/>
      <c r="C4675" s="51"/>
      <c r="D4675" s="102"/>
      <c r="E4675" s="102"/>
      <c r="H4675" s="102"/>
      <c r="J4675" s="102"/>
      <c r="K4675" s="450"/>
      <c r="L4675" s="443"/>
      <c r="M4675" s="450"/>
      <c r="N4675" s="452"/>
      <c r="O4675" s="453"/>
      <c r="P4675" s="113"/>
      <c r="Q4675" s="106"/>
      <c r="R4675" s="107"/>
    </row>
    <row r="4676" hidden="1">
      <c r="A4676" s="443"/>
      <c r="B4676" s="43"/>
      <c r="C4676" s="51"/>
      <c r="D4676" s="102"/>
      <c r="E4676" s="102"/>
      <c r="H4676" s="102"/>
      <c r="J4676" s="102"/>
      <c r="K4676" s="450"/>
      <c r="L4676" s="443"/>
      <c r="M4676" s="450"/>
      <c r="N4676" s="452"/>
      <c r="O4676" s="453"/>
      <c r="P4676" s="113"/>
      <c r="Q4676" s="106"/>
      <c r="R4676" s="107"/>
    </row>
    <row r="4677" hidden="1">
      <c r="A4677" s="443"/>
      <c r="B4677" s="43"/>
      <c r="C4677" s="51"/>
      <c r="D4677" s="102"/>
      <c r="E4677" s="102"/>
      <c r="H4677" s="102"/>
      <c r="J4677" s="102"/>
      <c r="K4677" s="450"/>
      <c r="L4677" s="443"/>
      <c r="M4677" s="450"/>
      <c r="N4677" s="452"/>
      <c r="O4677" s="453"/>
      <c r="P4677" s="113"/>
      <c r="Q4677" s="106"/>
      <c r="R4677" s="107"/>
    </row>
    <row r="4678" hidden="1">
      <c r="A4678" s="443"/>
      <c r="B4678" s="43"/>
      <c r="C4678" s="51"/>
      <c r="D4678" s="102"/>
      <c r="E4678" s="102"/>
      <c r="H4678" s="102"/>
      <c r="J4678" s="102"/>
      <c r="K4678" s="450"/>
      <c r="L4678" s="443"/>
      <c r="M4678" s="450"/>
      <c r="N4678" s="452"/>
      <c r="O4678" s="453"/>
      <c r="P4678" s="113"/>
      <c r="Q4678" s="106"/>
      <c r="R4678" s="107"/>
    </row>
    <row r="4679" hidden="1">
      <c r="A4679" s="443"/>
      <c r="B4679" s="43"/>
      <c r="C4679" s="51"/>
      <c r="D4679" s="102"/>
      <c r="E4679" s="102"/>
      <c r="H4679" s="102"/>
      <c r="J4679" s="102"/>
      <c r="K4679" s="450"/>
      <c r="L4679" s="443"/>
      <c r="M4679" s="450"/>
      <c r="N4679" s="452"/>
      <c r="O4679" s="453"/>
      <c r="P4679" s="113"/>
      <c r="Q4679" s="106"/>
      <c r="R4679" s="107"/>
    </row>
    <row r="4680" hidden="1">
      <c r="A4680" s="443"/>
      <c r="B4680" s="43"/>
      <c r="C4680" s="51"/>
      <c r="D4680" s="102"/>
      <c r="E4680" s="102"/>
      <c r="H4680" s="102"/>
      <c r="J4680" s="102"/>
      <c r="K4680" s="450"/>
      <c r="L4680" s="443"/>
      <c r="M4680" s="450"/>
      <c r="N4680" s="452"/>
      <c r="O4680" s="453"/>
      <c r="P4680" s="113"/>
      <c r="Q4680" s="106"/>
      <c r="R4680" s="107"/>
    </row>
    <row r="4681" hidden="1">
      <c r="A4681" s="443"/>
      <c r="B4681" s="43"/>
      <c r="C4681" s="51"/>
      <c r="D4681" s="102"/>
      <c r="E4681" s="102"/>
      <c r="H4681" s="102"/>
      <c r="J4681" s="102"/>
      <c r="K4681" s="450"/>
      <c r="L4681" s="443"/>
      <c r="M4681" s="450"/>
      <c r="N4681" s="452"/>
      <c r="O4681" s="453"/>
      <c r="P4681" s="113"/>
      <c r="Q4681" s="106"/>
      <c r="R4681" s="107"/>
    </row>
    <row r="4682" hidden="1">
      <c r="A4682" s="443"/>
      <c r="B4682" s="43"/>
      <c r="C4682" s="51"/>
      <c r="D4682" s="102"/>
      <c r="E4682" s="102"/>
      <c r="H4682" s="102"/>
      <c r="J4682" s="102"/>
      <c r="K4682" s="450"/>
      <c r="L4682" s="443"/>
      <c r="M4682" s="450"/>
      <c r="N4682" s="452"/>
      <c r="O4682" s="453"/>
      <c r="P4682" s="113"/>
      <c r="Q4682" s="106"/>
      <c r="R4682" s="107"/>
    </row>
    <row r="4683" hidden="1">
      <c r="A4683" s="443"/>
      <c r="B4683" s="43"/>
      <c r="C4683" s="51"/>
      <c r="D4683" s="102"/>
      <c r="E4683" s="102"/>
      <c r="H4683" s="102"/>
      <c r="J4683" s="102"/>
      <c r="K4683" s="450"/>
      <c r="L4683" s="443"/>
      <c r="M4683" s="450"/>
      <c r="N4683" s="452"/>
      <c r="O4683" s="453"/>
      <c r="P4683" s="113"/>
      <c r="Q4683" s="106"/>
      <c r="R4683" s="107"/>
    </row>
    <row r="4684" hidden="1">
      <c r="A4684" s="443"/>
      <c r="B4684" s="43"/>
      <c r="C4684" s="51"/>
      <c r="D4684" s="102"/>
      <c r="E4684" s="102"/>
      <c r="H4684" s="102"/>
      <c r="J4684" s="102"/>
      <c r="K4684" s="450"/>
      <c r="L4684" s="443"/>
      <c r="M4684" s="450"/>
      <c r="N4684" s="452"/>
      <c r="O4684" s="453"/>
      <c r="P4684" s="113"/>
      <c r="Q4684" s="106"/>
      <c r="R4684" s="107"/>
    </row>
    <row r="4685" hidden="1">
      <c r="A4685" s="443"/>
      <c r="B4685" s="43"/>
      <c r="C4685" s="51"/>
      <c r="D4685" s="102"/>
      <c r="E4685" s="102"/>
      <c r="H4685" s="102"/>
      <c r="J4685" s="102"/>
      <c r="K4685" s="450"/>
      <c r="L4685" s="443"/>
      <c r="M4685" s="450"/>
      <c r="N4685" s="452"/>
      <c r="O4685" s="453"/>
      <c r="P4685" s="113"/>
      <c r="Q4685" s="106"/>
      <c r="R4685" s="107"/>
    </row>
    <row r="4686" hidden="1">
      <c r="A4686" s="443"/>
      <c r="B4686" s="43"/>
      <c r="C4686" s="51"/>
      <c r="D4686" s="102"/>
      <c r="E4686" s="102"/>
      <c r="H4686" s="102"/>
      <c r="J4686" s="102"/>
      <c r="K4686" s="450"/>
      <c r="L4686" s="443"/>
      <c r="M4686" s="450"/>
      <c r="N4686" s="452"/>
      <c r="O4686" s="453"/>
      <c r="P4686" s="113"/>
      <c r="Q4686" s="106"/>
      <c r="R4686" s="107"/>
    </row>
    <row r="4687" hidden="1">
      <c r="A4687" s="443"/>
      <c r="B4687" s="43"/>
      <c r="C4687" s="51"/>
      <c r="D4687" s="102"/>
      <c r="E4687" s="102"/>
      <c r="H4687" s="102"/>
      <c r="J4687" s="102"/>
      <c r="K4687" s="450"/>
      <c r="L4687" s="443"/>
      <c r="M4687" s="450"/>
      <c r="N4687" s="452"/>
      <c r="O4687" s="453"/>
      <c r="P4687" s="113"/>
      <c r="Q4687" s="106"/>
      <c r="R4687" s="107"/>
    </row>
    <row r="4688" hidden="1">
      <c r="A4688" s="443"/>
      <c r="B4688" s="43"/>
      <c r="C4688" s="51"/>
      <c r="D4688" s="102"/>
      <c r="E4688" s="102"/>
      <c r="H4688" s="102"/>
      <c r="J4688" s="102"/>
      <c r="K4688" s="450"/>
      <c r="L4688" s="443"/>
      <c r="M4688" s="450"/>
      <c r="N4688" s="452"/>
      <c r="O4688" s="453"/>
      <c r="P4688" s="113"/>
      <c r="Q4688" s="106"/>
      <c r="R4688" s="107"/>
    </row>
    <row r="4689" hidden="1">
      <c r="A4689" s="443"/>
      <c r="B4689" s="43"/>
      <c r="C4689" s="51"/>
      <c r="D4689" s="102"/>
      <c r="E4689" s="102"/>
      <c r="H4689" s="102"/>
      <c r="J4689" s="102"/>
      <c r="K4689" s="450"/>
      <c r="L4689" s="443"/>
      <c r="M4689" s="450"/>
      <c r="N4689" s="452"/>
      <c r="O4689" s="453"/>
      <c r="P4689" s="113"/>
      <c r="Q4689" s="106"/>
      <c r="R4689" s="107"/>
    </row>
    <row r="4690" hidden="1">
      <c r="A4690" s="443"/>
      <c r="B4690" s="43"/>
      <c r="C4690" s="51"/>
      <c r="D4690" s="102"/>
      <c r="E4690" s="102"/>
      <c r="H4690" s="102"/>
      <c r="J4690" s="102"/>
      <c r="K4690" s="450"/>
      <c r="L4690" s="443"/>
      <c r="M4690" s="450"/>
      <c r="N4690" s="452"/>
      <c r="O4690" s="453"/>
      <c r="P4690" s="113"/>
      <c r="Q4690" s="106"/>
      <c r="R4690" s="107"/>
    </row>
    <row r="4691" hidden="1">
      <c r="A4691" s="443"/>
      <c r="B4691" s="43"/>
      <c r="C4691" s="51"/>
      <c r="D4691" s="102"/>
      <c r="E4691" s="102"/>
      <c r="H4691" s="102"/>
      <c r="J4691" s="102"/>
      <c r="K4691" s="450"/>
      <c r="L4691" s="443"/>
      <c r="M4691" s="450"/>
      <c r="N4691" s="452"/>
      <c r="O4691" s="453"/>
      <c r="P4691" s="113"/>
      <c r="Q4691" s="106"/>
      <c r="R4691" s="107"/>
    </row>
    <row r="4692" hidden="1">
      <c r="A4692" s="443"/>
      <c r="B4692" s="43"/>
      <c r="C4692" s="51"/>
      <c r="D4692" s="102"/>
      <c r="E4692" s="102"/>
      <c r="H4692" s="102"/>
      <c r="J4692" s="102"/>
      <c r="K4692" s="450"/>
      <c r="L4692" s="443"/>
      <c r="M4692" s="450"/>
      <c r="N4692" s="452"/>
      <c r="O4692" s="453"/>
      <c r="P4692" s="113"/>
      <c r="Q4692" s="106"/>
      <c r="R4692" s="107"/>
    </row>
    <row r="4693" hidden="1">
      <c r="A4693" s="443"/>
      <c r="B4693" s="43"/>
      <c r="C4693" s="51"/>
      <c r="D4693" s="102"/>
      <c r="E4693" s="102"/>
      <c r="H4693" s="102"/>
      <c r="J4693" s="102"/>
      <c r="K4693" s="450"/>
      <c r="L4693" s="443"/>
      <c r="M4693" s="450"/>
      <c r="N4693" s="452"/>
      <c r="O4693" s="453"/>
      <c r="P4693" s="113"/>
      <c r="Q4693" s="106"/>
      <c r="R4693" s="107"/>
    </row>
    <row r="4694" hidden="1">
      <c r="A4694" s="443"/>
      <c r="B4694" s="43"/>
      <c r="C4694" s="51"/>
      <c r="D4694" s="102"/>
      <c r="E4694" s="102"/>
      <c r="H4694" s="102"/>
      <c r="J4694" s="102"/>
      <c r="K4694" s="450"/>
      <c r="L4694" s="443"/>
      <c r="M4694" s="450"/>
      <c r="N4694" s="452"/>
      <c r="O4694" s="453"/>
      <c r="P4694" s="113"/>
      <c r="Q4694" s="106"/>
      <c r="R4694" s="107"/>
    </row>
    <row r="4695" hidden="1">
      <c r="A4695" s="443"/>
      <c r="B4695" s="43"/>
      <c r="C4695" s="51"/>
      <c r="D4695" s="102"/>
      <c r="E4695" s="102"/>
      <c r="H4695" s="102"/>
      <c r="J4695" s="102"/>
      <c r="K4695" s="450"/>
      <c r="L4695" s="443"/>
      <c r="M4695" s="450"/>
      <c r="N4695" s="452"/>
      <c r="O4695" s="453"/>
      <c r="P4695" s="113"/>
      <c r="Q4695" s="106"/>
      <c r="R4695" s="107"/>
    </row>
    <row r="4696" hidden="1">
      <c r="A4696" s="443"/>
      <c r="B4696" s="43"/>
      <c r="C4696" s="51"/>
      <c r="D4696" s="102"/>
      <c r="E4696" s="102"/>
      <c r="H4696" s="102"/>
      <c r="J4696" s="102"/>
      <c r="K4696" s="450"/>
      <c r="L4696" s="443"/>
      <c r="M4696" s="450"/>
      <c r="N4696" s="452"/>
      <c r="O4696" s="453"/>
      <c r="P4696" s="113"/>
      <c r="Q4696" s="106"/>
      <c r="R4696" s="107"/>
    </row>
    <row r="4697" hidden="1">
      <c r="A4697" s="443"/>
      <c r="B4697" s="43"/>
      <c r="C4697" s="51"/>
      <c r="D4697" s="102"/>
      <c r="E4697" s="102"/>
      <c r="H4697" s="102"/>
      <c r="J4697" s="102"/>
      <c r="K4697" s="450"/>
      <c r="L4697" s="443"/>
      <c r="M4697" s="450"/>
      <c r="N4697" s="452"/>
      <c r="O4697" s="453"/>
      <c r="P4697" s="113"/>
      <c r="Q4697" s="106"/>
      <c r="R4697" s="107"/>
    </row>
    <row r="4698" hidden="1">
      <c r="A4698" s="443"/>
      <c r="B4698" s="43"/>
      <c r="C4698" s="51"/>
      <c r="D4698" s="102"/>
      <c r="E4698" s="102"/>
      <c r="H4698" s="102"/>
      <c r="J4698" s="102"/>
      <c r="K4698" s="450"/>
      <c r="L4698" s="443"/>
      <c r="M4698" s="450"/>
      <c r="N4698" s="452"/>
      <c r="O4698" s="453"/>
      <c r="P4698" s="113"/>
      <c r="Q4698" s="106"/>
      <c r="R4698" s="107"/>
    </row>
    <row r="4699" hidden="1">
      <c r="A4699" s="443"/>
      <c r="B4699" s="43"/>
      <c r="C4699" s="51"/>
      <c r="D4699" s="102"/>
      <c r="E4699" s="102"/>
      <c r="H4699" s="102"/>
      <c r="J4699" s="102"/>
      <c r="K4699" s="450"/>
      <c r="L4699" s="443"/>
      <c r="M4699" s="450"/>
      <c r="N4699" s="452"/>
      <c r="O4699" s="453"/>
      <c r="P4699" s="113"/>
      <c r="Q4699" s="106"/>
      <c r="R4699" s="107"/>
    </row>
    <row r="4700" hidden="1">
      <c r="A4700" s="443"/>
      <c r="B4700" s="43"/>
      <c r="C4700" s="51"/>
      <c r="D4700" s="102"/>
      <c r="E4700" s="102"/>
      <c r="H4700" s="102"/>
      <c r="J4700" s="102"/>
      <c r="K4700" s="450"/>
      <c r="L4700" s="443"/>
      <c r="M4700" s="450"/>
      <c r="N4700" s="452"/>
      <c r="O4700" s="453"/>
      <c r="P4700" s="113"/>
      <c r="Q4700" s="106"/>
      <c r="R4700" s="107"/>
    </row>
    <row r="4701" hidden="1">
      <c r="A4701" s="443"/>
      <c r="B4701" s="43"/>
      <c r="C4701" s="51"/>
      <c r="D4701" s="102"/>
      <c r="E4701" s="102"/>
      <c r="H4701" s="102"/>
      <c r="J4701" s="102"/>
      <c r="K4701" s="450"/>
      <c r="L4701" s="443"/>
      <c r="M4701" s="450"/>
      <c r="N4701" s="452"/>
      <c r="O4701" s="453"/>
      <c r="P4701" s="113"/>
      <c r="Q4701" s="106"/>
      <c r="R4701" s="107"/>
    </row>
    <row r="4702" hidden="1">
      <c r="A4702" s="443"/>
      <c r="B4702" s="43"/>
      <c r="C4702" s="51"/>
      <c r="D4702" s="102"/>
      <c r="E4702" s="102"/>
      <c r="H4702" s="102"/>
      <c r="J4702" s="102"/>
      <c r="K4702" s="450"/>
      <c r="L4702" s="443"/>
      <c r="M4702" s="450"/>
      <c r="N4702" s="452"/>
      <c r="O4702" s="453"/>
      <c r="P4702" s="113"/>
      <c r="Q4702" s="106"/>
      <c r="R4702" s="107"/>
    </row>
    <row r="4703" hidden="1">
      <c r="A4703" s="443"/>
      <c r="B4703" s="43"/>
      <c r="C4703" s="51"/>
      <c r="D4703" s="102"/>
      <c r="E4703" s="102"/>
      <c r="H4703" s="102"/>
      <c r="J4703" s="102"/>
      <c r="K4703" s="450"/>
      <c r="L4703" s="443"/>
      <c r="M4703" s="450"/>
      <c r="N4703" s="452"/>
      <c r="O4703" s="453"/>
      <c r="P4703" s="113"/>
      <c r="Q4703" s="106"/>
      <c r="R4703" s="107"/>
    </row>
    <row r="4704" hidden="1">
      <c r="A4704" s="443"/>
      <c r="B4704" s="43"/>
      <c r="C4704" s="51"/>
      <c r="D4704" s="102"/>
      <c r="E4704" s="102"/>
      <c r="H4704" s="102"/>
      <c r="J4704" s="102"/>
      <c r="K4704" s="450"/>
      <c r="L4704" s="443"/>
      <c r="M4704" s="450"/>
      <c r="N4704" s="452"/>
      <c r="O4704" s="453"/>
      <c r="P4704" s="113"/>
      <c r="Q4704" s="106"/>
      <c r="R4704" s="107"/>
    </row>
    <row r="4705" hidden="1">
      <c r="A4705" s="443"/>
      <c r="B4705" s="43"/>
      <c r="C4705" s="51"/>
      <c r="D4705" s="102"/>
      <c r="E4705" s="102"/>
      <c r="H4705" s="102"/>
      <c r="J4705" s="102"/>
      <c r="K4705" s="450"/>
      <c r="L4705" s="443"/>
      <c r="M4705" s="450"/>
      <c r="N4705" s="452"/>
      <c r="O4705" s="453"/>
      <c r="P4705" s="113"/>
      <c r="Q4705" s="106"/>
      <c r="R4705" s="107"/>
    </row>
    <row r="4706" hidden="1">
      <c r="A4706" s="443"/>
      <c r="B4706" s="43"/>
      <c r="C4706" s="51"/>
      <c r="D4706" s="102"/>
      <c r="E4706" s="102"/>
      <c r="H4706" s="102"/>
      <c r="J4706" s="102"/>
      <c r="K4706" s="450"/>
      <c r="L4706" s="443"/>
      <c r="M4706" s="450"/>
      <c r="N4706" s="452"/>
      <c r="O4706" s="453"/>
      <c r="P4706" s="113"/>
      <c r="Q4706" s="106"/>
      <c r="R4706" s="107"/>
    </row>
    <row r="4707" hidden="1">
      <c r="A4707" s="443"/>
      <c r="B4707" s="43"/>
      <c r="C4707" s="51"/>
      <c r="D4707" s="102"/>
      <c r="E4707" s="102"/>
      <c r="H4707" s="102"/>
      <c r="J4707" s="102"/>
      <c r="K4707" s="450"/>
      <c r="L4707" s="443"/>
      <c r="M4707" s="450"/>
      <c r="N4707" s="452"/>
      <c r="O4707" s="453"/>
      <c r="P4707" s="113"/>
      <c r="Q4707" s="106"/>
      <c r="R4707" s="107"/>
    </row>
    <row r="4708" hidden="1">
      <c r="A4708" s="443"/>
      <c r="B4708" s="43"/>
      <c r="C4708" s="51"/>
      <c r="D4708" s="102"/>
      <c r="E4708" s="102"/>
      <c r="H4708" s="102"/>
      <c r="J4708" s="102"/>
      <c r="K4708" s="450"/>
      <c r="L4708" s="443"/>
      <c r="M4708" s="450"/>
      <c r="N4708" s="452"/>
      <c r="O4708" s="453"/>
      <c r="P4708" s="113"/>
      <c r="Q4708" s="106"/>
      <c r="R4708" s="107"/>
    </row>
    <row r="4709" hidden="1">
      <c r="A4709" s="443"/>
      <c r="B4709" s="43"/>
      <c r="C4709" s="51"/>
      <c r="D4709" s="102"/>
      <c r="E4709" s="102"/>
      <c r="H4709" s="102"/>
      <c r="J4709" s="102"/>
      <c r="K4709" s="450"/>
      <c r="L4709" s="443"/>
      <c r="M4709" s="450"/>
      <c r="N4709" s="452"/>
      <c r="O4709" s="453"/>
      <c r="P4709" s="113"/>
      <c r="Q4709" s="106"/>
      <c r="R4709" s="107"/>
    </row>
    <row r="4710" hidden="1">
      <c r="A4710" s="443"/>
      <c r="B4710" s="43"/>
      <c r="C4710" s="51"/>
      <c r="D4710" s="102"/>
      <c r="E4710" s="102"/>
      <c r="H4710" s="102"/>
      <c r="J4710" s="102"/>
      <c r="K4710" s="450"/>
      <c r="L4710" s="443"/>
      <c r="M4710" s="450"/>
      <c r="N4710" s="452"/>
      <c r="O4710" s="453"/>
      <c r="P4710" s="113"/>
      <c r="Q4710" s="106"/>
      <c r="R4710" s="107"/>
    </row>
    <row r="4711" hidden="1">
      <c r="A4711" s="443"/>
      <c r="B4711" s="43"/>
      <c r="C4711" s="51"/>
      <c r="D4711" s="102"/>
      <c r="E4711" s="102"/>
      <c r="H4711" s="102"/>
      <c r="J4711" s="102"/>
      <c r="K4711" s="450"/>
      <c r="L4711" s="443"/>
      <c r="M4711" s="450"/>
      <c r="N4711" s="452"/>
      <c r="O4711" s="453"/>
      <c r="P4711" s="113"/>
      <c r="Q4711" s="106"/>
      <c r="R4711" s="107"/>
    </row>
    <row r="4712" hidden="1">
      <c r="A4712" s="443"/>
      <c r="B4712" s="43"/>
      <c r="C4712" s="51"/>
      <c r="D4712" s="102"/>
      <c r="E4712" s="102"/>
      <c r="H4712" s="102"/>
      <c r="J4712" s="102"/>
      <c r="K4712" s="450"/>
      <c r="L4712" s="443"/>
      <c r="M4712" s="450"/>
      <c r="N4712" s="452"/>
      <c r="O4712" s="453"/>
      <c r="P4712" s="113"/>
      <c r="Q4712" s="106"/>
      <c r="R4712" s="107"/>
    </row>
    <row r="4713" hidden="1">
      <c r="A4713" s="443"/>
      <c r="B4713" s="43"/>
      <c r="C4713" s="51"/>
      <c r="D4713" s="102"/>
      <c r="E4713" s="102"/>
      <c r="H4713" s="102"/>
      <c r="J4713" s="102"/>
      <c r="K4713" s="450"/>
      <c r="L4713" s="443"/>
      <c r="M4713" s="450"/>
      <c r="N4713" s="452"/>
      <c r="O4713" s="453"/>
      <c r="P4713" s="113"/>
      <c r="Q4713" s="106"/>
      <c r="R4713" s="107"/>
    </row>
    <row r="4714" hidden="1">
      <c r="A4714" s="443"/>
      <c r="B4714" s="43"/>
      <c r="C4714" s="51"/>
      <c r="D4714" s="102"/>
      <c r="E4714" s="102"/>
      <c r="H4714" s="102"/>
      <c r="J4714" s="102"/>
      <c r="K4714" s="450"/>
      <c r="L4714" s="443"/>
      <c r="M4714" s="450"/>
      <c r="N4714" s="452"/>
      <c r="O4714" s="453"/>
      <c r="P4714" s="113"/>
      <c r="Q4714" s="106"/>
      <c r="R4714" s="107"/>
    </row>
    <row r="4715" hidden="1">
      <c r="A4715" s="443"/>
      <c r="B4715" s="43"/>
      <c r="C4715" s="51"/>
      <c r="D4715" s="102"/>
      <c r="E4715" s="102"/>
      <c r="H4715" s="102"/>
      <c r="J4715" s="102"/>
      <c r="K4715" s="450"/>
      <c r="L4715" s="443"/>
      <c r="M4715" s="450"/>
      <c r="N4715" s="452"/>
      <c r="O4715" s="453"/>
      <c r="P4715" s="113"/>
      <c r="Q4715" s="106"/>
      <c r="R4715" s="107"/>
    </row>
    <row r="4716" hidden="1">
      <c r="A4716" s="443"/>
      <c r="B4716" s="43"/>
      <c r="C4716" s="51"/>
      <c r="D4716" s="102"/>
      <c r="E4716" s="102"/>
      <c r="H4716" s="102"/>
      <c r="J4716" s="102"/>
      <c r="K4716" s="450"/>
      <c r="L4716" s="443"/>
      <c r="M4716" s="450"/>
      <c r="N4716" s="452"/>
      <c r="O4716" s="453"/>
      <c r="P4716" s="113"/>
      <c r="Q4716" s="106"/>
      <c r="R4716" s="107"/>
    </row>
    <row r="4717" hidden="1">
      <c r="A4717" s="443"/>
      <c r="B4717" s="43"/>
      <c r="C4717" s="51"/>
      <c r="D4717" s="102"/>
      <c r="E4717" s="102"/>
      <c r="H4717" s="102"/>
      <c r="J4717" s="102"/>
      <c r="K4717" s="450"/>
      <c r="L4717" s="443"/>
      <c r="M4717" s="450"/>
      <c r="N4717" s="452"/>
      <c r="O4717" s="453"/>
      <c r="P4717" s="113"/>
      <c r="Q4717" s="106"/>
      <c r="R4717" s="107"/>
    </row>
    <row r="4718" hidden="1">
      <c r="A4718" s="443"/>
      <c r="B4718" s="43"/>
      <c r="C4718" s="51"/>
      <c r="D4718" s="102"/>
      <c r="E4718" s="102"/>
      <c r="H4718" s="102"/>
      <c r="J4718" s="102"/>
      <c r="K4718" s="450"/>
      <c r="L4718" s="443"/>
      <c r="M4718" s="450"/>
      <c r="N4718" s="452"/>
      <c r="O4718" s="453"/>
      <c r="P4718" s="113"/>
      <c r="Q4718" s="106"/>
      <c r="R4718" s="107"/>
    </row>
    <row r="4719" hidden="1">
      <c r="A4719" s="443"/>
      <c r="B4719" s="43"/>
      <c r="C4719" s="51"/>
      <c r="D4719" s="102"/>
      <c r="E4719" s="102"/>
      <c r="H4719" s="102"/>
      <c r="J4719" s="102"/>
      <c r="K4719" s="450"/>
      <c r="L4719" s="443"/>
      <c r="M4719" s="450"/>
      <c r="N4719" s="452"/>
      <c r="O4719" s="453"/>
      <c r="P4719" s="113"/>
      <c r="Q4719" s="106"/>
      <c r="R4719" s="107"/>
    </row>
    <row r="4720" hidden="1">
      <c r="A4720" s="443"/>
      <c r="B4720" s="43"/>
      <c r="C4720" s="51"/>
      <c r="D4720" s="102"/>
      <c r="E4720" s="102"/>
      <c r="H4720" s="102"/>
      <c r="J4720" s="102"/>
      <c r="K4720" s="450"/>
      <c r="L4720" s="443"/>
      <c r="M4720" s="450"/>
      <c r="N4720" s="452"/>
      <c r="O4720" s="453"/>
      <c r="P4720" s="113"/>
      <c r="Q4720" s="106"/>
      <c r="R4720" s="107"/>
    </row>
    <row r="4721" hidden="1">
      <c r="A4721" s="443"/>
      <c r="B4721" s="43"/>
      <c r="C4721" s="51"/>
      <c r="D4721" s="102"/>
      <c r="E4721" s="102"/>
      <c r="H4721" s="102"/>
      <c r="J4721" s="102"/>
      <c r="K4721" s="450"/>
      <c r="L4721" s="443"/>
      <c r="M4721" s="450"/>
      <c r="N4721" s="452"/>
      <c r="O4721" s="453"/>
      <c r="P4721" s="113"/>
      <c r="Q4721" s="106"/>
      <c r="R4721" s="107"/>
    </row>
    <row r="4722" hidden="1">
      <c r="A4722" s="443"/>
      <c r="B4722" s="43"/>
      <c r="C4722" s="51"/>
      <c r="D4722" s="102"/>
      <c r="E4722" s="102"/>
      <c r="H4722" s="102"/>
      <c r="J4722" s="102"/>
      <c r="K4722" s="450"/>
      <c r="L4722" s="443"/>
      <c r="M4722" s="450"/>
      <c r="N4722" s="452"/>
      <c r="O4722" s="453"/>
      <c r="P4722" s="113"/>
      <c r="Q4722" s="106"/>
      <c r="R4722" s="107"/>
    </row>
    <row r="4723" hidden="1">
      <c r="A4723" s="443"/>
      <c r="B4723" s="43"/>
      <c r="C4723" s="51"/>
      <c r="D4723" s="102"/>
      <c r="E4723" s="102"/>
      <c r="H4723" s="102"/>
      <c r="J4723" s="102"/>
      <c r="K4723" s="450"/>
      <c r="L4723" s="443"/>
      <c r="M4723" s="450"/>
      <c r="N4723" s="452"/>
      <c r="O4723" s="453"/>
      <c r="P4723" s="113"/>
      <c r="Q4723" s="106"/>
      <c r="R4723" s="107"/>
    </row>
    <row r="4724" hidden="1">
      <c r="A4724" s="443"/>
      <c r="B4724" s="43"/>
      <c r="C4724" s="51"/>
      <c r="D4724" s="102"/>
      <c r="E4724" s="102"/>
      <c r="H4724" s="102"/>
      <c r="J4724" s="102"/>
      <c r="K4724" s="450"/>
      <c r="L4724" s="443"/>
      <c r="M4724" s="450"/>
      <c r="N4724" s="452"/>
      <c r="O4724" s="453"/>
      <c r="P4724" s="113"/>
      <c r="Q4724" s="106"/>
      <c r="R4724" s="107"/>
    </row>
    <row r="4725" hidden="1">
      <c r="A4725" s="443"/>
      <c r="B4725" s="43"/>
      <c r="C4725" s="51"/>
      <c r="D4725" s="102"/>
      <c r="E4725" s="102"/>
      <c r="H4725" s="102"/>
      <c r="J4725" s="102"/>
      <c r="K4725" s="450"/>
      <c r="L4725" s="443"/>
      <c r="M4725" s="450"/>
      <c r="N4725" s="452"/>
      <c r="O4725" s="453"/>
      <c r="P4725" s="113"/>
      <c r="Q4725" s="106"/>
      <c r="R4725" s="107"/>
    </row>
    <row r="4726" hidden="1">
      <c r="A4726" s="443"/>
      <c r="B4726" s="43"/>
      <c r="C4726" s="51"/>
      <c r="D4726" s="102"/>
      <c r="E4726" s="102"/>
      <c r="H4726" s="102"/>
      <c r="J4726" s="102"/>
      <c r="K4726" s="450"/>
      <c r="L4726" s="443"/>
      <c r="M4726" s="450"/>
      <c r="N4726" s="452"/>
      <c r="O4726" s="453"/>
      <c r="P4726" s="113"/>
      <c r="Q4726" s="106"/>
      <c r="R4726" s="107"/>
    </row>
    <row r="4727" hidden="1">
      <c r="A4727" s="443"/>
      <c r="B4727" s="43"/>
      <c r="C4727" s="51"/>
      <c r="D4727" s="102"/>
      <c r="E4727" s="102"/>
      <c r="H4727" s="102"/>
      <c r="J4727" s="102"/>
      <c r="K4727" s="450"/>
      <c r="L4727" s="443"/>
      <c r="M4727" s="450"/>
      <c r="N4727" s="452"/>
      <c r="O4727" s="453"/>
      <c r="P4727" s="113"/>
      <c r="Q4727" s="106"/>
      <c r="R4727" s="107"/>
    </row>
    <row r="4728" hidden="1">
      <c r="A4728" s="443"/>
      <c r="B4728" s="43"/>
      <c r="C4728" s="51"/>
      <c r="D4728" s="102"/>
      <c r="E4728" s="102"/>
      <c r="H4728" s="102"/>
      <c r="J4728" s="102"/>
      <c r="K4728" s="450"/>
      <c r="L4728" s="443"/>
      <c r="M4728" s="450"/>
      <c r="N4728" s="452"/>
      <c r="O4728" s="453"/>
      <c r="P4728" s="113"/>
      <c r="Q4728" s="106"/>
      <c r="R4728" s="107"/>
    </row>
    <row r="4729" hidden="1">
      <c r="A4729" s="443"/>
      <c r="B4729" s="43"/>
      <c r="C4729" s="51"/>
      <c r="D4729" s="102"/>
      <c r="E4729" s="102"/>
      <c r="H4729" s="102"/>
      <c r="J4729" s="102"/>
      <c r="K4729" s="450"/>
      <c r="L4729" s="443"/>
      <c r="M4729" s="450"/>
      <c r="N4729" s="452"/>
      <c r="O4729" s="453"/>
      <c r="P4729" s="113"/>
      <c r="Q4729" s="106"/>
      <c r="R4729" s="107"/>
    </row>
    <row r="4730" hidden="1">
      <c r="A4730" s="443"/>
      <c r="B4730" s="43"/>
      <c r="C4730" s="51"/>
      <c r="D4730" s="102"/>
      <c r="E4730" s="102"/>
      <c r="H4730" s="102"/>
      <c r="J4730" s="102"/>
      <c r="K4730" s="450"/>
      <c r="L4730" s="443"/>
      <c r="M4730" s="450"/>
      <c r="N4730" s="452"/>
      <c r="O4730" s="453"/>
      <c r="P4730" s="113"/>
      <c r="Q4730" s="106"/>
      <c r="R4730" s="107"/>
    </row>
    <row r="4731" hidden="1">
      <c r="A4731" s="443"/>
      <c r="B4731" s="43"/>
      <c r="C4731" s="51"/>
      <c r="D4731" s="102"/>
      <c r="E4731" s="102"/>
      <c r="H4731" s="102"/>
      <c r="J4731" s="102"/>
      <c r="K4731" s="450"/>
      <c r="L4731" s="443"/>
      <c r="M4731" s="450"/>
      <c r="N4731" s="452"/>
      <c r="O4731" s="453"/>
      <c r="P4731" s="113"/>
      <c r="Q4731" s="106"/>
      <c r="R4731" s="107"/>
    </row>
    <row r="4732" hidden="1">
      <c r="A4732" s="443"/>
      <c r="B4732" s="43"/>
      <c r="C4732" s="51"/>
      <c r="D4732" s="102"/>
      <c r="E4732" s="102"/>
      <c r="H4732" s="102"/>
      <c r="J4732" s="102"/>
      <c r="K4732" s="450"/>
      <c r="L4732" s="443"/>
      <c r="M4732" s="450"/>
      <c r="N4732" s="452"/>
      <c r="O4732" s="453"/>
      <c r="P4732" s="113"/>
      <c r="Q4732" s="106"/>
      <c r="R4732" s="107"/>
    </row>
    <row r="4733" hidden="1">
      <c r="A4733" s="443"/>
      <c r="B4733" s="43"/>
      <c r="C4733" s="51"/>
      <c r="D4733" s="102"/>
      <c r="E4733" s="102"/>
      <c r="H4733" s="102"/>
      <c r="J4733" s="102"/>
      <c r="K4733" s="450"/>
      <c r="L4733" s="443"/>
      <c r="M4733" s="450"/>
      <c r="N4733" s="452"/>
      <c r="O4733" s="453"/>
      <c r="P4733" s="113"/>
      <c r="Q4733" s="106"/>
      <c r="R4733" s="107"/>
    </row>
    <row r="4734" hidden="1">
      <c r="A4734" s="443"/>
      <c r="B4734" s="43"/>
      <c r="C4734" s="51"/>
      <c r="D4734" s="102"/>
      <c r="E4734" s="102"/>
      <c r="H4734" s="102"/>
      <c r="J4734" s="102"/>
      <c r="K4734" s="450"/>
      <c r="L4734" s="443"/>
      <c r="M4734" s="450"/>
      <c r="N4734" s="452"/>
      <c r="O4734" s="453"/>
      <c r="P4734" s="113"/>
      <c r="Q4734" s="106"/>
      <c r="R4734" s="107"/>
    </row>
    <row r="4735" hidden="1">
      <c r="A4735" s="443"/>
      <c r="B4735" s="43"/>
      <c r="C4735" s="51"/>
      <c r="D4735" s="102"/>
      <c r="E4735" s="102"/>
      <c r="H4735" s="102"/>
      <c r="J4735" s="102"/>
      <c r="K4735" s="450"/>
      <c r="L4735" s="443"/>
      <c r="M4735" s="450"/>
      <c r="N4735" s="452"/>
      <c r="O4735" s="453"/>
      <c r="P4735" s="113"/>
      <c r="Q4735" s="106"/>
      <c r="R4735" s="107"/>
    </row>
    <row r="4736" hidden="1">
      <c r="A4736" s="443"/>
      <c r="B4736" s="43"/>
      <c r="C4736" s="51"/>
      <c r="D4736" s="102"/>
      <c r="E4736" s="102"/>
      <c r="H4736" s="102"/>
      <c r="J4736" s="102"/>
      <c r="K4736" s="450"/>
      <c r="L4736" s="443"/>
      <c r="M4736" s="450"/>
      <c r="N4736" s="452"/>
      <c r="O4736" s="453"/>
      <c r="P4736" s="113"/>
      <c r="Q4736" s="106"/>
      <c r="R4736" s="107"/>
    </row>
    <row r="4737" hidden="1">
      <c r="A4737" s="443"/>
      <c r="B4737" s="43"/>
      <c r="C4737" s="51"/>
      <c r="D4737" s="102"/>
      <c r="E4737" s="102"/>
      <c r="H4737" s="102"/>
      <c r="J4737" s="102"/>
      <c r="K4737" s="450"/>
      <c r="L4737" s="443"/>
      <c r="M4737" s="450"/>
      <c r="N4737" s="452"/>
      <c r="O4737" s="453"/>
      <c r="P4737" s="113"/>
      <c r="Q4737" s="106"/>
      <c r="R4737" s="107"/>
    </row>
    <row r="4738" hidden="1">
      <c r="A4738" s="443"/>
      <c r="B4738" s="43"/>
      <c r="C4738" s="51"/>
      <c r="D4738" s="102"/>
      <c r="E4738" s="102"/>
      <c r="H4738" s="102"/>
      <c r="J4738" s="102"/>
      <c r="K4738" s="450"/>
      <c r="L4738" s="443"/>
      <c r="M4738" s="450"/>
      <c r="N4738" s="452"/>
      <c r="O4738" s="453"/>
      <c r="P4738" s="113"/>
      <c r="Q4738" s="106"/>
      <c r="R4738" s="107"/>
    </row>
    <row r="4739" hidden="1">
      <c r="A4739" s="443"/>
      <c r="B4739" s="43"/>
      <c r="C4739" s="51"/>
      <c r="D4739" s="102"/>
      <c r="E4739" s="102"/>
      <c r="H4739" s="102"/>
      <c r="J4739" s="102"/>
      <c r="K4739" s="450"/>
      <c r="L4739" s="443"/>
      <c r="M4739" s="450"/>
      <c r="N4739" s="452"/>
      <c r="O4739" s="453"/>
      <c r="P4739" s="113"/>
      <c r="Q4739" s="106"/>
      <c r="R4739" s="107"/>
    </row>
    <row r="4740" hidden="1">
      <c r="A4740" s="443"/>
      <c r="B4740" s="43"/>
      <c r="C4740" s="51"/>
      <c r="D4740" s="102"/>
      <c r="E4740" s="102"/>
      <c r="H4740" s="102"/>
      <c r="J4740" s="102"/>
      <c r="K4740" s="450"/>
      <c r="L4740" s="443"/>
      <c r="M4740" s="450"/>
      <c r="N4740" s="452"/>
      <c r="O4740" s="453"/>
      <c r="P4740" s="113"/>
      <c r="Q4740" s="106"/>
      <c r="R4740" s="107"/>
    </row>
    <row r="4741" hidden="1">
      <c r="A4741" s="443"/>
      <c r="B4741" s="43"/>
      <c r="C4741" s="51"/>
      <c r="D4741" s="102"/>
      <c r="E4741" s="102"/>
      <c r="H4741" s="102"/>
      <c r="J4741" s="102"/>
      <c r="K4741" s="450"/>
      <c r="L4741" s="443"/>
      <c r="M4741" s="450"/>
      <c r="N4741" s="452"/>
      <c r="O4741" s="453"/>
      <c r="P4741" s="113"/>
      <c r="Q4741" s="106"/>
      <c r="R4741" s="107"/>
    </row>
    <row r="4742" hidden="1">
      <c r="A4742" s="443"/>
      <c r="B4742" s="43"/>
      <c r="C4742" s="51"/>
      <c r="D4742" s="102"/>
      <c r="E4742" s="102"/>
      <c r="H4742" s="102"/>
      <c r="J4742" s="102"/>
      <c r="K4742" s="450"/>
      <c r="L4742" s="443"/>
      <c r="M4742" s="450"/>
      <c r="N4742" s="452"/>
      <c r="O4742" s="453"/>
      <c r="P4742" s="113"/>
      <c r="Q4742" s="106"/>
      <c r="R4742" s="107"/>
    </row>
    <row r="4743" hidden="1">
      <c r="A4743" s="443"/>
      <c r="B4743" s="43"/>
      <c r="C4743" s="51"/>
      <c r="D4743" s="102"/>
      <c r="E4743" s="102"/>
      <c r="H4743" s="102"/>
      <c r="J4743" s="102"/>
      <c r="K4743" s="450"/>
      <c r="L4743" s="443"/>
      <c r="M4743" s="450"/>
      <c r="N4743" s="452"/>
      <c r="O4743" s="453"/>
      <c r="P4743" s="113"/>
      <c r="Q4743" s="106"/>
      <c r="R4743" s="107"/>
    </row>
    <row r="4744" hidden="1">
      <c r="A4744" s="443"/>
      <c r="B4744" s="43"/>
      <c r="C4744" s="51"/>
      <c r="D4744" s="102"/>
      <c r="E4744" s="102"/>
      <c r="H4744" s="102"/>
      <c r="J4744" s="102"/>
      <c r="K4744" s="450"/>
      <c r="L4744" s="443"/>
      <c r="M4744" s="450"/>
      <c r="N4744" s="452"/>
      <c r="O4744" s="453"/>
      <c r="P4744" s="113"/>
      <c r="Q4744" s="106"/>
      <c r="R4744" s="107"/>
    </row>
    <row r="4745" hidden="1">
      <c r="A4745" s="443"/>
      <c r="B4745" s="43"/>
      <c r="C4745" s="51"/>
      <c r="D4745" s="102"/>
      <c r="E4745" s="102"/>
      <c r="H4745" s="102"/>
      <c r="J4745" s="102"/>
      <c r="K4745" s="450"/>
      <c r="L4745" s="443"/>
      <c r="M4745" s="450"/>
      <c r="N4745" s="452"/>
      <c r="O4745" s="453"/>
      <c r="P4745" s="113"/>
      <c r="Q4745" s="106"/>
      <c r="R4745" s="107"/>
    </row>
    <row r="4746" hidden="1">
      <c r="A4746" s="443"/>
      <c r="B4746" s="43"/>
      <c r="C4746" s="51"/>
      <c r="D4746" s="102"/>
      <c r="E4746" s="102"/>
      <c r="H4746" s="102"/>
      <c r="J4746" s="102"/>
      <c r="K4746" s="450"/>
      <c r="L4746" s="443"/>
      <c r="M4746" s="450"/>
      <c r="N4746" s="452"/>
      <c r="O4746" s="453"/>
      <c r="P4746" s="113"/>
      <c r="Q4746" s="106"/>
      <c r="R4746" s="107"/>
    </row>
    <row r="4747" hidden="1">
      <c r="A4747" s="443"/>
      <c r="B4747" s="43"/>
      <c r="C4747" s="51"/>
      <c r="D4747" s="102"/>
      <c r="E4747" s="102"/>
      <c r="H4747" s="102"/>
      <c r="J4747" s="102"/>
      <c r="K4747" s="450"/>
      <c r="L4747" s="443"/>
      <c r="M4747" s="450"/>
      <c r="N4747" s="452"/>
      <c r="O4747" s="453"/>
      <c r="P4747" s="113"/>
      <c r="Q4747" s="106"/>
      <c r="R4747" s="107"/>
    </row>
    <row r="4748" hidden="1">
      <c r="A4748" s="443"/>
      <c r="B4748" s="43"/>
      <c r="C4748" s="51"/>
      <c r="D4748" s="102"/>
      <c r="E4748" s="102"/>
      <c r="H4748" s="102"/>
      <c r="J4748" s="102"/>
      <c r="K4748" s="450"/>
      <c r="L4748" s="443"/>
      <c r="M4748" s="450"/>
      <c r="N4748" s="452"/>
      <c r="O4748" s="453"/>
      <c r="P4748" s="113"/>
      <c r="Q4748" s="106"/>
      <c r="R4748" s="107"/>
    </row>
    <row r="4749" hidden="1">
      <c r="A4749" s="443"/>
      <c r="B4749" s="43"/>
      <c r="C4749" s="51"/>
      <c r="D4749" s="102"/>
      <c r="E4749" s="102"/>
      <c r="H4749" s="102"/>
      <c r="J4749" s="102"/>
      <c r="K4749" s="450"/>
      <c r="L4749" s="443"/>
      <c r="M4749" s="450"/>
      <c r="N4749" s="452"/>
      <c r="O4749" s="453"/>
      <c r="P4749" s="113"/>
      <c r="Q4749" s="106"/>
      <c r="R4749" s="107"/>
    </row>
    <row r="4750" hidden="1">
      <c r="A4750" s="443"/>
      <c r="B4750" s="43"/>
      <c r="C4750" s="51"/>
      <c r="D4750" s="102"/>
      <c r="E4750" s="102"/>
      <c r="H4750" s="102"/>
      <c r="J4750" s="102"/>
      <c r="K4750" s="450"/>
      <c r="L4750" s="443"/>
      <c r="M4750" s="450"/>
      <c r="N4750" s="452"/>
      <c r="O4750" s="453"/>
      <c r="P4750" s="113"/>
      <c r="Q4750" s="106"/>
      <c r="R4750" s="107"/>
    </row>
    <row r="4751" hidden="1">
      <c r="A4751" s="443"/>
      <c r="B4751" s="43"/>
      <c r="C4751" s="51"/>
      <c r="D4751" s="102"/>
      <c r="E4751" s="102"/>
      <c r="H4751" s="102"/>
      <c r="J4751" s="102"/>
      <c r="K4751" s="450"/>
      <c r="L4751" s="443"/>
      <c r="M4751" s="450"/>
      <c r="N4751" s="452"/>
      <c r="O4751" s="453"/>
      <c r="P4751" s="113"/>
      <c r="Q4751" s="106"/>
      <c r="R4751" s="107"/>
    </row>
    <row r="4752" hidden="1">
      <c r="A4752" s="443"/>
      <c r="B4752" s="43"/>
      <c r="C4752" s="51"/>
      <c r="D4752" s="102"/>
      <c r="E4752" s="102"/>
      <c r="H4752" s="102"/>
      <c r="J4752" s="102"/>
      <c r="K4752" s="450"/>
      <c r="L4752" s="443"/>
      <c r="M4752" s="450"/>
      <c r="N4752" s="452"/>
      <c r="O4752" s="453"/>
      <c r="P4752" s="113"/>
      <c r="Q4752" s="106"/>
      <c r="R4752" s="107"/>
    </row>
    <row r="4753" hidden="1">
      <c r="A4753" s="443"/>
      <c r="B4753" s="43"/>
      <c r="C4753" s="51"/>
      <c r="D4753" s="102"/>
      <c r="E4753" s="102"/>
      <c r="H4753" s="102"/>
      <c r="J4753" s="102"/>
      <c r="K4753" s="450"/>
      <c r="L4753" s="443"/>
      <c r="M4753" s="450"/>
      <c r="N4753" s="452"/>
      <c r="O4753" s="453"/>
      <c r="P4753" s="113"/>
      <c r="Q4753" s="106"/>
      <c r="R4753" s="107"/>
    </row>
    <row r="4754" hidden="1">
      <c r="A4754" s="443"/>
      <c r="B4754" s="43"/>
      <c r="C4754" s="51"/>
      <c r="D4754" s="102"/>
      <c r="E4754" s="102"/>
      <c r="H4754" s="102"/>
      <c r="J4754" s="102"/>
      <c r="K4754" s="450"/>
      <c r="L4754" s="443"/>
      <c r="M4754" s="450"/>
      <c r="N4754" s="452"/>
      <c r="O4754" s="453"/>
      <c r="P4754" s="113"/>
      <c r="Q4754" s="106"/>
      <c r="R4754" s="107"/>
    </row>
    <row r="4755" hidden="1">
      <c r="A4755" s="443"/>
      <c r="B4755" s="43"/>
      <c r="C4755" s="51"/>
      <c r="D4755" s="102"/>
      <c r="E4755" s="102"/>
      <c r="H4755" s="102"/>
      <c r="J4755" s="102"/>
      <c r="K4755" s="450"/>
      <c r="L4755" s="443"/>
      <c r="M4755" s="450"/>
      <c r="N4755" s="452"/>
      <c r="O4755" s="453"/>
      <c r="P4755" s="113"/>
      <c r="Q4755" s="106"/>
      <c r="R4755" s="107"/>
    </row>
    <row r="4756" hidden="1">
      <c r="A4756" s="443"/>
      <c r="B4756" s="43"/>
      <c r="C4756" s="51"/>
      <c r="D4756" s="102"/>
      <c r="E4756" s="102"/>
      <c r="H4756" s="102"/>
      <c r="J4756" s="102"/>
      <c r="K4756" s="450"/>
      <c r="L4756" s="443"/>
      <c r="M4756" s="450"/>
      <c r="N4756" s="452"/>
      <c r="O4756" s="453"/>
      <c r="P4756" s="113"/>
      <c r="Q4756" s="106"/>
      <c r="R4756" s="107"/>
    </row>
    <row r="4757" hidden="1">
      <c r="A4757" s="443"/>
      <c r="B4757" s="43"/>
      <c r="C4757" s="51"/>
      <c r="D4757" s="102"/>
      <c r="E4757" s="102"/>
      <c r="H4757" s="102"/>
      <c r="J4757" s="102"/>
      <c r="K4757" s="450"/>
      <c r="L4757" s="443"/>
      <c r="M4757" s="450"/>
      <c r="N4757" s="452"/>
      <c r="O4757" s="453"/>
      <c r="P4757" s="113"/>
      <c r="Q4757" s="106"/>
      <c r="R4757" s="107"/>
    </row>
    <row r="4758" hidden="1">
      <c r="A4758" s="443"/>
      <c r="B4758" s="43"/>
      <c r="C4758" s="51"/>
      <c r="D4758" s="102"/>
      <c r="E4758" s="102"/>
      <c r="H4758" s="102"/>
      <c r="J4758" s="102"/>
      <c r="K4758" s="450"/>
      <c r="L4758" s="443"/>
      <c r="M4758" s="450"/>
      <c r="N4758" s="452"/>
      <c r="O4758" s="453"/>
      <c r="P4758" s="113"/>
      <c r="Q4758" s="106"/>
      <c r="R4758" s="107"/>
    </row>
    <row r="4759" hidden="1">
      <c r="A4759" s="443"/>
      <c r="B4759" s="43"/>
      <c r="C4759" s="51"/>
      <c r="D4759" s="102"/>
      <c r="E4759" s="102"/>
      <c r="H4759" s="102"/>
      <c r="J4759" s="102"/>
      <c r="K4759" s="450"/>
      <c r="L4759" s="443"/>
      <c r="M4759" s="450"/>
      <c r="N4759" s="452"/>
      <c r="O4759" s="453"/>
      <c r="P4759" s="113"/>
      <c r="Q4759" s="106"/>
      <c r="R4759" s="107"/>
    </row>
    <row r="4760" hidden="1">
      <c r="A4760" s="443"/>
      <c r="B4760" s="43"/>
      <c r="C4760" s="51"/>
      <c r="D4760" s="102"/>
      <c r="E4760" s="102"/>
      <c r="H4760" s="102"/>
      <c r="J4760" s="102"/>
      <c r="K4760" s="450"/>
      <c r="L4760" s="443"/>
      <c r="M4760" s="450"/>
      <c r="N4760" s="452"/>
      <c r="O4760" s="453"/>
      <c r="P4760" s="113"/>
      <c r="Q4760" s="106"/>
      <c r="R4760" s="107"/>
    </row>
    <row r="4761" hidden="1">
      <c r="A4761" s="443"/>
      <c r="B4761" s="43"/>
      <c r="C4761" s="51"/>
      <c r="D4761" s="102"/>
      <c r="E4761" s="102"/>
      <c r="H4761" s="102"/>
      <c r="J4761" s="102"/>
      <c r="K4761" s="450"/>
      <c r="L4761" s="443"/>
      <c r="M4761" s="450"/>
      <c r="N4761" s="452"/>
      <c r="O4761" s="453"/>
      <c r="P4761" s="113"/>
      <c r="Q4761" s="106"/>
      <c r="R4761" s="107"/>
    </row>
    <row r="4762" hidden="1">
      <c r="A4762" s="443"/>
      <c r="B4762" s="43"/>
      <c r="C4762" s="51"/>
      <c r="D4762" s="102"/>
      <c r="E4762" s="102"/>
      <c r="H4762" s="102"/>
      <c r="J4762" s="102"/>
      <c r="K4762" s="450"/>
      <c r="L4762" s="443"/>
      <c r="M4762" s="450"/>
      <c r="N4762" s="452"/>
      <c r="O4762" s="453"/>
      <c r="P4762" s="113"/>
      <c r="Q4762" s="106"/>
      <c r="R4762" s="107"/>
    </row>
    <row r="4763" hidden="1">
      <c r="A4763" s="443"/>
      <c r="B4763" s="43"/>
      <c r="C4763" s="51"/>
      <c r="D4763" s="102"/>
      <c r="E4763" s="102"/>
      <c r="H4763" s="102"/>
      <c r="J4763" s="102"/>
      <c r="K4763" s="450"/>
      <c r="L4763" s="443"/>
      <c r="M4763" s="450"/>
      <c r="N4763" s="452"/>
      <c r="O4763" s="453"/>
      <c r="P4763" s="113"/>
      <c r="Q4763" s="106"/>
      <c r="R4763" s="107"/>
    </row>
    <row r="4764" hidden="1">
      <c r="A4764" s="443"/>
      <c r="B4764" s="43"/>
      <c r="C4764" s="51"/>
      <c r="D4764" s="102"/>
      <c r="E4764" s="102"/>
      <c r="H4764" s="102"/>
      <c r="J4764" s="102"/>
      <c r="K4764" s="450"/>
      <c r="L4764" s="443"/>
      <c r="M4764" s="450"/>
      <c r="N4764" s="452"/>
      <c r="O4764" s="453"/>
      <c r="P4764" s="113"/>
      <c r="Q4764" s="106"/>
      <c r="R4764" s="107"/>
    </row>
    <row r="4765" hidden="1">
      <c r="A4765" s="443"/>
      <c r="B4765" s="43"/>
      <c r="C4765" s="51"/>
      <c r="D4765" s="102"/>
      <c r="E4765" s="102"/>
      <c r="H4765" s="102"/>
      <c r="J4765" s="102"/>
      <c r="K4765" s="450"/>
      <c r="L4765" s="443"/>
      <c r="M4765" s="450"/>
      <c r="N4765" s="452"/>
      <c r="O4765" s="453"/>
      <c r="P4765" s="113"/>
      <c r="Q4765" s="106"/>
      <c r="R4765" s="107"/>
    </row>
    <row r="4766" hidden="1">
      <c r="A4766" s="443"/>
      <c r="B4766" s="43"/>
      <c r="C4766" s="51"/>
      <c r="D4766" s="102"/>
      <c r="E4766" s="102"/>
      <c r="H4766" s="102"/>
      <c r="J4766" s="102"/>
      <c r="K4766" s="450"/>
      <c r="L4766" s="443"/>
      <c r="M4766" s="450"/>
      <c r="N4766" s="452"/>
      <c r="O4766" s="453"/>
      <c r="P4766" s="113"/>
      <c r="Q4766" s="106"/>
      <c r="R4766" s="107"/>
    </row>
    <row r="4767" hidden="1">
      <c r="A4767" s="443"/>
      <c r="B4767" s="43"/>
      <c r="C4767" s="51"/>
      <c r="D4767" s="102"/>
      <c r="E4767" s="102"/>
      <c r="H4767" s="102"/>
      <c r="J4767" s="102"/>
      <c r="K4767" s="450"/>
      <c r="L4767" s="443"/>
      <c r="M4767" s="450"/>
      <c r="N4767" s="452"/>
      <c r="O4767" s="453"/>
      <c r="P4767" s="113"/>
      <c r="Q4767" s="106"/>
      <c r="R4767" s="107"/>
    </row>
    <row r="4768" hidden="1">
      <c r="A4768" s="443"/>
      <c r="B4768" s="43"/>
      <c r="C4768" s="51"/>
      <c r="D4768" s="102"/>
      <c r="E4768" s="102"/>
      <c r="H4768" s="102"/>
      <c r="J4768" s="102"/>
      <c r="K4768" s="450"/>
      <c r="L4768" s="443"/>
      <c r="M4768" s="450"/>
      <c r="N4768" s="452"/>
      <c r="O4768" s="453"/>
      <c r="P4768" s="113"/>
      <c r="Q4768" s="106"/>
      <c r="R4768" s="107"/>
    </row>
    <row r="4769" hidden="1">
      <c r="A4769" s="443"/>
      <c r="B4769" s="43"/>
      <c r="C4769" s="51"/>
      <c r="D4769" s="102"/>
      <c r="E4769" s="102"/>
      <c r="H4769" s="102"/>
      <c r="J4769" s="102"/>
      <c r="K4769" s="450"/>
      <c r="L4769" s="443"/>
      <c r="M4769" s="450"/>
      <c r="N4769" s="452"/>
      <c r="O4769" s="453"/>
      <c r="P4769" s="113"/>
      <c r="Q4769" s="106"/>
      <c r="R4769" s="107"/>
    </row>
    <row r="4770" hidden="1">
      <c r="A4770" s="443"/>
      <c r="B4770" s="43"/>
      <c r="C4770" s="51"/>
      <c r="D4770" s="102"/>
      <c r="E4770" s="102"/>
      <c r="H4770" s="102"/>
      <c r="J4770" s="102"/>
      <c r="K4770" s="450"/>
      <c r="L4770" s="443"/>
      <c r="M4770" s="450"/>
      <c r="N4770" s="452"/>
      <c r="O4770" s="453"/>
      <c r="P4770" s="113"/>
      <c r="Q4770" s="106"/>
      <c r="R4770" s="107"/>
    </row>
    <row r="4771" hidden="1">
      <c r="A4771" s="443"/>
      <c r="B4771" s="43"/>
      <c r="C4771" s="51"/>
      <c r="D4771" s="102"/>
      <c r="E4771" s="102"/>
      <c r="H4771" s="102"/>
      <c r="J4771" s="102"/>
      <c r="K4771" s="450"/>
      <c r="L4771" s="443"/>
      <c r="M4771" s="450"/>
      <c r="N4771" s="452"/>
      <c r="O4771" s="453"/>
      <c r="P4771" s="113"/>
      <c r="Q4771" s="106"/>
      <c r="R4771" s="107"/>
    </row>
    <row r="4772" hidden="1">
      <c r="A4772" s="443"/>
      <c r="B4772" s="43"/>
      <c r="C4772" s="51"/>
      <c r="D4772" s="102"/>
      <c r="E4772" s="102"/>
      <c r="H4772" s="102"/>
      <c r="J4772" s="102"/>
      <c r="K4772" s="450"/>
      <c r="L4772" s="443"/>
      <c r="M4772" s="450"/>
      <c r="N4772" s="452"/>
      <c r="O4772" s="453"/>
      <c r="P4772" s="113"/>
      <c r="Q4772" s="106"/>
      <c r="R4772" s="107"/>
    </row>
    <row r="4773" hidden="1">
      <c r="A4773" s="443"/>
      <c r="B4773" s="43"/>
      <c r="C4773" s="51"/>
      <c r="D4773" s="102"/>
      <c r="E4773" s="102"/>
      <c r="H4773" s="102"/>
      <c r="J4773" s="102"/>
      <c r="K4773" s="450"/>
      <c r="L4773" s="443"/>
      <c r="M4773" s="450"/>
      <c r="N4773" s="452"/>
      <c r="O4773" s="453"/>
      <c r="P4773" s="113"/>
      <c r="Q4773" s="106"/>
      <c r="R4773" s="107"/>
    </row>
    <row r="4774" hidden="1">
      <c r="A4774" s="443"/>
      <c r="B4774" s="43"/>
      <c r="C4774" s="51"/>
      <c r="D4774" s="102"/>
      <c r="E4774" s="102"/>
      <c r="H4774" s="102"/>
      <c r="J4774" s="102"/>
      <c r="K4774" s="450"/>
      <c r="L4774" s="443"/>
      <c r="M4774" s="450"/>
      <c r="N4774" s="452"/>
      <c r="O4774" s="453"/>
      <c r="P4774" s="113"/>
      <c r="Q4774" s="106"/>
      <c r="R4774" s="107"/>
    </row>
    <row r="4775" hidden="1">
      <c r="A4775" s="443"/>
      <c r="B4775" s="43"/>
      <c r="C4775" s="51"/>
      <c r="D4775" s="102"/>
      <c r="E4775" s="102"/>
      <c r="H4775" s="102"/>
      <c r="J4775" s="102"/>
      <c r="K4775" s="450"/>
      <c r="L4775" s="443"/>
      <c r="M4775" s="450"/>
      <c r="N4775" s="452"/>
      <c r="O4775" s="453"/>
      <c r="P4775" s="113"/>
      <c r="Q4775" s="106"/>
      <c r="R4775" s="107"/>
    </row>
    <row r="4776" hidden="1">
      <c r="A4776" s="443"/>
      <c r="B4776" s="43"/>
      <c r="C4776" s="51"/>
      <c r="D4776" s="102"/>
      <c r="E4776" s="102"/>
      <c r="H4776" s="102"/>
      <c r="J4776" s="102"/>
      <c r="K4776" s="450"/>
      <c r="L4776" s="443"/>
      <c r="M4776" s="450"/>
      <c r="N4776" s="452"/>
      <c r="O4776" s="453"/>
      <c r="P4776" s="113"/>
      <c r="Q4776" s="106"/>
      <c r="R4776" s="107"/>
    </row>
    <row r="4777" hidden="1">
      <c r="A4777" s="443"/>
      <c r="B4777" s="43"/>
      <c r="C4777" s="51"/>
      <c r="D4777" s="102"/>
      <c r="E4777" s="102"/>
      <c r="H4777" s="102"/>
      <c r="J4777" s="102"/>
      <c r="K4777" s="450"/>
      <c r="L4777" s="443"/>
      <c r="M4777" s="450"/>
      <c r="N4777" s="452"/>
      <c r="O4777" s="453"/>
      <c r="P4777" s="113"/>
      <c r="Q4777" s="106"/>
      <c r="R4777" s="107"/>
    </row>
    <row r="4778" hidden="1">
      <c r="A4778" s="443"/>
      <c r="B4778" s="43"/>
      <c r="C4778" s="51"/>
      <c r="D4778" s="102"/>
      <c r="E4778" s="102"/>
      <c r="H4778" s="102"/>
      <c r="J4778" s="102"/>
      <c r="K4778" s="450"/>
      <c r="L4778" s="443"/>
      <c r="M4778" s="450"/>
      <c r="N4778" s="452"/>
      <c r="O4778" s="453"/>
      <c r="P4778" s="113"/>
      <c r="Q4778" s="106"/>
      <c r="R4778" s="107"/>
    </row>
    <row r="4779" hidden="1">
      <c r="A4779" s="443"/>
      <c r="B4779" s="43"/>
      <c r="C4779" s="51"/>
      <c r="D4779" s="102"/>
      <c r="E4779" s="102"/>
      <c r="H4779" s="102"/>
      <c r="J4779" s="102"/>
      <c r="K4779" s="450"/>
      <c r="L4779" s="443"/>
      <c r="M4779" s="450"/>
      <c r="N4779" s="452"/>
      <c r="O4779" s="453"/>
      <c r="P4779" s="113"/>
      <c r="Q4779" s="106"/>
      <c r="R4779" s="107"/>
    </row>
    <row r="4780" hidden="1">
      <c r="A4780" s="443"/>
      <c r="B4780" s="43"/>
      <c r="C4780" s="51"/>
      <c r="D4780" s="102"/>
      <c r="E4780" s="102"/>
      <c r="H4780" s="102"/>
      <c r="J4780" s="102"/>
      <c r="K4780" s="450"/>
      <c r="L4780" s="443"/>
      <c r="M4780" s="450"/>
      <c r="N4780" s="452"/>
      <c r="O4780" s="453"/>
      <c r="P4780" s="113"/>
      <c r="Q4780" s="106"/>
      <c r="R4780" s="107"/>
    </row>
    <row r="4781" hidden="1">
      <c r="A4781" s="443"/>
      <c r="B4781" s="43"/>
      <c r="C4781" s="51"/>
      <c r="D4781" s="102"/>
      <c r="E4781" s="102"/>
      <c r="H4781" s="102"/>
      <c r="J4781" s="102"/>
      <c r="K4781" s="450"/>
      <c r="L4781" s="443"/>
      <c r="M4781" s="450"/>
      <c r="N4781" s="452"/>
      <c r="O4781" s="453"/>
      <c r="P4781" s="113"/>
      <c r="Q4781" s="106"/>
      <c r="R4781" s="107"/>
    </row>
    <row r="4782" hidden="1">
      <c r="A4782" s="443"/>
      <c r="B4782" s="43"/>
      <c r="C4782" s="51"/>
      <c r="D4782" s="102"/>
      <c r="E4782" s="102"/>
      <c r="H4782" s="102"/>
      <c r="J4782" s="102"/>
      <c r="K4782" s="450"/>
      <c r="L4782" s="443"/>
      <c r="M4782" s="450"/>
      <c r="N4782" s="452"/>
      <c r="O4782" s="453"/>
      <c r="P4782" s="113"/>
      <c r="Q4782" s="106"/>
      <c r="R4782" s="107"/>
    </row>
    <row r="4783" hidden="1">
      <c r="A4783" s="443"/>
      <c r="B4783" s="43"/>
      <c r="C4783" s="51"/>
      <c r="D4783" s="102"/>
      <c r="E4783" s="102"/>
      <c r="H4783" s="102"/>
      <c r="J4783" s="102"/>
      <c r="K4783" s="450"/>
      <c r="L4783" s="443"/>
      <c r="M4783" s="450"/>
      <c r="N4783" s="452"/>
      <c r="O4783" s="453"/>
      <c r="P4783" s="113"/>
      <c r="Q4783" s="106"/>
      <c r="R4783" s="107"/>
    </row>
    <row r="4784" hidden="1">
      <c r="A4784" s="443"/>
      <c r="B4784" s="43"/>
      <c r="C4784" s="51"/>
      <c r="D4784" s="102"/>
      <c r="E4784" s="102"/>
      <c r="H4784" s="102"/>
      <c r="J4784" s="102"/>
      <c r="K4784" s="450"/>
      <c r="L4784" s="443"/>
      <c r="M4784" s="450"/>
      <c r="N4784" s="452"/>
      <c r="O4784" s="453"/>
      <c r="P4784" s="113"/>
      <c r="Q4784" s="106"/>
      <c r="R4784" s="107"/>
    </row>
    <row r="4785" hidden="1">
      <c r="A4785" s="443"/>
      <c r="B4785" s="43"/>
      <c r="C4785" s="51"/>
      <c r="D4785" s="102"/>
      <c r="E4785" s="102"/>
      <c r="H4785" s="102"/>
      <c r="J4785" s="102"/>
      <c r="K4785" s="450"/>
      <c r="L4785" s="443"/>
      <c r="M4785" s="450"/>
      <c r="N4785" s="452"/>
      <c r="O4785" s="453"/>
      <c r="P4785" s="113"/>
      <c r="Q4785" s="106"/>
      <c r="R4785" s="107"/>
    </row>
    <row r="4786" hidden="1">
      <c r="A4786" s="443"/>
      <c r="B4786" s="43"/>
      <c r="C4786" s="51"/>
      <c r="D4786" s="102"/>
      <c r="E4786" s="102"/>
      <c r="H4786" s="102"/>
      <c r="J4786" s="102"/>
      <c r="K4786" s="450"/>
      <c r="L4786" s="443"/>
      <c r="M4786" s="450"/>
      <c r="N4786" s="452"/>
      <c r="O4786" s="453"/>
      <c r="P4786" s="113"/>
      <c r="Q4786" s="106"/>
      <c r="R4786" s="107"/>
    </row>
    <row r="4787" hidden="1">
      <c r="A4787" s="443"/>
      <c r="B4787" s="43"/>
      <c r="C4787" s="51"/>
      <c r="D4787" s="102"/>
      <c r="E4787" s="102"/>
      <c r="H4787" s="102"/>
      <c r="J4787" s="102"/>
      <c r="K4787" s="450"/>
      <c r="L4787" s="443"/>
      <c r="M4787" s="450"/>
      <c r="N4787" s="452"/>
      <c r="O4787" s="453"/>
      <c r="P4787" s="113"/>
      <c r="Q4787" s="106"/>
      <c r="R4787" s="107"/>
    </row>
    <row r="4788" hidden="1">
      <c r="A4788" s="443"/>
      <c r="B4788" s="43"/>
      <c r="C4788" s="51"/>
      <c r="D4788" s="102"/>
      <c r="E4788" s="102"/>
      <c r="H4788" s="102"/>
      <c r="J4788" s="102"/>
      <c r="K4788" s="450"/>
      <c r="L4788" s="443"/>
      <c r="M4788" s="450"/>
      <c r="N4788" s="452"/>
      <c r="O4788" s="453"/>
      <c r="P4788" s="113"/>
      <c r="Q4788" s="106"/>
      <c r="R4788" s="107"/>
    </row>
    <row r="4789" hidden="1">
      <c r="A4789" s="443"/>
      <c r="B4789" s="43"/>
      <c r="C4789" s="51"/>
      <c r="D4789" s="102"/>
      <c r="E4789" s="102"/>
      <c r="H4789" s="102"/>
      <c r="J4789" s="102"/>
      <c r="K4789" s="450"/>
      <c r="L4789" s="443"/>
      <c r="M4789" s="450"/>
      <c r="N4789" s="452"/>
      <c r="O4789" s="453"/>
      <c r="P4789" s="113"/>
      <c r="Q4789" s="106"/>
      <c r="R4789" s="107"/>
    </row>
    <row r="4790" hidden="1">
      <c r="A4790" s="443"/>
      <c r="B4790" s="43"/>
      <c r="C4790" s="51"/>
      <c r="D4790" s="102"/>
      <c r="E4790" s="102"/>
      <c r="H4790" s="102"/>
      <c r="J4790" s="102"/>
      <c r="K4790" s="450"/>
      <c r="L4790" s="443"/>
      <c r="M4790" s="450"/>
      <c r="N4790" s="452"/>
      <c r="O4790" s="453"/>
      <c r="P4790" s="113"/>
      <c r="Q4790" s="106"/>
      <c r="R4790" s="107"/>
    </row>
    <row r="4791" hidden="1">
      <c r="A4791" s="443"/>
      <c r="B4791" s="43"/>
      <c r="C4791" s="51"/>
      <c r="D4791" s="102"/>
      <c r="E4791" s="102"/>
      <c r="H4791" s="102"/>
      <c r="J4791" s="102"/>
      <c r="K4791" s="450"/>
      <c r="L4791" s="443"/>
      <c r="M4791" s="450"/>
      <c r="N4791" s="452"/>
      <c r="O4791" s="453"/>
      <c r="P4791" s="113"/>
      <c r="Q4791" s="106"/>
      <c r="R4791" s="107"/>
    </row>
    <row r="4792" hidden="1">
      <c r="A4792" s="443"/>
      <c r="B4792" s="43"/>
      <c r="C4792" s="51"/>
      <c r="D4792" s="102"/>
      <c r="E4792" s="102"/>
      <c r="H4792" s="102"/>
      <c r="J4792" s="102"/>
      <c r="K4792" s="450"/>
      <c r="L4792" s="443"/>
      <c r="M4792" s="450"/>
      <c r="N4792" s="452"/>
      <c r="O4792" s="453"/>
      <c r="P4792" s="113"/>
      <c r="Q4792" s="106"/>
      <c r="R4792" s="107"/>
    </row>
    <row r="4793" hidden="1">
      <c r="A4793" s="443"/>
      <c r="B4793" s="43"/>
      <c r="C4793" s="51"/>
      <c r="D4793" s="102"/>
      <c r="E4793" s="102"/>
      <c r="H4793" s="102"/>
      <c r="J4793" s="102"/>
      <c r="K4793" s="450"/>
      <c r="L4793" s="443"/>
      <c r="M4793" s="450"/>
      <c r="N4793" s="452"/>
      <c r="O4793" s="453"/>
      <c r="P4793" s="113"/>
      <c r="Q4793" s="106"/>
      <c r="R4793" s="107"/>
    </row>
    <row r="4794" hidden="1">
      <c r="A4794" s="443"/>
      <c r="B4794" s="43"/>
      <c r="C4794" s="51"/>
      <c r="D4794" s="102"/>
      <c r="E4794" s="102"/>
      <c r="H4794" s="102"/>
      <c r="J4794" s="102"/>
      <c r="K4794" s="450"/>
      <c r="L4794" s="443"/>
      <c r="M4794" s="450"/>
      <c r="N4794" s="452"/>
      <c r="O4794" s="453"/>
      <c r="P4794" s="113"/>
      <c r="Q4794" s="106"/>
      <c r="R4794" s="107"/>
    </row>
    <row r="4795" hidden="1">
      <c r="A4795" s="443"/>
      <c r="B4795" s="43"/>
      <c r="C4795" s="51"/>
      <c r="D4795" s="102"/>
      <c r="E4795" s="102"/>
      <c r="H4795" s="102"/>
      <c r="J4795" s="102"/>
      <c r="K4795" s="450"/>
      <c r="L4795" s="443"/>
      <c r="M4795" s="450"/>
      <c r="N4795" s="452"/>
      <c r="O4795" s="453"/>
      <c r="P4795" s="113"/>
      <c r="Q4795" s="106"/>
      <c r="R4795" s="107"/>
    </row>
    <row r="4796" hidden="1">
      <c r="A4796" s="443"/>
      <c r="B4796" s="43"/>
      <c r="C4796" s="51"/>
      <c r="D4796" s="102"/>
      <c r="E4796" s="102"/>
      <c r="H4796" s="102"/>
      <c r="J4796" s="102"/>
      <c r="K4796" s="450"/>
      <c r="L4796" s="443"/>
      <c r="M4796" s="450"/>
      <c r="N4796" s="452"/>
      <c r="O4796" s="453"/>
      <c r="P4796" s="113"/>
      <c r="Q4796" s="106"/>
      <c r="R4796" s="107"/>
    </row>
    <row r="4797" hidden="1">
      <c r="A4797" s="443"/>
      <c r="B4797" s="43"/>
      <c r="C4797" s="51"/>
      <c r="D4797" s="102"/>
      <c r="E4797" s="102"/>
      <c r="H4797" s="102"/>
      <c r="J4797" s="102"/>
      <c r="K4797" s="450"/>
      <c r="L4797" s="443"/>
      <c r="M4797" s="450"/>
      <c r="N4797" s="452"/>
      <c r="O4797" s="453"/>
      <c r="P4797" s="113"/>
      <c r="Q4797" s="106"/>
      <c r="R4797" s="107"/>
    </row>
    <row r="4798" hidden="1">
      <c r="A4798" s="443"/>
      <c r="B4798" s="43"/>
      <c r="C4798" s="51"/>
      <c r="D4798" s="102"/>
      <c r="E4798" s="102"/>
      <c r="H4798" s="102"/>
      <c r="J4798" s="102"/>
      <c r="K4798" s="450"/>
      <c r="L4798" s="443"/>
      <c r="M4798" s="450"/>
      <c r="N4798" s="452"/>
      <c r="O4798" s="453"/>
      <c r="P4798" s="113"/>
      <c r="Q4798" s="106"/>
      <c r="R4798" s="107"/>
    </row>
    <row r="4799" hidden="1">
      <c r="A4799" s="443"/>
      <c r="B4799" s="43"/>
      <c r="C4799" s="51"/>
      <c r="D4799" s="102"/>
      <c r="E4799" s="102"/>
      <c r="H4799" s="102"/>
      <c r="J4799" s="102"/>
      <c r="K4799" s="450"/>
      <c r="L4799" s="443"/>
      <c r="M4799" s="450"/>
      <c r="N4799" s="452"/>
      <c r="O4799" s="453"/>
      <c r="P4799" s="113"/>
      <c r="Q4799" s="106"/>
      <c r="R4799" s="107"/>
    </row>
    <row r="4800" hidden="1">
      <c r="A4800" s="443"/>
      <c r="B4800" s="43"/>
      <c r="C4800" s="51"/>
      <c r="D4800" s="102"/>
      <c r="E4800" s="102"/>
      <c r="H4800" s="102"/>
      <c r="J4800" s="102"/>
      <c r="K4800" s="450"/>
      <c r="L4800" s="443"/>
      <c r="M4800" s="450"/>
      <c r="N4800" s="452"/>
      <c r="O4800" s="453"/>
      <c r="P4800" s="113"/>
      <c r="Q4800" s="106"/>
      <c r="R4800" s="107"/>
    </row>
    <row r="4801" hidden="1">
      <c r="A4801" s="443"/>
      <c r="B4801" s="43"/>
      <c r="C4801" s="51"/>
      <c r="D4801" s="102"/>
      <c r="E4801" s="102"/>
      <c r="H4801" s="102"/>
      <c r="J4801" s="102"/>
      <c r="K4801" s="450"/>
      <c r="L4801" s="443"/>
      <c r="M4801" s="450"/>
      <c r="N4801" s="452"/>
      <c r="O4801" s="453"/>
      <c r="P4801" s="113"/>
      <c r="Q4801" s="106"/>
      <c r="R4801" s="107"/>
    </row>
    <row r="4802" hidden="1">
      <c r="A4802" s="443"/>
      <c r="B4802" s="43"/>
      <c r="C4802" s="51"/>
      <c r="D4802" s="102"/>
      <c r="E4802" s="102"/>
      <c r="H4802" s="102"/>
      <c r="J4802" s="102"/>
      <c r="K4802" s="450"/>
      <c r="L4802" s="443"/>
      <c r="M4802" s="450"/>
      <c r="N4802" s="452"/>
      <c r="O4802" s="453"/>
      <c r="P4802" s="113"/>
      <c r="Q4802" s="106"/>
      <c r="R4802" s="107"/>
    </row>
    <row r="4803" hidden="1">
      <c r="A4803" s="443"/>
      <c r="B4803" s="43"/>
      <c r="C4803" s="51"/>
      <c r="D4803" s="102"/>
      <c r="E4803" s="102"/>
      <c r="H4803" s="102"/>
      <c r="J4803" s="102"/>
      <c r="K4803" s="450"/>
      <c r="L4803" s="443"/>
      <c r="M4803" s="450"/>
      <c r="N4803" s="452"/>
      <c r="O4803" s="453"/>
      <c r="P4803" s="113"/>
      <c r="Q4803" s="106"/>
      <c r="R4803" s="107"/>
    </row>
    <row r="4804" hidden="1">
      <c r="A4804" s="443"/>
      <c r="B4804" s="43"/>
      <c r="C4804" s="51"/>
      <c r="D4804" s="102"/>
      <c r="E4804" s="102"/>
      <c r="H4804" s="102"/>
      <c r="J4804" s="102"/>
      <c r="K4804" s="450"/>
      <c r="L4804" s="443"/>
      <c r="M4804" s="450"/>
      <c r="N4804" s="452"/>
      <c r="O4804" s="453"/>
      <c r="P4804" s="113"/>
      <c r="Q4804" s="106"/>
      <c r="R4804" s="107"/>
    </row>
    <row r="4805" hidden="1">
      <c r="A4805" s="443"/>
      <c r="B4805" s="43"/>
      <c r="C4805" s="51"/>
      <c r="D4805" s="102"/>
      <c r="E4805" s="102"/>
      <c r="H4805" s="102"/>
      <c r="J4805" s="102"/>
      <c r="K4805" s="450"/>
      <c r="L4805" s="443"/>
      <c r="M4805" s="450"/>
      <c r="N4805" s="452"/>
      <c r="O4805" s="453"/>
      <c r="P4805" s="113"/>
      <c r="Q4805" s="106"/>
      <c r="R4805" s="107"/>
    </row>
    <row r="4806" hidden="1">
      <c r="A4806" s="443"/>
      <c r="B4806" s="43"/>
      <c r="C4806" s="51"/>
      <c r="D4806" s="102"/>
      <c r="E4806" s="102"/>
      <c r="H4806" s="102"/>
      <c r="J4806" s="102"/>
      <c r="K4806" s="450"/>
      <c r="L4806" s="443"/>
      <c r="M4806" s="450"/>
      <c r="N4806" s="452"/>
      <c r="O4806" s="453"/>
      <c r="P4806" s="113"/>
      <c r="Q4806" s="106"/>
      <c r="R4806" s="107"/>
    </row>
    <row r="4807" hidden="1">
      <c r="A4807" s="443"/>
      <c r="B4807" s="43"/>
      <c r="C4807" s="51"/>
      <c r="D4807" s="102"/>
      <c r="E4807" s="102"/>
      <c r="H4807" s="102"/>
      <c r="J4807" s="102"/>
      <c r="K4807" s="450"/>
      <c r="L4807" s="443"/>
      <c r="M4807" s="450"/>
      <c r="N4807" s="452"/>
      <c r="O4807" s="453"/>
      <c r="P4807" s="113"/>
      <c r="Q4807" s="106"/>
      <c r="R4807" s="107"/>
    </row>
    <row r="4808" hidden="1">
      <c r="A4808" s="443"/>
      <c r="B4808" s="43"/>
      <c r="C4808" s="51"/>
      <c r="D4808" s="102"/>
      <c r="E4808" s="102"/>
      <c r="H4808" s="102"/>
      <c r="J4808" s="102"/>
      <c r="K4808" s="450"/>
      <c r="L4808" s="443"/>
      <c r="M4808" s="450"/>
      <c r="N4808" s="452"/>
      <c r="O4808" s="453"/>
      <c r="P4808" s="113"/>
      <c r="Q4808" s="106"/>
      <c r="R4808" s="107"/>
    </row>
    <row r="4809" hidden="1">
      <c r="A4809" s="443"/>
      <c r="B4809" s="43"/>
      <c r="C4809" s="51"/>
      <c r="D4809" s="102"/>
      <c r="E4809" s="102"/>
      <c r="H4809" s="102"/>
      <c r="J4809" s="102"/>
      <c r="K4809" s="450"/>
      <c r="L4809" s="443"/>
      <c r="M4809" s="450"/>
      <c r="N4809" s="452"/>
      <c r="O4809" s="453"/>
      <c r="P4809" s="113"/>
      <c r="Q4809" s="106"/>
      <c r="R4809" s="107"/>
    </row>
    <row r="4810" hidden="1">
      <c r="A4810" s="443"/>
      <c r="B4810" s="43"/>
      <c r="C4810" s="51"/>
      <c r="D4810" s="102"/>
      <c r="E4810" s="102"/>
      <c r="H4810" s="102"/>
      <c r="J4810" s="102"/>
      <c r="K4810" s="450"/>
      <c r="L4810" s="443"/>
      <c r="M4810" s="450"/>
      <c r="N4810" s="452"/>
      <c r="O4810" s="453"/>
      <c r="P4810" s="113"/>
      <c r="Q4810" s="106"/>
      <c r="R4810" s="107"/>
    </row>
    <row r="4811" hidden="1">
      <c r="A4811" s="443"/>
      <c r="B4811" s="43"/>
      <c r="C4811" s="51"/>
      <c r="D4811" s="102"/>
      <c r="E4811" s="102"/>
      <c r="H4811" s="102"/>
      <c r="J4811" s="102"/>
      <c r="K4811" s="450"/>
      <c r="L4811" s="443"/>
      <c r="M4811" s="450"/>
      <c r="N4811" s="452"/>
      <c r="O4811" s="453"/>
      <c r="P4811" s="113"/>
      <c r="Q4811" s="106"/>
      <c r="R4811" s="107"/>
    </row>
    <row r="4812" hidden="1">
      <c r="A4812" s="443"/>
      <c r="B4812" s="43"/>
      <c r="C4812" s="51"/>
      <c r="D4812" s="102"/>
      <c r="E4812" s="102"/>
      <c r="H4812" s="102"/>
      <c r="J4812" s="102"/>
      <c r="K4812" s="450"/>
      <c r="L4812" s="443"/>
      <c r="M4812" s="450"/>
      <c r="N4812" s="452"/>
      <c r="O4812" s="453"/>
      <c r="P4812" s="113"/>
      <c r="Q4812" s="106"/>
      <c r="R4812" s="107"/>
    </row>
    <row r="4813" hidden="1">
      <c r="A4813" s="443"/>
      <c r="B4813" s="43"/>
      <c r="C4813" s="51"/>
      <c r="D4813" s="102"/>
      <c r="E4813" s="102"/>
      <c r="H4813" s="102"/>
      <c r="J4813" s="102"/>
      <c r="K4813" s="450"/>
      <c r="L4813" s="443"/>
      <c r="M4813" s="450"/>
      <c r="N4813" s="452"/>
      <c r="O4813" s="453"/>
      <c r="P4813" s="113"/>
      <c r="Q4813" s="106"/>
      <c r="R4813" s="107"/>
    </row>
    <row r="4814" hidden="1">
      <c r="A4814" s="443"/>
      <c r="B4814" s="43"/>
      <c r="C4814" s="51"/>
      <c r="D4814" s="102"/>
      <c r="E4814" s="102"/>
      <c r="H4814" s="102"/>
      <c r="J4814" s="102"/>
      <c r="K4814" s="450"/>
      <c r="L4814" s="443"/>
      <c r="M4814" s="450"/>
      <c r="N4814" s="452"/>
      <c r="O4814" s="453"/>
      <c r="P4814" s="113"/>
      <c r="Q4814" s="106"/>
      <c r="R4814" s="107"/>
    </row>
    <row r="4815" hidden="1">
      <c r="A4815" s="443"/>
      <c r="B4815" s="43"/>
      <c r="C4815" s="51"/>
      <c r="D4815" s="102"/>
      <c r="E4815" s="102"/>
      <c r="H4815" s="102"/>
      <c r="J4815" s="102"/>
      <c r="K4815" s="450"/>
      <c r="L4815" s="443"/>
      <c r="M4815" s="450"/>
      <c r="N4815" s="452"/>
      <c r="O4815" s="453"/>
      <c r="P4815" s="113"/>
      <c r="Q4815" s="106"/>
      <c r="R4815" s="107"/>
    </row>
    <row r="4816" hidden="1">
      <c r="A4816" s="443"/>
      <c r="B4816" s="43"/>
      <c r="C4816" s="51"/>
      <c r="D4816" s="102"/>
      <c r="E4816" s="102"/>
      <c r="H4816" s="102"/>
      <c r="J4816" s="102"/>
      <c r="K4816" s="450"/>
      <c r="L4816" s="443"/>
      <c r="M4816" s="450"/>
      <c r="N4816" s="452"/>
      <c r="O4816" s="453"/>
      <c r="P4816" s="113"/>
      <c r="Q4816" s="106"/>
      <c r="R4816" s="107"/>
    </row>
    <row r="4817" hidden="1">
      <c r="A4817" s="443"/>
      <c r="B4817" s="43"/>
      <c r="C4817" s="51"/>
      <c r="D4817" s="102"/>
      <c r="E4817" s="102"/>
      <c r="H4817" s="102"/>
      <c r="J4817" s="102"/>
      <c r="K4817" s="450"/>
      <c r="L4817" s="443"/>
      <c r="M4817" s="450"/>
      <c r="N4817" s="452"/>
      <c r="O4817" s="453"/>
      <c r="P4817" s="113"/>
      <c r="Q4817" s="106"/>
      <c r="R4817" s="107"/>
    </row>
    <row r="4818" hidden="1">
      <c r="A4818" s="443"/>
      <c r="B4818" s="43"/>
      <c r="C4818" s="51"/>
      <c r="D4818" s="102"/>
      <c r="E4818" s="102"/>
      <c r="H4818" s="102"/>
      <c r="J4818" s="102"/>
      <c r="K4818" s="450"/>
      <c r="L4818" s="443"/>
      <c r="M4818" s="450"/>
      <c r="N4818" s="452"/>
      <c r="O4818" s="453"/>
      <c r="P4818" s="113"/>
      <c r="Q4818" s="106"/>
      <c r="R4818" s="107"/>
    </row>
    <row r="4819" hidden="1">
      <c r="A4819" s="443"/>
      <c r="B4819" s="43"/>
      <c r="C4819" s="51"/>
      <c r="D4819" s="102"/>
      <c r="E4819" s="102"/>
      <c r="H4819" s="102"/>
      <c r="J4819" s="102"/>
      <c r="K4819" s="450"/>
      <c r="L4819" s="443"/>
      <c r="M4819" s="450"/>
      <c r="N4819" s="452"/>
      <c r="O4819" s="453"/>
      <c r="P4819" s="113"/>
      <c r="Q4819" s="106"/>
      <c r="R4819" s="107"/>
    </row>
    <row r="4820" hidden="1">
      <c r="A4820" s="443"/>
      <c r="B4820" s="43"/>
      <c r="C4820" s="51"/>
      <c r="D4820" s="102"/>
      <c r="E4820" s="102"/>
      <c r="H4820" s="102"/>
      <c r="J4820" s="102"/>
      <c r="K4820" s="450"/>
      <c r="L4820" s="443"/>
      <c r="M4820" s="450"/>
      <c r="N4820" s="452"/>
      <c r="O4820" s="453"/>
      <c r="P4820" s="113"/>
      <c r="Q4820" s="106"/>
      <c r="R4820" s="107"/>
    </row>
    <row r="4821" hidden="1">
      <c r="A4821" s="443"/>
      <c r="B4821" s="43"/>
      <c r="C4821" s="51"/>
      <c r="D4821" s="102"/>
      <c r="E4821" s="102"/>
      <c r="H4821" s="102"/>
      <c r="J4821" s="102"/>
      <c r="K4821" s="450"/>
      <c r="L4821" s="443"/>
      <c r="M4821" s="450"/>
      <c r="N4821" s="452"/>
      <c r="O4821" s="453"/>
      <c r="P4821" s="113"/>
      <c r="Q4821" s="106"/>
      <c r="R4821" s="107"/>
    </row>
    <row r="4822" hidden="1">
      <c r="A4822" s="443"/>
      <c r="B4822" s="43"/>
      <c r="C4822" s="51"/>
      <c r="D4822" s="102"/>
      <c r="E4822" s="102"/>
      <c r="H4822" s="102"/>
      <c r="J4822" s="102"/>
      <c r="K4822" s="450"/>
      <c r="L4822" s="443"/>
      <c r="M4822" s="450"/>
      <c r="N4822" s="452"/>
      <c r="O4822" s="453"/>
      <c r="P4822" s="113"/>
      <c r="Q4822" s="106"/>
      <c r="R4822" s="107"/>
    </row>
    <row r="4823" hidden="1">
      <c r="A4823" s="443"/>
      <c r="B4823" s="43"/>
      <c r="C4823" s="51"/>
      <c r="D4823" s="102"/>
      <c r="E4823" s="102"/>
      <c r="H4823" s="102"/>
      <c r="J4823" s="102"/>
      <c r="K4823" s="450"/>
      <c r="L4823" s="443"/>
      <c r="M4823" s="450"/>
      <c r="N4823" s="452"/>
      <c r="O4823" s="453"/>
      <c r="P4823" s="113"/>
      <c r="Q4823" s="106"/>
      <c r="R4823" s="107"/>
    </row>
    <row r="4824" hidden="1">
      <c r="A4824" s="443"/>
      <c r="B4824" s="43"/>
      <c r="C4824" s="51"/>
      <c r="D4824" s="102"/>
      <c r="E4824" s="102"/>
      <c r="H4824" s="102"/>
      <c r="J4824" s="102"/>
      <c r="K4824" s="450"/>
      <c r="L4824" s="443"/>
      <c r="M4824" s="450"/>
      <c r="N4824" s="452"/>
      <c r="O4824" s="453"/>
      <c r="P4824" s="113"/>
      <c r="Q4824" s="106"/>
      <c r="R4824" s="107"/>
    </row>
    <row r="4825" hidden="1">
      <c r="A4825" s="443"/>
      <c r="B4825" s="43"/>
      <c r="C4825" s="51"/>
      <c r="D4825" s="102"/>
      <c r="E4825" s="102"/>
      <c r="H4825" s="102"/>
      <c r="J4825" s="102"/>
      <c r="K4825" s="450"/>
      <c r="L4825" s="443"/>
      <c r="M4825" s="450"/>
      <c r="N4825" s="452"/>
      <c r="O4825" s="453"/>
      <c r="P4825" s="113"/>
      <c r="Q4825" s="106"/>
      <c r="R4825" s="107"/>
    </row>
    <row r="4826" hidden="1">
      <c r="A4826" s="443"/>
      <c r="B4826" s="43"/>
      <c r="C4826" s="51"/>
      <c r="D4826" s="102"/>
      <c r="E4826" s="102"/>
      <c r="H4826" s="102"/>
      <c r="J4826" s="102"/>
      <c r="K4826" s="450"/>
      <c r="L4826" s="443"/>
      <c r="M4826" s="450"/>
      <c r="N4826" s="452"/>
      <c r="O4826" s="453"/>
      <c r="P4826" s="113"/>
      <c r="Q4826" s="106"/>
      <c r="R4826" s="107"/>
    </row>
    <row r="4827" hidden="1">
      <c r="A4827" s="443"/>
      <c r="B4827" s="43"/>
      <c r="C4827" s="51"/>
      <c r="D4827" s="102"/>
      <c r="E4827" s="102"/>
      <c r="H4827" s="102"/>
      <c r="J4827" s="102"/>
      <c r="K4827" s="450"/>
      <c r="L4827" s="443"/>
      <c r="M4827" s="450"/>
      <c r="N4827" s="452"/>
      <c r="O4827" s="453"/>
      <c r="P4827" s="113"/>
      <c r="Q4827" s="106"/>
      <c r="R4827" s="107"/>
    </row>
    <row r="4828" hidden="1">
      <c r="A4828" s="443"/>
      <c r="B4828" s="43"/>
      <c r="C4828" s="51"/>
      <c r="D4828" s="102"/>
      <c r="E4828" s="102"/>
      <c r="H4828" s="102"/>
      <c r="J4828" s="102"/>
      <c r="K4828" s="450"/>
      <c r="L4828" s="443"/>
      <c r="M4828" s="450"/>
      <c r="N4828" s="452"/>
      <c r="O4828" s="453"/>
      <c r="P4828" s="113"/>
      <c r="Q4828" s="106"/>
      <c r="R4828" s="107"/>
    </row>
    <row r="4829" hidden="1">
      <c r="A4829" s="443"/>
      <c r="B4829" s="43"/>
      <c r="C4829" s="51"/>
      <c r="D4829" s="102"/>
      <c r="E4829" s="102"/>
      <c r="H4829" s="102"/>
      <c r="J4829" s="102"/>
      <c r="K4829" s="450"/>
      <c r="L4829" s="443"/>
      <c r="M4829" s="450"/>
      <c r="N4829" s="452"/>
      <c r="O4829" s="453"/>
      <c r="P4829" s="113"/>
      <c r="Q4829" s="106"/>
      <c r="R4829" s="107"/>
    </row>
    <row r="4830" hidden="1">
      <c r="A4830" s="443"/>
      <c r="B4830" s="43"/>
      <c r="C4830" s="51"/>
      <c r="D4830" s="102"/>
      <c r="E4830" s="102"/>
      <c r="H4830" s="102"/>
      <c r="J4830" s="102"/>
      <c r="K4830" s="450"/>
      <c r="L4830" s="443"/>
      <c r="M4830" s="450"/>
      <c r="N4830" s="452"/>
      <c r="O4830" s="453"/>
      <c r="P4830" s="113"/>
      <c r="Q4830" s="106"/>
      <c r="R4830" s="107"/>
    </row>
    <row r="4831" hidden="1">
      <c r="A4831" s="443"/>
      <c r="B4831" s="43"/>
      <c r="C4831" s="51"/>
      <c r="D4831" s="102"/>
      <c r="E4831" s="102"/>
      <c r="H4831" s="102"/>
      <c r="J4831" s="102"/>
      <c r="K4831" s="450"/>
      <c r="L4831" s="443"/>
      <c r="M4831" s="450"/>
      <c r="N4831" s="452"/>
      <c r="O4831" s="453"/>
      <c r="P4831" s="113"/>
      <c r="Q4831" s="106"/>
      <c r="R4831" s="107"/>
    </row>
    <row r="4832" hidden="1">
      <c r="A4832" s="443"/>
      <c r="B4832" s="43"/>
      <c r="C4832" s="51"/>
      <c r="D4832" s="102"/>
      <c r="E4832" s="102"/>
      <c r="H4832" s="102"/>
      <c r="J4832" s="102"/>
      <c r="K4832" s="450"/>
      <c r="L4832" s="443"/>
      <c r="M4832" s="450"/>
      <c r="N4832" s="452"/>
      <c r="O4832" s="453"/>
      <c r="P4832" s="113"/>
      <c r="Q4832" s="106"/>
      <c r="R4832" s="107"/>
    </row>
    <row r="4833" hidden="1">
      <c r="A4833" s="443"/>
      <c r="B4833" s="43"/>
      <c r="C4833" s="51"/>
      <c r="D4833" s="102"/>
      <c r="E4833" s="102"/>
      <c r="H4833" s="102"/>
      <c r="J4833" s="102"/>
      <c r="K4833" s="450"/>
      <c r="L4833" s="443"/>
      <c r="M4833" s="450"/>
      <c r="N4833" s="452"/>
      <c r="O4833" s="453"/>
      <c r="P4833" s="113"/>
      <c r="Q4833" s="106"/>
      <c r="R4833" s="107"/>
    </row>
    <row r="4834" hidden="1">
      <c r="A4834" s="443"/>
      <c r="B4834" s="43"/>
      <c r="C4834" s="51"/>
      <c r="D4834" s="102"/>
      <c r="E4834" s="102"/>
      <c r="H4834" s="102"/>
      <c r="J4834" s="102"/>
      <c r="K4834" s="450"/>
      <c r="L4834" s="443"/>
      <c r="M4834" s="450"/>
      <c r="N4834" s="452"/>
      <c r="O4834" s="453"/>
      <c r="P4834" s="113"/>
      <c r="Q4834" s="106"/>
      <c r="R4834" s="107"/>
    </row>
    <row r="4835" hidden="1">
      <c r="A4835" s="443"/>
      <c r="B4835" s="43"/>
      <c r="C4835" s="51"/>
      <c r="D4835" s="102"/>
      <c r="E4835" s="102"/>
      <c r="H4835" s="102"/>
      <c r="J4835" s="102"/>
      <c r="K4835" s="450"/>
      <c r="L4835" s="443"/>
      <c r="M4835" s="450"/>
      <c r="N4835" s="452"/>
      <c r="O4835" s="453"/>
      <c r="P4835" s="113"/>
      <c r="Q4835" s="106"/>
      <c r="R4835" s="107"/>
    </row>
    <row r="4836" hidden="1">
      <c r="A4836" s="443"/>
      <c r="B4836" s="43"/>
      <c r="C4836" s="51"/>
      <c r="D4836" s="102"/>
      <c r="E4836" s="102"/>
      <c r="H4836" s="102"/>
      <c r="J4836" s="102"/>
      <c r="K4836" s="450"/>
      <c r="L4836" s="443"/>
      <c r="M4836" s="450"/>
      <c r="N4836" s="452"/>
      <c r="O4836" s="453"/>
      <c r="P4836" s="113"/>
      <c r="Q4836" s="106"/>
      <c r="R4836" s="107"/>
    </row>
    <row r="4837" hidden="1">
      <c r="A4837" s="443"/>
      <c r="B4837" s="43"/>
      <c r="C4837" s="51"/>
      <c r="D4837" s="102"/>
      <c r="E4837" s="102"/>
      <c r="H4837" s="102"/>
      <c r="J4837" s="102"/>
      <c r="K4837" s="450"/>
      <c r="L4837" s="443"/>
      <c r="M4837" s="450"/>
      <c r="N4837" s="452"/>
      <c r="O4837" s="453"/>
      <c r="P4837" s="113"/>
      <c r="Q4837" s="106"/>
      <c r="R4837" s="107"/>
    </row>
    <row r="4838" hidden="1">
      <c r="A4838" s="443"/>
      <c r="B4838" s="43"/>
      <c r="C4838" s="51"/>
      <c r="D4838" s="102"/>
      <c r="E4838" s="102"/>
      <c r="H4838" s="102"/>
      <c r="J4838" s="102"/>
      <c r="K4838" s="450"/>
      <c r="L4838" s="443"/>
      <c r="M4838" s="450"/>
      <c r="N4838" s="452"/>
      <c r="O4838" s="453"/>
      <c r="P4838" s="113"/>
      <c r="Q4838" s="106"/>
      <c r="R4838" s="107"/>
    </row>
    <row r="4839" hidden="1">
      <c r="A4839" s="443"/>
      <c r="B4839" s="43"/>
      <c r="C4839" s="51"/>
      <c r="D4839" s="102"/>
      <c r="E4839" s="102"/>
      <c r="H4839" s="102"/>
      <c r="J4839" s="102"/>
      <c r="K4839" s="450"/>
      <c r="L4839" s="443"/>
      <c r="M4839" s="450"/>
      <c r="N4839" s="452"/>
      <c r="O4839" s="453"/>
      <c r="P4839" s="113"/>
      <c r="Q4839" s="106"/>
      <c r="R4839" s="107"/>
    </row>
    <row r="4840" hidden="1">
      <c r="A4840" s="443"/>
      <c r="B4840" s="43"/>
      <c r="C4840" s="51"/>
      <c r="D4840" s="102"/>
      <c r="E4840" s="102"/>
      <c r="H4840" s="102"/>
      <c r="J4840" s="102"/>
      <c r="K4840" s="450"/>
      <c r="L4840" s="443"/>
      <c r="M4840" s="450"/>
      <c r="N4840" s="452"/>
      <c r="O4840" s="453"/>
      <c r="P4840" s="113"/>
      <c r="Q4840" s="106"/>
      <c r="R4840" s="107"/>
    </row>
    <row r="4841" hidden="1">
      <c r="A4841" s="443"/>
      <c r="B4841" s="43"/>
      <c r="C4841" s="51"/>
      <c r="D4841" s="102"/>
      <c r="E4841" s="102"/>
      <c r="H4841" s="102"/>
      <c r="J4841" s="102"/>
      <c r="K4841" s="450"/>
      <c r="L4841" s="443"/>
      <c r="M4841" s="450"/>
      <c r="N4841" s="452"/>
      <c r="O4841" s="453"/>
      <c r="P4841" s="113"/>
      <c r="Q4841" s="106"/>
      <c r="R4841" s="107"/>
    </row>
    <row r="4842" hidden="1">
      <c r="A4842" s="443"/>
      <c r="B4842" s="43"/>
      <c r="C4842" s="51"/>
      <c r="D4842" s="102"/>
      <c r="E4842" s="102"/>
      <c r="H4842" s="102"/>
      <c r="J4842" s="102"/>
      <c r="K4842" s="450"/>
      <c r="L4842" s="443"/>
      <c r="M4842" s="450"/>
      <c r="N4842" s="452"/>
      <c r="O4842" s="453"/>
      <c r="P4842" s="113"/>
      <c r="Q4842" s="106"/>
      <c r="R4842" s="107"/>
    </row>
    <row r="4843" hidden="1">
      <c r="A4843" s="443"/>
      <c r="B4843" s="43"/>
      <c r="C4843" s="51"/>
      <c r="D4843" s="102"/>
      <c r="E4843" s="102"/>
      <c r="H4843" s="102"/>
      <c r="J4843" s="102"/>
      <c r="K4843" s="450"/>
      <c r="L4843" s="443"/>
      <c r="M4843" s="450"/>
      <c r="N4843" s="452"/>
      <c r="O4843" s="453"/>
      <c r="P4843" s="113"/>
      <c r="Q4843" s="106"/>
      <c r="R4843" s="107"/>
    </row>
    <row r="4844" hidden="1">
      <c r="A4844" s="443"/>
      <c r="B4844" s="43"/>
      <c r="C4844" s="51"/>
      <c r="D4844" s="102"/>
      <c r="E4844" s="102"/>
      <c r="H4844" s="102"/>
      <c r="J4844" s="102"/>
      <c r="K4844" s="450"/>
      <c r="L4844" s="443"/>
      <c r="M4844" s="450"/>
      <c r="N4844" s="452"/>
      <c r="O4844" s="453"/>
      <c r="P4844" s="113"/>
      <c r="Q4844" s="106"/>
      <c r="R4844" s="107"/>
    </row>
    <row r="4845" hidden="1">
      <c r="A4845" s="443"/>
      <c r="B4845" s="43"/>
      <c r="C4845" s="51"/>
      <c r="D4845" s="102"/>
      <c r="E4845" s="102"/>
      <c r="H4845" s="102"/>
      <c r="J4845" s="102"/>
      <c r="K4845" s="450"/>
      <c r="L4845" s="443"/>
      <c r="M4845" s="450"/>
      <c r="N4845" s="452"/>
      <c r="O4845" s="453"/>
      <c r="P4845" s="113"/>
      <c r="Q4845" s="106"/>
      <c r="R4845" s="107"/>
    </row>
    <row r="4846" hidden="1">
      <c r="A4846" s="443"/>
      <c r="B4846" s="43"/>
      <c r="C4846" s="51"/>
      <c r="D4846" s="102"/>
      <c r="E4846" s="102"/>
      <c r="H4846" s="102"/>
      <c r="J4846" s="102"/>
      <c r="K4846" s="450"/>
      <c r="L4846" s="443"/>
      <c r="M4846" s="450"/>
      <c r="N4846" s="452"/>
      <c r="O4846" s="453"/>
      <c r="P4846" s="113"/>
      <c r="Q4846" s="106"/>
      <c r="R4846" s="107"/>
    </row>
    <row r="4847" hidden="1">
      <c r="A4847" s="443"/>
      <c r="B4847" s="43"/>
      <c r="C4847" s="51"/>
      <c r="D4847" s="102"/>
      <c r="E4847" s="102"/>
      <c r="H4847" s="102"/>
      <c r="J4847" s="102"/>
      <c r="K4847" s="450"/>
      <c r="L4847" s="443"/>
      <c r="M4847" s="450"/>
      <c r="N4847" s="452"/>
      <c r="O4847" s="453"/>
      <c r="P4847" s="113"/>
      <c r="Q4847" s="106"/>
      <c r="R4847" s="107"/>
    </row>
    <row r="4848" hidden="1">
      <c r="A4848" s="443"/>
      <c r="B4848" s="43"/>
      <c r="C4848" s="51"/>
      <c r="D4848" s="102"/>
      <c r="E4848" s="102"/>
      <c r="H4848" s="102"/>
      <c r="J4848" s="102"/>
      <c r="K4848" s="450"/>
      <c r="L4848" s="443"/>
      <c r="M4848" s="450"/>
      <c r="N4848" s="452"/>
      <c r="O4848" s="453"/>
      <c r="P4848" s="113"/>
      <c r="Q4848" s="106"/>
      <c r="R4848" s="107"/>
    </row>
    <row r="4849" hidden="1">
      <c r="A4849" s="443"/>
      <c r="B4849" s="43"/>
      <c r="C4849" s="51"/>
      <c r="D4849" s="102"/>
      <c r="E4849" s="102"/>
      <c r="H4849" s="102"/>
      <c r="J4849" s="102"/>
      <c r="K4849" s="450"/>
      <c r="L4849" s="443"/>
      <c r="M4849" s="450"/>
      <c r="N4849" s="452"/>
      <c r="O4849" s="453"/>
      <c r="P4849" s="113"/>
      <c r="Q4849" s="106"/>
      <c r="R4849" s="107"/>
    </row>
    <row r="4850" hidden="1">
      <c r="A4850" s="443"/>
      <c r="B4850" s="43"/>
      <c r="C4850" s="51"/>
      <c r="D4850" s="102"/>
      <c r="E4850" s="102"/>
      <c r="H4850" s="102"/>
      <c r="J4850" s="102"/>
      <c r="K4850" s="450"/>
      <c r="L4850" s="443"/>
      <c r="M4850" s="450"/>
      <c r="N4850" s="452"/>
      <c r="O4850" s="453"/>
      <c r="P4850" s="113"/>
      <c r="Q4850" s="106"/>
      <c r="R4850" s="107"/>
    </row>
    <row r="4851" hidden="1">
      <c r="A4851" s="443"/>
      <c r="B4851" s="43"/>
      <c r="C4851" s="51"/>
      <c r="D4851" s="102"/>
      <c r="E4851" s="102"/>
      <c r="H4851" s="102"/>
      <c r="J4851" s="102"/>
      <c r="K4851" s="450"/>
      <c r="L4851" s="443"/>
      <c r="M4851" s="450"/>
      <c r="N4851" s="452"/>
      <c r="O4851" s="453"/>
      <c r="P4851" s="113"/>
      <c r="Q4851" s="106"/>
      <c r="R4851" s="107"/>
    </row>
    <row r="4852" hidden="1">
      <c r="A4852" s="443"/>
      <c r="B4852" s="43"/>
      <c r="C4852" s="51"/>
      <c r="D4852" s="102"/>
      <c r="E4852" s="102"/>
      <c r="H4852" s="102"/>
      <c r="J4852" s="102"/>
      <c r="K4852" s="450"/>
      <c r="L4852" s="443"/>
      <c r="M4852" s="450"/>
      <c r="N4852" s="452"/>
      <c r="O4852" s="453"/>
      <c r="P4852" s="113"/>
      <c r="Q4852" s="106"/>
      <c r="R4852" s="107"/>
    </row>
  </sheetData>
  <autoFilter ref="$J$1:$J$4852">
    <filterColumn colId="0">
      <filters>
        <filter val="Warner"/>
      </filters>
    </filterColumn>
  </autoFilter>
  <dataValidations>
    <dataValidation type="list" allowBlank="1" showErrorMessage="1" sqref="C2:C4852">
      <formula1>Listas!$H$3:$H$14</formula1>
    </dataValidation>
    <dataValidation type="list" allowBlank="1" showErrorMessage="1" sqref="J2:J518 J535:J4852">
      <formula1>Listas!$C$2:$C$286</formula1>
    </dataValidation>
    <dataValidation type="list" allowBlank="1" showErrorMessage="1" sqref="B2:B4852">
      <formula1>Listas!$E$2:$E$149</formula1>
    </dataValidation>
    <dataValidation type="list" allowBlank="1" showErrorMessage="1" sqref="J519:J534 H2:H4852">
      <formula1>"Fee,One Shot,Demo,Epical"</formula1>
    </dataValidation>
    <dataValidation type="list" allowBlank="1" showErrorMessage="1" sqref="D2:D4852">
      <formula1>"2025,2026,2027,2028"</formula1>
    </dataValidation>
    <dataValidation type="list" allowBlank="1" showErrorMessage="1" sqref="E2:E4852">
      <formula1>"Directo,Indirecto"</formula1>
    </dataValidation>
    <dataValidation type="list" allowBlank="1" showErrorMessage="1" sqref="A519:A533">
      <formula1>Listas!$D$3:$D$215</formula1>
    </dataValidation>
    <dataValidation type="list" allowBlank="1" showErrorMessage="1" sqref="A2:A262 A282:A340 A372:A427 A459:A518 A534 A570:A632 A681:A734 A780:A3219 A3226:A4852">
      <formula1>Listas!$D$3:$D$386</formula1>
    </dataValidation>
    <dataValidation type="list" allowBlank="1" showErrorMessage="1" sqref="A263:A281 A341:A371 A428:A458 A535:A569 A633:A680 A735:A779 A3220:A3225">
      <formula1>Listas!$D$3:$D$86</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2" width="16.63"/>
    <col customWidth="1" min="3" max="4" width="12.13"/>
    <col customWidth="1" min="5" max="5" width="23.13"/>
    <col customWidth="1" min="6" max="6" width="16.75"/>
    <col customWidth="1" min="7" max="7" width="16.25"/>
    <col customWidth="1" min="8" max="8" width="12.88"/>
    <col customWidth="1" min="9" max="9" width="18.38"/>
    <col customWidth="1" min="10" max="10" width="18.5"/>
    <col customWidth="1" min="11" max="11" width="9.0"/>
    <col customWidth="1" min="12" max="12" width="12.0"/>
    <col customWidth="1" min="13" max="13" width="20.5"/>
    <col customWidth="1" min="14" max="14" width="22.38"/>
    <col customWidth="1" min="15" max="15" width="9.38"/>
    <col customWidth="1" min="16" max="16" width="8.0"/>
    <col customWidth="1" min="17" max="17" width="11.88"/>
    <col customWidth="1" min="18" max="18" width="16.75"/>
    <col customWidth="1" min="19" max="21" width="20.25"/>
    <col customWidth="1" min="22" max="22" width="15.13"/>
    <col customWidth="1" min="23" max="24" width="9.63"/>
    <col customWidth="1" min="25" max="25" width="19.25"/>
    <col customWidth="1" min="26" max="50" width="9.63"/>
  </cols>
  <sheetData>
    <row r="1">
      <c r="A1" s="444" t="s">
        <v>1219</v>
      </c>
      <c r="B1" s="10" t="s">
        <v>1220</v>
      </c>
      <c r="C1" s="10" t="s">
        <v>1221</v>
      </c>
      <c r="D1" s="10" t="s">
        <v>1222</v>
      </c>
      <c r="E1" s="483" t="s">
        <v>111</v>
      </c>
      <c r="F1" s="10" t="s">
        <v>112</v>
      </c>
      <c r="G1" s="484" t="s">
        <v>1116</v>
      </c>
      <c r="H1" s="10" t="s">
        <v>1223</v>
      </c>
      <c r="I1" s="10" t="s">
        <v>1224</v>
      </c>
      <c r="J1" s="10" t="s">
        <v>1225</v>
      </c>
      <c r="K1" s="10" t="s">
        <v>1226</v>
      </c>
      <c r="L1" s="485" t="s">
        <v>1227</v>
      </c>
      <c r="M1" s="486" t="s">
        <v>1122</v>
      </c>
      <c r="N1" s="486" t="s">
        <v>1123</v>
      </c>
      <c r="O1" s="435" t="s">
        <v>152</v>
      </c>
      <c r="P1" s="10" t="s">
        <v>146</v>
      </c>
      <c r="Q1" s="487" t="s">
        <v>285</v>
      </c>
      <c r="R1" s="488" t="s">
        <v>286</v>
      </c>
      <c r="S1" s="489" t="s">
        <v>1228</v>
      </c>
      <c r="T1" s="489" t="s">
        <v>1229</v>
      </c>
      <c r="U1" s="10" t="s">
        <v>1230</v>
      </c>
      <c r="V1" s="43" t="s">
        <v>1231</v>
      </c>
      <c r="W1" s="43"/>
      <c r="X1" s="490"/>
    </row>
    <row r="2" hidden="1">
      <c r="A2" s="51" t="s">
        <v>123</v>
      </c>
      <c r="B2" s="43">
        <v>2025.0</v>
      </c>
      <c r="C2" s="51" t="s">
        <v>143</v>
      </c>
      <c r="D2" s="43">
        <v>2025.0</v>
      </c>
      <c r="E2" s="43" t="s">
        <v>183</v>
      </c>
      <c r="F2" s="43" t="s">
        <v>1129</v>
      </c>
      <c r="G2" s="43" t="s">
        <v>1126</v>
      </c>
      <c r="H2" s="43" t="s">
        <v>311</v>
      </c>
      <c r="I2" s="43" t="s">
        <v>311</v>
      </c>
      <c r="J2" s="443">
        <v>90.0</v>
      </c>
      <c r="N2" s="112">
        <v>13450.0</v>
      </c>
      <c r="Q2" s="491" t="str">
        <f>IF(ISBLANK(M2), "", VLOOKUP(A2&amp;" "&amp;B2, 'Info Tipo de Cambio y REM'!$A$24:$B$47, 2, FALSE))</f>
        <v/>
      </c>
      <c r="R2" s="109">
        <f t="shared" ref="R2:R1099" si="1">IFERROR(IF(NOT(ISBLANK(M2)), M2 / Q2, IF(NOT(ISBLANK(N2)), N2, "")), "")
</f>
        <v>13450</v>
      </c>
      <c r="S2" s="71" t="str">
        <f t="shared" ref="S2:S1099" si="2">IF(ISBLANK(M2),"",M2+O2)</f>
        <v/>
      </c>
      <c r="T2" s="71">
        <f t="shared" ref="T2:T1099" si="3">IF(S2="", VALUE(N2), S2 / Q2)</f>
        <v>13450</v>
      </c>
      <c r="U2" s="43" t="s">
        <v>1232</v>
      </c>
      <c r="V2" s="486" t="str">
        <f t="shared" ref="V2:V89" si="4">IF(EOMONTH(DATE(B2,VALUE(LEFT(A2,2)),1),0)&lt;TODAY(),"Real","Proyección")
</f>
        <v>Real</v>
      </c>
      <c r="W2" s="486"/>
      <c r="X2" s="487"/>
      <c r="Y2" s="488"/>
    </row>
    <row r="3" hidden="1">
      <c r="A3" s="51" t="s">
        <v>129</v>
      </c>
      <c r="B3" s="43">
        <v>2025.0</v>
      </c>
      <c r="C3" s="51" t="s">
        <v>149</v>
      </c>
      <c r="D3" s="43">
        <v>2025.0</v>
      </c>
      <c r="E3" s="43" t="s">
        <v>183</v>
      </c>
      <c r="F3" s="43" t="s">
        <v>1129</v>
      </c>
      <c r="G3" s="43" t="s">
        <v>1126</v>
      </c>
      <c r="H3" s="43" t="s">
        <v>311</v>
      </c>
      <c r="I3" s="43" t="s">
        <v>311</v>
      </c>
      <c r="J3" s="443">
        <v>90.0</v>
      </c>
      <c r="N3" s="112">
        <v>13450.0</v>
      </c>
      <c r="Q3" s="491" t="str">
        <f>IF(ISBLANK(M3), "", VLOOKUP(A3&amp;" "&amp;B3, 'Info Tipo de Cambio y REM'!$A$24:$B$47, 2, FALSE))</f>
        <v/>
      </c>
      <c r="R3" s="109">
        <f t="shared" si="1"/>
        <v>13450</v>
      </c>
      <c r="S3" s="71" t="str">
        <f t="shared" si="2"/>
        <v/>
      </c>
      <c r="T3" s="71">
        <f t="shared" si="3"/>
        <v>13450</v>
      </c>
      <c r="U3" s="43" t="s">
        <v>1232</v>
      </c>
      <c r="V3" s="486" t="str">
        <f t="shared" si="4"/>
        <v>Real</v>
      </c>
      <c r="W3" s="486"/>
      <c r="X3" s="487"/>
      <c r="Y3" s="488"/>
    </row>
    <row r="4" hidden="1">
      <c r="A4" s="51" t="s">
        <v>136</v>
      </c>
      <c r="B4" s="43">
        <v>2025.0</v>
      </c>
      <c r="C4" s="51" t="s">
        <v>155</v>
      </c>
      <c r="D4" s="43">
        <v>2025.0</v>
      </c>
      <c r="E4" s="43" t="s">
        <v>183</v>
      </c>
      <c r="F4" s="43" t="s">
        <v>1129</v>
      </c>
      <c r="G4" s="43" t="s">
        <v>1126</v>
      </c>
      <c r="H4" s="43" t="s">
        <v>311</v>
      </c>
      <c r="I4" s="43" t="s">
        <v>311</v>
      </c>
      <c r="J4" s="443">
        <v>90.0</v>
      </c>
      <c r="N4" s="112">
        <v>14750.0</v>
      </c>
      <c r="Q4" s="491" t="str">
        <f>IF(ISBLANK(M4), "", VLOOKUP(A4&amp;" "&amp;B4, 'Info Tipo de Cambio y REM'!$A$24:$B$47, 2, FALSE))</f>
        <v/>
      </c>
      <c r="R4" s="109">
        <f t="shared" si="1"/>
        <v>14750</v>
      </c>
      <c r="S4" s="71" t="str">
        <f t="shared" si="2"/>
        <v/>
      </c>
      <c r="T4" s="71">
        <f t="shared" si="3"/>
        <v>14750</v>
      </c>
      <c r="U4" s="43" t="s">
        <v>1232</v>
      </c>
      <c r="V4" s="486" t="str">
        <f t="shared" si="4"/>
        <v>Real</v>
      </c>
      <c r="W4" s="486"/>
      <c r="X4" s="487"/>
      <c r="Y4" s="488"/>
      <c r="Z4" s="71"/>
      <c r="AA4" s="105"/>
    </row>
    <row r="5" hidden="1">
      <c r="A5" s="51" t="s">
        <v>143</v>
      </c>
      <c r="B5" s="43">
        <v>2025.0</v>
      </c>
      <c r="C5" s="51" t="s">
        <v>161</v>
      </c>
      <c r="D5" s="43">
        <v>2025.0</v>
      </c>
      <c r="E5" s="43" t="s">
        <v>183</v>
      </c>
      <c r="F5" s="43" t="s">
        <v>1129</v>
      </c>
      <c r="G5" s="43" t="s">
        <v>1126</v>
      </c>
      <c r="H5" s="43" t="s">
        <v>311</v>
      </c>
      <c r="I5" s="43" t="s">
        <v>311</v>
      </c>
      <c r="J5" s="443">
        <v>90.0</v>
      </c>
      <c r="N5" s="112">
        <v>13450.0</v>
      </c>
      <c r="Q5" s="491" t="str">
        <f>IF(ISBLANK(M5), "", VLOOKUP(A5&amp;" "&amp;B5, 'Info Tipo de Cambio y REM'!$A$24:$B$47, 2, FALSE))</f>
        <v/>
      </c>
      <c r="R5" s="109">
        <f t="shared" si="1"/>
        <v>13450</v>
      </c>
      <c r="S5" s="71" t="str">
        <f t="shared" si="2"/>
        <v/>
      </c>
      <c r="T5" s="71">
        <f t="shared" si="3"/>
        <v>13450</v>
      </c>
      <c r="U5" s="43" t="s">
        <v>1232</v>
      </c>
      <c r="V5" s="486" t="str">
        <f t="shared" si="4"/>
        <v>Real</v>
      </c>
      <c r="W5" s="486"/>
      <c r="X5" s="487"/>
      <c r="Y5" s="488"/>
      <c r="Z5" s="71"/>
      <c r="AA5" s="105"/>
    </row>
    <row r="6" hidden="1">
      <c r="A6" s="51" t="s">
        <v>149</v>
      </c>
      <c r="B6" s="43">
        <v>2025.0</v>
      </c>
      <c r="C6" s="51" t="s">
        <v>166</v>
      </c>
      <c r="D6" s="43">
        <v>2025.0</v>
      </c>
      <c r="E6" s="43" t="s">
        <v>183</v>
      </c>
      <c r="F6" s="43" t="s">
        <v>1129</v>
      </c>
      <c r="G6" s="43" t="s">
        <v>1126</v>
      </c>
      <c r="H6" s="43" t="s">
        <v>311</v>
      </c>
      <c r="I6" s="43" t="s">
        <v>311</v>
      </c>
      <c r="J6" s="443">
        <v>90.0</v>
      </c>
      <c r="N6" s="112">
        <v>29230.0</v>
      </c>
      <c r="Q6" s="491" t="str">
        <f>IF(ISBLANK(M6), "", VLOOKUP(A6&amp;" "&amp;B6, 'Info Tipo de Cambio y REM'!$A$24:$B$47, 2, FALSE))</f>
        <v/>
      </c>
      <c r="R6" s="109">
        <f t="shared" si="1"/>
        <v>29230</v>
      </c>
      <c r="S6" s="71" t="str">
        <f t="shared" si="2"/>
        <v/>
      </c>
      <c r="T6" s="71">
        <f t="shared" si="3"/>
        <v>29230</v>
      </c>
      <c r="U6" s="43" t="s">
        <v>1232</v>
      </c>
      <c r="V6" s="486" t="str">
        <f t="shared" si="4"/>
        <v>Real</v>
      </c>
      <c r="W6" s="486"/>
      <c r="X6" s="487"/>
      <c r="Y6" s="488"/>
      <c r="Z6" s="71"/>
      <c r="AA6" s="105"/>
    </row>
    <row r="7" hidden="1">
      <c r="A7" s="51" t="s">
        <v>155</v>
      </c>
      <c r="B7" s="43">
        <v>2025.0</v>
      </c>
      <c r="C7" s="51" t="s">
        <v>171</v>
      </c>
      <c r="D7" s="43">
        <v>2025.0</v>
      </c>
      <c r="E7" s="43" t="s">
        <v>183</v>
      </c>
      <c r="F7" s="43" t="s">
        <v>1129</v>
      </c>
      <c r="G7" s="43" t="s">
        <v>1126</v>
      </c>
      <c r="H7" s="43" t="s">
        <v>311</v>
      </c>
      <c r="I7" s="43" t="s">
        <v>311</v>
      </c>
      <c r="J7" s="443">
        <v>90.0</v>
      </c>
      <c r="N7" s="112">
        <v>29230.0</v>
      </c>
      <c r="Q7" s="491" t="str">
        <f>IF(ISBLANK(M7), "", VLOOKUP(A7&amp;" "&amp;B7, 'Info Tipo de Cambio y REM'!$A$24:$B$47, 2, FALSE))</f>
        <v/>
      </c>
      <c r="R7" s="109">
        <f t="shared" si="1"/>
        <v>29230</v>
      </c>
      <c r="S7" s="71" t="str">
        <f t="shared" si="2"/>
        <v/>
      </c>
      <c r="T7" s="71">
        <f t="shared" si="3"/>
        <v>29230</v>
      </c>
      <c r="U7" s="43" t="s">
        <v>1232</v>
      </c>
      <c r="V7" s="486" t="str">
        <f t="shared" si="4"/>
        <v>Real</v>
      </c>
      <c r="W7" s="486"/>
      <c r="X7" s="487"/>
      <c r="Y7" s="488"/>
      <c r="Z7" s="71"/>
      <c r="AA7" s="105"/>
    </row>
    <row r="8" hidden="1">
      <c r="A8" s="51" t="s">
        <v>161</v>
      </c>
      <c r="B8" s="43">
        <v>2025.0</v>
      </c>
      <c r="C8" s="51" t="s">
        <v>175</v>
      </c>
      <c r="D8" s="43">
        <v>2025.0</v>
      </c>
      <c r="E8" s="43" t="s">
        <v>183</v>
      </c>
      <c r="F8" s="43" t="s">
        <v>1129</v>
      </c>
      <c r="G8" s="43" t="s">
        <v>1126</v>
      </c>
      <c r="H8" s="43" t="s">
        <v>311</v>
      </c>
      <c r="I8" s="43" t="s">
        <v>311</v>
      </c>
      <c r="J8" s="443">
        <v>90.0</v>
      </c>
      <c r="N8" s="112">
        <v>29230.0</v>
      </c>
      <c r="Q8" s="491" t="str">
        <f>IF(ISBLANK(M8), "", VLOOKUP(A8&amp;" "&amp;B8, 'Info Tipo de Cambio y REM'!$A$24:$B$47, 2, FALSE))</f>
        <v/>
      </c>
      <c r="R8" s="109">
        <f t="shared" si="1"/>
        <v>29230</v>
      </c>
      <c r="S8" s="71" t="str">
        <f t="shared" si="2"/>
        <v/>
      </c>
      <c r="T8" s="71">
        <f t="shared" si="3"/>
        <v>29230</v>
      </c>
      <c r="U8" s="43" t="s">
        <v>1232</v>
      </c>
      <c r="V8" s="486" t="str">
        <f t="shared" si="4"/>
        <v>Real</v>
      </c>
      <c r="W8" s="485"/>
      <c r="Z8" s="71"/>
      <c r="AA8" s="105"/>
    </row>
    <row r="9" hidden="1">
      <c r="A9" s="51" t="s">
        <v>166</v>
      </c>
      <c r="B9" s="43">
        <v>2025.0</v>
      </c>
      <c r="C9" s="51" t="s">
        <v>179</v>
      </c>
      <c r="D9" s="43">
        <v>2025.0</v>
      </c>
      <c r="E9" s="43" t="s">
        <v>183</v>
      </c>
      <c r="F9" s="43" t="s">
        <v>1129</v>
      </c>
      <c r="G9" s="43" t="s">
        <v>1126</v>
      </c>
      <c r="H9" s="43" t="s">
        <v>311</v>
      </c>
      <c r="I9" s="43" t="s">
        <v>311</v>
      </c>
      <c r="J9" s="443">
        <v>90.0</v>
      </c>
      <c r="N9" s="112">
        <v>29230.0</v>
      </c>
      <c r="Q9" s="491" t="str">
        <f>IF(ISBLANK(M9), "", VLOOKUP(A9&amp;" "&amp;B9, 'Info Tipo de Cambio y REM'!$A$24:$B$47, 2, FALSE))</f>
        <v/>
      </c>
      <c r="R9" s="109">
        <f t="shared" si="1"/>
        <v>29230</v>
      </c>
      <c r="S9" s="71" t="str">
        <f t="shared" si="2"/>
        <v/>
      </c>
      <c r="T9" s="71">
        <f t="shared" si="3"/>
        <v>29230</v>
      </c>
      <c r="U9" s="43" t="s">
        <v>1232</v>
      </c>
      <c r="V9" s="486" t="str">
        <f t="shared" si="4"/>
        <v>Real</v>
      </c>
      <c r="W9" s="43"/>
      <c r="X9" s="43"/>
      <c r="Z9" s="71"/>
      <c r="AA9" s="105"/>
    </row>
    <row r="10" hidden="1">
      <c r="A10" s="51" t="s">
        <v>171</v>
      </c>
      <c r="B10" s="43">
        <v>2025.0</v>
      </c>
      <c r="C10" s="51" t="s">
        <v>182</v>
      </c>
      <c r="D10" s="43">
        <v>2025.0</v>
      </c>
      <c r="E10" s="43" t="s">
        <v>183</v>
      </c>
      <c r="F10" s="43" t="s">
        <v>1129</v>
      </c>
      <c r="G10" s="43" t="s">
        <v>1126</v>
      </c>
      <c r="H10" s="43" t="s">
        <v>311</v>
      </c>
      <c r="I10" s="43" t="s">
        <v>311</v>
      </c>
      <c r="J10" s="443">
        <v>90.0</v>
      </c>
      <c r="N10" s="112">
        <v>29230.0</v>
      </c>
      <c r="Q10" s="491" t="str">
        <f>IF(ISBLANK(M10), "", VLOOKUP(A10&amp;" "&amp;B10, 'Info Tipo de Cambio y REM'!$A$24:$B$47, 2, FALSE))</f>
        <v/>
      </c>
      <c r="R10" s="109">
        <f t="shared" si="1"/>
        <v>29230</v>
      </c>
      <c r="S10" s="71" t="str">
        <f t="shared" si="2"/>
        <v/>
      </c>
      <c r="T10" s="71">
        <f t="shared" si="3"/>
        <v>29230</v>
      </c>
      <c r="U10" s="43" t="s">
        <v>1233</v>
      </c>
      <c r="V10" s="486" t="str">
        <f t="shared" si="4"/>
        <v>Real</v>
      </c>
      <c r="W10" s="43"/>
      <c r="X10" s="43"/>
      <c r="Z10" s="71"/>
      <c r="AA10" s="105"/>
    </row>
    <row r="11" hidden="1">
      <c r="A11" s="51" t="s">
        <v>175</v>
      </c>
      <c r="B11" s="43">
        <v>2025.0</v>
      </c>
      <c r="C11" s="51" t="s">
        <v>123</v>
      </c>
      <c r="D11" s="43">
        <v>2025.0</v>
      </c>
      <c r="E11" s="43" t="s">
        <v>183</v>
      </c>
      <c r="F11" s="43" t="s">
        <v>1129</v>
      </c>
      <c r="G11" s="43" t="s">
        <v>1126</v>
      </c>
      <c r="H11" s="43" t="s">
        <v>311</v>
      </c>
      <c r="I11" s="43" t="s">
        <v>311</v>
      </c>
      <c r="J11" s="443">
        <v>90.0</v>
      </c>
      <c r="N11" s="112">
        <v>29230.0</v>
      </c>
      <c r="Q11" s="491" t="str">
        <f>IF(ISBLANK(M11), "", VLOOKUP(A11&amp;" "&amp;B11, 'Info Tipo de Cambio y REM'!$A$24:$B$47, 2, FALSE))</f>
        <v/>
      </c>
      <c r="R11" s="109">
        <f t="shared" si="1"/>
        <v>29230</v>
      </c>
      <c r="S11" s="71" t="str">
        <f t="shared" si="2"/>
        <v/>
      </c>
      <c r="T11" s="71">
        <f t="shared" si="3"/>
        <v>29230</v>
      </c>
      <c r="U11" s="43" t="s">
        <v>1233</v>
      </c>
      <c r="V11" s="486" t="str">
        <f t="shared" si="4"/>
        <v>Proyección</v>
      </c>
      <c r="W11" s="43"/>
      <c r="X11" s="43"/>
      <c r="Z11" s="71"/>
      <c r="AA11" s="105"/>
    </row>
    <row r="12" hidden="1">
      <c r="A12" s="51" t="s">
        <v>179</v>
      </c>
      <c r="B12" s="43">
        <v>2025.0</v>
      </c>
      <c r="C12" s="51" t="s">
        <v>129</v>
      </c>
      <c r="D12" s="43">
        <v>2025.0</v>
      </c>
      <c r="E12" s="43" t="s">
        <v>183</v>
      </c>
      <c r="F12" s="43" t="s">
        <v>1129</v>
      </c>
      <c r="G12" s="43" t="s">
        <v>1126</v>
      </c>
      <c r="H12" s="43" t="s">
        <v>311</v>
      </c>
      <c r="I12" s="43" t="s">
        <v>311</v>
      </c>
      <c r="J12" s="443">
        <v>90.0</v>
      </c>
      <c r="N12" s="112">
        <v>29230.0</v>
      </c>
      <c r="Q12" s="491" t="str">
        <f>IF(ISBLANK(M12), "", VLOOKUP(A12&amp;" "&amp;B12, 'Info Tipo de Cambio y REM'!$A$24:$B$47, 2, FALSE))</f>
        <v/>
      </c>
      <c r="R12" s="109">
        <f t="shared" si="1"/>
        <v>29230</v>
      </c>
      <c r="S12" s="71" t="str">
        <f t="shared" si="2"/>
        <v/>
      </c>
      <c r="T12" s="71">
        <f t="shared" si="3"/>
        <v>29230</v>
      </c>
      <c r="U12" s="43" t="s">
        <v>1233</v>
      </c>
      <c r="V12" s="486" t="str">
        <f t="shared" si="4"/>
        <v>Proyección</v>
      </c>
      <c r="W12" s="43"/>
      <c r="X12" s="43"/>
      <c r="Z12" s="71"/>
      <c r="AA12" s="105"/>
    </row>
    <row r="13" hidden="1">
      <c r="A13" s="51" t="s">
        <v>182</v>
      </c>
      <c r="B13" s="43">
        <v>2025.0</v>
      </c>
      <c r="C13" s="51" t="s">
        <v>136</v>
      </c>
      <c r="D13" s="43">
        <v>2025.0</v>
      </c>
      <c r="E13" s="43" t="s">
        <v>183</v>
      </c>
      <c r="F13" s="43" t="s">
        <v>1129</v>
      </c>
      <c r="G13" s="43" t="s">
        <v>1126</v>
      </c>
      <c r="H13" s="43" t="s">
        <v>311</v>
      </c>
      <c r="I13" s="43" t="s">
        <v>311</v>
      </c>
      <c r="J13" s="443">
        <v>90.0</v>
      </c>
      <c r="N13" s="112">
        <v>29230.0</v>
      </c>
      <c r="Q13" s="491" t="str">
        <f>IF(ISBLANK(M13), "", VLOOKUP(A13&amp;" "&amp;B13, 'Info Tipo de Cambio y REM'!$A$24:$B$47, 2, FALSE))</f>
        <v/>
      </c>
      <c r="R13" s="109">
        <f t="shared" si="1"/>
        <v>29230</v>
      </c>
      <c r="S13" s="71" t="str">
        <f t="shared" si="2"/>
        <v/>
      </c>
      <c r="T13" s="71">
        <f t="shared" si="3"/>
        <v>29230</v>
      </c>
      <c r="U13" s="43" t="s">
        <v>1233</v>
      </c>
      <c r="V13" s="486" t="str">
        <f t="shared" si="4"/>
        <v>Proyección</v>
      </c>
      <c r="W13" s="43"/>
      <c r="X13" s="43"/>
      <c r="Z13" s="71"/>
      <c r="AA13" s="105"/>
    </row>
    <row r="14" hidden="1">
      <c r="A14" s="51" t="s">
        <v>123</v>
      </c>
      <c r="B14" s="43">
        <v>2026.0</v>
      </c>
      <c r="C14" s="51" t="s">
        <v>143</v>
      </c>
      <c r="D14" s="43">
        <v>2026.0</v>
      </c>
      <c r="E14" s="43" t="s">
        <v>183</v>
      </c>
      <c r="F14" s="43" t="s">
        <v>1129</v>
      </c>
      <c r="G14" s="43" t="s">
        <v>1126</v>
      </c>
      <c r="H14" s="43" t="s">
        <v>311</v>
      </c>
      <c r="I14" s="43" t="s">
        <v>311</v>
      </c>
      <c r="J14" s="443">
        <v>90.0</v>
      </c>
      <c r="N14" s="112">
        <v>29230.0</v>
      </c>
      <c r="Q14" s="491" t="str">
        <f>IF(ISBLANK(M14), "", VLOOKUP(A14&amp;" "&amp;B14, 'Info Tipo de Cambio y REM'!$A$24:$B$47, 2, FALSE))</f>
        <v/>
      </c>
      <c r="R14" s="109">
        <f t="shared" si="1"/>
        <v>29230</v>
      </c>
      <c r="S14" s="71" t="str">
        <f t="shared" si="2"/>
        <v/>
      </c>
      <c r="T14" s="71">
        <f t="shared" si="3"/>
        <v>29230</v>
      </c>
      <c r="U14" s="43" t="s">
        <v>1233</v>
      </c>
      <c r="V14" s="486" t="str">
        <f t="shared" si="4"/>
        <v>Proyección</v>
      </c>
      <c r="W14" s="43"/>
      <c r="X14" s="43"/>
    </row>
    <row r="15" hidden="1">
      <c r="A15" s="51" t="s">
        <v>129</v>
      </c>
      <c r="B15" s="43">
        <v>2026.0</v>
      </c>
      <c r="C15" s="51" t="s">
        <v>149</v>
      </c>
      <c r="D15" s="43">
        <v>2026.0</v>
      </c>
      <c r="E15" s="43" t="s">
        <v>183</v>
      </c>
      <c r="F15" s="43" t="s">
        <v>1129</v>
      </c>
      <c r="G15" s="43" t="s">
        <v>1126</v>
      </c>
      <c r="H15" s="43" t="s">
        <v>311</v>
      </c>
      <c r="I15" s="43" t="s">
        <v>311</v>
      </c>
      <c r="J15" s="443">
        <v>90.0</v>
      </c>
      <c r="N15" s="112">
        <v>29230.0</v>
      </c>
      <c r="Q15" s="491" t="str">
        <f>IF(ISBLANK(M15), "", VLOOKUP(A15&amp;" "&amp;B15, 'Info Tipo de Cambio y REM'!$A$24:$B$47, 2, FALSE))</f>
        <v/>
      </c>
      <c r="R15" s="109">
        <f t="shared" si="1"/>
        <v>29230</v>
      </c>
      <c r="S15" s="71" t="str">
        <f t="shared" si="2"/>
        <v/>
      </c>
      <c r="T15" s="71">
        <f t="shared" si="3"/>
        <v>29230</v>
      </c>
      <c r="U15" s="43" t="s">
        <v>1233</v>
      </c>
      <c r="V15" s="486" t="str">
        <f t="shared" si="4"/>
        <v>Proyección</v>
      </c>
      <c r="W15" s="43"/>
      <c r="X15" s="43"/>
    </row>
    <row r="16" hidden="1">
      <c r="A16" s="51" t="s">
        <v>136</v>
      </c>
      <c r="B16" s="43">
        <v>2026.0</v>
      </c>
      <c r="C16" s="51" t="s">
        <v>155</v>
      </c>
      <c r="D16" s="43">
        <v>2026.0</v>
      </c>
      <c r="E16" s="43" t="s">
        <v>183</v>
      </c>
      <c r="F16" s="43" t="s">
        <v>1129</v>
      </c>
      <c r="G16" s="43" t="s">
        <v>1126</v>
      </c>
      <c r="H16" s="43" t="s">
        <v>311</v>
      </c>
      <c r="I16" s="43" t="s">
        <v>311</v>
      </c>
      <c r="J16" s="443">
        <v>90.0</v>
      </c>
      <c r="N16" s="112">
        <v>29230.0</v>
      </c>
      <c r="Q16" s="491" t="str">
        <f>IF(ISBLANK(M16), "", VLOOKUP(A16&amp;" "&amp;B16, 'Info Tipo de Cambio y REM'!$A$24:$B$47, 2, FALSE))</f>
        <v/>
      </c>
      <c r="R16" s="109">
        <f t="shared" si="1"/>
        <v>29230</v>
      </c>
      <c r="S16" s="71" t="str">
        <f t="shared" si="2"/>
        <v/>
      </c>
      <c r="T16" s="71">
        <f t="shared" si="3"/>
        <v>29230</v>
      </c>
      <c r="U16" s="43" t="s">
        <v>1233</v>
      </c>
      <c r="V16" s="486" t="str">
        <f t="shared" si="4"/>
        <v>Proyección</v>
      </c>
      <c r="W16" s="43"/>
      <c r="X16" s="43"/>
    </row>
    <row r="17" hidden="1">
      <c r="A17" s="51" t="s">
        <v>143</v>
      </c>
      <c r="B17" s="43">
        <v>2026.0</v>
      </c>
      <c r="C17" s="51" t="s">
        <v>161</v>
      </c>
      <c r="D17" s="43">
        <v>2026.0</v>
      </c>
      <c r="E17" s="43" t="s">
        <v>183</v>
      </c>
      <c r="F17" s="43" t="s">
        <v>1129</v>
      </c>
      <c r="G17" s="43" t="s">
        <v>1126</v>
      </c>
      <c r="H17" s="43" t="s">
        <v>311</v>
      </c>
      <c r="I17" s="43" t="s">
        <v>311</v>
      </c>
      <c r="J17" s="443">
        <v>90.0</v>
      </c>
      <c r="N17" s="112">
        <v>29230.0</v>
      </c>
      <c r="Q17" s="491" t="str">
        <f>IF(ISBLANK(M17), "", VLOOKUP(A17&amp;" "&amp;B17, 'Info Tipo de Cambio y REM'!$A$24:$B$47, 2, FALSE))</f>
        <v/>
      </c>
      <c r="R17" s="109">
        <f t="shared" si="1"/>
        <v>29230</v>
      </c>
      <c r="S17" s="71" t="str">
        <f t="shared" si="2"/>
        <v/>
      </c>
      <c r="T17" s="71">
        <f t="shared" si="3"/>
        <v>29230</v>
      </c>
      <c r="U17" s="43" t="s">
        <v>1233</v>
      </c>
      <c r="V17" s="486" t="str">
        <f t="shared" si="4"/>
        <v>Proyección</v>
      </c>
      <c r="W17" s="43"/>
      <c r="X17" s="43"/>
    </row>
    <row r="18" hidden="1">
      <c r="A18" s="51" t="s">
        <v>171</v>
      </c>
      <c r="B18" s="43">
        <v>2025.0</v>
      </c>
      <c r="C18" s="51" t="s">
        <v>182</v>
      </c>
      <c r="D18" s="43">
        <v>2025.0</v>
      </c>
      <c r="E18" s="43" t="s">
        <v>183</v>
      </c>
      <c r="F18" s="43" t="s">
        <v>1212</v>
      </c>
      <c r="G18" s="43" t="s">
        <v>1126</v>
      </c>
      <c r="H18" s="43" t="s">
        <v>311</v>
      </c>
      <c r="I18" s="43" t="s">
        <v>311</v>
      </c>
      <c r="J18" s="443">
        <v>90.0</v>
      </c>
      <c r="N18" s="89">
        <v>60640.0</v>
      </c>
      <c r="Q18" s="491" t="str">
        <f>IF(ISBLANK(M18), "", VLOOKUP(A18&amp;" "&amp;B18, 'Info Tipo de Cambio y REM'!$A$24:$B$47, 2, FALSE))</f>
        <v/>
      </c>
      <c r="R18" s="109">
        <f t="shared" si="1"/>
        <v>60640</v>
      </c>
      <c r="S18" s="71" t="str">
        <f t="shared" si="2"/>
        <v/>
      </c>
      <c r="T18" s="71">
        <f t="shared" si="3"/>
        <v>60640</v>
      </c>
      <c r="U18" s="43" t="s">
        <v>1233</v>
      </c>
      <c r="V18" s="486" t="str">
        <f t="shared" si="4"/>
        <v>Real</v>
      </c>
      <c r="W18" s="43"/>
      <c r="X18" s="43"/>
    </row>
    <row r="19" hidden="1">
      <c r="A19" s="51" t="s">
        <v>123</v>
      </c>
      <c r="B19" s="43">
        <v>2026.0</v>
      </c>
      <c r="C19" s="51" t="s">
        <v>143</v>
      </c>
      <c r="D19" s="43">
        <v>2025.0</v>
      </c>
      <c r="E19" s="43" t="s">
        <v>183</v>
      </c>
      <c r="F19" s="43" t="s">
        <v>1212</v>
      </c>
      <c r="G19" s="43" t="s">
        <v>1126</v>
      </c>
      <c r="H19" s="43" t="s">
        <v>311</v>
      </c>
      <c r="I19" s="43" t="s">
        <v>311</v>
      </c>
      <c r="J19" s="443">
        <v>90.0</v>
      </c>
      <c r="N19" s="89">
        <v>30320.0</v>
      </c>
      <c r="Q19" s="491" t="str">
        <f>IF(ISBLANK(M19), "", VLOOKUP(A19&amp;" "&amp;B19, 'Info Tipo de Cambio y REM'!$A$24:$B$47, 2, FALSE))</f>
        <v/>
      </c>
      <c r="R19" s="109">
        <f t="shared" si="1"/>
        <v>30320</v>
      </c>
      <c r="S19" s="71" t="str">
        <f t="shared" si="2"/>
        <v/>
      </c>
      <c r="T19" s="71">
        <f t="shared" si="3"/>
        <v>30320</v>
      </c>
      <c r="U19" s="43" t="s">
        <v>1233</v>
      </c>
      <c r="V19" s="486" t="str">
        <f t="shared" si="4"/>
        <v>Proyección</v>
      </c>
      <c r="W19" s="89"/>
      <c r="X19" s="89"/>
      <c r="Y19" s="89"/>
      <c r="Z19" s="89"/>
    </row>
    <row r="20" hidden="1">
      <c r="A20" s="51" t="s">
        <v>143</v>
      </c>
      <c r="B20" s="43">
        <v>2025.0</v>
      </c>
      <c r="C20" s="51" t="s">
        <v>161</v>
      </c>
      <c r="D20" s="43">
        <v>2025.0</v>
      </c>
      <c r="E20" s="43" t="s">
        <v>202</v>
      </c>
      <c r="F20" s="43" t="s">
        <v>1156</v>
      </c>
      <c r="G20" s="43" t="s">
        <v>1133</v>
      </c>
      <c r="H20" s="43" t="s">
        <v>311</v>
      </c>
      <c r="I20" s="43" t="s">
        <v>311</v>
      </c>
      <c r="J20" s="443">
        <v>90.0</v>
      </c>
      <c r="N20" s="89">
        <v>5568.0</v>
      </c>
      <c r="Q20" s="491" t="str">
        <f>IF(ISBLANK(M20), "", VLOOKUP(A20&amp;" "&amp;B20, 'Info Tipo de Cambio y REM'!$A$24:$B$47, 2, FALSE))</f>
        <v/>
      </c>
      <c r="R20" s="109">
        <f t="shared" si="1"/>
        <v>5568</v>
      </c>
      <c r="S20" s="71" t="str">
        <f t="shared" si="2"/>
        <v/>
      </c>
      <c r="T20" s="71">
        <f t="shared" si="3"/>
        <v>5568</v>
      </c>
      <c r="U20" s="43" t="s">
        <v>1232</v>
      </c>
      <c r="V20" s="486" t="str">
        <f t="shared" si="4"/>
        <v>Real</v>
      </c>
      <c r="W20" s="89"/>
      <c r="X20" s="89"/>
      <c r="Y20" s="89"/>
      <c r="Z20" s="89"/>
    </row>
    <row r="21" hidden="1">
      <c r="A21" s="51" t="s">
        <v>123</v>
      </c>
      <c r="B21" s="43">
        <v>2025.0</v>
      </c>
      <c r="C21" s="51" t="s">
        <v>136</v>
      </c>
      <c r="D21" s="43">
        <v>2025.0</v>
      </c>
      <c r="E21" s="43" t="s">
        <v>126</v>
      </c>
      <c r="F21" s="43" t="s">
        <v>1234</v>
      </c>
      <c r="G21" s="43" t="s">
        <v>1133</v>
      </c>
      <c r="H21" s="43" t="s">
        <v>311</v>
      </c>
      <c r="I21" s="43" t="s">
        <v>311</v>
      </c>
      <c r="J21" s="443">
        <v>45.0</v>
      </c>
      <c r="M21" s="89">
        <v>420000.0</v>
      </c>
      <c r="N21" s="89"/>
      <c r="O21" s="71">
        <f t="shared" ref="O21:O23" si="5">(M21*0.21)</f>
        <v>88200</v>
      </c>
      <c r="P21" s="89">
        <f t="shared" ref="P21:P23" si="6">(M21*0.4946*0.03)+(M21*0.5054*0.05)</f>
        <v>16845.36</v>
      </c>
      <c r="Q21" s="491">
        <f>IF(ISBLANK(M21), "", VLOOKUP(A21&amp;" "&amp;B21, 'Info Tipo de Cambio y REM'!$A$24:$B$47, 2, FALSE))</f>
        <v>1220</v>
      </c>
      <c r="R21" s="109">
        <f t="shared" si="1"/>
        <v>344.2622951</v>
      </c>
      <c r="S21" s="71">
        <f t="shared" si="2"/>
        <v>508200</v>
      </c>
      <c r="T21" s="71">
        <f t="shared" si="3"/>
        <v>416.557377</v>
      </c>
      <c r="U21" s="43" t="s">
        <v>1232</v>
      </c>
      <c r="V21" s="486" t="str">
        <f t="shared" si="4"/>
        <v>Real</v>
      </c>
      <c r="W21" s="89"/>
      <c r="X21" s="89"/>
      <c r="Y21" s="89"/>
      <c r="Z21" s="89"/>
    </row>
    <row r="22" hidden="1">
      <c r="A22" s="51" t="s">
        <v>129</v>
      </c>
      <c r="B22" s="43">
        <v>2025.0</v>
      </c>
      <c r="C22" s="51" t="s">
        <v>143</v>
      </c>
      <c r="D22" s="43">
        <v>2025.0</v>
      </c>
      <c r="E22" s="43" t="s">
        <v>126</v>
      </c>
      <c r="F22" s="43" t="s">
        <v>1234</v>
      </c>
      <c r="G22" s="43" t="s">
        <v>1133</v>
      </c>
      <c r="H22" s="43" t="s">
        <v>311</v>
      </c>
      <c r="I22" s="43" t="s">
        <v>311</v>
      </c>
      <c r="J22" s="443">
        <v>45.0</v>
      </c>
      <c r="M22" s="89">
        <v>420000.0</v>
      </c>
      <c r="N22" s="89"/>
      <c r="O22" s="71">
        <f t="shared" si="5"/>
        <v>88200</v>
      </c>
      <c r="P22" s="89">
        <f t="shared" si="6"/>
        <v>16845.36</v>
      </c>
      <c r="Q22" s="491">
        <f>IF(ISBLANK(M22), "", VLOOKUP(A22&amp;" "&amp;B22, 'Info Tipo de Cambio y REM'!$A$24:$B$47, 2, FALSE))</f>
        <v>1230</v>
      </c>
      <c r="R22" s="109">
        <f t="shared" si="1"/>
        <v>341.4634146</v>
      </c>
      <c r="S22" s="71">
        <f t="shared" si="2"/>
        <v>508200</v>
      </c>
      <c r="T22" s="71">
        <f t="shared" si="3"/>
        <v>413.1707317</v>
      </c>
      <c r="U22" s="43" t="s">
        <v>1232</v>
      </c>
      <c r="V22" s="486" t="str">
        <f t="shared" si="4"/>
        <v>Real</v>
      </c>
      <c r="W22" s="89"/>
      <c r="X22" s="89"/>
      <c r="Y22" s="89"/>
      <c r="Z22" s="89"/>
    </row>
    <row r="23" hidden="1">
      <c r="A23" s="51" t="s">
        <v>136</v>
      </c>
      <c r="B23" s="43">
        <v>2025.0</v>
      </c>
      <c r="C23" s="51" t="s">
        <v>149</v>
      </c>
      <c r="D23" s="43">
        <v>2025.0</v>
      </c>
      <c r="E23" s="43" t="s">
        <v>126</v>
      </c>
      <c r="F23" s="43" t="s">
        <v>1150</v>
      </c>
      <c r="G23" s="43" t="s">
        <v>1133</v>
      </c>
      <c r="H23" s="43" t="s">
        <v>311</v>
      </c>
      <c r="I23" s="43" t="s">
        <v>311</v>
      </c>
      <c r="J23" s="443">
        <v>45.0</v>
      </c>
      <c r="M23" s="89">
        <f>(3850000-420000)</f>
        <v>3430000</v>
      </c>
      <c r="N23" s="89"/>
      <c r="O23" s="71">
        <f t="shared" si="5"/>
        <v>720300</v>
      </c>
      <c r="P23" s="89">
        <f t="shared" si="6"/>
        <v>137570.44</v>
      </c>
      <c r="Q23" s="491">
        <f>IF(ISBLANK(M23), "", VLOOKUP(A23&amp;" "&amp;B23, 'Info Tipo de Cambio y REM'!$A$24:$B$47, 2, FALSE))</f>
        <v>1325</v>
      </c>
      <c r="R23" s="109">
        <f t="shared" si="1"/>
        <v>2588.679245</v>
      </c>
      <c r="S23" s="71">
        <f t="shared" si="2"/>
        <v>4150300</v>
      </c>
      <c r="T23" s="71">
        <f t="shared" si="3"/>
        <v>3132.301887</v>
      </c>
      <c r="U23" s="43" t="s">
        <v>1232</v>
      </c>
      <c r="V23" s="486" t="str">
        <f t="shared" si="4"/>
        <v>Real</v>
      </c>
      <c r="W23" s="89"/>
      <c r="X23" s="89"/>
      <c r="Y23" s="89"/>
      <c r="Z23" s="89"/>
    </row>
    <row r="24" hidden="1">
      <c r="A24" s="51" t="s">
        <v>161</v>
      </c>
      <c r="B24" s="43">
        <v>2025.0</v>
      </c>
      <c r="C24" s="51" t="s">
        <v>179</v>
      </c>
      <c r="D24" s="43">
        <v>2025.0</v>
      </c>
      <c r="E24" s="43" t="s">
        <v>204</v>
      </c>
      <c r="F24" s="43" t="s">
        <v>1168</v>
      </c>
      <c r="G24" s="43" t="s">
        <v>1126</v>
      </c>
      <c r="H24" s="43" t="s">
        <v>311</v>
      </c>
      <c r="I24" s="43" t="s">
        <v>311</v>
      </c>
      <c r="J24" s="443">
        <v>120.0</v>
      </c>
      <c r="N24" s="89">
        <v>8450.0</v>
      </c>
      <c r="Q24" s="491" t="str">
        <f>IF(ISBLANK(M24), "", VLOOKUP(A24&amp;" "&amp;B24, 'Info Tipo de Cambio y REM'!$A$24:$B$47, 2, FALSE))</f>
        <v/>
      </c>
      <c r="R24" s="109">
        <f t="shared" si="1"/>
        <v>8450</v>
      </c>
      <c r="S24" s="71" t="str">
        <f t="shared" si="2"/>
        <v/>
      </c>
      <c r="T24" s="71">
        <f t="shared" si="3"/>
        <v>8450</v>
      </c>
      <c r="U24" s="43" t="s">
        <v>1232</v>
      </c>
      <c r="V24" s="486" t="str">
        <f t="shared" si="4"/>
        <v>Real</v>
      </c>
      <c r="W24" s="89"/>
      <c r="X24" s="89"/>
      <c r="Y24" s="89"/>
      <c r="Z24" s="89"/>
    </row>
    <row r="25" hidden="1">
      <c r="A25" s="51" t="s">
        <v>166</v>
      </c>
      <c r="B25" s="43">
        <v>2025.0</v>
      </c>
      <c r="C25" s="51" t="s">
        <v>182</v>
      </c>
      <c r="D25" s="43">
        <v>2025.0</v>
      </c>
      <c r="E25" s="43" t="s">
        <v>204</v>
      </c>
      <c r="F25" s="43" t="s">
        <v>1168</v>
      </c>
      <c r="G25" s="43" t="s">
        <v>1126</v>
      </c>
      <c r="H25" s="43" t="s">
        <v>311</v>
      </c>
      <c r="I25" s="43" t="s">
        <v>311</v>
      </c>
      <c r="J25" s="443">
        <v>120.0</v>
      </c>
      <c r="N25" s="89">
        <f>8450*2</f>
        <v>16900</v>
      </c>
      <c r="Q25" s="491" t="str">
        <f>IF(ISBLANK(M25), "", VLOOKUP(A25&amp;" "&amp;B25, 'Info Tipo de Cambio y REM'!$A$24:$B$47, 2, FALSE))</f>
        <v/>
      </c>
      <c r="R25" s="109">
        <f t="shared" si="1"/>
        <v>16900</v>
      </c>
      <c r="S25" s="71" t="str">
        <f t="shared" si="2"/>
        <v/>
      </c>
      <c r="T25" s="71">
        <f t="shared" si="3"/>
        <v>16900</v>
      </c>
      <c r="U25" s="43" t="s">
        <v>1232</v>
      </c>
      <c r="V25" s="486" t="str">
        <f t="shared" si="4"/>
        <v>Real</v>
      </c>
      <c r="W25" s="43"/>
      <c r="X25" s="43"/>
    </row>
    <row r="26" hidden="1">
      <c r="A26" s="51" t="s">
        <v>171</v>
      </c>
      <c r="B26" s="43">
        <v>2025.0</v>
      </c>
      <c r="C26" s="51" t="s">
        <v>123</v>
      </c>
      <c r="D26" s="43">
        <v>2026.0</v>
      </c>
      <c r="E26" s="43" t="s">
        <v>204</v>
      </c>
      <c r="F26" s="43" t="s">
        <v>1168</v>
      </c>
      <c r="G26" s="43" t="s">
        <v>1126</v>
      </c>
      <c r="H26" s="43" t="s">
        <v>311</v>
      </c>
      <c r="I26" s="43" t="s">
        <v>311</v>
      </c>
      <c r="J26" s="443">
        <v>120.0</v>
      </c>
      <c r="N26" s="89">
        <f t="shared" ref="N26:N29" si="7">8450-900</f>
        <v>7550</v>
      </c>
      <c r="Q26" s="491" t="str">
        <f>IF(ISBLANK(M26), "", VLOOKUP(A26&amp;" "&amp;B26, 'Info Tipo de Cambio y REM'!$A$24:$B$47, 2, FALSE))</f>
        <v/>
      </c>
      <c r="R26" s="109">
        <f t="shared" si="1"/>
        <v>7550</v>
      </c>
      <c r="S26" s="71" t="str">
        <f t="shared" si="2"/>
        <v/>
      </c>
      <c r="T26" s="71">
        <f t="shared" si="3"/>
        <v>7550</v>
      </c>
      <c r="U26" s="43" t="s">
        <v>1233</v>
      </c>
      <c r="V26" s="486" t="str">
        <f t="shared" si="4"/>
        <v>Real</v>
      </c>
      <c r="W26" s="43"/>
      <c r="X26" s="43"/>
    </row>
    <row r="27" hidden="1">
      <c r="A27" s="51" t="s">
        <v>175</v>
      </c>
      <c r="B27" s="43">
        <v>2025.0</v>
      </c>
      <c r="C27" s="51" t="s">
        <v>129</v>
      </c>
      <c r="D27" s="43">
        <v>2026.0</v>
      </c>
      <c r="E27" s="43" t="s">
        <v>204</v>
      </c>
      <c r="F27" s="43" t="s">
        <v>1168</v>
      </c>
      <c r="G27" s="43" t="s">
        <v>1126</v>
      </c>
      <c r="H27" s="43" t="s">
        <v>311</v>
      </c>
      <c r="I27" s="43" t="s">
        <v>311</v>
      </c>
      <c r="J27" s="443">
        <v>120.0</v>
      </c>
      <c r="N27" s="89">
        <f t="shared" si="7"/>
        <v>7550</v>
      </c>
      <c r="Q27" s="491" t="str">
        <f>IF(ISBLANK(M27), "", VLOOKUP(A27&amp;" "&amp;B27, 'Info Tipo de Cambio y REM'!$A$24:$B$47, 2, FALSE))</f>
        <v/>
      </c>
      <c r="R27" s="109">
        <f t="shared" si="1"/>
        <v>7550</v>
      </c>
      <c r="S27" s="71" t="str">
        <f t="shared" si="2"/>
        <v/>
      </c>
      <c r="T27" s="71">
        <f t="shared" si="3"/>
        <v>7550</v>
      </c>
      <c r="U27" s="43" t="s">
        <v>1233</v>
      </c>
      <c r="V27" s="486" t="str">
        <f t="shared" si="4"/>
        <v>Proyección</v>
      </c>
      <c r="W27" s="43"/>
      <c r="X27" s="43"/>
    </row>
    <row r="28" hidden="1">
      <c r="A28" s="51" t="s">
        <v>179</v>
      </c>
      <c r="B28" s="43">
        <v>2025.0</v>
      </c>
      <c r="C28" s="51" t="s">
        <v>136</v>
      </c>
      <c r="D28" s="43">
        <v>2026.0</v>
      </c>
      <c r="E28" s="43" t="s">
        <v>204</v>
      </c>
      <c r="F28" s="43" t="s">
        <v>1168</v>
      </c>
      <c r="G28" s="43" t="s">
        <v>1126</v>
      </c>
      <c r="H28" s="43" t="s">
        <v>311</v>
      </c>
      <c r="I28" s="43" t="s">
        <v>311</v>
      </c>
      <c r="J28" s="443">
        <v>120.0</v>
      </c>
      <c r="N28" s="89">
        <f t="shared" si="7"/>
        <v>7550</v>
      </c>
      <c r="Q28" s="491" t="str">
        <f>IF(ISBLANK(M28), "", VLOOKUP(A28&amp;" "&amp;B28, 'Info Tipo de Cambio y REM'!$A$24:$B$47, 2, FALSE))</f>
        <v/>
      </c>
      <c r="R28" s="109">
        <f t="shared" si="1"/>
        <v>7550</v>
      </c>
      <c r="S28" s="71" t="str">
        <f t="shared" si="2"/>
        <v/>
      </c>
      <c r="T28" s="71">
        <f t="shared" si="3"/>
        <v>7550</v>
      </c>
      <c r="U28" s="43" t="s">
        <v>1233</v>
      </c>
      <c r="V28" s="486" t="str">
        <f t="shared" si="4"/>
        <v>Proyección</v>
      </c>
      <c r="W28" s="43"/>
      <c r="X28" s="43"/>
    </row>
    <row r="29" hidden="1">
      <c r="A29" s="51" t="s">
        <v>182</v>
      </c>
      <c r="B29" s="43">
        <v>2025.0</v>
      </c>
      <c r="C29" s="51" t="s">
        <v>143</v>
      </c>
      <c r="D29" s="43">
        <v>2026.0</v>
      </c>
      <c r="E29" s="43" t="s">
        <v>204</v>
      </c>
      <c r="F29" s="43" t="s">
        <v>1168</v>
      </c>
      <c r="G29" s="43" t="s">
        <v>1126</v>
      </c>
      <c r="H29" s="43" t="s">
        <v>311</v>
      </c>
      <c r="I29" s="43" t="s">
        <v>311</v>
      </c>
      <c r="J29" s="443">
        <v>120.0</v>
      </c>
      <c r="N29" s="89">
        <f t="shared" si="7"/>
        <v>7550</v>
      </c>
      <c r="Q29" s="491" t="str">
        <f>IF(ISBLANK(M29), "", VLOOKUP(A29&amp;" "&amp;B29, 'Info Tipo de Cambio y REM'!$A$24:$B$47, 2, FALSE))</f>
        <v/>
      </c>
      <c r="R29" s="109">
        <f t="shared" si="1"/>
        <v>7550</v>
      </c>
      <c r="S29" s="71" t="str">
        <f t="shared" si="2"/>
        <v/>
      </c>
      <c r="T29" s="71">
        <f t="shared" si="3"/>
        <v>7550</v>
      </c>
      <c r="U29" s="43" t="s">
        <v>1233</v>
      </c>
      <c r="V29" s="486" t="str">
        <f t="shared" si="4"/>
        <v>Proyección</v>
      </c>
      <c r="W29" s="43"/>
      <c r="X29" s="43"/>
    </row>
    <row r="30" hidden="1">
      <c r="A30" s="51" t="s">
        <v>123</v>
      </c>
      <c r="B30" s="43">
        <v>2026.0</v>
      </c>
      <c r="C30" s="51" t="s">
        <v>149</v>
      </c>
      <c r="D30" s="43">
        <v>2026.0</v>
      </c>
      <c r="E30" s="43" t="s">
        <v>204</v>
      </c>
      <c r="F30" s="43" t="s">
        <v>1168</v>
      </c>
      <c r="G30" s="43" t="s">
        <v>1126</v>
      </c>
      <c r="H30" s="43" t="s">
        <v>311</v>
      </c>
      <c r="I30" s="43" t="s">
        <v>311</v>
      </c>
      <c r="J30" s="443">
        <v>120.0</v>
      </c>
      <c r="N30" s="89">
        <v>8450.0</v>
      </c>
      <c r="Q30" s="491" t="str">
        <f>IF(ISBLANK(M30), "", VLOOKUP(A30&amp;" "&amp;B30, 'Info Tipo de Cambio y REM'!$A$24:$B$47, 2, FALSE))</f>
        <v/>
      </c>
      <c r="R30" s="109">
        <f t="shared" si="1"/>
        <v>8450</v>
      </c>
      <c r="S30" s="71" t="str">
        <f t="shared" si="2"/>
        <v/>
      </c>
      <c r="T30" s="71">
        <f t="shared" si="3"/>
        <v>8450</v>
      </c>
      <c r="U30" s="43" t="s">
        <v>1233</v>
      </c>
      <c r="V30" s="486" t="str">
        <f t="shared" si="4"/>
        <v>Proyección</v>
      </c>
      <c r="W30" s="43"/>
      <c r="X30" s="43"/>
    </row>
    <row r="31" hidden="1">
      <c r="A31" s="51" t="s">
        <v>155</v>
      </c>
      <c r="B31" s="43">
        <v>2025.0</v>
      </c>
      <c r="C31" s="51" t="s">
        <v>161</v>
      </c>
      <c r="D31" s="43">
        <v>2025.0</v>
      </c>
      <c r="E31" s="43" t="s">
        <v>199</v>
      </c>
      <c r="F31" s="43" t="s">
        <v>1165</v>
      </c>
      <c r="G31" s="43" t="s">
        <v>1133</v>
      </c>
      <c r="H31" s="43" t="s">
        <v>311</v>
      </c>
      <c r="I31" s="43" t="s">
        <v>311</v>
      </c>
      <c r="J31" s="443">
        <v>30.0</v>
      </c>
      <c r="N31" s="89">
        <v>7350.0</v>
      </c>
      <c r="Q31" s="491" t="str">
        <f>IF(ISBLANK(M31), "", VLOOKUP(A31&amp;" "&amp;B31, 'Info Tipo de Cambio y REM'!$A$24:$B$47, 2, FALSE))</f>
        <v/>
      </c>
      <c r="R31" s="109">
        <f t="shared" si="1"/>
        <v>7350</v>
      </c>
      <c r="S31" s="71" t="str">
        <f t="shared" si="2"/>
        <v/>
      </c>
      <c r="T31" s="71">
        <f t="shared" si="3"/>
        <v>7350</v>
      </c>
      <c r="U31" s="43" t="s">
        <v>1232</v>
      </c>
      <c r="V31" s="486" t="str">
        <f t="shared" si="4"/>
        <v>Real</v>
      </c>
      <c r="W31" s="43"/>
      <c r="X31" s="43"/>
    </row>
    <row r="32" hidden="1">
      <c r="A32" s="51" t="s">
        <v>123</v>
      </c>
      <c r="B32" s="43">
        <v>2025.0</v>
      </c>
      <c r="C32" s="51" t="s">
        <v>129</v>
      </c>
      <c r="D32" s="43">
        <v>2025.0</v>
      </c>
      <c r="E32" s="43" t="s">
        <v>190</v>
      </c>
      <c r="G32" s="43" t="s">
        <v>1126</v>
      </c>
      <c r="H32" s="319" t="s">
        <v>311</v>
      </c>
      <c r="I32" s="319" t="s">
        <v>311</v>
      </c>
      <c r="J32" s="443">
        <v>30.0</v>
      </c>
      <c r="N32" s="89">
        <v>1750.0</v>
      </c>
      <c r="Q32" s="491" t="str">
        <f>IF(ISBLANK(M32), "", VLOOKUP(A32&amp;" "&amp;B32, 'Info Tipo de Cambio y REM'!$A$24:$B$47, 2, FALSE))</f>
        <v/>
      </c>
      <c r="R32" s="109">
        <f t="shared" si="1"/>
        <v>1750</v>
      </c>
      <c r="S32" s="71" t="str">
        <f t="shared" si="2"/>
        <v/>
      </c>
      <c r="T32" s="71">
        <f t="shared" si="3"/>
        <v>1750</v>
      </c>
      <c r="U32" s="43" t="s">
        <v>1232</v>
      </c>
      <c r="V32" s="486" t="str">
        <f t="shared" si="4"/>
        <v>Real</v>
      </c>
      <c r="Z32" s="51"/>
      <c r="AE32" s="104"/>
      <c r="AF32" s="89"/>
      <c r="AG32" s="106"/>
      <c r="AH32" s="106"/>
      <c r="AI32" s="107"/>
    </row>
    <row r="33" hidden="1">
      <c r="A33" s="51" t="s">
        <v>129</v>
      </c>
      <c r="B33" s="43">
        <v>2025.0</v>
      </c>
      <c r="C33" s="51" t="s">
        <v>136</v>
      </c>
      <c r="D33" s="43">
        <v>2025.0</v>
      </c>
      <c r="E33" s="43" t="s">
        <v>190</v>
      </c>
      <c r="G33" s="43" t="s">
        <v>1126</v>
      </c>
      <c r="H33" s="319" t="s">
        <v>311</v>
      </c>
      <c r="I33" s="319" t="s">
        <v>311</v>
      </c>
      <c r="J33" s="443">
        <v>30.0</v>
      </c>
      <c r="N33" s="89">
        <v>1750.0</v>
      </c>
      <c r="Q33" s="491" t="str">
        <f>IF(ISBLANK(M33), "", VLOOKUP(A33&amp;" "&amp;B33, 'Info Tipo de Cambio y REM'!$A$24:$B$47, 2, FALSE))</f>
        <v/>
      </c>
      <c r="R33" s="109">
        <f t="shared" si="1"/>
        <v>1750</v>
      </c>
      <c r="S33" s="71" t="str">
        <f t="shared" si="2"/>
        <v/>
      </c>
      <c r="T33" s="71">
        <f t="shared" si="3"/>
        <v>1750</v>
      </c>
      <c r="U33" s="43" t="s">
        <v>1232</v>
      </c>
      <c r="V33" s="486" t="str">
        <f t="shared" si="4"/>
        <v>Real</v>
      </c>
      <c r="Z33" s="51"/>
      <c r="AE33" s="104"/>
      <c r="AF33" s="89"/>
      <c r="AG33" s="106"/>
      <c r="AH33" s="106"/>
      <c r="AI33" s="107"/>
    </row>
    <row r="34" hidden="1">
      <c r="A34" s="51" t="s">
        <v>136</v>
      </c>
      <c r="B34" s="43">
        <v>2025.0</v>
      </c>
      <c r="C34" s="51" t="s">
        <v>143</v>
      </c>
      <c r="D34" s="43">
        <v>2025.0</v>
      </c>
      <c r="E34" s="43" t="s">
        <v>190</v>
      </c>
      <c r="G34" s="43" t="s">
        <v>1126</v>
      </c>
      <c r="H34" s="319" t="s">
        <v>311</v>
      </c>
      <c r="I34" s="319" t="s">
        <v>311</v>
      </c>
      <c r="J34" s="443">
        <v>30.0</v>
      </c>
      <c r="N34" s="89">
        <v>1750.0</v>
      </c>
      <c r="Q34" s="491" t="str">
        <f>IF(ISBLANK(M34), "", VLOOKUP(A34&amp;" "&amp;B34, 'Info Tipo de Cambio y REM'!$A$24:$B$47, 2, FALSE))</f>
        <v/>
      </c>
      <c r="R34" s="109">
        <f t="shared" si="1"/>
        <v>1750</v>
      </c>
      <c r="S34" s="71" t="str">
        <f t="shared" si="2"/>
        <v/>
      </c>
      <c r="T34" s="71">
        <f t="shared" si="3"/>
        <v>1750</v>
      </c>
      <c r="U34" s="43" t="s">
        <v>1232</v>
      </c>
      <c r="V34" s="486" t="str">
        <f t="shared" si="4"/>
        <v>Real</v>
      </c>
      <c r="Z34" s="51"/>
      <c r="AA34" s="103"/>
      <c r="AE34" s="104"/>
      <c r="AF34" s="89"/>
      <c r="AG34" s="106"/>
      <c r="AH34" s="106"/>
      <c r="AI34" s="107"/>
    </row>
    <row r="35" hidden="1">
      <c r="A35" s="51" t="s">
        <v>143</v>
      </c>
      <c r="B35" s="43">
        <v>2025.0</v>
      </c>
      <c r="C35" s="51" t="s">
        <v>149</v>
      </c>
      <c r="D35" s="43">
        <v>2025.0</v>
      </c>
      <c r="E35" s="43" t="s">
        <v>190</v>
      </c>
      <c r="G35" s="43" t="s">
        <v>1126</v>
      </c>
      <c r="H35" s="319" t="s">
        <v>311</v>
      </c>
      <c r="I35" s="319" t="s">
        <v>311</v>
      </c>
      <c r="J35" s="443">
        <v>30.0</v>
      </c>
      <c r="N35" s="89">
        <v>1750.0</v>
      </c>
      <c r="Q35" s="491" t="str">
        <f>IF(ISBLANK(M35), "", VLOOKUP(A35&amp;" "&amp;B35, 'Info Tipo de Cambio y REM'!$A$24:$B$47, 2, FALSE))</f>
        <v/>
      </c>
      <c r="R35" s="109">
        <f t="shared" si="1"/>
        <v>1750</v>
      </c>
      <c r="S35" s="71" t="str">
        <f t="shared" si="2"/>
        <v/>
      </c>
      <c r="T35" s="71">
        <f t="shared" si="3"/>
        <v>1750</v>
      </c>
      <c r="U35" s="43" t="s">
        <v>1232</v>
      </c>
      <c r="V35" s="486" t="str">
        <f t="shared" si="4"/>
        <v>Real</v>
      </c>
      <c r="Z35" s="51"/>
      <c r="AA35" s="104"/>
      <c r="AE35" s="104"/>
      <c r="AF35" s="71"/>
      <c r="AG35" s="106"/>
      <c r="AH35" s="106"/>
      <c r="AI35" s="107"/>
    </row>
    <row r="36" hidden="1">
      <c r="A36" s="51" t="s">
        <v>149</v>
      </c>
      <c r="B36" s="43">
        <v>2025.0</v>
      </c>
      <c r="C36" s="51" t="s">
        <v>155</v>
      </c>
      <c r="D36" s="43">
        <v>2025.0</v>
      </c>
      <c r="E36" s="43" t="s">
        <v>190</v>
      </c>
      <c r="G36" s="43" t="s">
        <v>1126</v>
      </c>
      <c r="H36" s="319" t="s">
        <v>311</v>
      </c>
      <c r="I36" s="319" t="s">
        <v>311</v>
      </c>
      <c r="J36" s="443">
        <v>30.0</v>
      </c>
      <c r="N36" s="89">
        <v>1750.0</v>
      </c>
      <c r="Q36" s="491" t="str">
        <f>IF(ISBLANK(M36), "", VLOOKUP(A36&amp;" "&amp;B36, 'Info Tipo de Cambio y REM'!$A$24:$B$47, 2, FALSE))</f>
        <v/>
      </c>
      <c r="R36" s="109">
        <f t="shared" si="1"/>
        <v>1750</v>
      </c>
      <c r="S36" s="71" t="str">
        <f t="shared" si="2"/>
        <v/>
      </c>
      <c r="T36" s="71">
        <f t="shared" si="3"/>
        <v>1750</v>
      </c>
      <c r="U36" s="43" t="s">
        <v>1232</v>
      </c>
      <c r="V36" s="486" t="str">
        <f t="shared" si="4"/>
        <v>Real</v>
      </c>
      <c r="Z36" s="51"/>
      <c r="AA36" s="104"/>
      <c r="AE36" s="104"/>
      <c r="AF36" s="113"/>
      <c r="AG36" s="114"/>
      <c r="AH36" s="106"/>
      <c r="AI36" s="107"/>
    </row>
    <row r="37" hidden="1">
      <c r="A37" s="51" t="s">
        <v>155</v>
      </c>
      <c r="B37" s="43">
        <v>2025.0</v>
      </c>
      <c r="C37" s="51" t="s">
        <v>161</v>
      </c>
      <c r="D37" s="43">
        <v>2025.0</v>
      </c>
      <c r="E37" s="43" t="s">
        <v>190</v>
      </c>
      <c r="G37" s="43" t="s">
        <v>1126</v>
      </c>
      <c r="H37" s="43" t="s">
        <v>311</v>
      </c>
      <c r="I37" s="43" t="s">
        <v>311</v>
      </c>
      <c r="J37" s="443">
        <v>30.0</v>
      </c>
      <c r="N37" s="89">
        <v>1750.0</v>
      </c>
      <c r="Q37" s="491" t="str">
        <f>IF(ISBLANK(M37), "", VLOOKUP(A37&amp;" "&amp;B37, 'Info Tipo de Cambio y REM'!$A$24:$B$47, 2, FALSE))</f>
        <v/>
      </c>
      <c r="R37" s="109">
        <f t="shared" si="1"/>
        <v>1750</v>
      </c>
      <c r="S37" s="71" t="str">
        <f t="shared" si="2"/>
        <v/>
      </c>
      <c r="T37" s="71">
        <f t="shared" si="3"/>
        <v>1750</v>
      </c>
      <c r="U37" s="43" t="s">
        <v>1232</v>
      </c>
      <c r="V37" s="486" t="str">
        <f t="shared" si="4"/>
        <v>Real</v>
      </c>
      <c r="W37" s="43"/>
      <c r="X37" s="43"/>
    </row>
    <row r="38" hidden="1">
      <c r="A38" s="51" t="s">
        <v>123</v>
      </c>
      <c r="B38" s="43">
        <v>2025.0</v>
      </c>
      <c r="C38" s="51" t="s">
        <v>136</v>
      </c>
      <c r="D38" s="43">
        <v>2025.0</v>
      </c>
      <c r="E38" s="43" t="s">
        <v>180</v>
      </c>
      <c r="F38" s="43" t="s">
        <v>1127</v>
      </c>
      <c r="G38" s="43" t="s">
        <v>1126</v>
      </c>
      <c r="H38" s="43" t="s">
        <v>311</v>
      </c>
      <c r="I38" s="43" t="s">
        <v>311</v>
      </c>
      <c r="J38" s="443">
        <v>60.0</v>
      </c>
      <c r="K38" s="43">
        <v>1.0</v>
      </c>
      <c r="L38" s="89">
        <v>3920833.0</v>
      </c>
      <c r="M38" s="89">
        <f t="shared" ref="M38:M44" si="8">K38*L38</f>
        <v>3920833</v>
      </c>
      <c r="O38" s="71">
        <f t="shared" ref="O38:O71" si="9">(M38*0.21)</f>
        <v>823374.93</v>
      </c>
      <c r="P38" s="89">
        <f t="shared" ref="P38:P71" si="10">(M38*0.4946*0.03)+(M38*0.5054*0.05)</f>
        <v>157256.77</v>
      </c>
      <c r="Q38" s="491">
        <f>IF(ISBLANK(M38), "", VLOOKUP(A38&amp;" "&amp;B38, 'Info Tipo de Cambio y REM'!$A$24:$B$47, 2, FALSE))</f>
        <v>1220</v>
      </c>
      <c r="R38" s="109">
        <f t="shared" si="1"/>
        <v>3213.797541</v>
      </c>
      <c r="S38" s="71">
        <f t="shared" si="2"/>
        <v>4744207.93</v>
      </c>
      <c r="T38" s="71">
        <f t="shared" si="3"/>
        <v>3888.695025</v>
      </c>
      <c r="U38" s="43" t="s">
        <v>1232</v>
      </c>
      <c r="V38" s="486" t="str">
        <f t="shared" si="4"/>
        <v>Real</v>
      </c>
      <c r="X38" s="89"/>
      <c r="Y38" s="89"/>
      <c r="Z38" s="89"/>
      <c r="AA38" s="89"/>
    </row>
    <row r="39" hidden="1">
      <c r="A39" s="51" t="s">
        <v>129</v>
      </c>
      <c r="B39" s="43">
        <v>2025.0</v>
      </c>
      <c r="C39" s="51" t="s">
        <v>143</v>
      </c>
      <c r="D39" s="43">
        <v>2025.0</v>
      </c>
      <c r="E39" s="43" t="s">
        <v>180</v>
      </c>
      <c r="F39" s="43" t="s">
        <v>1127</v>
      </c>
      <c r="G39" s="43" t="s">
        <v>1126</v>
      </c>
      <c r="H39" s="43" t="s">
        <v>311</v>
      </c>
      <c r="I39" s="43" t="s">
        <v>311</v>
      </c>
      <c r="J39" s="443">
        <v>60.0</v>
      </c>
      <c r="K39" s="43">
        <v>1.0</v>
      </c>
      <c r="L39" s="89">
        <v>3920833.0</v>
      </c>
      <c r="M39" s="89">
        <f t="shared" si="8"/>
        <v>3920833</v>
      </c>
      <c r="O39" s="71">
        <f t="shared" si="9"/>
        <v>823374.93</v>
      </c>
      <c r="P39" s="89">
        <f t="shared" si="10"/>
        <v>157256.77</v>
      </c>
      <c r="Q39" s="491">
        <f>IF(ISBLANK(M39), "", VLOOKUP(A39&amp;" "&amp;B39, 'Info Tipo de Cambio y REM'!$A$24:$B$47, 2, FALSE))</f>
        <v>1230</v>
      </c>
      <c r="R39" s="109">
        <f t="shared" si="1"/>
        <v>3187.669106</v>
      </c>
      <c r="S39" s="71">
        <f t="shared" si="2"/>
        <v>4744207.93</v>
      </c>
      <c r="T39" s="71">
        <f t="shared" si="3"/>
        <v>3857.079618</v>
      </c>
      <c r="U39" s="43" t="s">
        <v>1232</v>
      </c>
      <c r="V39" s="486" t="str">
        <f t="shared" si="4"/>
        <v>Real</v>
      </c>
      <c r="X39" s="89"/>
      <c r="Y39" s="89"/>
      <c r="Z39" s="89"/>
      <c r="AA39" s="89"/>
    </row>
    <row r="40" hidden="1">
      <c r="A40" s="51" t="s">
        <v>136</v>
      </c>
      <c r="B40" s="43">
        <v>2025.0</v>
      </c>
      <c r="C40" s="51" t="s">
        <v>149</v>
      </c>
      <c r="D40" s="43">
        <v>2025.0</v>
      </c>
      <c r="E40" s="43" t="s">
        <v>180</v>
      </c>
      <c r="F40" s="43" t="s">
        <v>1127</v>
      </c>
      <c r="G40" s="43" t="s">
        <v>1126</v>
      </c>
      <c r="H40" s="43" t="s">
        <v>311</v>
      </c>
      <c r="I40" s="43" t="s">
        <v>311</v>
      </c>
      <c r="J40" s="443">
        <v>60.0</v>
      </c>
      <c r="K40" s="492">
        <v>1.074000091307128</v>
      </c>
      <c r="L40" s="89">
        <v>3920833.0</v>
      </c>
      <c r="M40" s="89">
        <f t="shared" si="8"/>
        <v>4210975</v>
      </c>
      <c r="O40" s="71">
        <f t="shared" si="9"/>
        <v>884304.75</v>
      </c>
      <c r="P40" s="89">
        <f t="shared" si="10"/>
        <v>168893.7853</v>
      </c>
      <c r="Q40" s="491">
        <f>IF(ISBLANK(M40), "", VLOOKUP(A40&amp;" "&amp;B40, 'Info Tipo de Cambio y REM'!$A$24:$B$47, 2, FALSE))</f>
        <v>1325</v>
      </c>
      <c r="R40" s="109">
        <f t="shared" si="1"/>
        <v>3178.09434</v>
      </c>
      <c r="S40" s="71">
        <f t="shared" si="2"/>
        <v>5095279.75</v>
      </c>
      <c r="T40" s="71">
        <f t="shared" si="3"/>
        <v>3845.494151</v>
      </c>
      <c r="U40" s="43" t="s">
        <v>1232</v>
      </c>
      <c r="V40" s="486" t="str">
        <f t="shared" si="4"/>
        <v>Real</v>
      </c>
      <c r="X40" s="89"/>
      <c r="Y40" s="89"/>
      <c r="Z40" s="89"/>
      <c r="AA40" s="89"/>
    </row>
    <row r="41" hidden="1">
      <c r="A41" s="51" t="s">
        <v>143</v>
      </c>
      <c r="B41" s="43">
        <v>2025.0</v>
      </c>
      <c r="C41" s="51" t="s">
        <v>155</v>
      </c>
      <c r="D41" s="43">
        <v>2025.0</v>
      </c>
      <c r="E41" s="43" t="s">
        <v>180</v>
      </c>
      <c r="F41" s="43" t="s">
        <v>1127</v>
      </c>
      <c r="G41" s="43" t="s">
        <v>1126</v>
      </c>
      <c r="H41" s="43" t="s">
        <v>311</v>
      </c>
      <c r="I41" s="43" t="s">
        <v>311</v>
      </c>
      <c r="J41" s="443">
        <v>60.0</v>
      </c>
      <c r="K41" s="43">
        <v>1.0</v>
      </c>
      <c r="L41" s="89">
        <v>4210975.0</v>
      </c>
      <c r="M41" s="89">
        <f t="shared" si="8"/>
        <v>4210975</v>
      </c>
      <c r="O41" s="71">
        <f t="shared" si="9"/>
        <v>884304.75</v>
      </c>
      <c r="P41" s="89">
        <f t="shared" si="10"/>
        <v>168893.7853</v>
      </c>
      <c r="Q41" s="491">
        <f>IF(ISBLANK(M41), "", VLOOKUP(A41&amp;" "&amp;B41, 'Info Tipo de Cambio y REM'!$A$24:$B$47, 2, FALSE))</f>
        <v>1185</v>
      </c>
      <c r="R41" s="109">
        <f t="shared" si="1"/>
        <v>3553.565401</v>
      </c>
      <c r="S41" s="71">
        <f t="shared" si="2"/>
        <v>5095279.75</v>
      </c>
      <c r="T41" s="71">
        <f t="shared" si="3"/>
        <v>4299.814135</v>
      </c>
      <c r="U41" s="43" t="s">
        <v>1232</v>
      </c>
      <c r="V41" s="486" t="str">
        <f t="shared" si="4"/>
        <v>Real</v>
      </c>
      <c r="X41" s="89"/>
      <c r="Y41" s="89"/>
      <c r="Z41" s="89"/>
      <c r="AA41" s="89"/>
    </row>
    <row r="42" hidden="1">
      <c r="A42" s="51" t="s">
        <v>149</v>
      </c>
      <c r="B42" s="43">
        <v>2025.0</v>
      </c>
      <c r="C42" s="51" t="s">
        <v>161</v>
      </c>
      <c r="D42" s="43">
        <v>2025.0</v>
      </c>
      <c r="E42" s="43" t="s">
        <v>180</v>
      </c>
      <c r="F42" s="43" t="s">
        <v>1127</v>
      </c>
      <c r="G42" s="43" t="s">
        <v>1126</v>
      </c>
      <c r="H42" s="43" t="s">
        <v>311</v>
      </c>
      <c r="I42" s="43" t="s">
        <v>311</v>
      </c>
      <c r="J42" s="443">
        <v>60.0</v>
      </c>
      <c r="K42" s="43">
        <v>1.0</v>
      </c>
      <c r="L42" s="89">
        <v>4210975.0</v>
      </c>
      <c r="M42" s="89">
        <f t="shared" si="8"/>
        <v>4210975</v>
      </c>
      <c r="O42" s="71">
        <f t="shared" si="9"/>
        <v>884304.75</v>
      </c>
      <c r="P42" s="89">
        <f t="shared" si="10"/>
        <v>168893.7853</v>
      </c>
      <c r="Q42" s="491">
        <f>IF(ISBLANK(M42), "", VLOOKUP(A42&amp;" "&amp;B42, 'Info Tipo de Cambio y REM'!$A$24:$B$47, 2, FALSE))</f>
        <v>1180</v>
      </c>
      <c r="R42" s="109">
        <f t="shared" si="1"/>
        <v>3568.622881</v>
      </c>
      <c r="S42" s="71">
        <f t="shared" si="2"/>
        <v>5095279.75</v>
      </c>
      <c r="T42" s="71">
        <f t="shared" si="3"/>
        <v>4318.033686</v>
      </c>
      <c r="U42" s="43" t="s">
        <v>1232</v>
      </c>
      <c r="V42" s="486" t="str">
        <f t="shared" si="4"/>
        <v>Real</v>
      </c>
      <c r="X42" s="89"/>
      <c r="Y42" s="89"/>
      <c r="Z42" s="89"/>
      <c r="AA42" s="89"/>
    </row>
    <row r="43" hidden="1">
      <c r="A43" s="51" t="s">
        <v>155</v>
      </c>
      <c r="B43" s="43">
        <v>2025.0</v>
      </c>
      <c r="C43" s="51" t="s">
        <v>166</v>
      </c>
      <c r="D43" s="43">
        <v>2025.0</v>
      </c>
      <c r="E43" s="43" t="s">
        <v>180</v>
      </c>
      <c r="F43" s="43" t="s">
        <v>1127</v>
      </c>
      <c r="G43" s="43" t="s">
        <v>1126</v>
      </c>
      <c r="H43" s="43" t="s">
        <v>311</v>
      </c>
      <c r="I43" s="43" t="s">
        <v>311</v>
      </c>
      <c r="J43" s="443">
        <v>60.0</v>
      </c>
      <c r="K43" s="492">
        <v>1.0915999263828449</v>
      </c>
      <c r="L43" s="89">
        <v>4210975.0</v>
      </c>
      <c r="M43" s="71">
        <f t="shared" si="8"/>
        <v>4596700</v>
      </c>
      <c r="O43" s="71">
        <f t="shared" si="9"/>
        <v>965307</v>
      </c>
      <c r="P43" s="89">
        <f t="shared" si="10"/>
        <v>184364.4436</v>
      </c>
      <c r="Q43" s="491">
        <f>IF(ISBLANK(M43), "", VLOOKUP(A43&amp;" "&amp;B43, 'Info Tipo de Cambio y REM'!$A$24:$B$47, 2, FALSE))</f>
        <v>1215</v>
      </c>
      <c r="R43" s="109">
        <f t="shared" si="1"/>
        <v>3783.292181</v>
      </c>
      <c r="S43" s="71">
        <f t="shared" si="2"/>
        <v>5562007</v>
      </c>
      <c r="T43" s="71">
        <f t="shared" si="3"/>
        <v>4577.783539</v>
      </c>
      <c r="U43" s="43" t="s">
        <v>1232</v>
      </c>
      <c r="V43" s="486" t="str">
        <f t="shared" si="4"/>
        <v>Real</v>
      </c>
      <c r="X43" s="89"/>
      <c r="Y43" s="89"/>
      <c r="Z43" s="89"/>
      <c r="AA43" s="89"/>
    </row>
    <row r="44" hidden="1">
      <c r="A44" s="51" t="s">
        <v>161</v>
      </c>
      <c r="B44" s="43">
        <v>2025.0</v>
      </c>
      <c r="C44" s="51" t="s">
        <v>171</v>
      </c>
      <c r="D44" s="43">
        <v>2025.0</v>
      </c>
      <c r="E44" s="43" t="s">
        <v>180</v>
      </c>
      <c r="F44" s="43" t="s">
        <v>1127</v>
      </c>
      <c r="G44" s="43" t="s">
        <v>1126</v>
      </c>
      <c r="H44" s="43" t="s">
        <v>311</v>
      </c>
      <c r="I44" s="43" t="s">
        <v>311</v>
      </c>
      <c r="J44" s="443">
        <v>60.0</v>
      </c>
      <c r="K44" s="43">
        <v>1.0</v>
      </c>
      <c r="L44" s="89">
        <v>4596700.0</v>
      </c>
      <c r="M44" s="71">
        <f t="shared" si="8"/>
        <v>4596700</v>
      </c>
      <c r="O44" s="71">
        <f t="shared" si="9"/>
        <v>965307</v>
      </c>
      <c r="P44" s="89">
        <f t="shared" si="10"/>
        <v>184364.4436</v>
      </c>
      <c r="Q44" s="491">
        <f>IF(ISBLANK(M44), "", VLOOKUP(A44&amp;" "&amp;B44, 'Info Tipo de Cambio y REM'!$A$24:$B$47, 2, FALSE))</f>
        <v>1320</v>
      </c>
      <c r="R44" s="109">
        <f t="shared" si="1"/>
        <v>3482.348485</v>
      </c>
      <c r="S44" s="71">
        <f t="shared" si="2"/>
        <v>5562007</v>
      </c>
      <c r="T44" s="71">
        <f t="shared" si="3"/>
        <v>4213.641667</v>
      </c>
      <c r="U44" s="43" t="s">
        <v>1232</v>
      </c>
      <c r="V44" s="486" t="str">
        <f t="shared" si="4"/>
        <v>Real</v>
      </c>
      <c r="W44" s="43"/>
      <c r="X44" s="43"/>
    </row>
    <row r="45" hidden="1">
      <c r="A45" s="51" t="s">
        <v>166</v>
      </c>
      <c r="B45" s="43">
        <v>2025.0</v>
      </c>
      <c r="C45" s="51" t="s">
        <v>175</v>
      </c>
      <c r="D45" s="43">
        <v>2025.0</v>
      </c>
      <c r="E45" s="43" t="s">
        <v>180</v>
      </c>
      <c r="F45" s="43" t="s">
        <v>1127</v>
      </c>
      <c r="G45" s="43" t="s">
        <v>1126</v>
      </c>
      <c r="H45" s="43" t="s">
        <v>311</v>
      </c>
      <c r="I45" s="43" t="s">
        <v>311</v>
      </c>
      <c r="J45" s="443">
        <v>60.0</v>
      </c>
      <c r="K45" s="43">
        <v>1.0</v>
      </c>
      <c r="L45" s="89">
        <v>3075000.0</v>
      </c>
      <c r="M45" s="71">
        <f t="shared" ref="M45:M93" si="11">L45*K45</f>
        <v>3075000</v>
      </c>
      <c r="O45" s="71">
        <f t="shared" si="9"/>
        <v>645750</v>
      </c>
      <c r="P45" s="89">
        <f t="shared" si="10"/>
        <v>123332.1</v>
      </c>
      <c r="Q45" s="491">
        <f>IF(ISBLANK(M45), "", VLOOKUP(A45&amp;" "&amp;B45, 'Info Tipo de Cambio y REM'!$A$24:$B$47, 2, FALSE))</f>
        <v>1345</v>
      </c>
      <c r="R45" s="109">
        <f t="shared" si="1"/>
        <v>2286.245353</v>
      </c>
      <c r="S45" s="71">
        <f t="shared" si="2"/>
        <v>3720750</v>
      </c>
      <c r="T45" s="71">
        <f t="shared" si="3"/>
        <v>2766.356877</v>
      </c>
      <c r="U45" s="43" t="s">
        <v>1232</v>
      </c>
      <c r="V45" s="486" t="str">
        <f t="shared" si="4"/>
        <v>Real</v>
      </c>
      <c r="W45" s="43"/>
      <c r="X45" s="43"/>
    </row>
    <row r="46" hidden="1">
      <c r="A46" s="51" t="s">
        <v>171</v>
      </c>
      <c r="B46" s="43">
        <v>2025.0</v>
      </c>
      <c r="C46" s="51" t="s">
        <v>179</v>
      </c>
      <c r="D46" s="43">
        <v>2025.0</v>
      </c>
      <c r="E46" s="43" t="s">
        <v>180</v>
      </c>
      <c r="F46" s="43" t="s">
        <v>1127</v>
      </c>
      <c r="G46" s="43" t="s">
        <v>1126</v>
      </c>
      <c r="H46" s="43" t="s">
        <v>311</v>
      </c>
      <c r="I46" s="43" t="s">
        <v>311</v>
      </c>
      <c r="J46" s="443">
        <v>60.0</v>
      </c>
      <c r="K46" s="43">
        <v>1.0</v>
      </c>
      <c r="L46" s="89">
        <v>3075000.0</v>
      </c>
      <c r="M46" s="71">
        <f t="shared" si="11"/>
        <v>3075000</v>
      </c>
      <c r="O46" s="71">
        <f t="shared" si="9"/>
        <v>645750</v>
      </c>
      <c r="P46" s="89">
        <f t="shared" si="10"/>
        <v>123332.1</v>
      </c>
      <c r="Q46" s="491">
        <f>IF(ISBLANK(M46), "", VLOOKUP(A46&amp;" "&amp;B46, 'Info Tipo de Cambio y REM'!$A$24:$B$47, 2, FALSE))</f>
        <v>1445</v>
      </c>
      <c r="R46" s="109">
        <f t="shared" si="1"/>
        <v>2128.027682</v>
      </c>
      <c r="S46" s="71">
        <f t="shared" si="2"/>
        <v>3720750</v>
      </c>
      <c r="T46" s="71">
        <f t="shared" si="3"/>
        <v>2574.913495</v>
      </c>
      <c r="U46" s="43" t="s">
        <v>1233</v>
      </c>
      <c r="V46" s="486" t="str">
        <f t="shared" si="4"/>
        <v>Real</v>
      </c>
      <c r="W46" s="43"/>
      <c r="X46" s="43"/>
    </row>
    <row r="47" hidden="1">
      <c r="A47" s="51" t="s">
        <v>175</v>
      </c>
      <c r="B47" s="43">
        <v>2025.0</v>
      </c>
      <c r="C47" s="51" t="s">
        <v>182</v>
      </c>
      <c r="D47" s="43">
        <v>2025.0</v>
      </c>
      <c r="E47" s="43" t="s">
        <v>180</v>
      </c>
      <c r="F47" s="43" t="s">
        <v>1127</v>
      </c>
      <c r="G47" s="43" t="s">
        <v>1126</v>
      </c>
      <c r="H47" s="43" t="s">
        <v>311</v>
      </c>
      <c r="I47" s="43" t="s">
        <v>311</v>
      </c>
      <c r="J47" s="443">
        <v>60.0</v>
      </c>
      <c r="K47" s="43">
        <v>1.0</v>
      </c>
      <c r="L47" s="89">
        <v>3075000.0</v>
      </c>
      <c r="M47" s="71">
        <f t="shared" si="11"/>
        <v>3075000</v>
      </c>
      <c r="O47" s="71">
        <f t="shared" si="9"/>
        <v>645750</v>
      </c>
      <c r="P47" s="89">
        <f t="shared" si="10"/>
        <v>123332.1</v>
      </c>
      <c r="Q47" s="491">
        <f>IF(ISBLANK(M47), "", VLOOKUP(A47&amp;" "&amp;B47, 'Info Tipo de Cambio y REM'!$A$24:$B$47, 2, FALSE))</f>
        <v>1440</v>
      </c>
      <c r="R47" s="109">
        <f t="shared" si="1"/>
        <v>2135.416667</v>
      </c>
      <c r="S47" s="71">
        <f t="shared" si="2"/>
        <v>3720750</v>
      </c>
      <c r="T47" s="71">
        <f t="shared" si="3"/>
        <v>2583.854167</v>
      </c>
      <c r="U47" s="43" t="s">
        <v>1233</v>
      </c>
      <c r="V47" s="486" t="str">
        <f t="shared" si="4"/>
        <v>Proyección</v>
      </c>
      <c r="W47" s="43"/>
      <c r="X47" s="43"/>
    </row>
    <row r="48" hidden="1">
      <c r="A48" s="51" t="s">
        <v>123</v>
      </c>
      <c r="B48" s="43">
        <v>2025.0</v>
      </c>
      <c r="C48" s="51" t="s">
        <v>129</v>
      </c>
      <c r="D48" s="43">
        <v>2025.0</v>
      </c>
      <c r="E48" s="43" t="s">
        <v>119</v>
      </c>
      <c r="F48" s="43" t="s">
        <v>1127</v>
      </c>
      <c r="G48" s="43" t="s">
        <v>1126</v>
      </c>
      <c r="H48" s="43" t="s">
        <v>311</v>
      </c>
      <c r="I48" s="43" t="s">
        <v>311</v>
      </c>
      <c r="J48" s="443">
        <v>30.0</v>
      </c>
      <c r="K48" s="43">
        <v>1.0</v>
      </c>
      <c r="L48" s="89">
        <v>3718825.0</v>
      </c>
      <c r="M48" s="89">
        <f t="shared" si="11"/>
        <v>3718825</v>
      </c>
      <c r="O48" s="71">
        <f t="shared" si="9"/>
        <v>780953.25</v>
      </c>
      <c r="P48" s="89">
        <f t="shared" si="10"/>
        <v>149154.6331</v>
      </c>
      <c r="Q48" s="491">
        <f>IF(ISBLANK(M48), "", VLOOKUP(A48&amp;" "&amp;B48, 'Info Tipo de Cambio y REM'!$A$24:$B$47, 2, FALSE))</f>
        <v>1220</v>
      </c>
      <c r="R48" s="109">
        <f t="shared" si="1"/>
        <v>3048.217213</v>
      </c>
      <c r="S48" s="71">
        <f t="shared" si="2"/>
        <v>4499778.25</v>
      </c>
      <c r="T48" s="71">
        <f t="shared" si="3"/>
        <v>3688.342828</v>
      </c>
      <c r="U48" s="43" t="s">
        <v>1232</v>
      </c>
      <c r="V48" s="486" t="str">
        <f t="shared" si="4"/>
        <v>Real</v>
      </c>
      <c r="X48" s="89"/>
      <c r="Y48" s="89"/>
      <c r="Z48" s="89"/>
      <c r="AA48" s="89"/>
    </row>
    <row r="49" hidden="1">
      <c r="A49" s="51" t="s">
        <v>129</v>
      </c>
      <c r="B49" s="43">
        <v>2025.0</v>
      </c>
      <c r="C49" s="51" t="s">
        <v>136</v>
      </c>
      <c r="D49" s="43">
        <v>2025.0</v>
      </c>
      <c r="E49" s="43" t="s">
        <v>119</v>
      </c>
      <c r="F49" s="43" t="s">
        <v>1127</v>
      </c>
      <c r="G49" s="43" t="s">
        <v>1126</v>
      </c>
      <c r="H49" s="43" t="s">
        <v>311</v>
      </c>
      <c r="I49" s="43" t="s">
        <v>311</v>
      </c>
      <c r="J49" s="443">
        <v>30.0</v>
      </c>
      <c r="K49" s="43">
        <v>1.0</v>
      </c>
      <c r="L49" s="89">
        <v>3718825.0</v>
      </c>
      <c r="M49" s="89">
        <f t="shared" si="11"/>
        <v>3718825</v>
      </c>
      <c r="O49" s="71">
        <f t="shared" si="9"/>
        <v>780953.25</v>
      </c>
      <c r="P49" s="89">
        <f t="shared" si="10"/>
        <v>149154.6331</v>
      </c>
      <c r="Q49" s="491">
        <f>IF(ISBLANK(M49), "", VLOOKUP(A49&amp;" "&amp;B49, 'Info Tipo de Cambio y REM'!$A$24:$B$47, 2, FALSE))</f>
        <v>1230</v>
      </c>
      <c r="R49" s="109">
        <f t="shared" si="1"/>
        <v>3023.434959</v>
      </c>
      <c r="S49" s="71">
        <f t="shared" si="2"/>
        <v>4499778.25</v>
      </c>
      <c r="T49" s="71">
        <f t="shared" si="3"/>
        <v>3658.356301</v>
      </c>
      <c r="U49" s="43" t="s">
        <v>1232</v>
      </c>
      <c r="V49" s="486" t="str">
        <f t="shared" si="4"/>
        <v>Real</v>
      </c>
      <c r="X49" s="89"/>
      <c r="Y49" s="89"/>
      <c r="Z49" s="89"/>
      <c r="AA49" s="89"/>
    </row>
    <row r="50" hidden="1">
      <c r="A50" s="51" t="s">
        <v>136</v>
      </c>
      <c r="B50" s="43">
        <v>2025.0</v>
      </c>
      <c r="C50" s="51" t="s">
        <v>143</v>
      </c>
      <c r="D50" s="43">
        <v>2025.0</v>
      </c>
      <c r="E50" s="43" t="s">
        <v>119</v>
      </c>
      <c r="F50" s="43" t="s">
        <v>1127</v>
      </c>
      <c r="G50" s="43" t="s">
        <v>1126</v>
      </c>
      <c r="H50" s="43" t="s">
        <v>311</v>
      </c>
      <c r="I50" s="43" t="s">
        <v>311</v>
      </c>
      <c r="J50" s="443">
        <v>30.0</v>
      </c>
      <c r="K50" s="43">
        <v>1.0</v>
      </c>
      <c r="L50" s="89">
        <v>3718825.0</v>
      </c>
      <c r="M50" s="89">
        <f t="shared" si="11"/>
        <v>3718825</v>
      </c>
      <c r="O50" s="71">
        <f t="shared" si="9"/>
        <v>780953.25</v>
      </c>
      <c r="P50" s="89">
        <f t="shared" si="10"/>
        <v>149154.6331</v>
      </c>
      <c r="Q50" s="491">
        <f>IF(ISBLANK(M50), "", VLOOKUP(A50&amp;" "&amp;B50, 'Info Tipo de Cambio y REM'!$A$24:$B$47, 2, FALSE))</f>
        <v>1325</v>
      </c>
      <c r="R50" s="109">
        <f t="shared" si="1"/>
        <v>2806.660377</v>
      </c>
      <c r="S50" s="71">
        <f t="shared" si="2"/>
        <v>4499778.25</v>
      </c>
      <c r="T50" s="71">
        <f t="shared" si="3"/>
        <v>3396.059057</v>
      </c>
      <c r="U50" s="43" t="s">
        <v>1232</v>
      </c>
      <c r="V50" s="486" t="str">
        <f t="shared" si="4"/>
        <v>Real</v>
      </c>
      <c r="X50" s="89"/>
      <c r="Y50" s="89"/>
      <c r="Z50" s="89"/>
      <c r="AA50" s="89"/>
    </row>
    <row r="51" hidden="1">
      <c r="A51" s="51" t="s">
        <v>143</v>
      </c>
      <c r="B51" s="43">
        <v>2025.0</v>
      </c>
      <c r="C51" s="51" t="s">
        <v>149</v>
      </c>
      <c r="D51" s="43">
        <v>2025.0</v>
      </c>
      <c r="E51" s="43" t="s">
        <v>119</v>
      </c>
      <c r="F51" s="43" t="s">
        <v>1127</v>
      </c>
      <c r="G51" s="43" t="s">
        <v>1126</v>
      </c>
      <c r="H51" s="43" t="s">
        <v>311</v>
      </c>
      <c r="I51" s="43" t="s">
        <v>311</v>
      </c>
      <c r="J51" s="443">
        <v>30.0</v>
      </c>
      <c r="K51" s="43">
        <v>1.0</v>
      </c>
      <c r="L51" s="89">
        <v>3718825.0</v>
      </c>
      <c r="M51" s="89">
        <f t="shared" si="11"/>
        <v>3718825</v>
      </c>
      <c r="O51" s="71">
        <f t="shared" si="9"/>
        <v>780953.25</v>
      </c>
      <c r="P51" s="89">
        <f t="shared" si="10"/>
        <v>149154.6331</v>
      </c>
      <c r="Q51" s="491">
        <f>IF(ISBLANK(M51), "", VLOOKUP(A51&amp;" "&amp;B51, 'Info Tipo de Cambio y REM'!$A$24:$B$47, 2, FALSE))</f>
        <v>1185</v>
      </c>
      <c r="R51" s="109">
        <f t="shared" si="1"/>
        <v>3138.248945</v>
      </c>
      <c r="S51" s="71">
        <f t="shared" si="2"/>
        <v>4499778.25</v>
      </c>
      <c r="T51" s="71">
        <f t="shared" si="3"/>
        <v>3797.281224</v>
      </c>
      <c r="U51" s="43" t="s">
        <v>1232</v>
      </c>
      <c r="V51" s="486" t="str">
        <f t="shared" si="4"/>
        <v>Real</v>
      </c>
      <c r="X51" s="89"/>
      <c r="Y51" s="89"/>
      <c r="Z51" s="89"/>
      <c r="AA51" s="89"/>
    </row>
    <row r="52" hidden="1">
      <c r="A52" s="51" t="s">
        <v>149</v>
      </c>
      <c r="B52" s="43">
        <v>2025.0</v>
      </c>
      <c r="C52" s="51" t="s">
        <v>155</v>
      </c>
      <c r="D52" s="43">
        <v>2025.0</v>
      </c>
      <c r="E52" s="43" t="s">
        <v>119</v>
      </c>
      <c r="F52" s="43" t="s">
        <v>1127</v>
      </c>
      <c r="G52" s="43" t="s">
        <v>1126</v>
      </c>
      <c r="H52" s="43" t="s">
        <v>311</v>
      </c>
      <c r="I52" s="43" t="s">
        <v>311</v>
      </c>
      <c r="J52" s="443">
        <v>30.0</v>
      </c>
      <c r="K52" s="43">
        <v>1.0</v>
      </c>
      <c r="L52" s="89">
        <v>3718825.0</v>
      </c>
      <c r="M52" s="89">
        <f t="shared" si="11"/>
        <v>3718825</v>
      </c>
      <c r="O52" s="71">
        <f t="shared" si="9"/>
        <v>780953.25</v>
      </c>
      <c r="P52" s="89">
        <f t="shared" si="10"/>
        <v>149154.6331</v>
      </c>
      <c r="Q52" s="491">
        <f>IF(ISBLANK(M52), "", VLOOKUP(A52&amp;" "&amp;B52, 'Info Tipo de Cambio y REM'!$A$24:$B$47, 2, FALSE))</f>
        <v>1180</v>
      </c>
      <c r="R52" s="109">
        <f t="shared" si="1"/>
        <v>3151.54661</v>
      </c>
      <c r="S52" s="71">
        <f t="shared" si="2"/>
        <v>4499778.25</v>
      </c>
      <c r="T52" s="71">
        <f t="shared" si="3"/>
        <v>3813.371398</v>
      </c>
      <c r="U52" s="43" t="s">
        <v>1232</v>
      </c>
      <c r="V52" s="486" t="str">
        <f t="shared" si="4"/>
        <v>Real</v>
      </c>
      <c r="X52" s="89"/>
      <c r="Y52" s="89"/>
      <c r="Z52" s="89"/>
      <c r="AA52" s="89"/>
    </row>
    <row r="53" hidden="1">
      <c r="A53" s="51" t="s">
        <v>155</v>
      </c>
      <c r="B53" s="43">
        <v>2025.0</v>
      </c>
      <c r="C53" s="51" t="s">
        <v>161</v>
      </c>
      <c r="D53" s="43">
        <v>2025.0</v>
      </c>
      <c r="E53" s="43" t="s">
        <v>119</v>
      </c>
      <c r="F53" s="43" t="s">
        <v>1127</v>
      </c>
      <c r="G53" s="43" t="s">
        <v>1126</v>
      </c>
      <c r="H53" s="43" t="s">
        <v>311</v>
      </c>
      <c r="I53" s="43" t="s">
        <v>311</v>
      </c>
      <c r="J53" s="443">
        <v>30.0</v>
      </c>
      <c r="K53" s="492">
        <v>1.1723746075709398</v>
      </c>
      <c r="L53" s="89">
        <v>3718825.0</v>
      </c>
      <c r="M53" s="89">
        <f t="shared" si="11"/>
        <v>4359856</v>
      </c>
      <c r="O53" s="71">
        <f t="shared" si="9"/>
        <v>915569.76</v>
      </c>
      <c r="P53" s="89">
        <f t="shared" si="10"/>
        <v>174865.1044</v>
      </c>
      <c r="Q53" s="491">
        <f>IF(ISBLANK(M53), "", VLOOKUP(A53&amp;" "&amp;B53, 'Info Tipo de Cambio y REM'!$A$24:$B$47, 2, FALSE))</f>
        <v>1215</v>
      </c>
      <c r="R53" s="109">
        <f t="shared" si="1"/>
        <v>3588.358848</v>
      </c>
      <c r="S53" s="71">
        <f t="shared" si="2"/>
        <v>5275425.76</v>
      </c>
      <c r="T53" s="71">
        <f t="shared" si="3"/>
        <v>4341.914206</v>
      </c>
      <c r="U53" s="43" t="s">
        <v>1232</v>
      </c>
      <c r="V53" s="486" t="str">
        <f t="shared" si="4"/>
        <v>Real</v>
      </c>
      <c r="X53" s="89"/>
      <c r="Y53" s="89"/>
      <c r="Z53" s="89"/>
      <c r="AA53" s="89"/>
    </row>
    <row r="54" hidden="1">
      <c r="A54" s="51" t="s">
        <v>161</v>
      </c>
      <c r="B54" s="43">
        <v>2025.0</v>
      </c>
      <c r="C54" s="51" t="s">
        <v>166</v>
      </c>
      <c r="D54" s="43">
        <v>2025.0</v>
      </c>
      <c r="E54" s="43" t="s">
        <v>119</v>
      </c>
      <c r="F54" s="43" t="s">
        <v>1127</v>
      </c>
      <c r="G54" s="43" t="s">
        <v>1126</v>
      </c>
      <c r="H54" s="43" t="s">
        <v>311</v>
      </c>
      <c r="I54" s="43" t="s">
        <v>311</v>
      </c>
      <c r="J54" s="443">
        <v>30.0</v>
      </c>
      <c r="K54" s="43">
        <v>1.0</v>
      </c>
      <c r="L54" s="71">
        <v>4359856.9496</v>
      </c>
      <c r="M54" s="71">
        <f t="shared" si="11"/>
        <v>4359856.95</v>
      </c>
      <c r="O54" s="71">
        <f t="shared" si="9"/>
        <v>915569.9594</v>
      </c>
      <c r="P54" s="89">
        <f t="shared" si="10"/>
        <v>174865.1425</v>
      </c>
      <c r="Q54" s="491">
        <f>IF(ISBLANK(M54), "", VLOOKUP(A54&amp;" "&amp;B54, 'Info Tipo de Cambio y REM'!$A$24:$B$47, 2, FALSE))</f>
        <v>1320</v>
      </c>
      <c r="R54" s="109">
        <f t="shared" si="1"/>
        <v>3302.921932</v>
      </c>
      <c r="S54" s="71">
        <f t="shared" si="2"/>
        <v>5275426.909</v>
      </c>
      <c r="T54" s="71">
        <f t="shared" si="3"/>
        <v>3996.535537</v>
      </c>
      <c r="U54" s="43" t="s">
        <v>1232</v>
      </c>
      <c r="V54" s="486" t="str">
        <f t="shared" si="4"/>
        <v>Real</v>
      </c>
    </row>
    <row r="55" hidden="1">
      <c r="A55" s="51" t="s">
        <v>166</v>
      </c>
      <c r="B55" s="43">
        <v>2025.0</v>
      </c>
      <c r="C55" s="51" t="s">
        <v>171</v>
      </c>
      <c r="D55" s="43">
        <v>2025.0</v>
      </c>
      <c r="E55" s="43" t="s">
        <v>119</v>
      </c>
      <c r="F55" s="43" t="s">
        <v>1127</v>
      </c>
      <c r="G55" s="43" t="s">
        <v>1126</v>
      </c>
      <c r="H55" s="43" t="s">
        <v>311</v>
      </c>
      <c r="I55" s="43" t="s">
        <v>311</v>
      </c>
      <c r="J55" s="443">
        <v>30.0</v>
      </c>
      <c r="K55" s="43">
        <v>1.0</v>
      </c>
      <c r="L55" s="71">
        <v>4359856.9496</v>
      </c>
      <c r="M55" s="71">
        <f t="shared" si="11"/>
        <v>4359856.95</v>
      </c>
      <c r="O55" s="71">
        <f t="shared" si="9"/>
        <v>915569.9594</v>
      </c>
      <c r="P55" s="89">
        <f t="shared" si="10"/>
        <v>174865.1425</v>
      </c>
      <c r="Q55" s="491">
        <f>IF(ISBLANK(M55), "", VLOOKUP(A55&amp;" "&amp;B55, 'Info Tipo de Cambio y REM'!$A$24:$B$47, 2, FALSE))</f>
        <v>1345</v>
      </c>
      <c r="R55" s="109">
        <f t="shared" si="1"/>
        <v>3241.529331</v>
      </c>
      <c r="S55" s="71">
        <f t="shared" si="2"/>
        <v>5275426.909</v>
      </c>
      <c r="T55" s="71">
        <f t="shared" si="3"/>
        <v>3922.25049</v>
      </c>
      <c r="U55" s="43" t="s">
        <v>1232</v>
      </c>
      <c r="V55" s="486" t="str">
        <f t="shared" si="4"/>
        <v>Real</v>
      </c>
      <c r="W55" s="43"/>
      <c r="X55" s="43"/>
    </row>
    <row r="56" hidden="1">
      <c r="A56" s="51" t="s">
        <v>171</v>
      </c>
      <c r="B56" s="43">
        <v>2025.0</v>
      </c>
      <c r="C56" s="51" t="s">
        <v>175</v>
      </c>
      <c r="D56" s="43">
        <v>2025.0</v>
      </c>
      <c r="E56" s="43" t="s">
        <v>119</v>
      </c>
      <c r="F56" s="43" t="s">
        <v>1127</v>
      </c>
      <c r="G56" s="43" t="s">
        <v>1126</v>
      </c>
      <c r="H56" s="43" t="s">
        <v>311</v>
      </c>
      <c r="I56" s="43" t="s">
        <v>311</v>
      </c>
      <c r="J56" s="443">
        <v>30.0</v>
      </c>
      <c r="K56" s="492">
        <v>1.05</v>
      </c>
      <c r="L56" s="71">
        <v>4359856.9496</v>
      </c>
      <c r="M56" s="71">
        <f t="shared" si="11"/>
        <v>4577849.797</v>
      </c>
      <c r="O56" s="71">
        <f t="shared" si="9"/>
        <v>961348.4574</v>
      </c>
      <c r="P56" s="89">
        <f t="shared" si="10"/>
        <v>183608.3997</v>
      </c>
      <c r="Q56" s="491">
        <f>IF(ISBLANK(M56), "", VLOOKUP(A56&amp;" "&amp;B56, 'Info Tipo de Cambio y REM'!$A$24:$B$47, 2, FALSE))</f>
        <v>1445</v>
      </c>
      <c r="R56" s="109">
        <f t="shared" si="1"/>
        <v>3168.062143</v>
      </c>
      <c r="S56" s="71">
        <f t="shared" si="2"/>
        <v>5539198.254</v>
      </c>
      <c r="T56" s="71">
        <f t="shared" si="3"/>
        <v>3833.355193</v>
      </c>
      <c r="U56" s="43" t="s">
        <v>1233</v>
      </c>
      <c r="V56" s="486" t="str">
        <f t="shared" si="4"/>
        <v>Real</v>
      </c>
      <c r="W56" s="43"/>
      <c r="X56" s="43"/>
    </row>
    <row r="57" hidden="1">
      <c r="A57" s="51" t="s">
        <v>175</v>
      </c>
      <c r="B57" s="43">
        <v>2025.0</v>
      </c>
      <c r="C57" s="51" t="s">
        <v>179</v>
      </c>
      <c r="D57" s="43">
        <v>2025.0</v>
      </c>
      <c r="E57" s="43" t="s">
        <v>119</v>
      </c>
      <c r="F57" s="43" t="s">
        <v>1127</v>
      </c>
      <c r="G57" s="43" t="s">
        <v>1126</v>
      </c>
      <c r="H57" s="43" t="s">
        <v>311</v>
      </c>
      <c r="I57" s="43" t="s">
        <v>311</v>
      </c>
      <c r="J57" s="443">
        <v>30.0</v>
      </c>
      <c r="K57" s="43">
        <v>1.0</v>
      </c>
      <c r="L57" s="71">
        <f t="shared" ref="L57:L71" si="12">M56</f>
        <v>4577849.797</v>
      </c>
      <c r="M57" s="71">
        <f t="shared" si="11"/>
        <v>4577849.797</v>
      </c>
      <c r="O57" s="71">
        <f t="shared" si="9"/>
        <v>961348.4574</v>
      </c>
      <c r="P57" s="89">
        <f t="shared" si="10"/>
        <v>183608.3997</v>
      </c>
      <c r="Q57" s="491">
        <f>IF(ISBLANK(M57), "", VLOOKUP(A57&amp;" "&amp;B57, 'Info Tipo de Cambio y REM'!$A$24:$B$47, 2, FALSE))</f>
        <v>1440</v>
      </c>
      <c r="R57" s="109">
        <f t="shared" si="1"/>
        <v>3179.062359</v>
      </c>
      <c r="S57" s="71">
        <f t="shared" si="2"/>
        <v>5539198.254</v>
      </c>
      <c r="T57" s="71">
        <f t="shared" si="3"/>
        <v>3846.665454</v>
      </c>
      <c r="U57" s="43" t="s">
        <v>1233</v>
      </c>
      <c r="V57" s="486" t="str">
        <f t="shared" si="4"/>
        <v>Proyección</v>
      </c>
      <c r="W57" s="43"/>
      <c r="X57" s="43"/>
    </row>
    <row r="58" hidden="1">
      <c r="A58" s="51" t="s">
        <v>179</v>
      </c>
      <c r="B58" s="43">
        <v>2025.0</v>
      </c>
      <c r="C58" s="51" t="s">
        <v>182</v>
      </c>
      <c r="D58" s="43">
        <v>2025.0</v>
      </c>
      <c r="E58" s="43" t="s">
        <v>119</v>
      </c>
      <c r="F58" s="43" t="s">
        <v>1127</v>
      </c>
      <c r="G58" s="43" t="s">
        <v>1126</v>
      </c>
      <c r="H58" s="43" t="s">
        <v>311</v>
      </c>
      <c r="I58" s="43" t="s">
        <v>311</v>
      </c>
      <c r="J58" s="443">
        <v>30.0</v>
      </c>
      <c r="K58" s="43">
        <v>1.0</v>
      </c>
      <c r="L58" s="71">
        <f t="shared" si="12"/>
        <v>4577849.797</v>
      </c>
      <c r="M58" s="71">
        <f t="shared" si="11"/>
        <v>4577849.797</v>
      </c>
      <c r="O58" s="71">
        <f t="shared" si="9"/>
        <v>961348.4574</v>
      </c>
      <c r="P58" s="89">
        <f t="shared" si="10"/>
        <v>183608.3997</v>
      </c>
      <c r="Q58" s="491">
        <f>IF(ISBLANK(M58), "", VLOOKUP(A58&amp;" "&amp;B58, 'Info Tipo de Cambio y REM'!$A$24:$B$47, 2, FALSE))</f>
        <v>1499</v>
      </c>
      <c r="R58" s="109">
        <f t="shared" si="1"/>
        <v>3053.935822</v>
      </c>
      <c r="S58" s="71">
        <f t="shared" si="2"/>
        <v>5539198.254</v>
      </c>
      <c r="T58" s="71">
        <f t="shared" si="3"/>
        <v>3695.262345</v>
      </c>
      <c r="U58" s="43" t="s">
        <v>1233</v>
      </c>
      <c r="V58" s="486" t="str">
        <f t="shared" si="4"/>
        <v>Proyección</v>
      </c>
      <c r="W58" s="43"/>
      <c r="X58" s="43"/>
    </row>
    <row r="59" hidden="1">
      <c r="A59" s="51" t="s">
        <v>182</v>
      </c>
      <c r="B59" s="43">
        <v>2025.0</v>
      </c>
      <c r="C59" s="51" t="s">
        <v>123</v>
      </c>
      <c r="D59" s="43">
        <v>2026.0</v>
      </c>
      <c r="E59" s="43" t="s">
        <v>119</v>
      </c>
      <c r="F59" s="43" t="s">
        <v>1127</v>
      </c>
      <c r="G59" s="43" t="s">
        <v>1126</v>
      </c>
      <c r="H59" s="43" t="s">
        <v>311</v>
      </c>
      <c r="I59" s="43" t="s">
        <v>311</v>
      </c>
      <c r="J59" s="443">
        <v>30.0</v>
      </c>
      <c r="K59" s="492">
        <v>1.075</v>
      </c>
      <c r="L59" s="71">
        <f t="shared" si="12"/>
        <v>4577849.797</v>
      </c>
      <c r="M59" s="71">
        <f t="shared" si="11"/>
        <v>4921188.532</v>
      </c>
      <c r="O59" s="71">
        <f t="shared" si="9"/>
        <v>1033449.592</v>
      </c>
      <c r="P59" s="89">
        <f t="shared" si="10"/>
        <v>197379.0296</v>
      </c>
      <c r="Q59" s="491">
        <f>IF(ISBLANK(M59), "", VLOOKUP(A59&amp;" "&amp;B59, 'Info Tipo de Cambio y REM'!$A$24:$B$47, 2, FALSE))</f>
        <v>1536</v>
      </c>
      <c r="R59" s="109">
        <f t="shared" si="1"/>
        <v>3203.898784</v>
      </c>
      <c r="S59" s="71">
        <f t="shared" si="2"/>
        <v>5954638.124</v>
      </c>
      <c r="T59" s="71">
        <f t="shared" si="3"/>
        <v>3876.717528</v>
      </c>
      <c r="U59" s="43" t="s">
        <v>1233</v>
      </c>
      <c r="V59" s="486" t="str">
        <f t="shared" si="4"/>
        <v>Proyección</v>
      </c>
      <c r="W59" s="43"/>
      <c r="X59" s="43"/>
    </row>
    <row r="60" hidden="1">
      <c r="A60" s="51" t="s">
        <v>123</v>
      </c>
      <c r="B60" s="43">
        <v>2026.0</v>
      </c>
      <c r="C60" s="51" t="s">
        <v>129</v>
      </c>
      <c r="D60" s="43">
        <v>2026.0</v>
      </c>
      <c r="E60" s="43" t="s">
        <v>119</v>
      </c>
      <c r="F60" s="43" t="s">
        <v>1127</v>
      </c>
      <c r="G60" s="43" t="s">
        <v>1126</v>
      </c>
      <c r="H60" s="43" t="s">
        <v>305</v>
      </c>
      <c r="I60" s="43" t="s">
        <v>311</v>
      </c>
      <c r="J60" s="443">
        <v>30.0</v>
      </c>
      <c r="K60" s="492">
        <v>1.075</v>
      </c>
      <c r="L60" s="71">
        <f t="shared" si="12"/>
        <v>4921188.532</v>
      </c>
      <c r="M60" s="71">
        <f t="shared" si="11"/>
        <v>5290277.672</v>
      </c>
      <c r="O60" s="71">
        <f t="shared" si="9"/>
        <v>1110958.311</v>
      </c>
      <c r="P60" s="89">
        <f t="shared" si="10"/>
        <v>212182.4569</v>
      </c>
      <c r="Q60" s="491">
        <f>IF(ISBLANK(M60), "", VLOOKUP(A60&amp;" "&amp;B60, 'Info Tipo de Cambio y REM'!$A$24:$B$47, 2, FALSE))</f>
        <v>1589</v>
      </c>
      <c r="R60" s="109">
        <f t="shared" si="1"/>
        <v>3329.312569</v>
      </c>
      <c r="S60" s="71">
        <f t="shared" si="2"/>
        <v>6401235.983</v>
      </c>
      <c r="T60" s="71">
        <f t="shared" si="3"/>
        <v>4028.468208</v>
      </c>
      <c r="U60" s="43" t="s">
        <v>1233</v>
      </c>
      <c r="V60" s="486" t="str">
        <f t="shared" si="4"/>
        <v>Proyección</v>
      </c>
      <c r="X60" s="89"/>
      <c r="Y60" s="89"/>
      <c r="Z60" s="89"/>
      <c r="AA60" s="89"/>
    </row>
    <row r="61" hidden="1">
      <c r="A61" s="51" t="s">
        <v>129</v>
      </c>
      <c r="B61" s="43">
        <v>2026.0</v>
      </c>
      <c r="C61" s="51" t="s">
        <v>136</v>
      </c>
      <c r="D61" s="43">
        <v>2026.0</v>
      </c>
      <c r="E61" s="43" t="s">
        <v>119</v>
      </c>
      <c r="F61" s="43" t="s">
        <v>1127</v>
      </c>
      <c r="G61" s="43" t="s">
        <v>1126</v>
      </c>
      <c r="H61" s="43" t="s">
        <v>305</v>
      </c>
      <c r="I61" s="43" t="s">
        <v>311</v>
      </c>
      <c r="J61" s="443">
        <v>30.0</v>
      </c>
      <c r="K61" s="43">
        <v>1.0</v>
      </c>
      <c r="L61" s="71">
        <f t="shared" si="12"/>
        <v>5290277.672</v>
      </c>
      <c r="M61" s="71">
        <f t="shared" si="11"/>
        <v>5290277.672</v>
      </c>
      <c r="O61" s="71">
        <f t="shared" si="9"/>
        <v>1110958.311</v>
      </c>
      <c r="P61" s="89">
        <f t="shared" si="10"/>
        <v>212182.4569</v>
      </c>
      <c r="Q61" s="491">
        <f>IF(ISBLANK(M61), "", VLOOKUP(A61&amp;" "&amp;B61, 'Info Tipo de Cambio y REM'!$A$24:$B$47, 2, FALSE))</f>
        <v>1610</v>
      </c>
      <c r="R61" s="109">
        <f t="shared" si="1"/>
        <v>3285.886753</v>
      </c>
      <c r="S61" s="71">
        <f t="shared" si="2"/>
        <v>6401235.983</v>
      </c>
      <c r="T61" s="71">
        <f t="shared" si="3"/>
        <v>3975.922971</v>
      </c>
      <c r="U61" s="43" t="s">
        <v>1233</v>
      </c>
      <c r="V61" s="486" t="str">
        <f t="shared" si="4"/>
        <v>Proyección</v>
      </c>
      <c r="X61" s="89"/>
      <c r="Y61" s="89"/>
      <c r="Z61" s="89"/>
      <c r="AA61" s="89"/>
    </row>
    <row r="62" hidden="1">
      <c r="A62" s="51" t="s">
        <v>136</v>
      </c>
      <c r="B62" s="43">
        <v>2026.0</v>
      </c>
      <c r="C62" s="51" t="s">
        <v>143</v>
      </c>
      <c r="D62" s="43">
        <v>2026.0</v>
      </c>
      <c r="E62" s="43" t="s">
        <v>119</v>
      </c>
      <c r="F62" s="43" t="s">
        <v>1127</v>
      </c>
      <c r="G62" s="43" t="s">
        <v>1126</v>
      </c>
      <c r="H62" s="43" t="s">
        <v>305</v>
      </c>
      <c r="I62" s="43" t="s">
        <v>311</v>
      </c>
      <c r="J62" s="443">
        <v>30.0</v>
      </c>
      <c r="K62" s="43">
        <v>1.0</v>
      </c>
      <c r="L62" s="71">
        <f t="shared" si="12"/>
        <v>5290277.672</v>
      </c>
      <c r="M62" s="71">
        <f t="shared" si="11"/>
        <v>5290277.672</v>
      </c>
      <c r="O62" s="71">
        <f t="shared" si="9"/>
        <v>1110958.311</v>
      </c>
      <c r="P62" s="89">
        <f t="shared" si="10"/>
        <v>212182.4569</v>
      </c>
      <c r="Q62" s="491">
        <f>IF(ISBLANK(M62), "", VLOOKUP(A62&amp;" "&amp;B62, 'Info Tipo de Cambio y REM'!$A$24:$B$47, 2, FALSE))</f>
        <v>1638</v>
      </c>
      <c r="R62" s="109">
        <f t="shared" si="1"/>
        <v>3229.717748</v>
      </c>
      <c r="S62" s="71">
        <f t="shared" si="2"/>
        <v>6401235.983</v>
      </c>
      <c r="T62" s="71">
        <f t="shared" si="3"/>
        <v>3907.958475</v>
      </c>
      <c r="U62" s="43" t="s">
        <v>1233</v>
      </c>
      <c r="V62" s="486" t="str">
        <f t="shared" si="4"/>
        <v>Proyección</v>
      </c>
      <c r="X62" s="89"/>
      <c r="Y62" s="89"/>
      <c r="Z62" s="89"/>
      <c r="AA62" s="89"/>
    </row>
    <row r="63" hidden="1">
      <c r="A63" s="51" t="s">
        <v>143</v>
      </c>
      <c r="B63" s="43">
        <v>2026.0</v>
      </c>
      <c r="C63" s="51" t="s">
        <v>149</v>
      </c>
      <c r="D63" s="43">
        <v>2026.0</v>
      </c>
      <c r="E63" s="43" t="s">
        <v>119</v>
      </c>
      <c r="F63" s="43" t="s">
        <v>1127</v>
      </c>
      <c r="G63" s="43" t="s">
        <v>1126</v>
      </c>
      <c r="H63" s="43" t="s">
        <v>305</v>
      </c>
      <c r="I63" s="43" t="s">
        <v>311</v>
      </c>
      <c r="J63" s="443">
        <v>30.0</v>
      </c>
      <c r="K63" s="492">
        <v>1.075</v>
      </c>
      <c r="L63" s="71">
        <f t="shared" si="12"/>
        <v>5290277.672</v>
      </c>
      <c r="M63" s="71">
        <f t="shared" si="11"/>
        <v>5687048.497</v>
      </c>
      <c r="O63" s="71">
        <f t="shared" si="9"/>
        <v>1194280.184</v>
      </c>
      <c r="P63" s="89">
        <f t="shared" si="10"/>
        <v>228096.1411</v>
      </c>
      <c r="Q63" s="491">
        <f>IF(ISBLANK(M63), "", VLOOKUP(A63&amp;" "&amp;B63, 'Info Tipo de Cambio y REM'!$A$24:$B$47, 2, FALSE))</f>
        <v>1739</v>
      </c>
      <c r="R63" s="109">
        <f t="shared" si="1"/>
        <v>3270.298158</v>
      </c>
      <c r="S63" s="71">
        <f t="shared" si="2"/>
        <v>6881328.682</v>
      </c>
      <c r="T63" s="71">
        <f t="shared" si="3"/>
        <v>3957.060771</v>
      </c>
      <c r="U63" s="43" t="s">
        <v>1233</v>
      </c>
      <c r="V63" s="486" t="str">
        <f t="shared" si="4"/>
        <v>Proyección</v>
      </c>
      <c r="X63" s="89"/>
      <c r="Y63" s="89"/>
      <c r="Z63" s="89"/>
      <c r="AA63" s="89"/>
    </row>
    <row r="64" hidden="1">
      <c r="A64" s="51" t="s">
        <v>149</v>
      </c>
      <c r="B64" s="43">
        <v>2026.0</v>
      </c>
      <c r="C64" s="51" t="s">
        <v>155</v>
      </c>
      <c r="D64" s="43">
        <v>2026.0</v>
      </c>
      <c r="E64" s="43" t="s">
        <v>119</v>
      </c>
      <c r="F64" s="43" t="s">
        <v>1127</v>
      </c>
      <c r="G64" s="43" t="s">
        <v>1126</v>
      </c>
      <c r="H64" s="43" t="s">
        <v>305</v>
      </c>
      <c r="I64" s="43" t="s">
        <v>311</v>
      </c>
      <c r="J64" s="443">
        <v>30.0</v>
      </c>
      <c r="K64" s="43">
        <v>1.0</v>
      </c>
      <c r="L64" s="71">
        <f t="shared" si="12"/>
        <v>5687048.497</v>
      </c>
      <c r="M64" s="71">
        <f t="shared" si="11"/>
        <v>5687048.497</v>
      </c>
      <c r="O64" s="71">
        <f t="shared" si="9"/>
        <v>1194280.184</v>
      </c>
      <c r="P64" s="89">
        <f t="shared" si="10"/>
        <v>228096.1411</v>
      </c>
      <c r="Q64" s="491">
        <f>IF(ISBLANK(M64), "", VLOOKUP(A64&amp;" "&amp;B64, 'Info Tipo de Cambio y REM'!$A$24:$B$47, 2, FALSE))</f>
        <v>1739</v>
      </c>
      <c r="R64" s="109">
        <f t="shared" si="1"/>
        <v>3270.298158</v>
      </c>
      <c r="S64" s="71">
        <f t="shared" si="2"/>
        <v>6881328.682</v>
      </c>
      <c r="T64" s="71">
        <f t="shared" si="3"/>
        <v>3957.060771</v>
      </c>
      <c r="U64" s="43" t="s">
        <v>1233</v>
      </c>
      <c r="V64" s="486" t="str">
        <f t="shared" si="4"/>
        <v>Proyección</v>
      </c>
      <c r="X64" s="89"/>
      <c r="Y64" s="89"/>
      <c r="Z64" s="89"/>
      <c r="AA64" s="89"/>
    </row>
    <row r="65" hidden="1">
      <c r="A65" s="51" t="s">
        <v>155</v>
      </c>
      <c r="B65" s="43">
        <v>2026.0</v>
      </c>
      <c r="C65" s="51" t="s">
        <v>161</v>
      </c>
      <c r="D65" s="43">
        <v>2026.0</v>
      </c>
      <c r="E65" s="43" t="s">
        <v>119</v>
      </c>
      <c r="F65" s="43" t="s">
        <v>1127</v>
      </c>
      <c r="G65" s="43" t="s">
        <v>1126</v>
      </c>
      <c r="H65" s="43" t="s">
        <v>305</v>
      </c>
      <c r="I65" s="43" t="s">
        <v>311</v>
      </c>
      <c r="J65" s="443">
        <v>30.0</v>
      </c>
      <c r="K65" s="43">
        <v>1.0</v>
      </c>
      <c r="L65" s="71">
        <f t="shared" si="12"/>
        <v>5687048.497</v>
      </c>
      <c r="M65" s="71">
        <f t="shared" si="11"/>
        <v>5687048.497</v>
      </c>
      <c r="O65" s="71">
        <f t="shared" si="9"/>
        <v>1194280.184</v>
      </c>
      <c r="P65" s="89">
        <f t="shared" si="10"/>
        <v>228096.1411</v>
      </c>
      <c r="Q65" s="491">
        <f>IF(ISBLANK(M65), "", VLOOKUP(A65&amp;" "&amp;B65, 'Info Tipo de Cambio y REM'!$A$24:$B$47, 2, FALSE))</f>
        <v>1739</v>
      </c>
      <c r="R65" s="109">
        <f t="shared" si="1"/>
        <v>3270.298158</v>
      </c>
      <c r="S65" s="71">
        <f t="shared" si="2"/>
        <v>6881328.682</v>
      </c>
      <c r="T65" s="71">
        <f t="shared" si="3"/>
        <v>3957.060771</v>
      </c>
      <c r="U65" s="43" t="s">
        <v>1233</v>
      </c>
      <c r="V65" s="486" t="str">
        <f t="shared" si="4"/>
        <v>Proyección</v>
      </c>
      <c r="X65" s="89"/>
      <c r="Y65" s="89"/>
      <c r="Z65" s="89"/>
      <c r="AA65" s="89"/>
    </row>
    <row r="66" hidden="1">
      <c r="A66" s="51" t="s">
        <v>161</v>
      </c>
      <c r="B66" s="43">
        <v>2026.0</v>
      </c>
      <c r="C66" s="51" t="s">
        <v>166</v>
      </c>
      <c r="D66" s="43">
        <v>2026.0</v>
      </c>
      <c r="E66" s="43" t="s">
        <v>119</v>
      </c>
      <c r="F66" s="43" t="s">
        <v>1127</v>
      </c>
      <c r="G66" s="43" t="s">
        <v>1126</v>
      </c>
      <c r="H66" s="43" t="s">
        <v>305</v>
      </c>
      <c r="I66" s="43" t="s">
        <v>311</v>
      </c>
      <c r="J66" s="443">
        <v>30.0</v>
      </c>
      <c r="K66" s="492">
        <v>1.075</v>
      </c>
      <c r="L66" s="71">
        <f t="shared" si="12"/>
        <v>5687048.497</v>
      </c>
      <c r="M66" s="71">
        <f t="shared" si="11"/>
        <v>6113577.134</v>
      </c>
      <c r="O66" s="71">
        <f t="shared" si="9"/>
        <v>1283851.198</v>
      </c>
      <c r="P66" s="89">
        <f t="shared" si="10"/>
        <v>245203.3517</v>
      </c>
      <c r="Q66" s="491">
        <f>IF(ISBLANK(M66), "", VLOOKUP(A66&amp;" "&amp;B66, 'Info Tipo de Cambio y REM'!$A$24:$B$47, 2, FALSE))</f>
        <v>1739</v>
      </c>
      <c r="R66" s="109">
        <f t="shared" si="1"/>
        <v>3515.57052</v>
      </c>
      <c r="S66" s="71">
        <f t="shared" si="2"/>
        <v>7397428.333</v>
      </c>
      <c r="T66" s="71">
        <f t="shared" si="3"/>
        <v>4253.840329</v>
      </c>
      <c r="U66" s="43" t="s">
        <v>1233</v>
      </c>
      <c r="V66" s="486" t="str">
        <f t="shared" si="4"/>
        <v>Proyección</v>
      </c>
      <c r="X66" s="89"/>
      <c r="Y66" s="89"/>
      <c r="Z66" s="89"/>
      <c r="AA66" s="89"/>
    </row>
    <row r="67" hidden="1">
      <c r="A67" s="51" t="s">
        <v>166</v>
      </c>
      <c r="B67" s="43">
        <v>2026.0</v>
      </c>
      <c r="C67" s="51" t="s">
        <v>171</v>
      </c>
      <c r="D67" s="43">
        <v>2026.0</v>
      </c>
      <c r="E67" s="43" t="s">
        <v>119</v>
      </c>
      <c r="F67" s="43" t="s">
        <v>1127</v>
      </c>
      <c r="G67" s="43" t="s">
        <v>1126</v>
      </c>
      <c r="H67" s="43" t="s">
        <v>305</v>
      </c>
      <c r="I67" s="43" t="s">
        <v>311</v>
      </c>
      <c r="J67" s="443">
        <v>30.0</v>
      </c>
      <c r="K67" s="43">
        <v>1.0</v>
      </c>
      <c r="L67" s="71">
        <f t="shared" si="12"/>
        <v>6113577.134</v>
      </c>
      <c r="M67" s="71">
        <f t="shared" si="11"/>
        <v>6113577.134</v>
      </c>
      <c r="O67" s="71">
        <f t="shared" si="9"/>
        <v>1283851.198</v>
      </c>
      <c r="P67" s="89">
        <f t="shared" si="10"/>
        <v>245203.3517</v>
      </c>
      <c r="Q67" s="491">
        <f>IF(ISBLANK(M67), "", VLOOKUP(A67&amp;" "&amp;B67, 'Info Tipo de Cambio y REM'!$A$24:$B$47, 2, FALSE))</f>
        <v>1739</v>
      </c>
      <c r="R67" s="109">
        <f t="shared" si="1"/>
        <v>3515.57052</v>
      </c>
      <c r="S67" s="71">
        <f t="shared" si="2"/>
        <v>7397428.333</v>
      </c>
      <c r="T67" s="71">
        <f t="shared" si="3"/>
        <v>4253.840329</v>
      </c>
      <c r="U67" s="43" t="s">
        <v>1233</v>
      </c>
      <c r="V67" s="486" t="str">
        <f t="shared" si="4"/>
        <v>Proyección</v>
      </c>
      <c r="X67" s="89"/>
      <c r="Y67" s="89"/>
      <c r="Z67" s="89"/>
      <c r="AA67" s="89"/>
    </row>
    <row r="68" hidden="1">
      <c r="A68" s="51" t="s">
        <v>171</v>
      </c>
      <c r="B68" s="43">
        <v>2026.0</v>
      </c>
      <c r="C68" s="51" t="s">
        <v>175</v>
      </c>
      <c r="D68" s="43">
        <v>2026.0</v>
      </c>
      <c r="E68" s="43" t="s">
        <v>119</v>
      </c>
      <c r="F68" s="43" t="s">
        <v>1127</v>
      </c>
      <c r="G68" s="43" t="s">
        <v>1126</v>
      </c>
      <c r="H68" s="43" t="s">
        <v>305</v>
      </c>
      <c r="I68" s="43" t="s">
        <v>311</v>
      </c>
      <c r="J68" s="443">
        <v>30.0</v>
      </c>
      <c r="K68" s="43">
        <v>1.0</v>
      </c>
      <c r="L68" s="71">
        <f t="shared" si="12"/>
        <v>6113577.134</v>
      </c>
      <c r="M68" s="71">
        <f t="shared" si="11"/>
        <v>6113577.134</v>
      </c>
      <c r="O68" s="71">
        <f t="shared" si="9"/>
        <v>1283851.198</v>
      </c>
      <c r="P68" s="89">
        <f t="shared" si="10"/>
        <v>245203.3517</v>
      </c>
      <c r="Q68" s="491">
        <f>IF(ISBLANK(M68), "", VLOOKUP(A68&amp;" "&amp;B68, 'Info Tipo de Cambio y REM'!$A$24:$B$47, 2, FALSE))</f>
        <v>1739</v>
      </c>
      <c r="R68" s="109">
        <f t="shared" si="1"/>
        <v>3515.57052</v>
      </c>
      <c r="S68" s="71">
        <f t="shared" si="2"/>
        <v>7397428.333</v>
      </c>
      <c r="T68" s="71">
        <f t="shared" si="3"/>
        <v>4253.840329</v>
      </c>
      <c r="U68" s="43" t="s">
        <v>1233</v>
      </c>
      <c r="V68" s="486" t="str">
        <f t="shared" si="4"/>
        <v>Proyección</v>
      </c>
      <c r="X68" s="89"/>
      <c r="Y68" s="89"/>
      <c r="Z68" s="89"/>
      <c r="AA68" s="89"/>
    </row>
    <row r="69" hidden="1">
      <c r="A69" s="51" t="s">
        <v>175</v>
      </c>
      <c r="B69" s="43">
        <v>2026.0</v>
      </c>
      <c r="C69" s="51" t="s">
        <v>179</v>
      </c>
      <c r="D69" s="43">
        <v>2026.0</v>
      </c>
      <c r="E69" s="43" t="s">
        <v>119</v>
      </c>
      <c r="F69" s="43" t="s">
        <v>1127</v>
      </c>
      <c r="G69" s="43" t="s">
        <v>1126</v>
      </c>
      <c r="H69" s="43" t="s">
        <v>305</v>
      </c>
      <c r="I69" s="43" t="s">
        <v>311</v>
      </c>
      <c r="J69" s="443">
        <v>30.0</v>
      </c>
      <c r="K69" s="492">
        <v>1.075</v>
      </c>
      <c r="L69" s="71">
        <f t="shared" si="12"/>
        <v>6113577.134</v>
      </c>
      <c r="M69" s="71">
        <f t="shared" si="11"/>
        <v>6572095.419</v>
      </c>
      <c r="O69" s="71">
        <f t="shared" si="9"/>
        <v>1380140.038</v>
      </c>
      <c r="P69" s="89">
        <f t="shared" si="10"/>
        <v>263593.6031</v>
      </c>
      <c r="Q69" s="491">
        <f>IF(ISBLANK(M69), "", VLOOKUP(A69&amp;" "&amp;B69, 'Info Tipo de Cambio y REM'!$A$24:$B$47, 2, FALSE))</f>
        <v>1739</v>
      </c>
      <c r="R69" s="109">
        <f t="shared" si="1"/>
        <v>3779.238309</v>
      </c>
      <c r="S69" s="71">
        <f t="shared" si="2"/>
        <v>7952235.458</v>
      </c>
      <c r="T69" s="71">
        <f t="shared" si="3"/>
        <v>4572.878354</v>
      </c>
      <c r="U69" s="43" t="s">
        <v>1233</v>
      </c>
      <c r="V69" s="486" t="str">
        <f t="shared" si="4"/>
        <v>Proyección</v>
      </c>
      <c r="X69" s="89"/>
      <c r="Y69" s="89"/>
      <c r="Z69" s="89"/>
      <c r="AA69" s="89"/>
    </row>
    <row r="70" hidden="1">
      <c r="A70" s="51" t="s">
        <v>179</v>
      </c>
      <c r="B70" s="43">
        <v>2026.0</v>
      </c>
      <c r="C70" s="51" t="s">
        <v>182</v>
      </c>
      <c r="D70" s="43">
        <v>2026.0</v>
      </c>
      <c r="E70" s="43" t="s">
        <v>119</v>
      </c>
      <c r="F70" s="43" t="s">
        <v>1127</v>
      </c>
      <c r="G70" s="43" t="s">
        <v>1126</v>
      </c>
      <c r="H70" s="43" t="s">
        <v>305</v>
      </c>
      <c r="I70" s="43" t="s">
        <v>311</v>
      </c>
      <c r="J70" s="443">
        <v>30.0</v>
      </c>
      <c r="K70" s="43">
        <v>1.0</v>
      </c>
      <c r="L70" s="71">
        <f t="shared" si="12"/>
        <v>6572095.419</v>
      </c>
      <c r="M70" s="71">
        <f t="shared" si="11"/>
        <v>6572095.419</v>
      </c>
      <c r="O70" s="71">
        <f t="shared" si="9"/>
        <v>1380140.038</v>
      </c>
      <c r="P70" s="89">
        <f t="shared" si="10"/>
        <v>263593.6031</v>
      </c>
      <c r="Q70" s="491">
        <f>IF(ISBLANK(M70), "", VLOOKUP(A70&amp;" "&amp;B70, 'Info Tipo de Cambio y REM'!$A$24:$B$47, 2, FALSE))</f>
        <v>1739</v>
      </c>
      <c r="R70" s="109">
        <f t="shared" si="1"/>
        <v>3779.238309</v>
      </c>
      <c r="S70" s="71">
        <f t="shared" si="2"/>
        <v>7952235.458</v>
      </c>
      <c r="T70" s="71">
        <f t="shared" si="3"/>
        <v>4572.878354</v>
      </c>
      <c r="U70" s="43" t="s">
        <v>1233</v>
      </c>
      <c r="V70" s="486" t="str">
        <f t="shared" si="4"/>
        <v>Proyección</v>
      </c>
      <c r="X70" s="89"/>
      <c r="Y70" s="89"/>
      <c r="Z70" s="89"/>
      <c r="AA70" s="89"/>
    </row>
    <row r="71" hidden="1">
      <c r="A71" s="51" t="s">
        <v>182</v>
      </c>
      <c r="B71" s="43">
        <v>2026.0</v>
      </c>
      <c r="C71" s="51" t="s">
        <v>123</v>
      </c>
      <c r="D71" s="43">
        <v>2027.0</v>
      </c>
      <c r="E71" s="43" t="s">
        <v>119</v>
      </c>
      <c r="F71" s="43" t="s">
        <v>1127</v>
      </c>
      <c r="G71" s="43" t="s">
        <v>1126</v>
      </c>
      <c r="H71" s="43" t="s">
        <v>305</v>
      </c>
      <c r="I71" s="43" t="s">
        <v>311</v>
      </c>
      <c r="J71" s="443">
        <v>30.0</v>
      </c>
      <c r="K71" s="43">
        <v>1.0</v>
      </c>
      <c r="L71" s="71">
        <f t="shared" si="12"/>
        <v>6572095.419</v>
      </c>
      <c r="M71" s="71">
        <f t="shared" si="11"/>
        <v>6572095.419</v>
      </c>
      <c r="O71" s="71">
        <f t="shared" si="9"/>
        <v>1380140.038</v>
      </c>
      <c r="P71" s="89">
        <f t="shared" si="10"/>
        <v>263593.6031</v>
      </c>
      <c r="Q71" s="491">
        <f>IF(ISBLANK(M71), "", VLOOKUP(A71&amp;" "&amp;B71, 'Info Tipo de Cambio y REM'!$A$24:$B$47, 2, FALSE))</f>
        <v>1739</v>
      </c>
      <c r="R71" s="109">
        <f t="shared" si="1"/>
        <v>3779.238309</v>
      </c>
      <c r="S71" s="71">
        <f t="shared" si="2"/>
        <v>7952235.458</v>
      </c>
      <c r="T71" s="71">
        <f t="shared" si="3"/>
        <v>4572.878354</v>
      </c>
      <c r="U71" s="43" t="s">
        <v>1233</v>
      </c>
      <c r="V71" s="486" t="str">
        <f t="shared" si="4"/>
        <v>Proyección</v>
      </c>
      <c r="X71" s="89"/>
      <c r="Y71" s="89"/>
      <c r="Z71" s="89"/>
      <c r="AA71" s="89"/>
    </row>
    <row r="72" hidden="1">
      <c r="A72" s="51" t="s">
        <v>123</v>
      </c>
      <c r="B72" s="43">
        <v>2025.0</v>
      </c>
      <c r="C72" s="51" t="s">
        <v>123</v>
      </c>
      <c r="D72" s="43">
        <v>2025.0</v>
      </c>
      <c r="E72" s="43" t="s">
        <v>193</v>
      </c>
      <c r="G72" s="43" t="s">
        <v>1126</v>
      </c>
      <c r="H72" s="43" t="s">
        <v>311</v>
      </c>
      <c r="I72" s="43" t="s">
        <v>311</v>
      </c>
      <c r="J72" s="443" t="s">
        <v>1235</v>
      </c>
      <c r="K72" s="43">
        <v>1.0</v>
      </c>
      <c r="L72" s="89">
        <v>718100.0</v>
      </c>
      <c r="M72" s="71">
        <f t="shared" si="11"/>
        <v>718100</v>
      </c>
      <c r="P72" s="89"/>
      <c r="Q72" s="491">
        <f>IF(ISBLANK(M72), "", VLOOKUP(A72&amp;" "&amp;B72, 'Info Tipo de Cambio y REM'!$A$24:$B$47, 2, FALSE))</f>
        <v>1220</v>
      </c>
      <c r="R72" s="109">
        <f t="shared" si="1"/>
        <v>588.6065574</v>
      </c>
      <c r="S72" s="71">
        <f t="shared" si="2"/>
        <v>718100</v>
      </c>
      <c r="T72" s="71">
        <f t="shared" si="3"/>
        <v>588.6065574</v>
      </c>
      <c r="U72" s="43" t="s">
        <v>1236</v>
      </c>
      <c r="V72" s="486" t="str">
        <f t="shared" si="4"/>
        <v>Real</v>
      </c>
      <c r="X72" s="89"/>
      <c r="Y72" s="89"/>
      <c r="Z72" s="89"/>
      <c r="AA72" s="89"/>
    </row>
    <row r="73" hidden="1">
      <c r="A73" s="51" t="s">
        <v>129</v>
      </c>
      <c r="B73" s="43">
        <v>2025.0</v>
      </c>
      <c r="C73" s="51" t="s">
        <v>129</v>
      </c>
      <c r="D73" s="43">
        <v>2025.0</v>
      </c>
      <c r="E73" s="43" t="s">
        <v>193</v>
      </c>
      <c r="G73" s="43" t="s">
        <v>1126</v>
      </c>
      <c r="H73" s="43" t="s">
        <v>311</v>
      </c>
      <c r="I73" s="43" t="s">
        <v>311</v>
      </c>
      <c r="J73" s="443" t="s">
        <v>1235</v>
      </c>
      <c r="K73" s="43">
        <v>1.0</v>
      </c>
      <c r="L73" s="89">
        <v>144000.0</v>
      </c>
      <c r="M73" s="71">
        <f t="shared" si="11"/>
        <v>144000</v>
      </c>
      <c r="P73" s="89"/>
      <c r="Q73" s="491">
        <f>IF(ISBLANK(M73), "", VLOOKUP(A73&amp;" "&amp;B73, 'Info Tipo de Cambio y REM'!$A$24:$B$47, 2, FALSE))</f>
        <v>1230</v>
      </c>
      <c r="R73" s="109">
        <f t="shared" si="1"/>
        <v>117.0731707</v>
      </c>
      <c r="S73" s="71">
        <f t="shared" si="2"/>
        <v>144000</v>
      </c>
      <c r="T73" s="71">
        <f t="shared" si="3"/>
        <v>117.0731707</v>
      </c>
      <c r="U73" s="43" t="s">
        <v>1236</v>
      </c>
      <c r="V73" s="486" t="str">
        <f t="shared" si="4"/>
        <v>Real</v>
      </c>
      <c r="X73" s="89"/>
      <c r="Y73" s="89"/>
      <c r="Z73" s="89"/>
      <c r="AA73" s="89"/>
    </row>
    <row r="74" hidden="1">
      <c r="A74" s="51" t="s">
        <v>129</v>
      </c>
      <c r="B74" s="43">
        <v>2025.0</v>
      </c>
      <c r="C74" s="51" t="s">
        <v>129</v>
      </c>
      <c r="D74" s="43">
        <v>2025.0</v>
      </c>
      <c r="E74" s="43" t="s">
        <v>193</v>
      </c>
      <c r="G74" s="43" t="s">
        <v>1126</v>
      </c>
      <c r="H74" s="43" t="s">
        <v>311</v>
      </c>
      <c r="I74" s="43" t="s">
        <v>311</v>
      </c>
      <c r="J74" s="443" t="s">
        <v>1235</v>
      </c>
      <c r="K74" s="43">
        <v>1.0</v>
      </c>
      <c r="L74" s="89">
        <v>718000.0</v>
      </c>
      <c r="M74" s="71">
        <f t="shared" si="11"/>
        <v>718000</v>
      </c>
      <c r="P74" s="89"/>
      <c r="Q74" s="491">
        <f>IF(ISBLANK(M74), "", VLOOKUP(A74&amp;" "&amp;B74, 'Info Tipo de Cambio y REM'!$A$24:$B$47, 2, FALSE))</f>
        <v>1230</v>
      </c>
      <c r="R74" s="109">
        <f t="shared" si="1"/>
        <v>583.7398374</v>
      </c>
      <c r="S74" s="71">
        <f t="shared" si="2"/>
        <v>718000</v>
      </c>
      <c r="T74" s="71">
        <f t="shared" si="3"/>
        <v>583.7398374</v>
      </c>
      <c r="U74" s="43" t="s">
        <v>1236</v>
      </c>
      <c r="V74" s="486" t="str">
        <f t="shared" si="4"/>
        <v>Real</v>
      </c>
      <c r="X74" s="89"/>
      <c r="Y74" s="89"/>
      <c r="Z74" s="89"/>
      <c r="AA74" s="89"/>
    </row>
    <row r="75" hidden="1">
      <c r="A75" s="51" t="s">
        <v>136</v>
      </c>
      <c r="B75" s="43">
        <v>2025.0</v>
      </c>
      <c r="C75" s="51" t="s">
        <v>136</v>
      </c>
      <c r="D75" s="43">
        <v>2025.0</v>
      </c>
      <c r="E75" s="43" t="s">
        <v>193</v>
      </c>
      <c r="G75" s="43" t="s">
        <v>1126</v>
      </c>
      <c r="H75" s="43" t="s">
        <v>311</v>
      </c>
      <c r="I75" s="43" t="s">
        <v>311</v>
      </c>
      <c r="J75" s="443" t="s">
        <v>1235</v>
      </c>
      <c r="K75" s="43">
        <v>1.0</v>
      </c>
      <c r="L75" s="89">
        <v>771250.0</v>
      </c>
      <c r="M75" s="71">
        <f t="shared" si="11"/>
        <v>771250</v>
      </c>
      <c r="P75" s="89"/>
      <c r="Q75" s="491">
        <f>IF(ISBLANK(M75), "", VLOOKUP(A75&amp;" "&amp;B75, 'Info Tipo de Cambio y REM'!$A$24:$B$47, 2, FALSE))</f>
        <v>1325</v>
      </c>
      <c r="R75" s="109">
        <f t="shared" si="1"/>
        <v>582.0754717</v>
      </c>
      <c r="S75" s="71">
        <f t="shared" si="2"/>
        <v>771250</v>
      </c>
      <c r="T75" s="71">
        <f t="shared" si="3"/>
        <v>582.0754717</v>
      </c>
      <c r="U75" s="43" t="s">
        <v>1236</v>
      </c>
      <c r="V75" s="486" t="str">
        <f t="shared" si="4"/>
        <v>Real</v>
      </c>
      <c r="X75" s="89"/>
      <c r="Y75" s="89"/>
      <c r="Z75" s="89"/>
      <c r="AA75" s="89"/>
    </row>
    <row r="76" hidden="1">
      <c r="A76" s="51" t="s">
        <v>143</v>
      </c>
      <c r="B76" s="43">
        <v>2025.0</v>
      </c>
      <c r="C76" s="51" t="s">
        <v>143</v>
      </c>
      <c r="D76" s="43">
        <v>2025.0</v>
      </c>
      <c r="E76" s="43" t="s">
        <v>193</v>
      </c>
      <c r="G76" s="43" t="s">
        <v>1126</v>
      </c>
      <c r="H76" s="43" t="s">
        <v>311</v>
      </c>
      <c r="I76" s="43" t="s">
        <v>311</v>
      </c>
      <c r="J76" s="443" t="s">
        <v>1235</v>
      </c>
      <c r="K76" s="43">
        <v>1.0</v>
      </c>
      <c r="L76" s="89">
        <v>792000.0</v>
      </c>
      <c r="M76" s="71">
        <f t="shared" si="11"/>
        <v>792000</v>
      </c>
      <c r="P76" s="89"/>
      <c r="Q76" s="491">
        <f>IF(ISBLANK(M76), "", VLOOKUP(A76&amp;" "&amp;B76, 'Info Tipo de Cambio y REM'!$A$24:$B$47, 2, FALSE))</f>
        <v>1185</v>
      </c>
      <c r="R76" s="109">
        <f t="shared" si="1"/>
        <v>668.3544304</v>
      </c>
      <c r="S76" s="71">
        <f t="shared" si="2"/>
        <v>792000</v>
      </c>
      <c r="T76" s="71">
        <f t="shared" si="3"/>
        <v>668.3544304</v>
      </c>
      <c r="U76" s="43" t="s">
        <v>1236</v>
      </c>
      <c r="V76" s="486" t="str">
        <f t="shared" si="4"/>
        <v>Real</v>
      </c>
      <c r="X76" s="89"/>
      <c r="Y76" s="89"/>
      <c r="Z76" s="89"/>
      <c r="AA76" s="89"/>
    </row>
    <row r="77" hidden="1">
      <c r="A77" s="51" t="s">
        <v>149</v>
      </c>
      <c r="B77" s="43">
        <v>2025.0</v>
      </c>
      <c r="C77" s="51" t="s">
        <v>149</v>
      </c>
      <c r="D77" s="43">
        <v>2025.0</v>
      </c>
      <c r="E77" s="43" t="s">
        <v>193</v>
      </c>
      <c r="G77" s="43" t="s">
        <v>1126</v>
      </c>
      <c r="H77" s="43" t="s">
        <v>311</v>
      </c>
      <c r="I77" s="43" t="s">
        <v>311</v>
      </c>
      <c r="J77" s="443" t="s">
        <v>1235</v>
      </c>
      <c r="K77" s="43">
        <v>1.0</v>
      </c>
      <c r="L77" s="89">
        <v>144000.0</v>
      </c>
      <c r="M77" s="71">
        <f t="shared" si="11"/>
        <v>144000</v>
      </c>
      <c r="P77" s="89"/>
      <c r="Q77" s="491">
        <f>IF(ISBLANK(M77), "", VLOOKUP(A77&amp;" "&amp;B77, 'Info Tipo de Cambio y REM'!$A$24:$B$47, 2, FALSE))</f>
        <v>1180</v>
      </c>
      <c r="R77" s="109">
        <f t="shared" si="1"/>
        <v>122.0338983</v>
      </c>
      <c r="S77" s="71">
        <f t="shared" si="2"/>
        <v>144000</v>
      </c>
      <c r="T77" s="71">
        <f t="shared" si="3"/>
        <v>122.0338983</v>
      </c>
      <c r="U77" s="43" t="s">
        <v>1236</v>
      </c>
      <c r="V77" s="486" t="str">
        <f t="shared" si="4"/>
        <v>Real</v>
      </c>
      <c r="X77" s="89"/>
      <c r="Y77" s="89"/>
      <c r="Z77" s="89"/>
      <c r="AA77" s="89"/>
    </row>
    <row r="78" hidden="1">
      <c r="A78" s="51" t="s">
        <v>149</v>
      </c>
      <c r="B78" s="43">
        <v>2025.0</v>
      </c>
      <c r="C78" s="51" t="s">
        <v>149</v>
      </c>
      <c r="D78" s="43">
        <v>2025.0</v>
      </c>
      <c r="E78" s="43" t="s">
        <v>193</v>
      </c>
      <c r="G78" s="43" t="s">
        <v>1126</v>
      </c>
      <c r="H78" s="43" t="s">
        <v>311</v>
      </c>
      <c r="I78" s="43" t="s">
        <v>311</v>
      </c>
      <c r="J78" s="443" t="s">
        <v>1235</v>
      </c>
      <c r="K78" s="43">
        <v>1.0</v>
      </c>
      <c r="L78" s="89">
        <v>771250.0</v>
      </c>
      <c r="M78" s="71">
        <f t="shared" si="11"/>
        <v>771250</v>
      </c>
      <c r="P78" s="89"/>
      <c r="Q78" s="491">
        <f>IF(ISBLANK(M78), "", VLOOKUP(A78&amp;" "&amp;B78, 'Info Tipo de Cambio y REM'!$A$24:$B$47, 2, FALSE))</f>
        <v>1180</v>
      </c>
      <c r="R78" s="109">
        <f t="shared" si="1"/>
        <v>653.6016949</v>
      </c>
      <c r="S78" s="71">
        <f t="shared" si="2"/>
        <v>771250</v>
      </c>
      <c r="T78" s="71">
        <f t="shared" si="3"/>
        <v>653.6016949</v>
      </c>
      <c r="U78" s="43" t="s">
        <v>1236</v>
      </c>
      <c r="V78" s="486" t="str">
        <f t="shared" si="4"/>
        <v>Real</v>
      </c>
      <c r="X78" s="89"/>
      <c r="Y78" s="89"/>
      <c r="Z78" s="89"/>
      <c r="AA78" s="89"/>
    </row>
    <row r="79" hidden="1">
      <c r="A79" s="51" t="s">
        <v>155</v>
      </c>
      <c r="B79" s="43">
        <v>2025.0</v>
      </c>
      <c r="C79" s="51" t="s">
        <v>155</v>
      </c>
      <c r="D79" s="43">
        <v>2025.0</v>
      </c>
      <c r="E79" s="43" t="s">
        <v>193</v>
      </c>
      <c r="G79" s="43" t="s">
        <v>1126</v>
      </c>
      <c r="H79" s="43" t="s">
        <v>311</v>
      </c>
      <c r="I79" s="43" t="s">
        <v>311</v>
      </c>
      <c r="J79" s="443" t="s">
        <v>1235</v>
      </c>
      <c r="K79" s="43">
        <v>1.0</v>
      </c>
      <c r="L79" s="89">
        <v>1071885.0</v>
      </c>
      <c r="M79" s="71">
        <f t="shared" si="11"/>
        <v>1071885</v>
      </c>
      <c r="P79" s="89"/>
      <c r="Q79" s="491">
        <f>IF(ISBLANK(M79), "", VLOOKUP(A79&amp;" "&amp;B79, 'Info Tipo de Cambio y REM'!$A$24:$B$47, 2, FALSE))</f>
        <v>1215</v>
      </c>
      <c r="R79" s="109">
        <f t="shared" si="1"/>
        <v>882.2098765</v>
      </c>
      <c r="S79" s="71">
        <f t="shared" si="2"/>
        <v>1071885</v>
      </c>
      <c r="T79" s="71">
        <f t="shared" si="3"/>
        <v>882.2098765</v>
      </c>
      <c r="U79" s="43" t="s">
        <v>1236</v>
      </c>
      <c r="V79" s="486" t="str">
        <f t="shared" si="4"/>
        <v>Real</v>
      </c>
      <c r="X79" s="89"/>
      <c r="Y79" s="89"/>
      <c r="Z79" s="89"/>
      <c r="AA79" s="89"/>
    </row>
    <row r="80" hidden="1">
      <c r="A80" s="51" t="s">
        <v>161</v>
      </c>
      <c r="B80" s="43">
        <v>2025.0</v>
      </c>
      <c r="C80" s="51" t="s">
        <v>161</v>
      </c>
      <c r="D80" s="43">
        <v>2025.0</v>
      </c>
      <c r="E80" s="43" t="s">
        <v>193</v>
      </c>
      <c r="G80" s="43" t="s">
        <v>1126</v>
      </c>
      <c r="H80" s="43" t="s">
        <v>311</v>
      </c>
      <c r="I80" s="43" t="s">
        <v>311</v>
      </c>
      <c r="J80" s="443" t="s">
        <v>1235</v>
      </c>
      <c r="K80" s="43">
        <v>1.0</v>
      </c>
      <c r="L80" s="71">
        <f>M79</f>
        <v>1071885</v>
      </c>
      <c r="M80" s="71">
        <f t="shared" si="11"/>
        <v>1071885</v>
      </c>
      <c r="P80" s="89"/>
      <c r="Q80" s="491">
        <f>IF(ISBLANK(M80), "", VLOOKUP(A80&amp;" "&amp;B80, 'Info Tipo de Cambio y REM'!$A$24:$B$47, 2, FALSE))</f>
        <v>1320</v>
      </c>
      <c r="R80" s="109">
        <f t="shared" si="1"/>
        <v>812.0340909</v>
      </c>
      <c r="S80" s="71">
        <f t="shared" si="2"/>
        <v>1071885</v>
      </c>
      <c r="T80" s="71">
        <f t="shared" si="3"/>
        <v>812.0340909</v>
      </c>
      <c r="U80" s="43" t="s">
        <v>1236</v>
      </c>
      <c r="V80" s="486" t="str">
        <f t="shared" si="4"/>
        <v>Real</v>
      </c>
      <c r="W80" s="43"/>
      <c r="X80" s="43"/>
    </row>
    <row r="81" hidden="1">
      <c r="A81" s="51" t="s">
        <v>161</v>
      </c>
      <c r="B81" s="43">
        <v>2025.0</v>
      </c>
      <c r="C81" s="51" t="s">
        <v>161</v>
      </c>
      <c r="D81" s="43">
        <v>2025.0</v>
      </c>
      <c r="E81" s="43" t="s">
        <v>193</v>
      </c>
      <c r="G81" s="43" t="s">
        <v>1133</v>
      </c>
      <c r="H81" s="43" t="s">
        <v>311</v>
      </c>
      <c r="I81" s="43" t="s">
        <v>311</v>
      </c>
      <c r="J81" s="443" t="s">
        <v>1235</v>
      </c>
      <c r="K81" s="43">
        <v>1.0</v>
      </c>
      <c r="L81" s="89">
        <v>130000.0</v>
      </c>
      <c r="M81" s="71">
        <f t="shared" si="11"/>
        <v>130000</v>
      </c>
      <c r="P81" s="89"/>
      <c r="Q81" s="491">
        <f>IF(ISBLANK(M81), "", VLOOKUP(A81&amp;" "&amp;B81, 'Info Tipo de Cambio y REM'!$A$24:$B$47, 2, FALSE))</f>
        <v>1320</v>
      </c>
      <c r="R81" s="109">
        <f t="shared" si="1"/>
        <v>98.48484848</v>
      </c>
      <c r="S81" s="71">
        <f t="shared" si="2"/>
        <v>130000</v>
      </c>
      <c r="T81" s="71">
        <f t="shared" si="3"/>
        <v>98.48484848</v>
      </c>
      <c r="U81" s="43" t="s">
        <v>1236</v>
      </c>
      <c r="V81" s="486" t="str">
        <f t="shared" si="4"/>
        <v>Real</v>
      </c>
      <c r="W81" s="43"/>
      <c r="X81" s="43"/>
    </row>
    <row r="82" hidden="1">
      <c r="A82" s="51" t="s">
        <v>166</v>
      </c>
      <c r="B82" s="43">
        <v>2025.0</v>
      </c>
      <c r="C82" s="51" t="s">
        <v>166</v>
      </c>
      <c r="D82" s="43">
        <v>2025.0</v>
      </c>
      <c r="E82" s="43" t="s">
        <v>193</v>
      </c>
      <c r="G82" s="43" t="s">
        <v>1126</v>
      </c>
      <c r="H82" s="43" t="s">
        <v>311</v>
      </c>
      <c r="I82" s="43" t="s">
        <v>311</v>
      </c>
      <c r="J82" s="443" t="s">
        <v>1235</v>
      </c>
      <c r="K82" s="43">
        <v>1.0</v>
      </c>
      <c r="L82" s="71">
        <f>M80</f>
        <v>1071885</v>
      </c>
      <c r="M82" s="71">
        <f t="shared" si="11"/>
        <v>1071885</v>
      </c>
      <c r="P82" s="89"/>
      <c r="Q82" s="491">
        <f>IF(ISBLANK(M82), "", VLOOKUP(A82&amp;" "&amp;B82, 'Info Tipo de Cambio y REM'!$A$24:$B$47, 2, FALSE))</f>
        <v>1345</v>
      </c>
      <c r="R82" s="109">
        <f t="shared" si="1"/>
        <v>796.9405204</v>
      </c>
      <c r="S82" s="71">
        <f t="shared" si="2"/>
        <v>1071885</v>
      </c>
      <c r="T82" s="71">
        <f t="shared" si="3"/>
        <v>796.9405204</v>
      </c>
      <c r="U82" s="43" t="s">
        <v>1236</v>
      </c>
      <c r="V82" s="486" t="str">
        <f t="shared" si="4"/>
        <v>Real</v>
      </c>
      <c r="W82" s="43"/>
      <c r="X82" s="43"/>
    </row>
    <row r="83" hidden="1">
      <c r="A83" s="51" t="s">
        <v>166</v>
      </c>
      <c r="B83" s="43">
        <v>2025.0</v>
      </c>
      <c r="C83" s="51" t="s">
        <v>166</v>
      </c>
      <c r="D83" s="43">
        <v>2025.0</v>
      </c>
      <c r="E83" s="43" t="s">
        <v>193</v>
      </c>
      <c r="F83" s="43" t="s">
        <v>1237</v>
      </c>
      <c r="G83" s="43" t="s">
        <v>1133</v>
      </c>
      <c r="H83" s="43" t="s">
        <v>311</v>
      </c>
      <c r="I83" s="43" t="s">
        <v>311</v>
      </c>
      <c r="J83" s="443" t="s">
        <v>1235</v>
      </c>
      <c r="K83" s="43">
        <v>1.0</v>
      </c>
      <c r="L83" s="89">
        <v>370000.0</v>
      </c>
      <c r="M83" s="71">
        <f t="shared" si="11"/>
        <v>370000</v>
      </c>
      <c r="P83" s="89"/>
      <c r="Q83" s="491">
        <f>IF(ISBLANK(M83), "", VLOOKUP(A83&amp;" "&amp;B83, 'Info Tipo de Cambio y REM'!$A$24:$B$47, 2, FALSE))</f>
        <v>1345</v>
      </c>
      <c r="R83" s="109">
        <f t="shared" si="1"/>
        <v>275.0929368</v>
      </c>
      <c r="S83" s="71">
        <f t="shared" si="2"/>
        <v>370000</v>
      </c>
      <c r="T83" s="71">
        <f t="shared" si="3"/>
        <v>275.0929368</v>
      </c>
      <c r="U83" s="43" t="s">
        <v>1236</v>
      </c>
      <c r="V83" s="486" t="str">
        <f t="shared" si="4"/>
        <v>Real</v>
      </c>
      <c r="W83" s="43"/>
      <c r="X83" s="43"/>
    </row>
    <row r="84" hidden="1">
      <c r="A84" s="51" t="s">
        <v>171</v>
      </c>
      <c r="B84" s="43">
        <v>2025.0</v>
      </c>
      <c r="C84" s="51" t="s">
        <v>171</v>
      </c>
      <c r="D84" s="43">
        <v>2025.0</v>
      </c>
      <c r="E84" s="43" t="s">
        <v>193</v>
      </c>
      <c r="G84" s="43" t="s">
        <v>1126</v>
      </c>
      <c r="H84" s="43" t="s">
        <v>311</v>
      </c>
      <c r="I84" s="43" t="s">
        <v>311</v>
      </c>
      <c r="J84" s="443" t="s">
        <v>1235</v>
      </c>
      <c r="K84" s="175">
        <v>1.0</v>
      </c>
      <c r="L84" s="43">
        <v>1114000.0</v>
      </c>
      <c r="M84" s="71">
        <f t="shared" si="11"/>
        <v>1114000</v>
      </c>
      <c r="P84" s="89"/>
      <c r="Q84" s="491">
        <f>IF(ISBLANK(M84), "", VLOOKUP(A84&amp;" "&amp;B84, 'Info Tipo de Cambio y REM'!$A$24:$B$47, 2, FALSE))</f>
        <v>1445</v>
      </c>
      <c r="R84" s="109">
        <f t="shared" si="1"/>
        <v>770.9342561</v>
      </c>
      <c r="S84" s="71">
        <f t="shared" si="2"/>
        <v>1114000</v>
      </c>
      <c r="T84" s="71">
        <f t="shared" si="3"/>
        <v>770.9342561</v>
      </c>
      <c r="U84" s="43" t="s">
        <v>1236</v>
      </c>
      <c r="V84" s="486" t="str">
        <f t="shared" si="4"/>
        <v>Real</v>
      </c>
      <c r="W84" s="43"/>
      <c r="X84" s="43"/>
    </row>
    <row r="85" hidden="1">
      <c r="A85" s="51" t="s">
        <v>175</v>
      </c>
      <c r="B85" s="43">
        <v>2025.0</v>
      </c>
      <c r="C85" s="51" t="s">
        <v>175</v>
      </c>
      <c r="D85" s="43">
        <v>2025.0</v>
      </c>
      <c r="E85" s="43" t="s">
        <v>193</v>
      </c>
      <c r="G85" s="43" t="s">
        <v>1126</v>
      </c>
      <c r="H85" s="43" t="s">
        <v>311</v>
      </c>
      <c r="I85" s="43" t="s">
        <v>311</v>
      </c>
      <c r="J85" s="443" t="s">
        <v>1235</v>
      </c>
      <c r="K85" s="43">
        <v>1.0</v>
      </c>
      <c r="L85" s="71">
        <f t="shared" ref="L85:L86" si="13">M84</f>
        <v>1114000</v>
      </c>
      <c r="M85" s="71">
        <f t="shared" si="11"/>
        <v>1114000</v>
      </c>
      <c r="P85" s="89"/>
      <c r="Q85" s="491">
        <f>IF(ISBLANK(M85), "", VLOOKUP(A85&amp;" "&amp;B85, 'Info Tipo de Cambio y REM'!$A$24:$B$47, 2, FALSE))</f>
        <v>1440</v>
      </c>
      <c r="R85" s="109">
        <f t="shared" si="1"/>
        <v>773.6111111</v>
      </c>
      <c r="S85" s="71">
        <f t="shared" si="2"/>
        <v>1114000</v>
      </c>
      <c r="T85" s="71">
        <f t="shared" si="3"/>
        <v>773.6111111</v>
      </c>
      <c r="U85" s="43" t="s">
        <v>1236</v>
      </c>
      <c r="V85" s="486" t="str">
        <f t="shared" si="4"/>
        <v>Proyección</v>
      </c>
      <c r="W85" s="43"/>
      <c r="X85" s="43"/>
    </row>
    <row r="86" hidden="1">
      <c r="A86" s="51" t="s">
        <v>179</v>
      </c>
      <c r="B86" s="43">
        <v>2025.0</v>
      </c>
      <c r="C86" s="51" t="s">
        <v>179</v>
      </c>
      <c r="D86" s="43">
        <v>2025.0</v>
      </c>
      <c r="E86" s="43" t="s">
        <v>193</v>
      </c>
      <c r="G86" s="43" t="s">
        <v>1126</v>
      </c>
      <c r="H86" s="43" t="s">
        <v>311</v>
      </c>
      <c r="I86" s="43" t="s">
        <v>311</v>
      </c>
      <c r="J86" s="443" t="s">
        <v>1235</v>
      </c>
      <c r="K86" s="43">
        <v>1.0</v>
      </c>
      <c r="L86" s="71">
        <f t="shared" si="13"/>
        <v>1114000</v>
      </c>
      <c r="M86" s="71">
        <f t="shared" si="11"/>
        <v>1114000</v>
      </c>
      <c r="P86" s="89"/>
      <c r="Q86" s="491">
        <f>IF(ISBLANK(M86), "", VLOOKUP(A86&amp;" "&amp;B86, 'Info Tipo de Cambio y REM'!$A$24:$B$47, 2, FALSE))</f>
        <v>1499</v>
      </c>
      <c r="R86" s="109">
        <f t="shared" si="1"/>
        <v>743.1621081</v>
      </c>
      <c r="S86" s="71">
        <f t="shared" si="2"/>
        <v>1114000</v>
      </c>
      <c r="T86" s="71">
        <f t="shared" si="3"/>
        <v>743.1621081</v>
      </c>
      <c r="U86" s="43" t="s">
        <v>1236</v>
      </c>
      <c r="V86" s="486" t="str">
        <f t="shared" si="4"/>
        <v>Proyección</v>
      </c>
      <c r="W86" s="43"/>
      <c r="X86" s="43"/>
    </row>
    <row r="87" hidden="1">
      <c r="A87" s="51" t="s">
        <v>182</v>
      </c>
      <c r="B87" s="43">
        <v>2025.0</v>
      </c>
      <c r="C87" s="51" t="s">
        <v>182</v>
      </c>
      <c r="D87" s="43">
        <v>2026.0</v>
      </c>
      <c r="E87" s="43" t="s">
        <v>193</v>
      </c>
      <c r="G87" s="43" t="s">
        <v>1126</v>
      </c>
      <c r="H87" s="43" t="s">
        <v>311</v>
      </c>
      <c r="I87" s="43" t="s">
        <v>311</v>
      </c>
      <c r="J87" s="443" t="s">
        <v>1235</v>
      </c>
      <c r="K87" s="175">
        <v>1.07</v>
      </c>
      <c r="L87" s="71">
        <f>M86*K87</f>
        <v>1191980</v>
      </c>
      <c r="M87" s="71">
        <f t="shared" si="11"/>
        <v>1275418.6</v>
      </c>
      <c r="P87" s="89"/>
      <c r="Q87" s="491">
        <f>IF(ISBLANK(M87), "", VLOOKUP(A87&amp;" "&amp;B87, 'Info Tipo de Cambio y REM'!$A$24:$B$47, 2, FALSE))</f>
        <v>1536</v>
      </c>
      <c r="R87" s="109">
        <f t="shared" si="1"/>
        <v>830.350651</v>
      </c>
      <c r="S87" s="71">
        <f t="shared" si="2"/>
        <v>1275418.6</v>
      </c>
      <c r="T87" s="71">
        <f t="shared" si="3"/>
        <v>830.350651</v>
      </c>
      <c r="U87" s="43" t="s">
        <v>1236</v>
      </c>
      <c r="V87" s="486" t="str">
        <f t="shared" si="4"/>
        <v>Proyección</v>
      </c>
      <c r="W87" s="43"/>
      <c r="X87" s="43"/>
    </row>
    <row r="88" hidden="1">
      <c r="A88" s="51" t="s">
        <v>166</v>
      </c>
      <c r="B88" s="43">
        <v>2025.0</v>
      </c>
      <c r="C88" s="51" t="s">
        <v>171</v>
      </c>
      <c r="D88" s="43">
        <v>2025.0</v>
      </c>
      <c r="E88" s="43" t="s">
        <v>206</v>
      </c>
      <c r="F88" s="43" t="s">
        <v>1238</v>
      </c>
      <c r="G88" s="43" t="s">
        <v>1133</v>
      </c>
      <c r="H88" s="43" t="s">
        <v>311</v>
      </c>
      <c r="I88" s="43" t="s">
        <v>311</v>
      </c>
      <c r="J88" s="443">
        <v>30.0</v>
      </c>
      <c r="K88" s="43">
        <v>1.0</v>
      </c>
      <c r="L88" s="89">
        <v>1675000.0</v>
      </c>
      <c r="M88" s="71">
        <f t="shared" si="11"/>
        <v>1675000</v>
      </c>
      <c r="O88" s="71">
        <f t="shared" ref="O88:O89" si="14">(M88*0.21)</f>
        <v>351750</v>
      </c>
      <c r="P88" s="89">
        <f t="shared" ref="P88:P89" si="15">(M88*0.4946*0.03)+(M88*0.5054*0.05)</f>
        <v>67180.9</v>
      </c>
      <c r="Q88" s="491">
        <f>IF(ISBLANK(M88), "", VLOOKUP(A88&amp;" "&amp;B88, 'Info Tipo de Cambio y REM'!$A$24:$B$47, 2, FALSE))</f>
        <v>1345</v>
      </c>
      <c r="R88" s="109">
        <f t="shared" si="1"/>
        <v>1245.35316</v>
      </c>
      <c r="S88" s="71">
        <f t="shared" si="2"/>
        <v>2026750</v>
      </c>
      <c r="T88" s="71">
        <f t="shared" si="3"/>
        <v>1506.877323</v>
      </c>
      <c r="U88" s="43" t="s">
        <v>1232</v>
      </c>
      <c r="V88" s="486" t="str">
        <f t="shared" si="4"/>
        <v>Real</v>
      </c>
      <c r="W88" s="43"/>
      <c r="X88" s="43"/>
    </row>
    <row r="89" hidden="1">
      <c r="A89" s="51" t="s">
        <v>171</v>
      </c>
      <c r="B89" s="43">
        <v>2025.0</v>
      </c>
      <c r="C89" s="51" t="s">
        <v>179</v>
      </c>
      <c r="D89" s="43">
        <v>2025.0</v>
      </c>
      <c r="E89" s="43" t="s">
        <v>211</v>
      </c>
      <c r="F89" s="43" t="s">
        <v>1239</v>
      </c>
      <c r="G89" s="43" t="s">
        <v>1133</v>
      </c>
      <c r="H89" s="43" t="s">
        <v>311</v>
      </c>
      <c r="I89" s="43" t="s">
        <v>311</v>
      </c>
      <c r="J89" s="443">
        <v>60.0</v>
      </c>
      <c r="K89" s="43">
        <v>1.0</v>
      </c>
      <c r="L89" s="89">
        <v>4250500.0</v>
      </c>
      <c r="M89" s="71">
        <f t="shared" si="11"/>
        <v>4250500</v>
      </c>
      <c r="O89" s="71">
        <f t="shared" si="14"/>
        <v>892605</v>
      </c>
      <c r="P89" s="89">
        <f t="shared" si="15"/>
        <v>170479.054</v>
      </c>
      <c r="Q89" s="491">
        <f>IF(ISBLANK(M89), "", VLOOKUP(A89&amp;" "&amp;B89, 'Info Tipo de Cambio y REM'!$A$24:$B$47, 2, FALSE))</f>
        <v>1445</v>
      </c>
      <c r="R89" s="109">
        <f t="shared" si="1"/>
        <v>2941.522491</v>
      </c>
      <c r="S89" s="71">
        <f t="shared" si="2"/>
        <v>5143105</v>
      </c>
      <c r="T89" s="71">
        <f t="shared" si="3"/>
        <v>3559.242215</v>
      </c>
      <c r="U89" s="43" t="s">
        <v>1233</v>
      </c>
      <c r="V89" s="486" t="str">
        <f t="shared" si="4"/>
        <v>Real</v>
      </c>
      <c r="W89" s="43"/>
      <c r="X89" s="43"/>
    </row>
    <row r="90" hidden="1">
      <c r="A90" s="51" t="s">
        <v>171</v>
      </c>
      <c r="B90" s="43">
        <v>2025.0</v>
      </c>
      <c r="C90" s="51" t="s">
        <v>175</v>
      </c>
      <c r="D90" s="43">
        <v>2025.0</v>
      </c>
      <c r="E90" s="43" t="s">
        <v>209</v>
      </c>
      <c r="F90" s="43" t="s">
        <v>1175</v>
      </c>
      <c r="G90" s="43" t="s">
        <v>1133</v>
      </c>
      <c r="H90" s="43" t="s">
        <v>311</v>
      </c>
      <c r="I90" s="43" t="s">
        <v>311</v>
      </c>
      <c r="J90" s="443">
        <v>30.0</v>
      </c>
      <c r="K90" s="43">
        <v>1.0</v>
      </c>
      <c r="L90" s="89">
        <v>2000000.0</v>
      </c>
      <c r="M90" s="71">
        <f t="shared" si="11"/>
        <v>2000000</v>
      </c>
      <c r="P90" s="89"/>
      <c r="Q90" s="491">
        <f>IF(ISBLANK(M90), "", VLOOKUP(A90&amp;" "&amp;B90, 'Info Tipo de Cambio y REM'!$A$24:$B$47, 2, FALSE))</f>
        <v>1445</v>
      </c>
      <c r="R90" s="109">
        <f t="shared" si="1"/>
        <v>1384.083045</v>
      </c>
      <c r="S90" s="71">
        <f t="shared" si="2"/>
        <v>2000000</v>
      </c>
      <c r="T90" s="71">
        <f t="shared" si="3"/>
        <v>1384.083045</v>
      </c>
      <c r="U90" s="43" t="s">
        <v>1236</v>
      </c>
      <c r="V90" s="493" t="s">
        <v>1111</v>
      </c>
      <c r="W90" s="43"/>
      <c r="X90" s="43"/>
    </row>
    <row r="91" hidden="1">
      <c r="A91" s="51" t="s">
        <v>161</v>
      </c>
      <c r="B91" s="43">
        <v>2025.0</v>
      </c>
      <c r="C91" s="51" t="s">
        <v>171</v>
      </c>
      <c r="D91" s="43">
        <v>2025.0</v>
      </c>
      <c r="E91" s="43" t="s">
        <v>132</v>
      </c>
      <c r="F91" s="43" t="s">
        <v>1189</v>
      </c>
      <c r="G91" s="43" t="s">
        <v>1133</v>
      </c>
      <c r="H91" s="43" t="s">
        <v>311</v>
      </c>
      <c r="I91" s="43" t="s">
        <v>311</v>
      </c>
      <c r="J91" s="443">
        <v>30.0</v>
      </c>
      <c r="K91" s="43">
        <v>1.0</v>
      </c>
      <c r="L91" s="89">
        <v>870000.0</v>
      </c>
      <c r="M91" s="71">
        <f t="shared" si="11"/>
        <v>870000</v>
      </c>
      <c r="O91" s="71">
        <f t="shared" ref="O91:O92" si="16">(M91*0.21)</f>
        <v>182700</v>
      </c>
      <c r="P91" s="89">
        <f t="shared" ref="P91:P92" si="17">(M91*0.4946*0.03)+(M91*0.5054*0.05)</f>
        <v>34893.96</v>
      </c>
      <c r="Q91" s="491">
        <f>IF(ISBLANK(M91), "", VLOOKUP(A91&amp;" "&amp;B91, 'Info Tipo de Cambio y REM'!$A$24:$B$47, 2, FALSE))</f>
        <v>1320</v>
      </c>
      <c r="R91" s="109">
        <f t="shared" si="1"/>
        <v>659.0909091</v>
      </c>
      <c r="S91" s="71">
        <f t="shared" si="2"/>
        <v>1052700</v>
      </c>
      <c r="T91" s="71">
        <f t="shared" si="3"/>
        <v>797.5</v>
      </c>
      <c r="U91" s="43" t="s">
        <v>1232</v>
      </c>
      <c r="V91" s="486" t="str">
        <f t="shared" ref="V91:V99" si="18">IF(EOMONTH(DATE(B91,VALUE(LEFT(A91,2)),1),0)&lt;TODAY(),"Real","Proyección")
</f>
        <v>Real</v>
      </c>
      <c r="W91" s="43"/>
      <c r="X91" s="43"/>
    </row>
    <row r="92" hidden="1">
      <c r="A92" s="51" t="s">
        <v>171</v>
      </c>
      <c r="B92" s="43">
        <v>2025.0</v>
      </c>
      <c r="C92" s="51" t="s">
        <v>175</v>
      </c>
      <c r="D92" s="43">
        <v>2025.0</v>
      </c>
      <c r="E92" s="43" t="s">
        <v>132</v>
      </c>
      <c r="F92" s="43" t="s">
        <v>1204</v>
      </c>
      <c r="G92" s="43" t="s">
        <v>1133</v>
      </c>
      <c r="H92" s="43" t="s">
        <v>311</v>
      </c>
      <c r="I92" s="43" t="s">
        <v>311</v>
      </c>
      <c r="J92" s="443">
        <v>30.0</v>
      </c>
      <c r="K92" s="43">
        <v>1.0</v>
      </c>
      <c r="L92" s="89">
        <v>1688220.0</v>
      </c>
      <c r="M92" s="71">
        <f t="shared" si="11"/>
        <v>1688220</v>
      </c>
      <c r="O92" s="71">
        <f t="shared" si="16"/>
        <v>354526.2</v>
      </c>
      <c r="P92" s="89">
        <f t="shared" si="17"/>
        <v>67711.12776</v>
      </c>
      <c r="Q92" s="491">
        <f>IF(ISBLANK(M92), "", VLOOKUP(A92&amp;" "&amp;B92, 'Info Tipo de Cambio y REM'!$A$24:$B$47, 2, FALSE))</f>
        <v>1445</v>
      </c>
      <c r="R92" s="109">
        <f t="shared" si="1"/>
        <v>1168.318339</v>
      </c>
      <c r="S92" s="71">
        <f t="shared" si="2"/>
        <v>2042746.2</v>
      </c>
      <c r="T92" s="71">
        <f t="shared" si="3"/>
        <v>1413.66519</v>
      </c>
      <c r="U92" s="43" t="s">
        <v>1232</v>
      </c>
      <c r="V92" s="486" t="str">
        <f t="shared" si="18"/>
        <v>Real</v>
      </c>
      <c r="W92" s="43"/>
      <c r="X92" s="43"/>
    </row>
    <row r="93" hidden="1">
      <c r="A93" s="51" t="s">
        <v>123</v>
      </c>
      <c r="B93" s="43">
        <v>2025.0</v>
      </c>
      <c r="C93" s="51" t="s">
        <v>123</v>
      </c>
      <c r="D93" s="43">
        <v>2025.0</v>
      </c>
      <c r="E93" s="43" t="s">
        <v>176</v>
      </c>
      <c r="G93" s="43" t="s">
        <v>1126</v>
      </c>
      <c r="H93" s="43" t="s">
        <v>311</v>
      </c>
      <c r="I93" s="43" t="s">
        <v>311</v>
      </c>
      <c r="J93" s="443">
        <v>30.0</v>
      </c>
      <c r="K93" s="43">
        <v>1.0</v>
      </c>
      <c r="L93" s="89">
        <v>7218136.43</v>
      </c>
      <c r="M93" s="71">
        <f t="shared" si="11"/>
        <v>7218136.43</v>
      </c>
      <c r="Q93" s="491">
        <f>IF(ISBLANK(M93), "", VLOOKUP(A93&amp;" "&amp;B93, 'Info Tipo de Cambio y REM'!$A$24:$B$47, 2, FALSE))</f>
        <v>1220</v>
      </c>
      <c r="R93" s="109">
        <f t="shared" si="1"/>
        <v>5916.50527</v>
      </c>
      <c r="S93" s="71">
        <f t="shared" si="2"/>
        <v>7218136.43</v>
      </c>
      <c r="T93" s="71">
        <f t="shared" si="3"/>
        <v>5916.50527</v>
      </c>
      <c r="U93" s="43" t="s">
        <v>1232</v>
      </c>
      <c r="V93" s="486" t="str">
        <f t="shared" si="18"/>
        <v>Real</v>
      </c>
      <c r="W93" s="43"/>
      <c r="X93" s="43"/>
    </row>
    <row r="94" hidden="1">
      <c r="A94" s="51" t="s">
        <v>175</v>
      </c>
      <c r="B94" s="43">
        <v>2025.0</v>
      </c>
      <c r="C94" s="51" t="s">
        <v>175</v>
      </c>
      <c r="D94" s="43">
        <v>2025.0</v>
      </c>
      <c r="E94" s="43" t="s">
        <v>138</v>
      </c>
      <c r="F94" s="43" t="s">
        <v>1240</v>
      </c>
      <c r="G94" s="43" t="s">
        <v>1133</v>
      </c>
      <c r="H94" s="43" t="s">
        <v>305</v>
      </c>
      <c r="I94" s="43" t="s">
        <v>311</v>
      </c>
      <c r="J94" s="479"/>
      <c r="K94" s="43">
        <v>1.0</v>
      </c>
      <c r="N94" s="89">
        <f>(12360*0.1)</f>
        <v>1236</v>
      </c>
      <c r="Q94" s="491" t="str">
        <f>IF(ISBLANK(M94), "", VLOOKUP(A94&amp;" "&amp;B94, 'Info Tipo de Cambio y REM'!$A$24:$B$47, 2, FALSE))</f>
        <v/>
      </c>
      <c r="R94" s="109">
        <f t="shared" si="1"/>
        <v>1236</v>
      </c>
      <c r="S94" s="71" t="str">
        <f t="shared" si="2"/>
        <v/>
      </c>
      <c r="T94" s="71">
        <f t="shared" si="3"/>
        <v>1236</v>
      </c>
      <c r="U94" s="43" t="s">
        <v>1233</v>
      </c>
      <c r="V94" s="486" t="str">
        <f t="shared" si="18"/>
        <v>Proyección</v>
      </c>
      <c r="W94" s="43"/>
      <c r="X94" s="43"/>
    </row>
    <row r="95" hidden="1">
      <c r="A95" s="51" t="s">
        <v>179</v>
      </c>
      <c r="B95" s="43">
        <v>2025.0</v>
      </c>
      <c r="C95" s="51" t="s">
        <v>179</v>
      </c>
      <c r="D95" s="43">
        <v>2025.0</v>
      </c>
      <c r="E95" s="43" t="s">
        <v>138</v>
      </c>
      <c r="F95" s="43" t="s">
        <v>1240</v>
      </c>
      <c r="G95" s="43" t="s">
        <v>1133</v>
      </c>
      <c r="H95" s="43" t="s">
        <v>305</v>
      </c>
      <c r="I95" s="43" t="s">
        <v>311</v>
      </c>
      <c r="J95" s="443"/>
      <c r="K95" s="43"/>
      <c r="L95" s="89"/>
      <c r="M95" s="89"/>
      <c r="N95" s="89">
        <f t="shared" ref="N95:N97" si="19">(12360*0.2)</f>
        <v>2472</v>
      </c>
      <c r="P95" s="89"/>
      <c r="Q95" s="491"/>
      <c r="R95" s="109">
        <f t="shared" si="1"/>
        <v>2472</v>
      </c>
      <c r="S95" s="71" t="str">
        <f t="shared" si="2"/>
        <v/>
      </c>
      <c r="T95" s="71">
        <f t="shared" si="3"/>
        <v>2472</v>
      </c>
      <c r="U95" s="43" t="s">
        <v>1233</v>
      </c>
      <c r="V95" s="486" t="str">
        <f t="shared" si="18"/>
        <v>Proyección</v>
      </c>
      <c r="W95" s="43"/>
      <c r="X95" s="43"/>
    </row>
    <row r="96" hidden="1">
      <c r="A96" s="51" t="s">
        <v>182</v>
      </c>
      <c r="B96" s="43">
        <v>2025.0</v>
      </c>
      <c r="C96" s="51" t="s">
        <v>182</v>
      </c>
      <c r="D96" s="43">
        <v>2025.0</v>
      </c>
      <c r="E96" s="43" t="s">
        <v>138</v>
      </c>
      <c r="F96" s="43" t="s">
        <v>1240</v>
      </c>
      <c r="G96" s="43" t="s">
        <v>1133</v>
      </c>
      <c r="H96" s="43" t="s">
        <v>305</v>
      </c>
      <c r="I96" s="43" t="s">
        <v>311</v>
      </c>
      <c r="J96" s="443"/>
      <c r="K96" s="43"/>
      <c r="L96" s="89"/>
      <c r="M96" s="89"/>
      <c r="N96" s="89">
        <f t="shared" si="19"/>
        <v>2472</v>
      </c>
      <c r="P96" s="89"/>
      <c r="Q96" s="491"/>
      <c r="R96" s="109">
        <f t="shared" si="1"/>
        <v>2472</v>
      </c>
      <c r="S96" s="71" t="str">
        <f t="shared" si="2"/>
        <v/>
      </c>
      <c r="T96" s="71">
        <f t="shared" si="3"/>
        <v>2472</v>
      </c>
      <c r="U96" s="43" t="s">
        <v>1233</v>
      </c>
      <c r="V96" s="486" t="str">
        <f t="shared" si="18"/>
        <v>Proyección</v>
      </c>
      <c r="W96" s="43"/>
      <c r="X96" s="43"/>
    </row>
    <row r="97" hidden="1">
      <c r="A97" s="51" t="s">
        <v>129</v>
      </c>
      <c r="B97" s="43">
        <v>2026.0</v>
      </c>
      <c r="C97" s="51" t="s">
        <v>129</v>
      </c>
      <c r="D97" s="43">
        <v>2026.0</v>
      </c>
      <c r="E97" s="43" t="s">
        <v>138</v>
      </c>
      <c r="F97" s="43" t="s">
        <v>1240</v>
      </c>
      <c r="G97" s="43" t="s">
        <v>1133</v>
      </c>
      <c r="H97" s="43" t="s">
        <v>305</v>
      </c>
      <c r="I97" s="43" t="s">
        <v>311</v>
      </c>
      <c r="J97" s="443"/>
      <c r="K97" s="43"/>
      <c r="L97" s="89"/>
      <c r="M97" s="89"/>
      <c r="N97" s="89">
        <f t="shared" si="19"/>
        <v>2472</v>
      </c>
      <c r="P97" s="89"/>
      <c r="Q97" s="491"/>
      <c r="R97" s="109">
        <f t="shared" si="1"/>
        <v>2472</v>
      </c>
      <c r="S97" s="71" t="str">
        <f t="shared" si="2"/>
        <v/>
      </c>
      <c r="T97" s="71">
        <f t="shared" si="3"/>
        <v>2472</v>
      </c>
      <c r="U97" s="43" t="s">
        <v>1233</v>
      </c>
      <c r="V97" s="486" t="str">
        <f t="shared" si="18"/>
        <v>Proyección</v>
      </c>
      <c r="W97" s="43"/>
      <c r="X97" s="43"/>
    </row>
    <row r="98" hidden="1">
      <c r="A98" s="51" t="s">
        <v>143</v>
      </c>
      <c r="B98" s="43">
        <v>2026.0</v>
      </c>
      <c r="C98" s="51" t="s">
        <v>143</v>
      </c>
      <c r="D98" s="43">
        <v>2026.0</v>
      </c>
      <c r="E98" s="43" t="s">
        <v>138</v>
      </c>
      <c r="F98" s="43" t="s">
        <v>1240</v>
      </c>
      <c r="G98" s="43" t="s">
        <v>1133</v>
      </c>
      <c r="H98" s="43" t="s">
        <v>305</v>
      </c>
      <c r="I98" s="43" t="s">
        <v>311</v>
      </c>
      <c r="J98" s="443"/>
      <c r="K98" s="43"/>
      <c r="L98" s="89"/>
      <c r="M98" s="89"/>
      <c r="N98" s="89">
        <f>(12360*0.3)</f>
        <v>3708</v>
      </c>
      <c r="P98" s="89"/>
      <c r="Q98" s="491"/>
      <c r="R98" s="109">
        <f t="shared" si="1"/>
        <v>3708</v>
      </c>
      <c r="S98" s="71" t="str">
        <f t="shared" si="2"/>
        <v/>
      </c>
      <c r="T98" s="71">
        <f t="shared" si="3"/>
        <v>3708</v>
      </c>
      <c r="U98" s="43" t="s">
        <v>1233</v>
      </c>
      <c r="V98" s="486" t="str">
        <f t="shared" si="18"/>
        <v>Proyección</v>
      </c>
      <c r="W98" s="43"/>
      <c r="X98" s="43"/>
    </row>
    <row r="99" hidden="1">
      <c r="A99" s="51" t="s">
        <v>175</v>
      </c>
      <c r="B99" s="43">
        <v>2025.0</v>
      </c>
      <c r="C99" s="51" t="s">
        <v>175</v>
      </c>
      <c r="D99" s="43">
        <v>2025.0</v>
      </c>
      <c r="E99" s="43" t="s">
        <v>132</v>
      </c>
      <c r="F99" s="43" t="s">
        <v>1241</v>
      </c>
      <c r="G99" s="43" t="s">
        <v>1133</v>
      </c>
      <c r="H99" s="43" t="s">
        <v>311</v>
      </c>
      <c r="I99" s="43" t="s">
        <v>311</v>
      </c>
      <c r="J99" s="443">
        <v>30.0</v>
      </c>
      <c r="K99" s="43">
        <v>1.0</v>
      </c>
      <c r="L99" s="89">
        <v>1360000.0</v>
      </c>
      <c r="M99" s="89">
        <v>1360000.0</v>
      </c>
      <c r="O99" s="71">
        <f t="shared" ref="O99:O1099" si="21">(M99*0.21)</f>
        <v>285600</v>
      </c>
      <c r="P99" s="89">
        <f t="shared" ref="P99:P1099" si="22">(M99*0.4946*0.03)+(M99*0.5054*0.05)</f>
        <v>54546.88</v>
      </c>
      <c r="Q99" s="491">
        <f>IF(ISBLANK(M99), "", VLOOKUP(A99&amp;" "&amp;B99, 'Info Tipo de Cambio y REM'!$A$24:$B$47, 2, FALSE))</f>
        <v>1440</v>
      </c>
      <c r="R99" s="109">
        <f t="shared" si="1"/>
        <v>944.4444444</v>
      </c>
      <c r="S99" s="71">
        <f t="shared" si="2"/>
        <v>1645600</v>
      </c>
      <c r="T99" s="71">
        <f t="shared" si="3"/>
        <v>1142.777778</v>
      </c>
      <c r="U99" s="43" t="s">
        <v>1233</v>
      </c>
      <c r="V99" s="486" t="str">
        <f t="shared" si="18"/>
        <v>Proyección</v>
      </c>
      <c r="W99" s="43"/>
      <c r="X99" s="43"/>
    </row>
    <row r="100" hidden="1">
      <c r="A100" s="51" t="s">
        <v>175</v>
      </c>
      <c r="B100" s="43">
        <v>2025.0</v>
      </c>
      <c r="C100" s="51" t="s">
        <v>175</v>
      </c>
      <c r="D100" s="43">
        <v>2025.0</v>
      </c>
      <c r="E100" s="43" t="s">
        <v>213</v>
      </c>
      <c r="F100" s="43" t="s">
        <v>1242</v>
      </c>
      <c r="G100" s="43" t="s">
        <v>1133</v>
      </c>
      <c r="H100" s="43" t="s">
        <v>311</v>
      </c>
      <c r="I100" s="43" t="s">
        <v>311</v>
      </c>
      <c r="J100" s="443">
        <v>0.0</v>
      </c>
      <c r="K100" s="43">
        <v>1.0</v>
      </c>
      <c r="L100" s="89">
        <f t="shared" ref="L100:M100" si="20">6850000/2</f>
        <v>3425000</v>
      </c>
      <c r="M100" s="89">
        <f t="shared" si="20"/>
        <v>3425000</v>
      </c>
      <c r="O100" s="71">
        <f t="shared" si="21"/>
        <v>719250</v>
      </c>
      <c r="P100" s="89">
        <f t="shared" si="22"/>
        <v>137369.9</v>
      </c>
      <c r="Q100" s="491">
        <f>IF(ISBLANK(M100), "", VLOOKUP(A100&amp;" "&amp;B100, 'Info Tipo de Cambio y REM'!$A$24:$B$47, 2, FALSE))</f>
        <v>1440</v>
      </c>
      <c r="R100" s="109">
        <f t="shared" si="1"/>
        <v>2378.472222</v>
      </c>
      <c r="S100" s="71">
        <f t="shared" si="2"/>
        <v>4144250</v>
      </c>
      <c r="T100" s="71">
        <f t="shared" si="3"/>
        <v>2877.951389</v>
      </c>
      <c r="U100" s="43" t="s">
        <v>1233</v>
      </c>
      <c r="V100" s="493" t="s">
        <v>1112</v>
      </c>
      <c r="W100" s="43"/>
      <c r="X100" s="43"/>
    </row>
    <row r="101" hidden="1">
      <c r="A101" s="51" t="s">
        <v>182</v>
      </c>
      <c r="B101" s="43">
        <v>2025.0</v>
      </c>
      <c r="C101" s="51" t="s">
        <v>123</v>
      </c>
      <c r="D101" s="43">
        <v>2026.0</v>
      </c>
      <c r="E101" s="43" t="s">
        <v>213</v>
      </c>
      <c r="F101" s="43" t="s">
        <v>1242</v>
      </c>
      <c r="G101" s="43" t="s">
        <v>1133</v>
      </c>
      <c r="H101" s="43" t="s">
        <v>311</v>
      </c>
      <c r="I101" s="43" t="s">
        <v>311</v>
      </c>
      <c r="J101" s="443">
        <v>30.0</v>
      </c>
      <c r="K101" s="43">
        <v>1.0</v>
      </c>
      <c r="L101" s="89">
        <f t="shared" ref="L101:M101" si="23">6850000/2</f>
        <v>3425000</v>
      </c>
      <c r="M101" s="89">
        <f t="shared" si="23"/>
        <v>3425000</v>
      </c>
      <c r="O101" s="71">
        <f t="shared" si="21"/>
        <v>719250</v>
      </c>
      <c r="P101" s="89">
        <f t="shared" si="22"/>
        <v>137369.9</v>
      </c>
      <c r="Q101" s="491">
        <f>IF(ISBLANK(M101), "", VLOOKUP(A101&amp;" "&amp;B101, 'Info Tipo de Cambio y REM'!$A$24:$B$47, 2, FALSE))</f>
        <v>1536</v>
      </c>
      <c r="R101" s="109">
        <f t="shared" si="1"/>
        <v>2229.817708</v>
      </c>
      <c r="S101" s="71">
        <f t="shared" si="2"/>
        <v>4144250</v>
      </c>
      <c r="T101" s="71">
        <f t="shared" si="3"/>
        <v>2698.079427</v>
      </c>
      <c r="U101" s="43" t="s">
        <v>1233</v>
      </c>
      <c r="V101" s="493" t="s">
        <v>1112</v>
      </c>
      <c r="W101" s="43"/>
      <c r="X101" s="43"/>
    </row>
    <row r="102">
      <c r="A102" s="51" t="s">
        <v>175</v>
      </c>
      <c r="B102" s="43">
        <v>2025.0</v>
      </c>
      <c r="C102" s="51" t="s">
        <v>123</v>
      </c>
      <c r="D102" s="43">
        <v>2026.0</v>
      </c>
      <c r="E102" s="43" t="s">
        <v>215</v>
      </c>
      <c r="F102" s="43" t="s">
        <v>1243</v>
      </c>
      <c r="G102" s="43" t="s">
        <v>1126</v>
      </c>
      <c r="H102" s="43" t="s">
        <v>311</v>
      </c>
      <c r="I102" s="43" t="s">
        <v>311</v>
      </c>
      <c r="J102" s="443">
        <v>90.0</v>
      </c>
      <c r="K102" s="43"/>
      <c r="L102" s="89"/>
      <c r="M102" s="89"/>
      <c r="N102" s="89">
        <v>35550.0</v>
      </c>
      <c r="O102" s="71">
        <f t="shared" si="21"/>
        <v>0</v>
      </c>
      <c r="P102" s="89">
        <f t="shared" si="22"/>
        <v>0</v>
      </c>
      <c r="Q102" s="491" t="str">
        <f>IF(ISBLANK(M102), "", VLOOKUP(A102&amp;" "&amp;B102, 'Info Tipo de Cambio y REM'!$A$24:$B$47, 2, FALSE))</f>
        <v/>
      </c>
      <c r="R102" s="109">
        <f t="shared" si="1"/>
        <v>35550</v>
      </c>
      <c r="S102" s="71" t="str">
        <f t="shared" si="2"/>
        <v/>
      </c>
      <c r="T102" s="71">
        <f t="shared" si="3"/>
        <v>35550</v>
      </c>
      <c r="U102" s="43" t="s">
        <v>1233</v>
      </c>
      <c r="V102" s="493" t="s">
        <v>1112</v>
      </c>
      <c r="W102" s="43"/>
      <c r="X102" s="43"/>
    </row>
    <row r="103">
      <c r="A103" s="51" t="s">
        <v>179</v>
      </c>
      <c r="B103" s="43">
        <v>2025.0</v>
      </c>
      <c r="C103" s="51" t="s">
        <v>129</v>
      </c>
      <c r="D103" s="43">
        <v>2026.0</v>
      </c>
      <c r="E103" s="43" t="s">
        <v>215</v>
      </c>
      <c r="F103" s="43" t="s">
        <v>1243</v>
      </c>
      <c r="G103" s="43" t="s">
        <v>1126</v>
      </c>
      <c r="H103" s="43" t="s">
        <v>311</v>
      </c>
      <c r="I103" s="43" t="s">
        <v>311</v>
      </c>
      <c r="J103" s="443">
        <v>90.0</v>
      </c>
      <c r="K103" s="43"/>
      <c r="L103" s="89"/>
      <c r="M103" s="89"/>
      <c r="N103" s="89"/>
      <c r="O103" s="71">
        <f t="shared" si="21"/>
        <v>0</v>
      </c>
      <c r="P103" s="89">
        <f t="shared" si="22"/>
        <v>0</v>
      </c>
      <c r="Q103" s="491" t="str">
        <f>IF(ISBLANK(M103), "", VLOOKUP(A103&amp;" "&amp;B103, 'Info Tipo de Cambio y REM'!$A$24:$B$47, 2, FALSE))</f>
        <v/>
      </c>
      <c r="R103" s="109" t="str">
        <f t="shared" si="1"/>
        <v/>
      </c>
      <c r="S103" s="71" t="str">
        <f t="shared" si="2"/>
        <v/>
      </c>
      <c r="T103" s="71">
        <f t="shared" si="3"/>
        <v>0</v>
      </c>
      <c r="U103" s="43" t="s">
        <v>1233</v>
      </c>
      <c r="V103" s="493" t="s">
        <v>1112</v>
      </c>
      <c r="W103" s="43"/>
      <c r="X103" s="43"/>
    </row>
    <row r="104">
      <c r="A104" s="51" t="s">
        <v>182</v>
      </c>
      <c r="B104" s="43">
        <v>2025.0</v>
      </c>
      <c r="C104" s="51" t="s">
        <v>136</v>
      </c>
      <c r="D104" s="43">
        <v>2026.0</v>
      </c>
      <c r="E104" s="43" t="s">
        <v>215</v>
      </c>
      <c r="F104" s="43" t="s">
        <v>1243</v>
      </c>
      <c r="G104" s="43" t="s">
        <v>1126</v>
      </c>
      <c r="H104" s="43" t="s">
        <v>311</v>
      </c>
      <c r="I104" s="43" t="s">
        <v>311</v>
      </c>
      <c r="J104" s="443">
        <v>90.0</v>
      </c>
      <c r="K104" s="43"/>
      <c r="L104" s="89"/>
      <c r="M104" s="89"/>
      <c r="N104" s="89"/>
      <c r="O104" s="71">
        <f t="shared" si="21"/>
        <v>0</v>
      </c>
      <c r="P104" s="89">
        <f t="shared" si="22"/>
        <v>0</v>
      </c>
      <c r="Q104" s="491" t="str">
        <f>IF(ISBLANK(M104), "", VLOOKUP(A104&amp;" "&amp;B104, 'Info Tipo de Cambio y REM'!$A$24:$B$47, 2, FALSE))</f>
        <v/>
      </c>
      <c r="R104" s="109" t="str">
        <f t="shared" si="1"/>
        <v/>
      </c>
      <c r="S104" s="71" t="str">
        <f t="shared" si="2"/>
        <v/>
      </c>
      <c r="T104" s="71">
        <f t="shared" si="3"/>
        <v>0</v>
      </c>
      <c r="U104" s="43" t="s">
        <v>1233</v>
      </c>
      <c r="V104" s="493" t="s">
        <v>1112</v>
      </c>
      <c r="W104" s="43"/>
      <c r="X104" s="43"/>
    </row>
    <row r="105" hidden="1">
      <c r="A105" s="51"/>
      <c r="B105" s="43"/>
      <c r="C105" s="51"/>
      <c r="D105" s="43"/>
      <c r="E105" s="43"/>
      <c r="F105" s="43"/>
      <c r="G105" s="43"/>
      <c r="H105" s="43"/>
      <c r="I105" s="43"/>
      <c r="J105" s="443"/>
      <c r="K105" s="43"/>
      <c r="L105" s="89"/>
      <c r="M105" s="89"/>
      <c r="O105" s="71">
        <f t="shared" si="21"/>
        <v>0</v>
      </c>
      <c r="P105" s="89">
        <f t="shared" si="22"/>
        <v>0</v>
      </c>
      <c r="Q105" s="491" t="str">
        <f>IF(ISBLANK(M105), "", VLOOKUP(A105&amp;" "&amp;B105, 'Info Tipo de Cambio y REM'!$A$24:$B$47, 2, FALSE))</f>
        <v/>
      </c>
      <c r="R105" s="109" t="str">
        <f t="shared" si="1"/>
        <v/>
      </c>
      <c r="S105" s="71" t="str">
        <f t="shared" si="2"/>
        <v/>
      </c>
      <c r="T105" s="71">
        <f t="shared" si="3"/>
        <v>0</v>
      </c>
      <c r="U105" s="43"/>
      <c r="V105" s="486"/>
      <c r="W105" s="43"/>
      <c r="X105" s="43"/>
    </row>
    <row r="106" hidden="1">
      <c r="A106" s="51"/>
      <c r="B106" s="43"/>
      <c r="C106" s="51"/>
      <c r="D106" s="43"/>
      <c r="E106" s="43"/>
      <c r="F106" s="43"/>
      <c r="G106" s="43"/>
      <c r="H106" s="43"/>
      <c r="I106" s="43"/>
      <c r="J106" s="443"/>
      <c r="K106" s="43"/>
      <c r="L106" s="89"/>
      <c r="M106" s="89"/>
      <c r="O106" s="71">
        <f t="shared" si="21"/>
        <v>0</v>
      </c>
      <c r="P106" s="89">
        <f t="shared" si="22"/>
        <v>0</v>
      </c>
      <c r="Q106" s="491" t="str">
        <f>IF(ISBLANK(M106), "", VLOOKUP(A106&amp;" "&amp;B106, 'Info Tipo de Cambio y REM'!$A$24:$B$47, 2, FALSE))</f>
        <v/>
      </c>
      <c r="R106" s="109" t="str">
        <f t="shared" si="1"/>
        <v/>
      </c>
      <c r="S106" s="71" t="str">
        <f t="shared" si="2"/>
        <v/>
      </c>
      <c r="T106" s="71">
        <f t="shared" si="3"/>
        <v>0</v>
      </c>
      <c r="U106" s="43"/>
      <c r="V106" s="486"/>
      <c r="W106" s="43"/>
      <c r="X106" s="43"/>
    </row>
    <row r="107" hidden="1">
      <c r="A107" s="51"/>
      <c r="B107" s="43"/>
      <c r="C107" s="51"/>
      <c r="D107" s="43"/>
      <c r="E107" s="43"/>
      <c r="F107" s="43"/>
      <c r="G107" s="43"/>
      <c r="H107" s="43"/>
      <c r="I107" s="43"/>
      <c r="J107" s="443"/>
      <c r="K107" s="43"/>
      <c r="L107" s="89"/>
      <c r="M107" s="89"/>
      <c r="O107" s="71">
        <f t="shared" si="21"/>
        <v>0</v>
      </c>
      <c r="P107" s="89">
        <f t="shared" si="22"/>
        <v>0</v>
      </c>
      <c r="Q107" s="491" t="str">
        <f>IF(ISBLANK(M107), "", VLOOKUP(A107&amp;" "&amp;B107, 'Info Tipo de Cambio y REM'!$A$24:$B$47, 2, FALSE))</f>
        <v/>
      </c>
      <c r="R107" s="109" t="str">
        <f t="shared" si="1"/>
        <v/>
      </c>
      <c r="S107" s="71" t="str">
        <f t="shared" si="2"/>
        <v/>
      </c>
      <c r="T107" s="71">
        <f t="shared" si="3"/>
        <v>0</v>
      </c>
      <c r="U107" s="43"/>
      <c r="V107" s="486"/>
      <c r="W107" s="43"/>
      <c r="X107" s="43"/>
    </row>
    <row r="108" hidden="1">
      <c r="A108" s="51"/>
      <c r="B108" s="43"/>
      <c r="C108" s="51"/>
      <c r="D108" s="43"/>
      <c r="E108" s="43"/>
      <c r="F108" s="43"/>
      <c r="G108" s="43"/>
      <c r="H108" s="43"/>
      <c r="I108" s="43"/>
      <c r="J108" s="443"/>
      <c r="K108" s="43"/>
      <c r="L108" s="89"/>
      <c r="M108" s="89"/>
      <c r="O108" s="71">
        <f t="shared" si="21"/>
        <v>0</v>
      </c>
      <c r="P108" s="89">
        <f t="shared" si="22"/>
        <v>0</v>
      </c>
      <c r="Q108" s="491" t="str">
        <f>IF(ISBLANK(M108), "", VLOOKUP(A108&amp;" "&amp;B108, 'Info Tipo de Cambio y REM'!$A$24:$B$47, 2, FALSE))</f>
        <v/>
      </c>
      <c r="R108" s="109" t="str">
        <f t="shared" si="1"/>
        <v/>
      </c>
      <c r="S108" s="71" t="str">
        <f t="shared" si="2"/>
        <v/>
      </c>
      <c r="T108" s="71">
        <f t="shared" si="3"/>
        <v>0</v>
      </c>
      <c r="U108" s="43"/>
      <c r="V108" s="486"/>
      <c r="W108" s="43"/>
      <c r="X108" s="43"/>
    </row>
    <row r="109" hidden="1">
      <c r="A109" s="51"/>
      <c r="B109" s="43"/>
      <c r="C109" s="51"/>
      <c r="D109" s="43"/>
      <c r="E109" s="43"/>
      <c r="F109" s="43"/>
      <c r="G109" s="43"/>
      <c r="H109" s="43"/>
      <c r="I109" s="43"/>
      <c r="J109" s="443"/>
      <c r="K109" s="43"/>
      <c r="L109" s="89"/>
      <c r="M109" s="89"/>
      <c r="O109" s="71">
        <f t="shared" si="21"/>
        <v>0</v>
      </c>
      <c r="P109" s="89">
        <f t="shared" si="22"/>
        <v>0</v>
      </c>
      <c r="Q109" s="491" t="str">
        <f>IF(ISBLANK(M109), "", VLOOKUP(A109&amp;" "&amp;B109, 'Info Tipo de Cambio y REM'!$A$24:$B$47, 2, FALSE))</f>
        <v/>
      </c>
      <c r="R109" s="109" t="str">
        <f t="shared" si="1"/>
        <v/>
      </c>
      <c r="S109" s="71" t="str">
        <f t="shared" si="2"/>
        <v/>
      </c>
      <c r="T109" s="71">
        <f t="shared" si="3"/>
        <v>0</v>
      </c>
      <c r="U109" s="43"/>
      <c r="V109" s="486"/>
      <c r="W109" s="43"/>
      <c r="X109" s="43"/>
    </row>
    <row r="110" hidden="1">
      <c r="A110" s="51"/>
      <c r="B110" s="43"/>
      <c r="C110" s="51"/>
      <c r="D110" s="43"/>
      <c r="E110" s="43"/>
      <c r="F110" s="43"/>
      <c r="G110" s="43"/>
      <c r="H110" s="43"/>
      <c r="I110" s="43"/>
      <c r="J110" s="443"/>
      <c r="K110" s="43"/>
      <c r="L110" s="89"/>
      <c r="M110" s="89"/>
      <c r="O110" s="71">
        <f t="shared" si="21"/>
        <v>0</v>
      </c>
      <c r="P110" s="89">
        <f t="shared" si="22"/>
        <v>0</v>
      </c>
      <c r="Q110" s="491" t="str">
        <f>IF(ISBLANK(M110), "", VLOOKUP(A110&amp;" "&amp;B110, 'Info Tipo de Cambio y REM'!$A$24:$B$47, 2, FALSE))</f>
        <v/>
      </c>
      <c r="R110" s="109" t="str">
        <f t="shared" si="1"/>
        <v/>
      </c>
      <c r="S110" s="71" t="str">
        <f t="shared" si="2"/>
        <v/>
      </c>
      <c r="T110" s="71">
        <f t="shared" si="3"/>
        <v>0</v>
      </c>
      <c r="U110" s="43"/>
      <c r="V110" s="486"/>
      <c r="W110" s="43"/>
      <c r="X110" s="43"/>
    </row>
    <row r="111" hidden="1">
      <c r="A111" s="51"/>
      <c r="B111" s="43"/>
      <c r="C111" s="51"/>
      <c r="D111" s="43"/>
      <c r="E111" s="43"/>
      <c r="F111" s="43"/>
      <c r="G111" s="43"/>
      <c r="H111" s="43"/>
      <c r="I111" s="43"/>
      <c r="J111" s="443"/>
      <c r="K111" s="43"/>
      <c r="L111" s="89"/>
      <c r="M111" s="89"/>
      <c r="O111" s="71">
        <f t="shared" si="21"/>
        <v>0</v>
      </c>
      <c r="P111" s="89">
        <f t="shared" si="22"/>
        <v>0</v>
      </c>
      <c r="Q111" s="491" t="str">
        <f>IF(ISBLANK(M111), "", VLOOKUP(A111&amp;" "&amp;B111, 'Info Tipo de Cambio y REM'!$A$24:$B$47, 2, FALSE))</f>
        <v/>
      </c>
      <c r="R111" s="109" t="str">
        <f t="shared" si="1"/>
        <v/>
      </c>
      <c r="S111" s="71" t="str">
        <f t="shared" si="2"/>
        <v/>
      </c>
      <c r="T111" s="71">
        <f t="shared" si="3"/>
        <v>0</v>
      </c>
      <c r="U111" s="43"/>
      <c r="V111" s="486"/>
      <c r="W111" s="43"/>
      <c r="X111" s="43"/>
    </row>
    <row r="112" hidden="1">
      <c r="A112" s="51"/>
      <c r="B112" s="43"/>
      <c r="C112" s="51"/>
      <c r="D112" s="43"/>
      <c r="E112" s="43"/>
      <c r="F112" s="43"/>
      <c r="G112" s="43"/>
      <c r="H112" s="43"/>
      <c r="I112" s="43"/>
      <c r="J112" s="443"/>
      <c r="K112" s="43"/>
      <c r="L112" s="89"/>
      <c r="M112" s="89"/>
      <c r="O112" s="71">
        <f t="shared" si="21"/>
        <v>0</v>
      </c>
      <c r="P112" s="89">
        <f t="shared" si="22"/>
        <v>0</v>
      </c>
      <c r="Q112" s="491" t="str">
        <f>IF(ISBLANK(M112), "", VLOOKUP(A112&amp;" "&amp;B112, 'Info Tipo de Cambio y REM'!$A$24:$B$47, 2, FALSE))</f>
        <v/>
      </c>
      <c r="R112" s="109" t="str">
        <f t="shared" si="1"/>
        <v/>
      </c>
      <c r="S112" s="71" t="str">
        <f t="shared" si="2"/>
        <v/>
      </c>
      <c r="T112" s="71">
        <f t="shared" si="3"/>
        <v>0</v>
      </c>
      <c r="U112" s="43"/>
      <c r="V112" s="486"/>
      <c r="W112" s="43"/>
      <c r="X112" s="43"/>
    </row>
    <row r="113" hidden="1">
      <c r="A113" s="51"/>
      <c r="B113" s="43"/>
      <c r="C113" s="51"/>
      <c r="D113" s="43"/>
      <c r="E113" s="43"/>
      <c r="F113" s="43"/>
      <c r="G113" s="43"/>
      <c r="H113" s="43"/>
      <c r="I113" s="43"/>
      <c r="J113" s="443"/>
      <c r="K113" s="43"/>
      <c r="L113" s="89"/>
      <c r="M113" s="89"/>
      <c r="O113" s="71">
        <f t="shared" si="21"/>
        <v>0</v>
      </c>
      <c r="P113" s="89">
        <f t="shared" si="22"/>
        <v>0</v>
      </c>
      <c r="Q113" s="491" t="str">
        <f>IF(ISBLANK(M113), "", VLOOKUP(A113&amp;" "&amp;B113, 'Info Tipo de Cambio y REM'!$A$24:$B$47, 2, FALSE))</f>
        <v/>
      </c>
      <c r="R113" s="109" t="str">
        <f t="shared" si="1"/>
        <v/>
      </c>
      <c r="S113" s="71" t="str">
        <f t="shared" si="2"/>
        <v/>
      </c>
      <c r="T113" s="71">
        <f t="shared" si="3"/>
        <v>0</v>
      </c>
      <c r="U113" s="43"/>
      <c r="V113" s="486"/>
      <c r="W113" s="43"/>
      <c r="X113" s="43"/>
    </row>
    <row r="114" hidden="1">
      <c r="A114" s="51"/>
      <c r="B114" s="43"/>
      <c r="C114" s="51"/>
      <c r="D114" s="43"/>
      <c r="E114" s="43"/>
      <c r="F114" s="43"/>
      <c r="G114" s="43"/>
      <c r="H114" s="43"/>
      <c r="I114" s="43"/>
      <c r="J114" s="443"/>
      <c r="K114" s="43"/>
      <c r="L114" s="89"/>
      <c r="M114" s="89"/>
      <c r="O114" s="71">
        <f t="shared" si="21"/>
        <v>0</v>
      </c>
      <c r="P114" s="89">
        <f t="shared" si="22"/>
        <v>0</v>
      </c>
      <c r="Q114" s="491" t="str">
        <f>IF(ISBLANK(M114), "", VLOOKUP(A114&amp;" "&amp;B114, 'Info Tipo de Cambio y REM'!$A$24:$B$47, 2, FALSE))</f>
        <v/>
      </c>
      <c r="R114" s="109" t="str">
        <f t="shared" si="1"/>
        <v/>
      </c>
      <c r="S114" s="71" t="str">
        <f t="shared" si="2"/>
        <v/>
      </c>
      <c r="T114" s="71">
        <f t="shared" si="3"/>
        <v>0</v>
      </c>
      <c r="U114" s="43"/>
      <c r="V114" s="486"/>
      <c r="W114" s="43"/>
      <c r="X114" s="43"/>
    </row>
    <row r="115" hidden="1">
      <c r="A115" s="51"/>
      <c r="B115" s="43"/>
      <c r="C115" s="51"/>
      <c r="D115" s="43"/>
      <c r="E115" s="43"/>
      <c r="F115" s="43"/>
      <c r="G115" s="43"/>
      <c r="H115" s="43"/>
      <c r="I115" s="43"/>
      <c r="J115" s="443"/>
      <c r="K115" s="43"/>
      <c r="L115" s="89"/>
      <c r="M115" s="89"/>
      <c r="O115" s="71">
        <f t="shared" si="21"/>
        <v>0</v>
      </c>
      <c r="P115" s="89">
        <f t="shared" si="22"/>
        <v>0</v>
      </c>
      <c r="Q115" s="491" t="str">
        <f>IF(ISBLANK(M115), "", VLOOKUP(A115&amp;" "&amp;B115, 'Info Tipo de Cambio y REM'!$A$24:$B$47, 2, FALSE))</f>
        <v/>
      </c>
      <c r="R115" s="109" t="str">
        <f t="shared" si="1"/>
        <v/>
      </c>
      <c r="S115" s="71" t="str">
        <f t="shared" si="2"/>
        <v/>
      </c>
      <c r="T115" s="71">
        <f t="shared" si="3"/>
        <v>0</v>
      </c>
      <c r="U115" s="43"/>
      <c r="V115" s="486"/>
      <c r="W115" s="43"/>
      <c r="X115" s="43"/>
    </row>
    <row r="116" hidden="1">
      <c r="A116" s="51"/>
      <c r="B116" s="43"/>
      <c r="C116" s="51"/>
      <c r="D116" s="43"/>
      <c r="E116" s="43"/>
      <c r="F116" s="43"/>
      <c r="G116" s="43"/>
      <c r="H116" s="43"/>
      <c r="I116" s="43"/>
      <c r="J116" s="443"/>
      <c r="K116" s="43"/>
      <c r="L116" s="89"/>
      <c r="M116" s="89"/>
      <c r="O116" s="71">
        <f t="shared" si="21"/>
        <v>0</v>
      </c>
      <c r="P116" s="89">
        <f t="shared" si="22"/>
        <v>0</v>
      </c>
      <c r="Q116" s="491" t="str">
        <f>IF(ISBLANK(M116), "", VLOOKUP(A116&amp;" "&amp;B116, 'Info Tipo de Cambio y REM'!$A$24:$B$47, 2, FALSE))</f>
        <v/>
      </c>
      <c r="R116" s="109" t="str">
        <f t="shared" si="1"/>
        <v/>
      </c>
      <c r="S116" s="71" t="str">
        <f t="shared" si="2"/>
        <v/>
      </c>
      <c r="T116" s="71">
        <f t="shared" si="3"/>
        <v>0</v>
      </c>
      <c r="U116" s="43"/>
      <c r="V116" s="486"/>
      <c r="W116" s="43"/>
      <c r="X116" s="43"/>
    </row>
    <row r="117" hidden="1">
      <c r="A117" s="51"/>
      <c r="B117" s="43"/>
      <c r="C117" s="51"/>
      <c r="D117" s="43"/>
      <c r="E117" s="43"/>
      <c r="F117" s="43"/>
      <c r="G117" s="43"/>
      <c r="H117" s="43"/>
      <c r="I117" s="43"/>
      <c r="J117" s="443"/>
      <c r="K117" s="43"/>
      <c r="L117" s="89"/>
      <c r="M117" s="89"/>
      <c r="O117" s="71">
        <f t="shared" si="21"/>
        <v>0</v>
      </c>
      <c r="P117" s="89">
        <f t="shared" si="22"/>
        <v>0</v>
      </c>
      <c r="Q117" s="491" t="str">
        <f>IF(ISBLANK(M117), "", VLOOKUP(A117&amp;" "&amp;B117, 'Info Tipo de Cambio y REM'!$A$24:$B$47, 2, FALSE))</f>
        <v/>
      </c>
      <c r="R117" s="109" t="str">
        <f t="shared" si="1"/>
        <v/>
      </c>
      <c r="S117" s="71" t="str">
        <f t="shared" si="2"/>
        <v/>
      </c>
      <c r="T117" s="71">
        <f t="shared" si="3"/>
        <v>0</v>
      </c>
      <c r="U117" s="43"/>
      <c r="V117" s="486"/>
      <c r="W117" s="43"/>
      <c r="X117" s="43"/>
    </row>
    <row r="118" hidden="1">
      <c r="A118" s="51"/>
      <c r="B118" s="43"/>
      <c r="C118" s="51"/>
      <c r="D118" s="43"/>
      <c r="E118" s="43"/>
      <c r="F118" s="43"/>
      <c r="G118" s="43"/>
      <c r="H118" s="43"/>
      <c r="I118" s="43"/>
      <c r="J118" s="443"/>
      <c r="K118" s="43"/>
      <c r="L118" s="89"/>
      <c r="M118" s="89"/>
      <c r="O118" s="71">
        <f t="shared" si="21"/>
        <v>0</v>
      </c>
      <c r="P118" s="89">
        <f t="shared" si="22"/>
        <v>0</v>
      </c>
      <c r="Q118" s="491" t="str">
        <f>IF(ISBLANK(M118), "", VLOOKUP(A118&amp;" "&amp;B118, 'Info Tipo de Cambio y REM'!$A$24:$B$47, 2, FALSE))</f>
        <v/>
      </c>
      <c r="R118" s="109" t="str">
        <f t="shared" si="1"/>
        <v/>
      </c>
      <c r="S118" s="71" t="str">
        <f t="shared" si="2"/>
        <v/>
      </c>
      <c r="T118" s="71">
        <f t="shared" si="3"/>
        <v>0</v>
      </c>
      <c r="U118" s="43"/>
      <c r="V118" s="486"/>
      <c r="W118" s="43"/>
      <c r="X118" s="43"/>
    </row>
    <row r="119" hidden="1">
      <c r="A119" s="51"/>
      <c r="B119" s="43"/>
      <c r="C119" s="51"/>
      <c r="D119" s="43"/>
      <c r="E119" s="43"/>
      <c r="F119" s="43"/>
      <c r="G119" s="43"/>
      <c r="H119" s="43"/>
      <c r="I119" s="43"/>
      <c r="J119" s="443"/>
      <c r="K119" s="43"/>
      <c r="L119" s="89"/>
      <c r="M119" s="89"/>
      <c r="O119" s="71">
        <f t="shared" si="21"/>
        <v>0</v>
      </c>
      <c r="P119" s="89">
        <f t="shared" si="22"/>
        <v>0</v>
      </c>
      <c r="Q119" s="491" t="str">
        <f>IF(ISBLANK(M119), "", VLOOKUP(A119&amp;" "&amp;B119, 'Info Tipo de Cambio y REM'!$A$24:$B$47, 2, FALSE))</f>
        <v/>
      </c>
      <c r="R119" s="109" t="str">
        <f t="shared" si="1"/>
        <v/>
      </c>
      <c r="S119" s="71" t="str">
        <f t="shared" si="2"/>
        <v/>
      </c>
      <c r="T119" s="71">
        <f t="shared" si="3"/>
        <v>0</v>
      </c>
      <c r="U119" s="43"/>
      <c r="V119" s="486"/>
      <c r="W119" s="43"/>
      <c r="X119" s="43"/>
    </row>
    <row r="120" hidden="1">
      <c r="A120" s="51"/>
      <c r="B120" s="43"/>
      <c r="C120" s="51"/>
      <c r="D120" s="43"/>
      <c r="E120" s="43"/>
      <c r="F120" s="43"/>
      <c r="G120" s="43"/>
      <c r="H120" s="43"/>
      <c r="I120" s="43"/>
      <c r="J120" s="443"/>
      <c r="K120" s="43"/>
      <c r="L120" s="89"/>
      <c r="M120" s="89"/>
      <c r="O120" s="71">
        <f t="shared" si="21"/>
        <v>0</v>
      </c>
      <c r="P120" s="89">
        <f t="shared" si="22"/>
        <v>0</v>
      </c>
      <c r="Q120" s="491" t="str">
        <f>IF(ISBLANK(M120), "", VLOOKUP(A120&amp;" "&amp;B120, 'Info Tipo de Cambio y REM'!$A$24:$B$47, 2, FALSE))</f>
        <v/>
      </c>
      <c r="R120" s="109" t="str">
        <f t="shared" si="1"/>
        <v/>
      </c>
      <c r="S120" s="71" t="str">
        <f t="shared" si="2"/>
        <v/>
      </c>
      <c r="T120" s="71">
        <f t="shared" si="3"/>
        <v>0</v>
      </c>
      <c r="U120" s="43"/>
      <c r="V120" s="486"/>
      <c r="W120" s="43"/>
      <c r="X120" s="43"/>
    </row>
    <row r="121" hidden="1">
      <c r="A121" s="51"/>
      <c r="B121" s="43"/>
      <c r="C121" s="51"/>
      <c r="D121" s="43"/>
      <c r="E121" s="43"/>
      <c r="F121" s="43"/>
      <c r="G121" s="43"/>
      <c r="H121" s="43"/>
      <c r="I121" s="43"/>
      <c r="J121" s="443"/>
      <c r="K121" s="43"/>
      <c r="L121" s="89"/>
      <c r="M121" s="89"/>
      <c r="O121" s="71">
        <f t="shared" si="21"/>
        <v>0</v>
      </c>
      <c r="P121" s="89">
        <f t="shared" si="22"/>
        <v>0</v>
      </c>
      <c r="Q121" s="491" t="str">
        <f>IF(ISBLANK(M121), "", VLOOKUP(A121&amp;" "&amp;B121, 'Info Tipo de Cambio y REM'!$A$24:$B$47, 2, FALSE))</f>
        <v/>
      </c>
      <c r="R121" s="109" t="str">
        <f t="shared" si="1"/>
        <v/>
      </c>
      <c r="S121" s="71" t="str">
        <f t="shared" si="2"/>
        <v/>
      </c>
      <c r="T121" s="71">
        <f t="shared" si="3"/>
        <v>0</v>
      </c>
      <c r="U121" s="43"/>
      <c r="V121" s="486"/>
      <c r="W121" s="43"/>
      <c r="X121" s="43"/>
    </row>
    <row r="122" hidden="1">
      <c r="A122" s="51"/>
      <c r="B122" s="43"/>
      <c r="C122" s="51"/>
      <c r="D122" s="43"/>
      <c r="E122" s="43"/>
      <c r="F122" s="43"/>
      <c r="G122" s="43"/>
      <c r="H122" s="43"/>
      <c r="I122" s="43"/>
      <c r="J122" s="443"/>
      <c r="K122" s="43"/>
      <c r="L122" s="89"/>
      <c r="M122" s="89"/>
      <c r="O122" s="71">
        <f t="shared" si="21"/>
        <v>0</v>
      </c>
      <c r="P122" s="89">
        <f t="shared" si="22"/>
        <v>0</v>
      </c>
      <c r="Q122" s="491" t="str">
        <f>IF(ISBLANK(M122), "", VLOOKUP(A122&amp;" "&amp;B122, 'Info Tipo de Cambio y REM'!$A$24:$B$47, 2, FALSE))</f>
        <v/>
      </c>
      <c r="R122" s="109" t="str">
        <f t="shared" si="1"/>
        <v/>
      </c>
      <c r="S122" s="71" t="str">
        <f t="shared" si="2"/>
        <v/>
      </c>
      <c r="T122" s="71">
        <f t="shared" si="3"/>
        <v>0</v>
      </c>
      <c r="U122" s="43"/>
      <c r="V122" s="486"/>
      <c r="W122" s="43"/>
      <c r="X122" s="43"/>
    </row>
    <row r="123" hidden="1">
      <c r="A123" s="51"/>
      <c r="B123" s="43"/>
      <c r="C123" s="51"/>
      <c r="D123" s="43"/>
      <c r="E123" s="43"/>
      <c r="F123" s="43"/>
      <c r="G123" s="43"/>
      <c r="H123" s="43"/>
      <c r="I123" s="43"/>
      <c r="J123" s="443"/>
      <c r="K123" s="43"/>
      <c r="L123" s="89"/>
      <c r="M123" s="89"/>
      <c r="O123" s="71">
        <f t="shared" si="21"/>
        <v>0</v>
      </c>
      <c r="P123" s="89">
        <f t="shared" si="22"/>
        <v>0</v>
      </c>
      <c r="Q123" s="491" t="str">
        <f>IF(ISBLANK(M123), "", VLOOKUP(A123&amp;" "&amp;B123, 'Info Tipo de Cambio y REM'!$A$24:$B$47, 2, FALSE))</f>
        <v/>
      </c>
      <c r="R123" s="109" t="str">
        <f t="shared" si="1"/>
        <v/>
      </c>
      <c r="S123" s="71" t="str">
        <f t="shared" si="2"/>
        <v/>
      </c>
      <c r="T123" s="71">
        <f t="shared" si="3"/>
        <v>0</v>
      </c>
      <c r="U123" s="43"/>
      <c r="V123" s="486"/>
      <c r="W123" s="43"/>
      <c r="X123" s="43"/>
    </row>
    <row r="124" hidden="1">
      <c r="A124" s="51"/>
      <c r="B124" s="43"/>
      <c r="C124" s="51"/>
      <c r="D124" s="43"/>
      <c r="E124" s="43"/>
      <c r="F124" s="43"/>
      <c r="G124" s="43"/>
      <c r="H124" s="43"/>
      <c r="I124" s="43"/>
      <c r="J124" s="443"/>
      <c r="K124" s="43"/>
      <c r="L124" s="89"/>
      <c r="M124" s="89"/>
      <c r="O124" s="71">
        <f t="shared" si="21"/>
        <v>0</v>
      </c>
      <c r="P124" s="89">
        <f t="shared" si="22"/>
        <v>0</v>
      </c>
      <c r="Q124" s="491" t="str">
        <f>IF(ISBLANK(M124), "", VLOOKUP(A124&amp;" "&amp;B124, 'Info Tipo de Cambio y REM'!$A$24:$B$47, 2, FALSE))</f>
        <v/>
      </c>
      <c r="R124" s="109" t="str">
        <f t="shared" si="1"/>
        <v/>
      </c>
      <c r="S124" s="71" t="str">
        <f t="shared" si="2"/>
        <v/>
      </c>
      <c r="T124" s="71">
        <f t="shared" si="3"/>
        <v>0</v>
      </c>
      <c r="U124" s="43"/>
      <c r="V124" s="486"/>
      <c r="W124" s="43"/>
      <c r="X124" s="43"/>
    </row>
    <row r="125" hidden="1">
      <c r="A125" s="51"/>
      <c r="B125" s="43"/>
      <c r="C125" s="51"/>
      <c r="D125" s="43"/>
      <c r="E125" s="43"/>
      <c r="F125" s="43"/>
      <c r="G125" s="43"/>
      <c r="H125" s="43"/>
      <c r="I125" s="43"/>
      <c r="J125" s="443"/>
      <c r="K125" s="43"/>
      <c r="L125" s="89"/>
      <c r="M125" s="89"/>
      <c r="O125" s="71">
        <f t="shared" si="21"/>
        <v>0</v>
      </c>
      <c r="P125" s="89">
        <f t="shared" si="22"/>
        <v>0</v>
      </c>
      <c r="Q125" s="491" t="str">
        <f>IF(ISBLANK(M125), "", VLOOKUP(A125&amp;" "&amp;B125, 'Info Tipo de Cambio y REM'!$A$24:$B$47, 2, FALSE))</f>
        <v/>
      </c>
      <c r="R125" s="109" t="str">
        <f t="shared" si="1"/>
        <v/>
      </c>
      <c r="S125" s="71" t="str">
        <f t="shared" si="2"/>
        <v/>
      </c>
      <c r="T125" s="71">
        <f t="shared" si="3"/>
        <v>0</v>
      </c>
      <c r="U125" s="43"/>
      <c r="V125" s="486"/>
      <c r="W125" s="43"/>
      <c r="X125" s="43"/>
    </row>
    <row r="126" hidden="1">
      <c r="A126" s="51"/>
      <c r="B126" s="43"/>
      <c r="C126" s="51"/>
      <c r="D126" s="43"/>
      <c r="E126" s="43"/>
      <c r="F126" s="43"/>
      <c r="G126" s="43"/>
      <c r="H126" s="43"/>
      <c r="I126" s="43"/>
      <c r="J126" s="443"/>
      <c r="K126" s="43"/>
      <c r="L126" s="89"/>
      <c r="M126" s="89"/>
      <c r="O126" s="71">
        <f t="shared" si="21"/>
        <v>0</v>
      </c>
      <c r="P126" s="89">
        <f t="shared" si="22"/>
        <v>0</v>
      </c>
      <c r="Q126" s="491" t="str">
        <f>IF(ISBLANK(M126), "", VLOOKUP(A126&amp;" "&amp;B126, 'Info Tipo de Cambio y REM'!$A$24:$B$47, 2, FALSE))</f>
        <v/>
      </c>
      <c r="R126" s="109" t="str">
        <f t="shared" si="1"/>
        <v/>
      </c>
      <c r="S126" s="71" t="str">
        <f t="shared" si="2"/>
        <v/>
      </c>
      <c r="T126" s="71">
        <f t="shared" si="3"/>
        <v>0</v>
      </c>
      <c r="U126" s="43"/>
      <c r="V126" s="486"/>
      <c r="W126" s="43"/>
      <c r="X126" s="43"/>
    </row>
    <row r="127" hidden="1">
      <c r="A127" s="51"/>
      <c r="B127" s="43"/>
      <c r="C127" s="51"/>
      <c r="D127" s="43"/>
      <c r="E127" s="43"/>
      <c r="F127" s="43"/>
      <c r="G127" s="43"/>
      <c r="H127" s="43"/>
      <c r="I127" s="43"/>
      <c r="J127" s="443"/>
      <c r="K127" s="43"/>
      <c r="L127" s="89"/>
      <c r="M127" s="89"/>
      <c r="O127" s="71">
        <f t="shared" si="21"/>
        <v>0</v>
      </c>
      <c r="P127" s="89">
        <f t="shared" si="22"/>
        <v>0</v>
      </c>
      <c r="Q127" s="491" t="str">
        <f>IF(ISBLANK(M127), "", VLOOKUP(A127&amp;" "&amp;B127, 'Info Tipo de Cambio y REM'!$A$24:$B$47, 2, FALSE))</f>
        <v/>
      </c>
      <c r="R127" s="109" t="str">
        <f t="shared" si="1"/>
        <v/>
      </c>
      <c r="S127" s="71" t="str">
        <f t="shared" si="2"/>
        <v/>
      </c>
      <c r="T127" s="71">
        <f t="shared" si="3"/>
        <v>0</v>
      </c>
      <c r="U127" s="43"/>
      <c r="V127" s="486"/>
      <c r="W127" s="43"/>
      <c r="X127" s="43"/>
    </row>
    <row r="128" hidden="1">
      <c r="A128" s="51"/>
      <c r="B128" s="43"/>
      <c r="C128" s="51"/>
      <c r="D128" s="43"/>
      <c r="E128" s="43"/>
      <c r="F128" s="43"/>
      <c r="G128" s="43"/>
      <c r="H128" s="43"/>
      <c r="I128" s="43"/>
      <c r="J128" s="443"/>
      <c r="K128" s="43"/>
      <c r="L128" s="89"/>
      <c r="M128" s="89"/>
      <c r="O128" s="71">
        <f t="shared" si="21"/>
        <v>0</v>
      </c>
      <c r="P128" s="89">
        <f t="shared" si="22"/>
        <v>0</v>
      </c>
      <c r="Q128" s="491" t="str">
        <f>IF(ISBLANK(M128), "", VLOOKUP(A128&amp;" "&amp;B128, 'Info Tipo de Cambio y REM'!$A$24:$B$47, 2, FALSE))</f>
        <v/>
      </c>
      <c r="R128" s="109" t="str">
        <f t="shared" si="1"/>
        <v/>
      </c>
      <c r="S128" s="71" t="str">
        <f t="shared" si="2"/>
        <v/>
      </c>
      <c r="T128" s="71">
        <f t="shared" si="3"/>
        <v>0</v>
      </c>
      <c r="U128" s="43"/>
      <c r="V128" s="486"/>
      <c r="W128" s="43"/>
      <c r="X128" s="43"/>
    </row>
    <row r="129" hidden="1">
      <c r="A129" s="51"/>
      <c r="B129" s="43"/>
      <c r="C129" s="51"/>
      <c r="D129" s="43"/>
      <c r="E129" s="43"/>
      <c r="F129" s="43"/>
      <c r="G129" s="43"/>
      <c r="H129" s="43"/>
      <c r="I129" s="43"/>
      <c r="J129" s="443"/>
      <c r="K129" s="43"/>
      <c r="L129" s="89"/>
      <c r="M129" s="89"/>
      <c r="O129" s="71">
        <f t="shared" si="21"/>
        <v>0</v>
      </c>
      <c r="P129" s="89">
        <f t="shared" si="22"/>
        <v>0</v>
      </c>
      <c r="Q129" s="491" t="str">
        <f>IF(ISBLANK(M129), "", VLOOKUP(A129&amp;" "&amp;B129, 'Info Tipo de Cambio y REM'!$A$24:$B$47, 2, FALSE))</f>
        <v/>
      </c>
      <c r="R129" s="109" t="str">
        <f t="shared" si="1"/>
        <v/>
      </c>
      <c r="S129" s="71" t="str">
        <f t="shared" si="2"/>
        <v/>
      </c>
      <c r="T129" s="71">
        <f t="shared" si="3"/>
        <v>0</v>
      </c>
      <c r="U129" s="43"/>
      <c r="V129" s="486"/>
      <c r="W129" s="43"/>
      <c r="X129" s="43"/>
    </row>
    <row r="130" hidden="1">
      <c r="A130" s="51"/>
      <c r="B130" s="43"/>
      <c r="C130" s="51"/>
      <c r="D130" s="43"/>
      <c r="E130" s="43"/>
      <c r="F130" s="43"/>
      <c r="G130" s="43"/>
      <c r="H130" s="43"/>
      <c r="I130" s="43"/>
      <c r="J130" s="443"/>
      <c r="K130" s="43"/>
      <c r="L130" s="89"/>
      <c r="M130" s="89"/>
      <c r="O130" s="71">
        <f t="shared" si="21"/>
        <v>0</v>
      </c>
      <c r="P130" s="89">
        <f t="shared" si="22"/>
        <v>0</v>
      </c>
      <c r="Q130" s="491" t="str">
        <f>IF(ISBLANK(M130), "", VLOOKUP(A130&amp;" "&amp;B130, 'Info Tipo de Cambio y REM'!$A$24:$B$47, 2, FALSE))</f>
        <v/>
      </c>
      <c r="R130" s="109" t="str">
        <f t="shared" si="1"/>
        <v/>
      </c>
      <c r="S130" s="71" t="str">
        <f t="shared" si="2"/>
        <v/>
      </c>
      <c r="T130" s="71">
        <f t="shared" si="3"/>
        <v>0</v>
      </c>
      <c r="U130" s="43"/>
      <c r="V130" s="486"/>
      <c r="W130" s="43"/>
      <c r="X130" s="43"/>
    </row>
    <row r="131" hidden="1">
      <c r="A131" s="51"/>
      <c r="B131" s="43"/>
      <c r="C131" s="51"/>
      <c r="D131" s="43"/>
      <c r="E131" s="43"/>
      <c r="F131" s="43"/>
      <c r="G131" s="43"/>
      <c r="H131" s="43"/>
      <c r="I131" s="43"/>
      <c r="J131" s="443"/>
      <c r="K131" s="43"/>
      <c r="L131" s="89"/>
      <c r="M131" s="89"/>
      <c r="O131" s="71">
        <f t="shared" si="21"/>
        <v>0</v>
      </c>
      <c r="P131" s="89">
        <f t="shared" si="22"/>
        <v>0</v>
      </c>
      <c r="Q131" s="491" t="str">
        <f>IF(ISBLANK(M131), "", VLOOKUP(A131&amp;" "&amp;B131, 'Info Tipo de Cambio y REM'!$A$24:$B$47, 2, FALSE))</f>
        <v/>
      </c>
      <c r="R131" s="109" t="str">
        <f t="shared" si="1"/>
        <v/>
      </c>
      <c r="S131" s="71" t="str">
        <f t="shared" si="2"/>
        <v/>
      </c>
      <c r="T131" s="71">
        <f t="shared" si="3"/>
        <v>0</v>
      </c>
      <c r="U131" s="43"/>
      <c r="V131" s="486"/>
      <c r="W131" s="43"/>
      <c r="X131" s="43"/>
    </row>
    <row r="132" hidden="1">
      <c r="A132" s="51"/>
      <c r="B132" s="43"/>
      <c r="C132" s="51"/>
      <c r="D132" s="43"/>
      <c r="E132" s="43"/>
      <c r="F132" s="43"/>
      <c r="G132" s="43"/>
      <c r="H132" s="43"/>
      <c r="I132" s="43"/>
      <c r="J132" s="443"/>
      <c r="K132" s="43"/>
      <c r="L132" s="89"/>
      <c r="M132" s="89"/>
      <c r="O132" s="71">
        <f t="shared" si="21"/>
        <v>0</v>
      </c>
      <c r="P132" s="89">
        <f t="shared" si="22"/>
        <v>0</v>
      </c>
      <c r="Q132" s="491" t="str">
        <f>IF(ISBLANK(M132), "", VLOOKUP(A132&amp;" "&amp;B132, 'Info Tipo de Cambio y REM'!$A$24:$B$47, 2, FALSE))</f>
        <v/>
      </c>
      <c r="R132" s="109" t="str">
        <f t="shared" si="1"/>
        <v/>
      </c>
      <c r="S132" s="71" t="str">
        <f t="shared" si="2"/>
        <v/>
      </c>
      <c r="T132" s="71">
        <f t="shared" si="3"/>
        <v>0</v>
      </c>
      <c r="U132" s="43"/>
      <c r="V132" s="486"/>
      <c r="W132" s="43"/>
      <c r="X132" s="43"/>
    </row>
    <row r="133" hidden="1">
      <c r="A133" s="51"/>
      <c r="B133" s="43"/>
      <c r="C133" s="51"/>
      <c r="D133" s="43"/>
      <c r="E133" s="43"/>
      <c r="F133" s="43"/>
      <c r="G133" s="43"/>
      <c r="H133" s="43"/>
      <c r="I133" s="43"/>
      <c r="J133" s="443"/>
      <c r="K133" s="43"/>
      <c r="L133" s="89"/>
      <c r="M133" s="89"/>
      <c r="O133" s="71">
        <f t="shared" si="21"/>
        <v>0</v>
      </c>
      <c r="P133" s="89">
        <f t="shared" si="22"/>
        <v>0</v>
      </c>
      <c r="Q133" s="491" t="str">
        <f>IF(ISBLANK(M133), "", VLOOKUP(A133&amp;" "&amp;B133, 'Info Tipo de Cambio y REM'!$A$24:$B$47, 2, FALSE))</f>
        <v/>
      </c>
      <c r="R133" s="109" t="str">
        <f t="shared" si="1"/>
        <v/>
      </c>
      <c r="S133" s="71" t="str">
        <f t="shared" si="2"/>
        <v/>
      </c>
      <c r="T133" s="71">
        <f t="shared" si="3"/>
        <v>0</v>
      </c>
      <c r="U133" s="43"/>
      <c r="V133" s="486"/>
      <c r="W133" s="43"/>
      <c r="X133" s="43"/>
    </row>
    <row r="134" hidden="1">
      <c r="A134" s="51"/>
      <c r="B134" s="43"/>
      <c r="C134" s="51"/>
      <c r="D134" s="43"/>
      <c r="E134" s="43"/>
      <c r="F134" s="43"/>
      <c r="G134" s="43"/>
      <c r="H134" s="43"/>
      <c r="I134" s="43"/>
      <c r="J134" s="443"/>
      <c r="K134" s="43"/>
      <c r="L134" s="89"/>
      <c r="M134" s="89"/>
      <c r="O134" s="71">
        <f t="shared" si="21"/>
        <v>0</v>
      </c>
      <c r="P134" s="89">
        <f t="shared" si="22"/>
        <v>0</v>
      </c>
      <c r="Q134" s="491" t="str">
        <f>IF(ISBLANK(M134), "", VLOOKUP(A134&amp;" "&amp;B134, 'Info Tipo de Cambio y REM'!$A$24:$B$47, 2, FALSE))</f>
        <v/>
      </c>
      <c r="R134" s="109" t="str">
        <f t="shared" si="1"/>
        <v/>
      </c>
      <c r="S134" s="71" t="str">
        <f t="shared" si="2"/>
        <v/>
      </c>
      <c r="T134" s="71">
        <f t="shared" si="3"/>
        <v>0</v>
      </c>
      <c r="U134" s="43"/>
      <c r="V134" s="486"/>
      <c r="W134" s="43"/>
      <c r="X134" s="43"/>
    </row>
    <row r="135" hidden="1">
      <c r="A135" s="51"/>
      <c r="B135" s="43"/>
      <c r="C135" s="51"/>
      <c r="D135" s="43"/>
      <c r="E135" s="43"/>
      <c r="F135" s="43"/>
      <c r="G135" s="43"/>
      <c r="H135" s="43"/>
      <c r="I135" s="43"/>
      <c r="J135" s="443"/>
      <c r="K135" s="43"/>
      <c r="L135" s="89"/>
      <c r="M135" s="89"/>
      <c r="O135" s="71">
        <f t="shared" si="21"/>
        <v>0</v>
      </c>
      <c r="P135" s="89">
        <f t="shared" si="22"/>
        <v>0</v>
      </c>
      <c r="Q135" s="491" t="str">
        <f>IF(ISBLANK(M135), "", VLOOKUP(A135&amp;" "&amp;B135, 'Info Tipo de Cambio y REM'!$A$24:$B$47, 2, FALSE))</f>
        <v/>
      </c>
      <c r="R135" s="109" t="str">
        <f t="shared" si="1"/>
        <v/>
      </c>
      <c r="S135" s="71" t="str">
        <f t="shared" si="2"/>
        <v/>
      </c>
      <c r="T135" s="71">
        <f t="shared" si="3"/>
        <v>0</v>
      </c>
      <c r="U135" s="43"/>
      <c r="V135" s="486"/>
      <c r="W135" s="43"/>
      <c r="X135" s="43"/>
    </row>
    <row r="136" hidden="1">
      <c r="A136" s="51"/>
      <c r="B136" s="43"/>
      <c r="C136" s="51"/>
      <c r="D136" s="43"/>
      <c r="E136" s="43"/>
      <c r="F136" s="43"/>
      <c r="G136" s="43"/>
      <c r="H136" s="43"/>
      <c r="I136" s="43"/>
      <c r="J136" s="443"/>
      <c r="K136" s="43"/>
      <c r="L136" s="89"/>
      <c r="M136" s="89"/>
      <c r="O136" s="71">
        <f t="shared" si="21"/>
        <v>0</v>
      </c>
      <c r="P136" s="89">
        <f t="shared" si="22"/>
        <v>0</v>
      </c>
      <c r="Q136" s="491" t="str">
        <f>IF(ISBLANK(M136), "", VLOOKUP(A136&amp;" "&amp;B136, 'Info Tipo de Cambio y REM'!$A$24:$B$47, 2, FALSE))</f>
        <v/>
      </c>
      <c r="R136" s="109" t="str">
        <f t="shared" si="1"/>
        <v/>
      </c>
      <c r="S136" s="71" t="str">
        <f t="shared" si="2"/>
        <v/>
      </c>
      <c r="T136" s="71">
        <f t="shared" si="3"/>
        <v>0</v>
      </c>
      <c r="U136" s="43"/>
      <c r="V136" s="486"/>
      <c r="W136" s="43"/>
      <c r="X136" s="43"/>
    </row>
    <row r="137" hidden="1">
      <c r="A137" s="51"/>
      <c r="B137" s="43"/>
      <c r="C137" s="51"/>
      <c r="D137" s="43"/>
      <c r="E137" s="43"/>
      <c r="F137" s="43"/>
      <c r="G137" s="43"/>
      <c r="H137" s="43"/>
      <c r="I137" s="43"/>
      <c r="J137" s="443"/>
      <c r="K137" s="43"/>
      <c r="L137" s="89"/>
      <c r="M137" s="89"/>
      <c r="O137" s="71">
        <f t="shared" si="21"/>
        <v>0</v>
      </c>
      <c r="P137" s="89">
        <f t="shared" si="22"/>
        <v>0</v>
      </c>
      <c r="Q137" s="491" t="str">
        <f>IF(ISBLANK(M137), "", VLOOKUP(A137&amp;" "&amp;B137, 'Info Tipo de Cambio y REM'!$A$24:$B$47, 2, FALSE))</f>
        <v/>
      </c>
      <c r="R137" s="109" t="str">
        <f t="shared" si="1"/>
        <v/>
      </c>
      <c r="S137" s="71" t="str">
        <f t="shared" si="2"/>
        <v/>
      </c>
      <c r="T137" s="71">
        <f t="shared" si="3"/>
        <v>0</v>
      </c>
      <c r="U137" s="43"/>
      <c r="V137" s="486"/>
      <c r="W137" s="43"/>
      <c r="X137" s="43"/>
    </row>
    <row r="138" hidden="1">
      <c r="A138" s="51"/>
      <c r="B138" s="43"/>
      <c r="C138" s="51"/>
      <c r="D138" s="43"/>
      <c r="E138" s="43"/>
      <c r="F138" s="43"/>
      <c r="G138" s="43"/>
      <c r="H138" s="43"/>
      <c r="I138" s="43"/>
      <c r="J138" s="443"/>
      <c r="K138" s="43"/>
      <c r="L138" s="89"/>
      <c r="M138" s="89"/>
      <c r="O138" s="71">
        <f t="shared" si="21"/>
        <v>0</v>
      </c>
      <c r="P138" s="89">
        <f t="shared" si="22"/>
        <v>0</v>
      </c>
      <c r="Q138" s="491" t="str">
        <f>IF(ISBLANK(M138), "", VLOOKUP(A138&amp;" "&amp;B138, 'Info Tipo de Cambio y REM'!$A$24:$B$47, 2, FALSE))</f>
        <v/>
      </c>
      <c r="R138" s="109" t="str">
        <f t="shared" si="1"/>
        <v/>
      </c>
      <c r="S138" s="71" t="str">
        <f t="shared" si="2"/>
        <v/>
      </c>
      <c r="T138" s="71">
        <f t="shared" si="3"/>
        <v>0</v>
      </c>
      <c r="U138" s="43"/>
      <c r="V138" s="486"/>
      <c r="W138" s="43"/>
      <c r="X138" s="43"/>
    </row>
    <row r="139" hidden="1">
      <c r="A139" s="51"/>
      <c r="B139" s="43"/>
      <c r="C139" s="51"/>
      <c r="D139" s="43"/>
      <c r="E139" s="43"/>
      <c r="F139" s="43"/>
      <c r="G139" s="43"/>
      <c r="H139" s="43"/>
      <c r="I139" s="43"/>
      <c r="J139" s="443"/>
      <c r="K139" s="43"/>
      <c r="L139" s="89"/>
      <c r="M139" s="89"/>
      <c r="O139" s="71">
        <f t="shared" si="21"/>
        <v>0</v>
      </c>
      <c r="P139" s="89">
        <f t="shared" si="22"/>
        <v>0</v>
      </c>
      <c r="Q139" s="491" t="str">
        <f>IF(ISBLANK(M139), "", VLOOKUP(A139&amp;" "&amp;B139, 'Info Tipo de Cambio y REM'!$A$24:$B$47, 2, FALSE))</f>
        <v/>
      </c>
      <c r="R139" s="109" t="str">
        <f t="shared" si="1"/>
        <v/>
      </c>
      <c r="S139" s="71" t="str">
        <f t="shared" si="2"/>
        <v/>
      </c>
      <c r="T139" s="71">
        <f t="shared" si="3"/>
        <v>0</v>
      </c>
      <c r="U139" s="43"/>
      <c r="V139" s="486"/>
      <c r="W139" s="43"/>
      <c r="X139" s="43"/>
    </row>
    <row r="140" hidden="1">
      <c r="A140" s="51"/>
      <c r="B140" s="43"/>
      <c r="C140" s="51"/>
      <c r="D140" s="43"/>
      <c r="E140" s="43"/>
      <c r="F140" s="43"/>
      <c r="G140" s="43"/>
      <c r="H140" s="43"/>
      <c r="I140" s="43"/>
      <c r="J140" s="443"/>
      <c r="K140" s="43"/>
      <c r="L140" s="89"/>
      <c r="M140" s="89"/>
      <c r="O140" s="71">
        <f t="shared" si="21"/>
        <v>0</v>
      </c>
      <c r="P140" s="89">
        <f t="shared" si="22"/>
        <v>0</v>
      </c>
      <c r="Q140" s="491" t="str">
        <f>IF(ISBLANK(M140), "", VLOOKUP(A140&amp;" "&amp;B140, 'Info Tipo de Cambio y REM'!$A$24:$B$47, 2, FALSE))</f>
        <v/>
      </c>
      <c r="R140" s="109" t="str">
        <f t="shared" si="1"/>
        <v/>
      </c>
      <c r="S140" s="71" t="str">
        <f t="shared" si="2"/>
        <v/>
      </c>
      <c r="T140" s="71">
        <f t="shared" si="3"/>
        <v>0</v>
      </c>
      <c r="U140" s="43"/>
      <c r="V140" s="486"/>
      <c r="W140" s="43"/>
      <c r="X140" s="43"/>
    </row>
    <row r="141" hidden="1">
      <c r="A141" s="51"/>
      <c r="B141" s="43"/>
      <c r="C141" s="51"/>
      <c r="D141" s="43"/>
      <c r="E141" s="43"/>
      <c r="F141" s="43"/>
      <c r="G141" s="43"/>
      <c r="H141" s="43"/>
      <c r="I141" s="43"/>
      <c r="J141" s="443"/>
      <c r="K141" s="43"/>
      <c r="L141" s="89"/>
      <c r="M141" s="89"/>
      <c r="O141" s="71">
        <f t="shared" si="21"/>
        <v>0</v>
      </c>
      <c r="P141" s="89">
        <f t="shared" si="22"/>
        <v>0</v>
      </c>
      <c r="Q141" s="491" t="str">
        <f>IF(ISBLANK(M141), "", VLOOKUP(A141&amp;" "&amp;B141, 'Info Tipo de Cambio y REM'!$A$24:$B$47, 2, FALSE))</f>
        <v/>
      </c>
      <c r="R141" s="109" t="str">
        <f t="shared" si="1"/>
        <v/>
      </c>
      <c r="S141" s="71" t="str">
        <f t="shared" si="2"/>
        <v/>
      </c>
      <c r="T141" s="71">
        <f t="shared" si="3"/>
        <v>0</v>
      </c>
      <c r="U141" s="43"/>
      <c r="V141" s="486"/>
      <c r="W141" s="43"/>
      <c r="X141" s="43"/>
    </row>
    <row r="142" hidden="1">
      <c r="A142" s="51"/>
      <c r="B142" s="43"/>
      <c r="C142" s="51"/>
      <c r="D142" s="43"/>
      <c r="E142" s="43"/>
      <c r="F142" s="43"/>
      <c r="G142" s="43"/>
      <c r="H142" s="43"/>
      <c r="I142" s="43"/>
      <c r="J142" s="443"/>
      <c r="K142" s="43"/>
      <c r="L142" s="89"/>
      <c r="M142" s="89"/>
      <c r="O142" s="71">
        <f t="shared" si="21"/>
        <v>0</v>
      </c>
      <c r="P142" s="89">
        <f t="shared" si="22"/>
        <v>0</v>
      </c>
      <c r="Q142" s="491" t="str">
        <f>IF(ISBLANK(M142), "", VLOOKUP(A142&amp;" "&amp;B142, 'Info Tipo de Cambio y REM'!$A$24:$B$47, 2, FALSE))</f>
        <v/>
      </c>
      <c r="R142" s="109" t="str">
        <f t="shared" si="1"/>
        <v/>
      </c>
      <c r="S142" s="71" t="str">
        <f t="shared" si="2"/>
        <v/>
      </c>
      <c r="T142" s="71">
        <f t="shared" si="3"/>
        <v>0</v>
      </c>
      <c r="U142" s="43"/>
      <c r="V142" s="486"/>
      <c r="W142" s="43"/>
      <c r="X142" s="43"/>
    </row>
    <row r="143" hidden="1">
      <c r="A143" s="51"/>
      <c r="B143" s="43"/>
      <c r="C143" s="51"/>
      <c r="D143" s="43"/>
      <c r="E143" s="43"/>
      <c r="F143" s="43"/>
      <c r="G143" s="43"/>
      <c r="H143" s="43"/>
      <c r="I143" s="43"/>
      <c r="J143" s="443"/>
      <c r="K143" s="43"/>
      <c r="L143" s="89"/>
      <c r="M143" s="89"/>
      <c r="O143" s="71">
        <f t="shared" si="21"/>
        <v>0</v>
      </c>
      <c r="P143" s="89">
        <f t="shared" si="22"/>
        <v>0</v>
      </c>
      <c r="Q143" s="491" t="str">
        <f>IF(ISBLANK(M143), "", VLOOKUP(A143&amp;" "&amp;B143, 'Info Tipo de Cambio y REM'!$A$24:$B$47, 2, FALSE))</f>
        <v/>
      </c>
      <c r="R143" s="109" t="str">
        <f t="shared" si="1"/>
        <v/>
      </c>
      <c r="S143" s="71" t="str">
        <f t="shared" si="2"/>
        <v/>
      </c>
      <c r="T143" s="71">
        <f t="shared" si="3"/>
        <v>0</v>
      </c>
      <c r="U143" s="43"/>
      <c r="V143" s="486"/>
      <c r="W143" s="43"/>
      <c r="X143" s="43"/>
    </row>
    <row r="144" hidden="1">
      <c r="A144" s="51"/>
      <c r="B144" s="43"/>
      <c r="C144" s="51"/>
      <c r="D144" s="43"/>
      <c r="E144" s="43"/>
      <c r="F144" s="43"/>
      <c r="G144" s="43"/>
      <c r="H144" s="43"/>
      <c r="I144" s="43"/>
      <c r="J144" s="443"/>
      <c r="K144" s="43"/>
      <c r="L144" s="89"/>
      <c r="M144" s="89"/>
      <c r="O144" s="71">
        <f t="shared" si="21"/>
        <v>0</v>
      </c>
      <c r="P144" s="89">
        <f t="shared" si="22"/>
        <v>0</v>
      </c>
      <c r="Q144" s="491" t="str">
        <f>IF(ISBLANK(M144), "", VLOOKUP(A144&amp;" "&amp;B144, 'Info Tipo de Cambio y REM'!$A$24:$B$47, 2, FALSE))</f>
        <v/>
      </c>
      <c r="R144" s="109" t="str">
        <f t="shared" si="1"/>
        <v/>
      </c>
      <c r="S144" s="71" t="str">
        <f t="shared" si="2"/>
        <v/>
      </c>
      <c r="T144" s="71">
        <f t="shared" si="3"/>
        <v>0</v>
      </c>
      <c r="U144" s="43"/>
      <c r="V144" s="486"/>
      <c r="W144" s="43"/>
      <c r="X144" s="43"/>
    </row>
    <row r="145" hidden="1">
      <c r="A145" s="51"/>
      <c r="B145" s="43"/>
      <c r="C145" s="51"/>
      <c r="D145" s="43"/>
      <c r="E145" s="43"/>
      <c r="F145" s="43"/>
      <c r="G145" s="43"/>
      <c r="H145" s="43"/>
      <c r="I145" s="43"/>
      <c r="J145" s="443"/>
      <c r="K145" s="43"/>
      <c r="L145" s="89"/>
      <c r="M145" s="89"/>
      <c r="O145" s="71">
        <f t="shared" si="21"/>
        <v>0</v>
      </c>
      <c r="P145" s="89">
        <f t="shared" si="22"/>
        <v>0</v>
      </c>
      <c r="Q145" s="491" t="str">
        <f>IF(ISBLANK(M145), "", VLOOKUP(A145&amp;" "&amp;B145, 'Info Tipo de Cambio y REM'!$A$24:$B$47, 2, FALSE))</f>
        <v/>
      </c>
      <c r="R145" s="109" t="str">
        <f t="shared" si="1"/>
        <v/>
      </c>
      <c r="S145" s="71" t="str">
        <f t="shared" si="2"/>
        <v/>
      </c>
      <c r="T145" s="71">
        <f t="shared" si="3"/>
        <v>0</v>
      </c>
      <c r="U145" s="43"/>
      <c r="V145" s="486"/>
      <c r="W145" s="43"/>
      <c r="X145" s="43"/>
    </row>
    <row r="146" hidden="1">
      <c r="A146" s="51"/>
      <c r="B146" s="43"/>
      <c r="C146" s="51"/>
      <c r="D146" s="43"/>
      <c r="E146" s="43"/>
      <c r="F146" s="43"/>
      <c r="G146" s="43"/>
      <c r="H146" s="43"/>
      <c r="I146" s="43"/>
      <c r="J146" s="443"/>
      <c r="K146" s="43"/>
      <c r="L146" s="89"/>
      <c r="M146" s="89"/>
      <c r="O146" s="71">
        <f t="shared" si="21"/>
        <v>0</v>
      </c>
      <c r="P146" s="89">
        <f t="shared" si="22"/>
        <v>0</v>
      </c>
      <c r="Q146" s="491" t="str">
        <f>IF(ISBLANK(M146), "", VLOOKUP(A146&amp;" "&amp;B146, 'Info Tipo de Cambio y REM'!$A$24:$B$47, 2, FALSE))</f>
        <v/>
      </c>
      <c r="R146" s="109" t="str">
        <f t="shared" si="1"/>
        <v/>
      </c>
      <c r="S146" s="71" t="str">
        <f t="shared" si="2"/>
        <v/>
      </c>
      <c r="T146" s="71">
        <f t="shared" si="3"/>
        <v>0</v>
      </c>
      <c r="U146" s="43"/>
      <c r="V146" s="486"/>
      <c r="W146" s="43"/>
      <c r="X146" s="43"/>
    </row>
    <row r="147" hidden="1">
      <c r="A147" s="51"/>
      <c r="B147" s="43"/>
      <c r="C147" s="51"/>
      <c r="D147" s="43"/>
      <c r="E147" s="43"/>
      <c r="F147" s="43"/>
      <c r="G147" s="43"/>
      <c r="H147" s="43"/>
      <c r="I147" s="43"/>
      <c r="J147" s="443"/>
      <c r="K147" s="43"/>
      <c r="L147" s="89"/>
      <c r="M147" s="89"/>
      <c r="O147" s="71">
        <f t="shared" si="21"/>
        <v>0</v>
      </c>
      <c r="P147" s="89">
        <f t="shared" si="22"/>
        <v>0</v>
      </c>
      <c r="Q147" s="491" t="str">
        <f>IF(ISBLANK(M147), "", VLOOKUP(A147&amp;" "&amp;B147, 'Info Tipo de Cambio y REM'!$A$24:$B$47, 2, FALSE))</f>
        <v/>
      </c>
      <c r="R147" s="109" t="str">
        <f t="shared" si="1"/>
        <v/>
      </c>
      <c r="S147" s="71" t="str">
        <f t="shared" si="2"/>
        <v/>
      </c>
      <c r="T147" s="71">
        <f t="shared" si="3"/>
        <v>0</v>
      </c>
      <c r="U147" s="43"/>
      <c r="V147" s="486"/>
      <c r="W147" s="43"/>
      <c r="X147" s="43"/>
    </row>
    <row r="148" hidden="1">
      <c r="A148" s="51"/>
      <c r="B148" s="43"/>
      <c r="C148" s="51"/>
      <c r="D148" s="43"/>
      <c r="E148" s="43"/>
      <c r="F148" s="43"/>
      <c r="G148" s="43"/>
      <c r="H148" s="43"/>
      <c r="I148" s="43"/>
      <c r="J148" s="443"/>
      <c r="K148" s="43"/>
      <c r="L148" s="89"/>
      <c r="M148" s="89"/>
      <c r="O148" s="71">
        <f t="shared" si="21"/>
        <v>0</v>
      </c>
      <c r="P148" s="89">
        <f t="shared" si="22"/>
        <v>0</v>
      </c>
      <c r="Q148" s="491" t="str">
        <f>IF(ISBLANK(M148), "", VLOOKUP(A148&amp;" "&amp;B148, 'Info Tipo de Cambio y REM'!$A$24:$B$47, 2, FALSE))</f>
        <v/>
      </c>
      <c r="R148" s="109" t="str">
        <f t="shared" si="1"/>
        <v/>
      </c>
      <c r="S148" s="71" t="str">
        <f t="shared" si="2"/>
        <v/>
      </c>
      <c r="T148" s="71">
        <f t="shared" si="3"/>
        <v>0</v>
      </c>
      <c r="U148" s="43"/>
      <c r="V148" s="486"/>
      <c r="W148" s="43"/>
      <c r="X148" s="43"/>
    </row>
    <row r="149" hidden="1">
      <c r="A149" s="51"/>
      <c r="B149" s="43"/>
      <c r="C149" s="51"/>
      <c r="D149" s="43"/>
      <c r="E149" s="43"/>
      <c r="F149" s="43"/>
      <c r="G149" s="43"/>
      <c r="H149" s="43"/>
      <c r="I149" s="43"/>
      <c r="J149" s="443"/>
      <c r="K149" s="43"/>
      <c r="L149" s="89"/>
      <c r="M149" s="89"/>
      <c r="O149" s="71">
        <f t="shared" si="21"/>
        <v>0</v>
      </c>
      <c r="P149" s="89">
        <f t="shared" si="22"/>
        <v>0</v>
      </c>
      <c r="Q149" s="491" t="str">
        <f>IF(ISBLANK(M149), "", VLOOKUP(A149&amp;" "&amp;B149, 'Info Tipo de Cambio y REM'!$A$24:$B$47, 2, FALSE))</f>
        <v/>
      </c>
      <c r="R149" s="109" t="str">
        <f t="shared" si="1"/>
        <v/>
      </c>
      <c r="S149" s="71" t="str">
        <f t="shared" si="2"/>
        <v/>
      </c>
      <c r="T149" s="71">
        <f t="shared" si="3"/>
        <v>0</v>
      </c>
      <c r="U149" s="43"/>
      <c r="V149" s="486"/>
      <c r="W149" s="43"/>
      <c r="X149" s="43"/>
    </row>
    <row r="150" hidden="1">
      <c r="A150" s="51"/>
      <c r="B150" s="43"/>
      <c r="C150" s="51"/>
      <c r="D150" s="43"/>
      <c r="E150" s="43"/>
      <c r="F150" s="43"/>
      <c r="G150" s="43"/>
      <c r="H150" s="43"/>
      <c r="I150" s="43"/>
      <c r="J150" s="443"/>
      <c r="K150" s="43"/>
      <c r="L150" s="89"/>
      <c r="M150" s="89"/>
      <c r="O150" s="71">
        <f t="shared" si="21"/>
        <v>0</v>
      </c>
      <c r="P150" s="89">
        <f t="shared" si="22"/>
        <v>0</v>
      </c>
      <c r="Q150" s="491" t="str">
        <f>IF(ISBLANK(M150), "", VLOOKUP(A150&amp;" "&amp;B150, 'Info Tipo de Cambio y REM'!$A$24:$B$47, 2, FALSE))</f>
        <v/>
      </c>
      <c r="R150" s="109" t="str">
        <f t="shared" si="1"/>
        <v/>
      </c>
      <c r="S150" s="71" t="str">
        <f t="shared" si="2"/>
        <v/>
      </c>
      <c r="T150" s="71">
        <f t="shared" si="3"/>
        <v>0</v>
      </c>
      <c r="U150" s="43"/>
      <c r="V150" s="486"/>
      <c r="W150" s="43"/>
      <c r="X150" s="43"/>
    </row>
    <row r="151" hidden="1">
      <c r="A151" s="51"/>
      <c r="B151" s="43"/>
      <c r="C151" s="51"/>
      <c r="D151" s="43"/>
      <c r="E151" s="43"/>
      <c r="F151" s="43"/>
      <c r="G151" s="43"/>
      <c r="H151" s="43"/>
      <c r="I151" s="43"/>
      <c r="J151" s="443"/>
      <c r="K151" s="43"/>
      <c r="L151" s="89"/>
      <c r="M151" s="89"/>
      <c r="O151" s="71">
        <f t="shared" si="21"/>
        <v>0</v>
      </c>
      <c r="P151" s="89">
        <f t="shared" si="22"/>
        <v>0</v>
      </c>
      <c r="Q151" s="491" t="str">
        <f>IF(ISBLANK(M151), "", VLOOKUP(A151&amp;" "&amp;B151, 'Info Tipo de Cambio y REM'!$A$24:$B$47, 2, FALSE))</f>
        <v/>
      </c>
      <c r="R151" s="109" t="str">
        <f t="shared" si="1"/>
        <v/>
      </c>
      <c r="S151" s="71" t="str">
        <f t="shared" si="2"/>
        <v/>
      </c>
      <c r="T151" s="71">
        <f t="shared" si="3"/>
        <v>0</v>
      </c>
      <c r="U151" s="43"/>
      <c r="V151" s="486"/>
      <c r="W151" s="43"/>
      <c r="X151" s="43"/>
    </row>
    <row r="152" hidden="1">
      <c r="A152" s="51"/>
      <c r="B152" s="43"/>
      <c r="C152" s="51"/>
      <c r="D152" s="43"/>
      <c r="E152" s="43"/>
      <c r="F152" s="43"/>
      <c r="G152" s="43"/>
      <c r="H152" s="43"/>
      <c r="I152" s="43"/>
      <c r="J152" s="443"/>
      <c r="K152" s="43"/>
      <c r="L152" s="89"/>
      <c r="M152" s="89"/>
      <c r="O152" s="71">
        <f t="shared" si="21"/>
        <v>0</v>
      </c>
      <c r="P152" s="89">
        <f t="shared" si="22"/>
        <v>0</v>
      </c>
      <c r="Q152" s="491" t="str">
        <f>IF(ISBLANK(M152), "", VLOOKUP(A152&amp;" "&amp;B152, 'Info Tipo de Cambio y REM'!$A$24:$B$47, 2, FALSE))</f>
        <v/>
      </c>
      <c r="R152" s="109" t="str">
        <f t="shared" si="1"/>
        <v/>
      </c>
      <c r="S152" s="71" t="str">
        <f t="shared" si="2"/>
        <v/>
      </c>
      <c r="T152" s="71">
        <f t="shared" si="3"/>
        <v>0</v>
      </c>
      <c r="U152" s="43"/>
      <c r="V152" s="486"/>
      <c r="W152" s="43"/>
      <c r="X152" s="43"/>
    </row>
    <row r="153" hidden="1">
      <c r="A153" s="51"/>
      <c r="B153" s="43"/>
      <c r="C153" s="51"/>
      <c r="D153" s="43"/>
      <c r="E153" s="43"/>
      <c r="F153" s="43"/>
      <c r="G153" s="43"/>
      <c r="H153" s="43"/>
      <c r="I153" s="43"/>
      <c r="J153" s="443"/>
      <c r="K153" s="43"/>
      <c r="L153" s="89"/>
      <c r="M153" s="89"/>
      <c r="O153" s="71">
        <f t="shared" si="21"/>
        <v>0</v>
      </c>
      <c r="P153" s="89">
        <f t="shared" si="22"/>
        <v>0</v>
      </c>
      <c r="Q153" s="491" t="str">
        <f>IF(ISBLANK(M153), "", VLOOKUP(A153&amp;" "&amp;B153, 'Info Tipo de Cambio y REM'!$A$24:$B$47, 2, FALSE))</f>
        <v/>
      </c>
      <c r="R153" s="109" t="str">
        <f t="shared" si="1"/>
        <v/>
      </c>
      <c r="S153" s="71" t="str">
        <f t="shared" si="2"/>
        <v/>
      </c>
      <c r="T153" s="71">
        <f t="shared" si="3"/>
        <v>0</v>
      </c>
      <c r="U153" s="43"/>
      <c r="V153" s="486"/>
      <c r="W153" s="43"/>
      <c r="X153" s="43"/>
    </row>
    <row r="154" hidden="1">
      <c r="A154" s="51"/>
      <c r="B154" s="43"/>
      <c r="C154" s="51"/>
      <c r="D154" s="43"/>
      <c r="E154" s="43"/>
      <c r="F154" s="43"/>
      <c r="G154" s="43"/>
      <c r="H154" s="43"/>
      <c r="I154" s="43"/>
      <c r="J154" s="443"/>
      <c r="K154" s="43"/>
      <c r="L154" s="89"/>
      <c r="M154" s="89"/>
      <c r="O154" s="71">
        <f t="shared" si="21"/>
        <v>0</v>
      </c>
      <c r="P154" s="89">
        <f t="shared" si="22"/>
        <v>0</v>
      </c>
      <c r="Q154" s="491" t="str">
        <f>IF(ISBLANK(M154), "", VLOOKUP(A154&amp;" "&amp;B154, 'Info Tipo de Cambio y REM'!$A$24:$B$47, 2, FALSE))</f>
        <v/>
      </c>
      <c r="R154" s="109" t="str">
        <f t="shared" si="1"/>
        <v/>
      </c>
      <c r="S154" s="71" t="str">
        <f t="shared" si="2"/>
        <v/>
      </c>
      <c r="T154" s="71">
        <f t="shared" si="3"/>
        <v>0</v>
      </c>
      <c r="U154" s="43"/>
      <c r="V154" s="486"/>
      <c r="W154" s="43"/>
      <c r="X154" s="43"/>
    </row>
    <row r="155" hidden="1">
      <c r="A155" s="51"/>
      <c r="B155" s="43"/>
      <c r="C155" s="51"/>
      <c r="D155" s="43"/>
      <c r="E155" s="43"/>
      <c r="F155" s="43"/>
      <c r="G155" s="43"/>
      <c r="H155" s="43"/>
      <c r="I155" s="43"/>
      <c r="J155" s="443"/>
      <c r="K155" s="43"/>
      <c r="L155" s="89"/>
      <c r="M155" s="89"/>
      <c r="O155" s="71">
        <f t="shared" si="21"/>
        <v>0</v>
      </c>
      <c r="P155" s="89">
        <f t="shared" si="22"/>
        <v>0</v>
      </c>
      <c r="Q155" s="491" t="str">
        <f>IF(ISBLANK(M155), "", VLOOKUP(A155&amp;" "&amp;B155, 'Info Tipo de Cambio y REM'!$A$24:$B$47, 2, FALSE))</f>
        <v/>
      </c>
      <c r="R155" s="109" t="str">
        <f t="shared" si="1"/>
        <v/>
      </c>
      <c r="S155" s="71" t="str">
        <f t="shared" si="2"/>
        <v/>
      </c>
      <c r="T155" s="71">
        <f t="shared" si="3"/>
        <v>0</v>
      </c>
      <c r="U155" s="43"/>
      <c r="V155" s="486"/>
      <c r="W155" s="43"/>
      <c r="X155" s="43"/>
    </row>
    <row r="156" hidden="1">
      <c r="A156" s="51"/>
      <c r="B156" s="43"/>
      <c r="C156" s="51"/>
      <c r="D156" s="43"/>
      <c r="E156" s="43"/>
      <c r="F156" s="43"/>
      <c r="G156" s="43"/>
      <c r="H156" s="43"/>
      <c r="I156" s="43"/>
      <c r="J156" s="443"/>
      <c r="K156" s="43"/>
      <c r="L156" s="89"/>
      <c r="M156" s="89"/>
      <c r="O156" s="71">
        <f t="shared" si="21"/>
        <v>0</v>
      </c>
      <c r="P156" s="89">
        <f t="shared" si="22"/>
        <v>0</v>
      </c>
      <c r="Q156" s="491" t="str">
        <f>IF(ISBLANK(M156), "", VLOOKUP(A156&amp;" "&amp;B156, 'Info Tipo de Cambio y REM'!$A$24:$B$47, 2, FALSE))</f>
        <v/>
      </c>
      <c r="R156" s="109" t="str">
        <f t="shared" si="1"/>
        <v/>
      </c>
      <c r="S156" s="71" t="str">
        <f t="shared" si="2"/>
        <v/>
      </c>
      <c r="T156" s="71">
        <f t="shared" si="3"/>
        <v>0</v>
      </c>
      <c r="U156" s="43"/>
      <c r="V156" s="486"/>
      <c r="W156" s="43"/>
      <c r="X156" s="43"/>
    </row>
    <row r="157" hidden="1">
      <c r="A157" s="51"/>
      <c r="B157" s="43"/>
      <c r="C157" s="51"/>
      <c r="D157" s="43"/>
      <c r="E157" s="43"/>
      <c r="F157" s="43"/>
      <c r="G157" s="43"/>
      <c r="H157" s="43"/>
      <c r="I157" s="43"/>
      <c r="J157" s="443"/>
      <c r="K157" s="43"/>
      <c r="L157" s="89"/>
      <c r="M157" s="89"/>
      <c r="O157" s="71">
        <f t="shared" si="21"/>
        <v>0</v>
      </c>
      <c r="P157" s="89">
        <f t="shared" si="22"/>
        <v>0</v>
      </c>
      <c r="Q157" s="491" t="str">
        <f>IF(ISBLANK(M157), "", VLOOKUP(A157&amp;" "&amp;B157, 'Info Tipo de Cambio y REM'!$A$24:$B$47, 2, FALSE))</f>
        <v/>
      </c>
      <c r="R157" s="109" t="str">
        <f t="shared" si="1"/>
        <v/>
      </c>
      <c r="S157" s="71" t="str">
        <f t="shared" si="2"/>
        <v/>
      </c>
      <c r="T157" s="71">
        <f t="shared" si="3"/>
        <v>0</v>
      </c>
      <c r="U157" s="43"/>
      <c r="V157" s="486"/>
      <c r="W157" s="43"/>
      <c r="X157" s="43"/>
    </row>
    <row r="158" hidden="1">
      <c r="A158" s="51"/>
      <c r="B158" s="43"/>
      <c r="C158" s="51"/>
      <c r="D158" s="43"/>
      <c r="E158" s="43"/>
      <c r="F158" s="43"/>
      <c r="G158" s="43"/>
      <c r="H158" s="43"/>
      <c r="I158" s="43"/>
      <c r="J158" s="443"/>
      <c r="K158" s="43"/>
      <c r="L158" s="89"/>
      <c r="M158" s="89"/>
      <c r="O158" s="71">
        <f t="shared" si="21"/>
        <v>0</v>
      </c>
      <c r="P158" s="89">
        <f t="shared" si="22"/>
        <v>0</v>
      </c>
      <c r="Q158" s="491" t="str">
        <f>IF(ISBLANK(M158), "", VLOOKUP(A158&amp;" "&amp;B158, 'Info Tipo de Cambio y REM'!$A$24:$B$47, 2, FALSE))</f>
        <v/>
      </c>
      <c r="R158" s="109" t="str">
        <f t="shared" si="1"/>
        <v/>
      </c>
      <c r="S158" s="71" t="str">
        <f t="shared" si="2"/>
        <v/>
      </c>
      <c r="T158" s="71">
        <f t="shared" si="3"/>
        <v>0</v>
      </c>
      <c r="U158" s="43"/>
      <c r="V158" s="486"/>
      <c r="W158" s="43"/>
      <c r="X158" s="43"/>
    </row>
    <row r="159" hidden="1">
      <c r="A159" s="51"/>
      <c r="B159" s="43"/>
      <c r="C159" s="51"/>
      <c r="D159" s="43"/>
      <c r="E159" s="43"/>
      <c r="F159" s="43"/>
      <c r="G159" s="43"/>
      <c r="H159" s="43"/>
      <c r="I159" s="43"/>
      <c r="J159" s="443"/>
      <c r="K159" s="43"/>
      <c r="L159" s="89"/>
      <c r="M159" s="89"/>
      <c r="O159" s="71">
        <f t="shared" si="21"/>
        <v>0</v>
      </c>
      <c r="P159" s="89">
        <f t="shared" si="22"/>
        <v>0</v>
      </c>
      <c r="Q159" s="491" t="str">
        <f>IF(ISBLANK(M159), "", VLOOKUP(A159&amp;" "&amp;B159, 'Info Tipo de Cambio y REM'!$A$24:$B$47, 2, FALSE))</f>
        <v/>
      </c>
      <c r="R159" s="109" t="str">
        <f t="shared" si="1"/>
        <v/>
      </c>
      <c r="S159" s="71" t="str">
        <f t="shared" si="2"/>
        <v/>
      </c>
      <c r="T159" s="71">
        <f t="shared" si="3"/>
        <v>0</v>
      </c>
      <c r="U159" s="43"/>
      <c r="V159" s="486"/>
      <c r="W159" s="43"/>
      <c r="X159" s="43"/>
    </row>
    <row r="160" hidden="1">
      <c r="A160" s="51"/>
      <c r="B160" s="43"/>
      <c r="C160" s="51"/>
      <c r="D160" s="43"/>
      <c r="E160" s="43"/>
      <c r="F160" s="43"/>
      <c r="G160" s="43"/>
      <c r="H160" s="43"/>
      <c r="I160" s="43"/>
      <c r="J160" s="443"/>
      <c r="K160" s="43"/>
      <c r="L160" s="89"/>
      <c r="M160" s="89"/>
      <c r="O160" s="71">
        <f t="shared" si="21"/>
        <v>0</v>
      </c>
      <c r="P160" s="89">
        <f t="shared" si="22"/>
        <v>0</v>
      </c>
      <c r="Q160" s="491" t="str">
        <f>IF(ISBLANK(M160), "", VLOOKUP(A160&amp;" "&amp;B160, 'Info Tipo de Cambio y REM'!$A$24:$B$47, 2, FALSE))</f>
        <v/>
      </c>
      <c r="R160" s="109" t="str">
        <f t="shared" si="1"/>
        <v/>
      </c>
      <c r="S160" s="71" t="str">
        <f t="shared" si="2"/>
        <v/>
      </c>
      <c r="T160" s="71">
        <f t="shared" si="3"/>
        <v>0</v>
      </c>
      <c r="U160" s="43"/>
      <c r="V160" s="486"/>
      <c r="W160" s="43"/>
      <c r="X160" s="43"/>
    </row>
    <row r="161" hidden="1">
      <c r="A161" s="51"/>
      <c r="B161" s="43"/>
      <c r="C161" s="51"/>
      <c r="D161" s="43"/>
      <c r="E161" s="43"/>
      <c r="F161" s="43"/>
      <c r="G161" s="43"/>
      <c r="H161" s="43"/>
      <c r="I161" s="43"/>
      <c r="J161" s="443"/>
      <c r="K161" s="43"/>
      <c r="L161" s="89"/>
      <c r="M161" s="89"/>
      <c r="O161" s="71">
        <f t="shared" si="21"/>
        <v>0</v>
      </c>
      <c r="P161" s="89">
        <f t="shared" si="22"/>
        <v>0</v>
      </c>
      <c r="Q161" s="491" t="str">
        <f>IF(ISBLANK(M161), "", VLOOKUP(A161&amp;" "&amp;B161, 'Info Tipo de Cambio y REM'!$A$24:$B$47, 2, FALSE))</f>
        <v/>
      </c>
      <c r="R161" s="109" t="str">
        <f t="shared" si="1"/>
        <v/>
      </c>
      <c r="S161" s="71" t="str">
        <f t="shared" si="2"/>
        <v/>
      </c>
      <c r="T161" s="71">
        <f t="shared" si="3"/>
        <v>0</v>
      </c>
      <c r="U161" s="43"/>
      <c r="V161" s="486"/>
      <c r="W161" s="43"/>
      <c r="X161" s="43"/>
    </row>
    <row r="162" hidden="1">
      <c r="A162" s="51"/>
      <c r="B162" s="43"/>
      <c r="C162" s="51"/>
      <c r="D162" s="43"/>
      <c r="E162" s="43"/>
      <c r="F162" s="43"/>
      <c r="G162" s="43"/>
      <c r="H162" s="43"/>
      <c r="I162" s="43"/>
      <c r="J162" s="443"/>
      <c r="K162" s="43"/>
      <c r="L162" s="89"/>
      <c r="M162" s="89"/>
      <c r="O162" s="71">
        <f t="shared" si="21"/>
        <v>0</v>
      </c>
      <c r="P162" s="89">
        <f t="shared" si="22"/>
        <v>0</v>
      </c>
      <c r="Q162" s="491" t="str">
        <f>IF(ISBLANK(M162), "", VLOOKUP(A162&amp;" "&amp;B162, 'Info Tipo de Cambio y REM'!$A$24:$B$47, 2, FALSE))</f>
        <v/>
      </c>
      <c r="R162" s="109" t="str">
        <f t="shared" si="1"/>
        <v/>
      </c>
      <c r="S162" s="71" t="str">
        <f t="shared" si="2"/>
        <v/>
      </c>
      <c r="T162" s="71">
        <f t="shared" si="3"/>
        <v>0</v>
      </c>
      <c r="U162" s="43"/>
      <c r="V162" s="486"/>
      <c r="W162" s="43"/>
      <c r="X162" s="43"/>
    </row>
    <row r="163" hidden="1">
      <c r="A163" s="51"/>
      <c r="B163" s="43"/>
      <c r="C163" s="51"/>
      <c r="D163" s="43"/>
      <c r="E163" s="43"/>
      <c r="F163" s="43"/>
      <c r="G163" s="43"/>
      <c r="H163" s="43"/>
      <c r="I163" s="43"/>
      <c r="J163" s="443"/>
      <c r="K163" s="43"/>
      <c r="L163" s="89"/>
      <c r="M163" s="89"/>
      <c r="O163" s="71">
        <f t="shared" si="21"/>
        <v>0</v>
      </c>
      <c r="P163" s="89">
        <f t="shared" si="22"/>
        <v>0</v>
      </c>
      <c r="Q163" s="491" t="str">
        <f>IF(ISBLANK(M163), "", VLOOKUP(A163&amp;" "&amp;B163, 'Info Tipo de Cambio y REM'!$A$24:$B$47, 2, FALSE))</f>
        <v/>
      </c>
      <c r="R163" s="109" t="str">
        <f t="shared" si="1"/>
        <v/>
      </c>
      <c r="S163" s="71" t="str">
        <f t="shared" si="2"/>
        <v/>
      </c>
      <c r="T163" s="71">
        <f t="shared" si="3"/>
        <v>0</v>
      </c>
      <c r="U163" s="43"/>
      <c r="V163" s="486"/>
      <c r="W163" s="43"/>
      <c r="X163" s="43"/>
    </row>
    <row r="164" hidden="1">
      <c r="A164" s="51"/>
      <c r="B164" s="43"/>
      <c r="C164" s="51"/>
      <c r="D164" s="43"/>
      <c r="E164" s="43"/>
      <c r="F164" s="43"/>
      <c r="G164" s="43"/>
      <c r="H164" s="43"/>
      <c r="I164" s="43"/>
      <c r="J164" s="443"/>
      <c r="K164" s="43"/>
      <c r="L164" s="89"/>
      <c r="M164" s="89"/>
      <c r="O164" s="71">
        <f t="shared" si="21"/>
        <v>0</v>
      </c>
      <c r="P164" s="89">
        <f t="shared" si="22"/>
        <v>0</v>
      </c>
      <c r="Q164" s="491" t="str">
        <f>IF(ISBLANK(M164), "", VLOOKUP(A164&amp;" "&amp;B164, 'Info Tipo de Cambio y REM'!$A$24:$B$47, 2, FALSE))</f>
        <v/>
      </c>
      <c r="R164" s="109" t="str">
        <f t="shared" si="1"/>
        <v/>
      </c>
      <c r="S164" s="71" t="str">
        <f t="shared" si="2"/>
        <v/>
      </c>
      <c r="T164" s="71">
        <f t="shared" si="3"/>
        <v>0</v>
      </c>
      <c r="U164" s="43"/>
      <c r="V164" s="486"/>
      <c r="W164" s="43"/>
      <c r="X164" s="43"/>
    </row>
    <row r="165" hidden="1">
      <c r="A165" s="51"/>
      <c r="B165" s="43"/>
      <c r="C165" s="51"/>
      <c r="D165" s="43"/>
      <c r="E165" s="43"/>
      <c r="F165" s="43"/>
      <c r="G165" s="43"/>
      <c r="H165" s="43"/>
      <c r="I165" s="43"/>
      <c r="J165" s="443"/>
      <c r="K165" s="43"/>
      <c r="L165" s="89"/>
      <c r="M165" s="89"/>
      <c r="O165" s="71">
        <f t="shared" si="21"/>
        <v>0</v>
      </c>
      <c r="P165" s="89">
        <f t="shared" si="22"/>
        <v>0</v>
      </c>
      <c r="Q165" s="491" t="str">
        <f>IF(ISBLANK(M165), "", VLOOKUP(A165&amp;" "&amp;B165, 'Info Tipo de Cambio y REM'!$A$24:$B$47, 2, FALSE))</f>
        <v/>
      </c>
      <c r="R165" s="109" t="str">
        <f t="shared" si="1"/>
        <v/>
      </c>
      <c r="S165" s="71" t="str">
        <f t="shared" si="2"/>
        <v/>
      </c>
      <c r="T165" s="71">
        <f t="shared" si="3"/>
        <v>0</v>
      </c>
      <c r="U165" s="43"/>
      <c r="V165" s="486"/>
      <c r="W165" s="43"/>
      <c r="X165" s="43"/>
    </row>
    <row r="166" hidden="1">
      <c r="A166" s="51"/>
      <c r="B166" s="43"/>
      <c r="C166" s="51"/>
      <c r="D166" s="43"/>
      <c r="E166" s="43"/>
      <c r="F166" s="43"/>
      <c r="G166" s="43"/>
      <c r="H166" s="43"/>
      <c r="I166" s="43"/>
      <c r="J166" s="443"/>
      <c r="K166" s="43"/>
      <c r="L166" s="89"/>
      <c r="M166" s="89"/>
      <c r="O166" s="71">
        <f t="shared" si="21"/>
        <v>0</v>
      </c>
      <c r="P166" s="89">
        <f t="shared" si="22"/>
        <v>0</v>
      </c>
      <c r="Q166" s="491" t="str">
        <f>IF(ISBLANK(M166), "", VLOOKUP(A166&amp;" "&amp;B166, 'Info Tipo de Cambio y REM'!$A$24:$B$47, 2, FALSE))</f>
        <v/>
      </c>
      <c r="R166" s="109" t="str">
        <f t="shared" si="1"/>
        <v/>
      </c>
      <c r="S166" s="71" t="str">
        <f t="shared" si="2"/>
        <v/>
      </c>
      <c r="T166" s="71">
        <f t="shared" si="3"/>
        <v>0</v>
      </c>
      <c r="U166" s="43"/>
      <c r="V166" s="486"/>
      <c r="W166" s="43"/>
      <c r="X166" s="43"/>
    </row>
    <row r="167" hidden="1">
      <c r="A167" s="51"/>
      <c r="B167" s="43"/>
      <c r="C167" s="51"/>
      <c r="D167" s="43"/>
      <c r="E167" s="43"/>
      <c r="F167" s="43"/>
      <c r="G167" s="43"/>
      <c r="H167" s="43"/>
      <c r="I167" s="43"/>
      <c r="J167" s="443"/>
      <c r="K167" s="43"/>
      <c r="L167" s="89"/>
      <c r="M167" s="89"/>
      <c r="O167" s="71">
        <f t="shared" si="21"/>
        <v>0</v>
      </c>
      <c r="P167" s="89">
        <f t="shared" si="22"/>
        <v>0</v>
      </c>
      <c r="Q167" s="491" t="str">
        <f>IF(ISBLANK(M167), "", VLOOKUP(A167&amp;" "&amp;B167, 'Info Tipo de Cambio y REM'!$A$24:$B$47, 2, FALSE))</f>
        <v/>
      </c>
      <c r="R167" s="109" t="str">
        <f t="shared" si="1"/>
        <v/>
      </c>
      <c r="S167" s="71" t="str">
        <f t="shared" si="2"/>
        <v/>
      </c>
      <c r="T167" s="71">
        <f t="shared" si="3"/>
        <v>0</v>
      </c>
      <c r="U167" s="43"/>
      <c r="V167" s="486"/>
      <c r="W167" s="43"/>
      <c r="X167" s="43"/>
    </row>
    <row r="168" hidden="1">
      <c r="A168" s="51"/>
      <c r="B168" s="43"/>
      <c r="C168" s="51"/>
      <c r="D168" s="43"/>
      <c r="E168" s="43"/>
      <c r="F168" s="43"/>
      <c r="G168" s="43"/>
      <c r="H168" s="43"/>
      <c r="I168" s="43"/>
      <c r="J168" s="443"/>
      <c r="K168" s="43"/>
      <c r="L168" s="89"/>
      <c r="M168" s="89"/>
      <c r="O168" s="71">
        <f t="shared" si="21"/>
        <v>0</v>
      </c>
      <c r="P168" s="89">
        <f t="shared" si="22"/>
        <v>0</v>
      </c>
      <c r="Q168" s="491" t="str">
        <f>IF(ISBLANK(M168), "", VLOOKUP(A168&amp;" "&amp;B168, 'Info Tipo de Cambio y REM'!$A$24:$B$47, 2, FALSE))</f>
        <v/>
      </c>
      <c r="R168" s="109" t="str">
        <f t="shared" si="1"/>
        <v/>
      </c>
      <c r="S168" s="71" t="str">
        <f t="shared" si="2"/>
        <v/>
      </c>
      <c r="T168" s="71">
        <f t="shared" si="3"/>
        <v>0</v>
      </c>
      <c r="U168" s="43"/>
      <c r="V168" s="486"/>
      <c r="W168" s="43"/>
      <c r="X168" s="43"/>
    </row>
    <row r="169" hidden="1">
      <c r="A169" s="51"/>
      <c r="B169" s="43"/>
      <c r="C169" s="51"/>
      <c r="D169" s="43"/>
      <c r="E169" s="43"/>
      <c r="F169" s="43"/>
      <c r="G169" s="43"/>
      <c r="H169" s="43"/>
      <c r="I169" s="43"/>
      <c r="J169" s="443"/>
      <c r="K169" s="43"/>
      <c r="L169" s="89"/>
      <c r="M169" s="89"/>
      <c r="O169" s="71">
        <f t="shared" si="21"/>
        <v>0</v>
      </c>
      <c r="P169" s="89">
        <f t="shared" si="22"/>
        <v>0</v>
      </c>
      <c r="Q169" s="491" t="str">
        <f>IF(ISBLANK(M169), "", VLOOKUP(A169&amp;" "&amp;B169, 'Info Tipo de Cambio y REM'!$A$24:$B$47, 2, FALSE))</f>
        <v/>
      </c>
      <c r="R169" s="109" t="str">
        <f t="shared" si="1"/>
        <v/>
      </c>
      <c r="S169" s="71" t="str">
        <f t="shared" si="2"/>
        <v/>
      </c>
      <c r="T169" s="71">
        <f t="shared" si="3"/>
        <v>0</v>
      </c>
      <c r="U169" s="43"/>
      <c r="V169" s="486"/>
      <c r="W169" s="43"/>
      <c r="X169" s="43"/>
    </row>
    <row r="170" hidden="1">
      <c r="A170" s="51"/>
      <c r="B170" s="43"/>
      <c r="C170" s="51"/>
      <c r="D170" s="43"/>
      <c r="E170" s="43"/>
      <c r="F170" s="43"/>
      <c r="G170" s="43"/>
      <c r="H170" s="43"/>
      <c r="I170" s="43"/>
      <c r="J170" s="443"/>
      <c r="K170" s="43"/>
      <c r="L170" s="89"/>
      <c r="M170" s="89"/>
      <c r="O170" s="71">
        <f t="shared" si="21"/>
        <v>0</v>
      </c>
      <c r="P170" s="89">
        <f t="shared" si="22"/>
        <v>0</v>
      </c>
      <c r="Q170" s="491" t="str">
        <f>IF(ISBLANK(M170), "", VLOOKUP(A170&amp;" "&amp;B170, 'Info Tipo de Cambio y REM'!$A$24:$B$47, 2, FALSE))</f>
        <v/>
      </c>
      <c r="R170" s="109" t="str">
        <f t="shared" si="1"/>
        <v/>
      </c>
      <c r="S170" s="71" t="str">
        <f t="shared" si="2"/>
        <v/>
      </c>
      <c r="T170" s="71">
        <f t="shared" si="3"/>
        <v>0</v>
      </c>
      <c r="U170" s="43"/>
      <c r="V170" s="486"/>
      <c r="W170" s="43"/>
      <c r="X170" s="43"/>
    </row>
    <row r="171" hidden="1">
      <c r="A171" s="51"/>
      <c r="B171" s="43"/>
      <c r="C171" s="51"/>
      <c r="D171" s="43"/>
      <c r="E171" s="43"/>
      <c r="F171" s="43"/>
      <c r="G171" s="43"/>
      <c r="H171" s="43"/>
      <c r="I171" s="43"/>
      <c r="J171" s="443"/>
      <c r="K171" s="43"/>
      <c r="L171" s="89"/>
      <c r="M171" s="89"/>
      <c r="O171" s="71">
        <f t="shared" si="21"/>
        <v>0</v>
      </c>
      <c r="P171" s="89">
        <f t="shared" si="22"/>
        <v>0</v>
      </c>
      <c r="Q171" s="491" t="str">
        <f>IF(ISBLANK(M171), "", VLOOKUP(A171&amp;" "&amp;B171, 'Info Tipo de Cambio y REM'!$A$24:$B$47, 2, FALSE))</f>
        <v/>
      </c>
      <c r="R171" s="109" t="str">
        <f t="shared" si="1"/>
        <v/>
      </c>
      <c r="S171" s="71" t="str">
        <f t="shared" si="2"/>
        <v/>
      </c>
      <c r="T171" s="71">
        <f t="shared" si="3"/>
        <v>0</v>
      </c>
      <c r="U171" s="43"/>
      <c r="V171" s="486"/>
      <c r="W171" s="43"/>
      <c r="X171" s="43"/>
    </row>
    <row r="172" hidden="1">
      <c r="A172" s="51"/>
      <c r="B172" s="43"/>
      <c r="C172" s="51"/>
      <c r="D172" s="43"/>
      <c r="E172" s="43"/>
      <c r="F172" s="43"/>
      <c r="G172" s="43"/>
      <c r="H172" s="43"/>
      <c r="I172" s="43"/>
      <c r="J172" s="443"/>
      <c r="K172" s="43"/>
      <c r="L172" s="89"/>
      <c r="M172" s="89"/>
      <c r="O172" s="71">
        <f t="shared" si="21"/>
        <v>0</v>
      </c>
      <c r="P172" s="89">
        <f t="shared" si="22"/>
        <v>0</v>
      </c>
      <c r="Q172" s="491" t="str">
        <f>IF(ISBLANK(M172), "", VLOOKUP(A172&amp;" "&amp;B172, 'Info Tipo de Cambio y REM'!$A$24:$B$47, 2, FALSE))</f>
        <v/>
      </c>
      <c r="R172" s="109" t="str">
        <f t="shared" si="1"/>
        <v/>
      </c>
      <c r="S172" s="71" t="str">
        <f t="shared" si="2"/>
        <v/>
      </c>
      <c r="T172" s="71">
        <f t="shared" si="3"/>
        <v>0</v>
      </c>
      <c r="U172" s="43"/>
      <c r="V172" s="486"/>
      <c r="W172" s="43"/>
      <c r="X172" s="43"/>
    </row>
    <row r="173" hidden="1">
      <c r="A173" s="51"/>
      <c r="B173" s="43"/>
      <c r="C173" s="51"/>
      <c r="D173" s="43"/>
      <c r="E173" s="43"/>
      <c r="F173" s="43"/>
      <c r="G173" s="43"/>
      <c r="H173" s="43"/>
      <c r="I173" s="43"/>
      <c r="J173" s="443"/>
      <c r="K173" s="43"/>
      <c r="L173" s="89"/>
      <c r="M173" s="89"/>
      <c r="O173" s="71">
        <f t="shared" si="21"/>
        <v>0</v>
      </c>
      <c r="P173" s="89">
        <f t="shared" si="22"/>
        <v>0</v>
      </c>
      <c r="Q173" s="491" t="str">
        <f>IF(ISBLANK(M173), "", VLOOKUP(A173&amp;" "&amp;B173, 'Info Tipo de Cambio y REM'!$A$24:$B$47, 2, FALSE))</f>
        <v/>
      </c>
      <c r="R173" s="109" t="str">
        <f t="shared" si="1"/>
        <v/>
      </c>
      <c r="S173" s="71" t="str">
        <f t="shared" si="2"/>
        <v/>
      </c>
      <c r="T173" s="71">
        <f t="shared" si="3"/>
        <v>0</v>
      </c>
      <c r="U173" s="43"/>
      <c r="V173" s="486"/>
      <c r="W173" s="43"/>
      <c r="X173" s="43"/>
    </row>
    <row r="174" hidden="1">
      <c r="A174" s="51"/>
      <c r="B174" s="43"/>
      <c r="C174" s="51"/>
      <c r="D174" s="43"/>
      <c r="E174" s="43"/>
      <c r="F174" s="43"/>
      <c r="G174" s="43"/>
      <c r="H174" s="43"/>
      <c r="I174" s="43"/>
      <c r="J174" s="443"/>
      <c r="K174" s="43"/>
      <c r="L174" s="89"/>
      <c r="M174" s="89"/>
      <c r="O174" s="71">
        <f t="shared" si="21"/>
        <v>0</v>
      </c>
      <c r="P174" s="89">
        <f t="shared" si="22"/>
        <v>0</v>
      </c>
      <c r="Q174" s="491" t="str">
        <f>IF(ISBLANK(M174), "", VLOOKUP(A174&amp;" "&amp;B174, 'Info Tipo de Cambio y REM'!$A$24:$B$47, 2, FALSE))</f>
        <v/>
      </c>
      <c r="R174" s="109" t="str">
        <f t="shared" si="1"/>
        <v/>
      </c>
      <c r="S174" s="71" t="str">
        <f t="shared" si="2"/>
        <v/>
      </c>
      <c r="T174" s="71">
        <f t="shared" si="3"/>
        <v>0</v>
      </c>
      <c r="U174" s="43"/>
      <c r="V174" s="486"/>
      <c r="W174" s="43"/>
      <c r="X174" s="43"/>
    </row>
    <row r="175" hidden="1">
      <c r="A175" s="51"/>
      <c r="B175" s="43"/>
      <c r="C175" s="51"/>
      <c r="D175" s="43"/>
      <c r="E175" s="43"/>
      <c r="F175" s="43"/>
      <c r="G175" s="43"/>
      <c r="H175" s="43"/>
      <c r="I175" s="43"/>
      <c r="J175" s="443"/>
      <c r="K175" s="43"/>
      <c r="L175" s="89"/>
      <c r="M175" s="89"/>
      <c r="O175" s="71">
        <f t="shared" si="21"/>
        <v>0</v>
      </c>
      <c r="P175" s="89">
        <f t="shared" si="22"/>
        <v>0</v>
      </c>
      <c r="Q175" s="491" t="str">
        <f>IF(ISBLANK(M175), "", VLOOKUP(A175&amp;" "&amp;B175, 'Info Tipo de Cambio y REM'!$A$24:$B$47, 2, FALSE))</f>
        <v/>
      </c>
      <c r="R175" s="109" t="str">
        <f t="shared" si="1"/>
        <v/>
      </c>
      <c r="S175" s="71" t="str">
        <f t="shared" si="2"/>
        <v/>
      </c>
      <c r="T175" s="71">
        <f t="shared" si="3"/>
        <v>0</v>
      </c>
      <c r="U175" s="43"/>
      <c r="V175" s="486"/>
      <c r="W175" s="43"/>
      <c r="X175" s="43"/>
    </row>
    <row r="176" hidden="1">
      <c r="A176" s="51"/>
      <c r="B176" s="43"/>
      <c r="C176" s="51"/>
      <c r="D176" s="43"/>
      <c r="E176" s="43"/>
      <c r="F176" s="43"/>
      <c r="G176" s="43"/>
      <c r="H176" s="43"/>
      <c r="I176" s="43"/>
      <c r="J176" s="443"/>
      <c r="K176" s="43"/>
      <c r="L176" s="89"/>
      <c r="M176" s="89"/>
      <c r="O176" s="71">
        <f t="shared" si="21"/>
        <v>0</v>
      </c>
      <c r="P176" s="89">
        <f t="shared" si="22"/>
        <v>0</v>
      </c>
      <c r="Q176" s="491" t="str">
        <f>IF(ISBLANK(M176), "", VLOOKUP(A176&amp;" "&amp;B176, 'Info Tipo de Cambio y REM'!$A$24:$B$47, 2, FALSE))</f>
        <v/>
      </c>
      <c r="R176" s="109" t="str">
        <f t="shared" si="1"/>
        <v/>
      </c>
      <c r="S176" s="71" t="str">
        <f t="shared" si="2"/>
        <v/>
      </c>
      <c r="T176" s="71">
        <f t="shared" si="3"/>
        <v>0</v>
      </c>
      <c r="U176" s="43"/>
      <c r="V176" s="486"/>
      <c r="W176" s="43"/>
      <c r="X176" s="43"/>
    </row>
    <row r="177" hidden="1">
      <c r="A177" s="51"/>
      <c r="B177" s="43"/>
      <c r="C177" s="51"/>
      <c r="D177" s="43"/>
      <c r="E177" s="43"/>
      <c r="F177" s="43"/>
      <c r="G177" s="43"/>
      <c r="H177" s="43"/>
      <c r="I177" s="43"/>
      <c r="J177" s="443"/>
      <c r="K177" s="43"/>
      <c r="L177" s="89"/>
      <c r="M177" s="89"/>
      <c r="O177" s="71">
        <f t="shared" si="21"/>
        <v>0</v>
      </c>
      <c r="P177" s="89">
        <f t="shared" si="22"/>
        <v>0</v>
      </c>
      <c r="Q177" s="491" t="str">
        <f>IF(ISBLANK(M177), "", VLOOKUP(A177&amp;" "&amp;B177, 'Info Tipo de Cambio y REM'!$A$24:$B$47, 2, FALSE))</f>
        <v/>
      </c>
      <c r="R177" s="109" t="str">
        <f t="shared" si="1"/>
        <v/>
      </c>
      <c r="S177" s="71" t="str">
        <f t="shared" si="2"/>
        <v/>
      </c>
      <c r="T177" s="71">
        <f t="shared" si="3"/>
        <v>0</v>
      </c>
      <c r="U177" s="43"/>
      <c r="V177" s="486"/>
      <c r="W177" s="43"/>
      <c r="X177" s="43"/>
    </row>
    <row r="178" hidden="1">
      <c r="A178" s="51"/>
      <c r="B178" s="43"/>
      <c r="C178" s="51"/>
      <c r="D178" s="43"/>
      <c r="E178" s="43"/>
      <c r="F178" s="43"/>
      <c r="G178" s="43"/>
      <c r="H178" s="43"/>
      <c r="I178" s="43"/>
      <c r="J178" s="443"/>
      <c r="K178" s="43"/>
      <c r="L178" s="89"/>
      <c r="M178" s="89"/>
      <c r="O178" s="71">
        <f t="shared" si="21"/>
        <v>0</v>
      </c>
      <c r="P178" s="89">
        <f t="shared" si="22"/>
        <v>0</v>
      </c>
      <c r="Q178" s="491" t="str">
        <f>IF(ISBLANK(M178), "", VLOOKUP(A178&amp;" "&amp;B178, 'Info Tipo de Cambio y REM'!$A$24:$B$47, 2, FALSE))</f>
        <v/>
      </c>
      <c r="R178" s="109" t="str">
        <f t="shared" si="1"/>
        <v/>
      </c>
      <c r="S178" s="71" t="str">
        <f t="shared" si="2"/>
        <v/>
      </c>
      <c r="T178" s="71">
        <f t="shared" si="3"/>
        <v>0</v>
      </c>
      <c r="U178" s="43"/>
      <c r="V178" s="486"/>
      <c r="W178" s="43"/>
      <c r="X178" s="43"/>
    </row>
    <row r="179" hidden="1">
      <c r="A179" s="51"/>
      <c r="B179" s="43"/>
      <c r="C179" s="51"/>
      <c r="D179" s="43"/>
      <c r="E179" s="43"/>
      <c r="F179" s="43"/>
      <c r="G179" s="43"/>
      <c r="H179" s="43"/>
      <c r="I179" s="43"/>
      <c r="J179" s="443"/>
      <c r="K179" s="43"/>
      <c r="L179" s="89"/>
      <c r="M179" s="89"/>
      <c r="O179" s="71">
        <f t="shared" si="21"/>
        <v>0</v>
      </c>
      <c r="P179" s="89">
        <f t="shared" si="22"/>
        <v>0</v>
      </c>
      <c r="Q179" s="491" t="str">
        <f>IF(ISBLANK(M179), "", VLOOKUP(A179&amp;" "&amp;B179, 'Info Tipo de Cambio y REM'!$A$24:$B$47, 2, FALSE))</f>
        <v/>
      </c>
      <c r="R179" s="109" t="str">
        <f t="shared" si="1"/>
        <v/>
      </c>
      <c r="S179" s="71" t="str">
        <f t="shared" si="2"/>
        <v/>
      </c>
      <c r="T179" s="71">
        <f t="shared" si="3"/>
        <v>0</v>
      </c>
      <c r="U179" s="43"/>
      <c r="V179" s="486"/>
      <c r="W179" s="43"/>
      <c r="X179" s="43"/>
    </row>
    <row r="180" hidden="1">
      <c r="A180" s="51"/>
      <c r="B180" s="43"/>
      <c r="C180" s="51"/>
      <c r="D180" s="43"/>
      <c r="E180" s="43"/>
      <c r="F180" s="43"/>
      <c r="G180" s="43"/>
      <c r="H180" s="43"/>
      <c r="I180" s="43"/>
      <c r="J180" s="443"/>
      <c r="K180" s="43"/>
      <c r="L180" s="89"/>
      <c r="M180" s="89"/>
      <c r="O180" s="71">
        <f t="shared" si="21"/>
        <v>0</v>
      </c>
      <c r="P180" s="89">
        <f t="shared" si="22"/>
        <v>0</v>
      </c>
      <c r="Q180" s="491" t="str">
        <f>IF(ISBLANK(M180), "", VLOOKUP(A180&amp;" "&amp;B180, 'Info Tipo de Cambio y REM'!$A$24:$B$47, 2, FALSE))</f>
        <v/>
      </c>
      <c r="R180" s="109" t="str">
        <f t="shared" si="1"/>
        <v/>
      </c>
      <c r="S180" s="71" t="str">
        <f t="shared" si="2"/>
        <v/>
      </c>
      <c r="T180" s="71">
        <f t="shared" si="3"/>
        <v>0</v>
      </c>
      <c r="U180" s="43"/>
      <c r="V180" s="486"/>
      <c r="W180" s="43"/>
      <c r="X180" s="43"/>
    </row>
    <row r="181" hidden="1">
      <c r="A181" s="51"/>
      <c r="B181" s="43"/>
      <c r="C181" s="51"/>
      <c r="D181" s="43"/>
      <c r="E181" s="43"/>
      <c r="F181" s="43"/>
      <c r="G181" s="43"/>
      <c r="H181" s="43"/>
      <c r="I181" s="43"/>
      <c r="J181" s="443"/>
      <c r="K181" s="43"/>
      <c r="L181" s="89"/>
      <c r="M181" s="89"/>
      <c r="O181" s="71">
        <f t="shared" si="21"/>
        <v>0</v>
      </c>
      <c r="P181" s="89">
        <f t="shared" si="22"/>
        <v>0</v>
      </c>
      <c r="Q181" s="491" t="str">
        <f>IF(ISBLANK(M181), "", VLOOKUP(A181&amp;" "&amp;B181, 'Info Tipo de Cambio y REM'!$A$24:$B$47, 2, FALSE))</f>
        <v/>
      </c>
      <c r="R181" s="109" t="str">
        <f t="shared" si="1"/>
        <v/>
      </c>
      <c r="S181" s="71" t="str">
        <f t="shared" si="2"/>
        <v/>
      </c>
      <c r="T181" s="71">
        <f t="shared" si="3"/>
        <v>0</v>
      </c>
      <c r="U181" s="43"/>
      <c r="V181" s="486"/>
      <c r="W181" s="43"/>
      <c r="X181" s="43"/>
    </row>
    <row r="182" hidden="1">
      <c r="A182" s="51"/>
      <c r="B182" s="43"/>
      <c r="C182" s="51"/>
      <c r="D182" s="43"/>
      <c r="E182" s="43"/>
      <c r="F182" s="43"/>
      <c r="G182" s="43"/>
      <c r="H182" s="43"/>
      <c r="I182" s="43"/>
      <c r="J182" s="443"/>
      <c r="K182" s="43"/>
      <c r="L182" s="89"/>
      <c r="M182" s="89"/>
      <c r="O182" s="71">
        <f t="shared" si="21"/>
        <v>0</v>
      </c>
      <c r="P182" s="89">
        <f t="shared" si="22"/>
        <v>0</v>
      </c>
      <c r="Q182" s="491" t="str">
        <f>IF(ISBLANK(M182), "", VLOOKUP(A182&amp;" "&amp;B182, 'Info Tipo de Cambio y REM'!$A$24:$B$47, 2, FALSE))</f>
        <v/>
      </c>
      <c r="R182" s="109" t="str">
        <f t="shared" si="1"/>
        <v/>
      </c>
      <c r="S182" s="71" t="str">
        <f t="shared" si="2"/>
        <v/>
      </c>
      <c r="T182" s="71">
        <f t="shared" si="3"/>
        <v>0</v>
      </c>
      <c r="U182" s="43"/>
      <c r="V182" s="486"/>
      <c r="W182" s="43"/>
      <c r="X182" s="43"/>
    </row>
    <row r="183" hidden="1">
      <c r="A183" s="51"/>
      <c r="B183" s="43"/>
      <c r="C183" s="51"/>
      <c r="D183" s="43"/>
      <c r="E183" s="43"/>
      <c r="F183" s="43"/>
      <c r="G183" s="43"/>
      <c r="H183" s="43"/>
      <c r="I183" s="43"/>
      <c r="J183" s="443"/>
      <c r="K183" s="43"/>
      <c r="L183" s="89"/>
      <c r="M183" s="89"/>
      <c r="O183" s="71">
        <f t="shared" si="21"/>
        <v>0</v>
      </c>
      <c r="P183" s="89">
        <f t="shared" si="22"/>
        <v>0</v>
      </c>
      <c r="Q183" s="491" t="str">
        <f>IF(ISBLANK(M183), "", VLOOKUP(A183&amp;" "&amp;B183, 'Info Tipo de Cambio y REM'!$A$24:$B$47, 2, FALSE))</f>
        <v/>
      </c>
      <c r="R183" s="109" t="str">
        <f t="shared" si="1"/>
        <v/>
      </c>
      <c r="S183" s="71" t="str">
        <f t="shared" si="2"/>
        <v/>
      </c>
      <c r="T183" s="71">
        <f t="shared" si="3"/>
        <v>0</v>
      </c>
      <c r="U183" s="43"/>
      <c r="V183" s="486"/>
      <c r="W183" s="43"/>
      <c r="X183" s="43"/>
    </row>
    <row r="184" hidden="1">
      <c r="A184" s="51"/>
      <c r="B184" s="43"/>
      <c r="C184" s="51"/>
      <c r="D184" s="43"/>
      <c r="E184" s="43"/>
      <c r="F184" s="43"/>
      <c r="G184" s="43"/>
      <c r="H184" s="43"/>
      <c r="I184" s="43"/>
      <c r="J184" s="443"/>
      <c r="K184" s="43"/>
      <c r="L184" s="89"/>
      <c r="M184" s="89"/>
      <c r="O184" s="71">
        <f t="shared" si="21"/>
        <v>0</v>
      </c>
      <c r="P184" s="89">
        <f t="shared" si="22"/>
        <v>0</v>
      </c>
      <c r="Q184" s="491" t="str">
        <f>IF(ISBLANK(M184), "", VLOOKUP(A184&amp;" "&amp;B184, 'Info Tipo de Cambio y REM'!$A$24:$B$47, 2, FALSE))</f>
        <v/>
      </c>
      <c r="R184" s="109" t="str">
        <f t="shared" si="1"/>
        <v/>
      </c>
      <c r="S184" s="71" t="str">
        <f t="shared" si="2"/>
        <v/>
      </c>
      <c r="T184" s="71">
        <f t="shared" si="3"/>
        <v>0</v>
      </c>
      <c r="U184" s="43"/>
      <c r="V184" s="486"/>
      <c r="W184" s="43"/>
      <c r="X184" s="43"/>
    </row>
    <row r="185" hidden="1">
      <c r="A185" s="51"/>
      <c r="B185" s="43"/>
      <c r="C185" s="51"/>
      <c r="D185" s="43"/>
      <c r="E185" s="43"/>
      <c r="F185" s="43"/>
      <c r="G185" s="43"/>
      <c r="H185" s="43"/>
      <c r="I185" s="43"/>
      <c r="J185" s="443"/>
      <c r="K185" s="43"/>
      <c r="L185" s="89"/>
      <c r="M185" s="89"/>
      <c r="O185" s="71">
        <f t="shared" si="21"/>
        <v>0</v>
      </c>
      <c r="P185" s="89">
        <f t="shared" si="22"/>
        <v>0</v>
      </c>
      <c r="Q185" s="491" t="str">
        <f>IF(ISBLANK(M185), "", VLOOKUP(A185&amp;" "&amp;B185, 'Info Tipo de Cambio y REM'!$A$24:$B$47, 2, FALSE))</f>
        <v/>
      </c>
      <c r="R185" s="109" t="str">
        <f t="shared" si="1"/>
        <v/>
      </c>
      <c r="S185" s="71" t="str">
        <f t="shared" si="2"/>
        <v/>
      </c>
      <c r="T185" s="71">
        <f t="shared" si="3"/>
        <v>0</v>
      </c>
      <c r="U185" s="43"/>
      <c r="V185" s="486"/>
      <c r="W185" s="43"/>
      <c r="X185" s="43"/>
    </row>
    <row r="186" hidden="1">
      <c r="A186" s="51"/>
      <c r="B186" s="43"/>
      <c r="C186" s="51"/>
      <c r="D186" s="43"/>
      <c r="E186" s="43"/>
      <c r="F186" s="43"/>
      <c r="G186" s="43"/>
      <c r="H186" s="43"/>
      <c r="I186" s="43"/>
      <c r="J186" s="443"/>
      <c r="K186" s="43"/>
      <c r="L186" s="89"/>
      <c r="M186" s="89"/>
      <c r="O186" s="71">
        <f t="shared" si="21"/>
        <v>0</v>
      </c>
      <c r="P186" s="89">
        <f t="shared" si="22"/>
        <v>0</v>
      </c>
      <c r="Q186" s="491" t="str">
        <f>IF(ISBLANK(M186), "", VLOOKUP(A186&amp;" "&amp;B186, 'Info Tipo de Cambio y REM'!$A$24:$B$47, 2, FALSE))</f>
        <v/>
      </c>
      <c r="R186" s="109" t="str">
        <f t="shared" si="1"/>
        <v/>
      </c>
      <c r="S186" s="71" t="str">
        <f t="shared" si="2"/>
        <v/>
      </c>
      <c r="T186" s="71">
        <f t="shared" si="3"/>
        <v>0</v>
      </c>
      <c r="U186" s="43"/>
      <c r="V186" s="486"/>
      <c r="W186" s="43"/>
      <c r="X186" s="43"/>
    </row>
    <row r="187" hidden="1">
      <c r="A187" s="51"/>
      <c r="B187" s="43"/>
      <c r="C187" s="51"/>
      <c r="D187" s="43"/>
      <c r="E187" s="43"/>
      <c r="F187" s="43"/>
      <c r="G187" s="43"/>
      <c r="H187" s="43"/>
      <c r="I187" s="43"/>
      <c r="J187" s="443"/>
      <c r="K187" s="43"/>
      <c r="L187" s="89"/>
      <c r="M187" s="89"/>
      <c r="O187" s="71">
        <f t="shared" si="21"/>
        <v>0</v>
      </c>
      <c r="P187" s="89">
        <f t="shared" si="22"/>
        <v>0</v>
      </c>
      <c r="Q187" s="491" t="str">
        <f>IF(ISBLANK(M187), "", VLOOKUP(A187&amp;" "&amp;B187, 'Info Tipo de Cambio y REM'!$A$24:$B$47, 2, FALSE))</f>
        <v/>
      </c>
      <c r="R187" s="109" t="str">
        <f t="shared" si="1"/>
        <v/>
      </c>
      <c r="S187" s="71" t="str">
        <f t="shared" si="2"/>
        <v/>
      </c>
      <c r="T187" s="71">
        <f t="shared" si="3"/>
        <v>0</v>
      </c>
      <c r="U187" s="43"/>
      <c r="V187" s="486"/>
      <c r="W187" s="43"/>
      <c r="X187" s="43"/>
    </row>
    <row r="188" hidden="1">
      <c r="A188" s="51"/>
      <c r="B188" s="43"/>
      <c r="C188" s="51"/>
      <c r="D188" s="43"/>
      <c r="E188" s="43"/>
      <c r="F188" s="43"/>
      <c r="G188" s="43"/>
      <c r="H188" s="43"/>
      <c r="I188" s="43"/>
      <c r="J188" s="443"/>
      <c r="K188" s="43"/>
      <c r="L188" s="89"/>
      <c r="M188" s="89"/>
      <c r="O188" s="71">
        <f t="shared" si="21"/>
        <v>0</v>
      </c>
      <c r="P188" s="89">
        <f t="shared" si="22"/>
        <v>0</v>
      </c>
      <c r="Q188" s="491" t="str">
        <f>IF(ISBLANK(M188), "", VLOOKUP(A188&amp;" "&amp;B188, 'Info Tipo de Cambio y REM'!$A$24:$B$47, 2, FALSE))</f>
        <v/>
      </c>
      <c r="R188" s="109" t="str">
        <f t="shared" si="1"/>
        <v/>
      </c>
      <c r="S188" s="71" t="str">
        <f t="shared" si="2"/>
        <v/>
      </c>
      <c r="T188" s="71">
        <f t="shared" si="3"/>
        <v>0</v>
      </c>
      <c r="U188" s="43"/>
      <c r="V188" s="486"/>
      <c r="W188" s="43"/>
      <c r="X188" s="43"/>
    </row>
    <row r="189" hidden="1">
      <c r="A189" s="51"/>
      <c r="B189" s="43"/>
      <c r="C189" s="51"/>
      <c r="D189" s="43"/>
      <c r="E189" s="43"/>
      <c r="F189" s="43"/>
      <c r="G189" s="43"/>
      <c r="H189" s="43"/>
      <c r="I189" s="43"/>
      <c r="J189" s="443"/>
      <c r="K189" s="43"/>
      <c r="L189" s="89"/>
      <c r="M189" s="89"/>
      <c r="O189" s="71">
        <f t="shared" si="21"/>
        <v>0</v>
      </c>
      <c r="P189" s="89">
        <f t="shared" si="22"/>
        <v>0</v>
      </c>
      <c r="Q189" s="491" t="str">
        <f>IF(ISBLANK(M189), "", VLOOKUP(A189&amp;" "&amp;B189, 'Info Tipo de Cambio y REM'!$A$24:$B$47, 2, FALSE))</f>
        <v/>
      </c>
      <c r="R189" s="109" t="str">
        <f t="shared" si="1"/>
        <v/>
      </c>
      <c r="S189" s="71" t="str">
        <f t="shared" si="2"/>
        <v/>
      </c>
      <c r="T189" s="71">
        <f t="shared" si="3"/>
        <v>0</v>
      </c>
      <c r="U189" s="43"/>
      <c r="V189" s="486"/>
      <c r="W189" s="43"/>
      <c r="X189" s="43"/>
    </row>
    <row r="190" hidden="1">
      <c r="A190" s="51"/>
      <c r="B190" s="43"/>
      <c r="C190" s="51"/>
      <c r="D190" s="43"/>
      <c r="E190" s="43"/>
      <c r="F190" s="43"/>
      <c r="G190" s="43"/>
      <c r="H190" s="43"/>
      <c r="I190" s="43"/>
      <c r="J190" s="443"/>
      <c r="K190" s="43"/>
      <c r="L190" s="89"/>
      <c r="M190" s="89"/>
      <c r="O190" s="71">
        <f t="shared" si="21"/>
        <v>0</v>
      </c>
      <c r="P190" s="89">
        <f t="shared" si="22"/>
        <v>0</v>
      </c>
      <c r="Q190" s="491" t="str">
        <f>IF(ISBLANK(M190), "", VLOOKUP(A190&amp;" "&amp;B190, 'Info Tipo de Cambio y REM'!$A$24:$B$47, 2, FALSE))</f>
        <v/>
      </c>
      <c r="R190" s="109" t="str">
        <f t="shared" si="1"/>
        <v/>
      </c>
      <c r="S190" s="71" t="str">
        <f t="shared" si="2"/>
        <v/>
      </c>
      <c r="T190" s="71">
        <f t="shared" si="3"/>
        <v>0</v>
      </c>
      <c r="U190" s="43"/>
      <c r="V190" s="486"/>
      <c r="W190" s="43"/>
      <c r="X190" s="43"/>
    </row>
    <row r="191" hidden="1">
      <c r="A191" s="51"/>
      <c r="B191" s="43"/>
      <c r="C191" s="51"/>
      <c r="D191" s="43"/>
      <c r="E191" s="43"/>
      <c r="F191" s="43"/>
      <c r="G191" s="43"/>
      <c r="H191" s="43"/>
      <c r="I191" s="43"/>
      <c r="J191" s="443"/>
      <c r="K191" s="43"/>
      <c r="L191" s="89"/>
      <c r="M191" s="89"/>
      <c r="O191" s="71">
        <f t="shared" si="21"/>
        <v>0</v>
      </c>
      <c r="P191" s="89">
        <f t="shared" si="22"/>
        <v>0</v>
      </c>
      <c r="Q191" s="491" t="str">
        <f>IF(ISBLANK(M191), "", VLOOKUP(A191&amp;" "&amp;B191, 'Info Tipo de Cambio y REM'!$A$24:$B$47, 2, FALSE))</f>
        <v/>
      </c>
      <c r="R191" s="109" t="str">
        <f t="shared" si="1"/>
        <v/>
      </c>
      <c r="S191" s="71" t="str">
        <f t="shared" si="2"/>
        <v/>
      </c>
      <c r="T191" s="71">
        <f t="shared" si="3"/>
        <v>0</v>
      </c>
      <c r="U191" s="43"/>
      <c r="V191" s="486"/>
      <c r="W191" s="43"/>
      <c r="X191" s="43"/>
    </row>
    <row r="192" hidden="1">
      <c r="A192" s="51"/>
      <c r="B192" s="43"/>
      <c r="C192" s="51"/>
      <c r="D192" s="43"/>
      <c r="E192" s="43"/>
      <c r="F192" s="43"/>
      <c r="G192" s="43"/>
      <c r="H192" s="43"/>
      <c r="I192" s="43"/>
      <c r="J192" s="443"/>
      <c r="K192" s="43"/>
      <c r="L192" s="89"/>
      <c r="M192" s="89"/>
      <c r="O192" s="71">
        <f t="shared" si="21"/>
        <v>0</v>
      </c>
      <c r="P192" s="89">
        <f t="shared" si="22"/>
        <v>0</v>
      </c>
      <c r="Q192" s="491" t="str">
        <f>IF(ISBLANK(M192), "", VLOOKUP(A192&amp;" "&amp;B192, 'Info Tipo de Cambio y REM'!$A$24:$B$47, 2, FALSE))</f>
        <v/>
      </c>
      <c r="R192" s="109" t="str">
        <f t="shared" si="1"/>
        <v/>
      </c>
      <c r="S192" s="71" t="str">
        <f t="shared" si="2"/>
        <v/>
      </c>
      <c r="T192" s="71">
        <f t="shared" si="3"/>
        <v>0</v>
      </c>
      <c r="U192" s="43"/>
      <c r="V192" s="486"/>
      <c r="W192" s="43"/>
      <c r="X192" s="43"/>
    </row>
    <row r="193" hidden="1">
      <c r="A193" s="51"/>
      <c r="B193" s="43"/>
      <c r="C193" s="51"/>
      <c r="D193" s="43"/>
      <c r="E193" s="43"/>
      <c r="F193" s="43"/>
      <c r="G193" s="43"/>
      <c r="H193" s="43"/>
      <c r="I193" s="43"/>
      <c r="J193" s="443"/>
      <c r="K193" s="43"/>
      <c r="L193" s="89"/>
      <c r="M193" s="89"/>
      <c r="O193" s="71">
        <f t="shared" si="21"/>
        <v>0</v>
      </c>
      <c r="P193" s="89">
        <f t="shared" si="22"/>
        <v>0</v>
      </c>
      <c r="Q193" s="491" t="str">
        <f>IF(ISBLANK(M193), "", VLOOKUP(A193&amp;" "&amp;B193, 'Info Tipo de Cambio y REM'!$A$24:$B$47, 2, FALSE))</f>
        <v/>
      </c>
      <c r="R193" s="109" t="str">
        <f t="shared" si="1"/>
        <v/>
      </c>
      <c r="S193" s="71" t="str">
        <f t="shared" si="2"/>
        <v/>
      </c>
      <c r="T193" s="71">
        <f t="shared" si="3"/>
        <v>0</v>
      </c>
      <c r="U193" s="43"/>
      <c r="V193" s="486"/>
      <c r="W193" s="43"/>
      <c r="X193" s="43"/>
    </row>
    <row r="194" hidden="1">
      <c r="A194" s="51"/>
      <c r="B194" s="43"/>
      <c r="C194" s="51"/>
      <c r="D194" s="43"/>
      <c r="E194" s="43"/>
      <c r="F194" s="43"/>
      <c r="G194" s="43"/>
      <c r="H194" s="43"/>
      <c r="I194" s="43"/>
      <c r="J194" s="443"/>
      <c r="K194" s="43"/>
      <c r="L194" s="89"/>
      <c r="M194" s="89"/>
      <c r="O194" s="71">
        <f t="shared" si="21"/>
        <v>0</v>
      </c>
      <c r="P194" s="89">
        <f t="shared" si="22"/>
        <v>0</v>
      </c>
      <c r="Q194" s="491" t="str">
        <f>IF(ISBLANK(M194), "", VLOOKUP(A194&amp;" "&amp;B194, 'Info Tipo de Cambio y REM'!$A$24:$B$47, 2, FALSE))</f>
        <v/>
      </c>
      <c r="R194" s="109" t="str">
        <f t="shared" si="1"/>
        <v/>
      </c>
      <c r="S194" s="71" t="str">
        <f t="shared" si="2"/>
        <v/>
      </c>
      <c r="T194" s="71">
        <f t="shared" si="3"/>
        <v>0</v>
      </c>
      <c r="U194" s="43"/>
      <c r="V194" s="486"/>
      <c r="W194" s="43"/>
      <c r="X194" s="43"/>
    </row>
    <row r="195" hidden="1">
      <c r="A195" s="51"/>
      <c r="B195" s="43"/>
      <c r="C195" s="51"/>
      <c r="D195" s="43"/>
      <c r="E195" s="43"/>
      <c r="F195" s="43"/>
      <c r="G195" s="43"/>
      <c r="H195" s="43"/>
      <c r="I195" s="43"/>
      <c r="J195" s="443"/>
      <c r="K195" s="43"/>
      <c r="L195" s="89"/>
      <c r="M195" s="89"/>
      <c r="O195" s="71">
        <f t="shared" si="21"/>
        <v>0</v>
      </c>
      <c r="P195" s="89">
        <f t="shared" si="22"/>
        <v>0</v>
      </c>
      <c r="Q195" s="491" t="str">
        <f>IF(ISBLANK(M195), "", VLOOKUP(A195&amp;" "&amp;B195, 'Info Tipo de Cambio y REM'!$A$24:$B$47, 2, FALSE))</f>
        <v/>
      </c>
      <c r="R195" s="109" t="str">
        <f t="shared" si="1"/>
        <v/>
      </c>
      <c r="S195" s="71" t="str">
        <f t="shared" si="2"/>
        <v/>
      </c>
      <c r="T195" s="71">
        <f t="shared" si="3"/>
        <v>0</v>
      </c>
      <c r="U195" s="43"/>
      <c r="V195" s="486"/>
      <c r="W195" s="43"/>
      <c r="X195" s="43"/>
    </row>
    <row r="196" hidden="1">
      <c r="A196" s="51"/>
      <c r="B196" s="43"/>
      <c r="C196" s="51"/>
      <c r="D196" s="43"/>
      <c r="E196" s="43"/>
      <c r="F196" s="43"/>
      <c r="G196" s="43"/>
      <c r="H196" s="43"/>
      <c r="I196" s="43"/>
      <c r="J196" s="443"/>
      <c r="K196" s="43"/>
      <c r="L196" s="89"/>
      <c r="M196" s="89"/>
      <c r="O196" s="71">
        <f t="shared" si="21"/>
        <v>0</v>
      </c>
      <c r="P196" s="89">
        <f t="shared" si="22"/>
        <v>0</v>
      </c>
      <c r="Q196" s="491" t="str">
        <f>IF(ISBLANK(M196), "", VLOOKUP(A196&amp;" "&amp;B196, 'Info Tipo de Cambio y REM'!$A$24:$B$47, 2, FALSE))</f>
        <v/>
      </c>
      <c r="R196" s="109" t="str">
        <f t="shared" si="1"/>
        <v/>
      </c>
      <c r="S196" s="71" t="str">
        <f t="shared" si="2"/>
        <v/>
      </c>
      <c r="T196" s="71">
        <f t="shared" si="3"/>
        <v>0</v>
      </c>
      <c r="U196" s="43"/>
      <c r="V196" s="486"/>
      <c r="W196" s="43"/>
      <c r="X196" s="43"/>
    </row>
    <row r="197" hidden="1">
      <c r="A197" s="51"/>
      <c r="B197" s="43"/>
      <c r="C197" s="51"/>
      <c r="D197" s="43"/>
      <c r="E197" s="43"/>
      <c r="F197" s="43"/>
      <c r="G197" s="43"/>
      <c r="H197" s="43"/>
      <c r="I197" s="43"/>
      <c r="J197" s="443"/>
      <c r="K197" s="43"/>
      <c r="L197" s="89"/>
      <c r="M197" s="89"/>
      <c r="O197" s="71">
        <f t="shared" si="21"/>
        <v>0</v>
      </c>
      <c r="P197" s="89">
        <f t="shared" si="22"/>
        <v>0</v>
      </c>
      <c r="Q197" s="491" t="str">
        <f>IF(ISBLANK(M197), "", VLOOKUP(A197&amp;" "&amp;B197, 'Info Tipo de Cambio y REM'!$A$24:$B$47, 2, FALSE))</f>
        <v/>
      </c>
      <c r="R197" s="109" t="str">
        <f t="shared" si="1"/>
        <v/>
      </c>
      <c r="S197" s="71" t="str">
        <f t="shared" si="2"/>
        <v/>
      </c>
      <c r="T197" s="71">
        <f t="shared" si="3"/>
        <v>0</v>
      </c>
      <c r="U197" s="43"/>
      <c r="V197" s="486"/>
      <c r="W197" s="43"/>
      <c r="X197" s="43"/>
    </row>
    <row r="198" hidden="1">
      <c r="A198" s="51"/>
      <c r="B198" s="43"/>
      <c r="C198" s="51"/>
      <c r="D198" s="43"/>
      <c r="E198" s="43"/>
      <c r="F198" s="43"/>
      <c r="G198" s="43"/>
      <c r="H198" s="43"/>
      <c r="I198" s="43"/>
      <c r="J198" s="443"/>
      <c r="K198" s="43"/>
      <c r="L198" s="89"/>
      <c r="M198" s="89"/>
      <c r="O198" s="71">
        <f t="shared" si="21"/>
        <v>0</v>
      </c>
      <c r="P198" s="89">
        <f t="shared" si="22"/>
        <v>0</v>
      </c>
      <c r="Q198" s="491" t="str">
        <f>IF(ISBLANK(M198), "", VLOOKUP(A198&amp;" "&amp;B198, 'Info Tipo de Cambio y REM'!$A$24:$B$47, 2, FALSE))</f>
        <v/>
      </c>
      <c r="R198" s="109" t="str">
        <f t="shared" si="1"/>
        <v/>
      </c>
      <c r="S198" s="71" t="str">
        <f t="shared" si="2"/>
        <v/>
      </c>
      <c r="T198" s="71">
        <f t="shared" si="3"/>
        <v>0</v>
      </c>
      <c r="U198" s="43"/>
      <c r="V198" s="486"/>
      <c r="W198" s="43"/>
      <c r="X198" s="43"/>
    </row>
    <row r="199" hidden="1">
      <c r="A199" s="51"/>
      <c r="B199" s="43"/>
      <c r="C199" s="51"/>
      <c r="D199" s="43"/>
      <c r="E199" s="43"/>
      <c r="F199" s="43"/>
      <c r="G199" s="43"/>
      <c r="H199" s="43"/>
      <c r="I199" s="43"/>
      <c r="J199" s="443"/>
      <c r="K199" s="43"/>
      <c r="L199" s="89"/>
      <c r="M199" s="89"/>
      <c r="O199" s="71">
        <f t="shared" si="21"/>
        <v>0</v>
      </c>
      <c r="P199" s="89">
        <f t="shared" si="22"/>
        <v>0</v>
      </c>
      <c r="Q199" s="491" t="str">
        <f>IF(ISBLANK(M199), "", VLOOKUP(A199&amp;" "&amp;B199, 'Info Tipo de Cambio y REM'!$A$24:$B$47, 2, FALSE))</f>
        <v/>
      </c>
      <c r="R199" s="109" t="str">
        <f t="shared" si="1"/>
        <v/>
      </c>
      <c r="S199" s="71" t="str">
        <f t="shared" si="2"/>
        <v/>
      </c>
      <c r="T199" s="71">
        <f t="shared" si="3"/>
        <v>0</v>
      </c>
      <c r="U199" s="43"/>
      <c r="V199" s="486"/>
      <c r="W199" s="43"/>
      <c r="X199" s="43"/>
    </row>
    <row r="200" hidden="1">
      <c r="A200" s="51"/>
      <c r="B200" s="43"/>
      <c r="C200" s="51"/>
      <c r="D200" s="43"/>
      <c r="E200" s="43"/>
      <c r="F200" s="43"/>
      <c r="G200" s="43"/>
      <c r="H200" s="43"/>
      <c r="I200" s="43"/>
      <c r="J200" s="443"/>
      <c r="K200" s="43"/>
      <c r="L200" s="89"/>
      <c r="M200" s="89"/>
      <c r="O200" s="71">
        <f t="shared" si="21"/>
        <v>0</v>
      </c>
      <c r="P200" s="89">
        <f t="shared" si="22"/>
        <v>0</v>
      </c>
      <c r="Q200" s="491" t="str">
        <f>IF(ISBLANK(M200), "", VLOOKUP(A200&amp;" "&amp;B200, 'Info Tipo de Cambio y REM'!$A$24:$B$47, 2, FALSE))</f>
        <v/>
      </c>
      <c r="R200" s="109" t="str">
        <f t="shared" si="1"/>
        <v/>
      </c>
      <c r="S200" s="71" t="str">
        <f t="shared" si="2"/>
        <v/>
      </c>
      <c r="T200" s="71">
        <f t="shared" si="3"/>
        <v>0</v>
      </c>
      <c r="U200" s="43"/>
      <c r="V200" s="486"/>
      <c r="W200" s="43"/>
      <c r="X200" s="43"/>
    </row>
    <row r="201" hidden="1">
      <c r="A201" s="51"/>
      <c r="B201" s="43"/>
      <c r="C201" s="51"/>
      <c r="D201" s="43"/>
      <c r="E201" s="43"/>
      <c r="F201" s="43"/>
      <c r="G201" s="43"/>
      <c r="H201" s="43"/>
      <c r="I201" s="43"/>
      <c r="J201" s="443"/>
      <c r="K201" s="43"/>
      <c r="L201" s="89"/>
      <c r="M201" s="89"/>
      <c r="O201" s="71">
        <f t="shared" si="21"/>
        <v>0</v>
      </c>
      <c r="P201" s="89">
        <f t="shared" si="22"/>
        <v>0</v>
      </c>
      <c r="Q201" s="491" t="str">
        <f>IF(ISBLANK(M201), "", VLOOKUP(A201&amp;" "&amp;B201, 'Info Tipo de Cambio y REM'!$A$24:$B$47, 2, FALSE))</f>
        <v/>
      </c>
      <c r="R201" s="109" t="str">
        <f t="shared" si="1"/>
        <v/>
      </c>
      <c r="S201" s="71" t="str">
        <f t="shared" si="2"/>
        <v/>
      </c>
      <c r="T201" s="71">
        <f t="shared" si="3"/>
        <v>0</v>
      </c>
      <c r="U201" s="43"/>
      <c r="V201" s="486"/>
      <c r="W201" s="43"/>
      <c r="X201" s="43"/>
    </row>
    <row r="202" hidden="1">
      <c r="A202" s="51"/>
      <c r="B202" s="43"/>
      <c r="C202" s="51"/>
      <c r="D202" s="43"/>
      <c r="E202" s="43"/>
      <c r="F202" s="43"/>
      <c r="G202" s="43"/>
      <c r="H202" s="43"/>
      <c r="I202" s="43"/>
      <c r="J202" s="443"/>
      <c r="K202" s="43"/>
      <c r="L202" s="89"/>
      <c r="M202" s="89"/>
      <c r="O202" s="71">
        <f t="shared" si="21"/>
        <v>0</v>
      </c>
      <c r="P202" s="89">
        <f t="shared" si="22"/>
        <v>0</v>
      </c>
      <c r="Q202" s="491" t="str">
        <f>IF(ISBLANK(M202), "", VLOOKUP(A202&amp;" "&amp;B202, 'Info Tipo de Cambio y REM'!$A$24:$B$47, 2, FALSE))</f>
        <v/>
      </c>
      <c r="R202" s="109" t="str">
        <f t="shared" si="1"/>
        <v/>
      </c>
      <c r="S202" s="71" t="str">
        <f t="shared" si="2"/>
        <v/>
      </c>
      <c r="T202" s="71">
        <f t="shared" si="3"/>
        <v>0</v>
      </c>
      <c r="U202" s="43"/>
      <c r="V202" s="486"/>
      <c r="W202" s="43"/>
      <c r="X202" s="43"/>
    </row>
    <row r="203" hidden="1">
      <c r="A203" s="51"/>
      <c r="B203" s="43"/>
      <c r="C203" s="51"/>
      <c r="D203" s="43"/>
      <c r="E203" s="43"/>
      <c r="F203" s="43"/>
      <c r="G203" s="43"/>
      <c r="H203" s="43"/>
      <c r="I203" s="43"/>
      <c r="J203" s="443"/>
      <c r="K203" s="43"/>
      <c r="L203" s="89"/>
      <c r="M203" s="89"/>
      <c r="O203" s="71">
        <f t="shared" si="21"/>
        <v>0</v>
      </c>
      <c r="P203" s="89">
        <f t="shared" si="22"/>
        <v>0</v>
      </c>
      <c r="Q203" s="491" t="str">
        <f>IF(ISBLANK(M203), "", VLOOKUP(A203&amp;" "&amp;B203, 'Info Tipo de Cambio y REM'!$A$24:$B$47, 2, FALSE))</f>
        <v/>
      </c>
      <c r="R203" s="109" t="str">
        <f t="shared" si="1"/>
        <v/>
      </c>
      <c r="S203" s="71" t="str">
        <f t="shared" si="2"/>
        <v/>
      </c>
      <c r="T203" s="71">
        <f t="shared" si="3"/>
        <v>0</v>
      </c>
      <c r="U203" s="43"/>
      <c r="V203" s="486"/>
      <c r="W203" s="43"/>
      <c r="X203" s="43"/>
    </row>
    <row r="204" hidden="1">
      <c r="A204" s="51"/>
      <c r="B204" s="43"/>
      <c r="C204" s="51"/>
      <c r="D204" s="43"/>
      <c r="E204" s="43"/>
      <c r="F204" s="43"/>
      <c r="G204" s="43"/>
      <c r="H204" s="43"/>
      <c r="I204" s="43"/>
      <c r="J204" s="443"/>
      <c r="K204" s="43"/>
      <c r="L204" s="89"/>
      <c r="M204" s="89"/>
      <c r="O204" s="71">
        <f t="shared" si="21"/>
        <v>0</v>
      </c>
      <c r="P204" s="89">
        <f t="shared" si="22"/>
        <v>0</v>
      </c>
      <c r="Q204" s="491" t="str">
        <f>IF(ISBLANK(M204), "", VLOOKUP(A204&amp;" "&amp;B204, 'Info Tipo de Cambio y REM'!$A$24:$B$47, 2, FALSE))</f>
        <v/>
      </c>
      <c r="R204" s="109" t="str">
        <f t="shared" si="1"/>
        <v/>
      </c>
      <c r="S204" s="71" t="str">
        <f t="shared" si="2"/>
        <v/>
      </c>
      <c r="T204" s="71">
        <f t="shared" si="3"/>
        <v>0</v>
      </c>
      <c r="U204" s="43"/>
      <c r="V204" s="486"/>
      <c r="W204" s="43"/>
      <c r="X204" s="43"/>
    </row>
    <row r="205" hidden="1">
      <c r="A205" s="51"/>
      <c r="B205" s="43"/>
      <c r="C205" s="51"/>
      <c r="D205" s="43"/>
      <c r="E205" s="43"/>
      <c r="F205" s="43"/>
      <c r="G205" s="43"/>
      <c r="H205" s="43"/>
      <c r="I205" s="43"/>
      <c r="J205" s="443"/>
      <c r="K205" s="43"/>
      <c r="L205" s="89"/>
      <c r="M205" s="89"/>
      <c r="O205" s="71">
        <f t="shared" si="21"/>
        <v>0</v>
      </c>
      <c r="P205" s="89">
        <f t="shared" si="22"/>
        <v>0</v>
      </c>
      <c r="Q205" s="491" t="str">
        <f>IF(ISBLANK(M205), "", VLOOKUP(A205&amp;" "&amp;B205, 'Info Tipo de Cambio y REM'!$A$24:$B$47, 2, FALSE))</f>
        <v/>
      </c>
      <c r="R205" s="109" t="str">
        <f t="shared" si="1"/>
        <v/>
      </c>
      <c r="S205" s="71" t="str">
        <f t="shared" si="2"/>
        <v/>
      </c>
      <c r="T205" s="71">
        <f t="shared" si="3"/>
        <v>0</v>
      </c>
      <c r="U205" s="43"/>
      <c r="V205" s="486"/>
      <c r="W205" s="43"/>
      <c r="X205" s="43"/>
    </row>
    <row r="206" hidden="1">
      <c r="A206" s="51"/>
      <c r="B206" s="43"/>
      <c r="C206" s="51"/>
      <c r="D206" s="43"/>
      <c r="E206" s="43"/>
      <c r="F206" s="43"/>
      <c r="G206" s="43"/>
      <c r="H206" s="43"/>
      <c r="I206" s="43"/>
      <c r="J206" s="443"/>
      <c r="K206" s="43"/>
      <c r="L206" s="89"/>
      <c r="M206" s="89"/>
      <c r="O206" s="71">
        <f t="shared" si="21"/>
        <v>0</v>
      </c>
      <c r="P206" s="89">
        <f t="shared" si="22"/>
        <v>0</v>
      </c>
      <c r="Q206" s="491" t="str">
        <f>IF(ISBLANK(M206), "", VLOOKUP(A206&amp;" "&amp;B206, 'Info Tipo de Cambio y REM'!$A$24:$B$47, 2, FALSE))</f>
        <v/>
      </c>
      <c r="R206" s="109" t="str">
        <f t="shared" si="1"/>
        <v/>
      </c>
      <c r="S206" s="71" t="str">
        <f t="shared" si="2"/>
        <v/>
      </c>
      <c r="T206" s="71">
        <f t="shared" si="3"/>
        <v>0</v>
      </c>
      <c r="U206" s="43"/>
      <c r="V206" s="486"/>
      <c r="W206" s="43"/>
      <c r="X206" s="43"/>
    </row>
    <row r="207" hidden="1">
      <c r="A207" s="51"/>
      <c r="B207" s="43"/>
      <c r="C207" s="51"/>
      <c r="D207" s="43"/>
      <c r="E207" s="43"/>
      <c r="F207" s="43"/>
      <c r="G207" s="43"/>
      <c r="H207" s="43"/>
      <c r="I207" s="43"/>
      <c r="J207" s="443"/>
      <c r="K207" s="43"/>
      <c r="L207" s="89"/>
      <c r="M207" s="89"/>
      <c r="O207" s="71">
        <f t="shared" si="21"/>
        <v>0</v>
      </c>
      <c r="P207" s="89">
        <f t="shared" si="22"/>
        <v>0</v>
      </c>
      <c r="Q207" s="491" t="str">
        <f>IF(ISBLANK(M207), "", VLOOKUP(A207&amp;" "&amp;B207, 'Info Tipo de Cambio y REM'!$A$24:$B$47, 2, FALSE))</f>
        <v/>
      </c>
      <c r="R207" s="109" t="str">
        <f t="shared" si="1"/>
        <v/>
      </c>
      <c r="S207" s="71" t="str">
        <f t="shared" si="2"/>
        <v/>
      </c>
      <c r="T207" s="71">
        <f t="shared" si="3"/>
        <v>0</v>
      </c>
      <c r="U207" s="43"/>
      <c r="V207" s="486"/>
      <c r="W207" s="43"/>
      <c r="X207" s="43"/>
    </row>
    <row r="208" hidden="1">
      <c r="A208" s="51"/>
      <c r="B208" s="43"/>
      <c r="C208" s="51"/>
      <c r="D208" s="43"/>
      <c r="E208" s="43"/>
      <c r="F208" s="43"/>
      <c r="G208" s="43"/>
      <c r="H208" s="43"/>
      <c r="I208" s="43"/>
      <c r="J208" s="443"/>
      <c r="K208" s="43"/>
      <c r="L208" s="89"/>
      <c r="M208" s="89"/>
      <c r="O208" s="71">
        <f t="shared" si="21"/>
        <v>0</v>
      </c>
      <c r="P208" s="89">
        <f t="shared" si="22"/>
        <v>0</v>
      </c>
      <c r="Q208" s="491" t="str">
        <f>IF(ISBLANK(M208), "", VLOOKUP(A208&amp;" "&amp;B208, 'Info Tipo de Cambio y REM'!$A$24:$B$47, 2, FALSE))</f>
        <v/>
      </c>
      <c r="R208" s="109" t="str">
        <f t="shared" si="1"/>
        <v/>
      </c>
      <c r="S208" s="71" t="str">
        <f t="shared" si="2"/>
        <v/>
      </c>
      <c r="T208" s="71">
        <f t="shared" si="3"/>
        <v>0</v>
      </c>
      <c r="U208" s="43"/>
      <c r="V208" s="486"/>
      <c r="W208" s="43"/>
      <c r="X208" s="43"/>
    </row>
    <row r="209" hidden="1">
      <c r="A209" s="51"/>
      <c r="B209" s="43"/>
      <c r="C209" s="51"/>
      <c r="D209" s="43"/>
      <c r="E209" s="43"/>
      <c r="F209" s="43"/>
      <c r="G209" s="43"/>
      <c r="H209" s="43"/>
      <c r="I209" s="43"/>
      <c r="J209" s="443"/>
      <c r="K209" s="43"/>
      <c r="L209" s="89"/>
      <c r="M209" s="89"/>
      <c r="O209" s="71">
        <f t="shared" si="21"/>
        <v>0</v>
      </c>
      <c r="P209" s="89">
        <f t="shared" si="22"/>
        <v>0</v>
      </c>
      <c r="Q209" s="491" t="str">
        <f>IF(ISBLANK(M209), "", VLOOKUP(A209&amp;" "&amp;B209, 'Info Tipo de Cambio y REM'!$A$24:$B$47, 2, FALSE))</f>
        <v/>
      </c>
      <c r="R209" s="109" t="str">
        <f t="shared" si="1"/>
        <v/>
      </c>
      <c r="S209" s="71" t="str">
        <f t="shared" si="2"/>
        <v/>
      </c>
      <c r="T209" s="71">
        <f t="shared" si="3"/>
        <v>0</v>
      </c>
      <c r="U209" s="43"/>
      <c r="V209" s="486"/>
      <c r="W209" s="43"/>
      <c r="X209" s="43"/>
    </row>
    <row r="210" hidden="1">
      <c r="A210" s="51"/>
      <c r="B210" s="43"/>
      <c r="C210" s="51"/>
      <c r="D210" s="43"/>
      <c r="E210" s="43"/>
      <c r="F210" s="43"/>
      <c r="G210" s="43"/>
      <c r="H210" s="43"/>
      <c r="I210" s="43"/>
      <c r="J210" s="443"/>
      <c r="K210" s="43"/>
      <c r="L210" s="89"/>
      <c r="M210" s="89"/>
      <c r="O210" s="71">
        <f t="shared" si="21"/>
        <v>0</v>
      </c>
      <c r="P210" s="89">
        <f t="shared" si="22"/>
        <v>0</v>
      </c>
      <c r="Q210" s="491" t="str">
        <f>IF(ISBLANK(M210), "", VLOOKUP(A210&amp;" "&amp;B210, 'Info Tipo de Cambio y REM'!$A$24:$B$47, 2, FALSE))</f>
        <v/>
      </c>
      <c r="R210" s="109" t="str">
        <f t="shared" si="1"/>
        <v/>
      </c>
      <c r="S210" s="71" t="str">
        <f t="shared" si="2"/>
        <v/>
      </c>
      <c r="T210" s="71">
        <f t="shared" si="3"/>
        <v>0</v>
      </c>
      <c r="U210" s="43"/>
      <c r="V210" s="486"/>
      <c r="W210" s="43"/>
      <c r="X210" s="43"/>
    </row>
    <row r="211" hidden="1">
      <c r="A211" s="51"/>
      <c r="B211" s="43"/>
      <c r="C211" s="51"/>
      <c r="D211" s="43"/>
      <c r="E211" s="43"/>
      <c r="F211" s="43"/>
      <c r="G211" s="43"/>
      <c r="H211" s="43"/>
      <c r="I211" s="43"/>
      <c r="J211" s="443"/>
      <c r="K211" s="43"/>
      <c r="L211" s="89"/>
      <c r="M211" s="89"/>
      <c r="O211" s="71">
        <f t="shared" si="21"/>
        <v>0</v>
      </c>
      <c r="P211" s="89">
        <f t="shared" si="22"/>
        <v>0</v>
      </c>
      <c r="Q211" s="491" t="str">
        <f>IF(ISBLANK(M211), "", VLOOKUP(A211&amp;" "&amp;B211, 'Info Tipo de Cambio y REM'!$A$24:$B$47, 2, FALSE))</f>
        <v/>
      </c>
      <c r="R211" s="109" t="str">
        <f t="shared" si="1"/>
        <v/>
      </c>
      <c r="S211" s="71" t="str">
        <f t="shared" si="2"/>
        <v/>
      </c>
      <c r="T211" s="71">
        <f t="shared" si="3"/>
        <v>0</v>
      </c>
      <c r="U211" s="43"/>
      <c r="V211" s="486"/>
      <c r="W211" s="43"/>
      <c r="X211" s="43"/>
    </row>
    <row r="212" hidden="1">
      <c r="A212" s="51"/>
      <c r="B212" s="43"/>
      <c r="C212" s="51"/>
      <c r="D212" s="43"/>
      <c r="E212" s="43"/>
      <c r="F212" s="43"/>
      <c r="G212" s="43"/>
      <c r="H212" s="43"/>
      <c r="I212" s="43"/>
      <c r="J212" s="443"/>
      <c r="K212" s="43"/>
      <c r="L212" s="89"/>
      <c r="M212" s="89"/>
      <c r="O212" s="71">
        <f t="shared" si="21"/>
        <v>0</v>
      </c>
      <c r="P212" s="89">
        <f t="shared" si="22"/>
        <v>0</v>
      </c>
      <c r="Q212" s="491" t="str">
        <f>IF(ISBLANK(M212), "", VLOOKUP(A212&amp;" "&amp;B212, 'Info Tipo de Cambio y REM'!$A$24:$B$47, 2, FALSE))</f>
        <v/>
      </c>
      <c r="R212" s="109" t="str">
        <f t="shared" si="1"/>
        <v/>
      </c>
      <c r="S212" s="71" t="str">
        <f t="shared" si="2"/>
        <v/>
      </c>
      <c r="T212" s="71">
        <f t="shared" si="3"/>
        <v>0</v>
      </c>
      <c r="U212" s="43"/>
      <c r="V212" s="486"/>
      <c r="W212" s="43"/>
      <c r="X212" s="43"/>
    </row>
    <row r="213" hidden="1">
      <c r="A213" s="51"/>
      <c r="B213" s="43"/>
      <c r="C213" s="51"/>
      <c r="D213" s="43"/>
      <c r="E213" s="43"/>
      <c r="F213" s="43"/>
      <c r="G213" s="43"/>
      <c r="H213" s="43"/>
      <c r="I213" s="43"/>
      <c r="J213" s="443"/>
      <c r="K213" s="43"/>
      <c r="L213" s="89"/>
      <c r="M213" s="89"/>
      <c r="O213" s="71">
        <f t="shared" si="21"/>
        <v>0</v>
      </c>
      <c r="P213" s="89">
        <f t="shared" si="22"/>
        <v>0</v>
      </c>
      <c r="Q213" s="491" t="str">
        <f>IF(ISBLANK(M213), "", VLOOKUP(A213&amp;" "&amp;B213, 'Info Tipo de Cambio y REM'!$A$24:$B$47, 2, FALSE))</f>
        <v/>
      </c>
      <c r="R213" s="109" t="str">
        <f t="shared" si="1"/>
        <v/>
      </c>
      <c r="S213" s="71" t="str">
        <f t="shared" si="2"/>
        <v/>
      </c>
      <c r="T213" s="71">
        <f t="shared" si="3"/>
        <v>0</v>
      </c>
      <c r="U213" s="43"/>
      <c r="V213" s="486"/>
      <c r="W213" s="43"/>
      <c r="X213" s="43"/>
    </row>
    <row r="214" hidden="1">
      <c r="A214" s="51"/>
      <c r="B214" s="43"/>
      <c r="C214" s="51"/>
      <c r="D214" s="43"/>
      <c r="E214" s="43"/>
      <c r="F214" s="43"/>
      <c r="G214" s="43"/>
      <c r="H214" s="43"/>
      <c r="I214" s="43"/>
      <c r="J214" s="443"/>
      <c r="K214" s="43"/>
      <c r="L214" s="89"/>
      <c r="M214" s="89"/>
      <c r="O214" s="71">
        <f t="shared" si="21"/>
        <v>0</v>
      </c>
      <c r="P214" s="89">
        <f t="shared" si="22"/>
        <v>0</v>
      </c>
      <c r="Q214" s="491" t="str">
        <f>IF(ISBLANK(M214), "", VLOOKUP(A214&amp;" "&amp;B214, 'Info Tipo de Cambio y REM'!$A$24:$B$47, 2, FALSE))</f>
        <v/>
      </c>
      <c r="R214" s="109" t="str">
        <f t="shared" si="1"/>
        <v/>
      </c>
      <c r="S214" s="71" t="str">
        <f t="shared" si="2"/>
        <v/>
      </c>
      <c r="T214" s="71">
        <f t="shared" si="3"/>
        <v>0</v>
      </c>
      <c r="U214" s="43"/>
      <c r="V214" s="486"/>
      <c r="W214" s="43"/>
      <c r="X214" s="43"/>
    </row>
    <row r="215" hidden="1">
      <c r="A215" s="51"/>
      <c r="B215" s="43"/>
      <c r="C215" s="51"/>
      <c r="D215" s="43"/>
      <c r="E215" s="43"/>
      <c r="F215" s="43"/>
      <c r="G215" s="43"/>
      <c r="H215" s="43"/>
      <c r="I215" s="43"/>
      <c r="J215" s="443"/>
      <c r="K215" s="43"/>
      <c r="L215" s="89"/>
      <c r="M215" s="89"/>
      <c r="O215" s="71">
        <f t="shared" si="21"/>
        <v>0</v>
      </c>
      <c r="P215" s="89">
        <f t="shared" si="22"/>
        <v>0</v>
      </c>
      <c r="Q215" s="491" t="str">
        <f>IF(ISBLANK(M215), "", VLOOKUP(A215&amp;" "&amp;B215, 'Info Tipo de Cambio y REM'!$A$24:$B$47, 2, FALSE))</f>
        <v/>
      </c>
      <c r="R215" s="109" t="str">
        <f t="shared" si="1"/>
        <v/>
      </c>
      <c r="S215" s="71" t="str">
        <f t="shared" si="2"/>
        <v/>
      </c>
      <c r="T215" s="71">
        <f t="shared" si="3"/>
        <v>0</v>
      </c>
      <c r="U215" s="43"/>
      <c r="V215" s="486"/>
      <c r="W215" s="43"/>
      <c r="X215" s="43"/>
    </row>
    <row r="216" hidden="1">
      <c r="A216" s="51"/>
      <c r="B216" s="43"/>
      <c r="C216" s="51"/>
      <c r="D216" s="43"/>
      <c r="E216" s="43"/>
      <c r="F216" s="43"/>
      <c r="G216" s="43"/>
      <c r="H216" s="43"/>
      <c r="I216" s="43"/>
      <c r="J216" s="443"/>
      <c r="K216" s="43"/>
      <c r="L216" s="89"/>
      <c r="M216" s="89"/>
      <c r="O216" s="71">
        <f t="shared" si="21"/>
        <v>0</v>
      </c>
      <c r="P216" s="89">
        <f t="shared" si="22"/>
        <v>0</v>
      </c>
      <c r="Q216" s="491" t="str">
        <f>IF(ISBLANK(M216), "", VLOOKUP(A216&amp;" "&amp;B216, 'Info Tipo de Cambio y REM'!$A$24:$B$47, 2, FALSE))</f>
        <v/>
      </c>
      <c r="R216" s="109" t="str">
        <f t="shared" si="1"/>
        <v/>
      </c>
      <c r="S216" s="71" t="str">
        <f t="shared" si="2"/>
        <v/>
      </c>
      <c r="T216" s="71">
        <f t="shared" si="3"/>
        <v>0</v>
      </c>
      <c r="U216" s="43"/>
      <c r="V216" s="486"/>
      <c r="W216" s="43"/>
      <c r="X216" s="43"/>
    </row>
    <row r="217" hidden="1">
      <c r="A217" s="51"/>
      <c r="B217" s="43"/>
      <c r="C217" s="51"/>
      <c r="D217" s="43"/>
      <c r="E217" s="43"/>
      <c r="F217" s="43"/>
      <c r="G217" s="43"/>
      <c r="H217" s="43"/>
      <c r="I217" s="43"/>
      <c r="J217" s="443"/>
      <c r="K217" s="43"/>
      <c r="L217" s="89"/>
      <c r="M217" s="89"/>
      <c r="O217" s="71">
        <f t="shared" si="21"/>
        <v>0</v>
      </c>
      <c r="P217" s="89">
        <f t="shared" si="22"/>
        <v>0</v>
      </c>
      <c r="Q217" s="491" t="str">
        <f>IF(ISBLANK(M217), "", VLOOKUP(A217&amp;" "&amp;B217, 'Info Tipo de Cambio y REM'!$A$24:$B$47, 2, FALSE))</f>
        <v/>
      </c>
      <c r="R217" s="109" t="str">
        <f t="shared" si="1"/>
        <v/>
      </c>
      <c r="S217" s="71" t="str">
        <f t="shared" si="2"/>
        <v/>
      </c>
      <c r="T217" s="71">
        <f t="shared" si="3"/>
        <v>0</v>
      </c>
      <c r="U217" s="43"/>
      <c r="V217" s="486"/>
      <c r="W217" s="43"/>
      <c r="X217" s="43"/>
    </row>
    <row r="218" hidden="1">
      <c r="A218" s="51"/>
      <c r="B218" s="43"/>
      <c r="C218" s="51"/>
      <c r="D218" s="43"/>
      <c r="E218" s="43"/>
      <c r="F218" s="43"/>
      <c r="G218" s="43"/>
      <c r="H218" s="43"/>
      <c r="I218" s="43"/>
      <c r="J218" s="443"/>
      <c r="K218" s="43"/>
      <c r="L218" s="89"/>
      <c r="M218" s="89"/>
      <c r="O218" s="71">
        <f t="shared" si="21"/>
        <v>0</v>
      </c>
      <c r="P218" s="89">
        <f t="shared" si="22"/>
        <v>0</v>
      </c>
      <c r="Q218" s="491" t="str">
        <f>IF(ISBLANK(M218), "", VLOOKUP(A218&amp;" "&amp;B218, 'Info Tipo de Cambio y REM'!$A$24:$B$47, 2, FALSE))</f>
        <v/>
      </c>
      <c r="R218" s="109" t="str">
        <f t="shared" si="1"/>
        <v/>
      </c>
      <c r="S218" s="71" t="str">
        <f t="shared" si="2"/>
        <v/>
      </c>
      <c r="T218" s="71">
        <f t="shared" si="3"/>
        <v>0</v>
      </c>
      <c r="U218" s="43"/>
      <c r="V218" s="486"/>
      <c r="W218" s="43"/>
      <c r="X218" s="43"/>
    </row>
    <row r="219" hidden="1">
      <c r="A219" s="51"/>
      <c r="B219" s="43"/>
      <c r="C219" s="51"/>
      <c r="D219" s="43"/>
      <c r="E219" s="43"/>
      <c r="F219" s="43"/>
      <c r="G219" s="43"/>
      <c r="H219" s="43"/>
      <c r="I219" s="43"/>
      <c r="J219" s="443"/>
      <c r="K219" s="43"/>
      <c r="L219" s="89"/>
      <c r="M219" s="89"/>
      <c r="O219" s="71">
        <f t="shared" si="21"/>
        <v>0</v>
      </c>
      <c r="P219" s="89">
        <f t="shared" si="22"/>
        <v>0</v>
      </c>
      <c r="Q219" s="491" t="str">
        <f>IF(ISBLANK(M219), "", VLOOKUP(A219&amp;" "&amp;B219, 'Info Tipo de Cambio y REM'!$A$24:$B$47, 2, FALSE))</f>
        <v/>
      </c>
      <c r="R219" s="109" t="str">
        <f t="shared" si="1"/>
        <v/>
      </c>
      <c r="S219" s="71" t="str">
        <f t="shared" si="2"/>
        <v/>
      </c>
      <c r="T219" s="71">
        <f t="shared" si="3"/>
        <v>0</v>
      </c>
      <c r="U219" s="43"/>
      <c r="V219" s="486"/>
      <c r="W219" s="43"/>
      <c r="X219" s="43"/>
    </row>
    <row r="220" hidden="1">
      <c r="A220" s="51"/>
      <c r="B220" s="43"/>
      <c r="C220" s="51"/>
      <c r="D220" s="43"/>
      <c r="E220" s="43"/>
      <c r="F220" s="43"/>
      <c r="G220" s="43"/>
      <c r="H220" s="43"/>
      <c r="I220" s="43"/>
      <c r="J220" s="443"/>
      <c r="K220" s="43"/>
      <c r="L220" s="89"/>
      <c r="M220" s="89"/>
      <c r="O220" s="71">
        <f t="shared" si="21"/>
        <v>0</v>
      </c>
      <c r="P220" s="89">
        <f t="shared" si="22"/>
        <v>0</v>
      </c>
      <c r="Q220" s="491" t="str">
        <f>IF(ISBLANK(M220), "", VLOOKUP(A220&amp;" "&amp;B220, 'Info Tipo de Cambio y REM'!$A$24:$B$47, 2, FALSE))</f>
        <v/>
      </c>
      <c r="R220" s="109" t="str">
        <f t="shared" si="1"/>
        <v/>
      </c>
      <c r="S220" s="71" t="str">
        <f t="shared" si="2"/>
        <v/>
      </c>
      <c r="T220" s="71">
        <f t="shared" si="3"/>
        <v>0</v>
      </c>
      <c r="U220" s="43"/>
      <c r="V220" s="486"/>
      <c r="W220" s="43"/>
      <c r="X220" s="43"/>
    </row>
    <row r="221" hidden="1">
      <c r="A221" s="51"/>
      <c r="B221" s="43"/>
      <c r="C221" s="51"/>
      <c r="D221" s="43"/>
      <c r="E221" s="43"/>
      <c r="F221" s="43"/>
      <c r="G221" s="43"/>
      <c r="H221" s="43"/>
      <c r="I221" s="43"/>
      <c r="J221" s="443"/>
      <c r="K221" s="43"/>
      <c r="L221" s="89"/>
      <c r="M221" s="89"/>
      <c r="O221" s="71">
        <f t="shared" si="21"/>
        <v>0</v>
      </c>
      <c r="P221" s="89">
        <f t="shared" si="22"/>
        <v>0</v>
      </c>
      <c r="Q221" s="491" t="str">
        <f>IF(ISBLANK(M221), "", VLOOKUP(A221&amp;" "&amp;B221, 'Info Tipo de Cambio y REM'!$A$24:$B$47, 2, FALSE))</f>
        <v/>
      </c>
      <c r="R221" s="109" t="str">
        <f t="shared" si="1"/>
        <v/>
      </c>
      <c r="S221" s="71" t="str">
        <f t="shared" si="2"/>
        <v/>
      </c>
      <c r="T221" s="71">
        <f t="shared" si="3"/>
        <v>0</v>
      </c>
      <c r="U221" s="43"/>
      <c r="V221" s="486"/>
      <c r="W221" s="43"/>
      <c r="X221" s="43"/>
    </row>
    <row r="222" hidden="1">
      <c r="A222" s="51"/>
      <c r="B222" s="43"/>
      <c r="C222" s="51"/>
      <c r="D222" s="43"/>
      <c r="E222" s="43"/>
      <c r="F222" s="43"/>
      <c r="G222" s="43"/>
      <c r="H222" s="43"/>
      <c r="I222" s="43"/>
      <c r="J222" s="443"/>
      <c r="K222" s="43"/>
      <c r="L222" s="89"/>
      <c r="M222" s="89"/>
      <c r="O222" s="71">
        <f t="shared" si="21"/>
        <v>0</v>
      </c>
      <c r="P222" s="89">
        <f t="shared" si="22"/>
        <v>0</v>
      </c>
      <c r="Q222" s="491" t="str">
        <f>IF(ISBLANK(M222), "", VLOOKUP(A222&amp;" "&amp;B222, 'Info Tipo de Cambio y REM'!$A$24:$B$47, 2, FALSE))</f>
        <v/>
      </c>
      <c r="R222" s="109" t="str">
        <f t="shared" si="1"/>
        <v/>
      </c>
      <c r="S222" s="71" t="str">
        <f t="shared" si="2"/>
        <v/>
      </c>
      <c r="T222" s="71">
        <f t="shared" si="3"/>
        <v>0</v>
      </c>
      <c r="U222" s="43"/>
      <c r="V222" s="486"/>
      <c r="W222" s="43"/>
      <c r="X222" s="43"/>
    </row>
    <row r="223" hidden="1">
      <c r="A223" s="51"/>
      <c r="B223" s="43"/>
      <c r="C223" s="51"/>
      <c r="D223" s="43"/>
      <c r="E223" s="43"/>
      <c r="F223" s="43"/>
      <c r="G223" s="43"/>
      <c r="H223" s="43"/>
      <c r="I223" s="43"/>
      <c r="J223" s="443"/>
      <c r="K223" s="43"/>
      <c r="L223" s="89"/>
      <c r="M223" s="89"/>
      <c r="O223" s="71">
        <f t="shared" si="21"/>
        <v>0</v>
      </c>
      <c r="P223" s="89">
        <f t="shared" si="22"/>
        <v>0</v>
      </c>
      <c r="Q223" s="491" t="str">
        <f>IF(ISBLANK(M223), "", VLOOKUP(A223&amp;" "&amp;B223, 'Info Tipo de Cambio y REM'!$A$24:$B$47, 2, FALSE))</f>
        <v/>
      </c>
      <c r="R223" s="109" t="str">
        <f t="shared" si="1"/>
        <v/>
      </c>
      <c r="S223" s="71" t="str">
        <f t="shared" si="2"/>
        <v/>
      </c>
      <c r="T223" s="71">
        <f t="shared" si="3"/>
        <v>0</v>
      </c>
      <c r="U223" s="43"/>
      <c r="V223" s="486"/>
      <c r="W223" s="43"/>
      <c r="X223" s="43"/>
    </row>
    <row r="224" hidden="1">
      <c r="A224" s="51"/>
      <c r="B224" s="43"/>
      <c r="C224" s="51"/>
      <c r="D224" s="43"/>
      <c r="E224" s="43"/>
      <c r="F224" s="43"/>
      <c r="G224" s="43"/>
      <c r="H224" s="43"/>
      <c r="I224" s="43"/>
      <c r="J224" s="443"/>
      <c r="K224" s="43"/>
      <c r="L224" s="89"/>
      <c r="M224" s="89"/>
      <c r="O224" s="71">
        <f t="shared" si="21"/>
        <v>0</v>
      </c>
      <c r="P224" s="89">
        <f t="shared" si="22"/>
        <v>0</v>
      </c>
      <c r="Q224" s="491" t="str">
        <f>IF(ISBLANK(M224), "", VLOOKUP(A224&amp;" "&amp;B224, 'Info Tipo de Cambio y REM'!$A$24:$B$47, 2, FALSE))</f>
        <v/>
      </c>
      <c r="R224" s="109" t="str">
        <f t="shared" si="1"/>
        <v/>
      </c>
      <c r="S224" s="71" t="str">
        <f t="shared" si="2"/>
        <v/>
      </c>
      <c r="T224" s="71">
        <f t="shared" si="3"/>
        <v>0</v>
      </c>
      <c r="U224" s="43"/>
      <c r="V224" s="486"/>
      <c r="W224" s="43"/>
      <c r="X224" s="43"/>
    </row>
    <row r="225" hidden="1">
      <c r="A225" s="51"/>
      <c r="B225" s="43"/>
      <c r="C225" s="51"/>
      <c r="D225" s="43"/>
      <c r="E225" s="43"/>
      <c r="F225" s="43"/>
      <c r="G225" s="43"/>
      <c r="H225" s="43"/>
      <c r="I225" s="43"/>
      <c r="J225" s="443"/>
      <c r="K225" s="43"/>
      <c r="L225" s="89"/>
      <c r="M225" s="89"/>
      <c r="O225" s="71">
        <f t="shared" si="21"/>
        <v>0</v>
      </c>
      <c r="P225" s="89">
        <f t="shared" si="22"/>
        <v>0</v>
      </c>
      <c r="Q225" s="491" t="str">
        <f>IF(ISBLANK(M225), "", VLOOKUP(A225&amp;" "&amp;B225, 'Info Tipo de Cambio y REM'!$A$24:$B$47, 2, FALSE))</f>
        <v/>
      </c>
      <c r="R225" s="109" t="str">
        <f t="shared" si="1"/>
        <v/>
      </c>
      <c r="S225" s="71" t="str">
        <f t="shared" si="2"/>
        <v/>
      </c>
      <c r="T225" s="71">
        <f t="shared" si="3"/>
        <v>0</v>
      </c>
      <c r="U225" s="43"/>
      <c r="V225" s="486"/>
      <c r="W225" s="43"/>
      <c r="X225" s="43"/>
    </row>
    <row r="226" hidden="1">
      <c r="A226" s="51"/>
      <c r="B226" s="43"/>
      <c r="C226" s="51"/>
      <c r="D226" s="43"/>
      <c r="E226" s="43"/>
      <c r="F226" s="43"/>
      <c r="G226" s="43"/>
      <c r="H226" s="43"/>
      <c r="I226" s="43"/>
      <c r="J226" s="443"/>
      <c r="K226" s="43"/>
      <c r="L226" s="89"/>
      <c r="M226" s="89"/>
      <c r="O226" s="71">
        <f t="shared" si="21"/>
        <v>0</v>
      </c>
      <c r="P226" s="89">
        <f t="shared" si="22"/>
        <v>0</v>
      </c>
      <c r="Q226" s="491" t="str">
        <f>IF(ISBLANK(M226), "", VLOOKUP(A226&amp;" "&amp;B226, 'Info Tipo de Cambio y REM'!$A$24:$B$47, 2, FALSE))</f>
        <v/>
      </c>
      <c r="R226" s="109" t="str">
        <f t="shared" si="1"/>
        <v/>
      </c>
      <c r="S226" s="71" t="str">
        <f t="shared" si="2"/>
        <v/>
      </c>
      <c r="T226" s="71">
        <f t="shared" si="3"/>
        <v>0</v>
      </c>
      <c r="U226" s="43"/>
      <c r="V226" s="486"/>
      <c r="W226" s="43"/>
      <c r="X226" s="43"/>
    </row>
    <row r="227" hidden="1">
      <c r="A227" s="51"/>
      <c r="B227" s="43"/>
      <c r="C227" s="51"/>
      <c r="D227" s="43"/>
      <c r="E227" s="43"/>
      <c r="F227" s="43"/>
      <c r="G227" s="43"/>
      <c r="H227" s="43"/>
      <c r="I227" s="43"/>
      <c r="J227" s="443"/>
      <c r="K227" s="43"/>
      <c r="L227" s="89"/>
      <c r="M227" s="89"/>
      <c r="O227" s="71">
        <f t="shared" si="21"/>
        <v>0</v>
      </c>
      <c r="P227" s="89">
        <f t="shared" si="22"/>
        <v>0</v>
      </c>
      <c r="Q227" s="491" t="str">
        <f>IF(ISBLANK(M227), "", VLOOKUP(A227&amp;" "&amp;B227, 'Info Tipo de Cambio y REM'!$A$24:$B$47, 2, FALSE))</f>
        <v/>
      </c>
      <c r="R227" s="109" t="str">
        <f t="shared" si="1"/>
        <v/>
      </c>
      <c r="S227" s="71" t="str">
        <f t="shared" si="2"/>
        <v/>
      </c>
      <c r="T227" s="71">
        <f t="shared" si="3"/>
        <v>0</v>
      </c>
      <c r="U227" s="43"/>
      <c r="V227" s="486"/>
      <c r="W227" s="43"/>
      <c r="X227" s="43"/>
    </row>
    <row r="228" hidden="1">
      <c r="A228" s="51"/>
      <c r="B228" s="43"/>
      <c r="C228" s="51"/>
      <c r="D228" s="43"/>
      <c r="E228" s="43"/>
      <c r="F228" s="43"/>
      <c r="G228" s="43"/>
      <c r="H228" s="43"/>
      <c r="I228" s="43"/>
      <c r="J228" s="443"/>
      <c r="K228" s="43"/>
      <c r="L228" s="89"/>
      <c r="M228" s="89"/>
      <c r="O228" s="71">
        <f t="shared" si="21"/>
        <v>0</v>
      </c>
      <c r="P228" s="89">
        <f t="shared" si="22"/>
        <v>0</v>
      </c>
      <c r="Q228" s="491" t="str">
        <f>IF(ISBLANK(M228), "", VLOOKUP(A228&amp;" "&amp;B228, 'Info Tipo de Cambio y REM'!$A$24:$B$47, 2, FALSE))</f>
        <v/>
      </c>
      <c r="R228" s="109" t="str">
        <f t="shared" si="1"/>
        <v/>
      </c>
      <c r="S228" s="71" t="str">
        <f t="shared" si="2"/>
        <v/>
      </c>
      <c r="T228" s="71">
        <f t="shared" si="3"/>
        <v>0</v>
      </c>
      <c r="U228" s="43"/>
      <c r="V228" s="486"/>
      <c r="W228" s="43"/>
      <c r="X228" s="43"/>
    </row>
    <row r="229" hidden="1">
      <c r="A229" s="51"/>
      <c r="B229" s="43"/>
      <c r="C229" s="51"/>
      <c r="D229" s="43"/>
      <c r="E229" s="43"/>
      <c r="F229" s="43"/>
      <c r="G229" s="43"/>
      <c r="H229" s="43"/>
      <c r="I229" s="43"/>
      <c r="J229" s="443"/>
      <c r="K229" s="43"/>
      <c r="L229" s="89"/>
      <c r="M229" s="89"/>
      <c r="O229" s="71">
        <f t="shared" si="21"/>
        <v>0</v>
      </c>
      <c r="P229" s="89">
        <f t="shared" si="22"/>
        <v>0</v>
      </c>
      <c r="Q229" s="491" t="str">
        <f>IF(ISBLANK(M229), "", VLOOKUP(A229&amp;" "&amp;B229, 'Info Tipo de Cambio y REM'!$A$24:$B$47, 2, FALSE))</f>
        <v/>
      </c>
      <c r="R229" s="109" t="str">
        <f t="shared" si="1"/>
        <v/>
      </c>
      <c r="S229" s="71" t="str">
        <f t="shared" si="2"/>
        <v/>
      </c>
      <c r="T229" s="71">
        <f t="shared" si="3"/>
        <v>0</v>
      </c>
      <c r="U229" s="43"/>
      <c r="V229" s="486"/>
      <c r="W229" s="43"/>
      <c r="X229" s="43"/>
    </row>
    <row r="230" hidden="1">
      <c r="A230" s="51"/>
      <c r="B230" s="43"/>
      <c r="C230" s="51"/>
      <c r="D230" s="43"/>
      <c r="E230" s="43"/>
      <c r="F230" s="43"/>
      <c r="G230" s="43"/>
      <c r="H230" s="43"/>
      <c r="I230" s="43"/>
      <c r="J230" s="443"/>
      <c r="K230" s="43"/>
      <c r="L230" s="89"/>
      <c r="M230" s="89"/>
      <c r="O230" s="71">
        <f t="shared" si="21"/>
        <v>0</v>
      </c>
      <c r="P230" s="89">
        <f t="shared" si="22"/>
        <v>0</v>
      </c>
      <c r="Q230" s="491" t="str">
        <f>IF(ISBLANK(M230), "", VLOOKUP(A230&amp;" "&amp;B230, 'Info Tipo de Cambio y REM'!$A$24:$B$47, 2, FALSE))</f>
        <v/>
      </c>
      <c r="R230" s="109" t="str">
        <f t="shared" si="1"/>
        <v/>
      </c>
      <c r="S230" s="71" t="str">
        <f t="shared" si="2"/>
        <v/>
      </c>
      <c r="T230" s="71">
        <f t="shared" si="3"/>
        <v>0</v>
      </c>
      <c r="U230" s="43"/>
      <c r="V230" s="486"/>
      <c r="W230" s="43"/>
      <c r="X230" s="43"/>
    </row>
    <row r="231" hidden="1">
      <c r="A231" s="51"/>
      <c r="B231" s="43"/>
      <c r="C231" s="51"/>
      <c r="D231" s="43"/>
      <c r="E231" s="43"/>
      <c r="F231" s="43"/>
      <c r="G231" s="43"/>
      <c r="H231" s="43"/>
      <c r="I231" s="43"/>
      <c r="J231" s="443"/>
      <c r="K231" s="43"/>
      <c r="L231" s="89"/>
      <c r="M231" s="89"/>
      <c r="O231" s="71">
        <f t="shared" si="21"/>
        <v>0</v>
      </c>
      <c r="P231" s="89">
        <f t="shared" si="22"/>
        <v>0</v>
      </c>
      <c r="Q231" s="491" t="str">
        <f>IF(ISBLANK(M231), "", VLOOKUP(A231&amp;" "&amp;B231, 'Info Tipo de Cambio y REM'!$A$24:$B$47, 2, FALSE))</f>
        <v/>
      </c>
      <c r="R231" s="109" t="str">
        <f t="shared" si="1"/>
        <v/>
      </c>
      <c r="S231" s="71" t="str">
        <f t="shared" si="2"/>
        <v/>
      </c>
      <c r="T231" s="71">
        <f t="shared" si="3"/>
        <v>0</v>
      </c>
      <c r="U231" s="43"/>
      <c r="V231" s="486"/>
      <c r="W231" s="43"/>
      <c r="X231" s="43"/>
    </row>
    <row r="232" hidden="1">
      <c r="A232" s="51"/>
      <c r="B232" s="43"/>
      <c r="C232" s="51"/>
      <c r="D232" s="43"/>
      <c r="E232" s="43"/>
      <c r="F232" s="43"/>
      <c r="G232" s="43"/>
      <c r="H232" s="43"/>
      <c r="I232" s="43"/>
      <c r="J232" s="443"/>
      <c r="K232" s="43"/>
      <c r="L232" s="89"/>
      <c r="M232" s="89"/>
      <c r="O232" s="71">
        <f t="shared" si="21"/>
        <v>0</v>
      </c>
      <c r="P232" s="89">
        <f t="shared" si="22"/>
        <v>0</v>
      </c>
      <c r="Q232" s="491" t="str">
        <f>IF(ISBLANK(M232), "", VLOOKUP(A232&amp;" "&amp;B232, 'Info Tipo de Cambio y REM'!$A$24:$B$47, 2, FALSE))</f>
        <v/>
      </c>
      <c r="R232" s="109" t="str">
        <f t="shared" si="1"/>
        <v/>
      </c>
      <c r="S232" s="71" t="str">
        <f t="shared" si="2"/>
        <v/>
      </c>
      <c r="T232" s="71">
        <f t="shared" si="3"/>
        <v>0</v>
      </c>
      <c r="U232" s="43"/>
      <c r="V232" s="486"/>
      <c r="W232" s="43"/>
      <c r="X232" s="43"/>
    </row>
    <row r="233" hidden="1">
      <c r="A233" s="51"/>
      <c r="B233" s="43"/>
      <c r="C233" s="51"/>
      <c r="D233" s="43"/>
      <c r="E233" s="43"/>
      <c r="F233" s="43"/>
      <c r="G233" s="43"/>
      <c r="H233" s="43"/>
      <c r="I233" s="43"/>
      <c r="J233" s="443"/>
      <c r="K233" s="43"/>
      <c r="L233" s="89"/>
      <c r="M233" s="89"/>
      <c r="O233" s="71">
        <f t="shared" si="21"/>
        <v>0</v>
      </c>
      <c r="P233" s="89">
        <f t="shared" si="22"/>
        <v>0</v>
      </c>
      <c r="Q233" s="491" t="str">
        <f>IF(ISBLANK(M233), "", VLOOKUP(A233&amp;" "&amp;B233, 'Info Tipo de Cambio y REM'!$A$24:$B$47, 2, FALSE))</f>
        <v/>
      </c>
      <c r="R233" s="109" t="str">
        <f t="shared" si="1"/>
        <v/>
      </c>
      <c r="S233" s="71" t="str">
        <f t="shared" si="2"/>
        <v/>
      </c>
      <c r="T233" s="71">
        <f t="shared" si="3"/>
        <v>0</v>
      </c>
      <c r="U233" s="43"/>
      <c r="V233" s="486"/>
      <c r="W233" s="43"/>
      <c r="X233" s="43"/>
    </row>
    <row r="234" hidden="1">
      <c r="A234" s="51"/>
      <c r="B234" s="43"/>
      <c r="C234" s="51"/>
      <c r="D234" s="43"/>
      <c r="E234" s="43"/>
      <c r="F234" s="43"/>
      <c r="G234" s="43"/>
      <c r="H234" s="43"/>
      <c r="I234" s="43"/>
      <c r="J234" s="443"/>
      <c r="K234" s="43"/>
      <c r="L234" s="89"/>
      <c r="M234" s="89"/>
      <c r="O234" s="71">
        <f t="shared" si="21"/>
        <v>0</v>
      </c>
      <c r="P234" s="89">
        <f t="shared" si="22"/>
        <v>0</v>
      </c>
      <c r="Q234" s="491" t="str">
        <f>IF(ISBLANK(M234), "", VLOOKUP(A234&amp;" "&amp;B234, 'Info Tipo de Cambio y REM'!$A$24:$B$47, 2, FALSE))</f>
        <v/>
      </c>
      <c r="R234" s="109" t="str">
        <f t="shared" si="1"/>
        <v/>
      </c>
      <c r="S234" s="71" t="str">
        <f t="shared" si="2"/>
        <v/>
      </c>
      <c r="T234" s="71">
        <f t="shared" si="3"/>
        <v>0</v>
      </c>
      <c r="U234" s="43"/>
      <c r="V234" s="486"/>
      <c r="W234" s="43"/>
      <c r="X234" s="43"/>
    </row>
    <row r="235" hidden="1">
      <c r="A235" s="51"/>
      <c r="B235" s="43"/>
      <c r="C235" s="51"/>
      <c r="D235" s="43"/>
      <c r="E235" s="43"/>
      <c r="F235" s="43"/>
      <c r="G235" s="43"/>
      <c r="H235" s="43"/>
      <c r="I235" s="43"/>
      <c r="J235" s="443"/>
      <c r="K235" s="43"/>
      <c r="L235" s="89"/>
      <c r="M235" s="89"/>
      <c r="O235" s="71">
        <f t="shared" si="21"/>
        <v>0</v>
      </c>
      <c r="P235" s="89">
        <f t="shared" si="22"/>
        <v>0</v>
      </c>
      <c r="Q235" s="491" t="str">
        <f>IF(ISBLANK(M235), "", VLOOKUP(A235&amp;" "&amp;B235, 'Info Tipo de Cambio y REM'!$A$24:$B$47, 2, FALSE))</f>
        <v/>
      </c>
      <c r="R235" s="109" t="str">
        <f t="shared" si="1"/>
        <v/>
      </c>
      <c r="S235" s="71" t="str">
        <f t="shared" si="2"/>
        <v/>
      </c>
      <c r="T235" s="71">
        <f t="shared" si="3"/>
        <v>0</v>
      </c>
      <c r="U235" s="43"/>
      <c r="V235" s="486"/>
      <c r="W235" s="43"/>
      <c r="X235" s="43"/>
    </row>
    <row r="236" hidden="1">
      <c r="A236" s="51"/>
      <c r="B236" s="43"/>
      <c r="C236" s="51"/>
      <c r="D236" s="43"/>
      <c r="E236" s="43"/>
      <c r="F236" s="43"/>
      <c r="G236" s="43"/>
      <c r="H236" s="43"/>
      <c r="I236" s="43"/>
      <c r="J236" s="443"/>
      <c r="K236" s="43"/>
      <c r="L236" s="89"/>
      <c r="M236" s="89"/>
      <c r="O236" s="71">
        <f t="shared" si="21"/>
        <v>0</v>
      </c>
      <c r="P236" s="89">
        <f t="shared" si="22"/>
        <v>0</v>
      </c>
      <c r="Q236" s="491" t="str">
        <f>IF(ISBLANK(M236), "", VLOOKUP(A236&amp;" "&amp;B236, 'Info Tipo de Cambio y REM'!$A$24:$B$47, 2, FALSE))</f>
        <v/>
      </c>
      <c r="R236" s="109" t="str">
        <f t="shared" si="1"/>
        <v/>
      </c>
      <c r="S236" s="71" t="str">
        <f t="shared" si="2"/>
        <v/>
      </c>
      <c r="T236" s="71">
        <f t="shared" si="3"/>
        <v>0</v>
      </c>
      <c r="U236" s="43"/>
      <c r="V236" s="486"/>
      <c r="W236" s="43"/>
      <c r="X236" s="43"/>
    </row>
    <row r="237" hidden="1">
      <c r="A237" s="51"/>
      <c r="B237" s="43"/>
      <c r="C237" s="51"/>
      <c r="D237" s="43"/>
      <c r="E237" s="43"/>
      <c r="F237" s="43"/>
      <c r="G237" s="43"/>
      <c r="H237" s="43"/>
      <c r="I237" s="43"/>
      <c r="J237" s="443"/>
      <c r="K237" s="43"/>
      <c r="L237" s="89"/>
      <c r="M237" s="89"/>
      <c r="O237" s="71">
        <f t="shared" si="21"/>
        <v>0</v>
      </c>
      <c r="P237" s="89">
        <f t="shared" si="22"/>
        <v>0</v>
      </c>
      <c r="Q237" s="491" t="str">
        <f>IF(ISBLANK(M237), "", VLOOKUP(A237&amp;" "&amp;B237, 'Info Tipo de Cambio y REM'!$A$24:$B$47, 2, FALSE))</f>
        <v/>
      </c>
      <c r="R237" s="109" t="str">
        <f t="shared" si="1"/>
        <v/>
      </c>
      <c r="S237" s="71" t="str">
        <f t="shared" si="2"/>
        <v/>
      </c>
      <c r="T237" s="71">
        <f t="shared" si="3"/>
        <v>0</v>
      </c>
      <c r="U237" s="43"/>
      <c r="V237" s="486"/>
      <c r="W237" s="43"/>
      <c r="X237" s="43"/>
    </row>
    <row r="238" hidden="1">
      <c r="A238" s="51"/>
      <c r="B238" s="43"/>
      <c r="C238" s="51"/>
      <c r="D238" s="43"/>
      <c r="E238" s="43"/>
      <c r="F238" s="43"/>
      <c r="G238" s="43"/>
      <c r="H238" s="43"/>
      <c r="I238" s="43"/>
      <c r="J238" s="443"/>
      <c r="K238" s="43"/>
      <c r="L238" s="89"/>
      <c r="M238" s="89"/>
      <c r="O238" s="71">
        <f t="shared" si="21"/>
        <v>0</v>
      </c>
      <c r="P238" s="89">
        <f t="shared" si="22"/>
        <v>0</v>
      </c>
      <c r="Q238" s="491" t="str">
        <f>IF(ISBLANK(M238), "", VLOOKUP(A238&amp;" "&amp;B238, 'Info Tipo de Cambio y REM'!$A$24:$B$47, 2, FALSE))</f>
        <v/>
      </c>
      <c r="R238" s="109" t="str">
        <f t="shared" si="1"/>
        <v/>
      </c>
      <c r="S238" s="71" t="str">
        <f t="shared" si="2"/>
        <v/>
      </c>
      <c r="T238" s="71">
        <f t="shared" si="3"/>
        <v>0</v>
      </c>
      <c r="U238" s="43"/>
      <c r="V238" s="486"/>
      <c r="W238" s="43"/>
      <c r="X238" s="43"/>
    </row>
    <row r="239" hidden="1">
      <c r="A239" s="51"/>
      <c r="B239" s="43"/>
      <c r="C239" s="51"/>
      <c r="D239" s="43"/>
      <c r="E239" s="43"/>
      <c r="F239" s="43"/>
      <c r="G239" s="43"/>
      <c r="H239" s="43"/>
      <c r="I239" s="43"/>
      <c r="J239" s="443"/>
      <c r="K239" s="43"/>
      <c r="L239" s="89"/>
      <c r="M239" s="89"/>
      <c r="O239" s="71">
        <f t="shared" si="21"/>
        <v>0</v>
      </c>
      <c r="P239" s="89">
        <f t="shared" si="22"/>
        <v>0</v>
      </c>
      <c r="Q239" s="491" t="str">
        <f>IF(ISBLANK(M239), "", VLOOKUP(A239&amp;" "&amp;B239, 'Info Tipo de Cambio y REM'!$A$24:$B$47, 2, FALSE))</f>
        <v/>
      </c>
      <c r="R239" s="109" t="str">
        <f t="shared" si="1"/>
        <v/>
      </c>
      <c r="S239" s="71" t="str">
        <f t="shared" si="2"/>
        <v/>
      </c>
      <c r="T239" s="71">
        <f t="shared" si="3"/>
        <v>0</v>
      </c>
      <c r="U239" s="43"/>
      <c r="V239" s="486"/>
      <c r="W239" s="43"/>
      <c r="X239" s="43"/>
    </row>
    <row r="240" hidden="1">
      <c r="A240" s="51"/>
      <c r="B240" s="43"/>
      <c r="C240" s="51"/>
      <c r="D240" s="43"/>
      <c r="E240" s="43"/>
      <c r="F240" s="43"/>
      <c r="G240" s="43"/>
      <c r="H240" s="43"/>
      <c r="I240" s="43"/>
      <c r="J240" s="443"/>
      <c r="K240" s="43"/>
      <c r="L240" s="89"/>
      <c r="M240" s="89"/>
      <c r="O240" s="71">
        <f t="shared" si="21"/>
        <v>0</v>
      </c>
      <c r="P240" s="89">
        <f t="shared" si="22"/>
        <v>0</v>
      </c>
      <c r="Q240" s="491" t="str">
        <f>IF(ISBLANK(M240), "", VLOOKUP(A240&amp;" "&amp;B240, 'Info Tipo de Cambio y REM'!$A$24:$B$47, 2, FALSE))</f>
        <v/>
      </c>
      <c r="R240" s="109" t="str">
        <f t="shared" si="1"/>
        <v/>
      </c>
      <c r="S240" s="71" t="str">
        <f t="shared" si="2"/>
        <v/>
      </c>
      <c r="T240" s="71">
        <f t="shared" si="3"/>
        <v>0</v>
      </c>
      <c r="U240" s="43"/>
      <c r="V240" s="486"/>
      <c r="W240" s="43"/>
      <c r="X240" s="43"/>
    </row>
    <row r="241" hidden="1">
      <c r="A241" s="51"/>
      <c r="B241" s="43"/>
      <c r="C241" s="51"/>
      <c r="D241" s="43"/>
      <c r="E241" s="43"/>
      <c r="F241" s="43"/>
      <c r="G241" s="43"/>
      <c r="H241" s="43"/>
      <c r="I241" s="43"/>
      <c r="J241" s="443"/>
      <c r="K241" s="43"/>
      <c r="L241" s="89"/>
      <c r="M241" s="89"/>
      <c r="O241" s="71">
        <f t="shared" si="21"/>
        <v>0</v>
      </c>
      <c r="P241" s="89">
        <f t="shared" si="22"/>
        <v>0</v>
      </c>
      <c r="Q241" s="491" t="str">
        <f>IF(ISBLANK(M241), "", VLOOKUP(A241&amp;" "&amp;B241, 'Info Tipo de Cambio y REM'!$A$24:$B$47, 2, FALSE))</f>
        <v/>
      </c>
      <c r="R241" s="109" t="str">
        <f t="shared" si="1"/>
        <v/>
      </c>
      <c r="S241" s="71" t="str">
        <f t="shared" si="2"/>
        <v/>
      </c>
      <c r="T241" s="71">
        <f t="shared" si="3"/>
        <v>0</v>
      </c>
      <c r="U241" s="43"/>
      <c r="V241" s="486"/>
      <c r="W241" s="43"/>
      <c r="X241" s="43"/>
    </row>
    <row r="242" hidden="1">
      <c r="A242" s="51"/>
      <c r="B242" s="43"/>
      <c r="C242" s="51"/>
      <c r="D242" s="43"/>
      <c r="E242" s="43"/>
      <c r="F242" s="43"/>
      <c r="G242" s="43"/>
      <c r="H242" s="43"/>
      <c r="I242" s="43"/>
      <c r="J242" s="443"/>
      <c r="K242" s="43"/>
      <c r="L242" s="89"/>
      <c r="M242" s="89"/>
      <c r="O242" s="71">
        <f t="shared" si="21"/>
        <v>0</v>
      </c>
      <c r="P242" s="89">
        <f t="shared" si="22"/>
        <v>0</v>
      </c>
      <c r="Q242" s="491" t="str">
        <f>IF(ISBLANK(M242), "", VLOOKUP(A242&amp;" "&amp;B242, 'Info Tipo de Cambio y REM'!$A$24:$B$47, 2, FALSE))</f>
        <v/>
      </c>
      <c r="R242" s="109" t="str">
        <f t="shared" si="1"/>
        <v/>
      </c>
      <c r="S242" s="71" t="str">
        <f t="shared" si="2"/>
        <v/>
      </c>
      <c r="T242" s="71">
        <f t="shared" si="3"/>
        <v>0</v>
      </c>
      <c r="U242" s="43"/>
      <c r="V242" s="486"/>
      <c r="W242" s="43"/>
      <c r="X242" s="43"/>
    </row>
    <row r="243" hidden="1">
      <c r="A243" s="51"/>
      <c r="B243" s="43"/>
      <c r="C243" s="51"/>
      <c r="D243" s="43"/>
      <c r="E243" s="43"/>
      <c r="F243" s="43"/>
      <c r="G243" s="43"/>
      <c r="H243" s="43"/>
      <c r="I243" s="43"/>
      <c r="J243" s="443"/>
      <c r="K243" s="43"/>
      <c r="L243" s="89"/>
      <c r="M243" s="89"/>
      <c r="O243" s="71">
        <f t="shared" si="21"/>
        <v>0</v>
      </c>
      <c r="P243" s="89">
        <f t="shared" si="22"/>
        <v>0</v>
      </c>
      <c r="Q243" s="491" t="str">
        <f>IF(ISBLANK(M243), "", VLOOKUP(A243&amp;" "&amp;B243, 'Info Tipo de Cambio y REM'!$A$24:$B$47, 2, FALSE))</f>
        <v/>
      </c>
      <c r="R243" s="109" t="str">
        <f t="shared" si="1"/>
        <v/>
      </c>
      <c r="S243" s="71" t="str">
        <f t="shared" si="2"/>
        <v/>
      </c>
      <c r="T243" s="71">
        <f t="shared" si="3"/>
        <v>0</v>
      </c>
      <c r="U243" s="43"/>
      <c r="V243" s="486"/>
      <c r="W243" s="43"/>
      <c r="X243" s="43"/>
    </row>
    <row r="244" hidden="1">
      <c r="A244" s="51"/>
      <c r="B244" s="43"/>
      <c r="C244" s="51"/>
      <c r="D244" s="43"/>
      <c r="E244" s="43"/>
      <c r="F244" s="43"/>
      <c r="G244" s="43"/>
      <c r="H244" s="43"/>
      <c r="I244" s="43"/>
      <c r="J244" s="443"/>
      <c r="K244" s="43"/>
      <c r="L244" s="89"/>
      <c r="M244" s="89"/>
      <c r="O244" s="71">
        <f t="shared" si="21"/>
        <v>0</v>
      </c>
      <c r="P244" s="89">
        <f t="shared" si="22"/>
        <v>0</v>
      </c>
      <c r="Q244" s="491" t="str">
        <f>IF(ISBLANK(M244), "", VLOOKUP(A244&amp;" "&amp;B244, 'Info Tipo de Cambio y REM'!$A$24:$B$47, 2, FALSE))</f>
        <v/>
      </c>
      <c r="R244" s="109" t="str">
        <f t="shared" si="1"/>
        <v/>
      </c>
      <c r="S244" s="71" t="str">
        <f t="shared" si="2"/>
        <v/>
      </c>
      <c r="T244" s="71">
        <f t="shared" si="3"/>
        <v>0</v>
      </c>
      <c r="U244" s="43"/>
      <c r="V244" s="486"/>
      <c r="W244" s="43"/>
      <c r="X244" s="43"/>
    </row>
    <row r="245" hidden="1">
      <c r="A245" s="51"/>
      <c r="B245" s="43"/>
      <c r="C245" s="51"/>
      <c r="D245" s="43"/>
      <c r="E245" s="43"/>
      <c r="F245" s="43"/>
      <c r="G245" s="43"/>
      <c r="H245" s="43"/>
      <c r="I245" s="43"/>
      <c r="J245" s="443"/>
      <c r="K245" s="43"/>
      <c r="L245" s="89"/>
      <c r="M245" s="89"/>
      <c r="O245" s="71">
        <f t="shared" si="21"/>
        <v>0</v>
      </c>
      <c r="P245" s="89">
        <f t="shared" si="22"/>
        <v>0</v>
      </c>
      <c r="Q245" s="491" t="str">
        <f>IF(ISBLANK(M245), "", VLOOKUP(A245&amp;" "&amp;B245, 'Info Tipo de Cambio y REM'!$A$24:$B$47, 2, FALSE))</f>
        <v/>
      </c>
      <c r="R245" s="109" t="str">
        <f t="shared" si="1"/>
        <v/>
      </c>
      <c r="S245" s="71" t="str">
        <f t="shared" si="2"/>
        <v/>
      </c>
      <c r="T245" s="71">
        <f t="shared" si="3"/>
        <v>0</v>
      </c>
      <c r="U245" s="43"/>
      <c r="V245" s="486"/>
      <c r="W245" s="43"/>
      <c r="X245" s="43"/>
    </row>
    <row r="246" hidden="1">
      <c r="A246" s="51"/>
      <c r="B246" s="43"/>
      <c r="C246" s="51"/>
      <c r="D246" s="43"/>
      <c r="E246" s="43"/>
      <c r="F246" s="43"/>
      <c r="G246" s="43"/>
      <c r="H246" s="43"/>
      <c r="I246" s="43"/>
      <c r="J246" s="443"/>
      <c r="K246" s="43"/>
      <c r="L246" s="89"/>
      <c r="M246" s="89"/>
      <c r="O246" s="71">
        <f t="shared" si="21"/>
        <v>0</v>
      </c>
      <c r="P246" s="89">
        <f t="shared" si="22"/>
        <v>0</v>
      </c>
      <c r="Q246" s="491" t="str">
        <f>IF(ISBLANK(M246), "", VLOOKUP(A246&amp;" "&amp;B246, 'Info Tipo de Cambio y REM'!$A$24:$B$47, 2, FALSE))</f>
        <v/>
      </c>
      <c r="R246" s="109" t="str">
        <f t="shared" si="1"/>
        <v/>
      </c>
      <c r="S246" s="71" t="str">
        <f t="shared" si="2"/>
        <v/>
      </c>
      <c r="T246" s="71">
        <f t="shared" si="3"/>
        <v>0</v>
      </c>
      <c r="U246" s="43"/>
      <c r="V246" s="486"/>
      <c r="W246" s="43"/>
      <c r="X246" s="43"/>
    </row>
    <row r="247" hidden="1">
      <c r="A247" s="51"/>
      <c r="B247" s="43"/>
      <c r="C247" s="51"/>
      <c r="D247" s="43"/>
      <c r="E247" s="43"/>
      <c r="F247" s="43"/>
      <c r="G247" s="43"/>
      <c r="H247" s="43"/>
      <c r="I247" s="43"/>
      <c r="J247" s="443"/>
      <c r="K247" s="43"/>
      <c r="L247" s="89"/>
      <c r="M247" s="89"/>
      <c r="O247" s="71">
        <f t="shared" si="21"/>
        <v>0</v>
      </c>
      <c r="P247" s="89">
        <f t="shared" si="22"/>
        <v>0</v>
      </c>
      <c r="Q247" s="491" t="str">
        <f>IF(ISBLANK(M247), "", VLOOKUP(A247&amp;" "&amp;B247, 'Info Tipo de Cambio y REM'!$A$24:$B$47, 2, FALSE))</f>
        <v/>
      </c>
      <c r="R247" s="109" t="str">
        <f t="shared" si="1"/>
        <v/>
      </c>
      <c r="S247" s="71" t="str">
        <f t="shared" si="2"/>
        <v/>
      </c>
      <c r="T247" s="71">
        <f t="shared" si="3"/>
        <v>0</v>
      </c>
      <c r="U247" s="43"/>
      <c r="V247" s="486"/>
      <c r="W247" s="43"/>
      <c r="X247" s="43"/>
    </row>
    <row r="248" hidden="1">
      <c r="A248" s="51"/>
      <c r="B248" s="43"/>
      <c r="C248" s="51"/>
      <c r="D248" s="43"/>
      <c r="E248" s="43"/>
      <c r="F248" s="43"/>
      <c r="G248" s="43"/>
      <c r="H248" s="43"/>
      <c r="I248" s="43"/>
      <c r="J248" s="443"/>
      <c r="K248" s="43"/>
      <c r="L248" s="89"/>
      <c r="M248" s="89"/>
      <c r="O248" s="71">
        <f t="shared" si="21"/>
        <v>0</v>
      </c>
      <c r="P248" s="89">
        <f t="shared" si="22"/>
        <v>0</v>
      </c>
      <c r="Q248" s="491" t="str">
        <f>IF(ISBLANK(M248), "", VLOOKUP(A248&amp;" "&amp;B248, 'Info Tipo de Cambio y REM'!$A$24:$B$47, 2, FALSE))</f>
        <v/>
      </c>
      <c r="R248" s="109" t="str">
        <f t="shared" si="1"/>
        <v/>
      </c>
      <c r="S248" s="71" t="str">
        <f t="shared" si="2"/>
        <v/>
      </c>
      <c r="T248" s="71">
        <f t="shared" si="3"/>
        <v>0</v>
      </c>
      <c r="U248" s="43"/>
      <c r="V248" s="486"/>
      <c r="W248" s="43"/>
      <c r="X248" s="43"/>
    </row>
    <row r="249" hidden="1">
      <c r="A249" s="51"/>
      <c r="B249" s="43"/>
      <c r="C249" s="51"/>
      <c r="D249" s="43"/>
      <c r="E249" s="43"/>
      <c r="F249" s="43"/>
      <c r="G249" s="43"/>
      <c r="H249" s="43"/>
      <c r="I249" s="43"/>
      <c r="J249" s="443"/>
      <c r="K249" s="43"/>
      <c r="L249" s="89"/>
      <c r="M249" s="89"/>
      <c r="O249" s="71">
        <f t="shared" si="21"/>
        <v>0</v>
      </c>
      <c r="P249" s="89">
        <f t="shared" si="22"/>
        <v>0</v>
      </c>
      <c r="Q249" s="491" t="str">
        <f>IF(ISBLANK(M249), "", VLOOKUP(A249&amp;" "&amp;B249, 'Info Tipo de Cambio y REM'!$A$24:$B$47, 2, FALSE))</f>
        <v/>
      </c>
      <c r="R249" s="109" t="str">
        <f t="shared" si="1"/>
        <v/>
      </c>
      <c r="S249" s="71" t="str">
        <f t="shared" si="2"/>
        <v/>
      </c>
      <c r="T249" s="71">
        <f t="shared" si="3"/>
        <v>0</v>
      </c>
      <c r="U249" s="43"/>
      <c r="V249" s="486"/>
      <c r="W249" s="43"/>
      <c r="X249" s="43"/>
    </row>
    <row r="250" hidden="1">
      <c r="A250" s="51"/>
      <c r="B250" s="43"/>
      <c r="C250" s="51"/>
      <c r="D250" s="43"/>
      <c r="E250" s="43"/>
      <c r="F250" s="43"/>
      <c r="G250" s="43"/>
      <c r="H250" s="43"/>
      <c r="I250" s="43"/>
      <c r="J250" s="443"/>
      <c r="K250" s="43"/>
      <c r="L250" s="89"/>
      <c r="M250" s="89"/>
      <c r="O250" s="71">
        <f t="shared" si="21"/>
        <v>0</v>
      </c>
      <c r="P250" s="89">
        <f t="shared" si="22"/>
        <v>0</v>
      </c>
      <c r="Q250" s="491" t="str">
        <f>IF(ISBLANK(M250), "", VLOOKUP(A250&amp;" "&amp;B250, 'Info Tipo de Cambio y REM'!$A$24:$B$47, 2, FALSE))</f>
        <v/>
      </c>
      <c r="R250" s="109" t="str">
        <f t="shared" si="1"/>
        <v/>
      </c>
      <c r="S250" s="71" t="str">
        <f t="shared" si="2"/>
        <v/>
      </c>
      <c r="T250" s="71">
        <f t="shared" si="3"/>
        <v>0</v>
      </c>
      <c r="U250" s="43"/>
      <c r="V250" s="486"/>
      <c r="W250" s="43"/>
      <c r="X250" s="43"/>
    </row>
    <row r="251" hidden="1">
      <c r="A251" s="51"/>
      <c r="B251" s="43"/>
      <c r="C251" s="51"/>
      <c r="D251" s="43"/>
      <c r="E251" s="43"/>
      <c r="F251" s="43"/>
      <c r="G251" s="43"/>
      <c r="H251" s="43"/>
      <c r="I251" s="43"/>
      <c r="J251" s="443"/>
      <c r="K251" s="43"/>
      <c r="L251" s="89"/>
      <c r="M251" s="89"/>
      <c r="O251" s="71">
        <f t="shared" si="21"/>
        <v>0</v>
      </c>
      <c r="P251" s="89">
        <f t="shared" si="22"/>
        <v>0</v>
      </c>
      <c r="Q251" s="491" t="str">
        <f>IF(ISBLANK(M251), "", VLOOKUP(A251&amp;" "&amp;B251, 'Info Tipo de Cambio y REM'!$A$24:$B$47, 2, FALSE))</f>
        <v/>
      </c>
      <c r="R251" s="109" t="str">
        <f t="shared" si="1"/>
        <v/>
      </c>
      <c r="S251" s="71" t="str">
        <f t="shared" si="2"/>
        <v/>
      </c>
      <c r="T251" s="71">
        <f t="shared" si="3"/>
        <v>0</v>
      </c>
      <c r="U251" s="43"/>
      <c r="V251" s="486"/>
      <c r="W251" s="43"/>
      <c r="X251" s="43"/>
    </row>
    <row r="252" hidden="1">
      <c r="A252" s="51"/>
      <c r="B252" s="43"/>
      <c r="C252" s="51"/>
      <c r="D252" s="43"/>
      <c r="E252" s="43"/>
      <c r="F252" s="43"/>
      <c r="G252" s="43"/>
      <c r="H252" s="43"/>
      <c r="I252" s="43"/>
      <c r="J252" s="443"/>
      <c r="K252" s="43"/>
      <c r="L252" s="89"/>
      <c r="M252" s="89"/>
      <c r="O252" s="71">
        <f t="shared" si="21"/>
        <v>0</v>
      </c>
      <c r="P252" s="89">
        <f t="shared" si="22"/>
        <v>0</v>
      </c>
      <c r="Q252" s="491" t="str">
        <f>IF(ISBLANK(M252), "", VLOOKUP(A252&amp;" "&amp;B252, 'Info Tipo de Cambio y REM'!$A$24:$B$47, 2, FALSE))</f>
        <v/>
      </c>
      <c r="R252" s="109" t="str">
        <f t="shared" si="1"/>
        <v/>
      </c>
      <c r="S252" s="71" t="str">
        <f t="shared" si="2"/>
        <v/>
      </c>
      <c r="T252" s="71">
        <f t="shared" si="3"/>
        <v>0</v>
      </c>
      <c r="U252" s="43"/>
      <c r="V252" s="486"/>
      <c r="W252" s="43"/>
      <c r="X252" s="43"/>
    </row>
    <row r="253" hidden="1">
      <c r="A253" s="51"/>
      <c r="B253" s="43"/>
      <c r="C253" s="51"/>
      <c r="D253" s="43"/>
      <c r="E253" s="43"/>
      <c r="F253" s="43"/>
      <c r="G253" s="43"/>
      <c r="H253" s="43"/>
      <c r="I253" s="43"/>
      <c r="J253" s="443"/>
      <c r="K253" s="43"/>
      <c r="L253" s="89"/>
      <c r="M253" s="89"/>
      <c r="O253" s="71">
        <f t="shared" si="21"/>
        <v>0</v>
      </c>
      <c r="P253" s="89">
        <f t="shared" si="22"/>
        <v>0</v>
      </c>
      <c r="Q253" s="491" t="str">
        <f>IF(ISBLANK(M253), "", VLOOKUP(A253&amp;" "&amp;B253, 'Info Tipo de Cambio y REM'!$A$24:$B$47, 2, FALSE))</f>
        <v/>
      </c>
      <c r="R253" s="109" t="str">
        <f t="shared" si="1"/>
        <v/>
      </c>
      <c r="S253" s="71" t="str">
        <f t="shared" si="2"/>
        <v/>
      </c>
      <c r="T253" s="71">
        <f t="shared" si="3"/>
        <v>0</v>
      </c>
      <c r="U253" s="43"/>
      <c r="V253" s="486"/>
      <c r="W253" s="43"/>
      <c r="X253" s="43"/>
    </row>
    <row r="254" hidden="1">
      <c r="A254" s="51"/>
      <c r="B254" s="43"/>
      <c r="C254" s="51"/>
      <c r="D254" s="43"/>
      <c r="E254" s="43"/>
      <c r="F254" s="43"/>
      <c r="G254" s="43"/>
      <c r="H254" s="43"/>
      <c r="I254" s="43"/>
      <c r="J254" s="443"/>
      <c r="K254" s="43"/>
      <c r="L254" s="89"/>
      <c r="M254" s="89"/>
      <c r="O254" s="71">
        <f t="shared" si="21"/>
        <v>0</v>
      </c>
      <c r="P254" s="89">
        <f t="shared" si="22"/>
        <v>0</v>
      </c>
      <c r="Q254" s="491" t="str">
        <f>IF(ISBLANK(M254), "", VLOOKUP(A254&amp;" "&amp;B254, 'Info Tipo de Cambio y REM'!$A$24:$B$47, 2, FALSE))</f>
        <v/>
      </c>
      <c r="R254" s="109" t="str">
        <f t="shared" si="1"/>
        <v/>
      </c>
      <c r="S254" s="71" t="str">
        <f t="shared" si="2"/>
        <v/>
      </c>
      <c r="T254" s="71">
        <f t="shared" si="3"/>
        <v>0</v>
      </c>
      <c r="U254" s="43"/>
      <c r="V254" s="486"/>
      <c r="W254" s="43"/>
      <c r="X254" s="43"/>
    </row>
    <row r="255" hidden="1">
      <c r="A255" s="51"/>
      <c r="B255" s="43"/>
      <c r="C255" s="51"/>
      <c r="D255" s="43"/>
      <c r="E255" s="43"/>
      <c r="F255" s="43"/>
      <c r="G255" s="43"/>
      <c r="H255" s="43"/>
      <c r="I255" s="43"/>
      <c r="J255" s="443"/>
      <c r="K255" s="43"/>
      <c r="L255" s="89"/>
      <c r="M255" s="89"/>
      <c r="O255" s="71">
        <f t="shared" si="21"/>
        <v>0</v>
      </c>
      <c r="P255" s="89">
        <f t="shared" si="22"/>
        <v>0</v>
      </c>
      <c r="Q255" s="491" t="str">
        <f>IF(ISBLANK(M255), "", VLOOKUP(A255&amp;" "&amp;B255, 'Info Tipo de Cambio y REM'!$A$24:$B$47, 2, FALSE))</f>
        <v/>
      </c>
      <c r="R255" s="109" t="str">
        <f t="shared" si="1"/>
        <v/>
      </c>
      <c r="S255" s="71" t="str">
        <f t="shared" si="2"/>
        <v/>
      </c>
      <c r="T255" s="71">
        <f t="shared" si="3"/>
        <v>0</v>
      </c>
      <c r="U255" s="43"/>
      <c r="V255" s="486"/>
      <c r="W255" s="43"/>
      <c r="X255" s="43"/>
    </row>
    <row r="256" hidden="1">
      <c r="A256" s="51"/>
      <c r="B256" s="43"/>
      <c r="C256" s="51"/>
      <c r="D256" s="43"/>
      <c r="E256" s="43"/>
      <c r="F256" s="43"/>
      <c r="G256" s="43"/>
      <c r="H256" s="43"/>
      <c r="I256" s="43"/>
      <c r="J256" s="443"/>
      <c r="K256" s="43"/>
      <c r="L256" s="89"/>
      <c r="M256" s="89"/>
      <c r="O256" s="71">
        <f t="shared" si="21"/>
        <v>0</v>
      </c>
      <c r="P256" s="89">
        <f t="shared" si="22"/>
        <v>0</v>
      </c>
      <c r="Q256" s="491" t="str">
        <f>IF(ISBLANK(M256), "", VLOOKUP(A256&amp;" "&amp;B256, 'Info Tipo de Cambio y REM'!$A$24:$B$47, 2, FALSE))</f>
        <v/>
      </c>
      <c r="R256" s="109" t="str">
        <f t="shared" si="1"/>
        <v/>
      </c>
      <c r="S256" s="71" t="str">
        <f t="shared" si="2"/>
        <v/>
      </c>
      <c r="T256" s="71">
        <f t="shared" si="3"/>
        <v>0</v>
      </c>
      <c r="U256" s="43"/>
      <c r="V256" s="486"/>
      <c r="W256" s="43"/>
      <c r="X256" s="43"/>
    </row>
    <row r="257" hidden="1">
      <c r="A257" s="51"/>
      <c r="B257" s="43"/>
      <c r="C257" s="51"/>
      <c r="D257" s="43"/>
      <c r="E257" s="43"/>
      <c r="F257" s="43"/>
      <c r="G257" s="43"/>
      <c r="H257" s="43"/>
      <c r="I257" s="43"/>
      <c r="J257" s="443"/>
      <c r="K257" s="43"/>
      <c r="L257" s="89"/>
      <c r="M257" s="89"/>
      <c r="O257" s="71">
        <f t="shared" si="21"/>
        <v>0</v>
      </c>
      <c r="P257" s="89">
        <f t="shared" si="22"/>
        <v>0</v>
      </c>
      <c r="Q257" s="491" t="str">
        <f>IF(ISBLANK(M257), "", VLOOKUP(A257&amp;" "&amp;B257, 'Info Tipo de Cambio y REM'!$A$24:$B$47, 2, FALSE))</f>
        <v/>
      </c>
      <c r="R257" s="109" t="str">
        <f t="shared" si="1"/>
        <v/>
      </c>
      <c r="S257" s="71" t="str">
        <f t="shared" si="2"/>
        <v/>
      </c>
      <c r="T257" s="71">
        <f t="shared" si="3"/>
        <v>0</v>
      </c>
      <c r="U257" s="43"/>
      <c r="V257" s="486"/>
      <c r="W257" s="43"/>
      <c r="X257" s="43"/>
    </row>
    <row r="258" hidden="1">
      <c r="A258" s="51"/>
      <c r="B258" s="43"/>
      <c r="C258" s="51"/>
      <c r="D258" s="43"/>
      <c r="E258" s="43"/>
      <c r="F258" s="43"/>
      <c r="G258" s="43"/>
      <c r="H258" s="43"/>
      <c r="I258" s="43"/>
      <c r="J258" s="443"/>
      <c r="K258" s="43"/>
      <c r="L258" s="89"/>
      <c r="M258" s="89"/>
      <c r="O258" s="71">
        <f t="shared" si="21"/>
        <v>0</v>
      </c>
      <c r="P258" s="89">
        <f t="shared" si="22"/>
        <v>0</v>
      </c>
      <c r="Q258" s="491" t="str">
        <f>IF(ISBLANK(M258), "", VLOOKUP(A258&amp;" "&amp;B258, 'Info Tipo de Cambio y REM'!$A$24:$B$47, 2, FALSE))</f>
        <v/>
      </c>
      <c r="R258" s="109" t="str">
        <f t="shared" si="1"/>
        <v/>
      </c>
      <c r="S258" s="71" t="str">
        <f t="shared" si="2"/>
        <v/>
      </c>
      <c r="T258" s="71">
        <f t="shared" si="3"/>
        <v>0</v>
      </c>
      <c r="U258" s="43"/>
      <c r="V258" s="486"/>
      <c r="W258" s="43"/>
      <c r="X258" s="43"/>
    </row>
    <row r="259" hidden="1">
      <c r="A259" s="51"/>
      <c r="B259" s="43"/>
      <c r="C259" s="51"/>
      <c r="D259" s="43"/>
      <c r="E259" s="43"/>
      <c r="F259" s="43"/>
      <c r="G259" s="43"/>
      <c r="H259" s="43"/>
      <c r="I259" s="43"/>
      <c r="J259" s="443"/>
      <c r="K259" s="43"/>
      <c r="L259" s="89"/>
      <c r="M259" s="89"/>
      <c r="O259" s="71">
        <f t="shared" si="21"/>
        <v>0</v>
      </c>
      <c r="P259" s="89">
        <f t="shared" si="22"/>
        <v>0</v>
      </c>
      <c r="Q259" s="491" t="str">
        <f>IF(ISBLANK(M259), "", VLOOKUP(A259&amp;" "&amp;B259, 'Info Tipo de Cambio y REM'!$A$24:$B$47, 2, FALSE))</f>
        <v/>
      </c>
      <c r="R259" s="109" t="str">
        <f t="shared" si="1"/>
        <v/>
      </c>
      <c r="S259" s="71" t="str">
        <f t="shared" si="2"/>
        <v/>
      </c>
      <c r="T259" s="71">
        <f t="shared" si="3"/>
        <v>0</v>
      </c>
      <c r="U259" s="43"/>
      <c r="V259" s="486"/>
      <c r="W259" s="43"/>
      <c r="X259" s="43"/>
    </row>
    <row r="260" hidden="1">
      <c r="A260" s="51"/>
      <c r="B260" s="43"/>
      <c r="C260" s="51"/>
      <c r="D260" s="43"/>
      <c r="E260" s="43"/>
      <c r="F260" s="43"/>
      <c r="G260" s="43"/>
      <c r="H260" s="43"/>
      <c r="I260" s="43"/>
      <c r="J260" s="443"/>
      <c r="K260" s="43"/>
      <c r="L260" s="89"/>
      <c r="M260" s="89"/>
      <c r="O260" s="71">
        <f t="shared" si="21"/>
        <v>0</v>
      </c>
      <c r="P260" s="89">
        <f t="shared" si="22"/>
        <v>0</v>
      </c>
      <c r="Q260" s="491" t="str">
        <f>IF(ISBLANK(M260), "", VLOOKUP(A260&amp;" "&amp;B260, 'Info Tipo de Cambio y REM'!$A$24:$B$47, 2, FALSE))</f>
        <v/>
      </c>
      <c r="R260" s="109" t="str">
        <f t="shared" si="1"/>
        <v/>
      </c>
      <c r="S260" s="71" t="str">
        <f t="shared" si="2"/>
        <v/>
      </c>
      <c r="T260" s="71">
        <f t="shared" si="3"/>
        <v>0</v>
      </c>
      <c r="U260" s="43"/>
      <c r="V260" s="486"/>
      <c r="W260" s="43"/>
      <c r="X260" s="43"/>
    </row>
    <row r="261" hidden="1">
      <c r="A261" s="51"/>
      <c r="B261" s="43"/>
      <c r="C261" s="51"/>
      <c r="D261" s="43"/>
      <c r="E261" s="43"/>
      <c r="F261" s="43"/>
      <c r="G261" s="43"/>
      <c r="H261" s="43"/>
      <c r="I261" s="43"/>
      <c r="J261" s="443"/>
      <c r="K261" s="43"/>
      <c r="L261" s="89"/>
      <c r="M261" s="89"/>
      <c r="O261" s="71">
        <f t="shared" si="21"/>
        <v>0</v>
      </c>
      <c r="P261" s="89">
        <f t="shared" si="22"/>
        <v>0</v>
      </c>
      <c r="Q261" s="491" t="str">
        <f>IF(ISBLANK(M261), "", VLOOKUP(A261&amp;" "&amp;B261, 'Info Tipo de Cambio y REM'!$A$24:$B$47, 2, FALSE))</f>
        <v/>
      </c>
      <c r="R261" s="109" t="str">
        <f t="shared" si="1"/>
        <v/>
      </c>
      <c r="S261" s="71" t="str">
        <f t="shared" si="2"/>
        <v/>
      </c>
      <c r="T261" s="71">
        <f t="shared" si="3"/>
        <v>0</v>
      </c>
      <c r="U261" s="43"/>
      <c r="V261" s="486"/>
      <c r="W261" s="43"/>
      <c r="X261" s="43"/>
    </row>
    <row r="262" hidden="1">
      <c r="A262" s="51"/>
      <c r="B262" s="43"/>
      <c r="C262" s="51"/>
      <c r="D262" s="43"/>
      <c r="E262" s="43"/>
      <c r="F262" s="43"/>
      <c r="G262" s="43"/>
      <c r="H262" s="43"/>
      <c r="I262" s="43"/>
      <c r="J262" s="443"/>
      <c r="K262" s="43"/>
      <c r="L262" s="89"/>
      <c r="M262" s="89"/>
      <c r="O262" s="71">
        <f t="shared" si="21"/>
        <v>0</v>
      </c>
      <c r="P262" s="89">
        <f t="shared" si="22"/>
        <v>0</v>
      </c>
      <c r="Q262" s="491" t="str">
        <f>IF(ISBLANK(M262), "", VLOOKUP(A262&amp;" "&amp;B262, 'Info Tipo de Cambio y REM'!$A$24:$B$47, 2, FALSE))</f>
        <v/>
      </c>
      <c r="R262" s="109" t="str">
        <f t="shared" si="1"/>
        <v/>
      </c>
      <c r="S262" s="71" t="str">
        <f t="shared" si="2"/>
        <v/>
      </c>
      <c r="T262" s="71">
        <f t="shared" si="3"/>
        <v>0</v>
      </c>
      <c r="U262" s="43"/>
      <c r="V262" s="486"/>
      <c r="W262" s="43"/>
      <c r="X262" s="43"/>
    </row>
    <row r="263" hidden="1">
      <c r="A263" s="51"/>
      <c r="B263" s="43"/>
      <c r="C263" s="51"/>
      <c r="D263" s="43"/>
      <c r="E263" s="43"/>
      <c r="F263" s="43"/>
      <c r="G263" s="43"/>
      <c r="H263" s="43"/>
      <c r="I263" s="43"/>
      <c r="J263" s="443"/>
      <c r="K263" s="43"/>
      <c r="L263" s="89"/>
      <c r="M263" s="89"/>
      <c r="O263" s="71">
        <f t="shared" si="21"/>
        <v>0</v>
      </c>
      <c r="P263" s="89">
        <f t="shared" si="22"/>
        <v>0</v>
      </c>
      <c r="Q263" s="491" t="str">
        <f>IF(ISBLANK(M263), "", VLOOKUP(A263&amp;" "&amp;B263, 'Info Tipo de Cambio y REM'!$A$24:$B$47, 2, FALSE))</f>
        <v/>
      </c>
      <c r="R263" s="109" t="str">
        <f t="shared" si="1"/>
        <v/>
      </c>
      <c r="S263" s="71" t="str">
        <f t="shared" si="2"/>
        <v/>
      </c>
      <c r="T263" s="71">
        <f t="shared" si="3"/>
        <v>0</v>
      </c>
      <c r="U263" s="43"/>
      <c r="V263" s="486"/>
      <c r="W263" s="43"/>
      <c r="X263" s="43"/>
    </row>
    <row r="264" hidden="1">
      <c r="A264" s="51"/>
      <c r="B264" s="43"/>
      <c r="C264" s="51"/>
      <c r="D264" s="43"/>
      <c r="E264" s="43"/>
      <c r="F264" s="43"/>
      <c r="G264" s="43"/>
      <c r="H264" s="43"/>
      <c r="I264" s="43"/>
      <c r="J264" s="443"/>
      <c r="K264" s="43"/>
      <c r="L264" s="89"/>
      <c r="M264" s="89"/>
      <c r="O264" s="71">
        <f t="shared" si="21"/>
        <v>0</v>
      </c>
      <c r="P264" s="89">
        <f t="shared" si="22"/>
        <v>0</v>
      </c>
      <c r="Q264" s="491" t="str">
        <f>IF(ISBLANK(M264), "", VLOOKUP(A264&amp;" "&amp;B264, 'Info Tipo de Cambio y REM'!$A$24:$B$47, 2, FALSE))</f>
        <v/>
      </c>
      <c r="R264" s="109" t="str">
        <f t="shared" si="1"/>
        <v/>
      </c>
      <c r="S264" s="71" t="str">
        <f t="shared" si="2"/>
        <v/>
      </c>
      <c r="T264" s="71">
        <f t="shared" si="3"/>
        <v>0</v>
      </c>
      <c r="U264" s="43"/>
      <c r="V264" s="486"/>
      <c r="W264" s="43"/>
      <c r="X264" s="43"/>
    </row>
    <row r="265" hidden="1">
      <c r="A265" s="51"/>
      <c r="B265" s="43"/>
      <c r="C265" s="51"/>
      <c r="D265" s="43"/>
      <c r="E265" s="43"/>
      <c r="F265" s="43"/>
      <c r="G265" s="43"/>
      <c r="H265" s="43"/>
      <c r="I265" s="43"/>
      <c r="J265" s="443"/>
      <c r="K265" s="43"/>
      <c r="L265" s="89"/>
      <c r="M265" s="89"/>
      <c r="O265" s="71">
        <f t="shared" si="21"/>
        <v>0</v>
      </c>
      <c r="P265" s="89">
        <f t="shared" si="22"/>
        <v>0</v>
      </c>
      <c r="Q265" s="491" t="str">
        <f>IF(ISBLANK(M265), "", VLOOKUP(A265&amp;" "&amp;B265, 'Info Tipo de Cambio y REM'!$A$24:$B$47, 2, FALSE))</f>
        <v/>
      </c>
      <c r="R265" s="109" t="str">
        <f t="shared" si="1"/>
        <v/>
      </c>
      <c r="S265" s="71" t="str">
        <f t="shared" si="2"/>
        <v/>
      </c>
      <c r="T265" s="71">
        <f t="shared" si="3"/>
        <v>0</v>
      </c>
      <c r="U265" s="43"/>
      <c r="V265" s="486"/>
      <c r="W265" s="43"/>
      <c r="X265" s="43"/>
    </row>
    <row r="266" hidden="1">
      <c r="A266" s="51"/>
      <c r="B266" s="43"/>
      <c r="C266" s="51"/>
      <c r="D266" s="43"/>
      <c r="E266" s="43"/>
      <c r="F266" s="43"/>
      <c r="G266" s="43"/>
      <c r="H266" s="43"/>
      <c r="I266" s="43"/>
      <c r="J266" s="443"/>
      <c r="K266" s="43"/>
      <c r="L266" s="89"/>
      <c r="M266" s="89"/>
      <c r="O266" s="71">
        <f t="shared" si="21"/>
        <v>0</v>
      </c>
      <c r="P266" s="89">
        <f t="shared" si="22"/>
        <v>0</v>
      </c>
      <c r="Q266" s="491" t="str">
        <f>IF(ISBLANK(M266), "", VLOOKUP(A266&amp;" "&amp;B266, 'Info Tipo de Cambio y REM'!$A$24:$B$47, 2, FALSE))</f>
        <v/>
      </c>
      <c r="R266" s="109" t="str">
        <f t="shared" si="1"/>
        <v/>
      </c>
      <c r="S266" s="71" t="str">
        <f t="shared" si="2"/>
        <v/>
      </c>
      <c r="T266" s="71">
        <f t="shared" si="3"/>
        <v>0</v>
      </c>
      <c r="U266" s="43"/>
      <c r="V266" s="486"/>
      <c r="W266" s="43"/>
      <c r="X266" s="43"/>
    </row>
    <row r="267" hidden="1">
      <c r="A267" s="51"/>
      <c r="B267" s="43"/>
      <c r="C267" s="51"/>
      <c r="D267" s="43"/>
      <c r="E267" s="43"/>
      <c r="F267" s="43"/>
      <c r="G267" s="43"/>
      <c r="H267" s="43"/>
      <c r="I267" s="43"/>
      <c r="J267" s="443"/>
      <c r="K267" s="43"/>
      <c r="L267" s="89"/>
      <c r="M267" s="89"/>
      <c r="O267" s="71">
        <f t="shared" si="21"/>
        <v>0</v>
      </c>
      <c r="P267" s="89">
        <f t="shared" si="22"/>
        <v>0</v>
      </c>
      <c r="Q267" s="491" t="str">
        <f>IF(ISBLANK(M267), "", VLOOKUP(A267&amp;" "&amp;B267, 'Info Tipo de Cambio y REM'!$A$24:$B$47, 2, FALSE))</f>
        <v/>
      </c>
      <c r="R267" s="109" t="str">
        <f t="shared" si="1"/>
        <v/>
      </c>
      <c r="S267" s="71" t="str">
        <f t="shared" si="2"/>
        <v/>
      </c>
      <c r="T267" s="71">
        <f t="shared" si="3"/>
        <v>0</v>
      </c>
      <c r="U267" s="43"/>
      <c r="V267" s="486"/>
      <c r="W267" s="43"/>
      <c r="X267" s="43"/>
    </row>
    <row r="268" hidden="1">
      <c r="A268" s="51"/>
      <c r="B268" s="43"/>
      <c r="C268" s="51"/>
      <c r="D268" s="43"/>
      <c r="E268" s="43"/>
      <c r="F268" s="43"/>
      <c r="G268" s="43"/>
      <c r="H268" s="43"/>
      <c r="I268" s="43"/>
      <c r="J268" s="443"/>
      <c r="K268" s="43"/>
      <c r="L268" s="89"/>
      <c r="M268" s="89"/>
      <c r="O268" s="71">
        <f t="shared" si="21"/>
        <v>0</v>
      </c>
      <c r="P268" s="89">
        <f t="shared" si="22"/>
        <v>0</v>
      </c>
      <c r="Q268" s="491" t="str">
        <f>IF(ISBLANK(M268), "", VLOOKUP(A268&amp;" "&amp;B268, 'Info Tipo de Cambio y REM'!$A$24:$B$47, 2, FALSE))</f>
        <v/>
      </c>
      <c r="R268" s="109" t="str">
        <f t="shared" si="1"/>
        <v/>
      </c>
      <c r="S268" s="71" t="str">
        <f t="shared" si="2"/>
        <v/>
      </c>
      <c r="T268" s="71">
        <f t="shared" si="3"/>
        <v>0</v>
      </c>
      <c r="U268" s="43"/>
      <c r="V268" s="486"/>
      <c r="W268" s="43"/>
      <c r="X268" s="43"/>
    </row>
    <row r="269" hidden="1">
      <c r="A269" s="51"/>
      <c r="B269" s="43"/>
      <c r="C269" s="51"/>
      <c r="D269" s="43"/>
      <c r="E269" s="43"/>
      <c r="F269" s="43"/>
      <c r="G269" s="43"/>
      <c r="H269" s="43"/>
      <c r="I269" s="43"/>
      <c r="J269" s="443"/>
      <c r="K269" s="43"/>
      <c r="L269" s="89"/>
      <c r="M269" s="89"/>
      <c r="O269" s="71">
        <f t="shared" si="21"/>
        <v>0</v>
      </c>
      <c r="P269" s="89">
        <f t="shared" si="22"/>
        <v>0</v>
      </c>
      <c r="Q269" s="491" t="str">
        <f>IF(ISBLANK(M269), "", VLOOKUP(A269&amp;" "&amp;B269, 'Info Tipo de Cambio y REM'!$A$24:$B$47, 2, FALSE))</f>
        <v/>
      </c>
      <c r="R269" s="109" t="str">
        <f t="shared" si="1"/>
        <v/>
      </c>
      <c r="S269" s="71" t="str">
        <f t="shared" si="2"/>
        <v/>
      </c>
      <c r="T269" s="71">
        <f t="shared" si="3"/>
        <v>0</v>
      </c>
      <c r="U269" s="43"/>
      <c r="V269" s="486"/>
      <c r="W269" s="43"/>
      <c r="X269" s="43"/>
    </row>
    <row r="270" hidden="1">
      <c r="A270" s="51"/>
      <c r="B270" s="43"/>
      <c r="C270" s="51"/>
      <c r="D270" s="43"/>
      <c r="E270" s="43"/>
      <c r="F270" s="43"/>
      <c r="G270" s="43"/>
      <c r="H270" s="43"/>
      <c r="I270" s="43"/>
      <c r="J270" s="443"/>
      <c r="K270" s="43"/>
      <c r="L270" s="89"/>
      <c r="M270" s="89"/>
      <c r="O270" s="71">
        <f t="shared" si="21"/>
        <v>0</v>
      </c>
      <c r="P270" s="89">
        <f t="shared" si="22"/>
        <v>0</v>
      </c>
      <c r="Q270" s="491" t="str">
        <f>IF(ISBLANK(M270), "", VLOOKUP(A270&amp;" "&amp;B270, 'Info Tipo de Cambio y REM'!$A$24:$B$47, 2, FALSE))</f>
        <v/>
      </c>
      <c r="R270" s="109" t="str">
        <f t="shared" si="1"/>
        <v/>
      </c>
      <c r="S270" s="71" t="str">
        <f t="shared" si="2"/>
        <v/>
      </c>
      <c r="T270" s="71">
        <f t="shared" si="3"/>
        <v>0</v>
      </c>
      <c r="U270" s="43"/>
      <c r="V270" s="486"/>
      <c r="W270" s="43"/>
      <c r="X270" s="43"/>
    </row>
    <row r="271" hidden="1">
      <c r="A271" s="51"/>
      <c r="B271" s="43"/>
      <c r="C271" s="51"/>
      <c r="D271" s="43"/>
      <c r="E271" s="43"/>
      <c r="F271" s="43"/>
      <c r="G271" s="43"/>
      <c r="H271" s="43"/>
      <c r="I271" s="43"/>
      <c r="J271" s="443"/>
      <c r="K271" s="43"/>
      <c r="L271" s="89"/>
      <c r="M271" s="89"/>
      <c r="O271" s="71">
        <f t="shared" si="21"/>
        <v>0</v>
      </c>
      <c r="P271" s="89">
        <f t="shared" si="22"/>
        <v>0</v>
      </c>
      <c r="Q271" s="491" t="str">
        <f>IF(ISBLANK(M271), "", VLOOKUP(A271&amp;" "&amp;B271, 'Info Tipo de Cambio y REM'!$A$24:$B$47, 2, FALSE))</f>
        <v/>
      </c>
      <c r="R271" s="109" t="str">
        <f t="shared" si="1"/>
        <v/>
      </c>
      <c r="S271" s="71" t="str">
        <f t="shared" si="2"/>
        <v/>
      </c>
      <c r="T271" s="71">
        <f t="shared" si="3"/>
        <v>0</v>
      </c>
      <c r="U271" s="43"/>
      <c r="V271" s="486"/>
      <c r="W271" s="43"/>
      <c r="X271" s="43"/>
    </row>
    <row r="272" hidden="1">
      <c r="A272" s="51"/>
      <c r="B272" s="43"/>
      <c r="C272" s="51"/>
      <c r="D272" s="43"/>
      <c r="E272" s="43"/>
      <c r="F272" s="43"/>
      <c r="G272" s="43"/>
      <c r="H272" s="43"/>
      <c r="I272" s="43"/>
      <c r="J272" s="443"/>
      <c r="K272" s="43"/>
      <c r="L272" s="89"/>
      <c r="M272" s="89"/>
      <c r="O272" s="71">
        <f t="shared" si="21"/>
        <v>0</v>
      </c>
      <c r="P272" s="89">
        <f t="shared" si="22"/>
        <v>0</v>
      </c>
      <c r="Q272" s="491" t="str">
        <f>IF(ISBLANK(M272), "", VLOOKUP(A272&amp;" "&amp;B272, 'Info Tipo de Cambio y REM'!$A$24:$B$47, 2, FALSE))</f>
        <v/>
      </c>
      <c r="R272" s="109" t="str">
        <f t="shared" si="1"/>
        <v/>
      </c>
      <c r="S272" s="71" t="str">
        <f t="shared" si="2"/>
        <v/>
      </c>
      <c r="T272" s="71">
        <f t="shared" si="3"/>
        <v>0</v>
      </c>
      <c r="U272" s="43"/>
      <c r="V272" s="486"/>
      <c r="W272" s="43"/>
      <c r="X272" s="43"/>
    </row>
    <row r="273" hidden="1">
      <c r="A273" s="51"/>
      <c r="B273" s="43"/>
      <c r="C273" s="51"/>
      <c r="D273" s="43"/>
      <c r="E273" s="43"/>
      <c r="F273" s="43"/>
      <c r="G273" s="43"/>
      <c r="H273" s="43"/>
      <c r="I273" s="43"/>
      <c r="J273" s="443"/>
      <c r="K273" s="43"/>
      <c r="L273" s="89"/>
      <c r="M273" s="89"/>
      <c r="O273" s="71">
        <f t="shared" si="21"/>
        <v>0</v>
      </c>
      <c r="P273" s="89">
        <f t="shared" si="22"/>
        <v>0</v>
      </c>
      <c r="Q273" s="491" t="str">
        <f>IF(ISBLANK(M273), "", VLOOKUP(A273&amp;" "&amp;B273, 'Info Tipo de Cambio y REM'!$A$24:$B$47, 2, FALSE))</f>
        <v/>
      </c>
      <c r="R273" s="109" t="str">
        <f t="shared" si="1"/>
        <v/>
      </c>
      <c r="S273" s="71" t="str">
        <f t="shared" si="2"/>
        <v/>
      </c>
      <c r="T273" s="71">
        <f t="shared" si="3"/>
        <v>0</v>
      </c>
      <c r="U273" s="43"/>
      <c r="V273" s="486"/>
      <c r="W273" s="43"/>
      <c r="X273" s="43"/>
    </row>
    <row r="274" hidden="1">
      <c r="A274" s="51"/>
      <c r="B274" s="43"/>
      <c r="C274" s="51"/>
      <c r="D274" s="43"/>
      <c r="E274" s="43"/>
      <c r="F274" s="43"/>
      <c r="G274" s="43"/>
      <c r="H274" s="43"/>
      <c r="I274" s="43"/>
      <c r="J274" s="443"/>
      <c r="K274" s="43"/>
      <c r="L274" s="89"/>
      <c r="M274" s="89"/>
      <c r="O274" s="71">
        <f t="shared" si="21"/>
        <v>0</v>
      </c>
      <c r="P274" s="89">
        <f t="shared" si="22"/>
        <v>0</v>
      </c>
      <c r="Q274" s="491" t="str">
        <f>IF(ISBLANK(M274), "", VLOOKUP(A274&amp;" "&amp;B274, 'Info Tipo de Cambio y REM'!$A$24:$B$47, 2, FALSE))</f>
        <v/>
      </c>
      <c r="R274" s="109" t="str">
        <f t="shared" si="1"/>
        <v/>
      </c>
      <c r="S274" s="71" t="str">
        <f t="shared" si="2"/>
        <v/>
      </c>
      <c r="T274" s="71">
        <f t="shared" si="3"/>
        <v>0</v>
      </c>
      <c r="U274" s="43"/>
      <c r="V274" s="486"/>
      <c r="W274" s="43"/>
      <c r="X274" s="43"/>
    </row>
    <row r="275" hidden="1">
      <c r="A275" s="51"/>
      <c r="B275" s="43"/>
      <c r="C275" s="51"/>
      <c r="D275" s="43"/>
      <c r="E275" s="43"/>
      <c r="F275" s="43"/>
      <c r="G275" s="43"/>
      <c r="H275" s="43"/>
      <c r="I275" s="43"/>
      <c r="J275" s="443"/>
      <c r="K275" s="43"/>
      <c r="L275" s="89"/>
      <c r="M275" s="89"/>
      <c r="O275" s="71">
        <f t="shared" si="21"/>
        <v>0</v>
      </c>
      <c r="P275" s="89">
        <f t="shared" si="22"/>
        <v>0</v>
      </c>
      <c r="Q275" s="491" t="str">
        <f>IF(ISBLANK(M275), "", VLOOKUP(A275&amp;" "&amp;B275, 'Info Tipo de Cambio y REM'!$A$24:$B$47, 2, FALSE))</f>
        <v/>
      </c>
      <c r="R275" s="109" t="str">
        <f t="shared" si="1"/>
        <v/>
      </c>
      <c r="S275" s="71" t="str">
        <f t="shared" si="2"/>
        <v/>
      </c>
      <c r="T275" s="71">
        <f t="shared" si="3"/>
        <v>0</v>
      </c>
      <c r="U275" s="43"/>
      <c r="V275" s="486"/>
      <c r="W275" s="43"/>
      <c r="X275" s="43"/>
    </row>
    <row r="276" hidden="1">
      <c r="A276" s="51"/>
      <c r="B276" s="43"/>
      <c r="C276" s="51"/>
      <c r="D276" s="43"/>
      <c r="E276" s="43"/>
      <c r="F276" s="43"/>
      <c r="G276" s="43"/>
      <c r="H276" s="43"/>
      <c r="I276" s="43"/>
      <c r="J276" s="443"/>
      <c r="K276" s="43"/>
      <c r="L276" s="89"/>
      <c r="M276" s="89"/>
      <c r="O276" s="71">
        <f t="shared" si="21"/>
        <v>0</v>
      </c>
      <c r="P276" s="89">
        <f t="shared" si="22"/>
        <v>0</v>
      </c>
      <c r="Q276" s="491" t="str">
        <f>IF(ISBLANK(M276), "", VLOOKUP(A276&amp;" "&amp;B276, 'Info Tipo de Cambio y REM'!$A$24:$B$47, 2, FALSE))</f>
        <v/>
      </c>
      <c r="R276" s="109" t="str">
        <f t="shared" si="1"/>
        <v/>
      </c>
      <c r="S276" s="71" t="str">
        <f t="shared" si="2"/>
        <v/>
      </c>
      <c r="T276" s="71">
        <f t="shared" si="3"/>
        <v>0</v>
      </c>
      <c r="U276" s="43"/>
      <c r="V276" s="486"/>
      <c r="W276" s="43"/>
      <c r="X276" s="43"/>
    </row>
    <row r="277" hidden="1">
      <c r="A277" s="51"/>
      <c r="B277" s="43"/>
      <c r="C277" s="51"/>
      <c r="D277" s="43"/>
      <c r="E277" s="43"/>
      <c r="F277" s="43"/>
      <c r="G277" s="43"/>
      <c r="H277" s="43"/>
      <c r="I277" s="43"/>
      <c r="J277" s="443"/>
      <c r="K277" s="43"/>
      <c r="L277" s="89"/>
      <c r="M277" s="89"/>
      <c r="O277" s="71">
        <f t="shared" si="21"/>
        <v>0</v>
      </c>
      <c r="P277" s="89">
        <f t="shared" si="22"/>
        <v>0</v>
      </c>
      <c r="Q277" s="491" t="str">
        <f>IF(ISBLANK(M277), "", VLOOKUP(A277&amp;" "&amp;B277, 'Info Tipo de Cambio y REM'!$A$24:$B$47, 2, FALSE))</f>
        <v/>
      </c>
      <c r="R277" s="109" t="str">
        <f t="shared" si="1"/>
        <v/>
      </c>
      <c r="S277" s="71" t="str">
        <f t="shared" si="2"/>
        <v/>
      </c>
      <c r="T277" s="71">
        <f t="shared" si="3"/>
        <v>0</v>
      </c>
      <c r="U277" s="43"/>
      <c r="V277" s="486"/>
      <c r="W277" s="43"/>
      <c r="X277" s="43"/>
    </row>
    <row r="278" hidden="1">
      <c r="A278" s="51"/>
      <c r="B278" s="43"/>
      <c r="C278" s="51"/>
      <c r="D278" s="43"/>
      <c r="E278" s="43"/>
      <c r="F278" s="43"/>
      <c r="G278" s="43"/>
      <c r="H278" s="43"/>
      <c r="I278" s="43"/>
      <c r="J278" s="443"/>
      <c r="K278" s="43"/>
      <c r="L278" s="89"/>
      <c r="M278" s="89"/>
      <c r="O278" s="71">
        <f t="shared" si="21"/>
        <v>0</v>
      </c>
      <c r="P278" s="89">
        <f t="shared" si="22"/>
        <v>0</v>
      </c>
      <c r="Q278" s="491" t="str">
        <f>IF(ISBLANK(M278), "", VLOOKUP(A278&amp;" "&amp;B278, 'Info Tipo de Cambio y REM'!$A$24:$B$47, 2, FALSE))</f>
        <v/>
      </c>
      <c r="R278" s="109" t="str">
        <f t="shared" si="1"/>
        <v/>
      </c>
      <c r="S278" s="71" t="str">
        <f t="shared" si="2"/>
        <v/>
      </c>
      <c r="T278" s="71">
        <f t="shared" si="3"/>
        <v>0</v>
      </c>
      <c r="U278" s="43"/>
      <c r="V278" s="486"/>
      <c r="W278" s="43"/>
      <c r="X278" s="43"/>
    </row>
    <row r="279" hidden="1">
      <c r="A279" s="51"/>
      <c r="B279" s="43"/>
      <c r="C279" s="51"/>
      <c r="D279" s="43"/>
      <c r="E279" s="43"/>
      <c r="F279" s="43"/>
      <c r="G279" s="43"/>
      <c r="H279" s="43"/>
      <c r="I279" s="43"/>
      <c r="J279" s="443"/>
      <c r="K279" s="43"/>
      <c r="L279" s="89"/>
      <c r="M279" s="89"/>
      <c r="O279" s="71">
        <f t="shared" si="21"/>
        <v>0</v>
      </c>
      <c r="P279" s="89">
        <f t="shared" si="22"/>
        <v>0</v>
      </c>
      <c r="Q279" s="491" t="str">
        <f>IF(ISBLANK(M279), "", VLOOKUP(A279&amp;" "&amp;B279, 'Info Tipo de Cambio y REM'!$A$24:$B$47, 2, FALSE))</f>
        <v/>
      </c>
      <c r="R279" s="109" t="str">
        <f t="shared" si="1"/>
        <v/>
      </c>
      <c r="S279" s="71" t="str">
        <f t="shared" si="2"/>
        <v/>
      </c>
      <c r="T279" s="71">
        <f t="shared" si="3"/>
        <v>0</v>
      </c>
      <c r="U279" s="43"/>
      <c r="V279" s="486"/>
      <c r="W279" s="43"/>
      <c r="X279" s="43"/>
    </row>
    <row r="280" hidden="1">
      <c r="A280" s="51"/>
      <c r="B280" s="43"/>
      <c r="C280" s="51"/>
      <c r="D280" s="43"/>
      <c r="E280" s="43"/>
      <c r="F280" s="43"/>
      <c r="G280" s="43"/>
      <c r="H280" s="43"/>
      <c r="I280" s="43"/>
      <c r="J280" s="443"/>
      <c r="K280" s="43"/>
      <c r="L280" s="89"/>
      <c r="M280" s="89"/>
      <c r="O280" s="71">
        <f t="shared" si="21"/>
        <v>0</v>
      </c>
      <c r="P280" s="89">
        <f t="shared" si="22"/>
        <v>0</v>
      </c>
      <c r="Q280" s="491" t="str">
        <f>IF(ISBLANK(M280), "", VLOOKUP(A280&amp;" "&amp;B280, 'Info Tipo de Cambio y REM'!$A$24:$B$47, 2, FALSE))</f>
        <v/>
      </c>
      <c r="R280" s="109" t="str">
        <f t="shared" si="1"/>
        <v/>
      </c>
      <c r="S280" s="71" t="str">
        <f t="shared" si="2"/>
        <v/>
      </c>
      <c r="T280" s="71">
        <f t="shared" si="3"/>
        <v>0</v>
      </c>
      <c r="U280" s="43"/>
      <c r="V280" s="486"/>
      <c r="W280" s="43"/>
      <c r="X280" s="43"/>
    </row>
    <row r="281" hidden="1">
      <c r="A281" s="51"/>
      <c r="B281" s="43"/>
      <c r="C281" s="51"/>
      <c r="D281" s="43"/>
      <c r="E281" s="43"/>
      <c r="F281" s="43"/>
      <c r="G281" s="43"/>
      <c r="H281" s="43"/>
      <c r="I281" s="43"/>
      <c r="J281" s="443"/>
      <c r="K281" s="43"/>
      <c r="L281" s="89"/>
      <c r="M281" s="89"/>
      <c r="O281" s="71">
        <f t="shared" si="21"/>
        <v>0</v>
      </c>
      <c r="P281" s="89">
        <f t="shared" si="22"/>
        <v>0</v>
      </c>
      <c r="Q281" s="491" t="str">
        <f>IF(ISBLANK(M281), "", VLOOKUP(A281&amp;" "&amp;B281, 'Info Tipo de Cambio y REM'!$A$24:$B$47, 2, FALSE))</f>
        <v/>
      </c>
      <c r="R281" s="109" t="str">
        <f t="shared" si="1"/>
        <v/>
      </c>
      <c r="S281" s="71" t="str">
        <f t="shared" si="2"/>
        <v/>
      </c>
      <c r="T281" s="71">
        <f t="shared" si="3"/>
        <v>0</v>
      </c>
      <c r="U281" s="43"/>
      <c r="V281" s="486"/>
      <c r="W281" s="43"/>
      <c r="X281" s="43"/>
    </row>
    <row r="282" hidden="1">
      <c r="A282" s="51"/>
      <c r="B282" s="43"/>
      <c r="C282" s="51"/>
      <c r="D282" s="43"/>
      <c r="E282" s="43"/>
      <c r="F282" s="43"/>
      <c r="G282" s="43"/>
      <c r="H282" s="43"/>
      <c r="I282" s="43"/>
      <c r="J282" s="443"/>
      <c r="K282" s="43"/>
      <c r="L282" s="89"/>
      <c r="M282" s="89"/>
      <c r="O282" s="71">
        <f t="shared" si="21"/>
        <v>0</v>
      </c>
      <c r="P282" s="89">
        <f t="shared" si="22"/>
        <v>0</v>
      </c>
      <c r="Q282" s="491" t="str">
        <f>IF(ISBLANK(M282), "", VLOOKUP(A282&amp;" "&amp;B282, 'Info Tipo de Cambio y REM'!$A$24:$B$47, 2, FALSE))</f>
        <v/>
      </c>
      <c r="R282" s="109" t="str">
        <f t="shared" si="1"/>
        <v/>
      </c>
      <c r="S282" s="71" t="str">
        <f t="shared" si="2"/>
        <v/>
      </c>
      <c r="T282" s="71">
        <f t="shared" si="3"/>
        <v>0</v>
      </c>
      <c r="U282" s="43"/>
      <c r="V282" s="486"/>
      <c r="W282" s="43"/>
      <c r="X282" s="43"/>
    </row>
    <row r="283" hidden="1">
      <c r="A283" s="51"/>
      <c r="B283" s="43"/>
      <c r="C283" s="51"/>
      <c r="D283" s="43"/>
      <c r="E283" s="43"/>
      <c r="F283" s="43"/>
      <c r="G283" s="43"/>
      <c r="H283" s="43"/>
      <c r="I283" s="43"/>
      <c r="J283" s="443"/>
      <c r="K283" s="43"/>
      <c r="L283" s="89"/>
      <c r="M283" s="89"/>
      <c r="O283" s="71">
        <f t="shared" si="21"/>
        <v>0</v>
      </c>
      <c r="P283" s="89">
        <f t="shared" si="22"/>
        <v>0</v>
      </c>
      <c r="Q283" s="491" t="str">
        <f>IF(ISBLANK(M283), "", VLOOKUP(A283&amp;" "&amp;B283, 'Info Tipo de Cambio y REM'!$A$24:$B$47, 2, FALSE))</f>
        <v/>
      </c>
      <c r="R283" s="109" t="str">
        <f t="shared" si="1"/>
        <v/>
      </c>
      <c r="S283" s="71" t="str">
        <f t="shared" si="2"/>
        <v/>
      </c>
      <c r="T283" s="71">
        <f t="shared" si="3"/>
        <v>0</v>
      </c>
      <c r="U283" s="43"/>
      <c r="V283" s="486"/>
      <c r="W283" s="43"/>
      <c r="X283" s="43"/>
    </row>
    <row r="284" hidden="1">
      <c r="A284" s="51"/>
      <c r="B284" s="43"/>
      <c r="C284" s="51"/>
      <c r="D284" s="43"/>
      <c r="E284" s="43"/>
      <c r="F284" s="43"/>
      <c r="G284" s="43"/>
      <c r="H284" s="43"/>
      <c r="I284" s="43"/>
      <c r="J284" s="443"/>
      <c r="K284" s="43"/>
      <c r="L284" s="89"/>
      <c r="M284" s="89"/>
      <c r="O284" s="71">
        <f t="shared" si="21"/>
        <v>0</v>
      </c>
      <c r="P284" s="89">
        <f t="shared" si="22"/>
        <v>0</v>
      </c>
      <c r="Q284" s="491" t="str">
        <f>IF(ISBLANK(M284), "", VLOOKUP(A284&amp;" "&amp;B284, 'Info Tipo de Cambio y REM'!$A$24:$B$47, 2, FALSE))</f>
        <v/>
      </c>
      <c r="R284" s="109" t="str">
        <f t="shared" si="1"/>
        <v/>
      </c>
      <c r="S284" s="71" t="str">
        <f t="shared" si="2"/>
        <v/>
      </c>
      <c r="T284" s="71">
        <f t="shared" si="3"/>
        <v>0</v>
      </c>
      <c r="U284" s="43"/>
      <c r="V284" s="486"/>
      <c r="W284" s="43"/>
      <c r="X284" s="43"/>
    </row>
    <row r="285" hidden="1">
      <c r="A285" s="51"/>
      <c r="B285" s="43"/>
      <c r="C285" s="51"/>
      <c r="D285" s="43"/>
      <c r="E285" s="43"/>
      <c r="F285" s="43"/>
      <c r="G285" s="43"/>
      <c r="H285" s="43"/>
      <c r="I285" s="43"/>
      <c r="J285" s="443"/>
      <c r="K285" s="43"/>
      <c r="L285" s="89"/>
      <c r="M285" s="89"/>
      <c r="O285" s="71">
        <f t="shared" si="21"/>
        <v>0</v>
      </c>
      <c r="P285" s="89">
        <f t="shared" si="22"/>
        <v>0</v>
      </c>
      <c r="Q285" s="491" t="str">
        <f>IF(ISBLANK(M285), "", VLOOKUP(A285&amp;" "&amp;B285, 'Info Tipo de Cambio y REM'!$A$24:$B$47, 2, FALSE))</f>
        <v/>
      </c>
      <c r="R285" s="109" t="str">
        <f t="shared" si="1"/>
        <v/>
      </c>
      <c r="S285" s="71" t="str">
        <f t="shared" si="2"/>
        <v/>
      </c>
      <c r="T285" s="71">
        <f t="shared" si="3"/>
        <v>0</v>
      </c>
      <c r="U285" s="43"/>
      <c r="V285" s="486"/>
      <c r="W285" s="43"/>
      <c r="X285" s="43"/>
    </row>
    <row r="286" hidden="1">
      <c r="A286" s="51"/>
      <c r="B286" s="43"/>
      <c r="C286" s="51"/>
      <c r="D286" s="43"/>
      <c r="E286" s="43"/>
      <c r="F286" s="43"/>
      <c r="G286" s="43"/>
      <c r="H286" s="43"/>
      <c r="I286" s="43"/>
      <c r="J286" s="443"/>
      <c r="K286" s="43"/>
      <c r="L286" s="89"/>
      <c r="M286" s="89"/>
      <c r="O286" s="71">
        <f t="shared" si="21"/>
        <v>0</v>
      </c>
      <c r="P286" s="89">
        <f t="shared" si="22"/>
        <v>0</v>
      </c>
      <c r="Q286" s="491" t="str">
        <f>IF(ISBLANK(M286), "", VLOOKUP(A286&amp;" "&amp;B286, 'Info Tipo de Cambio y REM'!$A$24:$B$47, 2, FALSE))</f>
        <v/>
      </c>
      <c r="R286" s="109" t="str">
        <f t="shared" si="1"/>
        <v/>
      </c>
      <c r="S286" s="71" t="str">
        <f t="shared" si="2"/>
        <v/>
      </c>
      <c r="T286" s="71">
        <f t="shared" si="3"/>
        <v>0</v>
      </c>
      <c r="U286" s="43"/>
      <c r="V286" s="486"/>
      <c r="W286" s="43"/>
      <c r="X286" s="43"/>
    </row>
    <row r="287" hidden="1">
      <c r="A287" s="51"/>
      <c r="B287" s="43"/>
      <c r="C287" s="51"/>
      <c r="D287" s="43"/>
      <c r="E287" s="43"/>
      <c r="F287" s="43"/>
      <c r="G287" s="43"/>
      <c r="H287" s="43"/>
      <c r="I287" s="43"/>
      <c r="J287" s="443"/>
      <c r="K287" s="43"/>
      <c r="L287" s="89"/>
      <c r="M287" s="89"/>
      <c r="O287" s="71">
        <f t="shared" si="21"/>
        <v>0</v>
      </c>
      <c r="P287" s="89">
        <f t="shared" si="22"/>
        <v>0</v>
      </c>
      <c r="Q287" s="491" t="str">
        <f>IF(ISBLANK(M287), "", VLOOKUP(A287&amp;" "&amp;B287, 'Info Tipo de Cambio y REM'!$A$24:$B$47, 2, FALSE))</f>
        <v/>
      </c>
      <c r="R287" s="109" t="str">
        <f t="shared" si="1"/>
        <v/>
      </c>
      <c r="S287" s="71" t="str">
        <f t="shared" si="2"/>
        <v/>
      </c>
      <c r="T287" s="71">
        <f t="shared" si="3"/>
        <v>0</v>
      </c>
      <c r="U287" s="43"/>
      <c r="V287" s="486"/>
      <c r="W287" s="43"/>
      <c r="X287" s="43"/>
    </row>
    <row r="288" hidden="1">
      <c r="A288" s="51"/>
      <c r="B288" s="43"/>
      <c r="C288" s="51"/>
      <c r="D288" s="43"/>
      <c r="E288" s="43"/>
      <c r="F288" s="43"/>
      <c r="G288" s="43"/>
      <c r="H288" s="43"/>
      <c r="I288" s="43"/>
      <c r="J288" s="443"/>
      <c r="K288" s="43"/>
      <c r="L288" s="89"/>
      <c r="M288" s="89"/>
      <c r="O288" s="71">
        <f t="shared" si="21"/>
        <v>0</v>
      </c>
      <c r="P288" s="89">
        <f t="shared" si="22"/>
        <v>0</v>
      </c>
      <c r="Q288" s="491" t="str">
        <f>IF(ISBLANK(M288), "", VLOOKUP(A288&amp;" "&amp;B288, 'Info Tipo de Cambio y REM'!$A$24:$B$47, 2, FALSE))</f>
        <v/>
      </c>
      <c r="R288" s="109" t="str">
        <f t="shared" si="1"/>
        <v/>
      </c>
      <c r="S288" s="71" t="str">
        <f t="shared" si="2"/>
        <v/>
      </c>
      <c r="T288" s="71">
        <f t="shared" si="3"/>
        <v>0</v>
      </c>
      <c r="U288" s="43"/>
      <c r="V288" s="486"/>
      <c r="W288" s="43"/>
      <c r="X288" s="43"/>
    </row>
    <row r="289" hidden="1">
      <c r="A289" s="51"/>
      <c r="B289" s="43"/>
      <c r="C289" s="51"/>
      <c r="D289" s="43"/>
      <c r="E289" s="43"/>
      <c r="F289" s="43"/>
      <c r="G289" s="43"/>
      <c r="H289" s="43"/>
      <c r="I289" s="43"/>
      <c r="J289" s="443"/>
      <c r="K289" s="43"/>
      <c r="L289" s="89"/>
      <c r="M289" s="89"/>
      <c r="O289" s="71">
        <f t="shared" si="21"/>
        <v>0</v>
      </c>
      <c r="P289" s="89">
        <f t="shared" si="22"/>
        <v>0</v>
      </c>
      <c r="Q289" s="491" t="str">
        <f>IF(ISBLANK(M289), "", VLOOKUP(A289&amp;" "&amp;B289, 'Info Tipo de Cambio y REM'!$A$24:$B$47, 2, FALSE))</f>
        <v/>
      </c>
      <c r="R289" s="109" t="str">
        <f t="shared" si="1"/>
        <v/>
      </c>
      <c r="S289" s="71" t="str">
        <f t="shared" si="2"/>
        <v/>
      </c>
      <c r="T289" s="71">
        <f t="shared" si="3"/>
        <v>0</v>
      </c>
      <c r="U289" s="43"/>
      <c r="V289" s="486"/>
      <c r="W289" s="43"/>
      <c r="X289" s="43"/>
    </row>
    <row r="290" hidden="1">
      <c r="A290" s="51"/>
      <c r="B290" s="43"/>
      <c r="C290" s="51"/>
      <c r="D290" s="43"/>
      <c r="E290" s="43"/>
      <c r="F290" s="43"/>
      <c r="G290" s="43"/>
      <c r="H290" s="43"/>
      <c r="I290" s="43"/>
      <c r="J290" s="443"/>
      <c r="K290" s="43"/>
      <c r="L290" s="89"/>
      <c r="M290" s="89"/>
      <c r="O290" s="71">
        <f t="shared" si="21"/>
        <v>0</v>
      </c>
      <c r="P290" s="89">
        <f t="shared" si="22"/>
        <v>0</v>
      </c>
      <c r="Q290" s="491" t="str">
        <f>IF(ISBLANK(M290), "", VLOOKUP(A290&amp;" "&amp;B290, 'Info Tipo de Cambio y REM'!$A$24:$B$47, 2, FALSE))</f>
        <v/>
      </c>
      <c r="R290" s="109" t="str">
        <f t="shared" si="1"/>
        <v/>
      </c>
      <c r="S290" s="71" t="str">
        <f t="shared" si="2"/>
        <v/>
      </c>
      <c r="T290" s="71">
        <f t="shared" si="3"/>
        <v>0</v>
      </c>
      <c r="U290" s="43"/>
      <c r="V290" s="486"/>
      <c r="W290" s="43"/>
      <c r="X290" s="43"/>
    </row>
    <row r="291" hidden="1">
      <c r="A291" s="51"/>
      <c r="B291" s="43"/>
      <c r="C291" s="51"/>
      <c r="D291" s="43"/>
      <c r="E291" s="43"/>
      <c r="F291" s="43"/>
      <c r="G291" s="43"/>
      <c r="H291" s="43"/>
      <c r="I291" s="43"/>
      <c r="J291" s="443"/>
      <c r="K291" s="43"/>
      <c r="L291" s="89"/>
      <c r="M291" s="89"/>
      <c r="O291" s="71">
        <f t="shared" si="21"/>
        <v>0</v>
      </c>
      <c r="P291" s="89">
        <f t="shared" si="22"/>
        <v>0</v>
      </c>
      <c r="Q291" s="491" t="str">
        <f>IF(ISBLANK(M291), "", VLOOKUP(A291&amp;" "&amp;B291, 'Info Tipo de Cambio y REM'!$A$24:$B$47, 2, FALSE))</f>
        <v/>
      </c>
      <c r="R291" s="109" t="str">
        <f t="shared" si="1"/>
        <v/>
      </c>
      <c r="S291" s="71" t="str">
        <f t="shared" si="2"/>
        <v/>
      </c>
      <c r="T291" s="71">
        <f t="shared" si="3"/>
        <v>0</v>
      </c>
      <c r="U291" s="43"/>
      <c r="V291" s="486"/>
      <c r="W291" s="43"/>
      <c r="X291" s="43"/>
    </row>
    <row r="292" hidden="1">
      <c r="A292" s="51"/>
      <c r="B292" s="43"/>
      <c r="C292" s="51"/>
      <c r="D292" s="43"/>
      <c r="E292" s="43"/>
      <c r="F292" s="43"/>
      <c r="G292" s="43"/>
      <c r="H292" s="43"/>
      <c r="I292" s="43"/>
      <c r="J292" s="443"/>
      <c r="K292" s="43"/>
      <c r="L292" s="89"/>
      <c r="M292" s="89"/>
      <c r="O292" s="71">
        <f t="shared" si="21"/>
        <v>0</v>
      </c>
      <c r="P292" s="89">
        <f t="shared" si="22"/>
        <v>0</v>
      </c>
      <c r="Q292" s="491" t="str">
        <f>IF(ISBLANK(M292), "", VLOOKUP(A292&amp;" "&amp;B292, 'Info Tipo de Cambio y REM'!$A$24:$B$47, 2, FALSE))</f>
        <v/>
      </c>
      <c r="R292" s="109" t="str">
        <f t="shared" si="1"/>
        <v/>
      </c>
      <c r="S292" s="71" t="str">
        <f t="shared" si="2"/>
        <v/>
      </c>
      <c r="T292" s="71">
        <f t="shared" si="3"/>
        <v>0</v>
      </c>
      <c r="U292" s="43"/>
      <c r="V292" s="486"/>
      <c r="W292" s="43"/>
      <c r="X292" s="43"/>
    </row>
    <row r="293" hidden="1">
      <c r="A293" s="51"/>
      <c r="B293" s="43"/>
      <c r="C293" s="51"/>
      <c r="D293" s="43"/>
      <c r="E293" s="43"/>
      <c r="F293" s="43"/>
      <c r="G293" s="43"/>
      <c r="H293" s="43"/>
      <c r="I293" s="43"/>
      <c r="J293" s="443"/>
      <c r="K293" s="43"/>
      <c r="L293" s="89"/>
      <c r="M293" s="89"/>
      <c r="O293" s="71">
        <f t="shared" si="21"/>
        <v>0</v>
      </c>
      <c r="P293" s="89">
        <f t="shared" si="22"/>
        <v>0</v>
      </c>
      <c r="Q293" s="491" t="str">
        <f>IF(ISBLANK(M293), "", VLOOKUP(A293&amp;" "&amp;B293, 'Info Tipo de Cambio y REM'!$A$24:$B$47, 2, FALSE))</f>
        <v/>
      </c>
      <c r="R293" s="109" t="str">
        <f t="shared" si="1"/>
        <v/>
      </c>
      <c r="S293" s="71" t="str">
        <f t="shared" si="2"/>
        <v/>
      </c>
      <c r="T293" s="71">
        <f t="shared" si="3"/>
        <v>0</v>
      </c>
      <c r="U293" s="43"/>
      <c r="V293" s="486"/>
      <c r="W293" s="43"/>
      <c r="X293" s="43"/>
    </row>
    <row r="294" hidden="1">
      <c r="A294" s="51"/>
      <c r="B294" s="43"/>
      <c r="C294" s="51"/>
      <c r="D294" s="43"/>
      <c r="E294" s="43"/>
      <c r="F294" s="43"/>
      <c r="G294" s="43"/>
      <c r="H294" s="43"/>
      <c r="I294" s="43"/>
      <c r="J294" s="443"/>
      <c r="K294" s="43"/>
      <c r="L294" s="89"/>
      <c r="M294" s="89"/>
      <c r="O294" s="71">
        <f t="shared" si="21"/>
        <v>0</v>
      </c>
      <c r="P294" s="89">
        <f t="shared" si="22"/>
        <v>0</v>
      </c>
      <c r="Q294" s="491" t="str">
        <f>IF(ISBLANK(M294), "", VLOOKUP(A294&amp;" "&amp;B294, 'Info Tipo de Cambio y REM'!$A$24:$B$47, 2, FALSE))</f>
        <v/>
      </c>
      <c r="R294" s="109" t="str">
        <f t="shared" si="1"/>
        <v/>
      </c>
      <c r="S294" s="71" t="str">
        <f t="shared" si="2"/>
        <v/>
      </c>
      <c r="T294" s="71">
        <f t="shared" si="3"/>
        <v>0</v>
      </c>
      <c r="U294" s="43"/>
      <c r="V294" s="486"/>
      <c r="W294" s="43"/>
      <c r="X294" s="43"/>
    </row>
    <row r="295" hidden="1">
      <c r="A295" s="51"/>
      <c r="B295" s="43"/>
      <c r="C295" s="51"/>
      <c r="D295" s="43"/>
      <c r="E295" s="43"/>
      <c r="F295" s="43"/>
      <c r="G295" s="43"/>
      <c r="H295" s="43"/>
      <c r="I295" s="43"/>
      <c r="J295" s="443"/>
      <c r="K295" s="43"/>
      <c r="L295" s="89"/>
      <c r="M295" s="89"/>
      <c r="O295" s="71">
        <f t="shared" si="21"/>
        <v>0</v>
      </c>
      <c r="P295" s="89">
        <f t="shared" si="22"/>
        <v>0</v>
      </c>
      <c r="Q295" s="491" t="str">
        <f>IF(ISBLANK(M295), "", VLOOKUP(A295&amp;" "&amp;B295, 'Info Tipo de Cambio y REM'!$A$24:$B$47, 2, FALSE))</f>
        <v/>
      </c>
      <c r="R295" s="109" t="str">
        <f t="shared" si="1"/>
        <v/>
      </c>
      <c r="S295" s="71" t="str">
        <f t="shared" si="2"/>
        <v/>
      </c>
      <c r="T295" s="71">
        <f t="shared" si="3"/>
        <v>0</v>
      </c>
      <c r="U295" s="43"/>
      <c r="V295" s="486"/>
      <c r="W295" s="43"/>
      <c r="X295" s="43"/>
    </row>
    <row r="296" hidden="1">
      <c r="A296" s="51"/>
      <c r="B296" s="43"/>
      <c r="C296" s="51"/>
      <c r="D296" s="43"/>
      <c r="E296" s="43"/>
      <c r="F296" s="43"/>
      <c r="G296" s="43"/>
      <c r="H296" s="43"/>
      <c r="I296" s="43"/>
      <c r="J296" s="443"/>
      <c r="K296" s="43"/>
      <c r="L296" s="89"/>
      <c r="M296" s="89"/>
      <c r="O296" s="71">
        <f t="shared" si="21"/>
        <v>0</v>
      </c>
      <c r="P296" s="89">
        <f t="shared" si="22"/>
        <v>0</v>
      </c>
      <c r="Q296" s="491" t="str">
        <f>IF(ISBLANK(M296), "", VLOOKUP(A296&amp;" "&amp;B296, 'Info Tipo de Cambio y REM'!$A$24:$B$47, 2, FALSE))</f>
        <v/>
      </c>
      <c r="R296" s="109" t="str">
        <f t="shared" si="1"/>
        <v/>
      </c>
      <c r="S296" s="71" t="str">
        <f t="shared" si="2"/>
        <v/>
      </c>
      <c r="T296" s="71">
        <f t="shared" si="3"/>
        <v>0</v>
      </c>
      <c r="U296" s="43"/>
      <c r="V296" s="486"/>
      <c r="W296" s="43"/>
      <c r="X296" s="43"/>
    </row>
    <row r="297" hidden="1">
      <c r="A297" s="51"/>
      <c r="B297" s="43"/>
      <c r="C297" s="51"/>
      <c r="D297" s="43"/>
      <c r="E297" s="43"/>
      <c r="F297" s="43"/>
      <c r="G297" s="43"/>
      <c r="H297" s="43"/>
      <c r="I297" s="43"/>
      <c r="J297" s="443"/>
      <c r="K297" s="43"/>
      <c r="L297" s="89"/>
      <c r="M297" s="89"/>
      <c r="O297" s="71">
        <f t="shared" si="21"/>
        <v>0</v>
      </c>
      <c r="P297" s="89">
        <f t="shared" si="22"/>
        <v>0</v>
      </c>
      <c r="Q297" s="491" t="str">
        <f>IF(ISBLANK(M297), "", VLOOKUP(A297&amp;" "&amp;B297, 'Info Tipo de Cambio y REM'!$A$24:$B$47, 2, FALSE))</f>
        <v/>
      </c>
      <c r="R297" s="109" t="str">
        <f t="shared" si="1"/>
        <v/>
      </c>
      <c r="S297" s="71" t="str">
        <f t="shared" si="2"/>
        <v/>
      </c>
      <c r="T297" s="71">
        <f t="shared" si="3"/>
        <v>0</v>
      </c>
      <c r="U297" s="43"/>
      <c r="V297" s="486"/>
      <c r="W297" s="43"/>
      <c r="X297" s="43"/>
    </row>
    <row r="298" hidden="1">
      <c r="A298" s="51"/>
      <c r="B298" s="43"/>
      <c r="C298" s="51"/>
      <c r="D298" s="43"/>
      <c r="E298" s="43"/>
      <c r="F298" s="43"/>
      <c r="G298" s="43"/>
      <c r="H298" s="43"/>
      <c r="I298" s="43"/>
      <c r="J298" s="443"/>
      <c r="K298" s="43"/>
      <c r="L298" s="89"/>
      <c r="M298" s="89"/>
      <c r="O298" s="71">
        <f t="shared" si="21"/>
        <v>0</v>
      </c>
      <c r="P298" s="89">
        <f t="shared" si="22"/>
        <v>0</v>
      </c>
      <c r="Q298" s="491" t="str">
        <f>IF(ISBLANK(M298), "", VLOOKUP(A298&amp;" "&amp;B298, 'Info Tipo de Cambio y REM'!$A$24:$B$47, 2, FALSE))</f>
        <v/>
      </c>
      <c r="R298" s="109" t="str">
        <f t="shared" si="1"/>
        <v/>
      </c>
      <c r="S298" s="71" t="str">
        <f t="shared" si="2"/>
        <v/>
      </c>
      <c r="T298" s="71">
        <f t="shared" si="3"/>
        <v>0</v>
      </c>
      <c r="U298" s="43"/>
      <c r="V298" s="486"/>
      <c r="W298" s="43"/>
      <c r="X298" s="43"/>
    </row>
    <row r="299" hidden="1">
      <c r="A299" s="51"/>
      <c r="B299" s="43"/>
      <c r="C299" s="51"/>
      <c r="D299" s="43"/>
      <c r="E299" s="43"/>
      <c r="F299" s="43"/>
      <c r="G299" s="43"/>
      <c r="H299" s="43"/>
      <c r="I299" s="43"/>
      <c r="J299" s="443"/>
      <c r="K299" s="43"/>
      <c r="L299" s="89"/>
      <c r="M299" s="89"/>
      <c r="O299" s="71">
        <f t="shared" si="21"/>
        <v>0</v>
      </c>
      <c r="P299" s="89">
        <f t="shared" si="22"/>
        <v>0</v>
      </c>
      <c r="Q299" s="491" t="str">
        <f>IF(ISBLANK(M299), "", VLOOKUP(A299&amp;" "&amp;B299, 'Info Tipo de Cambio y REM'!$A$24:$B$47, 2, FALSE))</f>
        <v/>
      </c>
      <c r="R299" s="109" t="str">
        <f t="shared" si="1"/>
        <v/>
      </c>
      <c r="S299" s="71" t="str">
        <f t="shared" si="2"/>
        <v/>
      </c>
      <c r="T299" s="71">
        <f t="shared" si="3"/>
        <v>0</v>
      </c>
      <c r="U299" s="43"/>
      <c r="V299" s="486"/>
      <c r="W299" s="43"/>
      <c r="X299" s="43"/>
    </row>
    <row r="300" hidden="1">
      <c r="A300" s="51"/>
      <c r="B300" s="43"/>
      <c r="C300" s="51"/>
      <c r="D300" s="43"/>
      <c r="E300" s="43"/>
      <c r="F300" s="43"/>
      <c r="G300" s="43"/>
      <c r="H300" s="43"/>
      <c r="I300" s="43"/>
      <c r="J300" s="443"/>
      <c r="K300" s="43"/>
      <c r="L300" s="89"/>
      <c r="M300" s="89"/>
      <c r="O300" s="71">
        <f t="shared" si="21"/>
        <v>0</v>
      </c>
      <c r="P300" s="89">
        <f t="shared" si="22"/>
        <v>0</v>
      </c>
      <c r="Q300" s="491" t="str">
        <f>IF(ISBLANK(M300), "", VLOOKUP(A300&amp;" "&amp;B300, 'Info Tipo de Cambio y REM'!$A$24:$B$47, 2, FALSE))</f>
        <v/>
      </c>
      <c r="R300" s="109" t="str">
        <f t="shared" si="1"/>
        <v/>
      </c>
      <c r="S300" s="71" t="str">
        <f t="shared" si="2"/>
        <v/>
      </c>
      <c r="T300" s="71">
        <f t="shared" si="3"/>
        <v>0</v>
      </c>
      <c r="U300" s="43"/>
      <c r="V300" s="486"/>
      <c r="W300" s="43"/>
      <c r="X300" s="43"/>
    </row>
    <row r="301" hidden="1">
      <c r="A301" s="51"/>
      <c r="B301" s="43"/>
      <c r="C301" s="51"/>
      <c r="D301" s="43"/>
      <c r="E301" s="43"/>
      <c r="F301" s="43"/>
      <c r="G301" s="43"/>
      <c r="H301" s="43"/>
      <c r="I301" s="43"/>
      <c r="J301" s="443"/>
      <c r="K301" s="43"/>
      <c r="L301" s="89"/>
      <c r="M301" s="89"/>
      <c r="O301" s="71">
        <f t="shared" si="21"/>
        <v>0</v>
      </c>
      <c r="P301" s="89">
        <f t="shared" si="22"/>
        <v>0</v>
      </c>
      <c r="Q301" s="491" t="str">
        <f>IF(ISBLANK(M301), "", VLOOKUP(A301&amp;" "&amp;B301, 'Info Tipo de Cambio y REM'!$A$24:$B$47, 2, FALSE))</f>
        <v/>
      </c>
      <c r="R301" s="109" t="str">
        <f t="shared" si="1"/>
        <v/>
      </c>
      <c r="S301" s="71" t="str">
        <f t="shared" si="2"/>
        <v/>
      </c>
      <c r="T301" s="71">
        <f t="shared" si="3"/>
        <v>0</v>
      </c>
      <c r="U301" s="43"/>
      <c r="V301" s="486"/>
      <c r="W301" s="43"/>
      <c r="X301" s="43"/>
    </row>
    <row r="302" hidden="1">
      <c r="A302" s="51"/>
      <c r="B302" s="43"/>
      <c r="C302" s="51"/>
      <c r="D302" s="43"/>
      <c r="E302" s="43"/>
      <c r="F302" s="43"/>
      <c r="G302" s="43"/>
      <c r="H302" s="43"/>
      <c r="I302" s="43"/>
      <c r="J302" s="443"/>
      <c r="K302" s="43"/>
      <c r="L302" s="89"/>
      <c r="M302" s="89"/>
      <c r="O302" s="71">
        <f t="shared" si="21"/>
        <v>0</v>
      </c>
      <c r="P302" s="89">
        <f t="shared" si="22"/>
        <v>0</v>
      </c>
      <c r="Q302" s="491" t="str">
        <f>IF(ISBLANK(M302), "", VLOOKUP(A302&amp;" "&amp;B302, 'Info Tipo de Cambio y REM'!$A$24:$B$47, 2, FALSE))</f>
        <v/>
      </c>
      <c r="R302" s="109" t="str">
        <f t="shared" si="1"/>
        <v/>
      </c>
      <c r="S302" s="71" t="str">
        <f t="shared" si="2"/>
        <v/>
      </c>
      <c r="T302" s="71">
        <f t="shared" si="3"/>
        <v>0</v>
      </c>
      <c r="U302" s="43"/>
      <c r="V302" s="486"/>
      <c r="W302" s="43"/>
      <c r="X302" s="43"/>
    </row>
    <row r="303" hidden="1">
      <c r="A303" s="51"/>
      <c r="B303" s="43"/>
      <c r="C303" s="51"/>
      <c r="D303" s="43"/>
      <c r="E303" s="43"/>
      <c r="F303" s="43"/>
      <c r="G303" s="43"/>
      <c r="H303" s="43"/>
      <c r="I303" s="43"/>
      <c r="J303" s="443"/>
      <c r="K303" s="43"/>
      <c r="L303" s="89"/>
      <c r="M303" s="89"/>
      <c r="O303" s="71">
        <f t="shared" si="21"/>
        <v>0</v>
      </c>
      <c r="P303" s="89">
        <f t="shared" si="22"/>
        <v>0</v>
      </c>
      <c r="Q303" s="491" t="str">
        <f>IF(ISBLANK(M303), "", VLOOKUP(A303&amp;" "&amp;B303, 'Info Tipo de Cambio y REM'!$A$24:$B$47, 2, FALSE))</f>
        <v/>
      </c>
      <c r="R303" s="109" t="str">
        <f t="shared" si="1"/>
        <v/>
      </c>
      <c r="S303" s="71" t="str">
        <f t="shared" si="2"/>
        <v/>
      </c>
      <c r="T303" s="71">
        <f t="shared" si="3"/>
        <v>0</v>
      </c>
      <c r="U303" s="43"/>
      <c r="V303" s="486"/>
      <c r="W303" s="43"/>
      <c r="X303" s="43"/>
    </row>
    <row r="304" hidden="1">
      <c r="A304" s="51"/>
      <c r="B304" s="43"/>
      <c r="C304" s="51"/>
      <c r="D304" s="43"/>
      <c r="E304" s="43"/>
      <c r="F304" s="43"/>
      <c r="G304" s="43"/>
      <c r="H304" s="43"/>
      <c r="I304" s="43"/>
      <c r="J304" s="443"/>
      <c r="K304" s="43"/>
      <c r="L304" s="89"/>
      <c r="M304" s="89"/>
      <c r="O304" s="71">
        <f t="shared" si="21"/>
        <v>0</v>
      </c>
      <c r="P304" s="89">
        <f t="shared" si="22"/>
        <v>0</v>
      </c>
      <c r="Q304" s="491" t="str">
        <f>IF(ISBLANK(M304), "", VLOOKUP(A304&amp;" "&amp;B304, 'Info Tipo de Cambio y REM'!$A$24:$B$47, 2, FALSE))</f>
        <v/>
      </c>
      <c r="R304" s="109" t="str">
        <f t="shared" si="1"/>
        <v/>
      </c>
      <c r="S304" s="71" t="str">
        <f t="shared" si="2"/>
        <v/>
      </c>
      <c r="T304" s="71">
        <f t="shared" si="3"/>
        <v>0</v>
      </c>
      <c r="U304" s="43"/>
      <c r="V304" s="486"/>
      <c r="W304" s="43"/>
      <c r="X304" s="43"/>
    </row>
    <row r="305" hidden="1">
      <c r="A305" s="51"/>
      <c r="B305" s="43"/>
      <c r="C305" s="51"/>
      <c r="D305" s="43"/>
      <c r="E305" s="43"/>
      <c r="F305" s="43"/>
      <c r="G305" s="43"/>
      <c r="H305" s="43"/>
      <c r="I305" s="43"/>
      <c r="J305" s="443"/>
      <c r="K305" s="43"/>
      <c r="L305" s="89"/>
      <c r="M305" s="89"/>
      <c r="O305" s="71">
        <f t="shared" si="21"/>
        <v>0</v>
      </c>
      <c r="P305" s="89">
        <f t="shared" si="22"/>
        <v>0</v>
      </c>
      <c r="Q305" s="491" t="str">
        <f>IF(ISBLANK(M305), "", VLOOKUP(A305&amp;" "&amp;B305, 'Info Tipo de Cambio y REM'!$A$24:$B$47, 2, FALSE))</f>
        <v/>
      </c>
      <c r="R305" s="109" t="str">
        <f t="shared" si="1"/>
        <v/>
      </c>
      <c r="S305" s="71" t="str">
        <f t="shared" si="2"/>
        <v/>
      </c>
      <c r="T305" s="71">
        <f t="shared" si="3"/>
        <v>0</v>
      </c>
      <c r="U305" s="43"/>
      <c r="V305" s="486"/>
      <c r="W305" s="43"/>
      <c r="X305" s="43"/>
    </row>
    <row r="306" hidden="1">
      <c r="A306" s="51"/>
      <c r="B306" s="43"/>
      <c r="C306" s="51"/>
      <c r="D306" s="43"/>
      <c r="E306" s="43"/>
      <c r="F306" s="43"/>
      <c r="G306" s="43"/>
      <c r="H306" s="43"/>
      <c r="I306" s="43"/>
      <c r="J306" s="443"/>
      <c r="K306" s="43"/>
      <c r="L306" s="89"/>
      <c r="M306" s="89"/>
      <c r="O306" s="71">
        <f t="shared" si="21"/>
        <v>0</v>
      </c>
      <c r="P306" s="89">
        <f t="shared" si="22"/>
        <v>0</v>
      </c>
      <c r="Q306" s="491" t="str">
        <f>IF(ISBLANK(M306), "", VLOOKUP(A306&amp;" "&amp;B306, 'Info Tipo de Cambio y REM'!$A$24:$B$47, 2, FALSE))</f>
        <v/>
      </c>
      <c r="R306" s="109" t="str">
        <f t="shared" si="1"/>
        <v/>
      </c>
      <c r="S306" s="71" t="str">
        <f t="shared" si="2"/>
        <v/>
      </c>
      <c r="T306" s="71">
        <f t="shared" si="3"/>
        <v>0</v>
      </c>
      <c r="U306" s="43"/>
      <c r="V306" s="486"/>
      <c r="W306" s="43"/>
      <c r="X306" s="43"/>
    </row>
    <row r="307" hidden="1">
      <c r="A307" s="51"/>
      <c r="B307" s="43"/>
      <c r="C307" s="51"/>
      <c r="D307" s="43"/>
      <c r="E307" s="43"/>
      <c r="F307" s="43"/>
      <c r="G307" s="43"/>
      <c r="H307" s="43"/>
      <c r="I307" s="43"/>
      <c r="J307" s="443"/>
      <c r="K307" s="43"/>
      <c r="L307" s="89"/>
      <c r="M307" s="89"/>
      <c r="O307" s="71">
        <f t="shared" si="21"/>
        <v>0</v>
      </c>
      <c r="P307" s="89">
        <f t="shared" si="22"/>
        <v>0</v>
      </c>
      <c r="Q307" s="491" t="str">
        <f>IF(ISBLANK(M307), "", VLOOKUP(A307&amp;" "&amp;B307, 'Info Tipo de Cambio y REM'!$A$24:$B$47, 2, FALSE))</f>
        <v/>
      </c>
      <c r="R307" s="109" t="str">
        <f t="shared" si="1"/>
        <v/>
      </c>
      <c r="S307" s="71" t="str">
        <f t="shared" si="2"/>
        <v/>
      </c>
      <c r="T307" s="71">
        <f t="shared" si="3"/>
        <v>0</v>
      </c>
      <c r="U307" s="43"/>
      <c r="V307" s="486"/>
      <c r="W307" s="43"/>
      <c r="X307" s="43"/>
    </row>
    <row r="308" hidden="1">
      <c r="A308" s="51"/>
      <c r="B308" s="43"/>
      <c r="C308" s="51"/>
      <c r="D308" s="43"/>
      <c r="E308" s="43"/>
      <c r="F308" s="43"/>
      <c r="G308" s="43"/>
      <c r="H308" s="43"/>
      <c r="I308" s="43"/>
      <c r="J308" s="443"/>
      <c r="K308" s="43"/>
      <c r="L308" s="89"/>
      <c r="M308" s="89"/>
      <c r="O308" s="71">
        <f t="shared" si="21"/>
        <v>0</v>
      </c>
      <c r="P308" s="89">
        <f t="shared" si="22"/>
        <v>0</v>
      </c>
      <c r="Q308" s="491" t="str">
        <f>IF(ISBLANK(M308), "", VLOOKUP(A308&amp;" "&amp;B308, 'Info Tipo de Cambio y REM'!$A$24:$B$47, 2, FALSE))</f>
        <v/>
      </c>
      <c r="R308" s="109" t="str">
        <f t="shared" si="1"/>
        <v/>
      </c>
      <c r="S308" s="71" t="str">
        <f t="shared" si="2"/>
        <v/>
      </c>
      <c r="T308" s="71">
        <f t="shared" si="3"/>
        <v>0</v>
      </c>
      <c r="U308" s="43"/>
      <c r="V308" s="486"/>
      <c r="W308" s="43"/>
      <c r="X308" s="43"/>
    </row>
    <row r="309" hidden="1">
      <c r="A309" s="51"/>
      <c r="B309" s="43"/>
      <c r="C309" s="51"/>
      <c r="D309" s="43"/>
      <c r="E309" s="43"/>
      <c r="F309" s="43"/>
      <c r="G309" s="43"/>
      <c r="H309" s="43"/>
      <c r="I309" s="43"/>
      <c r="J309" s="443"/>
      <c r="K309" s="43"/>
      <c r="L309" s="89"/>
      <c r="M309" s="89"/>
      <c r="O309" s="71">
        <f t="shared" si="21"/>
        <v>0</v>
      </c>
      <c r="P309" s="89">
        <f t="shared" si="22"/>
        <v>0</v>
      </c>
      <c r="Q309" s="491" t="str">
        <f>IF(ISBLANK(M309), "", VLOOKUP(A309&amp;" "&amp;B309, 'Info Tipo de Cambio y REM'!$A$24:$B$47, 2, FALSE))</f>
        <v/>
      </c>
      <c r="R309" s="109" t="str">
        <f t="shared" si="1"/>
        <v/>
      </c>
      <c r="S309" s="71" t="str">
        <f t="shared" si="2"/>
        <v/>
      </c>
      <c r="T309" s="71">
        <f t="shared" si="3"/>
        <v>0</v>
      </c>
      <c r="U309" s="43"/>
      <c r="V309" s="486"/>
      <c r="W309" s="43"/>
      <c r="X309" s="43"/>
    </row>
    <row r="310" hidden="1">
      <c r="A310" s="51"/>
      <c r="B310" s="43"/>
      <c r="C310" s="51"/>
      <c r="D310" s="43"/>
      <c r="E310" s="43"/>
      <c r="F310" s="43"/>
      <c r="G310" s="43"/>
      <c r="H310" s="43"/>
      <c r="I310" s="43"/>
      <c r="J310" s="443"/>
      <c r="K310" s="43"/>
      <c r="L310" s="89"/>
      <c r="M310" s="89"/>
      <c r="O310" s="71">
        <f t="shared" si="21"/>
        <v>0</v>
      </c>
      <c r="P310" s="89">
        <f t="shared" si="22"/>
        <v>0</v>
      </c>
      <c r="Q310" s="491" t="str">
        <f>IF(ISBLANK(M310), "", VLOOKUP(A310&amp;" "&amp;B310, 'Info Tipo de Cambio y REM'!$A$24:$B$47, 2, FALSE))</f>
        <v/>
      </c>
      <c r="R310" s="109" t="str">
        <f t="shared" si="1"/>
        <v/>
      </c>
      <c r="S310" s="71" t="str">
        <f t="shared" si="2"/>
        <v/>
      </c>
      <c r="T310" s="71">
        <f t="shared" si="3"/>
        <v>0</v>
      </c>
      <c r="U310" s="43"/>
      <c r="V310" s="486"/>
      <c r="W310" s="43"/>
      <c r="X310" s="43"/>
    </row>
    <row r="311" hidden="1">
      <c r="A311" s="51"/>
      <c r="B311" s="43"/>
      <c r="C311" s="51"/>
      <c r="D311" s="43"/>
      <c r="E311" s="43"/>
      <c r="F311" s="43"/>
      <c r="G311" s="43"/>
      <c r="H311" s="43"/>
      <c r="I311" s="43"/>
      <c r="J311" s="443"/>
      <c r="K311" s="43"/>
      <c r="L311" s="89"/>
      <c r="M311" s="89"/>
      <c r="O311" s="71">
        <f t="shared" si="21"/>
        <v>0</v>
      </c>
      <c r="P311" s="89">
        <f t="shared" si="22"/>
        <v>0</v>
      </c>
      <c r="Q311" s="491" t="str">
        <f>IF(ISBLANK(M311), "", VLOOKUP(A311&amp;" "&amp;B311, 'Info Tipo de Cambio y REM'!$A$24:$B$47, 2, FALSE))</f>
        <v/>
      </c>
      <c r="R311" s="109" t="str">
        <f t="shared" si="1"/>
        <v/>
      </c>
      <c r="S311" s="71" t="str">
        <f t="shared" si="2"/>
        <v/>
      </c>
      <c r="T311" s="71">
        <f t="shared" si="3"/>
        <v>0</v>
      </c>
      <c r="U311" s="43"/>
      <c r="V311" s="486"/>
      <c r="W311" s="43"/>
      <c r="X311" s="43"/>
    </row>
    <row r="312" hidden="1">
      <c r="A312" s="51"/>
      <c r="B312" s="43"/>
      <c r="C312" s="51"/>
      <c r="D312" s="43"/>
      <c r="E312" s="43"/>
      <c r="F312" s="43"/>
      <c r="G312" s="43"/>
      <c r="H312" s="43"/>
      <c r="I312" s="43"/>
      <c r="J312" s="443"/>
      <c r="K312" s="43"/>
      <c r="L312" s="89"/>
      <c r="M312" s="89"/>
      <c r="O312" s="71">
        <f t="shared" si="21"/>
        <v>0</v>
      </c>
      <c r="P312" s="89">
        <f t="shared" si="22"/>
        <v>0</v>
      </c>
      <c r="Q312" s="491" t="str">
        <f>IF(ISBLANK(M312), "", VLOOKUP(A312&amp;" "&amp;B312, 'Info Tipo de Cambio y REM'!$A$24:$B$47, 2, FALSE))</f>
        <v/>
      </c>
      <c r="R312" s="109" t="str">
        <f t="shared" si="1"/>
        <v/>
      </c>
      <c r="S312" s="71" t="str">
        <f t="shared" si="2"/>
        <v/>
      </c>
      <c r="T312" s="71">
        <f t="shared" si="3"/>
        <v>0</v>
      </c>
      <c r="U312" s="43"/>
      <c r="V312" s="486"/>
      <c r="W312" s="43"/>
      <c r="X312" s="43"/>
    </row>
    <row r="313" hidden="1">
      <c r="A313" s="51"/>
      <c r="B313" s="43"/>
      <c r="C313" s="51"/>
      <c r="D313" s="43"/>
      <c r="E313" s="43"/>
      <c r="F313" s="43"/>
      <c r="G313" s="43"/>
      <c r="H313" s="43"/>
      <c r="I313" s="43"/>
      <c r="J313" s="443"/>
      <c r="K313" s="43"/>
      <c r="L313" s="89"/>
      <c r="M313" s="89"/>
      <c r="O313" s="71">
        <f t="shared" si="21"/>
        <v>0</v>
      </c>
      <c r="P313" s="89">
        <f t="shared" si="22"/>
        <v>0</v>
      </c>
      <c r="Q313" s="491" t="str">
        <f>IF(ISBLANK(M313), "", VLOOKUP(A313&amp;" "&amp;B313, 'Info Tipo de Cambio y REM'!$A$24:$B$47, 2, FALSE))</f>
        <v/>
      </c>
      <c r="R313" s="109" t="str">
        <f t="shared" si="1"/>
        <v/>
      </c>
      <c r="S313" s="71" t="str">
        <f t="shared" si="2"/>
        <v/>
      </c>
      <c r="T313" s="71">
        <f t="shared" si="3"/>
        <v>0</v>
      </c>
      <c r="U313" s="43"/>
      <c r="V313" s="486"/>
      <c r="W313" s="43"/>
      <c r="X313" s="43"/>
    </row>
    <row r="314" hidden="1">
      <c r="A314" s="51"/>
      <c r="B314" s="43"/>
      <c r="C314" s="51"/>
      <c r="D314" s="43"/>
      <c r="E314" s="43"/>
      <c r="F314" s="43"/>
      <c r="G314" s="43"/>
      <c r="H314" s="43"/>
      <c r="I314" s="43"/>
      <c r="J314" s="443"/>
      <c r="K314" s="43"/>
      <c r="L314" s="89"/>
      <c r="M314" s="89"/>
      <c r="O314" s="71">
        <f t="shared" si="21"/>
        <v>0</v>
      </c>
      <c r="P314" s="89">
        <f t="shared" si="22"/>
        <v>0</v>
      </c>
      <c r="Q314" s="491" t="str">
        <f>IF(ISBLANK(M314), "", VLOOKUP(A314&amp;" "&amp;B314, 'Info Tipo de Cambio y REM'!$A$24:$B$47, 2, FALSE))</f>
        <v/>
      </c>
      <c r="R314" s="109" t="str">
        <f t="shared" si="1"/>
        <v/>
      </c>
      <c r="S314" s="71" t="str">
        <f t="shared" si="2"/>
        <v/>
      </c>
      <c r="T314" s="71">
        <f t="shared" si="3"/>
        <v>0</v>
      </c>
      <c r="U314" s="43"/>
      <c r="V314" s="486"/>
      <c r="W314" s="43"/>
      <c r="X314" s="43"/>
    </row>
    <row r="315" hidden="1">
      <c r="A315" s="51"/>
      <c r="B315" s="43"/>
      <c r="C315" s="51"/>
      <c r="D315" s="43"/>
      <c r="E315" s="43"/>
      <c r="F315" s="43"/>
      <c r="G315" s="43"/>
      <c r="H315" s="43"/>
      <c r="I315" s="43"/>
      <c r="J315" s="443"/>
      <c r="K315" s="43"/>
      <c r="L315" s="89"/>
      <c r="M315" s="89"/>
      <c r="O315" s="71">
        <f t="shared" si="21"/>
        <v>0</v>
      </c>
      <c r="P315" s="89">
        <f t="shared" si="22"/>
        <v>0</v>
      </c>
      <c r="Q315" s="491" t="str">
        <f>IF(ISBLANK(M315), "", VLOOKUP(A315&amp;" "&amp;B315, 'Info Tipo de Cambio y REM'!$A$24:$B$47, 2, FALSE))</f>
        <v/>
      </c>
      <c r="R315" s="109" t="str">
        <f t="shared" si="1"/>
        <v/>
      </c>
      <c r="S315" s="71" t="str">
        <f t="shared" si="2"/>
        <v/>
      </c>
      <c r="T315" s="71">
        <f t="shared" si="3"/>
        <v>0</v>
      </c>
      <c r="U315" s="43"/>
      <c r="V315" s="486"/>
      <c r="W315" s="43"/>
      <c r="X315" s="43"/>
    </row>
    <row r="316" hidden="1">
      <c r="A316" s="51"/>
      <c r="B316" s="43"/>
      <c r="C316" s="51"/>
      <c r="D316" s="43"/>
      <c r="E316" s="43"/>
      <c r="F316" s="43"/>
      <c r="G316" s="43"/>
      <c r="H316" s="43"/>
      <c r="I316" s="43"/>
      <c r="J316" s="443"/>
      <c r="K316" s="43"/>
      <c r="L316" s="89"/>
      <c r="M316" s="89"/>
      <c r="O316" s="71">
        <f t="shared" si="21"/>
        <v>0</v>
      </c>
      <c r="P316" s="89">
        <f t="shared" si="22"/>
        <v>0</v>
      </c>
      <c r="Q316" s="491" t="str">
        <f>IF(ISBLANK(M316), "", VLOOKUP(A316&amp;" "&amp;B316, 'Info Tipo de Cambio y REM'!$A$24:$B$47, 2, FALSE))</f>
        <v/>
      </c>
      <c r="R316" s="109" t="str">
        <f t="shared" si="1"/>
        <v/>
      </c>
      <c r="S316" s="71" t="str">
        <f t="shared" si="2"/>
        <v/>
      </c>
      <c r="T316" s="71">
        <f t="shared" si="3"/>
        <v>0</v>
      </c>
      <c r="U316" s="43"/>
      <c r="V316" s="486"/>
      <c r="W316" s="43"/>
      <c r="X316" s="43"/>
    </row>
    <row r="317" hidden="1">
      <c r="A317" s="51"/>
      <c r="B317" s="43"/>
      <c r="C317" s="51"/>
      <c r="D317" s="43"/>
      <c r="E317" s="43"/>
      <c r="F317" s="43"/>
      <c r="G317" s="43"/>
      <c r="H317" s="43"/>
      <c r="I317" s="43"/>
      <c r="J317" s="443"/>
      <c r="K317" s="43"/>
      <c r="L317" s="89"/>
      <c r="M317" s="89"/>
      <c r="O317" s="71">
        <f t="shared" si="21"/>
        <v>0</v>
      </c>
      <c r="P317" s="89">
        <f t="shared" si="22"/>
        <v>0</v>
      </c>
      <c r="Q317" s="491" t="str">
        <f>IF(ISBLANK(M317), "", VLOOKUP(A317&amp;" "&amp;B317, 'Info Tipo de Cambio y REM'!$A$24:$B$47, 2, FALSE))</f>
        <v/>
      </c>
      <c r="R317" s="109" t="str">
        <f t="shared" si="1"/>
        <v/>
      </c>
      <c r="S317" s="71" t="str">
        <f t="shared" si="2"/>
        <v/>
      </c>
      <c r="T317" s="71">
        <f t="shared" si="3"/>
        <v>0</v>
      </c>
      <c r="U317" s="43"/>
      <c r="V317" s="486"/>
      <c r="W317" s="43"/>
      <c r="X317" s="43"/>
    </row>
    <row r="318" hidden="1">
      <c r="A318" s="51"/>
      <c r="B318" s="43"/>
      <c r="C318" s="51"/>
      <c r="D318" s="43"/>
      <c r="E318" s="43"/>
      <c r="F318" s="43"/>
      <c r="G318" s="43"/>
      <c r="H318" s="43"/>
      <c r="I318" s="43"/>
      <c r="J318" s="443"/>
      <c r="K318" s="43"/>
      <c r="L318" s="89"/>
      <c r="M318" s="89"/>
      <c r="O318" s="71">
        <f t="shared" si="21"/>
        <v>0</v>
      </c>
      <c r="P318" s="89">
        <f t="shared" si="22"/>
        <v>0</v>
      </c>
      <c r="Q318" s="491" t="str">
        <f>IF(ISBLANK(M318), "", VLOOKUP(A318&amp;" "&amp;B318, 'Info Tipo de Cambio y REM'!$A$24:$B$47, 2, FALSE))</f>
        <v/>
      </c>
      <c r="R318" s="109" t="str">
        <f t="shared" si="1"/>
        <v/>
      </c>
      <c r="S318" s="71" t="str">
        <f t="shared" si="2"/>
        <v/>
      </c>
      <c r="T318" s="71">
        <f t="shared" si="3"/>
        <v>0</v>
      </c>
      <c r="U318" s="43"/>
      <c r="V318" s="486"/>
      <c r="W318" s="43"/>
      <c r="X318" s="43"/>
    </row>
    <row r="319" hidden="1">
      <c r="A319" s="51"/>
      <c r="B319" s="43"/>
      <c r="C319" s="51"/>
      <c r="D319" s="43"/>
      <c r="E319" s="43"/>
      <c r="F319" s="43"/>
      <c r="G319" s="43"/>
      <c r="H319" s="43"/>
      <c r="I319" s="43"/>
      <c r="J319" s="443"/>
      <c r="K319" s="43"/>
      <c r="L319" s="89"/>
      <c r="M319" s="89"/>
      <c r="O319" s="71">
        <f t="shared" si="21"/>
        <v>0</v>
      </c>
      <c r="P319" s="89">
        <f t="shared" si="22"/>
        <v>0</v>
      </c>
      <c r="Q319" s="491" t="str">
        <f>IF(ISBLANK(M319), "", VLOOKUP(A319&amp;" "&amp;B319, 'Info Tipo de Cambio y REM'!$A$24:$B$47, 2, FALSE))</f>
        <v/>
      </c>
      <c r="R319" s="109" t="str">
        <f t="shared" si="1"/>
        <v/>
      </c>
      <c r="S319" s="71" t="str">
        <f t="shared" si="2"/>
        <v/>
      </c>
      <c r="T319" s="71">
        <f t="shared" si="3"/>
        <v>0</v>
      </c>
      <c r="U319" s="43"/>
      <c r="V319" s="486"/>
      <c r="W319" s="43"/>
      <c r="X319" s="43"/>
    </row>
    <row r="320" hidden="1">
      <c r="A320" s="51"/>
      <c r="B320" s="43"/>
      <c r="C320" s="51"/>
      <c r="D320" s="43"/>
      <c r="E320" s="43"/>
      <c r="F320" s="43"/>
      <c r="G320" s="43"/>
      <c r="H320" s="43"/>
      <c r="I320" s="43"/>
      <c r="J320" s="443"/>
      <c r="K320" s="43"/>
      <c r="L320" s="89"/>
      <c r="M320" s="89"/>
      <c r="O320" s="71">
        <f t="shared" si="21"/>
        <v>0</v>
      </c>
      <c r="P320" s="89">
        <f t="shared" si="22"/>
        <v>0</v>
      </c>
      <c r="Q320" s="491" t="str">
        <f>IF(ISBLANK(M320), "", VLOOKUP(A320&amp;" "&amp;B320, 'Info Tipo de Cambio y REM'!$A$24:$B$47, 2, FALSE))</f>
        <v/>
      </c>
      <c r="R320" s="109" t="str">
        <f t="shared" si="1"/>
        <v/>
      </c>
      <c r="S320" s="71" t="str">
        <f t="shared" si="2"/>
        <v/>
      </c>
      <c r="T320" s="71">
        <f t="shared" si="3"/>
        <v>0</v>
      </c>
      <c r="U320" s="43"/>
      <c r="V320" s="486"/>
      <c r="W320" s="43"/>
      <c r="X320" s="43"/>
    </row>
    <row r="321" hidden="1">
      <c r="A321" s="51"/>
      <c r="B321" s="43"/>
      <c r="C321" s="51"/>
      <c r="D321" s="43"/>
      <c r="E321" s="43"/>
      <c r="F321" s="43"/>
      <c r="G321" s="43"/>
      <c r="H321" s="43"/>
      <c r="I321" s="43"/>
      <c r="J321" s="443"/>
      <c r="K321" s="43"/>
      <c r="L321" s="89"/>
      <c r="M321" s="89"/>
      <c r="O321" s="71">
        <f t="shared" si="21"/>
        <v>0</v>
      </c>
      <c r="P321" s="89">
        <f t="shared" si="22"/>
        <v>0</v>
      </c>
      <c r="Q321" s="491" t="str">
        <f>IF(ISBLANK(M321), "", VLOOKUP(A321&amp;" "&amp;B321, 'Info Tipo de Cambio y REM'!$A$24:$B$47, 2, FALSE))</f>
        <v/>
      </c>
      <c r="R321" s="109" t="str">
        <f t="shared" si="1"/>
        <v/>
      </c>
      <c r="S321" s="71" t="str">
        <f t="shared" si="2"/>
        <v/>
      </c>
      <c r="T321" s="71">
        <f t="shared" si="3"/>
        <v>0</v>
      </c>
      <c r="U321" s="43"/>
      <c r="V321" s="486"/>
      <c r="W321" s="43"/>
      <c r="X321" s="43"/>
    </row>
    <row r="322" hidden="1">
      <c r="A322" s="51"/>
      <c r="B322" s="43"/>
      <c r="C322" s="51"/>
      <c r="D322" s="43"/>
      <c r="E322" s="43"/>
      <c r="F322" s="43"/>
      <c r="G322" s="43"/>
      <c r="H322" s="43"/>
      <c r="I322" s="43"/>
      <c r="J322" s="443"/>
      <c r="K322" s="43"/>
      <c r="L322" s="89"/>
      <c r="M322" s="89"/>
      <c r="O322" s="71">
        <f t="shared" si="21"/>
        <v>0</v>
      </c>
      <c r="P322" s="89">
        <f t="shared" si="22"/>
        <v>0</v>
      </c>
      <c r="Q322" s="491" t="str">
        <f>IF(ISBLANK(M322), "", VLOOKUP(A322&amp;" "&amp;B322, 'Info Tipo de Cambio y REM'!$A$24:$B$47, 2, FALSE))</f>
        <v/>
      </c>
      <c r="R322" s="109" t="str">
        <f t="shared" si="1"/>
        <v/>
      </c>
      <c r="S322" s="71" t="str">
        <f t="shared" si="2"/>
        <v/>
      </c>
      <c r="T322" s="71">
        <f t="shared" si="3"/>
        <v>0</v>
      </c>
      <c r="U322" s="43"/>
      <c r="V322" s="486"/>
      <c r="W322" s="43"/>
      <c r="X322" s="43"/>
    </row>
    <row r="323" hidden="1">
      <c r="A323" s="51"/>
      <c r="B323" s="43"/>
      <c r="C323" s="51"/>
      <c r="D323" s="43"/>
      <c r="E323" s="43"/>
      <c r="F323" s="43"/>
      <c r="G323" s="43"/>
      <c r="H323" s="43"/>
      <c r="I323" s="43"/>
      <c r="J323" s="443"/>
      <c r="K323" s="43"/>
      <c r="L323" s="89"/>
      <c r="M323" s="89"/>
      <c r="O323" s="71">
        <f t="shared" si="21"/>
        <v>0</v>
      </c>
      <c r="P323" s="89">
        <f t="shared" si="22"/>
        <v>0</v>
      </c>
      <c r="Q323" s="491" t="str">
        <f>IF(ISBLANK(M323), "", VLOOKUP(A323&amp;" "&amp;B323, 'Info Tipo de Cambio y REM'!$A$24:$B$47, 2, FALSE))</f>
        <v/>
      </c>
      <c r="R323" s="109" t="str">
        <f t="shared" si="1"/>
        <v/>
      </c>
      <c r="S323" s="71" t="str">
        <f t="shared" si="2"/>
        <v/>
      </c>
      <c r="T323" s="71">
        <f t="shared" si="3"/>
        <v>0</v>
      </c>
      <c r="U323" s="43"/>
      <c r="V323" s="486"/>
      <c r="W323" s="43"/>
      <c r="X323" s="43"/>
    </row>
    <row r="324" hidden="1">
      <c r="A324" s="51"/>
      <c r="B324" s="43"/>
      <c r="C324" s="51"/>
      <c r="D324" s="43"/>
      <c r="E324" s="43"/>
      <c r="F324" s="43"/>
      <c r="G324" s="43"/>
      <c r="H324" s="43"/>
      <c r="I324" s="43"/>
      <c r="J324" s="443"/>
      <c r="K324" s="43"/>
      <c r="L324" s="89"/>
      <c r="M324" s="89"/>
      <c r="O324" s="71">
        <f t="shared" si="21"/>
        <v>0</v>
      </c>
      <c r="P324" s="89">
        <f t="shared" si="22"/>
        <v>0</v>
      </c>
      <c r="Q324" s="491" t="str">
        <f>IF(ISBLANK(M324), "", VLOOKUP(A324&amp;" "&amp;B324, 'Info Tipo de Cambio y REM'!$A$24:$B$47, 2, FALSE))</f>
        <v/>
      </c>
      <c r="R324" s="109" t="str">
        <f t="shared" si="1"/>
        <v/>
      </c>
      <c r="S324" s="71" t="str">
        <f t="shared" si="2"/>
        <v/>
      </c>
      <c r="T324" s="71">
        <f t="shared" si="3"/>
        <v>0</v>
      </c>
      <c r="U324" s="43"/>
      <c r="V324" s="486"/>
      <c r="W324" s="43"/>
      <c r="X324" s="43"/>
    </row>
    <row r="325" hidden="1">
      <c r="A325" s="51"/>
      <c r="B325" s="43"/>
      <c r="C325" s="51"/>
      <c r="D325" s="43"/>
      <c r="E325" s="43"/>
      <c r="F325" s="43"/>
      <c r="G325" s="43"/>
      <c r="H325" s="43"/>
      <c r="I325" s="43"/>
      <c r="J325" s="443"/>
      <c r="K325" s="43"/>
      <c r="L325" s="89"/>
      <c r="M325" s="89"/>
      <c r="O325" s="71">
        <f t="shared" si="21"/>
        <v>0</v>
      </c>
      <c r="P325" s="89">
        <f t="shared" si="22"/>
        <v>0</v>
      </c>
      <c r="Q325" s="491" t="str">
        <f>IF(ISBLANK(M325), "", VLOOKUP(A325&amp;" "&amp;B325, 'Info Tipo de Cambio y REM'!$A$24:$B$47, 2, FALSE))</f>
        <v/>
      </c>
      <c r="R325" s="109" t="str">
        <f t="shared" si="1"/>
        <v/>
      </c>
      <c r="S325" s="71" t="str">
        <f t="shared" si="2"/>
        <v/>
      </c>
      <c r="T325" s="71">
        <f t="shared" si="3"/>
        <v>0</v>
      </c>
      <c r="U325" s="43"/>
      <c r="V325" s="486"/>
      <c r="W325" s="43"/>
      <c r="X325" s="43"/>
    </row>
    <row r="326" hidden="1">
      <c r="A326" s="51"/>
      <c r="B326" s="43"/>
      <c r="C326" s="51"/>
      <c r="D326" s="43"/>
      <c r="E326" s="43"/>
      <c r="F326" s="43"/>
      <c r="G326" s="43"/>
      <c r="H326" s="43"/>
      <c r="I326" s="43"/>
      <c r="J326" s="443"/>
      <c r="K326" s="43"/>
      <c r="L326" s="89"/>
      <c r="M326" s="89"/>
      <c r="O326" s="71">
        <f t="shared" si="21"/>
        <v>0</v>
      </c>
      <c r="P326" s="89">
        <f t="shared" si="22"/>
        <v>0</v>
      </c>
      <c r="Q326" s="491" t="str">
        <f>IF(ISBLANK(M326), "", VLOOKUP(A326&amp;" "&amp;B326, 'Info Tipo de Cambio y REM'!$A$24:$B$47, 2, FALSE))</f>
        <v/>
      </c>
      <c r="R326" s="109" t="str">
        <f t="shared" si="1"/>
        <v/>
      </c>
      <c r="S326" s="71" t="str">
        <f t="shared" si="2"/>
        <v/>
      </c>
      <c r="T326" s="71">
        <f t="shared" si="3"/>
        <v>0</v>
      </c>
      <c r="U326" s="43"/>
      <c r="V326" s="486"/>
      <c r="W326" s="43"/>
      <c r="X326" s="43"/>
    </row>
    <row r="327" hidden="1">
      <c r="A327" s="51"/>
      <c r="B327" s="43"/>
      <c r="C327" s="51"/>
      <c r="D327" s="43"/>
      <c r="E327" s="43"/>
      <c r="F327" s="43"/>
      <c r="G327" s="43"/>
      <c r="H327" s="43"/>
      <c r="I327" s="43"/>
      <c r="J327" s="443"/>
      <c r="K327" s="43"/>
      <c r="L327" s="89"/>
      <c r="M327" s="89"/>
      <c r="O327" s="71">
        <f t="shared" si="21"/>
        <v>0</v>
      </c>
      <c r="P327" s="89">
        <f t="shared" si="22"/>
        <v>0</v>
      </c>
      <c r="Q327" s="491" t="str">
        <f>IF(ISBLANK(M327), "", VLOOKUP(A327&amp;" "&amp;B327, 'Info Tipo de Cambio y REM'!$A$24:$B$47, 2, FALSE))</f>
        <v/>
      </c>
      <c r="R327" s="109" t="str">
        <f t="shared" si="1"/>
        <v/>
      </c>
      <c r="S327" s="71" t="str">
        <f t="shared" si="2"/>
        <v/>
      </c>
      <c r="T327" s="71">
        <f t="shared" si="3"/>
        <v>0</v>
      </c>
      <c r="U327" s="43"/>
      <c r="V327" s="486"/>
      <c r="W327" s="43"/>
      <c r="X327" s="43"/>
    </row>
    <row r="328" hidden="1">
      <c r="A328" s="51"/>
      <c r="B328" s="43"/>
      <c r="C328" s="51"/>
      <c r="D328" s="43"/>
      <c r="E328" s="43"/>
      <c r="F328" s="43"/>
      <c r="G328" s="43"/>
      <c r="H328" s="43"/>
      <c r="I328" s="43"/>
      <c r="J328" s="443"/>
      <c r="K328" s="43"/>
      <c r="L328" s="89"/>
      <c r="M328" s="89"/>
      <c r="O328" s="71">
        <f t="shared" si="21"/>
        <v>0</v>
      </c>
      <c r="P328" s="89">
        <f t="shared" si="22"/>
        <v>0</v>
      </c>
      <c r="Q328" s="491" t="str">
        <f>IF(ISBLANK(M328), "", VLOOKUP(A328&amp;" "&amp;B328, 'Info Tipo de Cambio y REM'!$A$24:$B$47, 2, FALSE))</f>
        <v/>
      </c>
      <c r="R328" s="109" t="str">
        <f t="shared" si="1"/>
        <v/>
      </c>
      <c r="S328" s="71" t="str">
        <f t="shared" si="2"/>
        <v/>
      </c>
      <c r="T328" s="71">
        <f t="shared" si="3"/>
        <v>0</v>
      </c>
      <c r="U328" s="43"/>
      <c r="V328" s="486"/>
      <c r="W328" s="43"/>
      <c r="X328" s="43"/>
    </row>
    <row r="329" hidden="1">
      <c r="A329" s="51"/>
      <c r="B329" s="43"/>
      <c r="C329" s="51"/>
      <c r="D329" s="43"/>
      <c r="E329" s="43"/>
      <c r="F329" s="43"/>
      <c r="G329" s="43"/>
      <c r="H329" s="43"/>
      <c r="I329" s="43"/>
      <c r="J329" s="443"/>
      <c r="K329" s="43"/>
      <c r="L329" s="89"/>
      <c r="M329" s="89"/>
      <c r="O329" s="71">
        <f t="shared" si="21"/>
        <v>0</v>
      </c>
      <c r="P329" s="89">
        <f t="shared" si="22"/>
        <v>0</v>
      </c>
      <c r="Q329" s="491" t="str">
        <f>IF(ISBLANK(M329), "", VLOOKUP(A329&amp;" "&amp;B329, 'Info Tipo de Cambio y REM'!$A$24:$B$47, 2, FALSE))</f>
        <v/>
      </c>
      <c r="R329" s="109" t="str">
        <f t="shared" si="1"/>
        <v/>
      </c>
      <c r="S329" s="71" t="str">
        <f t="shared" si="2"/>
        <v/>
      </c>
      <c r="T329" s="71">
        <f t="shared" si="3"/>
        <v>0</v>
      </c>
      <c r="U329" s="43"/>
      <c r="V329" s="486"/>
      <c r="W329" s="43"/>
      <c r="X329" s="43"/>
    </row>
    <row r="330" hidden="1">
      <c r="A330" s="51"/>
      <c r="B330" s="43"/>
      <c r="C330" s="51"/>
      <c r="D330" s="43"/>
      <c r="E330" s="43"/>
      <c r="F330" s="43"/>
      <c r="G330" s="43"/>
      <c r="H330" s="43"/>
      <c r="I330" s="43"/>
      <c r="J330" s="443"/>
      <c r="K330" s="43"/>
      <c r="L330" s="89"/>
      <c r="M330" s="89"/>
      <c r="O330" s="71">
        <f t="shared" si="21"/>
        <v>0</v>
      </c>
      <c r="P330" s="89">
        <f t="shared" si="22"/>
        <v>0</v>
      </c>
      <c r="Q330" s="491" t="str">
        <f>IF(ISBLANK(M330), "", VLOOKUP(A330&amp;" "&amp;B330, 'Info Tipo de Cambio y REM'!$A$24:$B$47, 2, FALSE))</f>
        <v/>
      </c>
      <c r="R330" s="109" t="str">
        <f t="shared" si="1"/>
        <v/>
      </c>
      <c r="S330" s="71" t="str">
        <f t="shared" si="2"/>
        <v/>
      </c>
      <c r="T330" s="71">
        <f t="shared" si="3"/>
        <v>0</v>
      </c>
      <c r="U330" s="43"/>
      <c r="V330" s="486"/>
      <c r="W330" s="43"/>
      <c r="X330" s="43"/>
    </row>
    <row r="331" hidden="1">
      <c r="A331" s="51"/>
      <c r="B331" s="43"/>
      <c r="C331" s="51"/>
      <c r="D331" s="43"/>
      <c r="E331" s="43"/>
      <c r="F331" s="43"/>
      <c r="G331" s="43"/>
      <c r="H331" s="43"/>
      <c r="I331" s="43"/>
      <c r="J331" s="443"/>
      <c r="K331" s="43"/>
      <c r="L331" s="89"/>
      <c r="M331" s="89"/>
      <c r="O331" s="71">
        <f t="shared" si="21"/>
        <v>0</v>
      </c>
      <c r="P331" s="89">
        <f t="shared" si="22"/>
        <v>0</v>
      </c>
      <c r="Q331" s="491" t="str">
        <f>IF(ISBLANK(M331), "", VLOOKUP(A331&amp;" "&amp;B331, 'Info Tipo de Cambio y REM'!$A$24:$B$47, 2, FALSE))</f>
        <v/>
      </c>
      <c r="R331" s="109" t="str">
        <f t="shared" si="1"/>
        <v/>
      </c>
      <c r="S331" s="71" t="str">
        <f t="shared" si="2"/>
        <v/>
      </c>
      <c r="T331" s="71">
        <f t="shared" si="3"/>
        <v>0</v>
      </c>
      <c r="U331" s="43"/>
      <c r="V331" s="486"/>
      <c r="W331" s="43"/>
      <c r="X331" s="43"/>
    </row>
    <row r="332" hidden="1">
      <c r="A332" s="51"/>
      <c r="B332" s="43"/>
      <c r="C332" s="51"/>
      <c r="D332" s="43"/>
      <c r="E332" s="43"/>
      <c r="F332" s="43"/>
      <c r="G332" s="43"/>
      <c r="H332" s="43"/>
      <c r="I332" s="43"/>
      <c r="J332" s="443"/>
      <c r="K332" s="43"/>
      <c r="L332" s="89"/>
      <c r="M332" s="89"/>
      <c r="O332" s="71">
        <f t="shared" si="21"/>
        <v>0</v>
      </c>
      <c r="P332" s="89">
        <f t="shared" si="22"/>
        <v>0</v>
      </c>
      <c r="Q332" s="491" t="str">
        <f>IF(ISBLANK(M332), "", VLOOKUP(A332&amp;" "&amp;B332, 'Info Tipo de Cambio y REM'!$A$24:$B$47, 2, FALSE))</f>
        <v/>
      </c>
      <c r="R332" s="109" t="str">
        <f t="shared" si="1"/>
        <v/>
      </c>
      <c r="S332" s="71" t="str">
        <f t="shared" si="2"/>
        <v/>
      </c>
      <c r="T332" s="71">
        <f t="shared" si="3"/>
        <v>0</v>
      </c>
      <c r="U332" s="43"/>
      <c r="V332" s="486"/>
      <c r="W332" s="43"/>
      <c r="X332" s="43"/>
    </row>
    <row r="333" hidden="1">
      <c r="A333" s="51"/>
      <c r="B333" s="43"/>
      <c r="C333" s="51"/>
      <c r="D333" s="43"/>
      <c r="E333" s="43"/>
      <c r="F333" s="43"/>
      <c r="G333" s="43"/>
      <c r="H333" s="43"/>
      <c r="I333" s="43"/>
      <c r="J333" s="443"/>
      <c r="K333" s="43"/>
      <c r="L333" s="89"/>
      <c r="M333" s="89"/>
      <c r="O333" s="71">
        <f t="shared" si="21"/>
        <v>0</v>
      </c>
      <c r="P333" s="89">
        <f t="shared" si="22"/>
        <v>0</v>
      </c>
      <c r="Q333" s="491" t="str">
        <f>IF(ISBLANK(M333), "", VLOOKUP(A333&amp;" "&amp;B333, 'Info Tipo de Cambio y REM'!$A$24:$B$47, 2, FALSE))</f>
        <v/>
      </c>
      <c r="R333" s="109" t="str">
        <f t="shared" si="1"/>
        <v/>
      </c>
      <c r="S333" s="71" t="str">
        <f t="shared" si="2"/>
        <v/>
      </c>
      <c r="T333" s="71">
        <f t="shared" si="3"/>
        <v>0</v>
      </c>
      <c r="U333" s="43"/>
      <c r="V333" s="486"/>
      <c r="W333" s="43"/>
      <c r="X333" s="43"/>
    </row>
    <row r="334" hidden="1">
      <c r="A334" s="51"/>
      <c r="B334" s="43"/>
      <c r="C334" s="51"/>
      <c r="D334" s="43"/>
      <c r="E334" s="43"/>
      <c r="F334" s="43"/>
      <c r="G334" s="43"/>
      <c r="H334" s="43"/>
      <c r="I334" s="43"/>
      <c r="J334" s="443"/>
      <c r="K334" s="43"/>
      <c r="L334" s="89"/>
      <c r="M334" s="89"/>
      <c r="O334" s="71">
        <f t="shared" si="21"/>
        <v>0</v>
      </c>
      <c r="P334" s="89">
        <f t="shared" si="22"/>
        <v>0</v>
      </c>
      <c r="Q334" s="491" t="str">
        <f>IF(ISBLANK(M334), "", VLOOKUP(A334&amp;" "&amp;B334, 'Info Tipo de Cambio y REM'!$A$24:$B$47, 2, FALSE))</f>
        <v/>
      </c>
      <c r="R334" s="109" t="str">
        <f t="shared" si="1"/>
        <v/>
      </c>
      <c r="S334" s="71" t="str">
        <f t="shared" si="2"/>
        <v/>
      </c>
      <c r="T334" s="71">
        <f t="shared" si="3"/>
        <v>0</v>
      </c>
      <c r="U334" s="43"/>
      <c r="V334" s="486"/>
      <c r="W334" s="43"/>
      <c r="X334" s="43"/>
    </row>
    <row r="335" hidden="1">
      <c r="A335" s="51"/>
      <c r="B335" s="43"/>
      <c r="C335" s="51"/>
      <c r="D335" s="43"/>
      <c r="E335" s="43"/>
      <c r="F335" s="43"/>
      <c r="G335" s="43"/>
      <c r="H335" s="43"/>
      <c r="I335" s="43"/>
      <c r="J335" s="443"/>
      <c r="K335" s="43"/>
      <c r="L335" s="89"/>
      <c r="M335" s="89"/>
      <c r="O335" s="71">
        <f t="shared" si="21"/>
        <v>0</v>
      </c>
      <c r="P335" s="89">
        <f t="shared" si="22"/>
        <v>0</v>
      </c>
      <c r="Q335" s="491" t="str">
        <f>IF(ISBLANK(M335), "", VLOOKUP(A335&amp;" "&amp;B335, 'Info Tipo de Cambio y REM'!$A$24:$B$47, 2, FALSE))</f>
        <v/>
      </c>
      <c r="R335" s="109" t="str">
        <f t="shared" si="1"/>
        <v/>
      </c>
      <c r="S335" s="71" t="str">
        <f t="shared" si="2"/>
        <v/>
      </c>
      <c r="T335" s="71">
        <f t="shared" si="3"/>
        <v>0</v>
      </c>
      <c r="U335" s="43"/>
      <c r="V335" s="486"/>
      <c r="W335" s="43"/>
      <c r="X335" s="43"/>
    </row>
    <row r="336" hidden="1">
      <c r="A336" s="51"/>
      <c r="B336" s="43"/>
      <c r="C336" s="51"/>
      <c r="D336" s="43"/>
      <c r="E336" s="43"/>
      <c r="F336" s="43"/>
      <c r="G336" s="43"/>
      <c r="H336" s="43"/>
      <c r="I336" s="43"/>
      <c r="J336" s="443"/>
      <c r="K336" s="43"/>
      <c r="L336" s="89"/>
      <c r="M336" s="89"/>
      <c r="O336" s="71">
        <f t="shared" si="21"/>
        <v>0</v>
      </c>
      <c r="P336" s="89">
        <f t="shared" si="22"/>
        <v>0</v>
      </c>
      <c r="Q336" s="491" t="str">
        <f>IF(ISBLANK(M336), "", VLOOKUP(A336&amp;" "&amp;B336, 'Info Tipo de Cambio y REM'!$A$24:$B$47, 2, FALSE))</f>
        <v/>
      </c>
      <c r="R336" s="109" t="str">
        <f t="shared" si="1"/>
        <v/>
      </c>
      <c r="S336" s="71" t="str">
        <f t="shared" si="2"/>
        <v/>
      </c>
      <c r="T336" s="71">
        <f t="shared" si="3"/>
        <v>0</v>
      </c>
      <c r="U336" s="43"/>
      <c r="V336" s="486"/>
      <c r="W336" s="43"/>
      <c r="X336" s="43"/>
    </row>
    <row r="337" hidden="1">
      <c r="A337" s="51"/>
      <c r="B337" s="43"/>
      <c r="C337" s="51"/>
      <c r="D337" s="43"/>
      <c r="E337" s="43"/>
      <c r="F337" s="43"/>
      <c r="G337" s="43"/>
      <c r="H337" s="43"/>
      <c r="I337" s="43"/>
      <c r="J337" s="443"/>
      <c r="K337" s="43"/>
      <c r="L337" s="89"/>
      <c r="M337" s="89"/>
      <c r="O337" s="71">
        <f t="shared" si="21"/>
        <v>0</v>
      </c>
      <c r="P337" s="89">
        <f t="shared" si="22"/>
        <v>0</v>
      </c>
      <c r="Q337" s="491" t="str">
        <f>IF(ISBLANK(M337), "", VLOOKUP(A337&amp;" "&amp;B337, 'Info Tipo de Cambio y REM'!$A$24:$B$47, 2, FALSE))</f>
        <v/>
      </c>
      <c r="R337" s="109" t="str">
        <f t="shared" si="1"/>
        <v/>
      </c>
      <c r="S337" s="71" t="str">
        <f t="shared" si="2"/>
        <v/>
      </c>
      <c r="T337" s="71">
        <f t="shared" si="3"/>
        <v>0</v>
      </c>
      <c r="U337" s="43"/>
      <c r="V337" s="486"/>
      <c r="W337" s="43"/>
      <c r="X337" s="43"/>
    </row>
    <row r="338" hidden="1">
      <c r="A338" s="51"/>
      <c r="B338" s="43"/>
      <c r="C338" s="51"/>
      <c r="D338" s="43"/>
      <c r="E338" s="43"/>
      <c r="F338" s="43"/>
      <c r="G338" s="43"/>
      <c r="H338" s="43"/>
      <c r="I338" s="43"/>
      <c r="J338" s="443"/>
      <c r="K338" s="43"/>
      <c r="L338" s="89"/>
      <c r="M338" s="89"/>
      <c r="O338" s="71">
        <f t="shared" si="21"/>
        <v>0</v>
      </c>
      <c r="P338" s="89">
        <f t="shared" si="22"/>
        <v>0</v>
      </c>
      <c r="Q338" s="491" t="str">
        <f>IF(ISBLANK(M338), "", VLOOKUP(A338&amp;" "&amp;B338, 'Info Tipo de Cambio y REM'!$A$24:$B$47, 2, FALSE))</f>
        <v/>
      </c>
      <c r="R338" s="109" t="str">
        <f t="shared" si="1"/>
        <v/>
      </c>
      <c r="S338" s="71" t="str">
        <f t="shared" si="2"/>
        <v/>
      </c>
      <c r="T338" s="71">
        <f t="shared" si="3"/>
        <v>0</v>
      </c>
      <c r="U338" s="43"/>
      <c r="V338" s="486"/>
      <c r="W338" s="43"/>
      <c r="X338" s="43"/>
    </row>
    <row r="339" hidden="1">
      <c r="A339" s="51"/>
      <c r="B339" s="43"/>
      <c r="C339" s="51"/>
      <c r="D339" s="43"/>
      <c r="E339" s="43"/>
      <c r="F339" s="43"/>
      <c r="G339" s="43"/>
      <c r="H339" s="43"/>
      <c r="I339" s="43"/>
      <c r="J339" s="443"/>
      <c r="K339" s="43"/>
      <c r="L339" s="89"/>
      <c r="M339" s="89"/>
      <c r="O339" s="71">
        <f t="shared" si="21"/>
        <v>0</v>
      </c>
      <c r="P339" s="89">
        <f t="shared" si="22"/>
        <v>0</v>
      </c>
      <c r="Q339" s="491" t="str">
        <f>IF(ISBLANK(M339), "", VLOOKUP(A339&amp;" "&amp;B339, 'Info Tipo de Cambio y REM'!$A$24:$B$47, 2, FALSE))</f>
        <v/>
      </c>
      <c r="R339" s="109" t="str">
        <f t="shared" si="1"/>
        <v/>
      </c>
      <c r="S339" s="71" t="str">
        <f t="shared" si="2"/>
        <v/>
      </c>
      <c r="T339" s="71">
        <f t="shared" si="3"/>
        <v>0</v>
      </c>
      <c r="U339" s="43"/>
      <c r="V339" s="486"/>
      <c r="W339" s="43"/>
      <c r="X339" s="43"/>
    </row>
    <row r="340" hidden="1">
      <c r="A340" s="51"/>
      <c r="B340" s="43"/>
      <c r="C340" s="51"/>
      <c r="D340" s="43"/>
      <c r="E340" s="43"/>
      <c r="F340" s="43"/>
      <c r="G340" s="43"/>
      <c r="H340" s="43"/>
      <c r="I340" s="43"/>
      <c r="J340" s="443"/>
      <c r="K340" s="43"/>
      <c r="L340" s="89"/>
      <c r="M340" s="89"/>
      <c r="O340" s="71">
        <f t="shared" si="21"/>
        <v>0</v>
      </c>
      <c r="P340" s="89">
        <f t="shared" si="22"/>
        <v>0</v>
      </c>
      <c r="Q340" s="491" t="str">
        <f>IF(ISBLANK(M340), "", VLOOKUP(A340&amp;" "&amp;B340, 'Info Tipo de Cambio y REM'!$A$24:$B$47, 2, FALSE))</f>
        <v/>
      </c>
      <c r="R340" s="109" t="str">
        <f t="shared" si="1"/>
        <v/>
      </c>
      <c r="S340" s="71" t="str">
        <f t="shared" si="2"/>
        <v/>
      </c>
      <c r="T340" s="71">
        <f t="shared" si="3"/>
        <v>0</v>
      </c>
      <c r="U340" s="43"/>
      <c r="V340" s="486"/>
      <c r="W340" s="43"/>
      <c r="X340" s="43"/>
    </row>
    <row r="341" hidden="1">
      <c r="A341" s="51"/>
      <c r="B341" s="43"/>
      <c r="C341" s="51"/>
      <c r="D341" s="43"/>
      <c r="E341" s="43"/>
      <c r="F341" s="43"/>
      <c r="G341" s="43"/>
      <c r="H341" s="43"/>
      <c r="I341" s="43"/>
      <c r="J341" s="443"/>
      <c r="K341" s="43"/>
      <c r="L341" s="89"/>
      <c r="M341" s="89"/>
      <c r="O341" s="71">
        <f t="shared" si="21"/>
        <v>0</v>
      </c>
      <c r="P341" s="89">
        <f t="shared" si="22"/>
        <v>0</v>
      </c>
      <c r="Q341" s="491" t="str">
        <f>IF(ISBLANK(M341), "", VLOOKUP(A341&amp;" "&amp;B341, 'Info Tipo de Cambio y REM'!$A$24:$B$47, 2, FALSE))</f>
        <v/>
      </c>
      <c r="R341" s="109" t="str">
        <f t="shared" si="1"/>
        <v/>
      </c>
      <c r="S341" s="71" t="str">
        <f t="shared" si="2"/>
        <v/>
      </c>
      <c r="T341" s="71">
        <f t="shared" si="3"/>
        <v>0</v>
      </c>
      <c r="U341" s="43"/>
      <c r="V341" s="486"/>
      <c r="W341" s="43"/>
      <c r="X341" s="43"/>
    </row>
    <row r="342" hidden="1">
      <c r="A342" s="51"/>
      <c r="B342" s="43"/>
      <c r="C342" s="51"/>
      <c r="D342" s="43"/>
      <c r="E342" s="43"/>
      <c r="F342" s="43"/>
      <c r="G342" s="43"/>
      <c r="H342" s="43"/>
      <c r="I342" s="43"/>
      <c r="J342" s="443"/>
      <c r="K342" s="43"/>
      <c r="L342" s="89"/>
      <c r="M342" s="89"/>
      <c r="O342" s="71">
        <f t="shared" si="21"/>
        <v>0</v>
      </c>
      <c r="P342" s="89">
        <f t="shared" si="22"/>
        <v>0</v>
      </c>
      <c r="Q342" s="491" t="str">
        <f>IF(ISBLANK(M342), "", VLOOKUP(A342&amp;" "&amp;B342, 'Info Tipo de Cambio y REM'!$A$24:$B$47, 2, FALSE))</f>
        <v/>
      </c>
      <c r="R342" s="109" t="str">
        <f t="shared" si="1"/>
        <v/>
      </c>
      <c r="S342" s="71" t="str">
        <f t="shared" si="2"/>
        <v/>
      </c>
      <c r="T342" s="71">
        <f t="shared" si="3"/>
        <v>0</v>
      </c>
      <c r="U342" s="43"/>
      <c r="V342" s="486"/>
      <c r="W342" s="43"/>
      <c r="X342" s="43"/>
    </row>
    <row r="343" hidden="1">
      <c r="A343" s="51"/>
      <c r="B343" s="43"/>
      <c r="C343" s="51"/>
      <c r="D343" s="43"/>
      <c r="E343" s="43"/>
      <c r="F343" s="43"/>
      <c r="G343" s="43"/>
      <c r="H343" s="43"/>
      <c r="I343" s="43"/>
      <c r="J343" s="443"/>
      <c r="K343" s="43"/>
      <c r="L343" s="89"/>
      <c r="M343" s="89"/>
      <c r="O343" s="71">
        <f t="shared" si="21"/>
        <v>0</v>
      </c>
      <c r="P343" s="89">
        <f t="shared" si="22"/>
        <v>0</v>
      </c>
      <c r="Q343" s="491" t="str">
        <f>IF(ISBLANK(M343), "", VLOOKUP(A343&amp;" "&amp;B343, 'Info Tipo de Cambio y REM'!$A$24:$B$47, 2, FALSE))</f>
        <v/>
      </c>
      <c r="R343" s="109" t="str">
        <f t="shared" si="1"/>
        <v/>
      </c>
      <c r="S343" s="71" t="str">
        <f t="shared" si="2"/>
        <v/>
      </c>
      <c r="T343" s="71">
        <f t="shared" si="3"/>
        <v>0</v>
      </c>
      <c r="U343" s="43"/>
      <c r="V343" s="486"/>
      <c r="W343" s="43"/>
      <c r="X343" s="43"/>
    </row>
    <row r="344" hidden="1">
      <c r="A344" s="51"/>
      <c r="B344" s="43"/>
      <c r="C344" s="51"/>
      <c r="D344" s="43"/>
      <c r="E344" s="43"/>
      <c r="F344" s="43"/>
      <c r="G344" s="43"/>
      <c r="H344" s="43"/>
      <c r="I344" s="43"/>
      <c r="J344" s="443"/>
      <c r="K344" s="43"/>
      <c r="L344" s="89"/>
      <c r="M344" s="89"/>
      <c r="O344" s="71">
        <f t="shared" si="21"/>
        <v>0</v>
      </c>
      <c r="P344" s="89">
        <f t="shared" si="22"/>
        <v>0</v>
      </c>
      <c r="Q344" s="491" t="str">
        <f>IF(ISBLANK(M344), "", VLOOKUP(A344&amp;" "&amp;B344, 'Info Tipo de Cambio y REM'!$A$24:$B$47, 2, FALSE))</f>
        <v/>
      </c>
      <c r="R344" s="109" t="str">
        <f t="shared" si="1"/>
        <v/>
      </c>
      <c r="S344" s="71" t="str">
        <f t="shared" si="2"/>
        <v/>
      </c>
      <c r="T344" s="71">
        <f t="shared" si="3"/>
        <v>0</v>
      </c>
      <c r="U344" s="43"/>
      <c r="V344" s="486"/>
      <c r="W344" s="43"/>
      <c r="X344" s="43"/>
    </row>
    <row r="345" hidden="1">
      <c r="A345" s="51"/>
      <c r="B345" s="43"/>
      <c r="C345" s="51"/>
      <c r="D345" s="43"/>
      <c r="E345" s="43"/>
      <c r="F345" s="43"/>
      <c r="G345" s="43"/>
      <c r="H345" s="43"/>
      <c r="I345" s="43"/>
      <c r="J345" s="443"/>
      <c r="K345" s="43"/>
      <c r="L345" s="89"/>
      <c r="M345" s="89"/>
      <c r="O345" s="71">
        <f t="shared" si="21"/>
        <v>0</v>
      </c>
      <c r="P345" s="89">
        <f t="shared" si="22"/>
        <v>0</v>
      </c>
      <c r="Q345" s="491" t="str">
        <f>IF(ISBLANK(M345), "", VLOOKUP(A345&amp;" "&amp;B345, 'Info Tipo de Cambio y REM'!$A$24:$B$47, 2, FALSE))</f>
        <v/>
      </c>
      <c r="R345" s="109" t="str">
        <f t="shared" si="1"/>
        <v/>
      </c>
      <c r="S345" s="71" t="str">
        <f t="shared" si="2"/>
        <v/>
      </c>
      <c r="T345" s="71">
        <f t="shared" si="3"/>
        <v>0</v>
      </c>
      <c r="U345" s="43"/>
      <c r="V345" s="486"/>
      <c r="W345" s="43"/>
      <c r="X345" s="43"/>
    </row>
    <row r="346" hidden="1">
      <c r="A346" s="51"/>
      <c r="B346" s="43"/>
      <c r="C346" s="51"/>
      <c r="D346" s="43"/>
      <c r="E346" s="43"/>
      <c r="F346" s="43"/>
      <c r="G346" s="43"/>
      <c r="H346" s="43"/>
      <c r="I346" s="43"/>
      <c r="J346" s="443"/>
      <c r="K346" s="43"/>
      <c r="L346" s="89"/>
      <c r="M346" s="89"/>
      <c r="O346" s="71">
        <f t="shared" si="21"/>
        <v>0</v>
      </c>
      <c r="P346" s="89">
        <f t="shared" si="22"/>
        <v>0</v>
      </c>
      <c r="Q346" s="491" t="str">
        <f>IF(ISBLANK(M346), "", VLOOKUP(A346&amp;" "&amp;B346, 'Info Tipo de Cambio y REM'!$A$24:$B$47, 2, FALSE))</f>
        <v/>
      </c>
      <c r="R346" s="109" t="str">
        <f t="shared" si="1"/>
        <v/>
      </c>
      <c r="S346" s="71" t="str">
        <f t="shared" si="2"/>
        <v/>
      </c>
      <c r="T346" s="71">
        <f t="shared" si="3"/>
        <v>0</v>
      </c>
      <c r="U346" s="43"/>
      <c r="V346" s="486"/>
      <c r="W346" s="43"/>
      <c r="X346" s="43"/>
    </row>
    <row r="347" hidden="1">
      <c r="A347" s="51"/>
      <c r="B347" s="43"/>
      <c r="C347" s="51"/>
      <c r="D347" s="43"/>
      <c r="E347" s="43"/>
      <c r="F347" s="43"/>
      <c r="G347" s="43"/>
      <c r="H347" s="43"/>
      <c r="I347" s="43"/>
      <c r="J347" s="443"/>
      <c r="K347" s="43"/>
      <c r="L347" s="89"/>
      <c r="M347" s="89"/>
      <c r="O347" s="71">
        <f t="shared" si="21"/>
        <v>0</v>
      </c>
      <c r="P347" s="89">
        <f t="shared" si="22"/>
        <v>0</v>
      </c>
      <c r="Q347" s="491" t="str">
        <f>IF(ISBLANK(M347), "", VLOOKUP(A347&amp;" "&amp;B347, 'Info Tipo de Cambio y REM'!$A$24:$B$47, 2, FALSE))</f>
        <v/>
      </c>
      <c r="R347" s="109" t="str">
        <f t="shared" si="1"/>
        <v/>
      </c>
      <c r="S347" s="71" t="str">
        <f t="shared" si="2"/>
        <v/>
      </c>
      <c r="T347" s="71">
        <f t="shared" si="3"/>
        <v>0</v>
      </c>
      <c r="U347" s="43"/>
      <c r="V347" s="486"/>
      <c r="W347" s="43"/>
      <c r="X347" s="43"/>
    </row>
    <row r="348" hidden="1">
      <c r="A348" s="51"/>
      <c r="B348" s="43"/>
      <c r="C348" s="51"/>
      <c r="D348" s="43"/>
      <c r="E348" s="43"/>
      <c r="F348" s="43"/>
      <c r="G348" s="43"/>
      <c r="H348" s="43"/>
      <c r="I348" s="43"/>
      <c r="J348" s="443"/>
      <c r="K348" s="43"/>
      <c r="L348" s="89"/>
      <c r="M348" s="89"/>
      <c r="O348" s="71">
        <f t="shared" si="21"/>
        <v>0</v>
      </c>
      <c r="P348" s="89">
        <f t="shared" si="22"/>
        <v>0</v>
      </c>
      <c r="Q348" s="491" t="str">
        <f>IF(ISBLANK(M348), "", VLOOKUP(A348&amp;" "&amp;B348, 'Info Tipo de Cambio y REM'!$A$24:$B$47, 2, FALSE))</f>
        <v/>
      </c>
      <c r="R348" s="109" t="str">
        <f t="shared" si="1"/>
        <v/>
      </c>
      <c r="S348" s="71" t="str">
        <f t="shared" si="2"/>
        <v/>
      </c>
      <c r="T348" s="71">
        <f t="shared" si="3"/>
        <v>0</v>
      </c>
      <c r="U348" s="43"/>
      <c r="V348" s="486"/>
      <c r="W348" s="43"/>
      <c r="X348" s="43"/>
    </row>
    <row r="349" hidden="1">
      <c r="A349" s="51"/>
      <c r="B349" s="43"/>
      <c r="C349" s="51"/>
      <c r="D349" s="43"/>
      <c r="E349" s="43"/>
      <c r="F349" s="43"/>
      <c r="G349" s="43"/>
      <c r="H349" s="43"/>
      <c r="I349" s="43"/>
      <c r="J349" s="443"/>
      <c r="K349" s="43"/>
      <c r="L349" s="89"/>
      <c r="M349" s="89"/>
      <c r="O349" s="71">
        <f t="shared" si="21"/>
        <v>0</v>
      </c>
      <c r="P349" s="89">
        <f t="shared" si="22"/>
        <v>0</v>
      </c>
      <c r="Q349" s="491" t="str">
        <f>IF(ISBLANK(M349), "", VLOOKUP(A349&amp;" "&amp;B349, 'Info Tipo de Cambio y REM'!$A$24:$B$47, 2, FALSE))</f>
        <v/>
      </c>
      <c r="R349" s="109" t="str">
        <f t="shared" si="1"/>
        <v/>
      </c>
      <c r="S349" s="71" t="str">
        <f t="shared" si="2"/>
        <v/>
      </c>
      <c r="T349" s="71">
        <f t="shared" si="3"/>
        <v>0</v>
      </c>
      <c r="U349" s="43"/>
      <c r="V349" s="486"/>
      <c r="W349" s="43"/>
      <c r="X349" s="43"/>
    </row>
    <row r="350" hidden="1">
      <c r="A350" s="51"/>
      <c r="B350" s="43"/>
      <c r="C350" s="51"/>
      <c r="D350" s="43"/>
      <c r="E350" s="43"/>
      <c r="F350" s="43"/>
      <c r="G350" s="43"/>
      <c r="H350" s="43"/>
      <c r="I350" s="43"/>
      <c r="J350" s="443"/>
      <c r="K350" s="43"/>
      <c r="L350" s="89"/>
      <c r="M350" s="89"/>
      <c r="O350" s="71">
        <f t="shared" si="21"/>
        <v>0</v>
      </c>
      <c r="P350" s="89">
        <f t="shared" si="22"/>
        <v>0</v>
      </c>
      <c r="Q350" s="491" t="str">
        <f>IF(ISBLANK(M350), "", VLOOKUP(A350&amp;" "&amp;B350, 'Info Tipo de Cambio y REM'!$A$24:$B$47, 2, FALSE))</f>
        <v/>
      </c>
      <c r="R350" s="109" t="str">
        <f t="shared" si="1"/>
        <v/>
      </c>
      <c r="S350" s="71" t="str">
        <f t="shared" si="2"/>
        <v/>
      </c>
      <c r="T350" s="71">
        <f t="shared" si="3"/>
        <v>0</v>
      </c>
      <c r="U350" s="43"/>
      <c r="V350" s="486"/>
      <c r="W350" s="43"/>
      <c r="X350" s="43"/>
    </row>
    <row r="351" hidden="1">
      <c r="A351" s="51"/>
      <c r="B351" s="43"/>
      <c r="C351" s="51"/>
      <c r="D351" s="43"/>
      <c r="E351" s="43"/>
      <c r="F351" s="43"/>
      <c r="G351" s="43"/>
      <c r="H351" s="43"/>
      <c r="I351" s="43"/>
      <c r="J351" s="443"/>
      <c r="K351" s="43"/>
      <c r="L351" s="89"/>
      <c r="M351" s="89"/>
      <c r="O351" s="71">
        <f t="shared" si="21"/>
        <v>0</v>
      </c>
      <c r="P351" s="89">
        <f t="shared" si="22"/>
        <v>0</v>
      </c>
      <c r="Q351" s="491" t="str">
        <f>IF(ISBLANK(M351), "", VLOOKUP(A351&amp;" "&amp;B351, 'Info Tipo de Cambio y REM'!$A$24:$B$47, 2, FALSE))</f>
        <v/>
      </c>
      <c r="R351" s="109" t="str">
        <f t="shared" si="1"/>
        <v/>
      </c>
      <c r="S351" s="71" t="str">
        <f t="shared" si="2"/>
        <v/>
      </c>
      <c r="T351" s="71">
        <f t="shared" si="3"/>
        <v>0</v>
      </c>
      <c r="U351" s="43"/>
      <c r="V351" s="486"/>
      <c r="W351" s="43"/>
      <c r="X351" s="43"/>
    </row>
    <row r="352" hidden="1">
      <c r="A352" s="51"/>
      <c r="B352" s="43"/>
      <c r="C352" s="51"/>
      <c r="D352" s="43"/>
      <c r="E352" s="43"/>
      <c r="F352" s="43"/>
      <c r="G352" s="43"/>
      <c r="H352" s="43"/>
      <c r="I352" s="43"/>
      <c r="J352" s="443"/>
      <c r="K352" s="43"/>
      <c r="L352" s="89"/>
      <c r="M352" s="89"/>
      <c r="O352" s="71">
        <f t="shared" si="21"/>
        <v>0</v>
      </c>
      <c r="P352" s="89">
        <f t="shared" si="22"/>
        <v>0</v>
      </c>
      <c r="Q352" s="491" t="str">
        <f>IF(ISBLANK(M352), "", VLOOKUP(A352&amp;" "&amp;B352, 'Info Tipo de Cambio y REM'!$A$24:$B$47, 2, FALSE))</f>
        <v/>
      </c>
      <c r="R352" s="109" t="str">
        <f t="shared" si="1"/>
        <v/>
      </c>
      <c r="S352" s="71" t="str">
        <f t="shared" si="2"/>
        <v/>
      </c>
      <c r="T352" s="71">
        <f t="shared" si="3"/>
        <v>0</v>
      </c>
      <c r="U352" s="43"/>
      <c r="V352" s="486"/>
      <c r="W352" s="43"/>
      <c r="X352" s="43"/>
    </row>
    <row r="353" hidden="1">
      <c r="A353" s="51"/>
      <c r="B353" s="43"/>
      <c r="C353" s="51"/>
      <c r="D353" s="43"/>
      <c r="E353" s="43"/>
      <c r="F353" s="43"/>
      <c r="G353" s="43"/>
      <c r="H353" s="43"/>
      <c r="I353" s="43"/>
      <c r="J353" s="443"/>
      <c r="K353" s="43"/>
      <c r="L353" s="89"/>
      <c r="M353" s="89"/>
      <c r="O353" s="71">
        <f t="shared" si="21"/>
        <v>0</v>
      </c>
      <c r="P353" s="89">
        <f t="shared" si="22"/>
        <v>0</v>
      </c>
      <c r="Q353" s="491" t="str">
        <f>IF(ISBLANK(M353), "", VLOOKUP(A353&amp;" "&amp;B353, 'Info Tipo de Cambio y REM'!$A$24:$B$47, 2, FALSE))</f>
        <v/>
      </c>
      <c r="R353" s="109" t="str">
        <f t="shared" si="1"/>
        <v/>
      </c>
      <c r="S353" s="71" t="str">
        <f t="shared" si="2"/>
        <v/>
      </c>
      <c r="T353" s="71">
        <f t="shared" si="3"/>
        <v>0</v>
      </c>
      <c r="U353" s="43"/>
      <c r="V353" s="486"/>
      <c r="W353" s="43"/>
      <c r="X353" s="43"/>
    </row>
    <row r="354" hidden="1">
      <c r="A354" s="51"/>
      <c r="B354" s="43"/>
      <c r="C354" s="51"/>
      <c r="D354" s="43"/>
      <c r="E354" s="43"/>
      <c r="F354" s="43"/>
      <c r="G354" s="43"/>
      <c r="H354" s="43"/>
      <c r="I354" s="43"/>
      <c r="J354" s="443"/>
      <c r="K354" s="43"/>
      <c r="L354" s="89"/>
      <c r="M354" s="89"/>
      <c r="O354" s="71">
        <f t="shared" si="21"/>
        <v>0</v>
      </c>
      <c r="P354" s="89">
        <f t="shared" si="22"/>
        <v>0</v>
      </c>
      <c r="Q354" s="491" t="str">
        <f>IF(ISBLANK(M354), "", VLOOKUP(A354&amp;" "&amp;B354, 'Info Tipo de Cambio y REM'!$A$24:$B$47, 2, FALSE))</f>
        <v/>
      </c>
      <c r="R354" s="109" t="str">
        <f t="shared" si="1"/>
        <v/>
      </c>
      <c r="S354" s="71" t="str">
        <f t="shared" si="2"/>
        <v/>
      </c>
      <c r="T354" s="71">
        <f t="shared" si="3"/>
        <v>0</v>
      </c>
      <c r="U354" s="43"/>
      <c r="V354" s="486"/>
      <c r="W354" s="43"/>
      <c r="X354" s="43"/>
    </row>
    <row r="355" hidden="1">
      <c r="A355" s="51"/>
      <c r="B355" s="43"/>
      <c r="C355" s="51"/>
      <c r="D355" s="43"/>
      <c r="E355" s="43"/>
      <c r="F355" s="43"/>
      <c r="G355" s="43"/>
      <c r="H355" s="43"/>
      <c r="I355" s="43"/>
      <c r="J355" s="443"/>
      <c r="K355" s="43"/>
      <c r="L355" s="89"/>
      <c r="M355" s="89"/>
      <c r="O355" s="71">
        <f t="shared" si="21"/>
        <v>0</v>
      </c>
      <c r="P355" s="89">
        <f t="shared" si="22"/>
        <v>0</v>
      </c>
      <c r="Q355" s="491" t="str">
        <f>IF(ISBLANK(M355), "", VLOOKUP(A355&amp;" "&amp;B355, 'Info Tipo de Cambio y REM'!$A$24:$B$47, 2, FALSE))</f>
        <v/>
      </c>
      <c r="R355" s="109" t="str">
        <f t="shared" si="1"/>
        <v/>
      </c>
      <c r="S355" s="71" t="str">
        <f t="shared" si="2"/>
        <v/>
      </c>
      <c r="T355" s="71">
        <f t="shared" si="3"/>
        <v>0</v>
      </c>
      <c r="U355" s="43"/>
      <c r="V355" s="486"/>
      <c r="W355" s="43"/>
      <c r="X355" s="43"/>
    </row>
    <row r="356" hidden="1">
      <c r="A356" s="51"/>
      <c r="B356" s="43"/>
      <c r="C356" s="51"/>
      <c r="D356" s="43"/>
      <c r="E356" s="43"/>
      <c r="F356" s="43"/>
      <c r="G356" s="43"/>
      <c r="H356" s="43"/>
      <c r="I356" s="43"/>
      <c r="J356" s="443"/>
      <c r="K356" s="43"/>
      <c r="L356" s="89"/>
      <c r="M356" s="89"/>
      <c r="O356" s="71">
        <f t="shared" si="21"/>
        <v>0</v>
      </c>
      <c r="P356" s="89">
        <f t="shared" si="22"/>
        <v>0</v>
      </c>
      <c r="Q356" s="491" t="str">
        <f>IF(ISBLANK(M356), "", VLOOKUP(A356&amp;" "&amp;B356, 'Info Tipo de Cambio y REM'!$A$24:$B$47, 2, FALSE))</f>
        <v/>
      </c>
      <c r="R356" s="109" t="str">
        <f t="shared" si="1"/>
        <v/>
      </c>
      <c r="S356" s="71" t="str">
        <f t="shared" si="2"/>
        <v/>
      </c>
      <c r="T356" s="71">
        <f t="shared" si="3"/>
        <v>0</v>
      </c>
      <c r="U356" s="43"/>
      <c r="V356" s="486"/>
      <c r="W356" s="43"/>
      <c r="X356" s="43"/>
    </row>
    <row r="357" hidden="1">
      <c r="A357" s="51"/>
      <c r="B357" s="43"/>
      <c r="C357" s="51"/>
      <c r="D357" s="43"/>
      <c r="E357" s="43"/>
      <c r="F357" s="43"/>
      <c r="G357" s="43"/>
      <c r="H357" s="43"/>
      <c r="I357" s="43"/>
      <c r="J357" s="443"/>
      <c r="K357" s="43"/>
      <c r="L357" s="89"/>
      <c r="M357" s="89"/>
      <c r="O357" s="71">
        <f t="shared" si="21"/>
        <v>0</v>
      </c>
      <c r="P357" s="89">
        <f t="shared" si="22"/>
        <v>0</v>
      </c>
      <c r="Q357" s="491" t="str">
        <f>IF(ISBLANK(M357), "", VLOOKUP(A357&amp;" "&amp;B357, 'Info Tipo de Cambio y REM'!$A$24:$B$47, 2, FALSE))</f>
        <v/>
      </c>
      <c r="R357" s="109" t="str">
        <f t="shared" si="1"/>
        <v/>
      </c>
      <c r="S357" s="71" t="str">
        <f t="shared" si="2"/>
        <v/>
      </c>
      <c r="T357" s="71">
        <f t="shared" si="3"/>
        <v>0</v>
      </c>
      <c r="U357" s="43"/>
      <c r="V357" s="486"/>
      <c r="W357" s="43"/>
      <c r="X357" s="43"/>
    </row>
    <row r="358" hidden="1">
      <c r="A358" s="51"/>
      <c r="B358" s="43"/>
      <c r="C358" s="51"/>
      <c r="D358" s="43"/>
      <c r="E358" s="43"/>
      <c r="F358" s="43"/>
      <c r="G358" s="43"/>
      <c r="H358" s="43"/>
      <c r="I358" s="43"/>
      <c r="J358" s="443"/>
      <c r="K358" s="43"/>
      <c r="L358" s="89"/>
      <c r="M358" s="89"/>
      <c r="O358" s="71">
        <f t="shared" si="21"/>
        <v>0</v>
      </c>
      <c r="P358" s="89">
        <f t="shared" si="22"/>
        <v>0</v>
      </c>
      <c r="Q358" s="491" t="str">
        <f>IF(ISBLANK(M358), "", VLOOKUP(A358&amp;" "&amp;B358, 'Info Tipo de Cambio y REM'!$A$24:$B$47, 2, FALSE))</f>
        <v/>
      </c>
      <c r="R358" s="109" t="str">
        <f t="shared" si="1"/>
        <v/>
      </c>
      <c r="S358" s="71" t="str">
        <f t="shared" si="2"/>
        <v/>
      </c>
      <c r="T358" s="71">
        <f t="shared" si="3"/>
        <v>0</v>
      </c>
      <c r="U358" s="43"/>
      <c r="V358" s="486"/>
      <c r="W358" s="43"/>
      <c r="X358" s="43"/>
    </row>
    <row r="359" hidden="1">
      <c r="A359" s="51"/>
      <c r="B359" s="43"/>
      <c r="C359" s="51"/>
      <c r="D359" s="43"/>
      <c r="E359" s="43"/>
      <c r="F359" s="43"/>
      <c r="G359" s="43"/>
      <c r="H359" s="43"/>
      <c r="I359" s="43"/>
      <c r="J359" s="443"/>
      <c r="K359" s="43"/>
      <c r="L359" s="89"/>
      <c r="M359" s="89"/>
      <c r="O359" s="71">
        <f t="shared" si="21"/>
        <v>0</v>
      </c>
      <c r="P359" s="89">
        <f t="shared" si="22"/>
        <v>0</v>
      </c>
      <c r="Q359" s="491" t="str">
        <f>IF(ISBLANK(M359), "", VLOOKUP(A359&amp;" "&amp;B359, 'Info Tipo de Cambio y REM'!$A$24:$B$47, 2, FALSE))</f>
        <v/>
      </c>
      <c r="R359" s="109" t="str">
        <f t="shared" si="1"/>
        <v/>
      </c>
      <c r="S359" s="71" t="str">
        <f t="shared" si="2"/>
        <v/>
      </c>
      <c r="T359" s="71">
        <f t="shared" si="3"/>
        <v>0</v>
      </c>
      <c r="U359" s="43"/>
      <c r="V359" s="486"/>
      <c r="W359" s="43"/>
      <c r="X359" s="43"/>
    </row>
    <row r="360" hidden="1">
      <c r="A360" s="51"/>
      <c r="B360" s="43"/>
      <c r="C360" s="51"/>
      <c r="D360" s="43"/>
      <c r="E360" s="43"/>
      <c r="F360" s="43"/>
      <c r="G360" s="43"/>
      <c r="H360" s="43"/>
      <c r="I360" s="43"/>
      <c r="J360" s="443"/>
      <c r="K360" s="43"/>
      <c r="L360" s="89"/>
      <c r="M360" s="89"/>
      <c r="O360" s="71">
        <f t="shared" si="21"/>
        <v>0</v>
      </c>
      <c r="P360" s="89">
        <f t="shared" si="22"/>
        <v>0</v>
      </c>
      <c r="Q360" s="491" t="str">
        <f>IF(ISBLANK(M360), "", VLOOKUP(A360&amp;" "&amp;B360, 'Info Tipo de Cambio y REM'!$A$24:$B$47, 2, FALSE))</f>
        <v/>
      </c>
      <c r="R360" s="109" t="str">
        <f t="shared" si="1"/>
        <v/>
      </c>
      <c r="S360" s="71" t="str">
        <f t="shared" si="2"/>
        <v/>
      </c>
      <c r="T360" s="71">
        <f t="shared" si="3"/>
        <v>0</v>
      </c>
      <c r="U360" s="43"/>
      <c r="V360" s="486"/>
      <c r="W360" s="43"/>
      <c r="X360" s="43"/>
    </row>
    <row r="361" hidden="1">
      <c r="A361" s="51"/>
      <c r="B361" s="43"/>
      <c r="C361" s="51"/>
      <c r="D361" s="43"/>
      <c r="E361" s="43"/>
      <c r="F361" s="43"/>
      <c r="G361" s="43"/>
      <c r="H361" s="43"/>
      <c r="I361" s="43"/>
      <c r="J361" s="443"/>
      <c r="K361" s="43"/>
      <c r="L361" s="89"/>
      <c r="M361" s="89"/>
      <c r="O361" s="71">
        <f t="shared" si="21"/>
        <v>0</v>
      </c>
      <c r="P361" s="89">
        <f t="shared" si="22"/>
        <v>0</v>
      </c>
      <c r="Q361" s="491" t="str">
        <f>IF(ISBLANK(M361), "", VLOOKUP(A361&amp;" "&amp;B361, 'Info Tipo de Cambio y REM'!$A$24:$B$47, 2, FALSE))</f>
        <v/>
      </c>
      <c r="R361" s="109" t="str">
        <f t="shared" si="1"/>
        <v/>
      </c>
      <c r="S361" s="71" t="str">
        <f t="shared" si="2"/>
        <v/>
      </c>
      <c r="T361" s="71">
        <f t="shared" si="3"/>
        <v>0</v>
      </c>
      <c r="U361" s="43"/>
      <c r="V361" s="486"/>
      <c r="W361" s="43"/>
      <c r="X361" s="43"/>
    </row>
    <row r="362" hidden="1">
      <c r="A362" s="51"/>
      <c r="B362" s="43"/>
      <c r="C362" s="51"/>
      <c r="D362" s="43"/>
      <c r="E362" s="43"/>
      <c r="F362" s="43"/>
      <c r="G362" s="43"/>
      <c r="H362" s="43"/>
      <c r="I362" s="43"/>
      <c r="J362" s="443"/>
      <c r="K362" s="43"/>
      <c r="L362" s="89"/>
      <c r="M362" s="89"/>
      <c r="O362" s="71">
        <f t="shared" si="21"/>
        <v>0</v>
      </c>
      <c r="P362" s="89">
        <f t="shared" si="22"/>
        <v>0</v>
      </c>
      <c r="Q362" s="491" t="str">
        <f>IF(ISBLANK(M362), "", VLOOKUP(A362&amp;" "&amp;B362, 'Info Tipo de Cambio y REM'!$A$24:$B$47, 2, FALSE))</f>
        <v/>
      </c>
      <c r="R362" s="109" t="str">
        <f t="shared" si="1"/>
        <v/>
      </c>
      <c r="S362" s="71" t="str">
        <f t="shared" si="2"/>
        <v/>
      </c>
      <c r="T362" s="71">
        <f t="shared" si="3"/>
        <v>0</v>
      </c>
      <c r="U362" s="43"/>
      <c r="V362" s="486"/>
      <c r="W362" s="43"/>
      <c r="X362" s="43"/>
    </row>
    <row r="363" hidden="1">
      <c r="A363" s="51"/>
      <c r="B363" s="43"/>
      <c r="C363" s="51"/>
      <c r="D363" s="43"/>
      <c r="E363" s="43"/>
      <c r="F363" s="43"/>
      <c r="G363" s="43"/>
      <c r="H363" s="43"/>
      <c r="I363" s="43"/>
      <c r="J363" s="443"/>
      <c r="K363" s="43"/>
      <c r="L363" s="89"/>
      <c r="M363" s="89"/>
      <c r="O363" s="71">
        <f t="shared" si="21"/>
        <v>0</v>
      </c>
      <c r="P363" s="89">
        <f t="shared" si="22"/>
        <v>0</v>
      </c>
      <c r="Q363" s="491" t="str">
        <f>IF(ISBLANK(M363), "", VLOOKUP(A363&amp;" "&amp;B363, 'Info Tipo de Cambio y REM'!$A$24:$B$47, 2, FALSE))</f>
        <v/>
      </c>
      <c r="R363" s="109" t="str">
        <f t="shared" si="1"/>
        <v/>
      </c>
      <c r="S363" s="71" t="str">
        <f t="shared" si="2"/>
        <v/>
      </c>
      <c r="T363" s="71">
        <f t="shared" si="3"/>
        <v>0</v>
      </c>
      <c r="U363" s="43"/>
      <c r="V363" s="486"/>
      <c r="W363" s="43"/>
      <c r="X363" s="43"/>
    </row>
    <row r="364" hidden="1">
      <c r="A364" s="51"/>
      <c r="B364" s="43"/>
      <c r="C364" s="51"/>
      <c r="D364" s="43"/>
      <c r="E364" s="43"/>
      <c r="F364" s="43"/>
      <c r="G364" s="43"/>
      <c r="H364" s="43"/>
      <c r="I364" s="43"/>
      <c r="J364" s="443"/>
      <c r="K364" s="43"/>
      <c r="L364" s="89"/>
      <c r="M364" s="89"/>
      <c r="O364" s="71">
        <f t="shared" si="21"/>
        <v>0</v>
      </c>
      <c r="P364" s="89">
        <f t="shared" si="22"/>
        <v>0</v>
      </c>
      <c r="Q364" s="491" t="str">
        <f>IF(ISBLANK(M364), "", VLOOKUP(A364&amp;" "&amp;B364, 'Info Tipo de Cambio y REM'!$A$24:$B$47, 2, FALSE))</f>
        <v/>
      </c>
      <c r="R364" s="109" t="str">
        <f t="shared" si="1"/>
        <v/>
      </c>
      <c r="S364" s="71" t="str">
        <f t="shared" si="2"/>
        <v/>
      </c>
      <c r="T364" s="71">
        <f t="shared" si="3"/>
        <v>0</v>
      </c>
      <c r="U364" s="43"/>
      <c r="V364" s="486"/>
      <c r="W364" s="43"/>
      <c r="X364" s="43"/>
    </row>
    <row r="365" hidden="1">
      <c r="A365" s="51"/>
      <c r="B365" s="43"/>
      <c r="C365" s="51"/>
      <c r="D365" s="43"/>
      <c r="E365" s="43"/>
      <c r="F365" s="43"/>
      <c r="G365" s="43"/>
      <c r="H365" s="43"/>
      <c r="I365" s="43"/>
      <c r="J365" s="443"/>
      <c r="K365" s="43"/>
      <c r="L365" s="89"/>
      <c r="M365" s="89"/>
      <c r="O365" s="71">
        <f t="shared" si="21"/>
        <v>0</v>
      </c>
      <c r="P365" s="89">
        <f t="shared" si="22"/>
        <v>0</v>
      </c>
      <c r="Q365" s="491" t="str">
        <f>IF(ISBLANK(M365), "", VLOOKUP(A365&amp;" "&amp;B365, 'Info Tipo de Cambio y REM'!$A$24:$B$47, 2, FALSE))</f>
        <v/>
      </c>
      <c r="R365" s="109" t="str">
        <f t="shared" si="1"/>
        <v/>
      </c>
      <c r="S365" s="71" t="str">
        <f t="shared" si="2"/>
        <v/>
      </c>
      <c r="T365" s="71">
        <f t="shared" si="3"/>
        <v>0</v>
      </c>
      <c r="U365" s="43"/>
      <c r="V365" s="486"/>
      <c r="W365" s="43"/>
      <c r="X365" s="43"/>
    </row>
    <row r="366" hidden="1">
      <c r="A366" s="51"/>
      <c r="B366" s="43"/>
      <c r="C366" s="51"/>
      <c r="D366" s="43"/>
      <c r="E366" s="43"/>
      <c r="F366" s="43"/>
      <c r="G366" s="43"/>
      <c r="H366" s="43"/>
      <c r="I366" s="43"/>
      <c r="J366" s="443"/>
      <c r="K366" s="43"/>
      <c r="L366" s="89"/>
      <c r="M366" s="89"/>
      <c r="O366" s="71">
        <f t="shared" si="21"/>
        <v>0</v>
      </c>
      <c r="P366" s="89">
        <f t="shared" si="22"/>
        <v>0</v>
      </c>
      <c r="Q366" s="491" t="str">
        <f>IF(ISBLANK(M366), "", VLOOKUP(A366&amp;" "&amp;B366, 'Info Tipo de Cambio y REM'!$A$24:$B$47, 2, FALSE))</f>
        <v/>
      </c>
      <c r="R366" s="109" t="str">
        <f t="shared" si="1"/>
        <v/>
      </c>
      <c r="S366" s="71" t="str">
        <f t="shared" si="2"/>
        <v/>
      </c>
      <c r="T366" s="71">
        <f t="shared" si="3"/>
        <v>0</v>
      </c>
      <c r="U366" s="43"/>
      <c r="V366" s="486"/>
      <c r="W366" s="43"/>
      <c r="X366" s="43"/>
    </row>
    <row r="367" hidden="1">
      <c r="A367" s="51"/>
      <c r="B367" s="43"/>
      <c r="C367" s="51"/>
      <c r="D367" s="43"/>
      <c r="E367" s="43"/>
      <c r="F367" s="43"/>
      <c r="G367" s="43"/>
      <c r="H367" s="43"/>
      <c r="I367" s="43"/>
      <c r="J367" s="443"/>
      <c r="K367" s="43"/>
      <c r="L367" s="89"/>
      <c r="M367" s="89"/>
      <c r="O367" s="71">
        <f t="shared" si="21"/>
        <v>0</v>
      </c>
      <c r="P367" s="89">
        <f t="shared" si="22"/>
        <v>0</v>
      </c>
      <c r="Q367" s="491" t="str">
        <f>IF(ISBLANK(M367), "", VLOOKUP(A367&amp;" "&amp;B367, 'Info Tipo de Cambio y REM'!$A$24:$B$47, 2, FALSE))</f>
        <v/>
      </c>
      <c r="R367" s="109" t="str">
        <f t="shared" si="1"/>
        <v/>
      </c>
      <c r="S367" s="71" t="str">
        <f t="shared" si="2"/>
        <v/>
      </c>
      <c r="T367" s="71">
        <f t="shared" si="3"/>
        <v>0</v>
      </c>
      <c r="U367" s="43"/>
      <c r="V367" s="486"/>
      <c r="W367" s="43"/>
      <c r="X367" s="43"/>
    </row>
    <row r="368" hidden="1">
      <c r="A368" s="51"/>
      <c r="B368" s="43"/>
      <c r="C368" s="51"/>
      <c r="D368" s="43"/>
      <c r="E368" s="43"/>
      <c r="F368" s="43"/>
      <c r="G368" s="43"/>
      <c r="H368" s="43"/>
      <c r="I368" s="43"/>
      <c r="J368" s="443"/>
      <c r="K368" s="43"/>
      <c r="L368" s="89"/>
      <c r="M368" s="89"/>
      <c r="O368" s="71">
        <f t="shared" si="21"/>
        <v>0</v>
      </c>
      <c r="P368" s="89">
        <f t="shared" si="22"/>
        <v>0</v>
      </c>
      <c r="Q368" s="491" t="str">
        <f>IF(ISBLANK(M368), "", VLOOKUP(A368&amp;" "&amp;B368, 'Info Tipo de Cambio y REM'!$A$24:$B$47, 2, FALSE))</f>
        <v/>
      </c>
      <c r="R368" s="109" t="str">
        <f t="shared" si="1"/>
        <v/>
      </c>
      <c r="S368" s="71" t="str">
        <f t="shared" si="2"/>
        <v/>
      </c>
      <c r="T368" s="71">
        <f t="shared" si="3"/>
        <v>0</v>
      </c>
      <c r="U368" s="43"/>
      <c r="V368" s="486"/>
      <c r="W368" s="43"/>
      <c r="X368" s="43"/>
    </row>
    <row r="369" hidden="1">
      <c r="A369" s="51"/>
      <c r="B369" s="43"/>
      <c r="C369" s="51"/>
      <c r="D369" s="43"/>
      <c r="E369" s="43"/>
      <c r="F369" s="43"/>
      <c r="G369" s="43"/>
      <c r="H369" s="43"/>
      <c r="I369" s="43"/>
      <c r="J369" s="443"/>
      <c r="K369" s="43"/>
      <c r="L369" s="89"/>
      <c r="M369" s="89"/>
      <c r="O369" s="71">
        <f t="shared" si="21"/>
        <v>0</v>
      </c>
      <c r="P369" s="89">
        <f t="shared" si="22"/>
        <v>0</v>
      </c>
      <c r="Q369" s="491" t="str">
        <f>IF(ISBLANK(M369), "", VLOOKUP(A369&amp;" "&amp;B369, 'Info Tipo de Cambio y REM'!$A$24:$B$47, 2, FALSE))</f>
        <v/>
      </c>
      <c r="R369" s="109" t="str">
        <f t="shared" si="1"/>
        <v/>
      </c>
      <c r="S369" s="71" t="str">
        <f t="shared" si="2"/>
        <v/>
      </c>
      <c r="T369" s="71">
        <f t="shared" si="3"/>
        <v>0</v>
      </c>
      <c r="U369" s="43"/>
      <c r="V369" s="486"/>
      <c r="W369" s="43"/>
      <c r="X369" s="43"/>
    </row>
    <row r="370" hidden="1">
      <c r="A370" s="51"/>
      <c r="B370" s="43"/>
      <c r="C370" s="51"/>
      <c r="D370" s="43"/>
      <c r="E370" s="43"/>
      <c r="F370" s="43"/>
      <c r="G370" s="43"/>
      <c r="H370" s="43"/>
      <c r="I370" s="43"/>
      <c r="J370" s="443"/>
      <c r="K370" s="43"/>
      <c r="L370" s="89"/>
      <c r="M370" s="89"/>
      <c r="O370" s="71">
        <f t="shared" si="21"/>
        <v>0</v>
      </c>
      <c r="P370" s="89">
        <f t="shared" si="22"/>
        <v>0</v>
      </c>
      <c r="Q370" s="491" t="str">
        <f>IF(ISBLANK(M370), "", VLOOKUP(A370&amp;" "&amp;B370, 'Info Tipo de Cambio y REM'!$A$24:$B$47, 2, FALSE))</f>
        <v/>
      </c>
      <c r="R370" s="109" t="str">
        <f t="shared" si="1"/>
        <v/>
      </c>
      <c r="S370" s="71" t="str">
        <f t="shared" si="2"/>
        <v/>
      </c>
      <c r="T370" s="71">
        <f t="shared" si="3"/>
        <v>0</v>
      </c>
      <c r="U370" s="43"/>
      <c r="V370" s="486"/>
      <c r="W370" s="43"/>
      <c r="X370" s="43"/>
    </row>
    <row r="371" hidden="1">
      <c r="A371" s="51"/>
      <c r="B371" s="43"/>
      <c r="C371" s="51"/>
      <c r="D371" s="43"/>
      <c r="E371" s="43"/>
      <c r="F371" s="43"/>
      <c r="G371" s="43"/>
      <c r="H371" s="43"/>
      <c r="I371" s="43"/>
      <c r="J371" s="443"/>
      <c r="K371" s="43"/>
      <c r="L371" s="89"/>
      <c r="M371" s="89"/>
      <c r="O371" s="71">
        <f t="shared" si="21"/>
        <v>0</v>
      </c>
      <c r="P371" s="89">
        <f t="shared" si="22"/>
        <v>0</v>
      </c>
      <c r="Q371" s="491" t="str">
        <f>IF(ISBLANK(M371), "", VLOOKUP(A371&amp;" "&amp;B371, 'Info Tipo de Cambio y REM'!$A$24:$B$47, 2, FALSE))</f>
        <v/>
      </c>
      <c r="R371" s="109" t="str">
        <f t="shared" si="1"/>
        <v/>
      </c>
      <c r="S371" s="71" t="str">
        <f t="shared" si="2"/>
        <v/>
      </c>
      <c r="T371" s="71">
        <f t="shared" si="3"/>
        <v>0</v>
      </c>
      <c r="U371" s="43"/>
      <c r="V371" s="486"/>
      <c r="W371" s="43"/>
      <c r="X371" s="43"/>
    </row>
    <row r="372" hidden="1">
      <c r="A372" s="51"/>
      <c r="B372" s="43"/>
      <c r="C372" s="51"/>
      <c r="D372" s="43"/>
      <c r="E372" s="43"/>
      <c r="F372" s="43"/>
      <c r="G372" s="43"/>
      <c r="H372" s="43"/>
      <c r="I372" s="43"/>
      <c r="J372" s="443"/>
      <c r="K372" s="43"/>
      <c r="L372" s="89"/>
      <c r="M372" s="89"/>
      <c r="O372" s="71">
        <f t="shared" si="21"/>
        <v>0</v>
      </c>
      <c r="P372" s="89">
        <f t="shared" si="22"/>
        <v>0</v>
      </c>
      <c r="Q372" s="491" t="str">
        <f>IF(ISBLANK(M372), "", VLOOKUP(A372&amp;" "&amp;B372, 'Info Tipo de Cambio y REM'!$A$24:$B$47, 2, FALSE))</f>
        <v/>
      </c>
      <c r="R372" s="109" t="str">
        <f t="shared" si="1"/>
        <v/>
      </c>
      <c r="S372" s="71" t="str">
        <f t="shared" si="2"/>
        <v/>
      </c>
      <c r="T372" s="71">
        <f t="shared" si="3"/>
        <v>0</v>
      </c>
      <c r="U372" s="43"/>
      <c r="V372" s="486"/>
      <c r="W372" s="43"/>
      <c r="X372" s="43"/>
    </row>
    <row r="373" hidden="1">
      <c r="A373" s="51"/>
      <c r="B373" s="43"/>
      <c r="C373" s="51"/>
      <c r="D373" s="43"/>
      <c r="E373" s="43"/>
      <c r="F373" s="43"/>
      <c r="G373" s="43"/>
      <c r="H373" s="43"/>
      <c r="I373" s="43"/>
      <c r="J373" s="443"/>
      <c r="K373" s="43"/>
      <c r="L373" s="89"/>
      <c r="M373" s="89"/>
      <c r="O373" s="71">
        <f t="shared" si="21"/>
        <v>0</v>
      </c>
      <c r="P373" s="89">
        <f t="shared" si="22"/>
        <v>0</v>
      </c>
      <c r="Q373" s="491" t="str">
        <f>IF(ISBLANK(M373), "", VLOOKUP(A373&amp;" "&amp;B373, 'Info Tipo de Cambio y REM'!$A$24:$B$47, 2, FALSE))</f>
        <v/>
      </c>
      <c r="R373" s="109" t="str">
        <f t="shared" si="1"/>
        <v/>
      </c>
      <c r="S373" s="71" t="str">
        <f t="shared" si="2"/>
        <v/>
      </c>
      <c r="T373" s="71">
        <f t="shared" si="3"/>
        <v>0</v>
      </c>
      <c r="U373" s="43"/>
      <c r="V373" s="486"/>
      <c r="W373" s="43"/>
      <c r="X373" s="43"/>
    </row>
    <row r="374" hidden="1">
      <c r="A374" s="51"/>
      <c r="B374" s="43"/>
      <c r="C374" s="51"/>
      <c r="D374" s="43"/>
      <c r="E374" s="43"/>
      <c r="F374" s="43"/>
      <c r="G374" s="43"/>
      <c r="H374" s="43"/>
      <c r="I374" s="43"/>
      <c r="J374" s="443"/>
      <c r="K374" s="43"/>
      <c r="L374" s="89"/>
      <c r="M374" s="89"/>
      <c r="O374" s="71">
        <f t="shared" si="21"/>
        <v>0</v>
      </c>
      <c r="P374" s="89">
        <f t="shared" si="22"/>
        <v>0</v>
      </c>
      <c r="Q374" s="491" t="str">
        <f>IF(ISBLANK(M374), "", VLOOKUP(A374&amp;" "&amp;B374, 'Info Tipo de Cambio y REM'!$A$24:$B$47, 2, FALSE))</f>
        <v/>
      </c>
      <c r="R374" s="109" t="str">
        <f t="shared" si="1"/>
        <v/>
      </c>
      <c r="S374" s="71" t="str">
        <f t="shared" si="2"/>
        <v/>
      </c>
      <c r="T374" s="71">
        <f t="shared" si="3"/>
        <v>0</v>
      </c>
      <c r="U374" s="43"/>
      <c r="V374" s="486"/>
      <c r="W374" s="43"/>
      <c r="X374" s="43"/>
    </row>
    <row r="375" hidden="1">
      <c r="A375" s="51"/>
      <c r="B375" s="43"/>
      <c r="C375" s="51"/>
      <c r="D375" s="43"/>
      <c r="E375" s="43"/>
      <c r="F375" s="43"/>
      <c r="G375" s="43"/>
      <c r="H375" s="43"/>
      <c r="I375" s="43"/>
      <c r="J375" s="443"/>
      <c r="K375" s="43"/>
      <c r="L375" s="89"/>
      <c r="M375" s="89"/>
      <c r="O375" s="71">
        <f t="shared" si="21"/>
        <v>0</v>
      </c>
      <c r="P375" s="89">
        <f t="shared" si="22"/>
        <v>0</v>
      </c>
      <c r="Q375" s="491" t="str">
        <f>IF(ISBLANK(M375), "", VLOOKUP(A375&amp;" "&amp;B375, 'Info Tipo de Cambio y REM'!$A$24:$B$47, 2, FALSE))</f>
        <v/>
      </c>
      <c r="R375" s="109" t="str">
        <f t="shared" si="1"/>
        <v/>
      </c>
      <c r="S375" s="71" t="str">
        <f t="shared" si="2"/>
        <v/>
      </c>
      <c r="T375" s="71">
        <f t="shared" si="3"/>
        <v>0</v>
      </c>
      <c r="U375" s="43"/>
      <c r="V375" s="486"/>
      <c r="W375" s="43"/>
      <c r="X375" s="43"/>
    </row>
    <row r="376" hidden="1">
      <c r="A376" s="51"/>
      <c r="B376" s="43"/>
      <c r="C376" s="51"/>
      <c r="D376" s="43"/>
      <c r="E376" s="43"/>
      <c r="F376" s="43"/>
      <c r="G376" s="43"/>
      <c r="H376" s="43"/>
      <c r="I376" s="43"/>
      <c r="J376" s="443"/>
      <c r="K376" s="43"/>
      <c r="L376" s="89"/>
      <c r="M376" s="89"/>
      <c r="O376" s="71">
        <f t="shared" si="21"/>
        <v>0</v>
      </c>
      <c r="P376" s="89">
        <f t="shared" si="22"/>
        <v>0</v>
      </c>
      <c r="Q376" s="491" t="str">
        <f>IF(ISBLANK(M376), "", VLOOKUP(A376&amp;" "&amp;B376, 'Info Tipo de Cambio y REM'!$A$24:$B$47, 2, FALSE))</f>
        <v/>
      </c>
      <c r="R376" s="109" t="str">
        <f t="shared" si="1"/>
        <v/>
      </c>
      <c r="S376" s="71" t="str">
        <f t="shared" si="2"/>
        <v/>
      </c>
      <c r="T376" s="71">
        <f t="shared" si="3"/>
        <v>0</v>
      </c>
      <c r="U376" s="43"/>
      <c r="V376" s="486"/>
      <c r="W376" s="43"/>
      <c r="X376" s="43"/>
    </row>
    <row r="377" hidden="1">
      <c r="A377" s="51"/>
      <c r="B377" s="43"/>
      <c r="C377" s="51"/>
      <c r="D377" s="43"/>
      <c r="E377" s="43"/>
      <c r="F377" s="43"/>
      <c r="G377" s="43"/>
      <c r="H377" s="43"/>
      <c r="I377" s="43"/>
      <c r="J377" s="443"/>
      <c r="K377" s="43"/>
      <c r="L377" s="89"/>
      <c r="M377" s="89"/>
      <c r="O377" s="71">
        <f t="shared" si="21"/>
        <v>0</v>
      </c>
      <c r="P377" s="89">
        <f t="shared" si="22"/>
        <v>0</v>
      </c>
      <c r="Q377" s="491" t="str">
        <f>IF(ISBLANK(M377), "", VLOOKUP(A377&amp;" "&amp;B377, 'Info Tipo de Cambio y REM'!$A$24:$B$47, 2, FALSE))</f>
        <v/>
      </c>
      <c r="R377" s="109" t="str">
        <f t="shared" si="1"/>
        <v/>
      </c>
      <c r="S377" s="71" t="str">
        <f t="shared" si="2"/>
        <v/>
      </c>
      <c r="T377" s="71">
        <f t="shared" si="3"/>
        <v>0</v>
      </c>
      <c r="U377" s="43"/>
      <c r="V377" s="486"/>
      <c r="W377" s="43"/>
      <c r="X377" s="43"/>
    </row>
    <row r="378" hidden="1">
      <c r="A378" s="51"/>
      <c r="B378" s="43"/>
      <c r="C378" s="51"/>
      <c r="D378" s="43"/>
      <c r="E378" s="43"/>
      <c r="F378" s="43"/>
      <c r="G378" s="43"/>
      <c r="H378" s="43"/>
      <c r="I378" s="43"/>
      <c r="J378" s="443"/>
      <c r="K378" s="43"/>
      <c r="L378" s="89"/>
      <c r="M378" s="89"/>
      <c r="O378" s="71">
        <f t="shared" si="21"/>
        <v>0</v>
      </c>
      <c r="P378" s="89">
        <f t="shared" si="22"/>
        <v>0</v>
      </c>
      <c r="Q378" s="491" t="str">
        <f>IF(ISBLANK(M378), "", VLOOKUP(A378&amp;" "&amp;B378, 'Info Tipo de Cambio y REM'!$A$24:$B$47, 2, FALSE))</f>
        <v/>
      </c>
      <c r="R378" s="109" t="str">
        <f t="shared" si="1"/>
        <v/>
      </c>
      <c r="S378" s="71" t="str">
        <f t="shared" si="2"/>
        <v/>
      </c>
      <c r="T378" s="71">
        <f t="shared" si="3"/>
        <v>0</v>
      </c>
      <c r="U378" s="43"/>
      <c r="V378" s="486"/>
      <c r="W378" s="43"/>
      <c r="X378" s="43"/>
    </row>
    <row r="379" hidden="1">
      <c r="A379" s="51"/>
      <c r="B379" s="43"/>
      <c r="C379" s="51"/>
      <c r="D379" s="43"/>
      <c r="E379" s="43"/>
      <c r="F379" s="43"/>
      <c r="G379" s="43"/>
      <c r="H379" s="43"/>
      <c r="I379" s="43"/>
      <c r="J379" s="443"/>
      <c r="K379" s="43"/>
      <c r="L379" s="89"/>
      <c r="M379" s="89"/>
      <c r="O379" s="71">
        <f t="shared" si="21"/>
        <v>0</v>
      </c>
      <c r="P379" s="89">
        <f t="shared" si="22"/>
        <v>0</v>
      </c>
      <c r="Q379" s="491" t="str">
        <f>IF(ISBLANK(M379), "", VLOOKUP(A379&amp;" "&amp;B379, 'Info Tipo de Cambio y REM'!$A$24:$B$47, 2, FALSE))</f>
        <v/>
      </c>
      <c r="R379" s="109" t="str">
        <f t="shared" si="1"/>
        <v/>
      </c>
      <c r="S379" s="71" t="str">
        <f t="shared" si="2"/>
        <v/>
      </c>
      <c r="T379" s="71">
        <f t="shared" si="3"/>
        <v>0</v>
      </c>
      <c r="U379" s="43"/>
      <c r="V379" s="486"/>
      <c r="W379" s="43"/>
      <c r="X379" s="43"/>
    </row>
    <row r="380" hidden="1">
      <c r="A380" s="51"/>
      <c r="B380" s="43"/>
      <c r="C380" s="51"/>
      <c r="D380" s="43"/>
      <c r="E380" s="43"/>
      <c r="F380" s="43"/>
      <c r="G380" s="43"/>
      <c r="H380" s="43"/>
      <c r="I380" s="43"/>
      <c r="J380" s="443"/>
      <c r="K380" s="43"/>
      <c r="L380" s="89"/>
      <c r="M380" s="89"/>
      <c r="O380" s="71">
        <f t="shared" si="21"/>
        <v>0</v>
      </c>
      <c r="P380" s="89">
        <f t="shared" si="22"/>
        <v>0</v>
      </c>
      <c r="Q380" s="491" t="str">
        <f>IF(ISBLANK(M380), "", VLOOKUP(A380&amp;" "&amp;B380, 'Info Tipo de Cambio y REM'!$A$24:$B$47, 2, FALSE))</f>
        <v/>
      </c>
      <c r="R380" s="109" t="str">
        <f t="shared" si="1"/>
        <v/>
      </c>
      <c r="S380" s="71" t="str">
        <f t="shared" si="2"/>
        <v/>
      </c>
      <c r="T380" s="71">
        <f t="shared" si="3"/>
        <v>0</v>
      </c>
      <c r="U380" s="43"/>
      <c r="V380" s="486"/>
      <c r="W380" s="43"/>
      <c r="X380" s="43"/>
    </row>
    <row r="381" hidden="1">
      <c r="A381" s="51"/>
      <c r="B381" s="43"/>
      <c r="C381" s="51"/>
      <c r="D381" s="43"/>
      <c r="E381" s="43"/>
      <c r="F381" s="43"/>
      <c r="G381" s="43"/>
      <c r="H381" s="43"/>
      <c r="I381" s="43"/>
      <c r="J381" s="443"/>
      <c r="K381" s="43"/>
      <c r="L381" s="89"/>
      <c r="M381" s="89"/>
      <c r="O381" s="71">
        <f t="shared" si="21"/>
        <v>0</v>
      </c>
      <c r="P381" s="89">
        <f t="shared" si="22"/>
        <v>0</v>
      </c>
      <c r="Q381" s="491" t="str">
        <f>IF(ISBLANK(M381), "", VLOOKUP(A381&amp;" "&amp;B381, 'Info Tipo de Cambio y REM'!$A$24:$B$47, 2, FALSE))</f>
        <v/>
      </c>
      <c r="R381" s="109" t="str">
        <f t="shared" si="1"/>
        <v/>
      </c>
      <c r="S381" s="71" t="str">
        <f t="shared" si="2"/>
        <v/>
      </c>
      <c r="T381" s="71">
        <f t="shared" si="3"/>
        <v>0</v>
      </c>
      <c r="U381" s="43"/>
      <c r="V381" s="486"/>
      <c r="W381" s="43"/>
      <c r="X381" s="43"/>
    </row>
    <row r="382" hidden="1">
      <c r="A382" s="51"/>
      <c r="B382" s="43"/>
      <c r="C382" s="51"/>
      <c r="D382" s="43"/>
      <c r="E382" s="43"/>
      <c r="F382" s="43"/>
      <c r="G382" s="43"/>
      <c r="H382" s="43"/>
      <c r="I382" s="43"/>
      <c r="J382" s="443"/>
      <c r="K382" s="43"/>
      <c r="L382" s="89"/>
      <c r="M382" s="89"/>
      <c r="O382" s="71">
        <f t="shared" si="21"/>
        <v>0</v>
      </c>
      <c r="P382" s="89">
        <f t="shared" si="22"/>
        <v>0</v>
      </c>
      <c r="Q382" s="491" t="str">
        <f>IF(ISBLANK(M382), "", VLOOKUP(A382&amp;" "&amp;B382, 'Info Tipo de Cambio y REM'!$A$24:$B$47, 2, FALSE))</f>
        <v/>
      </c>
      <c r="R382" s="109" t="str">
        <f t="shared" si="1"/>
        <v/>
      </c>
      <c r="S382" s="71" t="str">
        <f t="shared" si="2"/>
        <v/>
      </c>
      <c r="T382" s="71">
        <f t="shared" si="3"/>
        <v>0</v>
      </c>
      <c r="U382" s="43"/>
      <c r="V382" s="486"/>
      <c r="W382" s="43"/>
      <c r="X382" s="43"/>
    </row>
    <row r="383" hidden="1">
      <c r="A383" s="51"/>
      <c r="B383" s="43"/>
      <c r="C383" s="51"/>
      <c r="D383" s="43"/>
      <c r="E383" s="43"/>
      <c r="F383" s="43"/>
      <c r="G383" s="43"/>
      <c r="H383" s="43"/>
      <c r="I383" s="43"/>
      <c r="J383" s="443"/>
      <c r="K383" s="43"/>
      <c r="L383" s="89"/>
      <c r="M383" s="89"/>
      <c r="O383" s="71">
        <f t="shared" si="21"/>
        <v>0</v>
      </c>
      <c r="P383" s="89">
        <f t="shared" si="22"/>
        <v>0</v>
      </c>
      <c r="Q383" s="491" t="str">
        <f>IF(ISBLANK(M383), "", VLOOKUP(A383&amp;" "&amp;B383, 'Info Tipo de Cambio y REM'!$A$24:$B$47, 2, FALSE))</f>
        <v/>
      </c>
      <c r="R383" s="109" t="str">
        <f t="shared" si="1"/>
        <v/>
      </c>
      <c r="S383" s="71" t="str">
        <f t="shared" si="2"/>
        <v/>
      </c>
      <c r="T383" s="71">
        <f t="shared" si="3"/>
        <v>0</v>
      </c>
      <c r="U383" s="43"/>
      <c r="V383" s="486"/>
      <c r="W383" s="43"/>
      <c r="X383" s="43"/>
    </row>
    <row r="384" hidden="1">
      <c r="A384" s="51"/>
      <c r="B384" s="43"/>
      <c r="C384" s="51"/>
      <c r="D384" s="43"/>
      <c r="E384" s="43"/>
      <c r="F384" s="43"/>
      <c r="G384" s="43"/>
      <c r="H384" s="43"/>
      <c r="I384" s="43"/>
      <c r="J384" s="443"/>
      <c r="K384" s="43"/>
      <c r="L384" s="89"/>
      <c r="M384" s="89"/>
      <c r="O384" s="71">
        <f t="shared" si="21"/>
        <v>0</v>
      </c>
      <c r="P384" s="89">
        <f t="shared" si="22"/>
        <v>0</v>
      </c>
      <c r="Q384" s="491" t="str">
        <f>IF(ISBLANK(M384), "", VLOOKUP(A384&amp;" "&amp;B384, 'Info Tipo de Cambio y REM'!$A$24:$B$47, 2, FALSE))</f>
        <v/>
      </c>
      <c r="R384" s="109" t="str">
        <f t="shared" si="1"/>
        <v/>
      </c>
      <c r="S384" s="71" t="str">
        <f t="shared" si="2"/>
        <v/>
      </c>
      <c r="T384" s="71">
        <f t="shared" si="3"/>
        <v>0</v>
      </c>
      <c r="U384" s="43"/>
      <c r="V384" s="486"/>
      <c r="W384" s="43"/>
      <c r="X384" s="43"/>
    </row>
    <row r="385" hidden="1">
      <c r="A385" s="51"/>
      <c r="B385" s="43"/>
      <c r="C385" s="51"/>
      <c r="D385" s="43"/>
      <c r="E385" s="43"/>
      <c r="F385" s="43"/>
      <c r="G385" s="43"/>
      <c r="H385" s="43"/>
      <c r="I385" s="43"/>
      <c r="J385" s="443"/>
      <c r="K385" s="43"/>
      <c r="L385" s="89"/>
      <c r="M385" s="89"/>
      <c r="O385" s="71">
        <f t="shared" si="21"/>
        <v>0</v>
      </c>
      <c r="P385" s="89">
        <f t="shared" si="22"/>
        <v>0</v>
      </c>
      <c r="Q385" s="491" t="str">
        <f>IF(ISBLANK(M385), "", VLOOKUP(A385&amp;" "&amp;B385, 'Info Tipo de Cambio y REM'!$A$24:$B$47, 2, FALSE))</f>
        <v/>
      </c>
      <c r="R385" s="109" t="str">
        <f t="shared" si="1"/>
        <v/>
      </c>
      <c r="S385" s="71" t="str">
        <f t="shared" si="2"/>
        <v/>
      </c>
      <c r="T385" s="71">
        <f t="shared" si="3"/>
        <v>0</v>
      </c>
      <c r="U385" s="43"/>
      <c r="V385" s="486"/>
      <c r="W385" s="43"/>
      <c r="X385" s="43"/>
    </row>
    <row r="386" hidden="1">
      <c r="A386" s="51"/>
      <c r="B386" s="43"/>
      <c r="C386" s="51"/>
      <c r="D386" s="43"/>
      <c r="E386" s="43"/>
      <c r="F386" s="43"/>
      <c r="G386" s="43"/>
      <c r="H386" s="43"/>
      <c r="I386" s="43"/>
      <c r="J386" s="443"/>
      <c r="K386" s="43"/>
      <c r="L386" s="89"/>
      <c r="M386" s="89"/>
      <c r="O386" s="71">
        <f t="shared" si="21"/>
        <v>0</v>
      </c>
      <c r="P386" s="89">
        <f t="shared" si="22"/>
        <v>0</v>
      </c>
      <c r="Q386" s="491" t="str">
        <f>IF(ISBLANK(M386), "", VLOOKUP(A386&amp;" "&amp;B386, 'Info Tipo de Cambio y REM'!$A$24:$B$47, 2, FALSE))</f>
        <v/>
      </c>
      <c r="R386" s="109" t="str">
        <f t="shared" si="1"/>
        <v/>
      </c>
      <c r="S386" s="71" t="str">
        <f t="shared" si="2"/>
        <v/>
      </c>
      <c r="T386" s="71">
        <f t="shared" si="3"/>
        <v>0</v>
      </c>
      <c r="U386" s="43"/>
      <c r="V386" s="486"/>
      <c r="W386" s="43"/>
      <c r="X386" s="43"/>
    </row>
    <row r="387" hidden="1">
      <c r="A387" s="51"/>
      <c r="B387" s="43"/>
      <c r="C387" s="51"/>
      <c r="D387" s="43"/>
      <c r="E387" s="43"/>
      <c r="F387" s="43"/>
      <c r="G387" s="43"/>
      <c r="H387" s="43"/>
      <c r="I387" s="43"/>
      <c r="J387" s="443"/>
      <c r="K387" s="43"/>
      <c r="L387" s="89"/>
      <c r="M387" s="89"/>
      <c r="O387" s="71">
        <f t="shared" si="21"/>
        <v>0</v>
      </c>
      <c r="P387" s="89">
        <f t="shared" si="22"/>
        <v>0</v>
      </c>
      <c r="Q387" s="491" t="str">
        <f>IF(ISBLANK(M387), "", VLOOKUP(A387&amp;" "&amp;B387, 'Info Tipo de Cambio y REM'!$A$24:$B$47, 2, FALSE))</f>
        <v/>
      </c>
      <c r="R387" s="109" t="str">
        <f t="shared" si="1"/>
        <v/>
      </c>
      <c r="S387" s="71" t="str">
        <f t="shared" si="2"/>
        <v/>
      </c>
      <c r="T387" s="71">
        <f t="shared" si="3"/>
        <v>0</v>
      </c>
      <c r="U387" s="43"/>
      <c r="V387" s="486"/>
      <c r="W387" s="43"/>
      <c r="X387" s="43"/>
    </row>
    <row r="388" hidden="1">
      <c r="A388" s="51"/>
      <c r="B388" s="43"/>
      <c r="C388" s="51"/>
      <c r="D388" s="43"/>
      <c r="E388" s="43"/>
      <c r="F388" s="43"/>
      <c r="G388" s="43"/>
      <c r="H388" s="43"/>
      <c r="I388" s="43"/>
      <c r="J388" s="443"/>
      <c r="K388" s="43"/>
      <c r="L388" s="89"/>
      <c r="M388" s="89"/>
      <c r="O388" s="71">
        <f t="shared" si="21"/>
        <v>0</v>
      </c>
      <c r="P388" s="89">
        <f t="shared" si="22"/>
        <v>0</v>
      </c>
      <c r="Q388" s="491" t="str">
        <f>IF(ISBLANK(M388), "", VLOOKUP(A388&amp;" "&amp;B388, 'Info Tipo de Cambio y REM'!$A$24:$B$47, 2, FALSE))</f>
        <v/>
      </c>
      <c r="R388" s="109" t="str">
        <f t="shared" si="1"/>
        <v/>
      </c>
      <c r="S388" s="71" t="str">
        <f t="shared" si="2"/>
        <v/>
      </c>
      <c r="T388" s="71">
        <f t="shared" si="3"/>
        <v>0</v>
      </c>
      <c r="U388" s="43"/>
      <c r="V388" s="486"/>
      <c r="W388" s="43"/>
      <c r="X388" s="43"/>
    </row>
    <row r="389" hidden="1">
      <c r="A389" s="51"/>
      <c r="B389" s="43"/>
      <c r="C389" s="51"/>
      <c r="D389" s="43"/>
      <c r="E389" s="43"/>
      <c r="F389" s="43"/>
      <c r="G389" s="43"/>
      <c r="H389" s="43"/>
      <c r="I389" s="43"/>
      <c r="J389" s="443"/>
      <c r="K389" s="43"/>
      <c r="L389" s="89"/>
      <c r="M389" s="89"/>
      <c r="O389" s="71">
        <f t="shared" si="21"/>
        <v>0</v>
      </c>
      <c r="P389" s="89">
        <f t="shared" si="22"/>
        <v>0</v>
      </c>
      <c r="Q389" s="491" t="str">
        <f>IF(ISBLANK(M389), "", VLOOKUP(A389&amp;" "&amp;B389, 'Info Tipo de Cambio y REM'!$A$24:$B$47, 2, FALSE))</f>
        <v/>
      </c>
      <c r="R389" s="109" t="str">
        <f t="shared" si="1"/>
        <v/>
      </c>
      <c r="S389" s="71" t="str">
        <f t="shared" si="2"/>
        <v/>
      </c>
      <c r="T389" s="71">
        <f t="shared" si="3"/>
        <v>0</v>
      </c>
      <c r="U389" s="43"/>
      <c r="V389" s="486"/>
      <c r="W389" s="43"/>
      <c r="X389" s="43"/>
    </row>
    <row r="390" hidden="1">
      <c r="A390" s="51"/>
      <c r="B390" s="43"/>
      <c r="C390" s="51"/>
      <c r="D390" s="43"/>
      <c r="E390" s="43"/>
      <c r="F390" s="43"/>
      <c r="G390" s="43"/>
      <c r="H390" s="43"/>
      <c r="I390" s="43"/>
      <c r="J390" s="443"/>
      <c r="K390" s="43"/>
      <c r="L390" s="89"/>
      <c r="M390" s="89"/>
      <c r="O390" s="71">
        <f t="shared" si="21"/>
        <v>0</v>
      </c>
      <c r="P390" s="89">
        <f t="shared" si="22"/>
        <v>0</v>
      </c>
      <c r="Q390" s="491" t="str">
        <f>IF(ISBLANK(M390), "", VLOOKUP(A390&amp;" "&amp;B390, 'Info Tipo de Cambio y REM'!$A$24:$B$47, 2, FALSE))</f>
        <v/>
      </c>
      <c r="R390" s="109" t="str">
        <f t="shared" si="1"/>
        <v/>
      </c>
      <c r="S390" s="71" t="str">
        <f t="shared" si="2"/>
        <v/>
      </c>
      <c r="T390" s="71">
        <f t="shared" si="3"/>
        <v>0</v>
      </c>
      <c r="U390" s="43"/>
      <c r="V390" s="486"/>
      <c r="W390" s="43"/>
      <c r="X390" s="43"/>
    </row>
    <row r="391" hidden="1">
      <c r="A391" s="51"/>
      <c r="B391" s="43"/>
      <c r="C391" s="51"/>
      <c r="D391" s="43"/>
      <c r="E391" s="43"/>
      <c r="F391" s="43"/>
      <c r="G391" s="43"/>
      <c r="H391" s="43"/>
      <c r="I391" s="43"/>
      <c r="J391" s="443"/>
      <c r="K391" s="43"/>
      <c r="L391" s="89"/>
      <c r="M391" s="89"/>
      <c r="O391" s="71">
        <f t="shared" si="21"/>
        <v>0</v>
      </c>
      <c r="P391" s="89">
        <f t="shared" si="22"/>
        <v>0</v>
      </c>
      <c r="Q391" s="491" t="str">
        <f>IF(ISBLANK(M391), "", VLOOKUP(A391&amp;" "&amp;B391, 'Info Tipo de Cambio y REM'!$A$24:$B$47, 2, FALSE))</f>
        <v/>
      </c>
      <c r="R391" s="109" t="str">
        <f t="shared" si="1"/>
        <v/>
      </c>
      <c r="S391" s="71" t="str">
        <f t="shared" si="2"/>
        <v/>
      </c>
      <c r="T391" s="71">
        <f t="shared" si="3"/>
        <v>0</v>
      </c>
      <c r="U391" s="43"/>
      <c r="V391" s="486"/>
      <c r="W391" s="43"/>
      <c r="X391" s="43"/>
    </row>
    <row r="392" hidden="1">
      <c r="A392" s="51"/>
      <c r="B392" s="43"/>
      <c r="C392" s="51"/>
      <c r="D392" s="43"/>
      <c r="E392" s="43"/>
      <c r="F392" s="43"/>
      <c r="G392" s="43"/>
      <c r="H392" s="43"/>
      <c r="I392" s="43"/>
      <c r="J392" s="443"/>
      <c r="K392" s="43"/>
      <c r="L392" s="89"/>
      <c r="M392" s="89"/>
      <c r="O392" s="71">
        <f t="shared" si="21"/>
        <v>0</v>
      </c>
      <c r="P392" s="89">
        <f t="shared" si="22"/>
        <v>0</v>
      </c>
      <c r="Q392" s="491" t="str">
        <f>IF(ISBLANK(M392), "", VLOOKUP(A392&amp;" "&amp;B392, 'Info Tipo de Cambio y REM'!$A$24:$B$47, 2, FALSE))</f>
        <v/>
      </c>
      <c r="R392" s="109" t="str">
        <f t="shared" si="1"/>
        <v/>
      </c>
      <c r="S392" s="71" t="str">
        <f t="shared" si="2"/>
        <v/>
      </c>
      <c r="T392" s="71">
        <f t="shared" si="3"/>
        <v>0</v>
      </c>
      <c r="U392" s="43"/>
      <c r="V392" s="486"/>
      <c r="W392" s="43"/>
      <c r="X392" s="43"/>
    </row>
    <row r="393" hidden="1">
      <c r="A393" s="51"/>
      <c r="B393" s="43"/>
      <c r="C393" s="51"/>
      <c r="D393" s="43"/>
      <c r="E393" s="43"/>
      <c r="F393" s="43"/>
      <c r="G393" s="43"/>
      <c r="H393" s="43"/>
      <c r="I393" s="43"/>
      <c r="J393" s="443"/>
      <c r="K393" s="43"/>
      <c r="L393" s="89"/>
      <c r="M393" s="89"/>
      <c r="O393" s="71">
        <f t="shared" si="21"/>
        <v>0</v>
      </c>
      <c r="P393" s="89">
        <f t="shared" si="22"/>
        <v>0</v>
      </c>
      <c r="Q393" s="491" t="str">
        <f>IF(ISBLANK(M393), "", VLOOKUP(A393&amp;" "&amp;B393, 'Info Tipo de Cambio y REM'!$A$24:$B$47, 2, FALSE))</f>
        <v/>
      </c>
      <c r="R393" s="109" t="str">
        <f t="shared" si="1"/>
        <v/>
      </c>
      <c r="S393" s="71" t="str">
        <f t="shared" si="2"/>
        <v/>
      </c>
      <c r="T393" s="71">
        <f t="shared" si="3"/>
        <v>0</v>
      </c>
      <c r="U393" s="43"/>
      <c r="V393" s="486"/>
      <c r="W393" s="43"/>
      <c r="X393" s="43"/>
    </row>
    <row r="394" hidden="1">
      <c r="A394" s="51"/>
      <c r="B394" s="43"/>
      <c r="C394" s="51"/>
      <c r="D394" s="43"/>
      <c r="E394" s="43"/>
      <c r="F394" s="43"/>
      <c r="G394" s="43"/>
      <c r="H394" s="43"/>
      <c r="I394" s="43"/>
      <c r="J394" s="443"/>
      <c r="K394" s="43"/>
      <c r="L394" s="89"/>
      <c r="M394" s="89"/>
      <c r="O394" s="71">
        <f t="shared" si="21"/>
        <v>0</v>
      </c>
      <c r="P394" s="89">
        <f t="shared" si="22"/>
        <v>0</v>
      </c>
      <c r="Q394" s="491" t="str">
        <f>IF(ISBLANK(M394), "", VLOOKUP(A394&amp;" "&amp;B394, 'Info Tipo de Cambio y REM'!$A$24:$B$47, 2, FALSE))</f>
        <v/>
      </c>
      <c r="R394" s="109" t="str">
        <f t="shared" si="1"/>
        <v/>
      </c>
      <c r="S394" s="71" t="str">
        <f t="shared" si="2"/>
        <v/>
      </c>
      <c r="T394" s="71">
        <f t="shared" si="3"/>
        <v>0</v>
      </c>
      <c r="U394" s="43"/>
      <c r="V394" s="486"/>
      <c r="W394" s="43"/>
      <c r="X394" s="43"/>
    </row>
    <row r="395" hidden="1">
      <c r="A395" s="51"/>
      <c r="B395" s="43"/>
      <c r="C395" s="51"/>
      <c r="D395" s="43"/>
      <c r="E395" s="43"/>
      <c r="F395" s="43"/>
      <c r="G395" s="43"/>
      <c r="H395" s="43"/>
      <c r="I395" s="43"/>
      <c r="J395" s="443"/>
      <c r="K395" s="43"/>
      <c r="L395" s="89"/>
      <c r="M395" s="89"/>
      <c r="O395" s="71">
        <f t="shared" si="21"/>
        <v>0</v>
      </c>
      <c r="P395" s="89">
        <f t="shared" si="22"/>
        <v>0</v>
      </c>
      <c r="Q395" s="491" t="str">
        <f>IF(ISBLANK(M395), "", VLOOKUP(A395&amp;" "&amp;B395, 'Info Tipo de Cambio y REM'!$A$24:$B$47, 2, FALSE))</f>
        <v/>
      </c>
      <c r="R395" s="109" t="str">
        <f t="shared" si="1"/>
        <v/>
      </c>
      <c r="S395" s="71" t="str">
        <f t="shared" si="2"/>
        <v/>
      </c>
      <c r="T395" s="71">
        <f t="shared" si="3"/>
        <v>0</v>
      </c>
      <c r="U395" s="43"/>
      <c r="V395" s="486"/>
      <c r="W395" s="43"/>
      <c r="X395" s="43"/>
    </row>
    <row r="396" hidden="1">
      <c r="A396" s="51"/>
      <c r="B396" s="43"/>
      <c r="C396" s="51"/>
      <c r="D396" s="43"/>
      <c r="E396" s="43"/>
      <c r="F396" s="43"/>
      <c r="G396" s="43"/>
      <c r="H396" s="43"/>
      <c r="I396" s="43"/>
      <c r="J396" s="443"/>
      <c r="K396" s="43"/>
      <c r="L396" s="89"/>
      <c r="M396" s="89"/>
      <c r="O396" s="71">
        <f t="shared" si="21"/>
        <v>0</v>
      </c>
      <c r="P396" s="89">
        <f t="shared" si="22"/>
        <v>0</v>
      </c>
      <c r="Q396" s="491" t="str">
        <f>IF(ISBLANK(M396), "", VLOOKUP(A396&amp;" "&amp;B396, 'Info Tipo de Cambio y REM'!$A$24:$B$47, 2, FALSE))</f>
        <v/>
      </c>
      <c r="R396" s="109" t="str">
        <f t="shared" si="1"/>
        <v/>
      </c>
      <c r="S396" s="71" t="str">
        <f t="shared" si="2"/>
        <v/>
      </c>
      <c r="T396" s="71">
        <f t="shared" si="3"/>
        <v>0</v>
      </c>
      <c r="U396" s="43"/>
      <c r="V396" s="486"/>
      <c r="W396" s="43"/>
      <c r="X396" s="43"/>
    </row>
    <row r="397" hidden="1">
      <c r="A397" s="51"/>
      <c r="B397" s="43"/>
      <c r="C397" s="51"/>
      <c r="D397" s="43"/>
      <c r="E397" s="43"/>
      <c r="F397" s="43"/>
      <c r="G397" s="43"/>
      <c r="H397" s="43"/>
      <c r="I397" s="43"/>
      <c r="J397" s="443"/>
      <c r="K397" s="43"/>
      <c r="L397" s="89"/>
      <c r="M397" s="89"/>
      <c r="O397" s="71">
        <f t="shared" si="21"/>
        <v>0</v>
      </c>
      <c r="P397" s="89">
        <f t="shared" si="22"/>
        <v>0</v>
      </c>
      <c r="Q397" s="491" t="str">
        <f>IF(ISBLANK(M397), "", VLOOKUP(A397&amp;" "&amp;B397, 'Info Tipo de Cambio y REM'!$A$24:$B$47, 2, FALSE))</f>
        <v/>
      </c>
      <c r="R397" s="109" t="str">
        <f t="shared" si="1"/>
        <v/>
      </c>
      <c r="S397" s="71" t="str">
        <f t="shared" si="2"/>
        <v/>
      </c>
      <c r="T397" s="71">
        <f t="shared" si="3"/>
        <v>0</v>
      </c>
      <c r="U397" s="43"/>
      <c r="V397" s="486"/>
      <c r="W397" s="43"/>
      <c r="X397" s="43"/>
    </row>
    <row r="398" hidden="1">
      <c r="A398" s="51"/>
      <c r="B398" s="43"/>
      <c r="C398" s="51"/>
      <c r="D398" s="43"/>
      <c r="E398" s="43"/>
      <c r="F398" s="43"/>
      <c r="G398" s="43"/>
      <c r="H398" s="43"/>
      <c r="I398" s="43"/>
      <c r="J398" s="443"/>
      <c r="K398" s="43"/>
      <c r="L398" s="89"/>
      <c r="M398" s="89"/>
      <c r="O398" s="71">
        <f t="shared" si="21"/>
        <v>0</v>
      </c>
      <c r="P398" s="89">
        <f t="shared" si="22"/>
        <v>0</v>
      </c>
      <c r="Q398" s="491" t="str">
        <f>IF(ISBLANK(M398), "", VLOOKUP(A398&amp;" "&amp;B398, 'Info Tipo de Cambio y REM'!$A$24:$B$47, 2, FALSE))</f>
        <v/>
      </c>
      <c r="R398" s="109" t="str">
        <f t="shared" si="1"/>
        <v/>
      </c>
      <c r="S398" s="71" t="str">
        <f t="shared" si="2"/>
        <v/>
      </c>
      <c r="T398" s="71">
        <f t="shared" si="3"/>
        <v>0</v>
      </c>
      <c r="U398" s="43"/>
      <c r="V398" s="486"/>
      <c r="W398" s="43"/>
      <c r="X398" s="43"/>
    </row>
    <row r="399" hidden="1">
      <c r="A399" s="51"/>
      <c r="B399" s="43"/>
      <c r="C399" s="51"/>
      <c r="D399" s="43"/>
      <c r="E399" s="43"/>
      <c r="F399" s="43"/>
      <c r="G399" s="43"/>
      <c r="H399" s="43"/>
      <c r="I399" s="43"/>
      <c r="J399" s="443"/>
      <c r="K399" s="43"/>
      <c r="L399" s="89"/>
      <c r="M399" s="89"/>
      <c r="O399" s="71">
        <f t="shared" si="21"/>
        <v>0</v>
      </c>
      <c r="P399" s="89">
        <f t="shared" si="22"/>
        <v>0</v>
      </c>
      <c r="Q399" s="491" t="str">
        <f>IF(ISBLANK(M399), "", VLOOKUP(A399&amp;" "&amp;B399, 'Info Tipo de Cambio y REM'!$A$24:$B$47, 2, FALSE))</f>
        <v/>
      </c>
      <c r="R399" s="109" t="str">
        <f t="shared" si="1"/>
        <v/>
      </c>
      <c r="S399" s="71" t="str">
        <f t="shared" si="2"/>
        <v/>
      </c>
      <c r="T399" s="71">
        <f t="shared" si="3"/>
        <v>0</v>
      </c>
      <c r="U399" s="43"/>
      <c r="V399" s="486"/>
      <c r="W399" s="43"/>
      <c r="X399" s="43"/>
    </row>
    <row r="400" hidden="1">
      <c r="A400" s="51"/>
      <c r="B400" s="43"/>
      <c r="C400" s="51"/>
      <c r="D400" s="43"/>
      <c r="E400" s="43"/>
      <c r="F400" s="43"/>
      <c r="G400" s="43"/>
      <c r="H400" s="43"/>
      <c r="I400" s="43"/>
      <c r="J400" s="443"/>
      <c r="K400" s="43"/>
      <c r="L400" s="89"/>
      <c r="M400" s="89"/>
      <c r="O400" s="71">
        <f t="shared" si="21"/>
        <v>0</v>
      </c>
      <c r="P400" s="89">
        <f t="shared" si="22"/>
        <v>0</v>
      </c>
      <c r="Q400" s="491" t="str">
        <f>IF(ISBLANK(M400), "", VLOOKUP(A400&amp;" "&amp;B400, 'Info Tipo de Cambio y REM'!$A$24:$B$47, 2, FALSE))</f>
        <v/>
      </c>
      <c r="R400" s="109" t="str">
        <f t="shared" si="1"/>
        <v/>
      </c>
      <c r="S400" s="71" t="str">
        <f t="shared" si="2"/>
        <v/>
      </c>
      <c r="T400" s="71">
        <f t="shared" si="3"/>
        <v>0</v>
      </c>
      <c r="U400" s="43"/>
      <c r="V400" s="486"/>
      <c r="W400" s="43"/>
      <c r="X400" s="43"/>
    </row>
    <row r="401" hidden="1">
      <c r="A401" s="51"/>
      <c r="B401" s="43"/>
      <c r="C401" s="51"/>
      <c r="D401" s="43"/>
      <c r="E401" s="43"/>
      <c r="F401" s="43"/>
      <c r="G401" s="43"/>
      <c r="H401" s="43"/>
      <c r="I401" s="43"/>
      <c r="J401" s="443"/>
      <c r="K401" s="43"/>
      <c r="L401" s="89"/>
      <c r="M401" s="89"/>
      <c r="O401" s="71">
        <f t="shared" si="21"/>
        <v>0</v>
      </c>
      <c r="P401" s="89">
        <f t="shared" si="22"/>
        <v>0</v>
      </c>
      <c r="Q401" s="491" t="str">
        <f>IF(ISBLANK(M401), "", VLOOKUP(A401&amp;" "&amp;B401, 'Info Tipo de Cambio y REM'!$A$24:$B$47, 2, FALSE))</f>
        <v/>
      </c>
      <c r="R401" s="109" t="str">
        <f t="shared" si="1"/>
        <v/>
      </c>
      <c r="S401" s="71" t="str">
        <f t="shared" si="2"/>
        <v/>
      </c>
      <c r="T401" s="71">
        <f t="shared" si="3"/>
        <v>0</v>
      </c>
      <c r="U401" s="43"/>
      <c r="V401" s="486"/>
      <c r="W401" s="43"/>
      <c r="X401" s="43"/>
    </row>
    <row r="402" hidden="1">
      <c r="A402" s="51"/>
      <c r="B402" s="43"/>
      <c r="C402" s="51"/>
      <c r="D402" s="43"/>
      <c r="E402" s="43"/>
      <c r="F402" s="43"/>
      <c r="G402" s="43"/>
      <c r="H402" s="43"/>
      <c r="I402" s="43"/>
      <c r="J402" s="443"/>
      <c r="K402" s="43"/>
      <c r="L402" s="89"/>
      <c r="M402" s="89"/>
      <c r="O402" s="71">
        <f t="shared" si="21"/>
        <v>0</v>
      </c>
      <c r="P402" s="89">
        <f t="shared" si="22"/>
        <v>0</v>
      </c>
      <c r="Q402" s="491" t="str">
        <f>IF(ISBLANK(M402), "", VLOOKUP(A402&amp;" "&amp;B402, 'Info Tipo de Cambio y REM'!$A$24:$B$47, 2, FALSE))</f>
        <v/>
      </c>
      <c r="R402" s="109" t="str">
        <f t="shared" si="1"/>
        <v/>
      </c>
      <c r="S402" s="71" t="str">
        <f t="shared" si="2"/>
        <v/>
      </c>
      <c r="T402" s="71">
        <f t="shared" si="3"/>
        <v>0</v>
      </c>
      <c r="U402" s="43"/>
      <c r="V402" s="486"/>
      <c r="W402" s="43"/>
      <c r="X402" s="43"/>
    </row>
    <row r="403" hidden="1">
      <c r="A403" s="51"/>
      <c r="B403" s="43"/>
      <c r="C403" s="51"/>
      <c r="D403" s="43"/>
      <c r="E403" s="43"/>
      <c r="F403" s="43"/>
      <c r="G403" s="43"/>
      <c r="H403" s="43"/>
      <c r="I403" s="43"/>
      <c r="J403" s="443"/>
      <c r="K403" s="43"/>
      <c r="L403" s="89"/>
      <c r="M403" s="89"/>
      <c r="O403" s="71">
        <f t="shared" si="21"/>
        <v>0</v>
      </c>
      <c r="P403" s="89">
        <f t="shared" si="22"/>
        <v>0</v>
      </c>
      <c r="Q403" s="491" t="str">
        <f>IF(ISBLANK(M403), "", VLOOKUP(A403&amp;" "&amp;B403, 'Info Tipo de Cambio y REM'!$A$24:$B$47, 2, FALSE))</f>
        <v/>
      </c>
      <c r="R403" s="109" t="str">
        <f t="shared" si="1"/>
        <v/>
      </c>
      <c r="S403" s="71" t="str">
        <f t="shared" si="2"/>
        <v/>
      </c>
      <c r="T403" s="71">
        <f t="shared" si="3"/>
        <v>0</v>
      </c>
      <c r="U403" s="43"/>
      <c r="V403" s="486"/>
      <c r="W403" s="43"/>
      <c r="X403" s="43"/>
    </row>
    <row r="404" hidden="1">
      <c r="A404" s="51"/>
      <c r="B404" s="43"/>
      <c r="C404" s="51"/>
      <c r="D404" s="43"/>
      <c r="E404" s="43"/>
      <c r="F404" s="43"/>
      <c r="G404" s="43"/>
      <c r="H404" s="43"/>
      <c r="I404" s="43"/>
      <c r="J404" s="443"/>
      <c r="K404" s="43"/>
      <c r="L404" s="89"/>
      <c r="M404" s="89"/>
      <c r="O404" s="71">
        <f t="shared" si="21"/>
        <v>0</v>
      </c>
      <c r="P404" s="89">
        <f t="shared" si="22"/>
        <v>0</v>
      </c>
      <c r="Q404" s="491" t="str">
        <f>IF(ISBLANK(M404), "", VLOOKUP(A404&amp;" "&amp;B404, 'Info Tipo de Cambio y REM'!$A$24:$B$47, 2, FALSE))</f>
        <v/>
      </c>
      <c r="R404" s="109" t="str">
        <f t="shared" si="1"/>
        <v/>
      </c>
      <c r="S404" s="71" t="str">
        <f t="shared" si="2"/>
        <v/>
      </c>
      <c r="T404" s="71">
        <f t="shared" si="3"/>
        <v>0</v>
      </c>
      <c r="U404" s="43"/>
      <c r="V404" s="486"/>
      <c r="W404" s="43"/>
      <c r="X404" s="43"/>
    </row>
    <row r="405" hidden="1">
      <c r="A405" s="51"/>
      <c r="B405" s="43"/>
      <c r="C405" s="51"/>
      <c r="D405" s="43"/>
      <c r="E405" s="43"/>
      <c r="F405" s="43"/>
      <c r="G405" s="43"/>
      <c r="H405" s="43"/>
      <c r="I405" s="43"/>
      <c r="J405" s="443"/>
      <c r="K405" s="43"/>
      <c r="L405" s="89"/>
      <c r="M405" s="89"/>
      <c r="O405" s="71">
        <f t="shared" si="21"/>
        <v>0</v>
      </c>
      <c r="P405" s="89">
        <f t="shared" si="22"/>
        <v>0</v>
      </c>
      <c r="Q405" s="491" t="str">
        <f>IF(ISBLANK(M405), "", VLOOKUP(A405&amp;" "&amp;B405, 'Info Tipo de Cambio y REM'!$A$24:$B$47, 2, FALSE))</f>
        <v/>
      </c>
      <c r="R405" s="109" t="str">
        <f t="shared" si="1"/>
        <v/>
      </c>
      <c r="S405" s="71" t="str">
        <f t="shared" si="2"/>
        <v/>
      </c>
      <c r="T405" s="71">
        <f t="shared" si="3"/>
        <v>0</v>
      </c>
      <c r="U405" s="43"/>
      <c r="V405" s="486"/>
      <c r="W405" s="43"/>
      <c r="X405" s="43"/>
    </row>
    <row r="406" hidden="1">
      <c r="A406" s="51"/>
      <c r="B406" s="43"/>
      <c r="C406" s="51"/>
      <c r="D406" s="43"/>
      <c r="E406" s="43"/>
      <c r="F406" s="43"/>
      <c r="G406" s="43"/>
      <c r="H406" s="43"/>
      <c r="I406" s="43"/>
      <c r="J406" s="443"/>
      <c r="K406" s="43"/>
      <c r="L406" s="89"/>
      <c r="M406" s="89"/>
      <c r="O406" s="71">
        <f t="shared" si="21"/>
        <v>0</v>
      </c>
      <c r="P406" s="89">
        <f t="shared" si="22"/>
        <v>0</v>
      </c>
      <c r="Q406" s="491" t="str">
        <f>IF(ISBLANK(M406), "", VLOOKUP(A406&amp;" "&amp;B406, 'Info Tipo de Cambio y REM'!$A$24:$B$47, 2, FALSE))</f>
        <v/>
      </c>
      <c r="R406" s="109" t="str">
        <f t="shared" si="1"/>
        <v/>
      </c>
      <c r="S406" s="71" t="str">
        <f t="shared" si="2"/>
        <v/>
      </c>
      <c r="T406" s="71">
        <f t="shared" si="3"/>
        <v>0</v>
      </c>
      <c r="U406" s="43"/>
      <c r="V406" s="486"/>
      <c r="W406" s="43"/>
      <c r="X406" s="43"/>
    </row>
    <row r="407" hidden="1">
      <c r="A407" s="51"/>
      <c r="B407" s="43"/>
      <c r="C407" s="51"/>
      <c r="D407" s="43"/>
      <c r="E407" s="43"/>
      <c r="F407" s="43"/>
      <c r="G407" s="43"/>
      <c r="H407" s="43"/>
      <c r="I407" s="43"/>
      <c r="J407" s="443"/>
      <c r="K407" s="43"/>
      <c r="L407" s="89"/>
      <c r="M407" s="89"/>
      <c r="O407" s="71">
        <f t="shared" si="21"/>
        <v>0</v>
      </c>
      <c r="P407" s="89">
        <f t="shared" si="22"/>
        <v>0</v>
      </c>
      <c r="Q407" s="491" t="str">
        <f>IF(ISBLANK(M407), "", VLOOKUP(A407&amp;" "&amp;B407, 'Info Tipo de Cambio y REM'!$A$24:$B$47, 2, FALSE))</f>
        <v/>
      </c>
      <c r="R407" s="109" t="str">
        <f t="shared" si="1"/>
        <v/>
      </c>
      <c r="S407" s="71" t="str">
        <f t="shared" si="2"/>
        <v/>
      </c>
      <c r="T407" s="71">
        <f t="shared" si="3"/>
        <v>0</v>
      </c>
      <c r="U407" s="43"/>
      <c r="V407" s="486"/>
      <c r="W407" s="43"/>
      <c r="X407" s="43"/>
    </row>
    <row r="408" hidden="1">
      <c r="A408" s="51"/>
      <c r="B408" s="43"/>
      <c r="C408" s="51"/>
      <c r="D408" s="43"/>
      <c r="E408" s="43"/>
      <c r="F408" s="43"/>
      <c r="G408" s="43"/>
      <c r="H408" s="43"/>
      <c r="I408" s="43"/>
      <c r="J408" s="443"/>
      <c r="K408" s="43"/>
      <c r="L408" s="89"/>
      <c r="M408" s="89"/>
      <c r="O408" s="71">
        <f t="shared" si="21"/>
        <v>0</v>
      </c>
      <c r="P408" s="89">
        <f t="shared" si="22"/>
        <v>0</v>
      </c>
      <c r="Q408" s="491" t="str">
        <f>IF(ISBLANK(M408), "", VLOOKUP(A408&amp;" "&amp;B408, 'Info Tipo de Cambio y REM'!$A$24:$B$47, 2, FALSE))</f>
        <v/>
      </c>
      <c r="R408" s="109" t="str">
        <f t="shared" si="1"/>
        <v/>
      </c>
      <c r="S408" s="71" t="str">
        <f t="shared" si="2"/>
        <v/>
      </c>
      <c r="T408" s="71">
        <f t="shared" si="3"/>
        <v>0</v>
      </c>
      <c r="U408" s="43"/>
      <c r="V408" s="486"/>
      <c r="W408" s="43"/>
      <c r="X408" s="43"/>
    </row>
    <row r="409" hidden="1">
      <c r="A409" s="51"/>
      <c r="B409" s="43"/>
      <c r="C409" s="51"/>
      <c r="D409" s="43"/>
      <c r="E409" s="43"/>
      <c r="F409" s="43"/>
      <c r="G409" s="43"/>
      <c r="H409" s="43"/>
      <c r="I409" s="43"/>
      <c r="J409" s="443"/>
      <c r="K409" s="43"/>
      <c r="L409" s="89"/>
      <c r="M409" s="89"/>
      <c r="O409" s="71">
        <f t="shared" si="21"/>
        <v>0</v>
      </c>
      <c r="P409" s="89">
        <f t="shared" si="22"/>
        <v>0</v>
      </c>
      <c r="Q409" s="491" t="str">
        <f>IF(ISBLANK(M409), "", VLOOKUP(A409&amp;" "&amp;B409, 'Info Tipo de Cambio y REM'!$A$24:$B$47, 2, FALSE))</f>
        <v/>
      </c>
      <c r="R409" s="109" t="str">
        <f t="shared" si="1"/>
        <v/>
      </c>
      <c r="S409" s="71" t="str">
        <f t="shared" si="2"/>
        <v/>
      </c>
      <c r="T409" s="71">
        <f t="shared" si="3"/>
        <v>0</v>
      </c>
      <c r="U409" s="43"/>
      <c r="V409" s="486"/>
      <c r="W409" s="43"/>
      <c r="X409" s="43"/>
    </row>
    <row r="410" hidden="1">
      <c r="A410" s="51"/>
      <c r="B410" s="43"/>
      <c r="C410" s="51"/>
      <c r="D410" s="43"/>
      <c r="E410" s="43"/>
      <c r="F410" s="43"/>
      <c r="G410" s="43"/>
      <c r="H410" s="43"/>
      <c r="I410" s="43"/>
      <c r="J410" s="443"/>
      <c r="K410" s="43"/>
      <c r="L410" s="89"/>
      <c r="M410" s="89"/>
      <c r="O410" s="71">
        <f t="shared" si="21"/>
        <v>0</v>
      </c>
      <c r="P410" s="89">
        <f t="shared" si="22"/>
        <v>0</v>
      </c>
      <c r="Q410" s="491" t="str">
        <f>IF(ISBLANK(M410), "", VLOOKUP(A410&amp;" "&amp;B410, 'Info Tipo de Cambio y REM'!$A$24:$B$47, 2, FALSE))</f>
        <v/>
      </c>
      <c r="R410" s="109" t="str">
        <f t="shared" si="1"/>
        <v/>
      </c>
      <c r="S410" s="71" t="str">
        <f t="shared" si="2"/>
        <v/>
      </c>
      <c r="T410" s="71">
        <f t="shared" si="3"/>
        <v>0</v>
      </c>
      <c r="U410" s="43"/>
      <c r="V410" s="486"/>
      <c r="W410" s="43"/>
      <c r="X410" s="43"/>
    </row>
    <row r="411" hidden="1">
      <c r="A411" s="51"/>
      <c r="B411" s="43"/>
      <c r="C411" s="51"/>
      <c r="D411" s="43"/>
      <c r="E411" s="43"/>
      <c r="F411" s="43"/>
      <c r="G411" s="43"/>
      <c r="H411" s="43"/>
      <c r="I411" s="43"/>
      <c r="J411" s="443"/>
      <c r="K411" s="43"/>
      <c r="L411" s="89"/>
      <c r="M411" s="89"/>
      <c r="O411" s="71">
        <f t="shared" si="21"/>
        <v>0</v>
      </c>
      <c r="P411" s="89">
        <f t="shared" si="22"/>
        <v>0</v>
      </c>
      <c r="Q411" s="491" t="str">
        <f>IF(ISBLANK(M411), "", VLOOKUP(A411&amp;" "&amp;B411, 'Info Tipo de Cambio y REM'!$A$24:$B$47, 2, FALSE))</f>
        <v/>
      </c>
      <c r="R411" s="109" t="str">
        <f t="shared" si="1"/>
        <v/>
      </c>
      <c r="S411" s="71" t="str">
        <f t="shared" si="2"/>
        <v/>
      </c>
      <c r="T411" s="71">
        <f t="shared" si="3"/>
        <v>0</v>
      </c>
      <c r="U411" s="43"/>
      <c r="V411" s="486"/>
      <c r="W411" s="43"/>
      <c r="X411" s="43"/>
    </row>
    <row r="412" hidden="1">
      <c r="A412" s="51"/>
      <c r="B412" s="43"/>
      <c r="C412" s="51"/>
      <c r="D412" s="43"/>
      <c r="E412" s="43"/>
      <c r="F412" s="43"/>
      <c r="G412" s="43"/>
      <c r="H412" s="43"/>
      <c r="I412" s="43"/>
      <c r="J412" s="443"/>
      <c r="K412" s="43"/>
      <c r="L412" s="89"/>
      <c r="M412" s="89"/>
      <c r="O412" s="71">
        <f t="shared" si="21"/>
        <v>0</v>
      </c>
      <c r="P412" s="89">
        <f t="shared" si="22"/>
        <v>0</v>
      </c>
      <c r="Q412" s="491" t="str">
        <f>IF(ISBLANK(M412), "", VLOOKUP(A412&amp;" "&amp;B412, 'Info Tipo de Cambio y REM'!$A$24:$B$47, 2, FALSE))</f>
        <v/>
      </c>
      <c r="R412" s="109" t="str">
        <f t="shared" si="1"/>
        <v/>
      </c>
      <c r="S412" s="71" t="str">
        <f t="shared" si="2"/>
        <v/>
      </c>
      <c r="T412" s="71">
        <f t="shared" si="3"/>
        <v>0</v>
      </c>
      <c r="U412" s="43"/>
      <c r="V412" s="486"/>
      <c r="W412" s="43"/>
      <c r="X412" s="43"/>
    </row>
    <row r="413" hidden="1">
      <c r="A413" s="51"/>
      <c r="B413" s="43"/>
      <c r="C413" s="51"/>
      <c r="D413" s="43"/>
      <c r="E413" s="43"/>
      <c r="F413" s="43"/>
      <c r="G413" s="43"/>
      <c r="H413" s="43"/>
      <c r="I413" s="43"/>
      <c r="J413" s="443"/>
      <c r="K413" s="43"/>
      <c r="L413" s="89"/>
      <c r="M413" s="89"/>
      <c r="O413" s="71">
        <f t="shared" si="21"/>
        <v>0</v>
      </c>
      <c r="P413" s="89">
        <f t="shared" si="22"/>
        <v>0</v>
      </c>
      <c r="Q413" s="491" t="str">
        <f>IF(ISBLANK(M413), "", VLOOKUP(A413&amp;" "&amp;B413, 'Info Tipo de Cambio y REM'!$A$24:$B$47, 2, FALSE))</f>
        <v/>
      </c>
      <c r="R413" s="109" t="str">
        <f t="shared" si="1"/>
        <v/>
      </c>
      <c r="S413" s="71" t="str">
        <f t="shared" si="2"/>
        <v/>
      </c>
      <c r="T413" s="71">
        <f t="shared" si="3"/>
        <v>0</v>
      </c>
      <c r="U413" s="43"/>
      <c r="V413" s="486"/>
      <c r="W413" s="43"/>
      <c r="X413" s="43"/>
    </row>
    <row r="414" hidden="1">
      <c r="A414" s="51"/>
      <c r="B414" s="43"/>
      <c r="C414" s="51"/>
      <c r="D414" s="43"/>
      <c r="E414" s="43"/>
      <c r="F414" s="43"/>
      <c r="G414" s="43"/>
      <c r="H414" s="43"/>
      <c r="I414" s="43"/>
      <c r="J414" s="443"/>
      <c r="K414" s="43"/>
      <c r="L414" s="89"/>
      <c r="M414" s="89"/>
      <c r="O414" s="71">
        <f t="shared" si="21"/>
        <v>0</v>
      </c>
      <c r="P414" s="89">
        <f t="shared" si="22"/>
        <v>0</v>
      </c>
      <c r="Q414" s="491" t="str">
        <f>IF(ISBLANK(M414), "", VLOOKUP(A414&amp;" "&amp;B414, 'Info Tipo de Cambio y REM'!$A$24:$B$47, 2, FALSE))</f>
        <v/>
      </c>
      <c r="R414" s="109" t="str">
        <f t="shared" si="1"/>
        <v/>
      </c>
      <c r="S414" s="71" t="str">
        <f t="shared" si="2"/>
        <v/>
      </c>
      <c r="T414" s="71">
        <f t="shared" si="3"/>
        <v>0</v>
      </c>
      <c r="U414" s="43"/>
      <c r="V414" s="486"/>
      <c r="W414" s="43"/>
      <c r="X414" s="43"/>
    </row>
    <row r="415" hidden="1">
      <c r="A415" s="51"/>
      <c r="B415" s="43"/>
      <c r="C415" s="51"/>
      <c r="D415" s="43"/>
      <c r="E415" s="43"/>
      <c r="F415" s="43"/>
      <c r="G415" s="43"/>
      <c r="H415" s="43"/>
      <c r="I415" s="43"/>
      <c r="J415" s="443"/>
      <c r="K415" s="43"/>
      <c r="L415" s="89"/>
      <c r="M415" s="89"/>
      <c r="O415" s="71">
        <f t="shared" si="21"/>
        <v>0</v>
      </c>
      <c r="P415" s="89">
        <f t="shared" si="22"/>
        <v>0</v>
      </c>
      <c r="Q415" s="491" t="str">
        <f>IF(ISBLANK(M415), "", VLOOKUP(A415&amp;" "&amp;B415, 'Info Tipo de Cambio y REM'!$A$24:$B$47, 2, FALSE))</f>
        <v/>
      </c>
      <c r="R415" s="109" t="str">
        <f t="shared" si="1"/>
        <v/>
      </c>
      <c r="S415" s="71" t="str">
        <f t="shared" si="2"/>
        <v/>
      </c>
      <c r="T415" s="71">
        <f t="shared" si="3"/>
        <v>0</v>
      </c>
      <c r="U415" s="43"/>
      <c r="V415" s="486"/>
      <c r="W415" s="43"/>
      <c r="X415" s="43"/>
    </row>
    <row r="416" hidden="1">
      <c r="A416" s="51"/>
      <c r="B416" s="43"/>
      <c r="C416" s="51"/>
      <c r="D416" s="43"/>
      <c r="E416" s="43"/>
      <c r="F416" s="43"/>
      <c r="G416" s="43"/>
      <c r="H416" s="43"/>
      <c r="I416" s="43"/>
      <c r="J416" s="443"/>
      <c r="K416" s="43"/>
      <c r="L416" s="89"/>
      <c r="M416" s="89"/>
      <c r="O416" s="71">
        <f t="shared" si="21"/>
        <v>0</v>
      </c>
      <c r="P416" s="89">
        <f t="shared" si="22"/>
        <v>0</v>
      </c>
      <c r="Q416" s="491" t="str">
        <f>IF(ISBLANK(M416), "", VLOOKUP(A416&amp;" "&amp;B416, 'Info Tipo de Cambio y REM'!$A$24:$B$47, 2, FALSE))</f>
        <v/>
      </c>
      <c r="R416" s="109" t="str">
        <f t="shared" si="1"/>
        <v/>
      </c>
      <c r="S416" s="71" t="str">
        <f t="shared" si="2"/>
        <v/>
      </c>
      <c r="T416" s="71">
        <f t="shared" si="3"/>
        <v>0</v>
      </c>
      <c r="U416" s="43"/>
      <c r="V416" s="486"/>
      <c r="W416" s="43"/>
      <c r="X416" s="43"/>
    </row>
    <row r="417" hidden="1">
      <c r="A417" s="51"/>
      <c r="B417" s="43"/>
      <c r="C417" s="51"/>
      <c r="D417" s="43"/>
      <c r="E417" s="43"/>
      <c r="F417" s="43"/>
      <c r="G417" s="43"/>
      <c r="H417" s="43"/>
      <c r="I417" s="43"/>
      <c r="J417" s="443"/>
      <c r="K417" s="43"/>
      <c r="L417" s="89"/>
      <c r="M417" s="89"/>
      <c r="O417" s="71">
        <f t="shared" si="21"/>
        <v>0</v>
      </c>
      <c r="P417" s="89">
        <f t="shared" si="22"/>
        <v>0</v>
      </c>
      <c r="Q417" s="491" t="str">
        <f>IF(ISBLANK(M417), "", VLOOKUP(A417&amp;" "&amp;B417, 'Info Tipo de Cambio y REM'!$A$24:$B$47, 2, FALSE))</f>
        <v/>
      </c>
      <c r="R417" s="109" t="str">
        <f t="shared" si="1"/>
        <v/>
      </c>
      <c r="S417" s="71" t="str">
        <f t="shared" si="2"/>
        <v/>
      </c>
      <c r="T417" s="71">
        <f t="shared" si="3"/>
        <v>0</v>
      </c>
      <c r="U417" s="43"/>
      <c r="V417" s="486"/>
      <c r="W417" s="43"/>
      <c r="X417" s="43"/>
    </row>
    <row r="418" hidden="1">
      <c r="A418" s="51"/>
      <c r="B418" s="43"/>
      <c r="C418" s="51"/>
      <c r="D418" s="43"/>
      <c r="E418" s="43"/>
      <c r="F418" s="43"/>
      <c r="G418" s="43"/>
      <c r="H418" s="43"/>
      <c r="I418" s="43"/>
      <c r="J418" s="443"/>
      <c r="K418" s="43"/>
      <c r="L418" s="89"/>
      <c r="M418" s="89"/>
      <c r="O418" s="71">
        <f t="shared" si="21"/>
        <v>0</v>
      </c>
      <c r="P418" s="89">
        <f t="shared" si="22"/>
        <v>0</v>
      </c>
      <c r="Q418" s="491" t="str">
        <f>IF(ISBLANK(M418), "", VLOOKUP(A418&amp;" "&amp;B418, 'Info Tipo de Cambio y REM'!$A$24:$B$47, 2, FALSE))</f>
        <v/>
      </c>
      <c r="R418" s="109" t="str">
        <f t="shared" si="1"/>
        <v/>
      </c>
      <c r="S418" s="71" t="str">
        <f t="shared" si="2"/>
        <v/>
      </c>
      <c r="T418" s="71">
        <f t="shared" si="3"/>
        <v>0</v>
      </c>
      <c r="U418" s="43"/>
      <c r="V418" s="486"/>
      <c r="W418" s="43"/>
      <c r="X418" s="43"/>
    </row>
    <row r="419" hidden="1">
      <c r="A419" s="51"/>
      <c r="B419" s="43"/>
      <c r="C419" s="51"/>
      <c r="D419" s="43"/>
      <c r="E419" s="43"/>
      <c r="F419" s="43"/>
      <c r="G419" s="43"/>
      <c r="H419" s="43"/>
      <c r="I419" s="43"/>
      <c r="J419" s="443"/>
      <c r="K419" s="43"/>
      <c r="L419" s="89"/>
      <c r="M419" s="89"/>
      <c r="O419" s="71">
        <f t="shared" si="21"/>
        <v>0</v>
      </c>
      <c r="P419" s="89">
        <f t="shared" si="22"/>
        <v>0</v>
      </c>
      <c r="Q419" s="491" t="str">
        <f>IF(ISBLANK(M419), "", VLOOKUP(A419&amp;" "&amp;B419, 'Info Tipo de Cambio y REM'!$A$24:$B$47, 2, FALSE))</f>
        <v/>
      </c>
      <c r="R419" s="109" t="str">
        <f t="shared" si="1"/>
        <v/>
      </c>
      <c r="S419" s="71" t="str">
        <f t="shared" si="2"/>
        <v/>
      </c>
      <c r="T419" s="71">
        <f t="shared" si="3"/>
        <v>0</v>
      </c>
      <c r="U419" s="43"/>
      <c r="V419" s="486"/>
      <c r="W419" s="43"/>
      <c r="X419" s="43"/>
    </row>
    <row r="420" hidden="1">
      <c r="A420" s="51"/>
      <c r="B420" s="43"/>
      <c r="C420" s="51"/>
      <c r="D420" s="43"/>
      <c r="E420" s="43"/>
      <c r="F420" s="43"/>
      <c r="G420" s="43"/>
      <c r="H420" s="43"/>
      <c r="I420" s="43"/>
      <c r="J420" s="443"/>
      <c r="K420" s="43"/>
      <c r="L420" s="89"/>
      <c r="M420" s="89"/>
      <c r="O420" s="71">
        <f t="shared" si="21"/>
        <v>0</v>
      </c>
      <c r="P420" s="89">
        <f t="shared" si="22"/>
        <v>0</v>
      </c>
      <c r="Q420" s="491" t="str">
        <f>IF(ISBLANK(M420), "", VLOOKUP(A420&amp;" "&amp;B420, 'Info Tipo de Cambio y REM'!$A$24:$B$47, 2, FALSE))</f>
        <v/>
      </c>
      <c r="R420" s="109" t="str">
        <f t="shared" si="1"/>
        <v/>
      </c>
      <c r="S420" s="71" t="str">
        <f t="shared" si="2"/>
        <v/>
      </c>
      <c r="T420" s="71">
        <f t="shared" si="3"/>
        <v>0</v>
      </c>
      <c r="U420" s="43"/>
      <c r="V420" s="486"/>
      <c r="W420" s="43"/>
      <c r="X420" s="43"/>
    </row>
    <row r="421" hidden="1">
      <c r="A421" s="51"/>
      <c r="B421" s="43"/>
      <c r="C421" s="51"/>
      <c r="D421" s="43"/>
      <c r="E421" s="43"/>
      <c r="F421" s="43"/>
      <c r="G421" s="43"/>
      <c r="H421" s="43"/>
      <c r="I421" s="43"/>
      <c r="J421" s="443"/>
      <c r="K421" s="43"/>
      <c r="L421" s="89"/>
      <c r="M421" s="89"/>
      <c r="O421" s="71">
        <f t="shared" si="21"/>
        <v>0</v>
      </c>
      <c r="P421" s="89">
        <f t="shared" si="22"/>
        <v>0</v>
      </c>
      <c r="Q421" s="491" t="str">
        <f>IF(ISBLANK(M421), "", VLOOKUP(A421&amp;" "&amp;B421, 'Info Tipo de Cambio y REM'!$A$24:$B$47, 2, FALSE))</f>
        <v/>
      </c>
      <c r="R421" s="109" t="str">
        <f t="shared" si="1"/>
        <v/>
      </c>
      <c r="S421" s="71" t="str">
        <f t="shared" si="2"/>
        <v/>
      </c>
      <c r="T421" s="71">
        <f t="shared" si="3"/>
        <v>0</v>
      </c>
      <c r="U421" s="43"/>
      <c r="V421" s="486"/>
      <c r="W421" s="43"/>
      <c r="X421" s="43"/>
    </row>
    <row r="422" hidden="1">
      <c r="A422" s="51"/>
      <c r="B422" s="43"/>
      <c r="C422" s="51"/>
      <c r="D422" s="43"/>
      <c r="E422" s="43"/>
      <c r="F422" s="43"/>
      <c r="G422" s="43"/>
      <c r="H422" s="43"/>
      <c r="I422" s="43"/>
      <c r="J422" s="443"/>
      <c r="K422" s="43"/>
      <c r="L422" s="89"/>
      <c r="M422" s="89"/>
      <c r="O422" s="71">
        <f t="shared" si="21"/>
        <v>0</v>
      </c>
      <c r="P422" s="89">
        <f t="shared" si="22"/>
        <v>0</v>
      </c>
      <c r="Q422" s="491" t="str">
        <f>IF(ISBLANK(M422), "", VLOOKUP(A422&amp;" "&amp;B422, 'Info Tipo de Cambio y REM'!$A$24:$B$47, 2, FALSE))</f>
        <v/>
      </c>
      <c r="R422" s="109" t="str">
        <f t="shared" si="1"/>
        <v/>
      </c>
      <c r="S422" s="71" t="str">
        <f t="shared" si="2"/>
        <v/>
      </c>
      <c r="T422" s="71">
        <f t="shared" si="3"/>
        <v>0</v>
      </c>
      <c r="U422" s="43"/>
      <c r="V422" s="486"/>
      <c r="W422" s="43"/>
      <c r="X422" s="43"/>
    </row>
    <row r="423" hidden="1">
      <c r="A423" s="51"/>
      <c r="B423" s="43"/>
      <c r="C423" s="51"/>
      <c r="D423" s="43"/>
      <c r="E423" s="43"/>
      <c r="F423" s="43"/>
      <c r="G423" s="43"/>
      <c r="H423" s="43"/>
      <c r="I423" s="43"/>
      <c r="J423" s="443"/>
      <c r="K423" s="43"/>
      <c r="L423" s="89"/>
      <c r="M423" s="89"/>
      <c r="O423" s="71">
        <f t="shared" si="21"/>
        <v>0</v>
      </c>
      <c r="P423" s="89">
        <f t="shared" si="22"/>
        <v>0</v>
      </c>
      <c r="Q423" s="491" t="str">
        <f>IF(ISBLANK(M423), "", VLOOKUP(A423&amp;" "&amp;B423, 'Info Tipo de Cambio y REM'!$A$24:$B$47, 2, FALSE))</f>
        <v/>
      </c>
      <c r="R423" s="109" t="str">
        <f t="shared" si="1"/>
        <v/>
      </c>
      <c r="S423" s="71" t="str">
        <f t="shared" si="2"/>
        <v/>
      </c>
      <c r="T423" s="71">
        <f t="shared" si="3"/>
        <v>0</v>
      </c>
      <c r="U423" s="43"/>
      <c r="V423" s="486"/>
      <c r="W423" s="43"/>
      <c r="X423" s="43"/>
    </row>
    <row r="424" hidden="1">
      <c r="A424" s="51"/>
      <c r="B424" s="43"/>
      <c r="C424" s="51"/>
      <c r="D424" s="43"/>
      <c r="E424" s="43"/>
      <c r="F424" s="43"/>
      <c r="G424" s="43"/>
      <c r="H424" s="43"/>
      <c r="I424" s="43"/>
      <c r="J424" s="443"/>
      <c r="K424" s="43"/>
      <c r="L424" s="89"/>
      <c r="M424" s="89"/>
      <c r="O424" s="71">
        <f t="shared" si="21"/>
        <v>0</v>
      </c>
      <c r="P424" s="89">
        <f t="shared" si="22"/>
        <v>0</v>
      </c>
      <c r="Q424" s="491" t="str">
        <f>IF(ISBLANK(M424), "", VLOOKUP(A424&amp;" "&amp;B424, 'Info Tipo de Cambio y REM'!$A$24:$B$47, 2, FALSE))</f>
        <v/>
      </c>
      <c r="R424" s="109" t="str">
        <f t="shared" si="1"/>
        <v/>
      </c>
      <c r="S424" s="71" t="str">
        <f t="shared" si="2"/>
        <v/>
      </c>
      <c r="T424" s="71">
        <f t="shared" si="3"/>
        <v>0</v>
      </c>
      <c r="U424" s="43"/>
      <c r="V424" s="486"/>
      <c r="W424" s="43"/>
      <c r="X424" s="43"/>
    </row>
    <row r="425" hidden="1">
      <c r="A425" s="51"/>
      <c r="B425" s="43"/>
      <c r="C425" s="51"/>
      <c r="D425" s="43"/>
      <c r="E425" s="43"/>
      <c r="F425" s="43"/>
      <c r="G425" s="43"/>
      <c r="H425" s="43"/>
      <c r="I425" s="43"/>
      <c r="J425" s="443"/>
      <c r="K425" s="43"/>
      <c r="L425" s="89"/>
      <c r="M425" s="89"/>
      <c r="O425" s="71">
        <f t="shared" si="21"/>
        <v>0</v>
      </c>
      <c r="P425" s="89">
        <f t="shared" si="22"/>
        <v>0</v>
      </c>
      <c r="Q425" s="491" t="str">
        <f>IF(ISBLANK(M425), "", VLOOKUP(A425&amp;" "&amp;B425, 'Info Tipo de Cambio y REM'!$A$24:$B$47, 2, FALSE))</f>
        <v/>
      </c>
      <c r="R425" s="109" t="str">
        <f t="shared" si="1"/>
        <v/>
      </c>
      <c r="S425" s="71" t="str">
        <f t="shared" si="2"/>
        <v/>
      </c>
      <c r="T425" s="71">
        <f t="shared" si="3"/>
        <v>0</v>
      </c>
      <c r="U425" s="43"/>
      <c r="V425" s="486"/>
      <c r="W425" s="43"/>
      <c r="X425" s="43"/>
    </row>
    <row r="426" hidden="1">
      <c r="A426" s="51"/>
      <c r="B426" s="43"/>
      <c r="C426" s="51"/>
      <c r="D426" s="43"/>
      <c r="E426" s="43"/>
      <c r="F426" s="43"/>
      <c r="G426" s="43"/>
      <c r="H426" s="43"/>
      <c r="I426" s="43"/>
      <c r="J426" s="443"/>
      <c r="K426" s="43"/>
      <c r="L426" s="89"/>
      <c r="M426" s="89"/>
      <c r="O426" s="71">
        <f t="shared" si="21"/>
        <v>0</v>
      </c>
      <c r="P426" s="89">
        <f t="shared" si="22"/>
        <v>0</v>
      </c>
      <c r="Q426" s="491" t="str">
        <f>IF(ISBLANK(M426), "", VLOOKUP(A426&amp;" "&amp;B426, 'Info Tipo de Cambio y REM'!$A$24:$B$47, 2, FALSE))</f>
        <v/>
      </c>
      <c r="R426" s="109" t="str">
        <f t="shared" si="1"/>
        <v/>
      </c>
      <c r="S426" s="71" t="str">
        <f t="shared" si="2"/>
        <v/>
      </c>
      <c r="T426" s="71">
        <f t="shared" si="3"/>
        <v>0</v>
      </c>
      <c r="U426" s="43"/>
      <c r="V426" s="486"/>
      <c r="W426" s="43"/>
      <c r="X426" s="43"/>
    </row>
    <row r="427" hidden="1">
      <c r="A427" s="51"/>
      <c r="B427" s="43"/>
      <c r="C427" s="51"/>
      <c r="D427" s="43"/>
      <c r="E427" s="43"/>
      <c r="F427" s="43"/>
      <c r="G427" s="43"/>
      <c r="H427" s="43"/>
      <c r="I427" s="43"/>
      <c r="J427" s="443"/>
      <c r="K427" s="43"/>
      <c r="L427" s="89"/>
      <c r="M427" s="89"/>
      <c r="O427" s="71">
        <f t="shared" si="21"/>
        <v>0</v>
      </c>
      <c r="P427" s="89">
        <f t="shared" si="22"/>
        <v>0</v>
      </c>
      <c r="Q427" s="491" t="str">
        <f>IF(ISBLANK(M427), "", VLOOKUP(A427&amp;" "&amp;B427, 'Info Tipo de Cambio y REM'!$A$24:$B$47, 2, FALSE))</f>
        <v/>
      </c>
      <c r="R427" s="109" t="str">
        <f t="shared" si="1"/>
        <v/>
      </c>
      <c r="S427" s="71" t="str">
        <f t="shared" si="2"/>
        <v/>
      </c>
      <c r="T427" s="71">
        <f t="shared" si="3"/>
        <v>0</v>
      </c>
      <c r="U427" s="43"/>
      <c r="V427" s="486"/>
      <c r="W427" s="43"/>
      <c r="X427" s="43"/>
    </row>
    <row r="428" hidden="1">
      <c r="A428" s="51"/>
      <c r="B428" s="43"/>
      <c r="C428" s="51"/>
      <c r="D428" s="43"/>
      <c r="E428" s="43"/>
      <c r="F428" s="43"/>
      <c r="G428" s="43"/>
      <c r="H428" s="43"/>
      <c r="I428" s="43"/>
      <c r="J428" s="443"/>
      <c r="K428" s="43"/>
      <c r="L428" s="89"/>
      <c r="M428" s="89"/>
      <c r="O428" s="71">
        <f t="shared" si="21"/>
        <v>0</v>
      </c>
      <c r="P428" s="89">
        <f t="shared" si="22"/>
        <v>0</v>
      </c>
      <c r="Q428" s="491" t="str">
        <f>IF(ISBLANK(M428), "", VLOOKUP(A428&amp;" "&amp;B428, 'Info Tipo de Cambio y REM'!$A$24:$B$47, 2, FALSE))</f>
        <v/>
      </c>
      <c r="R428" s="109" t="str">
        <f t="shared" si="1"/>
        <v/>
      </c>
      <c r="S428" s="71" t="str">
        <f t="shared" si="2"/>
        <v/>
      </c>
      <c r="T428" s="71">
        <f t="shared" si="3"/>
        <v>0</v>
      </c>
      <c r="U428" s="43"/>
      <c r="V428" s="486"/>
      <c r="W428" s="43"/>
      <c r="X428" s="43"/>
    </row>
    <row r="429" hidden="1">
      <c r="A429" s="51"/>
      <c r="B429" s="43"/>
      <c r="C429" s="51"/>
      <c r="D429" s="43"/>
      <c r="E429" s="43"/>
      <c r="F429" s="43"/>
      <c r="G429" s="43"/>
      <c r="H429" s="43"/>
      <c r="I429" s="43"/>
      <c r="J429" s="443"/>
      <c r="K429" s="43"/>
      <c r="L429" s="89"/>
      <c r="M429" s="89"/>
      <c r="O429" s="71">
        <f t="shared" si="21"/>
        <v>0</v>
      </c>
      <c r="P429" s="89">
        <f t="shared" si="22"/>
        <v>0</v>
      </c>
      <c r="Q429" s="491" t="str">
        <f>IF(ISBLANK(M429), "", VLOOKUP(A429&amp;" "&amp;B429, 'Info Tipo de Cambio y REM'!$A$24:$B$47, 2, FALSE))</f>
        <v/>
      </c>
      <c r="R429" s="109" t="str">
        <f t="shared" si="1"/>
        <v/>
      </c>
      <c r="S429" s="71" t="str">
        <f t="shared" si="2"/>
        <v/>
      </c>
      <c r="T429" s="71">
        <f t="shared" si="3"/>
        <v>0</v>
      </c>
      <c r="U429" s="43"/>
      <c r="V429" s="486"/>
      <c r="W429" s="43"/>
      <c r="X429" s="43"/>
    </row>
    <row r="430" hidden="1">
      <c r="A430" s="51"/>
      <c r="B430" s="43"/>
      <c r="C430" s="51"/>
      <c r="D430" s="43"/>
      <c r="E430" s="43"/>
      <c r="F430" s="43"/>
      <c r="G430" s="43"/>
      <c r="H430" s="43"/>
      <c r="I430" s="43"/>
      <c r="J430" s="443"/>
      <c r="K430" s="43"/>
      <c r="L430" s="89"/>
      <c r="M430" s="89"/>
      <c r="O430" s="71">
        <f t="shared" si="21"/>
        <v>0</v>
      </c>
      <c r="P430" s="89">
        <f t="shared" si="22"/>
        <v>0</v>
      </c>
      <c r="Q430" s="491" t="str">
        <f>IF(ISBLANK(M430), "", VLOOKUP(A430&amp;" "&amp;B430, 'Info Tipo de Cambio y REM'!$A$24:$B$47, 2, FALSE))</f>
        <v/>
      </c>
      <c r="R430" s="109" t="str">
        <f t="shared" si="1"/>
        <v/>
      </c>
      <c r="S430" s="71" t="str">
        <f t="shared" si="2"/>
        <v/>
      </c>
      <c r="T430" s="71">
        <f t="shared" si="3"/>
        <v>0</v>
      </c>
      <c r="U430" s="43"/>
      <c r="V430" s="486"/>
      <c r="W430" s="43"/>
      <c r="X430" s="43"/>
    </row>
    <row r="431" hidden="1">
      <c r="A431" s="51"/>
      <c r="B431" s="43"/>
      <c r="C431" s="51"/>
      <c r="D431" s="43"/>
      <c r="E431" s="43"/>
      <c r="F431" s="43"/>
      <c r="G431" s="43"/>
      <c r="H431" s="43"/>
      <c r="I431" s="43"/>
      <c r="J431" s="443"/>
      <c r="K431" s="43"/>
      <c r="L431" s="89"/>
      <c r="M431" s="89"/>
      <c r="O431" s="71">
        <f t="shared" si="21"/>
        <v>0</v>
      </c>
      <c r="P431" s="89">
        <f t="shared" si="22"/>
        <v>0</v>
      </c>
      <c r="Q431" s="491" t="str">
        <f>IF(ISBLANK(M431), "", VLOOKUP(A431&amp;" "&amp;B431, 'Info Tipo de Cambio y REM'!$A$24:$B$47, 2, FALSE))</f>
        <v/>
      </c>
      <c r="R431" s="109" t="str">
        <f t="shared" si="1"/>
        <v/>
      </c>
      <c r="S431" s="71" t="str">
        <f t="shared" si="2"/>
        <v/>
      </c>
      <c r="T431" s="71">
        <f t="shared" si="3"/>
        <v>0</v>
      </c>
      <c r="U431" s="43"/>
      <c r="V431" s="486"/>
      <c r="W431" s="43"/>
      <c r="X431" s="43"/>
    </row>
    <row r="432" hidden="1">
      <c r="A432" s="51"/>
      <c r="B432" s="43"/>
      <c r="C432" s="51"/>
      <c r="D432" s="43"/>
      <c r="E432" s="43"/>
      <c r="F432" s="43"/>
      <c r="G432" s="43"/>
      <c r="H432" s="43"/>
      <c r="I432" s="43"/>
      <c r="J432" s="443"/>
      <c r="K432" s="43"/>
      <c r="L432" s="89"/>
      <c r="M432" s="89"/>
      <c r="O432" s="71">
        <f t="shared" si="21"/>
        <v>0</v>
      </c>
      <c r="P432" s="89">
        <f t="shared" si="22"/>
        <v>0</v>
      </c>
      <c r="Q432" s="491" t="str">
        <f>IF(ISBLANK(M432), "", VLOOKUP(A432&amp;" "&amp;B432, 'Info Tipo de Cambio y REM'!$A$24:$B$47, 2, FALSE))</f>
        <v/>
      </c>
      <c r="R432" s="109" t="str">
        <f t="shared" si="1"/>
        <v/>
      </c>
      <c r="S432" s="71" t="str">
        <f t="shared" si="2"/>
        <v/>
      </c>
      <c r="T432" s="71">
        <f t="shared" si="3"/>
        <v>0</v>
      </c>
      <c r="U432" s="43"/>
      <c r="V432" s="486"/>
      <c r="W432" s="43"/>
      <c r="X432" s="43"/>
    </row>
    <row r="433" hidden="1">
      <c r="A433" s="51"/>
      <c r="B433" s="43"/>
      <c r="C433" s="51"/>
      <c r="D433" s="43"/>
      <c r="E433" s="43"/>
      <c r="F433" s="43"/>
      <c r="G433" s="43"/>
      <c r="H433" s="43"/>
      <c r="I433" s="43"/>
      <c r="J433" s="443"/>
      <c r="K433" s="43"/>
      <c r="L433" s="89"/>
      <c r="M433" s="89"/>
      <c r="O433" s="71">
        <f t="shared" si="21"/>
        <v>0</v>
      </c>
      <c r="P433" s="89">
        <f t="shared" si="22"/>
        <v>0</v>
      </c>
      <c r="Q433" s="491" t="str">
        <f>IF(ISBLANK(M433), "", VLOOKUP(A433&amp;" "&amp;B433, 'Info Tipo de Cambio y REM'!$A$24:$B$47, 2, FALSE))</f>
        <v/>
      </c>
      <c r="R433" s="109" t="str">
        <f t="shared" si="1"/>
        <v/>
      </c>
      <c r="S433" s="71" t="str">
        <f t="shared" si="2"/>
        <v/>
      </c>
      <c r="T433" s="71">
        <f t="shared" si="3"/>
        <v>0</v>
      </c>
      <c r="U433" s="43"/>
      <c r="V433" s="486"/>
      <c r="W433" s="43"/>
      <c r="X433" s="43"/>
    </row>
    <row r="434" hidden="1">
      <c r="A434" s="51"/>
      <c r="B434" s="43"/>
      <c r="C434" s="51"/>
      <c r="D434" s="43"/>
      <c r="E434" s="43"/>
      <c r="F434" s="43"/>
      <c r="G434" s="43"/>
      <c r="H434" s="43"/>
      <c r="I434" s="43"/>
      <c r="J434" s="443"/>
      <c r="K434" s="43"/>
      <c r="L434" s="89"/>
      <c r="M434" s="89"/>
      <c r="O434" s="71">
        <f t="shared" si="21"/>
        <v>0</v>
      </c>
      <c r="P434" s="89">
        <f t="shared" si="22"/>
        <v>0</v>
      </c>
      <c r="Q434" s="491" t="str">
        <f>IF(ISBLANK(M434), "", VLOOKUP(A434&amp;" "&amp;B434, 'Info Tipo de Cambio y REM'!$A$24:$B$47, 2, FALSE))</f>
        <v/>
      </c>
      <c r="R434" s="109" t="str">
        <f t="shared" si="1"/>
        <v/>
      </c>
      <c r="S434" s="71" t="str">
        <f t="shared" si="2"/>
        <v/>
      </c>
      <c r="T434" s="71">
        <f t="shared" si="3"/>
        <v>0</v>
      </c>
      <c r="U434" s="43"/>
      <c r="V434" s="486"/>
      <c r="W434" s="43"/>
      <c r="X434" s="43"/>
    </row>
    <row r="435" hidden="1">
      <c r="A435" s="51"/>
      <c r="B435" s="43"/>
      <c r="C435" s="51"/>
      <c r="D435" s="43"/>
      <c r="E435" s="43"/>
      <c r="F435" s="43"/>
      <c r="G435" s="43"/>
      <c r="H435" s="43"/>
      <c r="I435" s="43"/>
      <c r="J435" s="443"/>
      <c r="K435" s="43"/>
      <c r="L435" s="89"/>
      <c r="M435" s="89"/>
      <c r="O435" s="71">
        <f t="shared" si="21"/>
        <v>0</v>
      </c>
      <c r="P435" s="89">
        <f t="shared" si="22"/>
        <v>0</v>
      </c>
      <c r="Q435" s="491" t="str">
        <f>IF(ISBLANK(M435), "", VLOOKUP(A435&amp;" "&amp;B435, 'Info Tipo de Cambio y REM'!$A$24:$B$47, 2, FALSE))</f>
        <v/>
      </c>
      <c r="R435" s="109" t="str">
        <f t="shared" si="1"/>
        <v/>
      </c>
      <c r="S435" s="71" t="str">
        <f t="shared" si="2"/>
        <v/>
      </c>
      <c r="T435" s="71">
        <f t="shared" si="3"/>
        <v>0</v>
      </c>
      <c r="U435" s="43"/>
      <c r="V435" s="486"/>
      <c r="W435" s="43"/>
      <c r="X435" s="43"/>
    </row>
    <row r="436" hidden="1">
      <c r="A436" s="51"/>
      <c r="B436" s="43"/>
      <c r="C436" s="51"/>
      <c r="D436" s="43"/>
      <c r="E436" s="43"/>
      <c r="F436" s="43"/>
      <c r="G436" s="43"/>
      <c r="H436" s="43"/>
      <c r="I436" s="43"/>
      <c r="J436" s="443"/>
      <c r="K436" s="43"/>
      <c r="L436" s="89"/>
      <c r="M436" s="89"/>
      <c r="O436" s="71">
        <f t="shared" si="21"/>
        <v>0</v>
      </c>
      <c r="P436" s="89">
        <f t="shared" si="22"/>
        <v>0</v>
      </c>
      <c r="Q436" s="491" t="str">
        <f>IF(ISBLANK(M436), "", VLOOKUP(A436&amp;" "&amp;B436, 'Info Tipo de Cambio y REM'!$A$24:$B$47, 2, FALSE))</f>
        <v/>
      </c>
      <c r="R436" s="109" t="str">
        <f t="shared" si="1"/>
        <v/>
      </c>
      <c r="S436" s="71" t="str">
        <f t="shared" si="2"/>
        <v/>
      </c>
      <c r="T436" s="71">
        <f t="shared" si="3"/>
        <v>0</v>
      </c>
      <c r="U436" s="43"/>
      <c r="V436" s="486"/>
      <c r="W436" s="43"/>
      <c r="X436" s="43"/>
    </row>
    <row r="437" hidden="1">
      <c r="A437" s="51"/>
      <c r="B437" s="43"/>
      <c r="C437" s="51"/>
      <c r="D437" s="43"/>
      <c r="E437" s="43"/>
      <c r="F437" s="43"/>
      <c r="G437" s="43"/>
      <c r="H437" s="43"/>
      <c r="I437" s="43"/>
      <c r="J437" s="443"/>
      <c r="K437" s="43"/>
      <c r="L437" s="89"/>
      <c r="M437" s="89"/>
      <c r="O437" s="71">
        <f t="shared" si="21"/>
        <v>0</v>
      </c>
      <c r="P437" s="89">
        <f t="shared" si="22"/>
        <v>0</v>
      </c>
      <c r="Q437" s="491" t="str">
        <f>IF(ISBLANK(M437), "", VLOOKUP(A437&amp;" "&amp;B437, 'Info Tipo de Cambio y REM'!$A$24:$B$47, 2, FALSE))</f>
        <v/>
      </c>
      <c r="R437" s="109" t="str">
        <f t="shared" si="1"/>
        <v/>
      </c>
      <c r="S437" s="71" t="str">
        <f t="shared" si="2"/>
        <v/>
      </c>
      <c r="T437" s="71">
        <f t="shared" si="3"/>
        <v>0</v>
      </c>
      <c r="U437" s="43"/>
      <c r="V437" s="486"/>
      <c r="W437" s="43"/>
      <c r="X437" s="43"/>
    </row>
    <row r="438" hidden="1">
      <c r="A438" s="51"/>
      <c r="B438" s="43"/>
      <c r="C438" s="51"/>
      <c r="D438" s="43"/>
      <c r="E438" s="43"/>
      <c r="F438" s="43"/>
      <c r="G438" s="43"/>
      <c r="H438" s="43"/>
      <c r="I438" s="43"/>
      <c r="J438" s="443"/>
      <c r="K438" s="43"/>
      <c r="L438" s="89"/>
      <c r="M438" s="89"/>
      <c r="O438" s="71">
        <f t="shared" si="21"/>
        <v>0</v>
      </c>
      <c r="P438" s="89">
        <f t="shared" si="22"/>
        <v>0</v>
      </c>
      <c r="Q438" s="491" t="str">
        <f>IF(ISBLANK(M438), "", VLOOKUP(A438&amp;" "&amp;B438, 'Info Tipo de Cambio y REM'!$A$24:$B$47, 2, FALSE))</f>
        <v/>
      </c>
      <c r="R438" s="109" t="str">
        <f t="shared" si="1"/>
        <v/>
      </c>
      <c r="S438" s="71" t="str">
        <f t="shared" si="2"/>
        <v/>
      </c>
      <c r="T438" s="71">
        <f t="shared" si="3"/>
        <v>0</v>
      </c>
      <c r="U438" s="43"/>
      <c r="V438" s="486"/>
      <c r="W438" s="43"/>
      <c r="X438" s="43"/>
    </row>
    <row r="439" hidden="1">
      <c r="A439" s="51"/>
      <c r="B439" s="43"/>
      <c r="C439" s="51"/>
      <c r="D439" s="43"/>
      <c r="E439" s="43"/>
      <c r="F439" s="43"/>
      <c r="G439" s="43"/>
      <c r="H439" s="43"/>
      <c r="I439" s="43"/>
      <c r="J439" s="443"/>
      <c r="K439" s="43"/>
      <c r="L439" s="89"/>
      <c r="M439" s="89"/>
      <c r="O439" s="71">
        <f t="shared" si="21"/>
        <v>0</v>
      </c>
      <c r="P439" s="89">
        <f t="shared" si="22"/>
        <v>0</v>
      </c>
      <c r="Q439" s="491" t="str">
        <f>IF(ISBLANK(M439), "", VLOOKUP(A439&amp;" "&amp;B439, 'Info Tipo de Cambio y REM'!$A$24:$B$47, 2, FALSE))</f>
        <v/>
      </c>
      <c r="R439" s="109" t="str">
        <f t="shared" si="1"/>
        <v/>
      </c>
      <c r="S439" s="71" t="str">
        <f t="shared" si="2"/>
        <v/>
      </c>
      <c r="T439" s="71">
        <f t="shared" si="3"/>
        <v>0</v>
      </c>
      <c r="U439" s="43"/>
      <c r="V439" s="486"/>
      <c r="W439" s="43"/>
      <c r="X439" s="43"/>
    </row>
    <row r="440" hidden="1">
      <c r="A440" s="51"/>
      <c r="B440" s="43"/>
      <c r="C440" s="51"/>
      <c r="D440" s="43"/>
      <c r="E440" s="43"/>
      <c r="F440" s="43"/>
      <c r="G440" s="43"/>
      <c r="H440" s="43"/>
      <c r="I440" s="43"/>
      <c r="J440" s="443"/>
      <c r="K440" s="43"/>
      <c r="L440" s="89"/>
      <c r="M440" s="89"/>
      <c r="O440" s="71">
        <f t="shared" si="21"/>
        <v>0</v>
      </c>
      <c r="P440" s="89">
        <f t="shared" si="22"/>
        <v>0</v>
      </c>
      <c r="Q440" s="491" t="str">
        <f>IF(ISBLANK(M440), "", VLOOKUP(A440&amp;" "&amp;B440, 'Info Tipo de Cambio y REM'!$A$24:$B$47, 2, FALSE))</f>
        <v/>
      </c>
      <c r="R440" s="109" t="str">
        <f t="shared" si="1"/>
        <v/>
      </c>
      <c r="S440" s="71" t="str">
        <f t="shared" si="2"/>
        <v/>
      </c>
      <c r="T440" s="71">
        <f t="shared" si="3"/>
        <v>0</v>
      </c>
      <c r="U440" s="43"/>
      <c r="V440" s="486"/>
      <c r="W440" s="43"/>
      <c r="X440" s="43"/>
    </row>
    <row r="441" hidden="1">
      <c r="A441" s="51"/>
      <c r="B441" s="43"/>
      <c r="C441" s="51"/>
      <c r="D441" s="43"/>
      <c r="E441" s="43"/>
      <c r="F441" s="43"/>
      <c r="G441" s="43"/>
      <c r="H441" s="43"/>
      <c r="I441" s="43"/>
      <c r="J441" s="443"/>
      <c r="K441" s="43"/>
      <c r="L441" s="89"/>
      <c r="M441" s="89"/>
      <c r="O441" s="71">
        <f t="shared" si="21"/>
        <v>0</v>
      </c>
      <c r="P441" s="89">
        <f t="shared" si="22"/>
        <v>0</v>
      </c>
      <c r="Q441" s="491" t="str">
        <f>IF(ISBLANK(M441), "", VLOOKUP(A441&amp;" "&amp;B441, 'Info Tipo de Cambio y REM'!$A$24:$B$47, 2, FALSE))</f>
        <v/>
      </c>
      <c r="R441" s="109" t="str">
        <f t="shared" si="1"/>
        <v/>
      </c>
      <c r="S441" s="71" t="str">
        <f t="shared" si="2"/>
        <v/>
      </c>
      <c r="T441" s="71">
        <f t="shared" si="3"/>
        <v>0</v>
      </c>
      <c r="U441" s="43"/>
      <c r="V441" s="486"/>
      <c r="W441" s="43"/>
      <c r="X441" s="43"/>
    </row>
    <row r="442" hidden="1">
      <c r="A442" s="51"/>
      <c r="B442" s="43"/>
      <c r="C442" s="51"/>
      <c r="D442" s="43"/>
      <c r="E442" s="43"/>
      <c r="F442" s="43"/>
      <c r="G442" s="43"/>
      <c r="H442" s="43"/>
      <c r="I442" s="43"/>
      <c r="J442" s="443"/>
      <c r="K442" s="43"/>
      <c r="L442" s="89"/>
      <c r="M442" s="89"/>
      <c r="O442" s="71">
        <f t="shared" si="21"/>
        <v>0</v>
      </c>
      <c r="P442" s="89">
        <f t="shared" si="22"/>
        <v>0</v>
      </c>
      <c r="Q442" s="491" t="str">
        <f>IF(ISBLANK(M442), "", VLOOKUP(A442&amp;" "&amp;B442, 'Info Tipo de Cambio y REM'!$A$24:$B$47, 2, FALSE))</f>
        <v/>
      </c>
      <c r="R442" s="109" t="str">
        <f t="shared" si="1"/>
        <v/>
      </c>
      <c r="S442" s="71" t="str">
        <f t="shared" si="2"/>
        <v/>
      </c>
      <c r="T442" s="71">
        <f t="shared" si="3"/>
        <v>0</v>
      </c>
      <c r="U442" s="43"/>
      <c r="V442" s="486"/>
      <c r="W442" s="43"/>
      <c r="X442" s="43"/>
    </row>
    <row r="443" hidden="1">
      <c r="A443" s="51"/>
      <c r="B443" s="43"/>
      <c r="C443" s="51"/>
      <c r="D443" s="43"/>
      <c r="E443" s="43"/>
      <c r="F443" s="43"/>
      <c r="G443" s="43"/>
      <c r="H443" s="43"/>
      <c r="I443" s="43"/>
      <c r="J443" s="443"/>
      <c r="K443" s="43"/>
      <c r="L443" s="89"/>
      <c r="M443" s="89"/>
      <c r="O443" s="71">
        <f t="shared" si="21"/>
        <v>0</v>
      </c>
      <c r="P443" s="89">
        <f t="shared" si="22"/>
        <v>0</v>
      </c>
      <c r="Q443" s="491" t="str">
        <f>IF(ISBLANK(M443), "", VLOOKUP(A443&amp;" "&amp;B443, 'Info Tipo de Cambio y REM'!$A$24:$B$47, 2, FALSE))</f>
        <v/>
      </c>
      <c r="R443" s="109" t="str">
        <f t="shared" si="1"/>
        <v/>
      </c>
      <c r="S443" s="71" t="str">
        <f t="shared" si="2"/>
        <v/>
      </c>
      <c r="T443" s="71">
        <f t="shared" si="3"/>
        <v>0</v>
      </c>
      <c r="U443" s="43"/>
      <c r="V443" s="486"/>
      <c r="W443" s="43"/>
      <c r="X443" s="43"/>
    </row>
    <row r="444" hidden="1">
      <c r="A444" s="51"/>
      <c r="B444" s="43"/>
      <c r="C444" s="51"/>
      <c r="D444" s="43"/>
      <c r="E444" s="43"/>
      <c r="F444" s="43"/>
      <c r="G444" s="43"/>
      <c r="H444" s="43"/>
      <c r="I444" s="43"/>
      <c r="J444" s="443"/>
      <c r="K444" s="43"/>
      <c r="L444" s="89"/>
      <c r="M444" s="89"/>
      <c r="O444" s="71">
        <f t="shared" si="21"/>
        <v>0</v>
      </c>
      <c r="P444" s="89">
        <f t="shared" si="22"/>
        <v>0</v>
      </c>
      <c r="Q444" s="491" t="str">
        <f>IF(ISBLANK(M444), "", VLOOKUP(A444&amp;" "&amp;B444, 'Info Tipo de Cambio y REM'!$A$24:$B$47, 2, FALSE))</f>
        <v/>
      </c>
      <c r="R444" s="109" t="str">
        <f t="shared" si="1"/>
        <v/>
      </c>
      <c r="S444" s="71" t="str">
        <f t="shared" si="2"/>
        <v/>
      </c>
      <c r="T444" s="71">
        <f t="shared" si="3"/>
        <v>0</v>
      </c>
      <c r="U444" s="43"/>
      <c r="V444" s="486"/>
      <c r="W444" s="43"/>
      <c r="X444" s="43"/>
    </row>
    <row r="445" hidden="1">
      <c r="A445" s="51"/>
      <c r="B445" s="43"/>
      <c r="C445" s="51"/>
      <c r="D445" s="43"/>
      <c r="E445" s="43"/>
      <c r="F445" s="43"/>
      <c r="G445" s="43"/>
      <c r="H445" s="43"/>
      <c r="I445" s="43"/>
      <c r="J445" s="443"/>
      <c r="K445" s="43"/>
      <c r="L445" s="89"/>
      <c r="M445" s="89"/>
      <c r="O445" s="71">
        <f t="shared" si="21"/>
        <v>0</v>
      </c>
      <c r="P445" s="89">
        <f t="shared" si="22"/>
        <v>0</v>
      </c>
      <c r="Q445" s="491" t="str">
        <f>IF(ISBLANK(M445), "", VLOOKUP(A445&amp;" "&amp;B445, 'Info Tipo de Cambio y REM'!$A$24:$B$47, 2, FALSE))</f>
        <v/>
      </c>
      <c r="R445" s="109" t="str">
        <f t="shared" si="1"/>
        <v/>
      </c>
      <c r="S445" s="71" t="str">
        <f t="shared" si="2"/>
        <v/>
      </c>
      <c r="T445" s="71">
        <f t="shared" si="3"/>
        <v>0</v>
      </c>
      <c r="U445" s="43"/>
      <c r="V445" s="486"/>
      <c r="W445" s="43"/>
      <c r="X445" s="43"/>
    </row>
    <row r="446" hidden="1">
      <c r="A446" s="51"/>
      <c r="B446" s="43"/>
      <c r="C446" s="51"/>
      <c r="D446" s="43"/>
      <c r="E446" s="43"/>
      <c r="F446" s="43"/>
      <c r="G446" s="43"/>
      <c r="H446" s="43"/>
      <c r="I446" s="43"/>
      <c r="J446" s="443"/>
      <c r="K446" s="43"/>
      <c r="L446" s="89"/>
      <c r="M446" s="89"/>
      <c r="O446" s="71">
        <f t="shared" si="21"/>
        <v>0</v>
      </c>
      <c r="P446" s="89">
        <f t="shared" si="22"/>
        <v>0</v>
      </c>
      <c r="Q446" s="491" t="str">
        <f>IF(ISBLANK(M446), "", VLOOKUP(A446&amp;" "&amp;B446, 'Info Tipo de Cambio y REM'!$A$24:$B$47, 2, FALSE))</f>
        <v/>
      </c>
      <c r="R446" s="109" t="str">
        <f t="shared" si="1"/>
        <v/>
      </c>
      <c r="S446" s="71" t="str">
        <f t="shared" si="2"/>
        <v/>
      </c>
      <c r="T446" s="71">
        <f t="shared" si="3"/>
        <v>0</v>
      </c>
      <c r="U446" s="43"/>
      <c r="V446" s="486"/>
      <c r="W446" s="43"/>
      <c r="X446" s="43"/>
    </row>
    <row r="447" hidden="1">
      <c r="A447" s="51"/>
      <c r="B447" s="43"/>
      <c r="C447" s="51"/>
      <c r="D447" s="43"/>
      <c r="E447" s="43"/>
      <c r="F447" s="43"/>
      <c r="G447" s="43"/>
      <c r="H447" s="43"/>
      <c r="I447" s="43"/>
      <c r="J447" s="443"/>
      <c r="K447" s="43"/>
      <c r="L447" s="89"/>
      <c r="M447" s="89"/>
      <c r="O447" s="71">
        <f t="shared" si="21"/>
        <v>0</v>
      </c>
      <c r="P447" s="89">
        <f t="shared" si="22"/>
        <v>0</v>
      </c>
      <c r="Q447" s="491" t="str">
        <f>IF(ISBLANK(M447), "", VLOOKUP(A447&amp;" "&amp;B447, 'Info Tipo de Cambio y REM'!$A$24:$B$47, 2, FALSE))</f>
        <v/>
      </c>
      <c r="R447" s="109" t="str">
        <f t="shared" si="1"/>
        <v/>
      </c>
      <c r="S447" s="71" t="str">
        <f t="shared" si="2"/>
        <v/>
      </c>
      <c r="T447" s="71">
        <f t="shared" si="3"/>
        <v>0</v>
      </c>
      <c r="U447" s="43"/>
      <c r="V447" s="486"/>
      <c r="W447" s="43"/>
      <c r="X447" s="43"/>
    </row>
    <row r="448" hidden="1">
      <c r="A448" s="51"/>
      <c r="B448" s="43"/>
      <c r="C448" s="51"/>
      <c r="D448" s="43"/>
      <c r="E448" s="43"/>
      <c r="F448" s="43"/>
      <c r="G448" s="43"/>
      <c r="H448" s="43"/>
      <c r="I448" s="43"/>
      <c r="J448" s="443"/>
      <c r="K448" s="43"/>
      <c r="L448" s="89"/>
      <c r="M448" s="89"/>
      <c r="O448" s="71">
        <f t="shared" si="21"/>
        <v>0</v>
      </c>
      <c r="P448" s="89">
        <f t="shared" si="22"/>
        <v>0</v>
      </c>
      <c r="Q448" s="491" t="str">
        <f>IF(ISBLANK(M448), "", VLOOKUP(A448&amp;" "&amp;B448, 'Info Tipo de Cambio y REM'!$A$24:$B$47, 2, FALSE))</f>
        <v/>
      </c>
      <c r="R448" s="109" t="str">
        <f t="shared" si="1"/>
        <v/>
      </c>
      <c r="S448" s="71" t="str">
        <f t="shared" si="2"/>
        <v/>
      </c>
      <c r="T448" s="71">
        <f t="shared" si="3"/>
        <v>0</v>
      </c>
      <c r="U448" s="43"/>
      <c r="V448" s="486"/>
      <c r="W448" s="43"/>
      <c r="X448" s="43"/>
    </row>
    <row r="449" hidden="1">
      <c r="A449" s="51"/>
      <c r="B449" s="43"/>
      <c r="C449" s="51"/>
      <c r="D449" s="43"/>
      <c r="E449" s="43"/>
      <c r="F449" s="43"/>
      <c r="G449" s="43"/>
      <c r="H449" s="43"/>
      <c r="I449" s="43"/>
      <c r="J449" s="443"/>
      <c r="K449" s="43"/>
      <c r="L449" s="89"/>
      <c r="M449" s="89"/>
      <c r="O449" s="71">
        <f t="shared" si="21"/>
        <v>0</v>
      </c>
      <c r="P449" s="89">
        <f t="shared" si="22"/>
        <v>0</v>
      </c>
      <c r="Q449" s="491" t="str">
        <f>IF(ISBLANK(M449), "", VLOOKUP(A449&amp;" "&amp;B449, 'Info Tipo de Cambio y REM'!$A$24:$B$47, 2, FALSE))</f>
        <v/>
      </c>
      <c r="R449" s="109" t="str">
        <f t="shared" si="1"/>
        <v/>
      </c>
      <c r="S449" s="71" t="str">
        <f t="shared" si="2"/>
        <v/>
      </c>
      <c r="T449" s="71">
        <f t="shared" si="3"/>
        <v>0</v>
      </c>
      <c r="U449" s="43"/>
      <c r="V449" s="486"/>
      <c r="W449" s="43"/>
      <c r="X449" s="43"/>
    </row>
    <row r="450" hidden="1">
      <c r="A450" s="51"/>
      <c r="B450" s="43"/>
      <c r="C450" s="51"/>
      <c r="D450" s="43"/>
      <c r="E450" s="43"/>
      <c r="F450" s="43"/>
      <c r="G450" s="43"/>
      <c r="H450" s="43"/>
      <c r="I450" s="43"/>
      <c r="J450" s="443"/>
      <c r="K450" s="43"/>
      <c r="L450" s="89"/>
      <c r="M450" s="89"/>
      <c r="O450" s="71">
        <f t="shared" si="21"/>
        <v>0</v>
      </c>
      <c r="P450" s="89">
        <f t="shared" si="22"/>
        <v>0</v>
      </c>
      <c r="Q450" s="491" t="str">
        <f>IF(ISBLANK(M450), "", VLOOKUP(A450&amp;" "&amp;B450, 'Info Tipo de Cambio y REM'!$A$24:$B$47, 2, FALSE))</f>
        <v/>
      </c>
      <c r="R450" s="109" t="str">
        <f t="shared" si="1"/>
        <v/>
      </c>
      <c r="S450" s="71" t="str">
        <f t="shared" si="2"/>
        <v/>
      </c>
      <c r="T450" s="71">
        <f t="shared" si="3"/>
        <v>0</v>
      </c>
      <c r="U450" s="43"/>
      <c r="V450" s="486"/>
      <c r="W450" s="43"/>
      <c r="X450" s="43"/>
    </row>
    <row r="451" hidden="1">
      <c r="A451" s="51"/>
      <c r="B451" s="43"/>
      <c r="C451" s="51"/>
      <c r="D451" s="43"/>
      <c r="E451" s="43"/>
      <c r="F451" s="43"/>
      <c r="G451" s="43"/>
      <c r="H451" s="43"/>
      <c r="I451" s="43"/>
      <c r="J451" s="443"/>
      <c r="K451" s="43"/>
      <c r="L451" s="89"/>
      <c r="M451" s="89"/>
      <c r="O451" s="71">
        <f t="shared" si="21"/>
        <v>0</v>
      </c>
      <c r="P451" s="89">
        <f t="shared" si="22"/>
        <v>0</v>
      </c>
      <c r="Q451" s="491" t="str">
        <f>IF(ISBLANK(M451), "", VLOOKUP(A451&amp;" "&amp;B451, 'Info Tipo de Cambio y REM'!$A$24:$B$47, 2, FALSE))</f>
        <v/>
      </c>
      <c r="R451" s="109" t="str">
        <f t="shared" si="1"/>
        <v/>
      </c>
      <c r="S451" s="71" t="str">
        <f t="shared" si="2"/>
        <v/>
      </c>
      <c r="T451" s="71">
        <f t="shared" si="3"/>
        <v>0</v>
      </c>
      <c r="U451" s="43"/>
      <c r="V451" s="486"/>
      <c r="W451" s="43"/>
      <c r="X451" s="43"/>
    </row>
    <row r="452" hidden="1">
      <c r="A452" s="51"/>
      <c r="B452" s="43"/>
      <c r="C452" s="51"/>
      <c r="D452" s="43"/>
      <c r="E452" s="43"/>
      <c r="F452" s="43"/>
      <c r="G452" s="43"/>
      <c r="H452" s="43"/>
      <c r="I452" s="43"/>
      <c r="J452" s="443"/>
      <c r="K452" s="43"/>
      <c r="L452" s="89"/>
      <c r="M452" s="89"/>
      <c r="O452" s="71">
        <f t="shared" si="21"/>
        <v>0</v>
      </c>
      <c r="P452" s="89">
        <f t="shared" si="22"/>
        <v>0</v>
      </c>
      <c r="Q452" s="491" t="str">
        <f>IF(ISBLANK(M452), "", VLOOKUP(A452&amp;" "&amp;B452, 'Info Tipo de Cambio y REM'!$A$24:$B$47, 2, FALSE))</f>
        <v/>
      </c>
      <c r="R452" s="109" t="str">
        <f t="shared" si="1"/>
        <v/>
      </c>
      <c r="S452" s="71" t="str">
        <f t="shared" si="2"/>
        <v/>
      </c>
      <c r="T452" s="71">
        <f t="shared" si="3"/>
        <v>0</v>
      </c>
      <c r="U452" s="43"/>
      <c r="V452" s="486"/>
      <c r="W452" s="43"/>
      <c r="X452" s="43"/>
    </row>
    <row r="453" hidden="1">
      <c r="A453" s="51"/>
      <c r="B453" s="43"/>
      <c r="C453" s="51"/>
      <c r="D453" s="43"/>
      <c r="E453" s="43"/>
      <c r="F453" s="43"/>
      <c r="G453" s="43"/>
      <c r="H453" s="43"/>
      <c r="I453" s="43"/>
      <c r="J453" s="443"/>
      <c r="K453" s="43"/>
      <c r="L453" s="89"/>
      <c r="M453" s="89"/>
      <c r="O453" s="71">
        <f t="shared" si="21"/>
        <v>0</v>
      </c>
      <c r="P453" s="89">
        <f t="shared" si="22"/>
        <v>0</v>
      </c>
      <c r="Q453" s="491" t="str">
        <f>IF(ISBLANK(M453), "", VLOOKUP(A453&amp;" "&amp;B453, 'Info Tipo de Cambio y REM'!$A$24:$B$47, 2, FALSE))</f>
        <v/>
      </c>
      <c r="R453" s="109" t="str">
        <f t="shared" si="1"/>
        <v/>
      </c>
      <c r="S453" s="71" t="str">
        <f t="shared" si="2"/>
        <v/>
      </c>
      <c r="T453" s="71">
        <f t="shared" si="3"/>
        <v>0</v>
      </c>
      <c r="U453" s="43"/>
      <c r="V453" s="486"/>
      <c r="W453" s="43"/>
      <c r="X453" s="43"/>
    </row>
    <row r="454" hidden="1">
      <c r="A454" s="51"/>
      <c r="B454" s="43"/>
      <c r="C454" s="51"/>
      <c r="D454" s="43"/>
      <c r="E454" s="43"/>
      <c r="F454" s="43"/>
      <c r="G454" s="43"/>
      <c r="H454" s="43"/>
      <c r="I454" s="43"/>
      <c r="J454" s="443"/>
      <c r="K454" s="43"/>
      <c r="L454" s="89"/>
      <c r="M454" s="89"/>
      <c r="O454" s="71">
        <f t="shared" si="21"/>
        <v>0</v>
      </c>
      <c r="P454" s="89">
        <f t="shared" si="22"/>
        <v>0</v>
      </c>
      <c r="Q454" s="491" t="str">
        <f>IF(ISBLANK(M454), "", VLOOKUP(A454&amp;" "&amp;B454, 'Info Tipo de Cambio y REM'!$A$24:$B$47, 2, FALSE))</f>
        <v/>
      </c>
      <c r="R454" s="109" t="str">
        <f t="shared" si="1"/>
        <v/>
      </c>
      <c r="S454" s="71" t="str">
        <f t="shared" si="2"/>
        <v/>
      </c>
      <c r="T454" s="71">
        <f t="shared" si="3"/>
        <v>0</v>
      </c>
      <c r="U454" s="43"/>
      <c r="V454" s="486"/>
      <c r="W454" s="43"/>
      <c r="X454" s="43"/>
    </row>
    <row r="455" hidden="1">
      <c r="A455" s="51"/>
      <c r="B455" s="43"/>
      <c r="C455" s="51"/>
      <c r="D455" s="43"/>
      <c r="E455" s="43"/>
      <c r="F455" s="43"/>
      <c r="G455" s="43"/>
      <c r="H455" s="43"/>
      <c r="I455" s="43"/>
      <c r="J455" s="443"/>
      <c r="K455" s="43"/>
      <c r="L455" s="89"/>
      <c r="M455" s="89"/>
      <c r="O455" s="71">
        <f t="shared" si="21"/>
        <v>0</v>
      </c>
      <c r="P455" s="89">
        <f t="shared" si="22"/>
        <v>0</v>
      </c>
      <c r="Q455" s="491" t="str">
        <f>IF(ISBLANK(M455), "", VLOOKUP(A455&amp;" "&amp;B455, 'Info Tipo de Cambio y REM'!$A$24:$B$47, 2, FALSE))</f>
        <v/>
      </c>
      <c r="R455" s="109" t="str">
        <f t="shared" si="1"/>
        <v/>
      </c>
      <c r="S455" s="71" t="str">
        <f t="shared" si="2"/>
        <v/>
      </c>
      <c r="T455" s="71">
        <f t="shared" si="3"/>
        <v>0</v>
      </c>
      <c r="U455" s="43"/>
      <c r="V455" s="486"/>
      <c r="W455" s="43"/>
      <c r="X455" s="43"/>
    </row>
    <row r="456" hidden="1">
      <c r="A456" s="51"/>
      <c r="B456" s="43"/>
      <c r="C456" s="51"/>
      <c r="D456" s="43"/>
      <c r="E456" s="43"/>
      <c r="F456" s="43"/>
      <c r="G456" s="43"/>
      <c r="H456" s="43"/>
      <c r="I456" s="43"/>
      <c r="J456" s="443"/>
      <c r="K456" s="43"/>
      <c r="L456" s="89"/>
      <c r="M456" s="89"/>
      <c r="O456" s="71">
        <f t="shared" si="21"/>
        <v>0</v>
      </c>
      <c r="P456" s="89">
        <f t="shared" si="22"/>
        <v>0</v>
      </c>
      <c r="Q456" s="491" t="str">
        <f>IF(ISBLANK(M456), "", VLOOKUP(A456&amp;" "&amp;B456, 'Info Tipo de Cambio y REM'!$A$24:$B$47, 2, FALSE))</f>
        <v/>
      </c>
      <c r="R456" s="109" t="str">
        <f t="shared" si="1"/>
        <v/>
      </c>
      <c r="S456" s="71" t="str">
        <f t="shared" si="2"/>
        <v/>
      </c>
      <c r="T456" s="71">
        <f t="shared" si="3"/>
        <v>0</v>
      </c>
      <c r="U456" s="43"/>
      <c r="V456" s="486"/>
      <c r="W456" s="43"/>
      <c r="X456" s="43"/>
    </row>
    <row r="457" hidden="1">
      <c r="A457" s="51"/>
      <c r="B457" s="43"/>
      <c r="C457" s="51"/>
      <c r="D457" s="43"/>
      <c r="E457" s="43"/>
      <c r="F457" s="43"/>
      <c r="G457" s="43"/>
      <c r="H457" s="43"/>
      <c r="I457" s="43"/>
      <c r="J457" s="443"/>
      <c r="K457" s="43"/>
      <c r="L457" s="89"/>
      <c r="M457" s="89"/>
      <c r="O457" s="71">
        <f t="shared" si="21"/>
        <v>0</v>
      </c>
      <c r="P457" s="89">
        <f t="shared" si="22"/>
        <v>0</v>
      </c>
      <c r="Q457" s="491" t="str">
        <f>IF(ISBLANK(M457), "", VLOOKUP(A457&amp;" "&amp;B457, 'Info Tipo de Cambio y REM'!$A$24:$B$47, 2, FALSE))</f>
        <v/>
      </c>
      <c r="R457" s="109" t="str">
        <f t="shared" si="1"/>
        <v/>
      </c>
      <c r="S457" s="71" t="str">
        <f t="shared" si="2"/>
        <v/>
      </c>
      <c r="T457" s="71">
        <f t="shared" si="3"/>
        <v>0</v>
      </c>
      <c r="U457" s="43"/>
      <c r="V457" s="486"/>
      <c r="W457" s="43"/>
      <c r="X457" s="43"/>
    </row>
    <row r="458" hidden="1">
      <c r="A458" s="51"/>
      <c r="B458" s="43"/>
      <c r="C458" s="51"/>
      <c r="D458" s="43"/>
      <c r="E458" s="43"/>
      <c r="F458" s="43"/>
      <c r="G458" s="43"/>
      <c r="H458" s="43"/>
      <c r="I458" s="43"/>
      <c r="J458" s="443"/>
      <c r="K458" s="43"/>
      <c r="L458" s="89"/>
      <c r="M458" s="89"/>
      <c r="O458" s="71">
        <f t="shared" si="21"/>
        <v>0</v>
      </c>
      <c r="P458" s="89">
        <f t="shared" si="22"/>
        <v>0</v>
      </c>
      <c r="Q458" s="491" t="str">
        <f>IF(ISBLANK(M458), "", VLOOKUP(A458&amp;" "&amp;B458, 'Info Tipo de Cambio y REM'!$A$24:$B$47, 2, FALSE))</f>
        <v/>
      </c>
      <c r="R458" s="109" t="str">
        <f t="shared" si="1"/>
        <v/>
      </c>
      <c r="S458" s="71" t="str">
        <f t="shared" si="2"/>
        <v/>
      </c>
      <c r="T458" s="71">
        <f t="shared" si="3"/>
        <v>0</v>
      </c>
      <c r="U458" s="43"/>
      <c r="V458" s="486"/>
      <c r="W458" s="43"/>
      <c r="X458" s="43"/>
    </row>
    <row r="459" hidden="1">
      <c r="A459" s="51"/>
      <c r="B459" s="43"/>
      <c r="C459" s="51"/>
      <c r="D459" s="43"/>
      <c r="E459" s="43"/>
      <c r="F459" s="43"/>
      <c r="G459" s="43"/>
      <c r="H459" s="43"/>
      <c r="I459" s="43"/>
      <c r="J459" s="443"/>
      <c r="K459" s="43"/>
      <c r="L459" s="89"/>
      <c r="M459" s="89"/>
      <c r="O459" s="71">
        <f t="shared" si="21"/>
        <v>0</v>
      </c>
      <c r="P459" s="89">
        <f t="shared" si="22"/>
        <v>0</v>
      </c>
      <c r="Q459" s="491" t="str">
        <f>IF(ISBLANK(M459), "", VLOOKUP(A459&amp;" "&amp;B459, 'Info Tipo de Cambio y REM'!$A$24:$B$47, 2, FALSE))</f>
        <v/>
      </c>
      <c r="R459" s="109" t="str">
        <f t="shared" si="1"/>
        <v/>
      </c>
      <c r="S459" s="71" t="str">
        <f t="shared" si="2"/>
        <v/>
      </c>
      <c r="T459" s="71">
        <f t="shared" si="3"/>
        <v>0</v>
      </c>
      <c r="U459" s="43"/>
      <c r="V459" s="486"/>
      <c r="W459" s="43"/>
      <c r="X459" s="43"/>
    </row>
    <row r="460" hidden="1">
      <c r="A460" s="51"/>
      <c r="B460" s="43"/>
      <c r="C460" s="51"/>
      <c r="D460" s="43"/>
      <c r="E460" s="43"/>
      <c r="F460" s="43"/>
      <c r="G460" s="43"/>
      <c r="H460" s="43"/>
      <c r="I460" s="43"/>
      <c r="J460" s="443"/>
      <c r="K460" s="43"/>
      <c r="L460" s="89"/>
      <c r="M460" s="89"/>
      <c r="O460" s="71">
        <f t="shared" si="21"/>
        <v>0</v>
      </c>
      <c r="P460" s="89">
        <f t="shared" si="22"/>
        <v>0</v>
      </c>
      <c r="Q460" s="491" t="str">
        <f>IF(ISBLANK(M460), "", VLOOKUP(A460&amp;" "&amp;B460, 'Info Tipo de Cambio y REM'!$A$24:$B$47, 2, FALSE))</f>
        <v/>
      </c>
      <c r="R460" s="109" t="str">
        <f t="shared" si="1"/>
        <v/>
      </c>
      <c r="S460" s="71" t="str">
        <f t="shared" si="2"/>
        <v/>
      </c>
      <c r="T460" s="71">
        <f t="shared" si="3"/>
        <v>0</v>
      </c>
      <c r="U460" s="43"/>
      <c r="V460" s="486"/>
      <c r="W460" s="43"/>
      <c r="X460" s="43"/>
    </row>
    <row r="461" hidden="1">
      <c r="A461" s="51"/>
      <c r="B461" s="43"/>
      <c r="C461" s="51"/>
      <c r="D461" s="43"/>
      <c r="E461" s="43"/>
      <c r="F461" s="43"/>
      <c r="G461" s="43"/>
      <c r="H461" s="43"/>
      <c r="I461" s="43"/>
      <c r="J461" s="443"/>
      <c r="K461" s="43"/>
      <c r="L461" s="89"/>
      <c r="M461" s="89"/>
      <c r="O461" s="71">
        <f t="shared" si="21"/>
        <v>0</v>
      </c>
      <c r="P461" s="89">
        <f t="shared" si="22"/>
        <v>0</v>
      </c>
      <c r="Q461" s="491" t="str">
        <f>IF(ISBLANK(M461), "", VLOOKUP(A461&amp;" "&amp;B461, 'Info Tipo de Cambio y REM'!$A$24:$B$47, 2, FALSE))</f>
        <v/>
      </c>
      <c r="R461" s="109" t="str">
        <f t="shared" si="1"/>
        <v/>
      </c>
      <c r="S461" s="71" t="str">
        <f t="shared" si="2"/>
        <v/>
      </c>
      <c r="T461" s="71">
        <f t="shared" si="3"/>
        <v>0</v>
      </c>
      <c r="U461" s="43"/>
      <c r="V461" s="486"/>
      <c r="W461" s="43"/>
      <c r="X461" s="43"/>
    </row>
    <row r="462" hidden="1">
      <c r="A462" s="51"/>
      <c r="B462" s="43"/>
      <c r="C462" s="51"/>
      <c r="D462" s="43"/>
      <c r="E462" s="43"/>
      <c r="F462" s="43"/>
      <c r="G462" s="43"/>
      <c r="H462" s="43"/>
      <c r="I462" s="43"/>
      <c r="J462" s="443"/>
      <c r="K462" s="43"/>
      <c r="L462" s="89"/>
      <c r="M462" s="89"/>
      <c r="O462" s="71">
        <f t="shared" si="21"/>
        <v>0</v>
      </c>
      <c r="P462" s="89">
        <f t="shared" si="22"/>
        <v>0</v>
      </c>
      <c r="Q462" s="491" t="str">
        <f>IF(ISBLANK(M462), "", VLOOKUP(A462&amp;" "&amp;B462, 'Info Tipo de Cambio y REM'!$A$24:$B$47, 2, FALSE))</f>
        <v/>
      </c>
      <c r="R462" s="109" t="str">
        <f t="shared" si="1"/>
        <v/>
      </c>
      <c r="S462" s="71" t="str">
        <f t="shared" si="2"/>
        <v/>
      </c>
      <c r="T462" s="71">
        <f t="shared" si="3"/>
        <v>0</v>
      </c>
      <c r="U462" s="43"/>
      <c r="V462" s="486"/>
      <c r="W462" s="43"/>
      <c r="X462" s="43"/>
    </row>
    <row r="463" hidden="1">
      <c r="A463" s="51"/>
      <c r="B463" s="43"/>
      <c r="C463" s="51"/>
      <c r="D463" s="43"/>
      <c r="E463" s="43"/>
      <c r="F463" s="43"/>
      <c r="G463" s="43"/>
      <c r="H463" s="43"/>
      <c r="I463" s="43"/>
      <c r="J463" s="443"/>
      <c r="K463" s="43"/>
      <c r="L463" s="89"/>
      <c r="M463" s="89"/>
      <c r="O463" s="71">
        <f t="shared" si="21"/>
        <v>0</v>
      </c>
      <c r="P463" s="89">
        <f t="shared" si="22"/>
        <v>0</v>
      </c>
      <c r="Q463" s="491" t="str">
        <f>IF(ISBLANK(M463), "", VLOOKUP(A463&amp;" "&amp;B463, 'Info Tipo de Cambio y REM'!$A$24:$B$47, 2, FALSE))</f>
        <v/>
      </c>
      <c r="R463" s="109" t="str">
        <f t="shared" si="1"/>
        <v/>
      </c>
      <c r="S463" s="71" t="str">
        <f t="shared" si="2"/>
        <v/>
      </c>
      <c r="T463" s="71">
        <f t="shared" si="3"/>
        <v>0</v>
      </c>
      <c r="U463" s="43"/>
      <c r="V463" s="486"/>
      <c r="W463" s="43"/>
      <c r="X463" s="43"/>
    </row>
    <row r="464" hidden="1">
      <c r="A464" s="51"/>
      <c r="B464" s="43"/>
      <c r="C464" s="51"/>
      <c r="D464" s="43"/>
      <c r="E464" s="43"/>
      <c r="F464" s="43"/>
      <c r="G464" s="43"/>
      <c r="H464" s="43"/>
      <c r="I464" s="43"/>
      <c r="J464" s="443"/>
      <c r="K464" s="43"/>
      <c r="L464" s="89"/>
      <c r="M464" s="89"/>
      <c r="O464" s="71">
        <f t="shared" si="21"/>
        <v>0</v>
      </c>
      <c r="P464" s="89">
        <f t="shared" si="22"/>
        <v>0</v>
      </c>
      <c r="Q464" s="491" t="str">
        <f>IF(ISBLANK(M464), "", VLOOKUP(A464&amp;" "&amp;B464, 'Info Tipo de Cambio y REM'!$A$24:$B$47, 2, FALSE))</f>
        <v/>
      </c>
      <c r="R464" s="109" t="str">
        <f t="shared" si="1"/>
        <v/>
      </c>
      <c r="S464" s="71" t="str">
        <f t="shared" si="2"/>
        <v/>
      </c>
      <c r="T464" s="71">
        <f t="shared" si="3"/>
        <v>0</v>
      </c>
      <c r="U464" s="43"/>
      <c r="V464" s="486"/>
      <c r="W464" s="43"/>
      <c r="X464" s="43"/>
    </row>
    <row r="465" hidden="1">
      <c r="A465" s="51"/>
      <c r="B465" s="43"/>
      <c r="C465" s="51"/>
      <c r="D465" s="43"/>
      <c r="E465" s="43"/>
      <c r="F465" s="43"/>
      <c r="G465" s="43"/>
      <c r="H465" s="43"/>
      <c r="I465" s="43"/>
      <c r="J465" s="443"/>
      <c r="K465" s="43"/>
      <c r="L465" s="89"/>
      <c r="M465" s="89"/>
      <c r="O465" s="71">
        <f t="shared" si="21"/>
        <v>0</v>
      </c>
      <c r="P465" s="89">
        <f t="shared" si="22"/>
        <v>0</v>
      </c>
      <c r="Q465" s="491" t="str">
        <f>IF(ISBLANK(M465), "", VLOOKUP(A465&amp;" "&amp;B465, 'Info Tipo de Cambio y REM'!$A$24:$B$47, 2, FALSE))</f>
        <v/>
      </c>
      <c r="R465" s="109" t="str">
        <f t="shared" si="1"/>
        <v/>
      </c>
      <c r="S465" s="71" t="str">
        <f t="shared" si="2"/>
        <v/>
      </c>
      <c r="T465" s="71">
        <f t="shared" si="3"/>
        <v>0</v>
      </c>
      <c r="U465" s="43"/>
      <c r="V465" s="486"/>
      <c r="W465" s="43"/>
      <c r="X465" s="43"/>
    </row>
    <row r="466" hidden="1">
      <c r="A466" s="51"/>
      <c r="B466" s="43"/>
      <c r="C466" s="51"/>
      <c r="D466" s="43"/>
      <c r="E466" s="43"/>
      <c r="F466" s="43"/>
      <c r="G466" s="43"/>
      <c r="H466" s="43"/>
      <c r="I466" s="43"/>
      <c r="J466" s="443"/>
      <c r="K466" s="43"/>
      <c r="L466" s="89"/>
      <c r="M466" s="89"/>
      <c r="O466" s="71">
        <f t="shared" si="21"/>
        <v>0</v>
      </c>
      <c r="P466" s="89">
        <f t="shared" si="22"/>
        <v>0</v>
      </c>
      <c r="Q466" s="491" t="str">
        <f>IF(ISBLANK(M466), "", VLOOKUP(A466&amp;" "&amp;B466, 'Info Tipo de Cambio y REM'!$A$24:$B$47, 2, FALSE))</f>
        <v/>
      </c>
      <c r="R466" s="109" t="str">
        <f t="shared" si="1"/>
        <v/>
      </c>
      <c r="S466" s="71" t="str">
        <f t="shared" si="2"/>
        <v/>
      </c>
      <c r="T466" s="71">
        <f t="shared" si="3"/>
        <v>0</v>
      </c>
      <c r="U466" s="43"/>
      <c r="V466" s="486"/>
      <c r="W466" s="43"/>
      <c r="X466" s="43"/>
    </row>
    <row r="467" hidden="1">
      <c r="A467" s="51"/>
      <c r="B467" s="43"/>
      <c r="C467" s="51"/>
      <c r="D467" s="43"/>
      <c r="E467" s="43"/>
      <c r="F467" s="43"/>
      <c r="G467" s="43"/>
      <c r="H467" s="43"/>
      <c r="I467" s="43"/>
      <c r="J467" s="443"/>
      <c r="K467" s="43"/>
      <c r="L467" s="89"/>
      <c r="M467" s="89"/>
      <c r="O467" s="71">
        <f t="shared" si="21"/>
        <v>0</v>
      </c>
      <c r="P467" s="89">
        <f t="shared" si="22"/>
        <v>0</v>
      </c>
      <c r="Q467" s="491" t="str">
        <f>IF(ISBLANK(M467), "", VLOOKUP(A467&amp;" "&amp;B467, 'Info Tipo de Cambio y REM'!$A$24:$B$47, 2, FALSE))</f>
        <v/>
      </c>
      <c r="R467" s="109" t="str">
        <f t="shared" si="1"/>
        <v/>
      </c>
      <c r="S467" s="71" t="str">
        <f t="shared" si="2"/>
        <v/>
      </c>
      <c r="T467" s="71">
        <f t="shared" si="3"/>
        <v>0</v>
      </c>
      <c r="U467" s="43"/>
      <c r="V467" s="486"/>
      <c r="W467" s="43"/>
      <c r="X467" s="43"/>
    </row>
    <row r="468" hidden="1">
      <c r="A468" s="51"/>
      <c r="B468" s="43"/>
      <c r="C468" s="51"/>
      <c r="D468" s="43"/>
      <c r="E468" s="43"/>
      <c r="F468" s="43"/>
      <c r="G468" s="43"/>
      <c r="H468" s="43"/>
      <c r="I468" s="43"/>
      <c r="J468" s="443"/>
      <c r="K468" s="43"/>
      <c r="L468" s="89"/>
      <c r="M468" s="89"/>
      <c r="O468" s="71">
        <f t="shared" si="21"/>
        <v>0</v>
      </c>
      <c r="P468" s="89">
        <f t="shared" si="22"/>
        <v>0</v>
      </c>
      <c r="Q468" s="491" t="str">
        <f>IF(ISBLANK(M468), "", VLOOKUP(A468&amp;" "&amp;B468, 'Info Tipo de Cambio y REM'!$A$24:$B$47, 2, FALSE))</f>
        <v/>
      </c>
      <c r="R468" s="109" t="str">
        <f t="shared" si="1"/>
        <v/>
      </c>
      <c r="S468" s="71" t="str">
        <f t="shared" si="2"/>
        <v/>
      </c>
      <c r="T468" s="71">
        <f t="shared" si="3"/>
        <v>0</v>
      </c>
      <c r="U468" s="43"/>
      <c r="V468" s="486"/>
      <c r="W468" s="43"/>
      <c r="X468" s="43"/>
    </row>
    <row r="469" hidden="1">
      <c r="A469" s="51"/>
      <c r="B469" s="43"/>
      <c r="C469" s="51"/>
      <c r="D469" s="43"/>
      <c r="E469" s="43"/>
      <c r="F469" s="43"/>
      <c r="G469" s="43"/>
      <c r="H469" s="43"/>
      <c r="I469" s="43"/>
      <c r="J469" s="443"/>
      <c r="K469" s="43"/>
      <c r="L469" s="89"/>
      <c r="M469" s="89"/>
      <c r="O469" s="71">
        <f t="shared" si="21"/>
        <v>0</v>
      </c>
      <c r="P469" s="89">
        <f t="shared" si="22"/>
        <v>0</v>
      </c>
      <c r="Q469" s="491" t="str">
        <f>IF(ISBLANK(M469), "", VLOOKUP(A469&amp;" "&amp;B469, 'Info Tipo de Cambio y REM'!$A$24:$B$47, 2, FALSE))</f>
        <v/>
      </c>
      <c r="R469" s="109" t="str">
        <f t="shared" si="1"/>
        <v/>
      </c>
      <c r="S469" s="71" t="str">
        <f t="shared" si="2"/>
        <v/>
      </c>
      <c r="T469" s="71">
        <f t="shared" si="3"/>
        <v>0</v>
      </c>
      <c r="U469" s="43"/>
      <c r="V469" s="486"/>
      <c r="W469" s="43"/>
      <c r="X469" s="43"/>
    </row>
    <row r="470" hidden="1">
      <c r="A470" s="51"/>
      <c r="B470" s="43"/>
      <c r="C470" s="51"/>
      <c r="D470" s="43"/>
      <c r="E470" s="43"/>
      <c r="F470" s="43"/>
      <c r="G470" s="43"/>
      <c r="H470" s="43"/>
      <c r="I470" s="43"/>
      <c r="J470" s="443"/>
      <c r="K470" s="43"/>
      <c r="L470" s="89"/>
      <c r="M470" s="89"/>
      <c r="O470" s="71">
        <f t="shared" si="21"/>
        <v>0</v>
      </c>
      <c r="P470" s="89">
        <f t="shared" si="22"/>
        <v>0</v>
      </c>
      <c r="Q470" s="491" t="str">
        <f>IF(ISBLANK(M470), "", VLOOKUP(A470&amp;" "&amp;B470, 'Info Tipo de Cambio y REM'!$A$24:$B$47, 2, FALSE))</f>
        <v/>
      </c>
      <c r="R470" s="109" t="str">
        <f t="shared" si="1"/>
        <v/>
      </c>
      <c r="S470" s="71" t="str">
        <f t="shared" si="2"/>
        <v/>
      </c>
      <c r="T470" s="71">
        <f t="shared" si="3"/>
        <v>0</v>
      </c>
      <c r="U470" s="43"/>
      <c r="V470" s="486"/>
      <c r="W470" s="43"/>
      <c r="X470" s="43"/>
    </row>
    <row r="471" hidden="1">
      <c r="A471" s="51"/>
      <c r="B471" s="43"/>
      <c r="C471" s="51"/>
      <c r="D471" s="43"/>
      <c r="E471" s="43"/>
      <c r="F471" s="43"/>
      <c r="G471" s="43"/>
      <c r="H471" s="43"/>
      <c r="I471" s="43"/>
      <c r="J471" s="443"/>
      <c r="K471" s="43"/>
      <c r="L471" s="89"/>
      <c r="M471" s="89"/>
      <c r="O471" s="71">
        <f t="shared" si="21"/>
        <v>0</v>
      </c>
      <c r="P471" s="89">
        <f t="shared" si="22"/>
        <v>0</v>
      </c>
      <c r="Q471" s="491" t="str">
        <f>IF(ISBLANK(M471), "", VLOOKUP(A471&amp;" "&amp;B471, 'Info Tipo de Cambio y REM'!$A$24:$B$47, 2, FALSE))</f>
        <v/>
      </c>
      <c r="R471" s="109" t="str">
        <f t="shared" si="1"/>
        <v/>
      </c>
      <c r="S471" s="71" t="str">
        <f t="shared" si="2"/>
        <v/>
      </c>
      <c r="T471" s="71">
        <f t="shared" si="3"/>
        <v>0</v>
      </c>
      <c r="U471" s="43"/>
      <c r="V471" s="486"/>
      <c r="W471" s="43"/>
      <c r="X471" s="43"/>
    </row>
    <row r="472" hidden="1">
      <c r="A472" s="51"/>
      <c r="B472" s="43"/>
      <c r="C472" s="51"/>
      <c r="D472" s="43"/>
      <c r="E472" s="43"/>
      <c r="F472" s="43"/>
      <c r="G472" s="43"/>
      <c r="H472" s="43"/>
      <c r="I472" s="43"/>
      <c r="J472" s="443"/>
      <c r="K472" s="43"/>
      <c r="L472" s="89"/>
      <c r="M472" s="89"/>
      <c r="O472" s="71">
        <f t="shared" si="21"/>
        <v>0</v>
      </c>
      <c r="P472" s="89">
        <f t="shared" si="22"/>
        <v>0</v>
      </c>
      <c r="Q472" s="491" t="str">
        <f>IF(ISBLANK(M472), "", VLOOKUP(A472&amp;" "&amp;B472, 'Info Tipo de Cambio y REM'!$A$24:$B$47, 2, FALSE))</f>
        <v/>
      </c>
      <c r="R472" s="109" t="str">
        <f t="shared" si="1"/>
        <v/>
      </c>
      <c r="S472" s="71" t="str">
        <f t="shared" si="2"/>
        <v/>
      </c>
      <c r="T472" s="71">
        <f t="shared" si="3"/>
        <v>0</v>
      </c>
      <c r="U472" s="43"/>
      <c r="V472" s="486"/>
      <c r="W472" s="43"/>
      <c r="X472" s="43"/>
    </row>
    <row r="473" hidden="1">
      <c r="A473" s="51"/>
      <c r="B473" s="43"/>
      <c r="C473" s="51"/>
      <c r="D473" s="43"/>
      <c r="E473" s="43"/>
      <c r="F473" s="43"/>
      <c r="G473" s="43"/>
      <c r="H473" s="43"/>
      <c r="I473" s="43"/>
      <c r="J473" s="443"/>
      <c r="K473" s="43"/>
      <c r="L473" s="89"/>
      <c r="M473" s="89"/>
      <c r="O473" s="71">
        <f t="shared" si="21"/>
        <v>0</v>
      </c>
      <c r="P473" s="89">
        <f t="shared" si="22"/>
        <v>0</v>
      </c>
      <c r="Q473" s="491" t="str">
        <f>IF(ISBLANK(M473), "", VLOOKUP(A473&amp;" "&amp;B473, 'Info Tipo de Cambio y REM'!$A$24:$B$47, 2, FALSE))</f>
        <v/>
      </c>
      <c r="R473" s="109" t="str">
        <f t="shared" si="1"/>
        <v/>
      </c>
      <c r="S473" s="71" t="str">
        <f t="shared" si="2"/>
        <v/>
      </c>
      <c r="T473" s="71">
        <f t="shared" si="3"/>
        <v>0</v>
      </c>
      <c r="U473" s="43"/>
      <c r="V473" s="486"/>
      <c r="W473" s="43"/>
      <c r="X473" s="43"/>
    </row>
    <row r="474" hidden="1">
      <c r="A474" s="51"/>
      <c r="B474" s="43"/>
      <c r="C474" s="51"/>
      <c r="D474" s="43"/>
      <c r="E474" s="43"/>
      <c r="F474" s="43"/>
      <c r="G474" s="43"/>
      <c r="H474" s="43"/>
      <c r="I474" s="43"/>
      <c r="J474" s="443"/>
      <c r="K474" s="43"/>
      <c r="L474" s="89"/>
      <c r="M474" s="89"/>
      <c r="O474" s="71">
        <f t="shared" si="21"/>
        <v>0</v>
      </c>
      <c r="P474" s="89">
        <f t="shared" si="22"/>
        <v>0</v>
      </c>
      <c r="Q474" s="491" t="str">
        <f>IF(ISBLANK(M474), "", VLOOKUP(A474&amp;" "&amp;B474, 'Info Tipo de Cambio y REM'!$A$24:$B$47, 2, FALSE))</f>
        <v/>
      </c>
      <c r="R474" s="109" t="str">
        <f t="shared" si="1"/>
        <v/>
      </c>
      <c r="S474" s="71" t="str">
        <f t="shared" si="2"/>
        <v/>
      </c>
      <c r="T474" s="71">
        <f t="shared" si="3"/>
        <v>0</v>
      </c>
      <c r="U474" s="43"/>
      <c r="V474" s="486"/>
      <c r="W474" s="43"/>
      <c r="X474" s="43"/>
    </row>
    <row r="475" hidden="1">
      <c r="A475" s="51"/>
      <c r="B475" s="43"/>
      <c r="C475" s="51"/>
      <c r="D475" s="43"/>
      <c r="E475" s="43"/>
      <c r="F475" s="43"/>
      <c r="G475" s="43"/>
      <c r="H475" s="43"/>
      <c r="I475" s="43"/>
      <c r="J475" s="443"/>
      <c r="K475" s="43"/>
      <c r="L475" s="89"/>
      <c r="M475" s="89"/>
      <c r="O475" s="71">
        <f t="shared" si="21"/>
        <v>0</v>
      </c>
      <c r="P475" s="89">
        <f t="shared" si="22"/>
        <v>0</v>
      </c>
      <c r="Q475" s="491" t="str">
        <f>IF(ISBLANK(M475), "", VLOOKUP(A475&amp;" "&amp;B475, 'Info Tipo de Cambio y REM'!$A$24:$B$47, 2, FALSE))</f>
        <v/>
      </c>
      <c r="R475" s="109" t="str">
        <f t="shared" si="1"/>
        <v/>
      </c>
      <c r="S475" s="71" t="str">
        <f t="shared" si="2"/>
        <v/>
      </c>
      <c r="T475" s="71">
        <f t="shared" si="3"/>
        <v>0</v>
      </c>
      <c r="U475" s="43"/>
      <c r="V475" s="486"/>
      <c r="W475" s="43"/>
      <c r="X475" s="43"/>
    </row>
    <row r="476" hidden="1">
      <c r="A476" s="51"/>
      <c r="B476" s="43"/>
      <c r="C476" s="51"/>
      <c r="D476" s="43"/>
      <c r="E476" s="43"/>
      <c r="F476" s="43"/>
      <c r="G476" s="43"/>
      <c r="H476" s="43"/>
      <c r="I476" s="43"/>
      <c r="J476" s="443"/>
      <c r="K476" s="43"/>
      <c r="L476" s="89"/>
      <c r="M476" s="89"/>
      <c r="O476" s="71">
        <f t="shared" si="21"/>
        <v>0</v>
      </c>
      <c r="P476" s="89">
        <f t="shared" si="22"/>
        <v>0</v>
      </c>
      <c r="Q476" s="491" t="str">
        <f>IF(ISBLANK(M476), "", VLOOKUP(A476&amp;" "&amp;B476, 'Info Tipo de Cambio y REM'!$A$24:$B$47, 2, FALSE))</f>
        <v/>
      </c>
      <c r="R476" s="109" t="str">
        <f t="shared" si="1"/>
        <v/>
      </c>
      <c r="S476" s="71" t="str">
        <f t="shared" si="2"/>
        <v/>
      </c>
      <c r="T476" s="71">
        <f t="shared" si="3"/>
        <v>0</v>
      </c>
      <c r="U476" s="43"/>
      <c r="V476" s="486"/>
      <c r="W476" s="43"/>
      <c r="X476" s="43"/>
    </row>
    <row r="477" hidden="1">
      <c r="A477" s="51"/>
      <c r="B477" s="43"/>
      <c r="C477" s="51"/>
      <c r="D477" s="43"/>
      <c r="E477" s="43"/>
      <c r="F477" s="43"/>
      <c r="G477" s="43"/>
      <c r="H477" s="43"/>
      <c r="I477" s="43"/>
      <c r="J477" s="443"/>
      <c r="K477" s="43"/>
      <c r="L477" s="89"/>
      <c r="M477" s="89"/>
      <c r="O477" s="71">
        <f t="shared" si="21"/>
        <v>0</v>
      </c>
      <c r="P477" s="89">
        <f t="shared" si="22"/>
        <v>0</v>
      </c>
      <c r="Q477" s="491" t="str">
        <f>IF(ISBLANK(M477), "", VLOOKUP(A477&amp;" "&amp;B477, 'Info Tipo de Cambio y REM'!$A$24:$B$47, 2, FALSE))</f>
        <v/>
      </c>
      <c r="R477" s="109" t="str">
        <f t="shared" si="1"/>
        <v/>
      </c>
      <c r="S477" s="71" t="str">
        <f t="shared" si="2"/>
        <v/>
      </c>
      <c r="T477" s="71">
        <f t="shared" si="3"/>
        <v>0</v>
      </c>
      <c r="U477" s="43"/>
      <c r="V477" s="486"/>
      <c r="W477" s="43"/>
      <c r="X477" s="43"/>
    </row>
    <row r="478" hidden="1">
      <c r="A478" s="51"/>
      <c r="B478" s="43"/>
      <c r="C478" s="51"/>
      <c r="D478" s="43"/>
      <c r="E478" s="43"/>
      <c r="F478" s="43"/>
      <c r="G478" s="43"/>
      <c r="H478" s="43"/>
      <c r="I478" s="43"/>
      <c r="J478" s="443"/>
      <c r="K478" s="43"/>
      <c r="L478" s="89"/>
      <c r="M478" s="89"/>
      <c r="O478" s="71">
        <f t="shared" si="21"/>
        <v>0</v>
      </c>
      <c r="P478" s="89">
        <f t="shared" si="22"/>
        <v>0</v>
      </c>
      <c r="Q478" s="491" t="str">
        <f>IF(ISBLANK(M478), "", VLOOKUP(A478&amp;" "&amp;B478, 'Info Tipo de Cambio y REM'!$A$24:$B$47, 2, FALSE))</f>
        <v/>
      </c>
      <c r="R478" s="109" t="str">
        <f t="shared" si="1"/>
        <v/>
      </c>
      <c r="S478" s="71" t="str">
        <f t="shared" si="2"/>
        <v/>
      </c>
      <c r="T478" s="71">
        <f t="shared" si="3"/>
        <v>0</v>
      </c>
      <c r="U478" s="43"/>
      <c r="V478" s="486"/>
      <c r="W478" s="43"/>
      <c r="X478" s="43"/>
    </row>
    <row r="479" hidden="1">
      <c r="A479" s="51"/>
      <c r="B479" s="43"/>
      <c r="C479" s="51"/>
      <c r="D479" s="43"/>
      <c r="E479" s="43"/>
      <c r="F479" s="43"/>
      <c r="G479" s="43"/>
      <c r="H479" s="43"/>
      <c r="I479" s="43"/>
      <c r="J479" s="443"/>
      <c r="K479" s="43"/>
      <c r="L479" s="89"/>
      <c r="M479" s="89"/>
      <c r="O479" s="71">
        <f t="shared" si="21"/>
        <v>0</v>
      </c>
      <c r="P479" s="89">
        <f t="shared" si="22"/>
        <v>0</v>
      </c>
      <c r="Q479" s="491" t="str">
        <f>IF(ISBLANK(M479), "", VLOOKUP(A479&amp;" "&amp;B479, 'Info Tipo de Cambio y REM'!$A$24:$B$47, 2, FALSE))</f>
        <v/>
      </c>
      <c r="R479" s="109" t="str">
        <f t="shared" si="1"/>
        <v/>
      </c>
      <c r="S479" s="71" t="str">
        <f t="shared" si="2"/>
        <v/>
      </c>
      <c r="T479" s="71">
        <f t="shared" si="3"/>
        <v>0</v>
      </c>
      <c r="U479" s="43"/>
      <c r="V479" s="486"/>
      <c r="W479" s="43"/>
      <c r="X479" s="43"/>
    </row>
    <row r="480" hidden="1">
      <c r="A480" s="51"/>
      <c r="B480" s="43"/>
      <c r="C480" s="51"/>
      <c r="D480" s="43"/>
      <c r="E480" s="43"/>
      <c r="F480" s="43"/>
      <c r="G480" s="43"/>
      <c r="H480" s="43"/>
      <c r="I480" s="43"/>
      <c r="J480" s="443"/>
      <c r="K480" s="43"/>
      <c r="L480" s="89"/>
      <c r="M480" s="89"/>
      <c r="O480" s="71">
        <f t="shared" si="21"/>
        <v>0</v>
      </c>
      <c r="P480" s="89">
        <f t="shared" si="22"/>
        <v>0</v>
      </c>
      <c r="Q480" s="491" t="str">
        <f>IF(ISBLANK(M480), "", VLOOKUP(A480&amp;" "&amp;B480, 'Info Tipo de Cambio y REM'!$A$24:$B$47, 2, FALSE))</f>
        <v/>
      </c>
      <c r="R480" s="109" t="str">
        <f t="shared" si="1"/>
        <v/>
      </c>
      <c r="S480" s="71" t="str">
        <f t="shared" si="2"/>
        <v/>
      </c>
      <c r="T480" s="71">
        <f t="shared" si="3"/>
        <v>0</v>
      </c>
      <c r="U480" s="43"/>
      <c r="V480" s="486"/>
      <c r="W480" s="43"/>
      <c r="X480" s="43"/>
    </row>
    <row r="481" hidden="1">
      <c r="A481" s="51"/>
      <c r="B481" s="43"/>
      <c r="C481" s="51"/>
      <c r="D481" s="43"/>
      <c r="E481" s="43"/>
      <c r="F481" s="43"/>
      <c r="G481" s="43"/>
      <c r="H481" s="43"/>
      <c r="I481" s="43"/>
      <c r="J481" s="443"/>
      <c r="K481" s="43"/>
      <c r="L481" s="89"/>
      <c r="M481" s="89"/>
      <c r="O481" s="71">
        <f t="shared" si="21"/>
        <v>0</v>
      </c>
      <c r="P481" s="89">
        <f t="shared" si="22"/>
        <v>0</v>
      </c>
      <c r="Q481" s="491" t="str">
        <f>IF(ISBLANK(M481), "", VLOOKUP(A481&amp;" "&amp;B481, 'Info Tipo de Cambio y REM'!$A$24:$B$47, 2, FALSE))</f>
        <v/>
      </c>
      <c r="R481" s="109" t="str">
        <f t="shared" si="1"/>
        <v/>
      </c>
      <c r="S481" s="71" t="str">
        <f t="shared" si="2"/>
        <v/>
      </c>
      <c r="T481" s="71">
        <f t="shared" si="3"/>
        <v>0</v>
      </c>
      <c r="U481" s="43"/>
      <c r="V481" s="486"/>
      <c r="W481" s="43"/>
      <c r="X481" s="43"/>
    </row>
    <row r="482" hidden="1">
      <c r="A482" s="51"/>
      <c r="B482" s="43"/>
      <c r="C482" s="51"/>
      <c r="D482" s="43"/>
      <c r="E482" s="43"/>
      <c r="F482" s="43"/>
      <c r="G482" s="43"/>
      <c r="H482" s="43"/>
      <c r="I482" s="43"/>
      <c r="J482" s="443"/>
      <c r="K482" s="43"/>
      <c r="L482" s="89"/>
      <c r="M482" s="89"/>
      <c r="O482" s="71">
        <f t="shared" si="21"/>
        <v>0</v>
      </c>
      <c r="P482" s="89">
        <f t="shared" si="22"/>
        <v>0</v>
      </c>
      <c r="Q482" s="491" t="str">
        <f>IF(ISBLANK(M482), "", VLOOKUP(A482&amp;" "&amp;B482, 'Info Tipo de Cambio y REM'!$A$24:$B$47, 2, FALSE))</f>
        <v/>
      </c>
      <c r="R482" s="109" t="str">
        <f t="shared" si="1"/>
        <v/>
      </c>
      <c r="S482" s="71" t="str">
        <f t="shared" si="2"/>
        <v/>
      </c>
      <c r="T482" s="71">
        <f t="shared" si="3"/>
        <v>0</v>
      </c>
      <c r="U482" s="43"/>
      <c r="V482" s="486"/>
      <c r="W482" s="43"/>
      <c r="X482" s="43"/>
    </row>
    <row r="483" hidden="1">
      <c r="A483" s="51"/>
      <c r="B483" s="43"/>
      <c r="C483" s="51"/>
      <c r="D483" s="43"/>
      <c r="E483" s="43"/>
      <c r="F483" s="43"/>
      <c r="G483" s="43"/>
      <c r="H483" s="43"/>
      <c r="I483" s="43"/>
      <c r="J483" s="443"/>
      <c r="K483" s="43"/>
      <c r="L483" s="89"/>
      <c r="M483" s="89"/>
      <c r="O483" s="71">
        <f t="shared" si="21"/>
        <v>0</v>
      </c>
      <c r="P483" s="89">
        <f t="shared" si="22"/>
        <v>0</v>
      </c>
      <c r="Q483" s="491" t="str">
        <f>IF(ISBLANK(M483), "", VLOOKUP(A483&amp;" "&amp;B483, 'Info Tipo de Cambio y REM'!$A$24:$B$47, 2, FALSE))</f>
        <v/>
      </c>
      <c r="R483" s="109" t="str">
        <f t="shared" si="1"/>
        <v/>
      </c>
      <c r="S483" s="71" t="str">
        <f t="shared" si="2"/>
        <v/>
      </c>
      <c r="T483" s="71">
        <f t="shared" si="3"/>
        <v>0</v>
      </c>
      <c r="U483" s="43"/>
      <c r="V483" s="486"/>
      <c r="W483" s="43"/>
      <c r="X483" s="43"/>
    </row>
    <row r="484" hidden="1">
      <c r="A484" s="51"/>
      <c r="B484" s="43"/>
      <c r="C484" s="51"/>
      <c r="D484" s="43"/>
      <c r="E484" s="43"/>
      <c r="F484" s="43"/>
      <c r="G484" s="43"/>
      <c r="H484" s="43"/>
      <c r="I484" s="43"/>
      <c r="J484" s="443"/>
      <c r="K484" s="43"/>
      <c r="L484" s="89"/>
      <c r="M484" s="89"/>
      <c r="O484" s="71">
        <f t="shared" si="21"/>
        <v>0</v>
      </c>
      <c r="P484" s="89">
        <f t="shared" si="22"/>
        <v>0</v>
      </c>
      <c r="Q484" s="491" t="str">
        <f>IF(ISBLANK(M484), "", VLOOKUP(A484&amp;" "&amp;B484, 'Info Tipo de Cambio y REM'!$A$24:$B$47, 2, FALSE))</f>
        <v/>
      </c>
      <c r="R484" s="109" t="str">
        <f t="shared" si="1"/>
        <v/>
      </c>
      <c r="S484" s="71" t="str">
        <f t="shared" si="2"/>
        <v/>
      </c>
      <c r="T484" s="71">
        <f t="shared" si="3"/>
        <v>0</v>
      </c>
      <c r="U484" s="43"/>
      <c r="V484" s="486"/>
      <c r="W484" s="43"/>
      <c r="X484" s="43"/>
    </row>
    <row r="485" hidden="1">
      <c r="A485" s="51"/>
      <c r="B485" s="43"/>
      <c r="C485" s="51"/>
      <c r="D485" s="43"/>
      <c r="E485" s="43"/>
      <c r="F485" s="43"/>
      <c r="G485" s="43"/>
      <c r="H485" s="43"/>
      <c r="I485" s="43"/>
      <c r="J485" s="443"/>
      <c r="K485" s="43"/>
      <c r="L485" s="89"/>
      <c r="M485" s="89"/>
      <c r="O485" s="71">
        <f t="shared" si="21"/>
        <v>0</v>
      </c>
      <c r="P485" s="89">
        <f t="shared" si="22"/>
        <v>0</v>
      </c>
      <c r="Q485" s="491" t="str">
        <f>IF(ISBLANK(M485), "", VLOOKUP(A485&amp;" "&amp;B485, 'Info Tipo de Cambio y REM'!$A$24:$B$47, 2, FALSE))</f>
        <v/>
      </c>
      <c r="R485" s="109" t="str">
        <f t="shared" si="1"/>
        <v/>
      </c>
      <c r="S485" s="71" t="str">
        <f t="shared" si="2"/>
        <v/>
      </c>
      <c r="T485" s="71">
        <f t="shared" si="3"/>
        <v>0</v>
      </c>
      <c r="U485" s="43"/>
      <c r="V485" s="486"/>
      <c r="W485" s="43"/>
      <c r="X485" s="43"/>
    </row>
    <row r="486" hidden="1">
      <c r="A486" s="51"/>
      <c r="B486" s="43"/>
      <c r="C486" s="51"/>
      <c r="D486" s="43"/>
      <c r="E486" s="43"/>
      <c r="F486" s="43"/>
      <c r="G486" s="43"/>
      <c r="H486" s="43"/>
      <c r="I486" s="43"/>
      <c r="J486" s="443"/>
      <c r="K486" s="43"/>
      <c r="L486" s="89"/>
      <c r="M486" s="89"/>
      <c r="O486" s="71">
        <f t="shared" si="21"/>
        <v>0</v>
      </c>
      <c r="P486" s="89">
        <f t="shared" si="22"/>
        <v>0</v>
      </c>
      <c r="Q486" s="491" t="str">
        <f>IF(ISBLANK(M486), "", VLOOKUP(A486&amp;" "&amp;B486, 'Info Tipo de Cambio y REM'!$A$24:$B$47, 2, FALSE))</f>
        <v/>
      </c>
      <c r="R486" s="109" t="str">
        <f t="shared" si="1"/>
        <v/>
      </c>
      <c r="S486" s="71" t="str">
        <f t="shared" si="2"/>
        <v/>
      </c>
      <c r="T486" s="71">
        <f t="shared" si="3"/>
        <v>0</v>
      </c>
      <c r="U486" s="43"/>
      <c r="V486" s="486"/>
      <c r="W486" s="43"/>
      <c r="X486" s="43"/>
    </row>
    <row r="487" hidden="1">
      <c r="A487" s="51"/>
      <c r="B487" s="43"/>
      <c r="C487" s="51"/>
      <c r="D487" s="43"/>
      <c r="E487" s="43"/>
      <c r="F487" s="43"/>
      <c r="G487" s="43"/>
      <c r="H487" s="43"/>
      <c r="I487" s="43"/>
      <c r="J487" s="443"/>
      <c r="K487" s="43"/>
      <c r="L487" s="89"/>
      <c r="M487" s="89"/>
      <c r="O487" s="71">
        <f t="shared" si="21"/>
        <v>0</v>
      </c>
      <c r="P487" s="89">
        <f t="shared" si="22"/>
        <v>0</v>
      </c>
      <c r="Q487" s="491" t="str">
        <f>IF(ISBLANK(M487), "", VLOOKUP(A487&amp;" "&amp;B487, 'Info Tipo de Cambio y REM'!$A$24:$B$47, 2, FALSE))</f>
        <v/>
      </c>
      <c r="R487" s="109" t="str">
        <f t="shared" si="1"/>
        <v/>
      </c>
      <c r="S487" s="71" t="str">
        <f t="shared" si="2"/>
        <v/>
      </c>
      <c r="T487" s="71">
        <f t="shared" si="3"/>
        <v>0</v>
      </c>
      <c r="U487" s="43"/>
      <c r="V487" s="486"/>
      <c r="W487" s="43"/>
      <c r="X487" s="43"/>
    </row>
    <row r="488" hidden="1">
      <c r="A488" s="51"/>
      <c r="B488" s="43"/>
      <c r="C488" s="51"/>
      <c r="D488" s="43"/>
      <c r="E488" s="43"/>
      <c r="F488" s="43"/>
      <c r="G488" s="43"/>
      <c r="H488" s="43"/>
      <c r="I488" s="43"/>
      <c r="J488" s="443"/>
      <c r="K488" s="43"/>
      <c r="L488" s="89"/>
      <c r="M488" s="89"/>
      <c r="O488" s="71">
        <f t="shared" si="21"/>
        <v>0</v>
      </c>
      <c r="P488" s="89">
        <f t="shared" si="22"/>
        <v>0</v>
      </c>
      <c r="Q488" s="491" t="str">
        <f>IF(ISBLANK(M488), "", VLOOKUP(A488&amp;" "&amp;B488, 'Info Tipo de Cambio y REM'!$A$24:$B$47, 2, FALSE))</f>
        <v/>
      </c>
      <c r="R488" s="109" t="str">
        <f t="shared" si="1"/>
        <v/>
      </c>
      <c r="S488" s="71" t="str">
        <f t="shared" si="2"/>
        <v/>
      </c>
      <c r="T488" s="71">
        <f t="shared" si="3"/>
        <v>0</v>
      </c>
      <c r="U488" s="43"/>
      <c r="V488" s="486"/>
      <c r="W488" s="43"/>
      <c r="X488" s="43"/>
    </row>
    <row r="489" hidden="1">
      <c r="A489" s="51"/>
      <c r="B489" s="43"/>
      <c r="C489" s="51"/>
      <c r="D489" s="43"/>
      <c r="E489" s="43"/>
      <c r="F489" s="43"/>
      <c r="G489" s="43"/>
      <c r="H489" s="43"/>
      <c r="I489" s="43"/>
      <c r="J489" s="443"/>
      <c r="K489" s="43"/>
      <c r="L489" s="89"/>
      <c r="M489" s="89"/>
      <c r="O489" s="71">
        <f t="shared" si="21"/>
        <v>0</v>
      </c>
      <c r="P489" s="89">
        <f t="shared" si="22"/>
        <v>0</v>
      </c>
      <c r="Q489" s="491" t="str">
        <f>IF(ISBLANK(M489), "", VLOOKUP(A489&amp;" "&amp;B489, 'Info Tipo de Cambio y REM'!$A$24:$B$47, 2, FALSE))</f>
        <v/>
      </c>
      <c r="R489" s="109" t="str">
        <f t="shared" si="1"/>
        <v/>
      </c>
      <c r="S489" s="71" t="str">
        <f t="shared" si="2"/>
        <v/>
      </c>
      <c r="T489" s="71">
        <f t="shared" si="3"/>
        <v>0</v>
      </c>
      <c r="U489" s="43"/>
      <c r="V489" s="486"/>
      <c r="W489" s="43"/>
      <c r="X489" s="43"/>
    </row>
    <row r="490" hidden="1">
      <c r="A490" s="51"/>
      <c r="B490" s="43"/>
      <c r="C490" s="51"/>
      <c r="D490" s="43"/>
      <c r="E490" s="43"/>
      <c r="F490" s="43"/>
      <c r="G490" s="43"/>
      <c r="H490" s="43"/>
      <c r="I490" s="43"/>
      <c r="J490" s="443"/>
      <c r="K490" s="43"/>
      <c r="L490" s="89"/>
      <c r="M490" s="89"/>
      <c r="O490" s="71">
        <f t="shared" si="21"/>
        <v>0</v>
      </c>
      <c r="P490" s="89">
        <f t="shared" si="22"/>
        <v>0</v>
      </c>
      <c r="Q490" s="491" t="str">
        <f>IF(ISBLANK(M490), "", VLOOKUP(A490&amp;" "&amp;B490, 'Info Tipo de Cambio y REM'!$A$24:$B$47, 2, FALSE))</f>
        <v/>
      </c>
      <c r="R490" s="109" t="str">
        <f t="shared" si="1"/>
        <v/>
      </c>
      <c r="S490" s="71" t="str">
        <f t="shared" si="2"/>
        <v/>
      </c>
      <c r="T490" s="71">
        <f t="shared" si="3"/>
        <v>0</v>
      </c>
      <c r="U490" s="43"/>
      <c r="V490" s="486"/>
      <c r="W490" s="43"/>
      <c r="X490" s="43"/>
    </row>
    <row r="491" hidden="1">
      <c r="A491" s="51"/>
      <c r="B491" s="43"/>
      <c r="C491" s="51"/>
      <c r="D491" s="43"/>
      <c r="E491" s="43"/>
      <c r="F491" s="43"/>
      <c r="G491" s="43"/>
      <c r="H491" s="43"/>
      <c r="I491" s="43"/>
      <c r="J491" s="443"/>
      <c r="K491" s="43"/>
      <c r="L491" s="89"/>
      <c r="M491" s="89"/>
      <c r="O491" s="71">
        <f t="shared" si="21"/>
        <v>0</v>
      </c>
      <c r="P491" s="89">
        <f t="shared" si="22"/>
        <v>0</v>
      </c>
      <c r="Q491" s="491" t="str">
        <f>IF(ISBLANK(M491), "", VLOOKUP(A491&amp;" "&amp;B491, 'Info Tipo de Cambio y REM'!$A$24:$B$47, 2, FALSE))</f>
        <v/>
      </c>
      <c r="R491" s="109" t="str">
        <f t="shared" si="1"/>
        <v/>
      </c>
      <c r="S491" s="71" t="str">
        <f t="shared" si="2"/>
        <v/>
      </c>
      <c r="T491" s="71">
        <f t="shared" si="3"/>
        <v>0</v>
      </c>
      <c r="U491" s="43"/>
      <c r="V491" s="486"/>
      <c r="W491" s="43"/>
      <c r="X491" s="43"/>
    </row>
    <row r="492" hidden="1">
      <c r="A492" s="51"/>
      <c r="B492" s="43"/>
      <c r="C492" s="51"/>
      <c r="D492" s="43"/>
      <c r="E492" s="43"/>
      <c r="F492" s="43"/>
      <c r="G492" s="43"/>
      <c r="H492" s="43"/>
      <c r="I492" s="43"/>
      <c r="J492" s="443"/>
      <c r="K492" s="43"/>
      <c r="L492" s="89"/>
      <c r="M492" s="89"/>
      <c r="O492" s="71">
        <f t="shared" si="21"/>
        <v>0</v>
      </c>
      <c r="P492" s="89">
        <f t="shared" si="22"/>
        <v>0</v>
      </c>
      <c r="Q492" s="491" t="str">
        <f>IF(ISBLANK(M492), "", VLOOKUP(A492&amp;" "&amp;B492, 'Info Tipo de Cambio y REM'!$A$24:$B$47, 2, FALSE))</f>
        <v/>
      </c>
      <c r="R492" s="109" t="str">
        <f t="shared" si="1"/>
        <v/>
      </c>
      <c r="S492" s="71" t="str">
        <f t="shared" si="2"/>
        <v/>
      </c>
      <c r="T492" s="71">
        <f t="shared" si="3"/>
        <v>0</v>
      </c>
      <c r="U492" s="43"/>
      <c r="V492" s="486"/>
      <c r="W492" s="43"/>
      <c r="X492" s="43"/>
    </row>
    <row r="493" hidden="1">
      <c r="A493" s="51"/>
      <c r="B493" s="43"/>
      <c r="C493" s="51"/>
      <c r="D493" s="43"/>
      <c r="E493" s="43"/>
      <c r="F493" s="43"/>
      <c r="G493" s="43"/>
      <c r="H493" s="43"/>
      <c r="I493" s="43"/>
      <c r="J493" s="443"/>
      <c r="K493" s="43"/>
      <c r="L493" s="89"/>
      <c r="M493" s="89"/>
      <c r="O493" s="71">
        <f t="shared" si="21"/>
        <v>0</v>
      </c>
      <c r="P493" s="89">
        <f t="shared" si="22"/>
        <v>0</v>
      </c>
      <c r="Q493" s="491" t="str">
        <f>IF(ISBLANK(M493), "", VLOOKUP(A493&amp;" "&amp;B493, 'Info Tipo de Cambio y REM'!$A$24:$B$47, 2, FALSE))</f>
        <v/>
      </c>
      <c r="R493" s="109" t="str">
        <f t="shared" si="1"/>
        <v/>
      </c>
      <c r="S493" s="71" t="str">
        <f t="shared" si="2"/>
        <v/>
      </c>
      <c r="T493" s="71">
        <f t="shared" si="3"/>
        <v>0</v>
      </c>
      <c r="U493" s="43"/>
      <c r="V493" s="486"/>
      <c r="W493" s="43"/>
      <c r="X493" s="43"/>
    </row>
    <row r="494" hidden="1">
      <c r="A494" s="51"/>
      <c r="B494" s="43"/>
      <c r="C494" s="51"/>
      <c r="D494" s="43"/>
      <c r="E494" s="43"/>
      <c r="F494" s="43"/>
      <c r="G494" s="43"/>
      <c r="H494" s="43"/>
      <c r="I494" s="43"/>
      <c r="J494" s="443"/>
      <c r="K494" s="43"/>
      <c r="L494" s="89"/>
      <c r="M494" s="89"/>
      <c r="O494" s="71">
        <f t="shared" si="21"/>
        <v>0</v>
      </c>
      <c r="P494" s="89">
        <f t="shared" si="22"/>
        <v>0</v>
      </c>
      <c r="Q494" s="491" t="str">
        <f>IF(ISBLANK(M494), "", VLOOKUP(A494&amp;" "&amp;B494, 'Info Tipo de Cambio y REM'!$A$24:$B$47, 2, FALSE))</f>
        <v/>
      </c>
      <c r="R494" s="109" t="str">
        <f t="shared" si="1"/>
        <v/>
      </c>
      <c r="S494" s="71" t="str">
        <f t="shared" si="2"/>
        <v/>
      </c>
      <c r="T494" s="71">
        <f t="shared" si="3"/>
        <v>0</v>
      </c>
      <c r="U494" s="43"/>
      <c r="V494" s="486"/>
      <c r="W494" s="43"/>
      <c r="X494" s="43"/>
    </row>
    <row r="495" hidden="1">
      <c r="A495" s="51"/>
      <c r="B495" s="43"/>
      <c r="C495" s="51"/>
      <c r="D495" s="43"/>
      <c r="E495" s="43"/>
      <c r="F495" s="43"/>
      <c r="G495" s="43"/>
      <c r="H495" s="43"/>
      <c r="I495" s="43"/>
      <c r="J495" s="443"/>
      <c r="K495" s="43"/>
      <c r="L495" s="89"/>
      <c r="M495" s="89"/>
      <c r="O495" s="71">
        <f t="shared" si="21"/>
        <v>0</v>
      </c>
      <c r="P495" s="89">
        <f t="shared" si="22"/>
        <v>0</v>
      </c>
      <c r="Q495" s="491" t="str">
        <f>IF(ISBLANK(M495), "", VLOOKUP(A495&amp;" "&amp;B495, 'Info Tipo de Cambio y REM'!$A$24:$B$47, 2, FALSE))</f>
        <v/>
      </c>
      <c r="R495" s="109" t="str">
        <f t="shared" si="1"/>
        <v/>
      </c>
      <c r="S495" s="71" t="str">
        <f t="shared" si="2"/>
        <v/>
      </c>
      <c r="T495" s="71">
        <f t="shared" si="3"/>
        <v>0</v>
      </c>
      <c r="U495" s="43"/>
      <c r="V495" s="486"/>
      <c r="W495" s="43"/>
      <c r="X495" s="43"/>
    </row>
    <row r="496" hidden="1">
      <c r="A496" s="51"/>
      <c r="B496" s="43"/>
      <c r="C496" s="51"/>
      <c r="D496" s="43"/>
      <c r="E496" s="43"/>
      <c r="F496" s="43"/>
      <c r="G496" s="43"/>
      <c r="H496" s="43"/>
      <c r="I496" s="43"/>
      <c r="J496" s="443"/>
      <c r="K496" s="43"/>
      <c r="L496" s="89"/>
      <c r="M496" s="89"/>
      <c r="O496" s="71">
        <f t="shared" si="21"/>
        <v>0</v>
      </c>
      <c r="P496" s="89">
        <f t="shared" si="22"/>
        <v>0</v>
      </c>
      <c r="Q496" s="491" t="str">
        <f>IF(ISBLANK(M496), "", VLOOKUP(A496&amp;" "&amp;B496, 'Info Tipo de Cambio y REM'!$A$24:$B$47, 2, FALSE))</f>
        <v/>
      </c>
      <c r="R496" s="109" t="str">
        <f t="shared" si="1"/>
        <v/>
      </c>
      <c r="S496" s="71" t="str">
        <f t="shared" si="2"/>
        <v/>
      </c>
      <c r="T496" s="71">
        <f t="shared" si="3"/>
        <v>0</v>
      </c>
      <c r="U496" s="43"/>
      <c r="V496" s="486"/>
      <c r="W496" s="43"/>
      <c r="X496" s="43"/>
    </row>
    <row r="497" hidden="1">
      <c r="A497" s="51"/>
      <c r="B497" s="43"/>
      <c r="C497" s="51"/>
      <c r="D497" s="43"/>
      <c r="E497" s="43"/>
      <c r="F497" s="43"/>
      <c r="G497" s="43"/>
      <c r="H497" s="43"/>
      <c r="I497" s="43"/>
      <c r="J497" s="443"/>
      <c r="K497" s="43"/>
      <c r="L497" s="89"/>
      <c r="M497" s="89"/>
      <c r="O497" s="71">
        <f t="shared" si="21"/>
        <v>0</v>
      </c>
      <c r="P497" s="89">
        <f t="shared" si="22"/>
        <v>0</v>
      </c>
      <c r="Q497" s="491" t="str">
        <f>IF(ISBLANK(M497), "", VLOOKUP(A497&amp;" "&amp;B497, 'Info Tipo de Cambio y REM'!$A$24:$B$47, 2, FALSE))</f>
        <v/>
      </c>
      <c r="R497" s="109" t="str">
        <f t="shared" si="1"/>
        <v/>
      </c>
      <c r="S497" s="71" t="str">
        <f t="shared" si="2"/>
        <v/>
      </c>
      <c r="T497" s="71">
        <f t="shared" si="3"/>
        <v>0</v>
      </c>
      <c r="U497" s="43"/>
      <c r="V497" s="486"/>
      <c r="W497" s="43"/>
      <c r="X497" s="43"/>
    </row>
    <row r="498" hidden="1">
      <c r="A498" s="51"/>
      <c r="B498" s="43"/>
      <c r="C498" s="51"/>
      <c r="D498" s="43"/>
      <c r="E498" s="43"/>
      <c r="F498" s="43"/>
      <c r="G498" s="43"/>
      <c r="H498" s="43"/>
      <c r="I498" s="43"/>
      <c r="J498" s="443"/>
      <c r="K498" s="43"/>
      <c r="L498" s="89"/>
      <c r="M498" s="89"/>
      <c r="O498" s="71">
        <f t="shared" si="21"/>
        <v>0</v>
      </c>
      <c r="P498" s="89">
        <f t="shared" si="22"/>
        <v>0</v>
      </c>
      <c r="Q498" s="491" t="str">
        <f>IF(ISBLANK(M498), "", VLOOKUP(A498&amp;" "&amp;B498, 'Info Tipo de Cambio y REM'!$A$24:$B$47, 2, FALSE))</f>
        <v/>
      </c>
      <c r="R498" s="109" t="str">
        <f t="shared" si="1"/>
        <v/>
      </c>
      <c r="S498" s="71" t="str">
        <f t="shared" si="2"/>
        <v/>
      </c>
      <c r="T498" s="71">
        <f t="shared" si="3"/>
        <v>0</v>
      </c>
      <c r="U498" s="43"/>
      <c r="V498" s="486"/>
      <c r="W498" s="43"/>
      <c r="X498" s="43"/>
    </row>
    <row r="499" hidden="1">
      <c r="A499" s="51"/>
      <c r="B499" s="43"/>
      <c r="C499" s="51"/>
      <c r="D499" s="43"/>
      <c r="E499" s="43"/>
      <c r="F499" s="43"/>
      <c r="G499" s="43"/>
      <c r="H499" s="43"/>
      <c r="I499" s="43"/>
      <c r="J499" s="443"/>
      <c r="K499" s="43"/>
      <c r="L499" s="89"/>
      <c r="M499" s="89"/>
      <c r="O499" s="71">
        <f t="shared" si="21"/>
        <v>0</v>
      </c>
      <c r="P499" s="89">
        <f t="shared" si="22"/>
        <v>0</v>
      </c>
      <c r="Q499" s="491" t="str">
        <f>IF(ISBLANK(M499), "", VLOOKUP(A499&amp;" "&amp;B499, 'Info Tipo de Cambio y REM'!$A$24:$B$47, 2, FALSE))</f>
        <v/>
      </c>
      <c r="R499" s="109" t="str">
        <f t="shared" si="1"/>
        <v/>
      </c>
      <c r="S499" s="71" t="str">
        <f t="shared" si="2"/>
        <v/>
      </c>
      <c r="T499" s="71">
        <f t="shared" si="3"/>
        <v>0</v>
      </c>
      <c r="U499" s="43"/>
      <c r="V499" s="486"/>
      <c r="W499" s="43"/>
      <c r="X499" s="43"/>
    </row>
    <row r="500" hidden="1">
      <c r="A500" s="51"/>
      <c r="B500" s="43"/>
      <c r="C500" s="51"/>
      <c r="D500" s="43"/>
      <c r="E500" s="43"/>
      <c r="F500" s="43"/>
      <c r="G500" s="43"/>
      <c r="H500" s="43"/>
      <c r="I500" s="43"/>
      <c r="J500" s="443"/>
      <c r="K500" s="43"/>
      <c r="L500" s="89"/>
      <c r="M500" s="89"/>
      <c r="O500" s="71">
        <f t="shared" si="21"/>
        <v>0</v>
      </c>
      <c r="P500" s="89">
        <f t="shared" si="22"/>
        <v>0</v>
      </c>
      <c r="Q500" s="491" t="str">
        <f>IF(ISBLANK(M500), "", VLOOKUP(A500&amp;" "&amp;B500, 'Info Tipo de Cambio y REM'!$A$24:$B$47, 2, FALSE))</f>
        <v/>
      </c>
      <c r="R500" s="109" t="str">
        <f t="shared" si="1"/>
        <v/>
      </c>
      <c r="S500" s="71" t="str">
        <f t="shared" si="2"/>
        <v/>
      </c>
      <c r="T500" s="71">
        <f t="shared" si="3"/>
        <v>0</v>
      </c>
      <c r="U500" s="43"/>
      <c r="V500" s="486"/>
      <c r="W500" s="43"/>
      <c r="X500" s="43"/>
    </row>
    <row r="501" hidden="1">
      <c r="A501" s="51"/>
      <c r="B501" s="43"/>
      <c r="C501" s="51"/>
      <c r="D501" s="43"/>
      <c r="E501" s="43"/>
      <c r="F501" s="43"/>
      <c r="G501" s="43"/>
      <c r="H501" s="43"/>
      <c r="I501" s="43"/>
      <c r="J501" s="443"/>
      <c r="K501" s="43"/>
      <c r="L501" s="89"/>
      <c r="M501" s="89"/>
      <c r="O501" s="71">
        <f t="shared" si="21"/>
        <v>0</v>
      </c>
      <c r="P501" s="89">
        <f t="shared" si="22"/>
        <v>0</v>
      </c>
      <c r="Q501" s="491" t="str">
        <f>IF(ISBLANK(M501), "", VLOOKUP(A501&amp;" "&amp;B501, 'Info Tipo de Cambio y REM'!$A$24:$B$47, 2, FALSE))</f>
        <v/>
      </c>
      <c r="R501" s="109" t="str">
        <f t="shared" si="1"/>
        <v/>
      </c>
      <c r="S501" s="71" t="str">
        <f t="shared" si="2"/>
        <v/>
      </c>
      <c r="T501" s="71">
        <f t="shared" si="3"/>
        <v>0</v>
      </c>
      <c r="U501" s="43"/>
      <c r="V501" s="486"/>
      <c r="W501" s="43"/>
      <c r="X501" s="43"/>
    </row>
    <row r="502" hidden="1">
      <c r="A502" s="51"/>
      <c r="B502" s="43"/>
      <c r="C502" s="51"/>
      <c r="D502" s="43"/>
      <c r="E502" s="43"/>
      <c r="F502" s="43"/>
      <c r="G502" s="43"/>
      <c r="H502" s="43"/>
      <c r="I502" s="43"/>
      <c r="J502" s="443"/>
      <c r="K502" s="43"/>
      <c r="L502" s="89"/>
      <c r="M502" s="89"/>
      <c r="O502" s="71">
        <f t="shared" si="21"/>
        <v>0</v>
      </c>
      <c r="P502" s="89">
        <f t="shared" si="22"/>
        <v>0</v>
      </c>
      <c r="Q502" s="491" t="str">
        <f>IF(ISBLANK(M502), "", VLOOKUP(A502&amp;" "&amp;B502, 'Info Tipo de Cambio y REM'!$A$24:$B$47, 2, FALSE))</f>
        <v/>
      </c>
      <c r="R502" s="109" t="str">
        <f t="shared" si="1"/>
        <v/>
      </c>
      <c r="S502" s="71" t="str">
        <f t="shared" si="2"/>
        <v/>
      </c>
      <c r="T502" s="71">
        <f t="shared" si="3"/>
        <v>0</v>
      </c>
      <c r="U502" s="43"/>
      <c r="V502" s="486"/>
      <c r="W502" s="43"/>
      <c r="X502" s="43"/>
    </row>
    <row r="503" hidden="1">
      <c r="A503" s="51"/>
      <c r="B503" s="43"/>
      <c r="C503" s="51"/>
      <c r="D503" s="43"/>
      <c r="E503" s="43"/>
      <c r="F503" s="43"/>
      <c r="G503" s="43"/>
      <c r="H503" s="43"/>
      <c r="I503" s="43"/>
      <c r="J503" s="443"/>
      <c r="K503" s="43"/>
      <c r="L503" s="89"/>
      <c r="M503" s="89"/>
      <c r="O503" s="71">
        <f t="shared" si="21"/>
        <v>0</v>
      </c>
      <c r="P503" s="89">
        <f t="shared" si="22"/>
        <v>0</v>
      </c>
      <c r="Q503" s="491" t="str">
        <f>IF(ISBLANK(M503), "", VLOOKUP(A503&amp;" "&amp;B503, 'Info Tipo de Cambio y REM'!$A$24:$B$47, 2, FALSE))</f>
        <v/>
      </c>
      <c r="R503" s="109" t="str">
        <f t="shared" si="1"/>
        <v/>
      </c>
      <c r="S503" s="71" t="str">
        <f t="shared" si="2"/>
        <v/>
      </c>
      <c r="T503" s="71">
        <f t="shared" si="3"/>
        <v>0</v>
      </c>
      <c r="U503" s="43"/>
      <c r="V503" s="486"/>
      <c r="W503" s="43"/>
      <c r="X503" s="43"/>
    </row>
    <row r="504" hidden="1">
      <c r="A504" s="51"/>
      <c r="B504" s="43"/>
      <c r="C504" s="51"/>
      <c r="D504" s="43"/>
      <c r="E504" s="43"/>
      <c r="F504" s="43"/>
      <c r="G504" s="43"/>
      <c r="H504" s="43"/>
      <c r="I504" s="43"/>
      <c r="J504" s="443"/>
      <c r="K504" s="43"/>
      <c r="L504" s="89"/>
      <c r="M504" s="89"/>
      <c r="O504" s="71">
        <f t="shared" si="21"/>
        <v>0</v>
      </c>
      <c r="P504" s="89">
        <f t="shared" si="22"/>
        <v>0</v>
      </c>
      <c r="Q504" s="491" t="str">
        <f>IF(ISBLANK(M504), "", VLOOKUP(A504&amp;" "&amp;B504, 'Info Tipo de Cambio y REM'!$A$24:$B$47, 2, FALSE))</f>
        <v/>
      </c>
      <c r="R504" s="109" t="str">
        <f t="shared" si="1"/>
        <v/>
      </c>
      <c r="S504" s="71" t="str">
        <f t="shared" si="2"/>
        <v/>
      </c>
      <c r="T504" s="71">
        <f t="shared" si="3"/>
        <v>0</v>
      </c>
      <c r="U504" s="43"/>
      <c r="V504" s="486"/>
      <c r="W504" s="43"/>
      <c r="X504" s="43"/>
    </row>
    <row r="505" hidden="1">
      <c r="A505" s="51"/>
      <c r="B505" s="43"/>
      <c r="C505" s="51"/>
      <c r="D505" s="43"/>
      <c r="E505" s="43"/>
      <c r="F505" s="43"/>
      <c r="G505" s="43"/>
      <c r="H505" s="43"/>
      <c r="I505" s="43"/>
      <c r="J505" s="443"/>
      <c r="K505" s="43"/>
      <c r="L505" s="89"/>
      <c r="M505" s="89"/>
      <c r="O505" s="71">
        <f t="shared" si="21"/>
        <v>0</v>
      </c>
      <c r="P505" s="89">
        <f t="shared" si="22"/>
        <v>0</v>
      </c>
      <c r="Q505" s="491" t="str">
        <f>IF(ISBLANK(M505), "", VLOOKUP(A505&amp;" "&amp;B505, 'Info Tipo de Cambio y REM'!$A$24:$B$47, 2, FALSE))</f>
        <v/>
      </c>
      <c r="R505" s="109" t="str">
        <f t="shared" si="1"/>
        <v/>
      </c>
      <c r="S505" s="71" t="str">
        <f t="shared" si="2"/>
        <v/>
      </c>
      <c r="T505" s="71">
        <f t="shared" si="3"/>
        <v>0</v>
      </c>
      <c r="U505" s="43"/>
      <c r="V505" s="486"/>
      <c r="W505" s="43"/>
      <c r="X505" s="43"/>
    </row>
    <row r="506" hidden="1">
      <c r="A506" s="51"/>
      <c r="B506" s="43"/>
      <c r="C506" s="51"/>
      <c r="D506" s="43"/>
      <c r="E506" s="43"/>
      <c r="F506" s="43"/>
      <c r="G506" s="43"/>
      <c r="H506" s="43"/>
      <c r="I506" s="43"/>
      <c r="J506" s="443"/>
      <c r="K506" s="43"/>
      <c r="L506" s="89"/>
      <c r="M506" s="89"/>
      <c r="O506" s="71">
        <f t="shared" si="21"/>
        <v>0</v>
      </c>
      <c r="P506" s="89">
        <f t="shared" si="22"/>
        <v>0</v>
      </c>
      <c r="Q506" s="491" t="str">
        <f>IF(ISBLANK(M506), "", VLOOKUP(A506&amp;" "&amp;B506, 'Info Tipo de Cambio y REM'!$A$24:$B$47, 2, FALSE))</f>
        <v/>
      </c>
      <c r="R506" s="109" t="str">
        <f t="shared" si="1"/>
        <v/>
      </c>
      <c r="S506" s="71" t="str">
        <f t="shared" si="2"/>
        <v/>
      </c>
      <c r="T506" s="71">
        <f t="shared" si="3"/>
        <v>0</v>
      </c>
      <c r="U506" s="43"/>
      <c r="V506" s="486"/>
      <c r="W506" s="43"/>
      <c r="X506" s="43"/>
    </row>
    <row r="507" hidden="1">
      <c r="A507" s="51"/>
      <c r="B507" s="43"/>
      <c r="C507" s="51"/>
      <c r="D507" s="43"/>
      <c r="E507" s="43"/>
      <c r="F507" s="43"/>
      <c r="G507" s="43"/>
      <c r="H507" s="43"/>
      <c r="I507" s="43"/>
      <c r="J507" s="443"/>
      <c r="K507" s="43"/>
      <c r="L507" s="89"/>
      <c r="M507" s="89"/>
      <c r="O507" s="71">
        <f t="shared" si="21"/>
        <v>0</v>
      </c>
      <c r="P507" s="89">
        <f t="shared" si="22"/>
        <v>0</v>
      </c>
      <c r="Q507" s="491" t="str">
        <f>IF(ISBLANK(M507), "", VLOOKUP(A507&amp;" "&amp;B507, 'Info Tipo de Cambio y REM'!$A$24:$B$47, 2, FALSE))</f>
        <v/>
      </c>
      <c r="R507" s="109" t="str">
        <f t="shared" si="1"/>
        <v/>
      </c>
      <c r="S507" s="71" t="str">
        <f t="shared" si="2"/>
        <v/>
      </c>
      <c r="T507" s="71">
        <f t="shared" si="3"/>
        <v>0</v>
      </c>
      <c r="U507" s="43"/>
      <c r="V507" s="486"/>
      <c r="W507" s="43"/>
      <c r="X507" s="43"/>
    </row>
    <row r="508" hidden="1">
      <c r="A508" s="51"/>
      <c r="B508" s="43"/>
      <c r="C508" s="51"/>
      <c r="D508" s="43"/>
      <c r="E508" s="43"/>
      <c r="F508" s="43"/>
      <c r="G508" s="43"/>
      <c r="H508" s="43"/>
      <c r="I508" s="43"/>
      <c r="J508" s="443"/>
      <c r="K508" s="43"/>
      <c r="L508" s="89"/>
      <c r="M508" s="89"/>
      <c r="O508" s="71">
        <f t="shared" si="21"/>
        <v>0</v>
      </c>
      <c r="P508" s="89">
        <f t="shared" si="22"/>
        <v>0</v>
      </c>
      <c r="Q508" s="491" t="str">
        <f>IF(ISBLANK(M508), "", VLOOKUP(A508&amp;" "&amp;B508, 'Info Tipo de Cambio y REM'!$A$24:$B$47, 2, FALSE))</f>
        <v/>
      </c>
      <c r="R508" s="109" t="str">
        <f t="shared" si="1"/>
        <v/>
      </c>
      <c r="S508" s="71" t="str">
        <f t="shared" si="2"/>
        <v/>
      </c>
      <c r="T508" s="71">
        <f t="shared" si="3"/>
        <v>0</v>
      </c>
      <c r="U508" s="43"/>
      <c r="V508" s="486"/>
      <c r="W508" s="43"/>
      <c r="X508" s="43"/>
    </row>
    <row r="509" hidden="1">
      <c r="A509" s="51"/>
      <c r="B509" s="43"/>
      <c r="C509" s="51"/>
      <c r="D509" s="43"/>
      <c r="E509" s="43"/>
      <c r="F509" s="43"/>
      <c r="G509" s="43"/>
      <c r="H509" s="43"/>
      <c r="I509" s="43"/>
      <c r="J509" s="443"/>
      <c r="K509" s="43"/>
      <c r="L509" s="89"/>
      <c r="M509" s="89"/>
      <c r="O509" s="71">
        <f t="shared" si="21"/>
        <v>0</v>
      </c>
      <c r="P509" s="89">
        <f t="shared" si="22"/>
        <v>0</v>
      </c>
      <c r="Q509" s="491" t="str">
        <f>IF(ISBLANK(M509), "", VLOOKUP(A509&amp;" "&amp;B509, 'Info Tipo de Cambio y REM'!$A$24:$B$47, 2, FALSE))</f>
        <v/>
      </c>
      <c r="R509" s="109" t="str">
        <f t="shared" si="1"/>
        <v/>
      </c>
      <c r="S509" s="71" t="str">
        <f t="shared" si="2"/>
        <v/>
      </c>
      <c r="T509" s="71">
        <f t="shared" si="3"/>
        <v>0</v>
      </c>
      <c r="U509" s="43"/>
      <c r="V509" s="486"/>
      <c r="W509" s="43"/>
      <c r="X509" s="43"/>
    </row>
    <row r="510" hidden="1">
      <c r="A510" s="51"/>
      <c r="B510" s="43"/>
      <c r="C510" s="51"/>
      <c r="D510" s="43"/>
      <c r="E510" s="43"/>
      <c r="F510" s="43"/>
      <c r="G510" s="43"/>
      <c r="H510" s="43"/>
      <c r="I510" s="43"/>
      <c r="J510" s="443"/>
      <c r="K510" s="43"/>
      <c r="L510" s="89"/>
      <c r="M510" s="89"/>
      <c r="O510" s="71">
        <f t="shared" si="21"/>
        <v>0</v>
      </c>
      <c r="P510" s="89">
        <f t="shared" si="22"/>
        <v>0</v>
      </c>
      <c r="Q510" s="491" t="str">
        <f>IF(ISBLANK(M510), "", VLOOKUP(A510&amp;" "&amp;B510, 'Info Tipo de Cambio y REM'!$A$24:$B$47, 2, FALSE))</f>
        <v/>
      </c>
      <c r="R510" s="109" t="str">
        <f t="shared" si="1"/>
        <v/>
      </c>
      <c r="S510" s="71" t="str">
        <f t="shared" si="2"/>
        <v/>
      </c>
      <c r="T510" s="71">
        <f t="shared" si="3"/>
        <v>0</v>
      </c>
      <c r="U510" s="43"/>
      <c r="V510" s="486"/>
      <c r="W510" s="43"/>
      <c r="X510" s="43"/>
    </row>
    <row r="511" hidden="1">
      <c r="A511" s="51"/>
      <c r="B511" s="43"/>
      <c r="C511" s="51"/>
      <c r="D511" s="43"/>
      <c r="E511" s="43"/>
      <c r="F511" s="43"/>
      <c r="G511" s="43"/>
      <c r="H511" s="43"/>
      <c r="I511" s="43"/>
      <c r="J511" s="443"/>
      <c r="K511" s="43"/>
      <c r="L511" s="89"/>
      <c r="M511" s="89"/>
      <c r="O511" s="71">
        <f t="shared" si="21"/>
        <v>0</v>
      </c>
      <c r="P511" s="89">
        <f t="shared" si="22"/>
        <v>0</v>
      </c>
      <c r="Q511" s="491" t="str">
        <f>IF(ISBLANK(M511), "", VLOOKUP(A511&amp;" "&amp;B511, 'Info Tipo de Cambio y REM'!$A$24:$B$47, 2, FALSE))</f>
        <v/>
      </c>
      <c r="R511" s="109" t="str">
        <f t="shared" si="1"/>
        <v/>
      </c>
      <c r="S511" s="71" t="str">
        <f t="shared" si="2"/>
        <v/>
      </c>
      <c r="T511" s="71">
        <f t="shared" si="3"/>
        <v>0</v>
      </c>
      <c r="U511" s="43"/>
      <c r="V511" s="486"/>
      <c r="W511" s="43"/>
      <c r="X511" s="43"/>
    </row>
    <row r="512" hidden="1">
      <c r="A512" s="51"/>
      <c r="B512" s="43"/>
      <c r="C512" s="51"/>
      <c r="D512" s="43"/>
      <c r="E512" s="43"/>
      <c r="F512" s="43"/>
      <c r="G512" s="43"/>
      <c r="H512" s="43"/>
      <c r="I512" s="43"/>
      <c r="J512" s="443"/>
      <c r="K512" s="43"/>
      <c r="L512" s="89"/>
      <c r="M512" s="89"/>
      <c r="O512" s="71">
        <f t="shared" si="21"/>
        <v>0</v>
      </c>
      <c r="P512" s="89">
        <f t="shared" si="22"/>
        <v>0</v>
      </c>
      <c r="Q512" s="491" t="str">
        <f>IF(ISBLANK(M512), "", VLOOKUP(A512&amp;" "&amp;B512, 'Info Tipo de Cambio y REM'!$A$24:$B$47, 2, FALSE))</f>
        <v/>
      </c>
      <c r="R512" s="109" t="str">
        <f t="shared" si="1"/>
        <v/>
      </c>
      <c r="S512" s="71" t="str">
        <f t="shared" si="2"/>
        <v/>
      </c>
      <c r="T512" s="71">
        <f t="shared" si="3"/>
        <v>0</v>
      </c>
      <c r="U512" s="43"/>
      <c r="V512" s="486"/>
      <c r="W512" s="43"/>
      <c r="X512" s="43"/>
    </row>
    <row r="513" hidden="1">
      <c r="A513" s="51"/>
      <c r="B513" s="43"/>
      <c r="C513" s="51"/>
      <c r="D513" s="43"/>
      <c r="E513" s="43"/>
      <c r="F513" s="43"/>
      <c r="G513" s="43"/>
      <c r="H513" s="43"/>
      <c r="I513" s="43"/>
      <c r="J513" s="443"/>
      <c r="K513" s="43"/>
      <c r="L513" s="89"/>
      <c r="M513" s="89"/>
      <c r="O513" s="71">
        <f t="shared" si="21"/>
        <v>0</v>
      </c>
      <c r="P513" s="89">
        <f t="shared" si="22"/>
        <v>0</v>
      </c>
      <c r="Q513" s="491" t="str">
        <f>IF(ISBLANK(M513), "", VLOOKUP(A513&amp;" "&amp;B513, 'Info Tipo de Cambio y REM'!$A$24:$B$47, 2, FALSE))</f>
        <v/>
      </c>
      <c r="R513" s="109" t="str">
        <f t="shared" si="1"/>
        <v/>
      </c>
      <c r="S513" s="71" t="str">
        <f t="shared" si="2"/>
        <v/>
      </c>
      <c r="T513" s="71">
        <f t="shared" si="3"/>
        <v>0</v>
      </c>
      <c r="U513" s="43"/>
      <c r="V513" s="486"/>
      <c r="W513" s="43"/>
      <c r="X513" s="43"/>
    </row>
    <row r="514" hidden="1">
      <c r="A514" s="51"/>
      <c r="B514" s="43"/>
      <c r="C514" s="51"/>
      <c r="D514" s="43"/>
      <c r="E514" s="43"/>
      <c r="F514" s="43"/>
      <c r="G514" s="43"/>
      <c r="H514" s="43"/>
      <c r="I514" s="43"/>
      <c r="J514" s="443"/>
      <c r="K514" s="43"/>
      <c r="L514" s="89"/>
      <c r="M514" s="89"/>
      <c r="O514" s="71">
        <f t="shared" si="21"/>
        <v>0</v>
      </c>
      <c r="P514" s="89">
        <f t="shared" si="22"/>
        <v>0</v>
      </c>
      <c r="Q514" s="491" t="str">
        <f>IF(ISBLANK(M514), "", VLOOKUP(A514&amp;" "&amp;B514, 'Info Tipo de Cambio y REM'!$A$24:$B$47, 2, FALSE))</f>
        <v/>
      </c>
      <c r="R514" s="109" t="str">
        <f t="shared" si="1"/>
        <v/>
      </c>
      <c r="S514" s="71" t="str">
        <f t="shared" si="2"/>
        <v/>
      </c>
      <c r="T514" s="71">
        <f t="shared" si="3"/>
        <v>0</v>
      </c>
      <c r="U514" s="43"/>
      <c r="V514" s="486"/>
      <c r="W514" s="43"/>
      <c r="X514" s="43"/>
    </row>
    <row r="515" hidden="1">
      <c r="A515" s="51"/>
      <c r="B515" s="43"/>
      <c r="C515" s="51"/>
      <c r="D515" s="43"/>
      <c r="E515" s="43"/>
      <c r="F515" s="43"/>
      <c r="G515" s="43"/>
      <c r="H515" s="43"/>
      <c r="I515" s="43"/>
      <c r="J515" s="443"/>
      <c r="K515" s="43"/>
      <c r="L515" s="89"/>
      <c r="M515" s="89"/>
      <c r="O515" s="71">
        <f t="shared" si="21"/>
        <v>0</v>
      </c>
      <c r="P515" s="89">
        <f t="shared" si="22"/>
        <v>0</v>
      </c>
      <c r="Q515" s="491" t="str">
        <f>IF(ISBLANK(M515), "", VLOOKUP(A515&amp;" "&amp;B515, 'Info Tipo de Cambio y REM'!$A$24:$B$47, 2, FALSE))</f>
        <v/>
      </c>
      <c r="R515" s="109" t="str">
        <f t="shared" si="1"/>
        <v/>
      </c>
      <c r="S515" s="71" t="str">
        <f t="shared" si="2"/>
        <v/>
      </c>
      <c r="T515" s="71">
        <f t="shared" si="3"/>
        <v>0</v>
      </c>
      <c r="U515" s="43"/>
      <c r="V515" s="486"/>
      <c r="W515" s="43"/>
      <c r="X515" s="43"/>
    </row>
    <row r="516" hidden="1">
      <c r="A516" s="51"/>
      <c r="B516" s="43"/>
      <c r="C516" s="51"/>
      <c r="D516" s="43"/>
      <c r="E516" s="43"/>
      <c r="F516" s="43"/>
      <c r="G516" s="43"/>
      <c r="H516" s="43"/>
      <c r="I516" s="43"/>
      <c r="J516" s="443"/>
      <c r="K516" s="43"/>
      <c r="L516" s="89"/>
      <c r="M516" s="89"/>
      <c r="O516" s="71">
        <f t="shared" si="21"/>
        <v>0</v>
      </c>
      <c r="P516" s="89">
        <f t="shared" si="22"/>
        <v>0</v>
      </c>
      <c r="Q516" s="491" t="str">
        <f>IF(ISBLANK(M516), "", VLOOKUP(A516&amp;" "&amp;B516, 'Info Tipo de Cambio y REM'!$A$24:$B$47, 2, FALSE))</f>
        <v/>
      </c>
      <c r="R516" s="109" t="str">
        <f t="shared" si="1"/>
        <v/>
      </c>
      <c r="S516" s="71" t="str">
        <f t="shared" si="2"/>
        <v/>
      </c>
      <c r="T516" s="71">
        <f t="shared" si="3"/>
        <v>0</v>
      </c>
      <c r="U516" s="43"/>
      <c r="V516" s="486"/>
      <c r="W516" s="43"/>
      <c r="X516" s="43"/>
    </row>
    <row r="517" hidden="1">
      <c r="A517" s="51"/>
      <c r="B517" s="43"/>
      <c r="C517" s="51"/>
      <c r="D517" s="43"/>
      <c r="E517" s="43"/>
      <c r="F517" s="43"/>
      <c r="G517" s="43"/>
      <c r="H517" s="43"/>
      <c r="I517" s="43"/>
      <c r="J517" s="443"/>
      <c r="K517" s="43"/>
      <c r="L517" s="89"/>
      <c r="M517" s="89"/>
      <c r="O517" s="71">
        <f t="shared" si="21"/>
        <v>0</v>
      </c>
      <c r="P517" s="89">
        <f t="shared" si="22"/>
        <v>0</v>
      </c>
      <c r="Q517" s="491" t="str">
        <f>IF(ISBLANK(M517), "", VLOOKUP(A517&amp;" "&amp;B517, 'Info Tipo de Cambio y REM'!$A$24:$B$47, 2, FALSE))</f>
        <v/>
      </c>
      <c r="R517" s="109" t="str">
        <f t="shared" si="1"/>
        <v/>
      </c>
      <c r="S517" s="71" t="str">
        <f t="shared" si="2"/>
        <v/>
      </c>
      <c r="T517" s="71">
        <f t="shared" si="3"/>
        <v>0</v>
      </c>
      <c r="U517" s="43"/>
      <c r="V517" s="486"/>
      <c r="W517" s="43"/>
      <c r="X517" s="43"/>
    </row>
    <row r="518" hidden="1">
      <c r="A518" s="51"/>
      <c r="B518" s="43"/>
      <c r="C518" s="51"/>
      <c r="D518" s="43"/>
      <c r="E518" s="43"/>
      <c r="F518" s="43"/>
      <c r="G518" s="43"/>
      <c r="H518" s="43"/>
      <c r="I518" s="43"/>
      <c r="J518" s="443"/>
      <c r="K518" s="43"/>
      <c r="L518" s="89"/>
      <c r="M518" s="89"/>
      <c r="O518" s="71">
        <f t="shared" si="21"/>
        <v>0</v>
      </c>
      <c r="P518" s="89">
        <f t="shared" si="22"/>
        <v>0</v>
      </c>
      <c r="Q518" s="491" t="str">
        <f>IF(ISBLANK(M518), "", VLOOKUP(A518&amp;" "&amp;B518, 'Info Tipo de Cambio y REM'!$A$24:$B$47, 2, FALSE))</f>
        <v/>
      </c>
      <c r="R518" s="109" t="str">
        <f t="shared" si="1"/>
        <v/>
      </c>
      <c r="S518" s="71" t="str">
        <f t="shared" si="2"/>
        <v/>
      </c>
      <c r="T518" s="71">
        <f t="shared" si="3"/>
        <v>0</v>
      </c>
      <c r="U518" s="43"/>
      <c r="V518" s="486"/>
      <c r="W518" s="43"/>
      <c r="X518" s="43"/>
    </row>
    <row r="519" hidden="1">
      <c r="A519" s="51"/>
      <c r="B519" s="43"/>
      <c r="C519" s="51"/>
      <c r="D519" s="43"/>
      <c r="E519" s="43"/>
      <c r="F519" s="43"/>
      <c r="G519" s="43"/>
      <c r="H519" s="43"/>
      <c r="I519" s="43"/>
      <c r="J519" s="443"/>
      <c r="K519" s="43"/>
      <c r="L519" s="89"/>
      <c r="M519" s="89"/>
      <c r="O519" s="71">
        <f t="shared" si="21"/>
        <v>0</v>
      </c>
      <c r="P519" s="89">
        <f t="shared" si="22"/>
        <v>0</v>
      </c>
      <c r="Q519" s="491" t="str">
        <f>IF(ISBLANK(M519), "", VLOOKUP(A519&amp;" "&amp;B519, 'Info Tipo de Cambio y REM'!$A$24:$B$47, 2, FALSE))</f>
        <v/>
      </c>
      <c r="R519" s="109" t="str">
        <f t="shared" si="1"/>
        <v/>
      </c>
      <c r="S519" s="71" t="str">
        <f t="shared" si="2"/>
        <v/>
      </c>
      <c r="T519" s="71">
        <f t="shared" si="3"/>
        <v>0</v>
      </c>
      <c r="U519" s="43"/>
      <c r="V519" s="486"/>
      <c r="W519" s="43"/>
      <c r="X519" s="43"/>
    </row>
    <row r="520" hidden="1">
      <c r="A520" s="51"/>
      <c r="B520" s="43"/>
      <c r="C520" s="51"/>
      <c r="D520" s="43"/>
      <c r="E520" s="43"/>
      <c r="F520" s="43"/>
      <c r="G520" s="43"/>
      <c r="H520" s="43"/>
      <c r="I520" s="43"/>
      <c r="J520" s="443"/>
      <c r="K520" s="43"/>
      <c r="L520" s="89"/>
      <c r="M520" s="89"/>
      <c r="O520" s="71">
        <f t="shared" si="21"/>
        <v>0</v>
      </c>
      <c r="P520" s="89">
        <f t="shared" si="22"/>
        <v>0</v>
      </c>
      <c r="Q520" s="491" t="str">
        <f>IF(ISBLANK(M520), "", VLOOKUP(A520&amp;" "&amp;B520, 'Info Tipo de Cambio y REM'!$A$24:$B$47, 2, FALSE))</f>
        <v/>
      </c>
      <c r="R520" s="109" t="str">
        <f t="shared" si="1"/>
        <v/>
      </c>
      <c r="S520" s="71" t="str">
        <f t="shared" si="2"/>
        <v/>
      </c>
      <c r="T520" s="71">
        <f t="shared" si="3"/>
        <v>0</v>
      </c>
      <c r="U520" s="43"/>
      <c r="V520" s="486"/>
      <c r="W520" s="43"/>
      <c r="X520" s="43"/>
    </row>
    <row r="521" hidden="1">
      <c r="A521" s="51"/>
      <c r="B521" s="43"/>
      <c r="C521" s="51"/>
      <c r="D521" s="43"/>
      <c r="E521" s="43"/>
      <c r="F521" s="43"/>
      <c r="G521" s="43"/>
      <c r="H521" s="43"/>
      <c r="I521" s="43"/>
      <c r="J521" s="443"/>
      <c r="K521" s="43"/>
      <c r="L521" s="89"/>
      <c r="M521" s="89"/>
      <c r="O521" s="71">
        <f t="shared" si="21"/>
        <v>0</v>
      </c>
      <c r="P521" s="89">
        <f t="shared" si="22"/>
        <v>0</v>
      </c>
      <c r="Q521" s="491" t="str">
        <f>IF(ISBLANK(M521), "", VLOOKUP(A521&amp;" "&amp;B521, 'Info Tipo de Cambio y REM'!$A$24:$B$47, 2, FALSE))</f>
        <v/>
      </c>
      <c r="R521" s="109" t="str">
        <f t="shared" si="1"/>
        <v/>
      </c>
      <c r="S521" s="71" t="str">
        <f t="shared" si="2"/>
        <v/>
      </c>
      <c r="T521" s="71">
        <f t="shared" si="3"/>
        <v>0</v>
      </c>
      <c r="U521" s="43"/>
      <c r="V521" s="486"/>
      <c r="W521" s="43"/>
      <c r="X521" s="43"/>
    </row>
    <row r="522" hidden="1">
      <c r="A522" s="51"/>
      <c r="B522" s="43"/>
      <c r="C522" s="51"/>
      <c r="D522" s="43"/>
      <c r="E522" s="43"/>
      <c r="F522" s="43"/>
      <c r="G522" s="43"/>
      <c r="H522" s="43"/>
      <c r="I522" s="43"/>
      <c r="J522" s="443"/>
      <c r="K522" s="43"/>
      <c r="L522" s="89"/>
      <c r="M522" s="89"/>
      <c r="O522" s="71">
        <f t="shared" si="21"/>
        <v>0</v>
      </c>
      <c r="P522" s="89">
        <f t="shared" si="22"/>
        <v>0</v>
      </c>
      <c r="Q522" s="491" t="str">
        <f>IF(ISBLANK(M522), "", VLOOKUP(A522&amp;" "&amp;B522, 'Info Tipo de Cambio y REM'!$A$24:$B$47, 2, FALSE))</f>
        <v/>
      </c>
      <c r="R522" s="109" t="str">
        <f t="shared" si="1"/>
        <v/>
      </c>
      <c r="S522" s="71" t="str">
        <f t="shared" si="2"/>
        <v/>
      </c>
      <c r="T522" s="71">
        <f t="shared" si="3"/>
        <v>0</v>
      </c>
      <c r="U522" s="43"/>
      <c r="V522" s="486"/>
      <c r="W522" s="43"/>
      <c r="X522" s="43"/>
    </row>
    <row r="523" hidden="1">
      <c r="A523" s="51"/>
      <c r="B523" s="43"/>
      <c r="C523" s="51"/>
      <c r="D523" s="43"/>
      <c r="E523" s="43"/>
      <c r="F523" s="43"/>
      <c r="G523" s="43"/>
      <c r="H523" s="43"/>
      <c r="I523" s="43"/>
      <c r="J523" s="443"/>
      <c r="K523" s="43"/>
      <c r="L523" s="89"/>
      <c r="M523" s="89"/>
      <c r="O523" s="71">
        <f t="shared" si="21"/>
        <v>0</v>
      </c>
      <c r="P523" s="89">
        <f t="shared" si="22"/>
        <v>0</v>
      </c>
      <c r="Q523" s="491" t="str">
        <f>IF(ISBLANK(M523), "", VLOOKUP(A523&amp;" "&amp;B523, 'Info Tipo de Cambio y REM'!$A$24:$B$47, 2, FALSE))</f>
        <v/>
      </c>
      <c r="R523" s="109" t="str">
        <f t="shared" si="1"/>
        <v/>
      </c>
      <c r="S523" s="71" t="str">
        <f t="shared" si="2"/>
        <v/>
      </c>
      <c r="T523" s="71">
        <f t="shared" si="3"/>
        <v>0</v>
      </c>
      <c r="U523" s="43"/>
      <c r="V523" s="486"/>
      <c r="W523" s="43"/>
      <c r="X523" s="43"/>
    </row>
    <row r="524" hidden="1">
      <c r="A524" s="51"/>
      <c r="B524" s="43"/>
      <c r="C524" s="51"/>
      <c r="D524" s="43"/>
      <c r="E524" s="43"/>
      <c r="F524" s="43"/>
      <c r="G524" s="43"/>
      <c r="H524" s="43"/>
      <c r="I524" s="43"/>
      <c r="J524" s="443"/>
      <c r="K524" s="43"/>
      <c r="L524" s="89"/>
      <c r="M524" s="89"/>
      <c r="O524" s="71">
        <f t="shared" si="21"/>
        <v>0</v>
      </c>
      <c r="P524" s="89">
        <f t="shared" si="22"/>
        <v>0</v>
      </c>
      <c r="Q524" s="491" t="str">
        <f>IF(ISBLANK(M524), "", VLOOKUP(A524&amp;" "&amp;B524, 'Info Tipo de Cambio y REM'!$A$24:$B$47, 2, FALSE))</f>
        <v/>
      </c>
      <c r="R524" s="109" t="str">
        <f t="shared" si="1"/>
        <v/>
      </c>
      <c r="S524" s="71" t="str">
        <f t="shared" si="2"/>
        <v/>
      </c>
      <c r="T524" s="71">
        <f t="shared" si="3"/>
        <v>0</v>
      </c>
      <c r="U524" s="43"/>
      <c r="V524" s="486"/>
      <c r="W524" s="43"/>
      <c r="X524" s="43"/>
    </row>
    <row r="525" hidden="1">
      <c r="A525" s="51"/>
      <c r="B525" s="43"/>
      <c r="C525" s="51"/>
      <c r="D525" s="43"/>
      <c r="E525" s="43"/>
      <c r="F525" s="43"/>
      <c r="G525" s="43"/>
      <c r="H525" s="43"/>
      <c r="I525" s="43"/>
      <c r="J525" s="443"/>
      <c r="K525" s="43"/>
      <c r="L525" s="89"/>
      <c r="M525" s="89"/>
      <c r="O525" s="71">
        <f t="shared" si="21"/>
        <v>0</v>
      </c>
      <c r="P525" s="89">
        <f t="shared" si="22"/>
        <v>0</v>
      </c>
      <c r="Q525" s="491" t="str">
        <f>IF(ISBLANK(M525), "", VLOOKUP(A525&amp;" "&amp;B525, 'Info Tipo de Cambio y REM'!$A$24:$B$47, 2, FALSE))</f>
        <v/>
      </c>
      <c r="R525" s="109" t="str">
        <f t="shared" si="1"/>
        <v/>
      </c>
      <c r="S525" s="71" t="str">
        <f t="shared" si="2"/>
        <v/>
      </c>
      <c r="T525" s="71">
        <f t="shared" si="3"/>
        <v>0</v>
      </c>
      <c r="U525" s="43"/>
      <c r="V525" s="486"/>
      <c r="W525" s="43"/>
      <c r="X525" s="43"/>
    </row>
    <row r="526" hidden="1">
      <c r="A526" s="51"/>
      <c r="B526" s="43"/>
      <c r="C526" s="51"/>
      <c r="D526" s="43"/>
      <c r="E526" s="43"/>
      <c r="F526" s="43"/>
      <c r="G526" s="43"/>
      <c r="H526" s="43"/>
      <c r="I526" s="43"/>
      <c r="J526" s="443"/>
      <c r="K526" s="43"/>
      <c r="L526" s="89"/>
      <c r="M526" s="89"/>
      <c r="O526" s="71">
        <f t="shared" si="21"/>
        <v>0</v>
      </c>
      <c r="P526" s="89">
        <f t="shared" si="22"/>
        <v>0</v>
      </c>
      <c r="Q526" s="491" t="str">
        <f>IF(ISBLANK(M526), "", VLOOKUP(A526&amp;" "&amp;B526, 'Info Tipo de Cambio y REM'!$A$24:$B$47, 2, FALSE))</f>
        <v/>
      </c>
      <c r="R526" s="109" t="str">
        <f t="shared" si="1"/>
        <v/>
      </c>
      <c r="S526" s="71" t="str">
        <f t="shared" si="2"/>
        <v/>
      </c>
      <c r="T526" s="71">
        <f t="shared" si="3"/>
        <v>0</v>
      </c>
      <c r="U526" s="43"/>
      <c r="V526" s="486"/>
      <c r="W526" s="43"/>
      <c r="X526" s="43"/>
    </row>
    <row r="527" hidden="1">
      <c r="A527" s="51"/>
      <c r="B527" s="43"/>
      <c r="C527" s="51"/>
      <c r="D527" s="43"/>
      <c r="E527" s="43"/>
      <c r="F527" s="43"/>
      <c r="G527" s="43"/>
      <c r="H527" s="43"/>
      <c r="I527" s="43"/>
      <c r="J527" s="443"/>
      <c r="K527" s="43"/>
      <c r="L527" s="89"/>
      <c r="M527" s="89"/>
      <c r="O527" s="71">
        <f t="shared" si="21"/>
        <v>0</v>
      </c>
      <c r="P527" s="89">
        <f t="shared" si="22"/>
        <v>0</v>
      </c>
      <c r="Q527" s="491" t="str">
        <f>IF(ISBLANK(M527), "", VLOOKUP(A527&amp;" "&amp;B527, 'Info Tipo de Cambio y REM'!$A$24:$B$47, 2, FALSE))</f>
        <v/>
      </c>
      <c r="R527" s="109" t="str">
        <f t="shared" si="1"/>
        <v/>
      </c>
      <c r="S527" s="71" t="str">
        <f t="shared" si="2"/>
        <v/>
      </c>
      <c r="T527" s="71">
        <f t="shared" si="3"/>
        <v>0</v>
      </c>
      <c r="U527" s="43"/>
      <c r="V527" s="486"/>
      <c r="W527" s="43"/>
      <c r="X527" s="43"/>
    </row>
    <row r="528" hidden="1">
      <c r="A528" s="51"/>
      <c r="B528" s="43"/>
      <c r="C528" s="51"/>
      <c r="D528" s="43"/>
      <c r="E528" s="43"/>
      <c r="F528" s="43"/>
      <c r="G528" s="43"/>
      <c r="H528" s="43"/>
      <c r="I528" s="43"/>
      <c r="J528" s="443"/>
      <c r="K528" s="43"/>
      <c r="L528" s="89"/>
      <c r="M528" s="89"/>
      <c r="O528" s="71">
        <f t="shared" si="21"/>
        <v>0</v>
      </c>
      <c r="P528" s="89">
        <f t="shared" si="22"/>
        <v>0</v>
      </c>
      <c r="Q528" s="491" t="str">
        <f>IF(ISBLANK(M528), "", VLOOKUP(A528&amp;" "&amp;B528, 'Info Tipo de Cambio y REM'!$A$24:$B$47, 2, FALSE))</f>
        <v/>
      </c>
      <c r="R528" s="109" t="str">
        <f t="shared" si="1"/>
        <v/>
      </c>
      <c r="S528" s="71" t="str">
        <f t="shared" si="2"/>
        <v/>
      </c>
      <c r="T528" s="71">
        <f t="shared" si="3"/>
        <v>0</v>
      </c>
      <c r="U528" s="43"/>
      <c r="V528" s="486"/>
      <c r="W528" s="43"/>
      <c r="X528" s="43"/>
    </row>
    <row r="529" hidden="1">
      <c r="A529" s="51"/>
      <c r="B529" s="43"/>
      <c r="C529" s="51"/>
      <c r="D529" s="43"/>
      <c r="E529" s="43"/>
      <c r="F529" s="43"/>
      <c r="G529" s="43"/>
      <c r="H529" s="43"/>
      <c r="I529" s="43"/>
      <c r="J529" s="443"/>
      <c r="K529" s="43"/>
      <c r="L529" s="89"/>
      <c r="M529" s="89"/>
      <c r="O529" s="71">
        <f t="shared" si="21"/>
        <v>0</v>
      </c>
      <c r="P529" s="89">
        <f t="shared" si="22"/>
        <v>0</v>
      </c>
      <c r="Q529" s="491" t="str">
        <f>IF(ISBLANK(M529), "", VLOOKUP(A529&amp;" "&amp;B529, 'Info Tipo de Cambio y REM'!$A$24:$B$47, 2, FALSE))</f>
        <v/>
      </c>
      <c r="R529" s="109" t="str">
        <f t="shared" si="1"/>
        <v/>
      </c>
      <c r="S529" s="71" t="str">
        <f t="shared" si="2"/>
        <v/>
      </c>
      <c r="T529" s="71">
        <f t="shared" si="3"/>
        <v>0</v>
      </c>
      <c r="U529" s="43"/>
      <c r="V529" s="486"/>
      <c r="W529" s="43"/>
      <c r="X529" s="43"/>
    </row>
    <row r="530" hidden="1">
      <c r="A530" s="51"/>
      <c r="B530" s="43"/>
      <c r="C530" s="51"/>
      <c r="D530" s="43"/>
      <c r="E530" s="43"/>
      <c r="F530" s="43"/>
      <c r="G530" s="43"/>
      <c r="H530" s="43"/>
      <c r="I530" s="43"/>
      <c r="J530" s="443"/>
      <c r="K530" s="43"/>
      <c r="L530" s="89"/>
      <c r="M530" s="89"/>
      <c r="O530" s="71">
        <f t="shared" si="21"/>
        <v>0</v>
      </c>
      <c r="P530" s="89">
        <f t="shared" si="22"/>
        <v>0</v>
      </c>
      <c r="Q530" s="491" t="str">
        <f>IF(ISBLANK(M530), "", VLOOKUP(A530&amp;" "&amp;B530, 'Info Tipo de Cambio y REM'!$A$24:$B$47, 2, FALSE))</f>
        <v/>
      </c>
      <c r="R530" s="109" t="str">
        <f t="shared" si="1"/>
        <v/>
      </c>
      <c r="S530" s="71" t="str">
        <f t="shared" si="2"/>
        <v/>
      </c>
      <c r="T530" s="71">
        <f t="shared" si="3"/>
        <v>0</v>
      </c>
      <c r="U530" s="43"/>
      <c r="V530" s="486"/>
      <c r="W530" s="43"/>
      <c r="X530" s="43"/>
    </row>
    <row r="531" hidden="1">
      <c r="A531" s="51"/>
      <c r="B531" s="43"/>
      <c r="C531" s="51"/>
      <c r="D531" s="43"/>
      <c r="E531" s="43"/>
      <c r="F531" s="43"/>
      <c r="G531" s="43"/>
      <c r="H531" s="43"/>
      <c r="I531" s="43"/>
      <c r="J531" s="443"/>
      <c r="K531" s="43"/>
      <c r="L531" s="89"/>
      <c r="M531" s="89"/>
      <c r="O531" s="71">
        <f t="shared" si="21"/>
        <v>0</v>
      </c>
      <c r="P531" s="89">
        <f t="shared" si="22"/>
        <v>0</v>
      </c>
      <c r="Q531" s="491" t="str">
        <f>IF(ISBLANK(M531), "", VLOOKUP(A531&amp;" "&amp;B531, 'Info Tipo de Cambio y REM'!$A$24:$B$47, 2, FALSE))</f>
        <v/>
      </c>
      <c r="R531" s="109" t="str">
        <f t="shared" si="1"/>
        <v/>
      </c>
      <c r="S531" s="71" t="str">
        <f t="shared" si="2"/>
        <v/>
      </c>
      <c r="T531" s="71">
        <f t="shared" si="3"/>
        <v>0</v>
      </c>
      <c r="U531" s="43"/>
      <c r="V531" s="486"/>
      <c r="W531" s="43"/>
      <c r="X531" s="43"/>
    </row>
    <row r="532" hidden="1">
      <c r="A532" s="51"/>
      <c r="B532" s="43"/>
      <c r="C532" s="51"/>
      <c r="D532" s="43"/>
      <c r="E532" s="43"/>
      <c r="F532" s="43"/>
      <c r="G532" s="43"/>
      <c r="H532" s="43"/>
      <c r="I532" s="43"/>
      <c r="J532" s="443"/>
      <c r="K532" s="43"/>
      <c r="L532" s="89"/>
      <c r="M532" s="89"/>
      <c r="O532" s="71">
        <f t="shared" si="21"/>
        <v>0</v>
      </c>
      <c r="P532" s="89">
        <f t="shared" si="22"/>
        <v>0</v>
      </c>
      <c r="Q532" s="491" t="str">
        <f>IF(ISBLANK(M532), "", VLOOKUP(A532&amp;" "&amp;B532, 'Info Tipo de Cambio y REM'!$A$24:$B$47, 2, FALSE))</f>
        <v/>
      </c>
      <c r="R532" s="109" t="str">
        <f t="shared" si="1"/>
        <v/>
      </c>
      <c r="S532" s="71" t="str">
        <f t="shared" si="2"/>
        <v/>
      </c>
      <c r="T532" s="71">
        <f t="shared" si="3"/>
        <v>0</v>
      </c>
      <c r="U532" s="43"/>
      <c r="V532" s="486"/>
      <c r="W532" s="43"/>
      <c r="X532" s="43"/>
    </row>
    <row r="533" hidden="1">
      <c r="A533" s="51"/>
      <c r="B533" s="43"/>
      <c r="C533" s="51"/>
      <c r="D533" s="43"/>
      <c r="E533" s="43"/>
      <c r="F533" s="43"/>
      <c r="G533" s="43"/>
      <c r="H533" s="43"/>
      <c r="I533" s="43"/>
      <c r="J533" s="443"/>
      <c r="K533" s="43"/>
      <c r="L533" s="89"/>
      <c r="M533" s="89"/>
      <c r="O533" s="71">
        <f t="shared" si="21"/>
        <v>0</v>
      </c>
      <c r="P533" s="89">
        <f t="shared" si="22"/>
        <v>0</v>
      </c>
      <c r="Q533" s="491" t="str">
        <f>IF(ISBLANK(M533), "", VLOOKUP(A533&amp;" "&amp;B533, 'Info Tipo de Cambio y REM'!$A$24:$B$47, 2, FALSE))</f>
        <v/>
      </c>
      <c r="R533" s="109" t="str">
        <f t="shared" si="1"/>
        <v/>
      </c>
      <c r="S533" s="71" t="str">
        <f t="shared" si="2"/>
        <v/>
      </c>
      <c r="T533" s="71">
        <f t="shared" si="3"/>
        <v>0</v>
      </c>
      <c r="U533" s="43"/>
      <c r="V533" s="486"/>
      <c r="W533" s="43"/>
      <c r="X533" s="43"/>
    </row>
    <row r="534" hidden="1">
      <c r="A534" s="51"/>
      <c r="B534" s="43"/>
      <c r="C534" s="51"/>
      <c r="D534" s="43"/>
      <c r="E534" s="43"/>
      <c r="F534" s="43"/>
      <c r="G534" s="43"/>
      <c r="H534" s="43"/>
      <c r="I534" s="43"/>
      <c r="J534" s="443"/>
      <c r="K534" s="43"/>
      <c r="L534" s="89"/>
      <c r="M534" s="89"/>
      <c r="O534" s="71">
        <f t="shared" si="21"/>
        <v>0</v>
      </c>
      <c r="P534" s="89">
        <f t="shared" si="22"/>
        <v>0</v>
      </c>
      <c r="Q534" s="491" t="str">
        <f>IF(ISBLANK(M534), "", VLOOKUP(A534&amp;" "&amp;B534, 'Info Tipo de Cambio y REM'!$A$24:$B$47, 2, FALSE))</f>
        <v/>
      </c>
      <c r="R534" s="109" t="str">
        <f t="shared" si="1"/>
        <v/>
      </c>
      <c r="S534" s="71" t="str">
        <f t="shared" si="2"/>
        <v/>
      </c>
      <c r="T534" s="71">
        <f t="shared" si="3"/>
        <v>0</v>
      </c>
      <c r="U534" s="43"/>
      <c r="V534" s="486"/>
      <c r="W534" s="43"/>
      <c r="X534" s="43"/>
    </row>
    <row r="535" hidden="1">
      <c r="A535" s="51"/>
      <c r="B535" s="43"/>
      <c r="C535" s="51"/>
      <c r="D535" s="43"/>
      <c r="E535" s="43"/>
      <c r="F535" s="43"/>
      <c r="G535" s="43"/>
      <c r="H535" s="43"/>
      <c r="I535" s="43"/>
      <c r="J535" s="443"/>
      <c r="K535" s="43"/>
      <c r="L535" s="89"/>
      <c r="M535" s="89"/>
      <c r="O535" s="71">
        <f t="shared" si="21"/>
        <v>0</v>
      </c>
      <c r="P535" s="89">
        <f t="shared" si="22"/>
        <v>0</v>
      </c>
      <c r="Q535" s="491" t="str">
        <f>IF(ISBLANK(M535), "", VLOOKUP(A535&amp;" "&amp;B535, 'Info Tipo de Cambio y REM'!$A$24:$B$47, 2, FALSE))</f>
        <v/>
      </c>
      <c r="R535" s="109" t="str">
        <f t="shared" si="1"/>
        <v/>
      </c>
      <c r="S535" s="71" t="str">
        <f t="shared" si="2"/>
        <v/>
      </c>
      <c r="T535" s="71">
        <f t="shared" si="3"/>
        <v>0</v>
      </c>
      <c r="U535" s="43"/>
      <c r="V535" s="486"/>
      <c r="W535" s="43"/>
      <c r="X535" s="43"/>
    </row>
    <row r="536" hidden="1">
      <c r="A536" s="51"/>
      <c r="B536" s="43"/>
      <c r="C536" s="51"/>
      <c r="D536" s="43"/>
      <c r="E536" s="43"/>
      <c r="F536" s="43"/>
      <c r="G536" s="43"/>
      <c r="H536" s="43"/>
      <c r="I536" s="43"/>
      <c r="J536" s="443"/>
      <c r="K536" s="43"/>
      <c r="L536" s="89"/>
      <c r="M536" s="89"/>
      <c r="O536" s="71">
        <f t="shared" si="21"/>
        <v>0</v>
      </c>
      <c r="P536" s="89">
        <f t="shared" si="22"/>
        <v>0</v>
      </c>
      <c r="Q536" s="491" t="str">
        <f>IF(ISBLANK(M536), "", VLOOKUP(A536&amp;" "&amp;B536, 'Info Tipo de Cambio y REM'!$A$24:$B$47, 2, FALSE))</f>
        <v/>
      </c>
      <c r="R536" s="109" t="str">
        <f t="shared" si="1"/>
        <v/>
      </c>
      <c r="S536" s="71" t="str">
        <f t="shared" si="2"/>
        <v/>
      </c>
      <c r="T536" s="71">
        <f t="shared" si="3"/>
        <v>0</v>
      </c>
      <c r="U536" s="43"/>
      <c r="V536" s="486"/>
      <c r="W536" s="43"/>
      <c r="X536" s="43"/>
    </row>
    <row r="537" hidden="1">
      <c r="A537" s="51"/>
      <c r="B537" s="43"/>
      <c r="C537" s="51"/>
      <c r="D537" s="43"/>
      <c r="E537" s="43"/>
      <c r="F537" s="43"/>
      <c r="G537" s="43"/>
      <c r="H537" s="43"/>
      <c r="I537" s="43"/>
      <c r="J537" s="443"/>
      <c r="K537" s="43"/>
      <c r="L537" s="89"/>
      <c r="M537" s="89"/>
      <c r="O537" s="71">
        <f t="shared" si="21"/>
        <v>0</v>
      </c>
      <c r="P537" s="89">
        <f t="shared" si="22"/>
        <v>0</v>
      </c>
      <c r="Q537" s="491" t="str">
        <f>IF(ISBLANK(M537), "", VLOOKUP(A537&amp;" "&amp;B537, 'Info Tipo de Cambio y REM'!$A$24:$B$47, 2, FALSE))</f>
        <v/>
      </c>
      <c r="R537" s="109" t="str">
        <f t="shared" si="1"/>
        <v/>
      </c>
      <c r="S537" s="71" t="str">
        <f t="shared" si="2"/>
        <v/>
      </c>
      <c r="T537" s="71">
        <f t="shared" si="3"/>
        <v>0</v>
      </c>
      <c r="U537" s="43"/>
      <c r="V537" s="486"/>
      <c r="W537" s="43"/>
      <c r="X537" s="43"/>
    </row>
    <row r="538" hidden="1">
      <c r="A538" s="51"/>
      <c r="B538" s="43"/>
      <c r="C538" s="51"/>
      <c r="D538" s="43"/>
      <c r="E538" s="43"/>
      <c r="F538" s="43"/>
      <c r="G538" s="43"/>
      <c r="H538" s="43"/>
      <c r="I538" s="43"/>
      <c r="J538" s="443"/>
      <c r="K538" s="43"/>
      <c r="L538" s="89"/>
      <c r="M538" s="89"/>
      <c r="O538" s="71">
        <f t="shared" si="21"/>
        <v>0</v>
      </c>
      <c r="P538" s="89">
        <f t="shared" si="22"/>
        <v>0</v>
      </c>
      <c r="Q538" s="491" t="str">
        <f>IF(ISBLANK(M538), "", VLOOKUP(A538&amp;" "&amp;B538, 'Info Tipo de Cambio y REM'!$A$24:$B$47, 2, FALSE))</f>
        <v/>
      </c>
      <c r="R538" s="109" t="str">
        <f t="shared" si="1"/>
        <v/>
      </c>
      <c r="S538" s="71" t="str">
        <f t="shared" si="2"/>
        <v/>
      </c>
      <c r="T538" s="71">
        <f t="shared" si="3"/>
        <v>0</v>
      </c>
      <c r="U538" s="43"/>
      <c r="V538" s="486"/>
      <c r="W538" s="43"/>
      <c r="X538" s="43"/>
    </row>
    <row r="539" hidden="1">
      <c r="A539" s="51"/>
      <c r="B539" s="43"/>
      <c r="C539" s="51"/>
      <c r="D539" s="43"/>
      <c r="E539" s="43"/>
      <c r="F539" s="43"/>
      <c r="G539" s="43"/>
      <c r="H539" s="43"/>
      <c r="I539" s="43"/>
      <c r="J539" s="443"/>
      <c r="K539" s="43"/>
      <c r="L539" s="89"/>
      <c r="M539" s="89"/>
      <c r="O539" s="71">
        <f t="shared" si="21"/>
        <v>0</v>
      </c>
      <c r="P539" s="89">
        <f t="shared" si="22"/>
        <v>0</v>
      </c>
      <c r="Q539" s="491" t="str">
        <f>IF(ISBLANK(M539), "", VLOOKUP(A539&amp;" "&amp;B539, 'Info Tipo de Cambio y REM'!$A$24:$B$47, 2, FALSE))</f>
        <v/>
      </c>
      <c r="R539" s="109" t="str">
        <f t="shared" si="1"/>
        <v/>
      </c>
      <c r="S539" s="71" t="str">
        <f t="shared" si="2"/>
        <v/>
      </c>
      <c r="T539" s="71">
        <f t="shared" si="3"/>
        <v>0</v>
      </c>
      <c r="U539" s="43"/>
      <c r="V539" s="486"/>
      <c r="W539" s="43"/>
      <c r="X539" s="43"/>
    </row>
    <row r="540" hidden="1">
      <c r="A540" s="51"/>
      <c r="B540" s="43"/>
      <c r="C540" s="51"/>
      <c r="D540" s="43"/>
      <c r="E540" s="43"/>
      <c r="F540" s="43"/>
      <c r="G540" s="43"/>
      <c r="H540" s="43"/>
      <c r="I540" s="43"/>
      <c r="J540" s="443"/>
      <c r="K540" s="43"/>
      <c r="L540" s="89"/>
      <c r="M540" s="89"/>
      <c r="O540" s="71">
        <f t="shared" si="21"/>
        <v>0</v>
      </c>
      <c r="P540" s="89">
        <f t="shared" si="22"/>
        <v>0</v>
      </c>
      <c r="Q540" s="491" t="str">
        <f>IF(ISBLANK(M540), "", VLOOKUP(A540&amp;" "&amp;B540, 'Info Tipo de Cambio y REM'!$A$24:$B$47, 2, FALSE))</f>
        <v/>
      </c>
      <c r="R540" s="109" t="str">
        <f t="shared" si="1"/>
        <v/>
      </c>
      <c r="S540" s="71" t="str">
        <f t="shared" si="2"/>
        <v/>
      </c>
      <c r="T540" s="71">
        <f t="shared" si="3"/>
        <v>0</v>
      </c>
      <c r="U540" s="43"/>
      <c r="V540" s="486"/>
      <c r="W540" s="43"/>
      <c r="X540" s="43"/>
    </row>
    <row r="541" hidden="1">
      <c r="A541" s="51"/>
      <c r="B541" s="43"/>
      <c r="C541" s="51"/>
      <c r="D541" s="43"/>
      <c r="E541" s="43"/>
      <c r="F541" s="43"/>
      <c r="G541" s="43"/>
      <c r="H541" s="43"/>
      <c r="I541" s="43"/>
      <c r="J541" s="443"/>
      <c r="K541" s="43"/>
      <c r="L541" s="89"/>
      <c r="M541" s="89"/>
      <c r="O541" s="71">
        <f t="shared" si="21"/>
        <v>0</v>
      </c>
      <c r="P541" s="89">
        <f t="shared" si="22"/>
        <v>0</v>
      </c>
      <c r="Q541" s="491" t="str">
        <f>IF(ISBLANK(M541), "", VLOOKUP(A541&amp;" "&amp;B541, 'Info Tipo de Cambio y REM'!$A$24:$B$47, 2, FALSE))</f>
        <v/>
      </c>
      <c r="R541" s="109" t="str">
        <f t="shared" si="1"/>
        <v/>
      </c>
      <c r="S541" s="71" t="str">
        <f t="shared" si="2"/>
        <v/>
      </c>
      <c r="T541" s="71">
        <f t="shared" si="3"/>
        <v>0</v>
      </c>
      <c r="U541" s="43"/>
      <c r="V541" s="486"/>
      <c r="W541" s="43"/>
      <c r="X541" s="43"/>
    </row>
    <row r="542" hidden="1">
      <c r="A542" s="51"/>
      <c r="B542" s="43"/>
      <c r="C542" s="51"/>
      <c r="D542" s="43"/>
      <c r="E542" s="43"/>
      <c r="F542" s="43"/>
      <c r="G542" s="43"/>
      <c r="H542" s="43"/>
      <c r="I542" s="43"/>
      <c r="J542" s="443"/>
      <c r="K542" s="43"/>
      <c r="L542" s="89"/>
      <c r="M542" s="89"/>
      <c r="O542" s="71">
        <f t="shared" si="21"/>
        <v>0</v>
      </c>
      <c r="P542" s="89">
        <f t="shared" si="22"/>
        <v>0</v>
      </c>
      <c r="Q542" s="491" t="str">
        <f>IF(ISBLANK(M542), "", VLOOKUP(A542&amp;" "&amp;B542, 'Info Tipo de Cambio y REM'!$A$24:$B$47, 2, FALSE))</f>
        <v/>
      </c>
      <c r="R542" s="109" t="str">
        <f t="shared" si="1"/>
        <v/>
      </c>
      <c r="S542" s="71" t="str">
        <f t="shared" si="2"/>
        <v/>
      </c>
      <c r="T542" s="71">
        <f t="shared" si="3"/>
        <v>0</v>
      </c>
      <c r="U542" s="43"/>
      <c r="V542" s="486"/>
      <c r="W542" s="43"/>
      <c r="X542" s="43"/>
    </row>
    <row r="543" hidden="1">
      <c r="A543" s="51"/>
      <c r="B543" s="43"/>
      <c r="C543" s="51"/>
      <c r="D543" s="43"/>
      <c r="E543" s="43"/>
      <c r="F543" s="43"/>
      <c r="G543" s="43"/>
      <c r="H543" s="43"/>
      <c r="I543" s="43"/>
      <c r="J543" s="443"/>
      <c r="K543" s="43"/>
      <c r="L543" s="89"/>
      <c r="M543" s="89"/>
      <c r="O543" s="71">
        <f t="shared" si="21"/>
        <v>0</v>
      </c>
      <c r="P543" s="89">
        <f t="shared" si="22"/>
        <v>0</v>
      </c>
      <c r="Q543" s="491" t="str">
        <f>IF(ISBLANK(M543), "", VLOOKUP(A543&amp;" "&amp;B543, 'Info Tipo de Cambio y REM'!$A$24:$B$47, 2, FALSE))</f>
        <v/>
      </c>
      <c r="R543" s="109" t="str">
        <f t="shared" si="1"/>
        <v/>
      </c>
      <c r="S543" s="71" t="str">
        <f t="shared" si="2"/>
        <v/>
      </c>
      <c r="T543" s="71">
        <f t="shared" si="3"/>
        <v>0</v>
      </c>
      <c r="U543" s="43"/>
      <c r="V543" s="486"/>
      <c r="W543" s="43"/>
      <c r="X543" s="43"/>
    </row>
    <row r="544" hidden="1">
      <c r="A544" s="51"/>
      <c r="B544" s="43"/>
      <c r="C544" s="51"/>
      <c r="D544" s="43"/>
      <c r="E544" s="43"/>
      <c r="F544" s="43"/>
      <c r="G544" s="43"/>
      <c r="H544" s="43"/>
      <c r="I544" s="43"/>
      <c r="J544" s="443"/>
      <c r="K544" s="43"/>
      <c r="L544" s="89"/>
      <c r="M544" s="89"/>
      <c r="O544" s="71">
        <f t="shared" si="21"/>
        <v>0</v>
      </c>
      <c r="P544" s="89">
        <f t="shared" si="22"/>
        <v>0</v>
      </c>
      <c r="Q544" s="491" t="str">
        <f>IF(ISBLANK(M544), "", VLOOKUP(A544&amp;" "&amp;B544, 'Info Tipo de Cambio y REM'!$A$24:$B$47, 2, FALSE))</f>
        <v/>
      </c>
      <c r="R544" s="109" t="str">
        <f t="shared" si="1"/>
        <v/>
      </c>
      <c r="S544" s="71" t="str">
        <f t="shared" si="2"/>
        <v/>
      </c>
      <c r="T544" s="71">
        <f t="shared" si="3"/>
        <v>0</v>
      </c>
      <c r="U544" s="43"/>
      <c r="V544" s="486"/>
      <c r="W544" s="43"/>
      <c r="X544" s="43"/>
    </row>
    <row r="545" hidden="1">
      <c r="A545" s="51"/>
      <c r="B545" s="43"/>
      <c r="C545" s="51"/>
      <c r="D545" s="43"/>
      <c r="E545" s="43"/>
      <c r="F545" s="43"/>
      <c r="G545" s="43"/>
      <c r="H545" s="43"/>
      <c r="I545" s="43"/>
      <c r="J545" s="443"/>
      <c r="K545" s="43"/>
      <c r="L545" s="89"/>
      <c r="M545" s="89"/>
      <c r="O545" s="71">
        <f t="shared" si="21"/>
        <v>0</v>
      </c>
      <c r="P545" s="89">
        <f t="shared" si="22"/>
        <v>0</v>
      </c>
      <c r="Q545" s="491" t="str">
        <f>IF(ISBLANK(M545), "", VLOOKUP(A545&amp;" "&amp;B545, 'Info Tipo de Cambio y REM'!$A$24:$B$47, 2, FALSE))</f>
        <v/>
      </c>
      <c r="R545" s="109" t="str">
        <f t="shared" si="1"/>
        <v/>
      </c>
      <c r="S545" s="71" t="str">
        <f t="shared" si="2"/>
        <v/>
      </c>
      <c r="T545" s="71">
        <f t="shared" si="3"/>
        <v>0</v>
      </c>
      <c r="U545" s="43"/>
      <c r="V545" s="486"/>
      <c r="W545" s="43"/>
      <c r="X545" s="43"/>
    </row>
    <row r="546" hidden="1">
      <c r="A546" s="51"/>
      <c r="B546" s="43"/>
      <c r="C546" s="51"/>
      <c r="D546" s="43"/>
      <c r="E546" s="43"/>
      <c r="F546" s="43"/>
      <c r="G546" s="43"/>
      <c r="H546" s="43"/>
      <c r="I546" s="43"/>
      <c r="J546" s="443"/>
      <c r="K546" s="43"/>
      <c r="L546" s="89"/>
      <c r="M546" s="89"/>
      <c r="O546" s="71">
        <f t="shared" si="21"/>
        <v>0</v>
      </c>
      <c r="P546" s="89">
        <f t="shared" si="22"/>
        <v>0</v>
      </c>
      <c r="Q546" s="491" t="str">
        <f>IF(ISBLANK(M546), "", VLOOKUP(A546&amp;" "&amp;B546, 'Info Tipo de Cambio y REM'!$A$24:$B$47, 2, FALSE))</f>
        <v/>
      </c>
      <c r="R546" s="109" t="str">
        <f t="shared" si="1"/>
        <v/>
      </c>
      <c r="S546" s="71" t="str">
        <f t="shared" si="2"/>
        <v/>
      </c>
      <c r="T546" s="71">
        <f t="shared" si="3"/>
        <v>0</v>
      </c>
      <c r="U546" s="43"/>
      <c r="V546" s="486"/>
      <c r="W546" s="43"/>
      <c r="X546" s="43"/>
    </row>
    <row r="547" hidden="1">
      <c r="A547" s="51"/>
      <c r="B547" s="43"/>
      <c r="C547" s="51"/>
      <c r="D547" s="43"/>
      <c r="E547" s="43"/>
      <c r="F547" s="43"/>
      <c r="G547" s="43"/>
      <c r="H547" s="43"/>
      <c r="I547" s="43"/>
      <c r="J547" s="443"/>
      <c r="K547" s="43"/>
      <c r="L547" s="89"/>
      <c r="M547" s="89"/>
      <c r="O547" s="71">
        <f t="shared" si="21"/>
        <v>0</v>
      </c>
      <c r="P547" s="89">
        <f t="shared" si="22"/>
        <v>0</v>
      </c>
      <c r="Q547" s="491" t="str">
        <f>IF(ISBLANK(M547), "", VLOOKUP(A547&amp;" "&amp;B547, 'Info Tipo de Cambio y REM'!$A$24:$B$47, 2, FALSE))</f>
        <v/>
      </c>
      <c r="R547" s="109" t="str">
        <f t="shared" si="1"/>
        <v/>
      </c>
      <c r="S547" s="71" t="str">
        <f t="shared" si="2"/>
        <v/>
      </c>
      <c r="T547" s="71">
        <f t="shared" si="3"/>
        <v>0</v>
      </c>
      <c r="U547" s="43"/>
      <c r="V547" s="486"/>
      <c r="W547" s="43"/>
      <c r="X547" s="43"/>
    </row>
    <row r="548" hidden="1">
      <c r="A548" s="51"/>
      <c r="B548" s="43"/>
      <c r="C548" s="51"/>
      <c r="D548" s="43"/>
      <c r="E548" s="43"/>
      <c r="F548" s="43"/>
      <c r="G548" s="43"/>
      <c r="H548" s="43"/>
      <c r="I548" s="43"/>
      <c r="J548" s="443"/>
      <c r="K548" s="43"/>
      <c r="L548" s="89"/>
      <c r="M548" s="89"/>
      <c r="O548" s="71">
        <f t="shared" si="21"/>
        <v>0</v>
      </c>
      <c r="P548" s="89">
        <f t="shared" si="22"/>
        <v>0</v>
      </c>
      <c r="Q548" s="491" t="str">
        <f>IF(ISBLANK(M548), "", VLOOKUP(A548&amp;" "&amp;B548, 'Info Tipo de Cambio y REM'!$A$24:$B$47, 2, FALSE))</f>
        <v/>
      </c>
      <c r="R548" s="109" t="str">
        <f t="shared" si="1"/>
        <v/>
      </c>
      <c r="S548" s="71" t="str">
        <f t="shared" si="2"/>
        <v/>
      </c>
      <c r="T548" s="71">
        <f t="shared" si="3"/>
        <v>0</v>
      </c>
      <c r="U548" s="43"/>
      <c r="V548" s="486"/>
      <c r="W548" s="43"/>
      <c r="X548" s="43"/>
    </row>
    <row r="549" hidden="1">
      <c r="A549" s="51"/>
      <c r="B549" s="43"/>
      <c r="C549" s="51"/>
      <c r="D549" s="43"/>
      <c r="E549" s="43"/>
      <c r="F549" s="43"/>
      <c r="G549" s="43"/>
      <c r="H549" s="43"/>
      <c r="I549" s="43"/>
      <c r="J549" s="443"/>
      <c r="K549" s="43"/>
      <c r="L549" s="89"/>
      <c r="M549" s="89"/>
      <c r="O549" s="71">
        <f t="shared" si="21"/>
        <v>0</v>
      </c>
      <c r="P549" s="89">
        <f t="shared" si="22"/>
        <v>0</v>
      </c>
      <c r="Q549" s="491" t="str">
        <f>IF(ISBLANK(M549), "", VLOOKUP(A549&amp;" "&amp;B549, 'Info Tipo de Cambio y REM'!$A$24:$B$47, 2, FALSE))</f>
        <v/>
      </c>
      <c r="R549" s="109" t="str">
        <f t="shared" si="1"/>
        <v/>
      </c>
      <c r="S549" s="71" t="str">
        <f t="shared" si="2"/>
        <v/>
      </c>
      <c r="T549" s="71">
        <f t="shared" si="3"/>
        <v>0</v>
      </c>
      <c r="U549" s="43"/>
      <c r="V549" s="486"/>
      <c r="W549" s="43"/>
      <c r="X549" s="43"/>
    </row>
    <row r="550" hidden="1">
      <c r="A550" s="51"/>
      <c r="B550" s="43"/>
      <c r="C550" s="51"/>
      <c r="D550" s="43"/>
      <c r="E550" s="43"/>
      <c r="F550" s="43"/>
      <c r="G550" s="43"/>
      <c r="H550" s="43"/>
      <c r="I550" s="43"/>
      <c r="J550" s="443"/>
      <c r="K550" s="43"/>
      <c r="L550" s="89"/>
      <c r="M550" s="89"/>
      <c r="O550" s="71">
        <f t="shared" si="21"/>
        <v>0</v>
      </c>
      <c r="P550" s="89">
        <f t="shared" si="22"/>
        <v>0</v>
      </c>
      <c r="Q550" s="491" t="str">
        <f>IF(ISBLANK(M550), "", VLOOKUP(A550&amp;" "&amp;B550, 'Info Tipo de Cambio y REM'!$A$24:$B$47, 2, FALSE))</f>
        <v/>
      </c>
      <c r="R550" s="109" t="str">
        <f t="shared" si="1"/>
        <v/>
      </c>
      <c r="S550" s="71" t="str">
        <f t="shared" si="2"/>
        <v/>
      </c>
      <c r="T550" s="71">
        <f t="shared" si="3"/>
        <v>0</v>
      </c>
      <c r="U550" s="43"/>
      <c r="V550" s="486"/>
      <c r="W550" s="43"/>
      <c r="X550" s="43"/>
    </row>
    <row r="551" hidden="1">
      <c r="A551" s="51"/>
      <c r="B551" s="43"/>
      <c r="C551" s="51"/>
      <c r="D551" s="43"/>
      <c r="E551" s="43"/>
      <c r="F551" s="43"/>
      <c r="G551" s="43"/>
      <c r="H551" s="43"/>
      <c r="I551" s="43"/>
      <c r="J551" s="443"/>
      <c r="K551" s="43"/>
      <c r="L551" s="89"/>
      <c r="M551" s="89"/>
      <c r="O551" s="71">
        <f t="shared" si="21"/>
        <v>0</v>
      </c>
      <c r="P551" s="89">
        <f t="shared" si="22"/>
        <v>0</v>
      </c>
      <c r="Q551" s="491" t="str">
        <f>IF(ISBLANK(M551), "", VLOOKUP(A551&amp;" "&amp;B551, 'Info Tipo de Cambio y REM'!$A$24:$B$47, 2, FALSE))</f>
        <v/>
      </c>
      <c r="R551" s="109" t="str">
        <f t="shared" si="1"/>
        <v/>
      </c>
      <c r="S551" s="71" t="str">
        <f t="shared" si="2"/>
        <v/>
      </c>
      <c r="T551" s="71">
        <f t="shared" si="3"/>
        <v>0</v>
      </c>
      <c r="U551" s="43"/>
      <c r="V551" s="486"/>
      <c r="W551" s="43"/>
      <c r="X551" s="43"/>
    </row>
    <row r="552" hidden="1">
      <c r="A552" s="51"/>
      <c r="B552" s="43"/>
      <c r="C552" s="51"/>
      <c r="D552" s="43"/>
      <c r="E552" s="43"/>
      <c r="F552" s="43"/>
      <c r="G552" s="43"/>
      <c r="H552" s="43"/>
      <c r="I552" s="43"/>
      <c r="J552" s="443"/>
      <c r="K552" s="43"/>
      <c r="L552" s="89"/>
      <c r="M552" s="89"/>
      <c r="O552" s="71">
        <f t="shared" si="21"/>
        <v>0</v>
      </c>
      <c r="P552" s="89">
        <f t="shared" si="22"/>
        <v>0</v>
      </c>
      <c r="Q552" s="491" t="str">
        <f>IF(ISBLANK(M552), "", VLOOKUP(A552&amp;" "&amp;B552, 'Info Tipo de Cambio y REM'!$A$24:$B$47, 2, FALSE))</f>
        <v/>
      </c>
      <c r="R552" s="109" t="str">
        <f t="shared" si="1"/>
        <v/>
      </c>
      <c r="S552" s="71" t="str">
        <f t="shared" si="2"/>
        <v/>
      </c>
      <c r="T552" s="71">
        <f t="shared" si="3"/>
        <v>0</v>
      </c>
      <c r="U552" s="43"/>
      <c r="V552" s="486"/>
      <c r="W552" s="43"/>
      <c r="X552" s="43"/>
    </row>
    <row r="553" hidden="1">
      <c r="A553" s="51"/>
      <c r="B553" s="43"/>
      <c r="C553" s="51"/>
      <c r="D553" s="43"/>
      <c r="E553" s="43"/>
      <c r="F553" s="43"/>
      <c r="G553" s="43"/>
      <c r="H553" s="43"/>
      <c r="I553" s="43"/>
      <c r="J553" s="443"/>
      <c r="K553" s="43"/>
      <c r="L553" s="89"/>
      <c r="M553" s="89"/>
      <c r="O553" s="71">
        <f t="shared" si="21"/>
        <v>0</v>
      </c>
      <c r="P553" s="89">
        <f t="shared" si="22"/>
        <v>0</v>
      </c>
      <c r="Q553" s="491" t="str">
        <f>IF(ISBLANK(M553), "", VLOOKUP(A553&amp;" "&amp;B553, 'Info Tipo de Cambio y REM'!$A$24:$B$47, 2, FALSE))</f>
        <v/>
      </c>
      <c r="R553" s="109" t="str">
        <f t="shared" si="1"/>
        <v/>
      </c>
      <c r="S553" s="71" t="str">
        <f t="shared" si="2"/>
        <v/>
      </c>
      <c r="T553" s="71">
        <f t="shared" si="3"/>
        <v>0</v>
      </c>
      <c r="U553" s="43"/>
      <c r="V553" s="486"/>
      <c r="W553" s="43"/>
      <c r="X553" s="43"/>
    </row>
    <row r="554" hidden="1">
      <c r="A554" s="51"/>
      <c r="B554" s="43"/>
      <c r="C554" s="51"/>
      <c r="D554" s="43"/>
      <c r="E554" s="43"/>
      <c r="F554" s="43"/>
      <c r="G554" s="43"/>
      <c r="H554" s="43"/>
      <c r="I554" s="43"/>
      <c r="J554" s="443"/>
      <c r="K554" s="43"/>
      <c r="L554" s="89"/>
      <c r="M554" s="89"/>
      <c r="O554" s="71">
        <f t="shared" si="21"/>
        <v>0</v>
      </c>
      <c r="P554" s="89">
        <f t="shared" si="22"/>
        <v>0</v>
      </c>
      <c r="Q554" s="491" t="str">
        <f>IF(ISBLANK(M554), "", VLOOKUP(A554&amp;" "&amp;B554, 'Info Tipo de Cambio y REM'!$A$24:$B$47, 2, FALSE))</f>
        <v/>
      </c>
      <c r="R554" s="109" t="str">
        <f t="shared" si="1"/>
        <v/>
      </c>
      <c r="S554" s="71" t="str">
        <f t="shared" si="2"/>
        <v/>
      </c>
      <c r="T554" s="71">
        <f t="shared" si="3"/>
        <v>0</v>
      </c>
      <c r="U554" s="43"/>
      <c r="V554" s="486"/>
      <c r="W554" s="43"/>
      <c r="X554" s="43"/>
    </row>
    <row r="555" hidden="1">
      <c r="A555" s="51"/>
      <c r="B555" s="43"/>
      <c r="C555" s="51"/>
      <c r="D555" s="43"/>
      <c r="E555" s="43"/>
      <c r="F555" s="43"/>
      <c r="G555" s="43"/>
      <c r="H555" s="43"/>
      <c r="I555" s="43"/>
      <c r="J555" s="443"/>
      <c r="K555" s="43"/>
      <c r="L555" s="89"/>
      <c r="M555" s="89"/>
      <c r="O555" s="71">
        <f t="shared" si="21"/>
        <v>0</v>
      </c>
      <c r="P555" s="89">
        <f t="shared" si="22"/>
        <v>0</v>
      </c>
      <c r="Q555" s="491" t="str">
        <f>IF(ISBLANK(M555), "", VLOOKUP(A555&amp;" "&amp;B555, 'Info Tipo de Cambio y REM'!$A$24:$B$47, 2, FALSE))</f>
        <v/>
      </c>
      <c r="R555" s="109" t="str">
        <f t="shared" si="1"/>
        <v/>
      </c>
      <c r="S555" s="71" t="str">
        <f t="shared" si="2"/>
        <v/>
      </c>
      <c r="T555" s="71">
        <f t="shared" si="3"/>
        <v>0</v>
      </c>
      <c r="U555" s="43"/>
      <c r="V555" s="486"/>
      <c r="W555" s="43"/>
      <c r="X555" s="43"/>
    </row>
    <row r="556" hidden="1">
      <c r="A556" s="51"/>
      <c r="B556" s="43"/>
      <c r="C556" s="51"/>
      <c r="D556" s="43"/>
      <c r="E556" s="43"/>
      <c r="F556" s="43"/>
      <c r="G556" s="43"/>
      <c r="H556" s="43"/>
      <c r="I556" s="43"/>
      <c r="J556" s="443"/>
      <c r="K556" s="43"/>
      <c r="L556" s="89"/>
      <c r="M556" s="89"/>
      <c r="O556" s="71">
        <f t="shared" si="21"/>
        <v>0</v>
      </c>
      <c r="P556" s="89">
        <f t="shared" si="22"/>
        <v>0</v>
      </c>
      <c r="Q556" s="491" t="str">
        <f>IF(ISBLANK(M556), "", VLOOKUP(A556&amp;" "&amp;B556, 'Info Tipo de Cambio y REM'!$A$24:$B$47, 2, FALSE))</f>
        <v/>
      </c>
      <c r="R556" s="109" t="str">
        <f t="shared" si="1"/>
        <v/>
      </c>
      <c r="S556" s="71" t="str">
        <f t="shared" si="2"/>
        <v/>
      </c>
      <c r="T556" s="71">
        <f t="shared" si="3"/>
        <v>0</v>
      </c>
      <c r="U556" s="43"/>
      <c r="V556" s="486"/>
      <c r="W556" s="43"/>
      <c r="X556" s="43"/>
    </row>
    <row r="557" hidden="1">
      <c r="A557" s="51"/>
      <c r="B557" s="43"/>
      <c r="C557" s="51"/>
      <c r="D557" s="43"/>
      <c r="E557" s="43"/>
      <c r="F557" s="43"/>
      <c r="G557" s="43"/>
      <c r="H557" s="43"/>
      <c r="I557" s="43"/>
      <c r="J557" s="443"/>
      <c r="K557" s="43"/>
      <c r="L557" s="89"/>
      <c r="M557" s="89"/>
      <c r="O557" s="71">
        <f t="shared" si="21"/>
        <v>0</v>
      </c>
      <c r="P557" s="89">
        <f t="shared" si="22"/>
        <v>0</v>
      </c>
      <c r="Q557" s="491" t="str">
        <f>IF(ISBLANK(M557), "", VLOOKUP(A557&amp;" "&amp;B557, 'Info Tipo de Cambio y REM'!$A$24:$B$47, 2, FALSE))</f>
        <v/>
      </c>
      <c r="R557" s="109" t="str">
        <f t="shared" si="1"/>
        <v/>
      </c>
      <c r="S557" s="71" t="str">
        <f t="shared" si="2"/>
        <v/>
      </c>
      <c r="T557" s="71">
        <f t="shared" si="3"/>
        <v>0</v>
      </c>
      <c r="U557" s="43"/>
      <c r="V557" s="486"/>
      <c r="W557" s="43"/>
      <c r="X557" s="43"/>
    </row>
    <row r="558" hidden="1">
      <c r="A558" s="51"/>
      <c r="B558" s="43"/>
      <c r="C558" s="51"/>
      <c r="D558" s="43"/>
      <c r="E558" s="43"/>
      <c r="F558" s="43"/>
      <c r="G558" s="43"/>
      <c r="H558" s="43"/>
      <c r="I558" s="43"/>
      <c r="J558" s="443"/>
      <c r="K558" s="43"/>
      <c r="L558" s="89"/>
      <c r="M558" s="89"/>
      <c r="O558" s="71">
        <f t="shared" si="21"/>
        <v>0</v>
      </c>
      <c r="P558" s="89">
        <f t="shared" si="22"/>
        <v>0</v>
      </c>
      <c r="Q558" s="491" t="str">
        <f>IF(ISBLANK(M558), "", VLOOKUP(A558&amp;" "&amp;B558, 'Info Tipo de Cambio y REM'!$A$24:$B$47, 2, FALSE))</f>
        <v/>
      </c>
      <c r="R558" s="109" t="str">
        <f t="shared" si="1"/>
        <v/>
      </c>
      <c r="S558" s="71" t="str">
        <f t="shared" si="2"/>
        <v/>
      </c>
      <c r="T558" s="71">
        <f t="shared" si="3"/>
        <v>0</v>
      </c>
      <c r="U558" s="43"/>
      <c r="V558" s="486"/>
      <c r="W558" s="43"/>
      <c r="X558" s="43"/>
    </row>
    <row r="559" hidden="1">
      <c r="A559" s="51"/>
      <c r="B559" s="43"/>
      <c r="C559" s="51"/>
      <c r="D559" s="43"/>
      <c r="E559" s="43"/>
      <c r="F559" s="43"/>
      <c r="G559" s="43"/>
      <c r="H559" s="43"/>
      <c r="I559" s="43"/>
      <c r="J559" s="443"/>
      <c r="K559" s="43"/>
      <c r="L559" s="89"/>
      <c r="M559" s="89"/>
      <c r="O559" s="71">
        <f t="shared" si="21"/>
        <v>0</v>
      </c>
      <c r="P559" s="89">
        <f t="shared" si="22"/>
        <v>0</v>
      </c>
      <c r="Q559" s="491" t="str">
        <f>IF(ISBLANK(M559), "", VLOOKUP(A559&amp;" "&amp;B559, 'Info Tipo de Cambio y REM'!$A$24:$B$47, 2, FALSE))</f>
        <v/>
      </c>
      <c r="R559" s="109" t="str">
        <f t="shared" si="1"/>
        <v/>
      </c>
      <c r="S559" s="71" t="str">
        <f t="shared" si="2"/>
        <v/>
      </c>
      <c r="T559" s="71">
        <f t="shared" si="3"/>
        <v>0</v>
      </c>
      <c r="U559" s="43"/>
      <c r="V559" s="486"/>
      <c r="W559" s="43"/>
      <c r="X559" s="43"/>
    </row>
    <row r="560" hidden="1">
      <c r="A560" s="51"/>
      <c r="B560" s="43"/>
      <c r="C560" s="51"/>
      <c r="D560" s="43"/>
      <c r="E560" s="43"/>
      <c r="F560" s="43"/>
      <c r="G560" s="43"/>
      <c r="H560" s="43"/>
      <c r="I560" s="43"/>
      <c r="J560" s="443"/>
      <c r="K560" s="43"/>
      <c r="L560" s="89"/>
      <c r="M560" s="89"/>
      <c r="O560" s="71">
        <f t="shared" si="21"/>
        <v>0</v>
      </c>
      <c r="P560" s="89">
        <f t="shared" si="22"/>
        <v>0</v>
      </c>
      <c r="Q560" s="491" t="str">
        <f>IF(ISBLANK(M560), "", VLOOKUP(A560&amp;" "&amp;B560, 'Info Tipo de Cambio y REM'!$A$24:$B$47, 2, FALSE))</f>
        <v/>
      </c>
      <c r="R560" s="109" t="str">
        <f t="shared" si="1"/>
        <v/>
      </c>
      <c r="S560" s="71" t="str">
        <f t="shared" si="2"/>
        <v/>
      </c>
      <c r="T560" s="71">
        <f t="shared" si="3"/>
        <v>0</v>
      </c>
      <c r="U560" s="43"/>
      <c r="V560" s="486"/>
      <c r="W560" s="43"/>
      <c r="X560" s="43"/>
    </row>
    <row r="561" hidden="1">
      <c r="A561" s="51"/>
      <c r="B561" s="43"/>
      <c r="C561" s="51"/>
      <c r="D561" s="43"/>
      <c r="E561" s="43"/>
      <c r="F561" s="43"/>
      <c r="G561" s="43"/>
      <c r="H561" s="43"/>
      <c r="I561" s="43"/>
      <c r="J561" s="443"/>
      <c r="K561" s="43"/>
      <c r="L561" s="89"/>
      <c r="M561" s="89"/>
      <c r="O561" s="71">
        <f t="shared" si="21"/>
        <v>0</v>
      </c>
      <c r="P561" s="89">
        <f t="shared" si="22"/>
        <v>0</v>
      </c>
      <c r="Q561" s="491" t="str">
        <f>IF(ISBLANK(M561), "", VLOOKUP(A561&amp;" "&amp;B561, 'Info Tipo de Cambio y REM'!$A$24:$B$47, 2, FALSE))</f>
        <v/>
      </c>
      <c r="R561" s="109" t="str">
        <f t="shared" si="1"/>
        <v/>
      </c>
      <c r="S561" s="71" t="str">
        <f t="shared" si="2"/>
        <v/>
      </c>
      <c r="T561" s="71">
        <f t="shared" si="3"/>
        <v>0</v>
      </c>
      <c r="U561" s="43"/>
      <c r="V561" s="486"/>
      <c r="W561" s="43"/>
      <c r="X561" s="43"/>
    </row>
    <row r="562" hidden="1">
      <c r="A562" s="51"/>
      <c r="B562" s="43"/>
      <c r="C562" s="51"/>
      <c r="D562" s="43"/>
      <c r="E562" s="43"/>
      <c r="F562" s="43"/>
      <c r="G562" s="43"/>
      <c r="H562" s="43"/>
      <c r="I562" s="43"/>
      <c r="J562" s="443"/>
      <c r="K562" s="43"/>
      <c r="L562" s="89"/>
      <c r="M562" s="89"/>
      <c r="O562" s="71">
        <f t="shared" si="21"/>
        <v>0</v>
      </c>
      <c r="P562" s="89">
        <f t="shared" si="22"/>
        <v>0</v>
      </c>
      <c r="Q562" s="491" t="str">
        <f>IF(ISBLANK(M562), "", VLOOKUP(A562&amp;" "&amp;B562, 'Info Tipo de Cambio y REM'!$A$24:$B$47, 2, FALSE))</f>
        <v/>
      </c>
      <c r="R562" s="109" t="str">
        <f t="shared" si="1"/>
        <v/>
      </c>
      <c r="S562" s="71" t="str">
        <f t="shared" si="2"/>
        <v/>
      </c>
      <c r="T562" s="71">
        <f t="shared" si="3"/>
        <v>0</v>
      </c>
      <c r="U562" s="43"/>
      <c r="V562" s="486"/>
      <c r="W562" s="43"/>
      <c r="X562" s="43"/>
    </row>
    <row r="563" hidden="1">
      <c r="A563" s="51"/>
      <c r="B563" s="43"/>
      <c r="C563" s="51"/>
      <c r="D563" s="43"/>
      <c r="E563" s="43"/>
      <c r="F563" s="43"/>
      <c r="G563" s="43"/>
      <c r="H563" s="43"/>
      <c r="I563" s="43"/>
      <c r="J563" s="443"/>
      <c r="K563" s="43"/>
      <c r="L563" s="89"/>
      <c r="M563" s="89"/>
      <c r="O563" s="71">
        <f t="shared" si="21"/>
        <v>0</v>
      </c>
      <c r="P563" s="89">
        <f t="shared" si="22"/>
        <v>0</v>
      </c>
      <c r="Q563" s="491" t="str">
        <f>IF(ISBLANK(M563), "", VLOOKUP(A563&amp;" "&amp;B563, 'Info Tipo de Cambio y REM'!$A$24:$B$47, 2, FALSE))</f>
        <v/>
      </c>
      <c r="R563" s="109" t="str">
        <f t="shared" si="1"/>
        <v/>
      </c>
      <c r="S563" s="71" t="str">
        <f t="shared" si="2"/>
        <v/>
      </c>
      <c r="T563" s="71">
        <f t="shared" si="3"/>
        <v>0</v>
      </c>
      <c r="U563" s="43"/>
      <c r="V563" s="486"/>
      <c r="W563" s="43"/>
      <c r="X563" s="43"/>
    </row>
    <row r="564" hidden="1">
      <c r="A564" s="51"/>
      <c r="B564" s="43"/>
      <c r="C564" s="51"/>
      <c r="D564" s="43"/>
      <c r="E564" s="43"/>
      <c r="F564" s="43"/>
      <c r="G564" s="43"/>
      <c r="H564" s="43"/>
      <c r="I564" s="43"/>
      <c r="J564" s="443"/>
      <c r="K564" s="43"/>
      <c r="L564" s="89"/>
      <c r="M564" s="89"/>
      <c r="O564" s="71">
        <f t="shared" si="21"/>
        <v>0</v>
      </c>
      <c r="P564" s="89">
        <f t="shared" si="22"/>
        <v>0</v>
      </c>
      <c r="Q564" s="491" t="str">
        <f>IF(ISBLANK(M564), "", VLOOKUP(A564&amp;" "&amp;B564, 'Info Tipo de Cambio y REM'!$A$24:$B$47, 2, FALSE))</f>
        <v/>
      </c>
      <c r="R564" s="109" t="str">
        <f t="shared" si="1"/>
        <v/>
      </c>
      <c r="S564" s="71" t="str">
        <f t="shared" si="2"/>
        <v/>
      </c>
      <c r="T564" s="71">
        <f t="shared" si="3"/>
        <v>0</v>
      </c>
      <c r="U564" s="43"/>
      <c r="V564" s="486"/>
      <c r="W564" s="43"/>
      <c r="X564" s="43"/>
    </row>
    <row r="565" hidden="1">
      <c r="A565" s="51"/>
      <c r="B565" s="43"/>
      <c r="C565" s="51"/>
      <c r="D565" s="43"/>
      <c r="E565" s="43"/>
      <c r="F565" s="43"/>
      <c r="G565" s="43"/>
      <c r="H565" s="43"/>
      <c r="I565" s="43"/>
      <c r="J565" s="443"/>
      <c r="K565" s="43"/>
      <c r="L565" s="89"/>
      <c r="M565" s="89"/>
      <c r="O565" s="71">
        <f t="shared" si="21"/>
        <v>0</v>
      </c>
      <c r="P565" s="89">
        <f t="shared" si="22"/>
        <v>0</v>
      </c>
      <c r="Q565" s="491" t="str">
        <f>IF(ISBLANK(M565), "", VLOOKUP(A565&amp;" "&amp;B565, 'Info Tipo de Cambio y REM'!$A$24:$B$47, 2, FALSE))</f>
        <v/>
      </c>
      <c r="R565" s="109" t="str">
        <f t="shared" si="1"/>
        <v/>
      </c>
      <c r="S565" s="71" t="str">
        <f t="shared" si="2"/>
        <v/>
      </c>
      <c r="T565" s="71">
        <f t="shared" si="3"/>
        <v>0</v>
      </c>
      <c r="U565" s="43"/>
      <c r="V565" s="486"/>
      <c r="W565" s="43"/>
      <c r="X565" s="43"/>
    </row>
    <row r="566" hidden="1">
      <c r="A566" s="51"/>
      <c r="B566" s="43"/>
      <c r="C566" s="51"/>
      <c r="D566" s="43"/>
      <c r="E566" s="43"/>
      <c r="F566" s="43"/>
      <c r="G566" s="43"/>
      <c r="H566" s="43"/>
      <c r="I566" s="43"/>
      <c r="J566" s="443"/>
      <c r="K566" s="43"/>
      <c r="L566" s="89"/>
      <c r="M566" s="89"/>
      <c r="O566" s="71">
        <f t="shared" si="21"/>
        <v>0</v>
      </c>
      <c r="P566" s="89">
        <f t="shared" si="22"/>
        <v>0</v>
      </c>
      <c r="Q566" s="491" t="str">
        <f>IF(ISBLANK(M566), "", VLOOKUP(A566&amp;" "&amp;B566, 'Info Tipo de Cambio y REM'!$A$24:$B$47, 2, FALSE))</f>
        <v/>
      </c>
      <c r="R566" s="109" t="str">
        <f t="shared" si="1"/>
        <v/>
      </c>
      <c r="S566" s="71" t="str">
        <f t="shared" si="2"/>
        <v/>
      </c>
      <c r="T566" s="71">
        <f t="shared" si="3"/>
        <v>0</v>
      </c>
      <c r="U566" s="43"/>
      <c r="V566" s="486"/>
      <c r="W566" s="43"/>
      <c r="X566" s="43"/>
    </row>
    <row r="567" hidden="1">
      <c r="A567" s="51"/>
      <c r="B567" s="43"/>
      <c r="C567" s="51"/>
      <c r="D567" s="43"/>
      <c r="E567" s="43"/>
      <c r="F567" s="43"/>
      <c r="G567" s="43"/>
      <c r="H567" s="43"/>
      <c r="I567" s="43"/>
      <c r="J567" s="443"/>
      <c r="K567" s="43"/>
      <c r="L567" s="89"/>
      <c r="M567" s="89"/>
      <c r="O567" s="71">
        <f t="shared" si="21"/>
        <v>0</v>
      </c>
      <c r="P567" s="89">
        <f t="shared" si="22"/>
        <v>0</v>
      </c>
      <c r="Q567" s="491" t="str">
        <f>IF(ISBLANK(M567), "", VLOOKUP(A567&amp;" "&amp;B567, 'Info Tipo de Cambio y REM'!$A$24:$B$47, 2, FALSE))</f>
        <v/>
      </c>
      <c r="R567" s="109" t="str">
        <f t="shared" si="1"/>
        <v/>
      </c>
      <c r="S567" s="71" t="str">
        <f t="shared" si="2"/>
        <v/>
      </c>
      <c r="T567" s="71">
        <f t="shared" si="3"/>
        <v>0</v>
      </c>
      <c r="U567" s="43"/>
      <c r="V567" s="486"/>
      <c r="W567" s="43"/>
      <c r="X567" s="43"/>
    </row>
    <row r="568" hidden="1">
      <c r="A568" s="51"/>
      <c r="B568" s="43"/>
      <c r="C568" s="51"/>
      <c r="D568" s="43"/>
      <c r="E568" s="43"/>
      <c r="F568" s="43"/>
      <c r="G568" s="43"/>
      <c r="H568" s="43"/>
      <c r="I568" s="43"/>
      <c r="J568" s="443"/>
      <c r="K568" s="43"/>
      <c r="L568" s="89"/>
      <c r="M568" s="89"/>
      <c r="O568" s="71">
        <f t="shared" si="21"/>
        <v>0</v>
      </c>
      <c r="P568" s="89">
        <f t="shared" si="22"/>
        <v>0</v>
      </c>
      <c r="Q568" s="491" t="str">
        <f>IF(ISBLANK(M568), "", VLOOKUP(A568&amp;" "&amp;B568, 'Info Tipo de Cambio y REM'!$A$24:$B$47, 2, FALSE))</f>
        <v/>
      </c>
      <c r="R568" s="109" t="str">
        <f t="shared" si="1"/>
        <v/>
      </c>
      <c r="S568" s="71" t="str">
        <f t="shared" si="2"/>
        <v/>
      </c>
      <c r="T568" s="71">
        <f t="shared" si="3"/>
        <v>0</v>
      </c>
      <c r="U568" s="43"/>
      <c r="V568" s="486"/>
      <c r="W568" s="43"/>
      <c r="X568" s="43"/>
    </row>
    <row r="569" hidden="1">
      <c r="A569" s="51"/>
      <c r="B569" s="43"/>
      <c r="C569" s="51"/>
      <c r="D569" s="43"/>
      <c r="E569" s="43"/>
      <c r="F569" s="43"/>
      <c r="G569" s="43"/>
      <c r="H569" s="43"/>
      <c r="I569" s="43"/>
      <c r="J569" s="443"/>
      <c r="K569" s="43"/>
      <c r="L569" s="89"/>
      <c r="M569" s="89"/>
      <c r="O569" s="71">
        <f t="shared" si="21"/>
        <v>0</v>
      </c>
      <c r="P569" s="89">
        <f t="shared" si="22"/>
        <v>0</v>
      </c>
      <c r="Q569" s="491" t="str">
        <f>IF(ISBLANK(M569), "", VLOOKUP(A569&amp;" "&amp;B569, 'Info Tipo de Cambio y REM'!$A$24:$B$47, 2, FALSE))</f>
        <v/>
      </c>
      <c r="R569" s="109" t="str">
        <f t="shared" si="1"/>
        <v/>
      </c>
      <c r="S569" s="71" t="str">
        <f t="shared" si="2"/>
        <v/>
      </c>
      <c r="T569" s="71">
        <f t="shared" si="3"/>
        <v>0</v>
      </c>
      <c r="U569" s="43"/>
      <c r="V569" s="486"/>
      <c r="W569" s="43"/>
      <c r="X569" s="43"/>
    </row>
    <row r="570" hidden="1">
      <c r="A570" s="51"/>
      <c r="B570" s="43"/>
      <c r="C570" s="51"/>
      <c r="D570" s="43"/>
      <c r="E570" s="43"/>
      <c r="F570" s="43"/>
      <c r="G570" s="43"/>
      <c r="H570" s="43"/>
      <c r="I570" s="43"/>
      <c r="J570" s="443"/>
      <c r="K570" s="43"/>
      <c r="L570" s="89"/>
      <c r="M570" s="89"/>
      <c r="O570" s="71">
        <f t="shared" si="21"/>
        <v>0</v>
      </c>
      <c r="P570" s="89">
        <f t="shared" si="22"/>
        <v>0</v>
      </c>
      <c r="Q570" s="491" t="str">
        <f>IF(ISBLANK(M570), "", VLOOKUP(A570&amp;" "&amp;B570, 'Info Tipo de Cambio y REM'!$A$24:$B$47, 2, FALSE))</f>
        <v/>
      </c>
      <c r="R570" s="109" t="str">
        <f t="shared" si="1"/>
        <v/>
      </c>
      <c r="S570" s="71" t="str">
        <f t="shared" si="2"/>
        <v/>
      </c>
      <c r="T570" s="71">
        <f t="shared" si="3"/>
        <v>0</v>
      </c>
      <c r="U570" s="43"/>
      <c r="V570" s="486"/>
      <c r="W570" s="43"/>
      <c r="X570" s="43"/>
    </row>
    <row r="571" hidden="1">
      <c r="A571" s="51"/>
      <c r="B571" s="43"/>
      <c r="C571" s="51"/>
      <c r="D571" s="43"/>
      <c r="E571" s="43"/>
      <c r="F571" s="43"/>
      <c r="G571" s="43"/>
      <c r="H571" s="43"/>
      <c r="I571" s="43"/>
      <c r="J571" s="443"/>
      <c r="K571" s="43"/>
      <c r="L571" s="89"/>
      <c r="M571" s="89"/>
      <c r="O571" s="71">
        <f t="shared" si="21"/>
        <v>0</v>
      </c>
      <c r="P571" s="89">
        <f t="shared" si="22"/>
        <v>0</v>
      </c>
      <c r="Q571" s="491" t="str">
        <f>IF(ISBLANK(M571), "", VLOOKUP(A571&amp;" "&amp;B571, 'Info Tipo de Cambio y REM'!$A$24:$B$47, 2, FALSE))</f>
        <v/>
      </c>
      <c r="R571" s="109" t="str">
        <f t="shared" si="1"/>
        <v/>
      </c>
      <c r="S571" s="71" t="str">
        <f t="shared" si="2"/>
        <v/>
      </c>
      <c r="T571" s="71">
        <f t="shared" si="3"/>
        <v>0</v>
      </c>
      <c r="U571" s="43"/>
      <c r="V571" s="486"/>
      <c r="W571" s="43"/>
      <c r="X571" s="43"/>
    </row>
    <row r="572" hidden="1">
      <c r="A572" s="51"/>
      <c r="B572" s="43"/>
      <c r="C572" s="51"/>
      <c r="D572" s="43"/>
      <c r="E572" s="43"/>
      <c r="F572" s="43"/>
      <c r="G572" s="43"/>
      <c r="H572" s="43"/>
      <c r="I572" s="43"/>
      <c r="J572" s="443"/>
      <c r="K572" s="43"/>
      <c r="L572" s="89"/>
      <c r="M572" s="89"/>
      <c r="O572" s="71">
        <f t="shared" si="21"/>
        <v>0</v>
      </c>
      <c r="P572" s="89">
        <f t="shared" si="22"/>
        <v>0</v>
      </c>
      <c r="Q572" s="491" t="str">
        <f>IF(ISBLANK(M572), "", VLOOKUP(A572&amp;" "&amp;B572, 'Info Tipo de Cambio y REM'!$A$24:$B$47, 2, FALSE))</f>
        <v/>
      </c>
      <c r="R572" s="109" t="str">
        <f t="shared" si="1"/>
        <v/>
      </c>
      <c r="S572" s="71" t="str">
        <f t="shared" si="2"/>
        <v/>
      </c>
      <c r="T572" s="71">
        <f t="shared" si="3"/>
        <v>0</v>
      </c>
      <c r="U572" s="43"/>
      <c r="V572" s="486"/>
      <c r="W572" s="43"/>
      <c r="X572" s="43"/>
    </row>
    <row r="573" hidden="1">
      <c r="A573" s="51"/>
      <c r="B573" s="43"/>
      <c r="C573" s="51"/>
      <c r="D573" s="43"/>
      <c r="E573" s="43"/>
      <c r="F573" s="43"/>
      <c r="G573" s="43"/>
      <c r="H573" s="43"/>
      <c r="I573" s="43"/>
      <c r="J573" s="443"/>
      <c r="K573" s="43"/>
      <c r="L573" s="89"/>
      <c r="M573" s="89"/>
      <c r="O573" s="71">
        <f t="shared" si="21"/>
        <v>0</v>
      </c>
      <c r="P573" s="89">
        <f t="shared" si="22"/>
        <v>0</v>
      </c>
      <c r="Q573" s="491" t="str">
        <f>IF(ISBLANK(M573), "", VLOOKUP(A573&amp;" "&amp;B573, 'Info Tipo de Cambio y REM'!$A$24:$B$47, 2, FALSE))</f>
        <v/>
      </c>
      <c r="R573" s="109" t="str">
        <f t="shared" si="1"/>
        <v/>
      </c>
      <c r="S573" s="71" t="str">
        <f t="shared" si="2"/>
        <v/>
      </c>
      <c r="T573" s="71">
        <f t="shared" si="3"/>
        <v>0</v>
      </c>
      <c r="U573" s="43"/>
      <c r="V573" s="486"/>
      <c r="W573" s="43"/>
      <c r="X573" s="43"/>
    </row>
    <row r="574" hidden="1">
      <c r="A574" s="51"/>
      <c r="B574" s="43"/>
      <c r="C574" s="51"/>
      <c r="D574" s="43"/>
      <c r="E574" s="43"/>
      <c r="F574" s="43"/>
      <c r="G574" s="43"/>
      <c r="H574" s="43"/>
      <c r="I574" s="43"/>
      <c r="J574" s="443"/>
      <c r="K574" s="43"/>
      <c r="L574" s="89"/>
      <c r="M574" s="89"/>
      <c r="O574" s="71">
        <f t="shared" si="21"/>
        <v>0</v>
      </c>
      <c r="P574" s="89">
        <f t="shared" si="22"/>
        <v>0</v>
      </c>
      <c r="Q574" s="491" t="str">
        <f>IF(ISBLANK(M574), "", VLOOKUP(A574&amp;" "&amp;B574, 'Info Tipo de Cambio y REM'!$A$24:$B$47, 2, FALSE))</f>
        <v/>
      </c>
      <c r="R574" s="109" t="str">
        <f t="shared" si="1"/>
        <v/>
      </c>
      <c r="S574" s="71" t="str">
        <f t="shared" si="2"/>
        <v/>
      </c>
      <c r="T574" s="71">
        <f t="shared" si="3"/>
        <v>0</v>
      </c>
      <c r="U574" s="43"/>
      <c r="V574" s="486"/>
      <c r="W574" s="43"/>
      <c r="X574" s="43"/>
    </row>
    <row r="575" hidden="1">
      <c r="A575" s="51"/>
      <c r="B575" s="43"/>
      <c r="C575" s="51"/>
      <c r="D575" s="43"/>
      <c r="E575" s="43"/>
      <c r="F575" s="43"/>
      <c r="G575" s="43"/>
      <c r="H575" s="43"/>
      <c r="I575" s="43"/>
      <c r="J575" s="443"/>
      <c r="K575" s="43"/>
      <c r="L575" s="89"/>
      <c r="M575" s="89"/>
      <c r="O575" s="71">
        <f t="shared" si="21"/>
        <v>0</v>
      </c>
      <c r="P575" s="89">
        <f t="shared" si="22"/>
        <v>0</v>
      </c>
      <c r="Q575" s="491" t="str">
        <f>IF(ISBLANK(M575), "", VLOOKUP(A575&amp;" "&amp;B575, 'Info Tipo de Cambio y REM'!$A$24:$B$47, 2, FALSE))</f>
        <v/>
      </c>
      <c r="R575" s="109" t="str">
        <f t="shared" si="1"/>
        <v/>
      </c>
      <c r="S575" s="71" t="str">
        <f t="shared" si="2"/>
        <v/>
      </c>
      <c r="T575" s="71">
        <f t="shared" si="3"/>
        <v>0</v>
      </c>
      <c r="U575" s="43"/>
      <c r="V575" s="486"/>
      <c r="W575" s="43"/>
      <c r="X575" s="43"/>
    </row>
    <row r="576" hidden="1">
      <c r="A576" s="51"/>
      <c r="B576" s="43"/>
      <c r="C576" s="51"/>
      <c r="D576" s="43"/>
      <c r="E576" s="43"/>
      <c r="F576" s="43"/>
      <c r="G576" s="43"/>
      <c r="H576" s="43"/>
      <c r="I576" s="43"/>
      <c r="J576" s="443"/>
      <c r="K576" s="43"/>
      <c r="L576" s="89"/>
      <c r="M576" s="89"/>
      <c r="O576" s="71">
        <f t="shared" si="21"/>
        <v>0</v>
      </c>
      <c r="P576" s="89">
        <f t="shared" si="22"/>
        <v>0</v>
      </c>
      <c r="Q576" s="491" t="str">
        <f>IF(ISBLANK(M576), "", VLOOKUP(A576&amp;" "&amp;B576, 'Info Tipo de Cambio y REM'!$A$24:$B$47, 2, FALSE))</f>
        <v/>
      </c>
      <c r="R576" s="109" t="str">
        <f t="shared" si="1"/>
        <v/>
      </c>
      <c r="S576" s="71" t="str">
        <f t="shared" si="2"/>
        <v/>
      </c>
      <c r="T576" s="71">
        <f t="shared" si="3"/>
        <v>0</v>
      </c>
      <c r="U576" s="43"/>
      <c r="V576" s="486"/>
      <c r="W576" s="43"/>
      <c r="X576" s="43"/>
    </row>
    <row r="577" hidden="1">
      <c r="A577" s="51"/>
      <c r="B577" s="43"/>
      <c r="C577" s="51"/>
      <c r="D577" s="43"/>
      <c r="E577" s="43"/>
      <c r="F577" s="43"/>
      <c r="G577" s="43"/>
      <c r="H577" s="43"/>
      <c r="I577" s="43"/>
      <c r="J577" s="443"/>
      <c r="K577" s="43"/>
      <c r="L577" s="89"/>
      <c r="M577" s="89"/>
      <c r="O577" s="71">
        <f t="shared" si="21"/>
        <v>0</v>
      </c>
      <c r="P577" s="89">
        <f t="shared" si="22"/>
        <v>0</v>
      </c>
      <c r="Q577" s="491" t="str">
        <f>IF(ISBLANK(M577), "", VLOOKUP(A577&amp;" "&amp;B577, 'Info Tipo de Cambio y REM'!$A$24:$B$47, 2, FALSE))</f>
        <v/>
      </c>
      <c r="R577" s="109" t="str">
        <f t="shared" si="1"/>
        <v/>
      </c>
      <c r="S577" s="71" t="str">
        <f t="shared" si="2"/>
        <v/>
      </c>
      <c r="T577" s="71">
        <f t="shared" si="3"/>
        <v>0</v>
      </c>
      <c r="U577" s="43"/>
      <c r="V577" s="486"/>
      <c r="W577" s="43"/>
      <c r="X577" s="43"/>
    </row>
    <row r="578" hidden="1">
      <c r="A578" s="51"/>
      <c r="B578" s="43"/>
      <c r="C578" s="51"/>
      <c r="D578" s="43"/>
      <c r="E578" s="43"/>
      <c r="F578" s="43"/>
      <c r="G578" s="43"/>
      <c r="H578" s="43"/>
      <c r="I578" s="43"/>
      <c r="J578" s="443"/>
      <c r="K578" s="43"/>
      <c r="L578" s="89"/>
      <c r="M578" s="89"/>
      <c r="O578" s="71">
        <f t="shared" si="21"/>
        <v>0</v>
      </c>
      <c r="P578" s="89">
        <f t="shared" si="22"/>
        <v>0</v>
      </c>
      <c r="Q578" s="491" t="str">
        <f>IF(ISBLANK(M578), "", VLOOKUP(A578&amp;" "&amp;B578, 'Info Tipo de Cambio y REM'!$A$24:$B$47, 2, FALSE))</f>
        <v/>
      </c>
      <c r="R578" s="109" t="str">
        <f t="shared" si="1"/>
        <v/>
      </c>
      <c r="S578" s="71" t="str">
        <f t="shared" si="2"/>
        <v/>
      </c>
      <c r="T578" s="71">
        <f t="shared" si="3"/>
        <v>0</v>
      </c>
      <c r="U578" s="43"/>
      <c r="V578" s="486"/>
      <c r="W578" s="43"/>
      <c r="X578" s="43"/>
    </row>
    <row r="579" hidden="1">
      <c r="A579" s="51"/>
      <c r="B579" s="43"/>
      <c r="C579" s="51"/>
      <c r="D579" s="43"/>
      <c r="E579" s="43"/>
      <c r="F579" s="43"/>
      <c r="G579" s="43"/>
      <c r="H579" s="43"/>
      <c r="I579" s="43"/>
      <c r="J579" s="443"/>
      <c r="K579" s="43"/>
      <c r="L579" s="89"/>
      <c r="M579" s="89"/>
      <c r="O579" s="71">
        <f t="shared" si="21"/>
        <v>0</v>
      </c>
      <c r="P579" s="89">
        <f t="shared" si="22"/>
        <v>0</v>
      </c>
      <c r="Q579" s="491" t="str">
        <f>IF(ISBLANK(M579), "", VLOOKUP(A579&amp;" "&amp;B579, 'Info Tipo de Cambio y REM'!$A$24:$B$47, 2, FALSE))</f>
        <v/>
      </c>
      <c r="R579" s="109" t="str">
        <f t="shared" si="1"/>
        <v/>
      </c>
      <c r="S579" s="71" t="str">
        <f t="shared" si="2"/>
        <v/>
      </c>
      <c r="T579" s="71">
        <f t="shared" si="3"/>
        <v>0</v>
      </c>
      <c r="U579" s="43"/>
      <c r="V579" s="486"/>
      <c r="W579" s="43"/>
      <c r="X579" s="43"/>
    </row>
    <row r="580" hidden="1">
      <c r="A580" s="51"/>
      <c r="B580" s="43"/>
      <c r="C580" s="51"/>
      <c r="D580" s="43"/>
      <c r="E580" s="43"/>
      <c r="F580" s="43"/>
      <c r="G580" s="43"/>
      <c r="H580" s="43"/>
      <c r="I580" s="43"/>
      <c r="J580" s="443"/>
      <c r="K580" s="43"/>
      <c r="L580" s="89"/>
      <c r="M580" s="89"/>
      <c r="O580" s="71">
        <f t="shared" si="21"/>
        <v>0</v>
      </c>
      <c r="P580" s="89">
        <f t="shared" si="22"/>
        <v>0</v>
      </c>
      <c r="Q580" s="491" t="str">
        <f>IF(ISBLANK(M580), "", VLOOKUP(A580&amp;" "&amp;B580, 'Info Tipo de Cambio y REM'!$A$24:$B$47, 2, FALSE))</f>
        <v/>
      </c>
      <c r="R580" s="109" t="str">
        <f t="shared" si="1"/>
        <v/>
      </c>
      <c r="S580" s="71" t="str">
        <f t="shared" si="2"/>
        <v/>
      </c>
      <c r="T580" s="71">
        <f t="shared" si="3"/>
        <v>0</v>
      </c>
      <c r="U580" s="43"/>
      <c r="V580" s="486"/>
      <c r="W580" s="43"/>
      <c r="X580" s="43"/>
    </row>
    <row r="581" hidden="1">
      <c r="A581" s="51"/>
      <c r="B581" s="43"/>
      <c r="C581" s="51"/>
      <c r="D581" s="43"/>
      <c r="E581" s="43"/>
      <c r="F581" s="43"/>
      <c r="G581" s="43"/>
      <c r="H581" s="43"/>
      <c r="I581" s="43"/>
      <c r="J581" s="443"/>
      <c r="K581" s="43"/>
      <c r="L581" s="89"/>
      <c r="M581" s="89"/>
      <c r="O581" s="71">
        <f t="shared" si="21"/>
        <v>0</v>
      </c>
      <c r="P581" s="89">
        <f t="shared" si="22"/>
        <v>0</v>
      </c>
      <c r="Q581" s="491" t="str">
        <f>IF(ISBLANK(M581), "", VLOOKUP(A581&amp;" "&amp;B581, 'Info Tipo de Cambio y REM'!$A$24:$B$47, 2, FALSE))</f>
        <v/>
      </c>
      <c r="R581" s="109" t="str">
        <f t="shared" si="1"/>
        <v/>
      </c>
      <c r="S581" s="71" t="str">
        <f t="shared" si="2"/>
        <v/>
      </c>
      <c r="T581" s="71">
        <f t="shared" si="3"/>
        <v>0</v>
      </c>
      <c r="U581" s="43"/>
      <c r="V581" s="486"/>
      <c r="W581" s="43"/>
      <c r="X581" s="43"/>
    </row>
    <row r="582" hidden="1">
      <c r="A582" s="51"/>
      <c r="B582" s="43"/>
      <c r="C582" s="51"/>
      <c r="D582" s="43"/>
      <c r="E582" s="43"/>
      <c r="F582" s="43"/>
      <c r="G582" s="43"/>
      <c r="H582" s="43"/>
      <c r="I582" s="43"/>
      <c r="J582" s="443"/>
      <c r="K582" s="43"/>
      <c r="L582" s="89"/>
      <c r="M582" s="89"/>
      <c r="O582" s="71">
        <f t="shared" si="21"/>
        <v>0</v>
      </c>
      <c r="P582" s="89">
        <f t="shared" si="22"/>
        <v>0</v>
      </c>
      <c r="Q582" s="491" t="str">
        <f>IF(ISBLANK(M582), "", VLOOKUP(A582&amp;" "&amp;B582, 'Info Tipo de Cambio y REM'!$A$24:$B$47, 2, FALSE))</f>
        <v/>
      </c>
      <c r="R582" s="109" t="str">
        <f t="shared" si="1"/>
        <v/>
      </c>
      <c r="S582" s="71" t="str">
        <f t="shared" si="2"/>
        <v/>
      </c>
      <c r="T582" s="71">
        <f t="shared" si="3"/>
        <v>0</v>
      </c>
      <c r="U582" s="43"/>
      <c r="V582" s="486"/>
      <c r="W582" s="43"/>
      <c r="X582" s="43"/>
    </row>
    <row r="583" hidden="1">
      <c r="A583" s="51"/>
      <c r="B583" s="43"/>
      <c r="C583" s="51"/>
      <c r="D583" s="43"/>
      <c r="E583" s="43"/>
      <c r="F583" s="43"/>
      <c r="G583" s="43"/>
      <c r="H583" s="43"/>
      <c r="I583" s="43"/>
      <c r="J583" s="443"/>
      <c r="K583" s="43"/>
      <c r="L583" s="89"/>
      <c r="M583" s="89"/>
      <c r="O583" s="71">
        <f t="shared" si="21"/>
        <v>0</v>
      </c>
      <c r="P583" s="89">
        <f t="shared" si="22"/>
        <v>0</v>
      </c>
      <c r="Q583" s="491" t="str">
        <f>IF(ISBLANK(M583), "", VLOOKUP(A583&amp;" "&amp;B583, 'Info Tipo de Cambio y REM'!$A$24:$B$47, 2, FALSE))</f>
        <v/>
      </c>
      <c r="R583" s="109" t="str">
        <f t="shared" si="1"/>
        <v/>
      </c>
      <c r="S583" s="71" t="str">
        <f t="shared" si="2"/>
        <v/>
      </c>
      <c r="T583" s="71">
        <f t="shared" si="3"/>
        <v>0</v>
      </c>
      <c r="U583" s="43"/>
      <c r="V583" s="486"/>
      <c r="W583" s="43"/>
      <c r="X583" s="43"/>
    </row>
    <row r="584" hidden="1">
      <c r="A584" s="51"/>
      <c r="B584" s="43"/>
      <c r="C584" s="51"/>
      <c r="D584" s="43"/>
      <c r="E584" s="43"/>
      <c r="F584" s="43"/>
      <c r="G584" s="43"/>
      <c r="H584" s="43"/>
      <c r="I584" s="43"/>
      <c r="J584" s="443"/>
      <c r="K584" s="43"/>
      <c r="L584" s="89"/>
      <c r="M584" s="89"/>
      <c r="O584" s="71">
        <f t="shared" si="21"/>
        <v>0</v>
      </c>
      <c r="P584" s="89">
        <f t="shared" si="22"/>
        <v>0</v>
      </c>
      <c r="Q584" s="491" t="str">
        <f>IF(ISBLANK(M584), "", VLOOKUP(A584&amp;" "&amp;B584, 'Info Tipo de Cambio y REM'!$A$24:$B$47, 2, FALSE))</f>
        <v/>
      </c>
      <c r="R584" s="109" t="str">
        <f t="shared" si="1"/>
        <v/>
      </c>
      <c r="S584" s="71" t="str">
        <f t="shared" si="2"/>
        <v/>
      </c>
      <c r="T584" s="71">
        <f t="shared" si="3"/>
        <v>0</v>
      </c>
      <c r="U584" s="43"/>
      <c r="V584" s="486"/>
      <c r="W584" s="43"/>
      <c r="X584" s="43"/>
    </row>
    <row r="585" hidden="1">
      <c r="A585" s="51"/>
      <c r="B585" s="43"/>
      <c r="C585" s="51"/>
      <c r="D585" s="43"/>
      <c r="E585" s="43"/>
      <c r="F585" s="43"/>
      <c r="G585" s="43"/>
      <c r="H585" s="43"/>
      <c r="I585" s="43"/>
      <c r="J585" s="443"/>
      <c r="K585" s="43"/>
      <c r="L585" s="89"/>
      <c r="M585" s="89"/>
      <c r="O585" s="71">
        <f t="shared" si="21"/>
        <v>0</v>
      </c>
      <c r="P585" s="89">
        <f t="shared" si="22"/>
        <v>0</v>
      </c>
      <c r="Q585" s="491" t="str">
        <f>IF(ISBLANK(M585), "", VLOOKUP(A585&amp;" "&amp;B585, 'Info Tipo de Cambio y REM'!$A$24:$B$47, 2, FALSE))</f>
        <v/>
      </c>
      <c r="R585" s="109" t="str">
        <f t="shared" si="1"/>
        <v/>
      </c>
      <c r="S585" s="71" t="str">
        <f t="shared" si="2"/>
        <v/>
      </c>
      <c r="T585" s="71">
        <f t="shared" si="3"/>
        <v>0</v>
      </c>
      <c r="U585" s="43"/>
      <c r="V585" s="486"/>
      <c r="W585" s="43"/>
      <c r="X585" s="43"/>
    </row>
    <row r="586" hidden="1">
      <c r="A586" s="51"/>
      <c r="B586" s="43"/>
      <c r="C586" s="51"/>
      <c r="D586" s="43"/>
      <c r="E586" s="43"/>
      <c r="F586" s="43"/>
      <c r="G586" s="43"/>
      <c r="H586" s="43"/>
      <c r="I586" s="43"/>
      <c r="J586" s="443"/>
      <c r="K586" s="43"/>
      <c r="L586" s="89"/>
      <c r="M586" s="89"/>
      <c r="O586" s="71">
        <f t="shared" si="21"/>
        <v>0</v>
      </c>
      <c r="P586" s="89">
        <f t="shared" si="22"/>
        <v>0</v>
      </c>
      <c r="Q586" s="491" t="str">
        <f>IF(ISBLANK(M586), "", VLOOKUP(A586&amp;" "&amp;B586, 'Info Tipo de Cambio y REM'!$A$24:$B$47, 2, FALSE))</f>
        <v/>
      </c>
      <c r="R586" s="109" t="str">
        <f t="shared" si="1"/>
        <v/>
      </c>
      <c r="S586" s="71" t="str">
        <f t="shared" si="2"/>
        <v/>
      </c>
      <c r="T586" s="71">
        <f t="shared" si="3"/>
        <v>0</v>
      </c>
      <c r="U586" s="43"/>
      <c r="V586" s="486"/>
      <c r="W586" s="43"/>
      <c r="X586" s="43"/>
    </row>
    <row r="587" hidden="1">
      <c r="A587" s="51"/>
      <c r="B587" s="43"/>
      <c r="C587" s="51"/>
      <c r="D587" s="43"/>
      <c r="E587" s="43"/>
      <c r="F587" s="43"/>
      <c r="G587" s="43"/>
      <c r="H587" s="43"/>
      <c r="I587" s="43"/>
      <c r="J587" s="443"/>
      <c r="K587" s="43"/>
      <c r="L587" s="89"/>
      <c r="M587" s="89"/>
      <c r="O587" s="71">
        <f t="shared" si="21"/>
        <v>0</v>
      </c>
      <c r="P587" s="89">
        <f t="shared" si="22"/>
        <v>0</v>
      </c>
      <c r="Q587" s="491" t="str">
        <f>IF(ISBLANK(M587), "", VLOOKUP(A587&amp;" "&amp;B587, 'Info Tipo de Cambio y REM'!$A$24:$B$47, 2, FALSE))</f>
        <v/>
      </c>
      <c r="R587" s="109" t="str">
        <f t="shared" si="1"/>
        <v/>
      </c>
      <c r="S587" s="71" t="str">
        <f t="shared" si="2"/>
        <v/>
      </c>
      <c r="T587" s="71">
        <f t="shared" si="3"/>
        <v>0</v>
      </c>
      <c r="U587" s="43"/>
      <c r="V587" s="486"/>
      <c r="W587" s="43"/>
      <c r="X587" s="43"/>
    </row>
    <row r="588" hidden="1">
      <c r="A588" s="51"/>
      <c r="B588" s="43"/>
      <c r="C588" s="51"/>
      <c r="D588" s="43"/>
      <c r="E588" s="43"/>
      <c r="F588" s="43"/>
      <c r="G588" s="43"/>
      <c r="H588" s="43"/>
      <c r="I588" s="43"/>
      <c r="J588" s="443"/>
      <c r="K588" s="43"/>
      <c r="L588" s="89"/>
      <c r="M588" s="89"/>
      <c r="O588" s="71">
        <f t="shared" si="21"/>
        <v>0</v>
      </c>
      <c r="P588" s="89">
        <f t="shared" si="22"/>
        <v>0</v>
      </c>
      <c r="Q588" s="491" t="str">
        <f>IF(ISBLANK(M588), "", VLOOKUP(A588&amp;" "&amp;B588, 'Info Tipo de Cambio y REM'!$A$24:$B$47, 2, FALSE))</f>
        <v/>
      </c>
      <c r="R588" s="109" t="str">
        <f t="shared" si="1"/>
        <v/>
      </c>
      <c r="S588" s="71" t="str">
        <f t="shared" si="2"/>
        <v/>
      </c>
      <c r="T588" s="71">
        <f t="shared" si="3"/>
        <v>0</v>
      </c>
      <c r="U588" s="43"/>
      <c r="V588" s="486"/>
      <c r="W588" s="43"/>
      <c r="X588" s="43"/>
    </row>
    <row r="589" hidden="1">
      <c r="A589" s="51"/>
      <c r="B589" s="43"/>
      <c r="C589" s="51"/>
      <c r="D589" s="43"/>
      <c r="E589" s="43"/>
      <c r="F589" s="43"/>
      <c r="G589" s="43"/>
      <c r="H589" s="43"/>
      <c r="I589" s="43"/>
      <c r="J589" s="443"/>
      <c r="K589" s="43"/>
      <c r="L589" s="89"/>
      <c r="M589" s="89"/>
      <c r="O589" s="71">
        <f t="shared" si="21"/>
        <v>0</v>
      </c>
      <c r="P589" s="89">
        <f t="shared" si="22"/>
        <v>0</v>
      </c>
      <c r="Q589" s="491" t="str">
        <f>IF(ISBLANK(M589), "", VLOOKUP(A589&amp;" "&amp;B589, 'Info Tipo de Cambio y REM'!$A$24:$B$47, 2, FALSE))</f>
        <v/>
      </c>
      <c r="R589" s="109" t="str">
        <f t="shared" si="1"/>
        <v/>
      </c>
      <c r="S589" s="71" t="str">
        <f t="shared" si="2"/>
        <v/>
      </c>
      <c r="T589" s="71">
        <f t="shared" si="3"/>
        <v>0</v>
      </c>
      <c r="U589" s="43"/>
      <c r="V589" s="486"/>
      <c r="W589" s="43"/>
      <c r="X589" s="43"/>
    </row>
    <row r="590" hidden="1">
      <c r="A590" s="51"/>
      <c r="B590" s="43"/>
      <c r="C590" s="51"/>
      <c r="D590" s="43"/>
      <c r="E590" s="43"/>
      <c r="F590" s="43"/>
      <c r="G590" s="43"/>
      <c r="H590" s="43"/>
      <c r="I590" s="43"/>
      <c r="J590" s="443"/>
      <c r="K590" s="43"/>
      <c r="L590" s="89"/>
      <c r="M590" s="89"/>
      <c r="O590" s="71">
        <f t="shared" si="21"/>
        <v>0</v>
      </c>
      <c r="P590" s="89">
        <f t="shared" si="22"/>
        <v>0</v>
      </c>
      <c r="Q590" s="491" t="str">
        <f>IF(ISBLANK(M590), "", VLOOKUP(A590&amp;" "&amp;B590, 'Info Tipo de Cambio y REM'!$A$24:$B$47, 2, FALSE))</f>
        <v/>
      </c>
      <c r="R590" s="109" t="str">
        <f t="shared" si="1"/>
        <v/>
      </c>
      <c r="S590" s="71" t="str">
        <f t="shared" si="2"/>
        <v/>
      </c>
      <c r="T590" s="71">
        <f t="shared" si="3"/>
        <v>0</v>
      </c>
      <c r="U590" s="43"/>
      <c r="V590" s="486"/>
      <c r="W590" s="43"/>
      <c r="X590" s="43"/>
    </row>
    <row r="591" hidden="1">
      <c r="A591" s="51"/>
      <c r="B591" s="43"/>
      <c r="C591" s="51"/>
      <c r="D591" s="43"/>
      <c r="E591" s="43"/>
      <c r="F591" s="43"/>
      <c r="G591" s="43"/>
      <c r="H591" s="43"/>
      <c r="I591" s="43"/>
      <c r="J591" s="443"/>
      <c r="K591" s="43"/>
      <c r="L591" s="89"/>
      <c r="M591" s="89"/>
      <c r="O591" s="71">
        <f t="shared" si="21"/>
        <v>0</v>
      </c>
      <c r="P591" s="89">
        <f t="shared" si="22"/>
        <v>0</v>
      </c>
      <c r="Q591" s="491" t="str">
        <f>IF(ISBLANK(M591), "", VLOOKUP(A591&amp;" "&amp;B591, 'Info Tipo de Cambio y REM'!$A$24:$B$47, 2, FALSE))</f>
        <v/>
      </c>
      <c r="R591" s="109" t="str">
        <f t="shared" si="1"/>
        <v/>
      </c>
      <c r="S591" s="71" t="str">
        <f t="shared" si="2"/>
        <v/>
      </c>
      <c r="T591" s="71">
        <f t="shared" si="3"/>
        <v>0</v>
      </c>
      <c r="U591" s="43"/>
      <c r="V591" s="486"/>
      <c r="W591" s="43"/>
      <c r="X591" s="43"/>
    </row>
    <row r="592" hidden="1">
      <c r="A592" s="51"/>
      <c r="B592" s="43"/>
      <c r="C592" s="51"/>
      <c r="D592" s="43"/>
      <c r="E592" s="43"/>
      <c r="F592" s="43"/>
      <c r="G592" s="43"/>
      <c r="H592" s="43"/>
      <c r="I592" s="43"/>
      <c r="J592" s="443"/>
      <c r="K592" s="43"/>
      <c r="L592" s="89"/>
      <c r="M592" s="89"/>
      <c r="O592" s="71">
        <f t="shared" si="21"/>
        <v>0</v>
      </c>
      <c r="P592" s="89">
        <f t="shared" si="22"/>
        <v>0</v>
      </c>
      <c r="Q592" s="491" t="str">
        <f>IF(ISBLANK(M592), "", VLOOKUP(A592&amp;" "&amp;B592, 'Info Tipo de Cambio y REM'!$A$24:$B$47, 2, FALSE))</f>
        <v/>
      </c>
      <c r="R592" s="109" t="str">
        <f t="shared" si="1"/>
        <v/>
      </c>
      <c r="S592" s="71" t="str">
        <f t="shared" si="2"/>
        <v/>
      </c>
      <c r="T592" s="71">
        <f t="shared" si="3"/>
        <v>0</v>
      </c>
      <c r="U592" s="43"/>
      <c r="V592" s="486"/>
      <c r="W592" s="43"/>
      <c r="X592" s="43"/>
    </row>
    <row r="593" hidden="1">
      <c r="A593" s="51"/>
      <c r="B593" s="43"/>
      <c r="C593" s="51"/>
      <c r="D593" s="43"/>
      <c r="E593" s="43"/>
      <c r="F593" s="43"/>
      <c r="G593" s="43"/>
      <c r="H593" s="43"/>
      <c r="I593" s="43"/>
      <c r="J593" s="443"/>
      <c r="K593" s="43"/>
      <c r="L593" s="89"/>
      <c r="M593" s="89"/>
      <c r="O593" s="71">
        <f t="shared" si="21"/>
        <v>0</v>
      </c>
      <c r="P593" s="89">
        <f t="shared" si="22"/>
        <v>0</v>
      </c>
      <c r="Q593" s="491" t="str">
        <f>IF(ISBLANK(M593), "", VLOOKUP(A593&amp;" "&amp;B593, 'Info Tipo de Cambio y REM'!$A$24:$B$47, 2, FALSE))</f>
        <v/>
      </c>
      <c r="R593" s="109" t="str">
        <f t="shared" si="1"/>
        <v/>
      </c>
      <c r="S593" s="71" t="str">
        <f t="shared" si="2"/>
        <v/>
      </c>
      <c r="T593" s="71">
        <f t="shared" si="3"/>
        <v>0</v>
      </c>
      <c r="U593" s="43"/>
      <c r="V593" s="486"/>
      <c r="W593" s="43"/>
      <c r="X593" s="43"/>
    </row>
    <row r="594" hidden="1">
      <c r="A594" s="51"/>
      <c r="B594" s="43"/>
      <c r="C594" s="51"/>
      <c r="D594" s="43"/>
      <c r="E594" s="43"/>
      <c r="F594" s="43"/>
      <c r="G594" s="43"/>
      <c r="H594" s="43"/>
      <c r="I594" s="43"/>
      <c r="J594" s="443"/>
      <c r="K594" s="43"/>
      <c r="L594" s="89"/>
      <c r="M594" s="89"/>
      <c r="O594" s="71">
        <f t="shared" si="21"/>
        <v>0</v>
      </c>
      <c r="P594" s="89">
        <f t="shared" si="22"/>
        <v>0</v>
      </c>
      <c r="Q594" s="491" t="str">
        <f>IF(ISBLANK(M594), "", VLOOKUP(A594&amp;" "&amp;B594, 'Info Tipo de Cambio y REM'!$A$24:$B$47, 2, FALSE))</f>
        <v/>
      </c>
      <c r="R594" s="109" t="str">
        <f t="shared" si="1"/>
        <v/>
      </c>
      <c r="S594" s="71" t="str">
        <f t="shared" si="2"/>
        <v/>
      </c>
      <c r="T594" s="71">
        <f t="shared" si="3"/>
        <v>0</v>
      </c>
      <c r="U594" s="43"/>
      <c r="V594" s="486"/>
      <c r="W594" s="43"/>
      <c r="X594" s="43"/>
    </row>
    <row r="595" hidden="1">
      <c r="A595" s="51"/>
      <c r="B595" s="43"/>
      <c r="C595" s="51"/>
      <c r="D595" s="43"/>
      <c r="E595" s="43"/>
      <c r="F595" s="43"/>
      <c r="G595" s="43"/>
      <c r="H595" s="43"/>
      <c r="I595" s="43"/>
      <c r="J595" s="443"/>
      <c r="K595" s="43"/>
      <c r="L595" s="89"/>
      <c r="M595" s="89"/>
      <c r="O595" s="71">
        <f t="shared" si="21"/>
        <v>0</v>
      </c>
      <c r="P595" s="89">
        <f t="shared" si="22"/>
        <v>0</v>
      </c>
      <c r="Q595" s="491" t="str">
        <f>IF(ISBLANK(M595), "", VLOOKUP(A595&amp;" "&amp;B595, 'Info Tipo de Cambio y REM'!$A$24:$B$47, 2, FALSE))</f>
        <v/>
      </c>
      <c r="R595" s="109" t="str">
        <f t="shared" si="1"/>
        <v/>
      </c>
      <c r="S595" s="71" t="str">
        <f t="shared" si="2"/>
        <v/>
      </c>
      <c r="T595" s="71">
        <f t="shared" si="3"/>
        <v>0</v>
      </c>
      <c r="U595" s="43"/>
      <c r="V595" s="486"/>
      <c r="W595" s="43"/>
      <c r="X595" s="43"/>
    </row>
    <row r="596" hidden="1">
      <c r="A596" s="51"/>
      <c r="B596" s="43"/>
      <c r="C596" s="51"/>
      <c r="D596" s="43"/>
      <c r="E596" s="43"/>
      <c r="F596" s="43"/>
      <c r="G596" s="43"/>
      <c r="H596" s="43"/>
      <c r="I596" s="43"/>
      <c r="J596" s="443"/>
      <c r="K596" s="43"/>
      <c r="L596" s="89"/>
      <c r="M596" s="89"/>
      <c r="O596" s="71">
        <f t="shared" si="21"/>
        <v>0</v>
      </c>
      <c r="P596" s="89">
        <f t="shared" si="22"/>
        <v>0</v>
      </c>
      <c r="Q596" s="491" t="str">
        <f>IF(ISBLANK(M596), "", VLOOKUP(A596&amp;" "&amp;B596, 'Info Tipo de Cambio y REM'!$A$24:$B$47, 2, FALSE))</f>
        <v/>
      </c>
      <c r="R596" s="109" t="str">
        <f t="shared" si="1"/>
        <v/>
      </c>
      <c r="S596" s="71" t="str">
        <f t="shared" si="2"/>
        <v/>
      </c>
      <c r="T596" s="71">
        <f t="shared" si="3"/>
        <v>0</v>
      </c>
      <c r="U596" s="43"/>
      <c r="V596" s="486"/>
      <c r="W596" s="43"/>
      <c r="X596" s="43"/>
    </row>
    <row r="597" hidden="1">
      <c r="A597" s="51"/>
      <c r="B597" s="43"/>
      <c r="C597" s="51"/>
      <c r="D597" s="43"/>
      <c r="E597" s="43"/>
      <c r="F597" s="43"/>
      <c r="G597" s="43"/>
      <c r="H597" s="43"/>
      <c r="I597" s="43"/>
      <c r="J597" s="443"/>
      <c r="K597" s="43"/>
      <c r="L597" s="89"/>
      <c r="M597" s="89"/>
      <c r="O597" s="71">
        <f t="shared" si="21"/>
        <v>0</v>
      </c>
      <c r="P597" s="89">
        <f t="shared" si="22"/>
        <v>0</v>
      </c>
      <c r="Q597" s="491" t="str">
        <f>IF(ISBLANK(M597), "", VLOOKUP(A597&amp;" "&amp;B597, 'Info Tipo de Cambio y REM'!$A$24:$B$47, 2, FALSE))</f>
        <v/>
      </c>
      <c r="R597" s="109" t="str">
        <f t="shared" si="1"/>
        <v/>
      </c>
      <c r="S597" s="71" t="str">
        <f t="shared" si="2"/>
        <v/>
      </c>
      <c r="T597" s="71">
        <f t="shared" si="3"/>
        <v>0</v>
      </c>
      <c r="U597" s="43"/>
      <c r="V597" s="486"/>
      <c r="W597" s="43"/>
      <c r="X597" s="43"/>
    </row>
    <row r="598" hidden="1">
      <c r="A598" s="51"/>
      <c r="B598" s="43"/>
      <c r="C598" s="51"/>
      <c r="D598" s="43"/>
      <c r="E598" s="43"/>
      <c r="F598" s="43"/>
      <c r="G598" s="43"/>
      <c r="H598" s="43"/>
      <c r="I598" s="43"/>
      <c r="J598" s="443"/>
      <c r="K598" s="43"/>
      <c r="L598" s="89"/>
      <c r="M598" s="89"/>
      <c r="O598" s="71">
        <f t="shared" si="21"/>
        <v>0</v>
      </c>
      <c r="P598" s="89">
        <f t="shared" si="22"/>
        <v>0</v>
      </c>
      <c r="Q598" s="491" t="str">
        <f>IF(ISBLANK(M598), "", VLOOKUP(A598&amp;" "&amp;B598, 'Info Tipo de Cambio y REM'!$A$24:$B$47, 2, FALSE))</f>
        <v/>
      </c>
      <c r="R598" s="109" t="str">
        <f t="shared" si="1"/>
        <v/>
      </c>
      <c r="S598" s="71" t="str">
        <f t="shared" si="2"/>
        <v/>
      </c>
      <c r="T598" s="71">
        <f t="shared" si="3"/>
        <v>0</v>
      </c>
      <c r="U598" s="43"/>
      <c r="V598" s="486"/>
      <c r="W598" s="43"/>
      <c r="X598" s="43"/>
    </row>
    <row r="599" hidden="1">
      <c r="A599" s="51"/>
      <c r="B599" s="43"/>
      <c r="C599" s="51"/>
      <c r="D599" s="43"/>
      <c r="E599" s="43"/>
      <c r="F599" s="43"/>
      <c r="G599" s="43"/>
      <c r="H599" s="43"/>
      <c r="I599" s="43"/>
      <c r="J599" s="443"/>
      <c r="K599" s="43"/>
      <c r="L599" s="89"/>
      <c r="M599" s="89"/>
      <c r="O599" s="71">
        <f t="shared" si="21"/>
        <v>0</v>
      </c>
      <c r="P599" s="89">
        <f t="shared" si="22"/>
        <v>0</v>
      </c>
      <c r="Q599" s="491" t="str">
        <f>IF(ISBLANK(M599), "", VLOOKUP(A599&amp;" "&amp;B599, 'Info Tipo de Cambio y REM'!$A$24:$B$47, 2, FALSE))</f>
        <v/>
      </c>
      <c r="R599" s="109" t="str">
        <f t="shared" si="1"/>
        <v/>
      </c>
      <c r="S599" s="71" t="str">
        <f t="shared" si="2"/>
        <v/>
      </c>
      <c r="T599" s="71">
        <f t="shared" si="3"/>
        <v>0</v>
      </c>
      <c r="U599" s="43"/>
      <c r="V599" s="486"/>
      <c r="W599" s="43"/>
      <c r="X599" s="43"/>
    </row>
    <row r="600" hidden="1">
      <c r="A600" s="51"/>
      <c r="B600" s="43"/>
      <c r="C600" s="51"/>
      <c r="D600" s="43"/>
      <c r="E600" s="43"/>
      <c r="F600" s="43"/>
      <c r="G600" s="43"/>
      <c r="H600" s="43"/>
      <c r="I600" s="43"/>
      <c r="J600" s="443"/>
      <c r="K600" s="43"/>
      <c r="L600" s="89"/>
      <c r="M600" s="89"/>
      <c r="O600" s="71">
        <f t="shared" si="21"/>
        <v>0</v>
      </c>
      <c r="P600" s="89">
        <f t="shared" si="22"/>
        <v>0</v>
      </c>
      <c r="Q600" s="491" t="str">
        <f>IF(ISBLANK(M600), "", VLOOKUP(A600&amp;" "&amp;B600, 'Info Tipo de Cambio y REM'!$A$24:$B$47, 2, FALSE))</f>
        <v/>
      </c>
      <c r="R600" s="109" t="str">
        <f t="shared" si="1"/>
        <v/>
      </c>
      <c r="S600" s="71" t="str">
        <f t="shared" si="2"/>
        <v/>
      </c>
      <c r="T600" s="71">
        <f t="shared" si="3"/>
        <v>0</v>
      </c>
      <c r="U600" s="43"/>
      <c r="V600" s="486"/>
      <c r="W600" s="43"/>
      <c r="X600" s="43"/>
    </row>
    <row r="601" hidden="1">
      <c r="A601" s="51"/>
      <c r="B601" s="43"/>
      <c r="C601" s="51"/>
      <c r="D601" s="43"/>
      <c r="E601" s="43"/>
      <c r="F601" s="43"/>
      <c r="G601" s="43"/>
      <c r="H601" s="43"/>
      <c r="I601" s="43"/>
      <c r="J601" s="443"/>
      <c r="K601" s="43"/>
      <c r="L601" s="89"/>
      <c r="M601" s="89"/>
      <c r="O601" s="71">
        <f t="shared" si="21"/>
        <v>0</v>
      </c>
      <c r="P601" s="89">
        <f t="shared" si="22"/>
        <v>0</v>
      </c>
      <c r="Q601" s="491" t="str">
        <f>IF(ISBLANK(M601), "", VLOOKUP(A601&amp;" "&amp;B601, 'Info Tipo de Cambio y REM'!$A$24:$B$47, 2, FALSE))</f>
        <v/>
      </c>
      <c r="R601" s="109" t="str">
        <f t="shared" si="1"/>
        <v/>
      </c>
      <c r="S601" s="71" t="str">
        <f t="shared" si="2"/>
        <v/>
      </c>
      <c r="T601" s="71">
        <f t="shared" si="3"/>
        <v>0</v>
      </c>
      <c r="U601" s="43"/>
      <c r="V601" s="486"/>
      <c r="W601" s="43"/>
      <c r="X601" s="43"/>
    </row>
    <row r="602" hidden="1">
      <c r="A602" s="51"/>
      <c r="B602" s="43"/>
      <c r="C602" s="51"/>
      <c r="D602" s="43"/>
      <c r="E602" s="43"/>
      <c r="F602" s="43"/>
      <c r="G602" s="43"/>
      <c r="H602" s="43"/>
      <c r="I602" s="43"/>
      <c r="J602" s="443"/>
      <c r="K602" s="43"/>
      <c r="L602" s="89"/>
      <c r="M602" s="89"/>
      <c r="O602" s="71">
        <f t="shared" si="21"/>
        <v>0</v>
      </c>
      <c r="P602" s="89">
        <f t="shared" si="22"/>
        <v>0</v>
      </c>
      <c r="Q602" s="491" t="str">
        <f>IF(ISBLANK(M602), "", VLOOKUP(A602&amp;" "&amp;B602, 'Info Tipo de Cambio y REM'!$A$24:$B$47, 2, FALSE))</f>
        <v/>
      </c>
      <c r="R602" s="109" t="str">
        <f t="shared" si="1"/>
        <v/>
      </c>
      <c r="S602" s="71" t="str">
        <f t="shared" si="2"/>
        <v/>
      </c>
      <c r="T602" s="71">
        <f t="shared" si="3"/>
        <v>0</v>
      </c>
      <c r="U602" s="43"/>
      <c r="V602" s="486"/>
      <c r="W602" s="43"/>
      <c r="X602" s="43"/>
    </row>
    <row r="603" hidden="1">
      <c r="A603" s="51"/>
      <c r="B603" s="43"/>
      <c r="C603" s="51"/>
      <c r="D603" s="43"/>
      <c r="E603" s="43"/>
      <c r="F603" s="43"/>
      <c r="G603" s="43"/>
      <c r="H603" s="43"/>
      <c r="I603" s="43"/>
      <c r="J603" s="443"/>
      <c r="K603" s="43"/>
      <c r="L603" s="89"/>
      <c r="M603" s="89"/>
      <c r="O603" s="71">
        <f t="shared" si="21"/>
        <v>0</v>
      </c>
      <c r="P603" s="89">
        <f t="shared" si="22"/>
        <v>0</v>
      </c>
      <c r="Q603" s="491" t="str">
        <f>IF(ISBLANK(M603), "", VLOOKUP(A603&amp;" "&amp;B603, 'Info Tipo de Cambio y REM'!$A$24:$B$47, 2, FALSE))</f>
        <v/>
      </c>
      <c r="R603" s="109" t="str">
        <f t="shared" si="1"/>
        <v/>
      </c>
      <c r="S603" s="71" t="str">
        <f t="shared" si="2"/>
        <v/>
      </c>
      <c r="T603" s="71">
        <f t="shared" si="3"/>
        <v>0</v>
      </c>
      <c r="U603" s="43"/>
      <c r="V603" s="486"/>
      <c r="W603" s="43"/>
      <c r="X603" s="43"/>
    </row>
    <row r="604" hidden="1">
      <c r="A604" s="51"/>
      <c r="B604" s="43"/>
      <c r="C604" s="51"/>
      <c r="D604" s="43"/>
      <c r="E604" s="43"/>
      <c r="F604" s="43"/>
      <c r="G604" s="43"/>
      <c r="H604" s="43"/>
      <c r="I604" s="43"/>
      <c r="J604" s="443"/>
      <c r="K604" s="43"/>
      <c r="L604" s="89"/>
      <c r="M604" s="89"/>
      <c r="O604" s="71">
        <f t="shared" si="21"/>
        <v>0</v>
      </c>
      <c r="P604" s="89">
        <f t="shared" si="22"/>
        <v>0</v>
      </c>
      <c r="Q604" s="491" t="str">
        <f>IF(ISBLANK(M604), "", VLOOKUP(A604&amp;" "&amp;B604, 'Info Tipo de Cambio y REM'!$A$24:$B$47, 2, FALSE))</f>
        <v/>
      </c>
      <c r="R604" s="109" t="str">
        <f t="shared" si="1"/>
        <v/>
      </c>
      <c r="S604" s="71" t="str">
        <f t="shared" si="2"/>
        <v/>
      </c>
      <c r="T604" s="71">
        <f t="shared" si="3"/>
        <v>0</v>
      </c>
      <c r="U604" s="43"/>
      <c r="V604" s="486"/>
      <c r="W604" s="43"/>
      <c r="X604" s="43"/>
    </row>
    <row r="605" hidden="1">
      <c r="A605" s="51"/>
      <c r="B605" s="43"/>
      <c r="C605" s="51"/>
      <c r="D605" s="43"/>
      <c r="E605" s="43"/>
      <c r="F605" s="43"/>
      <c r="G605" s="43"/>
      <c r="H605" s="43"/>
      <c r="I605" s="43"/>
      <c r="J605" s="443"/>
      <c r="K605" s="43"/>
      <c r="L605" s="89"/>
      <c r="M605" s="89"/>
      <c r="O605" s="71">
        <f t="shared" si="21"/>
        <v>0</v>
      </c>
      <c r="P605" s="89">
        <f t="shared" si="22"/>
        <v>0</v>
      </c>
      <c r="Q605" s="491" t="str">
        <f>IF(ISBLANK(M605), "", VLOOKUP(A605&amp;" "&amp;B605, 'Info Tipo de Cambio y REM'!$A$24:$B$47, 2, FALSE))</f>
        <v/>
      </c>
      <c r="R605" s="109" t="str">
        <f t="shared" si="1"/>
        <v/>
      </c>
      <c r="S605" s="71" t="str">
        <f t="shared" si="2"/>
        <v/>
      </c>
      <c r="T605" s="71">
        <f t="shared" si="3"/>
        <v>0</v>
      </c>
      <c r="U605" s="43"/>
      <c r="V605" s="486"/>
      <c r="W605" s="43"/>
      <c r="X605" s="43"/>
    </row>
    <row r="606" hidden="1">
      <c r="A606" s="51"/>
      <c r="B606" s="43"/>
      <c r="C606" s="51"/>
      <c r="D606" s="43"/>
      <c r="E606" s="43"/>
      <c r="F606" s="43"/>
      <c r="G606" s="43"/>
      <c r="H606" s="43"/>
      <c r="I606" s="43"/>
      <c r="J606" s="443"/>
      <c r="K606" s="43"/>
      <c r="L606" s="89"/>
      <c r="M606" s="89"/>
      <c r="O606" s="71">
        <f t="shared" si="21"/>
        <v>0</v>
      </c>
      <c r="P606" s="89">
        <f t="shared" si="22"/>
        <v>0</v>
      </c>
      <c r="Q606" s="491" t="str">
        <f>IF(ISBLANK(M606), "", VLOOKUP(A606&amp;" "&amp;B606, 'Info Tipo de Cambio y REM'!$A$24:$B$47, 2, FALSE))</f>
        <v/>
      </c>
      <c r="R606" s="109" t="str">
        <f t="shared" si="1"/>
        <v/>
      </c>
      <c r="S606" s="71" t="str">
        <f t="shared" si="2"/>
        <v/>
      </c>
      <c r="T606" s="71">
        <f t="shared" si="3"/>
        <v>0</v>
      </c>
      <c r="U606" s="43"/>
      <c r="V606" s="486"/>
      <c r="W606" s="43"/>
      <c r="X606" s="43"/>
    </row>
    <row r="607" hidden="1">
      <c r="A607" s="51"/>
      <c r="B607" s="43"/>
      <c r="C607" s="51"/>
      <c r="D607" s="43"/>
      <c r="E607" s="43"/>
      <c r="F607" s="43"/>
      <c r="G607" s="43"/>
      <c r="H607" s="43"/>
      <c r="I607" s="43"/>
      <c r="J607" s="443"/>
      <c r="K607" s="43"/>
      <c r="L607" s="89"/>
      <c r="M607" s="89"/>
      <c r="O607" s="71">
        <f t="shared" si="21"/>
        <v>0</v>
      </c>
      <c r="P607" s="89">
        <f t="shared" si="22"/>
        <v>0</v>
      </c>
      <c r="Q607" s="491" t="str">
        <f>IF(ISBLANK(M607), "", VLOOKUP(A607&amp;" "&amp;B607, 'Info Tipo de Cambio y REM'!$A$24:$B$47, 2, FALSE))</f>
        <v/>
      </c>
      <c r="R607" s="109" t="str">
        <f t="shared" si="1"/>
        <v/>
      </c>
      <c r="S607" s="71" t="str">
        <f t="shared" si="2"/>
        <v/>
      </c>
      <c r="T607" s="71">
        <f t="shared" si="3"/>
        <v>0</v>
      </c>
      <c r="U607" s="43"/>
      <c r="V607" s="486"/>
      <c r="W607" s="43"/>
      <c r="X607" s="43"/>
    </row>
    <row r="608" hidden="1">
      <c r="A608" s="51"/>
      <c r="B608" s="43"/>
      <c r="C608" s="51"/>
      <c r="D608" s="43"/>
      <c r="E608" s="43"/>
      <c r="F608" s="43"/>
      <c r="G608" s="43"/>
      <c r="H608" s="43"/>
      <c r="I608" s="43"/>
      <c r="J608" s="443"/>
      <c r="K608" s="43"/>
      <c r="L608" s="89"/>
      <c r="M608" s="89"/>
      <c r="O608" s="71">
        <f t="shared" si="21"/>
        <v>0</v>
      </c>
      <c r="P608" s="89">
        <f t="shared" si="22"/>
        <v>0</v>
      </c>
      <c r="Q608" s="491" t="str">
        <f>IF(ISBLANK(M608), "", VLOOKUP(A608&amp;" "&amp;B608, 'Info Tipo de Cambio y REM'!$A$24:$B$47, 2, FALSE))</f>
        <v/>
      </c>
      <c r="R608" s="109" t="str">
        <f t="shared" si="1"/>
        <v/>
      </c>
      <c r="S608" s="71" t="str">
        <f t="shared" si="2"/>
        <v/>
      </c>
      <c r="T608" s="71">
        <f t="shared" si="3"/>
        <v>0</v>
      </c>
      <c r="U608" s="43"/>
      <c r="V608" s="486"/>
      <c r="W608" s="43"/>
      <c r="X608" s="43"/>
    </row>
    <row r="609" hidden="1">
      <c r="A609" s="51"/>
      <c r="B609" s="43"/>
      <c r="C609" s="51"/>
      <c r="D609" s="43"/>
      <c r="E609" s="43"/>
      <c r="F609" s="43"/>
      <c r="G609" s="43"/>
      <c r="H609" s="43"/>
      <c r="I609" s="43"/>
      <c r="J609" s="443"/>
      <c r="K609" s="43"/>
      <c r="L609" s="89"/>
      <c r="M609" s="89"/>
      <c r="O609" s="71">
        <f t="shared" si="21"/>
        <v>0</v>
      </c>
      <c r="P609" s="89">
        <f t="shared" si="22"/>
        <v>0</v>
      </c>
      <c r="Q609" s="491" t="str">
        <f>IF(ISBLANK(M609), "", VLOOKUP(A609&amp;" "&amp;B609, 'Info Tipo de Cambio y REM'!$A$24:$B$47, 2, FALSE))</f>
        <v/>
      </c>
      <c r="R609" s="109" t="str">
        <f t="shared" si="1"/>
        <v/>
      </c>
      <c r="S609" s="71" t="str">
        <f t="shared" si="2"/>
        <v/>
      </c>
      <c r="T609" s="71">
        <f t="shared" si="3"/>
        <v>0</v>
      </c>
      <c r="U609" s="43"/>
      <c r="V609" s="486"/>
      <c r="W609" s="43"/>
      <c r="X609" s="43"/>
    </row>
    <row r="610" hidden="1">
      <c r="A610" s="51"/>
      <c r="B610" s="43"/>
      <c r="C610" s="51"/>
      <c r="D610" s="43"/>
      <c r="E610" s="43"/>
      <c r="F610" s="43"/>
      <c r="G610" s="43"/>
      <c r="H610" s="43"/>
      <c r="I610" s="43"/>
      <c r="J610" s="443"/>
      <c r="K610" s="43"/>
      <c r="L610" s="89"/>
      <c r="M610" s="89"/>
      <c r="O610" s="71">
        <f t="shared" si="21"/>
        <v>0</v>
      </c>
      <c r="P610" s="89">
        <f t="shared" si="22"/>
        <v>0</v>
      </c>
      <c r="Q610" s="491" t="str">
        <f>IF(ISBLANK(M610), "", VLOOKUP(A610&amp;" "&amp;B610, 'Info Tipo de Cambio y REM'!$A$24:$B$47, 2, FALSE))</f>
        <v/>
      </c>
      <c r="R610" s="109" t="str">
        <f t="shared" si="1"/>
        <v/>
      </c>
      <c r="S610" s="71" t="str">
        <f t="shared" si="2"/>
        <v/>
      </c>
      <c r="T610" s="71">
        <f t="shared" si="3"/>
        <v>0</v>
      </c>
      <c r="U610" s="43"/>
      <c r="V610" s="486"/>
      <c r="W610" s="43"/>
      <c r="X610" s="43"/>
    </row>
    <row r="611" hidden="1">
      <c r="A611" s="51"/>
      <c r="B611" s="43"/>
      <c r="C611" s="51"/>
      <c r="D611" s="43"/>
      <c r="E611" s="43"/>
      <c r="F611" s="43"/>
      <c r="G611" s="43"/>
      <c r="H611" s="43"/>
      <c r="I611" s="43"/>
      <c r="J611" s="443"/>
      <c r="K611" s="43"/>
      <c r="L611" s="89"/>
      <c r="M611" s="89"/>
      <c r="O611" s="71">
        <f t="shared" si="21"/>
        <v>0</v>
      </c>
      <c r="P611" s="89">
        <f t="shared" si="22"/>
        <v>0</v>
      </c>
      <c r="Q611" s="491" t="str">
        <f>IF(ISBLANK(M611), "", VLOOKUP(A611&amp;" "&amp;B611, 'Info Tipo de Cambio y REM'!$A$24:$B$47, 2, FALSE))</f>
        <v/>
      </c>
      <c r="R611" s="109" t="str">
        <f t="shared" si="1"/>
        <v/>
      </c>
      <c r="S611" s="71" t="str">
        <f t="shared" si="2"/>
        <v/>
      </c>
      <c r="T611" s="71">
        <f t="shared" si="3"/>
        <v>0</v>
      </c>
      <c r="U611" s="43"/>
      <c r="V611" s="486"/>
      <c r="W611" s="43"/>
      <c r="X611" s="43"/>
    </row>
    <row r="612" hidden="1">
      <c r="A612" s="51"/>
      <c r="B612" s="43"/>
      <c r="C612" s="51"/>
      <c r="D612" s="43"/>
      <c r="E612" s="43"/>
      <c r="F612" s="43"/>
      <c r="G612" s="43"/>
      <c r="H612" s="43"/>
      <c r="I612" s="43"/>
      <c r="J612" s="443"/>
      <c r="K612" s="43"/>
      <c r="L612" s="89"/>
      <c r="M612" s="89"/>
      <c r="O612" s="71">
        <f t="shared" si="21"/>
        <v>0</v>
      </c>
      <c r="P612" s="89">
        <f t="shared" si="22"/>
        <v>0</v>
      </c>
      <c r="Q612" s="491" t="str">
        <f>IF(ISBLANK(M612), "", VLOOKUP(A612&amp;" "&amp;B612, 'Info Tipo de Cambio y REM'!$A$24:$B$47, 2, FALSE))</f>
        <v/>
      </c>
      <c r="R612" s="109" t="str">
        <f t="shared" si="1"/>
        <v/>
      </c>
      <c r="S612" s="71" t="str">
        <f t="shared" si="2"/>
        <v/>
      </c>
      <c r="T612" s="71">
        <f t="shared" si="3"/>
        <v>0</v>
      </c>
      <c r="U612" s="43"/>
      <c r="V612" s="486"/>
      <c r="W612" s="43"/>
      <c r="X612" s="43"/>
    </row>
    <row r="613" hidden="1">
      <c r="A613" s="51"/>
      <c r="B613" s="43"/>
      <c r="C613" s="51"/>
      <c r="D613" s="43"/>
      <c r="E613" s="43"/>
      <c r="F613" s="43"/>
      <c r="G613" s="43"/>
      <c r="H613" s="43"/>
      <c r="I613" s="43"/>
      <c r="J613" s="443"/>
      <c r="K613" s="43"/>
      <c r="L613" s="89"/>
      <c r="M613" s="89"/>
      <c r="O613" s="71">
        <f t="shared" si="21"/>
        <v>0</v>
      </c>
      <c r="P613" s="89">
        <f t="shared" si="22"/>
        <v>0</v>
      </c>
      <c r="Q613" s="491" t="str">
        <f>IF(ISBLANK(M613), "", VLOOKUP(A613&amp;" "&amp;B613, 'Info Tipo de Cambio y REM'!$A$24:$B$47, 2, FALSE))</f>
        <v/>
      </c>
      <c r="R613" s="109" t="str">
        <f t="shared" si="1"/>
        <v/>
      </c>
      <c r="S613" s="71" t="str">
        <f t="shared" si="2"/>
        <v/>
      </c>
      <c r="T613" s="71">
        <f t="shared" si="3"/>
        <v>0</v>
      </c>
      <c r="U613" s="43"/>
      <c r="V613" s="486"/>
      <c r="W613" s="43"/>
      <c r="X613" s="43"/>
    </row>
    <row r="614" hidden="1">
      <c r="A614" s="51"/>
      <c r="B614" s="43"/>
      <c r="C614" s="51"/>
      <c r="D614" s="43"/>
      <c r="E614" s="43"/>
      <c r="F614" s="43"/>
      <c r="G614" s="43"/>
      <c r="H614" s="43"/>
      <c r="I614" s="43"/>
      <c r="J614" s="443"/>
      <c r="K614" s="43"/>
      <c r="L614" s="89"/>
      <c r="M614" s="89"/>
      <c r="O614" s="71">
        <f t="shared" si="21"/>
        <v>0</v>
      </c>
      <c r="P614" s="89">
        <f t="shared" si="22"/>
        <v>0</v>
      </c>
      <c r="Q614" s="491" t="str">
        <f>IF(ISBLANK(M614), "", VLOOKUP(A614&amp;" "&amp;B614, 'Info Tipo de Cambio y REM'!$A$24:$B$47, 2, FALSE))</f>
        <v/>
      </c>
      <c r="R614" s="109" t="str">
        <f t="shared" si="1"/>
        <v/>
      </c>
      <c r="S614" s="71" t="str">
        <f t="shared" si="2"/>
        <v/>
      </c>
      <c r="T614" s="71">
        <f t="shared" si="3"/>
        <v>0</v>
      </c>
      <c r="U614" s="43"/>
      <c r="V614" s="486"/>
      <c r="W614" s="43"/>
      <c r="X614" s="43"/>
    </row>
    <row r="615" hidden="1">
      <c r="A615" s="51"/>
      <c r="B615" s="43"/>
      <c r="C615" s="51"/>
      <c r="D615" s="43"/>
      <c r="E615" s="43"/>
      <c r="F615" s="43"/>
      <c r="G615" s="43"/>
      <c r="H615" s="43"/>
      <c r="I615" s="43"/>
      <c r="J615" s="443"/>
      <c r="K615" s="43"/>
      <c r="L615" s="89"/>
      <c r="M615" s="89"/>
      <c r="O615" s="71">
        <f t="shared" si="21"/>
        <v>0</v>
      </c>
      <c r="P615" s="89">
        <f t="shared" si="22"/>
        <v>0</v>
      </c>
      <c r="Q615" s="491" t="str">
        <f>IF(ISBLANK(M615), "", VLOOKUP(A615&amp;" "&amp;B615, 'Info Tipo de Cambio y REM'!$A$24:$B$47, 2, FALSE))</f>
        <v/>
      </c>
      <c r="R615" s="109" t="str">
        <f t="shared" si="1"/>
        <v/>
      </c>
      <c r="S615" s="71" t="str">
        <f t="shared" si="2"/>
        <v/>
      </c>
      <c r="T615" s="71">
        <f t="shared" si="3"/>
        <v>0</v>
      </c>
      <c r="U615" s="43"/>
      <c r="V615" s="486"/>
      <c r="W615" s="43"/>
      <c r="X615" s="43"/>
    </row>
    <row r="616" hidden="1">
      <c r="A616" s="51"/>
      <c r="B616" s="43"/>
      <c r="C616" s="51"/>
      <c r="D616" s="43"/>
      <c r="E616" s="43"/>
      <c r="F616" s="43"/>
      <c r="G616" s="43"/>
      <c r="H616" s="43"/>
      <c r="I616" s="43"/>
      <c r="J616" s="443"/>
      <c r="K616" s="43"/>
      <c r="L616" s="89"/>
      <c r="M616" s="89"/>
      <c r="O616" s="71">
        <f t="shared" si="21"/>
        <v>0</v>
      </c>
      <c r="P616" s="89">
        <f t="shared" si="22"/>
        <v>0</v>
      </c>
      <c r="Q616" s="491" t="str">
        <f>IF(ISBLANK(M616), "", VLOOKUP(A616&amp;" "&amp;B616, 'Info Tipo de Cambio y REM'!$A$24:$B$47, 2, FALSE))</f>
        <v/>
      </c>
      <c r="R616" s="109" t="str">
        <f t="shared" si="1"/>
        <v/>
      </c>
      <c r="S616" s="71" t="str">
        <f t="shared" si="2"/>
        <v/>
      </c>
      <c r="T616" s="71">
        <f t="shared" si="3"/>
        <v>0</v>
      </c>
      <c r="U616" s="43"/>
      <c r="V616" s="486"/>
      <c r="W616" s="43"/>
      <c r="X616" s="43"/>
    </row>
    <row r="617" hidden="1">
      <c r="A617" s="51"/>
      <c r="B617" s="43"/>
      <c r="C617" s="51"/>
      <c r="D617" s="43"/>
      <c r="E617" s="43"/>
      <c r="F617" s="43"/>
      <c r="G617" s="43"/>
      <c r="H617" s="43"/>
      <c r="I617" s="43"/>
      <c r="J617" s="443"/>
      <c r="K617" s="43"/>
      <c r="L617" s="89"/>
      <c r="M617" s="89"/>
      <c r="O617" s="71">
        <f t="shared" si="21"/>
        <v>0</v>
      </c>
      <c r="P617" s="89">
        <f t="shared" si="22"/>
        <v>0</v>
      </c>
      <c r="Q617" s="491" t="str">
        <f>IF(ISBLANK(M617), "", VLOOKUP(A617&amp;" "&amp;B617, 'Info Tipo de Cambio y REM'!$A$24:$B$47, 2, FALSE))</f>
        <v/>
      </c>
      <c r="R617" s="109" t="str">
        <f t="shared" si="1"/>
        <v/>
      </c>
      <c r="S617" s="71" t="str">
        <f t="shared" si="2"/>
        <v/>
      </c>
      <c r="T617" s="71">
        <f t="shared" si="3"/>
        <v>0</v>
      </c>
      <c r="U617" s="43"/>
      <c r="V617" s="486"/>
      <c r="W617" s="43"/>
      <c r="X617" s="43"/>
    </row>
    <row r="618" hidden="1">
      <c r="A618" s="51"/>
      <c r="B618" s="43"/>
      <c r="C618" s="51"/>
      <c r="D618" s="43"/>
      <c r="E618" s="43"/>
      <c r="F618" s="43"/>
      <c r="G618" s="43"/>
      <c r="H618" s="43"/>
      <c r="I618" s="43"/>
      <c r="J618" s="443"/>
      <c r="K618" s="43"/>
      <c r="L618" s="89"/>
      <c r="M618" s="89"/>
      <c r="O618" s="71">
        <f t="shared" si="21"/>
        <v>0</v>
      </c>
      <c r="P618" s="89">
        <f t="shared" si="22"/>
        <v>0</v>
      </c>
      <c r="Q618" s="491" t="str">
        <f>IF(ISBLANK(M618), "", VLOOKUP(A618&amp;" "&amp;B618, 'Info Tipo de Cambio y REM'!$A$24:$B$47, 2, FALSE))</f>
        <v/>
      </c>
      <c r="R618" s="109" t="str">
        <f t="shared" si="1"/>
        <v/>
      </c>
      <c r="S618" s="71" t="str">
        <f t="shared" si="2"/>
        <v/>
      </c>
      <c r="T618" s="71">
        <f t="shared" si="3"/>
        <v>0</v>
      </c>
      <c r="U618" s="43"/>
      <c r="V618" s="486"/>
      <c r="W618" s="43"/>
      <c r="X618" s="43"/>
    </row>
    <row r="619" hidden="1">
      <c r="A619" s="51"/>
      <c r="B619" s="43"/>
      <c r="C619" s="51"/>
      <c r="D619" s="43"/>
      <c r="E619" s="43"/>
      <c r="F619" s="43"/>
      <c r="G619" s="43"/>
      <c r="H619" s="43"/>
      <c r="I619" s="43"/>
      <c r="J619" s="443"/>
      <c r="K619" s="43"/>
      <c r="L619" s="89"/>
      <c r="M619" s="89"/>
      <c r="O619" s="71">
        <f t="shared" si="21"/>
        <v>0</v>
      </c>
      <c r="P619" s="89">
        <f t="shared" si="22"/>
        <v>0</v>
      </c>
      <c r="Q619" s="491" t="str">
        <f>IF(ISBLANK(M619), "", VLOOKUP(A619&amp;" "&amp;B619, 'Info Tipo de Cambio y REM'!$A$24:$B$47, 2, FALSE))</f>
        <v/>
      </c>
      <c r="R619" s="109" t="str">
        <f t="shared" si="1"/>
        <v/>
      </c>
      <c r="S619" s="71" t="str">
        <f t="shared" si="2"/>
        <v/>
      </c>
      <c r="T619" s="71">
        <f t="shared" si="3"/>
        <v>0</v>
      </c>
      <c r="U619" s="43"/>
      <c r="V619" s="486"/>
      <c r="W619" s="43"/>
      <c r="X619" s="43"/>
    </row>
    <row r="620" hidden="1">
      <c r="A620" s="51"/>
      <c r="B620" s="43"/>
      <c r="C620" s="51"/>
      <c r="D620" s="43"/>
      <c r="E620" s="43"/>
      <c r="F620" s="43"/>
      <c r="G620" s="43"/>
      <c r="H620" s="43"/>
      <c r="I620" s="43"/>
      <c r="J620" s="443"/>
      <c r="K620" s="43"/>
      <c r="L620" s="89"/>
      <c r="M620" s="89"/>
      <c r="O620" s="71">
        <f t="shared" si="21"/>
        <v>0</v>
      </c>
      <c r="P620" s="89">
        <f t="shared" si="22"/>
        <v>0</v>
      </c>
      <c r="Q620" s="491" t="str">
        <f>IF(ISBLANK(M620), "", VLOOKUP(A620&amp;" "&amp;B620, 'Info Tipo de Cambio y REM'!$A$24:$B$47, 2, FALSE))</f>
        <v/>
      </c>
      <c r="R620" s="109" t="str">
        <f t="shared" si="1"/>
        <v/>
      </c>
      <c r="S620" s="71" t="str">
        <f t="shared" si="2"/>
        <v/>
      </c>
      <c r="T620" s="71">
        <f t="shared" si="3"/>
        <v>0</v>
      </c>
      <c r="U620" s="43"/>
      <c r="V620" s="486"/>
      <c r="W620" s="43"/>
      <c r="X620" s="43"/>
    </row>
    <row r="621" hidden="1">
      <c r="A621" s="51"/>
      <c r="B621" s="43"/>
      <c r="C621" s="51"/>
      <c r="D621" s="43"/>
      <c r="E621" s="43"/>
      <c r="F621" s="43"/>
      <c r="G621" s="43"/>
      <c r="H621" s="43"/>
      <c r="I621" s="43"/>
      <c r="J621" s="443"/>
      <c r="K621" s="43"/>
      <c r="L621" s="89"/>
      <c r="M621" s="89"/>
      <c r="O621" s="71">
        <f t="shared" si="21"/>
        <v>0</v>
      </c>
      <c r="P621" s="89">
        <f t="shared" si="22"/>
        <v>0</v>
      </c>
      <c r="Q621" s="491" t="str">
        <f>IF(ISBLANK(M621), "", VLOOKUP(A621&amp;" "&amp;B621, 'Info Tipo de Cambio y REM'!$A$24:$B$47, 2, FALSE))</f>
        <v/>
      </c>
      <c r="R621" s="109" t="str">
        <f t="shared" si="1"/>
        <v/>
      </c>
      <c r="S621" s="71" t="str">
        <f t="shared" si="2"/>
        <v/>
      </c>
      <c r="T621" s="71">
        <f t="shared" si="3"/>
        <v>0</v>
      </c>
      <c r="U621" s="43"/>
      <c r="V621" s="486"/>
      <c r="W621" s="43"/>
      <c r="X621" s="43"/>
    </row>
    <row r="622" hidden="1">
      <c r="A622" s="51"/>
      <c r="B622" s="43"/>
      <c r="C622" s="51"/>
      <c r="D622" s="43"/>
      <c r="E622" s="43"/>
      <c r="F622" s="43"/>
      <c r="G622" s="43"/>
      <c r="H622" s="43"/>
      <c r="I622" s="43"/>
      <c r="J622" s="443"/>
      <c r="K622" s="43"/>
      <c r="L622" s="89"/>
      <c r="M622" s="89"/>
      <c r="O622" s="71">
        <f t="shared" si="21"/>
        <v>0</v>
      </c>
      <c r="P622" s="89">
        <f t="shared" si="22"/>
        <v>0</v>
      </c>
      <c r="Q622" s="491" t="str">
        <f>IF(ISBLANK(M622), "", VLOOKUP(A622&amp;" "&amp;B622, 'Info Tipo de Cambio y REM'!$A$24:$B$47, 2, FALSE))</f>
        <v/>
      </c>
      <c r="R622" s="109" t="str">
        <f t="shared" si="1"/>
        <v/>
      </c>
      <c r="S622" s="71" t="str">
        <f t="shared" si="2"/>
        <v/>
      </c>
      <c r="T622" s="71">
        <f t="shared" si="3"/>
        <v>0</v>
      </c>
      <c r="U622" s="43"/>
      <c r="V622" s="486"/>
      <c r="W622" s="43"/>
      <c r="X622" s="43"/>
    </row>
    <row r="623" hidden="1">
      <c r="A623" s="51"/>
      <c r="B623" s="43"/>
      <c r="C623" s="51"/>
      <c r="D623" s="43"/>
      <c r="E623" s="43"/>
      <c r="F623" s="43"/>
      <c r="G623" s="43"/>
      <c r="H623" s="43"/>
      <c r="I623" s="43"/>
      <c r="J623" s="443"/>
      <c r="K623" s="43"/>
      <c r="L623" s="89"/>
      <c r="M623" s="89"/>
      <c r="O623" s="71">
        <f t="shared" si="21"/>
        <v>0</v>
      </c>
      <c r="P623" s="89">
        <f t="shared" si="22"/>
        <v>0</v>
      </c>
      <c r="Q623" s="491" t="str">
        <f>IF(ISBLANK(M623), "", VLOOKUP(A623&amp;" "&amp;B623, 'Info Tipo de Cambio y REM'!$A$24:$B$47, 2, FALSE))</f>
        <v/>
      </c>
      <c r="R623" s="109" t="str">
        <f t="shared" si="1"/>
        <v/>
      </c>
      <c r="S623" s="71" t="str">
        <f t="shared" si="2"/>
        <v/>
      </c>
      <c r="T623" s="71">
        <f t="shared" si="3"/>
        <v>0</v>
      </c>
      <c r="U623" s="43"/>
      <c r="V623" s="486"/>
      <c r="W623" s="43"/>
      <c r="X623" s="43"/>
    </row>
    <row r="624" hidden="1">
      <c r="A624" s="51"/>
      <c r="B624" s="43"/>
      <c r="C624" s="51"/>
      <c r="D624" s="43"/>
      <c r="E624" s="43"/>
      <c r="F624" s="43"/>
      <c r="G624" s="43"/>
      <c r="H624" s="43"/>
      <c r="I624" s="43"/>
      <c r="J624" s="443"/>
      <c r="K624" s="43"/>
      <c r="L624" s="89"/>
      <c r="M624" s="89"/>
      <c r="O624" s="71">
        <f t="shared" si="21"/>
        <v>0</v>
      </c>
      <c r="P624" s="89">
        <f t="shared" si="22"/>
        <v>0</v>
      </c>
      <c r="Q624" s="491" t="str">
        <f>IF(ISBLANK(M624), "", VLOOKUP(A624&amp;" "&amp;B624, 'Info Tipo de Cambio y REM'!$A$24:$B$47, 2, FALSE))</f>
        <v/>
      </c>
      <c r="R624" s="109" t="str">
        <f t="shared" si="1"/>
        <v/>
      </c>
      <c r="S624" s="71" t="str">
        <f t="shared" si="2"/>
        <v/>
      </c>
      <c r="T624" s="71">
        <f t="shared" si="3"/>
        <v>0</v>
      </c>
      <c r="U624" s="43"/>
      <c r="V624" s="486"/>
      <c r="W624" s="43"/>
      <c r="X624" s="43"/>
    </row>
    <row r="625" hidden="1">
      <c r="A625" s="51"/>
      <c r="B625" s="43"/>
      <c r="C625" s="51"/>
      <c r="D625" s="43"/>
      <c r="E625" s="43"/>
      <c r="F625" s="43"/>
      <c r="G625" s="43"/>
      <c r="H625" s="43"/>
      <c r="I625" s="43"/>
      <c r="J625" s="443"/>
      <c r="K625" s="43"/>
      <c r="L625" s="89"/>
      <c r="M625" s="89"/>
      <c r="O625" s="71">
        <f t="shared" si="21"/>
        <v>0</v>
      </c>
      <c r="P625" s="89">
        <f t="shared" si="22"/>
        <v>0</v>
      </c>
      <c r="Q625" s="491" t="str">
        <f>IF(ISBLANK(M625), "", VLOOKUP(A625&amp;" "&amp;B625, 'Info Tipo de Cambio y REM'!$A$24:$B$47, 2, FALSE))</f>
        <v/>
      </c>
      <c r="R625" s="109" t="str">
        <f t="shared" si="1"/>
        <v/>
      </c>
      <c r="S625" s="71" t="str">
        <f t="shared" si="2"/>
        <v/>
      </c>
      <c r="T625" s="71">
        <f t="shared" si="3"/>
        <v>0</v>
      </c>
      <c r="U625" s="43"/>
      <c r="V625" s="486"/>
      <c r="W625" s="43"/>
      <c r="X625" s="43"/>
    </row>
    <row r="626" hidden="1">
      <c r="A626" s="51"/>
      <c r="B626" s="43"/>
      <c r="C626" s="51"/>
      <c r="D626" s="43"/>
      <c r="E626" s="43"/>
      <c r="F626" s="43"/>
      <c r="G626" s="43"/>
      <c r="H626" s="43"/>
      <c r="I626" s="43"/>
      <c r="J626" s="443"/>
      <c r="K626" s="43"/>
      <c r="L626" s="89"/>
      <c r="M626" s="89"/>
      <c r="O626" s="71">
        <f t="shared" si="21"/>
        <v>0</v>
      </c>
      <c r="P626" s="89">
        <f t="shared" si="22"/>
        <v>0</v>
      </c>
      <c r="Q626" s="491" t="str">
        <f>IF(ISBLANK(M626), "", VLOOKUP(A626&amp;" "&amp;B626, 'Info Tipo de Cambio y REM'!$A$24:$B$47, 2, FALSE))</f>
        <v/>
      </c>
      <c r="R626" s="109" t="str">
        <f t="shared" si="1"/>
        <v/>
      </c>
      <c r="S626" s="71" t="str">
        <f t="shared" si="2"/>
        <v/>
      </c>
      <c r="T626" s="71">
        <f t="shared" si="3"/>
        <v>0</v>
      </c>
      <c r="U626" s="43"/>
      <c r="V626" s="486"/>
      <c r="W626" s="43"/>
      <c r="X626" s="43"/>
    </row>
    <row r="627" hidden="1">
      <c r="A627" s="51"/>
      <c r="B627" s="43"/>
      <c r="C627" s="51"/>
      <c r="D627" s="43"/>
      <c r="E627" s="43"/>
      <c r="F627" s="43"/>
      <c r="G627" s="43"/>
      <c r="H627" s="43"/>
      <c r="I627" s="43"/>
      <c r="J627" s="443"/>
      <c r="K627" s="43"/>
      <c r="L627" s="89"/>
      <c r="M627" s="89"/>
      <c r="O627" s="71">
        <f t="shared" si="21"/>
        <v>0</v>
      </c>
      <c r="P627" s="89">
        <f t="shared" si="22"/>
        <v>0</v>
      </c>
      <c r="Q627" s="491" t="str">
        <f>IF(ISBLANK(M627), "", VLOOKUP(A627&amp;" "&amp;B627, 'Info Tipo de Cambio y REM'!$A$24:$B$47, 2, FALSE))</f>
        <v/>
      </c>
      <c r="R627" s="109" t="str">
        <f t="shared" si="1"/>
        <v/>
      </c>
      <c r="S627" s="71" t="str">
        <f t="shared" si="2"/>
        <v/>
      </c>
      <c r="T627" s="71">
        <f t="shared" si="3"/>
        <v>0</v>
      </c>
      <c r="U627" s="43"/>
      <c r="V627" s="486"/>
      <c r="W627" s="43"/>
      <c r="X627" s="43"/>
    </row>
    <row r="628" hidden="1">
      <c r="A628" s="51"/>
      <c r="B628" s="43"/>
      <c r="C628" s="51"/>
      <c r="D628" s="43"/>
      <c r="E628" s="43"/>
      <c r="F628" s="43"/>
      <c r="G628" s="43"/>
      <c r="H628" s="43"/>
      <c r="I628" s="43"/>
      <c r="J628" s="443"/>
      <c r="K628" s="43"/>
      <c r="L628" s="89"/>
      <c r="M628" s="89"/>
      <c r="O628" s="71">
        <f t="shared" si="21"/>
        <v>0</v>
      </c>
      <c r="P628" s="89">
        <f t="shared" si="22"/>
        <v>0</v>
      </c>
      <c r="Q628" s="491" t="str">
        <f>IF(ISBLANK(M628), "", VLOOKUP(A628&amp;" "&amp;B628, 'Info Tipo de Cambio y REM'!$A$24:$B$47, 2, FALSE))</f>
        <v/>
      </c>
      <c r="R628" s="109" t="str">
        <f t="shared" si="1"/>
        <v/>
      </c>
      <c r="S628" s="71" t="str">
        <f t="shared" si="2"/>
        <v/>
      </c>
      <c r="T628" s="71">
        <f t="shared" si="3"/>
        <v>0</v>
      </c>
      <c r="U628" s="43"/>
      <c r="V628" s="486"/>
      <c r="W628" s="43"/>
      <c r="X628" s="43"/>
    </row>
    <row r="629" hidden="1">
      <c r="A629" s="51"/>
      <c r="B629" s="43"/>
      <c r="C629" s="51"/>
      <c r="D629" s="43"/>
      <c r="E629" s="43"/>
      <c r="F629" s="43"/>
      <c r="G629" s="43"/>
      <c r="H629" s="43"/>
      <c r="I629" s="43"/>
      <c r="J629" s="443"/>
      <c r="K629" s="43"/>
      <c r="L629" s="89"/>
      <c r="M629" s="89"/>
      <c r="O629" s="71">
        <f t="shared" si="21"/>
        <v>0</v>
      </c>
      <c r="P629" s="89">
        <f t="shared" si="22"/>
        <v>0</v>
      </c>
      <c r="Q629" s="491" t="str">
        <f>IF(ISBLANK(M629), "", VLOOKUP(A629&amp;" "&amp;B629, 'Info Tipo de Cambio y REM'!$A$24:$B$47, 2, FALSE))</f>
        <v/>
      </c>
      <c r="R629" s="109" t="str">
        <f t="shared" si="1"/>
        <v/>
      </c>
      <c r="S629" s="71" t="str">
        <f t="shared" si="2"/>
        <v/>
      </c>
      <c r="T629" s="71">
        <f t="shared" si="3"/>
        <v>0</v>
      </c>
      <c r="U629" s="43"/>
      <c r="V629" s="486"/>
      <c r="W629" s="43"/>
      <c r="X629" s="43"/>
    </row>
    <row r="630" hidden="1">
      <c r="A630" s="51"/>
      <c r="B630" s="43"/>
      <c r="C630" s="51"/>
      <c r="D630" s="43"/>
      <c r="E630" s="43"/>
      <c r="F630" s="43"/>
      <c r="G630" s="43"/>
      <c r="H630" s="43"/>
      <c r="I630" s="43"/>
      <c r="J630" s="443"/>
      <c r="K630" s="43"/>
      <c r="L630" s="89"/>
      <c r="M630" s="89"/>
      <c r="O630" s="71">
        <f t="shared" si="21"/>
        <v>0</v>
      </c>
      <c r="P630" s="89">
        <f t="shared" si="22"/>
        <v>0</v>
      </c>
      <c r="Q630" s="491" t="str">
        <f>IF(ISBLANK(M630), "", VLOOKUP(A630&amp;" "&amp;B630, 'Info Tipo de Cambio y REM'!$A$24:$B$47, 2, FALSE))</f>
        <v/>
      </c>
      <c r="R630" s="109" t="str">
        <f t="shared" si="1"/>
        <v/>
      </c>
      <c r="S630" s="71" t="str">
        <f t="shared" si="2"/>
        <v/>
      </c>
      <c r="T630" s="71">
        <f t="shared" si="3"/>
        <v>0</v>
      </c>
      <c r="U630" s="43"/>
      <c r="V630" s="486"/>
      <c r="W630" s="43"/>
      <c r="X630" s="43"/>
    </row>
    <row r="631" hidden="1">
      <c r="A631" s="51"/>
      <c r="B631" s="43"/>
      <c r="C631" s="51"/>
      <c r="D631" s="43"/>
      <c r="E631" s="43"/>
      <c r="F631" s="43"/>
      <c r="G631" s="43"/>
      <c r="H631" s="43"/>
      <c r="I631" s="43"/>
      <c r="J631" s="443"/>
      <c r="K631" s="43"/>
      <c r="L631" s="89"/>
      <c r="M631" s="89"/>
      <c r="O631" s="71">
        <f t="shared" si="21"/>
        <v>0</v>
      </c>
      <c r="P631" s="89">
        <f t="shared" si="22"/>
        <v>0</v>
      </c>
      <c r="Q631" s="491" t="str">
        <f>IF(ISBLANK(M631), "", VLOOKUP(A631&amp;" "&amp;B631, 'Info Tipo de Cambio y REM'!$A$24:$B$47, 2, FALSE))</f>
        <v/>
      </c>
      <c r="R631" s="109" t="str">
        <f t="shared" si="1"/>
        <v/>
      </c>
      <c r="S631" s="71" t="str">
        <f t="shared" si="2"/>
        <v/>
      </c>
      <c r="T631" s="71">
        <f t="shared" si="3"/>
        <v>0</v>
      </c>
      <c r="U631" s="43"/>
      <c r="V631" s="486"/>
      <c r="W631" s="43"/>
      <c r="X631" s="43"/>
    </row>
    <row r="632" hidden="1">
      <c r="A632" s="51"/>
      <c r="B632" s="43"/>
      <c r="C632" s="51"/>
      <c r="D632" s="43"/>
      <c r="E632" s="43"/>
      <c r="F632" s="43"/>
      <c r="G632" s="43"/>
      <c r="H632" s="43"/>
      <c r="I632" s="43"/>
      <c r="J632" s="443"/>
      <c r="K632" s="43"/>
      <c r="L632" s="89"/>
      <c r="M632" s="89"/>
      <c r="O632" s="71">
        <f t="shared" si="21"/>
        <v>0</v>
      </c>
      <c r="P632" s="89">
        <f t="shared" si="22"/>
        <v>0</v>
      </c>
      <c r="Q632" s="491" t="str">
        <f>IF(ISBLANK(M632), "", VLOOKUP(A632&amp;" "&amp;B632, 'Info Tipo de Cambio y REM'!$A$24:$B$47, 2, FALSE))</f>
        <v/>
      </c>
      <c r="R632" s="109" t="str">
        <f t="shared" si="1"/>
        <v/>
      </c>
      <c r="S632" s="71" t="str">
        <f t="shared" si="2"/>
        <v/>
      </c>
      <c r="T632" s="71">
        <f t="shared" si="3"/>
        <v>0</v>
      </c>
      <c r="U632" s="43"/>
      <c r="V632" s="486"/>
      <c r="W632" s="43"/>
      <c r="X632" s="43"/>
    </row>
    <row r="633" hidden="1">
      <c r="A633" s="51"/>
      <c r="B633" s="43"/>
      <c r="C633" s="51"/>
      <c r="D633" s="43"/>
      <c r="E633" s="43"/>
      <c r="F633" s="43"/>
      <c r="G633" s="43"/>
      <c r="H633" s="43"/>
      <c r="I633" s="43"/>
      <c r="J633" s="443"/>
      <c r="K633" s="43"/>
      <c r="L633" s="89"/>
      <c r="M633" s="89"/>
      <c r="O633" s="71">
        <f t="shared" si="21"/>
        <v>0</v>
      </c>
      <c r="P633" s="89">
        <f t="shared" si="22"/>
        <v>0</v>
      </c>
      <c r="Q633" s="491" t="str">
        <f>IF(ISBLANK(M633), "", VLOOKUP(A633&amp;" "&amp;B633, 'Info Tipo de Cambio y REM'!$A$24:$B$47, 2, FALSE))</f>
        <v/>
      </c>
      <c r="R633" s="109" t="str">
        <f t="shared" si="1"/>
        <v/>
      </c>
      <c r="S633" s="71" t="str">
        <f t="shared" si="2"/>
        <v/>
      </c>
      <c r="T633" s="71">
        <f t="shared" si="3"/>
        <v>0</v>
      </c>
      <c r="U633" s="43"/>
      <c r="V633" s="486"/>
      <c r="W633" s="43"/>
      <c r="X633" s="43"/>
    </row>
    <row r="634" hidden="1">
      <c r="A634" s="51"/>
      <c r="B634" s="43"/>
      <c r="C634" s="51"/>
      <c r="D634" s="43"/>
      <c r="E634" s="43"/>
      <c r="F634" s="43"/>
      <c r="G634" s="43"/>
      <c r="H634" s="43"/>
      <c r="I634" s="43"/>
      <c r="J634" s="443"/>
      <c r="K634" s="43"/>
      <c r="L634" s="89"/>
      <c r="M634" s="89"/>
      <c r="O634" s="71">
        <f t="shared" si="21"/>
        <v>0</v>
      </c>
      <c r="P634" s="89">
        <f t="shared" si="22"/>
        <v>0</v>
      </c>
      <c r="Q634" s="491" t="str">
        <f>IF(ISBLANK(M634), "", VLOOKUP(A634&amp;" "&amp;B634, 'Info Tipo de Cambio y REM'!$A$24:$B$47, 2, FALSE))</f>
        <v/>
      </c>
      <c r="R634" s="109" t="str">
        <f t="shared" si="1"/>
        <v/>
      </c>
      <c r="S634" s="71" t="str">
        <f t="shared" si="2"/>
        <v/>
      </c>
      <c r="T634" s="71">
        <f t="shared" si="3"/>
        <v>0</v>
      </c>
      <c r="U634" s="43"/>
      <c r="V634" s="486"/>
      <c r="W634" s="43"/>
      <c r="X634" s="43"/>
    </row>
    <row r="635" hidden="1">
      <c r="A635" s="51"/>
      <c r="B635" s="43"/>
      <c r="C635" s="51"/>
      <c r="D635" s="43"/>
      <c r="E635" s="43"/>
      <c r="F635" s="43"/>
      <c r="G635" s="43"/>
      <c r="H635" s="43"/>
      <c r="I635" s="43"/>
      <c r="J635" s="443"/>
      <c r="K635" s="43"/>
      <c r="L635" s="89"/>
      <c r="M635" s="89"/>
      <c r="O635" s="71">
        <f t="shared" si="21"/>
        <v>0</v>
      </c>
      <c r="P635" s="89">
        <f t="shared" si="22"/>
        <v>0</v>
      </c>
      <c r="Q635" s="491" t="str">
        <f>IF(ISBLANK(M635), "", VLOOKUP(A635&amp;" "&amp;B635, 'Info Tipo de Cambio y REM'!$A$24:$B$47, 2, FALSE))</f>
        <v/>
      </c>
      <c r="R635" s="109" t="str">
        <f t="shared" si="1"/>
        <v/>
      </c>
      <c r="S635" s="71" t="str">
        <f t="shared" si="2"/>
        <v/>
      </c>
      <c r="T635" s="71">
        <f t="shared" si="3"/>
        <v>0</v>
      </c>
      <c r="U635" s="43"/>
      <c r="V635" s="486"/>
      <c r="W635" s="43"/>
      <c r="X635" s="43"/>
    </row>
    <row r="636" hidden="1">
      <c r="A636" s="51"/>
      <c r="B636" s="43"/>
      <c r="C636" s="51"/>
      <c r="D636" s="43"/>
      <c r="E636" s="43"/>
      <c r="F636" s="43"/>
      <c r="G636" s="43"/>
      <c r="H636" s="43"/>
      <c r="I636" s="43"/>
      <c r="J636" s="443"/>
      <c r="K636" s="43"/>
      <c r="L636" s="89"/>
      <c r="M636" s="89"/>
      <c r="O636" s="71">
        <f t="shared" si="21"/>
        <v>0</v>
      </c>
      <c r="P636" s="89">
        <f t="shared" si="22"/>
        <v>0</v>
      </c>
      <c r="Q636" s="491" t="str">
        <f>IF(ISBLANK(M636), "", VLOOKUP(A636&amp;" "&amp;B636, 'Info Tipo de Cambio y REM'!$A$24:$B$47, 2, FALSE))</f>
        <v/>
      </c>
      <c r="R636" s="109" t="str">
        <f t="shared" si="1"/>
        <v/>
      </c>
      <c r="S636" s="71" t="str">
        <f t="shared" si="2"/>
        <v/>
      </c>
      <c r="T636" s="71">
        <f t="shared" si="3"/>
        <v>0</v>
      </c>
      <c r="U636" s="43"/>
      <c r="V636" s="486"/>
      <c r="W636" s="43"/>
      <c r="X636" s="43"/>
    </row>
    <row r="637" hidden="1">
      <c r="A637" s="51"/>
      <c r="B637" s="43"/>
      <c r="C637" s="51"/>
      <c r="D637" s="43"/>
      <c r="E637" s="43"/>
      <c r="F637" s="43"/>
      <c r="G637" s="43"/>
      <c r="H637" s="43"/>
      <c r="I637" s="43"/>
      <c r="J637" s="443"/>
      <c r="K637" s="43"/>
      <c r="L637" s="89"/>
      <c r="M637" s="89"/>
      <c r="O637" s="71">
        <f t="shared" si="21"/>
        <v>0</v>
      </c>
      <c r="P637" s="89">
        <f t="shared" si="22"/>
        <v>0</v>
      </c>
      <c r="Q637" s="491" t="str">
        <f>IF(ISBLANK(M637), "", VLOOKUP(A637&amp;" "&amp;B637, 'Info Tipo de Cambio y REM'!$A$24:$B$47, 2, FALSE))</f>
        <v/>
      </c>
      <c r="R637" s="109" t="str">
        <f t="shared" si="1"/>
        <v/>
      </c>
      <c r="S637" s="71" t="str">
        <f t="shared" si="2"/>
        <v/>
      </c>
      <c r="T637" s="71">
        <f t="shared" si="3"/>
        <v>0</v>
      </c>
      <c r="U637" s="43"/>
      <c r="V637" s="486"/>
      <c r="W637" s="43"/>
      <c r="X637" s="43"/>
    </row>
    <row r="638" hidden="1">
      <c r="A638" s="51"/>
      <c r="B638" s="43"/>
      <c r="C638" s="51"/>
      <c r="D638" s="43"/>
      <c r="E638" s="43"/>
      <c r="F638" s="43"/>
      <c r="G638" s="43"/>
      <c r="H638" s="43"/>
      <c r="I638" s="43"/>
      <c r="J638" s="443"/>
      <c r="K638" s="43"/>
      <c r="L638" s="89"/>
      <c r="M638" s="89"/>
      <c r="O638" s="71">
        <f t="shared" si="21"/>
        <v>0</v>
      </c>
      <c r="P638" s="89">
        <f t="shared" si="22"/>
        <v>0</v>
      </c>
      <c r="Q638" s="491" t="str">
        <f>IF(ISBLANK(M638), "", VLOOKUP(A638&amp;" "&amp;B638, 'Info Tipo de Cambio y REM'!$A$24:$B$47, 2, FALSE))</f>
        <v/>
      </c>
      <c r="R638" s="109" t="str">
        <f t="shared" si="1"/>
        <v/>
      </c>
      <c r="S638" s="71" t="str">
        <f t="shared" si="2"/>
        <v/>
      </c>
      <c r="T638" s="71">
        <f t="shared" si="3"/>
        <v>0</v>
      </c>
      <c r="U638" s="43"/>
      <c r="V638" s="486"/>
      <c r="W638" s="43"/>
      <c r="X638" s="43"/>
    </row>
    <row r="639" hidden="1">
      <c r="A639" s="51"/>
      <c r="B639" s="43"/>
      <c r="C639" s="51"/>
      <c r="D639" s="43"/>
      <c r="E639" s="43"/>
      <c r="F639" s="43"/>
      <c r="G639" s="43"/>
      <c r="H639" s="43"/>
      <c r="I639" s="43"/>
      <c r="J639" s="443"/>
      <c r="K639" s="43"/>
      <c r="L639" s="89"/>
      <c r="M639" s="89"/>
      <c r="O639" s="71">
        <f t="shared" si="21"/>
        <v>0</v>
      </c>
      <c r="P639" s="89">
        <f t="shared" si="22"/>
        <v>0</v>
      </c>
      <c r="Q639" s="491" t="str">
        <f>IF(ISBLANK(M639), "", VLOOKUP(A639&amp;" "&amp;B639, 'Info Tipo de Cambio y REM'!$A$24:$B$47, 2, FALSE))</f>
        <v/>
      </c>
      <c r="R639" s="109" t="str">
        <f t="shared" si="1"/>
        <v/>
      </c>
      <c r="S639" s="71" t="str">
        <f t="shared" si="2"/>
        <v/>
      </c>
      <c r="T639" s="71">
        <f t="shared" si="3"/>
        <v>0</v>
      </c>
      <c r="U639" s="43"/>
      <c r="V639" s="486"/>
      <c r="W639" s="43"/>
      <c r="X639" s="43"/>
    </row>
    <row r="640" hidden="1">
      <c r="A640" s="51"/>
      <c r="B640" s="43"/>
      <c r="C640" s="51"/>
      <c r="D640" s="43"/>
      <c r="E640" s="43"/>
      <c r="F640" s="43"/>
      <c r="G640" s="43"/>
      <c r="H640" s="43"/>
      <c r="I640" s="43"/>
      <c r="J640" s="443"/>
      <c r="K640" s="43"/>
      <c r="L640" s="89"/>
      <c r="M640" s="89"/>
      <c r="O640" s="71">
        <f t="shared" si="21"/>
        <v>0</v>
      </c>
      <c r="P640" s="89">
        <f t="shared" si="22"/>
        <v>0</v>
      </c>
      <c r="Q640" s="491" t="str">
        <f>IF(ISBLANK(M640), "", VLOOKUP(A640&amp;" "&amp;B640, 'Info Tipo de Cambio y REM'!$A$24:$B$47, 2, FALSE))</f>
        <v/>
      </c>
      <c r="R640" s="109" t="str">
        <f t="shared" si="1"/>
        <v/>
      </c>
      <c r="S640" s="71" t="str">
        <f t="shared" si="2"/>
        <v/>
      </c>
      <c r="T640" s="71">
        <f t="shared" si="3"/>
        <v>0</v>
      </c>
      <c r="U640" s="43"/>
      <c r="V640" s="486"/>
      <c r="W640" s="43"/>
      <c r="X640" s="43"/>
    </row>
    <row r="641" hidden="1">
      <c r="A641" s="51"/>
      <c r="B641" s="43"/>
      <c r="C641" s="51"/>
      <c r="D641" s="43"/>
      <c r="E641" s="43"/>
      <c r="F641" s="43"/>
      <c r="G641" s="43"/>
      <c r="H641" s="43"/>
      <c r="I641" s="43"/>
      <c r="J641" s="443"/>
      <c r="K641" s="43"/>
      <c r="L641" s="89"/>
      <c r="M641" s="89"/>
      <c r="O641" s="71">
        <f t="shared" si="21"/>
        <v>0</v>
      </c>
      <c r="P641" s="89">
        <f t="shared" si="22"/>
        <v>0</v>
      </c>
      <c r="Q641" s="491" t="str">
        <f>IF(ISBLANK(M641), "", VLOOKUP(A641&amp;" "&amp;B641, 'Info Tipo de Cambio y REM'!$A$24:$B$47, 2, FALSE))</f>
        <v/>
      </c>
      <c r="R641" s="109" t="str">
        <f t="shared" si="1"/>
        <v/>
      </c>
      <c r="S641" s="71" t="str">
        <f t="shared" si="2"/>
        <v/>
      </c>
      <c r="T641" s="71">
        <f t="shared" si="3"/>
        <v>0</v>
      </c>
      <c r="U641" s="43"/>
      <c r="V641" s="486"/>
      <c r="W641" s="43"/>
      <c r="X641" s="43"/>
    </row>
    <row r="642" hidden="1">
      <c r="A642" s="51"/>
      <c r="B642" s="43"/>
      <c r="C642" s="51"/>
      <c r="D642" s="43"/>
      <c r="E642" s="43"/>
      <c r="F642" s="43"/>
      <c r="G642" s="43"/>
      <c r="H642" s="43"/>
      <c r="I642" s="43"/>
      <c r="J642" s="443"/>
      <c r="K642" s="43"/>
      <c r="L642" s="89"/>
      <c r="M642" s="89"/>
      <c r="O642" s="71">
        <f t="shared" si="21"/>
        <v>0</v>
      </c>
      <c r="P642" s="89">
        <f t="shared" si="22"/>
        <v>0</v>
      </c>
      <c r="Q642" s="491" t="str">
        <f>IF(ISBLANK(M642), "", VLOOKUP(A642&amp;" "&amp;B642, 'Info Tipo de Cambio y REM'!$A$24:$B$47, 2, FALSE))</f>
        <v/>
      </c>
      <c r="R642" s="109" t="str">
        <f t="shared" si="1"/>
        <v/>
      </c>
      <c r="S642" s="71" t="str">
        <f t="shared" si="2"/>
        <v/>
      </c>
      <c r="T642" s="71">
        <f t="shared" si="3"/>
        <v>0</v>
      </c>
      <c r="U642" s="43"/>
      <c r="V642" s="486"/>
      <c r="W642" s="43"/>
      <c r="X642" s="43"/>
    </row>
    <row r="643" hidden="1">
      <c r="A643" s="51"/>
      <c r="B643" s="43"/>
      <c r="C643" s="51"/>
      <c r="D643" s="43"/>
      <c r="E643" s="43"/>
      <c r="F643" s="43"/>
      <c r="G643" s="43"/>
      <c r="H643" s="43"/>
      <c r="I643" s="43"/>
      <c r="J643" s="443"/>
      <c r="K643" s="43"/>
      <c r="L643" s="89"/>
      <c r="M643" s="89"/>
      <c r="O643" s="71">
        <f t="shared" si="21"/>
        <v>0</v>
      </c>
      <c r="P643" s="89">
        <f t="shared" si="22"/>
        <v>0</v>
      </c>
      <c r="Q643" s="491" t="str">
        <f>IF(ISBLANK(M643), "", VLOOKUP(A643&amp;" "&amp;B643, 'Info Tipo de Cambio y REM'!$A$24:$B$47, 2, FALSE))</f>
        <v/>
      </c>
      <c r="R643" s="109" t="str">
        <f t="shared" si="1"/>
        <v/>
      </c>
      <c r="S643" s="71" t="str">
        <f t="shared" si="2"/>
        <v/>
      </c>
      <c r="T643" s="71">
        <f t="shared" si="3"/>
        <v>0</v>
      </c>
      <c r="U643" s="43"/>
      <c r="V643" s="486"/>
      <c r="W643" s="43"/>
      <c r="X643" s="43"/>
    </row>
    <row r="644" hidden="1">
      <c r="A644" s="51"/>
      <c r="B644" s="43"/>
      <c r="C644" s="51"/>
      <c r="D644" s="43"/>
      <c r="E644" s="43"/>
      <c r="F644" s="43"/>
      <c r="G644" s="43"/>
      <c r="H644" s="43"/>
      <c r="I644" s="43"/>
      <c r="J644" s="443"/>
      <c r="K644" s="43"/>
      <c r="L644" s="89"/>
      <c r="M644" s="89"/>
      <c r="O644" s="71">
        <f t="shared" si="21"/>
        <v>0</v>
      </c>
      <c r="P644" s="89">
        <f t="shared" si="22"/>
        <v>0</v>
      </c>
      <c r="Q644" s="491" t="str">
        <f>IF(ISBLANK(M644), "", VLOOKUP(A644&amp;" "&amp;B644, 'Info Tipo de Cambio y REM'!$A$24:$B$47, 2, FALSE))</f>
        <v/>
      </c>
      <c r="R644" s="109" t="str">
        <f t="shared" si="1"/>
        <v/>
      </c>
      <c r="S644" s="71" t="str">
        <f t="shared" si="2"/>
        <v/>
      </c>
      <c r="T644" s="71">
        <f t="shared" si="3"/>
        <v>0</v>
      </c>
      <c r="U644" s="43"/>
      <c r="V644" s="486"/>
      <c r="W644" s="43"/>
      <c r="X644" s="43"/>
    </row>
    <row r="645" hidden="1">
      <c r="A645" s="51"/>
      <c r="B645" s="43"/>
      <c r="C645" s="51"/>
      <c r="D645" s="43"/>
      <c r="E645" s="43"/>
      <c r="F645" s="43"/>
      <c r="G645" s="43"/>
      <c r="H645" s="43"/>
      <c r="I645" s="43"/>
      <c r="J645" s="443"/>
      <c r="K645" s="43"/>
      <c r="L645" s="89"/>
      <c r="M645" s="89"/>
      <c r="O645" s="71">
        <f t="shared" si="21"/>
        <v>0</v>
      </c>
      <c r="P645" s="89">
        <f t="shared" si="22"/>
        <v>0</v>
      </c>
      <c r="Q645" s="491" t="str">
        <f>IF(ISBLANK(M645), "", VLOOKUP(A645&amp;" "&amp;B645, 'Info Tipo de Cambio y REM'!$A$24:$B$47, 2, FALSE))</f>
        <v/>
      </c>
      <c r="R645" s="109" t="str">
        <f t="shared" si="1"/>
        <v/>
      </c>
      <c r="S645" s="71" t="str">
        <f t="shared" si="2"/>
        <v/>
      </c>
      <c r="T645" s="71">
        <f t="shared" si="3"/>
        <v>0</v>
      </c>
      <c r="U645" s="43"/>
      <c r="V645" s="486"/>
      <c r="W645" s="43"/>
      <c r="X645" s="43"/>
    </row>
    <row r="646" hidden="1">
      <c r="A646" s="51"/>
      <c r="B646" s="43"/>
      <c r="C646" s="51"/>
      <c r="D646" s="43"/>
      <c r="E646" s="43"/>
      <c r="F646" s="43"/>
      <c r="G646" s="43"/>
      <c r="H646" s="43"/>
      <c r="I646" s="43"/>
      <c r="J646" s="443"/>
      <c r="K646" s="43"/>
      <c r="L646" s="89"/>
      <c r="M646" s="89"/>
      <c r="O646" s="71">
        <f t="shared" si="21"/>
        <v>0</v>
      </c>
      <c r="P646" s="89">
        <f t="shared" si="22"/>
        <v>0</v>
      </c>
      <c r="Q646" s="491" t="str">
        <f>IF(ISBLANK(M646), "", VLOOKUP(A646&amp;" "&amp;B646, 'Info Tipo de Cambio y REM'!$A$24:$B$47, 2, FALSE))</f>
        <v/>
      </c>
      <c r="R646" s="109" t="str">
        <f t="shared" si="1"/>
        <v/>
      </c>
      <c r="S646" s="71" t="str">
        <f t="shared" si="2"/>
        <v/>
      </c>
      <c r="T646" s="71">
        <f t="shared" si="3"/>
        <v>0</v>
      </c>
      <c r="U646" s="43"/>
      <c r="V646" s="486"/>
      <c r="W646" s="43"/>
      <c r="X646" s="43"/>
    </row>
    <row r="647" hidden="1">
      <c r="A647" s="51"/>
      <c r="B647" s="43"/>
      <c r="C647" s="51"/>
      <c r="D647" s="43"/>
      <c r="E647" s="43"/>
      <c r="F647" s="43"/>
      <c r="G647" s="43"/>
      <c r="H647" s="43"/>
      <c r="I647" s="43"/>
      <c r="J647" s="443"/>
      <c r="K647" s="43"/>
      <c r="L647" s="89"/>
      <c r="M647" s="89"/>
      <c r="O647" s="71">
        <f t="shared" si="21"/>
        <v>0</v>
      </c>
      <c r="P647" s="89">
        <f t="shared" si="22"/>
        <v>0</v>
      </c>
      <c r="Q647" s="491" t="str">
        <f>IF(ISBLANK(M647), "", VLOOKUP(A647&amp;" "&amp;B647, 'Info Tipo de Cambio y REM'!$A$24:$B$47, 2, FALSE))</f>
        <v/>
      </c>
      <c r="R647" s="109" t="str">
        <f t="shared" si="1"/>
        <v/>
      </c>
      <c r="S647" s="71" t="str">
        <f t="shared" si="2"/>
        <v/>
      </c>
      <c r="T647" s="71">
        <f t="shared" si="3"/>
        <v>0</v>
      </c>
      <c r="U647" s="43"/>
      <c r="V647" s="486"/>
      <c r="W647" s="43"/>
      <c r="X647" s="43"/>
    </row>
    <row r="648" hidden="1">
      <c r="A648" s="51"/>
      <c r="B648" s="43"/>
      <c r="C648" s="51"/>
      <c r="D648" s="43"/>
      <c r="E648" s="43"/>
      <c r="F648" s="43"/>
      <c r="G648" s="43"/>
      <c r="H648" s="43"/>
      <c r="I648" s="43"/>
      <c r="J648" s="443"/>
      <c r="K648" s="43"/>
      <c r="L648" s="89"/>
      <c r="M648" s="89"/>
      <c r="O648" s="71">
        <f t="shared" si="21"/>
        <v>0</v>
      </c>
      <c r="P648" s="89">
        <f t="shared" si="22"/>
        <v>0</v>
      </c>
      <c r="Q648" s="491" t="str">
        <f>IF(ISBLANK(M648), "", VLOOKUP(A648&amp;" "&amp;B648, 'Info Tipo de Cambio y REM'!$A$24:$B$47, 2, FALSE))</f>
        <v/>
      </c>
      <c r="R648" s="109" t="str">
        <f t="shared" si="1"/>
        <v/>
      </c>
      <c r="S648" s="71" t="str">
        <f t="shared" si="2"/>
        <v/>
      </c>
      <c r="T648" s="71">
        <f t="shared" si="3"/>
        <v>0</v>
      </c>
      <c r="U648" s="43"/>
      <c r="V648" s="486"/>
      <c r="W648" s="43"/>
      <c r="X648" s="43"/>
    </row>
    <row r="649" hidden="1">
      <c r="A649" s="51"/>
      <c r="B649" s="43"/>
      <c r="C649" s="51"/>
      <c r="D649" s="43"/>
      <c r="E649" s="43"/>
      <c r="F649" s="43"/>
      <c r="G649" s="43"/>
      <c r="H649" s="43"/>
      <c r="I649" s="43"/>
      <c r="J649" s="443"/>
      <c r="K649" s="43"/>
      <c r="L649" s="89"/>
      <c r="M649" s="89"/>
      <c r="O649" s="71">
        <f t="shared" si="21"/>
        <v>0</v>
      </c>
      <c r="P649" s="89">
        <f t="shared" si="22"/>
        <v>0</v>
      </c>
      <c r="Q649" s="491" t="str">
        <f>IF(ISBLANK(M649), "", VLOOKUP(A649&amp;" "&amp;B649, 'Info Tipo de Cambio y REM'!$A$24:$B$47, 2, FALSE))</f>
        <v/>
      </c>
      <c r="R649" s="109" t="str">
        <f t="shared" si="1"/>
        <v/>
      </c>
      <c r="S649" s="71" t="str">
        <f t="shared" si="2"/>
        <v/>
      </c>
      <c r="T649" s="71">
        <f t="shared" si="3"/>
        <v>0</v>
      </c>
      <c r="U649" s="43"/>
      <c r="V649" s="486"/>
      <c r="W649" s="43"/>
      <c r="X649" s="43"/>
    </row>
    <row r="650" hidden="1">
      <c r="A650" s="51"/>
      <c r="B650" s="43"/>
      <c r="C650" s="51"/>
      <c r="D650" s="43"/>
      <c r="E650" s="43"/>
      <c r="F650" s="43"/>
      <c r="G650" s="43"/>
      <c r="H650" s="43"/>
      <c r="I650" s="43"/>
      <c r="J650" s="443"/>
      <c r="K650" s="43"/>
      <c r="L650" s="89"/>
      <c r="M650" s="89"/>
      <c r="O650" s="71">
        <f t="shared" si="21"/>
        <v>0</v>
      </c>
      <c r="P650" s="89">
        <f t="shared" si="22"/>
        <v>0</v>
      </c>
      <c r="Q650" s="491" t="str">
        <f>IF(ISBLANK(M650), "", VLOOKUP(A650&amp;" "&amp;B650, 'Info Tipo de Cambio y REM'!$A$24:$B$47, 2, FALSE))</f>
        <v/>
      </c>
      <c r="R650" s="109" t="str">
        <f t="shared" si="1"/>
        <v/>
      </c>
      <c r="S650" s="71" t="str">
        <f t="shared" si="2"/>
        <v/>
      </c>
      <c r="T650" s="71">
        <f t="shared" si="3"/>
        <v>0</v>
      </c>
      <c r="U650" s="43"/>
      <c r="V650" s="486"/>
      <c r="W650" s="43"/>
      <c r="X650" s="43"/>
    </row>
    <row r="651" hidden="1">
      <c r="A651" s="51"/>
      <c r="B651" s="43"/>
      <c r="C651" s="51"/>
      <c r="D651" s="43"/>
      <c r="E651" s="43"/>
      <c r="F651" s="43"/>
      <c r="G651" s="43"/>
      <c r="H651" s="43"/>
      <c r="I651" s="43"/>
      <c r="J651" s="443"/>
      <c r="K651" s="43"/>
      <c r="L651" s="89"/>
      <c r="M651" s="89"/>
      <c r="O651" s="71">
        <f t="shared" si="21"/>
        <v>0</v>
      </c>
      <c r="P651" s="89">
        <f t="shared" si="22"/>
        <v>0</v>
      </c>
      <c r="Q651" s="491" t="str">
        <f>IF(ISBLANK(M651), "", VLOOKUP(A651&amp;" "&amp;B651, 'Info Tipo de Cambio y REM'!$A$24:$B$47, 2, FALSE))</f>
        <v/>
      </c>
      <c r="R651" s="109" t="str">
        <f t="shared" si="1"/>
        <v/>
      </c>
      <c r="S651" s="71" t="str">
        <f t="shared" si="2"/>
        <v/>
      </c>
      <c r="T651" s="71">
        <f t="shared" si="3"/>
        <v>0</v>
      </c>
      <c r="U651" s="43"/>
      <c r="V651" s="486"/>
      <c r="W651" s="43"/>
      <c r="X651" s="43"/>
    </row>
    <row r="652" hidden="1">
      <c r="A652" s="51"/>
      <c r="B652" s="43"/>
      <c r="C652" s="51"/>
      <c r="D652" s="43"/>
      <c r="E652" s="43"/>
      <c r="F652" s="43"/>
      <c r="G652" s="43"/>
      <c r="H652" s="43"/>
      <c r="I652" s="43"/>
      <c r="J652" s="443"/>
      <c r="K652" s="43"/>
      <c r="L652" s="89"/>
      <c r="M652" s="89"/>
      <c r="O652" s="71">
        <f t="shared" si="21"/>
        <v>0</v>
      </c>
      <c r="P652" s="89">
        <f t="shared" si="22"/>
        <v>0</v>
      </c>
      <c r="Q652" s="491" t="str">
        <f>IF(ISBLANK(M652), "", VLOOKUP(A652&amp;" "&amp;B652, 'Info Tipo de Cambio y REM'!$A$24:$B$47, 2, FALSE))</f>
        <v/>
      </c>
      <c r="R652" s="109" t="str">
        <f t="shared" si="1"/>
        <v/>
      </c>
      <c r="S652" s="71" t="str">
        <f t="shared" si="2"/>
        <v/>
      </c>
      <c r="T652" s="71">
        <f t="shared" si="3"/>
        <v>0</v>
      </c>
      <c r="U652" s="43"/>
      <c r="V652" s="486"/>
      <c r="W652" s="43"/>
      <c r="X652" s="43"/>
    </row>
    <row r="653" hidden="1">
      <c r="A653" s="51"/>
      <c r="B653" s="43"/>
      <c r="C653" s="51"/>
      <c r="D653" s="43"/>
      <c r="E653" s="43"/>
      <c r="F653" s="43"/>
      <c r="G653" s="43"/>
      <c r="H653" s="43"/>
      <c r="I653" s="43"/>
      <c r="J653" s="443"/>
      <c r="K653" s="43"/>
      <c r="L653" s="89"/>
      <c r="M653" s="89"/>
      <c r="O653" s="71">
        <f t="shared" si="21"/>
        <v>0</v>
      </c>
      <c r="P653" s="89">
        <f t="shared" si="22"/>
        <v>0</v>
      </c>
      <c r="Q653" s="491" t="str">
        <f>IF(ISBLANK(M653), "", VLOOKUP(A653&amp;" "&amp;B653, 'Info Tipo de Cambio y REM'!$A$24:$B$47, 2, FALSE))</f>
        <v/>
      </c>
      <c r="R653" s="109" t="str">
        <f t="shared" si="1"/>
        <v/>
      </c>
      <c r="S653" s="71" t="str">
        <f t="shared" si="2"/>
        <v/>
      </c>
      <c r="T653" s="71">
        <f t="shared" si="3"/>
        <v>0</v>
      </c>
      <c r="U653" s="43"/>
      <c r="V653" s="486"/>
      <c r="W653" s="43"/>
      <c r="X653" s="43"/>
    </row>
    <row r="654" hidden="1">
      <c r="A654" s="51"/>
      <c r="B654" s="43"/>
      <c r="C654" s="51"/>
      <c r="D654" s="43"/>
      <c r="E654" s="43"/>
      <c r="F654" s="43"/>
      <c r="G654" s="43"/>
      <c r="H654" s="43"/>
      <c r="I654" s="43"/>
      <c r="J654" s="443"/>
      <c r="K654" s="43"/>
      <c r="L654" s="89"/>
      <c r="M654" s="89"/>
      <c r="O654" s="71">
        <f t="shared" si="21"/>
        <v>0</v>
      </c>
      <c r="P654" s="89">
        <f t="shared" si="22"/>
        <v>0</v>
      </c>
      <c r="Q654" s="491" t="str">
        <f>IF(ISBLANK(M654), "", VLOOKUP(A654&amp;" "&amp;B654, 'Info Tipo de Cambio y REM'!$A$24:$B$47, 2, FALSE))</f>
        <v/>
      </c>
      <c r="R654" s="109" t="str">
        <f t="shared" si="1"/>
        <v/>
      </c>
      <c r="S654" s="71" t="str">
        <f t="shared" si="2"/>
        <v/>
      </c>
      <c r="T654" s="71">
        <f t="shared" si="3"/>
        <v>0</v>
      </c>
      <c r="U654" s="43"/>
      <c r="V654" s="486"/>
      <c r="W654" s="43"/>
      <c r="X654" s="43"/>
    </row>
    <row r="655" hidden="1">
      <c r="A655" s="51"/>
      <c r="B655" s="43"/>
      <c r="C655" s="51"/>
      <c r="D655" s="43"/>
      <c r="E655" s="43"/>
      <c r="F655" s="43"/>
      <c r="G655" s="43"/>
      <c r="H655" s="43"/>
      <c r="I655" s="43"/>
      <c r="J655" s="443"/>
      <c r="K655" s="43"/>
      <c r="L655" s="89"/>
      <c r="M655" s="89"/>
      <c r="O655" s="71">
        <f t="shared" si="21"/>
        <v>0</v>
      </c>
      <c r="P655" s="89">
        <f t="shared" si="22"/>
        <v>0</v>
      </c>
      <c r="Q655" s="491" t="str">
        <f>IF(ISBLANK(M655), "", VLOOKUP(A655&amp;" "&amp;B655, 'Info Tipo de Cambio y REM'!$A$24:$B$47, 2, FALSE))</f>
        <v/>
      </c>
      <c r="R655" s="109" t="str">
        <f t="shared" si="1"/>
        <v/>
      </c>
      <c r="S655" s="71" t="str">
        <f t="shared" si="2"/>
        <v/>
      </c>
      <c r="T655" s="71">
        <f t="shared" si="3"/>
        <v>0</v>
      </c>
      <c r="U655" s="43"/>
      <c r="V655" s="486"/>
      <c r="W655" s="43"/>
      <c r="X655" s="43"/>
    </row>
    <row r="656" hidden="1">
      <c r="A656" s="51"/>
      <c r="B656" s="43"/>
      <c r="C656" s="51"/>
      <c r="D656" s="43"/>
      <c r="E656" s="43"/>
      <c r="F656" s="43"/>
      <c r="G656" s="43"/>
      <c r="H656" s="43"/>
      <c r="I656" s="43"/>
      <c r="J656" s="443"/>
      <c r="K656" s="43"/>
      <c r="L656" s="89"/>
      <c r="M656" s="89"/>
      <c r="O656" s="71">
        <f t="shared" si="21"/>
        <v>0</v>
      </c>
      <c r="P656" s="89">
        <f t="shared" si="22"/>
        <v>0</v>
      </c>
      <c r="Q656" s="491" t="str">
        <f>IF(ISBLANK(M656), "", VLOOKUP(A656&amp;" "&amp;B656, 'Info Tipo de Cambio y REM'!$A$24:$B$47, 2, FALSE))</f>
        <v/>
      </c>
      <c r="R656" s="109" t="str">
        <f t="shared" si="1"/>
        <v/>
      </c>
      <c r="S656" s="71" t="str">
        <f t="shared" si="2"/>
        <v/>
      </c>
      <c r="T656" s="71">
        <f t="shared" si="3"/>
        <v>0</v>
      </c>
      <c r="U656" s="43"/>
      <c r="V656" s="486"/>
      <c r="W656" s="43"/>
      <c r="X656" s="43"/>
    </row>
    <row r="657" hidden="1">
      <c r="A657" s="51"/>
      <c r="B657" s="43"/>
      <c r="C657" s="51"/>
      <c r="D657" s="43"/>
      <c r="E657" s="43"/>
      <c r="F657" s="43"/>
      <c r="G657" s="43"/>
      <c r="H657" s="43"/>
      <c r="I657" s="43"/>
      <c r="J657" s="443"/>
      <c r="K657" s="43"/>
      <c r="L657" s="89"/>
      <c r="M657" s="89"/>
      <c r="O657" s="71">
        <f t="shared" si="21"/>
        <v>0</v>
      </c>
      <c r="P657" s="89">
        <f t="shared" si="22"/>
        <v>0</v>
      </c>
      <c r="Q657" s="491" t="str">
        <f>IF(ISBLANK(M657), "", VLOOKUP(A657&amp;" "&amp;B657, 'Info Tipo de Cambio y REM'!$A$24:$B$47, 2, FALSE))</f>
        <v/>
      </c>
      <c r="R657" s="109" t="str">
        <f t="shared" si="1"/>
        <v/>
      </c>
      <c r="S657" s="71" t="str">
        <f t="shared" si="2"/>
        <v/>
      </c>
      <c r="T657" s="71">
        <f t="shared" si="3"/>
        <v>0</v>
      </c>
      <c r="U657" s="43"/>
      <c r="V657" s="486"/>
      <c r="W657" s="43"/>
      <c r="X657" s="43"/>
    </row>
    <row r="658" hidden="1">
      <c r="A658" s="51"/>
      <c r="B658" s="43"/>
      <c r="C658" s="51"/>
      <c r="D658" s="43"/>
      <c r="E658" s="43"/>
      <c r="F658" s="43"/>
      <c r="G658" s="43"/>
      <c r="H658" s="43"/>
      <c r="I658" s="43"/>
      <c r="J658" s="443"/>
      <c r="K658" s="43"/>
      <c r="L658" s="89"/>
      <c r="M658" s="89"/>
      <c r="O658" s="71">
        <f t="shared" si="21"/>
        <v>0</v>
      </c>
      <c r="P658" s="89">
        <f t="shared" si="22"/>
        <v>0</v>
      </c>
      <c r="Q658" s="491" t="str">
        <f>IF(ISBLANK(M658), "", VLOOKUP(A658&amp;" "&amp;B658, 'Info Tipo de Cambio y REM'!$A$24:$B$47, 2, FALSE))</f>
        <v/>
      </c>
      <c r="R658" s="109" t="str">
        <f t="shared" si="1"/>
        <v/>
      </c>
      <c r="S658" s="71" t="str">
        <f t="shared" si="2"/>
        <v/>
      </c>
      <c r="T658" s="71">
        <f t="shared" si="3"/>
        <v>0</v>
      </c>
      <c r="U658" s="43"/>
      <c r="V658" s="486"/>
      <c r="W658" s="43"/>
      <c r="X658" s="43"/>
    </row>
    <row r="659" hidden="1">
      <c r="A659" s="51"/>
      <c r="B659" s="43"/>
      <c r="C659" s="51"/>
      <c r="D659" s="43"/>
      <c r="E659" s="43"/>
      <c r="F659" s="43"/>
      <c r="G659" s="43"/>
      <c r="H659" s="43"/>
      <c r="I659" s="43"/>
      <c r="J659" s="443"/>
      <c r="K659" s="43"/>
      <c r="L659" s="89"/>
      <c r="M659" s="89"/>
      <c r="O659" s="71">
        <f t="shared" si="21"/>
        <v>0</v>
      </c>
      <c r="P659" s="89">
        <f t="shared" si="22"/>
        <v>0</v>
      </c>
      <c r="Q659" s="491" t="str">
        <f>IF(ISBLANK(M659), "", VLOOKUP(A659&amp;" "&amp;B659, 'Info Tipo de Cambio y REM'!$A$24:$B$47, 2, FALSE))</f>
        <v/>
      </c>
      <c r="R659" s="109" t="str">
        <f t="shared" si="1"/>
        <v/>
      </c>
      <c r="S659" s="71" t="str">
        <f t="shared" si="2"/>
        <v/>
      </c>
      <c r="T659" s="71">
        <f t="shared" si="3"/>
        <v>0</v>
      </c>
      <c r="U659" s="43"/>
      <c r="V659" s="486"/>
      <c r="W659" s="43"/>
      <c r="X659" s="43"/>
    </row>
    <row r="660" hidden="1">
      <c r="A660" s="51"/>
      <c r="B660" s="43"/>
      <c r="C660" s="51"/>
      <c r="D660" s="43"/>
      <c r="E660" s="43"/>
      <c r="F660" s="43"/>
      <c r="G660" s="43"/>
      <c r="H660" s="43"/>
      <c r="I660" s="43"/>
      <c r="J660" s="443"/>
      <c r="K660" s="43"/>
      <c r="L660" s="89"/>
      <c r="M660" s="89"/>
      <c r="O660" s="71">
        <f t="shared" si="21"/>
        <v>0</v>
      </c>
      <c r="P660" s="89">
        <f t="shared" si="22"/>
        <v>0</v>
      </c>
      <c r="Q660" s="491" t="str">
        <f>IF(ISBLANK(M660), "", VLOOKUP(A660&amp;" "&amp;B660, 'Info Tipo de Cambio y REM'!$A$24:$B$47, 2, FALSE))</f>
        <v/>
      </c>
      <c r="R660" s="109" t="str">
        <f t="shared" si="1"/>
        <v/>
      </c>
      <c r="S660" s="71" t="str">
        <f t="shared" si="2"/>
        <v/>
      </c>
      <c r="T660" s="71">
        <f t="shared" si="3"/>
        <v>0</v>
      </c>
      <c r="U660" s="43"/>
      <c r="V660" s="486"/>
      <c r="W660" s="43"/>
      <c r="X660" s="43"/>
    </row>
    <row r="661" hidden="1">
      <c r="A661" s="51"/>
      <c r="B661" s="43"/>
      <c r="C661" s="51"/>
      <c r="D661" s="43"/>
      <c r="E661" s="43"/>
      <c r="F661" s="43"/>
      <c r="G661" s="43"/>
      <c r="H661" s="43"/>
      <c r="I661" s="43"/>
      <c r="J661" s="443"/>
      <c r="K661" s="43"/>
      <c r="L661" s="89"/>
      <c r="M661" s="89"/>
      <c r="O661" s="71">
        <f t="shared" si="21"/>
        <v>0</v>
      </c>
      <c r="P661" s="89">
        <f t="shared" si="22"/>
        <v>0</v>
      </c>
      <c r="Q661" s="491" t="str">
        <f>IF(ISBLANK(M661), "", VLOOKUP(A661&amp;" "&amp;B661, 'Info Tipo de Cambio y REM'!$A$24:$B$47, 2, FALSE))</f>
        <v/>
      </c>
      <c r="R661" s="109" t="str">
        <f t="shared" si="1"/>
        <v/>
      </c>
      <c r="S661" s="71" t="str">
        <f t="shared" si="2"/>
        <v/>
      </c>
      <c r="T661" s="71">
        <f t="shared" si="3"/>
        <v>0</v>
      </c>
      <c r="U661" s="43"/>
      <c r="V661" s="486"/>
      <c r="W661" s="43"/>
      <c r="X661" s="43"/>
    </row>
    <row r="662" hidden="1">
      <c r="A662" s="51"/>
      <c r="B662" s="43"/>
      <c r="C662" s="51"/>
      <c r="D662" s="43"/>
      <c r="E662" s="43"/>
      <c r="F662" s="43"/>
      <c r="G662" s="43"/>
      <c r="H662" s="43"/>
      <c r="I662" s="43"/>
      <c r="J662" s="443"/>
      <c r="K662" s="43"/>
      <c r="L662" s="89"/>
      <c r="M662" s="89"/>
      <c r="O662" s="71">
        <f t="shared" si="21"/>
        <v>0</v>
      </c>
      <c r="P662" s="89">
        <f t="shared" si="22"/>
        <v>0</v>
      </c>
      <c r="Q662" s="491" t="str">
        <f>IF(ISBLANK(M662), "", VLOOKUP(A662&amp;" "&amp;B662, 'Info Tipo de Cambio y REM'!$A$24:$B$47, 2, FALSE))</f>
        <v/>
      </c>
      <c r="R662" s="109" t="str">
        <f t="shared" si="1"/>
        <v/>
      </c>
      <c r="S662" s="71" t="str">
        <f t="shared" si="2"/>
        <v/>
      </c>
      <c r="T662" s="71">
        <f t="shared" si="3"/>
        <v>0</v>
      </c>
      <c r="U662" s="43"/>
      <c r="V662" s="486"/>
      <c r="W662" s="43"/>
      <c r="X662" s="43"/>
    </row>
    <row r="663" hidden="1">
      <c r="A663" s="51"/>
      <c r="B663" s="43"/>
      <c r="C663" s="51"/>
      <c r="D663" s="43"/>
      <c r="E663" s="43"/>
      <c r="F663" s="43"/>
      <c r="G663" s="43"/>
      <c r="H663" s="43"/>
      <c r="I663" s="43"/>
      <c r="J663" s="443"/>
      <c r="K663" s="43"/>
      <c r="L663" s="89"/>
      <c r="M663" s="89"/>
      <c r="O663" s="71">
        <f t="shared" si="21"/>
        <v>0</v>
      </c>
      <c r="P663" s="89">
        <f t="shared" si="22"/>
        <v>0</v>
      </c>
      <c r="Q663" s="491" t="str">
        <f>IF(ISBLANK(M663), "", VLOOKUP(A663&amp;" "&amp;B663, 'Info Tipo de Cambio y REM'!$A$24:$B$47, 2, FALSE))</f>
        <v/>
      </c>
      <c r="R663" s="109" t="str">
        <f t="shared" si="1"/>
        <v/>
      </c>
      <c r="S663" s="71" t="str">
        <f t="shared" si="2"/>
        <v/>
      </c>
      <c r="T663" s="71">
        <f t="shared" si="3"/>
        <v>0</v>
      </c>
      <c r="U663" s="43"/>
      <c r="V663" s="486"/>
      <c r="W663" s="43"/>
      <c r="X663" s="43"/>
    </row>
    <row r="664" hidden="1">
      <c r="A664" s="51"/>
      <c r="B664" s="43"/>
      <c r="C664" s="51"/>
      <c r="D664" s="43"/>
      <c r="E664" s="43"/>
      <c r="F664" s="43"/>
      <c r="G664" s="43"/>
      <c r="H664" s="43"/>
      <c r="I664" s="43"/>
      <c r="J664" s="443"/>
      <c r="K664" s="43"/>
      <c r="L664" s="89"/>
      <c r="M664" s="89"/>
      <c r="O664" s="71">
        <f t="shared" si="21"/>
        <v>0</v>
      </c>
      <c r="P664" s="89">
        <f t="shared" si="22"/>
        <v>0</v>
      </c>
      <c r="Q664" s="491" t="str">
        <f>IF(ISBLANK(M664), "", VLOOKUP(A664&amp;" "&amp;B664, 'Info Tipo de Cambio y REM'!$A$24:$B$47, 2, FALSE))</f>
        <v/>
      </c>
      <c r="R664" s="109" t="str">
        <f t="shared" si="1"/>
        <v/>
      </c>
      <c r="S664" s="71" t="str">
        <f t="shared" si="2"/>
        <v/>
      </c>
      <c r="T664" s="71">
        <f t="shared" si="3"/>
        <v>0</v>
      </c>
      <c r="U664" s="43"/>
      <c r="V664" s="486"/>
      <c r="W664" s="43"/>
      <c r="X664" s="43"/>
    </row>
    <row r="665" hidden="1">
      <c r="A665" s="51"/>
      <c r="B665" s="43"/>
      <c r="C665" s="51"/>
      <c r="D665" s="43"/>
      <c r="E665" s="43"/>
      <c r="F665" s="43"/>
      <c r="G665" s="43"/>
      <c r="H665" s="43"/>
      <c r="I665" s="43"/>
      <c r="J665" s="443"/>
      <c r="K665" s="43"/>
      <c r="L665" s="89"/>
      <c r="M665" s="89"/>
      <c r="O665" s="71">
        <f t="shared" si="21"/>
        <v>0</v>
      </c>
      <c r="P665" s="89">
        <f t="shared" si="22"/>
        <v>0</v>
      </c>
      <c r="Q665" s="491" t="str">
        <f>IF(ISBLANK(M665), "", VLOOKUP(A665&amp;" "&amp;B665, 'Info Tipo de Cambio y REM'!$A$24:$B$47, 2, FALSE))</f>
        <v/>
      </c>
      <c r="R665" s="109" t="str">
        <f t="shared" si="1"/>
        <v/>
      </c>
      <c r="S665" s="71" t="str">
        <f t="shared" si="2"/>
        <v/>
      </c>
      <c r="T665" s="71">
        <f t="shared" si="3"/>
        <v>0</v>
      </c>
      <c r="U665" s="43"/>
      <c r="V665" s="486"/>
      <c r="W665" s="43"/>
      <c r="X665" s="43"/>
    </row>
    <row r="666" hidden="1">
      <c r="A666" s="51"/>
      <c r="B666" s="43"/>
      <c r="C666" s="51"/>
      <c r="D666" s="43"/>
      <c r="E666" s="43"/>
      <c r="F666" s="43"/>
      <c r="G666" s="43"/>
      <c r="H666" s="43"/>
      <c r="I666" s="43"/>
      <c r="J666" s="443"/>
      <c r="K666" s="43"/>
      <c r="L666" s="89"/>
      <c r="M666" s="89"/>
      <c r="O666" s="71">
        <f t="shared" si="21"/>
        <v>0</v>
      </c>
      <c r="P666" s="89">
        <f t="shared" si="22"/>
        <v>0</v>
      </c>
      <c r="Q666" s="491" t="str">
        <f>IF(ISBLANK(M666), "", VLOOKUP(A666&amp;" "&amp;B666, 'Info Tipo de Cambio y REM'!$A$24:$B$47, 2, FALSE))</f>
        <v/>
      </c>
      <c r="R666" s="109" t="str">
        <f t="shared" si="1"/>
        <v/>
      </c>
      <c r="S666" s="71" t="str">
        <f t="shared" si="2"/>
        <v/>
      </c>
      <c r="T666" s="71">
        <f t="shared" si="3"/>
        <v>0</v>
      </c>
      <c r="U666" s="43"/>
      <c r="V666" s="486"/>
      <c r="W666" s="43"/>
      <c r="X666" s="43"/>
    </row>
    <row r="667" hidden="1">
      <c r="A667" s="51"/>
      <c r="B667" s="43"/>
      <c r="C667" s="51"/>
      <c r="D667" s="43"/>
      <c r="E667" s="43"/>
      <c r="F667" s="43"/>
      <c r="G667" s="43"/>
      <c r="H667" s="43"/>
      <c r="I667" s="43"/>
      <c r="J667" s="443"/>
      <c r="K667" s="43"/>
      <c r="L667" s="89"/>
      <c r="M667" s="89"/>
      <c r="O667" s="71">
        <f t="shared" si="21"/>
        <v>0</v>
      </c>
      <c r="P667" s="89">
        <f t="shared" si="22"/>
        <v>0</v>
      </c>
      <c r="Q667" s="491" t="str">
        <f>IF(ISBLANK(M667), "", VLOOKUP(A667&amp;" "&amp;B667, 'Info Tipo de Cambio y REM'!$A$24:$B$47, 2, FALSE))</f>
        <v/>
      </c>
      <c r="R667" s="109" t="str">
        <f t="shared" si="1"/>
        <v/>
      </c>
      <c r="S667" s="71" t="str">
        <f t="shared" si="2"/>
        <v/>
      </c>
      <c r="T667" s="71">
        <f t="shared" si="3"/>
        <v>0</v>
      </c>
      <c r="U667" s="43"/>
      <c r="V667" s="486"/>
      <c r="W667" s="43"/>
      <c r="X667" s="43"/>
    </row>
    <row r="668" hidden="1">
      <c r="A668" s="51"/>
      <c r="B668" s="43"/>
      <c r="C668" s="51"/>
      <c r="D668" s="43"/>
      <c r="E668" s="43"/>
      <c r="F668" s="43"/>
      <c r="G668" s="43"/>
      <c r="H668" s="43"/>
      <c r="I668" s="43"/>
      <c r="J668" s="443"/>
      <c r="K668" s="43"/>
      <c r="L668" s="89"/>
      <c r="M668" s="89"/>
      <c r="O668" s="71">
        <f t="shared" si="21"/>
        <v>0</v>
      </c>
      <c r="P668" s="89">
        <f t="shared" si="22"/>
        <v>0</v>
      </c>
      <c r="Q668" s="491" t="str">
        <f>IF(ISBLANK(M668), "", VLOOKUP(A668&amp;" "&amp;B668, 'Info Tipo de Cambio y REM'!$A$24:$B$47, 2, FALSE))</f>
        <v/>
      </c>
      <c r="R668" s="109" t="str">
        <f t="shared" si="1"/>
        <v/>
      </c>
      <c r="S668" s="71" t="str">
        <f t="shared" si="2"/>
        <v/>
      </c>
      <c r="T668" s="71">
        <f t="shared" si="3"/>
        <v>0</v>
      </c>
      <c r="U668" s="43"/>
      <c r="V668" s="486"/>
      <c r="W668" s="43"/>
      <c r="X668" s="43"/>
    </row>
    <row r="669" hidden="1">
      <c r="A669" s="51"/>
      <c r="B669" s="43"/>
      <c r="C669" s="51"/>
      <c r="D669" s="43"/>
      <c r="E669" s="43"/>
      <c r="F669" s="43"/>
      <c r="G669" s="43"/>
      <c r="H669" s="43"/>
      <c r="I669" s="43"/>
      <c r="J669" s="443"/>
      <c r="K669" s="43"/>
      <c r="L669" s="89"/>
      <c r="M669" s="89"/>
      <c r="O669" s="71">
        <f t="shared" si="21"/>
        <v>0</v>
      </c>
      <c r="P669" s="89">
        <f t="shared" si="22"/>
        <v>0</v>
      </c>
      <c r="Q669" s="491" t="str">
        <f>IF(ISBLANK(M669), "", VLOOKUP(A669&amp;" "&amp;B669, 'Info Tipo de Cambio y REM'!$A$24:$B$47, 2, FALSE))</f>
        <v/>
      </c>
      <c r="R669" s="109" t="str">
        <f t="shared" si="1"/>
        <v/>
      </c>
      <c r="S669" s="71" t="str">
        <f t="shared" si="2"/>
        <v/>
      </c>
      <c r="T669" s="71">
        <f t="shared" si="3"/>
        <v>0</v>
      </c>
      <c r="U669" s="43"/>
      <c r="V669" s="486"/>
      <c r="W669" s="43"/>
      <c r="X669" s="43"/>
    </row>
    <row r="670" hidden="1">
      <c r="A670" s="51"/>
      <c r="B670" s="43"/>
      <c r="C670" s="51"/>
      <c r="D670" s="43"/>
      <c r="E670" s="43"/>
      <c r="F670" s="43"/>
      <c r="G670" s="43"/>
      <c r="H670" s="43"/>
      <c r="I670" s="43"/>
      <c r="J670" s="443"/>
      <c r="K670" s="43"/>
      <c r="L670" s="89"/>
      <c r="M670" s="89"/>
      <c r="O670" s="71">
        <f t="shared" si="21"/>
        <v>0</v>
      </c>
      <c r="P670" s="89">
        <f t="shared" si="22"/>
        <v>0</v>
      </c>
      <c r="Q670" s="491" t="str">
        <f>IF(ISBLANK(M670), "", VLOOKUP(A670&amp;" "&amp;B670, 'Info Tipo de Cambio y REM'!$A$24:$B$47, 2, FALSE))</f>
        <v/>
      </c>
      <c r="R670" s="109" t="str">
        <f t="shared" si="1"/>
        <v/>
      </c>
      <c r="S670" s="71" t="str">
        <f t="shared" si="2"/>
        <v/>
      </c>
      <c r="T670" s="71">
        <f t="shared" si="3"/>
        <v>0</v>
      </c>
      <c r="U670" s="43"/>
      <c r="V670" s="486"/>
      <c r="W670" s="43"/>
      <c r="X670" s="43"/>
    </row>
    <row r="671" hidden="1">
      <c r="A671" s="51"/>
      <c r="B671" s="43"/>
      <c r="C671" s="51"/>
      <c r="D671" s="43"/>
      <c r="E671" s="43"/>
      <c r="F671" s="43"/>
      <c r="G671" s="43"/>
      <c r="H671" s="43"/>
      <c r="I671" s="43"/>
      <c r="J671" s="443"/>
      <c r="K671" s="43"/>
      <c r="L671" s="89"/>
      <c r="M671" s="89"/>
      <c r="O671" s="71">
        <f t="shared" si="21"/>
        <v>0</v>
      </c>
      <c r="P671" s="89">
        <f t="shared" si="22"/>
        <v>0</v>
      </c>
      <c r="Q671" s="491" t="str">
        <f>IF(ISBLANK(M671), "", VLOOKUP(A671&amp;" "&amp;B671, 'Info Tipo de Cambio y REM'!$A$24:$B$47, 2, FALSE))</f>
        <v/>
      </c>
      <c r="R671" s="109" t="str">
        <f t="shared" si="1"/>
        <v/>
      </c>
      <c r="S671" s="71" t="str">
        <f t="shared" si="2"/>
        <v/>
      </c>
      <c r="T671" s="71">
        <f t="shared" si="3"/>
        <v>0</v>
      </c>
      <c r="U671" s="43"/>
      <c r="V671" s="486"/>
      <c r="W671" s="43"/>
      <c r="X671" s="43"/>
    </row>
    <row r="672" hidden="1">
      <c r="A672" s="51"/>
      <c r="B672" s="43"/>
      <c r="C672" s="51"/>
      <c r="D672" s="43"/>
      <c r="E672" s="43"/>
      <c r="F672" s="43"/>
      <c r="G672" s="43"/>
      <c r="H672" s="43"/>
      <c r="I672" s="43"/>
      <c r="J672" s="443"/>
      <c r="K672" s="43"/>
      <c r="L672" s="89"/>
      <c r="M672" s="89"/>
      <c r="O672" s="71">
        <f t="shared" si="21"/>
        <v>0</v>
      </c>
      <c r="P672" s="89">
        <f t="shared" si="22"/>
        <v>0</v>
      </c>
      <c r="Q672" s="491" t="str">
        <f>IF(ISBLANK(M672), "", VLOOKUP(A672&amp;" "&amp;B672, 'Info Tipo de Cambio y REM'!$A$24:$B$47, 2, FALSE))</f>
        <v/>
      </c>
      <c r="R672" s="109" t="str">
        <f t="shared" si="1"/>
        <v/>
      </c>
      <c r="S672" s="71" t="str">
        <f t="shared" si="2"/>
        <v/>
      </c>
      <c r="T672" s="71">
        <f t="shared" si="3"/>
        <v>0</v>
      </c>
      <c r="U672" s="43"/>
      <c r="V672" s="486"/>
      <c r="W672" s="43"/>
      <c r="X672" s="43"/>
    </row>
    <row r="673" hidden="1">
      <c r="A673" s="51"/>
      <c r="B673" s="43"/>
      <c r="C673" s="51"/>
      <c r="D673" s="43"/>
      <c r="E673" s="43"/>
      <c r="F673" s="43"/>
      <c r="G673" s="43"/>
      <c r="H673" s="43"/>
      <c r="I673" s="43"/>
      <c r="J673" s="443"/>
      <c r="K673" s="43"/>
      <c r="L673" s="89"/>
      <c r="M673" s="89"/>
      <c r="O673" s="71">
        <f t="shared" si="21"/>
        <v>0</v>
      </c>
      <c r="P673" s="89">
        <f t="shared" si="22"/>
        <v>0</v>
      </c>
      <c r="Q673" s="491" t="str">
        <f>IF(ISBLANK(M673), "", VLOOKUP(A673&amp;" "&amp;B673, 'Info Tipo de Cambio y REM'!$A$24:$B$47, 2, FALSE))</f>
        <v/>
      </c>
      <c r="R673" s="109" t="str">
        <f t="shared" si="1"/>
        <v/>
      </c>
      <c r="S673" s="71" t="str">
        <f t="shared" si="2"/>
        <v/>
      </c>
      <c r="T673" s="71">
        <f t="shared" si="3"/>
        <v>0</v>
      </c>
      <c r="U673" s="43"/>
      <c r="V673" s="486"/>
      <c r="W673" s="43"/>
      <c r="X673" s="43"/>
    </row>
    <row r="674" hidden="1">
      <c r="A674" s="51"/>
      <c r="B674" s="43"/>
      <c r="C674" s="51"/>
      <c r="D674" s="43"/>
      <c r="E674" s="43"/>
      <c r="F674" s="43"/>
      <c r="G674" s="43"/>
      <c r="H674" s="43"/>
      <c r="I674" s="43"/>
      <c r="J674" s="443"/>
      <c r="K674" s="43"/>
      <c r="L674" s="89"/>
      <c r="M674" s="89"/>
      <c r="O674" s="71">
        <f t="shared" si="21"/>
        <v>0</v>
      </c>
      <c r="P674" s="89">
        <f t="shared" si="22"/>
        <v>0</v>
      </c>
      <c r="Q674" s="491" t="str">
        <f>IF(ISBLANK(M674), "", VLOOKUP(A674&amp;" "&amp;B674, 'Info Tipo de Cambio y REM'!$A$24:$B$47, 2, FALSE))</f>
        <v/>
      </c>
      <c r="R674" s="109" t="str">
        <f t="shared" si="1"/>
        <v/>
      </c>
      <c r="S674" s="71" t="str">
        <f t="shared" si="2"/>
        <v/>
      </c>
      <c r="T674" s="71">
        <f t="shared" si="3"/>
        <v>0</v>
      </c>
      <c r="U674" s="43"/>
      <c r="V674" s="486"/>
      <c r="W674" s="43"/>
      <c r="X674" s="43"/>
    </row>
    <row r="675" hidden="1">
      <c r="A675" s="51"/>
      <c r="B675" s="43"/>
      <c r="C675" s="51"/>
      <c r="D675" s="43"/>
      <c r="E675" s="43"/>
      <c r="F675" s="43"/>
      <c r="G675" s="43"/>
      <c r="H675" s="43"/>
      <c r="I675" s="43"/>
      <c r="J675" s="443"/>
      <c r="K675" s="43"/>
      <c r="L675" s="89"/>
      <c r="M675" s="89"/>
      <c r="O675" s="71">
        <f t="shared" si="21"/>
        <v>0</v>
      </c>
      <c r="P675" s="89">
        <f t="shared" si="22"/>
        <v>0</v>
      </c>
      <c r="Q675" s="491" t="str">
        <f>IF(ISBLANK(M675), "", VLOOKUP(A675&amp;" "&amp;B675, 'Info Tipo de Cambio y REM'!$A$24:$B$47, 2, FALSE))</f>
        <v/>
      </c>
      <c r="R675" s="109" t="str">
        <f t="shared" si="1"/>
        <v/>
      </c>
      <c r="S675" s="71" t="str">
        <f t="shared" si="2"/>
        <v/>
      </c>
      <c r="T675" s="71">
        <f t="shared" si="3"/>
        <v>0</v>
      </c>
      <c r="U675" s="43"/>
      <c r="V675" s="486"/>
      <c r="W675" s="43"/>
      <c r="X675" s="43"/>
    </row>
    <row r="676" hidden="1">
      <c r="A676" s="51"/>
      <c r="B676" s="43"/>
      <c r="C676" s="51"/>
      <c r="D676" s="43"/>
      <c r="E676" s="43"/>
      <c r="F676" s="43"/>
      <c r="G676" s="43"/>
      <c r="H676" s="43"/>
      <c r="I676" s="43"/>
      <c r="J676" s="443"/>
      <c r="K676" s="43"/>
      <c r="L676" s="89"/>
      <c r="M676" s="89"/>
      <c r="O676" s="71">
        <f t="shared" si="21"/>
        <v>0</v>
      </c>
      <c r="P676" s="89">
        <f t="shared" si="22"/>
        <v>0</v>
      </c>
      <c r="Q676" s="491" t="str">
        <f>IF(ISBLANK(M676), "", VLOOKUP(A676&amp;" "&amp;B676, 'Info Tipo de Cambio y REM'!$A$24:$B$47, 2, FALSE))</f>
        <v/>
      </c>
      <c r="R676" s="109" t="str">
        <f t="shared" si="1"/>
        <v/>
      </c>
      <c r="S676" s="71" t="str">
        <f t="shared" si="2"/>
        <v/>
      </c>
      <c r="T676" s="71">
        <f t="shared" si="3"/>
        <v>0</v>
      </c>
      <c r="U676" s="43"/>
      <c r="V676" s="486"/>
      <c r="W676" s="43"/>
      <c r="X676" s="43"/>
    </row>
    <row r="677" hidden="1">
      <c r="A677" s="51"/>
      <c r="B677" s="43"/>
      <c r="C677" s="51"/>
      <c r="D677" s="43"/>
      <c r="E677" s="43"/>
      <c r="F677" s="43"/>
      <c r="G677" s="43"/>
      <c r="H677" s="43"/>
      <c r="I677" s="43"/>
      <c r="J677" s="443"/>
      <c r="K677" s="43"/>
      <c r="L677" s="89"/>
      <c r="M677" s="89"/>
      <c r="O677" s="71">
        <f t="shared" si="21"/>
        <v>0</v>
      </c>
      <c r="P677" s="89">
        <f t="shared" si="22"/>
        <v>0</v>
      </c>
      <c r="Q677" s="491" t="str">
        <f>IF(ISBLANK(M677), "", VLOOKUP(A677&amp;" "&amp;B677, 'Info Tipo de Cambio y REM'!$A$24:$B$47, 2, FALSE))</f>
        <v/>
      </c>
      <c r="R677" s="109" t="str">
        <f t="shared" si="1"/>
        <v/>
      </c>
      <c r="S677" s="71" t="str">
        <f t="shared" si="2"/>
        <v/>
      </c>
      <c r="T677" s="71">
        <f t="shared" si="3"/>
        <v>0</v>
      </c>
      <c r="U677" s="43"/>
      <c r="V677" s="486"/>
      <c r="W677" s="43"/>
      <c r="X677" s="43"/>
    </row>
    <row r="678" hidden="1">
      <c r="A678" s="51"/>
      <c r="B678" s="43"/>
      <c r="C678" s="51"/>
      <c r="D678" s="43"/>
      <c r="E678" s="43"/>
      <c r="F678" s="43"/>
      <c r="G678" s="43"/>
      <c r="H678" s="43"/>
      <c r="I678" s="43"/>
      <c r="J678" s="443"/>
      <c r="K678" s="43"/>
      <c r="L678" s="89"/>
      <c r="M678" s="89"/>
      <c r="O678" s="71">
        <f t="shared" si="21"/>
        <v>0</v>
      </c>
      <c r="P678" s="89">
        <f t="shared" si="22"/>
        <v>0</v>
      </c>
      <c r="Q678" s="491" t="str">
        <f>IF(ISBLANK(M678), "", VLOOKUP(A678&amp;" "&amp;B678, 'Info Tipo de Cambio y REM'!$A$24:$B$47, 2, FALSE))</f>
        <v/>
      </c>
      <c r="R678" s="109" t="str">
        <f t="shared" si="1"/>
        <v/>
      </c>
      <c r="S678" s="71" t="str">
        <f t="shared" si="2"/>
        <v/>
      </c>
      <c r="T678" s="71">
        <f t="shared" si="3"/>
        <v>0</v>
      </c>
      <c r="U678" s="43"/>
      <c r="V678" s="486"/>
      <c r="W678" s="43"/>
      <c r="X678" s="43"/>
    </row>
    <row r="679" hidden="1">
      <c r="A679" s="51"/>
      <c r="B679" s="43"/>
      <c r="C679" s="51"/>
      <c r="D679" s="43"/>
      <c r="E679" s="43"/>
      <c r="F679" s="43"/>
      <c r="G679" s="43"/>
      <c r="H679" s="43"/>
      <c r="I679" s="43"/>
      <c r="J679" s="443"/>
      <c r="K679" s="43"/>
      <c r="L679" s="89"/>
      <c r="M679" s="89"/>
      <c r="O679" s="71">
        <f t="shared" si="21"/>
        <v>0</v>
      </c>
      <c r="P679" s="89">
        <f t="shared" si="22"/>
        <v>0</v>
      </c>
      <c r="Q679" s="491" t="str">
        <f>IF(ISBLANK(M679), "", VLOOKUP(A679&amp;" "&amp;B679, 'Info Tipo de Cambio y REM'!$A$24:$B$47, 2, FALSE))</f>
        <v/>
      </c>
      <c r="R679" s="109" t="str">
        <f t="shared" si="1"/>
        <v/>
      </c>
      <c r="S679" s="71" t="str">
        <f t="shared" si="2"/>
        <v/>
      </c>
      <c r="T679" s="71">
        <f t="shared" si="3"/>
        <v>0</v>
      </c>
      <c r="U679" s="43"/>
      <c r="V679" s="486"/>
      <c r="W679" s="43"/>
      <c r="X679" s="43"/>
    </row>
    <row r="680" hidden="1">
      <c r="A680" s="51"/>
      <c r="B680" s="43"/>
      <c r="C680" s="51"/>
      <c r="D680" s="43"/>
      <c r="E680" s="43"/>
      <c r="F680" s="43"/>
      <c r="G680" s="43"/>
      <c r="H680" s="43"/>
      <c r="I680" s="43"/>
      <c r="J680" s="443"/>
      <c r="K680" s="43"/>
      <c r="L680" s="89"/>
      <c r="M680" s="89"/>
      <c r="O680" s="71">
        <f t="shared" si="21"/>
        <v>0</v>
      </c>
      <c r="P680" s="89">
        <f t="shared" si="22"/>
        <v>0</v>
      </c>
      <c r="Q680" s="491" t="str">
        <f>IF(ISBLANK(M680), "", VLOOKUP(A680&amp;" "&amp;B680, 'Info Tipo de Cambio y REM'!$A$24:$B$47, 2, FALSE))</f>
        <v/>
      </c>
      <c r="R680" s="109" t="str">
        <f t="shared" si="1"/>
        <v/>
      </c>
      <c r="S680" s="71" t="str">
        <f t="shared" si="2"/>
        <v/>
      </c>
      <c r="T680" s="71">
        <f t="shared" si="3"/>
        <v>0</v>
      </c>
      <c r="U680" s="43"/>
      <c r="V680" s="486"/>
      <c r="W680" s="43"/>
      <c r="X680" s="43"/>
    </row>
    <row r="681" hidden="1">
      <c r="A681" s="51"/>
      <c r="B681" s="43"/>
      <c r="C681" s="51"/>
      <c r="D681" s="43"/>
      <c r="E681" s="43"/>
      <c r="F681" s="43"/>
      <c r="G681" s="43"/>
      <c r="H681" s="43"/>
      <c r="I681" s="43"/>
      <c r="J681" s="443"/>
      <c r="K681" s="43"/>
      <c r="L681" s="89"/>
      <c r="M681" s="89"/>
      <c r="O681" s="71">
        <f t="shared" si="21"/>
        <v>0</v>
      </c>
      <c r="P681" s="89">
        <f t="shared" si="22"/>
        <v>0</v>
      </c>
      <c r="Q681" s="491" t="str">
        <f>IF(ISBLANK(M681), "", VLOOKUP(A681&amp;" "&amp;B681, 'Info Tipo de Cambio y REM'!$A$24:$B$47, 2, FALSE))</f>
        <v/>
      </c>
      <c r="R681" s="109" t="str">
        <f t="shared" si="1"/>
        <v/>
      </c>
      <c r="S681" s="71" t="str">
        <f t="shared" si="2"/>
        <v/>
      </c>
      <c r="T681" s="71">
        <f t="shared" si="3"/>
        <v>0</v>
      </c>
      <c r="U681" s="43"/>
      <c r="V681" s="486"/>
      <c r="W681" s="43"/>
      <c r="X681" s="43"/>
    </row>
    <row r="682" hidden="1">
      <c r="A682" s="51"/>
      <c r="B682" s="43"/>
      <c r="C682" s="51"/>
      <c r="D682" s="43"/>
      <c r="E682" s="43"/>
      <c r="F682" s="43"/>
      <c r="G682" s="43"/>
      <c r="H682" s="43"/>
      <c r="I682" s="43"/>
      <c r="J682" s="443"/>
      <c r="K682" s="43"/>
      <c r="L682" s="89"/>
      <c r="M682" s="89"/>
      <c r="O682" s="71">
        <f t="shared" si="21"/>
        <v>0</v>
      </c>
      <c r="P682" s="89">
        <f t="shared" si="22"/>
        <v>0</v>
      </c>
      <c r="Q682" s="491" t="str">
        <f>IF(ISBLANK(M682), "", VLOOKUP(A682&amp;" "&amp;B682, 'Info Tipo de Cambio y REM'!$A$24:$B$47, 2, FALSE))</f>
        <v/>
      </c>
      <c r="R682" s="109" t="str">
        <f t="shared" si="1"/>
        <v/>
      </c>
      <c r="S682" s="71" t="str">
        <f t="shared" si="2"/>
        <v/>
      </c>
      <c r="T682" s="71">
        <f t="shared" si="3"/>
        <v>0</v>
      </c>
      <c r="U682" s="43"/>
      <c r="V682" s="486"/>
      <c r="W682" s="43"/>
      <c r="X682" s="43"/>
    </row>
    <row r="683" hidden="1">
      <c r="A683" s="51"/>
      <c r="B683" s="43"/>
      <c r="C683" s="51"/>
      <c r="D683" s="43"/>
      <c r="E683" s="43"/>
      <c r="F683" s="43"/>
      <c r="G683" s="43"/>
      <c r="H683" s="43"/>
      <c r="I683" s="43"/>
      <c r="J683" s="443"/>
      <c r="K683" s="43"/>
      <c r="L683" s="89"/>
      <c r="M683" s="89"/>
      <c r="O683" s="71">
        <f t="shared" si="21"/>
        <v>0</v>
      </c>
      <c r="P683" s="89">
        <f t="shared" si="22"/>
        <v>0</v>
      </c>
      <c r="Q683" s="491" t="str">
        <f>IF(ISBLANK(M683), "", VLOOKUP(A683&amp;" "&amp;B683, 'Info Tipo de Cambio y REM'!$A$24:$B$47, 2, FALSE))</f>
        <v/>
      </c>
      <c r="R683" s="109" t="str">
        <f t="shared" si="1"/>
        <v/>
      </c>
      <c r="S683" s="71" t="str">
        <f t="shared" si="2"/>
        <v/>
      </c>
      <c r="T683" s="71">
        <f t="shared" si="3"/>
        <v>0</v>
      </c>
      <c r="U683" s="43"/>
      <c r="V683" s="486"/>
      <c r="W683" s="43"/>
      <c r="X683" s="43"/>
    </row>
    <row r="684" hidden="1">
      <c r="A684" s="51"/>
      <c r="B684" s="43"/>
      <c r="C684" s="51"/>
      <c r="D684" s="43"/>
      <c r="E684" s="43"/>
      <c r="F684" s="43"/>
      <c r="G684" s="43"/>
      <c r="H684" s="43"/>
      <c r="I684" s="43"/>
      <c r="J684" s="443"/>
      <c r="K684" s="43"/>
      <c r="L684" s="89"/>
      <c r="M684" s="89"/>
      <c r="O684" s="71">
        <f t="shared" si="21"/>
        <v>0</v>
      </c>
      <c r="P684" s="89">
        <f t="shared" si="22"/>
        <v>0</v>
      </c>
      <c r="Q684" s="491" t="str">
        <f>IF(ISBLANK(M684), "", VLOOKUP(A684&amp;" "&amp;B684, 'Info Tipo de Cambio y REM'!$A$24:$B$47, 2, FALSE))</f>
        <v/>
      </c>
      <c r="R684" s="109" t="str">
        <f t="shared" si="1"/>
        <v/>
      </c>
      <c r="S684" s="71" t="str">
        <f t="shared" si="2"/>
        <v/>
      </c>
      <c r="T684" s="71">
        <f t="shared" si="3"/>
        <v>0</v>
      </c>
      <c r="U684" s="43"/>
      <c r="V684" s="486"/>
      <c r="W684" s="43"/>
      <c r="X684" s="43"/>
    </row>
    <row r="685" hidden="1">
      <c r="A685" s="51"/>
      <c r="B685" s="43"/>
      <c r="C685" s="51"/>
      <c r="D685" s="43"/>
      <c r="E685" s="43"/>
      <c r="F685" s="43"/>
      <c r="G685" s="43"/>
      <c r="H685" s="43"/>
      <c r="I685" s="43"/>
      <c r="J685" s="443"/>
      <c r="K685" s="43"/>
      <c r="L685" s="89"/>
      <c r="M685" s="89"/>
      <c r="O685" s="71">
        <f t="shared" si="21"/>
        <v>0</v>
      </c>
      <c r="P685" s="89">
        <f t="shared" si="22"/>
        <v>0</v>
      </c>
      <c r="Q685" s="491" t="str">
        <f>IF(ISBLANK(M685), "", VLOOKUP(A685&amp;" "&amp;B685, 'Info Tipo de Cambio y REM'!$A$24:$B$47, 2, FALSE))</f>
        <v/>
      </c>
      <c r="R685" s="109" t="str">
        <f t="shared" si="1"/>
        <v/>
      </c>
      <c r="S685" s="71" t="str">
        <f t="shared" si="2"/>
        <v/>
      </c>
      <c r="T685" s="71">
        <f t="shared" si="3"/>
        <v>0</v>
      </c>
      <c r="U685" s="43"/>
      <c r="V685" s="486"/>
      <c r="W685" s="43"/>
      <c r="X685" s="43"/>
    </row>
    <row r="686" hidden="1">
      <c r="A686" s="51"/>
      <c r="B686" s="43"/>
      <c r="C686" s="51"/>
      <c r="D686" s="43"/>
      <c r="E686" s="43"/>
      <c r="F686" s="43"/>
      <c r="G686" s="43"/>
      <c r="H686" s="43"/>
      <c r="I686" s="43"/>
      <c r="J686" s="443"/>
      <c r="K686" s="43"/>
      <c r="L686" s="89"/>
      <c r="M686" s="89"/>
      <c r="O686" s="71">
        <f t="shared" si="21"/>
        <v>0</v>
      </c>
      <c r="P686" s="89">
        <f t="shared" si="22"/>
        <v>0</v>
      </c>
      <c r="Q686" s="491" t="str">
        <f>IF(ISBLANK(M686), "", VLOOKUP(A686&amp;" "&amp;B686, 'Info Tipo de Cambio y REM'!$A$24:$B$47, 2, FALSE))</f>
        <v/>
      </c>
      <c r="R686" s="109" t="str">
        <f t="shared" si="1"/>
        <v/>
      </c>
      <c r="S686" s="71" t="str">
        <f t="shared" si="2"/>
        <v/>
      </c>
      <c r="T686" s="71">
        <f t="shared" si="3"/>
        <v>0</v>
      </c>
      <c r="U686" s="43"/>
      <c r="V686" s="486"/>
      <c r="W686" s="43"/>
      <c r="X686" s="43"/>
    </row>
    <row r="687" hidden="1">
      <c r="A687" s="51"/>
      <c r="B687" s="43"/>
      <c r="C687" s="51"/>
      <c r="D687" s="43"/>
      <c r="E687" s="43"/>
      <c r="F687" s="43"/>
      <c r="G687" s="43"/>
      <c r="H687" s="43"/>
      <c r="I687" s="43"/>
      <c r="J687" s="443"/>
      <c r="K687" s="43"/>
      <c r="L687" s="89"/>
      <c r="M687" s="89"/>
      <c r="O687" s="71">
        <f t="shared" si="21"/>
        <v>0</v>
      </c>
      <c r="P687" s="89">
        <f t="shared" si="22"/>
        <v>0</v>
      </c>
      <c r="Q687" s="491" t="str">
        <f>IF(ISBLANK(M687), "", VLOOKUP(A687&amp;" "&amp;B687, 'Info Tipo de Cambio y REM'!$A$24:$B$47, 2, FALSE))</f>
        <v/>
      </c>
      <c r="R687" s="109" t="str">
        <f t="shared" si="1"/>
        <v/>
      </c>
      <c r="S687" s="71" t="str">
        <f t="shared" si="2"/>
        <v/>
      </c>
      <c r="T687" s="71">
        <f t="shared" si="3"/>
        <v>0</v>
      </c>
      <c r="U687" s="43"/>
      <c r="V687" s="486"/>
      <c r="W687" s="43"/>
      <c r="X687" s="43"/>
    </row>
    <row r="688" hidden="1">
      <c r="A688" s="51"/>
      <c r="B688" s="43"/>
      <c r="C688" s="51"/>
      <c r="D688" s="43"/>
      <c r="E688" s="43"/>
      <c r="F688" s="43"/>
      <c r="G688" s="43"/>
      <c r="H688" s="43"/>
      <c r="I688" s="43"/>
      <c r="J688" s="443"/>
      <c r="K688" s="43"/>
      <c r="L688" s="89"/>
      <c r="M688" s="89"/>
      <c r="O688" s="71">
        <f t="shared" si="21"/>
        <v>0</v>
      </c>
      <c r="P688" s="89">
        <f t="shared" si="22"/>
        <v>0</v>
      </c>
      <c r="Q688" s="491" t="str">
        <f>IF(ISBLANK(M688), "", VLOOKUP(A688&amp;" "&amp;B688, 'Info Tipo de Cambio y REM'!$A$24:$B$47, 2, FALSE))</f>
        <v/>
      </c>
      <c r="R688" s="109" t="str">
        <f t="shared" si="1"/>
        <v/>
      </c>
      <c r="S688" s="71" t="str">
        <f t="shared" si="2"/>
        <v/>
      </c>
      <c r="T688" s="71">
        <f t="shared" si="3"/>
        <v>0</v>
      </c>
      <c r="U688" s="43"/>
      <c r="V688" s="486"/>
      <c r="W688" s="43"/>
      <c r="X688" s="43"/>
    </row>
    <row r="689" hidden="1">
      <c r="A689" s="51"/>
      <c r="B689" s="43"/>
      <c r="C689" s="51"/>
      <c r="D689" s="43"/>
      <c r="E689" s="43"/>
      <c r="F689" s="43"/>
      <c r="G689" s="43"/>
      <c r="H689" s="43"/>
      <c r="I689" s="43"/>
      <c r="J689" s="443"/>
      <c r="K689" s="43"/>
      <c r="L689" s="89"/>
      <c r="M689" s="89"/>
      <c r="O689" s="71">
        <f t="shared" si="21"/>
        <v>0</v>
      </c>
      <c r="P689" s="89">
        <f t="shared" si="22"/>
        <v>0</v>
      </c>
      <c r="Q689" s="491" t="str">
        <f>IF(ISBLANK(M689), "", VLOOKUP(A689&amp;" "&amp;B689, 'Info Tipo de Cambio y REM'!$A$24:$B$47, 2, FALSE))</f>
        <v/>
      </c>
      <c r="R689" s="109" t="str">
        <f t="shared" si="1"/>
        <v/>
      </c>
      <c r="S689" s="71" t="str">
        <f t="shared" si="2"/>
        <v/>
      </c>
      <c r="T689" s="71">
        <f t="shared" si="3"/>
        <v>0</v>
      </c>
      <c r="U689" s="43"/>
      <c r="V689" s="486"/>
      <c r="W689" s="43"/>
      <c r="X689" s="43"/>
    </row>
    <row r="690" hidden="1">
      <c r="A690" s="51"/>
      <c r="B690" s="43"/>
      <c r="C690" s="51"/>
      <c r="D690" s="43"/>
      <c r="E690" s="43"/>
      <c r="F690" s="43"/>
      <c r="G690" s="43"/>
      <c r="H690" s="43"/>
      <c r="I690" s="43"/>
      <c r="J690" s="443"/>
      <c r="K690" s="43"/>
      <c r="L690" s="89"/>
      <c r="M690" s="89"/>
      <c r="O690" s="71">
        <f t="shared" si="21"/>
        <v>0</v>
      </c>
      <c r="P690" s="89">
        <f t="shared" si="22"/>
        <v>0</v>
      </c>
      <c r="Q690" s="491" t="str">
        <f>IF(ISBLANK(M690), "", VLOOKUP(A690&amp;" "&amp;B690, 'Info Tipo de Cambio y REM'!$A$24:$B$47, 2, FALSE))</f>
        <v/>
      </c>
      <c r="R690" s="109" t="str">
        <f t="shared" si="1"/>
        <v/>
      </c>
      <c r="S690" s="71" t="str">
        <f t="shared" si="2"/>
        <v/>
      </c>
      <c r="T690" s="71">
        <f t="shared" si="3"/>
        <v>0</v>
      </c>
      <c r="U690" s="43"/>
      <c r="V690" s="486"/>
      <c r="W690" s="43"/>
      <c r="X690" s="43"/>
    </row>
    <row r="691" hidden="1">
      <c r="A691" s="51"/>
      <c r="B691" s="43"/>
      <c r="C691" s="51"/>
      <c r="D691" s="43"/>
      <c r="E691" s="43"/>
      <c r="F691" s="43"/>
      <c r="G691" s="43"/>
      <c r="H691" s="43"/>
      <c r="I691" s="43"/>
      <c r="J691" s="443"/>
      <c r="K691" s="43"/>
      <c r="L691" s="89"/>
      <c r="M691" s="89"/>
      <c r="O691" s="71">
        <f t="shared" si="21"/>
        <v>0</v>
      </c>
      <c r="P691" s="89">
        <f t="shared" si="22"/>
        <v>0</v>
      </c>
      <c r="Q691" s="491" t="str">
        <f>IF(ISBLANK(M691), "", VLOOKUP(A691&amp;" "&amp;B691, 'Info Tipo de Cambio y REM'!$A$24:$B$47, 2, FALSE))</f>
        <v/>
      </c>
      <c r="R691" s="109" t="str">
        <f t="shared" si="1"/>
        <v/>
      </c>
      <c r="S691" s="71" t="str">
        <f t="shared" si="2"/>
        <v/>
      </c>
      <c r="T691" s="71">
        <f t="shared" si="3"/>
        <v>0</v>
      </c>
      <c r="U691" s="43"/>
      <c r="V691" s="486"/>
      <c r="W691" s="43"/>
      <c r="X691" s="43"/>
    </row>
    <row r="692" hidden="1">
      <c r="A692" s="51"/>
      <c r="B692" s="43"/>
      <c r="C692" s="51"/>
      <c r="D692" s="43"/>
      <c r="E692" s="43"/>
      <c r="F692" s="43"/>
      <c r="G692" s="43"/>
      <c r="H692" s="43"/>
      <c r="I692" s="43"/>
      <c r="J692" s="443"/>
      <c r="K692" s="43"/>
      <c r="L692" s="89"/>
      <c r="M692" s="89"/>
      <c r="O692" s="71">
        <f t="shared" si="21"/>
        <v>0</v>
      </c>
      <c r="P692" s="89">
        <f t="shared" si="22"/>
        <v>0</v>
      </c>
      <c r="Q692" s="491" t="str">
        <f>IF(ISBLANK(M692), "", VLOOKUP(A692&amp;" "&amp;B692, 'Info Tipo de Cambio y REM'!$A$24:$B$47, 2, FALSE))</f>
        <v/>
      </c>
      <c r="R692" s="109" t="str">
        <f t="shared" si="1"/>
        <v/>
      </c>
      <c r="S692" s="71" t="str">
        <f t="shared" si="2"/>
        <v/>
      </c>
      <c r="T692" s="71">
        <f t="shared" si="3"/>
        <v>0</v>
      </c>
      <c r="U692" s="43"/>
      <c r="V692" s="486"/>
      <c r="W692" s="43"/>
      <c r="X692" s="43"/>
    </row>
    <row r="693" hidden="1">
      <c r="A693" s="51"/>
      <c r="B693" s="43"/>
      <c r="C693" s="51"/>
      <c r="D693" s="43"/>
      <c r="E693" s="43"/>
      <c r="F693" s="43"/>
      <c r="G693" s="43"/>
      <c r="H693" s="43"/>
      <c r="I693" s="43"/>
      <c r="J693" s="443"/>
      <c r="K693" s="43"/>
      <c r="L693" s="89"/>
      <c r="M693" s="89"/>
      <c r="O693" s="71">
        <f t="shared" si="21"/>
        <v>0</v>
      </c>
      <c r="P693" s="89">
        <f t="shared" si="22"/>
        <v>0</v>
      </c>
      <c r="Q693" s="491" t="str">
        <f>IF(ISBLANK(M693), "", VLOOKUP(A693&amp;" "&amp;B693, 'Info Tipo de Cambio y REM'!$A$24:$B$47, 2, FALSE))</f>
        <v/>
      </c>
      <c r="R693" s="109" t="str">
        <f t="shared" si="1"/>
        <v/>
      </c>
      <c r="S693" s="71" t="str">
        <f t="shared" si="2"/>
        <v/>
      </c>
      <c r="T693" s="71">
        <f t="shared" si="3"/>
        <v>0</v>
      </c>
      <c r="U693" s="43"/>
      <c r="V693" s="486"/>
      <c r="W693" s="43"/>
      <c r="X693" s="43"/>
    </row>
    <row r="694" hidden="1">
      <c r="A694" s="51"/>
      <c r="B694" s="43"/>
      <c r="C694" s="51"/>
      <c r="D694" s="43"/>
      <c r="E694" s="43"/>
      <c r="F694" s="43"/>
      <c r="G694" s="43"/>
      <c r="H694" s="43"/>
      <c r="I694" s="43"/>
      <c r="J694" s="443"/>
      <c r="K694" s="43"/>
      <c r="L694" s="89"/>
      <c r="M694" s="89"/>
      <c r="O694" s="71">
        <f t="shared" si="21"/>
        <v>0</v>
      </c>
      <c r="P694" s="89">
        <f t="shared" si="22"/>
        <v>0</v>
      </c>
      <c r="Q694" s="491" t="str">
        <f>IF(ISBLANK(M694), "", VLOOKUP(A694&amp;" "&amp;B694, 'Info Tipo de Cambio y REM'!$A$24:$B$47, 2, FALSE))</f>
        <v/>
      </c>
      <c r="R694" s="109" t="str">
        <f t="shared" si="1"/>
        <v/>
      </c>
      <c r="S694" s="71" t="str">
        <f t="shared" si="2"/>
        <v/>
      </c>
      <c r="T694" s="71">
        <f t="shared" si="3"/>
        <v>0</v>
      </c>
      <c r="U694" s="43"/>
      <c r="V694" s="486"/>
      <c r="W694" s="43"/>
      <c r="X694" s="43"/>
    </row>
    <row r="695" hidden="1">
      <c r="A695" s="51"/>
      <c r="B695" s="43"/>
      <c r="C695" s="51"/>
      <c r="D695" s="43"/>
      <c r="E695" s="43"/>
      <c r="F695" s="43"/>
      <c r="G695" s="43"/>
      <c r="H695" s="43"/>
      <c r="I695" s="43"/>
      <c r="J695" s="443"/>
      <c r="K695" s="43"/>
      <c r="L695" s="89"/>
      <c r="M695" s="89"/>
      <c r="O695" s="71">
        <f t="shared" si="21"/>
        <v>0</v>
      </c>
      <c r="P695" s="89">
        <f t="shared" si="22"/>
        <v>0</v>
      </c>
      <c r="Q695" s="491" t="str">
        <f>IF(ISBLANK(M695), "", VLOOKUP(A695&amp;" "&amp;B695, 'Info Tipo de Cambio y REM'!$A$24:$B$47, 2, FALSE))</f>
        <v/>
      </c>
      <c r="R695" s="109" t="str">
        <f t="shared" si="1"/>
        <v/>
      </c>
      <c r="S695" s="71" t="str">
        <f t="shared" si="2"/>
        <v/>
      </c>
      <c r="T695" s="71">
        <f t="shared" si="3"/>
        <v>0</v>
      </c>
      <c r="U695" s="43"/>
      <c r="V695" s="486"/>
      <c r="W695" s="43"/>
      <c r="X695" s="43"/>
    </row>
    <row r="696" hidden="1">
      <c r="A696" s="51"/>
      <c r="B696" s="43"/>
      <c r="C696" s="51"/>
      <c r="D696" s="43"/>
      <c r="E696" s="43"/>
      <c r="F696" s="43"/>
      <c r="G696" s="43"/>
      <c r="H696" s="43"/>
      <c r="I696" s="43"/>
      <c r="J696" s="443"/>
      <c r="K696" s="43"/>
      <c r="L696" s="89"/>
      <c r="M696" s="89"/>
      <c r="O696" s="71">
        <f t="shared" si="21"/>
        <v>0</v>
      </c>
      <c r="P696" s="89">
        <f t="shared" si="22"/>
        <v>0</v>
      </c>
      <c r="Q696" s="491" t="str">
        <f>IF(ISBLANK(M696), "", VLOOKUP(A696&amp;" "&amp;B696, 'Info Tipo de Cambio y REM'!$A$24:$B$47, 2, FALSE))</f>
        <v/>
      </c>
      <c r="R696" s="109" t="str">
        <f t="shared" si="1"/>
        <v/>
      </c>
      <c r="S696" s="71" t="str">
        <f t="shared" si="2"/>
        <v/>
      </c>
      <c r="T696" s="71">
        <f t="shared" si="3"/>
        <v>0</v>
      </c>
      <c r="U696" s="43"/>
      <c r="V696" s="486"/>
      <c r="W696" s="43"/>
      <c r="X696" s="43"/>
    </row>
    <row r="697" hidden="1">
      <c r="A697" s="51"/>
      <c r="B697" s="43"/>
      <c r="C697" s="51"/>
      <c r="D697" s="43"/>
      <c r="E697" s="43"/>
      <c r="F697" s="43"/>
      <c r="G697" s="43"/>
      <c r="H697" s="43"/>
      <c r="I697" s="43"/>
      <c r="J697" s="443"/>
      <c r="K697" s="43"/>
      <c r="L697" s="89"/>
      <c r="M697" s="89"/>
      <c r="O697" s="71">
        <f t="shared" si="21"/>
        <v>0</v>
      </c>
      <c r="P697" s="89">
        <f t="shared" si="22"/>
        <v>0</v>
      </c>
      <c r="Q697" s="491" t="str">
        <f>IF(ISBLANK(M697), "", VLOOKUP(A697&amp;" "&amp;B697, 'Info Tipo de Cambio y REM'!$A$24:$B$47, 2, FALSE))</f>
        <v/>
      </c>
      <c r="R697" s="109" t="str">
        <f t="shared" si="1"/>
        <v/>
      </c>
      <c r="S697" s="71" t="str">
        <f t="shared" si="2"/>
        <v/>
      </c>
      <c r="T697" s="71">
        <f t="shared" si="3"/>
        <v>0</v>
      </c>
      <c r="U697" s="43"/>
      <c r="V697" s="486"/>
      <c r="W697" s="43"/>
      <c r="X697" s="43"/>
    </row>
    <row r="698" hidden="1">
      <c r="A698" s="51"/>
      <c r="B698" s="43"/>
      <c r="C698" s="51"/>
      <c r="D698" s="43"/>
      <c r="E698" s="43"/>
      <c r="F698" s="43"/>
      <c r="G698" s="43"/>
      <c r="H698" s="43"/>
      <c r="I698" s="43"/>
      <c r="J698" s="443"/>
      <c r="K698" s="43"/>
      <c r="L698" s="89"/>
      <c r="M698" s="89"/>
      <c r="O698" s="71">
        <f t="shared" si="21"/>
        <v>0</v>
      </c>
      <c r="P698" s="89">
        <f t="shared" si="22"/>
        <v>0</v>
      </c>
      <c r="Q698" s="491" t="str">
        <f>IF(ISBLANK(M698), "", VLOOKUP(A698&amp;" "&amp;B698, 'Info Tipo de Cambio y REM'!$A$24:$B$47, 2, FALSE))</f>
        <v/>
      </c>
      <c r="R698" s="109" t="str">
        <f t="shared" si="1"/>
        <v/>
      </c>
      <c r="S698" s="71" t="str">
        <f t="shared" si="2"/>
        <v/>
      </c>
      <c r="T698" s="71">
        <f t="shared" si="3"/>
        <v>0</v>
      </c>
      <c r="U698" s="43"/>
      <c r="V698" s="486"/>
      <c r="W698" s="43"/>
      <c r="X698" s="43"/>
    </row>
    <row r="699" hidden="1">
      <c r="A699" s="51"/>
      <c r="B699" s="43"/>
      <c r="C699" s="51"/>
      <c r="D699" s="43"/>
      <c r="E699" s="43"/>
      <c r="F699" s="43"/>
      <c r="G699" s="43"/>
      <c r="H699" s="43"/>
      <c r="I699" s="43"/>
      <c r="J699" s="443"/>
      <c r="K699" s="43"/>
      <c r="L699" s="89"/>
      <c r="M699" s="89"/>
      <c r="O699" s="71">
        <f t="shared" si="21"/>
        <v>0</v>
      </c>
      <c r="P699" s="89">
        <f t="shared" si="22"/>
        <v>0</v>
      </c>
      <c r="Q699" s="491" t="str">
        <f>IF(ISBLANK(M699), "", VLOOKUP(A699&amp;" "&amp;B699, 'Info Tipo de Cambio y REM'!$A$24:$B$47, 2, FALSE))</f>
        <v/>
      </c>
      <c r="R699" s="109" t="str">
        <f t="shared" si="1"/>
        <v/>
      </c>
      <c r="S699" s="71" t="str">
        <f t="shared" si="2"/>
        <v/>
      </c>
      <c r="T699" s="71">
        <f t="shared" si="3"/>
        <v>0</v>
      </c>
      <c r="U699" s="43"/>
      <c r="V699" s="486"/>
      <c r="W699" s="43"/>
      <c r="X699" s="43"/>
    </row>
    <row r="700" hidden="1">
      <c r="A700" s="51"/>
      <c r="B700" s="43"/>
      <c r="C700" s="51"/>
      <c r="D700" s="43"/>
      <c r="E700" s="43"/>
      <c r="F700" s="43"/>
      <c r="G700" s="43"/>
      <c r="H700" s="43"/>
      <c r="I700" s="43"/>
      <c r="J700" s="443"/>
      <c r="K700" s="43"/>
      <c r="L700" s="89"/>
      <c r="M700" s="89"/>
      <c r="O700" s="71">
        <f t="shared" si="21"/>
        <v>0</v>
      </c>
      <c r="P700" s="89">
        <f t="shared" si="22"/>
        <v>0</v>
      </c>
      <c r="Q700" s="491" t="str">
        <f>IF(ISBLANK(M700), "", VLOOKUP(A700&amp;" "&amp;B700, 'Info Tipo de Cambio y REM'!$A$24:$B$47, 2, FALSE))</f>
        <v/>
      </c>
      <c r="R700" s="109" t="str">
        <f t="shared" si="1"/>
        <v/>
      </c>
      <c r="S700" s="71" t="str">
        <f t="shared" si="2"/>
        <v/>
      </c>
      <c r="T700" s="71">
        <f t="shared" si="3"/>
        <v>0</v>
      </c>
      <c r="U700" s="43"/>
      <c r="V700" s="486"/>
      <c r="W700" s="43"/>
      <c r="X700" s="43"/>
    </row>
    <row r="701" hidden="1">
      <c r="A701" s="51"/>
      <c r="B701" s="43"/>
      <c r="C701" s="51"/>
      <c r="D701" s="43"/>
      <c r="E701" s="43"/>
      <c r="F701" s="43"/>
      <c r="G701" s="43"/>
      <c r="H701" s="43"/>
      <c r="I701" s="43"/>
      <c r="J701" s="443"/>
      <c r="K701" s="43"/>
      <c r="L701" s="89"/>
      <c r="M701" s="89"/>
      <c r="O701" s="71">
        <f t="shared" si="21"/>
        <v>0</v>
      </c>
      <c r="P701" s="89">
        <f t="shared" si="22"/>
        <v>0</v>
      </c>
      <c r="Q701" s="491" t="str">
        <f>IF(ISBLANK(M701), "", VLOOKUP(A701&amp;" "&amp;B701, 'Info Tipo de Cambio y REM'!$A$24:$B$47, 2, FALSE))</f>
        <v/>
      </c>
      <c r="R701" s="109" t="str">
        <f t="shared" si="1"/>
        <v/>
      </c>
      <c r="S701" s="71" t="str">
        <f t="shared" si="2"/>
        <v/>
      </c>
      <c r="T701" s="71">
        <f t="shared" si="3"/>
        <v>0</v>
      </c>
      <c r="U701" s="43"/>
      <c r="V701" s="486"/>
      <c r="W701" s="43"/>
      <c r="X701" s="43"/>
    </row>
    <row r="702" hidden="1">
      <c r="A702" s="51"/>
      <c r="B702" s="43"/>
      <c r="C702" s="51"/>
      <c r="D702" s="43"/>
      <c r="E702" s="43"/>
      <c r="F702" s="43"/>
      <c r="G702" s="43"/>
      <c r="H702" s="43"/>
      <c r="I702" s="43"/>
      <c r="J702" s="443"/>
      <c r="K702" s="43"/>
      <c r="L702" s="89"/>
      <c r="M702" s="89"/>
      <c r="O702" s="71">
        <f t="shared" si="21"/>
        <v>0</v>
      </c>
      <c r="P702" s="89">
        <f t="shared" si="22"/>
        <v>0</v>
      </c>
      <c r="Q702" s="491" t="str">
        <f>IF(ISBLANK(M702), "", VLOOKUP(A702&amp;" "&amp;B702, 'Info Tipo de Cambio y REM'!$A$24:$B$47, 2, FALSE))</f>
        <v/>
      </c>
      <c r="R702" s="109" t="str">
        <f t="shared" si="1"/>
        <v/>
      </c>
      <c r="S702" s="71" t="str">
        <f t="shared" si="2"/>
        <v/>
      </c>
      <c r="T702" s="71">
        <f t="shared" si="3"/>
        <v>0</v>
      </c>
      <c r="U702" s="43"/>
      <c r="V702" s="486"/>
      <c r="W702" s="43"/>
      <c r="X702" s="43"/>
    </row>
    <row r="703" hidden="1">
      <c r="A703" s="51"/>
      <c r="B703" s="43"/>
      <c r="C703" s="51"/>
      <c r="D703" s="43"/>
      <c r="E703" s="43"/>
      <c r="F703" s="43"/>
      <c r="G703" s="43"/>
      <c r="H703" s="43"/>
      <c r="I703" s="43"/>
      <c r="J703" s="443"/>
      <c r="K703" s="43"/>
      <c r="L703" s="89"/>
      <c r="M703" s="89"/>
      <c r="O703" s="71">
        <f t="shared" si="21"/>
        <v>0</v>
      </c>
      <c r="P703" s="89">
        <f t="shared" si="22"/>
        <v>0</v>
      </c>
      <c r="Q703" s="491" t="str">
        <f>IF(ISBLANK(M703), "", VLOOKUP(A703&amp;" "&amp;B703, 'Info Tipo de Cambio y REM'!$A$24:$B$47, 2, FALSE))</f>
        <v/>
      </c>
      <c r="R703" s="109" t="str">
        <f t="shared" si="1"/>
        <v/>
      </c>
      <c r="S703" s="71" t="str">
        <f t="shared" si="2"/>
        <v/>
      </c>
      <c r="T703" s="71">
        <f t="shared" si="3"/>
        <v>0</v>
      </c>
      <c r="U703" s="43"/>
      <c r="V703" s="486"/>
      <c r="W703" s="43"/>
      <c r="X703" s="43"/>
    </row>
    <row r="704" hidden="1">
      <c r="A704" s="51"/>
      <c r="B704" s="43"/>
      <c r="C704" s="51"/>
      <c r="D704" s="43"/>
      <c r="E704" s="43"/>
      <c r="F704" s="43"/>
      <c r="G704" s="43"/>
      <c r="H704" s="43"/>
      <c r="I704" s="43"/>
      <c r="J704" s="443"/>
      <c r="K704" s="43"/>
      <c r="L704" s="89"/>
      <c r="M704" s="89"/>
      <c r="O704" s="71">
        <f t="shared" si="21"/>
        <v>0</v>
      </c>
      <c r="P704" s="89">
        <f t="shared" si="22"/>
        <v>0</v>
      </c>
      <c r="Q704" s="491" t="str">
        <f>IF(ISBLANK(M704), "", VLOOKUP(A704&amp;" "&amp;B704, 'Info Tipo de Cambio y REM'!$A$24:$B$47, 2, FALSE))</f>
        <v/>
      </c>
      <c r="R704" s="109" t="str">
        <f t="shared" si="1"/>
        <v/>
      </c>
      <c r="S704" s="71" t="str">
        <f t="shared" si="2"/>
        <v/>
      </c>
      <c r="T704" s="71">
        <f t="shared" si="3"/>
        <v>0</v>
      </c>
      <c r="U704" s="43"/>
      <c r="V704" s="486"/>
      <c r="W704" s="43"/>
      <c r="X704" s="43"/>
    </row>
    <row r="705" hidden="1">
      <c r="A705" s="51"/>
      <c r="B705" s="43"/>
      <c r="C705" s="51"/>
      <c r="D705" s="43"/>
      <c r="E705" s="43"/>
      <c r="F705" s="43"/>
      <c r="G705" s="43"/>
      <c r="H705" s="43"/>
      <c r="I705" s="43"/>
      <c r="J705" s="443"/>
      <c r="K705" s="43"/>
      <c r="L705" s="89"/>
      <c r="M705" s="89"/>
      <c r="O705" s="71">
        <f t="shared" si="21"/>
        <v>0</v>
      </c>
      <c r="P705" s="89">
        <f t="shared" si="22"/>
        <v>0</v>
      </c>
      <c r="Q705" s="491" t="str">
        <f>IF(ISBLANK(M705), "", VLOOKUP(A705&amp;" "&amp;B705, 'Info Tipo de Cambio y REM'!$A$24:$B$47, 2, FALSE))</f>
        <v/>
      </c>
      <c r="R705" s="109" t="str">
        <f t="shared" si="1"/>
        <v/>
      </c>
      <c r="S705" s="71" t="str">
        <f t="shared" si="2"/>
        <v/>
      </c>
      <c r="T705" s="71">
        <f t="shared" si="3"/>
        <v>0</v>
      </c>
      <c r="U705" s="43"/>
      <c r="V705" s="486"/>
      <c r="W705" s="43"/>
      <c r="X705" s="43"/>
    </row>
    <row r="706" hidden="1">
      <c r="A706" s="51"/>
      <c r="B706" s="43"/>
      <c r="C706" s="51"/>
      <c r="D706" s="43"/>
      <c r="E706" s="43"/>
      <c r="F706" s="43"/>
      <c r="G706" s="43"/>
      <c r="H706" s="43"/>
      <c r="I706" s="43"/>
      <c r="J706" s="443"/>
      <c r="K706" s="43"/>
      <c r="L706" s="89"/>
      <c r="M706" s="89"/>
      <c r="O706" s="71">
        <f t="shared" si="21"/>
        <v>0</v>
      </c>
      <c r="P706" s="89">
        <f t="shared" si="22"/>
        <v>0</v>
      </c>
      <c r="Q706" s="491" t="str">
        <f>IF(ISBLANK(M706), "", VLOOKUP(A706&amp;" "&amp;B706, 'Info Tipo de Cambio y REM'!$A$24:$B$47, 2, FALSE))</f>
        <v/>
      </c>
      <c r="R706" s="109" t="str">
        <f t="shared" si="1"/>
        <v/>
      </c>
      <c r="S706" s="71" t="str">
        <f t="shared" si="2"/>
        <v/>
      </c>
      <c r="T706" s="71">
        <f t="shared" si="3"/>
        <v>0</v>
      </c>
      <c r="U706" s="43"/>
      <c r="V706" s="486"/>
      <c r="W706" s="43"/>
      <c r="X706" s="43"/>
    </row>
    <row r="707" hidden="1">
      <c r="A707" s="51"/>
      <c r="B707" s="43"/>
      <c r="C707" s="51"/>
      <c r="D707" s="43"/>
      <c r="E707" s="43"/>
      <c r="F707" s="43"/>
      <c r="G707" s="43"/>
      <c r="H707" s="43"/>
      <c r="I707" s="43"/>
      <c r="J707" s="443"/>
      <c r="K707" s="43"/>
      <c r="L707" s="89"/>
      <c r="M707" s="89"/>
      <c r="O707" s="71">
        <f t="shared" si="21"/>
        <v>0</v>
      </c>
      <c r="P707" s="89">
        <f t="shared" si="22"/>
        <v>0</v>
      </c>
      <c r="Q707" s="491" t="str">
        <f>IF(ISBLANK(M707), "", VLOOKUP(A707&amp;" "&amp;B707, 'Info Tipo de Cambio y REM'!$A$24:$B$47, 2, FALSE))</f>
        <v/>
      </c>
      <c r="R707" s="109" t="str">
        <f t="shared" si="1"/>
        <v/>
      </c>
      <c r="S707" s="71" t="str">
        <f t="shared" si="2"/>
        <v/>
      </c>
      <c r="T707" s="71">
        <f t="shared" si="3"/>
        <v>0</v>
      </c>
      <c r="U707" s="43"/>
      <c r="V707" s="486"/>
      <c r="W707" s="43"/>
      <c r="X707" s="43"/>
    </row>
    <row r="708" hidden="1">
      <c r="A708" s="51"/>
      <c r="B708" s="43"/>
      <c r="C708" s="51"/>
      <c r="D708" s="43"/>
      <c r="E708" s="43"/>
      <c r="F708" s="43"/>
      <c r="G708" s="43"/>
      <c r="H708" s="43"/>
      <c r="I708" s="43"/>
      <c r="J708" s="443"/>
      <c r="K708" s="43"/>
      <c r="L708" s="89"/>
      <c r="M708" s="89"/>
      <c r="O708" s="71">
        <f t="shared" si="21"/>
        <v>0</v>
      </c>
      <c r="P708" s="89">
        <f t="shared" si="22"/>
        <v>0</v>
      </c>
      <c r="Q708" s="491" t="str">
        <f>IF(ISBLANK(M708), "", VLOOKUP(A708&amp;" "&amp;B708, 'Info Tipo de Cambio y REM'!$A$24:$B$47, 2, FALSE))</f>
        <v/>
      </c>
      <c r="R708" s="109" t="str">
        <f t="shared" si="1"/>
        <v/>
      </c>
      <c r="S708" s="71" t="str">
        <f t="shared" si="2"/>
        <v/>
      </c>
      <c r="T708" s="71">
        <f t="shared" si="3"/>
        <v>0</v>
      </c>
      <c r="U708" s="43"/>
      <c r="V708" s="486"/>
      <c r="W708" s="43"/>
      <c r="X708" s="43"/>
    </row>
    <row r="709" hidden="1">
      <c r="A709" s="51"/>
      <c r="B709" s="43"/>
      <c r="C709" s="51"/>
      <c r="D709" s="43"/>
      <c r="E709" s="43"/>
      <c r="F709" s="43"/>
      <c r="G709" s="43"/>
      <c r="H709" s="43"/>
      <c r="I709" s="43"/>
      <c r="J709" s="443"/>
      <c r="K709" s="43"/>
      <c r="L709" s="89"/>
      <c r="M709" s="89"/>
      <c r="O709" s="71">
        <f t="shared" si="21"/>
        <v>0</v>
      </c>
      <c r="P709" s="89">
        <f t="shared" si="22"/>
        <v>0</v>
      </c>
      <c r="Q709" s="491" t="str">
        <f>IF(ISBLANK(M709), "", VLOOKUP(A709&amp;" "&amp;B709, 'Info Tipo de Cambio y REM'!$A$24:$B$47, 2, FALSE))</f>
        <v/>
      </c>
      <c r="R709" s="109" t="str">
        <f t="shared" si="1"/>
        <v/>
      </c>
      <c r="S709" s="71" t="str">
        <f t="shared" si="2"/>
        <v/>
      </c>
      <c r="T709" s="71">
        <f t="shared" si="3"/>
        <v>0</v>
      </c>
      <c r="U709" s="43"/>
      <c r="V709" s="486"/>
      <c r="W709" s="43"/>
      <c r="X709" s="43"/>
    </row>
    <row r="710" hidden="1">
      <c r="A710" s="51"/>
      <c r="B710" s="43"/>
      <c r="C710" s="51"/>
      <c r="D710" s="43"/>
      <c r="E710" s="43"/>
      <c r="F710" s="43"/>
      <c r="G710" s="43"/>
      <c r="H710" s="43"/>
      <c r="I710" s="43"/>
      <c r="J710" s="443"/>
      <c r="K710" s="43"/>
      <c r="L710" s="89"/>
      <c r="M710" s="89"/>
      <c r="O710" s="71">
        <f t="shared" si="21"/>
        <v>0</v>
      </c>
      <c r="P710" s="89">
        <f t="shared" si="22"/>
        <v>0</v>
      </c>
      <c r="Q710" s="491" t="str">
        <f>IF(ISBLANK(M710), "", VLOOKUP(A710&amp;" "&amp;B710, 'Info Tipo de Cambio y REM'!$A$24:$B$47, 2, FALSE))</f>
        <v/>
      </c>
      <c r="R710" s="109" t="str">
        <f t="shared" si="1"/>
        <v/>
      </c>
      <c r="S710" s="71" t="str">
        <f t="shared" si="2"/>
        <v/>
      </c>
      <c r="T710" s="71">
        <f t="shared" si="3"/>
        <v>0</v>
      </c>
      <c r="U710" s="43"/>
      <c r="V710" s="486"/>
      <c r="W710" s="43"/>
      <c r="X710" s="43"/>
    </row>
    <row r="711" hidden="1">
      <c r="A711" s="51"/>
      <c r="B711" s="43"/>
      <c r="C711" s="51"/>
      <c r="D711" s="43"/>
      <c r="E711" s="43"/>
      <c r="F711" s="43"/>
      <c r="G711" s="43"/>
      <c r="H711" s="43"/>
      <c r="I711" s="43"/>
      <c r="J711" s="443"/>
      <c r="K711" s="43"/>
      <c r="L711" s="89"/>
      <c r="M711" s="89"/>
      <c r="O711" s="71">
        <f t="shared" si="21"/>
        <v>0</v>
      </c>
      <c r="P711" s="89">
        <f t="shared" si="22"/>
        <v>0</v>
      </c>
      <c r="Q711" s="491" t="str">
        <f>IF(ISBLANK(M711), "", VLOOKUP(A711&amp;" "&amp;B711, 'Info Tipo de Cambio y REM'!$A$24:$B$47, 2, FALSE))</f>
        <v/>
      </c>
      <c r="R711" s="109" t="str">
        <f t="shared" si="1"/>
        <v/>
      </c>
      <c r="S711" s="71" t="str">
        <f t="shared" si="2"/>
        <v/>
      </c>
      <c r="T711" s="71">
        <f t="shared" si="3"/>
        <v>0</v>
      </c>
      <c r="U711" s="43"/>
      <c r="V711" s="486"/>
      <c r="W711" s="43"/>
      <c r="X711" s="43"/>
    </row>
    <row r="712" hidden="1">
      <c r="A712" s="51"/>
      <c r="B712" s="43"/>
      <c r="C712" s="51"/>
      <c r="D712" s="43"/>
      <c r="E712" s="43"/>
      <c r="F712" s="43"/>
      <c r="G712" s="43"/>
      <c r="H712" s="43"/>
      <c r="I712" s="43"/>
      <c r="J712" s="443"/>
      <c r="K712" s="43"/>
      <c r="L712" s="89"/>
      <c r="M712" s="89"/>
      <c r="O712" s="71">
        <f t="shared" si="21"/>
        <v>0</v>
      </c>
      <c r="P712" s="89">
        <f t="shared" si="22"/>
        <v>0</v>
      </c>
      <c r="Q712" s="491" t="str">
        <f>IF(ISBLANK(M712), "", VLOOKUP(A712&amp;" "&amp;B712, 'Info Tipo de Cambio y REM'!$A$24:$B$47, 2, FALSE))</f>
        <v/>
      </c>
      <c r="R712" s="109" t="str">
        <f t="shared" si="1"/>
        <v/>
      </c>
      <c r="S712" s="71" t="str">
        <f t="shared" si="2"/>
        <v/>
      </c>
      <c r="T712" s="71">
        <f t="shared" si="3"/>
        <v>0</v>
      </c>
      <c r="U712" s="43"/>
      <c r="V712" s="486"/>
      <c r="W712" s="43"/>
      <c r="X712" s="43"/>
    </row>
    <row r="713" hidden="1">
      <c r="A713" s="51"/>
      <c r="B713" s="43"/>
      <c r="C713" s="51"/>
      <c r="D713" s="43"/>
      <c r="E713" s="43"/>
      <c r="F713" s="43"/>
      <c r="G713" s="43"/>
      <c r="H713" s="43"/>
      <c r="I713" s="43"/>
      <c r="J713" s="443"/>
      <c r="K713" s="43"/>
      <c r="L713" s="89"/>
      <c r="M713" s="89"/>
      <c r="O713" s="71">
        <f t="shared" si="21"/>
        <v>0</v>
      </c>
      <c r="P713" s="89">
        <f t="shared" si="22"/>
        <v>0</v>
      </c>
      <c r="Q713" s="491" t="str">
        <f>IF(ISBLANK(M713), "", VLOOKUP(A713&amp;" "&amp;B713, 'Info Tipo de Cambio y REM'!$A$24:$B$47, 2, FALSE))</f>
        <v/>
      </c>
      <c r="R713" s="109" t="str">
        <f t="shared" si="1"/>
        <v/>
      </c>
      <c r="S713" s="71" t="str">
        <f t="shared" si="2"/>
        <v/>
      </c>
      <c r="T713" s="71">
        <f t="shared" si="3"/>
        <v>0</v>
      </c>
      <c r="U713" s="43"/>
      <c r="V713" s="486"/>
      <c r="W713" s="43"/>
      <c r="X713" s="43"/>
    </row>
    <row r="714" hidden="1">
      <c r="A714" s="51"/>
      <c r="B714" s="43"/>
      <c r="C714" s="51"/>
      <c r="D714" s="43"/>
      <c r="E714" s="43"/>
      <c r="F714" s="43"/>
      <c r="G714" s="43"/>
      <c r="H714" s="43"/>
      <c r="I714" s="43"/>
      <c r="J714" s="443"/>
      <c r="K714" s="43"/>
      <c r="L714" s="89"/>
      <c r="M714" s="89"/>
      <c r="O714" s="71">
        <f t="shared" si="21"/>
        <v>0</v>
      </c>
      <c r="P714" s="89">
        <f t="shared" si="22"/>
        <v>0</v>
      </c>
      <c r="Q714" s="491" t="str">
        <f>IF(ISBLANK(M714), "", VLOOKUP(A714&amp;" "&amp;B714, 'Info Tipo de Cambio y REM'!$A$24:$B$47, 2, FALSE))</f>
        <v/>
      </c>
      <c r="R714" s="109" t="str">
        <f t="shared" si="1"/>
        <v/>
      </c>
      <c r="S714" s="71" t="str">
        <f t="shared" si="2"/>
        <v/>
      </c>
      <c r="T714" s="71">
        <f t="shared" si="3"/>
        <v>0</v>
      </c>
      <c r="U714" s="43"/>
      <c r="V714" s="486"/>
      <c r="W714" s="43"/>
      <c r="X714" s="43"/>
    </row>
    <row r="715" hidden="1">
      <c r="A715" s="51"/>
      <c r="B715" s="43"/>
      <c r="C715" s="51"/>
      <c r="D715" s="43"/>
      <c r="E715" s="43"/>
      <c r="F715" s="43"/>
      <c r="G715" s="43"/>
      <c r="H715" s="43"/>
      <c r="I715" s="43"/>
      <c r="J715" s="443"/>
      <c r="K715" s="43"/>
      <c r="L715" s="89"/>
      <c r="M715" s="89"/>
      <c r="O715" s="71">
        <f t="shared" si="21"/>
        <v>0</v>
      </c>
      <c r="P715" s="89">
        <f t="shared" si="22"/>
        <v>0</v>
      </c>
      <c r="Q715" s="491" t="str">
        <f>IF(ISBLANK(M715), "", VLOOKUP(A715&amp;" "&amp;B715, 'Info Tipo de Cambio y REM'!$A$24:$B$47, 2, FALSE))</f>
        <v/>
      </c>
      <c r="R715" s="109" t="str">
        <f t="shared" si="1"/>
        <v/>
      </c>
      <c r="S715" s="71" t="str">
        <f t="shared" si="2"/>
        <v/>
      </c>
      <c r="T715" s="71">
        <f t="shared" si="3"/>
        <v>0</v>
      </c>
      <c r="U715" s="43"/>
      <c r="V715" s="486"/>
      <c r="W715" s="43"/>
      <c r="X715" s="43"/>
    </row>
    <row r="716" hidden="1">
      <c r="A716" s="51"/>
      <c r="B716" s="43"/>
      <c r="C716" s="51"/>
      <c r="D716" s="43"/>
      <c r="E716" s="43"/>
      <c r="F716" s="43"/>
      <c r="G716" s="43"/>
      <c r="H716" s="43"/>
      <c r="I716" s="43"/>
      <c r="J716" s="443"/>
      <c r="K716" s="43"/>
      <c r="L716" s="89"/>
      <c r="M716" s="89"/>
      <c r="O716" s="71">
        <f t="shared" si="21"/>
        <v>0</v>
      </c>
      <c r="P716" s="89">
        <f t="shared" si="22"/>
        <v>0</v>
      </c>
      <c r="Q716" s="491" t="str">
        <f>IF(ISBLANK(M716), "", VLOOKUP(A716&amp;" "&amp;B716, 'Info Tipo de Cambio y REM'!$A$24:$B$47, 2, FALSE))</f>
        <v/>
      </c>
      <c r="R716" s="109" t="str">
        <f t="shared" si="1"/>
        <v/>
      </c>
      <c r="S716" s="71" t="str">
        <f t="shared" si="2"/>
        <v/>
      </c>
      <c r="T716" s="71">
        <f t="shared" si="3"/>
        <v>0</v>
      </c>
      <c r="U716" s="43"/>
      <c r="V716" s="486"/>
      <c r="W716" s="43"/>
      <c r="X716" s="43"/>
    </row>
    <row r="717" hidden="1">
      <c r="A717" s="51"/>
      <c r="B717" s="43"/>
      <c r="C717" s="51"/>
      <c r="D717" s="43"/>
      <c r="E717" s="43"/>
      <c r="F717" s="43"/>
      <c r="G717" s="43"/>
      <c r="H717" s="43"/>
      <c r="I717" s="43"/>
      <c r="J717" s="443"/>
      <c r="K717" s="43"/>
      <c r="L717" s="89"/>
      <c r="M717" s="89"/>
      <c r="O717" s="71">
        <f t="shared" si="21"/>
        <v>0</v>
      </c>
      <c r="P717" s="89">
        <f t="shared" si="22"/>
        <v>0</v>
      </c>
      <c r="Q717" s="491" t="str">
        <f>IF(ISBLANK(M717), "", VLOOKUP(A717&amp;" "&amp;B717, 'Info Tipo de Cambio y REM'!$A$24:$B$47, 2, FALSE))</f>
        <v/>
      </c>
      <c r="R717" s="109" t="str">
        <f t="shared" si="1"/>
        <v/>
      </c>
      <c r="S717" s="71" t="str">
        <f t="shared" si="2"/>
        <v/>
      </c>
      <c r="T717" s="71">
        <f t="shared" si="3"/>
        <v>0</v>
      </c>
      <c r="U717" s="43"/>
      <c r="V717" s="486"/>
      <c r="W717" s="43"/>
      <c r="X717" s="43"/>
    </row>
    <row r="718" hidden="1">
      <c r="A718" s="51"/>
      <c r="B718" s="43"/>
      <c r="C718" s="51"/>
      <c r="D718" s="43"/>
      <c r="E718" s="43"/>
      <c r="F718" s="43"/>
      <c r="G718" s="43"/>
      <c r="H718" s="43"/>
      <c r="I718" s="43"/>
      <c r="J718" s="443"/>
      <c r="K718" s="43"/>
      <c r="L718" s="89"/>
      <c r="M718" s="89"/>
      <c r="O718" s="71">
        <f t="shared" si="21"/>
        <v>0</v>
      </c>
      <c r="P718" s="89">
        <f t="shared" si="22"/>
        <v>0</v>
      </c>
      <c r="Q718" s="491" t="str">
        <f>IF(ISBLANK(M718), "", VLOOKUP(A718&amp;" "&amp;B718, 'Info Tipo de Cambio y REM'!$A$24:$B$47, 2, FALSE))</f>
        <v/>
      </c>
      <c r="R718" s="109" t="str">
        <f t="shared" si="1"/>
        <v/>
      </c>
      <c r="S718" s="71" t="str">
        <f t="shared" si="2"/>
        <v/>
      </c>
      <c r="T718" s="71">
        <f t="shared" si="3"/>
        <v>0</v>
      </c>
      <c r="U718" s="43"/>
      <c r="V718" s="486"/>
      <c r="W718" s="43"/>
      <c r="X718" s="43"/>
    </row>
    <row r="719" hidden="1">
      <c r="A719" s="51"/>
      <c r="B719" s="43"/>
      <c r="C719" s="51"/>
      <c r="D719" s="43"/>
      <c r="E719" s="43"/>
      <c r="F719" s="43"/>
      <c r="G719" s="43"/>
      <c r="H719" s="43"/>
      <c r="I719" s="43"/>
      <c r="J719" s="443"/>
      <c r="K719" s="43"/>
      <c r="L719" s="89"/>
      <c r="M719" s="89"/>
      <c r="O719" s="71">
        <f t="shared" si="21"/>
        <v>0</v>
      </c>
      <c r="P719" s="89">
        <f t="shared" si="22"/>
        <v>0</v>
      </c>
      <c r="Q719" s="491" t="str">
        <f>IF(ISBLANK(M719), "", VLOOKUP(A719&amp;" "&amp;B719, 'Info Tipo de Cambio y REM'!$A$24:$B$47, 2, FALSE))</f>
        <v/>
      </c>
      <c r="R719" s="109" t="str">
        <f t="shared" si="1"/>
        <v/>
      </c>
      <c r="S719" s="71" t="str">
        <f t="shared" si="2"/>
        <v/>
      </c>
      <c r="T719" s="71">
        <f t="shared" si="3"/>
        <v>0</v>
      </c>
      <c r="U719" s="43"/>
      <c r="V719" s="486"/>
      <c r="W719" s="43"/>
      <c r="X719" s="43"/>
    </row>
    <row r="720" hidden="1">
      <c r="A720" s="51"/>
      <c r="B720" s="43"/>
      <c r="C720" s="51"/>
      <c r="D720" s="43"/>
      <c r="E720" s="43"/>
      <c r="F720" s="43"/>
      <c r="G720" s="43"/>
      <c r="H720" s="43"/>
      <c r="I720" s="43"/>
      <c r="J720" s="443"/>
      <c r="K720" s="43"/>
      <c r="L720" s="89"/>
      <c r="M720" s="89"/>
      <c r="O720" s="71">
        <f t="shared" si="21"/>
        <v>0</v>
      </c>
      <c r="P720" s="89">
        <f t="shared" si="22"/>
        <v>0</v>
      </c>
      <c r="Q720" s="491" t="str">
        <f>IF(ISBLANK(M720), "", VLOOKUP(A720&amp;" "&amp;B720, 'Info Tipo de Cambio y REM'!$A$24:$B$47, 2, FALSE))</f>
        <v/>
      </c>
      <c r="R720" s="109" t="str">
        <f t="shared" si="1"/>
        <v/>
      </c>
      <c r="S720" s="71" t="str">
        <f t="shared" si="2"/>
        <v/>
      </c>
      <c r="T720" s="71">
        <f t="shared" si="3"/>
        <v>0</v>
      </c>
      <c r="U720" s="43"/>
      <c r="V720" s="486"/>
      <c r="W720" s="43"/>
      <c r="X720" s="43"/>
    </row>
    <row r="721" hidden="1">
      <c r="A721" s="51"/>
      <c r="B721" s="43"/>
      <c r="C721" s="51"/>
      <c r="D721" s="43"/>
      <c r="E721" s="43"/>
      <c r="F721" s="43"/>
      <c r="G721" s="43"/>
      <c r="H721" s="43"/>
      <c r="I721" s="43"/>
      <c r="J721" s="443"/>
      <c r="K721" s="43"/>
      <c r="L721" s="89"/>
      <c r="M721" s="89"/>
      <c r="O721" s="71">
        <f t="shared" si="21"/>
        <v>0</v>
      </c>
      <c r="P721" s="89">
        <f t="shared" si="22"/>
        <v>0</v>
      </c>
      <c r="Q721" s="491" t="str">
        <f>IF(ISBLANK(M721), "", VLOOKUP(A721&amp;" "&amp;B721, 'Info Tipo de Cambio y REM'!$A$24:$B$47, 2, FALSE))</f>
        <v/>
      </c>
      <c r="R721" s="109" t="str">
        <f t="shared" si="1"/>
        <v/>
      </c>
      <c r="S721" s="71" t="str">
        <f t="shared" si="2"/>
        <v/>
      </c>
      <c r="T721" s="71">
        <f t="shared" si="3"/>
        <v>0</v>
      </c>
      <c r="U721" s="43"/>
      <c r="V721" s="486"/>
      <c r="W721" s="43"/>
      <c r="X721" s="43"/>
    </row>
    <row r="722" hidden="1">
      <c r="A722" s="51"/>
      <c r="B722" s="43"/>
      <c r="C722" s="51"/>
      <c r="D722" s="43"/>
      <c r="E722" s="43"/>
      <c r="F722" s="43"/>
      <c r="G722" s="43"/>
      <c r="H722" s="43"/>
      <c r="I722" s="43"/>
      <c r="J722" s="443"/>
      <c r="K722" s="43"/>
      <c r="L722" s="89"/>
      <c r="M722" s="89"/>
      <c r="O722" s="71">
        <f t="shared" si="21"/>
        <v>0</v>
      </c>
      <c r="P722" s="89">
        <f t="shared" si="22"/>
        <v>0</v>
      </c>
      <c r="Q722" s="491" t="str">
        <f>IF(ISBLANK(M722), "", VLOOKUP(A722&amp;" "&amp;B722, 'Info Tipo de Cambio y REM'!$A$24:$B$47, 2, FALSE))</f>
        <v/>
      </c>
      <c r="R722" s="109" t="str">
        <f t="shared" si="1"/>
        <v/>
      </c>
      <c r="S722" s="71" t="str">
        <f t="shared" si="2"/>
        <v/>
      </c>
      <c r="T722" s="71">
        <f t="shared" si="3"/>
        <v>0</v>
      </c>
      <c r="U722" s="43"/>
      <c r="V722" s="486"/>
      <c r="W722" s="43"/>
      <c r="X722" s="43"/>
    </row>
    <row r="723" hidden="1">
      <c r="A723" s="51"/>
      <c r="B723" s="43"/>
      <c r="C723" s="51"/>
      <c r="D723" s="43"/>
      <c r="E723" s="43"/>
      <c r="F723" s="43"/>
      <c r="G723" s="43"/>
      <c r="H723" s="43"/>
      <c r="I723" s="43"/>
      <c r="J723" s="443"/>
      <c r="K723" s="43"/>
      <c r="L723" s="89"/>
      <c r="M723" s="89"/>
      <c r="O723" s="71">
        <f t="shared" si="21"/>
        <v>0</v>
      </c>
      <c r="P723" s="89">
        <f t="shared" si="22"/>
        <v>0</v>
      </c>
      <c r="Q723" s="491" t="str">
        <f>IF(ISBLANK(M723), "", VLOOKUP(A723&amp;" "&amp;B723, 'Info Tipo de Cambio y REM'!$A$24:$B$47, 2, FALSE))</f>
        <v/>
      </c>
      <c r="R723" s="109" t="str">
        <f t="shared" si="1"/>
        <v/>
      </c>
      <c r="S723" s="71" t="str">
        <f t="shared" si="2"/>
        <v/>
      </c>
      <c r="T723" s="71">
        <f t="shared" si="3"/>
        <v>0</v>
      </c>
      <c r="U723" s="43"/>
      <c r="V723" s="486"/>
      <c r="W723" s="43"/>
      <c r="X723" s="43"/>
    </row>
    <row r="724" hidden="1">
      <c r="A724" s="51"/>
      <c r="B724" s="43"/>
      <c r="C724" s="51"/>
      <c r="D724" s="43"/>
      <c r="E724" s="43"/>
      <c r="F724" s="43"/>
      <c r="G724" s="43"/>
      <c r="H724" s="43"/>
      <c r="I724" s="43"/>
      <c r="J724" s="443"/>
      <c r="K724" s="43"/>
      <c r="L724" s="89"/>
      <c r="M724" s="89"/>
      <c r="O724" s="71">
        <f t="shared" si="21"/>
        <v>0</v>
      </c>
      <c r="P724" s="89">
        <f t="shared" si="22"/>
        <v>0</v>
      </c>
      <c r="Q724" s="491" t="str">
        <f>IF(ISBLANK(M724), "", VLOOKUP(A724&amp;" "&amp;B724, 'Info Tipo de Cambio y REM'!$A$24:$B$47, 2, FALSE))</f>
        <v/>
      </c>
      <c r="R724" s="109" t="str">
        <f t="shared" si="1"/>
        <v/>
      </c>
      <c r="S724" s="71" t="str">
        <f t="shared" si="2"/>
        <v/>
      </c>
      <c r="T724" s="71">
        <f t="shared" si="3"/>
        <v>0</v>
      </c>
      <c r="U724" s="43"/>
      <c r="V724" s="486"/>
      <c r="W724" s="43"/>
      <c r="X724" s="43"/>
    </row>
    <row r="725" hidden="1">
      <c r="A725" s="51"/>
      <c r="B725" s="43"/>
      <c r="C725" s="51"/>
      <c r="D725" s="43"/>
      <c r="E725" s="43"/>
      <c r="F725" s="43"/>
      <c r="G725" s="43"/>
      <c r="H725" s="43"/>
      <c r="I725" s="43"/>
      <c r="J725" s="443"/>
      <c r="K725" s="43"/>
      <c r="L725" s="89"/>
      <c r="M725" s="89"/>
      <c r="O725" s="71">
        <f t="shared" si="21"/>
        <v>0</v>
      </c>
      <c r="P725" s="89">
        <f t="shared" si="22"/>
        <v>0</v>
      </c>
      <c r="Q725" s="491" t="str">
        <f>IF(ISBLANK(M725), "", VLOOKUP(A725&amp;" "&amp;B725, 'Info Tipo de Cambio y REM'!$A$24:$B$47, 2, FALSE))</f>
        <v/>
      </c>
      <c r="R725" s="109" t="str">
        <f t="shared" si="1"/>
        <v/>
      </c>
      <c r="S725" s="71" t="str">
        <f t="shared" si="2"/>
        <v/>
      </c>
      <c r="T725" s="71">
        <f t="shared" si="3"/>
        <v>0</v>
      </c>
      <c r="U725" s="43"/>
      <c r="V725" s="486"/>
      <c r="W725" s="43"/>
      <c r="X725" s="43"/>
    </row>
    <row r="726" hidden="1">
      <c r="A726" s="51"/>
      <c r="B726" s="43"/>
      <c r="C726" s="51"/>
      <c r="D726" s="43"/>
      <c r="E726" s="43"/>
      <c r="F726" s="43"/>
      <c r="G726" s="43"/>
      <c r="H726" s="43"/>
      <c r="I726" s="43"/>
      <c r="J726" s="443"/>
      <c r="K726" s="43"/>
      <c r="L726" s="89"/>
      <c r="M726" s="89"/>
      <c r="O726" s="71">
        <f t="shared" si="21"/>
        <v>0</v>
      </c>
      <c r="P726" s="89">
        <f t="shared" si="22"/>
        <v>0</v>
      </c>
      <c r="Q726" s="491" t="str">
        <f>IF(ISBLANK(M726), "", VLOOKUP(A726&amp;" "&amp;B726, 'Info Tipo de Cambio y REM'!$A$24:$B$47, 2, FALSE))</f>
        <v/>
      </c>
      <c r="R726" s="109" t="str">
        <f t="shared" si="1"/>
        <v/>
      </c>
      <c r="S726" s="71" t="str">
        <f t="shared" si="2"/>
        <v/>
      </c>
      <c r="T726" s="71">
        <f t="shared" si="3"/>
        <v>0</v>
      </c>
      <c r="U726" s="43"/>
      <c r="V726" s="486"/>
      <c r="W726" s="43"/>
      <c r="X726" s="43"/>
    </row>
    <row r="727" hidden="1">
      <c r="A727" s="51"/>
      <c r="B727" s="43"/>
      <c r="C727" s="51"/>
      <c r="D727" s="43"/>
      <c r="E727" s="43"/>
      <c r="F727" s="43"/>
      <c r="G727" s="43"/>
      <c r="H727" s="43"/>
      <c r="I727" s="43"/>
      <c r="J727" s="443"/>
      <c r="K727" s="43"/>
      <c r="L727" s="89"/>
      <c r="M727" s="89"/>
      <c r="O727" s="71">
        <f t="shared" si="21"/>
        <v>0</v>
      </c>
      <c r="P727" s="89">
        <f t="shared" si="22"/>
        <v>0</v>
      </c>
      <c r="Q727" s="491" t="str">
        <f>IF(ISBLANK(M727), "", VLOOKUP(A727&amp;" "&amp;B727, 'Info Tipo de Cambio y REM'!$A$24:$B$47, 2, FALSE))</f>
        <v/>
      </c>
      <c r="R727" s="109" t="str">
        <f t="shared" si="1"/>
        <v/>
      </c>
      <c r="S727" s="71" t="str">
        <f t="shared" si="2"/>
        <v/>
      </c>
      <c r="T727" s="71">
        <f t="shared" si="3"/>
        <v>0</v>
      </c>
      <c r="U727" s="43"/>
      <c r="V727" s="486"/>
      <c r="W727" s="43"/>
      <c r="X727" s="43"/>
    </row>
    <row r="728" hidden="1">
      <c r="A728" s="51"/>
      <c r="B728" s="43"/>
      <c r="C728" s="51"/>
      <c r="D728" s="43"/>
      <c r="E728" s="43"/>
      <c r="F728" s="43"/>
      <c r="G728" s="43"/>
      <c r="H728" s="43"/>
      <c r="I728" s="43"/>
      <c r="J728" s="443"/>
      <c r="K728" s="43"/>
      <c r="L728" s="89"/>
      <c r="M728" s="89"/>
      <c r="O728" s="71">
        <f t="shared" si="21"/>
        <v>0</v>
      </c>
      <c r="P728" s="89">
        <f t="shared" si="22"/>
        <v>0</v>
      </c>
      <c r="Q728" s="491" t="str">
        <f>IF(ISBLANK(M728), "", VLOOKUP(A728&amp;" "&amp;B728, 'Info Tipo de Cambio y REM'!$A$24:$B$47, 2, FALSE))</f>
        <v/>
      </c>
      <c r="R728" s="109" t="str">
        <f t="shared" si="1"/>
        <v/>
      </c>
      <c r="S728" s="71" t="str">
        <f t="shared" si="2"/>
        <v/>
      </c>
      <c r="T728" s="71">
        <f t="shared" si="3"/>
        <v>0</v>
      </c>
      <c r="U728" s="43"/>
      <c r="V728" s="486"/>
      <c r="W728" s="43"/>
      <c r="X728" s="43"/>
    </row>
    <row r="729" hidden="1">
      <c r="A729" s="51"/>
      <c r="B729" s="43"/>
      <c r="C729" s="51"/>
      <c r="D729" s="43"/>
      <c r="E729" s="43"/>
      <c r="F729" s="43"/>
      <c r="G729" s="43"/>
      <c r="H729" s="43"/>
      <c r="I729" s="43"/>
      <c r="J729" s="443"/>
      <c r="K729" s="43"/>
      <c r="L729" s="89"/>
      <c r="M729" s="89"/>
      <c r="O729" s="71">
        <f t="shared" si="21"/>
        <v>0</v>
      </c>
      <c r="P729" s="89">
        <f t="shared" si="22"/>
        <v>0</v>
      </c>
      <c r="Q729" s="491" t="str">
        <f>IF(ISBLANK(M729), "", VLOOKUP(A729&amp;" "&amp;B729, 'Info Tipo de Cambio y REM'!$A$24:$B$47, 2, FALSE))</f>
        <v/>
      </c>
      <c r="R729" s="109" t="str">
        <f t="shared" si="1"/>
        <v/>
      </c>
      <c r="S729" s="71" t="str">
        <f t="shared" si="2"/>
        <v/>
      </c>
      <c r="T729" s="71">
        <f t="shared" si="3"/>
        <v>0</v>
      </c>
      <c r="U729" s="43"/>
      <c r="V729" s="486"/>
      <c r="W729" s="43"/>
      <c r="X729" s="43"/>
    </row>
    <row r="730" hidden="1">
      <c r="A730" s="51"/>
      <c r="B730" s="43"/>
      <c r="C730" s="51"/>
      <c r="D730" s="43"/>
      <c r="E730" s="43"/>
      <c r="F730" s="43"/>
      <c r="G730" s="43"/>
      <c r="H730" s="43"/>
      <c r="I730" s="43"/>
      <c r="J730" s="443"/>
      <c r="K730" s="43"/>
      <c r="L730" s="89"/>
      <c r="M730" s="89"/>
      <c r="O730" s="71">
        <f t="shared" si="21"/>
        <v>0</v>
      </c>
      <c r="P730" s="89">
        <f t="shared" si="22"/>
        <v>0</v>
      </c>
      <c r="Q730" s="491" t="str">
        <f>IF(ISBLANK(M730), "", VLOOKUP(A730&amp;" "&amp;B730, 'Info Tipo de Cambio y REM'!$A$24:$B$47, 2, FALSE))</f>
        <v/>
      </c>
      <c r="R730" s="109" t="str">
        <f t="shared" si="1"/>
        <v/>
      </c>
      <c r="S730" s="71" t="str">
        <f t="shared" si="2"/>
        <v/>
      </c>
      <c r="T730" s="71">
        <f t="shared" si="3"/>
        <v>0</v>
      </c>
      <c r="U730" s="43"/>
      <c r="V730" s="486"/>
      <c r="W730" s="43"/>
      <c r="X730" s="43"/>
    </row>
    <row r="731" hidden="1">
      <c r="A731" s="51"/>
      <c r="B731" s="43"/>
      <c r="C731" s="51"/>
      <c r="D731" s="43"/>
      <c r="E731" s="43"/>
      <c r="F731" s="43"/>
      <c r="G731" s="43"/>
      <c r="H731" s="43"/>
      <c r="I731" s="43"/>
      <c r="J731" s="443"/>
      <c r="K731" s="43"/>
      <c r="L731" s="89"/>
      <c r="M731" s="89"/>
      <c r="O731" s="71">
        <f t="shared" si="21"/>
        <v>0</v>
      </c>
      <c r="P731" s="89">
        <f t="shared" si="22"/>
        <v>0</v>
      </c>
      <c r="Q731" s="491" t="str">
        <f>IF(ISBLANK(M731), "", VLOOKUP(A731&amp;" "&amp;B731, 'Info Tipo de Cambio y REM'!$A$24:$B$47, 2, FALSE))</f>
        <v/>
      </c>
      <c r="R731" s="109" t="str">
        <f t="shared" si="1"/>
        <v/>
      </c>
      <c r="S731" s="71" t="str">
        <f t="shared" si="2"/>
        <v/>
      </c>
      <c r="T731" s="71">
        <f t="shared" si="3"/>
        <v>0</v>
      </c>
      <c r="U731" s="43"/>
      <c r="V731" s="486"/>
      <c r="W731" s="43"/>
      <c r="X731" s="43"/>
    </row>
    <row r="732" hidden="1">
      <c r="A732" s="51"/>
      <c r="B732" s="43"/>
      <c r="C732" s="51"/>
      <c r="D732" s="43"/>
      <c r="E732" s="43"/>
      <c r="F732" s="43"/>
      <c r="G732" s="43"/>
      <c r="H732" s="43"/>
      <c r="I732" s="43"/>
      <c r="J732" s="443"/>
      <c r="K732" s="43"/>
      <c r="L732" s="89"/>
      <c r="M732" s="89"/>
      <c r="O732" s="71">
        <f t="shared" si="21"/>
        <v>0</v>
      </c>
      <c r="P732" s="89">
        <f t="shared" si="22"/>
        <v>0</v>
      </c>
      <c r="Q732" s="491" t="str">
        <f>IF(ISBLANK(M732), "", VLOOKUP(A732&amp;" "&amp;B732, 'Info Tipo de Cambio y REM'!$A$24:$B$47, 2, FALSE))</f>
        <v/>
      </c>
      <c r="R732" s="109" t="str">
        <f t="shared" si="1"/>
        <v/>
      </c>
      <c r="S732" s="71" t="str">
        <f t="shared" si="2"/>
        <v/>
      </c>
      <c r="T732" s="71">
        <f t="shared" si="3"/>
        <v>0</v>
      </c>
      <c r="U732" s="43"/>
      <c r="V732" s="486"/>
      <c r="W732" s="43"/>
      <c r="X732" s="43"/>
    </row>
    <row r="733" hidden="1">
      <c r="A733" s="51"/>
      <c r="B733" s="43"/>
      <c r="C733" s="51"/>
      <c r="D733" s="43"/>
      <c r="E733" s="43"/>
      <c r="F733" s="43"/>
      <c r="G733" s="43"/>
      <c r="H733" s="43"/>
      <c r="I733" s="43"/>
      <c r="J733" s="443"/>
      <c r="K733" s="43"/>
      <c r="L733" s="89"/>
      <c r="M733" s="89"/>
      <c r="O733" s="71">
        <f t="shared" si="21"/>
        <v>0</v>
      </c>
      <c r="P733" s="89">
        <f t="shared" si="22"/>
        <v>0</v>
      </c>
      <c r="Q733" s="491" t="str">
        <f>IF(ISBLANK(M733), "", VLOOKUP(A733&amp;" "&amp;B733, 'Info Tipo de Cambio y REM'!$A$24:$B$47, 2, FALSE))</f>
        <v/>
      </c>
      <c r="R733" s="109" t="str">
        <f t="shared" si="1"/>
        <v/>
      </c>
      <c r="S733" s="71" t="str">
        <f t="shared" si="2"/>
        <v/>
      </c>
      <c r="T733" s="71">
        <f t="shared" si="3"/>
        <v>0</v>
      </c>
      <c r="U733" s="43"/>
      <c r="V733" s="486"/>
      <c r="W733" s="43"/>
      <c r="X733" s="43"/>
    </row>
    <row r="734" hidden="1">
      <c r="A734" s="51"/>
      <c r="B734" s="43"/>
      <c r="C734" s="51"/>
      <c r="D734" s="43"/>
      <c r="E734" s="43"/>
      <c r="F734" s="43"/>
      <c r="G734" s="43"/>
      <c r="H734" s="43"/>
      <c r="I734" s="43"/>
      <c r="J734" s="443"/>
      <c r="K734" s="43"/>
      <c r="L734" s="89"/>
      <c r="M734" s="89"/>
      <c r="O734" s="71">
        <f t="shared" si="21"/>
        <v>0</v>
      </c>
      <c r="P734" s="89">
        <f t="shared" si="22"/>
        <v>0</v>
      </c>
      <c r="Q734" s="491" t="str">
        <f>IF(ISBLANK(M734), "", VLOOKUP(A734&amp;" "&amp;B734, 'Info Tipo de Cambio y REM'!$A$24:$B$47, 2, FALSE))</f>
        <v/>
      </c>
      <c r="R734" s="109" t="str">
        <f t="shared" si="1"/>
        <v/>
      </c>
      <c r="S734" s="71" t="str">
        <f t="shared" si="2"/>
        <v/>
      </c>
      <c r="T734" s="71">
        <f t="shared" si="3"/>
        <v>0</v>
      </c>
      <c r="U734" s="43"/>
      <c r="V734" s="486"/>
      <c r="W734" s="43"/>
      <c r="X734" s="43"/>
    </row>
    <row r="735" hidden="1">
      <c r="A735" s="51"/>
      <c r="B735" s="43"/>
      <c r="C735" s="51"/>
      <c r="D735" s="43"/>
      <c r="E735" s="43"/>
      <c r="F735" s="43"/>
      <c r="G735" s="43"/>
      <c r="H735" s="43"/>
      <c r="I735" s="43"/>
      <c r="J735" s="443"/>
      <c r="K735" s="43"/>
      <c r="L735" s="89"/>
      <c r="M735" s="89"/>
      <c r="O735" s="71">
        <f t="shared" si="21"/>
        <v>0</v>
      </c>
      <c r="P735" s="89">
        <f t="shared" si="22"/>
        <v>0</v>
      </c>
      <c r="Q735" s="491" t="str">
        <f>IF(ISBLANK(M735), "", VLOOKUP(A735&amp;" "&amp;B735, 'Info Tipo de Cambio y REM'!$A$24:$B$47, 2, FALSE))</f>
        <v/>
      </c>
      <c r="R735" s="109" t="str">
        <f t="shared" si="1"/>
        <v/>
      </c>
      <c r="S735" s="71" t="str">
        <f t="shared" si="2"/>
        <v/>
      </c>
      <c r="T735" s="71">
        <f t="shared" si="3"/>
        <v>0</v>
      </c>
      <c r="U735" s="43"/>
      <c r="V735" s="486"/>
      <c r="W735" s="43"/>
      <c r="X735" s="43"/>
    </row>
    <row r="736" hidden="1">
      <c r="A736" s="51"/>
      <c r="B736" s="43"/>
      <c r="C736" s="51"/>
      <c r="D736" s="43"/>
      <c r="E736" s="43"/>
      <c r="F736" s="43"/>
      <c r="G736" s="43"/>
      <c r="H736" s="43"/>
      <c r="I736" s="43"/>
      <c r="J736" s="443"/>
      <c r="K736" s="43"/>
      <c r="L736" s="89"/>
      <c r="M736" s="89"/>
      <c r="O736" s="71">
        <f t="shared" si="21"/>
        <v>0</v>
      </c>
      <c r="P736" s="89">
        <f t="shared" si="22"/>
        <v>0</v>
      </c>
      <c r="Q736" s="491" t="str">
        <f>IF(ISBLANK(M736), "", VLOOKUP(A736&amp;" "&amp;B736, 'Info Tipo de Cambio y REM'!$A$24:$B$47, 2, FALSE))</f>
        <v/>
      </c>
      <c r="R736" s="109" t="str">
        <f t="shared" si="1"/>
        <v/>
      </c>
      <c r="S736" s="71" t="str">
        <f t="shared" si="2"/>
        <v/>
      </c>
      <c r="T736" s="71">
        <f t="shared" si="3"/>
        <v>0</v>
      </c>
      <c r="U736" s="43"/>
      <c r="V736" s="486"/>
      <c r="W736" s="43"/>
      <c r="X736" s="43"/>
    </row>
    <row r="737" hidden="1">
      <c r="A737" s="51"/>
      <c r="B737" s="43"/>
      <c r="C737" s="51"/>
      <c r="D737" s="43"/>
      <c r="E737" s="43"/>
      <c r="F737" s="43"/>
      <c r="G737" s="43"/>
      <c r="H737" s="43"/>
      <c r="I737" s="43"/>
      <c r="J737" s="443"/>
      <c r="K737" s="43"/>
      <c r="L737" s="89"/>
      <c r="M737" s="89"/>
      <c r="O737" s="71">
        <f t="shared" si="21"/>
        <v>0</v>
      </c>
      <c r="P737" s="89">
        <f t="shared" si="22"/>
        <v>0</v>
      </c>
      <c r="Q737" s="491" t="str">
        <f>IF(ISBLANK(M737), "", VLOOKUP(A737&amp;" "&amp;B737, 'Info Tipo de Cambio y REM'!$A$24:$B$47, 2, FALSE))</f>
        <v/>
      </c>
      <c r="R737" s="109" t="str">
        <f t="shared" si="1"/>
        <v/>
      </c>
      <c r="S737" s="71" t="str">
        <f t="shared" si="2"/>
        <v/>
      </c>
      <c r="T737" s="71">
        <f t="shared" si="3"/>
        <v>0</v>
      </c>
      <c r="U737" s="43"/>
      <c r="V737" s="486"/>
      <c r="W737" s="43"/>
      <c r="X737" s="43"/>
    </row>
    <row r="738" hidden="1">
      <c r="A738" s="51"/>
      <c r="B738" s="43"/>
      <c r="C738" s="51"/>
      <c r="D738" s="43"/>
      <c r="E738" s="43"/>
      <c r="F738" s="43"/>
      <c r="G738" s="43"/>
      <c r="H738" s="43"/>
      <c r="I738" s="43"/>
      <c r="J738" s="443"/>
      <c r="K738" s="43"/>
      <c r="L738" s="89"/>
      <c r="M738" s="89"/>
      <c r="O738" s="71">
        <f t="shared" si="21"/>
        <v>0</v>
      </c>
      <c r="P738" s="89">
        <f t="shared" si="22"/>
        <v>0</v>
      </c>
      <c r="Q738" s="491" t="str">
        <f>IF(ISBLANK(M738), "", VLOOKUP(A738&amp;" "&amp;B738, 'Info Tipo de Cambio y REM'!$A$24:$B$47, 2, FALSE))</f>
        <v/>
      </c>
      <c r="R738" s="109" t="str">
        <f t="shared" si="1"/>
        <v/>
      </c>
      <c r="S738" s="71" t="str">
        <f t="shared" si="2"/>
        <v/>
      </c>
      <c r="T738" s="71">
        <f t="shared" si="3"/>
        <v>0</v>
      </c>
      <c r="U738" s="43"/>
      <c r="V738" s="486"/>
      <c r="W738" s="43"/>
      <c r="X738" s="43"/>
    </row>
    <row r="739" hidden="1">
      <c r="A739" s="51"/>
      <c r="B739" s="43"/>
      <c r="C739" s="51"/>
      <c r="D739" s="43"/>
      <c r="E739" s="43"/>
      <c r="F739" s="43"/>
      <c r="G739" s="43"/>
      <c r="H739" s="43"/>
      <c r="I739" s="43"/>
      <c r="J739" s="443"/>
      <c r="K739" s="43"/>
      <c r="L739" s="89"/>
      <c r="M739" s="89"/>
      <c r="O739" s="71">
        <f t="shared" si="21"/>
        <v>0</v>
      </c>
      <c r="P739" s="89">
        <f t="shared" si="22"/>
        <v>0</v>
      </c>
      <c r="Q739" s="491" t="str">
        <f>IF(ISBLANK(M739), "", VLOOKUP(A739&amp;" "&amp;B739, 'Info Tipo de Cambio y REM'!$A$24:$B$47, 2, FALSE))</f>
        <v/>
      </c>
      <c r="R739" s="109" t="str">
        <f t="shared" si="1"/>
        <v/>
      </c>
      <c r="S739" s="71" t="str">
        <f t="shared" si="2"/>
        <v/>
      </c>
      <c r="T739" s="71">
        <f t="shared" si="3"/>
        <v>0</v>
      </c>
      <c r="U739" s="43"/>
      <c r="V739" s="486"/>
      <c r="W739" s="43"/>
      <c r="X739" s="43"/>
    </row>
    <row r="740" hidden="1">
      <c r="A740" s="51"/>
      <c r="B740" s="43"/>
      <c r="C740" s="51"/>
      <c r="D740" s="43"/>
      <c r="E740" s="43"/>
      <c r="F740" s="43"/>
      <c r="G740" s="43"/>
      <c r="H740" s="43"/>
      <c r="I740" s="43"/>
      <c r="J740" s="443"/>
      <c r="K740" s="43"/>
      <c r="L740" s="89"/>
      <c r="M740" s="89"/>
      <c r="O740" s="71">
        <f t="shared" si="21"/>
        <v>0</v>
      </c>
      <c r="P740" s="89">
        <f t="shared" si="22"/>
        <v>0</v>
      </c>
      <c r="Q740" s="491" t="str">
        <f>IF(ISBLANK(M740), "", VLOOKUP(A740&amp;" "&amp;B740, 'Info Tipo de Cambio y REM'!$A$24:$B$47, 2, FALSE))</f>
        <v/>
      </c>
      <c r="R740" s="109" t="str">
        <f t="shared" si="1"/>
        <v/>
      </c>
      <c r="S740" s="71" t="str">
        <f t="shared" si="2"/>
        <v/>
      </c>
      <c r="T740" s="71">
        <f t="shared" si="3"/>
        <v>0</v>
      </c>
      <c r="U740" s="43"/>
      <c r="V740" s="486"/>
      <c r="W740" s="43"/>
      <c r="X740" s="43"/>
    </row>
    <row r="741" hidden="1">
      <c r="A741" s="51"/>
      <c r="B741" s="43"/>
      <c r="C741" s="51"/>
      <c r="D741" s="43"/>
      <c r="E741" s="43"/>
      <c r="F741" s="43"/>
      <c r="G741" s="43"/>
      <c r="H741" s="43"/>
      <c r="I741" s="43"/>
      <c r="J741" s="443"/>
      <c r="K741" s="43"/>
      <c r="L741" s="89"/>
      <c r="M741" s="89"/>
      <c r="O741" s="71">
        <f t="shared" si="21"/>
        <v>0</v>
      </c>
      <c r="P741" s="89">
        <f t="shared" si="22"/>
        <v>0</v>
      </c>
      <c r="Q741" s="491" t="str">
        <f>IF(ISBLANK(M741), "", VLOOKUP(A741&amp;" "&amp;B741, 'Info Tipo de Cambio y REM'!$A$24:$B$47, 2, FALSE))</f>
        <v/>
      </c>
      <c r="R741" s="109" t="str">
        <f t="shared" si="1"/>
        <v/>
      </c>
      <c r="S741" s="71" t="str">
        <f t="shared" si="2"/>
        <v/>
      </c>
      <c r="T741" s="71">
        <f t="shared" si="3"/>
        <v>0</v>
      </c>
      <c r="U741" s="43"/>
      <c r="V741" s="486"/>
      <c r="W741" s="43"/>
      <c r="X741" s="43"/>
    </row>
    <row r="742" hidden="1">
      <c r="A742" s="51"/>
      <c r="B742" s="43"/>
      <c r="C742" s="51"/>
      <c r="D742" s="43"/>
      <c r="E742" s="43"/>
      <c r="F742" s="43"/>
      <c r="G742" s="43"/>
      <c r="H742" s="43"/>
      <c r="I742" s="43"/>
      <c r="J742" s="443"/>
      <c r="K742" s="43"/>
      <c r="L742" s="89"/>
      <c r="M742" s="89"/>
      <c r="O742" s="71">
        <f t="shared" si="21"/>
        <v>0</v>
      </c>
      <c r="P742" s="89">
        <f t="shared" si="22"/>
        <v>0</v>
      </c>
      <c r="Q742" s="491" t="str">
        <f>IF(ISBLANK(M742), "", VLOOKUP(A742&amp;" "&amp;B742, 'Info Tipo de Cambio y REM'!$A$24:$B$47, 2, FALSE))</f>
        <v/>
      </c>
      <c r="R742" s="109" t="str">
        <f t="shared" si="1"/>
        <v/>
      </c>
      <c r="S742" s="71" t="str">
        <f t="shared" si="2"/>
        <v/>
      </c>
      <c r="T742" s="71">
        <f t="shared" si="3"/>
        <v>0</v>
      </c>
      <c r="U742" s="43"/>
      <c r="V742" s="486"/>
      <c r="W742" s="43"/>
      <c r="X742" s="43"/>
    </row>
    <row r="743" hidden="1">
      <c r="A743" s="51"/>
      <c r="B743" s="43"/>
      <c r="C743" s="51"/>
      <c r="D743" s="43"/>
      <c r="E743" s="43"/>
      <c r="F743" s="43"/>
      <c r="G743" s="43"/>
      <c r="H743" s="43"/>
      <c r="I743" s="43"/>
      <c r="J743" s="443"/>
      <c r="K743" s="43"/>
      <c r="L743" s="89"/>
      <c r="M743" s="89"/>
      <c r="O743" s="71">
        <f t="shared" si="21"/>
        <v>0</v>
      </c>
      <c r="P743" s="89">
        <f t="shared" si="22"/>
        <v>0</v>
      </c>
      <c r="Q743" s="491" t="str">
        <f>IF(ISBLANK(M743), "", VLOOKUP(A743&amp;" "&amp;B743, 'Info Tipo de Cambio y REM'!$A$24:$B$47, 2, FALSE))</f>
        <v/>
      </c>
      <c r="R743" s="109" t="str">
        <f t="shared" si="1"/>
        <v/>
      </c>
      <c r="S743" s="71" t="str">
        <f t="shared" si="2"/>
        <v/>
      </c>
      <c r="T743" s="71">
        <f t="shared" si="3"/>
        <v>0</v>
      </c>
      <c r="U743" s="43"/>
      <c r="V743" s="486"/>
      <c r="W743" s="43"/>
      <c r="X743" s="43"/>
    </row>
    <row r="744" hidden="1">
      <c r="A744" s="51"/>
      <c r="B744" s="43"/>
      <c r="C744" s="51"/>
      <c r="D744" s="43"/>
      <c r="E744" s="43"/>
      <c r="F744" s="43"/>
      <c r="G744" s="43"/>
      <c r="H744" s="43"/>
      <c r="I744" s="43"/>
      <c r="J744" s="443"/>
      <c r="K744" s="43"/>
      <c r="L744" s="89"/>
      <c r="M744" s="89"/>
      <c r="O744" s="71">
        <f t="shared" si="21"/>
        <v>0</v>
      </c>
      <c r="P744" s="89">
        <f t="shared" si="22"/>
        <v>0</v>
      </c>
      <c r="Q744" s="491" t="str">
        <f>IF(ISBLANK(M744), "", VLOOKUP(A744&amp;" "&amp;B744, 'Info Tipo de Cambio y REM'!$A$24:$B$47, 2, FALSE))</f>
        <v/>
      </c>
      <c r="R744" s="109" t="str">
        <f t="shared" si="1"/>
        <v/>
      </c>
      <c r="S744" s="71" t="str">
        <f t="shared" si="2"/>
        <v/>
      </c>
      <c r="T744" s="71">
        <f t="shared" si="3"/>
        <v>0</v>
      </c>
      <c r="U744" s="43"/>
      <c r="V744" s="486"/>
      <c r="W744" s="43"/>
      <c r="X744" s="43"/>
    </row>
    <row r="745" hidden="1">
      <c r="A745" s="51"/>
      <c r="B745" s="43"/>
      <c r="C745" s="51"/>
      <c r="D745" s="43"/>
      <c r="E745" s="43"/>
      <c r="F745" s="43"/>
      <c r="G745" s="43"/>
      <c r="H745" s="43"/>
      <c r="I745" s="43"/>
      <c r="J745" s="443"/>
      <c r="K745" s="43"/>
      <c r="L745" s="89"/>
      <c r="M745" s="89"/>
      <c r="O745" s="71">
        <f t="shared" si="21"/>
        <v>0</v>
      </c>
      <c r="P745" s="89">
        <f t="shared" si="22"/>
        <v>0</v>
      </c>
      <c r="Q745" s="491" t="str">
        <f>IF(ISBLANK(M745), "", VLOOKUP(A745&amp;" "&amp;B745, 'Info Tipo de Cambio y REM'!$A$24:$B$47, 2, FALSE))</f>
        <v/>
      </c>
      <c r="R745" s="109" t="str">
        <f t="shared" si="1"/>
        <v/>
      </c>
      <c r="S745" s="71" t="str">
        <f t="shared" si="2"/>
        <v/>
      </c>
      <c r="T745" s="71">
        <f t="shared" si="3"/>
        <v>0</v>
      </c>
      <c r="U745" s="43"/>
      <c r="V745" s="486"/>
      <c r="W745" s="43"/>
      <c r="X745" s="43"/>
    </row>
    <row r="746" hidden="1">
      <c r="A746" s="51"/>
      <c r="B746" s="43"/>
      <c r="C746" s="51"/>
      <c r="D746" s="43"/>
      <c r="E746" s="43"/>
      <c r="F746" s="43"/>
      <c r="G746" s="43"/>
      <c r="H746" s="43"/>
      <c r="I746" s="43"/>
      <c r="J746" s="443"/>
      <c r="K746" s="43"/>
      <c r="L746" s="89"/>
      <c r="M746" s="89"/>
      <c r="O746" s="71">
        <f t="shared" si="21"/>
        <v>0</v>
      </c>
      <c r="P746" s="89">
        <f t="shared" si="22"/>
        <v>0</v>
      </c>
      <c r="Q746" s="491" t="str">
        <f>IF(ISBLANK(M746), "", VLOOKUP(A746&amp;" "&amp;B746, 'Info Tipo de Cambio y REM'!$A$24:$B$47, 2, FALSE))</f>
        <v/>
      </c>
      <c r="R746" s="109" t="str">
        <f t="shared" si="1"/>
        <v/>
      </c>
      <c r="S746" s="71" t="str">
        <f t="shared" si="2"/>
        <v/>
      </c>
      <c r="T746" s="71">
        <f t="shared" si="3"/>
        <v>0</v>
      </c>
      <c r="U746" s="43"/>
      <c r="V746" s="486"/>
      <c r="W746" s="43"/>
      <c r="X746" s="43"/>
    </row>
    <row r="747" hidden="1">
      <c r="A747" s="51"/>
      <c r="B747" s="43"/>
      <c r="C747" s="51"/>
      <c r="D747" s="43"/>
      <c r="E747" s="43"/>
      <c r="F747" s="43"/>
      <c r="G747" s="43"/>
      <c r="H747" s="43"/>
      <c r="I747" s="43"/>
      <c r="J747" s="443"/>
      <c r="K747" s="43"/>
      <c r="L747" s="89"/>
      <c r="M747" s="89"/>
      <c r="O747" s="71">
        <f t="shared" si="21"/>
        <v>0</v>
      </c>
      <c r="P747" s="89">
        <f t="shared" si="22"/>
        <v>0</v>
      </c>
      <c r="Q747" s="491" t="str">
        <f>IF(ISBLANK(M747), "", VLOOKUP(A747&amp;" "&amp;B747, 'Info Tipo de Cambio y REM'!$A$24:$B$47, 2, FALSE))</f>
        <v/>
      </c>
      <c r="R747" s="109" t="str">
        <f t="shared" si="1"/>
        <v/>
      </c>
      <c r="S747" s="71" t="str">
        <f t="shared" si="2"/>
        <v/>
      </c>
      <c r="T747" s="71">
        <f t="shared" si="3"/>
        <v>0</v>
      </c>
      <c r="U747" s="43"/>
      <c r="V747" s="486"/>
      <c r="W747" s="43"/>
      <c r="X747" s="43"/>
    </row>
    <row r="748" hidden="1">
      <c r="A748" s="51"/>
      <c r="B748" s="43"/>
      <c r="C748" s="51"/>
      <c r="D748" s="43"/>
      <c r="E748" s="43"/>
      <c r="F748" s="43"/>
      <c r="G748" s="43"/>
      <c r="H748" s="43"/>
      <c r="I748" s="43"/>
      <c r="J748" s="443"/>
      <c r="K748" s="43"/>
      <c r="L748" s="89"/>
      <c r="M748" s="89"/>
      <c r="O748" s="71">
        <f t="shared" si="21"/>
        <v>0</v>
      </c>
      <c r="P748" s="89">
        <f t="shared" si="22"/>
        <v>0</v>
      </c>
      <c r="Q748" s="491" t="str">
        <f>IF(ISBLANK(M748), "", VLOOKUP(A748&amp;" "&amp;B748, 'Info Tipo de Cambio y REM'!$A$24:$B$47, 2, FALSE))</f>
        <v/>
      </c>
      <c r="R748" s="109" t="str">
        <f t="shared" si="1"/>
        <v/>
      </c>
      <c r="S748" s="71" t="str">
        <f t="shared" si="2"/>
        <v/>
      </c>
      <c r="T748" s="71">
        <f t="shared" si="3"/>
        <v>0</v>
      </c>
      <c r="U748" s="43"/>
      <c r="V748" s="486"/>
      <c r="W748" s="43"/>
      <c r="X748" s="43"/>
    </row>
    <row r="749" hidden="1">
      <c r="A749" s="51"/>
      <c r="B749" s="43"/>
      <c r="C749" s="51"/>
      <c r="D749" s="43"/>
      <c r="E749" s="43"/>
      <c r="F749" s="43"/>
      <c r="G749" s="43"/>
      <c r="H749" s="43"/>
      <c r="I749" s="43"/>
      <c r="J749" s="443"/>
      <c r="K749" s="43"/>
      <c r="L749" s="89"/>
      <c r="M749" s="89"/>
      <c r="O749" s="71">
        <f t="shared" si="21"/>
        <v>0</v>
      </c>
      <c r="P749" s="89">
        <f t="shared" si="22"/>
        <v>0</v>
      </c>
      <c r="Q749" s="491" t="str">
        <f>IF(ISBLANK(M749), "", VLOOKUP(A749&amp;" "&amp;B749, 'Info Tipo de Cambio y REM'!$A$24:$B$47, 2, FALSE))</f>
        <v/>
      </c>
      <c r="R749" s="109" t="str">
        <f t="shared" si="1"/>
        <v/>
      </c>
      <c r="S749" s="71" t="str">
        <f t="shared" si="2"/>
        <v/>
      </c>
      <c r="T749" s="71">
        <f t="shared" si="3"/>
        <v>0</v>
      </c>
      <c r="U749" s="43"/>
      <c r="V749" s="486"/>
      <c r="W749" s="43"/>
      <c r="X749" s="43"/>
    </row>
    <row r="750" hidden="1">
      <c r="A750" s="51"/>
      <c r="B750" s="43"/>
      <c r="C750" s="51"/>
      <c r="D750" s="43"/>
      <c r="E750" s="43"/>
      <c r="F750" s="43"/>
      <c r="G750" s="43"/>
      <c r="H750" s="43"/>
      <c r="I750" s="43"/>
      <c r="J750" s="443"/>
      <c r="K750" s="43"/>
      <c r="L750" s="89"/>
      <c r="M750" s="89"/>
      <c r="O750" s="71">
        <f t="shared" si="21"/>
        <v>0</v>
      </c>
      <c r="P750" s="89">
        <f t="shared" si="22"/>
        <v>0</v>
      </c>
      <c r="Q750" s="491" t="str">
        <f>IF(ISBLANK(M750), "", VLOOKUP(A750&amp;" "&amp;B750, 'Info Tipo de Cambio y REM'!$A$24:$B$47, 2, FALSE))</f>
        <v/>
      </c>
      <c r="R750" s="109" t="str">
        <f t="shared" si="1"/>
        <v/>
      </c>
      <c r="S750" s="71" t="str">
        <f t="shared" si="2"/>
        <v/>
      </c>
      <c r="T750" s="71">
        <f t="shared" si="3"/>
        <v>0</v>
      </c>
      <c r="U750" s="43"/>
      <c r="V750" s="486"/>
      <c r="W750" s="43"/>
      <c r="X750" s="43"/>
    </row>
    <row r="751" hidden="1">
      <c r="A751" s="51"/>
      <c r="B751" s="43"/>
      <c r="C751" s="51"/>
      <c r="D751" s="43"/>
      <c r="E751" s="43"/>
      <c r="F751" s="43"/>
      <c r="G751" s="43"/>
      <c r="H751" s="43"/>
      <c r="I751" s="43"/>
      <c r="J751" s="443"/>
      <c r="K751" s="43"/>
      <c r="L751" s="89"/>
      <c r="M751" s="89"/>
      <c r="O751" s="71">
        <f t="shared" si="21"/>
        <v>0</v>
      </c>
      <c r="P751" s="89">
        <f t="shared" si="22"/>
        <v>0</v>
      </c>
      <c r="Q751" s="491" t="str">
        <f>IF(ISBLANK(M751), "", VLOOKUP(A751&amp;" "&amp;B751, 'Info Tipo de Cambio y REM'!$A$24:$B$47, 2, FALSE))</f>
        <v/>
      </c>
      <c r="R751" s="109" t="str">
        <f t="shared" si="1"/>
        <v/>
      </c>
      <c r="S751" s="71" t="str">
        <f t="shared" si="2"/>
        <v/>
      </c>
      <c r="T751" s="71">
        <f t="shared" si="3"/>
        <v>0</v>
      </c>
      <c r="U751" s="43"/>
      <c r="V751" s="486"/>
      <c r="W751" s="43"/>
      <c r="X751" s="43"/>
    </row>
    <row r="752" hidden="1">
      <c r="A752" s="51"/>
      <c r="B752" s="43"/>
      <c r="C752" s="51"/>
      <c r="D752" s="43"/>
      <c r="E752" s="43"/>
      <c r="F752" s="43"/>
      <c r="G752" s="43"/>
      <c r="H752" s="43"/>
      <c r="I752" s="43"/>
      <c r="J752" s="443"/>
      <c r="K752" s="43"/>
      <c r="L752" s="89"/>
      <c r="M752" s="89"/>
      <c r="O752" s="71">
        <f t="shared" si="21"/>
        <v>0</v>
      </c>
      <c r="P752" s="89">
        <f t="shared" si="22"/>
        <v>0</v>
      </c>
      <c r="Q752" s="491" t="str">
        <f>IF(ISBLANK(M752), "", VLOOKUP(A752&amp;" "&amp;B752, 'Info Tipo de Cambio y REM'!$A$24:$B$47, 2, FALSE))</f>
        <v/>
      </c>
      <c r="R752" s="109" t="str">
        <f t="shared" si="1"/>
        <v/>
      </c>
      <c r="S752" s="71" t="str">
        <f t="shared" si="2"/>
        <v/>
      </c>
      <c r="T752" s="71">
        <f t="shared" si="3"/>
        <v>0</v>
      </c>
      <c r="U752" s="43"/>
      <c r="V752" s="486"/>
      <c r="W752" s="43"/>
      <c r="X752" s="43"/>
    </row>
    <row r="753" hidden="1">
      <c r="A753" s="51"/>
      <c r="B753" s="43"/>
      <c r="C753" s="51"/>
      <c r="D753" s="43"/>
      <c r="E753" s="43"/>
      <c r="F753" s="43"/>
      <c r="G753" s="43"/>
      <c r="H753" s="43"/>
      <c r="I753" s="43"/>
      <c r="J753" s="443"/>
      <c r="K753" s="43"/>
      <c r="L753" s="89"/>
      <c r="M753" s="89"/>
      <c r="O753" s="71">
        <f t="shared" si="21"/>
        <v>0</v>
      </c>
      <c r="P753" s="89">
        <f t="shared" si="22"/>
        <v>0</v>
      </c>
      <c r="Q753" s="491" t="str">
        <f>IF(ISBLANK(M753), "", VLOOKUP(A753&amp;" "&amp;B753, 'Info Tipo de Cambio y REM'!$A$24:$B$47, 2, FALSE))</f>
        <v/>
      </c>
      <c r="R753" s="109" t="str">
        <f t="shared" si="1"/>
        <v/>
      </c>
      <c r="S753" s="71" t="str">
        <f t="shared" si="2"/>
        <v/>
      </c>
      <c r="T753" s="71">
        <f t="shared" si="3"/>
        <v>0</v>
      </c>
      <c r="U753" s="43"/>
      <c r="V753" s="486"/>
      <c r="W753" s="43"/>
      <c r="X753" s="43"/>
    </row>
    <row r="754" hidden="1">
      <c r="A754" s="51"/>
      <c r="B754" s="43"/>
      <c r="C754" s="51"/>
      <c r="D754" s="43"/>
      <c r="E754" s="43"/>
      <c r="F754" s="43"/>
      <c r="G754" s="43"/>
      <c r="H754" s="43"/>
      <c r="I754" s="43"/>
      <c r="J754" s="443"/>
      <c r="K754" s="43"/>
      <c r="L754" s="89"/>
      <c r="M754" s="89"/>
      <c r="O754" s="71">
        <f t="shared" si="21"/>
        <v>0</v>
      </c>
      <c r="P754" s="89">
        <f t="shared" si="22"/>
        <v>0</v>
      </c>
      <c r="Q754" s="491" t="str">
        <f>IF(ISBLANK(M754), "", VLOOKUP(A754&amp;" "&amp;B754, 'Info Tipo de Cambio y REM'!$A$24:$B$47, 2, FALSE))</f>
        <v/>
      </c>
      <c r="R754" s="109" t="str">
        <f t="shared" si="1"/>
        <v/>
      </c>
      <c r="S754" s="71" t="str">
        <f t="shared" si="2"/>
        <v/>
      </c>
      <c r="T754" s="71">
        <f t="shared" si="3"/>
        <v>0</v>
      </c>
      <c r="U754" s="43"/>
      <c r="V754" s="486"/>
      <c r="W754" s="43"/>
      <c r="X754" s="43"/>
    </row>
    <row r="755" hidden="1">
      <c r="A755" s="51"/>
      <c r="B755" s="43"/>
      <c r="C755" s="51"/>
      <c r="D755" s="43"/>
      <c r="E755" s="43"/>
      <c r="F755" s="43"/>
      <c r="G755" s="43"/>
      <c r="H755" s="43"/>
      <c r="I755" s="43"/>
      <c r="J755" s="443"/>
      <c r="K755" s="43"/>
      <c r="L755" s="89"/>
      <c r="M755" s="89"/>
      <c r="O755" s="71">
        <f t="shared" si="21"/>
        <v>0</v>
      </c>
      <c r="P755" s="89">
        <f t="shared" si="22"/>
        <v>0</v>
      </c>
      <c r="Q755" s="491" t="str">
        <f>IF(ISBLANK(M755), "", VLOOKUP(A755&amp;" "&amp;B755, 'Info Tipo de Cambio y REM'!$A$24:$B$47, 2, FALSE))</f>
        <v/>
      </c>
      <c r="R755" s="109" t="str">
        <f t="shared" si="1"/>
        <v/>
      </c>
      <c r="S755" s="71" t="str">
        <f t="shared" si="2"/>
        <v/>
      </c>
      <c r="T755" s="71">
        <f t="shared" si="3"/>
        <v>0</v>
      </c>
      <c r="U755" s="43"/>
      <c r="V755" s="486"/>
      <c r="W755" s="43"/>
      <c r="X755" s="43"/>
    </row>
    <row r="756" hidden="1">
      <c r="A756" s="51"/>
      <c r="B756" s="43"/>
      <c r="C756" s="51"/>
      <c r="D756" s="43"/>
      <c r="E756" s="43"/>
      <c r="F756" s="43"/>
      <c r="G756" s="43"/>
      <c r="H756" s="43"/>
      <c r="I756" s="43"/>
      <c r="J756" s="443"/>
      <c r="K756" s="43"/>
      <c r="L756" s="89"/>
      <c r="M756" s="89"/>
      <c r="O756" s="71">
        <f t="shared" si="21"/>
        <v>0</v>
      </c>
      <c r="P756" s="89">
        <f t="shared" si="22"/>
        <v>0</v>
      </c>
      <c r="Q756" s="491" t="str">
        <f>IF(ISBLANK(M756), "", VLOOKUP(A756&amp;" "&amp;B756, 'Info Tipo de Cambio y REM'!$A$24:$B$47, 2, FALSE))</f>
        <v/>
      </c>
      <c r="R756" s="109" t="str">
        <f t="shared" si="1"/>
        <v/>
      </c>
      <c r="S756" s="71" t="str">
        <f t="shared" si="2"/>
        <v/>
      </c>
      <c r="T756" s="71">
        <f t="shared" si="3"/>
        <v>0</v>
      </c>
      <c r="U756" s="43"/>
      <c r="V756" s="486"/>
      <c r="W756" s="43"/>
      <c r="X756" s="43"/>
    </row>
    <row r="757" hidden="1">
      <c r="A757" s="51"/>
      <c r="B757" s="43"/>
      <c r="C757" s="51"/>
      <c r="D757" s="43"/>
      <c r="E757" s="43"/>
      <c r="F757" s="43"/>
      <c r="G757" s="43"/>
      <c r="H757" s="43"/>
      <c r="I757" s="43"/>
      <c r="J757" s="443"/>
      <c r="K757" s="43"/>
      <c r="L757" s="89"/>
      <c r="M757" s="89"/>
      <c r="O757" s="71">
        <f t="shared" si="21"/>
        <v>0</v>
      </c>
      <c r="P757" s="89">
        <f t="shared" si="22"/>
        <v>0</v>
      </c>
      <c r="Q757" s="491" t="str">
        <f>IF(ISBLANK(M757), "", VLOOKUP(A757&amp;" "&amp;B757, 'Info Tipo de Cambio y REM'!$A$24:$B$47, 2, FALSE))</f>
        <v/>
      </c>
      <c r="R757" s="109" t="str">
        <f t="shared" si="1"/>
        <v/>
      </c>
      <c r="S757" s="71" t="str">
        <f t="shared" si="2"/>
        <v/>
      </c>
      <c r="T757" s="71">
        <f t="shared" si="3"/>
        <v>0</v>
      </c>
      <c r="U757" s="43"/>
      <c r="V757" s="486"/>
      <c r="W757" s="43"/>
      <c r="X757" s="43"/>
    </row>
    <row r="758" hidden="1">
      <c r="A758" s="51"/>
      <c r="B758" s="43"/>
      <c r="C758" s="51"/>
      <c r="D758" s="43"/>
      <c r="E758" s="43"/>
      <c r="F758" s="43"/>
      <c r="G758" s="43"/>
      <c r="H758" s="43"/>
      <c r="I758" s="43"/>
      <c r="J758" s="443"/>
      <c r="K758" s="43"/>
      <c r="L758" s="89"/>
      <c r="M758" s="89"/>
      <c r="O758" s="71">
        <f t="shared" si="21"/>
        <v>0</v>
      </c>
      <c r="P758" s="89">
        <f t="shared" si="22"/>
        <v>0</v>
      </c>
      <c r="Q758" s="491" t="str">
        <f>IF(ISBLANK(M758), "", VLOOKUP(A758&amp;" "&amp;B758, 'Info Tipo de Cambio y REM'!$A$24:$B$47, 2, FALSE))</f>
        <v/>
      </c>
      <c r="R758" s="109" t="str">
        <f t="shared" si="1"/>
        <v/>
      </c>
      <c r="S758" s="71" t="str">
        <f t="shared" si="2"/>
        <v/>
      </c>
      <c r="T758" s="71">
        <f t="shared" si="3"/>
        <v>0</v>
      </c>
      <c r="U758" s="43"/>
      <c r="V758" s="486"/>
      <c r="W758" s="43"/>
      <c r="X758" s="43"/>
    </row>
    <row r="759" hidden="1">
      <c r="A759" s="51"/>
      <c r="B759" s="43"/>
      <c r="C759" s="51"/>
      <c r="D759" s="43"/>
      <c r="E759" s="43"/>
      <c r="F759" s="43"/>
      <c r="G759" s="43"/>
      <c r="H759" s="43"/>
      <c r="I759" s="43"/>
      <c r="J759" s="443"/>
      <c r="K759" s="43"/>
      <c r="L759" s="89"/>
      <c r="M759" s="89"/>
      <c r="O759" s="71">
        <f t="shared" si="21"/>
        <v>0</v>
      </c>
      <c r="P759" s="89">
        <f t="shared" si="22"/>
        <v>0</v>
      </c>
      <c r="Q759" s="491" t="str">
        <f>IF(ISBLANK(M759), "", VLOOKUP(A759&amp;" "&amp;B759, 'Info Tipo de Cambio y REM'!$A$24:$B$47, 2, FALSE))</f>
        <v/>
      </c>
      <c r="R759" s="109" t="str">
        <f t="shared" si="1"/>
        <v/>
      </c>
      <c r="S759" s="71" t="str">
        <f t="shared" si="2"/>
        <v/>
      </c>
      <c r="T759" s="71">
        <f t="shared" si="3"/>
        <v>0</v>
      </c>
      <c r="U759" s="43"/>
      <c r="V759" s="486"/>
      <c r="W759" s="43"/>
      <c r="X759" s="43"/>
    </row>
    <row r="760" hidden="1">
      <c r="A760" s="51"/>
      <c r="B760" s="43"/>
      <c r="C760" s="51"/>
      <c r="D760" s="43"/>
      <c r="E760" s="43"/>
      <c r="F760" s="43"/>
      <c r="G760" s="43"/>
      <c r="H760" s="43"/>
      <c r="I760" s="43"/>
      <c r="J760" s="443"/>
      <c r="K760" s="43"/>
      <c r="L760" s="89"/>
      <c r="M760" s="89"/>
      <c r="O760" s="71">
        <f t="shared" si="21"/>
        <v>0</v>
      </c>
      <c r="P760" s="89">
        <f t="shared" si="22"/>
        <v>0</v>
      </c>
      <c r="Q760" s="491" t="str">
        <f>IF(ISBLANK(M760), "", VLOOKUP(A760&amp;" "&amp;B760, 'Info Tipo de Cambio y REM'!$A$24:$B$47, 2, FALSE))</f>
        <v/>
      </c>
      <c r="R760" s="109" t="str">
        <f t="shared" si="1"/>
        <v/>
      </c>
      <c r="S760" s="71" t="str">
        <f t="shared" si="2"/>
        <v/>
      </c>
      <c r="T760" s="71">
        <f t="shared" si="3"/>
        <v>0</v>
      </c>
      <c r="U760" s="43"/>
      <c r="V760" s="486"/>
      <c r="W760" s="43"/>
      <c r="X760" s="43"/>
    </row>
    <row r="761" hidden="1">
      <c r="A761" s="51"/>
      <c r="B761" s="43"/>
      <c r="C761" s="51"/>
      <c r="D761" s="43"/>
      <c r="E761" s="43"/>
      <c r="F761" s="43"/>
      <c r="G761" s="43"/>
      <c r="H761" s="43"/>
      <c r="I761" s="43"/>
      <c r="J761" s="443"/>
      <c r="K761" s="43"/>
      <c r="L761" s="89"/>
      <c r="M761" s="89"/>
      <c r="O761" s="71">
        <f t="shared" si="21"/>
        <v>0</v>
      </c>
      <c r="P761" s="89">
        <f t="shared" si="22"/>
        <v>0</v>
      </c>
      <c r="Q761" s="491" t="str">
        <f>IF(ISBLANK(M761), "", VLOOKUP(A761&amp;" "&amp;B761, 'Info Tipo de Cambio y REM'!$A$24:$B$47, 2, FALSE))</f>
        <v/>
      </c>
      <c r="R761" s="109" t="str">
        <f t="shared" si="1"/>
        <v/>
      </c>
      <c r="S761" s="71" t="str">
        <f t="shared" si="2"/>
        <v/>
      </c>
      <c r="T761" s="71">
        <f t="shared" si="3"/>
        <v>0</v>
      </c>
      <c r="U761" s="43"/>
      <c r="V761" s="486"/>
      <c r="W761" s="43"/>
      <c r="X761" s="43"/>
    </row>
    <row r="762" hidden="1">
      <c r="A762" s="51"/>
      <c r="B762" s="43"/>
      <c r="C762" s="51"/>
      <c r="D762" s="43"/>
      <c r="E762" s="43"/>
      <c r="F762" s="43"/>
      <c r="G762" s="43"/>
      <c r="H762" s="43"/>
      <c r="I762" s="43"/>
      <c r="J762" s="443"/>
      <c r="K762" s="43"/>
      <c r="L762" s="89"/>
      <c r="M762" s="89"/>
      <c r="O762" s="71">
        <f t="shared" si="21"/>
        <v>0</v>
      </c>
      <c r="P762" s="89">
        <f t="shared" si="22"/>
        <v>0</v>
      </c>
      <c r="Q762" s="491" t="str">
        <f>IF(ISBLANK(M762), "", VLOOKUP(A762&amp;" "&amp;B762, 'Info Tipo de Cambio y REM'!$A$24:$B$47, 2, FALSE))</f>
        <v/>
      </c>
      <c r="R762" s="109" t="str">
        <f t="shared" si="1"/>
        <v/>
      </c>
      <c r="S762" s="71" t="str">
        <f t="shared" si="2"/>
        <v/>
      </c>
      <c r="T762" s="71">
        <f t="shared" si="3"/>
        <v>0</v>
      </c>
      <c r="U762" s="43"/>
      <c r="V762" s="486"/>
      <c r="W762" s="43"/>
      <c r="X762" s="43"/>
    </row>
    <row r="763" hidden="1">
      <c r="A763" s="51"/>
      <c r="B763" s="43"/>
      <c r="C763" s="51"/>
      <c r="D763" s="43"/>
      <c r="E763" s="43"/>
      <c r="F763" s="43"/>
      <c r="G763" s="43"/>
      <c r="H763" s="43"/>
      <c r="I763" s="43"/>
      <c r="J763" s="443"/>
      <c r="K763" s="43"/>
      <c r="L763" s="89"/>
      <c r="M763" s="89"/>
      <c r="O763" s="71">
        <f t="shared" si="21"/>
        <v>0</v>
      </c>
      <c r="P763" s="89">
        <f t="shared" si="22"/>
        <v>0</v>
      </c>
      <c r="Q763" s="491" t="str">
        <f>IF(ISBLANK(M763), "", VLOOKUP(A763&amp;" "&amp;B763, 'Info Tipo de Cambio y REM'!$A$24:$B$47, 2, FALSE))</f>
        <v/>
      </c>
      <c r="R763" s="109" t="str">
        <f t="shared" si="1"/>
        <v/>
      </c>
      <c r="S763" s="71" t="str">
        <f t="shared" si="2"/>
        <v/>
      </c>
      <c r="T763" s="71">
        <f t="shared" si="3"/>
        <v>0</v>
      </c>
      <c r="U763" s="43"/>
      <c r="V763" s="486"/>
      <c r="W763" s="43"/>
      <c r="X763" s="43"/>
    </row>
    <row r="764" hidden="1">
      <c r="A764" s="51"/>
      <c r="B764" s="43"/>
      <c r="C764" s="51"/>
      <c r="D764" s="43"/>
      <c r="E764" s="43"/>
      <c r="F764" s="43"/>
      <c r="G764" s="43"/>
      <c r="H764" s="43"/>
      <c r="I764" s="43"/>
      <c r="J764" s="443"/>
      <c r="K764" s="43"/>
      <c r="L764" s="89"/>
      <c r="M764" s="89"/>
      <c r="O764" s="71">
        <f t="shared" si="21"/>
        <v>0</v>
      </c>
      <c r="P764" s="89">
        <f t="shared" si="22"/>
        <v>0</v>
      </c>
      <c r="Q764" s="491" t="str">
        <f>IF(ISBLANK(M764), "", VLOOKUP(A764&amp;" "&amp;B764, 'Info Tipo de Cambio y REM'!$A$24:$B$47, 2, FALSE))</f>
        <v/>
      </c>
      <c r="R764" s="109" t="str">
        <f t="shared" si="1"/>
        <v/>
      </c>
      <c r="S764" s="71" t="str">
        <f t="shared" si="2"/>
        <v/>
      </c>
      <c r="T764" s="71">
        <f t="shared" si="3"/>
        <v>0</v>
      </c>
      <c r="U764" s="43"/>
      <c r="V764" s="486"/>
      <c r="W764" s="43"/>
      <c r="X764" s="43"/>
    </row>
    <row r="765" hidden="1">
      <c r="A765" s="51"/>
      <c r="B765" s="43"/>
      <c r="C765" s="51"/>
      <c r="D765" s="43"/>
      <c r="E765" s="43"/>
      <c r="F765" s="43"/>
      <c r="G765" s="43"/>
      <c r="H765" s="43"/>
      <c r="I765" s="43"/>
      <c r="J765" s="443"/>
      <c r="K765" s="43"/>
      <c r="L765" s="89"/>
      <c r="M765" s="89"/>
      <c r="O765" s="71">
        <f t="shared" si="21"/>
        <v>0</v>
      </c>
      <c r="P765" s="89">
        <f t="shared" si="22"/>
        <v>0</v>
      </c>
      <c r="Q765" s="491" t="str">
        <f>IF(ISBLANK(M765), "", VLOOKUP(A765&amp;" "&amp;B765, 'Info Tipo de Cambio y REM'!$A$24:$B$47, 2, FALSE))</f>
        <v/>
      </c>
      <c r="R765" s="109" t="str">
        <f t="shared" si="1"/>
        <v/>
      </c>
      <c r="S765" s="71" t="str">
        <f t="shared" si="2"/>
        <v/>
      </c>
      <c r="T765" s="71">
        <f t="shared" si="3"/>
        <v>0</v>
      </c>
      <c r="U765" s="43"/>
      <c r="V765" s="486"/>
      <c r="W765" s="43"/>
      <c r="X765" s="43"/>
    </row>
    <row r="766" hidden="1">
      <c r="A766" s="51"/>
      <c r="B766" s="43"/>
      <c r="C766" s="51"/>
      <c r="D766" s="43"/>
      <c r="E766" s="43"/>
      <c r="F766" s="43"/>
      <c r="G766" s="43"/>
      <c r="H766" s="43"/>
      <c r="I766" s="43"/>
      <c r="J766" s="443"/>
      <c r="K766" s="43"/>
      <c r="L766" s="89"/>
      <c r="M766" s="89"/>
      <c r="O766" s="71">
        <f t="shared" si="21"/>
        <v>0</v>
      </c>
      <c r="P766" s="89">
        <f t="shared" si="22"/>
        <v>0</v>
      </c>
      <c r="Q766" s="491" t="str">
        <f>IF(ISBLANK(M766), "", VLOOKUP(A766&amp;" "&amp;B766, 'Info Tipo de Cambio y REM'!$A$24:$B$47, 2, FALSE))</f>
        <v/>
      </c>
      <c r="R766" s="109" t="str">
        <f t="shared" si="1"/>
        <v/>
      </c>
      <c r="S766" s="71" t="str">
        <f t="shared" si="2"/>
        <v/>
      </c>
      <c r="T766" s="71">
        <f t="shared" si="3"/>
        <v>0</v>
      </c>
      <c r="U766" s="43"/>
      <c r="V766" s="486"/>
      <c r="W766" s="43"/>
      <c r="X766" s="43"/>
    </row>
    <row r="767" hidden="1">
      <c r="A767" s="51"/>
      <c r="B767" s="43"/>
      <c r="C767" s="51"/>
      <c r="D767" s="43"/>
      <c r="E767" s="43"/>
      <c r="F767" s="43"/>
      <c r="G767" s="43"/>
      <c r="H767" s="43"/>
      <c r="I767" s="43"/>
      <c r="J767" s="443"/>
      <c r="K767" s="43"/>
      <c r="L767" s="89"/>
      <c r="M767" s="89"/>
      <c r="O767" s="71">
        <f t="shared" si="21"/>
        <v>0</v>
      </c>
      <c r="P767" s="89">
        <f t="shared" si="22"/>
        <v>0</v>
      </c>
      <c r="Q767" s="491" t="str">
        <f>IF(ISBLANK(M767), "", VLOOKUP(A767&amp;" "&amp;B767, 'Info Tipo de Cambio y REM'!$A$24:$B$47, 2, FALSE))</f>
        <v/>
      </c>
      <c r="R767" s="109" t="str">
        <f t="shared" si="1"/>
        <v/>
      </c>
      <c r="S767" s="71" t="str">
        <f t="shared" si="2"/>
        <v/>
      </c>
      <c r="T767" s="71">
        <f t="shared" si="3"/>
        <v>0</v>
      </c>
      <c r="U767" s="43"/>
      <c r="V767" s="486"/>
      <c r="W767" s="43"/>
      <c r="X767" s="43"/>
    </row>
    <row r="768" hidden="1">
      <c r="A768" s="51"/>
      <c r="B768" s="43"/>
      <c r="C768" s="51"/>
      <c r="D768" s="43"/>
      <c r="E768" s="43"/>
      <c r="F768" s="43"/>
      <c r="G768" s="43"/>
      <c r="H768" s="43"/>
      <c r="I768" s="43"/>
      <c r="J768" s="443"/>
      <c r="K768" s="43"/>
      <c r="L768" s="89"/>
      <c r="M768" s="89"/>
      <c r="O768" s="71">
        <f t="shared" si="21"/>
        <v>0</v>
      </c>
      <c r="P768" s="89">
        <f t="shared" si="22"/>
        <v>0</v>
      </c>
      <c r="Q768" s="491" t="str">
        <f>IF(ISBLANK(M768), "", VLOOKUP(A768&amp;" "&amp;B768, 'Info Tipo de Cambio y REM'!$A$24:$B$47, 2, FALSE))</f>
        <v/>
      </c>
      <c r="R768" s="109" t="str">
        <f t="shared" si="1"/>
        <v/>
      </c>
      <c r="S768" s="71" t="str">
        <f t="shared" si="2"/>
        <v/>
      </c>
      <c r="T768" s="71">
        <f t="shared" si="3"/>
        <v>0</v>
      </c>
      <c r="U768" s="43"/>
      <c r="V768" s="486"/>
      <c r="W768" s="43"/>
      <c r="X768" s="43"/>
    </row>
    <row r="769" hidden="1">
      <c r="A769" s="51"/>
      <c r="B769" s="43"/>
      <c r="C769" s="51"/>
      <c r="D769" s="43"/>
      <c r="E769" s="43"/>
      <c r="F769" s="43"/>
      <c r="G769" s="43"/>
      <c r="H769" s="43"/>
      <c r="I769" s="43"/>
      <c r="J769" s="443"/>
      <c r="K769" s="43"/>
      <c r="L769" s="89"/>
      <c r="M769" s="89"/>
      <c r="O769" s="71">
        <f t="shared" si="21"/>
        <v>0</v>
      </c>
      <c r="P769" s="89">
        <f t="shared" si="22"/>
        <v>0</v>
      </c>
      <c r="Q769" s="491" t="str">
        <f>IF(ISBLANK(M769), "", VLOOKUP(A769&amp;" "&amp;B769, 'Info Tipo de Cambio y REM'!$A$24:$B$47, 2, FALSE))</f>
        <v/>
      </c>
      <c r="R769" s="109" t="str">
        <f t="shared" si="1"/>
        <v/>
      </c>
      <c r="S769" s="71" t="str">
        <f t="shared" si="2"/>
        <v/>
      </c>
      <c r="T769" s="71">
        <f t="shared" si="3"/>
        <v>0</v>
      </c>
      <c r="U769" s="43"/>
      <c r="V769" s="486"/>
      <c r="W769" s="43"/>
      <c r="X769" s="43"/>
    </row>
    <row r="770" hidden="1">
      <c r="A770" s="51"/>
      <c r="B770" s="43"/>
      <c r="C770" s="51"/>
      <c r="D770" s="43"/>
      <c r="E770" s="43"/>
      <c r="F770" s="43"/>
      <c r="G770" s="43"/>
      <c r="H770" s="43"/>
      <c r="I770" s="43"/>
      <c r="J770" s="443"/>
      <c r="K770" s="43"/>
      <c r="L770" s="89"/>
      <c r="M770" s="89"/>
      <c r="O770" s="71">
        <f t="shared" si="21"/>
        <v>0</v>
      </c>
      <c r="P770" s="89">
        <f t="shared" si="22"/>
        <v>0</v>
      </c>
      <c r="Q770" s="491" t="str">
        <f>IF(ISBLANK(M770), "", VLOOKUP(A770&amp;" "&amp;B770, 'Info Tipo de Cambio y REM'!$A$24:$B$47, 2, FALSE))</f>
        <v/>
      </c>
      <c r="R770" s="109" t="str">
        <f t="shared" si="1"/>
        <v/>
      </c>
      <c r="S770" s="71" t="str">
        <f t="shared" si="2"/>
        <v/>
      </c>
      <c r="T770" s="71">
        <f t="shared" si="3"/>
        <v>0</v>
      </c>
      <c r="U770" s="43"/>
      <c r="V770" s="486"/>
      <c r="W770" s="43"/>
      <c r="X770" s="43"/>
    </row>
    <row r="771" hidden="1">
      <c r="A771" s="51"/>
      <c r="B771" s="43"/>
      <c r="C771" s="51"/>
      <c r="D771" s="43"/>
      <c r="E771" s="43"/>
      <c r="F771" s="43"/>
      <c r="G771" s="43"/>
      <c r="H771" s="43"/>
      <c r="I771" s="43"/>
      <c r="J771" s="443"/>
      <c r="K771" s="43"/>
      <c r="L771" s="89"/>
      <c r="M771" s="89"/>
      <c r="O771" s="71">
        <f t="shared" si="21"/>
        <v>0</v>
      </c>
      <c r="P771" s="89">
        <f t="shared" si="22"/>
        <v>0</v>
      </c>
      <c r="Q771" s="491" t="str">
        <f>IF(ISBLANK(M771), "", VLOOKUP(A771&amp;" "&amp;B771, 'Info Tipo de Cambio y REM'!$A$24:$B$47, 2, FALSE))</f>
        <v/>
      </c>
      <c r="R771" s="109" t="str">
        <f t="shared" si="1"/>
        <v/>
      </c>
      <c r="S771" s="71" t="str">
        <f t="shared" si="2"/>
        <v/>
      </c>
      <c r="T771" s="71">
        <f t="shared" si="3"/>
        <v>0</v>
      </c>
      <c r="U771" s="43"/>
      <c r="V771" s="486"/>
      <c r="W771" s="43"/>
      <c r="X771" s="43"/>
    </row>
    <row r="772" hidden="1">
      <c r="A772" s="51"/>
      <c r="B772" s="43"/>
      <c r="C772" s="51"/>
      <c r="D772" s="43"/>
      <c r="E772" s="43"/>
      <c r="F772" s="43"/>
      <c r="G772" s="43"/>
      <c r="H772" s="43"/>
      <c r="I772" s="43"/>
      <c r="J772" s="443"/>
      <c r="K772" s="43"/>
      <c r="L772" s="89"/>
      <c r="M772" s="89"/>
      <c r="O772" s="71">
        <f t="shared" si="21"/>
        <v>0</v>
      </c>
      <c r="P772" s="89">
        <f t="shared" si="22"/>
        <v>0</v>
      </c>
      <c r="Q772" s="491" t="str">
        <f>IF(ISBLANK(M772), "", VLOOKUP(A772&amp;" "&amp;B772, 'Info Tipo de Cambio y REM'!$A$24:$B$47, 2, FALSE))</f>
        <v/>
      </c>
      <c r="R772" s="109" t="str">
        <f t="shared" si="1"/>
        <v/>
      </c>
      <c r="S772" s="71" t="str">
        <f t="shared" si="2"/>
        <v/>
      </c>
      <c r="T772" s="71">
        <f t="shared" si="3"/>
        <v>0</v>
      </c>
      <c r="U772" s="43"/>
      <c r="V772" s="486"/>
      <c r="W772" s="43"/>
      <c r="X772" s="43"/>
    </row>
    <row r="773" hidden="1">
      <c r="A773" s="51"/>
      <c r="B773" s="43"/>
      <c r="C773" s="51"/>
      <c r="D773" s="43"/>
      <c r="E773" s="43"/>
      <c r="F773" s="43"/>
      <c r="G773" s="43"/>
      <c r="H773" s="43"/>
      <c r="I773" s="43"/>
      <c r="J773" s="443"/>
      <c r="K773" s="43"/>
      <c r="L773" s="89"/>
      <c r="M773" s="89"/>
      <c r="O773" s="71">
        <f t="shared" si="21"/>
        <v>0</v>
      </c>
      <c r="P773" s="89">
        <f t="shared" si="22"/>
        <v>0</v>
      </c>
      <c r="Q773" s="491" t="str">
        <f>IF(ISBLANK(M773), "", VLOOKUP(A773&amp;" "&amp;B773, 'Info Tipo de Cambio y REM'!$A$24:$B$47, 2, FALSE))</f>
        <v/>
      </c>
      <c r="R773" s="109" t="str">
        <f t="shared" si="1"/>
        <v/>
      </c>
      <c r="S773" s="71" t="str">
        <f t="shared" si="2"/>
        <v/>
      </c>
      <c r="T773" s="71">
        <f t="shared" si="3"/>
        <v>0</v>
      </c>
      <c r="U773" s="43"/>
      <c r="V773" s="486"/>
      <c r="W773" s="43"/>
      <c r="X773" s="43"/>
    </row>
    <row r="774" hidden="1">
      <c r="A774" s="51"/>
      <c r="B774" s="43"/>
      <c r="C774" s="51"/>
      <c r="D774" s="43"/>
      <c r="E774" s="43"/>
      <c r="F774" s="43"/>
      <c r="G774" s="43"/>
      <c r="H774" s="43"/>
      <c r="I774" s="43"/>
      <c r="J774" s="443"/>
      <c r="K774" s="43"/>
      <c r="L774" s="89"/>
      <c r="M774" s="89"/>
      <c r="O774" s="71">
        <f t="shared" si="21"/>
        <v>0</v>
      </c>
      <c r="P774" s="89">
        <f t="shared" si="22"/>
        <v>0</v>
      </c>
      <c r="Q774" s="491" t="str">
        <f>IF(ISBLANK(M774), "", VLOOKUP(A774&amp;" "&amp;B774, 'Info Tipo de Cambio y REM'!$A$24:$B$47, 2, FALSE))</f>
        <v/>
      </c>
      <c r="R774" s="109" t="str">
        <f t="shared" si="1"/>
        <v/>
      </c>
      <c r="S774" s="71" t="str">
        <f t="shared" si="2"/>
        <v/>
      </c>
      <c r="T774" s="71">
        <f t="shared" si="3"/>
        <v>0</v>
      </c>
      <c r="U774" s="43"/>
      <c r="V774" s="486"/>
      <c r="W774" s="43"/>
      <c r="X774" s="43"/>
    </row>
    <row r="775" hidden="1">
      <c r="A775" s="51"/>
      <c r="B775" s="43"/>
      <c r="C775" s="51"/>
      <c r="D775" s="43"/>
      <c r="E775" s="43"/>
      <c r="F775" s="43"/>
      <c r="G775" s="43"/>
      <c r="H775" s="43"/>
      <c r="I775" s="43"/>
      <c r="J775" s="443"/>
      <c r="K775" s="43"/>
      <c r="L775" s="89"/>
      <c r="M775" s="89"/>
      <c r="O775" s="71">
        <f t="shared" si="21"/>
        <v>0</v>
      </c>
      <c r="P775" s="89">
        <f t="shared" si="22"/>
        <v>0</v>
      </c>
      <c r="Q775" s="491" t="str">
        <f>IF(ISBLANK(M775), "", VLOOKUP(A775&amp;" "&amp;B775, 'Info Tipo de Cambio y REM'!$A$24:$B$47, 2, FALSE))</f>
        <v/>
      </c>
      <c r="R775" s="109" t="str">
        <f t="shared" si="1"/>
        <v/>
      </c>
      <c r="S775" s="71" t="str">
        <f t="shared" si="2"/>
        <v/>
      </c>
      <c r="T775" s="71">
        <f t="shared" si="3"/>
        <v>0</v>
      </c>
      <c r="U775" s="43"/>
      <c r="V775" s="486"/>
      <c r="W775" s="43"/>
      <c r="X775" s="43"/>
    </row>
    <row r="776" hidden="1">
      <c r="A776" s="51"/>
      <c r="B776" s="43"/>
      <c r="C776" s="51"/>
      <c r="D776" s="43"/>
      <c r="E776" s="43"/>
      <c r="F776" s="43"/>
      <c r="G776" s="43"/>
      <c r="H776" s="43"/>
      <c r="I776" s="43"/>
      <c r="J776" s="443"/>
      <c r="K776" s="43"/>
      <c r="L776" s="89"/>
      <c r="M776" s="89"/>
      <c r="O776" s="71">
        <f t="shared" si="21"/>
        <v>0</v>
      </c>
      <c r="P776" s="89">
        <f t="shared" si="22"/>
        <v>0</v>
      </c>
      <c r="Q776" s="491" t="str">
        <f>IF(ISBLANK(M776), "", VLOOKUP(A776&amp;" "&amp;B776, 'Info Tipo de Cambio y REM'!$A$24:$B$47, 2, FALSE))</f>
        <v/>
      </c>
      <c r="R776" s="109" t="str">
        <f t="shared" si="1"/>
        <v/>
      </c>
      <c r="S776" s="71" t="str">
        <f t="shared" si="2"/>
        <v/>
      </c>
      <c r="T776" s="71">
        <f t="shared" si="3"/>
        <v>0</v>
      </c>
      <c r="U776" s="43"/>
      <c r="V776" s="486"/>
      <c r="W776" s="43"/>
      <c r="X776" s="43"/>
    </row>
    <row r="777" hidden="1">
      <c r="A777" s="51"/>
      <c r="B777" s="43"/>
      <c r="C777" s="51"/>
      <c r="D777" s="43"/>
      <c r="E777" s="43"/>
      <c r="F777" s="43"/>
      <c r="G777" s="43"/>
      <c r="H777" s="43"/>
      <c r="I777" s="43"/>
      <c r="J777" s="443"/>
      <c r="K777" s="43"/>
      <c r="L777" s="89"/>
      <c r="M777" s="89"/>
      <c r="O777" s="71">
        <f t="shared" si="21"/>
        <v>0</v>
      </c>
      <c r="P777" s="89">
        <f t="shared" si="22"/>
        <v>0</v>
      </c>
      <c r="Q777" s="491" t="str">
        <f>IF(ISBLANK(M777), "", VLOOKUP(A777&amp;" "&amp;B777, 'Info Tipo de Cambio y REM'!$A$24:$B$47, 2, FALSE))</f>
        <v/>
      </c>
      <c r="R777" s="109" t="str">
        <f t="shared" si="1"/>
        <v/>
      </c>
      <c r="S777" s="71" t="str">
        <f t="shared" si="2"/>
        <v/>
      </c>
      <c r="T777" s="71">
        <f t="shared" si="3"/>
        <v>0</v>
      </c>
      <c r="U777" s="43"/>
      <c r="V777" s="486"/>
      <c r="W777" s="43"/>
      <c r="X777" s="43"/>
    </row>
    <row r="778" hidden="1">
      <c r="A778" s="51"/>
      <c r="B778" s="43"/>
      <c r="C778" s="51"/>
      <c r="D778" s="43"/>
      <c r="E778" s="43"/>
      <c r="F778" s="43"/>
      <c r="G778" s="43"/>
      <c r="H778" s="43"/>
      <c r="I778" s="43"/>
      <c r="J778" s="443"/>
      <c r="K778" s="43"/>
      <c r="L778" s="89"/>
      <c r="M778" s="89"/>
      <c r="O778" s="71">
        <f t="shared" si="21"/>
        <v>0</v>
      </c>
      <c r="P778" s="89">
        <f t="shared" si="22"/>
        <v>0</v>
      </c>
      <c r="Q778" s="491" t="str">
        <f>IF(ISBLANK(M778), "", VLOOKUP(A778&amp;" "&amp;B778, 'Info Tipo de Cambio y REM'!$A$24:$B$47, 2, FALSE))</f>
        <v/>
      </c>
      <c r="R778" s="109" t="str">
        <f t="shared" si="1"/>
        <v/>
      </c>
      <c r="S778" s="71" t="str">
        <f t="shared" si="2"/>
        <v/>
      </c>
      <c r="T778" s="71">
        <f t="shared" si="3"/>
        <v>0</v>
      </c>
      <c r="U778" s="43"/>
      <c r="V778" s="486"/>
      <c r="W778" s="43"/>
      <c r="X778" s="43"/>
    </row>
    <row r="779" hidden="1">
      <c r="A779" s="51"/>
      <c r="B779" s="43"/>
      <c r="C779" s="51"/>
      <c r="D779" s="43"/>
      <c r="E779" s="43"/>
      <c r="F779" s="43"/>
      <c r="G779" s="43"/>
      <c r="H779" s="43"/>
      <c r="I779" s="43"/>
      <c r="J779" s="443"/>
      <c r="K779" s="43"/>
      <c r="L779" s="89"/>
      <c r="M779" s="89"/>
      <c r="O779" s="71">
        <f t="shared" si="21"/>
        <v>0</v>
      </c>
      <c r="P779" s="89">
        <f t="shared" si="22"/>
        <v>0</v>
      </c>
      <c r="Q779" s="491" t="str">
        <f>IF(ISBLANK(M779), "", VLOOKUP(A779&amp;" "&amp;B779, 'Info Tipo de Cambio y REM'!$A$24:$B$47, 2, FALSE))</f>
        <v/>
      </c>
      <c r="R779" s="109" t="str">
        <f t="shared" si="1"/>
        <v/>
      </c>
      <c r="S779" s="71" t="str">
        <f t="shared" si="2"/>
        <v/>
      </c>
      <c r="T779" s="71">
        <f t="shared" si="3"/>
        <v>0</v>
      </c>
      <c r="U779" s="43"/>
      <c r="V779" s="486"/>
      <c r="W779" s="43"/>
      <c r="X779" s="43"/>
    </row>
    <row r="780" hidden="1">
      <c r="A780" s="51"/>
      <c r="B780" s="43"/>
      <c r="C780" s="51"/>
      <c r="D780" s="43"/>
      <c r="E780" s="43"/>
      <c r="F780" s="43"/>
      <c r="G780" s="43"/>
      <c r="H780" s="43"/>
      <c r="I780" s="43"/>
      <c r="J780" s="443"/>
      <c r="K780" s="43"/>
      <c r="L780" s="89"/>
      <c r="M780" s="89"/>
      <c r="O780" s="71">
        <f t="shared" si="21"/>
        <v>0</v>
      </c>
      <c r="P780" s="89">
        <f t="shared" si="22"/>
        <v>0</v>
      </c>
      <c r="Q780" s="491" t="str">
        <f>IF(ISBLANK(M780), "", VLOOKUP(A780&amp;" "&amp;B780, 'Info Tipo de Cambio y REM'!$A$24:$B$47, 2, FALSE))</f>
        <v/>
      </c>
      <c r="R780" s="109" t="str">
        <f t="shared" si="1"/>
        <v/>
      </c>
      <c r="S780" s="71" t="str">
        <f t="shared" si="2"/>
        <v/>
      </c>
      <c r="T780" s="71">
        <f t="shared" si="3"/>
        <v>0</v>
      </c>
      <c r="U780" s="43"/>
      <c r="V780" s="486"/>
      <c r="W780" s="43"/>
      <c r="X780" s="43"/>
    </row>
    <row r="781" hidden="1">
      <c r="A781" s="51"/>
      <c r="B781" s="43"/>
      <c r="C781" s="51"/>
      <c r="D781" s="43"/>
      <c r="E781" s="43"/>
      <c r="F781" s="43"/>
      <c r="G781" s="43"/>
      <c r="H781" s="43"/>
      <c r="I781" s="43"/>
      <c r="J781" s="443"/>
      <c r="K781" s="43"/>
      <c r="L781" s="89"/>
      <c r="M781" s="89"/>
      <c r="O781" s="71">
        <f t="shared" si="21"/>
        <v>0</v>
      </c>
      <c r="P781" s="89">
        <f t="shared" si="22"/>
        <v>0</v>
      </c>
      <c r="Q781" s="491" t="str">
        <f>IF(ISBLANK(M781), "", VLOOKUP(A781&amp;" "&amp;B781, 'Info Tipo de Cambio y REM'!$A$24:$B$47, 2, FALSE))</f>
        <v/>
      </c>
      <c r="R781" s="109" t="str">
        <f t="shared" si="1"/>
        <v/>
      </c>
      <c r="S781" s="71" t="str">
        <f t="shared" si="2"/>
        <v/>
      </c>
      <c r="T781" s="71">
        <f t="shared" si="3"/>
        <v>0</v>
      </c>
      <c r="U781" s="43"/>
      <c r="V781" s="486"/>
      <c r="W781" s="43"/>
      <c r="X781" s="43"/>
    </row>
    <row r="782" hidden="1">
      <c r="A782" s="51"/>
      <c r="B782" s="43"/>
      <c r="C782" s="51"/>
      <c r="D782" s="43"/>
      <c r="E782" s="43"/>
      <c r="F782" s="43"/>
      <c r="G782" s="43"/>
      <c r="H782" s="43"/>
      <c r="I782" s="43"/>
      <c r="J782" s="443"/>
      <c r="K782" s="43"/>
      <c r="L782" s="89"/>
      <c r="M782" s="89"/>
      <c r="O782" s="71">
        <f t="shared" si="21"/>
        <v>0</v>
      </c>
      <c r="P782" s="89">
        <f t="shared" si="22"/>
        <v>0</v>
      </c>
      <c r="Q782" s="491" t="str">
        <f>IF(ISBLANK(M782), "", VLOOKUP(A782&amp;" "&amp;B782, 'Info Tipo de Cambio y REM'!$A$24:$B$47, 2, FALSE))</f>
        <v/>
      </c>
      <c r="R782" s="109" t="str">
        <f t="shared" si="1"/>
        <v/>
      </c>
      <c r="S782" s="71" t="str">
        <f t="shared" si="2"/>
        <v/>
      </c>
      <c r="T782" s="71">
        <f t="shared" si="3"/>
        <v>0</v>
      </c>
      <c r="U782" s="43"/>
      <c r="V782" s="486"/>
      <c r="W782" s="43"/>
      <c r="X782" s="43"/>
    </row>
    <row r="783" hidden="1">
      <c r="A783" s="51"/>
      <c r="B783" s="43"/>
      <c r="C783" s="51"/>
      <c r="D783" s="43"/>
      <c r="E783" s="43"/>
      <c r="F783" s="43"/>
      <c r="G783" s="43"/>
      <c r="H783" s="43"/>
      <c r="I783" s="43"/>
      <c r="J783" s="443"/>
      <c r="K783" s="43"/>
      <c r="L783" s="89"/>
      <c r="M783" s="89"/>
      <c r="O783" s="71">
        <f t="shared" si="21"/>
        <v>0</v>
      </c>
      <c r="P783" s="89">
        <f t="shared" si="22"/>
        <v>0</v>
      </c>
      <c r="Q783" s="491" t="str">
        <f>IF(ISBLANK(M783), "", VLOOKUP(A783&amp;" "&amp;B783, 'Info Tipo de Cambio y REM'!$A$24:$B$47, 2, FALSE))</f>
        <v/>
      </c>
      <c r="R783" s="109" t="str">
        <f t="shared" si="1"/>
        <v/>
      </c>
      <c r="S783" s="71" t="str">
        <f t="shared" si="2"/>
        <v/>
      </c>
      <c r="T783" s="71">
        <f t="shared" si="3"/>
        <v>0</v>
      </c>
      <c r="U783" s="43"/>
      <c r="V783" s="486"/>
      <c r="W783" s="43"/>
      <c r="X783" s="43"/>
    </row>
    <row r="784" hidden="1">
      <c r="A784" s="51"/>
      <c r="B784" s="43"/>
      <c r="C784" s="51"/>
      <c r="D784" s="43"/>
      <c r="E784" s="43"/>
      <c r="F784" s="43"/>
      <c r="G784" s="43"/>
      <c r="H784" s="43"/>
      <c r="I784" s="43"/>
      <c r="J784" s="443"/>
      <c r="K784" s="43"/>
      <c r="L784" s="89"/>
      <c r="M784" s="89"/>
      <c r="O784" s="71">
        <f t="shared" si="21"/>
        <v>0</v>
      </c>
      <c r="P784" s="89">
        <f t="shared" si="22"/>
        <v>0</v>
      </c>
      <c r="Q784" s="491" t="str">
        <f>IF(ISBLANK(M784), "", VLOOKUP(A784&amp;" "&amp;B784, 'Info Tipo de Cambio y REM'!$A$24:$B$47, 2, FALSE))</f>
        <v/>
      </c>
      <c r="R784" s="109" t="str">
        <f t="shared" si="1"/>
        <v/>
      </c>
      <c r="S784" s="71" t="str">
        <f t="shared" si="2"/>
        <v/>
      </c>
      <c r="T784" s="71">
        <f t="shared" si="3"/>
        <v>0</v>
      </c>
      <c r="U784" s="43"/>
      <c r="V784" s="486"/>
      <c r="W784" s="43"/>
      <c r="X784" s="43"/>
    </row>
    <row r="785" hidden="1">
      <c r="A785" s="51"/>
      <c r="B785" s="43"/>
      <c r="C785" s="51"/>
      <c r="D785" s="43"/>
      <c r="E785" s="43"/>
      <c r="F785" s="43"/>
      <c r="G785" s="43"/>
      <c r="H785" s="43"/>
      <c r="I785" s="43"/>
      <c r="J785" s="443"/>
      <c r="K785" s="43"/>
      <c r="L785" s="89"/>
      <c r="M785" s="89"/>
      <c r="O785" s="71">
        <f t="shared" si="21"/>
        <v>0</v>
      </c>
      <c r="P785" s="89">
        <f t="shared" si="22"/>
        <v>0</v>
      </c>
      <c r="Q785" s="491" t="str">
        <f>IF(ISBLANK(M785), "", VLOOKUP(A785&amp;" "&amp;B785, 'Info Tipo de Cambio y REM'!$A$24:$B$47, 2, FALSE))</f>
        <v/>
      </c>
      <c r="R785" s="109" t="str">
        <f t="shared" si="1"/>
        <v/>
      </c>
      <c r="S785" s="71" t="str">
        <f t="shared" si="2"/>
        <v/>
      </c>
      <c r="T785" s="71">
        <f t="shared" si="3"/>
        <v>0</v>
      </c>
      <c r="U785" s="43"/>
      <c r="V785" s="486"/>
      <c r="W785" s="43"/>
      <c r="X785" s="43"/>
    </row>
    <row r="786" hidden="1">
      <c r="A786" s="51"/>
      <c r="B786" s="43"/>
      <c r="C786" s="51"/>
      <c r="D786" s="43"/>
      <c r="E786" s="43"/>
      <c r="F786" s="43"/>
      <c r="G786" s="43"/>
      <c r="H786" s="43"/>
      <c r="I786" s="43"/>
      <c r="J786" s="443"/>
      <c r="K786" s="43"/>
      <c r="L786" s="89"/>
      <c r="M786" s="89"/>
      <c r="O786" s="71">
        <f t="shared" si="21"/>
        <v>0</v>
      </c>
      <c r="P786" s="89">
        <f t="shared" si="22"/>
        <v>0</v>
      </c>
      <c r="Q786" s="491" t="str">
        <f>IF(ISBLANK(M786), "", VLOOKUP(A786&amp;" "&amp;B786, 'Info Tipo de Cambio y REM'!$A$24:$B$47, 2, FALSE))</f>
        <v/>
      </c>
      <c r="R786" s="109" t="str">
        <f t="shared" si="1"/>
        <v/>
      </c>
      <c r="S786" s="71" t="str">
        <f t="shared" si="2"/>
        <v/>
      </c>
      <c r="T786" s="71">
        <f t="shared" si="3"/>
        <v>0</v>
      </c>
      <c r="U786" s="43"/>
      <c r="V786" s="486"/>
      <c r="W786" s="43"/>
      <c r="X786" s="43"/>
    </row>
    <row r="787" hidden="1">
      <c r="A787" s="51"/>
      <c r="B787" s="43"/>
      <c r="C787" s="51"/>
      <c r="D787" s="43"/>
      <c r="E787" s="43"/>
      <c r="F787" s="43"/>
      <c r="G787" s="43"/>
      <c r="H787" s="43"/>
      <c r="I787" s="43"/>
      <c r="J787" s="443"/>
      <c r="K787" s="43"/>
      <c r="L787" s="89"/>
      <c r="M787" s="89"/>
      <c r="O787" s="71">
        <f t="shared" si="21"/>
        <v>0</v>
      </c>
      <c r="P787" s="89">
        <f t="shared" si="22"/>
        <v>0</v>
      </c>
      <c r="Q787" s="491" t="str">
        <f>IF(ISBLANK(M787), "", VLOOKUP(A787&amp;" "&amp;B787, 'Info Tipo de Cambio y REM'!$A$24:$B$47, 2, FALSE))</f>
        <v/>
      </c>
      <c r="R787" s="109" t="str">
        <f t="shared" si="1"/>
        <v/>
      </c>
      <c r="S787" s="71" t="str">
        <f t="shared" si="2"/>
        <v/>
      </c>
      <c r="T787" s="71">
        <f t="shared" si="3"/>
        <v>0</v>
      </c>
      <c r="U787" s="43"/>
      <c r="V787" s="486"/>
      <c r="W787" s="43"/>
      <c r="X787" s="43"/>
    </row>
    <row r="788" hidden="1">
      <c r="A788" s="51"/>
      <c r="B788" s="43"/>
      <c r="C788" s="51"/>
      <c r="D788" s="43"/>
      <c r="E788" s="43"/>
      <c r="F788" s="43"/>
      <c r="G788" s="43"/>
      <c r="H788" s="43"/>
      <c r="I788" s="43"/>
      <c r="J788" s="443"/>
      <c r="K788" s="43"/>
      <c r="L788" s="89"/>
      <c r="M788" s="89"/>
      <c r="O788" s="71">
        <f t="shared" si="21"/>
        <v>0</v>
      </c>
      <c r="P788" s="89">
        <f t="shared" si="22"/>
        <v>0</v>
      </c>
      <c r="Q788" s="491" t="str">
        <f>IF(ISBLANK(M788), "", VLOOKUP(A788&amp;" "&amp;B788, 'Info Tipo de Cambio y REM'!$A$24:$B$47, 2, FALSE))</f>
        <v/>
      </c>
      <c r="R788" s="109" t="str">
        <f t="shared" si="1"/>
        <v/>
      </c>
      <c r="S788" s="71" t="str">
        <f t="shared" si="2"/>
        <v/>
      </c>
      <c r="T788" s="71">
        <f t="shared" si="3"/>
        <v>0</v>
      </c>
      <c r="U788" s="43"/>
      <c r="V788" s="486"/>
      <c r="W788" s="43"/>
      <c r="X788" s="43"/>
    </row>
    <row r="789" hidden="1">
      <c r="A789" s="51"/>
      <c r="B789" s="43"/>
      <c r="C789" s="51"/>
      <c r="D789" s="43"/>
      <c r="E789" s="43"/>
      <c r="F789" s="43"/>
      <c r="G789" s="43"/>
      <c r="H789" s="43"/>
      <c r="I789" s="43"/>
      <c r="J789" s="443"/>
      <c r="K789" s="43"/>
      <c r="L789" s="89"/>
      <c r="M789" s="89"/>
      <c r="O789" s="71">
        <f t="shared" si="21"/>
        <v>0</v>
      </c>
      <c r="P789" s="89">
        <f t="shared" si="22"/>
        <v>0</v>
      </c>
      <c r="Q789" s="491" t="str">
        <f>IF(ISBLANK(M789), "", VLOOKUP(A789&amp;" "&amp;B789, 'Info Tipo de Cambio y REM'!$A$24:$B$47, 2, FALSE))</f>
        <v/>
      </c>
      <c r="R789" s="109" t="str">
        <f t="shared" si="1"/>
        <v/>
      </c>
      <c r="S789" s="71" t="str">
        <f t="shared" si="2"/>
        <v/>
      </c>
      <c r="T789" s="71">
        <f t="shared" si="3"/>
        <v>0</v>
      </c>
      <c r="U789" s="43"/>
      <c r="V789" s="486"/>
      <c r="W789" s="43"/>
      <c r="X789" s="43"/>
    </row>
    <row r="790" hidden="1">
      <c r="A790" s="51"/>
      <c r="B790" s="43"/>
      <c r="C790" s="51"/>
      <c r="D790" s="43"/>
      <c r="E790" s="43"/>
      <c r="F790" s="43"/>
      <c r="G790" s="43"/>
      <c r="H790" s="43"/>
      <c r="I790" s="43"/>
      <c r="J790" s="443"/>
      <c r="K790" s="43"/>
      <c r="L790" s="89"/>
      <c r="M790" s="89"/>
      <c r="O790" s="71">
        <f t="shared" si="21"/>
        <v>0</v>
      </c>
      <c r="P790" s="89">
        <f t="shared" si="22"/>
        <v>0</v>
      </c>
      <c r="Q790" s="491" t="str">
        <f>IF(ISBLANK(M790), "", VLOOKUP(A790&amp;" "&amp;B790, 'Info Tipo de Cambio y REM'!$A$24:$B$47, 2, FALSE))</f>
        <v/>
      </c>
      <c r="R790" s="109" t="str">
        <f t="shared" si="1"/>
        <v/>
      </c>
      <c r="S790" s="71" t="str">
        <f t="shared" si="2"/>
        <v/>
      </c>
      <c r="T790" s="71">
        <f t="shared" si="3"/>
        <v>0</v>
      </c>
      <c r="U790" s="43"/>
      <c r="V790" s="486"/>
      <c r="W790" s="43"/>
      <c r="X790" s="43"/>
    </row>
    <row r="791" hidden="1">
      <c r="A791" s="51"/>
      <c r="B791" s="43"/>
      <c r="C791" s="51"/>
      <c r="D791" s="43"/>
      <c r="E791" s="43"/>
      <c r="F791" s="43"/>
      <c r="G791" s="43"/>
      <c r="H791" s="43"/>
      <c r="I791" s="43"/>
      <c r="J791" s="443"/>
      <c r="K791" s="43"/>
      <c r="L791" s="89"/>
      <c r="M791" s="89"/>
      <c r="O791" s="71">
        <f t="shared" si="21"/>
        <v>0</v>
      </c>
      <c r="P791" s="89">
        <f t="shared" si="22"/>
        <v>0</v>
      </c>
      <c r="Q791" s="491" t="str">
        <f>IF(ISBLANK(M791), "", VLOOKUP(A791&amp;" "&amp;B791, 'Info Tipo de Cambio y REM'!$A$24:$B$47, 2, FALSE))</f>
        <v/>
      </c>
      <c r="R791" s="109" t="str">
        <f t="shared" si="1"/>
        <v/>
      </c>
      <c r="S791" s="71" t="str">
        <f t="shared" si="2"/>
        <v/>
      </c>
      <c r="T791" s="71">
        <f t="shared" si="3"/>
        <v>0</v>
      </c>
      <c r="U791" s="43"/>
      <c r="V791" s="486"/>
      <c r="W791" s="43"/>
      <c r="X791" s="43"/>
    </row>
    <row r="792" hidden="1">
      <c r="A792" s="51"/>
      <c r="B792" s="43"/>
      <c r="C792" s="51"/>
      <c r="D792" s="43"/>
      <c r="E792" s="43"/>
      <c r="F792" s="43"/>
      <c r="G792" s="43"/>
      <c r="H792" s="43"/>
      <c r="I792" s="43"/>
      <c r="J792" s="443"/>
      <c r="K792" s="43"/>
      <c r="L792" s="89"/>
      <c r="M792" s="89"/>
      <c r="O792" s="71">
        <f t="shared" si="21"/>
        <v>0</v>
      </c>
      <c r="P792" s="89">
        <f t="shared" si="22"/>
        <v>0</v>
      </c>
      <c r="Q792" s="491" t="str">
        <f>IF(ISBLANK(M792), "", VLOOKUP(A792&amp;" "&amp;B792, 'Info Tipo de Cambio y REM'!$A$24:$B$47, 2, FALSE))</f>
        <v/>
      </c>
      <c r="R792" s="109" t="str">
        <f t="shared" si="1"/>
        <v/>
      </c>
      <c r="S792" s="71" t="str">
        <f t="shared" si="2"/>
        <v/>
      </c>
      <c r="T792" s="71">
        <f t="shared" si="3"/>
        <v>0</v>
      </c>
      <c r="U792" s="43"/>
      <c r="V792" s="486"/>
      <c r="W792" s="43"/>
      <c r="X792" s="43"/>
    </row>
    <row r="793" hidden="1">
      <c r="A793" s="51"/>
      <c r="B793" s="43"/>
      <c r="C793" s="51"/>
      <c r="D793" s="43"/>
      <c r="E793" s="43"/>
      <c r="F793" s="43"/>
      <c r="G793" s="43"/>
      <c r="H793" s="43"/>
      <c r="I793" s="43"/>
      <c r="J793" s="443"/>
      <c r="K793" s="43"/>
      <c r="L793" s="89"/>
      <c r="M793" s="89"/>
      <c r="O793" s="71">
        <f t="shared" si="21"/>
        <v>0</v>
      </c>
      <c r="P793" s="89">
        <f t="shared" si="22"/>
        <v>0</v>
      </c>
      <c r="Q793" s="491" t="str">
        <f>IF(ISBLANK(M793), "", VLOOKUP(A793&amp;" "&amp;B793, 'Info Tipo de Cambio y REM'!$A$24:$B$47, 2, FALSE))</f>
        <v/>
      </c>
      <c r="R793" s="109" t="str">
        <f t="shared" si="1"/>
        <v/>
      </c>
      <c r="S793" s="71" t="str">
        <f t="shared" si="2"/>
        <v/>
      </c>
      <c r="T793" s="71">
        <f t="shared" si="3"/>
        <v>0</v>
      </c>
      <c r="U793" s="43"/>
      <c r="V793" s="486"/>
      <c r="W793" s="43"/>
      <c r="X793" s="43"/>
    </row>
    <row r="794" hidden="1">
      <c r="A794" s="51"/>
      <c r="B794" s="43"/>
      <c r="C794" s="51"/>
      <c r="D794" s="43"/>
      <c r="E794" s="43"/>
      <c r="F794" s="43"/>
      <c r="G794" s="43"/>
      <c r="H794" s="43"/>
      <c r="I794" s="43"/>
      <c r="J794" s="443"/>
      <c r="K794" s="43"/>
      <c r="L794" s="89"/>
      <c r="M794" s="89"/>
      <c r="O794" s="71">
        <f t="shared" si="21"/>
        <v>0</v>
      </c>
      <c r="P794" s="89">
        <f t="shared" si="22"/>
        <v>0</v>
      </c>
      <c r="Q794" s="491" t="str">
        <f>IF(ISBLANK(M794), "", VLOOKUP(A794&amp;" "&amp;B794, 'Info Tipo de Cambio y REM'!$A$24:$B$47, 2, FALSE))</f>
        <v/>
      </c>
      <c r="R794" s="109" t="str">
        <f t="shared" si="1"/>
        <v/>
      </c>
      <c r="S794" s="71" t="str">
        <f t="shared" si="2"/>
        <v/>
      </c>
      <c r="T794" s="71">
        <f t="shared" si="3"/>
        <v>0</v>
      </c>
      <c r="U794" s="43"/>
      <c r="V794" s="486"/>
      <c r="W794" s="43"/>
      <c r="X794" s="43"/>
    </row>
    <row r="795" hidden="1">
      <c r="A795" s="51"/>
      <c r="B795" s="43"/>
      <c r="C795" s="51"/>
      <c r="D795" s="43"/>
      <c r="E795" s="43"/>
      <c r="F795" s="43"/>
      <c r="G795" s="43"/>
      <c r="H795" s="43"/>
      <c r="I795" s="43"/>
      <c r="J795" s="443"/>
      <c r="K795" s="43"/>
      <c r="L795" s="89"/>
      <c r="M795" s="89"/>
      <c r="O795" s="71">
        <f t="shared" si="21"/>
        <v>0</v>
      </c>
      <c r="P795" s="89">
        <f t="shared" si="22"/>
        <v>0</v>
      </c>
      <c r="Q795" s="491" t="str">
        <f>IF(ISBLANK(M795), "", VLOOKUP(A795&amp;" "&amp;B795, 'Info Tipo de Cambio y REM'!$A$24:$B$47, 2, FALSE))</f>
        <v/>
      </c>
      <c r="R795" s="109" t="str">
        <f t="shared" si="1"/>
        <v/>
      </c>
      <c r="S795" s="71" t="str">
        <f t="shared" si="2"/>
        <v/>
      </c>
      <c r="T795" s="71">
        <f t="shared" si="3"/>
        <v>0</v>
      </c>
      <c r="U795" s="43"/>
      <c r="V795" s="486"/>
      <c r="W795" s="43"/>
      <c r="X795" s="43"/>
    </row>
    <row r="796" hidden="1">
      <c r="A796" s="51"/>
      <c r="B796" s="43"/>
      <c r="C796" s="51"/>
      <c r="D796" s="43"/>
      <c r="E796" s="43"/>
      <c r="F796" s="43"/>
      <c r="G796" s="43"/>
      <c r="H796" s="43"/>
      <c r="I796" s="43"/>
      <c r="J796" s="443"/>
      <c r="K796" s="43"/>
      <c r="L796" s="89"/>
      <c r="M796" s="89"/>
      <c r="O796" s="71">
        <f t="shared" si="21"/>
        <v>0</v>
      </c>
      <c r="P796" s="89">
        <f t="shared" si="22"/>
        <v>0</v>
      </c>
      <c r="Q796" s="491" t="str">
        <f>IF(ISBLANK(M796), "", VLOOKUP(A796&amp;" "&amp;B796, 'Info Tipo de Cambio y REM'!$A$24:$B$47, 2, FALSE))</f>
        <v/>
      </c>
      <c r="R796" s="109" t="str">
        <f t="shared" si="1"/>
        <v/>
      </c>
      <c r="S796" s="71" t="str">
        <f t="shared" si="2"/>
        <v/>
      </c>
      <c r="T796" s="71">
        <f t="shared" si="3"/>
        <v>0</v>
      </c>
      <c r="U796" s="43"/>
      <c r="V796" s="486"/>
      <c r="W796" s="43"/>
      <c r="X796" s="43"/>
    </row>
    <row r="797" hidden="1">
      <c r="A797" s="51"/>
      <c r="B797" s="43"/>
      <c r="C797" s="51"/>
      <c r="D797" s="43"/>
      <c r="E797" s="43"/>
      <c r="F797" s="43"/>
      <c r="G797" s="43"/>
      <c r="H797" s="43"/>
      <c r="I797" s="43"/>
      <c r="J797" s="443"/>
      <c r="K797" s="43"/>
      <c r="L797" s="89"/>
      <c r="M797" s="89"/>
      <c r="O797" s="71">
        <f t="shared" si="21"/>
        <v>0</v>
      </c>
      <c r="P797" s="89">
        <f t="shared" si="22"/>
        <v>0</v>
      </c>
      <c r="Q797" s="491" t="str">
        <f>IF(ISBLANK(M797), "", VLOOKUP(A797&amp;" "&amp;B797, 'Info Tipo de Cambio y REM'!$A$24:$B$47, 2, FALSE))</f>
        <v/>
      </c>
      <c r="R797" s="109" t="str">
        <f t="shared" si="1"/>
        <v/>
      </c>
      <c r="S797" s="71" t="str">
        <f t="shared" si="2"/>
        <v/>
      </c>
      <c r="T797" s="71">
        <f t="shared" si="3"/>
        <v>0</v>
      </c>
      <c r="U797" s="43"/>
      <c r="V797" s="486"/>
      <c r="W797" s="43"/>
      <c r="X797" s="43"/>
    </row>
    <row r="798" hidden="1">
      <c r="A798" s="51"/>
      <c r="B798" s="43"/>
      <c r="C798" s="51"/>
      <c r="D798" s="43"/>
      <c r="E798" s="43"/>
      <c r="F798" s="43"/>
      <c r="G798" s="43"/>
      <c r="H798" s="43"/>
      <c r="I798" s="43"/>
      <c r="J798" s="443"/>
      <c r="K798" s="43"/>
      <c r="L798" s="89"/>
      <c r="M798" s="89"/>
      <c r="O798" s="71">
        <f t="shared" si="21"/>
        <v>0</v>
      </c>
      <c r="P798" s="89">
        <f t="shared" si="22"/>
        <v>0</v>
      </c>
      <c r="Q798" s="491" t="str">
        <f>IF(ISBLANK(M798), "", VLOOKUP(A798&amp;" "&amp;B798, 'Info Tipo de Cambio y REM'!$A$24:$B$47, 2, FALSE))</f>
        <v/>
      </c>
      <c r="R798" s="109" t="str">
        <f t="shared" si="1"/>
        <v/>
      </c>
      <c r="S798" s="71" t="str">
        <f t="shared" si="2"/>
        <v/>
      </c>
      <c r="T798" s="71">
        <f t="shared" si="3"/>
        <v>0</v>
      </c>
      <c r="U798" s="43"/>
      <c r="V798" s="486"/>
      <c r="W798" s="43"/>
      <c r="X798" s="43"/>
    </row>
    <row r="799" hidden="1">
      <c r="A799" s="51"/>
      <c r="B799" s="43"/>
      <c r="C799" s="51"/>
      <c r="D799" s="43"/>
      <c r="E799" s="43"/>
      <c r="F799" s="43"/>
      <c r="G799" s="43"/>
      <c r="H799" s="43"/>
      <c r="I799" s="43"/>
      <c r="J799" s="443"/>
      <c r="K799" s="43"/>
      <c r="L799" s="89"/>
      <c r="M799" s="89"/>
      <c r="O799" s="71">
        <f t="shared" si="21"/>
        <v>0</v>
      </c>
      <c r="P799" s="89">
        <f t="shared" si="22"/>
        <v>0</v>
      </c>
      <c r="Q799" s="491" t="str">
        <f>IF(ISBLANK(M799), "", VLOOKUP(A799&amp;" "&amp;B799, 'Info Tipo de Cambio y REM'!$A$24:$B$47, 2, FALSE))</f>
        <v/>
      </c>
      <c r="R799" s="109" t="str">
        <f t="shared" si="1"/>
        <v/>
      </c>
      <c r="S799" s="71" t="str">
        <f t="shared" si="2"/>
        <v/>
      </c>
      <c r="T799" s="71">
        <f t="shared" si="3"/>
        <v>0</v>
      </c>
      <c r="U799" s="43"/>
      <c r="V799" s="486"/>
      <c r="W799" s="43"/>
      <c r="X799" s="43"/>
    </row>
    <row r="800" hidden="1">
      <c r="A800" s="51"/>
      <c r="B800" s="43"/>
      <c r="C800" s="51"/>
      <c r="D800" s="43"/>
      <c r="E800" s="43"/>
      <c r="F800" s="43"/>
      <c r="G800" s="43"/>
      <c r="H800" s="43"/>
      <c r="I800" s="43"/>
      <c r="J800" s="443"/>
      <c r="K800" s="43"/>
      <c r="L800" s="89"/>
      <c r="M800" s="89"/>
      <c r="O800" s="71">
        <f t="shared" si="21"/>
        <v>0</v>
      </c>
      <c r="P800" s="89">
        <f t="shared" si="22"/>
        <v>0</v>
      </c>
      <c r="Q800" s="491" t="str">
        <f>IF(ISBLANK(M800), "", VLOOKUP(A800&amp;" "&amp;B800, 'Info Tipo de Cambio y REM'!$A$24:$B$47, 2, FALSE))</f>
        <v/>
      </c>
      <c r="R800" s="109" t="str">
        <f t="shared" si="1"/>
        <v/>
      </c>
      <c r="S800" s="71" t="str">
        <f t="shared" si="2"/>
        <v/>
      </c>
      <c r="T800" s="71">
        <f t="shared" si="3"/>
        <v>0</v>
      </c>
      <c r="U800" s="43"/>
      <c r="V800" s="486"/>
      <c r="W800" s="43"/>
      <c r="X800" s="43"/>
    </row>
    <row r="801" hidden="1">
      <c r="A801" s="51"/>
      <c r="B801" s="43"/>
      <c r="C801" s="51"/>
      <c r="D801" s="43"/>
      <c r="E801" s="43"/>
      <c r="F801" s="43"/>
      <c r="G801" s="43"/>
      <c r="H801" s="43"/>
      <c r="I801" s="43"/>
      <c r="J801" s="443"/>
      <c r="K801" s="43"/>
      <c r="L801" s="89"/>
      <c r="M801" s="89"/>
      <c r="O801" s="71">
        <f t="shared" si="21"/>
        <v>0</v>
      </c>
      <c r="P801" s="89">
        <f t="shared" si="22"/>
        <v>0</v>
      </c>
      <c r="Q801" s="491" t="str">
        <f>IF(ISBLANK(M801), "", VLOOKUP(A801&amp;" "&amp;B801, 'Info Tipo de Cambio y REM'!$A$24:$B$47, 2, FALSE))</f>
        <v/>
      </c>
      <c r="R801" s="109" t="str">
        <f t="shared" si="1"/>
        <v/>
      </c>
      <c r="S801" s="71" t="str">
        <f t="shared" si="2"/>
        <v/>
      </c>
      <c r="T801" s="71">
        <f t="shared" si="3"/>
        <v>0</v>
      </c>
      <c r="U801" s="43"/>
      <c r="V801" s="486"/>
      <c r="W801" s="43"/>
      <c r="X801" s="43"/>
    </row>
    <row r="802" hidden="1">
      <c r="A802" s="51"/>
      <c r="B802" s="43"/>
      <c r="C802" s="51"/>
      <c r="D802" s="43"/>
      <c r="E802" s="43"/>
      <c r="F802" s="43"/>
      <c r="G802" s="43"/>
      <c r="H802" s="43"/>
      <c r="I802" s="43"/>
      <c r="J802" s="443"/>
      <c r="K802" s="43"/>
      <c r="L802" s="89"/>
      <c r="M802" s="89"/>
      <c r="O802" s="71">
        <f t="shared" si="21"/>
        <v>0</v>
      </c>
      <c r="P802" s="89">
        <f t="shared" si="22"/>
        <v>0</v>
      </c>
      <c r="Q802" s="491" t="str">
        <f>IF(ISBLANK(M802), "", VLOOKUP(A802&amp;" "&amp;B802, 'Info Tipo de Cambio y REM'!$A$24:$B$47, 2, FALSE))</f>
        <v/>
      </c>
      <c r="R802" s="109" t="str">
        <f t="shared" si="1"/>
        <v/>
      </c>
      <c r="S802" s="71" t="str">
        <f t="shared" si="2"/>
        <v/>
      </c>
      <c r="T802" s="71">
        <f t="shared" si="3"/>
        <v>0</v>
      </c>
      <c r="U802" s="43"/>
      <c r="V802" s="486"/>
      <c r="W802" s="43"/>
      <c r="X802" s="43"/>
    </row>
    <row r="803" hidden="1">
      <c r="A803" s="51"/>
      <c r="B803" s="43"/>
      <c r="C803" s="51"/>
      <c r="D803" s="43"/>
      <c r="E803" s="43"/>
      <c r="F803" s="43"/>
      <c r="G803" s="43"/>
      <c r="H803" s="43"/>
      <c r="I803" s="43"/>
      <c r="J803" s="443"/>
      <c r="K803" s="43"/>
      <c r="L803" s="89"/>
      <c r="M803" s="89"/>
      <c r="O803" s="71">
        <f t="shared" si="21"/>
        <v>0</v>
      </c>
      <c r="P803" s="89">
        <f t="shared" si="22"/>
        <v>0</v>
      </c>
      <c r="Q803" s="491" t="str">
        <f>IF(ISBLANK(M803), "", VLOOKUP(A803&amp;" "&amp;B803, 'Info Tipo de Cambio y REM'!$A$24:$B$47, 2, FALSE))</f>
        <v/>
      </c>
      <c r="R803" s="109" t="str">
        <f t="shared" si="1"/>
        <v/>
      </c>
      <c r="S803" s="71" t="str">
        <f t="shared" si="2"/>
        <v/>
      </c>
      <c r="T803" s="71">
        <f t="shared" si="3"/>
        <v>0</v>
      </c>
      <c r="U803" s="43"/>
      <c r="V803" s="486"/>
      <c r="W803" s="43"/>
      <c r="X803" s="43"/>
    </row>
    <row r="804" hidden="1">
      <c r="A804" s="51"/>
      <c r="B804" s="43"/>
      <c r="C804" s="51"/>
      <c r="D804" s="43"/>
      <c r="E804" s="43"/>
      <c r="F804" s="43"/>
      <c r="G804" s="43"/>
      <c r="H804" s="43"/>
      <c r="I804" s="43"/>
      <c r="J804" s="443"/>
      <c r="K804" s="43"/>
      <c r="L804" s="89"/>
      <c r="M804" s="89"/>
      <c r="O804" s="71">
        <f t="shared" si="21"/>
        <v>0</v>
      </c>
      <c r="P804" s="89">
        <f t="shared" si="22"/>
        <v>0</v>
      </c>
      <c r="Q804" s="491" t="str">
        <f>IF(ISBLANK(M804), "", VLOOKUP(A804&amp;" "&amp;B804, 'Info Tipo de Cambio y REM'!$A$24:$B$47, 2, FALSE))</f>
        <v/>
      </c>
      <c r="R804" s="109" t="str">
        <f t="shared" si="1"/>
        <v/>
      </c>
      <c r="S804" s="71" t="str">
        <f t="shared" si="2"/>
        <v/>
      </c>
      <c r="T804" s="71">
        <f t="shared" si="3"/>
        <v>0</v>
      </c>
      <c r="U804" s="43"/>
      <c r="V804" s="486"/>
      <c r="W804" s="43"/>
      <c r="X804" s="43"/>
    </row>
    <row r="805" hidden="1">
      <c r="A805" s="51"/>
      <c r="B805" s="43"/>
      <c r="C805" s="51"/>
      <c r="D805" s="43"/>
      <c r="E805" s="43"/>
      <c r="F805" s="43"/>
      <c r="G805" s="43"/>
      <c r="H805" s="43"/>
      <c r="I805" s="43"/>
      <c r="J805" s="443"/>
      <c r="K805" s="43"/>
      <c r="L805" s="89"/>
      <c r="M805" s="89"/>
      <c r="O805" s="71">
        <f t="shared" si="21"/>
        <v>0</v>
      </c>
      <c r="P805" s="89">
        <f t="shared" si="22"/>
        <v>0</v>
      </c>
      <c r="Q805" s="491" t="str">
        <f>IF(ISBLANK(M805), "", VLOOKUP(A805&amp;" "&amp;B805, 'Info Tipo de Cambio y REM'!$A$24:$B$47, 2, FALSE))</f>
        <v/>
      </c>
      <c r="R805" s="109" t="str">
        <f t="shared" si="1"/>
        <v/>
      </c>
      <c r="S805" s="71" t="str">
        <f t="shared" si="2"/>
        <v/>
      </c>
      <c r="T805" s="71">
        <f t="shared" si="3"/>
        <v>0</v>
      </c>
      <c r="U805" s="43"/>
      <c r="V805" s="486"/>
      <c r="W805" s="43"/>
      <c r="X805" s="43"/>
    </row>
    <row r="806" hidden="1">
      <c r="A806" s="51"/>
      <c r="B806" s="43"/>
      <c r="C806" s="51"/>
      <c r="D806" s="43"/>
      <c r="E806" s="43"/>
      <c r="F806" s="43"/>
      <c r="G806" s="43"/>
      <c r="H806" s="43"/>
      <c r="I806" s="43"/>
      <c r="J806" s="443"/>
      <c r="K806" s="43"/>
      <c r="L806" s="89"/>
      <c r="M806" s="89"/>
      <c r="O806" s="71">
        <f t="shared" si="21"/>
        <v>0</v>
      </c>
      <c r="P806" s="89">
        <f t="shared" si="22"/>
        <v>0</v>
      </c>
      <c r="Q806" s="491" t="str">
        <f>IF(ISBLANK(M806), "", VLOOKUP(A806&amp;" "&amp;B806, 'Info Tipo de Cambio y REM'!$A$24:$B$47, 2, FALSE))</f>
        <v/>
      </c>
      <c r="R806" s="109" t="str">
        <f t="shared" si="1"/>
        <v/>
      </c>
      <c r="S806" s="71" t="str">
        <f t="shared" si="2"/>
        <v/>
      </c>
      <c r="T806" s="71">
        <f t="shared" si="3"/>
        <v>0</v>
      </c>
      <c r="U806" s="43"/>
      <c r="V806" s="486"/>
      <c r="W806" s="43"/>
      <c r="X806" s="43"/>
    </row>
    <row r="807" hidden="1">
      <c r="A807" s="51"/>
      <c r="B807" s="43"/>
      <c r="C807" s="51"/>
      <c r="D807" s="43"/>
      <c r="E807" s="43"/>
      <c r="F807" s="43"/>
      <c r="G807" s="43"/>
      <c r="H807" s="43"/>
      <c r="I807" s="43"/>
      <c r="J807" s="443"/>
      <c r="K807" s="43"/>
      <c r="L807" s="89"/>
      <c r="M807" s="89"/>
      <c r="O807" s="71">
        <f t="shared" si="21"/>
        <v>0</v>
      </c>
      <c r="P807" s="89">
        <f t="shared" si="22"/>
        <v>0</v>
      </c>
      <c r="Q807" s="491" t="str">
        <f>IF(ISBLANK(M807), "", VLOOKUP(A807&amp;" "&amp;B807, 'Info Tipo de Cambio y REM'!$A$24:$B$47, 2, FALSE))</f>
        <v/>
      </c>
      <c r="R807" s="109" t="str">
        <f t="shared" si="1"/>
        <v/>
      </c>
      <c r="S807" s="71" t="str">
        <f t="shared" si="2"/>
        <v/>
      </c>
      <c r="T807" s="71">
        <f t="shared" si="3"/>
        <v>0</v>
      </c>
      <c r="U807" s="43"/>
      <c r="V807" s="486"/>
      <c r="W807" s="43"/>
      <c r="X807" s="43"/>
    </row>
    <row r="808" hidden="1">
      <c r="A808" s="51"/>
      <c r="B808" s="43"/>
      <c r="C808" s="51"/>
      <c r="D808" s="43"/>
      <c r="E808" s="43"/>
      <c r="F808" s="43"/>
      <c r="G808" s="43"/>
      <c r="H808" s="43"/>
      <c r="I808" s="43"/>
      <c r="J808" s="443"/>
      <c r="K808" s="43"/>
      <c r="L808" s="89"/>
      <c r="M808" s="89"/>
      <c r="O808" s="71">
        <f t="shared" si="21"/>
        <v>0</v>
      </c>
      <c r="P808" s="89">
        <f t="shared" si="22"/>
        <v>0</v>
      </c>
      <c r="Q808" s="491" t="str">
        <f>IF(ISBLANK(M808), "", VLOOKUP(A808&amp;" "&amp;B808, 'Info Tipo de Cambio y REM'!$A$24:$B$47, 2, FALSE))</f>
        <v/>
      </c>
      <c r="R808" s="109" t="str">
        <f t="shared" si="1"/>
        <v/>
      </c>
      <c r="S808" s="71" t="str">
        <f t="shared" si="2"/>
        <v/>
      </c>
      <c r="T808" s="71">
        <f t="shared" si="3"/>
        <v>0</v>
      </c>
      <c r="U808" s="43"/>
      <c r="V808" s="486"/>
      <c r="W808" s="43"/>
      <c r="X808" s="43"/>
    </row>
    <row r="809" hidden="1">
      <c r="A809" s="51"/>
      <c r="B809" s="43"/>
      <c r="C809" s="51"/>
      <c r="D809" s="43"/>
      <c r="E809" s="43"/>
      <c r="F809" s="43"/>
      <c r="G809" s="43"/>
      <c r="H809" s="43"/>
      <c r="I809" s="43"/>
      <c r="J809" s="443"/>
      <c r="K809" s="43"/>
      <c r="L809" s="89"/>
      <c r="M809" s="89"/>
      <c r="O809" s="71">
        <f t="shared" si="21"/>
        <v>0</v>
      </c>
      <c r="P809" s="89">
        <f t="shared" si="22"/>
        <v>0</v>
      </c>
      <c r="Q809" s="491" t="str">
        <f>IF(ISBLANK(M809), "", VLOOKUP(A809&amp;" "&amp;B809, 'Info Tipo de Cambio y REM'!$A$24:$B$47, 2, FALSE))</f>
        <v/>
      </c>
      <c r="R809" s="109" t="str">
        <f t="shared" si="1"/>
        <v/>
      </c>
      <c r="S809" s="71" t="str">
        <f t="shared" si="2"/>
        <v/>
      </c>
      <c r="T809" s="71">
        <f t="shared" si="3"/>
        <v>0</v>
      </c>
      <c r="U809" s="43"/>
      <c r="V809" s="486"/>
      <c r="W809" s="43"/>
      <c r="X809" s="43"/>
    </row>
    <row r="810" hidden="1">
      <c r="A810" s="51"/>
      <c r="B810" s="43"/>
      <c r="C810" s="51"/>
      <c r="D810" s="43"/>
      <c r="E810" s="43"/>
      <c r="F810" s="43"/>
      <c r="G810" s="43"/>
      <c r="H810" s="43"/>
      <c r="I810" s="43"/>
      <c r="J810" s="443"/>
      <c r="K810" s="43"/>
      <c r="L810" s="89"/>
      <c r="M810" s="89"/>
      <c r="O810" s="71">
        <f t="shared" si="21"/>
        <v>0</v>
      </c>
      <c r="P810" s="89">
        <f t="shared" si="22"/>
        <v>0</v>
      </c>
      <c r="Q810" s="491" t="str">
        <f>IF(ISBLANK(M810), "", VLOOKUP(A810&amp;" "&amp;B810, 'Info Tipo de Cambio y REM'!$A$24:$B$47, 2, FALSE))</f>
        <v/>
      </c>
      <c r="R810" s="109" t="str">
        <f t="shared" si="1"/>
        <v/>
      </c>
      <c r="S810" s="71" t="str">
        <f t="shared" si="2"/>
        <v/>
      </c>
      <c r="T810" s="71">
        <f t="shared" si="3"/>
        <v>0</v>
      </c>
      <c r="U810" s="43"/>
      <c r="V810" s="486"/>
      <c r="W810" s="43"/>
      <c r="X810" s="43"/>
    </row>
    <row r="811" hidden="1">
      <c r="A811" s="51"/>
      <c r="B811" s="43"/>
      <c r="C811" s="51"/>
      <c r="D811" s="43"/>
      <c r="E811" s="43"/>
      <c r="F811" s="43"/>
      <c r="G811" s="43"/>
      <c r="H811" s="43"/>
      <c r="I811" s="43"/>
      <c r="J811" s="443"/>
      <c r="K811" s="43"/>
      <c r="L811" s="89"/>
      <c r="M811" s="89"/>
      <c r="O811" s="71">
        <f t="shared" si="21"/>
        <v>0</v>
      </c>
      <c r="P811" s="89">
        <f t="shared" si="22"/>
        <v>0</v>
      </c>
      <c r="Q811" s="491" t="str">
        <f>IF(ISBLANK(M811), "", VLOOKUP(A811&amp;" "&amp;B811, 'Info Tipo de Cambio y REM'!$A$24:$B$47, 2, FALSE))</f>
        <v/>
      </c>
      <c r="R811" s="109" t="str">
        <f t="shared" si="1"/>
        <v/>
      </c>
      <c r="S811" s="71" t="str">
        <f t="shared" si="2"/>
        <v/>
      </c>
      <c r="T811" s="71">
        <f t="shared" si="3"/>
        <v>0</v>
      </c>
      <c r="U811" s="43"/>
      <c r="V811" s="486"/>
      <c r="W811" s="43"/>
      <c r="X811" s="43"/>
    </row>
    <row r="812" hidden="1">
      <c r="A812" s="51"/>
      <c r="B812" s="43"/>
      <c r="C812" s="51"/>
      <c r="D812" s="43"/>
      <c r="E812" s="43"/>
      <c r="F812" s="43"/>
      <c r="G812" s="43"/>
      <c r="H812" s="43"/>
      <c r="I812" s="43"/>
      <c r="J812" s="443"/>
      <c r="K812" s="43"/>
      <c r="L812" s="89"/>
      <c r="M812" s="89"/>
      <c r="O812" s="71">
        <f t="shared" si="21"/>
        <v>0</v>
      </c>
      <c r="P812" s="89">
        <f t="shared" si="22"/>
        <v>0</v>
      </c>
      <c r="Q812" s="491" t="str">
        <f>IF(ISBLANK(M812), "", VLOOKUP(A812&amp;" "&amp;B812, 'Info Tipo de Cambio y REM'!$A$24:$B$47, 2, FALSE))</f>
        <v/>
      </c>
      <c r="R812" s="109" t="str">
        <f t="shared" si="1"/>
        <v/>
      </c>
      <c r="S812" s="71" t="str">
        <f t="shared" si="2"/>
        <v/>
      </c>
      <c r="T812" s="71">
        <f t="shared" si="3"/>
        <v>0</v>
      </c>
      <c r="U812" s="43"/>
      <c r="V812" s="486"/>
      <c r="W812" s="43"/>
      <c r="X812" s="43"/>
    </row>
    <row r="813" hidden="1">
      <c r="A813" s="51"/>
      <c r="B813" s="43"/>
      <c r="C813" s="51"/>
      <c r="D813" s="43"/>
      <c r="E813" s="43"/>
      <c r="F813" s="43"/>
      <c r="G813" s="43"/>
      <c r="H813" s="43"/>
      <c r="I813" s="43"/>
      <c r="J813" s="443"/>
      <c r="K813" s="43"/>
      <c r="L813" s="89"/>
      <c r="M813" s="89"/>
      <c r="O813" s="71">
        <f t="shared" si="21"/>
        <v>0</v>
      </c>
      <c r="P813" s="89">
        <f t="shared" si="22"/>
        <v>0</v>
      </c>
      <c r="Q813" s="491" t="str">
        <f>IF(ISBLANK(M813), "", VLOOKUP(A813&amp;" "&amp;B813, 'Info Tipo de Cambio y REM'!$A$24:$B$47, 2, FALSE))</f>
        <v/>
      </c>
      <c r="R813" s="109" t="str">
        <f t="shared" si="1"/>
        <v/>
      </c>
      <c r="S813" s="71" t="str">
        <f t="shared" si="2"/>
        <v/>
      </c>
      <c r="T813" s="71">
        <f t="shared" si="3"/>
        <v>0</v>
      </c>
      <c r="U813" s="43"/>
      <c r="V813" s="486"/>
      <c r="W813" s="43"/>
      <c r="X813" s="43"/>
    </row>
    <row r="814" hidden="1">
      <c r="A814" s="51"/>
      <c r="B814" s="43"/>
      <c r="C814" s="51"/>
      <c r="D814" s="43"/>
      <c r="E814" s="43"/>
      <c r="F814" s="43"/>
      <c r="G814" s="43"/>
      <c r="H814" s="43"/>
      <c r="I814" s="43"/>
      <c r="J814" s="443"/>
      <c r="K814" s="43"/>
      <c r="L814" s="89"/>
      <c r="M814" s="89"/>
      <c r="O814" s="71">
        <f t="shared" si="21"/>
        <v>0</v>
      </c>
      <c r="P814" s="89">
        <f t="shared" si="22"/>
        <v>0</v>
      </c>
      <c r="Q814" s="491" t="str">
        <f>IF(ISBLANK(M814), "", VLOOKUP(A814&amp;" "&amp;B814, 'Info Tipo de Cambio y REM'!$A$24:$B$47, 2, FALSE))</f>
        <v/>
      </c>
      <c r="R814" s="109" t="str">
        <f t="shared" si="1"/>
        <v/>
      </c>
      <c r="S814" s="71" t="str">
        <f t="shared" si="2"/>
        <v/>
      </c>
      <c r="T814" s="71">
        <f t="shared" si="3"/>
        <v>0</v>
      </c>
      <c r="U814" s="43"/>
      <c r="V814" s="486"/>
      <c r="W814" s="43"/>
      <c r="X814" s="43"/>
    </row>
    <row r="815" hidden="1">
      <c r="A815" s="51"/>
      <c r="B815" s="43"/>
      <c r="C815" s="51"/>
      <c r="D815" s="43"/>
      <c r="E815" s="43"/>
      <c r="F815" s="43"/>
      <c r="G815" s="43"/>
      <c r="H815" s="43"/>
      <c r="I815" s="43"/>
      <c r="J815" s="443"/>
      <c r="K815" s="43"/>
      <c r="L815" s="89"/>
      <c r="M815" s="89"/>
      <c r="O815" s="71">
        <f t="shared" si="21"/>
        <v>0</v>
      </c>
      <c r="P815" s="89">
        <f t="shared" si="22"/>
        <v>0</v>
      </c>
      <c r="Q815" s="491" t="str">
        <f>IF(ISBLANK(M815), "", VLOOKUP(A815&amp;" "&amp;B815, 'Info Tipo de Cambio y REM'!$A$24:$B$47, 2, FALSE))</f>
        <v/>
      </c>
      <c r="R815" s="109" t="str">
        <f t="shared" si="1"/>
        <v/>
      </c>
      <c r="S815" s="71" t="str">
        <f t="shared" si="2"/>
        <v/>
      </c>
      <c r="T815" s="71">
        <f t="shared" si="3"/>
        <v>0</v>
      </c>
      <c r="U815" s="43"/>
      <c r="V815" s="486"/>
      <c r="W815" s="43"/>
      <c r="X815" s="43"/>
    </row>
    <row r="816" hidden="1">
      <c r="A816" s="51"/>
      <c r="B816" s="43"/>
      <c r="C816" s="51"/>
      <c r="D816" s="43"/>
      <c r="E816" s="43"/>
      <c r="F816" s="43"/>
      <c r="G816" s="43"/>
      <c r="H816" s="43"/>
      <c r="I816" s="43"/>
      <c r="J816" s="443"/>
      <c r="K816" s="43"/>
      <c r="L816" s="89"/>
      <c r="M816" s="89"/>
      <c r="O816" s="71">
        <f t="shared" si="21"/>
        <v>0</v>
      </c>
      <c r="P816" s="89">
        <f t="shared" si="22"/>
        <v>0</v>
      </c>
      <c r="Q816" s="491" t="str">
        <f>IF(ISBLANK(M816), "", VLOOKUP(A816&amp;" "&amp;B816, 'Info Tipo de Cambio y REM'!$A$24:$B$47, 2, FALSE))</f>
        <v/>
      </c>
      <c r="R816" s="109" t="str">
        <f t="shared" si="1"/>
        <v/>
      </c>
      <c r="S816" s="71" t="str">
        <f t="shared" si="2"/>
        <v/>
      </c>
      <c r="T816" s="71">
        <f t="shared" si="3"/>
        <v>0</v>
      </c>
      <c r="U816" s="43"/>
      <c r="V816" s="486"/>
      <c r="W816" s="43"/>
      <c r="X816" s="43"/>
    </row>
    <row r="817" hidden="1">
      <c r="A817" s="51"/>
      <c r="B817" s="43"/>
      <c r="C817" s="51"/>
      <c r="D817" s="43"/>
      <c r="E817" s="43"/>
      <c r="F817" s="43"/>
      <c r="G817" s="43"/>
      <c r="H817" s="43"/>
      <c r="I817" s="43"/>
      <c r="J817" s="443"/>
      <c r="K817" s="43"/>
      <c r="L817" s="89"/>
      <c r="M817" s="89"/>
      <c r="O817" s="71">
        <f t="shared" si="21"/>
        <v>0</v>
      </c>
      <c r="P817" s="89">
        <f t="shared" si="22"/>
        <v>0</v>
      </c>
      <c r="Q817" s="491" t="str">
        <f>IF(ISBLANK(M817), "", VLOOKUP(A817&amp;" "&amp;B817, 'Info Tipo de Cambio y REM'!$A$24:$B$47, 2, FALSE))</f>
        <v/>
      </c>
      <c r="R817" s="109" t="str">
        <f t="shared" si="1"/>
        <v/>
      </c>
      <c r="S817" s="71" t="str">
        <f t="shared" si="2"/>
        <v/>
      </c>
      <c r="T817" s="71">
        <f t="shared" si="3"/>
        <v>0</v>
      </c>
      <c r="U817" s="43"/>
      <c r="V817" s="486"/>
      <c r="W817" s="43"/>
      <c r="X817" s="43"/>
    </row>
    <row r="818" hidden="1">
      <c r="A818" s="51"/>
      <c r="B818" s="43"/>
      <c r="C818" s="51"/>
      <c r="D818" s="43"/>
      <c r="E818" s="43"/>
      <c r="F818" s="43"/>
      <c r="G818" s="43"/>
      <c r="H818" s="43"/>
      <c r="I818" s="43"/>
      <c r="J818" s="443"/>
      <c r="K818" s="43"/>
      <c r="L818" s="89"/>
      <c r="M818" s="89"/>
      <c r="O818" s="71">
        <f t="shared" si="21"/>
        <v>0</v>
      </c>
      <c r="P818" s="89">
        <f t="shared" si="22"/>
        <v>0</v>
      </c>
      <c r="Q818" s="491" t="str">
        <f>IF(ISBLANK(M818), "", VLOOKUP(A818&amp;" "&amp;B818, 'Info Tipo de Cambio y REM'!$A$24:$B$47, 2, FALSE))</f>
        <v/>
      </c>
      <c r="R818" s="109" t="str">
        <f t="shared" si="1"/>
        <v/>
      </c>
      <c r="S818" s="71" t="str">
        <f t="shared" si="2"/>
        <v/>
      </c>
      <c r="T818" s="71">
        <f t="shared" si="3"/>
        <v>0</v>
      </c>
      <c r="U818" s="43"/>
      <c r="V818" s="486"/>
      <c r="W818" s="43"/>
      <c r="X818" s="43"/>
    </row>
    <row r="819" hidden="1">
      <c r="A819" s="51"/>
      <c r="B819" s="43"/>
      <c r="C819" s="51"/>
      <c r="D819" s="43"/>
      <c r="E819" s="43"/>
      <c r="F819" s="43"/>
      <c r="G819" s="43"/>
      <c r="H819" s="43"/>
      <c r="I819" s="43"/>
      <c r="J819" s="443"/>
      <c r="K819" s="43"/>
      <c r="L819" s="89"/>
      <c r="M819" s="89"/>
      <c r="O819" s="71">
        <f t="shared" si="21"/>
        <v>0</v>
      </c>
      <c r="P819" s="89">
        <f t="shared" si="22"/>
        <v>0</v>
      </c>
      <c r="Q819" s="491" t="str">
        <f>IF(ISBLANK(M819), "", VLOOKUP(A819&amp;" "&amp;B819, 'Info Tipo de Cambio y REM'!$A$24:$B$47, 2, FALSE))</f>
        <v/>
      </c>
      <c r="R819" s="109" t="str">
        <f t="shared" si="1"/>
        <v/>
      </c>
      <c r="S819" s="71" t="str">
        <f t="shared" si="2"/>
        <v/>
      </c>
      <c r="T819" s="71">
        <f t="shared" si="3"/>
        <v>0</v>
      </c>
      <c r="U819" s="43"/>
      <c r="V819" s="486"/>
      <c r="W819" s="43"/>
      <c r="X819" s="43"/>
    </row>
    <row r="820" hidden="1">
      <c r="A820" s="51"/>
      <c r="B820" s="43"/>
      <c r="C820" s="51"/>
      <c r="D820" s="43"/>
      <c r="E820" s="43"/>
      <c r="F820" s="43"/>
      <c r="G820" s="43"/>
      <c r="H820" s="43"/>
      <c r="I820" s="43"/>
      <c r="J820" s="443"/>
      <c r="K820" s="43"/>
      <c r="L820" s="89"/>
      <c r="M820" s="89"/>
      <c r="O820" s="71">
        <f t="shared" si="21"/>
        <v>0</v>
      </c>
      <c r="P820" s="89">
        <f t="shared" si="22"/>
        <v>0</v>
      </c>
      <c r="Q820" s="491" t="str">
        <f>IF(ISBLANK(M820), "", VLOOKUP(A820&amp;" "&amp;B820, 'Info Tipo de Cambio y REM'!$A$24:$B$47, 2, FALSE))</f>
        <v/>
      </c>
      <c r="R820" s="109" t="str">
        <f t="shared" si="1"/>
        <v/>
      </c>
      <c r="S820" s="71" t="str">
        <f t="shared" si="2"/>
        <v/>
      </c>
      <c r="T820" s="71">
        <f t="shared" si="3"/>
        <v>0</v>
      </c>
      <c r="U820" s="43"/>
      <c r="V820" s="486"/>
      <c r="W820" s="43"/>
      <c r="X820" s="43"/>
    </row>
    <row r="821" hidden="1">
      <c r="A821" s="51"/>
      <c r="B821" s="43"/>
      <c r="C821" s="51"/>
      <c r="D821" s="43"/>
      <c r="E821" s="43"/>
      <c r="F821" s="43"/>
      <c r="G821" s="43"/>
      <c r="H821" s="43"/>
      <c r="I821" s="43"/>
      <c r="J821" s="443"/>
      <c r="K821" s="43"/>
      <c r="L821" s="89"/>
      <c r="M821" s="89"/>
      <c r="O821" s="71">
        <f t="shared" si="21"/>
        <v>0</v>
      </c>
      <c r="P821" s="89">
        <f t="shared" si="22"/>
        <v>0</v>
      </c>
      <c r="Q821" s="491" t="str">
        <f>IF(ISBLANK(M821), "", VLOOKUP(A821&amp;" "&amp;B821, 'Info Tipo de Cambio y REM'!$A$24:$B$47, 2, FALSE))</f>
        <v/>
      </c>
      <c r="R821" s="109" t="str">
        <f t="shared" si="1"/>
        <v/>
      </c>
      <c r="S821" s="71" t="str">
        <f t="shared" si="2"/>
        <v/>
      </c>
      <c r="T821" s="71">
        <f t="shared" si="3"/>
        <v>0</v>
      </c>
      <c r="U821" s="43"/>
      <c r="V821" s="486"/>
      <c r="W821" s="43"/>
      <c r="X821" s="43"/>
    </row>
    <row r="822" hidden="1">
      <c r="A822" s="51"/>
      <c r="B822" s="43"/>
      <c r="C822" s="51"/>
      <c r="D822" s="43"/>
      <c r="E822" s="43"/>
      <c r="F822" s="43"/>
      <c r="G822" s="43"/>
      <c r="H822" s="43"/>
      <c r="I822" s="43"/>
      <c r="J822" s="443"/>
      <c r="K822" s="43"/>
      <c r="L822" s="89"/>
      <c r="M822" s="89"/>
      <c r="O822" s="71">
        <f t="shared" si="21"/>
        <v>0</v>
      </c>
      <c r="P822" s="89">
        <f t="shared" si="22"/>
        <v>0</v>
      </c>
      <c r="Q822" s="491" t="str">
        <f>IF(ISBLANK(M822), "", VLOOKUP(A822&amp;" "&amp;B822, 'Info Tipo de Cambio y REM'!$A$24:$B$47, 2, FALSE))</f>
        <v/>
      </c>
      <c r="R822" s="109" t="str">
        <f t="shared" si="1"/>
        <v/>
      </c>
      <c r="S822" s="71" t="str">
        <f t="shared" si="2"/>
        <v/>
      </c>
      <c r="T822" s="71">
        <f t="shared" si="3"/>
        <v>0</v>
      </c>
      <c r="U822" s="43"/>
      <c r="V822" s="486"/>
      <c r="W822" s="43"/>
      <c r="X822" s="43"/>
    </row>
    <row r="823" hidden="1">
      <c r="A823" s="51"/>
      <c r="B823" s="43"/>
      <c r="C823" s="51"/>
      <c r="D823" s="43"/>
      <c r="E823" s="43"/>
      <c r="F823" s="43"/>
      <c r="G823" s="43"/>
      <c r="H823" s="43"/>
      <c r="I823" s="43"/>
      <c r="J823" s="443"/>
      <c r="K823" s="43"/>
      <c r="L823" s="89"/>
      <c r="M823" s="89"/>
      <c r="O823" s="71">
        <f t="shared" si="21"/>
        <v>0</v>
      </c>
      <c r="P823" s="89">
        <f t="shared" si="22"/>
        <v>0</v>
      </c>
      <c r="Q823" s="491" t="str">
        <f>IF(ISBLANK(M823), "", VLOOKUP(A823&amp;" "&amp;B823, 'Info Tipo de Cambio y REM'!$A$24:$B$47, 2, FALSE))</f>
        <v/>
      </c>
      <c r="R823" s="109" t="str">
        <f t="shared" si="1"/>
        <v/>
      </c>
      <c r="S823" s="71" t="str">
        <f t="shared" si="2"/>
        <v/>
      </c>
      <c r="T823" s="71">
        <f t="shared" si="3"/>
        <v>0</v>
      </c>
      <c r="U823" s="43"/>
      <c r="V823" s="486"/>
      <c r="W823" s="43"/>
      <c r="X823" s="43"/>
    </row>
    <row r="824" hidden="1">
      <c r="A824" s="51"/>
      <c r="B824" s="43"/>
      <c r="C824" s="51"/>
      <c r="D824" s="43"/>
      <c r="E824" s="43"/>
      <c r="F824" s="43"/>
      <c r="G824" s="43"/>
      <c r="H824" s="43"/>
      <c r="I824" s="43"/>
      <c r="J824" s="443"/>
      <c r="K824" s="43"/>
      <c r="L824" s="89"/>
      <c r="M824" s="89"/>
      <c r="O824" s="71">
        <f t="shared" si="21"/>
        <v>0</v>
      </c>
      <c r="P824" s="89">
        <f t="shared" si="22"/>
        <v>0</v>
      </c>
      <c r="Q824" s="491" t="str">
        <f>IF(ISBLANK(M824), "", VLOOKUP(A824&amp;" "&amp;B824, 'Info Tipo de Cambio y REM'!$A$24:$B$47, 2, FALSE))</f>
        <v/>
      </c>
      <c r="R824" s="109" t="str">
        <f t="shared" si="1"/>
        <v/>
      </c>
      <c r="S824" s="71" t="str">
        <f t="shared" si="2"/>
        <v/>
      </c>
      <c r="T824" s="71">
        <f t="shared" si="3"/>
        <v>0</v>
      </c>
      <c r="U824" s="43"/>
      <c r="V824" s="486"/>
      <c r="W824" s="43"/>
      <c r="X824" s="43"/>
    </row>
    <row r="825" hidden="1">
      <c r="A825" s="51"/>
      <c r="B825" s="43"/>
      <c r="C825" s="51"/>
      <c r="D825" s="43"/>
      <c r="E825" s="43"/>
      <c r="F825" s="43"/>
      <c r="G825" s="43"/>
      <c r="H825" s="43"/>
      <c r="I825" s="43"/>
      <c r="J825" s="443"/>
      <c r="K825" s="43"/>
      <c r="L825" s="89"/>
      <c r="M825" s="89"/>
      <c r="O825" s="71">
        <f t="shared" si="21"/>
        <v>0</v>
      </c>
      <c r="P825" s="89">
        <f t="shared" si="22"/>
        <v>0</v>
      </c>
      <c r="Q825" s="491" t="str">
        <f>IF(ISBLANK(M825), "", VLOOKUP(A825&amp;" "&amp;B825, 'Info Tipo de Cambio y REM'!$A$24:$B$47, 2, FALSE))</f>
        <v/>
      </c>
      <c r="R825" s="109" t="str">
        <f t="shared" si="1"/>
        <v/>
      </c>
      <c r="S825" s="71" t="str">
        <f t="shared" si="2"/>
        <v/>
      </c>
      <c r="T825" s="71">
        <f t="shared" si="3"/>
        <v>0</v>
      </c>
      <c r="U825" s="43"/>
      <c r="V825" s="486"/>
      <c r="W825" s="43"/>
      <c r="X825" s="43"/>
    </row>
    <row r="826" hidden="1">
      <c r="A826" s="51"/>
      <c r="B826" s="43"/>
      <c r="C826" s="51"/>
      <c r="D826" s="43"/>
      <c r="E826" s="43"/>
      <c r="F826" s="43"/>
      <c r="G826" s="43"/>
      <c r="H826" s="43"/>
      <c r="I826" s="43"/>
      <c r="J826" s="443"/>
      <c r="K826" s="43"/>
      <c r="L826" s="89"/>
      <c r="M826" s="89"/>
      <c r="O826" s="71">
        <f t="shared" si="21"/>
        <v>0</v>
      </c>
      <c r="P826" s="89">
        <f t="shared" si="22"/>
        <v>0</v>
      </c>
      <c r="Q826" s="491" t="str">
        <f>IF(ISBLANK(M826), "", VLOOKUP(A826&amp;" "&amp;B826, 'Info Tipo de Cambio y REM'!$A$24:$B$47, 2, FALSE))</f>
        <v/>
      </c>
      <c r="R826" s="109" t="str">
        <f t="shared" si="1"/>
        <v/>
      </c>
      <c r="S826" s="71" t="str">
        <f t="shared" si="2"/>
        <v/>
      </c>
      <c r="T826" s="71">
        <f t="shared" si="3"/>
        <v>0</v>
      </c>
      <c r="U826" s="43"/>
      <c r="V826" s="486"/>
      <c r="W826" s="43"/>
      <c r="X826" s="43"/>
    </row>
    <row r="827" hidden="1">
      <c r="A827" s="51"/>
      <c r="B827" s="43"/>
      <c r="C827" s="51"/>
      <c r="D827" s="43"/>
      <c r="E827" s="43"/>
      <c r="F827" s="43"/>
      <c r="G827" s="43"/>
      <c r="H827" s="43"/>
      <c r="I827" s="43"/>
      <c r="J827" s="443"/>
      <c r="K827" s="43"/>
      <c r="L827" s="89"/>
      <c r="M827" s="89"/>
      <c r="O827" s="71">
        <f t="shared" si="21"/>
        <v>0</v>
      </c>
      <c r="P827" s="89">
        <f t="shared" si="22"/>
        <v>0</v>
      </c>
      <c r="Q827" s="491" t="str">
        <f>IF(ISBLANK(M827), "", VLOOKUP(A827&amp;" "&amp;B827, 'Info Tipo de Cambio y REM'!$A$24:$B$47, 2, FALSE))</f>
        <v/>
      </c>
      <c r="R827" s="109" t="str">
        <f t="shared" si="1"/>
        <v/>
      </c>
      <c r="S827" s="71" t="str">
        <f t="shared" si="2"/>
        <v/>
      </c>
      <c r="T827" s="71">
        <f t="shared" si="3"/>
        <v>0</v>
      </c>
      <c r="U827" s="43"/>
      <c r="V827" s="486"/>
      <c r="W827" s="43"/>
      <c r="X827" s="43"/>
    </row>
    <row r="828" hidden="1">
      <c r="A828" s="51"/>
      <c r="B828" s="43"/>
      <c r="C828" s="51"/>
      <c r="D828" s="43"/>
      <c r="E828" s="43"/>
      <c r="F828" s="43"/>
      <c r="G828" s="43"/>
      <c r="H828" s="43"/>
      <c r="I828" s="43"/>
      <c r="J828" s="443"/>
      <c r="K828" s="43"/>
      <c r="L828" s="89"/>
      <c r="M828" s="89"/>
      <c r="O828" s="71">
        <f t="shared" si="21"/>
        <v>0</v>
      </c>
      <c r="P828" s="89">
        <f t="shared" si="22"/>
        <v>0</v>
      </c>
      <c r="Q828" s="491" t="str">
        <f>IF(ISBLANK(M828), "", VLOOKUP(A828&amp;" "&amp;B828, 'Info Tipo de Cambio y REM'!$A$24:$B$47, 2, FALSE))</f>
        <v/>
      </c>
      <c r="R828" s="109" t="str">
        <f t="shared" si="1"/>
        <v/>
      </c>
      <c r="S828" s="71" t="str">
        <f t="shared" si="2"/>
        <v/>
      </c>
      <c r="T828" s="71">
        <f t="shared" si="3"/>
        <v>0</v>
      </c>
      <c r="U828" s="43"/>
      <c r="V828" s="486"/>
      <c r="W828" s="43"/>
      <c r="X828" s="43"/>
    </row>
    <row r="829" hidden="1">
      <c r="A829" s="51"/>
      <c r="B829" s="43"/>
      <c r="C829" s="51"/>
      <c r="D829" s="43"/>
      <c r="E829" s="43"/>
      <c r="F829" s="43"/>
      <c r="G829" s="43"/>
      <c r="H829" s="43"/>
      <c r="I829" s="43"/>
      <c r="J829" s="443"/>
      <c r="K829" s="43"/>
      <c r="L829" s="89"/>
      <c r="M829" s="89"/>
      <c r="O829" s="71">
        <f t="shared" si="21"/>
        <v>0</v>
      </c>
      <c r="P829" s="89">
        <f t="shared" si="22"/>
        <v>0</v>
      </c>
      <c r="Q829" s="491" t="str">
        <f>IF(ISBLANK(M829), "", VLOOKUP(A829&amp;" "&amp;B829, 'Info Tipo de Cambio y REM'!$A$24:$B$47, 2, FALSE))</f>
        <v/>
      </c>
      <c r="R829" s="109" t="str">
        <f t="shared" si="1"/>
        <v/>
      </c>
      <c r="S829" s="71" t="str">
        <f t="shared" si="2"/>
        <v/>
      </c>
      <c r="T829" s="71">
        <f t="shared" si="3"/>
        <v>0</v>
      </c>
      <c r="U829" s="43"/>
      <c r="V829" s="486"/>
      <c r="W829" s="43"/>
      <c r="X829" s="43"/>
    </row>
    <row r="830" hidden="1">
      <c r="A830" s="51"/>
      <c r="B830" s="43"/>
      <c r="C830" s="51"/>
      <c r="D830" s="43"/>
      <c r="E830" s="43"/>
      <c r="F830" s="43"/>
      <c r="G830" s="43"/>
      <c r="H830" s="43"/>
      <c r="I830" s="43"/>
      <c r="J830" s="443"/>
      <c r="K830" s="43"/>
      <c r="L830" s="89"/>
      <c r="M830" s="89"/>
      <c r="O830" s="71">
        <f t="shared" si="21"/>
        <v>0</v>
      </c>
      <c r="P830" s="89">
        <f t="shared" si="22"/>
        <v>0</v>
      </c>
      <c r="Q830" s="491" t="str">
        <f>IF(ISBLANK(M830), "", VLOOKUP(A830&amp;" "&amp;B830, 'Info Tipo de Cambio y REM'!$A$24:$B$47, 2, FALSE))</f>
        <v/>
      </c>
      <c r="R830" s="109" t="str">
        <f t="shared" si="1"/>
        <v/>
      </c>
      <c r="S830" s="71" t="str">
        <f t="shared" si="2"/>
        <v/>
      </c>
      <c r="T830" s="71">
        <f t="shared" si="3"/>
        <v>0</v>
      </c>
      <c r="U830" s="43"/>
      <c r="V830" s="486"/>
      <c r="W830" s="43"/>
      <c r="X830" s="43"/>
    </row>
    <row r="831" hidden="1">
      <c r="A831" s="51"/>
      <c r="B831" s="43"/>
      <c r="C831" s="51"/>
      <c r="D831" s="43"/>
      <c r="E831" s="43"/>
      <c r="F831" s="43"/>
      <c r="G831" s="43"/>
      <c r="H831" s="43"/>
      <c r="I831" s="43"/>
      <c r="J831" s="443"/>
      <c r="K831" s="43"/>
      <c r="L831" s="89"/>
      <c r="M831" s="89"/>
      <c r="O831" s="71">
        <f t="shared" si="21"/>
        <v>0</v>
      </c>
      <c r="P831" s="89">
        <f t="shared" si="22"/>
        <v>0</v>
      </c>
      <c r="Q831" s="491" t="str">
        <f>IF(ISBLANK(M831), "", VLOOKUP(A831&amp;" "&amp;B831, 'Info Tipo de Cambio y REM'!$A$24:$B$47, 2, FALSE))</f>
        <v/>
      </c>
      <c r="R831" s="109" t="str">
        <f t="shared" si="1"/>
        <v/>
      </c>
      <c r="S831" s="71" t="str">
        <f t="shared" si="2"/>
        <v/>
      </c>
      <c r="T831" s="71">
        <f t="shared" si="3"/>
        <v>0</v>
      </c>
      <c r="U831" s="43"/>
      <c r="V831" s="486"/>
      <c r="W831" s="43"/>
      <c r="X831" s="43"/>
    </row>
    <row r="832" hidden="1">
      <c r="A832" s="51"/>
      <c r="B832" s="43"/>
      <c r="C832" s="51"/>
      <c r="D832" s="43"/>
      <c r="E832" s="43"/>
      <c r="F832" s="43"/>
      <c r="G832" s="43"/>
      <c r="H832" s="43"/>
      <c r="I832" s="43"/>
      <c r="J832" s="443"/>
      <c r="K832" s="43"/>
      <c r="L832" s="89"/>
      <c r="M832" s="89"/>
      <c r="O832" s="71">
        <f t="shared" si="21"/>
        <v>0</v>
      </c>
      <c r="P832" s="89">
        <f t="shared" si="22"/>
        <v>0</v>
      </c>
      <c r="Q832" s="491" t="str">
        <f>IF(ISBLANK(M832), "", VLOOKUP(A832&amp;" "&amp;B832, 'Info Tipo de Cambio y REM'!$A$24:$B$47, 2, FALSE))</f>
        <v/>
      </c>
      <c r="R832" s="109" t="str">
        <f t="shared" si="1"/>
        <v/>
      </c>
      <c r="S832" s="71" t="str">
        <f t="shared" si="2"/>
        <v/>
      </c>
      <c r="T832" s="71">
        <f t="shared" si="3"/>
        <v>0</v>
      </c>
      <c r="U832" s="43"/>
      <c r="V832" s="486"/>
      <c r="W832" s="43"/>
      <c r="X832" s="43"/>
    </row>
    <row r="833" hidden="1">
      <c r="A833" s="51"/>
      <c r="B833" s="43"/>
      <c r="C833" s="51"/>
      <c r="D833" s="43"/>
      <c r="E833" s="43"/>
      <c r="F833" s="43"/>
      <c r="G833" s="43"/>
      <c r="H833" s="43"/>
      <c r="I833" s="43"/>
      <c r="J833" s="443"/>
      <c r="K833" s="43"/>
      <c r="L833" s="89"/>
      <c r="M833" s="89"/>
      <c r="O833" s="71">
        <f t="shared" si="21"/>
        <v>0</v>
      </c>
      <c r="P833" s="89">
        <f t="shared" si="22"/>
        <v>0</v>
      </c>
      <c r="Q833" s="491" t="str">
        <f>IF(ISBLANK(M833), "", VLOOKUP(A833&amp;" "&amp;B833, 'Info Tipo de Cambio y REM'!$A$24:$B$47, 2, FALSE))</f>
        <v/>
      </c>
      <c r="R833" s="109" t="str">
        <f t="shared" si="1"/>
        <v/>
      </c>
      <c r="S833" s="71" t="str">
        <f t="shared" si="2"/>
        <v/>
      </c>
      <c r="T833" s="71">
        <f t="shared" si="3"/>
        <v>0</v>
      </c>
      <c r="U833" s="43"/>
      <c r="V833" s="486"/>
      <c r="W833" s="43"/>
      <c r="X833" s="43"/>
    </row>
    <row r="834" hidden="1">
      <c r="A834" s="51"/>
      <c r="B834" s="43"/>
      <c r="C834" s="51"/>
      <c r="D834" s="43"/>
      <c r="E834" s="43"/>
      <c r="F834" s="43"/>
      <c r="G834" s="43"/>
      <c r="H834" s="43"/>
      <c r="I834" s="43"/>
      <c r="J834" s="443"/>
      <c r="K834" s="43"/>
      <c r="L834" s="89"/>
      <c r="M834" s="89"/>
      <c r="O834" s="71">
        <f t="shared" si="21"/>
        <v>0</v>
      </c>
      <c r="P834" s="89">
        <f t="shared" si="22"/>
        <v>0</v>
      </c>
      <c r="Q834" s="491" t="str">
        <f>IF(ISBLANK(M834), "", VLOOKUP(A834&amp;" "&amp;B834, 'Info Tipo de Cambio y REM'!$A$24:$B$47, 2, FALSE))</f>
        <v/>
      </c>
      <c r="R834" s="109" t="str">
        <f t="shared" si="1"/>
        <v/>
      </c>
      <c r="S834" s="71" t="str">
        <f t="shared" si="2"/>
        <v/>
      </c>
      <c r="T834" s="71">
        <f t="shared" si="3"/>
        <v>0</v>
      </c>
      <c r="U834" s="43"/>
      <c r="V834" s="486"/>
      <c r="W834" s="43"/>
      <c r="X834" s="43"/>
    </row>
    <row r="835" hidden="1">
      <c r="A835" s="51"/>
      <c r="B835" s="43"/>
      <c r="C835" s="51"/>
      <c r="D835" s="43"/>
      <c r="E835" s="43"/>
      <c r="F835" s="43"/>
      <c r="G835" s="43"/>
      <c r="H835" s="43"/>
      <c r="I835" s="43"/>
      <c r="J835" s="443"/>
      <c r="K835" s="43"/>
      <c r="L835" s="89"/>
      <c r="M835" s="89"/>
      <c r="O835" s="71">
        <f t="shared" si="21"/>
        <v>0</v>
      </c>
      <c r="P835" s="89">
        <f t="shared" si="22"/>
        <v>0</v>
      </c>
      <c r="Q835" s="491" t="str">
        <f>IF(ISBLANK(M835), "", VLOOKUP(A835&amp;" "&amp;B835, 'Info Tipo de Cambio y REM'!$A$24:$B$47, 2, FALSE))</f>
        <v/>
      </c>
      <c r="R835" s="109" t="str">
        <f t="shared" si="1"/>
        <v/>
      </c>
      <c r="S835" s="71" t="str">
        <f t="shared" si="2"/>
        <v/>
      </c>
      <c r="T835" s="71">
        <f t="shared" si="3"/>
        <v>0</v>
      </c>
      <c r="U835" s="43"/>
      <c r="V835" s="486"/>
      <c r="W835" s="43"/>
      <c r="X835" s="43"/>
    </row>
    <row r="836" hidden="1">
      <c r="A836" s="51"/>
      <c r="B836" s="43"/>
      <c r="C836" s="51"/>
      <c r="D836" s="43"/>
      <c r="E836" s="43"/>
      <c r="F836" s="43"/>
      <c r="G836" s="43"/>
      <c r="H836" s="43"/>
      <c r="I836" s="43"/>
      <c r="J836" s="443"/>
      <c r="K836" s="43"/>
      <c r="L836" s="89"/>
      <c r="M836" s="89"/>
      <c r="O836" s="71">
        <f t="shared" si="21"/>
        <v>0</v>
      </c>
      <c r="P836" s="89">
        <f t="shared" si="22"/>
        <v>0</v>
      </c>
      <c r="Q836" s="491" t="str">
        <f>IF(ISBLANK(M836), "", VLOOKUP(A836&amp;" "&amp;B836, 'Info Tipo de Cambio y REM'!$A$24:$B$47, 2, FALSE))</f>
        <v/>
      </c>
      <c r="R836" s="109" t="str">
        <f t="shared" si="1"/>
        <v/>
      </c>
      <c r="S836" s="71" t="str">
        <f t="shared" si="2"/>
        <v/>
      </c>
      <c r="T836" s="71">
        <f t="shared" si="3"/>
        <v>0</v>
      </c>
      <c r="U836" s="43"/>
      <c r="V836" s="486"/>
      <c r="W836" s="43"/>
      <c r="X836" s="43"/>
    </row>
    <row r="837" hidden="1">
      <c r="A837" s="51"/>
      <c r="B837" s="43"/>
      <c r="C837" s="51"/>
      <c r="D837" s="43"/>
      <c r="E837" s="43"/>
      <c r="F837" s="43"/>
      <c r="G837" s="43"/>
      <c r="H837" s="43"/>
      <c r="I837" s="43"/>
      <c r="J837" s="443"/>
      <c r="K837" s="43"/>
      <c r="L837" s="89"/>
      <c r="M837" s="89"/>
      <c r="O837" s="71">
        <f t="shared" si="21"/>
        <v>0</v>
      </c>
      <c r="P837" s="89">
        <f t="shared" si="22"/>
        <v>0</v>
      </c>
      <c r="Q837" s="491" t="str">
        <f>IF(ISBLANK(M837), "", VLOOKUP(A837&amp;" "&amp;B837, 'Info Tipo de Cambio y REM'!$A$24:$B$47, 2, FALSE))</f>
        <v/>
      </c>
      <c r="R837" s="109" t="str">
        <f t="shared" si="1"/>
        <v/>
      </c>
      <c r="S837" s="71" t="str">
        <f t="shared" si="2"/>
        <v/>
      </c>
      <c r="T837" s="71">
        <f t="shared" si="3"/>
        <v>0</v>
      </c>
      <c r="U837" s="43"/>
      <c r="V837" s="486"/>
      <c r="W837" s="43"/>
      <c r="X837" s="43"/>
    </row>
    <row r="838" hidden="1">
      <c r="A838" s="51"/>
      <c r="B838" s="43"/>
      <c r="C838" s="51"/>
      <c r="D838" s="43"/>
      <c r="E838" s="43"/>
      <c r="F838" s="43"/>
      <c r="G838" s="43"/>
      <c r="H838" s="43"/>
      <c r="I838" s="43"/>
      <c r="J838" s="443"/>
      <c r="K838" s="43"/>
      <c r="L838" s="89"/>
      <c r="M838" s="89"/>
      <c r="O838" s="71">
        <f t="shared" si="21"/>
        <v>0</v>
      </c>
      <c r="P838" s="89">
        <f t="shared" si="22"/>
        <v>0</v>
      </c>
      <c r="Q838" s="491" t="str">
        <f>IF(ISBLANK(M838), "", VLOOKUP(A838&amp;" "&amp;B838, 'Info Tipo de Cambio y REM'!$A$24:$B$47, 2, FALSE))</f>
        <v/>
      </c>
      <c r="R838" s="109" t="str">
        <f t="shared" si="1"/>
        <v/>
      </c>
      <c r="S838" s="71" t="str">
        <f t="shared" si="2"/>
        <v/>
      </c>
      <c r="T838" s="71">
        <f t="shared" si="3"/>
        <v>0</v>
      </c>
      <c r="U838" s="43"/>
      <c r="V838" s="486"/>
      <c r="W838" s="43"/>
      <c r="X838" s="43"/>
    </row>
    <row r="839" hidden="1">
      <c r="A839" s="51"/>
      <c r="B839" s="43"/>
      <c r="C839" s="51"/>
      <c r="D839" s="43"/>
      <c r="E839" s="43"/>
      <c r="F839" s="43"/>
      <c r="G839" s="43"/>
      <c r="H839" s="43"/>
      <c r="I839" s="43"/>
      <c r="J839" s="443"/>
      <c r="K839" s="43"/>
      <c r="L839" s="89"/>
      <c r="M839" s="89"/>
      <c r="O839" s="71">
        <f t="shared" si="21"/>
        <v>0</v>
      </c>
      <c r="P839" s="89">
        <f t="shared" si="22"/>
        <v>0</v>
      </c>
      <c r="Q839" s="491" t="str">
        <f>IF(ISBLANK(M839), "", VLOOKUP(A839&amp;" "&amp;B839, 'Info Tipo de Cambio y REM'!$A$24:$B$47, 2, FALSE))</f>
        <v/>
      </c>
      <c r="R839" s="109" t="str">
        <f t="shared" si="1"/>
        <v/>
      </c>
      <c r="S839" s="71" t="str">
        <f t="shared" si="2"/>
        <v/>
      </c>
      <c r="T839" s="71">
        <f t="shared" si="3"/>
        <v>0</v>
      </c>
      <c r="U839" s="43"/>
      <c r="V839" s="486"/>
      <c r="W839" s="43"/>
      <c r="X839" s="43"/>
    </row>
    <row r="840" hidden="1">
      <c r="A840" s="51"/>
      <c r="B840" s="43"/>
      <c r="C840" s="51"/>
      <c r="D840" s="43"/>
      <c r="E840" s="43"/>
      <c r="F840" s="43"/>
      <c r="G840" s="43"/>
      <c r="H840" s="43"/>
      <c r="I840" s="43"/>
      <c r="J840" s="443"/>
      <c r="K840" s="43"/>
      <c r="L840" s="89"/>
      <c r="M840" s="89"/>
      <c r="O840" s="71">
        <f t="shared" si="21"/>
        <v>0</v>
      </c>
      <c r="P840" s="89">
        <f t="shared" si="22"/>
        <v>0</v>
      </c>
      <c r="Q840" s="491" t="str">
        <f>IF(ISBLANK(M840), "", VLOOKUP(A840&amp;" "&amp;B840, 'Info Tipo de Cambio y REM'!$A$24:$B$47, 2, FALSE))</f>
        <v/>
      </c>
      <c r="R840" s="109" t="str">
        <f t="shared" si="1"/>
        <v/>
      </c>
      <c r="S840" s="71" t="str">
        <f t="shared" si="2"/>
        <v/>
      </c>
      <c r="T840" s="71">
        <f t="shared" si="3"/>
        <v>0</v>
      </c>
      <c r="U840" s="43"/>
      <c r="V840" s="486"/>
      <c r="W840" s="43"/>
      <c r="X840" s="43"/>
    </row>
    <row r="841" hidden="1">
      <c r="A841" s="51"/>
      <c r="B841" s="43"/>
      <c r="C841" s="51"/>
      <c r="D841" s="43"/>
      <c r="E841" s="43"/>
      <c r="F841" s="43"/>
      <c r="G841" s="43"/>
      <c r="H841" s="43"/>
      <c r="I841" s="43"/>
      <c r="J841" s="443"/>
      <c r="K841" s="43"/>
      <c r="L841" s="89"/>
      <c r="M841" s="89"/>
      <c r="O841" s="71">
        <f t="shared" si="21"/>
        <v>0</v>
      </c>
      <c r="P841" s="89">
        <f t="shared" si="22"/>
        <v>0</v>
      </c>
      <c r="Q841" s="491" t="str">
        <f>IF(ISBLANK(M841), "", VLOOKUP(A841&amp;" "&amp;B841, 'Info Tipo de Cambio y REM'!$A$24:$B$47, 2, FALSE))</f>
        <v/>
      </c>
      <c r="R841" s="109" t="str">
        <f t="shared" si="1"/>
        <v/>
      </c>
      <c r="S841" s="71" t="str">
        <f t="shared" si="2"/>
        <v/>
      </c>
      <c r="T841" s="71">
        <f t="shared" si="3"/>
        <v>0</v>
      </c>
      <c r="U841" s="43"/>
      <c r="V841" s="486"/>
      <c r="W841" s="43"/>
      <c r="X841" s="43"/>
    </row>
    <row r="842" hidden="1">
      <c r="A842" s="51"/>
      <c r="B842" s="43"/>
      <c r="C842" s="51"/>
      <c r="D842" s="43"/>
      <c r="E842" s="43"/>
      <c r="F842" s="43"/>
      <c r="G842" s="43"/>
      <c r="H842" s="43"/>
      <c r="I842" s="43"/>
      <c r="J842" s="443"/>
      <c r="K842" s="43"/>
      <c r="L842" s="89"/>
      <c r="M842" s="89"/>
      <c r="O842" s="71">
        <f t="shared" si="21"/>
        <v>0</v>
      </c>
      <c r="P842" s="89">
        <f t="shared" si="22"/>
        <v>0</v>
      </c>
      <c r="Q842" s="491" t="str">
        <f>IF(ISBLANK(M842), "", VLOOKUP(A842&amp;" "&amp;B842, 'Info Tipo de Cambio y REM'!$A$24:$B$47, 2, FALSE))</f>
        <v/>
      </c>
      <c r="R842" s="109" t="str">
        <f t="shared" si="1"/>
        <v/>
      </c>
      <c r="S842" s="71" t="str">
        <f t="shared" si="2"/>
        <v/>
      </c>
      <c r="T842" s="71">
        <f t="shared" si="3"/>
        <v>0</v>
      </c>
      <c r="U842" s="43"/>
      <c r="V842" s="486"/>
      <c r="W842" s="43"/>
      <c r="X842" s="43"/>
    </row>
    <row r="843" hidden="1">
      <c r="A843" s="51"/>
      <c r="B843" s="43"/>
      <c r="C843" s="51"/>
      <c r="D843" s="43"/>
      <c r="E843" s="43"/>
      <c r="F843" s="43"/>
      <c r="G843" s="43"/>
      <c r="H843" s="43"/>
      <c r="I843" s="43"/>
      <c r="J843" s="443"/>
      <c r="K843" s="43"/>
      <c r="L843" s="89"/>
      <c r="M843" s="89"/>
      <c r="O843" s="71">
        <f t="shared" si="21"/>
        <v>0</v>
      </c>
      <c r="P843" s="89">
        <f t="shared" si="22"/>
        <v>0</v>
      </c>
      <c r="Q843" s="491" t="str">
        <f>IF(ISBLANK(M843), "", VLOOKUP(A843&amp;" "&amp;B843, 'Info Tipo de Cambio y REM'!$A$24:$B$47, 2, FALSE))</f>
        <v/>
      </c>
      <c r="R843" s="109" t="str">
        <f t="shared" si="1"/>
        <v/>
      </c>
      <c r="S843" s="71" t="str">
        <f t="shared" si="2"/>
        <v/>
      </c>
      <c r="T843" s="71">
        <f t="shared" si="3"/>
        <v>0</v>
      </c>
      <c r="U843" s="43"/>
      <c r="V843" s="486"/>
      <c r="W843" s="43"/>
      <c r="X843" s="43"/>
    </row>
    <row r="844" hidden="1">
      <c r="A844" s="51"/>
      <c r="B844" s="43"/>
      <c r="C844" s="51"/>
      <c r="D844" s="43"/>
      <c r="E844" s="43"/>
      <c r="F844" s="43"/>
      <c r="G844" s="43"/>
      <c r="H844" s="43"/>
      <c r="I844" s="43"/>
      <c r="J844" s="443"/>
      <c r="K844" s="43"/>
      <c r="L844" s="89"/>
      <c r="M844" s="89"/>
      <c r="O844" s="71">
        <f t="shared" si="21"/>
        <v>0</v>
      </c>
      <c r="P844" s="89">
        <f t="shared" si="22"/>
        <v>0</v>
      </c>
      <c r="Q844" s="491" t="str">
        <f>IF(ISBLANK(M844), "", VLOOKUP(A844&amp;" "&amp;B844, 'Info Tipo de Cambio y REM'!$A$24:$B$47, 2, FALSE))</f>
        <v/>
      </c>
      <c r="R844" s="109" t="str">
        <f t="shared" si="1"/>
        <v/>
      </c>
      <c r="S844" s="71" t="str">
        <f t="shared" si="2"/>
        <v/>
      </c>
      <c r="T844" s="71">
        <f t="shared" si="3"/>
        <v>0</v>
      </c>
      <c r="U844" s="43"/>
      <c r="V844" s="486"/>
      <c r="W844" s="43"/>
      <c r="X844" s="43"/>
    </row>
    <row r="845" hidden="1">
      <c r="A845" s="51"/>
      <c r="B845" s="43"/>
      <c r="C845" s="51"/>
      <c r="D845" s="43"/>
      <c r="E845" s="43"/>
      <c r="F845" s="43"/>
      <c r="G845" s="43"/>
      <c r="H845" s="43"/>
      <c r="I845" s="43"/>
      <c r="J845" s="443"/>
      <c r="K845" s="43"/>
      <c r="L845" s="89"/>
      <c r="M845" s="89"/>
      <c r="O845" s="71">
        <f t="shared" si="21"/>
        <v>0</v>
      </c>
      <c r="P845" s="89">
        <f t="shared" si="22"/>
        <v>0</v>
      </c>
      <c r="Q845" s="491" t="str">
        <f>IF(ISBLANK(M845), "", VLOOKUP(A845&amp;" "&amp;B845, 'Info Tipo de Cambio y REM'!$A$24:$B$47, 2, FALSE))</f>
        <v/>
      </c>
      <c r="R845" s="109" t="str">
        <f t="shared" si="1"/>
        <v/>
      </c>
      <c r="S845" s="71" t="str">
        <f t="shared" si="2"/>
        <v/>
      </c>
      <c r="T845" s="71">
        <f t="shared" si="3"/>
        <v>0</v>
      </c>
      <c r="U845" s="43"/>
      <c r="V845" s="486"/>
      <c r="W845" s="43"/>
      <c r="X845" s="43"/>
    </row>
    <row r="846" hidden="1">
      <c r="A846" s="51"/>
      <c r="B846" s="43"/>
      <c r="C846" s="51"/>
      <c r="D846" s="43"/>
      <c r="E846" s="43"/>
      <c r="F846" s="43"/>
      <c r="G846" s="43"/>
      <c r="H846" s="43"/>
      <c r="I846" s="43"/>
      <c r="J846" s="443"/>
      <c r="K846" s="43"/>
      <c r="L846" s="89"/>
      <c r="M846" s="89"/>
      <c r="O846" s="71">
        <f t="shared" si="21"/>
        <v>0</v>
      </c>
      <c r="P846" s="89">
        <f t="shared" si="22"/>
        <v>0</v>
      </c>
      <c r="Q846" s="491" t="str">
        <f>IF(ISBLANK(M846), "", VLOOKUP(A846&amp;" "&amp;B846, 'Info Tipo de Cambio y REM'!$A$24:$B$47, 2, FALSE))</f>
        <v/>
      </c>
      <c r="R846" s="109" t="str">
        <f t="shared" si="1"/>
        <v/>
      </c>
      <c r="S846" s="71" t="str">
        <f t="shared" si="2"/>
        <v/>
      </c>
      <c r="T846" s="71">
        <f t="shared" si="3"/>
        <v>0</v>
      </c>
      <c r="U846" s="43"/>
      <c r="V846" s="486"/>
      <c r="W846" s="43"/>
      <c r="X846" s="43"/>
    </row>
    <row r="847" hidden="1">
      <c r="A847" s="51"/>
      <c r="B847" s="43"/>
      <c r="C847" s="51"/>
      <c r="D847" s="43"/>
      <c r="E847" s="43"/>
      <c r="F847" s="43"/>
      <c r="G847" s="43"/>
      <c r="H847" s="43"/>
      <c r="I847" s="43"/>
      <c r="J847" s="443"/>
      <c r="K847" s="43"/>
      <c r="L847" s="89"/>
      <c r="M847" s="89"/>
      <c r="O847" s="71">
        <f t="shared" si="21"/>
        <v>0</v>
      </c>
      <c r="P847" s="89">
        <f t="shared" si="22"/>
        <v>0</v>
      </c>
      <c r="Q847" s="491" t="str">
        <f>IF(ISBLANK(M847), "", VLOOKUP(A847&amp;" "&amp;B847, 'Info Tipo de Cambio y REM'!$A$24:$B$47, 2, FALSE))</f>
        <v/>
      </c>
      <c r="R847" s="109" t="str">
        <f t="shared" si="1"/>
        <v/>
      </c>
      <c r="S847" s="71" t="str">
        <f t="shared" si="2"/>
        <v/>
      </c>
      <c r="T847" s="71">
        <f t="shared" si="3"/>
        <v>0</v>
      </c>
      <c r="U847" s="43"/>
      <c r="V847" s="486"/>
      <c r="W847" s="43"/>
      <c r="X847" s="43"/>
    </row>
    <row r="848" hidden="1">
      <c r="A848" s="51"/>
      <c r="B848" s="43"/>
      <c r="C848" s="51"/>
      <c r="D848" s="43"/>
      <c r="E848" s="43"/>
      <c r="F848" s="43"/>
      <c r="G848" s="43"/>
      <c r="H848" s="43"/>
      <c r="I848" s="43"/>
      <c r="J848" s="443"/>
      <c r="K848" s="43"/>
      <c r="L848" s="89"/>
      <c r="M848" s="89"/>
      <c r="O848" s="71">
        <f t="shared" si="21"/>
        <v>0</v>
      </c>
      <c r="P848" s="89">
        <f t="shared" si="22"/>
        <v>0</v>
      </c>
      <c r="Q848" s="491" t="str">
        <f>IF(ISBLANK(M848), "", VLOOKUP(A848&amp;" "&amp;B848, 'Info Tipo de Cambio y REM'!$A$24:$B$47, 2, FALSE))</f>
        <v/>
      </c>
      <c r="R848" s="109" t="str">
        <f t="shared" si="1"/>
        <v/>
      </c>
      <c r="S848" s="71" t="str">
        <f t="shared" si="2"/>
        <v/>
      </c>
      <c r="T848" s="71">
        <f t="shared" si="3"/>
        <v>0</v>
      </c>
      <c r="U848" s="43"/>
      <c r="V848" s="486"/>
      <c r="W848" s="43"/>
      <c r="X848" s="43"/>
    </row>
    <row r="849" hidden="1">
      <c r="A849" s="51"/>
      <c r="B849" s="43"/>
      <c r="C849" s="51"/>
      <c r="D849" s="43"/>
      <c r="E849" s="43"/>
      <c r="F849" s="43"/>
      <c r="G849" s="43"/>
      <c r="H849" s="43"/>
      <c r="I849" s="43"/>
      <c r="J849" s="443"/>
      <c r="K849" s="43"/>
      <c r="L849" s="89"/>
      <c r="M849" s="89"/>
      <c r="O849" s="71">
        <f t="shared" si="21"/>
        <v>0</v>
      </c>
      <c r="P849" s="89">
        <f t="shared" si="22"/>
        <v>0</v>
      </c>
      <c r="Q849" s="491" t="str">
        <f>IF(ISBLANK(M849), "", VLOOKUP(A849&amp;" "&amp;B849, 'Info Tipo de Cambio y REM'!$A$24:$B$47, 2, FALSE))</f>
        <v/>
      </c>
      <c r="R849" s="109" t="str">
        <f t="shared" si="1"/>
        <v/>
      </c>
      <c r="S849" s="71" t="str">
        <f t="shared" si="2"/>
        <v/>
      </c>
      <c r="T849" s="71">
        <f t="shared" si="3"/>
        <v>0</v>
      </c>
      <c r="U849" s="43"/>
      <c r="V849" s="486"/>
      <c r="W849" s="43"/>
      <c r="X849" s="43"/>
    </row>
    <row r="850" hidden="1">
      <c r="A850" s="51"/>
      <c r="B850" s="43"/>
      <c r="C850" s="51"/>
      <c r="D850" s="43"/>
      <c r="E850" s="43"/>
      <c r="F850" s="43"/>
      <c r="G850" s="43"/>
      <c r="H850" s="43"/>
      <c r="I850" s="43"/>
      <c r="J850" s="443"/>
      <c r="K850" s="43"/>
      <c r="L850" s="89"/>
      <c r="M850" s="89"/>
      <c r="O850" s="71">
        <f t="shared" si="21"/>
        <v>0</v>
      </c>
      <c r="P850" s="89">
        <f t="shared" si="22"/>
        <v>0</v>
      </c>
      <c r="Q850" s="491" t="str">
        <f>IF(ISBLANK(M850), "", VLOOKUP(A850&amp;" "&amp;B850, 'Info Tipo de Cambio y REM'!$A$24:$B$47, 2, FALSE))</f>
        <v/>
      </c>
      <c r="R850" s="109" t="str">
        <f t="shared" si="1"/>
        <v/>
      </c>
      <c r="S850" s="71" t="str">
        <f t="shared" si="2"/>
        <v/>
      </c>
      <c r="T850" s="71">
        <f t="shared" si="3"/>
        <v>0</v>
      </c>
      <c r="U850" s="43"/>
      <c r="V850" s="486"/>
      <c r="W850" s="43"/>
      <c r="X850" s="43"/>
    </row>
    <row r="851" hidden="1">
      <c r="A851" s="51"/>
      <c r="B851" s="43"/>
      <c r="C851" s="51"/>
      <c r="D851" s="43"/>
      <c r="E851" s="43"/>
      <c r="F851" s="43"/>
      <c r="G851" s="43"/>
      <c r="H851" s="43"/>
      <c r="I851" s="43"/>
      <c r="J851" s="443"/>
      <c r="K851" s="43"/>
      <c r="L851" s="89"/>
      <c r="M851" s="89"/>
      <c r="O851" s="71">
        <f t="shared" si="21"/>
        <v>0</v>
      </c>
      <c r="P851" s="89">
        <f t="shared" si="22"/>
        <v>0</v>
      </c>
      <c r="Q851" s="491" t="str">
        <f>IF(ISBLANK(M851), "", VLOOKUP(A851&amp;" "&amp;B851, 'Info Tipo de Cambio y REM'!$A$24:$B$47, 2, FALSE))</f>
        <v/>
      </c>
      <c r="R851" s="109" t="str">
        <f t="shared" si="1"/>
        <v/>
      </c>
      <c r="S851" s="71" t="str">
        <f t="shared" si="2"/>
        <v/>
      </c>
      <c r="T851" s="71">
        <f t="shared" si="3"/>
        <v>0</v>
      </c>
      <c r="U851" s="43"/>
      <c r="V851" s="486"/>
      <c r="W851" s="43"/>
      <c r="X851" s="43"/>
    </row>
    <row r="852" hidden="1">
      <c r="A852" s="51"/>
      <c r="B852" s="43"/>
      <c r="C852" s="51"/>
      <c r="D852" s="43"/>
      <c r="E852" s="43"/>
      <c r="F852" s="43"/>
      <c r="G852" s="43"/>
      <c r="H852" s="43"/>
      <c r="I852" s="43"/>
      <c r="J852" s="443"/>
      <c r="K852" s="43"/>
      <c r="L852" s="89"/>
      <c r="M852" s="89"/>
      <c r="O852" s="71">
        <f t="shared" si="21"/>
        <v>0</v>
      </c>
      <c r="P852" s="89">
        <f t="shared" si="22"/>
        <v>0</v>
      </c>
      <c r="Q852" s="491" t="str">
        <f>IF(ISBLANK(M852), "", VLOOKUP(A852&amp;" "&amp;B852, 'Info Tipo de Cambio y REM'!$A$24:$B$47, 2, FALSE))</f>
        <v/>
      </c>
      <c r="R852" s="109" t="str">
        <f t="shared" si="1"/>
        <v/>
      </c>
      <c r="S852" s="71" t="str">
        <f t="shared" si="2"/>
        <v/>
      </c>
      <c r="T852" s="71">
        <f t="shared" si="3"/>
        <v>0</v>
      </c>
      <c r="U852" s="43"/>
      <c r="V852" s="486"/>
      <c r="W852" s="43"/>
      <c r="X852" s="43"/>
    </row>
    <row r="853" hidden="1">
      <c r="A853" s="51"/>
      <c r="B853" s="43"/>
      <c r="C853" s="51"/>
      <c r="D853" s="43"/>
      <c r="E853" s="43"/>
      <c r="F853" s="43"/>
      <c r="G853" s="43"/>
      <c r="H853" s="43"/>
      <c r="I853" s="43"/>
      <c r="J853" s="443"/>
      <c r="K853" s="43"/>
      <c r="L853" s="89"/>
      <c r="M853" s="89"/>
      <c r="O853" s="71">
        <f t="shared" si="21"/>
        <v>0</v>
      </c>
      <c r="P853" s="89">
        <f t="shared" si="22"/>
        <v>0</v>
      </c>
      <c r="Q853" s="491" t="str">
        <f>IF(ISBLANK(M853), "", VLOOKUP(A853&amp;" "&amp;B853, 'Info Tipo de Cambio y REM'!$A$24:$B$47, 2, FALSE))</f>
        <v/>
      </c>
      <c r="R853" s="109" t="str">
        <f t="shared" si="1"/>
        <v/>
      </c>
      <c r="S853" s="71" t="str">
        <f t="shared" si="2"/>
        <v/>
      </c>
      <c r="T853" s="71">
        <f t="shared" si="3"/>
        <v>0</v>
      </c>
      <c r="U853" s="43"/>
      <c r="V853" s="486"/>
      <c r="W853" s="43"/>
      <c r="X853" s="43"/>
    </row>
    <row r="854" hidden="1">
      <c r="A854" s="51"/>
      <c r="B854" s="43"/>
      <c r="C854" s="51"/>
      <c r="D854" s="43"/>
      <c r="E854" s="43"/>
      <c r="F854" s="43"/>
      <c r="G854" s="43"/>
      <c r="H854" s="43"/>
      <c r="I854" s="43"/>
      <c r="J854" s="443"/>
      <c r="K854" s="43"/>
      <c r="L854" s="89"/>
      <c r="M854" s="89"/>
      <c r="O854" s="71">
        <f t="shared" si="21"/>
        <v>0</v>
      </c>
      <c r="P854" s="89">
        <f t="shared" si="22"/>
        <v>0</v>
      </c>
      <c r="Q854" s="491" t="str">
        <f>IF(ISBLANK(M854), "", VLOOKUP(A854&amp;" "&amp;B854, 'Info Tipo de Cambio y REM'!$A$24:$B$47, 2, FALSE))</f>
        <v/>
      </c>
      <c r="R854" s="109" t="str">
        <f t="shared" si="1"/>
        <v/>
      </c>
      <c r="S854" s="71" t="str">
        <f t="shared" si="2"/>
        <v/>
      </c>
      <c r="T854" s="71">
        <f t="shared" si="3"/>
        <v>0</v>
      </c>
      <c r="U854" s="43"/>
      <c r="V854" s="486"/>
      <c r="W854" s="43"/>
      <c r="X854" s="43"/>
    </row>
    <row r="855" hidden="1">
      <c r="A855" s="51"/>
      <c r="B855" s="43"/>
      <c r="C855" s="51"/>
      <c r="D855" s="43"/>
      <c r="E855" s="43"/>
      <c r="F855" s="43"/>
      <c r="G855" s="43"/>
      <c r="H855" s="43"/>
      <c r="I855" s="43"/>
      <c r="J855" s="443"/>
      <c r="K855" s="43"/>
      <c r="L855" s="89"/>
      <c r="M855" s="89"/>
      <c r="O855" s="71">
        <f t="shared" si="21"/>
        <v>0</v>
      </c>
      <c r="P855" s="89">
        <f t="shared" si="22"/>
        <v>0</v>
      </c>
      <c r="Q855" s="491" t="str">
        <f>IF(ISBLANK(M855), "", VLOOKUP(A855&amp;" "&amp;B855, 'Info Tipo de Cambio y REM'!$A$24:$B$47, 2, FALSE))</f>
        <v/>
      </c>
      <c r="R855" s="109" t="str">
        <f t="shared" si="1"/>
        <v/>
      </c>
      <c r="S855" s="71" t="str">
        <f t="shared" si="2"/>
        <v/>
      </c>
      <c r="T855" s="71">
        <f t="shared" si="3"/>
        <v>0</v>
      </c>
      <c r="U855" s="43"/>
      <c r="V855" s="486"/>
      <c r="W855" s="43"/>
      <c r="X855" s="43"/>
    </row>
    <row r="856" hidden="1">
      <c r="A856" s="51"/>
      <c r="B856" s="43"/>
      <c r="C856" s="51"/>
      <c r="D856" s="43"/>
      <c r="E856" s="43"/>
      <c r="F856" s="43"/>
      <c r="G856" s="43"/>
      <c r="H856" s="43"/>
      <c r="I856" s="43"/>
      <c r="J856" s="443"/>
      <c r="K856" s="43"/>
      <c r="L856" s="89"/>
      <c r="M856" s="89"/>
      <c r="O856" s="71">
        <f t="shared" si="21"/>
        <v>0</v>
      </c>
      <c r="P856" s="89">
        <f t="shared" si="22"/>
        <v>0</v>
      </c>
      <c r="Q856" s="491" t="str">
        <f>IF(ISBLANK(M856), "", VLOOKUP(A856&amp;" "&amp;B856, 'Info Tipo de Cambio y REM'!$A$24:$B$47, 2, FALSE))</f>
        <v/>
      </c>
      <c r="R856" s="109" t="str">
        <f t="shared" si="1"/>
        <v/>
      </c>
      <c r="S856" s="71" t="str">
        <f t="shared" si="2"/>
        <v/>
      </c>
      <c r="T856" s="71">
        <f t="shared" si="3"/>
        <v>0</v>
      </c>
      <c r="U856" s="43"/>
      <c r="V856" s="486"/>
      <c r="W856" s="43"/>
      <c r="X856" s="43"/>
    </row>
    <row r="857" hidden="1">
      <c r="A857" s="51"/>
      <c r="B857" s="43"/>
      <c r="C857" s="51"/>
      <c r="D857" s="43"/>
      <c r="E857" s="43"/>
      <c r="F857" s="43"/>
      <c r="G857" s="43"/>
      <c r="H857" s="43"/>
      <c r="I857" s="43"/>
      <c r="J857" s="443"/>
      <c r="K857" s="43"/>
      <c r="L857" s="89"/>
      <c r="M857" s="89"/>
      <c r="O857" s="71">
        <f t="shared" si="21"/>
        <v>0</v>
      </c>
      <c r="P857" s="89">
        <f t="shared" si="22"/>
        <v>0</v>
      </c>
      <c r="Q857" s="491" t="str">
        <f>IF(ISBLANK(M857), "", VLOOKUP(A857&amp;" "&amp;B857, 'Info Tipo de Cambio y REM'!$A$24:$B$47, 2, FALSE))</f>
        <v/>
      </c>
      <c r="R857" s="109" t="str">
        <f t="shared" si="1"/>
        <v/>
      </c>
      <c r="S857" s="71" t="str">
        <f t="shared" si="2"/>
        <v/>
      </c>
      <c r="T857" s="71">
        <f t="shared" si="3"/>
        <v>0</v>
      </c>
      <c r="U857" s="43"/>
      <c r="V857" s="486"/>
      <c r="W857" s="43"/>
      <c r="X857" s="43"/>
    </row>
    <row r="858" hidden="1">
      <c r="A858" s="51"/>
      <c r="B858" s="43"/>
      <c r="C858" s="51"/>
      <c r="D858" s="43"/>
      <c r="E858" s="43"/>
      <c r="F858" s="43"/>
      <c r="G858" s="43"/>
      <c r="H858" s="43"/>
      <c r="I858" s="43"/>
      <c r="J858" s="443"/>
      <c r="K858" s="43"/>
      <c r="L858" s="89"/>
      <c r="M858" s="89"/>
      <c r="O858" s="71">
        <f t="shared" si="21"/>
        <v>0</v>
      </c>
      <c r="P858" s="89">
        <f t="shared" si="22"/>
        <v>0</v>
      </c>
      <c r="Q858" s="491" t="str">
        <f>IF(ISBLANK(M858), "", VLOOKUP(A858&amp;" "&amp;B858, 'Info Tipo de Cambio y REM'!$A$24:$B$47, 2, FALSE))</f>
        <v/>
      </c>
      <c r="R858" s="109" t="str">
        <f t="shared" si="1"/>
        <v/>
      </c>
      <c r="S858" s="71" t="str">
        <f t="shared" si="2"/>
        <v/>
      </c>
      <c r="T858" s="71">
        <f t="shared" si="3"/>
        <v>0</v>
      </c>
      <c r="U858" s="43"/>
      <c r="V858" s="486"/>
      <c r="W858" s="43"/>
      <c r="X858" s="43"/>
    </row>
    <row r="859" hidden="1">
      <c r="A859" s="51"/>
      <c r="B859" s="43"/>
      <c r="C859" s="51"/>
      <c r="D859" s="43"/>
      <c r="E859" s="43"/>
      <c r="F859" s="43"/>
      <c r="G859" s="43"/>
      <c r="H859" s="43"/>
      <c r="I859" s="43"/>
      <c r="J859" s="443"/>
      <c r="K859" s="43"/>
      <c r="L859" s="89"/>
      <c r="M859" s="89"/>
      <c r="O859" s="71">
        <f t="shared" si="21"/>
        <v>0</v>
      </c>
      <c r="P859" s="89">
        <f t="shared" si="22"/>
        <v>0</v>
      </c>
      <c r="Q859" s="491" t="str">
        <f>IF(ISBLANK(M859), "", VLOOKUP(A859&amp;" "&amp;B859, 'Info Tipo de Cambio y REM'!$A$24:$B$47, 2, FALSE))</f>
        <v/>
      </c>
      <c r="R859" s="109" t="str">
        <f t="shared" si="1"/>
        <v/>
      </c>
      <c r="S859" s="71" t="str">
        <f t="shared" si="2"/>
        <v/>
      </c>
      <c r="T859" s="71">
        <f t="shared" si="3"/>
        <v>0</v>
      </c>
      <c r="U859" s="43"/>
      <c r="V859" s="486"/>
      <c r="W859" s="43"/>
      <c r="X859" s="43"/>
    </row>
    <row r="860" hidden="1">
      <c r="A860" s="51"/>
      <c r="B860" s="43"/>
      <c r="C860" s="51"/>
      <c r="D860" s="43"/>
      <c r="E860" s="43"/>
      <c r="F860" s="43"/>
      <c r="G860" s="43"/>
      <c r="H860" s="43"/>
      <c r="I860" s="43"/>
      <c r="J860" s="443"/>
      <c r="K860" s="43"/>
      <c r="L860" s="89"/>
      <c r="M860" s="89"/>
      <c r="O860" s="71">
        <f t="shared" si="21"/>
        <v>0</v>
      </c>
      <c r="P860" s="89">
        <f t="shared" si="22"/>
        <v>0</v>
      </c>
      <c r="Q860" s="491" t="str">
        <f>IF(ISBLANK(M860), "", VLOOKUP(A860&amp;" "&amp;B860, 'Info Tipo de Cambio y REM'!$A$24:$B$47, 2, FALSE))</f>
        <v/>
      </c>
      <c r="R860" s="109" t="str">
        <f t="shared" si="1"/>
        <v/>
      </c>
      <c r="S860" s="71" t="str">
        <f t="shared" si="2"/>
        <v/>
      </c>
      <c r="T860" s="71">
        <f t="shared" si="3"/>
        <v>0</v>
      </c>
      <c r="U860" s="43"/>
      <c r="V860" s="486"/>
      <c r="W860" s="43"/>
      <c r="X860" s="43"/>
    </row>
    <row r="861" hidden="1">
      <c r="A861" s="51"/>
      <c r="B861" s="43"/>
      <c r="C861" s="51"/>
      <c r="D861" s="43"/>
      <c r="E861" s="43"/>
      <c r="F861" s="43"/>
      <c r="G861" s="43"/>
      <c r="H861" s="43"/>
      <c r="I861" s="43"/>
      <c r="J861" s="443"/>
      <c r="K861" s="43"/>
      <c r="L861" s="89"/>
      <c r="M861" s="89"/>
      <c r="O861" s="71">
        <f t="shared" si="21"/>
        <v>0</v>
      </c>
      <c r="P861" s="89">
        <f t="shared" si="22"/>
        <v>0</v>
      </c>
      <c r="Q861" s="491" t="str">
        <f>IF(ISBLANK(M861), "", VLOOKUP(A861&amp;" "&amp;B861, 'Info Tipo de Cambio y REM'!$A$24:$B$47, 2, FALSE))</f>
        <v/>
      </c>
      <c r="R861" s="109" t="str">
        <f t="shared" si="1"/>
        <v/>
      </c>
      <c r="S861" s="71" t="str">
        <f t="shared" si="2"/>
        <v/>
      </c>
      <c r="T861" s="71">
        <f t="shared" si="3"/>
        <v>0</v>
      </c>
      <c r="U861" s="43"/>
      <c r="V861" s="486"/>
      <c r="W861" s="43"/>
      <c r="X861" s="43"/>
    </row>
    <row r="862" hidden="1">
      <c r="A862" s="51"/>
      <c r="B862" s="43"/>
      <c r="C862" s="51"/>
      <c r="D862" s="43"/>
      <c r="E862" s="43"/>
      <c r="F862" s="43"/>
      <c r="G862" s="43"/>
      <c r="H862" s="43"/>
      <c r="I862" s="43"/>
      <c r="J862" s="443"/>
      <c r="K862" s="43"/>
      <c r="L862" s="89"/>
      <c r="M862" s="89"/>
      <c r="O862" s="71">
        <f t="shared" si="21"/>
        <v>0</v>
      </c>
      <c r="P862" s="89">
        <f t="shared" si="22"/>
        <v>0</v>
      </c>
      <c r="Q862" s="491" t="str">
        <f>IF(ISBLANK(M862), "", VLOOKUP(A862&amp;" "&amp;B862, 'Info Tipo de Cambio y REM'!$A$24:$B$47, 2, FALSE))</f>
        <v/>
      </c>
      <c r="R862" s="109" t="str">
        <f t="shared" si="1"/>
        <v/>
      </c>
      <c r="S862" s="71" t="str">
        <f t="shared" si="2"/>
        <v/>
      </c>
      <c r="T862" s="71">
        <f t="shared" si="3"/>
        <v>0</v>
      </c>
      <c r="U862" s="43"/>
      <c r="V862" s="486"/>
      <c r="W862" s="43"/>
      <c r="X862" s="43"/>
    </row>
    <row r="863" hidden="1">
      <c r="A863" s="51"/>
      <c r="B863" s="43"/>
      <c r="C863" s="51"/>
      <c r="D863" s="43"/>
      <c r="E863" s="43"/>
      <c r="F863" s="43"/>
      <c r="G863" s="43"/>
      <c r="H863" s="43"/>
      <c r="I863" s="43"/>
      <c r="J863" s="443"/>
      <c r="K863" s="43"/>
      <c r="L863" s="89"/>
      <c r="M863" s="89"/>
      <c r="O863" s="71">
        <f t="shared" si="21"/>
        <v>0</v>
      </c>
      <c r="P863" s="89">
        <f t="shared" si="22"/>
        <v>0</v>
      </c>
      <c r="Q863" s="491" t="str">
        <f>IF(ISBLANK(M863), "", VLOOKUP(A863&amp;" "&amp;B863, 'Info Tipo de Cambio y REM'!$A$24:$B$47, 2, FALSE))</f>
        <v/>
      </c>
      <c r="R863" s="109" t="str">
        <f t="shared" si="1"/>
        <v/>
      </c>
      <c r="S863" s="71" t="str">
        <f t="shared" si="2"/>
        <v/>
      </c>
      <c r="T863" s="71">
        <f t="shared" si="3"/>
        <v>0</v>
      </c>
      <c r="U863" s="43"/>
      <c r="V863" s="486"/>
      <c r="W863" s="43"/>
      <c r="X863" s="43"/>
    </row>
    <row r="864" hidden="1">
      <c r="A864" s="51"/>
      <c r="B864" s="43"/>
      <c r="C864" s="51"/>
      <c r="D864" s="43"/>
      <c r="E864" s="43"/>
      <c r="F864" s="43"/>
      <c r="G864" s="43"/>
      <c r="H864" s="43"/>
      <c r="I864" s="43"/>
      <c r="J864" s="443"/>
      <c r="K864" s="43"/>
      <c r="L864" s="89"/>
      <c r="M864" s="89"/>
      <c r="O864" s="71">
        <f t="shared" si="21"/>
        <v>0</v>
      </c>
      <c r="P864" s="89">
        <f t="shared" si="22"/>
        <v>0</v>
      </c>
      <c r="Q864" s="491" t="str">
        <f>IF(ISBLANK(M864), "", VLOOKUP(A864&amp;" "&amp;B864, 'Info Tipo de Cambio y REM'!$A$24:$B$47, 2, FALSE))</f>
        <v/>
      </c>
      <c r="R864" s="109" t="str">
        <f t="shared" si="1"/>
        <v/>
      </c>
      <c r="S864" s="71" t="str">
        <f t="shared" si="2"/>
        <v/>
      </c>
      <c r="T864" s="71">
        <f t="shared" si="3"/>
        <v>0</v>
      </c>
      <c r="U864" s="43"/>
      <c r="V864" s="486"/>
      <c r="W864" s="43"/>
      <c r="X864" s="43"/>
    </row>
    <row r="865" hidden="1">
      <c r="A865" s="51"/>
      <c r="B865" s="43"/>
      <c r="C865" s="51"/>
      <c r="D865" s="43"/>
      <c r="E865" s="43"/>
      <c r="F865" s="43"/>
      <c r="G865" s="43"/>
      <c r="H865" s="43"/>
      <c r="I865" s="43"/>
      <c r="J865" s="443"/>
      <c r="K865" s="43"/>
      <c r="L865" s="89"/>
      <c r="M865" s="89"/>
      <c r="O865" s="71">
        <f t="shared" si="21"/>
        <v>0</v>
      </c>
      <c r="P865" s="89">
        <f t="shared" si="22"/>
        <v>0</v>
      </c>
      <c r="Q865" s="491" t="str">
        <f>IF(ISBLANK(M865), "", VLOOKUP(A865&amp;" "&amp;B865, 'Info Tipo de Cambio y REM'!$A$24:$B$47, 2, FALSE))</f>
        <v/>
      </c>
      <c r="R865" s="109" t="str">
        <f t="shared" si="1"/>
        <v/>
      </c>
      <c r="S865" s="71" t="str">
        <f t="shared" si="2"/>
        <v/>
      </c>
      <c r="T865" s="71">
        <f t="shared" si="3"/>
        <v>0</v>
      </c>
      <c r="U865" s="43"/>
      <c r="V865" s="486"/>
      <c r="W865" s="43"/>
      <c r="X865" s="43"/>
    </row>
    <row r="866" hidden="1">
      <c r="A866" s="51"/>
      <c r="B866" s="43"/>
      <c r="C866" s="51"/>
      <c r="D866" s="43"/>
      <c r="E866" s="43"/>
      <c r="F866" s="43"/>
      <c r="G866" s="43"/>
      <c r="H866" s="43"/>
      <c r="I866" s="43"/>
      <c r="J866" s="443"/>
      <c r="K866" s="43"/>
      <c r="L866" s="89"/>
      <c r="M866" s="89"/>
      <c r="O866" s="71">
        <f t="shared" si="21"/>
        <v>0</v>
      </c>
      <c r="P866" s="89">
        <f t="shared" si="22"/>
        <v>0</v>
      </c>
      <c r="Q866" s="491" t="str">
        <f>IF(ISBLANK(M866), "", VLOOKUP(A866&amp;" "&amp;B866, 'Info Tipo de Cambio y REM'!$A$24:$B$47, 2, FALSE))</f>
        <v/>
      </c>
      <c r="R866" s="109" t="str">
        <f t="shared" si="1"/>
        <v/>
      </c>
      <c r="S866" s="71" t="str">
        <f t="shared" si="2"/>
        <v/>
      </c>
      <c r="T866" s="71">
        <f t="shared" si="3"/>
        <v>0</v>
      </c>
      <c r="U866" s="43"/>
      <c r="V866" s="486"/>
      <c r="W866" s="43"/>
      <c r="X866" s="43"/>
    </row>
    <row r="867" hidden="1">
      <c r="A867" s="51"/>
      <c r="B867" s="43"/>
      <c r="C867" s="51"/>
      <c r="D867" s="43"/>
      <c r="E867" s="43"/>
      <c r="F867" s="43"/>
      <c r="G867" s="43"/>
      <c r="H867" s="43"/>
      <c r="I867" s="43"/>
      <c r="J867" s="443"/>
      <c r="K867" s="43"/>
      <c r="L867" s="89"/>
      <c r="M867" s="89"/>
      <c r="O867" s="71">
        <f t="shared" si="21"/>
        <v>0</v>
      </c>
      <c r="P867" s="89">
        <f t="shared" si="22"/>
        <v>0</v>
      </c>
      <c r="Q867" s="491" t="str">
        <f>IF(ISBLANK(M867), "", VLOOKUP(A867&amp;" "&amp;B867, 'Info Tipo de Cambio y REM'!$A$24:$B$47, 2, FALSE))</f>
        <v/>
      </c>
      <c r="R867" s="109" t="str">
        <f t="shared" si="1"/>
        <v/>
      </c>
      <c r="S867" s="71" t="str">
        <f t="shared" si="2"/>
        <v/>
      </c>
      <c r="T867" s="71">
        <f t="shared" si="3"/>
        <v>0</v>
      </c>
      <c r="U867" s="43"/>
      <c r="V867" s="486"/>
      <c r="W867" s="43"/>
      <c r="X867" s="43"/>
    </row>
    <row r="868" hidden="1">
      <c r="A868" s="51"/>
      <c r="B868" s="43"/>
      <c r="C868" s="51"/>
      <c r="D868" s="43"/>
      <c r="E868" s="43"/>
      <c r="F868" s="43"/>
      <c r="G868" s="43"/>
      <c r="H868" s="43"/>
      <c r="I868" s="43"/>
      <c r="J868" s="443"/>
      <c r="K868" s="43"/>
      <c r="L868" s="89"/>
      <c r="M868" s="89"/>
      <c r="O868" s="71">
        <f t="shared" si="21"/>
        <v>0</v>
      </c>
      <c r="P868" s="89">
        <f t="shared" si="22"/>
        <v>0</v>
      </c>
      <c r="Q868" s="491" t="str">
        <f>IF(ISBLANK(M868), "", VLOOKUP(A868&amp;" "&amp;B868, 'Info Tipo de Cambio y REM'!$A$24:$B$47, 2, FALSE))</f>
        <v/>
      </c>
      <c r="R868" s="109" t="str">
        <f t="shared" si="1"/>
        <v/>
      </c>
      <c r="S868" s="71" t="str">
        <f t="shared" si="2"/>
        <v/>
      </c>
      <c r="T868" s="71">
        <f t="shared" si="3"/>
        <v>0</v>
      </c>
      <c r="U868" s="43"/>
      <c r="V868" s="486"/>
      <c r="W868" s="43"/>
      <c r="X868" s="43"/>
    </row>
    <row r="869" hidden="1">
      <c r="A869" s="51"/>
      <c r="B869" s="43"/>
      <c r="C869" s="51"/>
      <c r="D869" s="43"/>
      <c r="E869" s="43"/>
      <c r="F869" s="43"/>
      <c r="G869" s="43"/>
      <c r="H869" s="43"/>
      <c r="I869" s="43"/>
      <c r="J869" s="443"/>
      <c r="K869" s="43"/>
      <c r="L869" s="89"/>
      <c r="M869" s="89"/>
      <c r="O869" s="71">
        <f t="shared" si="21"/>
        <v>0</v>
      </c>
      <c r="P869" s="89">
        <f t="shared" si="22"/>
        <v>0</v>
      </c>
      <c r="Q869" s="491" t="str">
        <f>IF(ISBLANK(M869), "", VLOOKUP(A869&amp;" "&amp;B869, 'Info Tipo de Cambio y REM'!$A$24:$B$47, 2, FALSE))</f>
        <v/>
      </c>
      <c r="R869" s="109" t="str">
        <f t="shared" si="1"/>
        <v/>
      </c>
      <c r="S869" s="71" t="str">
        <f t="shared" si="2"/>
        <v/>
      </c>
      <c r="T869" s="71">
        <f t="shared" si="3"/>
        <v>0</v>
      </c>
      <c r="U869" s="43"/>
      <c r="V869" s="486"/>
      <c r="W869" s="43"/>
      <c r="X869" s="43"/>
    </row>
    <row r="870" hidden="1">
      <c r="A870" s="51"/>
      <c r="B870" s="43"/>
      <c r="C870" s="51"/>
      <c r="D870" s="43"/>
      <c r="E870" s="43"/>
      <c r="F870" s="43"/>
      <c r="G870" s="43"/>
      <c r="H870" s="43"/>
      <c r="I870" s="43"/>
      <c r="J870" s="443"/>
      <c r="K870" s="43"/>
      <c r="L870" s="89"/>
      <c r="M870" s="89"/>
      <c r="O870" s="71">
        <f t="shared" si="21"/>
        <v>0</v>
      </c>
      <c r="P870" s="89">
        <f t="shared" si="22"/>
        <v>0</v>
      </c>
      <c r="Q870" s="491" t="str">
        <f>IF(ISBLANK(M870), "", VLOOKUP(A870&amp;" "&amp;B870, 'Info Tipo de Cambio y REM'!$A$24:$B$47, 2, FALSE))</f>
        <v/>
      </c>
      <c r="R870" s="109" t="str">
        <f t="shared" si="1"/>
        <v/>
      </c>
      <c r="S870" s="71" t="str">
        <f t="shared" si="2"/>
        <v/>
      </c>
      <c r="T870" s="71">
        <f t="shared" si="3"/>
        <v>0</v>
      </c>
      <c r="U870" s="43"/>
      <c r="V870" s="486"/>
      <c r="W870" s="43"/>
      <c r="X870" s="43"/>
    </row>
    <row r="871" hidden="1">
      <c r="A871" s="51"/>
      <c r="B871" s="43"/>
      <c r="C871" s="51"/>
      <c r="D871" s="43"/>
      <c r="E871" s="43"/>
      <c r="F871" s="43"/>
      <c r="G871" s="43"/>
      <c r="H871" s="43"/>
      <c r="I871" s="43"/>
      <c r="J871" s="443"/>
      <c r="K871" s="43"/>
      <c r="L871" s="89"/>
      <c r="M871" s="89"/>
      <c r="O871" s="71">
        <f t="shared" si="21"/>
        <v>0</v>
      </c>
      <c r="P871" s="89">
        <f t="shared" si="22"/>
        <v>0</v>
      </c>
      <c r="Q871" s="491" t="str">
        <f>IF(ISBLANK(M871), "", VLOOKUP(A871&amp;" "&amp;B871, 'Info Tipo de Cambio y REM'!$A$24:$B$47, 2, FALSE))</f>
        <v/>
      </c>
      <c r="R871" s="109" t="str">
        <f t="shared" si="1"/>
        <v/>
      </c>
      <c r="S871" s="71" t="str">
        <f t="shared" si="2"/>
        <v/>
      </c>
      <c r="T871" s="71">
        <f t="shared" si="3"/>
        <v>0</v>
      </c>
      <c r="U871" s="43"/>
      <c r="V871" s="486"/>
      <c r="W871" s="43"/>
      <c r="X871" s="43"/>
    </row>
    <row r="872" hidden="1">
      <c r="A872" s="51"/>
      <c r="B872" s="43"/>
      <c r="C872" s="51"/>
      <c r="D872" s="43"/>
      <c r="E872" s="43"/>
      <c r="F872" s="43"/>
      <c r="G872" s="43"/>
      <c r="H872" s="43"/>
      <c r="I872" s="43"/>
      <c r="J872" s="443"/>
      <c r="K872" s="43"/>
      <c r="L872" s="89"/>
      <c r="M872" s="89"/>
      <c r="O872" s="71">
        <f t="shared" si="21"/>
        <v>0</v>
      </c>
      <c r="P872" s="89">
        <f t="shared" si="22"/>
        <v>0</v>
      </c>
      <c r="Q872" s="491" t="str">
        <f>IF(ISBLANK(M872), "", VLOOKUP(A872&amp;" "&amp;B872, 'Info Tipo de Cambio y REM'!$A$24:$B$47, 2, FALSE))</f>
        <v/>
      </c>
      <c r="R872" s="109" t="str">
        <f t="shared" si="1"/>
        <v/>
      </c>
      <c r="S872" s="71" t="str">
        <f t="shared" si="2"/>
        <v/>
      </c>
      <c r="T872" s="71">
        <f t="shared" si="3"/>
        <v>0</v>
      </c>
      <c r="U872" s="43"/>
      <c r="V872" s="486"/>
      <c r="W872" s="43"/>
      <c r="X872" s="43"/>
    </row>
    <row r="873" hidden="1">
      <c r="A873" s="51"/>
      <c r="B873" s="43"/>
      <c r="C873" s="51"/>
      <c r="D873" s="43"/>
      <c r="E873" s="43"/>
      <c r="F873" s="43"/>
      <c r="G873" s="43"/>
      <c r="H873" s="43"/>
      <c r="I873" s="43"/>
      <c r="J873" s="443"/>
      <c r="K873" s="43"/>
      <c r="L873" s="89"/>
      <c r="M873" s="89"/>
      <c r="O873" s="71">
        <f t="shared" si="21"/>
        <v>0</v>
      </c>
      <c r="P873" s="89">
        <f t="shared" si="22"/>
        <v>0</v>
      </c>
      <c r="Q873" s="491" t="str">
        <f>IF(ISBLANK(M873), "", VLOOKUP(A873&amp;" "&amp;B873, 'Info Tipo de Cambio y REM'!$A$24:$B$47, 2, FALSE))</f>
        <v/>
      </c>
      <c r="R873" s="109" t="str">
        <f t="shared" si="1"/>
        <v/>
      </c>
      <c r="S873" s="71" t="str">
        <f t="shared" si="2"/>
        <v/>
      </c>
      <c r="T873" s="71">
        <f t="shared" si="3"/>
        <v>0</v>
      </c>
      <c r="U873" s="43"/>
      <c r="V873" s="486"/>
      <c r="W873" s="43"/>
      <c r="X873" s="43"/>
    </row>
    <row r="874" hidden="1">
      <c r="A874" s="51"/>
      <c r="B874" s="43"/>
      <c r="C874" s="51"/>
      <c r="D874" s="43"/>
      <c r="E874" s="43"/>
      <c r="F874" s="43"/>
      <c r="G874" s="43"/>
      <c r="H874" s="43"/>
      <c r="I874" s="43"/>
      <c r="J874" s="443"/>
      <c r="K874" s="43"/>
      <c r="L874" s="89"/>
      <c r="M874" s="89"/>
      <c r="O874" s="71">
        <f t="shared" si="21"/>
        <v>0</v>
      </c>
      <c r="P874" s="89">
        <f t="shared" si="22"/>
        <v>0</v>
      </c>
      <c r="Q874" s="491" t="str">
        <f>IF(ISBLANK(M874), "", VLOOKUP(A874&amp;" "&amp;B874, 'Info Tipo de Cambio y REM'!$A$24:$B$47, 2, FALSE))</f>
        <v/>
      </c>
      <c r="R874" s="109" t="str">
        <f t="shared" si="1"/>
        <v/>
      </c>
      <c r="S874" s="71" t="str">
        <f t="shared" si="2"/>
        <v/>
      </c>
      <c r="T874" s="71">
        <f t="shared" si="3"/>
        <v>0</v>
      </c>
      <c r="U874" s="43"/>
      <c r="V874" s="486"/>
      <c r="W874" s="43"/>
      <c r="X874" s="43"/>
    </row>
    <row r="875" hidden="1">
      <c r="A875" s="51"/>
      <c r="B875" s="43"/>
      <c r="C875" s="51"/>
      <c r="D875" s="43"/>
      <c r="E875" s="43"/>
      <c r="F875" s="43"/>
      <c r="G875" s="43"/>
      <c r="H875" s="43"/>
      <c r="I875" s="43"/>
      <c r="J875" s="443"/>
      <c r="K875" s="43"/>
      <c r="L875" s="89"/>
      <c r="M875" s="89"/>
      <c r="O875" s="71">
        <f t="shared" si="21"/>
        <v>0</v>
      </c>
      <c r="P875" s="89">
        <f t="shared" si="22"/>
        <v>0</v>
      </c>
      <c r="Q875" s="491" t="str">
        <f>IF(ISBLANK(M875), "", VLOOKUP(A875&amp;" "&amp;B875, 'Info Tipo de Cambio y REM'!$A$24:$B$47, 2, FALSE))</f>
        <v/>
      </c>
      <c r="R875" s="109" t="str">
        <f t="shared" si="1"/>
        <v/>
      </c>
      <c r="S875" s="71" t="str">
        <f t="shared" si="2"/>
        <v/>
      </c>
      <c r="T875" s="71">
        <f t="shared" si="3"/>
        <v>0</v>
      </c>
      <c r="U875" s="43"/>
      <c r="V875" s="486"/>
      <c r="W875" s="43"/>
      <c r="X875" s="43"/>
    </row>
    <row r="876" hidden="1">
      <c r="A876" s="51"/>
      <c r="B876" s="43"/>
      <c r="C876" s="51"/>
      <c r="D876" s="43"/>
      <c r="E876" s="43"/>
      <c r="F876" s="43"/>
      <c r="G876" s="43"/>
      <c r="H876" s="43"/>
      <c r="I876" s="43"/>
      <c r="J876" s="443"/>
      <c r="K876" s="43"/>
      <c r="L876" s="89"/>
      <c r="M876" s="89"/>
      <c r="O876" s="71">
        <f t="shared" si="21"/>
        <v>0</v>
      </c>
      <c r="P876" s="89">
        <f t="shared" si="22"/>
        <v>0</v>
      </c>
      <c r="Q876" s="491" t="str">
        <f>IF(ISBLANK(M876), "", VLOOKUP(A876&amp;" "&amp;B876, 'Info Tipo de Cambio y REM'!$A$24:$B$47, 2, FALSE))</f>
        <v/>
      </c>
      <c r="R876" s="109" t="str">
        <f t="shared" si="1"/>
        <v/>
      </c>
      <c r="S876" s="71" t="str">
        <f t="shared" si="2"/>
        <v/>
      </c>
      <c r="T876" s="71">
        <f t="shared" si="3"/>
        <v>0</v>
      </c>
      <c r="U876" s="43"/>
      <c r="V876" s="486"/>
      <c r="W876" s="43"/>
      <c r="X876" s="43"/>
    </row>
    <row r="877" hidden="1">
      <c r="A877" s="51"/>
      <c r="B877" s="43"/>
      <c r="C877" s="51"/>
      <c r="D877" s="43"/>
      <c r="E877" s="43"/>
      <c r="F877" s="43"/>
      <c r="G877" s="43"/>
      <c r="H877" s="43"/>
      <c r="I877" s="43"/>
      <c r="J877" s="443"/>
      <c r="K877" s="43"/>
      <c r="L877" s="89"/>
      <c r="M877" s="89"/>
      <c r="O877" s="71">
        <f t="shared" si="21"/>
        <v>0</v>
      </c>
      <c r="P877" s="89">
        <f t="shared" si="22"/>
        <v>0</v>
      </c>
      <c r="Q877" s="491" t="str">
        <f>IF(ISBLANK(M877), "", VLOOKUP(A877&amp;" "&amp;B877, 'Info Tipo de Cambio y REM'!$A$24:$B$47, 2, FALSE))</f>
        <v/>
      </c>
      <c r="R877" s="109" t="str">
        <f t="shared" si="1"/>
        <v/>
      </c>
      <c r="S877" s="71" t="str">
        <f t="shared" si="2"/>
        <v/>
      </c>
      <c r="T877" s="71">
        <f t="shared" si="3"/>
        <v>0</v>
      </c>
      <c r="U877" s="43"/>
      <c r="V877" s="486"/>
      <c r="W877" s="43"/>
      <c r="X877" s="43"/>
    </row>
    <row r="878" hidden="1">
      <c r="A878" s="51"/>
      <c r="B878" s="43"/>
      <c r="C878" s="51"/>
      <c r="D878" s="43"/>
      <c r="E878" s="43"/>
      <c r="F878" s="43"/>
      <c r="G878" s="43"/>
      <c r="H878" s="43"/>
      <c r="I878" s="43"/>
      <c r="J878" s="443"/>
      <c r="K878" s="43"/>
      <c r="L878" s="89"/>
      <c r="M878" s="89"/>
      <c r="O878" s="71">
        <f t="shared" si="21"/>
        <v>0</v>
      </c>
      <c r="P878" s="89">
        <f t="shared" si="22"/>
        <v>0</v>
      </c>
      <c r="Q878" s="491" t="str">
        <f>IF(ISBLANK(M878), "", VLOOKUP(A878&amp;" "&amp;B878, 'Info Tipo de Cambio y REM'!$A$24:$B$47, 2, FALSE))</f>
        <v/>
      </c>
      <c r="R878" s="109" t="str">
        <f t="shared" si="1"/>
        <v/>
      </c>
      <c r="S878" s="71" t="str">
        <f t="shared" si="2"/>
        <v/>
      </c>
      <c r="T878" s="71">
        <f t="shared" si="3"/>
        <v>0</v>
      </c>
      <c r="U878" s="43"/>
      <c r="V878" s="486"/>
      <c r="W878" s="43"/>
      <c r="X878" s="43"/>
    </row>
    <row r="879" hidden="1">
      <c r="A879" s="51"/>
      <c r="B879" s="43"/>
      <c r="C879" s="51"/>
      <c r="D879" s="43"/>
      <c r="E879" s="43"/>
      <c r="F879" s="43"/>
      <c r="G879" s="43"/>
      <c r="H879" s="43"/>
      <c r="I879" s="43"/>
      <c r="J879" s="443"/>
      <c r="K879" s="43"/>
      <c r="L879" s="89"/>
      <c r="M879" s="89"/>
      <c r="O879" s="71">
        <f t="shared" si="21"/>
        <v>0</v>
      </c>
      <c r="P879" s="89">
        <f t="shared" si="22"/>
        <v>0</v>
      </c>
      <c r="Q879" s="491" t="str">
        <f>IF(ISBLANK(M879), "", VLOOKUP(A879&amp;" "&amp;B879, 'Info Tipo de Cambio y REM'!$A$24:$B$47, 2, FALSE))</f>
        <v/>
      </c>
      <c r="R879" s="109" t="str">
        <f t="shared" si="1"/>
        <v/>
      </c>
      <c r="S879" s="71" t="str">
        <f t="shared" si="2"/>
        <v/>
      </c>
      <c r="T879" s="71">
        <f t="shared" si="3"/>
        <v>0</v>
      </c>
      <c r="U879" s="43"/>
      <c r="V879" s="486"/>
      <c r="W879" s="43"/>
      <c r="X879" s="43"/>
    </row>
    <row r="880" hidden="1">
      <c r="A880" s="51"/>
      <c r="B880" s="43"/>
      <c r="C880" s="51"/>
      <c r="D880" s="43"/>
      <c r="E880" s="43"/>
      <c r="F880" s="43"/>
      <c r="G880" s="43"/>
      <c r="H880" s="43"/>
      <c r="I880" s="43"/>
      <c r="J880" s="443"/>
      <c r="K880" s="43"/>
      <c r="L880" s="89"/>
      <c r="M880" s="89"/>
      <c r="O880" s="71">
        <f t="shared" si="21"/>
        <v>0</v>
      </c>
      <c r="P880" s="89">
        <f t="shared" si="22"/>
        <v>0</v>
      </c>
      <c r="Q880" s="491" t="str">
        <f>IF(ISBLANK(M880), "", VLOOKUP(A880&amp;" "&amp;B880, 'Info Tipo de Cambio y REM'!$A$24:$B$47, 2, FALSE))</f>
        <v/>
      </c>
      <c r="R880" s="109" t="str">
        <f t="shared" si="1"/>
        <v/>
      </c>
      <c r="S880" s="71" t="str">
        <f t="shared" si="2"/>
        <v/>
      </c>
      <c r="T880" s="71">
        <f t="shared" si="3"/>
        <v>0</v>
      </c>
      <c r="U880" s="43"/>
      <c r="V880" s="486"/>
      <c r="W880" s="43"/>
      <c r="X880" s="43"/>
    </row>
    <row r="881" hidden="1">
      <c r="A881" s="51"/>
      <c r="B881" s="43"/>
      <c r="C881" s="51"/>
      <c r="D881" s="43"/>
      <c r="E881" s="43"/>
      <c r="F881" s="43"/>
      <c r="G881" s="43"/>
      <c r="H881" s="43"/>
      <c r="I881" s="43"/>
      <c r="J881" s="443"/>
      <c r="K881" s="43"/>
      <c r="L881" s="89"/>
      <c r="M881" s="89"/>
      <c r="O881" s="71">
        <f t="shared" si="21"/>
        <v>0</v>
      </c>
      <c r="P881" s="89">
        <f t="shared" si="22"/>
        <v>0</v>
      </c>
      <c r="Q881" s="491" t="str">
        <f>IF(ISBLANK(M881), "", VLOOKUP(A881&amp;" "&amp;B881, 'Info Tipo de Cambio y REM'!$A$24:$B$47, 2, FALSE))</f>
        <v/>
      </c>
      <c r="R881" s="109" t="str">
        <f t="shared" si="1"/>
        <v/>
      </c>
      <c r="S881" s="71" t="str">
        <f t="shared" si="2"/>
        <v/>
      </c>
      <c r="T881" s="71">
        <f t="shared" si="3"/>
        <v>0</v>
      </c>
      <c r="U881" s="43"/>
      <c r="V881" s="486"/>
      <c r="W881" s="43"/>
      <c r="X881" s="43"/>
    </row>
    <row r="882" hidden="1">
      <c r="A882" s="51"/>
      <c r="B882" s="43"/>
      <c r="C882" s="51"/>
      <c r="D882" s="43"/>
      <c r="E882" s="43"/>
      <c r="F882" s="43"/>
      <c r="G882" s="43"/>
      <c r="H882" s="43"/>
      <c r="I882" s="43"/>
      <c r="J882" s="443"/>
      <c r="K882" s="43"/>
      <c r="L882" s="89"/>
      <c r="M882" s="89"/>
      <c r="O882" s="71">
        <f t="shared" si="21"/>
        <v>0</v>
      </c>
      <c r="P882" s="89">
        <f t="shared" si="22"/>
        <v>0</v>
      </c>
      <c r="Q882" s="491" t="str">
        <f>IF(ISBLANK(M882), "", VLOOKUP(A882&amp;" "&amp;B882, 'Info Tipo de Cambio y REM'!$A$24:$B$47, 2, FALSE))</f>
        <v/>
      </c>
      <c r="R882" s="109" t="str">
        <f t="shared" si="1"/>
        <v/>
      </c>
      <c r="S882" s="71" t="str">
        <f t="shared" si="2"/>
        <v/>
      </c>
      <c r="T882" s="71">
        <f t="shared" si="3"/>
        <v>0</v>
      </c>
      <c r="U882" s="43"/>
      <c r="V882" s="486"/>
      <c r="W882" s="43"/>
      <c r="X882" s="43"/>
    </row>
    <row r="883" hidden="1">
      <c r="A883" s="51"/>
      <c r="B883" s="43"/>
      <c r="C883" s="51"/>
      <c r="D883" s="43"/>
      <c r="E883" s="43"/>
      <c r="F883" s="43"/>
      <c r="G883" s="43"/>
      <c r="H883" s="43"/>
      <c r="I883" s="43"/>
      <c r="J883" s="443"/>
      <c r="K883" s="43"/>
      <c r="L883" s="89"/>
      <c r="M883" s="89"/>
      <c r="O883" s="71">
        <f t="shared" si="21"/>
        <v>0</v>
      </c>
      <c r="P883" s="89">
        <f t="shared" si="22"/>
        <v>0</v>
      </c>
      <c r="Q883" s="491" t="str">
        <f>IF(ISBLANK(M883), "", VLOOKUP(A883&amp;" "&amp;B883, 'Info Tipo de Cambio y REM'!$A$24:$B$47, 2, FALSE))</f>
        <v/>
      </c>
      <c r="R883" s="109" t="str">
        <f t="shared" si="1"/>
        <v/>
      </c>
      <c r="S883" s="71" t="str">
        <f t="shared" si="2"/>
        <v/>
      </c>
      <c r="T883" s="71">
        <f t="shared" si="3"/>
        <v>0</v>
      </c>
      <c r="U883" s="43"/>
      <c r="V883" s="486"/>
      <c r="W883" s="43"/>
      <c r="X883" s="43"/>
    </row>
    <row r="884" hidden="1">
      <c r="A884" s="51"/>
      <c r="B884" s="43"/>
      <c r="C884" s="51"/>
      <c r="D884" s="43"/>
      <c r="E884" s="43"/>
      <c r="F884" s="43"/>
      <c r="G884" s="43"/>
      <c r="H884" s="43"/>
      <c r="I884" s="43"/>
      <c r="J884" s="443"/>
      <c r="K884" s="43"/>
      <c r="L884" s="89"/>
      <c r="M884" s="89"/>
      <c r="O884" s="71">
        <f t="shared" si="21"/>
        <v>0</v>
      </c>
      <c r="P884" s="89">
        <f t="shared" si="22"/>
        <v>0</v>
      </c>
      <c r="Q884" s="491" t="str">
        <f>IF(ISBLANK(M884), "", VLOOKUP(A884&amp;" "&amp;B884, 'Info Tipo de Cambio y REM'!$A$24:$B$47, 2, FALSE))</f>
        <v/>
      </c>
      <c r="R884" s="109" t="str">
        <f t="shared" si="1"/>
        <v/>
      </c>
      <c r="S884" s="71" t="str">
        <f t="shared" si="2"/>
        <v/>
      </c>
      <c r="T884" s="71">
        <f t="shared" si="3"/>
        <v>0</v>
      </c>
      <c r="U884" s="43"/>
      <c r="V884" s="486"/>
      <c r="W884" s="43"/>
      <c r="X884" s="43"/>
    </row>
    <row r="885" hidden="1">
      <c r="A885" s="51"/>
      <c r="B885" s="43"/>
      <c r="C885" s="51"/>
      <c r="D885" s="43"/>
      <c r="E885" s="43"/>
      <c r="F885" s="43"/>
      <c r="G885" s="43"/>
      <c r="H885" s="43"/>
      <c r="I885" s="43"/>
      <c r="J885" s="443"/>
      <c r="K885" s="43"/>
      <c r="L885" s="89"/>
      <c r="M885" s="89"/>
      <c r="O885" s="71">
        <f t="shared" si="21"/>
        <v>0</v>
      </c>
      <c r="P885" s="89">
        <f t="shared" si="22"/>
        <v>0</v>
      </c>
      <c r="Q885" s="491" t="str">
        <f>IF(ISBLANK(M885), "", VLOOKUP(A885&amp;" "&amp;B885, 'Info Tipo de Cambio y REM'!$A$24:$B$47, 2, FALSE))</f>
        <v/>
      </c>
      <c r="R885" s="109" t="str">
        <f t="shared" si="1"/>
        <v/>
      </c>
      <c r="S885" s="71" t="str">
        <f t="shared" si="2"/>
        <v/>
      </c>
      <c r="T885" s="71">
        <f t="shared" si="3"/>
        <v>0</v>
      </c>
      <c r="U885" s="43"/>
      <c r="V885" s="486"/>
      <c r="W885" s="43"/>
      <c r="X885" s="43"/>
    </row>
    <row r="886" hidden="1">
      <c r="A886" s="51"/>
      <c r="B886" s="43"/>
      <c r="C886" s="51"/>
      <c r="D886" s="43"/>
      <c r="E886" s="43"/>
      <c r="F886" s="43"/>
      <c r="G886" s="43"/>
      <c r="H886" s="43"/>
      <c r="I886" s="43"/>
      <c r="J886" s="443"/>
      <c r="K886" s="43"/>
      <c r="L886" s="89"/>
      <c r="M886" s="89"/>
      <c r="O886" s="71">
        <f t="shared" si="21"/>
        <v>0</v>
      </c>
      <c r="P886" s="89">
        <f t="shared" si="22"/>
        <v>0</v>
      </c>
      <c r="Q886" s="491" t="str">
        <f>IF(ISBLANK(M886), "", VLOOKUP(A886&amp;" "&amp;B886, 'Info Tipo de Cambio y REM'!$A$24:$B$47, 2, FALSE))</f>
        <v/>
      </c>
      <c r="R886" s="109" t="str">
        <f t="shared" si="1"/>
        <v/>
      </c>
      <c r="S886" s="71" t="str">
        <f t="shared" si="2"/>
        <v/>
      </c>
      <c r="T886" s="71">
        <f t="shared" si="3"/>
        <v>0</v>
      </c>
      <c r="U886" s="43"/>
      <c r="V886" s="486"/>
      <c r="W886" s="43"/>
      <c r="X886" s="43"/>
    </row>
    <row r="887" hidden="1">
      <c r="A887" s="51"/>
      <c r="B887" s="43"/>
      <c r="C887" s="51"/>
      <c r="D887" s="43"/>
      <c r="E887" s="43"/>
      <c r="F887" s="43"/>
      <c r="G887" s="43"/>
      <c r="H887" s="43"/>
      <c r="I887" s="43"/>
      <c r="J887" s="443"/>
      <c r="K887" s="43"/>
      <c r="L887" s="89"/>
      <c r="M887" s="89"/>
      <c r="O887" s="71">
        <f t="shared" si="21"/>
        <v>0</v>
      </c>
      <c r="P887" s="89">
        <f t="shared" si="22"/>
        <v>0</v>
      </c>
      <c r="Q887" s="491" t="str">
        <f>IF(ISBLANK(M887), "", VLOOKUP(A887&amp;" "&amp;B887, 'Info Tipo de Cambio y REM'!$A$24:$B$47, 2, FALSE))</f>
        <v/>
      </c>
      <c r="R887" s="109" t="str">
        <f t="shared" si="1"/>
        <v/>
      </c>
      <c r="S887" s="71" t="str">
        <f t="shared" si="2"/>
        <v/>
      </c>
      <c r="T887" s="71">
        <f t="shared" si="3"/>
        <v>0</v>
      </c>
      <c r="U887" s="43"/>
      <c r="V887" s="486"/>
      <c r="W887" s="43"/>
      <c r="X887" s="43"/>
    </row>
    <row r="888" hidden="1">
      <c r="A888" s="51"/>
      <c r="B888" s="43"/>
      <c r="C888" s="51"/>
      <c r="D888" s="43"/>
      <c r="E888" s="43"/>
      <c r="F888" s="43"/>
      <c r="G888" s="43"/>
      <c r="H888" s="43"/>
      <c r="I888" s="43"/>
      <c r="J888" s="443"/>
      <c r="K888" s="43"/>
      <c r="L888" s="89"/>
      <c r="M888" s="89"/>
      <c r="O888" s="71">
        <f t="shared" si="21"/>
        <v>0</v>
      </c>
      <c r="P888" s="89">
        <f t="shared" si="22"/>
        <v>0</v>
      </c>
      <c r="Q888" s="491" t="str">
        <f>IF(ISBLANK(M888), "", VLOOKUP(A888&amp;" "&amp;B888, 'Info Tipo de Cambio y REM'!$A$24:$B$47, 2, FALSE))</f>
        <v/>
      </c>
      <c r="R888" s="109" t="str">
        <f t="shared" si="1"/>
        <v/>
      </c>
      <c r="S888" s="71" t="str">
        <f t="shared" si="2"/>
        <v/>
      </c>
      <c r="T888" s="71">
        <f t="shared" si="3"/>
        <v>0</v>
      </c>
      <c r="U888" s="43"/>
      <c r="V888" s="486"/>
      <c r="W888" s="43"/>
      <c r="X888" s="43"/>
    </row>
    <row r="889" hidden="1">
      <c r="A889" s="51"/>
      <c r="B889" s="43"/>
      <c r="C889" s="51"/>
      <c r="D889" s="43"/>
      <c r="E889" s="43"/>
      <c r="F889" s="43"/>
      <c r="G889" s="43"/>
      <c r="H889" s="43"/>
      <c r="I889" s="43"/>
      <c r="J889" s="443"/>
      <c r="K889" s="43"/>
      <c r="L889" s="89"/>
      <c r="M889" s="89"/>
      <c r="O889" s="71">
        <f t="shared" si="21"/>
        <v>0</v>
      </c>
      <c r="P889" s="89">
        <f t="shared" si="22"/>
        <v>0</v>
      </c>
      <c r="Q889" s="491" t="str">
        <f>IF(ISBLANK(M889), "", VLOOKUP(A889&amp;" "&amp;B889, 'Info Tipo de Cambio y REM'!$A$24:$B$47, 2, FALSE))</f>
        <v/>
      </c>
      <c r="R889" s="109" t="str">
        <f t="shared" si="1"/>
        <v/>
      </c>
      <c r="S889" s="71" t="str">
        <f t="shared" si="2"/>
        <v/>
      </c>
      <c r="T889" s="71">
        <f t="shared" si="3"/>
        <v>0</v>
      </c>
      <c r="U889" s="43"/>
      <c r="V889" s="486"/>
      <c r="W889" s="43"/>
      <c r="X889" s="43"/>
    </row>
    <row r="890" hidden="1">
      <c r="A890" s="51"/>
      <c r="B890" s="43"/>
      <c r="C890" s="51"/>
      <c r="D890" s="43"/>
      <c r="E890" s="43"/>
      <c r="F890" s="43"/>
      <c r="G890" s="43"/>
      <c r="H890" s="43"/>
      <c r="I890" s="43"/>
      <c r="J890" s="443"/>
      <c r="K890" s="43"/>
      <c r="L890" s="89"/>
      <c r="M890" s="89"/>
      <c r="O890" s="71">
        <f t="shared" si="21"/>
        <v>0</v>
      </c>
      <c r="P890" s="89">
        <f t="shared" si="22"/>
        <v>0</v>
      </c>
      <c r="Q890" s="491" t="str">
        <f>IF(ISBLANK(M890), "", VLOOKUP(A890&amp;" "&amp;B890, 'Info Tipo de Cambio y REM'!$A$24:$B$47, 2, FALSE))</f>
        <v/>
      </c>
      <c r="R890" s="109" t="str">
        <f t="shared" si="1"/>
        <v/>
      </c>
      <c r="S890" s="71" t="str">
        <f t="shared" si="2"/>
        <v/>
      </c>
      <c r="T890" s="71">
        <f t="shared" si="3"/>
        <v>0</v>
      </c>
      <c r="U890" s="43"/>
      <c r="V890" s="486"/>
      <c r="W890" s="43"/>
      <c r="X890" s="43"/>
    </row>
    <row r="891" hidden="1">
      <c r="A891" s="51"/>
      <c r="B891" s="43"/>
      <c r="C891" s="51"/>
      <c r="D891" s="43"/>
      <c r="E891" s="43"/>
      <c r="F891" s="43"/>
      <c r="G891" s="43"/>
      <c r="H891" s="43"/>
      <c r="I891" s="43"/>
      <c r="J891" s="443"/>
      <c r="K891" s="43"/>
      <c r="L891" s="89"/>
      <c r="M891" s="89"/>
      <c r="O891" s="71">
        <f t="shared" si="21"/>
        <v>0</v>
      </c>
      <c r="P891" s="89">
        <f t="shared" si="22"/>
        <v>0</v>
      </c>
      <c r="Q891" s="491" t="str">
        <f>IF(ISBLANK(M891), "", VLOOKUP(A891&amp;" "&amp;B891, 'Info Tipo de Cambio y REM'!$A$24:$B$47, 2, FALSE))</f>
        <v/>
      </c>
      <c r="R891" s="109" t="str">
        <f t="shared" si="1"/>
        <v/>
      </c>
      <c r="S891" s="71" t="str">
        <f t="shared" si="2"/>
        <v/>
      </c>
      <c r="T891" s="71">
        <f t="shared" si="3"/>
        <v>0</v>
      </c>
      <c r="U891" s="43"/>
      <c r="V891" s="486"/>
      <c r="W891" s="43"/>
      <c r="X891" s="43"/>
    </row>
    <row r="892" hidden="1">
      <c r="A892" s="51"/>
      <c r="B892" s="43"/>
      <c r="C892" s="51"/>
      <c r="D892" s="43"/>
      <c r="E892" s="43"/>
      <c r="F892" s="43"/>
      <c r="G892" s="43"/>
      <c r="H892" s="43"/>
      <c r="I892" s="43"/>
      <c r="J892" s="443"/>
      <c r="K892" s="43"/>
      <c r="L892" s="89"/>
      <c r="M892" s="89"/>
      <c r="O892" s="71">
        <f t="shared" si="21"/>
        <v>0</v>
      </c>
      <c r="P892" s="89">
        <f t="shared" si="22"/>
        <v>0</v>
      </c>
      <c r="Q892" s="491" t="str">
        <f>IF(ISBLANK(M892), "", VLOOKUP(A892&amp;" "&amp;B892, 'Info Tipo de Cambio y REM'!$A$24:$B$47, 2, FALSE))</f>
        <v/>
      </c>
      <c r="R892" s="109" t="str">
        <f t="shared" si="1"/>
        <v/>
      </c>
      <c r="S892" s="71" t="str">
        <f t="shared" si="2"/>
        <v/>
      </c>
      <c r="T892" s="71">
        <f t="shared" si="3"/>
        <v>0</v>
      </c>
      <c r="U892" s="43"/>
      <c r="V892" s="486"/>
      <c r="W892" s="43"/>
      <c r="X892" s="43"/>
    </row>
    <row r="893" hidden="1">
      <c r="A893" s="51"/>
      <c r="B893" s="43"/>
      <c r="C893" s="51"/>
      <c r="D893" s="43"/>
      <c r="E893" s="43"/>
      <c r="F893" s="43"/>
      <c r="G893" s="43"/>
      <c r="H893" s="43"/>
      <c r="I893" s="43"/>
      <c r="J893" s="443"/>
      <c r="K893" s="43"/>
      <c r="L893" s="89"/>
      <c r="M893" s="89"/>
      <c r="O893" s="71">
        <f t="shared" si="21"/>
        <v>0</v>
      </c>
      <c r="P893" s="89">
        <f t="shared" si="22"/>
        <v>0</v>
      </c>
      <c r="Q893" s="491" t="str">
        <f>IF(ISBLANK(M893), "", VLOOKUP(A893&amp;" "&amp;B893, 'Info Tipo de Cambio y REM'!$A$24:$B$47, 2, FALSE))</f>
        <v/>
      </c>
      <c r="R893" s="109" t="str">
        <f t="shared" si="1"/>
        <v/>
      </c>
      <c r="S893" s="71" t="str">
        <f t="shared" si="2"/>
        <v/>
      </c>
      <c r="T893" s="71">
        <f t="shared" si="3"/>
        <v>0</v>
      </c>
      <c r="U893" s="43"/>
      <c r="V893" s="486"/>
      <c r="W893" s="43"/>
      <c r="X893" s="43"/>
    </row>
    <row r="894" hidden="1">
      <c r="A894" s="51"/>
      <c r="B894" s="43"/>
      <c r="C894" s="51"/>
      <c r="D894" s="43"/>
      <c r="E894" s="43"/>
      <c r="F894" s="43"/>
      <c r="G894" s="43"/>
      <c r="H894" s="43"/>
      <c r="I894" s="43"/>
      <c r="J894" s="443"/>
      <c r="K894" s="43"/>
      <c r="L894" s="89"/>
      <c r="M894" s="89"/>
      <c r="O894" s="71">
        <f t="shared" si="21"/>
        <v>0</v>
      </c>
      <c r="P894" s="89">
        <f t="shared" si="22"/>
        <v>0</v>
      </c>
      <c r="Q894" s="491" t="str">
        <f>IF(ISBLANK(M894), "", VLOOKUP(A894&amp;" "&amp;B894, 'Info Tipo de Cambio y REM'!$A$24:$B$47, 2, FALSE))</f>
        <v/>
      </c>
      <c r="R894" s="109" t="str">
        <f t="shared" si="1"/>
        <v/>
      </c>
      <c r="S894" s="71" t="str">
        <f t="shared" si="2"/>
        <v/>
      </c>
      <c r="T894" s="71">
        <f t="shared" si="3"/>
        <v>0</v>
      </c>
      <c r="U894" s="43"/>
      <c r="V894" s="486"/>
      <c r="W894" s="43"/>
      <c r="X894" s="43"/>
    </row>
    <row r="895" hidden="1">
      <c r="A895" s="51"/>
      <c r="B895" s="43"/>
      <c r="C895" s="51"/>
      <c r="D895" s="43"/>
      <c r="E895" s="43"/>
      <c r="F895" s="43"/>
      <c r="G895" s="43"/>
      <c r="H895" s="43"/>
      <c r="I895" s="43"/>
      <c r="J895" s="443"/>
      <c r="K895" s="43"/>
      <c r="L895" s="89"/>
      <c r="M895" s="89"/>
      <c r="O895" s="71">
        <f t="shared" si="21"/>
        <v>0</v>
      </c>
      <c r="P895" s="89">
        <f t="shared" si="22"/>
        <v>0</v>
      </c>
      <c r="Q895" s="491" t="str">
        <f>IF(ISBLANK(M895), "", VLOOKUP(A895&amp;" "&amp;B895, 'Info Tipo de Cambio y REM'!$A$24:$B$47, 2, FALSE))</f>
        <v/>
      </c>
      <c r="R895" s="109" t="str">
        <f t="shared" si="1"/>
        <v/>
      </c>
      <c r="S895" s="71" t="str">
        <f t="shared" si="2"/>
        <v/>
      </c>
      <c r="T895" s="71">
        <f t="shared" si="3"/>
        <v>0</v>
      </c>
      <c r="U895" s="43"/>
      <c r="V895" s="486"/>
      <c r="W895" s="43"/>
      <c r="X895" s="43"/>
    </row>
    <row r="896" hidden="1">
      <c r="A896" s="51"/>
      <c r="B896" s="43"/>
      <c r="C896" s="51"/>
      <c r="D896" s="43"/>
      <c r="E896" s="43"/>
      <c r="F896" s="43"/>
      <c r="G896" s="43"/>
      <c r="H896" s="43"/>
      <c r="I896" s="43"/>
      <c r="J896" s="443"/>
      <c r="K896" s="43"/>
      <c r="L896" s="89"/>
      <c r="M896" s="89"/>
      <c r="O896" s="71">
        <f t="shared" si="21"/>
        <v>0</v>
      </c>
      <c r="P896" s="89">
        <f t="shared" si="22"/>
        <v>0</v>
      </c>
      <c r="Q896" s="491" t="str">
        <f>IF(ISBLANK(M896), "", VLOOKUP(A896&amp;" "&amp;B896, 'Info Tipo de Cambio y REM'!$A$24:$B$47, 2, FALSE))</f>
        <v/>
      </c>
      <c r="R896" s="109" t="str">
        <f t="shared" si="1"/>
        <v/>
      </c>
      <c r="S896" s="71" t="str">
        <f t="shared" si="2"/>
        <v/>
      </c>
      <c r="T896" s="71">
        <f t="shared" si="3"/>
        <v>0</v>
      </c>
      <c r="U896" s="43"/>
      <c r="V896" s="486"/>
      <c r="W896" s="43"/>
      <c r="X896" s="43"/>
    </row>
    <row r="897" hidden="1">
      <c r="A897" s="51"/>
      <c r="B897" s="43"/>
      <c r="C897" s="51"/>
      <c r="D897" s="43"/>
      <c r="E897" s="43"/>
      <c r="F897" s="43"/>
      <c r="G897" s="43"/>
      <c r="H897" s="43"/>
      <c r="I897" s="43"/>
      <c r="J897" s="443"/>
      <c r="K897" s="43"/>
      <c r="L897" s="89"/>
      <c r="M897" s="89"/>
      <c r="O897" s="71">
        <f t="shared" si="21"/>
        <v>0</v>
      </c>
      <c r="P897" s="89">
        <f t="shared" si="22"/>
        <v>0</v>
      </c>
      <c r="Q897" s="491" t="str">
        <f>IF(ISBLANK(M897), "", VLOOKUP(A897&amp;" "&amp;B897, 'Info Tipo de Cambio y REM'!$A$24:$B$47, 2, FALSE))</f>
        <v/>
      </c>
      <c r="R897" s="109" t="str">
        <f t="shared" si="1"/>
        <v/>
      </c>
      <c r="S897" s="71" t="str">
        <f t="shared" si="2"/>
        <v/>
      </c>
      <c r="T897" s="71">
        <f t="shared" si="3"/>
        <v>0</v>
      </c>
      <c r="U897" s="43"/>
      <c r="V897" s="486"/>
      <c r="W897" s="43"/>
      <c r="X897" s="43"/>
    </row>
    <row r="898" hidden="1">
      <c r="A898" s="51"/>
      <c r="B898" s="43"/>
      <c r="C898" s="51"/>
      <c r="D898" s="43"/>
      <c r="E898" s="43"/>
      <c r="F898" s="43"/>
      <c r="G898" s="43"/>
      <c r="H898" s="43"/>
      <c r="I898" s="43"/>
      <c r="J898" s="443"/>
      <c r="K898" s="43"/>
      <c r="L898" s="89"/>
      <c r="M898" s="89"/>
      <c r="O898" s="71">
        <f t="shared" si="21"/>
        <v>0</v>
      </c>
      <c r="P898" s="89">
        <f t="shared" si="22"/>
        <v>0</v>
      </c>
      <c r="Q898" s="491" t="str">
        <f>IF(ISBLANK(M898), "", VLOOKUP(A898&amp;" "&amp;B898, 'Info Tipo de Cambio y REM'!$A$24:$B$47, 2, FALSE))</f>
        <v/>
      </c>
      <c r="R898" s="109" t="str">
        <f t="shared" si="1"/>
        <v/>
      </c>
      <c r="S898" s="71" t="str">
        <f t="shared" si="2"/>
        <v/>
      </c>
      <c r="T898" s="71">
        <f t="shared" si="3"/>
        <v>0</v>
      </c>
      <c r="U898" s="43"/>
      <c r="V898" s="486"/>
      <c r="W898" s="43"/>
      <c r="X898" s="43"/>
    </row>
    <row r="899" hidden="1">
      <c r="A899" s="51"/>
      <c r="B899" s="43"/>
      <c r="C899" s="51"/>
      <c r="D899" s="43"/>
      <c r="E899" s="43"/>
      <c r="F899" s="43"/>
      <c r="G899" s="43"/>
      <c r="H899" s="43"/>
      <c r="I899" s="43"/>
      <c r="J899" s="443"/>
      <c r="K899" s="43"/>
      <c r="L899" s="89"/>
      <c r="M899" s="89"/>
      <c r="O899" s="71">
        <f t="shared" si="21"/>
        <v>0</v>
      </c>
      <c r="P899" s="89">
        <f t="shared" si="22"/>
        <v>0</v>
      </c>
      <c r="Q899" s="491" t="str">
        <f>IF(ISBLANK(M899), "", VLOOKUP(A899&amp;" "&amp;B899, 'Info Tipo de Cambio y REM'!$A$24:$B$47, 2, FALSE))</f>
        <v/>
      </c>
      <c r="R899" s="109" t="str">
        <f t="shared" si="1"/>
        <v/>
      </c>
      <c r="S899" s="71" t="str">
        <f t="shared" si="2"/>
        <v/>
      </c>
      <c r="T899" s="71">
        <f t="shared" si="3"/>
        <v>0</v>
      </c>
      <c r="U899" s="43"/>
      <c r="V899" s="486"/>
      <c r="W899" s="43"/>
      <c r="X899" s="43"/>
    </row>
    <row r="900" hidden="1">
      <c r="A900" s="51"/>
      <c r="B900" s="43"/>
      <c r="C900" s="51"/>
      <c r="D900" s="43"/>
      <c r="E900" s="43"/>
      <c r="F900" s="43"/>
      <c r="G900" s="43"/>
      <c r="H900" s="43"/>
      <c r="I900" s="43"/>
      <c r="J900" s="443"/>
      <c r="K900" s="43"/>
      <c r="L900" s="89"/>
      <c r="M900" s="89"/>
      <c r="O900" s="71">
        <f t="shared" si="21"/>
        <v>0</v>
      </c>
      <c r="P900" s="89">
        <f t="shared" si="22"/>
        <v>0</v>
      </c>
      <c r="Q900" s="491" t="str">
        <f>IF(ISBLANK(M900), "", VLOOKUP(A900&amp;" "&amp;B900, 'Info Tipo de Cambio y REM'!$A$24:$B$47, 2, FALSE))</f>
        <v/>
      </c>
      <c r="R900" s="109" t="str">
        <f t="shared" si="1"/>
        <v/>
      </c>
      <c r="S900" s="71" t="str">
        <f t="shared" si="2"/>
        <v/>
      </c>
      <c r="T900" s="71">
        <f t="shared" si="3"/>
        <v>0</v>
      </c>
      <c r="U900" s="43"/>
      <c r="V900" s="486"/>
      <c r="W900" s="43"/>
      <c r="X900" s="43"/>
    </row>
    <row r="901" hidden="1">
      <c r="A901" s="51"/>
      <c r="B901" s="43"/>
      <c r="C901" s="51"/>
      <c r="D901" s="43"/>
      <c r="E901" s="43"/>
      <c r="F901" s="43"/>
      <c r="G901" s="43"/>
      <c r="H901" s="43"/>
      <c r="I901" s="43"/>
      <c r="J901" s="443"/>
      <c r="K901" s="43"/>
      <c r="L901" s="89"/>
      <c r="M901" s="89"/>
      <c r="O901" s="71">
        <f t="shared" si="21"/>
        <v>0</v>
      </c>
      <c r="P901" s="89">
        <f t="shared" si="22"/>
        <v>0</v>
      </c>
      <c r="Q901" s="491" t="str">
        <f>IF(ISBLANK(M901), "", VLOOKUP(A901&amp;" "&amp;B901, 'Info Tipo de Cambio y REM'!$A$24:$B$47, 2, FALSE))</f>
        <v/>
      </c>
      <c r="R901" s="109" t="str">
        <f t="shared" si="1"/>
        <v/>
      </c>
      <c r="S901" s="71" t="str">
        <f t="shared" si="2"/>
        <v/>
      </c>
      <c r="T901" s="71">
        <f t="shared" si="3"/>
        <v>0</v>
      </c>
      <c r="U901" s="43"/>
      <c r="V901" s="486"/>
      <c r="W901" s="43"/>
      <c r="X901" s="43"/>
    </row>
    <row r="902" hidden="1">
      <c r="A902" s="51"/>
      <c r="B902" s="43"/>
      <c r="C902" s="51"/>
      <c r="D902" s="43"/>
      <c r="E902" s="43"/>
      <c r="F902" s="43"/>
      <c r="G902" s="43"/>
      <c r="H902" s="43"/>
      <c r="I902" s="43"/>
      <c r="J902" s="443"/>
      <c r="K902" s="43"/>
      <c r="L902" s="89"/>
      <c r="M902" s="89"/>
      <c r="O902" s="71">
        <f t="shared" si="21"/>
        <v>0</v>
      </c>
      <c r="P902" s="89">
        <f t="shared" si="22"/>
        <v>0</v>
      </c>
      <c r="Q902" s="491" t="str">
        <f>IF(ISBLANK(M902), "", VLOOKUP(A902&amp;" "&amp;B902, 'Info Tipo de Cambio y REM'!$A$24:$B$47, 2, FALSE))</f>
        <v/>
      </c>
      <c r="R902" s="109" t="str">
        <f t="shared" si="1"/>
        <v/>
      </c>
      <c r="S902" s="71" t="str">
        <f t="shared" si="2"/>
        <v/>
      </c>
      <c r="T902" s="71">
        <f t="shared" si="3"/>
        <v>0</v>
      </c>
      <c r="U902" s="43"/>
      <c r="V902" s="486"/>
      <c r="W902" s="43"/>
      <c r="X902" s="43"/>
    </row>
    <row r="903" hidden="1">
      <c r="A903" s="51"/>
      <c r="B903" s="43"/>
      <c r="C903" s="51"/>
      <c r="D903" s="43"/>
      <c r="E903" s="43"/>
      <c r="F903" s="43"/>
      <c r="G903" s="43"/>
      <c r="H903" s="43"/>
      <c r="I903" s="43"/>
      <c r="J903" s="443"/>
      <c r="K903" s="43"/>
      <c r="L903" s="89"/>
      <c r="M903" s="89"/>
      <c r="O903" s="71">
        <f t="shared" si="21"/>
        <v>0</v>
      </c>
      <c r="P903" s="89">
        <f t="shared" si="22"/>
        <v>0</v>
      </c>
      <c r="Q903" s="491" t="str">
        <f>IF(ISBLANK(M903), "", VLOOKUP(A903&amp;" "&amp;B903, 'Info Tipo de Cambio y REM'!$A$24:$B$47, 2, FALSE))</f>
        <v/>
      </c>
      <c r="R903" s="109" t="str">
        <f t="shared" si="1"/>
        <v/>
      </c>
      <c r="S903" s="71" t="str">
        <f t="shared" si="2"/>
        <v/>
      </c>
      <c r="T903" s="71">
        <f t="shared" si="3"/>
        <v>0</v>
      </c>
      <c r="U903" s="43"/>
      <c r="V903" s="486"/>
      <c r="W903" s="43"/>
      <c r="X903" s="43"/>
    </row>
    <row r="904" hidden="1">
      <c r="A904" s="51"/>
      <c r="B904" s="43"/>
      <c r="C904" s="51"/>
      <c r="D904" s="43"/>
      <c r="E904" s="43"/>
      <c r="F904" s="43"/>
      <c r="G904" s="43"/>
      <c r="H904" s="43"/>
      <c r="I904" s="43"/>
      <c r="J904" s="443"/>
      <c r="K904" s="43"/>
      <c r="L904" s="89"/>
      <c r="M904" s="89"/>
      <c r="O904" s="71">
        <f t="shared" si="21"/>
        <v>0</v>
      </c>
      <c r="P904" s="89">
        <f t="shared" si="22"/>
        <v>0</v>
      </c>
      <c r="Q904" s="491" t="str">
        <f>IF(ISBLANK(M904), "", VLOOKUP(A904&amp;" "&amp;B904, 'Info Tipo de Cambio y REM'!$A$24:$B$47, 2, FALSE))</f>
        <v/>
      </c>
      <c r="R904" s="109" t="str">
        <f t="shared" si="1"/>
        <v/>
      </c>
      <c r="S904" s="71" t="str">
        <f t="shared" si="2"/>
        <v/>
      </c>
      <c r="T904" s="71">
        <f t="shared" si="3"/>
        <v>0</v>
      </c>
      <c r="U904" s="43"/>
      <c r="V904" s="486"/>
      <c r="W904" s="43"/>
      <c r="X904" s="43"/>
    </row>
    <row r="905" hidden="1">
      <c r="A905" s="51"/>
      <c r="B905" s="43"/>
      <c r="C905" s="51"/>
      <c r="D905" s="43"/>
      <c r="E905" s="43"/>
      <c r="F905" s="43"/>
      <c r="G905" s="43"/>
      <c r="H905" s="43"/>
      <c r="I905" s="43"/>
      <c r="J905" s="443"/>
      <c r="K905" s="43"/>
      <c r="L905" s="89"/>
      <c r="M905" s="89"/>
      <c r="O905" s="71">
        <f t="shared" si="21"/>
        <v>0</v>
      </c>
      <c r="P905" s="89">
        <f t="shared" si="22"/>
        <v>0</v>
      </c>
      <c r="Q905" s="491" t="str">
        <f>IF(ISBLANK(M905), "", VLOOKUP(A905&amp;" "&amp;B905, 'Info Tipo de Cambio y REM'!$A$24:$B$47, 2, FALSE))</f>
        <v/>
      </c>
      <c r="R905" s="109" t="str">
        <f t="shared" si="1"/>
        <v/>
      </c>
      <c r="S905" s="71" t="str">
        <f t="shared" si="2"/>
        <v/>
      </c>
      <c r="T905" s="71">
        <f t="shared" si="3"/>
        <v>0</v>
      </c>
      <c r="U905" s="43"/>
      <c r="V905" s="486"/>
      <c r="W905" s="43"/>
      <c r="X905" s="43"/>
    </row>
    <row r="906" hidden="1">
      <c r="A906" s="51"/>
      <c r="B906" s="43"/>
      <c r="C906" s="51"/>
      <c r="D906" s="43"/>
      <c r="E906" s="43"/>
      <c r="F906" s="43"/>
      <c r="G906" s="43"/>
      <c r="H906" s="43"/>
      <c r="I906" s="43"/>
      <c r="J906" s="443"/>
      <c r="K906" s="43"/>
      <c r="L906" s="89"/>
      <c r="M906" s="89"/>
      <c r="O906" s="71">
        <f t="shared" si="21"/>
        <v>0</v>
      </c>
      <c r="P906" s="89">
        <f t="shared" si="22"/>
        <v>0</v>
      </c>
      <c r="Q906" s="491" t="str">
        <f>IF(ISBLANK(M906), "", VLOOKUP(A906&amp;" "&amp;B906, 'Info Tipo de Cambio y REM'!$A$24:$B$47, 2, FALSE))</f>
        <v/>
      </c>
      <c r="R906" s="109" t="str">
        <f t="shared" si="1"/>
        <v/>
      </c>
      <c r="S906" s="71" t="str">
        <f t="shared" si="2"/>
        <v/>
      </c>
      <c r="T906" s="71">
        <f t="shared" si="3"/>
        <v>0</v>
      </c>
      <c r="U906" s="43"/>
      <c r="V906" s="486"/>
      <c r="W906" s="43"/>
      <c r="X906" s="43"/>
    </row>
    <row r="907" hidden="1">
      <c r="A907" s="51"/>
      <c r="B907" s="43"/>
      <c r="C907" s="51"/>
      <c r="D907" s="43"/>
      <c r="E907" s="43"/>
      <c r="F907" s="43"/>
      <c r="G907" s="43"/>
      <c r="H907" s="43"/>
      <c r="I907" s="43"/>
      <c r="J907" s="443"/>
      <c r="K907" s="43"/>
      <c r="L907" s="89"/>
      <c r="M907" s="89"/>
      <c r="O907" s="71">
        <f t="shared" si="21"/>
        <v>0</v>
      </c>
      <c r="P907" s="89">
        <f t="shared" si="22"/>
        <v>0</v>
      </c>
      <c r="Q907" s="491" t="str">
        <f>IF(ISBLANK(M907), "", VLOOKUP(A907&amp;" "&amp;B907, 'Info Tipo de Cambio y REM'!$A$24:$B$47, 2, FALSE))</f>
        <v/>
      </c>
      <c r="R907" s="109" t="str">
        <f t="shared" si="1"/>
        <v/>
      </c>
      <c r="S907" s="71" t="str">
        <f t="shared" si="2"/>
        <v/>
      </c>
      <c r="T907" s="71">
        <f t="shared" si="3"/>
        <v>0</v>
      </c>
      <c r="U907" s="43"/>
      <c r="V907" s="486"/>
      <c r="W907" s="43"/>
      <c r="X907" s="43"/>
    </row>
    <row r="908" hidden="1">
      <c r="A908" s="51"/>
      <c r="B908" s="43"/>
      <c r="C908" s="51"/>
      <c r="D908" s="43"/>
      <c r="E908" s="43"/>
      <c r="F908" s="43"/>
      <c r="G908" s="43"/>
      <c r="H908" s="43"/>
      <c r="I908" s="43"/>
      <c r="J908" s="443"/>
      <c r="K908" s="43"/>
      <c r="L908" s="89"/>
      <c r="M908" s="89"/>
      <c r="O908" s="71">
        <f t="shared" si="21"/>
        <v>0</v>
      </c>
      <c r="P908" s="89">
        <f t="shared" si="22"/>
        <v>0</v>
      </c>
      <c r="Q908" s="491" t="str">
        <f>IF(ISBLANK(M908), "", VLOOKUP(A908&amp;" "&amp;B908, 'Info Tipo de Cambio y REM'!$A$24:$B$47, 2, FALSE))</f>
        <v/>
      </c>
      <c r="R908" s="109" t="str">
        <f t="shared" si="1"/>
        <v/>
      </c>
      <c r="S908" s="71" t="str">
        <f t="shared" si="2"/>
        <v/>
      </c>
      <c r="T908" s="71">
        <f t="shared" si="3"/>
        <v>0</v>
      </c>
      <c r="U908" s="43"/>
      <c r="V908" s="486"/>
      <c r="W908" s="43"/>
      <c r="X908" s="43"/>
    </row>
    <row r="909" hidden="1">
      <c r="A909" s="51"/>
      <c r="B909" s="43"/>
      <c r="C909" s="51"/>
      <c r="D909" s="43"/>
      <c r="E909" s="43"/>
      <c r="F909" s="43"/>
      <c r="G909" s="43"/>
      <c r="H909" s="43"/>
      <c r="I909" s="43"/>
      <c r="J909" s="443"/>
      <c r="K909" s="43"/>
      <c r="L909" s="89"/>
      <c r="M909" s="89"/>
      <c r="O909" s="71">
        <f t="shared" si="21"/>
        <v>0</v>
      </c>
      <c r="P909" s="89">
        <f t="shared" si="22"/>
        <v>0</v>
      </c>
      <c r="Q909" s="491" t="str">
        <f>IF(ISBLANK(M909), "", VLOOKUP(A909&amp;" "&amp;B909, 'Info Tipo de Cambio y REM'!$A$24:$B$47, 2, FALSE))</f>
        <v/>
      </c>
      <c r="R909" s="109" t="str">
        <f t="shared" si="1"/>
        <v/>
      </c>
      <c r="S909" s="71" t="str">
        <f t="shared" si="2"/>
        <v/>
      </c>
      <c r="T909" s="71">
        <f t="shared" si="3"/>
        <v>0</v>
      </c>
      <c r="U909" s="43"/>
      <c r="V909" s="486"/>
      <c r="W909" s="43"/>
      <c r="X909" s="43"/>
    </row>
    <row r="910" hidden="1">
      <c r="A910" s="51"/>
      <c r="B910" s="43"/>
      <c r="C910" s="51"/>
      <c r="D910" s="43"/>
      <c r="E910" s="43"/>
      <c r="F910" s="43"/>
      <c r="G910" s="43"/>
      <c r="H910" s="43"/>
      <c r="I910" s="43"/>
      <c r="J910" s="443"/>
      <c r="K910" s="43"/>
      <c r="L910" s="89"/>
      <c r="M910" s="89"/>
      <c r="O910" s="71">
        <f t="shared" si="21"/>
        <v>0</v>
      </c>
      <c r="P910" s="89">
        <f t="shared" si="22"/>
        <v>0</v>
      </c>
      <c r="Q910" s="491" t="str">
        <f>IF(ISBLANK(M910), "", VLOOKUP(A910&amp;" "&amp;B910, 'Info Tipo de Cambio y REM'!$A$24:$B$47, 2, FALSE))</f>
        <v/>
      </c>
      <c r="R910" s="109" t="str">
        <f t="shared" si="1"/>
        <v/>
      </c>
      <c r="S910" s="71" t="str">
        <f t="shared" si="2"/>
        <v/>
      </c>
      <c r="T910" s="71">
        <f t="shared" si="3"/>
        <v>0</v>
      </c>
      <c r="U910" s="43"/>
      <c r="V910" s="486"/>
      <c r="W910" s="43"/>
      <c r="X910" s="43"/>
    </row>
    <row r="911" hidden="1">
      <c r="A911" s="51"/>
      <c r="B911" s="43"/>
      <c r="C911" s="51"/>
      <c r="D911" s="43"/>
      <c r="E911" s="43"/>
      <c r="F911" s="43"/>
      <c r="G911" s="43"/>
      <c r="H911" s="43"/>
      <c r="I911" s="43"/>
      <c r="J911" s="443"/>
      <c r="K911" s="43"/>
      <c r="L911" s="89"/>
      <c r="M911" s="89"/>
      <c r="O911" s="71">
        <f t="shared" si="21"/>
        <v>0</v>
      </c>
      <c r="P911" s="89">
        <f t="shared" si="22"/>
        <v>0</v>
      </c>
      <c r="Q911" s="491" t="str">
        <f>IF(ISBLANK(M911), "", VLOOKUP(A911&amp;" "&amp;B911, 'Info Tipo de Cambio y REM'!$A$24:$B$47, 2, FALSE))</f>
        <v/>
      </c>
      <c r="R911" s="109" t="str">
        <f t="shared" si="1"/>
        <v/>
      </c>
      <c r="S911" s="71" t="str">
        <f t="shared" si="2"/>
        <v/>
      </c>
      <c r="T911" s="71">
        <f t="shared" si="3"/>
        <v>0</v>
      </c>
      <c r="U911" s="43"/>
      <c r="V911" s="486"/>
      <c r="W911" s="43"/>
      <c r="X911" s="43"/>
    </row>
    <row r="912" hidden="1">
      <c r="A912" s="51"/>
      <c r="B912" s="43"/>
      <c r="C912" s="51"/>
      <c r="D912" s="43"/>
      <c r="E912" s="43"/>
      <c r="F912" s="43"/>
      <c r="G912" s="43"/>
      <c r="H912" s="43"/>
      <c r="I912" s="43"/>
      <c r="J912" s="443"/>
      <c r="K912" s="43"/>
      <c r="L912" s="89"/>
      <c r="M912" s="89"/>
      <c r="O912" s="71">
        <f t="shared" si="21"/>
        <v>0</v>
      </c>
      <c r="P912" s="89">
        <f t="shared" si="22"/>
        <v>0</v>
      </c>
      <c r="Q912" s="491" t="str">
        <f>IF(ISBLANK(M912), "", VLOOKUP(A912&amp;" "&amp;B912, 'Info Tipo de Cambio y REM'!$A$24:$B$47, 2, FALSE))</f>
        <v/>
      </c>
      <c r="R912" s="109" t="str">
        <f t="shared" si="1"/>
        <v/>
      </c>
      <c r="S912" s="71" t="str">
        <f t="shared" si="2"/>
        <v/>
      </c>
      <c r="T912" s="71">
        <f t="shared" si="3"/>
        <v>0</v>
      </c>
      <c r="U912" s="43"/>
      <c r="V912" s="486"/>
      <c r="W912" s="43"/>
      <c r="X912" s="43"/>
    </row>
    <row r="913" hidden="1">
      <c r="A913" s="51"/>
      <c r="B913" s="43"/>
      <c r="C913" s="51"/>
      <c r="D913" s="43"/>
      <c r="E913" s="43"/>
      <c r="F913" s="43"/>
      <c r="G913" s="43"/>
      <c r="H913" s="43"/>
      <c r="I913" s="43"/>
      <c r="J913" s="443"/>
      <c r="K913" s="43"/>
      <c r="L913" s="89"/>
      <c r="M913" s="89"/>
      <c r="O913" s="71">
        <f t="shared" si="21"/>
        <v>0</v>
      </c>
      <c r="P913" s="89">
        <f t="shared" si="22"/>
        <v>0</v>
      </c>
      <c r="Q913" s="491" t="str">
        <f>IF(ISBLANK(M913), "", VLOOKUP(A913&amp;" "&amp;B913, 'Info Tipo de Cambio y REM'!$A$24:$B$47, 2, FALSE))</f>
        <v/>
      </c>
      <c r="R913" s="109" t="str">
        <f t="shared" si="1"/>
        <v/>
      </c>
      <c r="S913" s="71" t="str">
        <f t="shared" si="2"/>
        <v/>
      </c>
      <c r="T913" s="71">
        <f t="shared" si="3"/>
        <v>0</v>
      </c>
      <c r="U913" s="43"/>
      <c r="V913" s="486"/>
      <c r="W913" s="43"/>
      <c r="X913" s="43"/>
    </row>
    <row r="914" hidden="1">
      <c r="A914" s="51"/>
      <c r="B914" s="43"/>
      <c r="C914" s="51"/>
      <c r="D914" s="43"/>
      <c r="E914" s="43"/>
      <c r="F914" s="43"/>
      <c r="G914" s="43"/>
      <c r="H914" s="43"/>
      <c r="I914" s="43"/>
      <c r="J914" s="443"/>
      <c r="K914" s="43"/>
      <c r="L914" s="89"/>
      <c r="M914" s="89"/>
      <c r="O914" s="71">
        <f t="shared" si="21"/>
        <v>0</v>
      </c>
      <c r="P914" s="89">
        <f t="shared" si="22"/>
        <v>0</v>
      </c>
      <c r="Q914" s="491" t="str">
        <f>IF(ISBLANK(M914), "", VLOOKUP(A914&amp;" "&amp;B914, 'Info Tipo de Cambio y REM'!$A$24:$B$47, 2, FALSE))</f>
        <v/>
      </c>
      <c r="R914" s="109" t="str">
        <f t="shared" si="1"/>
        <v/>
      </c>
      <c r="S914" s="71" t="str">
        <f t="shared" si="2"/>
        <v/>
      </c>
      <c r="T914" s="71">
        <f t="shared" si="3"/>
        <v>0</v>
      </c>
      <c r="U914" s="43"/>
      <c r="V914" s="486"/>
      <c r="W914" s="43"/>
      <c r="X914" s="43"/>
    </row>
    <row r="915" hidden="1">
      <c r="A915" s="51"/>
      <c r="B915" s="43"/>
      <c r="C915" s="51"/>
      <c r="D915" s="43"/>
      <c r="E915" s="43"/>
      <c r="F915" s="43"/>
      <c r="G915" s="43"/>
      <c r="H915" s="43"/>
      <c r="I915" s="43"/>
      <c r="J915" s="443"/>
      <c r="K915" s="43"/>
      <c r="L915" s="89"/>
      <c r="M915" s="89"/>
      <c r="O915" s="71">
        <f t="shared" si="21"/>
        <v>0</v>
      </c>
      <c r="P915" s="89">
        <f t="shared" si="22"/>
        <v>0</v>
      </c>
      <c r="Q915" s="491" t="str">
        <f>IF(ISBLANK(M915), "", VLOOKUP(A915&amp;" "&amp;B915, 'Info Tipo de Cambio y REM'!$A$24:$B$47, 2, FALSE))</f>
        <v/>
      </c>
      <c r="R915" s="109" t="str">
        <f t="shared" si="1"/>
        <v/>
      </c>
      <c r="S915" s="71" t="str">
        <f t="shared" si="2"/>
        <v/>
      </c>
      <c r="T915" s="71">
        <f t="shared" si="3"/>
        <v>0</v>
      </c>
      <c r="U915" s="43"/>
      <c r="V915" s="486"/>
      <c r="W915" s="43"/>
      <c r="X915" s="43"/>
    </row>
    <row r="916" hidden="1">
      <c r="A916" s="51"/>
      <c r="B916" s="43"/>
      <c r="C916" s="51"/>
      <c r="D916" s="43"/>
      <c r="E916" s="43"/>
      <c r="F916" s="43"/>
      <c r="G916" s="43"/>
      <c r="H916" s="43"/>
      <c r="I916" s="43"/>
      <c r="J916" s="443"/>
      <c r="K916" s="43"/>
      <c r="L916" s="89"/>
      <c r="M916" s="89"/>
      <c r="O916" s="71">
        <f t="shared" si="21"/>
        <v>0</v>
      </c>
      <c r="P916" s="89">
        <f t="shared" si="22"/>
        <v>0</v>
      </c>
      <c r="Q916" s="491" t="str">
        <f>IF(ISBLANK(M916), "", VLOOKUP(A916&amp;" "&amp;B916, 'Info Tipo de Cambio y REM'!$A$24:$B$47, 2, FALSE))</f>
        <v/>
      </c>
      <c r="R916" s="109" t="str">
        <f t="shared" si="1"/>
        <v/>
      </c>
      <c r="S916" s="71" t="str">
        <f t="shared" si="2"/>
        <v/>
      </c>
      <c r="T916" s="71">
        <f t="shared" si="3"/>
        <v>0</v>
      </c>
      <c r="U916" s="43"/>
      <c r="V916" s="486"/>
      <c r="W916" s="43"/>
      <c r="X916" s="43"/>
    </row>
    <row r="917" hidden="1">
      <c r="A917" s="51"/>
      <c r="B917" s="43"/>
      <c r="C917" s="51"/>
      <c r="D917" s="43"/>
      <c r="E917" s="43"/>
      <c r="F917" s="43"/>
      <c r="G917" s="43"/>
      <c r="H917" s="43"/>
      <c r="I917" s="43"/>
      <c r="J917" s="443"/>
      <c r="K917" s="43"/>
      <c r="L917" s="89"/>
      <c r="M917" s="89"/>
      <c r="O917" s="71">
        <f t="shared" si="21"/>
        <v>0</v>
      </c>
      <c r="P917" s="89">
        <f t="shared" si="22"/>
        <v>0</v>
      </c>
      <c r="Q917" s="491" t="str">
        <f>IF(ISBLANK(M917), "", VLOOKUP(A917&amp;" "&amp;B917, 'Info Tipo de Cambio y REM'!$A$24:$B$47, 2, FALSE))</f>
        <v/>
      </c>
      <c r="R917" s="109" t="str">
        <f t="shared" si="1"/>
        <v/>
      </c>
      <c r="S917" s="71" t="str">
        <f t="shared" si="2"/>
        <v/>
      </c>
      <c r="T917" s="71">
        <f t="shared" si="3"/>
        <v>0</v>
      </c>
      <c r="U917" s="43"/>
      <c r="V917" s="486"/>
      <c r="W917" s="43"/>
      <c r="X917" s="43"/>
    </row>
    <row r="918" hidden="1">
      <c r="A918" s="51"/>
      <c r="B918" s="43"/>
      <c r="C918" s="51"/>
      <c r="D918" s="43"/>
      <c r="E918" s="43"/>
      <c r="F918" s="43"/>
      <c r="G918" s="43"/>
      <c r="H918" s="43"/>
      <c r="I918" s="43"/>
      <c r="J918" s="443"/>
      <c r="K918" s="43"/>
      <c r="L918" s="89"/>
      <c r="M918" s="89"/>
      <c r="O918" s="71">
        <f t="shared" si="21"/>
        <v>0</v>
      </c>
      <c r="P918" s="89">
        <f t="shared" si="22"/>
        <v>0</v>
      </c>
      <c r="Q918" s="491" t="str">
        <f>IF(ISBLANK(M918), "", VLOOKUP(A918&amp;" "&amp;B918, 'Info Tipo de Cambio y REM'!$A$24:$B$47, 2, FALSE))</f>
        <v/>
      </c>
      <c r="R918" s="109" t="str">
        <f t="shared" si="1"/>
        <v/>
      </c>
      <c r="S918" s="71" t="str">
        <f t="shared" si="2"/>
        <v/>
      </c>
      <c r="T918" s="71">
        <f t="shared" si="3"/>
        <v>0</v>
      </c>
      <c r="U918" s="43"/>
      <c r="V918" s="486"/>
      <c r="W918" s="43"/>
      <c r="X918" s="43"/>
    </row>
    <row r="919" hidden="1">
      <c r="A919" s="51"/>
      <c r="B919" s="43"/>
      <c r="C919" s="51"/>
      <c r="D919" s="43"/>
      <c r="E919" s="43"/>
      <c r="F919" s="43"/>
      <c r="G919" s="43"/>
      <c r="H919" s="43"/>
      <c r="I919" s="43"/>
      <c r="J919" s="443"/>
      <c r="K919" s="43"/>
      <c r="L919" s="89"/>
      <c r="M919" s="89"/>
      <c r="O919" s="71">
        <f t="shared" si="21"/>
        <v>0</v>
      </c>
      <c r="P919" s="89">
        <f t="shared" si="22"/>
        <v>0</v>
      </c>
      <c r="Q919" s="491" t="str">
        <f>IF(ISBLANK(M919), "", VLOOKUP(A919&amp;" "&amp;B919, 'Info Tipo de Cambio y REM'!$A$24:$B$47, 2, FALSE))</f>
        <v/>
      </c>
      <c r="R919" s="109" t="str">
        <f t="shared" si="1"/>
        <v/>
      </c>
      <c r="S919" s="71" t="str">
        <f t="shared" si="2"/>
        <v/>
      </c>
      <c r="T919" s="71">
        <f t="shared" si="3"/>
        <v>0</v>
      </c>
      <c r="U919" s="43"/>
      <c r="V919" s="486"/>
      <c r="W919" s="43"/>
      <c r="X919" s="43"/>
    </row>
    <row r="920" hidden="1">
      <c r="A920" s="51"/>
      <c r="B920" s="43"/>
      <c r="C920" s="51"/>
      <c r="D920" s="43"/>
      <c r="E920" s="43"/>
      <c r="F920" s="43"/>
      <c r="G920" s="43"/>
      <c r="H920" s="43"/>
      <c r="I920" s="43"/>
      <c r="J920" s="443"/>
      <c r="K920" s="43"/>
      <c r="L920" s="89"/>
      <c r="M920" s="89"/>
      <c r="O920" s="71">
        <f t="shared" si="21"/>
        <v>0</v>
      </c>
      <c r="P920" s="89">
        <f t="shared" si="22"/>
        <v>0</v>
      </c>
      <c r="Q920" s="491" t="str">
        <f>IF(ISBLANK(M920), "", VLOOKUP(A920&amp;" "&amp;B920, 'Info Tipo de Cambio y REM'!$A$24:$B$47, 2, FALSE))</f>
        <v/>
      </c>
      <c r="R920" s="109" t="str">
        <f t="shared" si="1"/>
        <v/>
      </c>
      <c r="S920" s="71" t="str">
        <f t="shared" si="2"/>
        <v/>
      </c>
      <c r="T920" s="71">
        <f t="shared" si="3"/>
        <v>0</v>
      </c>
      <c r="U920" s="43"/>
      <c r="V920" s="486"/>
      <c r="W920" s="43"/>
      <c r="X920" s="43"/>
    </row>
    <row r="921" hidden="1">
      <c r="A921" s="51"/>
      <c r="B921" s="43"/>
      <c r="C921" s="51"/>
      <c r="D921" s="43"/>
      <c r="E921" s="43"/>
      <c r="F921" s="43"/>
      <c r="G921" s="43"/>
      <c r="H921" s="43"/>
      <c r="I921" s="43"/>
      <c r="J921" s="443"/>
      <c r="K921" s="43"/>
      <c r="L921" s="89"/>
      <c r="M921" s="89"/>
      <c r="O921" s="71">
        <f t="shared" si="21"/>
        <v>0</v>
      </c>
      <c r="P921" s="89">
        <f t="shared" si="22"/>
        <v>0</v>
      </c>
      <c r="Q921" s="491" t="str">
        <f>IF(ISBLANK(M921), "", VLOOKUP(A921&amp;" "&amp;B921, 'Info Tipo de Cambio y REM'!$A$24:$B$47, 2, FALSE))</f>
        <v/>
      </c>
      <c r="R921" s="109" t="str">
        <f t="shared" si="1"/>
        <v/>
      </c>
      <c r="S921" s="71" t="str">
        <f t="shared" si="2"/>
        <v/>
      </c>
      <c r="T921" s="71">
        <f t="shared" si="3"/>
        <v>0</v>
      </c>
      <c r="U921" s="43"/>
      <c r="V921" s="486"/>
      <c r="W921" s="43"/>
      <c r="X921" s="43"/>
    </row>
    <row r="922" hidden="1">
      <c r="A922" s="51"/>
      <c r="B922" s="43"/>
      <c r="C922" s="51"/>
      <c r="D922" s="43"/>
      <c r="E922" s="43"/>
      <c r="F922" s="43"/>
      <c r="G922" s="43"/>
      <c r="H922" s="43"/>
      <c r="I922" s="43"/>
      <c r="J922" s="443"/>
      <c r="K922" s="43"/>
      <c r="L922" s="89"/>
      <c r="M922" s="89"/>
      <c r="O922" s="71">
        <f t="shared" si="21"/>
        <v>0</v>
      </c>
      <c r="P922" s="89">
        <f t="shared" si="22"/>
        <v>0</v>
      </c>
      <c r="Q922" s="491" t="str">
        <f>IF(ISBLANK(M922), "", VLOOKUP(A922&amp;" "&amp;B922, 'Info Tipo de Cambio y REM'!$A$24:$B$47, 2, FALSE))</f>
        <v/>
      </c>
      <c r="R922" s="109" t="str">
        <f t="shared" si="1"/>
        <v/>
      </c>
      <c r="S922" s="71" t="str">
        <f t="shared" si="2"/>
        <v/>
      </c>
      <c r="T922" s="71">
        <f t="shared" si="3"/>
        <v>0</v>
      </c>
      <c r="U922" s="43"/>
      <c r="V922" s="486"/>
      <c r="W922" s="43"/>
      <c r="X922" s="43"/>
    </row>
    <row r="923" hidden="1">
      <c r="A923" s="51"/>
      <c r="B923" s="43"/>
      <c r="C923" s="51"/>
      <c r="D923" s="43"/>
      <c r="E923" s="43"/>
      <c r="F923" s="43"/>
      <c r="G923" s="43"/>
      <c r="H923" s="43"/>
      <c r="I923" s="43"/>
      <c r="J923" s="443"/>
      <c r="K923" s="43"/>
      <c r="L923" s="89"/>
      <c r="M923" s="89"/>
      <c r="O923" s="71">
        <f t="shared" si="21"/>
        <v>0</v>
      </c>
      <c r="P923" s="89">
        <f t="shared" si="22"/>
        <v>0</v>
      </c>
      <c r="Q923" s="491" t="str">
        <f>IF(ISBLANK(M923), "", VLOOKUP(A923&amp;" "&amp;B923, 'Info Tipo de Cambio y REM'!$A$24:$B$47, 2, FALSE))</f>
        <v/>
      </c>
      <c r="R923" s="109" t="str">
        <f t="shared" si="1"/>
        <v/>
      </c>
      <c r="S923" s="71" t="str">
        <f t="shared" si="2"/>
        <v/>
      </c>
      <c r="T923" s="71">
        <f t="shared" si="3"/>
        <v>0</v>
      </c>
      <c r="U923" s="43"/>
      <c r="V923" s="486"/>
      <c r="W923" s="43"/>
      <c r="X923" s="43"/>
    </row>
    <row r="924" hidden="1">
      <c r="A924" s="51"/>
      <c r="B924" s="43"/>
      <c r="C924" s="51"/>
      <c r="D924" s="43"/>
      <c r="E924" s="43"/>
      <c r="F924" s="43"/>
      <c r="G924" s="43"/>
      <c r="H924" s="43"/>
      <c r="I924" s="43"/>
      <c r="J924" s="443"/>
      <c r="K924" s="43"/>
      <c r="L924" s="89"/>
      <c r="M924" s="89"/>
      <c r="O924" s="71">
        <f t="shared" si="21"/>
        <v>0</v>
      </c>
      <c r="P924" s="89">
        <f t="shared" si="22"/>
        <v>0</v>
      </c>
      <c r="Q924" s="491" t="str">
        <f>IF(ISBLANK(M924), "", VLOOKUP(A924&amp;" "&amp;B924, 'Info Tipo de Cambio y REM'!$A$24:$B$47, 2, FALSE))</f>
        <v/>
      </c>
      <c r="R924" s="109" t="str">
        <f t="shared" si="1"/>
        <v/>
      </c>
      <c r="S924" s="71" t="str">
        <f t="shared" si="2"/>
        <v/>
      </c>
      <c r="T924" s="71">
        <f t="shared" si="3"/>
        <v>0</v>
      </c>
      <c r="U924" s="43"/>
      <c r="V924" s="486"/>
      <c r="W924" s="43"/>
      <c r="X924" s="43"/>
    </row>
    <row r="925" hidden="1">
      <c r="A925" s="51"/>
      <c r="B925" s="43"/>
      <c r="C925" s="51"/>
      <c r="D925" s="43"/>
      <c r="E925" s="43"/>
      <c r="F925" s="43"/>
      <c r="G925" s="43"/>
      <c r="H925" s="43"/>
      <c r="I925" s="43"/>
      <c r="J925" s="443"/>
      <c r="K925" s="43"/>
      <c r="L925" s="89"/>
      <c r="M925" s="89"/>
      <c r="O925" s="71">
        <f t="shared" si="21"/>
        <v>0</v>
      </c>
      <c r="P925" s="89">
        <f t="shared" si="22"/>
        <v>0</v>
      </c>
      <c r="Q925" s="491" t="str">
        <f>IF(ISBLANK(M925), "", VLOOKUP(A925&amp;" "&amp;B925, 'Info Tipo de Cambio y REM'!$A$24:$B$47, 2, FALSE))</f>
        <v/>
      </c>
      <c r="R925" s="109" t="str">
        <f t="shared" si="1"/>
        <v/>
      </c>
      <c r="S925" s="71" t="str">
        <f t="shared" si="2"/>
        <v/>
      </c>
      <c r="T925" s="71">
        <f t="shared" si="3"/>
        <v>0</v>
      </c>
      <c r="U925" s="43"/>
      <c r="V925" s="486"/>
      <c r="W925" s="43"/>
      <c r="X925" s="43"/>
    </row>
    <row r="926" hidden="1">
      <c r="A926" s="51"/>
      <c r="B926" s="43"/>
      <c r="C926" s="51"/>
      <c r="D926" s="43"/>
      <c r="E926" s="43"/>
      <c r="F926" s="43"/>
      <c r="G926" s="43"/>
      <c r="H926" s="43"/>
      <c r="I926" s="43"/>
      <c r="J926" s="443"/>
      <c r="K926" s="43"/>
      <c r="L926" s="89"/>
      <c r="M926" s="89"/>
      <c r="O926" s="71">
        <f t="shared" si="21"/>
        <v>0</v>
      </c>
      <c r="P926" s="89">
        <f t="shared" si="22"/>
        <v>0</v>
      </c>
      <c r="Q926" s="491" t="str">
        <f>IF(ISBLANK(M926), "", VLOOKUP(A926&amp;" "&amp;B926, 'Info Tipo de Cambio y REM'!$A$24:$B$47, 2, FALSE))</f>
        <v/>
      </c>
      <c r="R926" s="109" t="str">
        <f t="shared" si="1"/>
        <v/>
      </c>
      <c r="S926" s="71" t="str">
        <f t="shared" si="2"/>
        <v/>
      </c>
      <c r="T926" s="71">
        <f t="shared" si="3"/>
        <v>0</v>
      </c>
      <c r="U926" s="43"/>
      <c r="V926" s="486"/>
      <c r="W926" s="43"/>
      <c r="X926" s="43"/>
    </row>
    <row r="927" hidden="1">
      <c r="A927" s="51"/>
      <c r="B927" s="43"/>
      <c r="C927" s="51"/>
      <c r="D927" s="43"/>
      <c r="E927" s="43"/>
      <c r="F927" s="43"/>
      <c r="G927" s="43"/>
      <c r="H927" s="43"/>
      <c r="I927" s="43"/>
      <c r="J927" s="443"/>
      <c r="K927" s="43"/>
      <c r="L927" s="89"/>
      <c r="M927" s="89"/>
      <c r="O927" s="71">
        <f t="shared" si="21"/>
        <v>0</v>
      </c>
      <c r="P927" s="89">
        <f t="shared" si="22"/>
        <v>0</v>
      </c>
      <c r="Q927" s="491" t="str">
        <f>IF(ISBLANK(M927), "", VLOOKUP(A927&amp;" "&amp;B927, 'Info Tipo de Cambio y REM'!$A$24:$B$47, 2, FALSE))</f>
        <v/>
      </c>
      <c r="R927" s="109" t="str">
        <f t="shared" si="1"/>
        <v/>
      </c>
      <c r="S927" s="71" t="str">
        <f t="shared" si="2"/>
        <v/>
      </c>
      <c r="T927" s="71">
        <f t="shared" si="3"/>
        <v>0</v>
      </c>
      <c r="U927" s="43"/>
      <c r="V927" s="486"/>
      <c r="W927" s="43"/>
      <c r="X927" s="43"/>
    </row>
    <row r="928" hidden="1">
      <c r="A928" s="51"/>
      <c r="B928" s="43"/>
      <c r="C928" s="51"/>
      <c r="D928" s="43"/>
      <c r="E928" s="43"/>
      <c r="F928" s="43"/>
      <c r="G928" s="43"/>
      <c r="H928" s="43"/>
      <c r="I928" s="43"/>
      <c r="J928" s="443"/>
      <c r="K928" s="43"/>
      <c r="L928" s="89"/>
      <c r="M928" s="89"/>
      <c r="O928" s="71">
        <f t="shared" si="21"/>
        <v>0</v>
      </c>
      <c r="P928" s="89">
        <f t="shared" si="22"/>
        <v>0</v>
      </c>
      <c r="Q928" s="491" t="str">
        <f>IF(ISBLANK(M928), "", VLOOKUP(A928&amp;" "&amp;B928, 'Info Tipo de Cambio y REM'!$A$24:$B$47, 2, FALSE))</f>
        <v/>
      </c>
      <c r="R928" s="109" t="str">
        <f t="shared" si="1"/>
        <v/>
      </c>
      <c r="S928" s="71" t="str">
        <f t="shared" si="2"/>
        <v/>
      </c>
      <c r="T928" s="71">
        <f t="shared" si="3"/>
        <v>0</v>
      </c>
      <c r="U928" s="43"/>
      <c r="V928" s="486"/>
      <c r="W928" s="43"/>
      <c r="X928" s="43"/>
    </row>
    <row r="929" hidden="1">
      <c r="A929" s="51"/>
      <c r="B929" s="43"/>
      <c r="C929" s="51"/>
      <c r="D929" s="43"/>
      <c r="E929" s="43"/>
      <c r="F929" s="43"/>
      <c r="G929" s="43"/>
      <c r="H929" s="43"/>
      <c r="I929" s="43"/>
      <c r="J929" s="443"/>
      <c r="K929" s="43"/>
      <c r="L929" s="89"/>
      <c r="M929" s="89"/>
      <c r="O929" s="71">
        <f t="shared" si="21"/>
        <v>0</v>
      </c>
      <c r="P929" s="89">
        <f t="shared" si="22"/>
        <v>0</v>
      </c>
      <c r="Q929" s="491" t="str">
        <f>IF(ISBLANK(M929), "", VLOOKUP(A929&amp;" "&amp;B929, 'Info Tipo de Cambio y REM'!$A$24:$B$47, 2, FALSE))</f>
        <v/>
      </c>
      <c r="R929" s="109" t="str">
        <f t="shared" si="1"/>
        <v/>
      </c>
      <c r="S929" s="71" t="str">
        <f t="shared" si="2"/>
        <v/>
      </c>
      <c r="T929" s="71">
        <f t="shared" si="3"/>
        <v>0</v>
      </c>
      <c r="U929" s="43"/>
      <c r="V929" s="486"/>
      <c r="W929" s="43"/>
      <c r="X929" s="43"/>
    </row>
    <row r="930" hidden="1">
      <c r="A930" s="51"/>
      <c r="B930" s="43"/>
      <c r="C930" s="51"/>
      <c r="D930" s="43"/>
      <c r="E930" s="43"/>
      <c r="F930" s="43"/>
      <c r="G930" s="43"/>
      <c r="H930" s="43"/>
      <c r="I930" s="43"/>
      <c r="J930" s="443"/>
      <c r="K930" s="43"/>
      <c r="L930" s="89"/>
      <c r="M930" s="89"/>
      <c r="O930" s="71">
        <f t="shared" si="21"/>
        <v>0</v>
      </c>
      <c r="P930" s="89">
        <f t="shared" si="22"/>
        <v>0</v>
      </c>
      <c r="Q930" s="491" t="str">
        <f>IF(ISBLANK(M930), "", VLOOKUP(A930&amp;" "&amp;B930, 'Info Tipo de Cambio y REM'!$A$24:$B$47, 2, FALSE))</f>
        <v/>
      </c>
      <c r="R930" s="109" t="str">
        <f t="shared" si="1"/>
        <v/>
      </c>
      <c r="S930" s="71" t="str">
        <f t="shared" si="2"/>
        <v/>
      </c>
      <c r="T930" s="71">
        <f t="shared" si="3"/>
        <v>0</v>
      </c>
      <c r="U930" s="43"/>
      <c r="V930" s="486"/>
      <c r="W930" s="43"/>
      <c r="X930" s="43"/>
    </row>
    <row r="931" hidden="1">
      <c r="A931" s="51"/>
      <c r="B931" s="43"/>
      <c r="C931" s="51"/>
      <c r="D931" s="43"/>
      <c r="E931" s="43"/>
      <c r="F931" s="43"/>
      <c r="G931" s="43"/>
      <c r="H931" s="43"/>
      <c r="I931" s="43"/>
      <c r="J931" s="443"/>
      <c r="K931" s="43"/>
      <c r="L931" s="89"/>
      <c r="M931" s="89"/>
      <c r="O931" s="71">
        <f t="shared" si="21"/>
        <v>0</v>
      </c>
      <c r="P931" s="89">
        <f t="shared" si="22"/>
        <v>0</v>
      </c>
      <c r="Q931" s="491" t="str">
        <f>IF(ISBLANK(M931), "", VLOOKUP(A931&amp;" "&amp;B931, 'Info Tipo de Cambio y REM'!$A$24:$B$47, 2, FALSE))</f>
        <v/>
      </c>
      <c r="R931" s="109" t="str">
        <f t="shared" si="1"/>
        <v/>
      </c>
      <c r="S931" s="71" t="str">
        <f t="shared" si="2"/>
        <v/>
      </c>
      <c r="T931" s="71">
        <f t="shared" si="3"/>
        <v>0</v>
      </c>
      <c r="U931" s="43"/>
      <c r="V931" s="486"/>
      <c r="W931" s="43"/>
      <c r="X931" s="43"/>
    </row>
    <row r="932" hidden="1">
      <c r="A932" s="51"/>
      <c r="B932" s="43"/>
      <c r="C932" s="51"/>
      <c r="D932" s="43"/>
      <c r="E932" s="43"/>
      <c r="F932" s="43"/>
      <c r="G932" s="43"/>
      <c r="H932" s="43"/>
      <c r="I932" s="43"/>
      <c r="J932" s="443"/>
      <c r="K932" s="43"/>
      <c r="L932" s="89"/>
      <c r="M932" s="89"/>
      <c r="O932" s="71">
        <f t="shared" si="21"/>
        <v>0</v>
      </c>
      <c r="P932" s="89">
        <f t="shared" si="22"/>
        <v>0</v>
      </c>
      <c r="Q932" s="491" t="str">
        <f>IF(ISBLANK(M932), "", VLOOKUP(A932&amp;" "&amp;B932, 'Info Tipo de Cambio y REM'!$A$24:$B$47, 2, FALSE))</f>
        <v/>
      </c>
      <c r="R932" s="109" t="str">
        <f t="shared" si="1"/>
        <v/>
      </c>
      <c r="S932" s="71" t="str">
        <f t="shared" si="2"/>
        <v/>
      </c>
      <c r="T932" s="71">
        <f t="shared" si="3"/>
        <v>0</v>
      </c>
      <c r="U932" s="43"/>
      <c r="V932" s="486"/>
      <c r="W932" s="43"/>
      <c r="X932" s="43"/>
    </row>
    <row r="933" hidden="1">
      <c r="A933" s="51"/>
      <c r="B933" s="43"/>
      <c r="C933" s="51"/>
      <c r="D933" s="43"/>
      <c r="E933" s="43"/>
      <c r="F933" s="43"/>
      <c r="G933" s="43"/>
      <c r="H933" s="43"/>
      <c r="I933" s="43"/>
      <c r="J933" s="443"/>
      <c r="K933" s="43"/>
      <c r="L933" s="89"/>
      <c r="M933" s="89"/>
      <c r="O933" s="71">
        <f t="shared" si="21"/>
        <v>0</v>
      </c>
      <c r="P933" s="89">
        <f t="shared" si="22"/>
        <v>0</v>
      </c>
      <c r="Q933" s="491" t="str">
        <f>IF(ISBLANK(M933), "", VLOOKUP(A933&amp;" "&amp;B933, 'Info Tipo de Cambio y REM'!$A$24:$B$47, 2, FALSE))</f>
        <v/>
      </c>
      <c r="R933" s="109" t="str">
        <f t="shared" si="1"/>
        <v/>
      </c>
      <c r="S933" s="71" t="str">
        <f t="shared" si="2"/>
        <v/>
      </c>
      <c r="T933" s="71">
        <f t="shared" si="3"/>
        <v>0</v>
      </c>
      <c r="U933" s="43"/>
      <c r="V933" s="486"/>
      <c r="W933" s="43"/>
      <c r="X933" s="43"/>
    </row>
    <row r="934" hidden="1">
      <c r="A934" s="51"/>
      <c r="B934" s="43"/>
      <c r="C934" s="51"/>
      <c r="D934" s="43"/>
      <c r="E934" s="43"/>
      <c r="F934" s="43"/>
      <c r="G934" s="43"/>
      <c r="H934" s="43"/>
      <c r="I934" s="43"/>
      <c r="J934" s="443"/>
      <c r="K934" s="43"/>
      <c r="L934" s="89"/>
      <c r="M934" s="89"/>
      <c r="O934" s="71">
        <f t="shared" si="21"/>
        <v>0</v>
      </c>
      <c r="P934" s="89">
        <f t="shared" si="22"/>
        <v>0</v>
      </c>
      <c r="Q934" s="491" t="str">
        <f>IF(ISBLANK(M934), "", VLOOKUP(A934&amp;" "&amp;B934, 'Info Tipo de Cambio y REM'!$A$24:$B$47, 2, FALSE))</f>
        <v/>
      </c>
      <c r="R934" s="109" t="str">
        <f t="shared" si="1"/>
        <v/>
      </c>
      <c r="S934" s="71" t="str">
        <f t="shared" si="2"/>
        <v/>
      </c>
      <c r="T934" s="71">
        <f t="shared" si="3"/>
        <v>0</v>
      </c>
      <c r="U934" s="43"/>
      <c r="V934" s="486"/>
      <c r="W934" s="43"/>
      <c r="X934" s="43"/>
    </row>
    <row r="935" hidden="1">
      <c r="A935" s="51"/>
      <c r="B935" s="43"/>
      <c r="C935" s="51"/>
      <c r="D935" s="43"/>
      <c r="E935" s="43"/>
      <c r="F935" s="43"/>
      <c r="G935" s="43"/>
      <c r="H935" s="43"/>
      <c r="I935" s="43"/>
      <c r="J935" s="443"/>
      <c r="K935" s="43"/>
      <c r="L935" s="89"/>
      <c r="M935" s="89"/>
      <c r="O935" s="71">
        <f t="shared" si="21"/>
        <v>0</v>
      </c>
      <c r="P935" s="89">
        <f t="shared" si="22"/>
        <v>0</v>
      </c>
      <c r="Q935" s="491" t="str">
        <f>IF(ISBLANK(M935), "", VLOOKUP(A935&amp;" "&amp;B935, 'Info Tipo de Cambio y REM'!$A$24:$B$47, 2, FALSE))</f>
        <v/>
      </c>
      <c r="R935" s="109" t="str">
        <f t="shared" si="1"/>
        <v/>
      </c>
      <c r="S935" s="71" t="str">
        <f t="shared" si="2"/>
        <v/>
      </c>
      <c r="T935" s="71">
        <f t="shared" si="3"/>
        <v>0</v>
      </c>
      <c r="U935" s="43"/>
      <c r="V935" s="486"/>
      <c r="W935" s="43"/>
      <c r="X935" s="43"/>
    </row>
    <row r="936" hidden="1">
      <c r="A936" s="51"/>
      <c r="B936" s="43"/>
      <c r="C936" s="51"/>
      <c r="D936" s="43"/>
      <c r="E936" s="43"/>
      <c r="F936" s="43"/>
      <c r="G936" s="43"/>
      <c r="H936" s="43"/>
      <c r="I936" s="43"/>
      <c r="J936" s="443"/>
      <c r="K936" s="43"/>
      <c r="L936" s="89"/>
      <c r="M936" s="89"/>
      <c r="O936" s="71">
        <f t="shared" si="21"/>
        <v>0</v>
      </c>
      <c r="P936" s="89">
        <f t="shared" si="22"/>
        <v>0</v>
      </c>
      <c r="Q936" s="491" t="str">
        <f>IF(ISBLANK(M936), "", VLOOKUP(A936&amp;" "&amp;B936, 'Info Tipo de Cambio y REM'!$A$24:$B$47, 2, FALSE))</f>
        <v/>
      </c>
      <c r="R936" s="109" t="str">
        <f t="shared" si="1"/>
        <v/>
      </c>
      <c r="S936" s="71" t="str">
        <f t="shared" si="2"/>
        <v/>
      </c>
      <c r="T936" s="71">
        <f t="shared" si="3"/>
        <v>0</v>
      </c>
      <c r="U936" s="43"/>
      <c r="V936" s="486"/>
      <c r="W936" s="43"/>
      <c r="X936" s="43"/>
    </row>
    <row r="937" hidden="1">
      <c r="A937" s="51"/>
      <c r="B937" s="43"/>
      <c r="C937" s="51"/>
      <c r="D937" s="43"/>
      <c r="E937" s="43"/>
      <c r="F937" s="43"/>
      <c r="G937" s="43"/>
      <c r="H937" s="43"/>
      <c r="I937" s="43"/>
      <c r="J937" s="443"/>
      <c r="K937" s="43"/>
      <c r="L937" s="89"/>
      <c r="M937" s="89"/>
      <c r="O937" s="71">
        <f t="shared" si="21"/>
        <v>0</v>
      </c>
      <c r="P937" s="89">
        <f t="shared" si="22"/>
        <v>0</v>
      </c>
      <c r="Q937" s="491" t="str">
        <f>IF(ISBLANK(M937), "", VLOOKUP(A937&amp;" "&amp;B937, 'Info Tipo de Cambio y REM'!$A$24:$B$47, 2, FALSE))</f>
        <v/>
      </c>
      <c r="R937" s="109" t="str">
        <f t="shared" si="1"/>
        <v/>
      </c>
      <c r="S937" s="71" t="str">
        <f t="shared" si="2"/>
        <v/>
      </c>
      <c r="T937" s="71">
        <f t="shared" si="3"/>
        <v>0</v>
      </c>
      <c r="U937" s="43"/>
      <c r="V937" s="486"/>
      <c r="W937" s="43"/>
      <c r="X937" s="43"/>
    </row>
    <row r="938" hidden="1">
      <c r="A938" s="51"/>
      <c r="B938" s="43"/>
      <c r="C938" s="51"/>
      <c r="D938" s="43"/>
      <c r="E938" s="43"/>
      <c r="F938" s="43"/>
      <c r="G938" s="43"/>
      <c r="H938" s="43"/>
      <c r="I938" s="43"/>
      <c r="J938" s="443"/>
      <c r="K938" s="43"/>
      <c r="L938" s="89"/>
      <c r="M938" s="89"/>
      <c r="O938" s="71">
        <f t="shared" si="21"/>
        <v>0</v>
      </c>
      <c r="P938" s="89">
        <f t="shared" si="22"/>
        <v>0</v>
      </c>
      <c r="Q938" s="491" t="str">
        <f>IF(ISBLANK(M938), "", VLOOKUP(A938&amp;" "&amp;B938, 'Info Tipo de Cambio y REM'!$A$24:$B$47, 2, FALSE))</f>
        <v/>
      </c>
      <c r="R938" s="109" t="str">
        <f t="shared" si="1"/>
        <v/>
      </c>
      <c r="S938" s="71" t="str">
        <f t="shared" si="2"/>
        <v/>
      </c>
      <c r="T938" s="71">
        <f t="shared" si="3"/>
        <v>0</v>
      </c>
      <c r="U938" s="43"/>
      <c r="V938" s="486"/>
      <c r="W938" s="43"/>
      <c r="X938" s="43"/>
    </row>
    <row r="939" hidden="1">
      <c r="A939" s="51"/>
      <c r="B939" s="43"/>
      <c r="C939" s="51"/>
      <c r="D939" s="43"/>
      <c r="E939" s="43"/>
      <c r="F939" s="43"/>
      <c r="G939" s="43"/>
      <c r="H939" s="43"/>
      <c r="I939" s="43"/>
      <c r="J939" s="443"/>
      <c r="K939" s="43"/>
      <c r="L939" s="89"/>
      <c r="M939" s="89"/>
      <c r="O939" s="71">
        <f t="shared" si="21"/>
        <v>0</v>
      </c>
      <c r="P939" s="89">
        <f t="shared" si="22"/>
        <v>0</v>
      </c>
      <c r="Q939" s="491" t="str">
        <f>IF(ISBLANK(M939), "", VLOOKUP(A939&amp;" "&amp;B939, 'Info Tipo de Cambio y REM'!$A$24:$B$47, 2, FALSE))</f>
        <v/>
      </c>
      <c r="R939" s="109" t="str">
        <f t="shared" si="1"/>
        <v/>
      </c>
      <c r="S939" s="71" t="str">
        <f t="shared" si="2"/>
        <v/>
      </c>
      <c r="T939" s="71">
        <f t="shared" si="3"/>
        <v>0</v>
      </c>
      <c r="U939" s="43"/>
      <c r="V939" s="486"/>
      <c r="W939" s="43"/>
      <c r="X939" s="43"/>
    </row>
    <row r="940" hidden="1">
      <c r="A940" s="51"/>
      <c r="B940" s="43"/>
      <c r="C940" s="51"/>
      <c r="D940" s="43"/>
      <c r="E940" s="43"/>
      <c r="F940" s="43"/>
      <c r="G940" s="43"/>
      <c r="H940" s="43"/>
      <c r="I940" s="43"/>
      <c r="J940" s="443"/>
      <c r="K940" s="43"/>
      <c r="L940" s="89"/>
      <c r="M940" s="89"/>
      <c r="O940" s="71">
        <f t="shared" si="21"/>
        <v>0</v>
      </c>
      <c r="P940" s="89">
        <f t="shared" si="22"/>
        <v>0</v>
      </c>
      <c r="Q940" s="491" t="str">
        <f>IF(ISBLANK(M940), "", VLOOKUP(A940&amp;" "&amp;B940, 'Info Tipo de Cambio y REM'!$A$24:$B$47, 2, FALSE))</f>
        <v/>
      </c>
      <c r="R940" s="109" t="str">
        <f t="shared" si="1"/>
        <v/>
      </c>
      <c r="S940" s="71" t="str">
        <f t="shared" si="2"/>
        <v/>
      </c>
      <c r="T940" s="71">
        <f t="shared" si="3"/>
        <v>0</v>
      </c>
      <c r="U940" s="43"/>
      <c r="V940" s="486"/>
      <c r="W940" s="43"/>
      <c r="X940" s="43"/>
    </row>
    <row r="941" hidden="1">
      <c r="A941" s="51"/>
      <c r="B941" s="43"/>
      <c r="C941" s="51"/>
      <c r="D941" s="43"/>
      <c r="E941" s="43"/>
      <c r="F941" s="43"/>
      <c r="G941" s="43"/>
      <c r="H941" s="43"/>
      <c r="I941" s="43"/>
      <c r="J941" s="443"/>
      <c r="K941" s="43"/>
      <c r="L941" s="89"/>
      <c r="M941" s="89"/>
      <c r="O941" s="71">
        <f t="shared" si="21"/>
        <v>0</v>
      </c>
      <c r="P941" s="89">
        <f t="shared" si="22"/>
        <v>0</v>
      </c>
      <c r="Q941" s="491" t="str">
        <f>IF(ISBLANK(M941), "", VLOOKUP(A941&amp;" "&amp;B941, 'Info Tipo de Cambio y REM'!$A$24:$B$47, 2, FALSE))</f>
        <v/>
      </c>
      <c r="R941" s="109" t="str">
        <f t="shared" si="1"/>
        <v/>
      </c>
      <c r="S941" s="71" t="str">
        <f t="shared" si="2"/>
        <v/>
      </c>
      <c r="T941" s="71">
        <f t="shared" si="3"/>
        <v>0</v>
      </c>
      <c r="U941" s="43"/>
      <c r="V941" s="486"/>
      <c r="W941" s="43"/>
      <c r="X941" s="43"/>
    </row>
    <row r="942" hidden="1">
      <c r="A942" s="51"/>
      <c r="B942" s="43"/>
      <c r="C942" s="51"/>
      <c r="D942" s="43"/>
      <c r="E942" s="43"/>
      <c r="F942" s="43"/>
      <c r="G942" s="43"/>
      <c r="H942" s="43"/>
      <c r="I942" s="43"/>
      <c r="J942" s="443"/>
      <c r="K942" s="43"/>
      <c r="L942" s="89"/>
      <c r="M942" s="89"/>
      <c r="O942" s="71">
        <f t="shared" si="21"/>
        <v>0</v>
      </c>
      <c r="P942" s="89">
        <f t="shared" si="22"/>
        <v>0</v>
      </c>
      <c r="Q942" s="491" t="str">
        <f>IF(ISBLANK(M942), "", VLOOKUP(A942&amp;" "&amp;B942, 'Info Tipo de Cambio y REM'!$A$24:$B$47, 2, FALSE))</f>
        <v/>
      </c>
      <c r="R942" s="109" t="str">
        <f t="shared" si="1"/>
        <v/>
      </c>
      <c r="S942" s="71" t="str">
        <f t="shared" si="2"/>
        <v/>
      </c>
      <c r="T942" s="71">
        <f t="shared" si="3"/>
        <v>0</v>
      </c>
      <c r="U942" s="43"/>
      <c r="V942" s="486"/>
      <c r="W942" s="43"/>
      <c r="X942" s="43"/>
    </row>
    <row r="943" hidden="1">
      <c r="A943" s="51"/>
      <c r="B943" s="43"/>
      <c r="C943" s="51"/>
      <c r="D943" s="43"/>
      <c r="E943" s="43"/>
      <c r="F943" s="43"/>
      <c r="G943" s="43"/>
      <c r="H943" s="43"/>
      <c r="I943" s="43"/>
      <c r="J943" s="443"/>
      <c r="K943" s="43"/>
      <c r="L943" s="89"/>
      <c r="M943" s="89"/>
      <c r="O943" s="71">
        <f t="shared" si="21"/>
        <v>0</v>
      </c>
      <c r="P943" s="89">
        <f t="shared" si="22"/>
        <v>0</v>
      </c>
      <c r="Q943" s="491" t="str">
        <f>IF(ISBLANK(M943), "", VLOOKUP(A943&amp;" "&amp;B943, 'Info Tipo de Cambio y REM'!$A$24:$B$47, 2, FALSE))</f>
        <v/>
      </c>
      <c r="R943" s="109" t="str">
        <f t="shared" si="1"/>
        <v/>
      </c>
      <c r="S943" s="71" t="str">
        <f t="shared" si="2"/>
        <v/>
      </c>
      <c r="T943" s="71">
        <f t="shared" si="3"/>
        <v>0</v>
      </c>
      <c r="U943" s="43"/>
      <c r="V943" s="486"/>
      <c r="W943" s="43"/>
      <c r="X943" s="43"/>
    </row>
    <row r="944" hidden="1">
      <c r="A944" s="51"/>
      <c r="B944" s="43"/>
      <c r="C944" s="51"/>
      <c r="D944" s="43"/>
      <c r="E944" s="43"/>
      <c r="F944" s="43"/>
      <c r="G944" s="43"/>
      <c r="H944" s="43"/>
      <c r="I944" s="43"/>
      <c r="J944" s="443"/>
      <c r="K944" s="43"/>
      <c r="L944" s="89"/>
      <c r="M944" s="89"/>
      <c r="O944" s="71">
        <f t="shared" si="21"/>
        <v>0</v>
      </c>
      <c r="P944" s="89">
        <f t="shared" si="22"/>
        <v>0</v>
      </c>
      <c r="Q944" s="491" t="str">
        <f>IF(ISBLANK(M944), "", VLOOKUP(A944&amp;" "&amp;B944, 'Info Tipo de Cambio y REM'!$A$24:$B$47, 2, FALSE))</f>
        <v/>
      </c>
      <c r="R944" s="109" t="str">
        <f t="shared" si="1"/>
        <v/>
      </c>
      <c r="S944" s="71" t="str">
        <f t="shared" si="2"/>
        <v/>
      </c>
      <c r="T944" s="71">
        <f t="shared" si="3"/>
        <v>0</v>
      </c>
      <c r="U944" s="43"/>
      <c r="V944" s="486"/>
      <c r="W944" s="43"/>
      <c r="X944" s="43"/>
    </row>
    <row r="945" hidden="1">
      <c r="A945" s="51"/>
      <c r="B945" s="43"/>
      <c r="C945" s="51"/>
      <c r="D945" s="43"/>
      <c r="E945" s="43"/>
      <c r="F945" s="43"/>
      <c r="G945" s="43"/>
      <c r="H945" s="43"/>
      <c r="I945" s="43"/>
      <c r="J945" s="443"/>
      <c r="K945" s="43"/>
      <c r="L945" s="89"/>
      <c r="M945" s="89"/>
      <c r="O945" s="71">
        <f t="shared" si="21"/>
        <v>0</v>
      </c>
      <c r="P945" s="89">
        <f t="shared" si="22"/>
        <v>0</v>
      </c>
      <c r="Q945" s="491" t="str">
        <f>IF(ISBLANK(M945), "", VLOOKUP(A945&amp;" "&amp;B945, 'Info Tipo de Cambio y REM'!$A$24:$B$47, 2, FALSE))</f>
        <v/>
      </c>
      <c r="R945" s="109" t="str">
        <f t="shared" si="1"/>
        <v/>
      </c>
      <c r="S945" s="71" t="str">
        <f t="shared" si="2"/>
        <v/>
      </c>
      <c r="T945" s="71">
        <f t="shared" si="3"/>
        <v>0</v>
      </c>
      <c r="U945" s="43"/>
      <c r="V945" s="486"/>
      <c r="W945" s="43"/>
      <c r="X945" s="43"/>
    </row>
    <row r="946" hidden="1">
      <c r="A946" s="51"/>
      <c r="B946" s="43"/>
      <c r="C946" s="51"/>
      <c r="D946" s="43"/>
      <c r="E946" s="43"/>
      <c r="F946" s="43"/>
      <c r="G946" s="43"/>
      <c r="H946" s="43"/>
      <c r="I946" s="43"/>
      <c r="J946" s="443"/>
      <c r="K946" s="43"/>
      <c r="L946" s="89"/>
      <c r="M946" s="89"/>
      <c r="O946" s="71">
        <f t="shared" si="21"/>
        <v>0</v>
      </c>
      <c r="P946" s="89">
        <f t="shared" si="22"/>
        <v>0</v>
      </c>
      <c r="Q946" s="491" t="str">
        <f>IF(ISBLANK(M946), "", VLOOKUP(A946&amp;" "&amp;B946, 'Info Tipo de Cambio y REM'!$A$24:$B$47, 2, FALSE))</f>
        <v/>
      </c>
      <c r="R946" s="109" t="str">
        <f t="shared" si="1"/>
        <v/>
      </c>
      <c r="S946" s="71" t="str">
        <f t="shared" si="2"/>
        <v/>
      </c>
      <c r="T946" s="71">
        <f t="shared" si="3"/>
        <v>0</v>
      </c>
      <c r="U946" s="43"/>
      <c r="V946" s="486"/>
      <c r="W946" s="43"/>
      <c r="X946" s="43"/>
    </row>
    <row r="947" hidden="1">
      <c r="A947" s="51"/>
      <c r="B947" s="43"/>
      <c r="C947" s="51"/>
      <c r="D947" s="43"/>
      <c r="E947" s="43"/>
      <c r="F947" s="43"/>
      <c r="G947" s="43"/>
      <c r="H947" s="43"/>
      <c r="I947" s="43"/>
      <c r="J947" s="443"/>
      <c r="K947" s="43"/>
      <c r="L947" s="89"/>
      <c r="M947" s="89"/>
      <c r="O947" s="71">
        <f t="shared" si="21"/>
        <v>0</v>
      </c>
      <c r="P947" s="89">
        <f t="shared" si="22"/>
        <v>0</v>
      </c>
      <c r="Q947" s="491" t="str">
        <f>IF(ISBLANK(M947), "", VLOOKUP(A947&amp;" "&amp;B947, 'Info Tipo de Cambio y REM'!$A$24:$B$47, 2, FALSE))</f>
        <v/>
      </c>
      <c r="R947" s="109" t="str">
        <f t="shared" si="1"/>
        <v/>
      </c>
      <c r="S947" s="71" t="str">
        <f t="shared" si="2"/>
        <v/>
      </c>
      <c r="T947" s="71">
        <f t="shared" si="3"/>
        <v>0</v>
      </c>
      <c r="U947" s="43"/>
      <c r="V947" s="486"/>
      <c r="W947" s="43"/>
      <c r="X947" s="43"/>
    </row>
    <row r="948" hidden="1">
      <c r="A948" s="51"/>
      <c r="B948" s="43"/>
      <c r="C948" s="51"/>
      <c r="D948" s="43"/>
      <c r="E948" s="43"/>
      <c r="F948" s="43"/>
      <c r="G948" s="43"/>
      <c r="H948" s="43"/>
      <c r="I948" s="43"/>
      <c r="J948" s="443"/>
      <c r="K948" s="43"/>
      <c r="L948" s="89"/>
      <c r="M948" s="89"/>
      <c r="O948" s="71">
        <f t="shared" si="21"/>
        <v>0</v>
      </c>
      <c r="P948" s="89">
        <f t="shared" si="22"/>
        <v>0</v>
      </c>
      <c r="Q948" s="491" t="str">
        <f>IF(ISBLANK(M948), "", VLOOKUP(A948&amp;" "&amp;B948, 'Info Tipo de Cambio y REM'!$A$24:$B$47, 2, FALSE))</f>
        <v/>
      </c>
      <c r="R948" s="109" t="str">
        <f t="shared" si="1"/>
        <v/>
      </c>
      <c r="S948" s="71" t="str">
        <f t="shared" si="2"/>
        <v/>
      </c>
      <c r="T948" s="71">
        <f t="shared" si="3"/>
        <v>0</v>
      </c>
      <c r="U948" s="43"/>
      <c r="V948" s="486"/>
      <c r="W948" s="43"/>
      <c r="X948" s="43"/>
    </row>
    <row r="949" hidden="1">
      <c r="A949" s="51"/>
      <c r="B949" s="43"/>
      <c r="C949" s="51"/>
      <c r="D949" s="43"/>
      <c r="E949" s="43"/>
      <c r="F949" s="43"/>
      <c r="G949" s="43"/>
      <c r="H949" s="43"/>
      <c r="I949" s="43"/>
      <c r="J949" s="443"/>
      <c r="K949" s="43"/>
      <c r="L949" s="89"/>
      <c r="M949" s="89"/>
      <c r="O949" s="71">
        <f t="shared" si="21"/>
        <v>0</v>
      </c>
      <c r="P949" s="89">
        <f t="shared" si="22"/>
        <v>0</v>
      </c>
      <c r="Q949" s="491" t="str">
        <f>IF(ISBLANK(M949), "", VLOOKUP(A949&amp;" "&amp;B949, 'Info Tipo de Cambio y REM'!$A$24:$B$47, 2, FALSE))</f>
        <v/>
      </c>
      <c r="R949" s="109" t="str">
        <f t="shared" si="1"/>
        <v/>
      </c>
      <c r="S949" s="71" t="str">
        <f t="shared" si="2"/>
        <v/>
      </c>
      <c r="T949" s="71">
        <f t="shared" si="3"/>
        <v>0</v>
      </c>
      <c r="U949" s="43"/>
      <c r="V949" s="486"/>
      <c r="W949" s="43"/>
      <c r="X949" s="43"/>
    </row>
    <row r="950" hidden="1">
      <c r="A950" s="51"/>
      <c r="B950" s="43"/>
      <c r="C950" s="51"/>
      <c r="D950" s="43"/>
      <c r="E950" s="43"/>
      <c r="F950" s="43"/>
      <c r="G950" s="43"/>
      <c r="H950" s="43"/>
      <c r="I950" s="43"/>
      <c r="J950" s="443"/>
      <c r="K950" s="43"/>
      <c r="L950" s="89"/>
      <c r="M950" s="89"/>
      <c r="O950" s="71">
        <f t="shared" si="21"/>
        <v>0</v>
      </c>
      <c r="P950" s="89">
        <f t="shared" si="22"/>
        <v>0</v>
      </c>
      <c r="Q950" s="491" t="str">
        <f>IF(ISBLANK(M950), "", VLOOKUP(A950&amp;" "&amp;B950, 'Info Tipo de Cambio y REM'!$A$24:$B$47, 2, FALSE))</f>
        <v/>
      </c>
      <c r="R950" s="109" t="str">
        <f t="shared" si="1"/>
        <v/>
      </c>
      <c r="S950" s="71" t="str">
        <f t="shared" si="2"/>
        <v/>
      </c>
      <c r="T950" s="71">
        <f t="shared" si="3"/>
        <v>0</v>
      </c>
      <c r="U950" s="43"/>
      <c r="V950" s="486"/>
      <c r="W950" s="43"/>
      <c r="X950" s="43"/>
    </row>
    <row r="951" hidden="1">
      <c r="A951" s="51"/>
      <c r="B951" s="43"/>
      <c r="C951" s="51"/>
      <c r="D951" s="43"/>
      <c r="E951" s="43"/>
      <c r="F951" s="43"/>
      <c r="G951" s="43"/>
      <c r="H951" s="43"/>
      <c r="I951" s="43"/>
      <c r="J951" s="443"/>
      <c r="K951" s="43"/>
      <c r="L951" s="89"/>
      <c r="M951" s="89"/>
      <c r="O951" s="71">
        <f t="shared" si="21"/>
        <v>0</v>
      </c>
      <c r="P951" s="89">
        <f t="shared" si="22"/>
        <v>0</v>
      </c>
      <c r="Q951" s="491" t="str">
        <f>IF(ISBLANK(M951), "", VLOOKUP(A951&amp;" "&amp;B951, 'Info Tipo de Cambio y REM'!$A$24:$B$47, 2, FALSE))</f>
        <v/>
      </c>
      <c r="R951" s="109" t="str">
        <f t="shared" si="1"/>
        <v/>
      </c>
      <c r="S951" s="71" t="str">
        <f t="shared" si="2"/>
        <v/>
      </c>
      <c r="T951" s="71">
        <f t="shared" si="3"/>
        <v>0</v>
      </c>
      <c r="U951" s="43"/>
      <c r="V951" s="486"/>
      <c r="W951" s="43"/>
      <c r="X951" s="43"/>
    </row>
    <row r="952" hidden="1">
      <c r="A952" s="51"/>
      <c r="B952" s="43"/>
      <c r="C952" s="51"/>
      <c r="D952" s="43"/>
      <c r="E952" s="43"/>
      <c r="F952" s="43"/>
      <c r="G952" s="43"/>
      <c r="H952" s="43"/>
      <c r="I952" s="43"/>
      <c r="J952" s="443"/>
      <c r="K952" s="43"/>
      <c r="L952" s="89"/>
      <c r="M952" s="89"/>
      <c r="O952" s="71">
        <f t="shared" si="21"/>
        <v>0</v>
      </c>
      <c r="P952" s="89">
        <f t="shared" si="22"/>
        <v>0</v>
      </c>
      <c r="Q952" s="491" t="str">
        <f>IF(ISBLANK(M952), "", VLOOKUP(A952&amp;" "&amp;B952, 'Info Tipo de Cambio y REM'!$A$24:$B$47, 2, FALSE))</f>
        <v/>
      </c>
      <c r="R952" s="109" t="str">
        <f t="shared" si="1"/>
        <v/>
      </c>
      <c r="S952" s="71" t="str">
        <f t="shared" si="2"/>
        <v/>
      </c>
      <c r="T952" s="71">
        <f t="shared" si="3"/>
        <v>0</v>
      </c>
      <c r="U952" s="43"/>
      <c r="V952" s="486"/>
      <c r="W952" s="43"/>
      <c r="X952" s="43"/>
    </row>
    <row r="953" hidden="1">
      <c r="A953" s="51"/>
      <c r="B953" s="43"/>
      <c r="C953" s="51"/>
      <c r="D953" s="43"/>
      <c r="E953" s="43"/>
      <c r="F953" s="43"/>
      <c r="G953" s="43"/>
      <c r="H953" s="43"/>
      <c r="I953" s="43"/>
      <c r="J953" s="443"/>
      <c r="K953" s="43"/>
      <c r="L953" s="89"/>
      <c r="M953" s="89"/>
      <c r="O953" s="71">
        <f t="shared" si="21"/>
        <v>0</v>
      </c>
      <c r="P953" s="89">
        <f t="shared" si="22"/>
        <v>0</v>
      </c>
      <c r="Q953" s="491" t="str">
        <f>IF(ISBLANK(M953), "", VLOOKUP(A953&amp;" "&amp;B953, 'Info Tipo de Cambio y REM'!$A$24:$B$47, 2, FALSE))</f>
        <v/>
      </c>
      <c r="R953" s="109" t="str">
        <f t="shared" si="1"/>
        <v/>
      </c>
      <c r="S953" s="71" t="str">
        <f t="shared" si="2"/>
        <v/>
      </c>
      <c r="T953" s="71">
        <f t="shared" si="3"/>
        <v>0</v>
      </c>
      <c r="U953" s="43"/>
      <c r="V953" s="486"/>
      <c r="W953" s="43"/>
      <c r="X953" s="43"/>
    </row>
    <row r="954" hidden="1">
      <c r="A954" s="51"/>
      <c r="B954" s="43"/>
      <c r="C954" s="51"/>
      <c r="D954" s="43"/>
      <c r="E954" s="43"/>
      <c r="F954" s="43"/>
      <c r="G954" s="43"/>
      <c r="H954" s="43"/>
      <c r="I954" s="43"/>
      <c r="J954" s="443"/>
      <c r="K954" s="43"/>
      <c r="L954" s="89"/>
      <c r="M954" s="89"/>
      <c r="O954" s="71">
        <f t="shared" si="21"/>
        <v>0</v>
      </c>
      <c r="P954" s="89">
        <f t="shared" si="22"/>
        <v>0</v>
      </c>
      <c r="Q954" s="491" t="str">
        <f>IF(ISBLANK(M954), "", VLOOKUP(A954&amp;" "&amp;B954, 'Info Tipo de Cambio y REM'!$A$24:$B$47, 2, FALSE))</f>
        <v/>
      </c>
      <c r="R954" s="109" t="str">
        <f t="shared" si="1"/>
        <v/>
      </c>
      <c r="S954" s="71" t="str">
        <f t="shared" si="2"/>
        <v/>
      </c>
      <c r="T954" s="71">
        <f t="shared" si="3"/>
        <v>0</v>
      </c>
      <c r="U954" s="43"/>
      <c r="V954" s="486"/>
      <c r="W954" s="43"/>
      <c r="X954" s="43"/>
    </row>
    <row r="955" hidden="1">
      <c r="A955" s="51"/>
      <c r="B955" s="43"/>
      <c r="C955" s="51"/>
      <c r="D955" s="43"/>
      <c r="E955" s="43"/>
      <c r="F955" s="43"/>
      <c r="G955" s="43"/>
      <c r="H955" s="43"/>
      <c r="I955" s="43"/>
      <c r="J955" s="443"/>
      <c r="K955" s="43"/>
      <c r="L955" s="89"/>
      <c r="M955" s="89"/>
      <c r="O955" s="71">
        <f t="shared" si="21"/>
        <v>0</v>
      </c>
      <c r="P955" s="89">
        <f t="shared" si="22"/>
        <v>0</v>
      </c>
      <c r="Q955" s="491" t="str">
        <f>IF(ISBLANK(M955), "", VLOOKUP(A955&amp;" "&amp;B955, 'Info Tipo de Cambio y REM'!$A$24:$B$47, 2, FALSE))</f>
        <v/>
      </c>
      <c r="R955" s="109" t="str">
        <f t="shared" si="1"/>
        <v/>
      </c>
      <c r="S955" s="71" t="str">
        <f t="shared" si="2"/>
        <v/>
      </c>
      <c r="T955" s="71">
        <f t="shared" si="3"/>
        <v>0</v>
      </c>
      <c r="U955" s="43"/>
      <c r="V955" s="486"/>
      <c r="W955" s="43"/>
      <c r="X955" s="43"/>
    </row>
    <row r="956" hidden="1">
      <c r="A956" s="51"/>
      <c r="B956" s="43"/>
      <c r="C956" s="51"/>
      <c r="D956" s="43"/>
      <c r="E956" s="43"/>
      <c r="F956" s="43"/>
      <c r="G956" s="43"/>
      <c r="H956" s="43"/>
      <c r="I956" s="43"/>
      <c r="J956" s="443"/>
      <c r="K956" s="43"/>
      <c r="L956" s="89"/>
      <c r="M956" s="89"/>
      <c r="O956" s="71">
        <f t="shared" si="21"/>
        <v>0</v>
      </c>
      <c r="P956" s="89">
        <f t="shared" si="22"/>
        <v>0</v>
      </c>
      <c r="Q956" s="491" t="str">
        <f>IF(ISBLANK(M956), "", VLOOKUP(A956&amp;" "&amp;B956, 'Info Tipo de Cambio y REM'!$A$24:$B$47, 2, FALSE))</f>
        <v/>
      </c>
      <c r="R956" s="109" t="str">
        <f t="shared" si="1"/>
        <v/>
      </c>
      <c r="S956" s="71" t="str">
        <f t="shared" si="2"/>
        <v/>
      </c>
      <c r="T956" s="71">
        <f t="shared" si="3"/>
        <v>0</v>
      </c>
      <c r="U956" s="43"/>
      <c r="V956" s="486"/>
      <c r="W956" s="43"/>
      <c r="X956" s="43"/>
    </row>
    <row r="957" hidden="1">
      <c r="A957" s="51"/>
      <c r="B957" s="43"/>
      <c r="C957" s="51"/>
      <c r="D957" s="43"/>
      <c r="E957" s="43"/>
      <c r="F957" s="43"/>
      <c r="G957" s="43"/>
      <c r="H957" s="43"/>
      <c r="I957" s="43"/>
      <c r="J957" s="443"/>
      <c r="K957" s="43"/>
      <c r="L957" s="89"/>
      <c r="M957" s="89"/>
      <c r="O957" s="71">
        <f t="shared" si="21"/>
        <v>0</v>
      </c>
      <c r="P957" s="89">
        <f t="shared" si="22"/>
        <v>0</v>
      </c>
      <c r="Q957" s="491" t="str">
        <f>IF(ISBLANK(M957), "", VLOOKUP(A957&amp;" "&amp;B957, 'Info Tipo de Cambio y REM'!$A$24:$B$47, 2, FALSE))</f>
        <v/>
      </c>
      <c r="R957" s="109" t="str">
        <f t="shared" si="1"/>
        <v/>
      </c>
      <c r="S957" s="71" t="str">
        <f t="shared" si="2"/>
        <v/>
      </c>
      <c r="T957" s="71">
        <f t="shared" si="3"/>
        <v>0</v>
      </c>
      <c r="U957" s="43"/>
      <c r="V957" s="486"/>
      <c r="W957" s="43"/>
      <c r="X957" s="43"/>
    </row>
    <row r="958" hidden="1">
      <c r="A958" s="51"/>
      <c r="B958" s="43"/>
      <c r="C958" s="51"/>
      <c r="D958" s="43"/>
      <c r="E958" s="43"/>
      <c r="F958" s="43"/>
      <c r="G958" s="43"/>
      <c r="H958" s="43"/>
      <c r="I958" s="43"/>
      <c r="J958" s="443"/>
      <c r="K958" s="43"/>
      <c r="L958" s="89"/>
      <c r="M958" s="89"/>
      <c r="O958" s="71">
        <f t="shared" si="21"/>
        <v>0</v>
      </c>
      <c r="P958" s="89">
        <f t="shared" si="22"/>
        <v>0</v>
      </c>
      <c r="Q958" s="491" t="str">
        <f>IF(ISBLANK(M958), "", VLOOKUP(A958&amp;" "&amp;B958, 'Info Tipo de Cambio y REM'!$A$24:$B$47, 2, FALSE))</f>
        <v/>
      </c>
      <c r="R958" s="109" t="str">
        <f t="shared" si="1"/>
        <v/>
      </c>
      <c r="S958" s="71" t="str">
        <f t="shared" si="2"/>
        <v/>
      </c>
      <c r="T958" s="71">
        <f t="shared" si="3"/>
        <v>0</v>
      </c>
      <c r="U958" s="43"/>
      <c r="V958" s="486"/>
      <c r="W958" s="43"/>
      <c r="X958" s="43"/>
    </row>
    <row r="959" hidden="1">
      <c r="A959" s="51"/>
      <c r="B959" s="43"/>
      <c r="C959" s="51"/>
      <c r="D959" s="43"/>
      <c r="E959" s="43"/>
      <c r="F959" s="43"/>
      <c r="G959" s="43"/>
      <c r="H959" s="43"/>
      <c r="I959" s="43"/>
      <c r="J959" s="443"/>
      <c r="K959" s="43"/>
      <c r="L959" s="89"/>
      <c r="M959" s="89"/>
      <c r="O959" s="71">
        <f t="shared" si="21"/>
        <v>0</v>
      </c>
      <c r="P959" s="89">
        <f t="shared" si="22"/>
        <v>0</v>
      </c>
      <c r="Q959" s="491" t="str">
        <f>IF(ISBLANK(M959), "", VLOOKUP(A959&amp;" "&amp;B959, 'Info Tipo de Cambio y REM'!$A$24:$B$47, 2, FALSE))</f>
        <v/>
      </c>
      <c r="R959" s="109" t="str">
        <f t="shared" si="1"/>
        <v/>
      </c>
      <c r="S959" s="71" t="str">
        <f t="shared" si="2"/>
        <v/>
      </c>
      <c r="T959" s="71">
        <f t="shared" si="3"/>
        <v>0</v>
      </c>
      <c r="U959" s="43"/>
      <c r="V959" s="486"/>
      <c r="W959" s="43"/>
      <c r="X959" s="43"/>
    </row>
    <row r="960" hidden="1">
      <c r="A960" s="51"/>
      <c r="B960" s="43"/>
      <c r="C960" s="51"/>
      <c r="D960" s="43"/>
      <c r="E960" s="43"/>
      <c r="F960" s="43"/>
      <c r="G960" s="43"/>
      <c r="H960" s="43"/>
      <c r="I960" s="43"/>
      <c r="J960" s="443"/>
      <c r="K960" s="43"/>
      <c r="L960" s="89"/>
      <c r="M960" s="89"/>
      <c r="O960" s="71">
        <f t="shared" si="21"/>
        <v>0</v>
      </c>
      <c r="P960" s="89">
        <f t="shared" si="22"/>
        <v>0</v>
      </c>
      <c r="Q960" s="491" t="str">
        <f>IF(ISBLANK(M960), "", VLOOKUP(A960&amp;" "&amp;B960, 'Info Tipo de Cambio y REM'!$A$24:$B$47, 2, FALSE))</f>
        <v/>
      </c>
      <c r="R960" s="109" t="str">
        <f t="shared" si="1"/>
        <v/>
      </c>
      <c r="S960" s="71" t="str">
        <f t="shared" si="2"/>
        <v/>
      </c>
      <c r="T960" s="71">
        <f t="shared" si="3"/>
        <v>0</v>
      </c>
      <c r="U960" s="43"/>
      <c r="V960" s="486"/>
      <c r="W960" s="43"/>
      <c r="X960" s="43"/>
    </row>
    <row r="961" hidden="1">
      <c r="A961" s="51"/>
      <c r="B961" s="43"/>
      <c r="C961" s="51"/>
      <c r="D961" s="43"/>
      <c r="E961" s="43"/>
      <c r="F961" s="43"/>
      <c r="G961" s="43"/>
      <c r="H961" s="43"/>
      <c r="I961" s="43"/>
      <c r="J961" s="443"/>
      <c r="K961" s="43"/>
      <c r="L961" s="89"/>
      <c r="M961" s="89"/>
      <c r="O961" s="71">
        <f t="shared" si="21"/>
        <v>0</v>
      </c>
      <c r="P961" s="89">
        <f t="shared" si="22"/>
        <v>0</v>
      </c>
      <c r="Q961" s="491" t="str">
        <f>IF(ISBLANK(M961), "", VLOOKUP(A961&amp;" "&amp;B961, 'Info Tipo de Cambio y REM'!$A$24:$B$47, 2, FALSE))</f>
        <v/>
      </c>
      <c r="R961" s="109" t="str">
        <f t="shared" si="1"/>
        <v/>
      </c>
      <c r="S961" s="71" t="str">
        <f t="shared" si="2"/>
        <v/>
      </c>
      <c r="T961" s="71">
        <f t="shared" si="3"/>
        <v>0</v>
      </c>
      <c r="U961" s="43"/>
      <c r="V961" s="486"/>
      <c r="W961" s="43"/>
      <c r="X961" s="43"/>
    </row>
    <row r="962" hidden="1">
      <c r="A962" s="51"/>
      <c r="B962" s="43"/>
      <c r="C962" s="51"/>
      <c r="D962" s="43"/>
      <c r="E962" s="43"/>
      <c r="F962" s="43"/>
      <c r="G962" s="43"/>
      <c r="H962" s="43"/>
      <c r="I962" s="43"/>
      <c r="J962" s="443"/>
      <c r="K962" s="43"/>
      <c r="L962" s="89"/>
      <c r="M962" s="89"/>
      <c r="O962" s="71">
        <f t="shared" si="21"/>
        <v>0</v>
      </c>
      <c r="P962" s="89">
        <f t="shared" si="22"/>
        <v>0</v>
      </c>
      <c r="Q962" s="491" t="str">
        <f>IF(ISBLANK(M962), "", VLOOKUP(A962&amp;" "&amp;B962, 'Info Tipo de Cambio y REM'!$A$24:$B$47, 2, FALSE))</f>
        <v/>
      </c>
      <c r="R962" s="109" t="str">
        <f t="shared" si="1"/>
        <v/>
      </c>
      <c r="S962" s="71" t="str">
        <f t="shared" si="2"/>
        <v/>
      </c>
      <c r="T962" s="71">
        <f t="shared" si="3"/>
        <v>0</v>
      </c>
      <c r="U962" s="43"/>
      <c r="V962" s="486"/>
      <c r="W962" s="43"/>
      <c r="X962" s="43"/>
    </row>
    <row r="963" hidden="1">
      <c r="A963" s="51"/>
      <c r="B963" s="43"/>
      <c r="C963" s="51"/>
      <c r="D963" s="43"/>
      <c r="E963" s="43"/>
      <c r="F963" s="43"/>
      <c r="G963" s="43"/>
      <c r="H963" s="43"/>
      <c r="I963" s="43"/>
      <c r="J963" s="443"/>
      <c r="K963" s="43"/>
      <c r="L963" s="89"/>
      <c r="M963" s="89"/>
      <c r="O963" s="71">
        <f t="shared" si="21"/>
        <v>0</v>
      </c>
      <c r="P963" s="89">
        <f t="shared" si="22"/>
        <v>0</v>
      </c>
      <c r="Q963" s="491" t="str">
        <f>IF(ISBLANK(M963), "", VLOOKUP(A963&amp;" "&amp;B963, 'Info Tipo de Cambio y REM'!$A$24:$B$47, 2, FALSE))</f>
        <v/>
      </c>
      <c r="R963" s="109" t="str">
        <f t="shared" si="1"/>
        <v/>
      </c>
      <c r="S963" s="71" t="str">
        <f t="shared" si="2"/>
        <v/>
      </c>
      <c r="T963" s="71">
        <f t="shared" si="3"/>
        <v>0</v>
      </c>
      <c r="U963" s="43"/>
      <c r="V963" s="486"/>
      <c r="W963" s="43"/>
      <c r="X963" s="43"/>
    </row>
    <row r="964" hidden="1">
      <c r="A964" s="51"/>
      <c r="B964" s="43"/>
      <c r="C964" s="51"/>
      <c r="D964" s="43"/>
      <c r="E964" s="43"/>
      <c r="F964" s="43"/>
      <c r="G964" s="43"/>
      <c r="H964" s="43"/>
      <c r="I964" s="43"/>
      <c r="J964" s="443"/>
      <c r="K964" s="43"/>
      <c r="L964" s="89"/>
      <c r="M964" s="89"/>
      <c r="O964" s="71">
        <f t="shared" si="21"/>
        <v>0</v>
      </c>
      <c r="P964" s="89">
        <f t="shared" si="22"/>
        <v>0</v>
      </c>
      <c r="Q964" s="491" t="str">
        <f>IF(ISBLANK(M964), "", VLOOKUP(A964&amp;" "&amp;B964, 'Info Tipo de Cambio y REM'!$A$24:$B$47, 2, FALSE))</f>
        <v/>
      </c>
      <c r="R964" s="109" t="str">
        <f t="shared" si="1"/>
        <v/>
      </c>
      <c r="S964" s="71" t="str">
        <f t="shared" si="2"/>
        <v/>
      </c>
      <c r="T964" s="71">
        <f t="shared" si="3"/>
        <v>0</v>
      </c>
      <c r="U964" s="43"/>
      <c r="V964" s="486"/>
      <c r="W964" s="43"/>
      <c r="X964" s="43"/>
    </row>
    <row r="965" hidden="1">
      <c r="A965" s="51"/>
      <c r="B965" s="43"/>
      <c r="C965" s="51"/>
      <c r="D965" s="43"/>
      <c r="E965" s="43"/>
      <c r="F965" s="43"/>
      <c r="G965" s="43"/>
      <c r="H965" s="43"/>
      <c r="I965" s="43"/>
      <c r="J965" s="443"/>
      <c r="K965" s="43"/>
      <c r="L965" s="89"/>
      <c r="M965" s="89"/>
      <c r="O965" s="71">
        <f t="shared" si="21"/>
        <v>0</v>
      </c>
      <c r="P965" s="89">
        <f t="shared" si="22"/>
        <v>0</v>
      </c>
      <c r="Q965" s="491" t="str">
        <f>IF(ISBLANK(M965), "", VLOOKUP(A965&amp;" "&amp;B965, 'Info Tipo de Cambio y REM'!$A$24:$B$47, 2, FALSE))</f>
        <v/>
      </c>
      <c r="R965" s="109" t="str">
        <f t="shared" si="1"/>
        <v/>
      </c>
      <c r="S965" s="71" t="str">
        <f t="shared" si="2"/>
        <v/>
      </c>
      <c r="T965" s="71">
        <f t="shared" si="3"/>
        <v>0</v>
      </c>
      <c r="U965" s="43"/>
      <c r="V965" s="486"/>
      <c r="W965" s="43"/>
      <c r="X965" s="43"/>
    </row>
    <row r="966" hidden="1">
      <c r="A966" s="51"/>
      <c r="B966" s="43"/>
      <c r="C966" s="51"/>
      <c r="D966" s="43"/>
      <c r="E966" s="43"/>
      <c r="F966" s="43"/>
      <c r="G966" s="43"/>
      <c r="H966" s="43"/>
      <c r="I966" s="43"/>
      <c r="J966" s="443"/>
      <c r="K966" s="43"/>
      <c r="L966" s="89"/>
      <c r="M966" s="89"/>
      <c r="O966" s="71">
        <f t="shared" si="21"/>
        <v>0</v>
      </c>
      <c r="P966" s="89">
        <f t="shared" si="22"/>
        <v>0</v>
      </c>
      <c r="Q966" s="491" t="str">
        <f>IF(ISBLANK(M966), "", VLOOKUP(A966&amp;" "&amp;B966, 'Info Tipo de Cambio y REM'!$A$24:$B$47, 2, FALSE))</f>
        <v/>
      </c>
      <c r="R966" s="109" t="str">
        <f t="shared" si="1"/>
        <v/>
      </c>
      <c r="S966" s="71" t="str">
        <f t="shared" si="2"/>
        <v/>
      </c>
      <c r="T966" s="71">
        <f t="shared" si="3"/>
        <v>0</v>
      </c>
      <c r="U966" s="43"/>
      <c r="V966" s="486"/>
      <c r="W966" s="43"/>
      <c r="X966" s="43"/>
    </row>
    <row r="967" hidden="1">
      <c r="A967" s="51"/>
      <c r="B967" s="43"/>
      <c r="C967" s="51"/>
      <c r="D967" s="43"/>
      <c r="E967" s="43"/>
      <c r="F967" s="43"/>
      <c r="G967" s="43"/>
      <c r="H967" s="43"/>
      <c r="I967" s="43"/>
      <c r="J967" s="443"/>
      <c r="K967" s="43"/>
      <c r="L967" s="89"/>
      <c r="M967" s="89"/>
      <c r="O967" s="71">
        <f t="shared" si="21"/>
        <v>0</v>
      </c>
      <c r="P967" s="89">
        <f t="shared" si="22"/>
        <v>0</v>
      </c>
      <c r="Q967" s="491" t="str">
        <f>IF(ISBLANK(M967), "", VLOOKUP(A967&amp;" "&amp;B967, 'Info Tipo de Cambio y REM'!$A$24:$B$47, 2, FALSE))</f>
        <v/>
      </c>
      <c r="R967" s="109" t="str">
        <f t="shared" si="1"/>
        <v/>
      </c>
      <c r="S967" s="71" t="str">
        <f t="shared" si="2"/>
        <v/>
      </c>
      <c r="T967" s="71">
        <f t="shared" si="3"/>
        <v>0</v>
      </c>
      <c r="U967" s="43"/>
      <c r="V967" s="486"/>
      <c r="W967" s="43"/>
      <c r="X967" s="43"/>
    </row>
    <row r="968" hidden="1">
      <c r="A968" s="51"/>
      <c r="B968" s="43"/>
      <c r="C968" s="51"/>
      <c r="D968" s="43"/>
      <c r="E968" s="43"/>
      <c r="F968" s="43"/>
      <c r="G968" s="43"/>
      <c r="H968" s="43"/>
      <c r="I968" s="43"/>
      <c r="J968" s="443"/>
      <c r="K968" s="43"/>
      <c r="L968" s="89"/>
      <c r="M968" s="89"/>
      <c r="O968" s="71">
        <f t="shared" si="21"/>
        <v>0</v>
      </c>
      <c r="P968" s="89">
        <f t="shared" si="22"/>
        <v>0</v>
      </c>
      <c r="Q968" s="491" t="str">
        <f>IF(ISBLANK(M968), "", VLOOKUP(A968&amp;" "&amp;B968, 'Info Tipo de Cambio y REM'!$A$24:$B$47, 2, FALSE))</f>
        <v/>
      </c>
      <c r="R968" s="109" t="str">
        <f t="shared" si="1"/>
        <v/>
      </c>
      <c r="S968" s="71" t="str">
        <f t="shared" si="2"/>
        <v/>
      </c>
      <c r="T968" s="71">
        <f t="shared" si="3"/>
        <v>0</v>
      </c>
      <c r="U968" s="43"/>
      <c r="V968" s="486"/>
      <c r="W968" s="43"/>
      <c r="X968" s="43"/>
    </row>
    <row r="969" hidden="1">
      <c r="A969" s="51"/>
      <c r="B969" s="43"/>
      <c r="C969" s="51"/>
      <c r="D969" s="43"/>
      <c r="E969" s="43"/>
      <c r="F969" s="43"/>
      <c r="G969" s="43"/>
      <c r="H969" s="43"/>
      <c r="I969" s="43"/>
      <c r="J969" s="443"/>
      <c r="K969" s="43"/>
      <c r="L969" s="89"/>
      <c r="M969" s="89"/>
      <c r="O969" s="71">
        <f t="shared" si="21"/>
        <v>0</v>
      </c>
      <c r="P969" s="89">
        <f t="shared" si="22"/>
        <v>0</v>
      </c>
      <c r="Q969" s="491" t="str">
        <f>IF(ISBLANK(M969), "", VLOOKUP(A969&amp;" "&amp;B969, 'Info Tipo de Cambio y REM'!$A$24:$B$47, 2, FALSE))</f>
        <v/>
      </c>
      <c r="R969" s="109" t="str">
        <f t="shared" si="1"/>
        <v/>
      </c>
      <c r="S969" s="71" t="str">
        <f t="shared" si="2"/>
        <v/>
      </c>
      <c r="T969" s="71">
        <f t="shared" si="3"/>
        <v>0</v>
      </c>
      <c r="U969" s="43"/>
      <c r="V969" s="486"/>
      <c r="W969" s="43"/>
      <c r="X969" s="43"/>
    </row>
    <row r="970" hidden="1">
      <c r="A970" s="51"/>
      <c r="B970" s="43"/>
      <c r="C970" s="51"/>
      <c r="D970" s="43"/>
      <c r="E970" s="43"/>
      <c r="F970" s="43"/>
      <c r="G970" s="43"/>
      <c r="H970" s="43"/>
      <c r="I970" s="43"/>
      <c r="J970" s="443"/>
      <c r="K970" s="43"/>
      <c r="L970" s="89"/>
      <c r="M970" s="89"/>
      <c r="O970" s="71">
        <f t="shared" si="21"/>
        <v>0</v>
      </c>
      <c r="P970" s="89">
        <f t="shared" si="22"/>
        <v>0</v>
      </c>
      <c r="Q970" s="491" t="str">
        <f>IF(ISBLANK(M970), "", VLOOKUP(A970&amp;" "&amp;B970, 'Info Tipo de Cambio y REM'!$A$24:$B$47, 2, FALSE))</f>
        <v/>
      </c>
      <c r="R970" s="109" t="str">
        <f t="shared" si="1"/>
        <v/>
      </c>
      <c r="S970" s="71" t="str">
        <f t="shared" si="2"/>
        <v/>
      </c>
      <c r="T970" s="71">
        <f t="shared" si="3"/>
        <v>0</v>
      </c>
      <c r="U970" s="43"/>
      <c r="V970" s="486"/>
      <c r="W970" s="43"/>
      <c r="X970" s="43"/>
    </row>
    <row r="971" hidden="1">
      <c r="A971" s="51"/>
      <c r="B971" s="43"/>
      <c r="C971" s="51"/>
      <c r="D971" s="43"/>
      <c r="E971" s="43"/>
      <c r="F971" s="43"/>
      <c r="G971" s="43"/>
      <c r="H971" s="43"/>
      <c r="I971" s="43"/>
      <c r="J971" s="443"/>
      <c r="K971" s="43"/>
      <c r="L971" s="89"/>
      <c r="M971" s="89"/>
      <c r="O971" s="71">
        <f t="shared" si="21"/>
        <v>0</v>
      </c>
      <c r="P971" s="89">
        <f t="shared" si="22"/>
        <v>0</v>
      </c>
      <c r="Q971" s="491" t="str">
        <f>IF(ISBLANK(M971), "", VLOOKUP(A971&amp;" "&amp;B971, 'Info Tipo de Cambio y REM'!$A$24:$B$47, 2, FALSE))</f>
        <v/>
      </c>
      <c r="R971" s="109" t="str">
        <f t="shared" si="1"/>
        <v/>
      </c>
      <c r="S971" s="71" t="str">
        <f t="shared" si="2"/>
        <v/>
      </c>
      <c r="T971" s="71">
        <f t="shared" si="3"/>
        <v>0</v>
      </c>
      <c r="U971" s="43"/>
      <c r="V971" s="486"/>
      <c r="W971" s="43"/>
      <c r="X971" s="43"/>
    </row>
    <row r="972" hidden="1">
      <c r="A972" s="51"/>
      <c r="B972" s="43"/>
      <c r="C972" s="51"/>
      <c r="D972" s="43"/>
      <c r="E972" s="43"/>
      <c r="F972" s="43"/>
      <c r="G972" s="43"/>
      <c r="H972" s="43"/>
      <c r="I972" s="43"/>
      <c r="J972" s="443"/>
      <c r="K972" s="43"/>
      <c r="L972" s="89"/>
      <c r="M972" s="89"/>
      <c r="O972" s="71">
        <f t="shared" si="21"/>
        <v>0</v>
      </c>
      <c r="P972" s="89">
        <f t="shared" si="22"/>
        <v>0</v>
      </c>
      <c r="Q972" s="491" t="str">
        <f>IF(ISBLANK(M972), "", VLOOKUP(A972&amp;" "&amp;B972, 'Info Tipo de Cambio y REM'!$A$24:$B$47, 2, FALSE))</f>
        <v/>
      </c>
      <c r="R972" s="109" t="str">
        <f t="shared" si="1"/>
        <v/>
      </c>
      <c r="S972" s="71" t="str">
        <f t="shared" si="2"/>
        <v/>
      </c>
      <c r="T972" s="71">
        <f t="shared" si="3"/>
        <v>0</v>
      </c>
      <c r="U972" s="43"/>
      <c r="V972" s="486"/>
      <c r="W972" s="43"/>
      <c r="X972" s="43"/>
    </row>
    <row r="973" hidden="1">
      <c r="A973" s="51"/>
      <c r="B973" s="43"/>
      <c r="C973" s="51"/>
      <c r="D973" s="43"/>
      <c r="E973" s="43"/>
      <c r="F973" s="43"/>
      <c r="G973" s="43"/>
      <c r="H973" s="43"/>
      <c r="I973" s="43"/>
      <c r="J973" s="443"/>
      <c r="K973" s="43"/>
      <c r="L973" s="89"/>
      <c r="M973" s="89"/>
      <c r="O973" s="71">
        <f t="shared" si="21"/>
        <v>0</v>
      </c>
      <c r="P973" s="89">
        <f t="shared" si="22"/>
        <v>0</v>
      </c>
      <c r="Q973" s="491" t="str">
        <f>IF(ISBLANK(M973), "", VLOOKUP(A973&amp;" "&amp;B973, 'Info Tipo de Cambio y REM'!$A$24:$B$47, 2, FALSE))</f>
        <v/>
      </c>
      <c r="R973" s="109" t="str">
        <f t="shared" si="1"/>
        <v/>
      </c>
      <c r="S973" s="71" t="str">
        <f t="shared" si="2"/>
        <v/>
      </c>
      <c r="T973" s="71">
        <f t="shared" si="3"/>
        <v>0</v>
      </c>
      <c r="U973" s="43"/>
      <c r="V973" s="486"/>
      <c r="W973" s="43"/>
      <c r="X973" s="43"/>
    </row>
    <row r="974" hidden="1">
      <c r="A974" s="51"/>
      <c r="B974" s="43"/>
      <c r="C974" s="51"/>
      <c r="D974" s="43"/>
      <c r="E974" s="43"/>
      <c r="F974" s="43"/>
      <c r="G974" s="43"/>
      <c r="H974" s="43"/>
      <c r="I974" s="43"/>
      <c r="J974" s="443"/>
      <c r="K974" s="43"/>
      <c r="L974" s="89"/>
      <c r="M974" s="89"/>
      <c r="O974" s="71">
        <f t="shared" si="21"/>
        <v>0</v>
      </c>
      <c r="P974" s="89">
        <f t="shared" si="22"/>
        <v>0</v>
      </c>
      <c r="Q974" s="491" t="str">
        <f>IF(ISBLANK(M974), "", VLOOKUP(A974&amp;" "&amp;B974, 'Info Tipo de Cambio y REM'!$A$24:$B$47, 2, FALSE))</f>
        <v/>
      </c>
      <c r="R974" s="109" t="str">
        <f t="shared" si="1"/>
        <v/>
      </c>
      <c r="S974" s="71" t="str">
        <f t="shared" si="2"/>
        <v/>
      </c>
      <c r="T974" s="71">
        <f t="shared" si="3"/>
        <v>0</v>
      </c>
      <c r="U974" s="43"/>
      <c r="V974" s="486"/>
      <c r="W974" s="43"/>
      <c r="X974" s="43"/>
    </row>
    <row r="975" hidden="1">
      <c r="A975" s="51"/>
      <c r="B975" s="43"/>
      <c r="C975" s="51"/>
      <c r="D975" s="43"/>
      <c r="E975" s="43"/>
      <c r="F975" s="43"/>
      <c r="G975" s="43"/>
      <c r="H975" s="43"/>
      <c r="I975" s="43"/>
      <c r="J975" s="443"/>
      <c r="K975" s="43"/>
      <c r="L975" s="89"/>
      <c r="M975" s="89"/>
      <c r="O975" s="71">
        <f t="shared" si="21"/>
        <v>0</v>
      </c>
      <c r="P975" s="89">
        <f t="shared" si="22"/>
        <v>0</v>
      </c>
      <c r="Q975" s="491" t="str">
        <f>IF(ISBLANK(M975), "", VLOOKUP(A975&amp;" "&amp;B975, 'Info Tipo de Cambio y REM'!$A$24:$B$47, 2, FALSE))</f>
        <v/>
      </c>
      <c r="R975" s="109" t="str">
        <f t="shared" si="1"/>
        <v/>
      </c>
      <c r="S975" s="71" t="str">
        <f t="shared" si="2"/>
        <v/>
      </c>
      <c r="T975" s="71">
        <f t="shared" si="3"/>
        <v>0</v>
      </c>
      <c r="U975" s="43"/>
      <c r="V975" s="486"/>
      <c r="W975" s="43"/>
      <c r="X975" s="43"/>
    </row>
    <row r="976" hidden="1">
      <c r="A976" s="51"/>
      <c r="B976" s="43"/>
      <c r="C976" s="51"/>
      <c r="D976" s="43"/>
      <c r="E976" s="43"/>
      <c r="F976" s="43"/>
      <c r="G976" s="43"/>
      <c r="H976" s="43"/>
      <c r="I976" s="43"/>
      <c r="J976" s="443"/>
      <c r="K976" s="43"/>
      <c r="L976" s="89"/>
      <c r="M976" s="89"/>
      <c r="O976" s="71">
        <f t="shared" si="21"/>
        <v>0</v>
      </c>
      <c r="P976" s="89">
        <f t="shared" si="22"/>
        <v>0</v>
      </c>
      <c r="Q976" s="491" t="str">
        <f>IF(ISBLANK(M976), "", VLOOKUP(A976&amp;" "&amp;B976, 'Info Tipo de Cambio y REM'!$A$24:$B$47, 2, FALSE))</f>
        <v/>
      </c>
      <c r="R976" s="109" t="str">
        <f t="shared" si="1"/>
        <v/>
      </c>
      <c r="S976" s="71" t="str">
        <f t="shared" si="2"/>
        <v/>
      </c>
      <c r="T976" s="71">
        <f t="shared" si="3"/>
        <v>0</v>
      </c>
      <c r="U976" s="43"/>
      <c r="V976" s="486"/>
      <c r="W976" s="43"/>
      <c r="X976" s="43"/>
    </row>
    <row r="977" hidden="1">
      <c r="A977" s="51"/>
      <c r="B977" s="43"/>
      <c r="C977" s="51"/>
      <c r="D977" s="43"/>
      <c r="E977" s="43"/>
      <c r="F977" s="43"/>
      <c r="G977" s="43"/>
      <c r="H977" s="43"/>
      <c r="I977" s="43"/>
      <c r="J977" s="443"/>
      <c r="K977" s="43"/>
      <c r="L977" s="89"/>
      <c r="M977" s="89"/>
      <c r="O977" s="71">
        <f t="shared" si="21"/>
        <v>0</v>
      </c>
      <c r="P977" s="89">
        <f t="shared" si="22"/>
        <v>0</v>
      </c>
      <c r="Q977" s="491" t="str">
        <f>IF(ISBLANK(M977), "", VLOOKUP(A977&amp;" "&amp;B977, 'Info Tipo de Cambio y REM'!$A$24:$B$47, 2, FALSE))</f>
        <v/>
      </c>
      <c r="R977" s="109" t="str">
        <f t="shared" si="1"/>
        <v/>
      </c>
      <c r="S977" s="71" t="str">
        <f t="shared" si="2"/>
        <v/>
      </c>
      <c r="T977" s="71">
        <f t="shared" si="3"/>
        <v>0</v>
      </c>
      <c r="U977" s="43"/>
      <c r="V977" s="486"/>
      <c r="W977" s="43"/>
      <c r="X977" s="43"/>
    </row>
    <row r="978" hidden="1">
      <c r="A978" s="51"/>
      <c r="B978" s="43"/>
      <c r="C978" s="51"/>
      <c r="D978" s="43"/>
      <c r="E978" s="43"/>
      <c r="F978" s="43"/>
      <c r="G978" s="43"/>
      <c r="H978" s="43"/>
      <c r="I978" s="43"/>
      <c r="J978" s="443"/>
      <c r="K978" s="43"/>
      <c r="L978" s="89"/>
      <c r="M978" s="89"/>
      <c r="O978" s="71">
        <f t="shared" si="21"/>
        <v>0</v>
      </c>
      <c r="P978" s="89">
        <f t="shared" si="22"/>
        <v>0</v>
      </c>
      <c r="Q978" s="491" t="str">
        <f>IF(ISBLANK(M978), "", VLOOKUP(A978&amp;" "&amp;B978, 'Info Tipo de Cambio y REM'!$A$24:$B$47, 2, FALSE))</f>
        <v/>
      </c>
      <c r="R978" s="109" t="str">
        <f t="shared" si="1"/>
        <v/>
      </c>
      <c r="S978" s="71" t="str">
        <f t="shared" si="2"/>
        <v/>
      </c>
      <c r="T978" s="71">
        <f t="shared" si="3"/>
        <v>0</v>
      </c>
      <c r="U978" s="43"/>
      <c r="V978" s="486"/>
      <c r="W978" s="43"/>
      <c r="X978" s="43"/>
    </row>
    <row r="979" hidden="1">
      <c r="A979" s="51"/>
      <c r="B979" s="43"/>
      <c r="C979" s="51"/>
      <c r="D979" s="43"/>
      <c r="E979" s="43"/>
      <c r="F979" s="43"/>
      <c r="G979" s="43"/>
      <c r="H979" s="43"/>
      <c r="I979" s="43"/>
      <c r="J979" s="443"/>
      <c r="K979" s="43"/>
      <c r="L979" s="89"/>
      <c r="M979" s="89"/>
      <c r="O979" s="71">
        <f t="shared" si="21"/>
        <v>0</v>
      </c>
      <c r="P979" s="89">
        <f t="shared" si="22"/>
        <v>0</v>
      </c>
      <c r="Q979" s="491" t="str">
        <f>IF(ISBLANK(M979), "", VLOOKUP(A979&amp;" "&amp;B979, 'Info Tipo de Cambio y REM'!$A$24:$B$47, 2, FALSE))</f>
        <v/>
      </c>
      <c r="R979" s="109" t="str">
        <f t="shared" si="1"/>
        <v/>
      </c>
      <c r="S979" s="71" t="str">
        <f t="shared" si="2"/>
        <v/>
      </c>
      <c r="T979" s="71">
        <f t="shared" si="3"/>
        <v>0</v>
      </c>
      <c r="U979" s="43"/>
      <c r="V979" s="486"/>
      <c r="W979" s="43"/>
      <c r="X979" s="43"/>
    </row>
    <row r="980" hidden="1">
      <c r="A980" s="51"/>
      <c r="B980" s="43"/>
      <c r="C980" s="51"/>
      <c r="D980" s="43"/>
      <c r="E980" s="43"/>
      <c r="F980" s="43"/>
      <c r="G980" s="43"/>
      <c r="H980" s="43"/>
      <c r="I980" s="43"/>
      <c r="J980" s="443"/>
      <c r="K980" s="43"/>
      <c r="L980" s="89"/>
      <c r="M980" s="89"/>
      <c r="O980" s="71">
        <f t="shared" si="21"/>
        <v>0</v>
      </c>
      <c r="P980" s="89">
        <f t="shared" si="22"/>
        <v>0</v>
      </c>
      <c r="Q980" s="491" t="str">
        <f>IF(ISBLANK(M980), "", VLOOKUP(A980&amp;" "&amp;B980, 'Info Tipo de Cambio y REM'!$A$24:$B$47, 2, FALSE))</f>
        <v/>
      </c>
      <c r="R980" s="109" t="str">
        <f t="shared" si="1"/>
        <v/>
      </c>
      <c r="S980" s="71" t="str">
        <f t="shared" si="2"/>
        <v/>
      </c>
      <c r="T980" s="71">
        <f t="shared" si="3"/>
        <v>0</v>
      </c>
      <c r="U980" s="43"/>
      <c r="V980" s="486"/>
      <c r="W980" s="43"/>
      <c r="X980" s="43"/>
    </row>
    <row r="981" hidden="1">
      <c r="A981" s="51"/>
      <c r="B981" s="43"/>
      <c r="C981" s="51"/>
      <c r="D981" s="43"/>
      <c r="E981" s="43"/>
      <c r="F981" s="43"/>
      <c r="G981" s="43"/>
      <c r="H981" s="43"/>
      <c r="I981" s="43"/>
      <c r="J981" s="443"/>
      <c r="K981" s="43"/>
      <c r="L981" s="89"/>
      <c r="M981" s="89"/>
      <c r="O981" s="71">
        <f t="shared" si="21"/>
        <v>0</v>
      </c>
      <c r="P981" s="89">
        <f t="shared" si="22"/>
        <v>0</v>
      </c>
      <c r="Q981" s="491" t="str">
        <f>IF(ISBLANK(M981), "", VLOOKUP(A981&amp;" "&amp;B981, 'Info Tipo de Cambio y REM'!$A$24:$B$47, 2, FALSE))</f>
        <v/>
      </c>
      <c r="R981" s="109" t="str">
        <f t="shared" si="1"/>
        <v/>
      </c>
      <c r="S981" s="71" t="str">
        <f t="shared" si="2"/>
        <v/>
      </c>
      <c r="T981" s="71">
        <f t="shared" si="3"/>
        <v>0</v>
      </c>
      <c r="U981" s="43"/>
      <c r="V981" s="486"/>
      <c r="W981" s="43"/>
      <c r="X981" s="43"/>
    </row>
    <row r="982" hidden="1">
      <c r="A982" s="51"/>
      <c r="B982" s="43"/>
      <c r="C982" s="51"/>
      <c r="D982" s="43"/>
      <c r="E982" s="43"/>
      <c r="F982" s="43"/>
      <c r="G982" s="43"/>
      <c r="H982" s="43"/>
      <c r="I982" s="43"/>
      <c r="J982" s="443"/>
      <c r="K982" s="43"/>
      <c r="L982" s="89"/>
      <c r="M982" s="89"/>
      <c r="O982" s="71">
        <f t="shared" si="21"/>
        <v>0</v>
      </c>
      <c r="P982" s="89">
        <f t="shared" si="22"/>
        <v>0</v>
      </c>
      <c r="Q982" s="491" t="str">
        <f>IF(ISBLANK(M982), "", VLOOKUP(A982&amp;" "&amp;B982, 'Info Tipo de Cambio y REM'!$A$24:$B$47, 2, FALSE))</f>
        <v/>
      </c>
      <c r="R982" s="109" t="str">
        <f t="shared" si="1"/>
        <v/>
      </c>
      <c r="S982" s="71" t="str">
        <f t="shared" si="2"/>
        <v/>
      </c>
      <c r="T982" s="71">
        <f t="shared" si="3"/>
        <v>0</v>
      </c>
      <c r="U982" s="43"/>
      <c r="V982" s="486"/>
      <c r="W982" s="43"/>
      <c r="X982" s="43"/>
    </row>
    <row r="983" hidden="1">
      <c r="A983" s="51"/>
      <c r="B983" s="43"/>
      <c r="C983" s="51"/>
      <c r="D983" s="43"/>
      <c r="E983" s="43"/>
      <c r="F983" s="43"/>
      <c r="G983" s="43"/>
      <c r="H983" s="43"/>
      <c r="I983" s="43"/>
      <c r="J983" s="443"/>
      <c r="K983" s="43"/>
      <c r="L983" s="89"/>
      <c r="M983" s="89"/>
      <c r="O983" s="71">
        <f t="shared" si="21"/>
        <v>0</v>
      </c>
      <c r="P983" s="89">
        <f t="shared" si="22"/>
        <v>0</v>
      </c>
      <c r="Q983" s="491" t="str">
        <f>IF(ISBLANK(M983), "", VLOOKUP(A983&amp;" "&amp;B983, 'Info Tipo de Cambio y REM'!$A$24:$B$47, 2, FALSE))</f>
        <v/>
      </c>
      <c r="R983" s="109" t="str">
        <f t="shared" si="1"/>
        <v/>
      </c>
      <c r="S983" s="71" t="str">
        <f t="shared" si="2"/>
        <v/>
      </c>
      <c r="T983" s="71">
        <f t="shared" si="3"/>
        <v>0</v>
      </c>
      <c r="U983" s="43"/>
      <c r="V983" s="486"/>
      <c r="W983" s="43"/>
      <c r="X983" s="43"/>
    </row>
    <row r="984" hidden="1">
      <c r="A984" s="51"/>
      <c r="B984" s="43"/>
      <c r="C984" s="51"/>
      <c r="D984" s="43"/>
      <c r="E984" s="43"/>
      <c r="F984" s="43"/>
      <c r="G984" s="43"/>
      <c r="H984" s="43"/>
      <c r="I984" s="43"/>
      <c r="J984" s="443"/>
      <c r="K984" s="43"/>
      <c r="L984" s="89"/>
      <c r="M984" s="89"/>
      <c r="O984" s="71">
        <f t="shared" si="21"/>
        <v>0</v>
      </c>
      <c r="P984" s="89">
        <f t="shared" si="22"/>
        <v>0</v>
      </c>
      <c r="Q984" s="491" t="str">
        <f>IF(ISBLANK(M984), "", VLOOKUP(A984&amp;" "&amp;B984, 'Info Tipo de Cambio y REM'!$A$24:$B$47, 2, FALSE))</f>
        <v/>
      </c>
      <c r="R984" s="109" t="str">
        <f t="shared" si="1"/>
        <v/>
      </c>
      <c r="S984" s="71" t="str">
        <f t="shared" si="2"/>
        <v/>
      </c>
      <c r="T984" s="71">
        <f t="shared" si="3"/>
        <v>0</v>
      </c>
      <c r="U984" s="43"/>
      <c r="V984" s="486"/>
      <c r="W984" s="43"/>
      <c r="X984" s="43"/>
    </row>
    <row r="985" hidden="1">
      <c r="A985" s="51"/>
      <c r="B985" s="43"/>
      <c r="C985" s="51"/>
      <c r="D985" s="43"/>
      <c r="E985" s="43"/>
      <c r="F985" s="43"/>
      <c r="G985" s="43"/>
      <c r="H985" s="43"/>
      <c r="I985" s="43"/>
      <c r="J985" s="443"/>
      <c r="K985" s="43"/>
      <c r="L985" s="89"/>
      <c r="M985" s="89"/>
      <c r="O985" s="71">
        <f t="shared" si="21"/>
        <v>0</v>
      </c>
      <c r="P985" s="89">
        <f t="shared" si="22"/>
        <v>0</v>
      </c>
      <c r="Q985" s="491" t="str">
        <f>IF(ISBLANK(M985), "", VLOOKUP(A985&amp;" "&amp;B985, 'Info Tipo de Cambio y REM'!$A$24:$B$47, 2, FALSE))</f>
        <v/>
      </c>
      <c r="R985" s="109" t="str">
        <f t="shared" si="1"/>
        <v/>
      </c>
      <c r="S985" s="71" t="str">
        <f t="shared" si="2"/>
        <v/>
      </c>
      <c r="T985" s="71">
        <f t="shared" si="3"/>
        <v>0</v>
      </c>
      <c r="U985" s="43"/>
      <c r="V985" s="486"/>
      <c r="W985" s="43"/>
      <c r="X985" s="43"/>
    </row>
    <row r="986" hidden="1">
      <c r="A986" s="51"/>
      <c r="B986" s="43"/>
      <c r="C986" s="51"/>
      <c r="D986" s="43"/>
      <c r="E986" s="43"/>
      <c r="F986" s="43"/>
      <c r="G986" s="43"/>
      <c r="H986" s="43"/>
      <c r="I986" s="43"/>
      <c r="J986" s="443"/>
      <c r="K986" s="43"/>
      <c r="L986" s="89"/>
      <c r="M986" s="89"/>
      <c r="O986" s="71">
        <f t="shared" si="21"/>
        <v>0</v>
      </c>
      <c r="P986" s="89">
        <f t="shared" si="22"/>
        <v>0</v>
      </c>
      <c r="Q986" s="491" t="str">
        <f>IF(ISBLANK(M986), "", VLOOKUP(A986&amp;" "&amp;B986, 'Info Tipo de Cambio y REM'!$A$24:$B$47, 2, FALSE))</f>
        <v/>
      </c>
      <c r="R986" s="109" t="str">
        <f t="shared" si="1"/>
        <v/>
      </c>
      <c r="S986" s="71" t="str">
        <f t="shared" si="2"/>
        <v/>
      </c>
      <c r="T986" s="71">
        <f t="shared" si="3"/>
        <v>0</v>
      </c>
      <c r="U986" s="43"/>
      <c r="V986" s="486"/>
      <c r="W986" s="43"/>
      <c r="X986" s="43"/>
    </row>
    <row r="987" hidden="1">
      <c r="A987" s="51"/>
      <c r="B987" s="43"/>
      <c r="C987" s="51"/>
      <c r="D987" s="43"/>
      <c r="E987" s="43"/>
      <c r="F987" s="43"/>
      <c r="G987" s="43"/>
      <c r="H987" s="43"/>
      <c r="I987" s="43"/>
      <c r="J987" s="443"/>
      <c r="K987" s="43"/>
      <c r="L987" s="89"/>
      <c r="M987" s="89"/>
      <c r="O987" s="71">
        <f t="shared" si="21"/>
        <v>0</v>
      </c>
      <c r="P987" s="89">
        <f t="shared" si="22"/>
        <v>0</v>
      </c>
      <c r="Q987" s="491" t="str">
        <f>IF(ISBLANK(M987), "", VLOOKUP(A987&amp;" "&amp;B987, 'Info Tipo de Cambio y REM'!$A$24:$B$47, 2, FALSE))</f>
        <v/>
      </c>
      <c r="R987" s="109" t="str">
        <f t="shared" si="1"/>
        <v/>
      </c>
      <c r="S987" s="71" t="str">
        <f t="shared" si="2"/>
        <v/>
      </c>
      <c r="T987" s="71">
        <f t="shared" si="3"/>
        <v>0</v>
      </c>
      <c r="U987" s="43"/>
      <c r="V987" s="486"/>
      <c r="W987" s="43"/>
      <c r="X987" s="43"/>
    </row>
    <row r="988" hidden="1">
      <c r="A988" s="51"/>
      <c r="B988" s="43"/>
      <c r="C988" s="51"/>
      <c r="D988" s="43"/>
      <c r="E988" s="43"/>
      <c r="F988" s="43"/>
      <c r="G988" s="43"/>
      <c r="H988" s="43"/>
      <c r="I988" s="43"/>
      <c r="J988" s="443"/>
      <c r="K988" s="43"/>
      <c r="L988" s="89"/>
      <c r="M988" s="89"/>
      <c r="O988" s="71">
        <f t="shared" si="21"/>
        <v>0</v>
      </c>
      <c r="P988" s="89">
        <f t="shared" si="22"/>
        <v>0</v>
      </c>
      <c r="Q988" s="491" t="str">
        <f>IF(ISBLANK(M988), "", VLOOKUP(A988&amp;" "&amp;B988, 'Info Tipo de Cambio y REM'!$A$24:$B$47, 2, FALSE))</f>
        <v/>
      </c>
      <c r="R988" s="109" t="str">
        <f t="shared" si="1"/>
        <v/>
      </c>
      <c r="S988" s="71" t="str">
        <f t="shared" si="2"/>
        <v/>
      </c>
      <c r="T988" s="71">
        <f t="shared" si="3"/>
        <v>0</v>
      </c>
      <c r="U988" s="43"/>
      <c r="V988" s="486"/>
      <c r="W988" s="43"/>
      <c r="X988" s="43"/>
    </row>
    <row r="989" hidden="1">
      <c r="A989" s="51"/>
      <c r="B989" s="43"/>
      <c r="C989" s="51"/>
      <c r="D989" s="43"/>
      <c r="E989" s="43"/>
      <c r="F989" s="43"/>
      <c r="G989" s="43"/>
      <c r="H989" s="43"/>
      <c r="I989" s="43"/>
      <c r="J989" s="443"/>
      <c r="K989" s="43"/>
      <c r="L989" s="89"/>
      <c r="M989" s="89"/>
      <c r="O989" s="71">
        <f t="shared" si="21"/>
        <v>0</v>
      </c>
      <c r="P989" s="89">
        <f t="shared" si="22"/>
        <v>0</v>
      </c>
      <c r="Q989" s="491" t="str">
        <f>IF(ISBLANK(M989), "", VLOOKUP(A989&amp;" "&amp;B989, 'Info Tipo de Cambio y REM'!$A$24:$B$47, 2, FALSE))</f>
        <v/>
      </c>
      <c r="R989" s="109" t="str">
        <f t="shared" si="1"/>
        <v/>
      </c>
      <c r="S989" s="71" t="str">
        <f t="shared" si="2"/>
        <v/>
      </c>
      <c r="T989" s="71">
        <f t="shared" si="3"/>
        <v>0</v>
      </c>
      <c r="U989" s="43"/>
      <c r="V989" s="486"/>
      <c r="W989" s="43"/>
      <c r="X989" s="43"/>
    </row>
    <row r="990" hidden="1">
      <c r="A990" s="51"/>
      <c r="B990" s="43"/>
      <c r="C990" s="51"/>
      <c r="D990" s="43"/>
      <c r="E990" s="43"/>
      <c r="F990" s="43"/>
      <c r="G990" s="43"/>
      <c r="H990" s="43"/>
      <c r="I990" s="43"/>
      <c r="J990" s="443"/>
      <c r="K990" s="43"/>
      <c r="L990" s="89"/>
      <c r="M990" s="89"/>
      <c r="O990" s="71">
        <f t="shared" si="21"/>
        <v>0</v>
      </c>
      <c r="P990" s="89">
        <f t="shared" si="22"/>
        <v>0</v>
      </c>
      <c r="Q990" s="491" t="str">
        <f>IF(ISBLANK(M990), "", VLOOKUP(A990&amp;" "&amp;B990, 'Info Tipo de Cambio y REM'!$A$24:$B$47, 2, FALSE))</f>
        <v/>
      </c>
      <c r="R990" s="109" t="str">
        <f t="shared" si="1"/>
        <v/>
      </c>
      <c r="S990" s="71" t="str">
        <f t="shared" si="2"/>
        <v/>
      </c>
      <c r="T990" s="71">
        <f t="shared" si="3"/>
        <v>0</v>
      </c>
      <c r="U990" s="43"/>
      <c r="V990" s="486"/>
      <c r="W990" s="43"/>
      <c r="X990" s="43"/>
    </row>
    <row r="991" hidden="1">
      <c r="A991" s="51"/>
      <c r="B991" s="43"/>
      <c r="C991" s="51"/>
      <c r="D991" s="43"/>
      <c r="E991" s="43"/>
      <c r="F991" s="43"/>
      <c r="G991" s="43"/>
      <c r="H991" s="43"/>
      <c r="I991" s="43"/>
      <c r="J991" s="443"/>
      <c r="K991" s="43"/>
      <c r="L991" s="89"/>
      <c r="M991" s="89"/>
      <c r="O991" s="71">
        <f t="shared" si="21"/>
        <v>0</v>
      </c>
      <c r="P991" s="89">
        <f t="shared" si="22"/>
        <v>0</v>
      </c>
      <c r="Q991" s="491" t="str">
        <f>IF(ISBLANK(M991), "", VLOOKUP(A991&amp;" "&amp;B991, 'Info Tipo de Cambio y REM'!$A$24:$B$47, 2, FALSE))</f>
        <v/>
      </c>
      <c r="R991" s="109" t="str">
        <f t="shared" si="1"/>
        <v/>
      </c>
      <c r="S991" s="71" t="str">
        <f t="shared" si="2"/>
        <v/>
      </c>
      <c r="T991" s="71">
        <f t="shared" si="3"/>
        <v>0</v>
      </c>
      <c r="U991" s="43"/>
      <c r="V991" s="486"/>
      <c r="W991" s="43"/>
      <c r="X991" s="43"/>
    </row>
    <row r="992" hidden="1">
      <c r="A992" s="51"/>
      <c r="B992" s="43"/>
      <c r="C992" s="51"/>
      <c r="D992" s="43"/>
      <c r="E992" s="43"/>
      <c r="F992" s="43"/>
      <c r="G992" s="43"/>
      <c r="H992" s="43"/>
      <c r="I992" s="43"/>
      <c r="J992" s="443"/>
      <c r="K992" s="43"/>
      <c r="L992" s="89"/>
      <c r="M992" s="89"/>
      <c r="O992" s="71">
        <f t="shared" si="21"/>
        <v>0</v>
      </c>
      <c r="P992" s="89">
        <f t="shared" si="22"/>
        <v>0</v>
      </c>
      <c r="Q992" s="491" t="str">
        <f>IF(ISBLANK(M992), "", VLOOKUP(A992&amp;" "&amp;B992, 'Info Tipo de Cambio y REM'!$A$24:$B$47, 2, FALSE))</f>
        <v/>
      </c>
      <c r="R992" s="109" t="str">
        <f t="shared" si="1"/>
        <v/>
      </c>
      <c r="S992" s="71" t="str">
        <f t="shared" si="2"/>
        <v/>
      </c>
      <c r="T992" s="71">
        <f t="shared" si="3"/>
        <v>0</v>
      </c>
      <c r="U992" s="43"/>
      <c r="V992" s="486"/>
      <c r="W992" s="43"/>
      <c r="X992" s="43"/>
    </row>
    <row r="993" hidden="1">
      <c r="A993" s="51"/>
      <c r="B993" s="43"/>
      <c r="C993" s="51"/>
      <c r="D993" s="43"/>
      <c r="E993" s="43"/>
      <c r="F993" s="43"/>
      <c r="G993" s="43"/>
      <c r="H993" s="43"/>
      <c r="I993" s="43"/>
      <c r="J993" s="443"/>
      <c r="K993" s="43"/>
      <c r="L993" s="89"/>
      <c r="M993" s="89"/>
      <c r="O993" s="71">
        <f t="shared" si="21"/>
        <v>0</v>
      </c>
      <c r="P993" s="89">
        <f t="shared" si="22"/>
        <v>0</v>
      </c>
      <c r="Q993" s="491" t="str">
        <f>IF(ISBLANK(M993), "", VLOOKUP(A993&amp;" "&amp;B993, 'Info Tipo de Cambio y REM'!$A$24:$B$47, 2, FALSE))</f>
        <v/>
      </c>
      <c r="R993" s="109" t="str">
        <f t="shared" si="1"/>
        <v/>
      </c>
      <c r="S993" s="71" t="str">
        <f t="shared" si="2"/>
        <v/>
      </c>
      <c r="T993" s="71">
        <f t="shared" si="3"/>
        <v>0</v>
      </c>
      <c r="U993" s="43"/>
      <c r="V993" s="486"/>
      <c r="W993" s="43"/>
      <c r="X993" s="43"/>
    </row>
    <row r="994" hidden="1">
      <c r="A994" s="51"/>
      <c r="B994" s="43"/>
      <c r="C994" s="51"/>
      <c r="D994" s="43"/>
      <c r="E994" s="43"/>
      <c r="F994" s="43"/>
      <c r="G994" s="43"/>
      <c r="H994" s="43"/>
      <c r="I994" s="43"/>
      <c r="J994" s="443"/>
      <c r="K994" s="43"/>
      <c r="L994" s="89"/>
      <c r="M994" s="89"/>
      <c r="O994" s="71">
        <f t="shared" si="21"/>
        <v>0</v>
      </c>
      <c r="P994" s="89">
        <f t="shared" si="22"/>
        <v>0</v>
      </c>
      <c r="Q994" s="491" t="str">
        <f>IF(ISBLANK(M994), "", VLOOKUP(A994&amp;" "&amp;B994, 'Info Tipo de Cambio y REM'!$A$24:$B$47, 2, FALSE))</f>
        <v/>
      </c>
      <c r="R994" s="109" t="str">
        <f t="shared" si="1"/>
        <v/>
      </c>
      <c r="S994" s="71" t="str">
        <f t="shared" si="2"/>
        <v/>
      </c>
      <c r="T994" s="71">
        <f t="shared" si="3"/>
        <v>0</v>
      </c>
      <c r="U994" s="43"/>
      <c r="V994" s="486"/>
      <c r="W994" s="43"/>
      <c r="X994" s="43"/>
    </row>
    <row r="995" hidden="1">
      <c r="A995" s="51"/>
      <c r="B995" s="43"/>
      <c r="C995" s="51"/>
      <c r="D995" s="43"/>
      <c r="E995" s="43"/>
      <c r="F995" s="43"/>
      <c r="G995" s="43"/>
      <c r="H995" s="43"/>
      <c r="I995" s="43"/>
      <c r="J995" s="443"/>
      <c r="K995" s="43"/>
      <c r="L995" s="89"/>
      <c r="M995" s="89"/>
      <c r="O995" s="71">
        <f t="shared" si="21"/>
        <v>0</v>
      </c>
      <c r="P995" s="89">
        <f t="shared" si="22"/>
        <v>0</v>
      </c>
      <c r="Q995" s="491" t="str">
        <f>IF(ISBLANK(M995), "", VLOOKUP(A995&amp;" "&amp;B995, 'Info Tipo de Cambio y REM'!$A$24:$B$47, 2, FALSE))</f>
        <v/>
      </c>
      <c r="R995" s="109" t="str">
        <f t="shared" si="1"/>
        <v/>
      </c>
      <c r="S995" s="71" t="str">
        <f t="shared" si="2"/>
        <v/>
      </c>
      <c r="T995" s="71">
        <f t="shared" si="3"/>
        <v>0</v>
      </c>
      <c r="U995" s="43"/>
      <c r="V995" s="486"/>
      <c r="W995" s="43"/>
      <c r="X995" s="43"/>
    </row>
    <row r="996" hidden="1">
      <c r="A996" s="51"/>
      <c r="B996" s="43"/>
      <c r="C996" s="51"/>
      <c r="D996" s="43"/>
      <c r="E996" s="43"/>
      <c r="F996" s="43"/>
      <c r="G996" s="43"/>
      <c r="H996" s="43"/>
      <c r="I996" s="43"/>
      <c r="J996" s="443"/>
      <c r="K996" s="43"/>
      <c r="L996" s="89"/>
      <c r="M996" s="89"/>
      <c r="O996" s="71">
        <f t="shared" si="21"/>
        <v>0</v>
      </c>
      <c r="P996" s="89">
        <f t="shared" si="22"/>
        <v>0</v>
      </c>
      <c r="Q996" s="491" t="str">
        <f>IF(ISBLANK(M996), "", VLOOKUP(A996&amp;" "&amp;B996, 'Info Tipo de Cambio y REM'!$A$24:$B$47, 2, FALSE))</f>
        <v/>
      </c>
      <c r="R996" s="109" t="str">
        <f t="shared" si="1"/>
        <v/>
      </c>
      <c r="S996" s="71" t="str">
        <f t="shared" si="2"/>
        <v/>
      </c>
      <c r="T996" s="71">
        <f t="shared" si="3"/>
        <v>0</v>
      </c>
      <c r="U996" s="43"/>
      <c r="V996" s="486"/>
      <c r="W996" s="43"/>
      <c r="X996" s="43"/>
    </row>
    <row r="997" hidden="1">
      <c r="A997" s="51"/>
      <c r="B997" s="43"/>
      <c r="C997" s="51"/>
      <c r="D997" s="43"/>
      <c r="E997" s="43"/>
      <c r="F997" s="43"/>
      <c r="G997" s="43"/>
      <c r="H997" s="43"/>
      <c r="I997" s="43"/>
      <c r="J997" s="443"/>
      <c r="K997" s="43"/>
      <c r="L997" s="89"/>
      <c r="M997" s="89"/>
      <c r="O997" s="71">
        <f t="shared" si="21"/>
        <v>0</v>
      </c>
      <c r="P997" s="89">
        <f t="shared" si="22"/>
        <v>0</v>
      </c>
      <c r="Q997" s="491" t="str">
        <f>IF(ISBLANK(M997), "", VLOOKUP(A997&amp;" "&amp;B997, 'Info Tipo de Cambio y REM'!$A$24:$B$47, 2, FALSE))</f>
        <v/>
      </c>
      <c r="R997" s="109" t="str">
        <f t="shared" si="1"/>
        <v/>
      </c>
      <c r="S997" s="71" t="str">
        <f t="shared" si="2"/>
        <v/>
      </c>
      <c r="T997" s="71">
        <f t="shared" si="3"/>
        <v>0</v>
      </c>
      <c r="U997" s="43"/>
      <c r="V997" s="486"/>
      <c r="W997" s="43"/>
      <c r="X997" s="43"/>
    </row>
    <row r="998" hidden="1">
      <c r="A998" s="51"/>
      <c r="B998" s="43"/>
      <c r="C998" s="51"/>
      <c r="D998" s="43"/>
      <c r="E998" s="43"/>
      <c r="F998" s="43"/>
      <c r="G998" s="43"/>
      <c r="H998" s="43"/>
      <c r="I998" s="43"/>
      <c r="J998" s="443"/>
      <c r="K998" s="43"/>
      <c r="L998" s="89"/>
      <c r="M998" s="89"/>
      <c r="O998" s="71">
        <f t="shared" si="21"/>
        <v>0</v>
      </c>
      <c r="P998" s="89">
        <f t="shared" si="22"/>
        <v>0</v>
      </c>
      <c r="Q998" s="491" t="str">
        <f>IF(ISBLANK(M998), "", VLOOKUP(A998&amp;" "&amp;B998, 'Info Tipo de Cambio y REM'!$A$24:$B$47, 2, FALSE))</f>
        <v/>
      </c>
      <c r="R998" s="109" t="str">
        <f t="shared" si="1"/>
        <v/>
      </c>
      <c r="S998" s="71" t="str">
        <f t="shared" si="2"/>
        <v/>
      </c>
      <c r="T998" s="71">
        <f t="shared" si="3"/>
        <v>0</v>
      </c>
      <c r="U998" s="43"/>
      <c r="V998" s="486"/>
      <c r="W998" s="43"/>
      <c r="X998" s="43"/>
    </row>
    <row r="999" hidden="1">
      <c r="A999" s="51"/>
      <c r="B999" s="43"/>
      <c r="C999" s="51"/>
      <c r="D999" s="43"/>
      <c r="E999" s="43"/>
      <c r="F999" s="43"/>
      <c r="G999" s="43"/>
      <c r="H999" s="43"/>
      <c r="I999" s="43"/>
      <c r="J999" s="443"/>
      <c r="K999" s="43"/>
      <c r="L999" s="89"/>
      <c r="M999" s="89"/>
      <c r="O999" s="71">
        <f t="shared" si="21"/>
        <v>0</v>
      </c>
      <c r="P999" s="89">
        <f t="shared" si="22"/>
        <v>0</v>
      </c>
      <c r="Q999" s="491" t="str">
        <f>IF(ISBLANK(M999), "", VLOOKUP(A999&amp;" "&amp;B999, 'Info Tipo de Cambio y REM'!$A$24:$B$47, 2, FALSE))</f>
        <v/>
      </c>
      <c r="R999" s="109" t="str">
        <f t="shared" si="1"/>
        <v/>
      </c>
      <c r="S999" s="71" t="str">
        <f t="shared" si="2"/>
        <v/>
      </c>
      <c r="T999" s="71">
        <f t="shared" si="3"/>
        <v>0</v>
      </c>
      <c r="U999" s="43"/>
      <c r="V999" s="486"/>
      <c r="W999" s="43"/>
      <c r="X999" s="43"/>
    </row>
    <row r="1000" hidden="1">
      <c r="A1000" s="51"/>
      <c r="B1000" s="43"/>
      <c r="C1000" s="51"/>
      <c r="D1000" s="43"/>
      <c r="E1000" s="43"/>
      <c r="F1000" s="43"/>
      <c r="G1000" s="43"/>
      <c r="H1000" s="43"/>
      <c r="I1000" s="43"/>
      <c r="J1000" s="443"/>
      <c r="K1000" s="43"/>
      <c r="L1000" s="89"/>
      <c r="M1000" s="89"/>
      <c r="O1000" s="71">
        <f t="shared" si="21"/>
        <v>0</v>
      </c>
      <c r="P1000" s="89">
        <f t="shared" si="22"/>
        <v>0</v>
      </c>
      <c r="Q1000" s="491" t="str">
        <f>IF(ISBLANK(M1000), "", VLOOKUP(A1000&amp;" "&amp;B1000, 'Info Tipo de Cambio y REM'!$A$24:$B$47, 2, FALSE))</f>
        <v/>
      </c>
      <c r="R1000" s="109" t="str">
        <f t="shared" si="1"/>
        <v/>
      </c>
      <c r="S1000" s="71" t="str">
        <f t="shared" si="2"/>
        <v/>
      </c>
      <c r="T1000" s="71">
        <f t="shared" si="3"/>
        <v>0</v>
      </c>
      <c r="U1000" s="43"/>
      <c r="V1000" s="486"/>
      <c r="W1000" s="43"/>
      <c r="X1000" s="43"/>
    </row>
    <row r="1001" hidden="1">
      <c r="A1001" s="51"/>
      <c r="B1001" s="43"/>
      <c r="C1001" s="51"/>
      <c r="D1001" s="43"/>
      <c r="E1001" s="43"/>
      <c r="F1001" s="43"/>
      <c r="G1001" s="43"/>
      <c r="H1001" s="43"/>
      <c r="I1001" s="43"/>
      <c r="J1001" s="443"/>
      <c r="K1001" s="43"/>
      <c r="L1001" s="89"/>
      <c r="M1001" s="89"/>
      <c r="O1001" s="71">
        <f t="shared" si="21"/>
        <v>0</v>
      </c>
      <c r="P1001" s="89">
        <f t="shared" si="22"/>
        <v>0</v>
      </c>
      <c r="Q1001" s="491" t="str">
        <f>IF(ISBLANK(M1001), "", VLOOKUP(A1001&amp;" "&amp;B1001, 'Info Tipo de Cambio y REM'!$A$24:$B$47, 2, FALSE))</f>
        <v/>
      </c>
      <c r="R1001" s="109" t="str">
        <f t="shared" si="1"/>
        <v/>
      </c>
      <c r="S1001" s="71" t="str">
        <f t="shared" si="2"/>
        <v/>
      </c>
      <c r="T1001" s="71">
        <f t="shared" si="3"/>
        <v>0</v>
      </c>
      <c r="U1001" s="43"/>
      <c r="V1001" s="486"/>
      <c r="W1001" s="43"/>
      <c r="X1001" s="43"/>
    </row>
    <row r="1002" hidden="1">
      <c r="A1002" s="51"/>
      <c r="B1002" s="43"/>
      <c r="C1002" s="51"/>
      <c r="D1002" s="43"/>
      <c r="E1002" s="43"/>
      <c r="F1002" s="43"/>
      <c r="G1002" s="43"/>
      <c r="H1002" s="43"/>
      <c r="I1002" s="43"/>
      <c r="J1002" s="443"/>
      <c r="K1002" s="43"/>
      <c r="L1002" s="89"/>
      <c r="M1002" s="89"/>
      <c r="O1002" s="71">
        <f t="shared" si="21"/>
        <v>0</v>
      </c>
      <c r="P1002" s="89">
        <f t="shared" si="22"/>
        <v>0</v>
      </c>
      <c r="Q1002" s="491" t="str">
        <f>IF(ISBLANK(M1002), "", VLOOKUP(A1002&amp;" "&amp;B1002, 'Info Tipo de Cambio y REM'!$A$24:$B$47, 2, FALSE))</f>
        <v/>
      </c>
      <c r="R1002" s="109" t="str">
        <f t="shared" si="1"/>
        <v/>
      </c>
      <c r="S1002" s="71" t="str">
        <f t="shared" si="2"/>
        <v/>
      </c>
      <c r="T1002" s="71">
        <f t="shared" si="3"/>
        <v>0</v>
      </c>
      <c r="U1002" s="43"/>
      <c r="V1002" s="486"/>
      <c r="W1002" s="43"/>
      <c r="X1002" s="43"/>
    </row>
    <row r="1003" hidden="1">
      <c r="A1003" s="51"/>
      <c r="B1003" s="43"/>
      <c r="C1003" s="51"/>
      <c r="D1003" s="43"/>
      <c r="E1003" s="43"/>
      <c r="F1003" s="43"/>
      <c r="G1003" s="43"/>
      <c r="H1003" s="43"/>
      <c r="I1003" s="43"/>
      <c r="J1003" s="443"/>
      <c r="K1003" s="43"/>
      <c r="L1003" s="89"/>
      <c r="M1003" s="89"/>
      <c r="O1003" s="71">
        <f t="shared" si="21"/>
        <v>0</v>
      </c>
      <c r="P1003" s="89">
        <f t="shared" si="22"/>
        <v>0</v>
      </c>
      <c r="Q1003" s="491" t="str">
        <f>IF(ISBLANK(M1003), "", VLOOKUP(A1003&amp;" "&amp;B1003, 'Info Tipo de Cambio y REM'!$A$24:$B$47, 2, FALSE))</f>
        <v/>
      </c>
      <c r="R1003" s="109" t="str">
        <f t="shared" si="1"/>
        <v/>
      </c>
      <c r="S1003" s="71" t="str">
        <f t="shared" si="2"/>
        <v/>
      </c>
      <c r="T1003" s="71">
        <f t="shared" si="3"/>
        <v>0</v>
      </c>
      <c r="U1003" s="43"/>
      <c r="V1003" s="486"/>
      <c r="W1003" s="43"/>
      <c r="X1003" s="43"/>
    </row>
    <row r="1004" hidden="1">
      <c r="A1004" s="51"/>
      <c r="B1004" s="43"/>
      <c r="C1004" s="51"/>
      <c r="D1004" s="43"/>
      <c r="E1004" s="43"/>
      <c r="F1004" s="43"/>
      <c r="G1004" s="43"/>
      <c r="H1004" s="43"/>
      <c r="I1004" s="43"/>
      <c r="J1004" s="443"/>
      <c r="K1004" s="43"/>
      <c r="L1004" s="89"/>
      <c r="M1004" s="89"/>
      <c r="O1004" s="71">
        <f t="shared" si="21"/>
        <v>0</v>
      </c>
      <c r="P1004" s="89">
        <f t="shared" si="22"/>
        <v>0</v>
      </c>
      <c r="Q1004" s="491" t="str">
        <f>IF(ISBLANK(M1004), "", VLOOKUP(A1004&amp;" "&amp;B1004, 'Info Tipo de Cambio y REM'!$A$24:$B$47, 2, FALSE))</f>
        <v/>
      </c>
      <c r="R1004" s="109" t="str">
        <f t="shared" si="1"/>
        <v/>
      </c>
      <c r="S1004" s="71" t="str">
        <f t="shared" si="2"/>
        <v/>
      </c>
      <c r="T1004" s="71">
        <f t="shared" si="3"/>
        <v>0</v>
      </c>
      <c r="U1004" s="43"/>
      <c r="V1004" s="486"/>
      <c r="W1004" s="43"/>
      <c r="X1004" s="43"/>
    </row>
    <row r="1005" hidden="1">
      <c r="A1005" s="51"/>
      <c r="B1005" s="43"/>
      <c r="C1005" s="51"/>
      <c r="D1005" s="43"/>
      <c r="E1005" s="43"/>
      <c r="F1005" s="43"/>
      <c r="G1005" s="43"/>
      <c r="H1005" s="43"/>
      <c r="I1005" s="43"/>
      <c r="J1005" s="443"/>
      <c r="K1005" s="43"/>
      <c r="L1005" s="89"/>
      <c r="M1005" s="89"/>
      <c r="O1005" s="71">
        <f t="shared" si="21"/>
        <v>0</v>
      </c>
      <c r="P1005" s="89">
        <f t="shared" si="22"/>
        <v>0</v>
      </c>
      <c r="Q1005" s="491" t="str">
        <f>IF(ISBLANK(M1005), "", VLOOKUP(A1005&amp;" "&amp;B1005, 'Info Tipo de Cambio y REM'!$A$24:$B$47, 2, FALSE))</f>
        <v/>
      </c>
      <c r="R1005" s="109" t="str">
        <f t="shared" si="1"/>
        <v/>
      </c>
      <c r="S1005" s="71" t="str">
        <f t="shared" si="2"/>
        <v/>
      </c>
      <c r="T1005" s="71">
        <f t="shared" si="3"/>
        <v>0</v>
      </c>
      <c r="U1005" s="43"/>
      <c r="V1005" s="486"/>
      <c r="W1005" s="43"/>
      <c r="X1005" s="43"/>
    </row>
    <row r="1006" hidden="1">
      <c r="A1006" s="51"/>
      <c r="B1006" s="43"/>
      <c r="C1006" s="51"/>
      <c r="D1006" s="43"/>
      <c r="E1006" s="43"/>
      <c r="F1006" s="43"/>
      <c r="G1006" s="43"/>
      <c r="H1006" s="43"/>
      <c r="I1006" s="43"/>
      <c r="J1006" s="443"/>
      <c r="K1006" s="43"/>
      <c r="L1006" s="89"/>
      <c r="M1006" s="89"/>
      <c r="O1006" s="71">
        <f t="shared" si="21"/>
        <v>0</v>
      </c>
      <c r="P1006" s="89">
        <f t="shared" si="22"/>
        <v>0</v>
      </c>
      <c r="Q1006" s="491" t="str">
        <f>IF(ISBLANK(M1006), "", VLOOKUP(A1006&amp;" "&amp;B1006, 'Info Tipo de Cambio y REM'!$A$24:$B$47, 2, FALSE))</f>
        <v/>
      </c>
      <c r="R1006" s="109" t="str">
        <f t="shared" si="1"/>
        <v/>
      </c>
      <c r="S1006" s="71" t="str">
        <f t="shared" si="2"/>
        <v/>
      </c>
      <c r="T1006" s="71">
        <f t="shared" si="3"/>
        <v>0</v>
      </c>
      <c r="U1006" s="43"/>
      <c r="V1006" s="486"/>
      <c r="W1006" s="43"/>
      <c r="X1006" s="43"/>
    </row>
    <row r="1007" hidden="1">
      <c r="A1007" s="51"/>
      <c r="B1007" s="43"/>
      <c r="C1007" s="51"/>
      <c r="D1007" s="43"/>
      <c r="E1007" s="43"/>
      <c r="F1007" s="43"/>
      <c r="G1007" s="43"/>
      <c r="H1007" s="43"/>
      <c r="I1007" s="43"/>
      <c r="J1007" s="443"/>
      <c r="K1007" s="43"/>
      <c r="L1007" s="89"/>
      <c r="M1007" s="89"/>
      <c r="O1007" s="71">
        <f t="shared" si="21"/>
        <v>0</v>
      </c>
      <c r="P1007" s="89">
        <f t="shared" si="22"/>
        <v>0</v>
      </c>
      <c r="Q1007" s="491" t="str">
        <f>IF(ISBLANK(M1007), "", VLOOKUP(A1007&amp;" "&amp;B1007, 'Info Tipo de Cambio y REM'!$A$24:$B$47, 2, FALSE))</f>
        <v/>
      </c>
      <c r="R1007" s="109" t="str">
        <f t="shared" si="1"/>
        <v/>
      </c>
      <c r="S1007" s="71" t="str">
        <f t="shared" si="2"/>
        <v/>
      </c>
      <c r="T1007" s="71">
        <f t="shared" si="3"/>
        <v>0</v>
      </c>
      <c r="U1007" s="43"/>
      <c r="V1007" s="486"/>
      <c r="W1007" s="43"/>
      <c r="X1007" s="43"/>
    </row>
    <row r="1008" hidden="1">
      <c r="A1008" s="51"/>
      <c r="B1008" s="43"/>
      <c r="C1008" s="51"/>
      <c r="D1008" s="43"/>
      <c r="E1008" s="43"/>
      <c r="F1008" s="43"/>
      <c r="G1008" s="43"/>
      <c r="H1008" s="43"/>
      <c r="I1008" s="43"/>
      <c r="J1008" s="443"/>
      <c r="K1008" s="43"/>
      <c r="L1008" s="89"/>
      <c r="M1008" s="89"/>
      <c r="O1008" s="71">
        <f t="shared" si="21"/>
        <v>0</v>
      </c>
      <c r="P1008" s="89">
        <f t="shared" si="22"/>
        <v>0</v>
      </c>
      <c r="Q1008" s="491" t="str">
        <f>IF(ISBLANK(M1008), "", VLOOKUP(A1008&amp;" "&amp;B1008, 'Info Tipo de Cambio y REM'!$A$24:$B$47, 2, FALSE))</f>
        <v/>
      </c>
      <c r="R1008" s="109" t="str">
        <f t="shared" si="1"/>
        <v/>
      </c>
      <c r="S1008" s="71" t="str">
        <f t="shared" si="2"/>
        <v/>
      </c>
      <c r="T1008" s="71">
        <f t="shared" si="3"/>
        <v>0</v>
      </c>
      <c r="U1008" s="43"/>
      <c r="V1008" s="486"/>
      <c r="W1008" s="43"/>
      <c r="X1008" s="43"/>
    </row>
    <row r="1009" hidden="1">
      <c r="A1009" s="51"/>
      <c r="B1009" s="43"/>
      <c r="C1009" s="51"/>
      <c r="D1009" s="43"/>
      <c r="E1009" s="43"/>
      <c r="F1009" s="43"/>
      <c r="G1009" s="43"/>
      <c r="H1009" s="43"/>
      <c r="I1009" s="43"/>
      <c r="J1009" s="443"/>
      <c r="K1009" s="43"/>
      <c r="L1009" s="89"/>
      <c r="M1009" s="89"/>
      <c r="O1009" s="71">
        <f t="shared" si="21"/>
        <v>0</v>
      </c>
      <c r="P1009" s="89">
        <f t="shared" si="22"/>
        <v>0</v>
      </c>
      <c r="Q1009" s="491" t="str">
        <f>IF(ISBLANK(M1009), "", VLOOKUP(A1009&amp;" "&amp;B1009, 'Info Tipo de Cambio y REM'!$A$24:$B$47, 2, FALSE))</f>
        <v/>
      </c>
      <c r="R1009" s="109" t="str">
        <f t="shared" si="1"/>
        <v/>
      </c>
      <c r="S1009" s="71" t="str">
        <f t="shared" si="2"/>
        <v/>
      </c>
      <c r="T1009" s="71">
        <f t="shared" si="3"/>
        <v>0</v>
      </c>
      <c r="U1009" s="43"/>
      <c r="V1009" s="486"/>
      <c r="W1009" s="43"/>
      <c r="X1009" s="43"/>
    </row>
    <row r="1010" hidden="1">
      <c r="A1010" s="51"/>
      <c r="B1010" s="43"/>
      <c r="C1010" s="51"/>
      <c r="D1010" s="43"/>
      <c r="E1010" s="43"/>
      <c r="F1010" s="43"/>
      <c r="G1010" s="43"/>
      <c r="H1010" s="43"/>
      <c r="I1010" s="43"/>
      <c r="J1010" s="443"/>
      <c r="K1010" s="43"/>
      <c r="L1010" s="89"/>
      <c r="M1010" s="89"/>
      <c r="O1010" s="71">
        <f t="shared" si="21"/>
        <v>0</v>
      </c>
      <c r="P1010" s="89">
        <f t="shared" si="22"/>
        <v>0</v>
      </c>
      <c r="Q1010" s="491" t="str">
        <f>IF(ISBLANK(M1010), "", VLOOKUP(A1010&amp;" "&amp;B1010, 'Info Tipo de Cambio y REM'!$A$24:$B$47, 2, FALSE))</f>
        <v/>
      </c>
      <c r="R1010" s="109" t="str">
        <f t="shared" si="1"/>
        <v/>
      </c>
      <c r="S1010" s="71" t="str">
        <f t="shared" si="2"/>
        <v/>
      </c>
      <c r="T1010" s="71">
        <f t="shared" si="3"/>
        <v>0</v>
      </c>
      <c r="U1010" s="43"/>
      <c r="V1010" s="486"/>
      <c r="W1010" s="43"/>
      <c r="X1010" s="43"/>
    </row>
    <row r="1011" hidden="1">
      <c r="A1011" s="51"/>
      <c r="B1011" s="43"/>
      <c r="C1011" s="51"/>
      <c r="D1011" s="43"/>
      <c r="E1011" s="43"/>
      <c r="F1011" s="43"/>
      <c r="G1011" s="43"/>
      <c r="H1011" s="43"/>
      <c r="I1011" s="43"/>
      <c r="J1011" s="443"/>
      <c r="K1011" s="43"/>
      <c r="L1011" s="89"/>
      <c r="M1011" s="89"/>
      <c r="O1011" s="71">
        <f t="shared" si="21"/>
        <v>0</v>
      </c>
      <c r="P1011" s="89">
        <f t="shared" si="22"/>
        <v>0</v>
      </c>
      <c r="Q1011" s="491" t="str">
        <f>IF(ISBLANK(M1011), "", VLOOKUP(A1011&amp;" "&amp;B1011, 'Info Tipo de Cambio y REM'!$A$24:$B$47, 2, FALSE))</f>
        <v/>
      </c>
      <c r="R1011" s="109" t="str">
        <f t="shared" si="1"/>
        <v/>
      </c>
      <c r="S1011" s="71" t="str">
        <f t="shared" si="2"/>
        <v/>
      </c>
      <c r="T1011" s="71">
        <f t="shared" si="3"/>
        <v>0</v>
      </c>
      <c r="U1011" s="43"/>
      <c r="V1011" s="486"/>
      <c r="W1011" s="43"/>
      <c r="X1011" s="43"/>
    </row>
    <row r="1012" hidden="1">
      <c r="A1012" s="51"/>
      <c r="B1012" s="43"/>
      <c r="C1012" s="51"/>
      <c r="D1012" s="43"/>
      <c r="E1012" s="43"/>
      <c r="F1012" s="43"/>
      <c r="G1012" s="43"/>
      <c r="H1012" s="43"/>
      <c r="I1012" s="43"/>
      <c r="J1012" s="443"/>
      <c r="K1012" s="43"/>
      <c r="L1012" s="89"/>
      <c r="M1012" s="89"/>
      <c r="O1012" s="71">
        <f t="shared" si="21"/>
        <v>0</v>
      </c>
      <c r="P1012" s="89">
        <f t="shared" si="22"/>
        <v>0</v>
      </c>
      <c r="Q1012" s="491" t="str">
        <f>IF(ISBLANK(M1012), "", VLOOKUP(A1012&amp;" "&amp;B1012, 'Info Tipo de Cambio y REM'!$A$24:$B$47, 2, FALSE))</f>
        <v/>
      </c>
      <c r="R1012" s="109" t="str">
        <f t="shared" si="1"/>
        <v/>
      </c>
      <c r="S1012" s="71" t="str">
        <f t="shared" si="2"/>
        <v/>
      </c>
      <c r="T1012" s="71">
        <f t="shared" si="3"/>
        <v>0</v>
      </c>
      <c r="U1012" s="43"/>
      <c r="V1012" s="486"/>
      <c r="W1012" s="43"/>
      <c r="X1012" s="43"/>
    </row>
    <row r="1013" hidden="1">
      <c r="A1013" s="51"/>
      <c r="B1013" s="43"/>
      <c r="C1013" s="51"/>
      <c r="D1013" s="43"/>
      <c r="E1013" s="43"/>
      <c r="F1013" s="43"/>
      <c r="G1013" s="43"/>
      <c r="H1013" s="43"/>
      <c r="I1013" s="43"/>
      <c r="J1013" s="443"/>
      <c r="K1013" s="43"/>
      <c r="L1013" s="89"/>
      <c r="M1013" s="89"/>
      <c r="O1013" s="71">
        <f t="shared" si="21"/>
        <v>0</v>
      </c>
      <c r="P1013" s="89">
        <f t="shared" si="22"/>
        <v>0</v>
      </c>
      <c r="Q1013" s="491" t="str">
        <f>IF(ISBLANK(M1013), "", VLOOKUP(A1013&amp;" "&amp;B1013, 'Info Tipo de Cambio y REM'!$A$24:$B$47, 2, FALSE))</f>
        <v/>
      </c>
      <c r="R1013" s="109" t="str">
        <f t="shared" si="1"/>
        <v/>
      </c>
      <c r="S1013" s="71" t="str">
        <f t="shared" si="2"/>
        <v/>
      </c>
      <c r="T1013" s="71">
        <f t="shared" si="3"/>
        <v>0</v>
      </c>
      <c r="U1013" s="43"/>
      <c r="V1013" s="486"/>
      <c r="W1013" s="43"/>
      <c r="X1013" s="43"/>
    </row>
    <row r="1014" hidden="1">
      <c r="A1014" s="51"/>
      <c r="B1014" s="43"/>
      <c r="C1014" s="51"/>
      <c r="D1014" s="43"/>
      <c r="E1014" s="43"/>
      <c r="F1014" s="43"/>
      <c r="G1014" s="43"/>
      <c r="H1014" s="43"/>
      <c r="I1014" s="43"/>
      <c r="J1014" s="443"/>
      <c r="K1014" s="43"/>
      <c r="L1014" s="89"/>
      <c r="M1014" s="89"/>
      <c r="O1014" s="71">
        <f t="shared" si="21"/>
        <v>0</v>
      </c>
      <c r="P1014" s="89">
        <f t="shared" si="22"/>
        <v>0</v>
      </c>
      <c r="Q1014" s="491" t="str">
        <f>IF(ISBLANK(M1014), "", VLOOKUP(A1014&amp;" "&amp;B1014, 'Info Tipo de Cambio y REM'!$A$24:$B$47, 2, FALSE))</f>
        <v/>
      </c>
      <c r="R1014" s="109" t="str">
        <f t="shared" si="1"/>
        <v/>
      </c>
      <c r="S1014" s="71" t="str">
        <f t="shared" si="2"/>
        <v/>
      </c>
      <c r="T1014" s="71">
        <f t="shared" si="3"/>
        <v>0</v>
      </c>
      <c r="U1014" s="43"/>
      <c r="V1014" s="486"/>
      <c r="W1014" s="43"/>
      <c r="X1014" s="43"/>
    </row>
    <row r="1015" hidden="1">
      <c r="A1015" s="51"/>
      <c r="B1015" s="43"/>
      <c r="C1015" s="51"/>
      <c r="D1015" s="43"/>
      <c r="E1015" s="43"/>
      <c r="F1015" s="43"/>
      <c r="G1015" s="43"/>
      <c r="H1015" s="43"/>
      <c r="I1015" s="43"/>
      <c r="J1015" s="443"/>
      <c r="K1015" s="43"/>
      <c r="L1015" s="89"/>
      <c r="M1015" s="89"/>
      <c r="O1015" s="71">
        <f t="shared" si="21"/>
        <v>0</v>
      </c>
      <c r="P1015" s="89">
        <f t="shared" si="22"/>
        <v>0</v>
      </c>
      <c r="Q1015" s="491" t="str">
        <f>IF(ISBLANK(M1015), "", VLOOKUP(A1015&amp;" "&amp;B1015, 'Info Tipo de Cambio y REM'!$A$24:$B$47, 2, FALSE))</f>
        <v/>
      </c>
      <c r="R1015" s="109" t="str">
        <f t="shared" si="1"/>
        <v/>
      </c>
      <c r="S1015" s="71" t="str">
        <f t="shared" si="2"/>
        <v/>
      </c>
      <c r="T1015" s="71">
        <f t="shared" si="3"/>
        <v>0</v>
      </c>
      <c r="U1015" s="43"/>
      <c r="V1015" s="486"/>
      <c r="W1015" s="43"/>
      <c r="X1015" s="43"/>
    </row>
    <row r="1016" hidden="1">
      <c r="A1016" s="51"/>
      <c r="B1016" s="43"/>
      <c r="C1016" s="51"/>
      <c r="D1016" s="43"/>
      <c r="E1016" s="43"/>
      <c r="F1016" s="43"/>
      <c r="G1016" s="43"/>
      <c r="H1016" s="43"/>
      <c r="I1016" s="43"/>
      <c r="J1016" s="443"/>
      <c r="K1016" s="43"/>
      <c r="L1016" s="89"/>
      <c r="M1016" s="89"/>
      <c r="O1016" s="71">
        <f t="shared" si="21"/>
        <v>0</v>
      </c>
      <c r="P1016" s="89">
        <f t="shared" si="22"/>
        <v>0</v>
      </c>
      <c r="Q1016" s="491" t="str">
        <f>IF(ISBLANK(M1016), "", VLOOKUP(A1016&amp;" "&amp;B1016, 'Info Tipo de Cambio y REM'!$A$24:$B$47, 2, FALSE))</f>
        <v/>
      </c>
      <c r="R1016" s="109" t="str">
        <f t="shared" si="1"/>
        <v/>
      </c>
      <c r="S1016" s="71" t="str">
        <f t="shared" si="2"/>
        <v/>
      </c>
      <c r="T1016" s="71">
        <f t="shared" si="3"/>
        <v>0</v>
      </c>
      <c r="U1016" s="43"/>
      <c r="V1016" s="486"/>
      <c r="W1016" s="43"/>
      <c r="X1016" s="43"/>
    </row>
    <row r="1017" hidden="1">
      <c r="A1017" s="51"/>
      <c r="B1017" s="43"/>
      <c r="C1017" s="51"/>
      <c r="D1017" s="43"/>
      <c r="E1017" s="43"/>
      <c r="F1017" s="43"/>
      <c r="G1017" s="43"/>
      <c r="H1017" s="43"/>
      <c r="I1017" s="43"/>
      <c r="J1017" s="443"/>
      <c r="K1017" s="43"/>
      <c r="L1017" s="89"/>
      <c r="M1017" s="89"/>
      <c r="O1017" s="71">
        <f t="shared" si="21"/>
        <v>0</v>
      </c>
      <c r="P1017" s="89">
        <f t="shared" si="22"/>
        <v>0</v>
      </c>
      <c r="Q1017" s="491" t="str">
        <f>IF(ISBLANK(M1017), "", VLOOKUP(A1017&amp;" "&amp;B1017, 'Info Tipo de Cambio y REM'!$A$24:$B$47, 2, FALSE))</f>
        <v/>
      </c>
      <c r="R1017" s="109" t="str">
        <f t="shared" si="1"/>
        <v/>
      </c>
      <c r="S1017" s="71" t="str">
        <f t="shared" si="2"/>
        <v/>
      </c>
      <c r="T1017" s="71">
        <f t="shared" si="3"/>
        <v>0</v>
      </c>
      <c r="U1017" s="43"/>
      <c r="V1017" s="486"/>
      <c r="W1017" s="43"/>
      <c r="X1017" s="43"/>
    </row>
    <row r="1018" hidden="1">
      <c r="A1018" s="51"/>
      <c r="B1018" s="43"/>
      <c r="C1018" s="51"/>
      <c r="D1018" s="43"/>
      <c r="E1018" s="43"/>
      <c r="F1018" s="43"/>
      <c r="G1018" s="43"/>
      <c r="H1018" s="43"/>
      <c r="I1018" s="43"/>
      <c r="J1018" s="443"/>
      <c r="K1018" s="43"/>
      <c r="L1018" s="89"/>
      <c r="M1018" s="89"/>
      <c r="O1018" s="71">
        <f t="shared" si="21"/>
        <v>0</v>
      </c>
      <c r="P1018" s="89">
        <f t="shared" si="22"/>
        <v>0</v>
      </c>
      <c r="Q1018" s="491" t="str">
        <f>IF(ISBLANK(M1018), "", VLOOKUP(A1018&amp;" "&amp;B1018, 'Info Tipo de Cambio y REM'!$A$24:$B$47, 2, FALSE))</f>
        <v/>
      </c>
      <c r="R1018" s="109" t="str">
        <f t="shared" si="1"/>
        <v/>
      </c>
      <c r="S1018" s="71" t="str">
        <f t="shared" si="2"/>
        <v/>
      </c>
      <c r="T1018" s="71">
        <f t="shared" si="3"/>
        <v>0</v>
      </c>
      <c r="U1018" s="43"/>
      <c r="V1018" s="486"/>
      <c r="W1018" s="43"/>
      <c r="X1018" s="43"/>
    </row>
    <row r="1019" hidden="1">
      <c r="A1019" s="51"/>
      <c r="B1019" s="43"/>
      <c r="C1019" s="51"/>
      <c r="D1019" s="43"/>
      <c r="E1019" s="43"/>
      <c r="F1019" s="43"/>
      <c r="G1019" s="43"/>
      <c r="H1019" s="43"/>
      <c r="I1019" s="43"/>
      <c r="J1019" s="443"/>
      <c r="K1019" s="43"/>
      <c r="L1019" s="89"/>
      <c r="M1019" s="89"/>
      <c r="O1019" s="71">
        <f t="shared" si="21"/>
        <v>0</v>
      </c>
      <c r="P1019" s="89">
        <f t="shared" si="22"/>
        <v>0</v>
      </c>
      <c r="Q1019" s="491" t="str">
        <f>IF(ISBLANK(M1019), "", VLOOKUP(A1019&amp;" "&amp;B1019, 'Info Tipo de Cambio y REM'!$A$24:$B$47, 2, FALSE))</f>
        <v/>
      </c>
      <c r="R1019" s="109" t="str">
        <f t="shared" si="1"/>
        <v/>
      </c>
      <c r="S1019" s="71" t="str">
        <f t="shared" si="2"/>
        <v/>
      </c>
      <c r="T1019" s="71">
        <f t="shared" si="3"/>
        <v>0</v>
      </c>
      <c r="U1019" s="43"/>
      <c r="V1019" s="486"/>
      <c r="W1019" s="43"/>
      <c r="X1019" s="43"/>
    </row>
    <row r="1020" hidden="1">
      <c r="A1020" s="51"/>
      <c r="B1020" s="43"/>
      <c r="C1020" s="51"/>
      <c r="D1020" s="43"/>
      <c r="E1020" s="43"/>
      <c r="F1020" s="43"/>
      <c r="G1020" s="43"/>
      <c r="H1020" s="43"/>
      <c r="I1020" s="43"/>
      <c r="J1020" s="443"/>
      <c r="K1020" s="43"/>
      <c r="L1020" s="89"/>
      <c r="M1020" s="89"/>
      <c r="O1020" s="71">
        <f t="shared" si="21"/>
        <v>0</v>
      </c>
      <c r="P1020" s="89">
        <f t="shared" si="22"/>
        <v>0</v>
      </c>
      <c r="Q1020" s="491" t="str">
        <f>IF(ISBLANK(M1020), "", VLOOKUP(A1020&amp;" "&amp;B1020, 'Info Tipo de Cambio y REM'!$A$24:$B$47, 2, FALSE))</f>
        <v/>
      </c>
      <c r="R1020" s="109" t="str">
        <f t="shared" si="1"/>
        <v/>
      </c>
      <c r="S1020" s="71" t="str">
        <f t="shared" si="2"/>
        <v/>
      </c>
      <c r="T1020" s="71">
        <f t="shared" si="3"/>
        <v>0</v>
      </c>
      <c r="U1020" s="43"/>
      <c r="V1020" s="486"/>
      <c r="W1020" s="43"/>
      <c r="X1020" s="43"/>
    </row>
    <row r="1021" hidden="1">
      <c r="A1021" s="51"/>
      <c r="B1021" s="43"/>
      <c r="C1021" s="51"/>
      <c r="D1021" s="43"/>
      <c r="E1021" s="43"/>
      <c r="F1021" s="43"/>
      <c r="G1021" s="43"/>
      <c r="H1021" s="43"/>
      <c r="I1021" s="43"/>
      <c r="J1021" s="443"/>
      <c r="K1021" s="43"/>
      <c r="L1021" s="89"/>
      <c r="M1021" s="89"/>
      <c r="O1021" s="71">
        <f t="shared" si="21"/>
        <v>0</v>
      </c>
      <c r="P1021" s="89">
        <f t="shared" si="22"/>
        <v>0</v>
      </c>
      <c r="Q1021" s="491" t="str">
        <f>IF(ISBLANK(M1021), "", VLOOKUP(A1021&amp;" "&amp;B1021, 'Info Tipo de Cambio y REM'!$A$24:$B$47, 2, FALSE))</f>
        <v/>
      </c>
      <c r="R1021" s="109" t="str">
        <f t="shared" si="1"/>
        <v/>
      </c>
      <c r="S1021" s="71" t="str">
        <f t="shared" si="2"/>
        <v/>
      </c>
      <c r="T1021" s="71">
        <f t="shared" si="3"/>
        <v>0</v>
      </c>
      <c r="U1021" s="43"/>
      <c r="V1021" s="486"/>
      <c r="W1021" s="43"/>
      <c r="X1021" s="43"/>
    </row>
    <row r="1022" hidden="1">
      <c r="A1022" s="51"/>
      <c r="B1022" s="43"/>
      <c r="C1022" s="51"/>
      <c r="D1022" s="43"/>
      <c r="E1022" s="43"/>
      <c r="F1022" s="43"/>
      <c r="G1022" s="43"/>
      <c r="H1022" s="43"/>
      <c r="I1022" s="43"/>
      <c r="J1022" s="443"/>
      <c r="K1022" s="43"/>
      <c r="L1022" s="89"/>
      <c r="M1022" s="89"/>
      <c r="O1022" s="71">
        <f t="shared" si="21"/>
        <v>0</v>
      </c>
      <c r="P1022" s="89">
        <f t="shared" si="22"/>
        <v>0</v>
      </c>
      <c r="Q1022" s="491" t="str">
        <f>IF(ISBLANK(M1022), "", VLOOKUP(A1022&amp;" "&amp;B1022, 'Info Tipo de Cambio y REM'!$A$24:$B$47, 2, FALSE))</f>
        <v/>
      </c>
      <c r="R1022" s="109" t="str">
        <f t="shared" si="1"/>
        <v/>
      </c>
      <c r="S1022" s="71" t="str">
        <f t="shared" si="2"/>
        <v/>
      </c>
      <c r="T1022" s="71">
        <f t="shared" si="3"/>
        <v>0</v>
      </c>
      <c r="U1022" s="43"/>
      <c r="V1022" s="486"/>
      <c r="W1022" s="43"/>
      <c r="X1022" s="43"/>
    </row>
    <row r="1023" hidden="1">
      <c r="A1023" s="51"/>
      <c r="B1023" s="43"/>
      <c r="C1023" s="51"/>
      <c r="D1023" s="43"/>
      <c r="E1023" s="43"/>
      <c r="F1023" s="43"/>
      <c r="G1023" s="43"/>
      <c r="H1023" s="43"/>
      <c r="I1023" s="43"/>
      <c r="J1023" s="443"/>
      <c r="K1023" s="43"/>
      <c r="L1023" s="89"/>
      <c r="M1023" s="89"/>
      <c r="O1023" s="71">
        <f t="shared" si="21"/>
        <v>0</v>
      </c>
      <c r="P1023" s="89">
        <f t="shared" si="22"/>
        <v>0</v>
      </c>
      <c r="Q1023" s="491" t="str">
        <f>IF(ISBLANK(M1023), "", VLOOKUP(A1023&amp;" "&amp;B1023, 'Info Tipo de Cambio y REM'!$A$24:$B$47, 2, FALSE))</f>
        <v/>
      </c>
      <c r="R1023" s="109" t="str">
        <f t="shared" si="1"/>
        <v/>
      </c>
      <c r="S1023" s="71" t="str">
        <f t="shared" si="2"/>
        <v/>
      </c>
      <c r="T1023" s="71">
        <f t="shared" si="3"/>
        <v>0</v>
      </c>
      <c r="U1023" s="43"/>
      <c r="V1023" s="486"/>
      <c r="W1023" s="43"/>
      <c r="X1023" s="43"/>
    </row>
    <row r="1024" hidden="1">
      <c r="A1024" s="51"/>
      <c r="B1024" s="43"/>
      <c r="C1024" s="51"/>
      <c r="D1024" s="43"/>
      <c r="E1024" s="43"/>
      <c r="F1024" s="43"/>
      <c r="G1024" s="43"/>
      <c r="H1024" s="43"/>
      <c r="I1024" s="43"/>
      <c r="J1024" s="443"/>
      <c r="K1024" s="43"/>
      <c r="L1024" s="89"/>
      <c r="M1024" s="89"/>
      <c r="O1024" s="71">
        <f t="shared" si="21"/>
        <v>0</v>
      </c>
      <c r="P1024" s="89">
        <f t="shared" si="22"/>
        <v>0</v>
      </c>
      <c r="Q1024" s="491" t="str">
        <f>IF(ISBLANK(M1024), "", VLOOKUP(A1024&amp;" "&amp;B1024, 'Info Tipo de Cambio y REM'!$A$24:$B$47, 2, FALSE))</f>
        <v/>
      </c>
      <c r="R1024" s="109" t="str">
        <f t="shared" si="1"/>
        <v/>
      </c>
      <c r="S1024" s="71" t="str">
        <f t="shared" si="2"/>
        <v/>
      </c>
      <c r="T1024" s="71">
        <f t="shared" si="3"/>
        <v>0</v>
      </c>
      <c r="U1024" s="43"/>
      <c r="V1024" s="486"/>
      <c r="W1024" s="43"/>
      <c r="X1024" s="43"/>
    </row>
    <row r="1025" hidden="1">
      <c r="A1025" s="51"/>
      <c r="B1025" s="43"/>
      <c r="C1025" s="51"/>
      <c r="D1025" s="43"/>
      <c r="E1025" s="43"/>
      <c r="F1025" s="43"/>
      <c r="G1025" s="43"/>
      <c r="H1025" s="43"/>
      <c r="I1025" s="43"/>
      <c r="J1025" s="443"/>
      <c r="K1025" s="43"/>
      <c r="L1025" s="89"/>
      <c r="M1025" s="89"/>
      <c r="O1025" s="71">
        <f t="shared" si="21"/>
        <v>0</v>
      </c>
      <c r="P1025" s="89">
        <f t="shared" si="22"/>
        <v>0</v>
      </c>
      <c r="Q1025" s="491" t="str">
        <f>IF(ISBLANK(M1025), "", VLOOKUP(A1025&amp;" "&amp;B1025, 'Info Tipo de Cambio y REM'!$A$24:$B$47, 2, FALSE))</f>
        <v/>
      </c>
      <c r="R1025" s="109" t="str">
        <f t="shared" si="1"/>
        <v/>
      </c>
      <c r="S1025" s="71" t="str">
        <f t="shared" si="2"/>
        <v/>
      </c>
      <c r="T1025" s="71">
        <f t="shared" si="3"/>
        <v>0</v>
      </c>
      <c r="U1025" s="43"/>
      <c r="V1025" s="486"/>
      <c r="W1025" s="43"/>
      <c r="X1025" s="43"/>
    </row>
    <row r="1026" hidden="1">
      <c r="A1026" s="51"/>
      <c r="B1026" s="43"/>
      <c r="C1026" s="51"/>
      <c r="D1026" s="43"/>
      <c r="E1026" s="43"/>
      <c r="F1026" s="43"/>
      <c r="G1026" s="43"/>
      <c r="H1026" s="43"/>
      <c r="I1026" s="43"/>
      <c r="J1026" s="443"/>
      <c r="K1026" s="43"/>
      <c r="L1026" s="89"/>
      <c r="M1026" s="89"/>
      <c r="O1026" s="71">
        <f t="shared" si="21"/>
        <v>0</v>
      </c>
      <c r="P1026" s="89">
        <f t="shared" si="22"/>
        <v>0</v>
      </c>
      <c r="Q1026" s="491" t="str">
        <f>IF(ISBLANK(M1026), "", VLOOKUP(A1026&amp;" "&amp;B1026, 'Info Tipo de Cambio y REM'!$A$24:$B$47, 2, FALSE))</f>
        <v/>
      </c>
      <c r="R1026" s="109" t="str">
        <f t="shared" si="1"/>
        <v/>
      </c>
      <c r="S1026" s="71" t="str">
        <f t="shared" si="2"/>
        <v/>
      </c>
      <c r="T1026" s="71">
        <f t="shared" si="3"/>
        <v>0</v>
      </c>
      <c r="U1026" s="43"/>
      <c r="V1026" s="486"/>
      <c r="W1026" s="43"/>
      <c r="X1026" s="43"/>
    </row>
    <row r="1027" hidden="1">
      <c r="A1027" s="51"/>
      <c r="B1027" s="43"/>
      <c r="C1027" s="51"/>
      <c r="D1027" s="43"/>
      <c r="E1027" s="43"/>
      <c r="F1027" s="43"/>
      <c r="G1027" s="43"/>
      <c r="H1027" s="43"/>
      <c r="I1027" s="43"/>
      <c r="J1027" s="443"/>
      <c r="K1027" s="43"/>
      <c r="L1027" s="89"/>
      <c r="M1027" s="89"/>
      <c r="O1027" s="71">
        <f t="shared" si="21"/>
        <v>0</v>
      </c>
      <c r="P1027" s="89">
        <f t="shared" si="22"/>
        <v>0</v>
      </c>
      <c r="Q1027" s="491" t="str">
        <f>IF(ISBLANK(M1027), "", VLOOKUP(A1027&amp;" "&amp;B1027, 'Info Tipo de Cambio y REM'!$A$24:$B$47, 2, FALSE))</f>
        <v/>
      </c>
      <c r="R1027" s="109" t="str">
        <f t="shared" si="1"/>
        <v/>
      </c>
      <c r="S1027" s="71" t="str">
        <f t="shared" si="2"/>
        <v/>
      </c>
      <c r="T1027" s="71">
        <f t="shared" si="3"/>
        <v>0</v>
      </c>
      <c r="U1027" s="43"/>
      <c r="V1027" s="486"/>
      <c r="W1027" s="43"/>
      <c r="X1027" s="43"/>
    </row>
    <row r="1028" hidden="1">
      <c r="A1028" s="51"/>
      <c r="B1028" s="43"/>
      <c r="C1028" s="51"/>
      <c r="D1028" s="43"/>
      <c r="E1028" s="43"/>
      <c r="F1028" s="43"/>
      <c r="G1028" s="43"/>
      <c r="H1028" s="43"/>
      <c r="I1028" s="43"/>
      <c r="J1028" s="443"/>
      <c r="K1028" s="43"/>
      <c r="L1028" s="89"/>
      <c r="M1028" s="89"/>
      <c r="O1028" s="71">
        <f t="shared" si="21"/>
        <v>0</v>
      </c>
      <c r="P1028" s="89">
        <f t="shared" si="22"/>
        <v>0</v>
      </c>
      <c r="Q1028" s="491" t="str">
        <f>IF(ISBLANK(M1028), "", VLOOKUP(A1028&amp;" "&amp;B1028, 'Info Tipo de Cambio y REM'!$A$24:$B$47, 2, FALSE))</f>
        <v/>
      </c>
      <c r="R1028" s="109" t="str">
        <f t="shared" si="1"/>
        <v/>
      </c>
      <c r="S1028" s="71" t="str">
        <f t="shared" si="2"/>
        <v/>
      </c>
      <c r="T1028" s="71">
        <f t="shared" si="3"/>
        <v>0</v>
      </c>
      <c r="U1028" s="43"/>
      <c r="V1028" s="486"/>
      <c r="W1028" s="43"/>
      <c r="X1028" s="43"/>
    </row>
    <row r="1029" hidden="1">
      <c r="A1029" s="51"/>
      <c r="B1029" s="43"/>
      <c r="C1029" s="51"/>
      <c r="D1029" s="43"/>
      <c r="E1029" s="43"/>
      <c r="F1029" s="43"/>
      <c r="G1029" s="43"/>
      <c r="H1029" s="43"/>
      <c r="I1029" s="43"/>
      <c r="J1029" s="443"/>
      <c r="K1029" s="43"/>
      <c r="L1029" s="89"/>
      <c r="M1029" s="89"/>
      <c r="O1029" s="71">
        <f t="shared" si="21"/>
        <v>0</v>
      </c>
      <c r="P1029" s="89">
        <f t="shared" si="22"/>
        <v>0</v>
      </c>
      <c r="Q1029" s="491" t="str">
        <f>IF(ISBLANK(M1029), "", VLOOKUP(A1029&amp;" "&amp;B1029, 'Info Tipo de Cambio y REM'!$A$24:$B$47, 2, FALSE))</f>
        <v/>
      </c>
      <c r="R1029" s="109" t="str">
        <f t="shared" si="1"/>
        <v/>
      </c>
      <c r="S1029" s="71" t="str">
        <f t="shared" si="2"/>
        <v/>
      </c>
      <c r="T1029" s="71">
        <f t="shared" si="3"/>
        <v>0</v>
      </c>
      <c r="U1029" s="43"/>
      <c r="V1029" s="486"/>
      <c r="W1029" s="43"/>
      <c r="X1029" s="43"/>
    </row>
    <row r="1030" hidden="1">
      <c r="A1030" s="51"/>
      <c r="B1030" s="43"/>
      <c r="C1030" s="51"/>
      <c r="D1030" s="43"/>
      <c r="E1030" s="43"/>
      <c r="F1030" s="43"/>
      <c r="G1030" s="43"/>
      <c r="H1030" s="43"/>
      <c r="I1030" s="43"/>
      <c r="J1030" s="443"/>
      <c r="K1030" s="43"/>
      <c r="L1030" s="89"/>
      <c r="M1030" s="89"/>
      <c r="O1030" s="71">
        <f t="shared" si="21"/>
        <v>0</v>
      </c>
      <c r="P1030" s="89">
        <f t="shared" si="22"/>
        <v>0</v>
      </c>
      <c r="Q1030" s="491" t="str">
        <f>IF(ISBLANK(M1030), "", VLOOKUP(A1030&amp;" "&amp;B1030, 'Info Tipo de Cambio y REM'!$A$24:$B$47, 2, FALSE))</f>
        <v/>
      </c>
      <c r="R1030" s="109" t="str">
        <f t="shared" si="1"/>
        <v/>
      </c>
      <c r="S1030" s="71" t="str">
        <f t="shared" si="2"/>
        <v/>
      </c>
      <c r="T1030" s="71">
        <f t="shared" si="3"/>
        <v>0</v>
      </c>
      <c r="U1030" s="43"/>
      <c r="V1030" s="486"/>
      <c r="W1030" s="43"/>
      <c r="X1030" s="43"/>
    </row>
    <row r="1031" hidden="1">
      <c r="A1031" s="51"/>
      <c r="B1031" s="43"/>
      <c r="C1031" s="51"/>
      <c r="D1031" s="43"/>
      <c r="E1031" s="43"/>
      <c r="F1031" s="43"/>
      <c r="G1031" s="43"/>
      <c r="H1031" s="43"/>
      <c r="I1031" s="43"/>
      <c r="J1031" s="443"/>
      <c r="K1031" s="43"/>
      <c r="L1031" s="89"/>
      <c r="M1031" s="89"/>
      <c r="O1031" s="71">
        <f t="shared" si="21"/>
        <v>0</v>
      </c>
      <c r="P1031" s="89">
        <f t="shared" si="22"/>
        <v>0</v>
      </c>
      <c r="Q1031" s="491" t="str">
        <f>IF(ISBLANK(M1031), "", VLOOKUP(A1031&amp;" "&amp;B1031, 'Info Tipo de Cambio y REM'!$A$24:$B$47, 2, FALSE))</f>
        <v/>
      </c>
      <c r="R1031" s="109" t="str">
        <f t="shared" si="1"/>
        <v/>
      </c>
      <c r="S1031" s="71" t="str">
        <f t="shared" si="2"/>
        <v/>
      </c>
      <c r="T1031" s="71">
        <f t="shared" si="3"/>
        <v>0</v>
      </c>
      <c r="U1031" s="43"/>
      <c r="V1031" s="486"/>
      <c r="W1031" s="43"/>
      <c r="X1031" s="43"/>
    </row>
    <row r="1032" hidden="1">
      <c r="A1032" s="51"/>
      <c r="B1032" s="43"/>
      <c r="C1032" s="51"/>
      <c r="D1032" s="43"/>
      <c r="E1032" s="43"/>
      <c r="F1032" s="43"/>
      <c r="G1032" s="43"/>
      <c r="H1032" s="43"/>
      <c r="I1032" s="43"/>
      <c r="J1032" s="443"/>
      <c r="K1032" s="43"/>
      <c r="L1032" s="89"/>
      <c r="M1032" s="89"/>
      <c r="O1032" s="71">
        <f t="shared" si="21"/>
        <v>0</v>
      </c>
      <c r="P1032" s="89">
        <f t="shared" si="22"/>
        <v>0</v>
      </c>
      <c r="Q1032" s="491" t="str">
        <f>IF(ISBLANK(M1032), "", VLOOKUP(A1032&amp;" "&amp;B1032, 'Info Tipo de Cambio y REM'!$A$24:$B$47, 2, FALSE))</f>
        <v/>
      </c>
      <c r="R1032" s="109" t="str">
        <f t="shared" si="1"/>
        <v/>
      </c>
      <c r="S1032" s="71" t="str">
        <f t="shared" si="2"/>
        <v/>
      </c>
      <c r="T1032" s="71">
        <f t="shared" si="3"/>
        <v>0</v>
      </c>
      <c r="U1032" s="43"/>
      <c r="V1032" s="486"/>
      <c r="W1032" s="43"/>
      <c r="X1032" s="43"/>
    </row>
    <row r="1033" hidden="1">
      <c r="A1033" s="51"/>
      <c r="B1033" s="43"/>
      <c r="C1033" s="51"/>
      <c r="D1033" s="43"/>
      <c r="E1033" s="43"/>
      <c r="F1033" s="43"/>
      <c r="G1033" s="43"/>
      <c r="H1033" s="43"/>
      <c r="I1033" s="43"/>
      <c r="J1033" s="443"/>
      <c r="K1033" s="43"/>
      <c r="L1033" s="89"/>
      <c r="M1033" s="89"/>
      <c r="O1033" s="71">
        <f t="shared" si="21"/>
        <v>0</v>
      </c>
      <c r="P1033" s="89">
        <f t="shared" si="22"/>
        <v>0</v>
      </c>
      <c r="Q1033" s="491" t="str">
        <f>IF(ISBLANK(M1033), "", VLOOKUP(A1033&amp;" "&amp;B1033, 'Info Tipo de Cambio y REM'!$A$24:$B$47, 2, FALSE))</f>
        <v/>
      </c>
      <c r="R1033" s="109" t="str">
        <f t="shared" si="1"/>
        <v/>
      </c>
      <c r="S1033" s="71" t="str">
        <f t="shared" si="2"/>
        <v/>
      </c>
      <c r="T1033" s="71">
        <f t="shared" si="3"/>
        <v>0</v>
      </c>
      <c r="U1033" s="43"/>
      <c r="V1033" s="486"/>
      <c r="W1033" s="43"/>
      <c r="X1033" s="43"/>
    </row>
    <row r="1034" hidden="1">
      <c r="A1034" s="51"/>
      <c r="B1034" s="43"/>
      <c r="C1034" s="51"/>
      <c r="D1034" s="43"/>
      <c r="E1034" s="43"/>
      <c r="F1034" s="43"/>
      <c r="G1034" s="43"/>
      <c r="H1034" s="43"/>
      <c r="I1034" s="43"/>
      <c r="J1034" s="443"/>
      <c r="K1034" s="43"/>
      <c r="L1034" s="89"/>
      <c r="M1034" s="89"/>
      <c r="O1034" s="71">
        <f t="shared" si="21"/>
        <v>0</v>
      </c>
      <c r="P1034" s="89">
        <f t="shared" si="22"/>
        <v>0</v>
      </c>
      <c r="Q1034" s="491" t="str">
        <f>IF(ISBLANK(M1034), "", VLOOKUP(A1034&amp;" "&amp;B1034, 'Info Tipo de Cambio y REM'!$A$24:$B$47, 2, FALSE))</f>
        <v/>
      </c>
      <c r="R1034" s="109" t="str">
        <f t="shared" si="1"/>
        <v/>
      </c>
      <c r="S1034" s="71" t="str">
        <f t="shared" si="2"/>
        <v/>
      </c>
      <c r="T1034" s="71">
        <f t="shared" si="3"/>
        <v>0</v>
      </c>
      <c r="U1034" s="43"/>
      <c r="V1034" s="486"/>
      <c r="W1034" s="43"/>
      <c r="X1034" s="43"/>
    </row>
    <row r="1035" hidden="1">
      <c r="A1035" s="51"/>
      <c r="B1035" s="43"/>
      <c r="C1035" s="51"/>
      <c r="D1035" s="43"/>
      <c r="E1035" s="43"/>
      <c r="F1035" s="43"/>
      <c r="G1035" s="43"/>
      <c r="H1035" s="43"/>
      <c r="I1035" s="43"/>
      <c r="J1035" s="443"/>
      <c r="K1035" s="43"/>
      <c r="L1035" s="89"/>
      <c r="M1035" s="89"/>
      <c r="O1035" s="71">
        <f t="shared" si="21"/>
        <v>0</v>
      </c>
      <c r="P1035" s="89">
        <f t="shared" si="22"/>
        <v>0</v>
      </c>
      <c r="Q1035" s="491" t="str">
        <f>IF(ISBLANK(M1035), "", VLOOKUP(A1035&amp;" "&amp;B1035, 'Info Tipo de Cambio y REM'!$A$24:$B$47, 2, FALSE))</f>
        <v/>
      </c>
      <c r="R1035" s="109" t="str">
        <f t="shared" si="1"/>
        <v/>
      </c>
      <c r="S1035" s="71" t="str">
        <f t="shared" si="2"/>
        <v/>
      </c>
      <c r="T1035" s="71">
        <f t="shared" si="3"/>
        <v>0</v>
      </c>
      <c r="U1035" s="43"/>
      <c r="V1035" s="486"/>
      <c r="W1035" s="43"/>
      <c r="X1035" s="43"/>
    </row>
    <row r="1036" hidden="1">
      <c r="A1036" s="51"/>
      <c r="B1036" s="43"/>
      <c r="C1036" s="51"/>
      <c r="D1036" s="43"/>
      <c r="E1036" s="43"/>
      <c r="F1036" s="43"/>
      <c r="G1036" s="43"/>
      <c r="H1036" s="43"/>
      <c r="I1036" s="43"/>
      <c r="J1036" s="443"/>
      <c r="K1036" s="43"/>
      <c r="L1036" s="89"/>
      <c r="M1036" s="89"/>
      <c r="O1036" s="71">
        <f t="shared" si="21"/>
        <v>0</v>
      </c>
      <c r="P1036" s="89">
        <f t="shared" si="22"/>
        <v>0</v>
      </c>
      <c r="Q1036" s="491" t="str">
        <f>IF(ISBLANK(M1036), "", VLOOKUP(A1036&amp;" "&amp;B1036, 'Info Tipo de Cambio y REM'!$A$24:$B$47, 2, FALSE))</f>
        <v/>
      </c>
      <c r="R1036" s="109" t="str">
        <f t="shared" si="1"/>
        <v/>
      </c>
      <c r="S1036" s="71" t="str">
        <f t="shared" si="2"/>
        <v/>
      </c>
      <c r="T1036" s="71">
        <f t="shared" si="3"/>
        <v>0</v>
      </c>
      <c r="U1036" s="43"/>
      <c r="V1036" s="486"/>
      <c r="W1036" s="43"/>
      <c r="X1036" s="43"/>
    </row>
    <row r="1037" hidden="1">
      <c r="A1037" s="51"/>
      <c r="B1037" s="43"/>
      <c r="C1037" s="51"/>
      <c r="D1037" s="43"/>
      <c r="E1037" s="43"/>
      <c r="F1037" s="43"/>
      <c r="G1037" s="43"/>
      <c r="H1037" s="43"/>
      <c r="I1037" s="43"/>
      <c r="J1037" s="443"/>
      <c r="K1037" s="43"/>
      <c r="L1037" s="89"/>
      <c r="M1037" s="89"/>
      <c r="O1037" s="71">
        <f t="shared" si="21"/>
        <v>0</v>
      </c>
      <c r="P1037" s="89">
        <f t="shared" si="22"/>
        <v>0</v>
      </c>
      <c r="Q1037" s="491" t="str">
        <f>IF(ISBLANK(M1037), "", VLOOKUP(A1037&amp;" "&amp;B1037, 'Info Tipo de Cambio y REM'!$A$24:$B$47, 2, FALSE))</f>
        <v/>
      </c>
      <c r="R1037" s="109" t="str">
        <f t="shared" si="1"/>
        <v/>
      </c>
      <c r="S1037" s="71" t="str">
        <f t="shared" si="2"/>
        <v/>
      </c>
      <c r="T1037" s="71">
        <f t="shared" si="3"/>
        <v>0</v>
      </c>
      <c r="U1037" s="43"/>
      <c r="V1037" s="486"/>
      <c r="W1037" s="43"/>
      <c r="X1037" s="43"/>
    </row>
    <row r="1038" hidden="1">
      <c r="A1038" s="51"/>
      <c r="B1038" s="43"/>
      <c r="C1038" s="51"/>
      <c r="D1038" s="43"/>
      <c r="E1038" s="43"/>
      <c r="F1038" s="43"/>
      <c r="G1038" s="43"/>
      <c r="H1038" s="43"/>
      <c r="I1038" s="43"/>
      <c r="J1038" s="443"/>
      <c r="K1038" s="43"/>
      <c r="L1038" s="89"/>
      <c r="M1038" s="89"/>
      <c r="O1038" s="71">
        <f t="shared" si="21"/>
        <v>0</v>
      </c>
      <c r="P1038" s="89">
        <f t="shared" si="22"/>
        <v>0</v>
      </c>
      <c r="Q1038" s="491" t="str">
        <f>IF(ISBLANK(M1038), "", VLOOKUP(A1038&amp;" "&amp;B1038, 'Info Tipo de Cambio y REM'!$A$24:$B$47, 2, FALSE))</f>
        <v/>
      </c>
      <c r="R1038" s="109" t="str">
        <f t="shared" si="1"/>
        <v/>
      </c>
      <c r="S1038" s="71" t="str">
        <f t="shared" si="2"/>
        <v/>
      </c>
      <c r="T1038" s="71">
        <f t="shared" si="3"/>
        <v>0</v>
      </c>
      <c r="U1038" s="43"/>
      <c r="V1038" s="486"/>
      <c r="W1038" s="43"/>
      <c r="X1038" s="43"/>
    </row>
    <row r="1039" hidden="1">
      <c r="A1039" s="51"/>
      <c r="B1039" s="43"/>
      <c r="C1039" s="51"/>
      <c r="D1039" s="43"/>
      <c r="E1039" s="43"/>
      <c r="F1039" s="43"/>
      <c r="G1039" s="43"/>
      <c r="H1039" s="43"/>
      <c r="I1039" s="43"/>
      <c r="J1039" s="443"/>
      <c r="K1039" s="43"/>
      <c r="L1039" s="89"/>
      <c r="M1039" s="89"/>
      <c r="O1039" s="71">
        <f t="shared" si="21"/>
        <v>0</v>
      </c>
      <c r="P1039" s="89">
        <f t="shared" si="22"/>
        <v>0</v>
      </c>
      <c r="Q1039" s="491" t="str">
        <f>IF(ISBLANK(M1039), "", VLOOKUP(A1039&amp;" "&amp;B1039, 'Info Tipo de Cambio y REM'!$A$24:$B$47, 2, FALSE))</f>
        <v/>
      </c>
      <c r="R1039" s="109" t="str">
        <f t="shared" si="1"/>
        <v/>
      </c>
      <c r="S1039" s="71" t="str">
        <f t="shared" si="2"/>
        <v/>
      </c>
      <c r="T1039" s="71">
        <f t="shared" si="3"/>
        <v>0</v>
      </c>
      <c r="U1039" s="43"/>
      <c r="V1039" s="486"/>
      <c r="W1039" s="43"/>
      <c r="X1039" s="43"/>
    </row>
    <row r="1040" hidden="1">
      <c r="A1040" s="51"/>
      <c r="B1040" s="43"/>
      <c r="C1040" s="51"/>
      <c r="D1040" s="43"/>
      <c r="E1040" s="43"/>
      <c r="F1040" s="43"/>
      <c r="G1040" s="43"/>
      <c r="H1040" s="43"/>
      <c r="I1040" s="43"/>
      <c r="J1040" s="443"/>
      <c r="K1040" s="43"/>
      <c r="L1040" s="89"/>
      <c r="M1040" s="89"/>
      <c r="O1040" s="71">
        <f t="shared" si="21"/>
        <v>0</v>
      </c>
      <c r="P1040" s="89">
        <f t="shared" si="22"/>
        <v>0</v>
      </c>
      <c r="Q1040" s="491" t="str">
        <f>IF(ISBLANK(M1040), "", VLOOKUP(A1040&amp;" "&amp;B1040, 'Info Tipo de Cambio y REM'!$A$24:$B$47, 2, FALSE))</f>
        <v/>
      </c>
      <c r="R1040" s="109" t="str">
        <f t="shared" si="1"/>
        <v/>
      </c>
      <c r="S1040" s="71" t="str">
        <f t="shared" si="2"/>
        <v/>
      </c>
      <c r="T1040" s="71">
        <f t="shared" si="3"/>
        <v>0</v>
      </c>
      <c r="U1040" s="43"/>
      <c r="V1040" s="486"/>
      <c r="W1040" s="43"/>
      <c r="X1040" s="43"/>
    </row>
    <row r="1041" hidden="1">
      <c r="A1041" s="51"/>
      <c r="B1041" s="43"/>
      <c r="C1041" s="51"/>
      <c r="D1041" s="43"/>
      <c r="E1041" s="43"/>
      <c r="F1041" s="43"/>
      <c r="G1041" s="43"/>
      <c r="H1041" s="43"/>
      <c r="I1041" s="43"/>
      <c r="J1041" s="443"/>
      <c r="K1041" s="43"/>
      <c r="L1041" s="89"/>
      <c r="M1041" s="89"/>
      <c r="O1041" s="71">
        <f t="shared" si="21"/>
        <v>0</v>
      </c>
      <c r="P1041" s="89">
        <f t="shared" si="22"/>
        <v>0</v>
      </c>
      <c r="Q1041" s="491" t="str">
        <f>IF(ISBLANK(M1041), "", VLOOKUP(A1041&amp;" "&amp;B1041, 'Info Tipo de Cambio y REM'!$A$24:$B$47, 2, FALSE))</f>
        <v/>
      </c>
      <c r="R1041" s="109" t="str">
        <f t="shared" si="1"/>
        <v/>
      </c>
      <c r="S1041" s="71" t="str">
        <f t="shared" si="2"/>
        <v/>
      </c>
      <c r="T1041" s="71">
        <f t="shared" si="3"/>
        <v>0</v>
      </c>
      <c r="U1041" s="43"/>
      <c r="V1041" s="486"/>
      <c r="W1041" s="43"/>
      <c r="X1041" s="43"/>
    </row>
    <row r="1042" hidden="1">
      <c r="A1042" s="51"/>
      <c r="B1042" s="43"/>
      <c r="C1042" s="51"/>
      <c r="D1042" s="43"/>
      <c r="E1042" s="43"/>
      <c r="F1042" s="43"/>
      <c r="G1042" s="43"/>
      <c r="H1042" s="43"/>
      <c r="I1042" s="43"/>
      <c r="J1042" s="443"/>
      <c r="K1042" s="43"/>
      <c r="L1042" s="89"/>
      <c r="M1042" s="89"/>
      <c r="O1042" s="71">
        <f t="shared" si="21"/>
        <v>0</v>
      </c>
      <c r="P1042" s="89">
        <f t="shared" si="22"/>
        <v>0</v>
      </c>
      <c r="Q1042" s="491" t="str">
        <f>IF(ISBLANK(M1042), "", VLOOKUP(A1042&amp;" "&amp;B1042, 'Info Tipo de Cambio y REM'!$A$24:$B$47, 2, FALSE))</f>
        <v/>
      </c>
      <c r="R1042" s="109" t="str">
        <f t="shared" si="1"/>
        <v/>
      </c>
      <c r="S1042" s="71" t="str">
        <f t="shared" si="2"/>
        <v/>
      </c>
      <c r="T1042" s="71">
        <f t="shared" si="3"/>
        <v>0</v>
      </c>
      <c r="U1042" s="43"/>
      <c r="V1042" s="486"/>
      <c r="W1042" s="43"/>
      <c r="X1042" s="43"/>
    </row>
    <row r="1043" hidden="1">
      <c r="A1043" s="51"/>
      <c r="B1043" s="43"/>
      <c r="C1043" s="51"/>
      <c r="D1043" s="43"/>
      <c r="E1043" s="43"/>
      <c r="F1043" s="43"/>
      <c r="G1043" s="43"/>
      <c r="H1043" s="43"/>
      <c r="I1043" s="43"/>
      <c r="J1043" s="443"/>
      <c r="K1043" s="43"/>
      <c r="L1043" s="89"/>
      <c r="M1043" s="89"/>
      <c r="O1043" s="71">
        <f t="shared" si="21"/>
        <v>0</v>
      </c>
      <c r="P1043" s="89">
        <f t="shared" si="22"/>
        <v>0</v>
      </c>
      <c r="Q1043" s="491" t="str">
        <f>IF(ISBLANK(M1043), "", VLOOKUP(A1043&amp;" "&amp;B1043, 'Info Tipo de Cambio y REM'!$A$24:$B$47, 2, FALSE))</f>
        <v/>
      </c>
      <c r="R1043" s="109" t="str">
        <f t="shared" si="1"/>
        <v/>
      </c>
      <c r="S1043" s="71" t="str">
        <f t="shared" si="2"/>
        <v/>
      </c>
      <c r="T1043" s="71">
        <f t="shared" si="3"/>
        <v>0</v>
      </c>
      <c r="U1043" s="43"/>
      <c r="V1043" s="486"/>
      <c r="W1043" s="43"/>
      <c r="X1043" s="43"/>
    </row>
    <row r="1044" hidden="1">
      <c r="A1044" s="51"/>
      <c r="B1044" s="43"/>
      <c r="C1044" s="51"/>
      <c r="D1044" s="43"/>
      <c r="E1044" s="43"/>
      <c r="F1044" s="43"/>
      <c r="G1044" s="43"/>
      <c r="H1044" s="43"/>
      <c r="I1044" s="43"/>
      <c r="J1044" s="443"/>
      <c r="K1044" s="43"/>
      <c r="L1044" s="89"/>
      <c r="M1044" s="89"/>
      <c r="O1044" s="71">
        <f t="shared" si="21"/>
        <v>0</v>
      </c>
      <c r="P1044" s="89">
        <f t="shared" si="22"/>
        <v>0</v>
      </c>
      <c r="Q1044" s="491" t="str">
        <f>IF(ISBLANK(M1044), "", VLOOKUP(A1044&amp;" "&amp;B1044, 'Info Tipo de Cambio y REM'!$A$24:$B$47, 2, FALSE))</f>
        <v/>
      </c>
      <c r="R1044" s="109" t="str">
        <f t="shared" si="1"/>
        <v/>
      </c>
      <c r="S1044" s="71" t="str">
        <f t="shared" si="2"/>
        <v/>
      </c>
      <c r="T1044" s="71">
        <f t="shared" si="3"/>
        <v>0</v>
      </c>
      <c r="U1044" s="43"/>
      <c r="V1044" s="486"/>
      <c r="W1044" s="43"/>
      <c r="X1044" s="43"/>
    </row>
    <row r="1045" hidden="1">
      <c r="A1045" s="51"/>
      <c r="B1045" s="43"/>
      <c r="C1045" s="51"/>
      <c r="D1045" s="43"/>
      <c r="E1045" s="43"/>
      <c r="F1045" s="43"/>
      <c r="G1045" s="43"/>
      <c r="H1045" s="43"/>
      <c r="I1045" s="43"/>
      <c r="J1045" s="443"/>
      <c r="K1045" s="43"/>
      <c r="L1045" s="89"/>
      <c r="M1045" s="89"/>
      <c r="O1045" s="71">
        <f t="shared" si="21"/>
        <v>0</v>
      </c>
      <c r="P1045" s="89">
        <f t="shared" si="22"/>
        <v>0</v>
      </c>
      <c r="Q1045" s="491" t="str">
        <f>IF(ISBLANK(M1045), "", VLOOKUP(A1045&amp;" "&amp;B1045, 'Info Tipo de Cambio y REM'!$A$24:$B$47, 2, FALSE))</f>
        <v/>
      </c>
      <c r="R1045" s="109" t="str">
        <f t="shared" si="1"/>
        <v/>
      </c>
      <c r="S1045" s="71" t="str">
        <f t="shared" si="2"/>
        <v/>
      </c>
      <c r="T1045" s="71">
        <f t="shared" si="3"/>
        <v>0</v>
      </c>
      <c r="U1045" s="43"/>
      <c r="V1045" s="486"/>
      <c r="W1045" s="43"/>
      <c r="X1045" s="43"/>
    </row>
    <row r="1046" hidden="1">
      <c r="A1046" s="51"/>
      <c r="B1046" s="43"/>
      <c r="C1046" s="51"/>
      <c r="D1046" s="43"/>
      <c r="E1046" s="43"/>
      <c r="F1046" s="43"/>
      <c r="G1046" s="43"/>
      <c r="H1046" s="43"/>
      <c r="I1046" s="43"/>
      <c r="J1046" s="443"/>
      <c r="K1046" s="43"/>
      <c r="L1046" s="89"/>
      <c r="M1046" s="89"/>
      <c r="O1046" s="71">
        <f t="shared" si="21"/>
        <v>0</v>
      </c>
      <c r="P1046" s="89">
        <f t="shared" si="22"/>
        <v>0</v>
      </c>
      <c r="Q1046" s="491" t="str">
        <f>IF(ISBLANK(M1046), "", VLOOKUP(A1046&amp;" "&amp;B1046, 'Info Tipo de Cambio y REM'!$A$24:$B$47, 2, FALSE))</f>
        <v/>
      </c>
      <c r="R1046" s="109" t="str">
        <f t="shared" si="1"/>
        <v/>
      </c>
      <c r="S1046" s="71" t="str">
        <f t="shared" si="2"/>
        <v/>
      </c>
      <c r="T1046" s="71">
        <f t="shared" si="3"/>
        <v>0</v>
      </c>
      <c r="U1046" s="43"/>
      <c r="V1046" s="486"/>
      <c r="W1046" s="43"/>
      <c r="X1046" s="43"/>
    </row>
    <row r="1047" hidden="1">
      <c r="A1047" s="51"/>
      <c r="B1047" s="43"/>
      <c r="C1047" s="51"/>
      <c r="D1047" s="43"/>
      <c r="E1047" s="43"/>
      <c r="F1047" s="43"/>
      <c r="G1047" s="43"/>
      <c r="H1047" s="43"/>
      <c r="I1047" s="43"/>
      <c r="J1047" s="443"/>
      <c r="K1047" s="43"/>
      <c r="L1047" s="89"/>
      <c r="M1047" s="89"/>
      <c r="O1047" s="71">
        <f t="shared" si="21"/>
        <v>0</v>
      </c>
      <c r="P1047" s="89">
        <f t="shared" si="22"/>
        <v>0</v>
      </c>
      <c r="Q1047" s="491" t="str">
        <f>IF(ISBLANK(M1047), "", VLOOKUP(A1047&amp;" "&amp;B1047, 'Info Tipo de Cambio y REM'!$A$24:$B$47, 2, FALSE))</f>
        <v/>
      </c>
      <c r="R1047" s="109" t="str">
        <f t="shared" si="1"/>
        <v/>
      </c>
      <c r="S1047" s="71" t="str">
        <f t="shared" si="2"/>
        <v/>
      </c>
      <c r="T1047" s="71">
        <f t="shared" si="3"/>
        <v>0</v>
      </c>
      <c r="U1047" s="43"/>
      <c r="V1047" s="486"/>
      <c r="W1047" s="43"/>
      <c r="X1047" s="43"/>
    </row>
    <row r="1048" hidden="1">
      <c r="A1048" s="51"/>
      <c r="B1048" s="43"/>
      <c r="C1048" s="51"/>
      <c r="D1048" s="43"/>
      <c r="E1048" s="43"/>
      <c r="F1048" s="43"/>
      <c r="G1048" s="43"/>
      <c r="H1048" s="43"/>
      <c r="I1048" s="43"/>
      <c r="J1048" s="443"/>
      <c r="K1048" s="43"/>
      <c r="L1048" s="89"/>
      <c r="M1048" s="89"/>
      <c r="O1048" s="71">
        <f t="shared" si="21"/>
        <v>0</v>
      </c>
      <c r="P1048" s="89">
        <f t="shared" si="22"/>
        <v>0</v>
      </c>
      <c r="Q1048" s="491" t="str">
        <f>IF(ISBLANK(M1048), "", VLOOKUP(A1048&amp;" "&amp;B1048, 'Info Tipo de Cambio y REM'!$A$24:$B$47, 2, FALSE))</f>
        <v/>
      </c>
      <c r="R1048" s="109" t="str">
        <f t="shared" si="1"/>
        <v/>
      </c>
      <c r="S1048" s="71" t="str">
        <f t="shared" si="2"/>
        <v/>
      </c>
      <c r="T1048" s="71">
        <f t="shared" si="3"/>
        <v>0</v>
      </c>
      <c r="U1048" s="43"/>
      <c r="V1048" s="486"/>
      <c r="W1048" s="43"/>
      <c r="X1048" s="43"/>
    </row>
    <row r="1049" hidden="1">
      <c r="A1049" s="51"/>
      <c r="B1049" s="43"/>
      <c r="C1049" s="51"/>
      <c r="D1049" s="43"/>
      <c r="E1049" s="43"/>
      <c r="F1049" s="43"/>
      <c r="G1049" s="43"/>
      <c r="H1049" s="43"/>
      <c r="I1049" s="43"/>
      <c r="J1049" s="443"/>
      <c r="K1049" s="43"/>
      <c r="L1049" s="89"/>
      <c r="M1049" s="89"/>
      <c r="O1049" s="71">
        <f t="shared" si="21"/>
        <v>0</v>
      </c>
      <c r="P1049" s="89">
        <f t="shared" si="22"/>
        <v>0</v>
      </c>
      <c r="Q1049" s="491" t="str">
        <f>IF(ISBLANK(M1049), "", VLOOKUP(A1049&amp;" "&amp;B1049, 'Info Tipo de Cambio y REM'!$A$24:$B$47, 2, FALSE))</f>
        <v/>
      </c>
      <c r="R1049" s="109" t="str">
        <f t="shared" si="1"/>
        <v/>
      </c>
      <c r="S1049" s="71" t="str">
        <f t="shared" si="2"/>
        <v/>
      </c>
      <c r="T1049" s="71">
        <f t="shared" si="3"/>
        <v>0</v>
      </c>
      <c r="U1049" s="43"/>
      <c r="V1049" s="486"/>
      <c r="W1049" s="43"/>
      <c r="X1049" s="43"/>
    </row>
    <row r="1050" hidden="1">
      <c r="A1050" s="51"/>
      <c r="B1050" s="43"/>
      <c r="C1050" s="51"/>
      <c r="D1050" s="43"/>
      <c r="E1050" s="43"/>
      <c r="F1050" s="43"/>
      <c r="G1050" s="43"/>
      <c r="H1050" s="43"/>
      <c r="I1050" s="43"/>
      <c r="J1050" s="443"/>
      <c r="K1050" s="43"/>
      <c r="L1050" s="89"/>
      <c r="M1050" s="89"/>
      <c r="O1050" s="71">
        <f t="shared" si="21"/>
        <v>0</v>
      </c>
      <c r="P1050" s="89">
        <f t="shared" si="22"/>
        <v>0</v>
      </c>
      <c r="Q1050" s="491" t="str">
        <f>IF(ISBLANK(M1050), "", VLOOKUP(A1050&amp;" "&amp;B1050, 'Info Tipo de Cambio y REM'!$A$24:$B$47, 2, FALSE))</f>
        <v/>
      </c>
      <c r="R1050" s="109" t="str">
        <f t="shared" si="1"/>
        <v/>
      </c>
      <c r="S1050" s="71" t="str">
        <f t="shared" si="2"/>
        <v/>
      </c>
      <c r="T1050" s="71">
        <f t="shared" si="3"/>
        <v>0</v>
      </c>
      <c r="U1050" s="43"/>
      <c r="V1050" s="486"/>
      <c r="W1050" s="43"/>
      <c r="X1050" s="43"/>
    </row>
    <row r="1051" hidden="1">
      <c r="A1051" s="51"/>
      <c r="B1051" s="43"/>
      <c r="C1051" s="51"/>
      <c r="D1051" s="43"/>
      <c r="E1051" s="43"/>
      <c r="F1051" s="43"/>
      <c r="G1051" s="43"/>
      <c r="H1051" s="43"/>
      <c r="I1051" s="43"/>
      <c r="J1051" s="443"/>
      <c r="K1051" s="43"/>
      <c r="L1051" s="89"/>
      <c r="M1051" s="89"/>
      <c r="O1051" s="71">
        <f t="shared" si="21"/>
        <v>0</v>
      </c>
      <c r="P1051" s="89">
        <f t="shared" si="22"/>
        <v>0</v>
      </c>
      <c r="Q1051" s="491" t="str">
        <f>IF(ISBLANK(M1051), "", VLOOKUP(A1051&amp;" "&amp;B1051, 'Info Tipo de Cambio y REM'!$A$24:$B$47, 2, FALSE))</f>
        <v/>
      </c>
      <c r="R1051" s="109" t="str">
        <f t="shared" si="1"/>
        <v/>
      </c>
      <c r="S1051" s="71" t="str">
        <f t="shared" si="2"/>
        <v/>
      </c>
      <c r="T1051" s="71">
        <f t="shared" si="3"/>
        <v>0</v>
      </c>
      <c r="U1051" s="43"/>
      <c r="V1051" s="486"/>
      <c r="W1051" s="43"/>
      <c r="X1051" s="43"/>
    </row>
    <row r="1052" hidden="1">
      <c r="A1052" s="51"/>
      <c r="B1052" s="43"/>
      <c r="C1052" s="51"/>
      <c r="D1052" s="43"/>
      <c r="E1052" s="43"/>
      <c r="F1052" s="43"/>
      <c r="G1052" s="43"/>
      <c r="H1052" s="43"/>
      <c r="I1052" s="43"/>
      <c r="J1052" s="443"/>
      <c r="K1052" s="43"/>
      <c r="L1052" s="89"/>
      <c r="M1052" s="89"/>
      <c r="O1052" s="71">
        <f t="shared" si="21"/>
        <v>0</v>
      </c>
      <c r="P1052" s="89">
        <f t="shared" si="22"/>
        <v>0</v>
      </c>
      <c r="Q1052" s="491" t="str">
        <f>IF(ISBLANK(M1052), "", VLOOKUP(A1052&amp;" "&amp;B1052, 'Info Tipo de Cambio y REM'!$A$24:$B$47, 2, FALSE))</f>
        <v/>
      </c>
      <c r="R1052" s="109" t="str">
        <f t="shared" si="1"/>
        <v/>
      </c>
      <c r="S1052" s="71" t="str">
        <f t="shared" si="2"/>
        <v/>
      </c>
      <c r="T1052" s="71">
        <f t="shared" si="3"/>
        <v>0</v>
      </c>
      <c r="U1052" s="43"/>
      <c r="V1052" s="486"/>
      <c r="W1052" s="43"/>
      <c r="X1052" s="43"/>
    </row>
    <row r="1053" hidden="1">
      <c r="A1053" s="51"/>
      <c r="B1053" s="43"/>
      <c r="C1053" s="51"/>
      <c r="D1053" s="43"/>
      <c r="E1053" s="43"/>
      <c r="F1053" s="43"/>
      <c r="G1053" s="43"/>
      <c r="H1053" s="43"/>
      <c r="I1053" s="43"/>
      <c r="J1053" s="443"/>
      <c r="K1053" s="43"/>
      <c r="L1053" s="89"/>
      <c r="M1053" s="89"/>
      <c r="O1053" s="71">
        <f t="shared" si="21"/>
        <v>0</v>
      </c>
      <c r="P1053" s="89">
        <f t="shared" si="22"/>
        <v>0</v>
      </c>
      <c r="Q1053" s="491" t="str">
        <f>IF(ISBLANK(M1053), "", VLOOKUP(A1053&amp;" "&amp;B1053, 'Info Tipo de Cambio y REM'!$A$24:$B$47, 2, FALSE))</f>
        <v/>
      </c>
      <c r="R1053" s="109" t="str">
        <f t="shared" si="1"/>
        <v/>
      </c>
      <c r="S1053" s="71" t="str">
        <f t="shared" si="2"/>
        <v/>
      </c>
      <c r="T1053" s="71">
        <f t="shared" si="3"/>
        <v>0</v>
      </c>
      <c r="U1053" s="43"/>
      <c r="V1053" s="486"/>
      <c r="W1053" s="43"/>
      <c r="X1053" s="43"/>
    </row>
    <row r="1054" hidden="1">
      <c r="A1054" s="51"/>
      <c r="B1054" s="43"/>
      <c r="C1054" s="51"/>
      <c r="D1054" s="43"/>
      <c r="E1054" s="43"/>
      <c r="F1054" s="43"/>
      <c r="G1054" s="43"/>
      <c r="H1054" s="43"/>
      <c r="I1054" s="43"/>
      <c r="J1054" s="443"/>
      <c r="K1054" s="43"/>
      <c r="L1054" s="89"/>
      <c r="M1054" s="89"/>
      <c r="O1054" s="71">
        <f t="shared" si="21"/>
        <v>0</v>
      </c>
      <c r="P1054" s="89">
        <f t="shared" si="22"/>
        <v>0</v>
      </c>
      <c r="Q1054" s="491" t="str">
        <f>IF(ISBLANK(M1054), "", VLOOKUP(A1054&amp;" "&amp;B1054, 'Info Tipo de Cambio y REM'!$A$24:$B$47, 2, FALSE))</f>
        <v/>
      </c>
      <c r="R1054" s="109" t="str">
        <f t="shared" si="1"/>
        <v/>
      </c>
      <c r="S1054" s="71" t="str">
        <f t="shared" si="2"/>
        <v/>
      </c>
      <c r="T1054" s="71">
        <f t="shared" si="3"/>
        <v>0</v>
      </c>
      <c r="U1054" s="43"/>
      <c r="V1054" s="486"/>
      <c r="W1054" s="43"/>
      <c r="X1054" s="43"/>
    </row>
    <row r="1055" hidden="1">
      <c r="A1055" s="51"/>
      <c r="B1055" s="43"/>
      <c r="C1055" s="51"/>
      <c r="D1055" s="43"/>
      <c r="E1055" s="43"/>
      <c r="F1055" s="43"/>
      <c r="G1055" s="43"/>
      <c r="H1055" s="43"/>
      <c r="I1055" s="43"/>
      <c r="J1055" s="443"/>
      <c r="K1055" s="43"/>
      <c r="L1055" s="89"/>
      <c r="M1055" s="89"/>
      <c r="O1055" s="71">
        <f t="shared" si="21"/>
        <v>0</v>
      </c>
      <c r="P1055" s="89">
        <f t="shared" si="22"/>
        <v>0</v>
      </c>
      <c r="Q1055" s="491" t="str">
        <f>IF(ISBLANK(M1055), "", VLOOKUP(A1055&amp;" "&amp;B1055, 'Info Tipo de Cambio y REM'!$A$24:$B$47, 2, FALSE))</f>
        <v/>
      </c>
      <c r="R1055" s="109" t="str">
        <f t="shared" si="1"/>
        <v/>
      </c>
      <c r="S1055" s="71" t="str">
        <f t="shared" si="2"/>
        <v/>
      </c>
      <c r="T1055" s="71">
        <f t="shared" si="3"/>
        <v>0</v>
      </c>
      <c r="U1055" s="43"/>
      <c r="V1055" s="486"/>
      <c r="W1055" s="43"/>
      <c r="X1055" s="43"/>
    </row>
    <row r="1056" hidden="1">
      <c r="A1056" s="51"/>
      <c r="B1056" s="43"/>
      <c r="C1056" s="51"/>
      <c r="D1056" s="43"/>
      <c r="E1056" s="43"/>
      <c r="F1056" s="43"/>
      <c r="G1056" s="43"/>
      <c r="H1056" s="43"/>
      <c r="I1056" s="43"/>
      <c r="J1056" s="443"/>
      <c r="K1056" s="43"/>
      <c r="L1056" s="89"/>
      <c r="M1056" s="89"/>
      <c r="O1056" s="71">
        <f t="shared" si="21"/>
        <v>0</v>
      </c>
      <c r="P1056" s="89">
        <f t="shared" si="22"/>
        <v>0</v>
      </c>
      <c r="Q1056" s="491" t="str">
        <f>IF(ISBLANK(M1056), "", VLOOKUP(A1056&amp;" "&amp;B1056, 'Info Tipo de Cambio y REM'!$A$24:$B$47, 2, FALSE))</f>
        <v/>
      </c>
      <c r="R1056" s="109" t="str">
        <f t="shared" si="1"/>
        <v/>
      </c>
      <c r="S1056" s="71" t="str">
        <f t="shared" si="2"/>
        <v/>
      </c>
      <c r="T1056" s="71">
        <f t="shared" si="3"/>
        <v>0</v>
      </c>
      <c r="U1056" s="43"/>
      <c r="V1056" s="486"/>
      <c r="W1056" s="43"/>
      <c r="X1056" s="43"/>
    </row>
    <row r="1057" hidden="1">
      <c r="A1057" s="51"/>
      <c r="B1057" s="43"/>
      <c r="C1057" s="51"/>
      <c r="D1057" s="43"/>
      <c r="E1057" s="43"/>
      <c r="F1057" s="43"/>
      <c r="G1057" s="43"/>
      <c r="H1057" s="43"/>
      <c r="I1057" s="43"/>
      <c r="J1057" s="443"/>
      <c r="K1057" s="43"/>
      <c r="L1057" s="89"/>
      <c r="M1057" s="89"/>
      <c r="O1057" s="71">
        <f t="shared" si="21"/>
        <v>0</v>
      </c>
      <c r="P1057" s="89">
        <f t="shared" si="22"/>
        <v>0</v>
      </c>
      <c r="Q1057" s="491" t="str">
        <f>IF(ISBLANK(M1057), "", VLOOKUP(A1057&amp;" "&amp;B1057, 'Info Tipo de Cambio y REM'!$A$24:$B$47, 2, FALSE))</f>
        <v/>
      </c>
      <c r="R1057" s="109" t="str">
        <f t="shared" si="1"/>
        <v/>
      </c>
      <c r="S1057" s="71" t="str">
        <f t="shared" si="2"/>
        <v/>
      </c>
      <c r="T1057" s="71">
        <f t="shared" si="3"/>
        <v>0</v>
      </c>
      <c r="U1057" s="43"/>
      <c r="V1057" s="486"/>
      <c r="W1057" s="43"/>
      <c r="X1057" s="43"/>
    </row>
    <row r="1058" hidden="1">
      <c r="A1058" s="51"/>
      <c r="B1058" s="43"/>
      <c r="C1058" s="51"/>
      <c r="D1058" s="43"/>
      <c r="E1058" s="43"/>
      <c r="F1058" s="43"/>
      <c r="G1058" s="43"/>
      <c r="H1058" s="43"/>
      <c r="I1058" s="43"/>
      <c r="J1058" s="443"/>
      <c r="K1058" s="43"/>
      <c r="L1058" s="89"/>
      <c r="M1058" s="89"/>
      <c r="O1058" s="71">
        <f t="shared" si="21"/>
        <v>0</v>
      </c>
      <c r="P1058" s="89">
        <f t="shared" si="22"/>
        <v>0</v>
      </c>
      <c r="Q1058" s="491" t="str">
        <f>IF(ISBLANK(M1058), "", VLOOKUP(A1058&amp;" "&amp;B1058, 'Info Tipo de Cambio y REM'!$A$24:$B$47, 2, FALSE))</f>
        <v/>
      </c>
      <c r="R1058" s="109" t="str">
        <f t="shared" si="1"/>
        <v/>
      </c>
      <c r="S1058" s="71" t="str">
        <f t="shared" si="2"/>
        <v/>
      </c>
      <c r="T1058" s="71">
        <f t="shared" si="3"/>
        <v>0</v>
      </c>
      <c r="U1058" s="43"/>
      <c r="V1058" s="486"/>
      <c r="W1058" s="43"/>
      <c r="X1058" s="43"/>
    </row>
    <row r="1059" hidden="1">
      <c r="A1059" s="51"/>
      <c r="B1059" s="43"/>
      <c r="C1059" s="51"/>
      <c r="D1059" s="43"/>
      <c r="E1059" s="43"/>
      <c r="F1059" s="43"/>
      <c r="G1059" s="43"/>
      <c r="H1059" s="43"/>
      <c r="I1059" s="43"/>
      <c r="J1059" s="443"/>
      <c r="K1059" s="43"/>
      <c r="L1059" s="89"/>
      <c r="M1059" s="89"/>
      <c r="O1059" s="71">
        <f t="shared" si="21"/>
        <v>0</v>
      </c>
      <c r="P1059" s="89">
        <f t="shared" si="22"/>
        <v>0</v>
      </c>
      <c r="Q1059" s="491" t="str">
        <f>IF(ISBLANK(M1059), "", VLOOKUP(A1059&amp;" "&amp;B1059, 'Info Tipo de Cambio y REM'!$A$24:$B$47, 2, FALSE))</f>
        <v/>
      </c>
      <c r="R1059" s="109" t="str">
        <f t="shared" si="1"/>
        <v/>
      </c>
      <c r="S1059" s="71" t="str">
        <f t="shared" si="2"/>
        <v/>
      </c>
      <c r="T1059" s="71">
        <f t="shared" si="3"/>
        <v>0</v>
      </c>
      <c r="U1059" s="43"/>
      <c r="V1059" s="486"/>
      <c r="W1059" s="43"/>
      <c r="X1059" s="43"/>
    </row>
    <row r="1060" hidden="1">
      <c r="A1060" s="51"/>
      <c r="B1060" s="43"/>
      <c r="C1060" s="51"/>
      <c r="D1060" s="43"/>
      <c r="E1060" s="43"/>
      <c r="F1060" s="43"/>
      <c r="G1060" s="43"/>
      <c r="H1060" s="43"/>
      <c r="I1060" s="43"/>
      <c r="J1060" s="443"/>
      <c r="K1060" s="43"/>
      <c r="L1060" s="89"/>
      <c r="M1060" s="89"/>
      <c r="O1060" s="71">
        <f t="shared" si="21"/>
        <v>0</v>
      </c>
      <c r="P1060" s="89">
        <f t="shared" si="22"/>
        <v>0</v>
      </c>
      <c r="Q1060" s="491" t="str">
        <f>IF(ISBLANK(M1060), "", VLOOKUP(A1060&amp;" "&amp;B1060, 'Info Tipo de Cambio y REM'!$A$24:$B$47, 2, FALSE))</f>
        <v/>
      </c>
      <c r="R1060" s="109" t="str">
        <f t="shared" si="1"/>
        <v/>
      </c>
      <c r="S1060" s="71" t="str">
        <f t="shared" si="2"/>
        <v/>
      </c>
      <c r="T1060" s="71">
        <f t="shared" si="3"/>
        <v>0</v>
      </c>
      <c r="U1060" s="43"/>
      <c r="V1060" s="486"/>
      <c r="W1060" s="43"/>
      <c r="X1060" s="43"/>
    </row>
    <row r="1061" hidden="1">
      <c r="A1061" s="51"/>
      <c r="B1061" s="43"/>
      <c r="C1061" s="51"/>
      <c r="D1061" s="43"/>
      <c r="E1061" s="43"/>
      <c r="F1061" s="43"/>
      <c r="G1061" s="43"/>
      <c r="H1061" s="43"/>
      <c r="I1061" s="43"/>
      <c r="J1061" s="443"/>
      <c r="K1061" s="43"/>
      <c r="L1061" s="89"/>
      <c r="M1061" s="89"/>
      <c r="O1061" s="71">
        <f t="shared" si="21"/>
        <v>0</v>
      </c>
      <c r="P1061" s="89">
        <f t="shared" si="22"/>
        <v>0</v>
      </c>
      <c r="Q1061" s="491" t="str">
        <f>IF(ISBLANK(M1061), "", VLOOKUP(A1061&amp;" "&amp;B1061, 'Info Tipo de Cambio y REM'!$A$24:$B$47, 2, FALSE))</f>
        <v/>
      </c>
      <c r="R1061" s="109" t="str">
        <f t="shared" si="1"/>
        <v/>
      </c>
      <c r="S1061" s="71" t="str">
        <f t="shared" si="2"/>
        <v/>
      </c>
      <c r="T1061" s="71">
        <f t="shared" si="3"/>
        <v>0</v>
      </c>
      <c r="U1061" s="43"/>
      <c r="V1061" s="486"/>
      <c r="W1061" s="43"/>
      <c r="X1061" s="43"/>
    </row>
    <row r="1062" hidden="1">
      <c r="A1062" s="51"/>
      <c r="B1062" s="43"/>
      <c r="C1062" s="51"/>
      <c r="D1062" s="43"/>
      <c r="E1062" s="43"/>
      <c r="F1062" s="43"/>
      <c r="G1062" s="43"/>
      <c r="H1062" s="43"/>
      <c r="I1062" s="43"/>
      <c r="J1062" s="443"/>
      <c r="K1062" s="43"/>
      <c r="L1062" s="89"/>
      <c r="M1062" s="89"/>
      <c r="O1062" s="71">
        <f t="shared" si="21"/>
        <v>0</v>
      </c>
      <c r="P1062" s="89">
        <f t="shared" si="22"/>
        <v>0</v>
      </c>
      <c r="Q1062" s="491" t="str">
        <f>IF(ISBLANK(M1062), "", VLOOKUP(A1062&amp;" "&amp;B1062, 'Info Tipo de Cambio y REM'!$A$24:$B$47, 2, FALSE))</f>
        <v/>
      </c>
      <c r="R1062" s="109" t="str">
        <f t="shared" si="1"/>
        <v/>
      </c>
      <c r="S1062" s="71" t="str">
        <f t="shared" si="2"/>
        <v/>
      </c>
      <c r="T1062" s="71">
        <f t="shared" si="3"/>
        <v>0</v>
      </c>
      <c r="U1062" s="43"/>
      <c r="V1062" s="486"/>
      <c r="W1062" s="43"/>
      <c r="X1062" s="43"/>
    </row>
    <row r="1063" hidden="1">
      <c r="A1063" s="51"/>
      <c r="B1063" s="43"/>
      <c r="C1063" s="51"/>
      <c r="D1063" s="43"/>
      <c r="E1063" s="43"/>
      <c r="F1063" s="43"/>
      <c r="G1063" s="43"/>
      <c r="H1063" s="43"/>
      <c r="I1063" s="43"/>
      <c r="J1063" s="443"/>
      <c r="K1063" s="43"/>
      <c r="L1063" s="89"/>
      <c r="M1063" s="89"/>
      <c r="O1063" s="71">
        <f t="shared" si="21"/>
        <v>0</v>
      </c>
      <c r="P1063" s="89">
        <f t="shared" si="22"/>
        <v>0</v>
      </c>
      <c r="Q1063" s="491" t="str">
        <f>IF(ISBLANK(M1063), "", VLOOKUP(A1063&amp;" "&amp;B1063, 'Info Tipo de Cambio y REM'!$A$24:$B$47, 2, FALSE))</f>
        <v/>
      </c>
      <c r="R1063" s="109" t="str">
        <f t="shared" si="1"/>
        <v/>
      </c>
      <c r="S1063" s="71" t="str">
        <f t="shared" si="2"/>
        <v/>
      </c>
      <c r="T1063" s="71">
        <f t="shared" si="3"/>
        <v>0</v>
      </c>
      <c r="U1063" s="43"/>
      <c r="V1063" s="486"/>
      <c r="W1063" s="43"/>
      <c r="X1063" s="43"/>
    </row>
    <row r="1064" hidden="1">
      <c r="A1064" s="51"/>
      <c r="B1064" s="43"/>
      <c r="C1064" s="51"/>
      <c r="D1064" s="43"/>
      <c r="E1064" s="43"/>
      <c r="F1064" s="43"/>
      <c r="G1064" s="43"/>
      <c r="H1064" s="43"/>
      <c r="I1064" s="43"/>
      <c r="J1064" s="443"/>
      <c r="K1064" s="43"/>
      <c r="L1064" s="89"/>
      <c r="M1064" s="89"/>
      <c r="O1064" s="71">
        <f t="shared" si="21"/>
        <v>0</v>
      </c>
      <c r="P1064" s="89">
        <f t="shared" si="22"/>
        <v>0</v>
      </c>
      <c r="Q1064" s="491" t="str">
        <f>IF(ISBLANK(M1064), "", VLOOKUP(A1064&amp;" "&amp;B1064, 'Info Tipo de Cambio y REM'!$A$24:$B$47, 2, FALSE))</f>
        <v/>
      </c>
      <c r="R1064" s="109" t="str">
        <f t="shared" si="1"/>
        <v/>
      </c>
      <c r="S1064" s="71" t="str">
        <f t="shared" si="2"/>
        <v/>
      </c>
      <c r="T1064" s="71">
        <f t="shared" si="3"/>
        <v>0</v>
      </c>
      <c r="U1064" s="43"/>
      <c r="V1064" s="486"/>
      <c r="W1064" s="43"/>
      <c r="X1064" s="43"/>
    </row>
    <row r="1065" hidden="1">
      <c r="A1065" s="51"/>
      <c r="B1065" s="43"/>
      <c r="C1065" s="51"/>
      <c r="D1065" s="43"/>
      <c r="E1065" s="43"/>
      <c r="F1065" s="43"/>
      <c r="G1065" s="43"/>
      <c r="H1065" s="43"/>
      <c r="I1065" s="43"/>
      <c r="J1065" s="443"/>
      <c r="K1065" s="43"/>
      <c r="L1065" s="89"/>
      <c r="M1065" s="89"/>
      <c r="O1065" s="71">
        <f t="shared" si="21"/>
        <v>0</v>
      </c>
      <c r="P1065" s="89">
        <f t="shared" si="22"/>
        <v>0</v>
      </c>
      <c r="Q1065" s="491" t="str">
        <f>IF(ISBLANK(M1065), "", VLOOKUP(A1065&amp;" "&amp;B1065, 'Info Tipo de Cambio y REM'!$A$24:$B$47, 2, FALSE))</f>
        <v/>
      </c>
      <c r="R1065" s="109" t="str">
        <f t="shared" si="1"/>
        <v/>
      </c>
      <c r="S1065" s="71" t="str">
        <f t="shared" si="2"/>
        <v/>
      </c>
      <c r="T1065" s="71">
        <f t="shared" si="3"/>
        <v>0</v>
      </c>
      <c r="U1065" s="43"/>
      <c r="V1065" s="486"/>
      <c r="W1065" s="43"/>
      <c r="X1065" s="43"/>
    </row>
    <row r="1066" hidden="1">
      <c r="A1066" s="51"/>
      <c r="B1066" s="43"/>
      <c r="C1066" s="51"/>
      <c r="D1066" s="43"/>
      <c r="E1066" s="43"/>
      <c r="F1066" s="43"/>
      <c r="G1066" s="43"/>
      <c r="H1066" s="43"/>
      <c r="I1066" s="43"/>
      <c r="J1066" s="443"/>
      <c r="K1066" s="43"/>
      <c r="L1066" s="89"/>
      <c r="M1066" s="89"/>
      <c r="O1066" s="71">
        <f t="shared" si="21"/>
        <v>0</v>
      </c>
      <c r="P1066" s="89">
        <f t="shared" si="22"/>
        <v>0</v>
      </c>
      <c r="Q1066" s="491" t="str">
        <f>IF(ISBLANK(M1066), "", VLOOKUP(A1066&amp;" "&amp;B1066, 'Info Tipo de Cambio y REM'!$A$24:$B$47, 2, FALSE))</f>
        <v/>
      </c>
      <c r="R1066" s="109" t="str">
        <f t="shared" si="1"/>
        <v/>
      </c>
      <c r="S1066" s="71" t="str">
        <f t="shared" si="2"/>
        <v/>
      </c>
      <c r="T1066" s="71">
        <f t="shared" si="3"/>
        <v>0</v>
      </c>
      <c r="U1066" s="43"/>
      <c r="V1066" s="486"/>
      <c r="W1066" s="43"/>
      <c r="X1066" s="43"/>
    </row>
    <row r="1067" hidden="1">
      <c r="A1067" s="51"/>
      <c r="B1067" s="43"/>
      <c r="C1067" s="51"/>
      <c r="D1067" s="43"/>
      <c r="E1067" s="43"/>
      <c r="F1067" s="43"/>
      <c r="G1067" s="43"/>
      <c r="H1067" s="43"/>
      <c r="I1067" s="43"/>
      <c r="J1067" s="443"/>
      <c r="K1067" s="43"/>
      <c r="L1067" s="89"/>
      <c r="M1067" s="89"/>
      <c r="O1067" s="71">
        <f t="shared" si="21"/>
        <v>0</v>
      </c>
      <c r="P1067" s="89">
        <f t="shared" si="22"/>
        <v>0</v>
      </c>
      <c r="Q1067" s="491" t="str">
        <f>IF(ISBLANK(M1067), "", VLOOKUP(A1067&amp;" "&amp;B1067, 'Info Tipo de Cambio y REM'!$A$24:$B$47, 2, FALSE))</f>
        <v/>
      </c>
      <c r="R1067" s="109" t="str">
        <f t="shared" si="1"/>
        <v/>
      </c>
      <c r="S1067" s="71" t="str">
        <f t="shared" si="2"/>
        <v/>
      </c>
      <c r="T1067" s="71">
        <f t="shared" si="3"/>
        <v>0</v>
      </c>
      <c r="U1067" s="43"/>
      <c r="V1067" s="486"/>
      <c r="W1067" s="43"/>
      <c r="X1067" s="43"/>
    </row>
    <row r="1068" hidden="1">
      <c r="A1068" s="51"/>
      <c r="B1068" s="43"/>
      <c r="C1068" s="51"/>
      <c r="D1068" s="43"/>
      <c r="E1068" s="43"/>
      <c r="F1068" s="43"/>
      <c r="G1068" s="43"/>
      <c r="H1068" s="43"/>
      <c r="I1068" s="43"/>
      <c r="J1068" s="443"/>
      <c r="K1068" s="43"/>
      <c r="L1068" s="89"/>
      <c r="M1068" s="89"/>
      <c r="O1068" s="71">
        <f t="shared" si="21"/>
        <v>0</v>
      </c>
      <c r="P1068" s="89">
        <f t="shared" si="22"/>
        <v>0</v>
      </c>
      <c r="Q1068" s="491" t="str">
        <f>IF(ISBLANK(M1068), "", VLOOKUP(A1068&amp;" "&amp;B1068, 'Info Tipo de Cambio y REM'!$A$24:$B$47, 2, FALSE))</f>
        <v/>
      </c>
      <c r="R1068" s="109" t="str">
        <f t="shared" si="1"/>
        <v/>
      </c>
      <c r="S1068" s="71" t="str">
        <f t="shared" si="2"/>
        <v/>
      </c>
      <c r="T1068" s="71">
        <f t="shared" si="3"/>
        <v>0</v>
      </c>
      <c r="U1068" s="43"/>
      <c r="V1068" s="486"/>
      <c r="W1068" s="43"/>
      <c r="X1068" s="43"/>
    </row>
    <row r="1069" hidden="1">
      <c r="A1069" s="51"/>
      <c r="B1069" s="43"/>
      <c r="C1069" s="51"/>
      <c r="D1069" s="43"/>
      <c r="E1069" s="43"/>
      <c r="F1069" s="43"/>
      <c r="G1069" s="43"/>
      <c r="H1069" s="43"/>
      <c r="I1069" s="43"/>
      <c r="J1069" s="443"/>
      <c r="K1069" s="43"/>
      <c r="L1069" s="89"/>
      <c r="M1069" s="89"/>
      <c r="O1069" s="71">
        <f t="shared" si="21"/>
        <v>0</v>
      </c>
      <c r="P1069" s="89">
        <f t="shared" si="22"/>
        <v>0</v>
      </c>
      <c r="Q1069" s="491" t="str">
        <f>IF(ISBLANK(M1069), "", VLOOKUP(A1069&amp;" "&amp;B1069, 'Info Tipo de Cambio y REM'!$A$24:$B$47, 2, FALSE))</f>
        <v/>
      </c>
      <c r="R1069" s="109" t="str">
        <f t="shared" si="1"/>
        <v/>
      </c>
      <c r="S1069" s="71" t="str">
        <f t="shared" si="2"/>
        <v/>
      </c>
      <c r="T1069" s="71">
        <f t="shared" si="3"/>
        <v>0</v>
      </c>
      <c r="U1069" s="43"/>
      <c r="V1069" s="486"/>
      <c r="W1069" s="43"/>
      <c r="X1069" s="43"/>
    </row>
    <row r="1070" hidden="1">
      <c r="A1070" s="51"/>
      <c r="B1070" s="43"/>
      <c r="C1070" s="51"/>
      <c r="D1070" s="43"/>
      <c r="E1070" s="43"/>
      <c r="F1070" s="43"/>
      <c r="G1070" s="43"/>
      <c r="H1070" s="43"/>
      <c r="I1070" s="43"/>
      <c r="J1070" s="443"/>
      <c r="K1070" s="43"/>
      <c r="L1070" s="89"/>
      <c r="M1070" s="89"/>
      <c r="O1070" s="71">
        <f t="shared" si="21"/>
        <v>0</v>
      </c>
      <c r="P1070" s="89">
        <f t="shared" si="22"/>
        <v>0</v>
      </c>
      <c r="Q1070" s="491" t="str">
        <f>IF(ISBLANK(M1070), "", VLOOKUP(A1070&amp;" "&amp;B1070, 'Info Tipo de Cambio y REM'!$A$24:$B$47, 2, FALSE))</f>
        <v/>
      </c>
      <c r="R1070" s="109" t="str">
        <f t="shared" si="1"/>
        <v/>
      </c>
      <c r="S1070" s="71" t="str">
        <f t="shared" si="2"/>
        <v/>
      </c>
      <c r="T1070" s="71">
        <f t="shared" si="3"/>
        <v>0</v>
      </c>
      <c r="U1070" s="43"/>
      <c r="V1070" s="486"/>
      <c r="W1070" s="43"/>
      <c r="X1070" s="43"/>
    </row>
    <row r="1071" hidden="1">
      <c r="A1071" s="51"/>
      <c r="B1071" s="43"/>
      <c r="C1071" s="51"/>
      <c r="D1071" s="43"/>
      <c r="E1071" s="43"/>
      <c r="F1071" s="43"/>
      <c r="G1071" s="43"/>
      <c r="H1071" s="43"/>
      <c r="I1071" s="43"/>
      <c r="J1071" s="443"/>
      <c r="K1071" s="43"/>
      <c r="L1071" s="89"/>
      <c r="M1071" s="89"/>
      <c r="O1071" s="71">
        <f t="shared" si="21"/>
        <v>0</v>
      </c>
      <c r="P1071" s="89">
        <f t="shared" si="22"/>
        <v>0</v>
      </c>
      <c r="Q1071" s="491" t="str">
        <f>IF(ISBLANK(M1071), "", VLOOKUP(A1071&amp;" "&amp;B1071, 'Info Tipo de Cambio y REM'!$A$24:$B$47, 2, FALSE))</f>
        <v/>
      </c>
      <c r="R1071" s="109" t="str">
        <f t="shared" si="1"/>
        <v/>
      </c>
      <c r="S1071" s="71" t="str">
        <f t="shared" si="2"/>
        <v/>
      </c>
      <c r="T1071" s="71">
        <f t="shared" si="3"/>
        <v>0</v>
      </c>
      <c r="U1071" s="43"/>
      <c r="V1071" s="486"/>
      <c r="W1071" s="43"/>
      <c r="X1071" s="43"/>
    </row>
    <row r="1072" hidden="1">
      <c r="A1072" s="51"/>
      <c r="B1072" s="43"/>
      <c r="C1072" s="51"/>
      <c r="D1072" s="43"/>
      <c r="E1072" s="43"/>
      <c r="F1072" s="43"/>
      <c r="G1072" s="43"/>
      <c r="H1072" s="43"/>
      <c r="I1072" s="43"/>
      <c r="J1072" s="443"/>
      <c r="K1072" s="43"/>
      <c r="L1072" s="89"/>
      <c r="M1072" s="89"/>
      <c r="O1072" s="71">
        <f t="shared" si="21"/>
        <v>0</v>
      </c>
      <c r="P1072" s="89">
        <f t="shared" si="22"/>
        <v>0</v>
      </c>
      <c r="Q1072" s="491" t="str">
        <f>IF(ISBLANK(M1072), "", VLOOKUP(A1072&amp;" "&amp;B1072, 'Info Tipo de Cambio y REM'!$A$24:$B$47, 2, FALSE))</f>
        <v/>
      </c>
      <c r="R1072" s="109" t="str">
        <f t="shared" si="1"/>
        <v/>
      </c>
      <c r="S1072" s="71" t="str">
        <f t="shared" si="2"/>
        <v/>
      </c>
      <c r="T1072" s="71">
        <f t="shared" si="3"/>
        <v>0</v>
      </c>
      <c r="U1072" s="43"/>
      <c r="V1072" s="486"/>
      <c r="W1072" s="43"/>
      <c r="X1072" s="43"/>
    </row>
    <row r="1073" hidden="1">
      <c r="A1073" s="51"/>
      <c r="B1073" s="43"/>
      <c r="C1073" s="51"/>
      <c r="D1073" s="43"/>
      <c r="E1073" s="43"/>
      <c r="F1073" s="43"/>
      <c r="G1073" s="43"/>
      <c r="H1073" s="43"/>
      <c r="I1073" s="43"/>
      <c r="J1073" s="443"/>
      <c r="K1073" s="43"/>
      <c r="L1073" s="89"/>
      <c r="M1073" s="89"/>
      <c r="O1073" s="71">
        <f t="shared" si="21"/>
        <v>0</v>
      </c>
      <c r="P1073" s="89">
        <f t="shared" si="22"/>
        <v>0</v>
      </c>
      <c r="Q1073" s="491" t="str">
        <f>IF(ISBLANK(M1073), "", VLOOKUP(A1073&amp;" "&amp;B1073, 'Info Tipo de Cambio y REM'!$A$24:$B$47, 2, FALSE))</f>
        <v/>
      </c>
      <c r="R1073" s="109" t="str">
        <f t="shared" si="1"/>
        <v/>
      </c>
      <c r="S1073" s="71" t="str">
        <f t="shared" si="2"/>
        <v/>
      </c>
      <c r="T1073" s="71">
        <f t="shared" si="3"/>
        <v>0</v>
      </c>
      <c r="U1073" s="43"/>
      <c r="V1073" s="486"/>
      <c r="W1073" s="43"/>
      <c r="X1073" s="43"/>
    </row>
    <row r="1074" hidden="1">
      <c r="A1074" s="51"/>
      <c r="B1074" s="43"/>
      <c r="C1074" s="51"/>
      <c r="D1074" s="43"/>
      <c r="E1074" s="43"/>
      <c r="F1074" s="43"/>
      <c r="G1074" s="43"/>
      <c r="H1074" s="43"/>
      <c r="I1074" s="43"/>
      <c r="J1074" s="443"/>
      <c r="K1074" s="43"/>
      <c r="L1074" s="89"/>
      <c r="M1074" s="89"/>
      <c r="O1074" s="71">
        <f t="shared" si="21"/>
        <v>0</v>
      </c>
      <c r="P1074" s="89">
        <f t="shared" si="22"/>
        <v>0</v>
      </c>
      <c r="Q1074" s="491" t="str">
        <f>IF(ISBLANK(M1074), "", VLOOKUP(A1074&amp;" "&amp;B1074, 'Info Tipo de Cambio y REM'!$A$24:$B$47, 2, FALSE))</f>
        <v/>
      </c>
      <c r="R1074" s="109" t="str">
        <f t="shared" si="1"/>
        <v/>
      </c>
      <c r="S1074" s="71" t="str">
        <f t="shared" si="2"/>
        <v/>
      </c>
      <c r="T1074" s="71">
        <f t="shared" si="3"/>
        <v>0</v>
      </c>
      <c r="U1074" s="43"/>
      <c r="V1074" s="486"/>
      <c r="W1074" s="43"/>
      <c r="X1074" s="43"/>
    </row>
    <row r="1075" hidden="1">
      <c r="A1075" s="51"/>
      <c r="B1075" s="43"/>
      <c r="C1075" s="51"/>
      <c r="D1075" s="43"/>
      <c r="E1075" s="43"/>
      <c r="F1075" s="43"/>
      <c r="G1075" s="43"/>
      <c r="H1075" s="43"/>
      <c r="I1075" s="43"/>
      <c r="J1075" s="443"/>
      <c r="K1075" s="43"/>
      <c r="L1075" s="89"/>
      <c r="M1075" s="89"/>
      <c r="O1075" s="71">
        <f t="shared" si="21"/>
        <v>0</v>
      </c>
      <c r="P1075" s="89">
        <f t="shared" si="22"/>
        <v>0</v>
      </c>
      <c r="Q1075" s="491" t="str">
        <f>IF(ISBLANK(M1075), "", VLOOKUP(A1075&amp;" "&amp;B1075, 'Info Tipo de Cambio y REM'!$A$24:$B$47, 2, FALSE))</f>
        <v/>
      </c>
      <c r="R1075" s="109" t="str">
        <f t="shared" si="1"/>
        <v/>
      </c>
      <c r="S1075" s="71" t="str">
        <f t="shared" si="2"/>
        <v/>
      </c>
      <c r="T1075" s="71">
        <f t="shared" si="3"/>
        <v>0</v>
      </c>
      <c r="U1075" s="43"/>
      <c r="V1075" s="486"/>
      <c r="W1075" s="43"/>
      <c r="X1075" s="43"/>
    </row>
    <row r="1076" hidden="1">
      <c r="A1076" s="51"/>
      <c r="B1076" s="43"/>
      <c r="C1076" s="51"/>
      <c r="D1076" s="43"/>
      <c r="E1076" s="43"/>
      <c r="F1076" s="43"/>
      <c r="G1076" s="43"/>
      <c r="H1076" s="43"/>
      <c r="I1076" s="43"/>
      <c r="J1076" s="443"/>
      <c r="K1076" s="43"/>
      <c r="L1076" s="89"/>
      <c r="M1076" s="89"/>
      <c r="O1076" s="71">
        <f t="shared" si="21"/>
        <v>0</v>
      </c>
      <c r="P1076" s="89">
        <f t="shared" si="22"/>
        <v>0</v>
      </c>
      <c r="Q1076" s="491" t="str">
        <f>IF(ISBLANK(M1076), "", VLOOKUP(A1076&amp;" "&amp;B1076, 'Info Tipo de Cambio y REM'!$A$24:$B$47, 2, FALSE))</f>
        <v/>
      </c>
      <c r="R1076" s="109" t="str">
        <f t="shared" si="1"/>
        <v/>
      </c>
      <c r="S1076" s="71" t="str">
        <f t="shared" si="2"/>
        <v/>
      </c>
      <c r="T1076" s="71">
        <f t="shared" si="3"/>
        <v>0</v>
      </c>
      <c r="U1076" s="43"/>
      <c r="V1076" s="486"/>
      <c r="W1076" s="43"/>
      <c r="X1076" s="43"/>
    </row>
    <row r="1077" hidden="1">
      <c r="A1077" s="51"/>
      <c r="B1077" s="43"/>
      <c r="C1077" s="51"/>
      <c r="D1077" s="43"/>
      <c r="E1077" s="43"/>
      <c r="F1077" s="43"/>
      <c r="G1077" s="43"/>
      <c r="H1077" s="43"/>
      <c r="I1077" s="43"/>
      <c r="J1077" s="443"/>
      <c r="K1077" s="43"/>
      <c r="L1077" s="89"/>
      <c r="M1077" s="89"/>
      <c r="O1077" s="71">
        <f t="shared" si="21"/>
        <v>0</v>
      </c>
      <c r="P1077" s="89">
        <f t="shared" si="22"/>
        <v>0</v>
      </c>
      <c r="Q1077" s="491" t="str">
        <f>IF(ISBLANK(M1077), "", VLOOKUP(A1077&amp;" "&amp;B1077, 'Info Tipo de Cambio y REM'!$A$24:$B$47, 2, FALSE))</f>
        <v/>
      </c>
      <c r="R1077" s="109" t="str">
        <f t="shared" si="1"/>
        <v/>
      </c>
      <c r="S1077" s="71" t="str">
        <f t="shared" si="2"/>
        <v/>
      </c>
      <c r="T1077" s="71">
        <f t="shared" si="3"/>
        <v>0</v>
      </c>
      <c r="U1077" s="43"/>
      <c r="V1077" s="486"/>
      <c r="W1077" s="43"/>
      <c r="X1077" s="43"/>
    </row>
    <row r="1078" hidden="1">
      <c r="A1078" s="51"/>
      <c r="B1078" s="43"/>
      <c r="C1078" s="51"/>
      <c r="D1078" s="43"/>
      <c r="E1078" s="43"/>
      <c r="F1078" s="43"/>
      <c r="G1078" s="43"/>
      <c r="H1078" s="43"/>
      <c r="I1078" s="43"/>
      <c r="J1078" s="443"/>
      <c r="K1078" s="43"/>
      <c r="L1078" s="89"/>
      <c r="M1078" s="89"/>
      <c r="O1078" s="71">
        <f t="shared" si="21"/>
        <v>0</v>
      </c>
      <c r="P1078" s="89">
        <f t="shared" si="22"/>
        <v>0</v>
      </c>
      <c r="Q1078" s="491" t="str">
        <f>IF(ISBLANK(M1078), "", VLOOKUP(A1078&amp;" "&amp;B1078, 'Info Tipo de Cambio y REM'!$A$24:$B$47, 2, FALSE))</f>
        <v/>
      </c>
      <c r="R1078" s="109" t="str">
        <f t="shared" si="1"/>
        <v/>
      </c>
      <c r="S1078" s="71" t="str">
        <f t="shared" si="2"/>
        <v/>
      </c>
      <c r="T1078" s="71">
        <f t="shared" si="3"/>
        <v>0</v>
      </c>
      <c r="U1078" s="43"/>
      <c r="V1078" s="486"/>
      <c r="W1078" s="43"/>
      <c r="X1078" s="43"/>
    </row>
    <row r="1079" hidden="1">
      <c r="A1079" s="51"/>
      <c r="B1079" s="43"/>
      <c r="C1079" s="51"/>
      <c r="D1079" s="43"/>
      <c r="E1079" s="43"/>
      <c r="F1079" s="43"/>
      <c r="G1079" s="43"/>
      <c r="H1079" s="43"/>
      <c r="I1079" s="43"/>
      <c r="J1079" s="443"/>
      <c r="K1079" s="43"/>
      <c r="L1079" s="89"/>
      <c r="M1079" s="89"/>
      <c r="O1079" s="71">
        <f t="shared" si="21"/>
        <v>0</v>
      </c>
      <c r="P1079" s="89">
        <f t="shared" si="22"/>
        <v>0</v>
      </c>
      <c r="Q1079" s="491" t="str">
        <f>IF(ISBLANK(M1079), "", VLOOKUP(A1079&amp;" "&amp;B1079, 'Info Tipo de Cambio y REM'!$A$24:$B$47, 2, FALSE))</f>
        <v/>
      </c>
      <c r="R1079" s="109" t="str">
        <f t="shared" si="1"/>
        <v/>
      </c>
      <c r="S1079" s="71" t="str">
        <f t="shared" si="2"/>
        <v/>
      </c>
      <c r="T1079" s="71">
        <f t="shared" si="3"/>
        <v>0</v>
      </c>
      <c r="U1079" s="43"/>
      <c r="V1079" s="486"/>
      <c r="W1079" s="43"/>
      <c r="X1079" s="43"/>
    </row>
    <row r="1080" hidden="1">
      <c r="A1080" s="51"/>
      <c r="B1080" s="43"/>
      <c r="C1080" s="51"/>
      <c r="D1080" s="43"/>
      <c r="E1080" s="43"/>
      <c r="F1080" s="43"/>
      <c r="G1080" s="43"/>
      <c r="H1080" s="43"/>
      <c r="I1080" s="43"/>
      <c r="J1080" s="443"/>
      <c r="K1080" s="43"/>
      <c r="L1080" s="89"/>
      <c r="M1080" s="89"/>
      <c r="O1080" s="71">
        <f t="shared" si="21"/>
        <v>0</v>
      </c>
      <c r="P1080" s="89">
        <f t="shared" si="22"/>
        <v>0</v>
      </c>
      <c r="Q1080" s="491" t="str">
        <f>IF(ISBLANK(M1080), "", VLOOKUP(A1080&amp;" "&amp;B1080, 'Info Tipo de Cambio y REM'!$A$24:$B$47, 2, FALSE))</f>
        <v/>
      </c>
      <c r="R1080" s="109" t="str">
        <f t="shared" si="1"/>
        <v/>
      </c>
      <c r="S1080" s="71" t="str">
        <f t="shared" si="2"/>
        <v/>
      </c>
      <c r="T1080" s="71">
        <f t="shared" si="3"/>
        <v>0</v>
      </c>
      <c r="U1080" s="43"/>
      <c r="V1080" s="486"/>
      <c r="W1080" s="43"/>
      <c r="X1080" s="43"/>
    </row>
    <row r="1081" hidden="1">
      <c r="A1081" s="51"/>
      <c r="B1081" s="43"/>
      <c r="C1081" s="51"/>
      <c r="D1081" s="43"/>
      <c r="E1081" s="43"/>
      <c r="F1081" s="43"/>
      <c r="G1081" s="43"/>
      <c r="H1081" s="43"/>
      <c r="I1081" s="43"/>
      <c r="J1081" s="443"/>
      <c r="K1081" s="43"/>
      <c r="L1081" s="89"/>
      <c r="M1081" s="89"/>
      <c r="O1081" s="71">
        <f t="shared" si="21"/>
        <v>0</v>
      </c>
      <c r="P1081" s="89">
        <f t="shared" si="22"/>
        <v>0</v>
      </c>
      <c r="Q1081" s="491" t="str">
        <f>IF(ISBLANK(M1081), "", VLOOKUP(A1081&amp;" "&amp;B1081, 'Info Tipo de Cambio y REM'!$A$24:$B$47, 2, FALSE))</f>
        <v/>
      </c>
      <c r="R1081" s="109" t="str">
        <f t="shared" si="1"/>
        <v/>
      </c>
      <c r="S1081" s="71" t="str">
        <f t="shared" si="2"/>
        <v/>
      </c>
      <c r="T1081" s="71">
        <f t="shared" si="3"/>
        <v>0</v>
      </c>
      <c r="U1081" s="43"/>
      <c r="V1081" s="486"/>
      <c r="W1081" s="43"/>
      <c r="X1081" s="43"/>
    </row>
    <row r="1082" hidden="1">
      <c r="A1082" s="51"/>
      <c r="B1082" s="43"/>
      <c r="C1082" s="51"/>
      <c r="D1082" s="43"/>
      <c r="E1082" s="43"/>
      <c r="F1082" s="43"/>
      <c r="G1082" s="43"/>
      <c r="H1082" s="43"/>
      <c r="I1082" s="43"/>
      <c r="J1082" s="443"/>
      <c r="K1082" s="43"/>
      <c r="L1082" s="89"/>
      <c r="M1082" s="89"/>
      <c r="O1082" s="71">
        <f t="shared" si="21"/>
        <v>0</v>
      </c>
      <c r="P1082" s="89">
        <f t="shared" si="22"/>
        <v>0</v>
      </c>
      <c r="Q1082" s="491" t="str">
        <f>IF(ISBLANK(M1082), "", VLOOKUP(A1082&amp;" "&amp;B1082, 'Info Tipo de Cambio y REM'!$A$24:$B$47, 2, FALSE))</f>
        <v/>
      </c>
      <c r="R1082" s="109" t="str">
        <f t="shared" si="1"/>
        <v/>
      </c>
      <c r="S1082" s="71" t="str">
        <f t="shared" si="2"/>
        <v/>
      </c>
      <c r="T1082" s="71">
        <f t="shared" si="3"/>
        <v>0</v>
      </c>
      <c r="U1082" s="43"/>
      <c r="V1082" s="486"/>
      <c r="W1082" s="43"/>
      <c r="X1082" s="43"/>
    </row>
    <row r="1083" hidden="1">
      <c r="A1083" s="51"/>
      <c r="B1083" s="43"/>
      <c r="C1083" s="51"/>
      <c r="D1083" s="43"/>
      <c r="E1083" s="43"/>
      <c r="F1083" s="43"/>
      <c r="G1083" s="43"/>
      <c r="H1083" s="43"/>
      <c r="I1083" s="43"/>
      <c r="J1083" s="443"/>
      <c r="K1083" s="43"/>
      <c r="L1083" s="89"/>
      <c r="M1083" s="89"/>
      <c r="O1083" s="71">
        <f t="shared" si="21"/>
        <v>0</v>
      </c>
      <c r="P1083" s="89">
        <f t="shared" si="22"/>
        <v>0</v>
      </c>
      <c r="Q1083" s="491" t="str">
        <f>IF(ISBLANK(M1083), "", VLOOKUP(A1083&amp;" "&amp;B1083, 'Info Tipo de Cambio y REM'!$A$24:$B$47, 2, FALSE))</f>
        <v/>
      </c>
      <c r="R1083" s="109" t="str">
        <f t="shared" si="1"/>
        <v/>
      </c>
      <c r="S1083" s="71" t="str">
        <f t="shared" si="2"/>
        <v/>
      </c>
      <c r="T1083" s="71">
        <f t="shared" si="3"/>
        <v>0</v>
      </c>
      <c r="U1083" s="43"/>
      <c r="V1083" s="486"/>
      <c r="W1083" s="43"/>
      <c r="X1083" s="43"/>
    </row>
    <row r="1084" hidden="1">
      <c r="A1084" s="51"/>
      <c r="B1084" s="43"/>
      <c r="C1084" s="51"/>
      <c r="D1084" s="43"/>
      <c r="E1084" s="43"/>
      <c r="F1084" s="43"/>
      <c r="G1084" s="43"/>
      <c r="H1084" s="43"/>
      <c r="I1084" s="43"/>
      <c r="J1084" s="443"/>
      <c r="K1084" s="43"/>
      <c r="L1084" s="89"/>
      <c r="M1084" s="89"/>
      <c r="O1084" s="71">
        <f t="shared" si="21"/>
        <v>0</v>
      </c>
      <c r="P1084" s="89">
        <f t="shared" si="22"/>
        <v>0</v>
      </c>
      <c r="Q1084" s="491" t="str">
        <f>IF(ISBLANK(M1084), "", VLOOKUP(A1084&amp;" "&amp;B1084, 'Info Tipo de Cambio y REM'!$A$24:$B$47, 2, FALSE))</f>
        <v/>
      </c>
      <c r="R1084" s="109" t="str">
        <f t="shared" si="1"/>
        <v/>
      </c>
      <c r="S1084" s="71" t="str">
        <f t="shared" si="2"/>
        <v/>
      </c>
      <c r="T1084" s="71">
        <f t="shared" si="3"/>
        <v>0</v>
      </c>
      <c r="U1084" s="43"/>
      <c r="V1084" s="486"/>
      <c r="W1084" s="43"/>
      <c r="X1084" s="43"/>
    </row>
    <row r="1085" hidden="1">
      <c r="A1085" s="51"/>
      <c r="B1085" s="43"/>
      <c r="C1085" s="51"/>
      <c r="D1085" s="43"/>
      <c r="E1085" s="43"/>
      <c r="F1085" s="43"/>
      <c r="G1085" s="43"/>
      <c r="H1085" s="43"/>
      <c r="I1085" s="43"/>
      <c r="J1085" s="443"/>
      <c r="K1085" s="43"/>
      <c r="L1085" s="89"/>
      <c r="M1085" s="89"/>
      <c r="O1085" s="71">
        <f t="shared" si="21"/>
        <v>0</v>
      </c>
      <c r="P1085" s="89">
        <f t="shared" si="22"/>
        <v>0</v>
      </c>
      <c r="Q1085" s="491" t="str">
        <f>IF(ISBLANK(M1085), "", VLOOKUP(A1085&amp;" "&amp;B1085, 'Info Tipo de Cambio y REM'!$A$24:$B$47, 2, FALSE))</f>
        <v/>
      </c>
      <c r="R1085" s="109" t="str">
        <f t="shared" si="1"/>
        <v/>
      </c>
      <c r="S1085" s="71" t="str">
        <f t="shared" si="2"/>
        <v/>
      </c>
      <c r="T1085" s="71">
        <f t="shared" si="3"/>
        <v>0</v>
      </c>
      <c r="U1085" s="43"/>
      <c r="V1085" s="486"/>
      <c r="W1085" s="43"/>
      <c r="X1085" s="43"/>
    </row>
    <row r="1086" hidden="1">
      <c r="A1086" s="51"/>
      <c r="B1086" s="43"/>
      <c r="C1086" s="51"/>
      <c r="D1086" s="43"/>
      <c r="E1086" s="43"/>
      <c r="F1086" s="43"/>
      <c r="G1086" s="43"/>
      <c r="H1086" s="43"/>
      <c r="I1086" s="43"/>
      <c r="J1086" s="443"/>
      <c r="K1086" s="43"/>
      <c r="L1086" s="89"/>
      <c r="M1086" s="89"/>
      <c r="O1086" s="71">
        <f t="shared" si="21"/>
        <v>0</v>
      </c>
      <c r="P1086" s="89">
        <f t="shared" si="22"/>
        <v>0</v>
      </c>
      <c r="Q1086" s="491" t="str">
        <f>IF(ISBLANK(M1086), "", VLOOKUP(A1086&amp;" "&amp;B1086, 'Info Tipo de Cambio y REM'!$A$24:$B$47, 2, FALSE))</f>
        <v/>
      </c>
      <c r="R1086" s="109" t="str">
        <f t="shared" si="1"/>
        <v/>
      </c>
      <c r="S1086" s="71" t="str">
        <f t="shared" si="2"/>
        <v/>
      </c>
      <c r="T1086" s="71">
        <f t="shared" si="3"/>
        <v>0</v>
      </c>
      <c r="U1086" s="43"/>
      <c r="V1086" s="486"/>
      <c r="W1086" s="43"/>
      <c r="X1086" s="43"/>
    </row>
    <row r="1087" hidden="1">
      <c r="A1087" s="51"/>
      <c r="B1087" s="43"/>
      <c r="C1087" s="51"/>
      <c r="D1087" s="43"/>
      <c r="E1087" s="43"/>
      <c r="F1087" s="43"/>
      <c r="G1087" s="43"/>
      <c r="H1087" s="43"/>
      <c r="I1087" s="43"/>
      <c r="J1087" s="443"/>
      <c r="K1087" s="43"/>
      <c r="L1087" s="89"/>
      <c r="M1087" s="89"/>
      <c r="O1087" s="71">
        <f t="shared" si="21"/>
        <v>0</v>
      </c>
      <c r="P1087" s="89">
        <f t="shared" si="22"/>
        <v>0</v>
      </c>
      <c r="Q1087" s="491" t="str">
        <f>IF(ISBLANK(M1087), "", VLOOKUP(A1087&amp;" "&amp;B1087, 'Info Tipo de Cambio y REM'!$A$24:$B$47, 2, FALSE))</f>
        <v/>
      </c>
      <c r="R1087" s="109" t="str">
        <f t="shared" si="1"/>
        <v/>
      </c>
      <c r="S1087" s="71" t="str">
        <f t="shared" si="2"/>
        <v/>
      </c>
      <c r="T1087" s="71">
        <f t="shared" si="3"/>
        <v>0</v>
      </c>
      <c r="U1087" s="43"/>
      <c r="V1087" s="486"/>
      <c r="W1087" s="43"/>
      <c r="X1087" s="43"/>
    </row>
    <row r="1088" hidden="1">
      <c r="A1088" s="51"/>
      <c r="B1088" s="43"/>
      <c r="C1088" s="51"/>
      <c r="D1088" s="43"/>
      <c r="E1088" s="43"/>
      <c r="F1088" s="43"/>
      <c r="G1088" s="43"/>
      <c r="H1088" s="43"/>
      <c r="I1088" s="43"/>
      <c r="J1088" s="443"/>
      <c r="K1088" s="43"/>
      <c r="L1088" s="89"/>
      <c r="M1088" s="89"/>
      <c r="O1088" s="71">
        <f t="shared" si="21"/>
        <v>0</v>
      </c>
      <c r="P1088" s="89">
        <f t="shared" si="22"/>
        <v>0</v>
      </c>
      <c r="Q1088" s="491" t="str">
        <f>IF(ISBLANK(M1088), "", VLOOKUP(A1088&amp;" "&amp;B1088, 'Info Tipo de Cambio y REM'!$A$24:$B$47, 2, FALSE))</f>
        <v/>
      </c>
      <c r="R1088" s="109" t="str">
        <f t="shared" si="1"/>
        <v/>
      </c>
      <c r="S1088" s="71" t="str">
        <f t="shared" si="2"/>
        <v/>
      </c>
      <c r="T1088" s="71">
        <f t="shared" si="3"/>
        <v>0</v>
      </c>
      <c r="U1088" s="43"/>
      <c r="V1088" s="486"/>
      <c r="W1088" s="43"/>
      <c r="X1088" s="43"/>
    </row>
    <row r="1089" hidden="1">
      <c r="A1089" s="51"/>
      <c r="B1089" s="43"/>
      <c r="C1089" s="51"/>
      <c r="D1089" s="43"/>
      <c r="E1089" s="43"/>
      <c r="F1089" s="43"/>
      <c r="G1089" s="43"/>
      <c r="H1089" s="43"/>
      <c r="I1089" s="43"/>
      <c r="J1089" s="443"/>
      <c r="K1089" s="43"/>
      <c r="L1089" s="89"/>
      <c r="M1089" s="89"/>
      <c r="O1089" s="71">
        <f t="shared" si="21"/>
        <v>0</v>
      </c>
      <c r="P1089" s="89">
        <f t="shared" si="22"/>
        <v>0</v>
      </c>
      <c r="Q1089" s="491" t="str">
        <f>IF(ISBLANK(M1089), "", VLOOKUP(A1089&amp;" "&amp;B1089, 'Info Tipo de Cambio y REM'!$A$24:$B$47, 2, FALSE))</f>
        <v/>
      </c>
      <c r="R1089" s="109" t="str">
        <f t="shared" si="1"/>
        <v/>
      </c>
      <c r="S1089" s="71" t="str">
        <f t="shared" si="2"/>
        <v/>
      </c>
      <c r="T1089" s="71">
        <f t="shared" si="3"/>
        <v>0</v>
      </c>
      <c r="U1089" s="43"/>
      <c r="V1089" s="486"/>
      <c r="W1089" s="43"/>
      <c r="X1089" s="43"/>
    </row>
    <row r="1090" hidden="1">
      <c r="A1090" s="51"/>
      <c r="B1090" s="43"/>
      <c r="C1090" s="51"/>
      <c r="D1090" s="43"/>
      <c r="E1090" s="43"/>
      <c r="F1090" s="43"/>
      <c r="G1090" s="43"/>
      <c r="H1090" s="43"/>
      <c r="I1090" s="43"/>
      <c r="J1090" s="443"/>
      <c r="K1090" s="43"/>
      <c r="L1090" s="89"/>
      <c r="M1090" s="89"/>
      <c r="O1090" s="71">
        <f t="shared" si="21"/>
        <v>0</v>
      </c>
      <c r="P1090" s="89">
        <f t="shared" si="22"/>
        <v>0</v>
      </c>
      <c r="Q1090" s="491" t="str">
        <f>IF(ISBLANK(M1090), "", VLOOKUP(A1090&amp;" "&amp;B1090, 'Info Tipo de Cambio y REM'!$A$24:$B$47, 2, FALSE))</f>
        <v/>
      </c>
      <c r="R1090" s="109" t="str">
        <f t="shared" si="1"/>
        <v/>
      </c>
      <c r="S1090" s="71" t="str">
        <f t="shared" si="2"/>
        <v/>
      </c>
      <c r="T1090" s="71">
        <f t="shared" si="3"/>
        <v>0</v>
      </c>
      <c r="U1090" s="43"/>
      <c r="V1090" s="486"/>
      <c r="W1090" s="43"/>
      <c r="X1090" s="43"/>
    </row>
    <row r="1091" hidden="1">
      <c r="A1091" s="51"/>
      <c r="B1091" s="43"/>
      <c r="C1091" s="51"/>
      <c r="D1091" s="43"/>
      <c r="E1091" s="43"/>
      <c r="F1091" s="43"/>
      <c r="G1091" s="43"/>
      <c r="H1091" s="43"/>
      <c r="I1091" s="43"/>
      <c r="J1091" s="443"/>
      <c r="K1091" s="43"/>
      <c r="L1091" s="89"/>
      <c r="M1091" s="89"/>
      <c r="O1091" s="71">
        <f t="shared" si="21"/>
        <v>0</v>
      </c>
      <c r="P1091" s="89">
        <f t="shared" si="22"/>
        <v>0</v>
      </c>
      <c r="Q1091" s="491" t="str">
        <f>IF(ISBLANK(M1091), "", VLOOKUP(A1091&amp;" "&amp;B1091, 'Info Tipo de Cambio y REM'!$A$24:$B$47, 2, FALSE))</f>
        <v/>
      </c>
      <c r="R1091" s="109" t="str">
        <f t="shared" si="1"/>
        <v/>
      </c>
      <c r="S1091" s="71" t="str">
        <f t="shared" si="2"/>
        <v/>
      </c>
      <c r="T1091" s="71">
        <f t="shared" si="3"/>
        <v>0</v>
      </c>
      <c r="U1091" s="43"/>
      <c r="V1091" s="486"/>
      <c r="W1091" s="43"/>
      <c r="X1091" s="43"/>
    </row>
    <row r="1092" hidden="1">
      <c r="A1092" s="51"/>
      <c r="B1092" s="43"/>
      <c r="C1092" s="51"/>
      <c r="D1092" s="43"/>
      <c r="E1092" s="43"/>
      <c r="F1092" s="43"/>
      <c r="G1092" s="43"/>
      <c r="H1092" s="43"/>
      <c r="I1092" s="43"/>
      <c r="J1092" s="443"/>
      <c r="K1092" s="43"/>
      <c r="L1092" s="89"/>
      <c r="M1092" s="89"/>
      <c r="O1092" s="71">
        <f t="shared" si="21"/>
        <v>0</v>
      </c>
      <c r="P1092" s="89">
        <f t="shared" si="22"/>
        <v>0</v>
      </c>
      <c r="Q1092" s="491" t="str">
        <f>IF(ISBLANK(M1092), "", VLOOKUP(A1092&amp;" "&amp;B1092, 'Info Tipo de Cambio y REM'!$A$24:$B$47, 2, FALSE))</f>
        <v/>
      </c>
      <c r="R1092" s="109" t="str">
        <f t="shared" si="1"/>
        <v/>
      </c>
      <c r="S1092" s="71" t="str">
        <f t="shared" si="2"/>
        <v/>
      </c>
      <c r="T1092" s="71">
        <f t="shared" si="3"/>
        <v>0</v>
      </c>
      <c r="U1092" s="43"/>
      <c r="V1092" s="486"/>
      <c r="W1092" s="43"/>
      <c r="X1092" s="43"/>
    </row>
    <row r="1093" hidden="1">
      <c r="A1093" s="51"/>
      <c r="B1093" s="43"/>
      <c r="C1093" s="51"/>
      <c r="D1093" s="43"/>
      <c r="E1093" s="43"/>
      <c r="F1093" s="43"/>
      <c r="G1093" s="43"/>
      <c r="H1093" s="43"/>
      <c r="I1093" s="43"/>
      <c r="J1093" s="443"/>
      <c r="K1093" s="43"/>
      <c r="L1093" s="89"/>
      <c r="M1093" s="89"/>
      <c r="O1093" s="71">
        <f t="shared" si="21"/>
        <v>0</v>
      </c>
      <c r="P1093" s="89">
        <f t="shared" si="22"/>
        <v>0</v>
      </c>
      <c r="Q1093" s="491" t="str">
        <f>IF(ISBLANK(M1093), "", VLOOKUP(A1093&amp;" "&amp;B1093, 'Info Tipo de Cambio y REM'!$A$24:$B$47, 2, FALSE))</f>
        <v/>
      </c>
      <c r="R1093" s="109" t="str">
        <f t="shared" si="1"/>
        <v/>
      </c>
      <c r="S1093" s="71" t="str">
        <f t="shared" si="2"/>
        <v/>
      </c>
      <c r="T1093" s="71">
        <f t="shared" si="3"/>
        <v>0</v>
      </c>
      <c r="U1093" s="43"/>
      <c r="V1093" s="486"/>
      <c r="W1093" s="43"/>
      <c r="X1093" s="43"/>
    </row>
    <row r="1094" hidden="1">
      <c r="A1094" s="51"/>
      <c r="B1094" s="43"/>
      <c r="C1094" s="51"/>
      <c r="D1094" s="43"/>
      <c r="E1094" s="43"/>
      <c r="F1094" s="43"/>
      <c r="G1094" s="43"/>
      <c r="H1094" s="43"/>
      <c r="I1094" s="43"/>
      <c r="J1094" s="443"/>
      <c r="K1094" s="43"/>
      <c r="L1094" s="89"/>
      <c r="M1094" s="89"/>
      <c r="O1094" s="71">
        <f t="shared" si="21"/>
        <v>0</v>
      </c>
      <c r="P1094" s="89">
        <f t="shared" si="22"/>
        <v>0</v>
      </c>
      <c r="Q1094" s="491" t="str">
        <f>IF(ISBLANK(M1094), "", VLOOKUP(A1094&amp;" "&amp;B1094, 'Info Tipo de Cambio y REM'!$A$24:$B$47, 2, FALSE))</f>
        <v/>
      </c>
      <c r="R1094" s="109" t="str">
        <f t="shared" si="1"/>
        <v/>
      </c>
      <c r="S1094" s="71" t="str">
        <f t="shared" si="2"/>
        <v/>
      </c>
      <c r="T1094" s="71">
        <f t="shared" si="3"/>
        <v>0</v>
      </c>
      <c r="U1094" s="43"/>
      <c r="V1094" s="486"/>
      <c r="W1094" s="43"/>
      <c r="X1094" s="43"/>
    </row>
    <row r="1095" hidden="1">
      <c r="A1095" s="51"/>
      <c r="B1095" s="43"/>
      <c r="C1095" s="51"/>
      <c r="D1095" s="43"/>
      <c r="E1095" s="43"/>
      <c r="F1095" s="43"/>
      <c r="G1095" s="43"/>
      <c r="H1095" s="43"/>
      <c r="I1095" s="43"/>
      <c r="J1095" s="443"/>
      <c r="K1095" s="43"/>
      <c r="L1095" s="89"/>
      <c r="M1095" s="89"/>
      <c r="O1095" s="71">
        <f t="shared" si="21"/>
        <v>0</v>
      </c>
      <c r="P1095" s="89">
        <f t="shared" si="22"/>
        <v>0</v>
      </c>
      <c r="Q1095" s="491" t="str">
        <f>IF(ISBLANK(M1095), "", VLOOKUP(A1095&amp;" "&amp;B1095, 'Info Tipo de Cambio y REM'!$A$24:$B$47, 2, FALSE))</f>
        <v/>
      </c>
      <c r="R1095" s="109" t="str">
        <f t="shared" si="1"/>
        <v/>
      </c>
      <c r="S1095" s="71" t="str">
        <f t="shared" si="2"/>
        <v/>
      </c>
      <c r="T1095" s="71">
        <f t="shared" si="3"/>
        <v>0</v>
      </c>
      <c r="U1095" s="43"/>
      <c r="V1095" s="486"/>
      <c r="W1095" s="43"/>
      <c r="X1095" s="43"/>
    </row>
    <row r="1096" hidden="1">
      <c r="A1096" s="51"/>
      <c r="B1096" s="43"/>
      <c r="C1096" s="51"/>
      <c r="D1096" s="43"/>
      <c r="E1096" s="43"/>
      <c r="F1096" s="43"/>
      <c r="G1096" s="43"/>
      <c r="H1096" s="43"/>
      <c r="I1096" s="43"/>
      <c r="J1096" s="443"/>
      <c r="K1096" s="43"/>
      <c r="L1096" s="89"/>
      <c r="M1096" s="89"/>
      <c r="O1096" s="71">
        <f t="shared" si="21"/>
        <v>0</v>
      </c>
      <c r="P1096" s="89">
        <f t="shared" si="22"/>
        <v>0</v>
      </c>
      <c r="Q1096" s="491" t="str">
        <f>IF(ISBLANK(M1096), "", VLOOKUP(A1096&amp;" "&amp;B1096, 'Info Tipo de Cambio y REM'!$A$24:$B$47, 2, FALSE))</f>
        <v/>
      </c>
      <c r="R1096" s="109" t="str">
        <f t="shared" si="1"/>
        <v/>
      </c>
      <c r="S1096" s="71" t="str">
        <f t="shared" si="2"/>
        <v/>
      </c>
      <c r="T1096" s="71">
        <f t="shared" si="3"/>
        <v>0</v>
      </c>
      <c r="U1096" s="43"/>
      <c r="V1096" s="486"/>
      <c r="W1096" s="43"/>
      <c r="X1096" s="43"/>
    </row>
    <row r="1097" hidden="1">
      <c r="A1097" s="51"/>
      <c r="B1097" s="43"/>
      <c r="C1097" s="51"/>
      <c r="D1097" s="43"/>
      <c r="E1097" s="43"/>
      <c r="F1097" s="43"/>
      <c r="G1097" s="43"/>
      <c r="H1097" s="43"/>
      <c r="I1097" s="43"/>
      <c r="J1097" s="443"/>
      <c r="K1097" s="43"/>
      <c r="L1097" s="89"/>
      <c r="M1097" s="89"/>
      <c r="O1097" s="71">
        <f t="shared" si="21"/>
        <v>0</v>
      </c>
      <c r="P1097" s="89">
        <f t="shared" si="22"/>
        <v>0</v>
      </c>
      <c r="Q1097" s="491" t="str">
        <f>IF(ISBLANK(M1097), "", VLOOKUP(A1097&amp;" "&amp;B1097, 'Info Tipo de Cambio y REM'!$A$24:$B$47, 2, FALSE))</f>
        <v/>
      </c>
      <c r="R1097" s="109" t="str">
        <f t="shared" si="1"/>
        <v/>
      </c>
      <c r="S1097" s="71" t="str">
        <f t="shared" si="2"/>
        <v/>
      </c>
      <c r="T1097" s="71">
        <f t="shared" si="3"/>
        <v>0</v>
      </c>
      <c r="U1097" s="43"/>
      <c r="V1097" s="486"/>
      <c r="W1097" s="43"/>
      <c r="X1097" s="43"/>
    </row>
    <row r="1098" hidden="1">
      <c r="A1098" s="51"/>
      <c r="B1098" s="43"/>
      <c r="C1098" s="51"/>
      <c r="D1098" s="43"/>
      <c r="E1098" s="43"/>
      <c r="F1098" s="43"/>
      <c r="G1098" s="43"/>
      <c r="H1098" s="43"/>
      <c r="I1098" s="43"/>
      <c r="J1098" s="443"/>
      <c r="K1098" s="43"/>
      <c r="L1098" s="89"/>
      <c r="M1098" s="89"/>
      <c r="O1098" s="71">
        <f t="shared" si="21"/>
        <v>0</v>
      </c>
      <c r="P1098" s="89">
        <f t="shared" si="22"/>
        <v>0</v>
      </c>
      <c r="Q1098" s="491" t="str">
        <f>IF(ISBLANK(M1098), "", VLOOKUP(A1098&amp;" "&amp;B1098, 'Info Tipo de Cambio y REM'!$A$24:$B$47, 2, FALSE))</f>
        <v/>
      </c>
      <c r="R1098" s="109" t="str">
        <f t="shared" si="1"/>
        <v/>
      </c>
      <c r="S1098" s="71" t="str">
        <f t="shared" si="2"/>
        <v/>
      </c>
      <c r="T1098" s="71">
        <f t="shared" si="3"/>
        <v>0</v>
      </c>
      <c r="U1098" s="43"/>
      <c r="V1098" s="486"/>
      <c r="W1098" s="43"/>
      <c r="X1098" s="43"/>
    </row>
    <row r="1099" hidden="1">
      <c r="A1099" s="51"/>
      <c r="B1099" s="43"/>
      <c r="C1099" s="51"/>
      <c r="D1099" s="43"/>
      <c r="E1099" s="43"/>
      <c r="F1099" s="43"/>
      <c r="G1099" s="43"/>
      <c r="H1099" s="43"/>
      <c r="I1099" s="43"/>
      <c r="J1099" s="443"/>
      <c r="K1099" s="43"/>
      <c r="L1099" s="89"/>
      <c r="M1099" s="89"/>
      <c r="O1099" s="71">
        <f t="shared" si="21"/>
        <v>0</v>
      </c>
      <c r="P1099" s="89">
        <f t="shared" si="22"/>
        <v>0</v>
      </c>
      <c r="Q1099" s="491" t="str">
        <f>IF(ISBLANK(M1099), "", VLOOKUP(A1099&amp;" "&amp;B1099, 'Info Tipo de Cambio y REM'!$A$24:$B$47, 2, FALSE))</f>
        <v/>
      </c>
      <c r="R1099" s="109" t="str">
        <f t="shared" si="1"/>
        <v/>
      </c>
      <c r="S1099" s="71" t="str">
        <f t="shared" si="2"/>
        <v/>
      </c>
      <c r="T1099" s="71">
        <f t="shared" si="3"/>
        <v>0</v>
      </c>
      <c r="U1099" s="43"/>
      <c r="V1099" s="486"/>
      <c r="W1099" s="43"/>
      <c r="X1099" s="43"/>
    </row>
  </sheetData>
  <autoFilter ref="$A$1:$V$1099">
    <filterColumn colId="4">
      <filters>
        <filter val="PepsiCo"/>
      </filters>
    </filterColumn>
  </autoFilter>
  <dataValidations>
    <dataValidation type="list" allowBlank="1" showErrorMessage="1" sqref="C2:C1099">
      <formula1>Listas!$H$3:$H$14</formula1>
    </dataValidation>
    <dataValidation type="list" allowBlank="1" showErrorMessage="1" sqref="A2:A1099">
      <formula1>"01 ene,02 feb,03 mar,04 abr,05 may,06 jun,07 jul,08 ago,09 sep,10 oct,11 nov,12 dic"</formula1>
    </dataValidation>
    <dataValidation type="list" allowBlank="1" showErrorMessage="1" sqref="E100:E101">
      <formula1>Listas!$C$2:$C$286</formula1>
    </dataValidation>
    <dataValidation type="list" allowBlank="1" showErrorMessage="1" sqref="G2:G1099">
      <formula1>"Fee,One Shot,Demo,Epical"</formula1>
    </dataValidation>
    <dataValidation type="list" allowBlank="1" showErrorMessage="1" sqref="B2:B1099 D2:D1099">
      <formula1>"2025,2026,2027,2028"</formula1>
    </dataValidation>
    <dataValidation type="list" allowBlank="1" showErrorMessage="1" sqref="E2:E99 E102:E1099">
      <formula1>"Coelsa,Arcos Dorados,Animal Studio,BID,Natura,Betterfly,Giampaoletti,Google LLC,Mastercard,Moreno Ocampo,Sentidos,Play Digital S.A (Modo),Warner,Netflix,Vertical Media,Detroit,IRSA,Uber,Coca-Cola,Kimberly Clark,Tortugas Open Mall,Epical,PeYa,Cami Criado,M"&amp;"olino Chacabuco,PepsiCo"</formula1>
    </dataValidation>
    <dataValidation type="list" allowBlank="1" showErrorMessage="1" sqref="U2:U1099">
      <formula1>"Facturado,No Facturado,No requiere factura"</formula1>
    </dataValidation>
    <dataValidation type="list" allowBlank="1" showErrorMessage="1" sqref="H2:I1099">
      <formula1>"Si,No"</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13"/>
    <col customWidth="1" min="2" max="2" width="16.75"/>
    <col customWidth="1" min="3" max="4" width="16.63"/>
    <col customWidth="1" min="5" max="5" width="16.25"/>
    <col customWidth="1" min="6" max="7" width="20.5"/>
    <col customWidth="1" min="8" max="8" width="12.88"/>
    <col customWidth="1" min="9" max="9" width="9.63"/>
    <col customWidth="1" min="10" max="10" width="19.25"/>
    <col customWidth="1" min="11" max="35" width="9.63"/>
  </cols>
  <sheetData>
    <row r="1">
      <c r="A1" s="483" t="s">
        <v>111</v>
      </c>
      <c r="B1" s="10" t="s">
        <v>1117</v>
      </c>
      <c r="C1" s="444" t="s">
        <v>116</v>
      </c>
      <c r="D1" s="10" t="s">
        <v>1244</v>
      </c>
      <c r="E1" s="484" t="s">
        <v>1245</v>
      </c>
      <c r="F1" s="493" t="s">
        <v>1246</v>
      </c>
      <c r="G1" s="493" t="s">
        <v>1247</v>
      </c>
      <c r="H1" s="10" t="s">
        <v>1223</v>
      </c>
      <c r="I1" s="490"/>
    </row>
    <row r="2" hidden="1">
      <c r="A2" s="43" t="s">
        <v>183</v>
      </c>
      <c r="B2" s="43" t="s">
        <v>1129</v>
      </c>
      <c r="C2" s="51" t="s">
        <v>1248</v>
      </c>
      <c r="D2" s="43">
        <v>2025.0</v>
      </c>
      <c r="E2" s="43" t="s">
        <v>1126</v>
      </c>
      <c r="G2" s="112">
        <v>13450.0</v>
      </c>
      <c r="H2" s="43" t="s">
        <v>311</v>
      </c>
      <c r="I2" s="487"/>
      <c r="J2" s="488"/>
    </row>
    <row r="3" hidden="1">
      <c r="A3" s="43" t="s">
        <v>183</v>
      </c>
      <c r="B3" s="43" t="s">
        <v>1129</v>
      </c>
      <c r="C3" s="51" t="s">
        <v>1249</v>
      </c>
      <c r="D3" s="43">
        <v>2025.0</v>
      </c>
      <c r="E3" s="43" t="s">
        <v>1126</v>
      </c>
      <c r="G3" s="112">
        <v>13450.0</v>
      </c>
      <c r="H3" s="43" t="s">
        <v>311</v>
      </c>
      <c r="I3" s="487"/>
      <c r="J3" s="488"/>
    </row>
    <row r="4" hidden="1">
      <c r="A4" s="43" t="s">
        <v>183</v>
      </c>
      <c r="B4" s="43" t="s">
        <v>1129</v>
      </c>
      <c r="C4" s="51" t="s">
        <v>1250</v>
      </c>
      <c r="D4" s="43">
        <v>2025.0</v>
      </c>
      <c r="E4" s="43" t="s">
        <v>1126</v>
      </c>
      <c r="G4" s="112">
        <v>14750.0</v>
      </c>
      <c r="H4" s="43" t="s">
        <v>311</v>
      </c>
      <c r="I4" s="487"/>
      <c r="J4" s="488"/>
      <c r="K4" s="71"/>
      <c r="L4" s="105"/>
    </row>
    <row r="5" hidden="1">
      <c r="A5" s="43" t="s">
        <v>183</v>
      </c>
      <c r="B5" s="43" t="s">
        <v>1129</v>
      </c>
      <c r="C5" s="51" t="s">
        <v>1251</v>
      </c>
      <c r="D5" s="43">
        <v>2025.0</v>
      </c>
      <c r="E5" s="43" t="s">
        <v>1126</v>
      </c>
      <c r="G5" s="112">
        <v>13450.0</v>
      </c>
      <c r="H5" s="43" t="s">
        <v>311</v>
      </c>
      <c r="I5" s="487"/>
      <c r="J5" s="488"/>
      <c r="K5" s="71"/>
      <c r="L5" s="105"/>
    </row>
    <row r="6" hidden="1">
      <c r="A6" s="43" t="s">
        <v>183</v>
      </c>
      <c r="B6" s="43" t="s">
        <v>1129</v>
      </c>
      <c r="C6" s="51" t="s">
        <v>1252</v>
      </c>
      <c r="D6" s="43">
        <v>2025.0</v>
      </c>
      <c r="E6" s="43" t="s">
        <v>1126</v>
      </c>
      <c r="G6" s="112">
        <v>29230.0</v>
      </c>
      <c r="H6" s="43" t="s">
        <v>311</v>
      </c>
      <c r="I6" s="487"/>
      <c r="J6" s="488"/>
      <c r="K6" s="71"/>
      <c r="L6" s="105"/>
    </row>
    <row r="7" hidden="1">
      <c r="A7" s="43" t="s">
        <v>183</v>
      </c>
      <c r="B7" s="43" t="s">
        <v>1129</v>
      </c>
      <c r="C7" s="51" t="s">
        <v>1253</v>
      </c>
      <c r="D7" s="43">
        <v>2025.0</v>
      </c>
      <c r="E7" s="43" t="s">
        <v>1126</v>
      </c>
      <c r="G7" s="112">
        <v>29230.0</v>
      </c>
      <c r="H7" s="43" t="s">
        <v>311</v>
      </c>
      <c r="I7" s="487"/>
      <c r="J7" s="488"/>
      <c r="K7" s="71"/>
      <c r="L7" s="105"/>
    </row>
    <row r="8" hidden="1">
      <c r="A8" s="43" t="s">
        <v>183</v>
      </c>
      <c r="B8" s="43" t="s">
        <v>1129</v>
      </c>
      <c r="C8" s="51" t="s">
        <v>1254</v>
      </c>
      <c r="D8" s="43">
        <v>2025.0</v>
      </c>
      <c r="E8" s="43" t="s">
        <v>1126</v>
      </c>
      <c r="G8" s="112">
        <v>29230.0</v>
      </c>
      <c r="H8" s="43" t="s">
        <v>311</v>
      </c>
      <c r="K8" s="71"/>
      <c r="L8" s="105"/>
    </row>
    <row r="9">
      <c r="A9" s="43" t="s">
        <v>183</v>
      </c>
      <c r="B9" s="43" t="s">
        <v>1129</v>
      </c>
      <c r="C9" s="51" t="s">
        <v>1255</v>
      </c>
      <c r="D9" s="43">
        <v>2025.0</v>
      </c>
      <c r="E9" s="43" t="s">
        <v>1126</v>
      </c>
      <c r="G9" s="112">
        <v>29230.0</v>
      </c>
      <c r="H9" s="43" t="s">
        <v>311</v>
      </c>
      <c r="I9" s="43"/>
      <c r="K9" s="71"/>
      <c r="L9" s="105"/>
    </row>
    <row r="10" hidden="1">
      <c r="A10" s="43" t="s">
        <v>183</v>
      </c>
      <c r="B10" s="43" t="s">
        <v>1129</v>
      </c>
      <c r="C10" s="51" t="s">
        <v>1256</v>
      </c>
      <c r="D10" s="43">
        <v>2025.0</v>
      </c>
      <c r="E10" s="43" t="s">
        <v>1126</v>
      </c>
      <c r="G10" s="112">
        <v>29230.0</v>
      </c>
      <c r="H10" s="43" t="s">
        <v>311</v>
      </c>
      <c r="I10" s="43"/>
      <c r="K10" s="71"/>
      <c r="L10" s="105"/>
    </row>
    <row r="11" hidden="1">
      <c r="A11" s="43" t="s">
        <v>183</v>
      </c>
      <c r="B11" s="43" t="s">
        <v>1129</v>
      </c>
      <c r="C11" s="51" t="s">
        <v>1257</v>
      </c>
      <c r="D11" s="43">
        <v>2025.0</v>
      </c>
      <c r="E11" s="43" t="s">
        <v>1126</v>
      </c>
      <c r="G11" s="112">
        <v>29230.0</v>
      </c>
      <c r="H11" s="43" t="s">
        <v>311</v>
      </c>
      <c r="I11" s="43"/>
      <c r="K11" s="71"/>
      <c r="L11" s="105"/>
    </row>
    <row r="12" hidden="1">
      <c r="A12" s="43" t="s">
        <v>183</v>
      </c>
      <c r="B12" s="43" t="s">
        <v>1129</v>
      </c>
      <c r="C12" s="51" t="s">
        <v>1258</v>
      </c>
      <c r="D12" s="43">
        <v>2025.0</v>
      </c>
      <c r="E12" s="43" t="s">
        <v>1126</v>
      </c>
      <c r="G12" s="112">
        <v>29230.0</v>
      </c>
      <c r="H12" s="43" t="s">
        <v>311</v>
      </c>
      <c r="I12" s="43"/>
      <c r="K12" s="71"/>
      <c r="L12" s="105"/>
    </row>
    <row r="13" hidden="1">
      <c r="A13" s="43" t="s">
        <v>183</v>
      </c>
      <c r="B13" s="43" t="s">
        <v>1129</v>
      </c>
      <c r="C13" s="51" t="s">
        <v>1259</v>
      </c>
      <c r="D13" s="43">
        <v>2025.0</v>
      </c>
      <c r="E13" s="43" t="s">
        <v>1126</v>
      </c>
      <c r="G13" s="112">
        <v>29230.0</v>
      </c>
      <c r="H13" s="43" t="s">
        <v>311</v>
      </c>
      <c r="I13" s="43"/>
      <c r="K13" s="71"/>
      <c r="L13" s="105"/>
    </row>
    <row r="14" hidden="1">
      <c r="A14" s="43" t="s">
        <v>183</v>
      </c>
      <c r="B14" s="43" t="s">
        <v>1212</v>
      </c>
      <c r="C14" s="51" t="s">
        <v>1256</v>
      </c>
      <c r="D14" s="43">
        <v>2025.0</v>
      </c>
      <c r="E14" s="43" t="s">
        <v>1126</v>
      </c>
      <c r="G14" s="89">
        <v>7580.0</v>
      </c>
      <c r="H14" s="43" t="s">
        <v>311</v>
      </c>
      <c r="I14" s="43"/>
    </row>
    <row r="15" hidden="1">
      <c r="A15" s="43" t="s">
        <v>183</v>
      </c>
      <c r="B15" s="43" t="s">
        <v>1212</v>
      </c>
      <c r="C15" s="51" t="s">
        <v>1257</v>
      </c>
      <c r="D15" s="43">
        <v>2025.0</v>
      </c>
      <c r="E15" s="43" t="s">
        <v>1126</v>
      </c>
      <c r="G15" s="89">
        <v>7580.0</v>
      </c>
      <c r="H15" s="43" t="s">
        <v>311</v>
      </c>
      <c r="I15" s="43"/>
    </row>
    <row r="16" hidden="1">
      <c r="A16" s="43" t="s">
        <v>183</v>
      </c>
      <c r="B16" s="43" t="s">
        <v>1212</v>
      </c>
      <c r="C16" s="51" t="s">
        <v>1258</v>
      </c>
      <c r="D16" s="43">
        <v>2025.0</v>
      </c>
      <c r="E16" s="43" t="s">
        <v>1126</v>
      </c>
      <c r="G16" s="89">
        <v>7580.0</v>
      </c>
      <c r="H16" s="43" t="s">
        <v>311</v>
      </c>
      <c r="I16" s="43"/>
    </row>
    <row r="17" hidden="1">
      <c r="A17" s="43" t="s">
        <v>183</v>
      </c>
      <c r="B17" s="43" t="s">
        <v>1212</v>
      </c>
      <c r="C17" s="51" t="s">
        <v>1259</v>
      </c>
      <c r="D17" s="43">
        <v>2025.0</v>
      </c>
      <c r="E17" s="43" t="s">
        <v>1126</v>
      </c>
      <c r="G17" s="89">
        <v>7580.0</v>
      </c>
      <c r="H17" s="43" t="s">
        <v>311</v>
      </c>
      <c r="I17" s="43"/>
    </row>
    <row r="18" hidden="1">
      <c r="A18" s="43" t="s">
        <v>202</v>
      </c>
      <c r="B18" s="43" t="s">
        <v>1156</v>
      </c>
      <c r="C18" s="51" t="s">
        <v>1250</v>
      </c>
      <c r="D18" s="43">
        <v>2025.0</v>
      </c>
      <c r="E18" s="43" t="s">
        <v>1133</v>
      </c>
      <c r="G18" s="89">
        <v>5568.0</v>
      </c>
      <c r="H18" s="43" t="s">
        <v>311</v>
      </c>
      <c r="I18" s="89"/>
      <c r="J18" s="89"/>
      <c r="K18" s="89"/>
    </row>
    <row r="19" hidden="1">
      <c r="A19" s="43" t="s">
        <v>126</v>
      </c>
      <c r="B19" s="43" t="s">
        <v>1234</v>
      </c>
      <c r="C19" s="51" t="s">
        <v>1248</v>
      </c>
      <c r="D19" s="43">
        <v>2025.0</v>
      </c>
      <c r="E19" s="43" t="s">
        <v>1133</v>
      </c>
      <c r="F19" s="89">
        <v>420000.0</v>
      </c>
      <c r="G19" s="89"/>
      <c r="H19" s="43" t="s">
        <v>311</v>
      </c>
      <c r="I19" s="89"/>
      <c r="J19" s="89"/>
      <c r="K19" s="89"/>
    </row>
    <row r="20" hidden="1">
      <c r="A20" s="43" t="s">
        <v>126</v>
      </c>
      <c r="B20" s="43" t="s">
        <v>1234</v>
      </c>
      <c r="C20" s="51" t="s">
        <v>1249</v>
      </c>
      <c r="D20" s="43">
        <v>2025.0</v>
      </c>
      <c r="E20" s="43" t="s">
        <v>1133</v>
      </c>
      <c r="F20" s="89">
        <v>420000.0</v>
      </c>
      <c r="G20" s="89"/>
      <c r="H20" s="43" t="s">
        <v>311</v>
      </c>
      <c r="I20" s="89"/>
      <c r="J20" s="89"/>
      <c r="K20" s="89"/>
    </row>
    <row r="21" hidden="1">
      <c r="A21" s="43" t="s">
        <v>126</v>
      </c>
      <c r="B21" s="43" t="s">
        <v>1150</v>
      </c>
      <c r="C21" s="51" t="s">
        <v>1249</v>
      </c>
      <c r="D21" s="43">
        <v>2025.0</v>
      </c>
      <c r="E21" s="43" t="s">
        <v>1133</v>
      </c>
      <c r="F21" s="89">
        <f>(3850000-420000)</f>
        <v>3430000</v>
      </c>
      <c r="G21" s="89"/>
      <c r="H21" s="43" t="s">
        <v>311</v>
      </c>
      <c r="I21" s="89"/>
      <c r="J21" s="89"/>
      <c r="K21" s="89"/>
    </row>
    <row r="22" hidden="1">
      <c r="A22" s="43" t="s">
        <v>204</v>
      </c>
      <c r="B22" s="43" t="s">
        <v>1168</v>
      </c>
      <c r="C22" s="51" t="s">
        <v>1253</v>
      </c>
      <c r="D22" s="43">
        <v>2025.0</v>
      </c>
      <c r="E22" s="43" t="s">
        <v>1126</v>
      </c>
      <c r="G22" s="89">
        <v>8450.0</v>
      </c>
      <c r="H22" s="43" t="s">
        <v>311</v>
      </c>
      <c r="I22" s="89"/>
      <c r="J22" s="89"/>
      <c r="K22" s="89"/>
    </row>
    <row r="23" hidden="1">
      <c r="A23" s="43" t="s">
        <v>204</v>
      </c>
      <c r="B23" s="43" t="s">
        <v>1168</v>
      </c>
      <c r="C23" s="51" t="s">
        <v>1254</v>
      </c>
      <c r="D23" s="43">
        <v>2025.0</v>
      </c>
      <c r="E23" s="43" t="s">
        <v>1126</v>
      </c>
      <c r="G23" s="89">
        <v>8450.0</v>
      </c>
      <c r="H23" s="43" t="s">
        <v>311</v>
      </c>
      <c r="I23" s="43"/>
    </row>
    <row r="24">
      <c r="A24" s="43" t="s">
        <v>204</v>
      </c>
      <c r="B24" s="43" t="s">
        <v>1168</v>
      </c>
      <c r="C24" s="51" t="s">
        <v>1255</v>
      </c>
      <c r="D24" s="43">
        <v>2025.0</v>
      </c>
      <c r="E24" s="43" t="s">
        <v>1126</v>
      </c>
      <c r="G24" s="89">
        <v>8450.0</v>
      </c>
      <c r="H24" s="43" t="s">
        <v>311</v>
      </c>
      <c r="I24" s="43"/>
    </row>
    <row r="25" hidden="1">
      <c r="A25" s="43" t="s">
        <v>204</v>
      </c>
      <c r="B25" s="43" t="s">
        <v>1168</v>
      </c>
      <c r="C25" s="51" t="s">
        <v>1256</v>
      </c>
      <c r="D25" s="43">
        <v>2025.0</v>
      </c>
      <c r="E25" s="43" t="s">
        <v>1126</v>
      </c>
      <c r="G25" s="89">
        <v>8450.0</v>
      </c>
      <c r="H25" s="43" t="s">
        <v>311</v>
      </c>
      <c r="I25" s="43"/>
    </row>
    <row r="26" hidden="1">
      <c r="A26" s="43" t="s">
        <v>204</v>
      </c>
      <c r="B26" s="43" t="s">
        <v>1168</v>
      </c>
      <c r="C26" s="51" t="s">
        <v>1257</v>
      </c>
      <c r="D26" s="43">
        <v>2025.0</v>
      </c>
      <c r="E26" s="43" t="s">
        <v>1126</v>
      </c>
      <c r="G26" s="89">
        <v>8450.0</v>
      </c>
      <c r="H26" s="43" t="s">
        <v>311</v>
      </c>
      <c r="I26" s="43"/>
    </row>
    <row r="27" hidden="1">
      <c r="A27" s="43" t="s">
        <v>204</v>
      </c>
      <c r="B27" s="43" t="s">
        <v>1168</v>
      </c>
      <c r="C27" s="51" t="s">
        <v>1258</v>
      </c>
      <c r="D27" s="43">
        <v>2025.0</v>
      </c>
      <c r="E27" s="43" t="s">
        <v>1126</v>
      </c>
      <c r="G27" s="89">
        <v>8450.0</v>
      </c>
      <c r="H27" s="43" t="s">
        <v>311</v>
      </c>
      <c r="I27" s="43"/>
    </row>
    <row r="28" hidden="1">
      <c r="A28" s="43" t="s">
        <v>204</v>
      </c>
      <c r="B28" s="43" t="s">
        <v>1168</v>
      </c>
      <c r="C28" s="51" t="s">
        <v>1259</v>
      </c>
      <c r="D28" s="43">
        <v>2026.0</v>
      </c>
      <c r="E28" s="43" t="s">
        <v>1126</v>
      </c>
      <c r="G28" s="89">
        <v>8450.0</v>
      </c>
      <c r="H28" s="43" t="s">
        <v>311</v>
      </c>
      <c r="I28" s="43"/>
    </row>
    <row r="29" hidden="1">
      <c r="A29" s="43" t="s">
        <v>199</v>
      </c>
      <c r="B29" s="43" t="s">
        <v>1165</v>
      </c>
      <c r="C29" s="51" t="s">
        <v>1260</v>
      </c>
      <c r="D29" s="43">
        <v>2025.0</v>
      </c>
      <c r="E29" s="43" t="s">
        <v>1133</v>
      </c>
      <c r="G29" s="89">
        <v>7350.0</v>
      </c>
      <c r="H29" s="43" t="s">
        <v>311</v>
      </c>
      <c r="I29" s="43"/>
    </row>
    <row r="30" hidden="1">
      <c r="A30" s="43" t="s">
        <v>190</v>
      </c>
      <c r="B30" s="43" t="s">
        <v>1127</v>
      </c>
      <c r="C30" s="51" t="s">
        <v>1248</v>
      </c>
      <c r="D30" s="43">
        <v>2025.0</v>
      </c>
      <c r="E30" s="43" t="s">
        <v>1126</v>
      </c>
      <c r="G30" s="89">
        <v>1750.0</v>
      </c>
      <c r="H30" s="43" t="s">
        <v>311</v>
      </c>
      <c r="K30" s="51"/>
      <c r="P30" s="104"/>
      <c r="Q30" s="89"/>
      <c r="R30" s="106"/>
      <c r="S30" s="106"/>
      <c r="T30" s="107"/>
    </row>
    <row r="31" hidden="1">
      <c r="A31" s="43" t="s">
        <v>190</v>
      </c>
      <c r="B31" s="43" t="s">
        <v>1127</v>
      </c>
      <c r="C31" s="51" t="s">
        <v>1249</v>
      </c>
      <c r="D31" s="43">
        <v>2025.0</v>
      </c>
      <c r="E31" s="43" t="s">
        <v>1126</v>
      </c>
      <c r="G31" s="89">
        <v>1750.0</v>
      </c>
      <c r="H31" s="43" t="s">
        <v>311</v>
      </c>
      <c r="K31" s="51"/>
      <c r="P31" s="104"/>
      <c r="Q31" s="89"/>
      <c r="R31" s="106"/>
      <c r="S31" s="106"/>
      <c r="T31" s="107"/>
    </row>
    <row r="32" hidden="1">
      <c r="A32" s="43" t="s">
        <v>190</v>
      </c>
      <c r="B32" s="43" t="s">
        <v>1127</v>
      </c>
      <c r="C32" s="51" t="s">
        <v>1250</v>
      </c>
      <c r="D32" s="43">
        <v>2025.0</v>
      </c>
      <c r="E32" s="43" t="s">
        <v>1126</v>
      </c>
      <c r="G32" s="89">
        <v>1750.0</v>
      </c>
      <c r="H32" s="43" t="s">
        <v>311</v>
      </c>
      <c r="K32" s="51"/>
      <c r="P32" s="104"/>
      <c r="Q32" s="89"/>
      <c r="R32" s="106"/>
      <c r="S32" s="106"/>
      <c r="T32" s="107"/>
    </row>
    <row r="33" hidden="1">
      <c r="A33" s="43" t="s">
        <v>190</v>
      </c>
      <c r="B33" s="43" t="s">
        <v>1127</v>
      </c>
      <c r="C33" s="51" t="s">
        <v>1251</v>
      </c>
      <c r="D33" s="43">
        <v>2025.0</v>
      </c>
      <c r="E33" s="43" t="s">
        <v>1126</v>
      </c>
      <c r="G33" s="89">
        <v>1750.0</v>
      </c>
      <c r="H33" s="43" t="s">
        <v>311</v>
      </c>
      <c r="K33" s="51"/>
      <c r="P33" s="104"/>
      <c r="Q33" s="89"/>
      <c r="R33" s="106"/>
      <c r="S33" s="106"/>
      <c r="T33" s="107"/>
    </row>
    <row r="34" hidden="1">
      <c r="A34" s="43" t="s">
        <v>190</v>
      </c>
      <c r="B34" s="43" t="s">
        <v>1127</v>
      </c>
      <c r="C34" s="51" t="s">
        <v>1252</v>
      </c>
      <c r="D34" s="43">
        <v>2025.0</v>
      </c>
      <c r="E34" s="43" t="s">
        <v>1126</v>
      </c>
      <c r="G34" s="89">
        <v>1750.0</v>
      </c>
      <c r="H34" s="43" t="s">
        <v>311</v>
      </c>
      <c r="K34" s="51"/>
      <c r="L34" s="103"/>
      <c r="P34" s="104"/>
      <c r="Q34" s="89"/>
      <c r="R34" s="106"/>
      <c r="S34" s="106"/>
      <c r="T34" s="107"/>
    </row>
    <row r="35" hidden="1">
      <c r="A35" s="43" t="s">
        <v>190</v>
      </c>
      <c r="B35" s="43" t="s">
        <v>1127</v>
      </c>
      <c r="C35" s="51" t="s">
        <v>1253</v>
      </c>
      <c r="D35" s="43">
        <v>2025.0</v>
      </c>
      <c r="E35" s="43" t="s">
        <v>1126</v>
      </c>
      <c r="G35" s="89">
        <v>1750.0</v>
      </c>
      <c r="H35" s="43" t="s">
        <v>311</v>
      </c>
      <c r="K35" s="51"/>
      <c r="L35" s="104"/>
      <c r="P35" s="104"/>
      <c r="Q35" s="71"/>
      <c r="R35" s="106"/>
      <c r="S35" s="106"/>
      <c r="T35" s="107"/>
    </row>
    <row r="36" hidden="1">
      <c r="A36" s="43" t="s">
        <v>190</v>
      </c>
      <c r="B36" s="43" t="s">
        <v>1127</v>
      </c>
      <c r="C36" s="51" t="s">
        <v>1254</v>
      </c>
      <c r="D36" s="43">
        <v>2025.0</v>
      </c>
      <c r="E36" s="43" t="s">
        <v>1126</v>
      </c>
      <c r="G36" s="89">
        <v>1750.0</v>
      </c>
      <c r="H36" s="43" t="s">
        <v>311</v>
      </c>
      <c r="K36" s="51"/>
      <c r="L36" s="104"/>
      <c r="P36" s="104"/>
      <c r="Q36" s="113"/>
      <c r="R36" s="114"/>
      <c r="S36" s="106"/>
      <c r="T36" s="107"/>
    </row>
    <row r="37" hidden="1">
      <c r="A37" s="43" t="s">
        <v>180</v>
      </c>
      <c r="B37" s="43" t="s">
        <v>1127</v>
      </c>
      <c r="C37" s="51" t="s">
        <v>1248</v>
      </c>
      <c r="D37" s="43">
        <v>2025.0</v>
      </c>
      <c r="E37" s="43" t="s">
        <v>1126</v>
      </c>
      <c r="F37" s="89">
        <v>3920833.0</v>
      </c>
      <c r="H37" s="319" t="s">
        <v>311</v>
      </c>
      <c r="I37" s="89"/>
      <c r="J37" s="89"/>
      <c r="K37" s="89"/>
      <c r="L37" s="89"/>
    </row>
    <row r="38" hidden="1">
      <c r="A38" s="43" t="s">
        <v>180</v>
      </c>
      <c r="B38" s="43" t="s">
        <v>1127</v>
      </c>
      <c r="C38" s="51" t="s">
        <v>1249</v>
      </c>
      <c r="D38" s="43">
        <v>2025.0</v>
      </c>
      <c r="E38" s="43" t="s">
        <v>1126</v>
      </c>
      <c r="F38" s="89">
        <v>3920833.0</v>
      </c>
      <c r="H38" s="319" t="s">
        <v>311</v>
      </c>
      <c r="I38" s="89"/>
      <c r="J38" s="89"/>
      <c r="K38" s="89"/>
      <c r="L38" s="89"/>
    </row>
    <row r="39" hidden="1">
      <c r="A39" s="43" t="s">
        <v>180</v>
      </c>
      <c r="B39" s="43" t="s">
        <v>1127</v>
      </c>
      <c r="C39" s="51" t="s">
        <v>1250</v>
      </c>
      <c r="D39" s="43">
        <v>2025.0</v>
      </c>
      <c r="E39" s="43" t="s">
        <v>1126</v>
      </c>
      <c r="F39" s="89">
        <v>3920833.0</v>
      </c>
      <c r="H39" s="319" t="s">
        <v>311</v>
      </c>
      <c r="I39" s="43"/>
    </row>
    <row r="40" hidden="1">
      <c r="A40" s="43" t="s">
        <v>180</v>
      </c>
      <c r="B40" s="43" t="s">
        <v>1127</v>
      </c>
      <c r="C40" s="51" t="s">
        <v>1251</v>
      </c>
      <c r="D40" s="43">
        <v>2025.0</v>
      </c>
      <c r="E40" s="43" t="s">
        <v>1126</v>
      </c>
      <c r="F40" s="89">
        <v>4210975.0</v>
      </c>
      <c r="H40" s="319" t="s">
        <v>311</v>
      </c>
      <c r="I40" s="43"/>
    </row>
    <row r="41" hidden="1">
      <c r="A41" s="43" t="s">
        <v>180</v>
      </c>
      <c r="B41" s="43" t="s">
        <v>1127</v>
      </c>
      <c r="C41" s="51" t="s">
        <v>1252</v>
      </c>
      <c r="D41" s="43">
        <v>2025.0</v>
      </c>
      <c r="E41" s="43" t="s">
        <v>1126</v>
      </c>
      <c r="F41" s="89">
        <v>4210975.0</v>
      </c>
      <c r="H41" s="319" t="s">
        <v>311</v>
      </c>
      <c r="I41" s="43"/>
    </row>
    <row r="42" hidden="1">
      <c r="A42" s="43" t="s">
        <v>180</v>
      </c>
      <c r="B42" s="43" t="s">
        <v>1127</v>
      </c>
      <c r="C42" s="51" t="s">
        <v>1253</v>
      </c>
      <c r="D42" s="43">
        <v>2025.0</v>
      </c>
      <c r="E42" s="43" t="s">
        <v>1126</v>
      </c>
      <c r="F42" s="89">
        <v>4210975.0</v>
      </c>
      <c r="H42" s="43" t="s">
        <v>311</v>
      </c>
      <c r="I42" s="43"/>
    </row>
    <row r="43" hidden="1">
      <c r="A43" s="43" t="s">
        <v>180</v>
      </c>
      <c r="B43" s="43" t="s">
        <v>1127</v>
      </c>
      <c r="C43" s="51" t="s">
        <v>1254</v>
      </c>
      <c r="D43" s="43">
        <v>2025.0</v>
      </c>
      <c r="E43" s="43" t="s">
        <v>1126</v>
      </c>
      <c r="F43" s="89">
        <v>4596700.0</v>
      </c>
      <c r="H43" s="43" t="s">
        <v>311</v>
      </c>
      <c r="I43" s="43"/>
    </row>
    <row r="44">
      <c r="A44" s="43" t="s">
        <v>180</v>
      </c>
      <c r="B44" s="43" t="s">
        <v>1127</v>
      </c>
      <c r="C44" s="51" t="s">
        <v>1255</v>
      </c>
      <c r="D44" s="43">
        <v>2025.0</v>
      </c>
      <c r="E44" s="43" t="s">
        <v>1126</v>
      </c>
      <c r="F44" s="89">
        <v>3075000.0</v>
      </c>
      <c r="H44" s="43" t="s">
        <v>311</v>
      </c>
      <c r="I44" s="43"/>
    </row>
    <row r="45" hidden="1">
      <c r="A45" s="43" t="s">
        <v>180</v>
      </c>
      <c r="B45" s="43" t="s">
        <v>1127</v>
      </c>
      <c r="C45" s="51" t="s">
        <v>1256</v>
      </c>
      <c r="D45" s="43">
        <v>2025.0</v>
      </c>
      <c r="E45" s="43" t="s">
        <v>1126</v>
      </c>
      <c r="F45" s="89">
        <v>3075000.0</v>
      </c>
      <c r="H45" s="43" t="s">
        <v>311</v>
      </c>
      <c r="I45" s="43"/>
    </row>
    <row r="46" hidden="1">
      <c r="A46" s="43" t="s">
        <v>180</v>
      </c>
      <c r="B46" s="43" t="s">
        <v>1127</v>
      </c>
      <c r="C46" s="51" t="s">
        <v>1257</v>
      </c>
      <c r="D46" s="43">
        <v>2025.0</v>
      </c>
      <c r="E46" s="43" t="s">
        <v>1126</v>
      </c>
      <c r="F46" s="89">
        <v>3075000.0</v>
      </c>
      <c r="H46" s="43" t="s">
        <v>311</v>
      </c>
      <c r="I46" s="43"/>
    </row>
    <row r="47" hidden="1">
      <c r="A47" s="43" t="s">
        <v>180</v>
      </c>
      <c r="B47" s="43" t="s">
        <v>1127</v>
      </c>
      <c r="C47" s="51" t="s">
        <v>1258</v>
      </c>
      <c r="D47" s="43">
        <v>2025.0</v>
      </c>
      <c r="E47" s="43" t="s">
        <v>1126</v>
      </c>
      <c r="F47" s="89">
        <v>3075000.0</v>
      </c>
      <c r="H47" s="43" t="s">
        <v>311</v>
      </c>
      <c r="I47" s="43"/>
    </row>
    <row r="48" hidden="1">
      <c r="A48" s="43" t="s">
        <v>180</v>
      </c>
      <c r="B48" s="43" t="s">
        <v>1127</v>
      </c>
      <c r="C48" s="51" t="s">
        <v>1259</v>
      </c>
      <c r="D48" s="43">
        <v>2025.0</v>
      </c>
      <c r="E48" s="43" t="s">
        <v>1126</v>
      </c>
      <c r="F48" s="89">
        <v>3075000.0</v>
      </c>
      <c r="H48" s="43" t="s">
        <v>311</v>
      </c>
      <c r="I48" s="43"/>
    </row>
    <row r="49" hidden="1">
      <c r="A49" s="43" t="s">
        <v>119</v>
      </c>
      <c r="B49" s="43" t="s">
        <v>1127</v>
      </c>
      <c r="C49" s="51" t="s">
        <v>1248</v>
      </c>
      <c r="D49" s="43">
        <v>2025.0</v>
      </c>
      <c r="E49" s="43" t="s">
        <v>1126</v>
      </c>
      <c r="F49" s="89">
        <v>3718825.0</v>
      </c>
      <c r="H49" s="43" t="s">
        <v>311</v>
      </c>
      <c r="I49" s="89"/>
      <c r="J49" s="89"/>
      <c r="K49" s="89"/>
      <c r="L49" s="89"/>
    </row>
    <row r="50" hidden="1">
      <c r="A50" s="43" t="s">
        <v>119</v>
      </c>
      <c r="B50" s="43" t="s">
        <v>1127</v>
      </c>
      <c r="C50" s="51" t="s">
        <v>1249</v>
      </c>
      <c r="D50" s="43">
        <v>2025.0</v>
      </c>
      <c r="E50" s="43" t="s">
        <v>1126</v>
      </c>
      <c r="F50" s="89">
        <v>3718825.0</v>
      </c>
      <c r="H50" s="43" t="s">
        <v>311</v>
      </c>
      <c r="I50" s="89"/>
      <c r="J50" s="89"/>
      <c r="K50" s="89"/>
      <c r="L50" s="89"/>
    </row>
    <row r="51" hidden="1">
      <c r="A51" s="43" t="s">
        <v>119</v>
      </c>
      <c r="B51" s="43" t="s">
        <v>1127</v>
      </c>
      <c r="C51" s="51" t="s">
        <v>1250</v>
      </c>
      <c r="D51" s="43">
        <v>2025.0</v>
      </c>
      <c r="E51" s="43" t="s">
        <v>1126</v>
      </c>
      <c r="F51" s="89">
        <v>3718825.0</v>
      </c>
      <c r="H51" s="43" t="s">
        <v>311</v>
      </c>
    </row>
    <row r="52" hidden="1">
      <c r="A52" s="43" t="s">
        <v>119</v>
      </c>
      <c r="B52" s="43" t="s">
        <v>1127</v>
      </c>
      <c r="C52" s="51" t="s">
        <v>1251</v>
      </c>
      <c r="D52" s="43">
        <v>2025.0</v>
      </c>
      <c r="E52" s="43" t="s">
        <v>1126</v>
      </c>
      <c r="F52" s="89">
        <v>3718825.0</v>
      </c>
      <c r="H52" s="43" t="s">
        <v>311</v>
      </c>
      <c r="I52" s="43"/>
    </row>
    <row r="53" hidden="1">
      <c r="A53" s="43" t="s">
        <v>119</v>
      </c>
      <c r="B53" s="43" t="s">
        <v>1127</v>
      </c>
      <c r="C53" s="51" t="s">
        <v>1252</v>
      </c>
      <c r="D53" s="43">
        <v>2025.0</v>
      </c>
      <c r="E53" s="43" t="s">
        <v>1126</v>
      </c>
      <c r="F53" s="89">
        <v>3718825.0</v>
      </c>
      <c r="H53" s="43" t="s">
        <v>311</v>
      </c>
      <c r="I53" s="43"/>
    </row>
    <row r="54" hidden="1">
      <c r="A54" s="43" t="s">
        <v>119</v>
      </c>
      <c r="B54" s="43" t="s">
        <v>1127</v>
      </c>
      <c r="C54" s="51" t="s">
        <v>1253</v>
      </c>
      <c r="D54" s="43">
        <v>2025.0</v>
      </c>
      <c r="E54" s="43" t="s">
        <v>1126</v>
      </c>
      <c r="F54" s="89">
        <v>3718825.0</v>
      </c>
      <c r="H54" s="43" t="s">
        <v>311</v>
      </c>
      <c r="I54" s="43"/>
    </row>
    <row r="55" hidden="1">
      <c r="A55" s="43" t="s">
        <v>119</v>
      </c>
      <c r="B55" s="43" t="s">
        <v>1127</v>
      </c>
      <c r="C55" s="51" t="s">
        <v>1254</v>
      </c>
      <c r="D55" s="43">
        <v>2025.0</v>
      </c>
      <c r="E55" s="43" t="s">
        <v>1126</v>
      </c>
      <c r="F55" s="71">
        <v>4359856.9496</v>
      </c>
      <c r="H55" s="43" t="s">
        <v>311</v>
      </c>
      <c r="I55" s="43"/>
    </row>
    <row r="56">
      <c r="A56" s="43" t="s">
        <v>119</v>
      </c>
      <c r="B56" s="43" t="s">
        <v>1127</v>
      </c>
      <c r="C56" s="51" t="s">
        <v>1255</v>
      </c>
      <c r="D56" s="43">
        <v>2025.0</v>
      </c>
      <c r="E56" s="43" t="s">
        <v>1126</v>
      </c>
      <c r="F56" s="71">
        <v>4359856.9496</v>
      </c>
      <c r="H56" s="43" t="s">
        <v>311</v>
      </c>
      <c r="I56" s="43"/>
    </row>
    <row r="57" hidden="1">
      <c r="A57" s="43" t="s">
        <v>119</v>
      </c>
      <c r="B57" s="43" t="s">
        <v>1127</v>
      </c>
      <c r="C57" s="51" t="s">
        <v>1256</v>
      </c>
      <c r="D57" s="43">
        <v>2025.0</v>
      </c>
      <c r="E57" s="43" t="s">
        <v>1126</v>
      </c>
      <c r="F57" s="71">
        <v>4359856.9496</v>
      </c>
      <c r="H57" s="43"/>
      <c r="I57" s="43"/>
    </row>
    <row r="58" hidden="1">
      <c r="A58" s="43" t="s">
        <v>119</v>
      </c>
      <c r="B58" s="43" t="s">
        <v>1127</v>
      </c>
      <c r="C58" s="51" t="s">
        <v>1257</v>
      </c>
      <c r="D58" s="43">
        <v>2025.0</v>
      </c>
      <c r="E58" s="43" t="s">
        <v>1126</v>
      </c>
      <c r="F58" s="71">
        <v>4686846.220819999</v>
      </c>
      <c r="H58" s="43"/>
      <c r="I58" s="43"/>
    </row>
    <row r="59" hidden="1">
      <c r="A59" s="43" t="s">
        <v>119</v>
      </c>
      <c r="B59" s="43" t="s">
        <v>1127</v>
      </c>
      <c r="C59" s="51" t="s">
        <v>1258</v>
      </c>
      <c r="D59" s="43">
        <v>2025.0</v>
      </c>
      <c r="E59" s="43" t="s">
        <v>1126</v>
      </c>
      <c r="F59" s="71">
        <v>4686846.220819999</v>
      </c>
      <c r="H59" s="43"/>
      <c r="I59" s="43"/>
    </row>
    <row r="60" hidden="1">
      <c r="A60" s="43" t="s">
        <v>119</v>
      </c>
      <c r="B60" s="43" t="s">
        <v>1127</v>
      </c>
      <c r="C60" s="51" t="s">
        <v>1259</v>
      </c>
      <c r="D60" s="43">
        <v>2025.0</v>
      </c>
      <c r="E60" s="43" t="s">
        <v>1126</v>
      </c>
      <c r="F60" s="71">
        <v>4686846.220819999</v>
      </c>
      <c r="H60" s="43"/>
      <c r="I60" s="43"/>
    </row>
    <row r="61" hidden="1">
      <c r="A61" s="43" t="s">
        <v>193</v>
      </c>
      <c r="B61" s="43" t="s">
        <v>1127</v>
      </c>
      <c r="C61" s="51" t="s">
        <v>1248</v>
      </c>
      <c r="D61" s="43">
        <v>2025.0</v>
      </c>
      <c r="E61" s="43" t="s">
        <v>1126</v>
      </c>
      <c r="F61" s="89">
        <v>718100.0</v>
      </c>
      <c r="H61" s="43" t="s">
        <v>311</v>
      </c>
      <c r="I61" s="89"/>
      <c r="J61" s="89"/>
      <c r="K61" s="89"/>
      <c r="L61" s="89"/>
    </row>
    <row r="62" hidden="1">
      <c r="A62" s="43" t="s">
        <v>193</v>
      </c>
      <c r="B62" s="43" t="s">
        <v>1261</v>
      </c>
      <c r="C62" s="51" t="s">
        <v>1249</v>
      </c>
      <c r="D62" s="43">
        <v>2025.0</v>
      </c>
      <c r="E62" s="43" t="s">
        <v>1133</v>
      </c>
      <c r="F62" s="89">
        <v>144000.0</v>
      </c>
      <c r="H62" s="43" t="s">
        <v>311</v>
      </c>
      <c r="I62" s="89"/>
      <c r="J62" s="89"/>
      <c r="K62" s="89"/>
      <c r="L62" s="89"/>
    </row>
    <row r="63" hidden="1">
      <c r="A63" s="43" t="s">
        <v>193</v>
      </c>
      <c r="B63" s="43" t="s">
        <v>1127</v>
      </c>
      <c r="C63" s="51" t="s">
        <v>1250</v>
      </c>
      <c r="D63" s="43">
        <v>2025.0</v>
      </c>
      <c r="E63" s="43" t="s">
        <v>1126</v>
      </c>
      <c r="F63" s="89">
        <v>718000.0</v>
      </c>
      <c r="H63" s="43" t="s">
        <v>311</v>
      </c>
      <c r="I63" s="89"/>
      <c r="J63" s="89"/>
      <c r="K63" s="89"/>
      <c r="L63" s="89"/>
    </row>
    <row r="64" hidden="1">
      <c r="A64" s="43" t="s">
        <v>193</v>
      </c>
      <c r="B64" s="43" t="s">
        <v>1127</v>
      </c>
      <c r="C64" s="51" t="s">
        <v>1251</v>
      </c>
      <c r="D64" s="43">
        <v>2025.0</v>
      </c>
      <c r="E64" s="43" t="s">
        <v>1126</v>
      </c>
      <c r="F64" s="89">
        <v>771250.0</v>
      </c>
      <c r="H64" s="43" t="s">
        <v>311</v>
      </c>
      <c r="I64" s="89"/>
      <c r="J64" s="89"/>
      <c r="K64" s="89"/>
      <c r="L64" s="89"/>
    </row>
    <row r="65" hidden="1">
      <c r="A65" s="43" t="s">
        <v>193</v>
      </c>
      <c r="B65" s="43" t="s">
        <v>1127</v>
      </c>
      <c r="C65" s="51" t="s">
        <v>1252</v>
      </c>
      <c r="D65" s="43">
        <v>2025.0</v>
      </c>
      <c r="E65" s="43" t="s">
        <v>1126</v>
      </c>
      <c r="F65" s="89">
        <v>792000.0</v>
      </c>
      <c r="H65" s="43" t="s">
        <v>311</v>
      </c>
      <c r="I65" s="43"/>
    </row>
    <row r="66" hidden="1">
      <c r="A66" s="43" t="s">
        <v>193</v>
      </c>
      <c r="B66" s="43" t="s">
        <v>1261</v>
      </c>
      <c r="C66" s="51" t="s">
        <v>1252</v>
      </c>
      <c r="D66" s="43">
        <v>2025.0</v>
      </c>
      <c r="E66" s="43" t="s">
        <v>1133</v>
      </c>
      <c r="F66" s="89">
        <v>144000.0</v>
      </c>
      <c r="H66" s="43"/>
      <c r="I66" s="43"/>
    </row>
    <row r="67" hidden="1">
      <c r="A67" s="43" t="s">
        <v>193</v>
      </c>
      <c r="B67" s="43" t="s">
        <v>1127</v>
      </c>
      <c r="C67" s="51" t="s">
        <v>1253</v>
      </c>
      <c r="D67" s="43">
        <v>2025.0</v>
      </c>
      <c r="E67" s="43" t="s">
        <v>1126</v>
      </c>
      <c r="F67" s="89">
        <v>771250.0</v>
      </c>
      <c r="H67" s="43" t="s">
        <v>311</v>
      </c>
      <c r="I67" s="43"/>
    </row>
    <row r="68" hidden="1">
      <c r="A68" s="43" t="s">
        <v>193</v>
      </c>
      <c r="B68" s="43" t="s">
        <v>1127</v>
      </c>
      <c r="C68" s="51" t="s">
        <v>1254</v>
      </c>
      <c r="D68" s="43">
        <v>2025.0</v>
      </c>
      <c r="E68" s="43" t="s">
        <v>1126</v>
      </c>
      <c r="F68" s="89">
        <v>1071885.0</v>
      </c>
      <c r="H68" s="43" t="s">
        <v>311</v>
      </c>
      <c r="I68" s="43"/>
    </row>
    <row r="69" hidden="1">
      <c r="A69" s="43" t="s">
        <v>193</v>
      </c>
      <c r="B69" s="43" t="s">
        <v>1237</v>
      </c>
      <c r="C69" s="51" t="s">
        <v>1254</v>
      </c>
      <c r="D69" s="43">
        <v>2025.0</v>
      </c>
      <c r="E69" s="43" t="s">
        <v>1133</v>
      </c>
      <c r="F69" s="89">
        <v>370000.0</v>
      </c>
      <c r="H69" s="43" t="s">
        <v>311</v>
      </c>
      <c r="I69" s="43"/>
    </row>
    <row r="70">
      <c r="A70" s="43" t="s">
        <v>193</v>
      </c>
      <c r="B70" s="43" t="s">
        <v>1127</v>
      </c>
      <c r="C70" s="51" t="s">
        <v>1255</v>
      </c>
      <c r="D70" s="43">
        <v>2025.0</v>
      </c>
      <c r="E70" s="43" t="s">
        <v>1126</v>
      </c>
      <c r="F70" s="89">
        <v>1071885.0</v>
      </c>
      <c r="H70" s="43"/>
      <c r="I70" s="43"/>
    </row>
    <row r="71" hidden="1">
      <c r="A71" s="43" t="s">
        <v>193</v>
      </c>
      <c r="B71" s="43" t="s">
        <v>1127</v>
      </c>
      <c r="C71" s="51" t="s">
        <v>1256</v>
      </c>
      <c r="D71" s="43">
        <v>2025.0</v>
      </c>
      <c r="E71" s="43" t="s">
        <v>1126</v>
      </c>
      <c r="F71" s="89">
        <v>1071885.0</v>
      </c>
      <c r="H71" s="43" t="s">
        <v>311</v>
      </c>
      <c r="I71" s="43"/>
    </row>
    <row r="72" hidden="1">
      <c r="A72" s="43" t="s">
        <v>193</v>
      </c>
      <c r="B72" s="43" t="s">
        <v>1127</v>
      </c>
      <c r="C72" s="51" t="s">
        <v>1257</v>
      </c>
      <c r="D72" s="43">
        <v>2025.0</v>
      </c>
      <c r="E72" s="43" t="s">
        <v>1126</v>
      </c>
      <c r="F72" s="89">
        <v>1126337.0</v>
      </c>
      <c r="H72" s="43"/>
      <c r="I72" s="43"/>
    </row>
    <row r="73" hidden="1">
      <c r="A73" s="43" t="s">
        <v>193</v>
      </c>
      <c r="B73" s="43" t="s">
        <v>1127</v>
      </c>
      <c r="C73" s="51" t="s">
        <v>1258</v>
      </c>
      <c r="D73" s="43">
        <v>2025.0</v>
      </c>
      <c r="E73" s="43" t="s">
        <v>1126</v>
      </c>
      <c r="F73" s="89">
        <v>1126337.0</v>
      </c>
      <c r="H73" s="43" t="s">
        <v>311</v>
      </c>
      <c r="I73" s="43"/>
    </row>
    <row r="74" hidden="1">
      <c r="A74" s="43" t="s">
        <v>193</v>
      </c>
      <c r="B74" s="43" t="s">
        <v>1127</v>
      </c>
      <c r="C74" s="51" t="s">
        <v>1259</v>
      </c>
      <c r="D74" s="43">
        <v>2025.0</v>
      </c>
      <c r="E74" s="43" t="s">
        <v>1126</v>
      </c>
      <c r="F74" s="89">
        <v>1126337.0</v>
      </c>
      <c r="H74" s="43" t="s">
        <v>311</v>
      </c>
      <c r="I74" s="43"/>
    </row>
    <row r="75" hidden="1">
      <c r="A75" s="43" t="s">
        <v>206</v>
      </c>
      <c r="B75" s="43" t="s">
        <v>1238</v>
      </c>
      <c r="C75" s="51" t="s">
        <v>1253</v>
      </c>
      <c r="D75" s="43">
        <v>2025.0</v>
      </c>
      <c r="E75" s="43" t="s">
        <v>1133</v>
      </c>
      <c r="F75" s="89">
        <v>1675000.0</v>
      </c>
      <c r="H75" s="43" t="s">
        <v>311</v>
      </c>
      <c r="I75" s="43"/>
    </row>
    <row r="76" hidden="1">
      <c r="A76" s="43" t="s">
        <v>211</v>
      </c>
      <c r="B76" s="43" t="s">
        <v>1239</v>
      </c>
      <c r="C76" s="51" t="s">
        <v>1253</v>
      </c>
      <c r="D76" s="43">
        <v>2025.0</v>
      </c>
      <c r="E76" s="43" t="s">
        <v>1133</v>
      </c>
      <c r="F76" s="89">
        <v>4250500.0</v>
      </c>
      <c r="H76" s="43" t="s">
        <v>311</v>
      </c>
      <c r="I76" s="43"/>
    </row>
    <row r="77" hidden="1">
      <c r="A77" s="43" t="s">
        <v>209</v>
      </c>
      <c r="B77" s="43" t="s">
        <v>1175</v>
      </c>
      <c r="C77" s="51" t="s">
        <v>1252</v>
      </c>
      <c r="D77" s="43">
        <v>2025.0</v>
      </c>
      <c r="E77" s="43" t="s">
        <v>1133</v>
      </c>
      <c r="F77" s="89">
        <v>2000000.0</v>
      </c>
      <c r="H77" s="43" t="s">
        <v>311</v>
      </c>
      <c r="I77" s="43"/>
    </row>
    <row r="78" hidden="1">
      <c r="A78" s="43" t="s">
        <v>132</v>
      </c>
      <c r="B78" s="43" t="s">
        <v>1189</v>
      </c>
      <c r="C78" s="51" t="s">
        <v>1253</v>
      </c>
      <c r="D78" s="43">
        <v>2025.0</v>
      </c>
      <c r="E78" s="43" t="s">
        <v>1133</v>
      </c>
      <c r="F78" s="89">
        <v>870000.0</v>
      </c>
      <c r="H78" s="43" t="s">
        <v>311</v>
      </c>
      <c r="I78" s="43"/>
    </row>
    <row r="79" hidden="1">
      <c r="A79" s="43" t="s">
        <v>132</v>
      </c>
      <c r="B79" s="43" t="s">
        <v>1204</v>
      </c>
      <c r="C79" s="51" t="s">
        <v>1254</v>
      </c>
      <c r="D79" s="43">
        <v>2025.0</v>
      </c>
      <c r="E79" s="43" t="s">
        <v>1133</v>
      </c>
      <c r="F79" s="89">
        <v>1688220.0</v>
      </c>
      <c r="H79" s="43" t="s">
        <v>311</v>
      </c>
      <c r="I79" s="43"/>
    </row>
    <row r="80" hidden="1">
      <c r="A80" s="43" t="s">
        <v>176</v>
      </c>
      <c r="C80" s="51" t="s">
        <v>1248</v>
      </c>
      <c r="D80" s="43">
        <v>2025.0</v>
      </c>
      <c r="E80" s="43" t="s">
        <v>1126</v>
      </c>
      <c r="F80" s="89">
        <v>7218136.43</v>
      </c>
      <c r="H80" s="43" t="s">
        <v>311</v>
      </c>
      <c r="I80" s="43"/>
    </row>
    <row r="81" hidden="1">
      <c r="A81" s="43" t="s">
        <v>138</v>
      </c>
      <c r="B81" s="43" t="s">
        <v>1240</v>
      </c>
      <c r="C81" s="51" t="s">
        <v>1256</v>
      </c>
      <c r="D81" s="43">
        <v>2025.0</v>
      </c>
      <c r="E81" s="43" t="s">
        <v>1133</v>
      </c>
      <c r="G81" s="89">
        <v>5500.0</v>
      </c>
      <c r="H81" s="43" t="s">
        <v>305</v>
      </c>
      <c r="I81" s="43"/>
    </row>
    <row r="82" hidden="1">
      <c r="A82" s="102"/>
      <c r="C82" s="51"/>
      <c r="D82" s="102"/>
      <c r="E82" s="102"/>
      <c r="H82" s="43" t="s">
        <v>311</v>
      </c>
      <c r="I82" s="43"/>
    </row>
    <row r="83" hidden="1">
      <c r="A83" s="102"/>
      <c r="C83" s="51"/>
      <c r="D83" s="102"/>
      <c r="E83" s="102"/>
      <c r="H83" s="43" t="s">
        <v>311</v>
      </c>
      <c r="I83" s="114"/>
    </row>
    <row r="84" hidden="1">
      <c r="A84" s="102"/>
      <c r="C84" s="51"/>
      <c r="D84" s="102"/>
      <c r="E84" s="102"/>
      <c r="H84" s="43" t="s">
        <v>311</v>
      </c>
      <c r="I84" s="114"/>
    </row>
    <row r="85" hidden="1">
      <c r="A85" s="102"/>
      <c r="C85" s="51"/>
      <c r="D85" s="102"/>
      <c r="E85" s="102"/>
      <c r="H85" s="43" t="s">
        <v>311</v>
      </c>
      <c r="I85" s="114"/>
    </row>
    <row r="86" hidden="1">
      <c r="A86" s="102"/>
      <c r="C86" s="51"/>
      <c r="D86" s="102"/>
      <c r="E86" s="102"/>
      <c r="H86" s="43" t="s">
        <v>311</v>
      </c>
      <c r="I86" s="107"/>
    </row>
    <row r="87" hidden="1">
      <c r="A87" s="102"/>
      <c r="C87" s="51"/>
      <c r="D87" s="102"/>
      <c r="E87" s="102"/>
      <c r="H87" s="43" t="s">
        <v>311</v>
      </c>
      <c r="I87" s="114"/>
    </row>
    <row r="88" hidden="1">
      <c r="A88" s="102"/>
      <c r="C88" s="51"/>
      <c r="D88" s="102"/>
      <c r="E88" s="102"/>
      <c r="H88" s="43" t="s">
        <v>311</v>
      </c>
      <c r="I88" s="114"/>
    </row>
    <row r="89" hidden="1">
      <c r="A89" s="102"/>
      <c r="C89" s="51"/>
      <c r="D89" s="102"/>
      <c r="E89" s="102"/>
      <c r="H89" s="43" t="s">
        <v>311</v>
      </c>
      <c r="I89" s="107"/>
    </row>
    <row r="90" hidden="1">
      <c r="A90" s="102"/>
      <c r="C90" s="51"/>
      <c r="D90" s="102"/>
      <c r="E90" s="102"/>
      <c r="H90" s="43" t="s">
        <v>311</v>
      </c>
      <c r="I90" s="107"/>
    </row>
    <row r="91" hidden="1">
      <c r="A91" s="102"/>
      <c r="C91" s="51"/>
      <c r="D91" s="102"/>
      <c r="E91" s="102"/>
      <c r="H91" s="43" t="s">
        <v>311</v>
      </c>
      <c r="I91" s="107"/>
    </row>
    <row r="92" hidden="1">
      <c r="A92" s="102"/>
      <c r="C92" s="51"/>
      <c r="D92" s="102"/>
      <c r="E92" s="102"/>
      <c r="H92" s="102"/>
      <c r="I92" s="107"/>
    </row>
    <row r="93" hidden="1">
      <c r="A93" s="102"/>
      <c r="C93" s="51"/>
      <c r="D93" s="102"/>
      <c r="E93" s="102"/>
      <c r="H93" s="102"/>
    </row>
    <row r="94" hidden="1">
      <c r="A94" s="102"/>
      <c r="C94" s="51"/>
      <c r="D94" s="102"/>
      <c r="E94" s="102"/>
      <c r="H94" s="102"/>
    </row>
    <row r="95" hidden="1">
      <c r="A95" s="102"/>
      <c r="C95" s="51"/>
      <c r="D95" s="102"/>
      <c r="E95" s="102"/>
      <c r="H95" s="102"/>
    </row>
    <row r="96" hidden="1">
      <c r="A96" s="102"/>
      <c r="C96" s="51"/>
      <c r="D96" s="102"/>
      <c r="E96" s="102"/>
      <c r="H96" s="102"/>
      <c r="I96" s="43"/>
    </row>
    <row r="97" hidden="1">
      <c r="A97" s="102"/>
      <c r="C97" s="51"/>
      <c r="D97" s="102"/>
      <c r="E97" s="102"/>
      <c r="H97" s="102"/>
      <c r="I97" s="43"/>
    </row>
    <row r="98" hidden="1">
      <c r="A98" s="102"/>
      <c r="C98" s="51"/>
      <c r="D98" s="102"/>
      <c r="E98" s="102"/>
      <c r="H98" s="102"/>
      <c r="I98" s="43"/>
    </row>
    <row r="99" hidden="1">
      <c r="A99" s="102"/>
      <c r="C99" s="51"/>
      <c r="D99" s="102"/>
      <c r="E99" s="102"/>
      <c r="H99" s="102"/>
      <c r="I99" s="43"/>
    </row>
    <row r="100" hidden="1">
      <c r="A100" s="102"/>
      <c r="C100" s="51"/>
      <c r="D100" s="102"/>
      <c r="E100" s="102"/>
      <c r="H100" s="102"/>
      <c r="I100" s="43"/>
    </row>
    <row r="101" hidden="1">
      <c r="A101" s="102"/>
      <c r="C101" s="51"/>
      <c r="D101" s="102"/>
      <c r="E101" s="102"/>
      <c r="H101" s="102"/>
      <c r="I101" s="43"/>
    </row>
    <row r="102" hidden="1">
      <c r="A102" s="102"/>
      <c r="C102" s="51"/>
      <c r="D102" s="102"/>
      <c r="E102" s="102"/>
      <c r="H102" s="102"/>
      <c r="I102" s="43"/>
    </row>
    <row r="103" hidden="1">
      <c r="A103" s="102"/>
      <c r="C103" s="51"/>
      <c r="D103" s="102"/>
      <c r="E103" s="102"/>
      <c r="H103" s="102"/>
      <c r="I103" s="43"/>
    </row>
    <row r="104" hidden="1">
      <c r="A104" s="102"/>
      <c r="C104" s="51"/>
      <c r="D104" s="102"/>
      <c r="E104" s="102"/>
      <c r="H104" s="102"/>
      <c r="I104" s="43"/>
    </row>
    <row r="105" hidden="1">
      <c r="A105" s="102"/>
      <c r="C105" s="51"/>
      <c r="D105" s="102"/>
      <c r="E105" s="102"/>
      <c r="H105" s="102"/>
      <c r="I105" s="43"/>
    </row>
    <row r="106" hidden="1">
      <c r="A106" s="102"/>
      <c r="C106" s="51"/>
      <c r="D106" s="102"/>
      <c r="E106" s="102"/>
      <c r="H106" s="102"/>
      <c r="I106" s="43"/>
    </row>
    <row r="107" hidden="1">
      <c r="A107" s="102"/>
      <c r="C107" s="51"/>
      <c r="D107" s="102"/>
      <c r="E107" s="102"/>
      <c r="H107" s="102"/>
      <c r="I107" s="43"/>
    </row>
    <row r="108" hidden="1">
      <c r="A108" s="102"/>
      <c r="C108" s="51"/>
      <c r="D108" s="102"/>
      <c r="E108" s="102"/>
      <c r="H108" s="102"/>
      <c r="I108" s="43"/>
    </row>
    <row r="109" hidden="1">
      <c r="A109" s="102"/>
      <c r="C109" s="51"/>
      <c r="D109" s="102"/>
      <c r="E109" s="102"/>
      <c r="H109" s="102"/>
      <c r="I109" s="43"/>
    </row>
    <row r="110" hidden="1">
      <c r="A110" s="102"/>
      <c r="C110" s="51"/>
      <c r="D110" s="102"/>
      <c r="E110" s="102"/>
      <c r="H110" s="102"/>
      <c r="I110" s="43"/>
    </row>
    <row r="111" hidden="1">
      <c r="A111" s="102"/>
      <c r="C111" s="51"/>
      <c r="D111" s="102"/>
      <c r="E111" s="102"/>
      <c r="H111" s="102"/>
      <c r="I111" s="43"/>
    </row>
    <row r="112" hidden="1">
      <c r="A112" s="102"/>
      <c r="C112" s="51"/>
      <c r="D112" s="102"/>
      <c r="E112" s="102"/>
      <c r="H112" s="102"/>
      <c r="I112" s="43"/>
    </row>
    <row r="113" hidden="1">
      <c r="A113" s="102"/>
      <c r="C113" s="51"/>
      <c r="D113" s="102"/>
      <c r="E113" s="102"/>
      <c r="H113" s="102"/>
      <c r="I113" s="43"/>
    </row>
    <row r="114" hidden="1">
      <c r="A114" s="102"/>
      <c r="C114" s="51"/>
      <c r="D114" s="102"/>
      <c r="E114" s="102"/>
      <c r="H114" s="102"/>
      <c r="I114" s="43"/>
    </row>
    <row r="115" hidden="1">
      <c r="A115" s="102"/>
      <c r="C115" s="51"/>
      <c r="D115" s="102"/>
      <c r="E115" s="102"/>
      <c r="H115" s="102"/>
      <c r="I115" s="43"/>
    </row>
    <row r="116" hidden="1">
      <c r="A116" s="102"/>
      <c r="C116" s="51"/>
      <c r="D116" s="102"/>
      <c r="E116" s="102"/>
      <c r="H116" s="102"/>
      <c r="I116" s="43"/>
    </row>
    <row r="117" hidden="1">
      <c r="A117" s="102"/>
      <c r="C117" s="51"/>
      <c r="D117" s="102"/>
      <c r="E117" s="102"/>
      <c r="H117" s="102"/>
      <c r="I117" s="43"/>
    </row>
    <row r="118" hidden="1">
      <c r="A118" s="102"/>
      <c r="C118" s="51"/>
      <c r="D118" s="102"/>
      <c r="E118" s="102"/>
      <c r="H118" s="102"/>
      <c r="I118" s="43"/>
    </row>
    <row r="119" hidden="1">
      <c r="A119" s="102"/>
      <c r="C119" s="51"/>
      <c r="D119" s="102"/>
      <c r="E119" s="102"/>
      <c r="H119" s="102"/>
      <c r="I119" s="43"/>
    </row>
    <row r="120" hidden="1">
      <c r="A120" s="102"/>
      <c r="C120" s="51"/>
      <c r="D120" s="102"/>
      <c r="E120" s="102"/>
      <c r="H120" s="102"/>
      <c r="I120" s="43"/>
    </row>
    <row r="121" hidden="1">
      <c r="A121" s="102"/>
      <c r="C121" s="51"/>
      <c r="D121" s="102"/>
      <c r="E121" s="102"/>
      <c r="H121" s="102"/>
      <c r="I121" s="43"/>
    </row>
    <row r="122" hidden="1">
      <c r="A122" s="102"/>
      <c r="C122" s="51"/>
      <c r="D122" s="102"/>
      <c r="E122" s="102"/>
      <c r="H122" s="102"/>
      <c r="I122" s="43"/>
    </row>
    <row r="123" hidden="1">
      <c r="A123" s="102"/>
      <c r="C123" s="51"/>
      <c r="D123" s="102"/>
      <c r="E123" s="102"/>
      <c r="H123" s="102"/>
      <c r="I123" s="43"/>
    </row>
    <row r="124" hidden="1">
      <c r="A124" s="102"/>
      <c r="C124" s="51"/>
      <c r="D124" s="102"/>
      <c r="E124" s="102"/>
      <c r="H124" s="102"/>
      <c r="I124" s="43"/>
    </row>
    <row r="125" hidden="1">
      <c r="A125" s="102"/>
      <c r="C125" s="51"/>
      <c r="D125" s="102"/>
      <c r="E125" s="102"/>
      <c r="H125" s="102"/>
      <c r="I125" s="43"/>
    </row>
    <row r="126" hidden="1">
      <c r="A126" s="102"/>
      <c r="C126" s="51"/>
      <c r="D126" s="102"/>
      <c r="E126" s="102"/>
      <c r="H126" s="102"/>
      <c r="I126" s="43"/>
    </row>
    <row r="127" hidden="1">
      <c r="A127" s="102"/>
      <c r="C127" s="51"/>
      <c r="D127" s="102"/>
      <c r="E127" s="102"/>
      <c r="H127" s="102"/>
      <c r="I127" s="43"/>
    </row>
    <row r="128" hidden="1">
      <c r="A128" s="102"/>
      <c r="C128" s="51"/>
      <c r="D128" s="102"/>
      <c r="E128" s="102"/>
      <c r="H128" s="102"/>
      <c r="I128" s="43"/>
    </row>
    <row r="129" hidden="1">
      <c r="A129" s="102"/>
      <c r="C129" s="51"/>
      <c r="D129" s="102"/>
      <c r="E129" s="102"/>
      <c r="H129" s="102"/>
      <c r="I129" s="43"/>
    </row>
    <row r="130" hidden="1">
      <c r="A130" s="102"/>
      <c r="C130" s="51"/>
      <c r="D130" s="102"/>
      <c r="E130" s="102"/>
      <c r="H130" s="102"/>
      <c r="I130" s="43"/>
    </row>
    <row r="131" hidden="1">
      <c r="A131" s="102"/>
      <c r="C131" s="51"/>
      <c r="D131" s="102"/>
      <c r="E131" s="102"/>
      <c r="H131" s="102"/>
      <c r="I131" s="43"/>
    </row>
    <row r="132" hidden="1">
      <c r="A132" s="102"/>
      <c r="C132" s="51"/>
      <c r="D132" s="102"/>
      <c r="E132" s="102"/>
      <c r="H132" s="102"/>
      <c r="I132" s="43"/>
    </row>
    <row r="133" hidden="1">
      <c r="A133" s="102"/>
      <c r="C133" s="51"/>
      <c r="D133" s="102"/>
      <c r="E133" s="102"/>
      <c r="H133" s="102"/>
      <c r="I133" s="43"/>
    </row>
    <row r="134" hidden="1">
      <c r="A134" s="102"/>
      <c r="C134" s="51"/>
      <c r="D134" s="102"/>
      <c r="E134" s="102"/>
      <c r="H134" s="102"/>
      <c r="I134" s="43"/>
    </row>
    <row r="135" hidden="1">
      <c r="A135" s="102"/>
      <c r="C135" s="51"/>
      <c r="D135" s="102"/>
      <c r="E135" s="102"/>
      <c r="H135" s="102"/>
      <c r="I135" s="43"/>
    </row>
    <row r="136" hidden="1">
      <c r="A136" s="102"/>
      <c r="C136" s="51"/>
      <c r="D136" s="102"/>
      <c r="E136" s="102"/>
      <c r="H136" s="102"/>
      <c r="I136" s="43"/>
    </row>
    <row r="137" hidden="1">
      <c r="A137" s="102"/>
      <c r="C137" s="51"/>
      <c r="D137" s="102"/>
      <c r="E137" s="102"/>
      <c r="H137" s="102"/>
      <c r="I137" s="43"/>
    </row>
    <row r="138" hidden="1">
      <c r="A138" s="102"/>
      <c r="C138" s="51"/>
      <c r="D138" s="102"/>
      <c r="E138" s="102"/>
      <c r="H138" s="102"/>
      <c r="I138" s="43"/>
    </row>
    <row r="139" hidden="1">
      <c r="A139" s="102"/>
      <c r="C139" s="51"/>
      <c r="D139" s="102"/>
      <c r="E139" s="102"/>
      <c r="H139" s="102"/>
      <c r="I139" s="43"/>
    </row>
    <row r="140" hidden="1">
      <c r="A140" s="102"/>
      <c r="C140" s="51"/>
      <c r="D140" s="102"/>
      <c r="E140" s="102"/>
      <c r="H140" s="102"/>
      <c r="I140" s="43"/>
    </row>
    <row r="141" hidden="1">
      <c r="A141" s="102"/>
      <c r="C141" s="51"/>
      <c r="D141" s="102"/>
      <c r="E141" s="102"/>
      <c r="H141" s="102"/>
      <c r="I141" s="43"/>
    </row>
    <row r="142" hidden="1">
      <c r="A142" s="102"/>
      <c r="C142" s="51"/>
      <c r="D142" s="102"/>
      <c r="E142" s="102"/>
      <c r="H142" s="102"/>
      <c r="I142" s="43"/>
    </row>
    <row r="143" hidden="1">
      <c r="A143" s="102"/>
      <c r="C143" s="51"/>
      <c r="D143" s="102"/>
      <c r="E143" s="102"/>
      <c r="H143" s="102"/>
      <c r="I143" s="43"/>
    </row>
    <row r="144" hidden="1">
      <c r="A144" s="102"/>
      <c r="C144" s="51"/>
      <c r="D144" s="102"/>
      <c r="E144" s="102"/>
      <c r="H144" s="102"/>
      <c r="I144" s="43"/>
    </row>
    <row r="145" hidden="1">
      <c r="A145" s="102"/>
      <c r="C145" s="51"/>
      <c r="D145" s="102"/>
      <c r="E145" s="102"/>
      <c r="H145" s="102"/>
      <c r="I145" s="43"/>
    </row>
    <row r="146" hidden="1">
      <c r="A146" s="102"/>
      <c r="C146" s="51"/>
      <c r="D146" s="102"/>
      <c r="E146" s="102"/>
      <c r="H146" s="102"/>
      <c r="I146" s="43"/>
    </row>
    <row r="147" hidden="1">
      <c r="A147" s="102"/>
      <c r="C147" s="51"/>
      <c r="D147" s="102"/>
      <c r="E147" s="102"/>
      <c r="H147" s="102"/>
      <c r="I147" s="43"/>
    </row>
    <row r="148" hidden="1">
      <c r="A148" s="102"/>
      <c r="C148" s="51"/>
      <c r="D148" s="102"/>
      <c r="E148" s="102"/>
      <c r="H148" s="102"/>
      <c r="I148" s="43"/>
    </row>
    <row r="149" hidden="1">
      <c r="A149" s="102"/>
      <c r="C149" s="51"/>
      <c r="D149" s="102"/>
      <c r="E149" s="102"/>
      <c r="H149" s="102"/>
      <c r="I149" s="43"/>
    </row>
    <row r="150" hidden="1">
      <c r="A150" s="102"/>
      <c r="C150" s="51"/>
      <c r="D150" s="102"/>
      <c r="E150" s="102"/>
      <c r="H150" s="102"/>
      <c r="I150" s="43"/>
    </row>
    <row r="151" hidden="1">
      <c r="A151" s="102"/>
      <c r="C151" s="51"/>
      <c r="D151" s="102"/>
      <c r="E151" s="102"/>
      <c r="H151" s="102"/>
      <c r="I151" s="43"/>
    </row>
    <row r="152" hidden="1">
      <c r="A152" s="102"/>
      <c r="C152" s="51"/>
      <c r="D152" s="102"/>
      <c r="E152" s="102"/>
      <c r="H152" s="102"/>
      <c r="I152" s="43"/>
    </row>
    <row r="153" hidden="1">
      <c r="A153" s="102"/>
      <c r="C153" s="51"/>
      <c r="D153" s="102"/>
      <c r="E153" s="102"/>
      <c r="H153" s="102"/>
      <c r="I153" s="43"/>
    </row>
    <row r="154" hidden="1">
      <c r="A154" s="102"/>
      <c r="C154" s="51"/>
      <c r="D154" s="102"/>
      <c r="E154" s="102"/>
      <c r="H154" s="102"/>
      <c r="I154" s="43"/>
    </row>
    <row r="155" hidden="1">
      <c r="A155" s="102"/>
      <c r="C155" s="51"/>
      <c r="D155" s="102"/>
      <c r="E155" s="102"/>
      <c r="H155" s="102"/>
      <c r="I155" s="43"/>
    </row>
    <row r="156" hidden="1">
      <c r="A156" s="102"/>
      <c r="C156" s="51"/>
      <c r="D156" s="102"/>
      <c r="E156" s="102"/>
      <c r="H156" s="102"/>
      <c r="I156" s="43"/>
    </row>
    <row r="157" hidden="1">
      <c r="A157" s="102"/>
      <c r="C157" s="51"/>
      <c r="D157" s="102"/>
      <c r="E157" s="102"/>
      <c r="H157" s="102"/>
      <c r="I157" s="43"/>
    </row>
    <row r="158" hidden="1">
      <c r="A158" s="102"/>
      <c r="C158" s="51"/>
      <c r="D158" s="102"/>
      <c r="E158" s="102"/>
      <c r="H158" s="102"/>
      <c r="I158" s="43"/>
    </row>
    <row r="159" hidden="1">
      <c r="A159" s="102"/>
      <c r="C159" s="51"/>
      <c r="D159" s="102"/>
      <c r="E159" s="102"/>
      <c r="H159" s="102"/>
      <c r="I159" s="43"/>
    </row>
    <row r="160" hidden="1">
      <c r="A160" s="102"/>
      <c r="C160" s="51"/>
      <c r="D160" s="102"/>
      <c r="E160" s="102"/>
      <c r="H160" s="102"/>
      <c r="I160" s="43"/>
    </row>
    <row r="161" hidden="1">
      <c r="A161" s="102"/>
      <c r="C161" s="51"/>
      <c r="D161" s="102"/>
      <c r="E161" s="102"/>
      <c r="H161" s="102"/>
      <c r="I161" s="43"/>
    </row>
    <row r="162" hidden="1">
      <c r="A162" s="102"/>
      <c r="C162" s="51"/>
      <c r="D162" s="102"/>
      <c r="E162" s="102"/>
      <c r="H162" s="102"/>
      <c r="I162" s="43"/>
    </row>
    <row r="163" hidden="1">
      <c r="A163" s="102"/>
      <c r="C163" s="51"/>
      <c r="D163" s="102"/>
      <c r="E163" s="102"/>
      <c r="H163" s="102"/>
      <c r="I163" s="43"/>
    </row>
    <row r="164" hidden="1">
      <c r="A164" s="102"/>
      <c r="C164" s="51"/>
      <c r="D164" s="102"/>
      <c r="E164" s="102"/>
      <c r="H164" s="102"/>
      <c r="I164" s="43"/>
    </row>
    <row r="165" hidden="1">
      <c r="A165" s="102"/>
      <c r="C165" s="51"/>
      <c r="D165" s="102"/>
      <c r="E165" s="102"/>
      <c r="H165" s="102"/>
      <c r="I165" s="43"/>
    </row>
    <row r="166" hidden="1">
      <c r="A166" s="102"/>
      <c r="C166" s="51"/>
      <c r="D166" s="102"/>
      <c r="E166" s="102"/>
      <c r="H166" s="102"/>
      <c r="I166" s="43"/>
    </row>
    <row r="167" hidden="1">
      <c r="A167" s="102"/>
      <c r="C167" s="51"/>
      <c r="D167" s="102"/>
      <c r="E167" s="102"/>
      <c r="H167" s="102"/>
      <c r="I167" s="43"/>
    </row>
    <row r="168" hidden="1">
      <c r="A168" s="102"/>
      <c r="C168" s="51"/>
      <c r="D168" s="102"/>
      <c r="E168" s="102"/>
      <c r="H168" s="102"/>
      <c r="I168" s="43"/>
    </row>
    <row r="169" hidden="1">
      <c r="A169" s="102"/>
      <c r="C169" s="51"/>
      <c r="D169" s="102"/>
      <c r="E169" s="102"/>
      <c r="H169" s="102"/>
      <c r="I169" s="43"/>
    </row>
    <row r="170" hidden="1">
      <c r="A170" s="102"/>
      <c r="C170" s="51"/>
      <c r="D170" s="102"/>
      <c r="E170" s="102"/>
      <c r="H170" s="102"/>
      <c r="I170" s="43"/>
    </row>
    <row r="171" hidden="1">
      <c r="A171" s="102"/>
      <c r="C171" s="51"/>
      <c r="D171" s="102"/>
      <c r="E171" s="102"/>
      <c r="H171" s="102"/>
      <c r="I171" s="43"/>
    </row>
    <row r="172" hidden="1">
      <c r="A172" s="102"/>
      <c r="C172" s="51"/>
      <c r="D172" s="102"/>
      <c r="E172" s="102"/>
      <c r="H172" s="102"/>
      <c r="I172" s="43"/>
    </row>
    <row r="173" hidden="1">
      <c r="A173" s="102"/>
      <c r="C173" s="51"/>
      <c r="D173" s="102"/>
      <c r="E173" s="102"/>
      <c r="H173" s="102"/>
      <c r="I173" s="43"/>
    </row>
    <row r="174" hidden="1">
      <c r="A174" s="102"/>
      <c r="C174" s="51"/>
      <c r="D174" s="102"/>
      <c r="E174" s="102"/>
      <c r="H174" s="102"/>
      <c r="I174" s="43"/>
    </row>
    <row r="175" hidden="1">
      <c r="A175" s="102"/>
      <c r="C175" s="51"/>
      <c r="D175" s="102"/>
      <c r="E175" s="102"/>
      <c r="H175" s="102"/>
      <c r="I175" s="43"/>
    </row>
    <row r="176" hidden="1">
      <c r="A176" s="102"/>
      <c r="C176" s="51"/>
      <c r="D176" s="102"/>
      <c r="E176" s="102"/>
      <c r="H176" s="102"/>
      <c r="I176" s="43"/>
    </row>
    <row r="177" hidden="1">
      <c r="A177" s="102"/>
      <c r="C177" s="51"/>
      <c r="D177" s="102"/>
      <c r="E177" s="102"/>
      <c r="H177" s="102"/>
      <c r="I177" s="43"/>
    </row>
    <row r="178" hidden="1">
      <c r="A178" s="102"/>
      <c r="C178" s="51"/>
      <c r="D178" s="102"/>
      <c r="E178" s="102"/>
      <c r="H178" s="102"/>
      <c r="I178" s="43"/>
    </row>
    <row r="179" hidden="1">
      <c r="A179" s="102"/>
      <c r="C179" s="51"/>
      <c r="D179" s="102"/>
      <c r="E179" s="102"/>
      <c r="H179" s="102"/>
      <c r="I179" s="43"/>
    </row>
    <row r="180" hidden="1">
      <c r="A180" s="102"/>
      <c r="C180" s="51"/>
      <c r="D180" s="102"/>
      <c r="E180" s="102"/>
      <c r="H180" s="102"/>
      <c r="I180" s="43"/>
    </row>
    <row r="181" hidden="1">
      <c r="A181" s="102"/>
      <c r="C181" s="51"/>
      <c r="D181" s="102"/>
      <c r="E181" s="102"/>
      <c r="H181" s="102"/>
      <c r="I181" s="43"/>
    </row>
    <row r="182" hidden="1">
      <c r="A182" s="102"/>
      <c r="C182" s="51"/>
      <c r="D182" s="102"/>
      <c r="E182" s="102"/>
      <c r="H182" s="102"/>
      <c r="I182" s="43"/>
    </row>
    <row r="183" hidden="1">
      <c r="A183" s="102"/>
      <c r="C183" s="51"/>
      <c r="D183" s="102"/>
      <c r="E183" s="102"/>
      <c r="H183" s="102"/>
      <c r="I183" s="43"/>
    </row>
    <row r="184" hidden="1">
      <c r="A184" s="102"/>
      <c r="C184" s="51"/>
      <c r="D184" s="102"/>
      <c r="E184" s="102"/>
      <c r="H184" s="102"/>
      <c r="I184" s="43"/>
    </row>
    <row r="185" hidden="1">
      <c r="A185" s="102"/>
      <c r="C185" s="51"/>
      <c r="D185" s="102"/>
      <c r="E185" s="102"/>
      <c r="H185" s="102"/>
      <c r="I185" s="43"/>
    </row>
    <row r="186" hidden="1">
      <c r="A186" s="102"/>
      <c r="C186" s="51"/>
      <c r="D186" s="102"/>
      <c r="E186" s="102"/>
      <c r="H186" s="102"/>
      <c r="I186" s="43"/>
    </row>
    <row r="187" hidden="1">
      <c r="A187" s="102"/>
      <c r="C187" s="51"/>
      <c r="D187" s="102"/>
      <c r="E187" s="102"/>
      <c r="H187" s="102"/>
      <c r="I187" s="43"/>
    </row>
    <row r="188" hidden="1">
      <c r="A188" s="102"/>
      <c r="C188" s="51"/>
      <c r="D188" s="102"/>
      <c r="E188" s="102"/>
      <c r="H188" s="102"/>
      <c r="I188" s="43"/>
    </row>
    <row r="189" hidden="1">
      <c r="A189" s="102"/>
      <c r="C189" s="51"/>
      <c r="D189" s="102"/>
      <c r="E189" s="102"/>
      <c r="H189" s="102"/>
      <c r="I189" s="43"/>
    </row>
    <row r="190" hidden="1">
      <c r="A190" s="102"/>
      <c r="C190" s="51"/>
      <c r="D190" s="102"/>
      <c r="E190" s="102"/>
      <c r="H190" s="102"/>
      <c r="I190" s="43"/>
    </row>
    <row r="191" hidden="1">
      <c r="A191" s="102"/>
      <c r="C191" s="51"/>
      <c r="D191" s="102"/>
      <c r="E191" s="102"/>
      <c r="H191" s="102"/>
      <c r="I191" s="43"/>
    </row>
    <row r="192" hidden="1">
      <c r="A192" s="102"/>
      <c r="C192" s="51"/>
      <c r="D192" s="102"/>
      <c r="E192" s="102"/>
      <c r="H192" s="102"/>
      <c r="I192" s="43"/>
    </row>
    <row r="193" hidden="1">
      <c r="A193" s="102"/>
      <c r="C193" s="51"/>
      <c r="D193" s="102"/>
      <c r="E193" s="102"/>
      <c r="H193" s="102"/>
      <c r="I193" s="43"/>
    </row>
    <row r="194" hidden="1">
      <c r="A194" s="102"/>
      <c r="C194" s="51"/>
      <c r="D194" s="102"/>
      <c r="E194" s="102"/>
      <c r="H194" s="102"/>
      <c r="I194" s="43"/>
    </row>
    <row r="195" hidden="1">
      <c r="A195" s="102"/>
      <c r="C195" s="51"/>
      <c r="D195" s="102"/>
      <c r="E195" s="102"/>
      <c r="H195" s="102"/>
      <c r="I195" s="43"/>
    </row>
    <row r="196" hidden="1">
      <c r="A196" s="102"/>
      <c r="C196" s="51"/>
      <c r="D196" s="102"/>
      <c r="E196" s="102"/>
      <c r="H196" s="102"/>
      <c r="I196" s="43"/>
    </row>
    <row r="197" hidden="1">
      <c r="A197" s="102"/>
      <c r="C197" s="51"/>
      <c r="D197" s="102"/>
      <c r="E197" s="102"/>
      <c r="H197" s="102"/>
      <c r="I197" s="43"/>
    </row>
    <row r="198" hidden="1">
      <c r="A198" s="102"/>
      <c r="C198" s="51"/>
      <c r="D198" s="102"/>
      <c r="E198" s="102"/>
      <c r="H198" s="102"/>
      <c r="I198" s="43"/>
    </row>
    <row r="199" hidden="1">
      <c r="A199" s="102"/>
      <c r="C199" s="51"/>
      <c r="D199" s="102"/>
      <c r="E199" s="102"/>
      <c r="H199" s="102"/>
      <c r="I199" s="43"/>
    </row>
    <row r="200" hidden="1">
      <c r="A200" s="102"/>
      <c r="C200" s="51"/>
      <c r="D200" s="102"/>
      <c r="E200" s="102"/>
      <c r="H200" s="102"/>
      <c r="I200" s="43"/>
    </row>
    <row r="201" hidden="1">
      <c r="A201" s="102"/>
      <c r="C201" s="51"/>
      <c r="D201" s="102"/>
      <c r="E201" s="102"/>
      <c r="H201" s="102"/>
      <c r="I201" s="43"/>
    </row>
    <row r="202" hidden="1">
      <c r="A202" s="102"/>
      <c r="C202" s="51"/>
      <c r="D202" s="102"/>
      <c r="E202" s="102"/>
      <c r="H202" s="102"/>
      <c r="I202" s="43"/>
    </row>
    <row r="203" hidden="1">
      <c r="A203" s="102"/>
      <c r="C203" s="51"/>
      <c r="D203" s="102"/>
      <c r="E203" s="102"/>
      <c r="H203" s="102"/>
      <c r="I203" s="43"/>
    </row>
    <row r="204" hidden="1">
      <c r="A204" s="102"/>
      <c r="C204" s="51"/>
      <c r="D204" s="102"/>
      <c r="E204" s="102"/>
      <c r="H204" s="102"/>
      <c r="I204" s="43"/>
    </row>
    <row r="205" hidden="1">
      <c r="A205" s="102"/>
      <c r="C205" s="51"/>
      <c r="D205" s="102"/>
      <c r="E205" s="102"/>
      <c r="H205" s="102"/>
      <c r="I205" s="43"/>
    </row>
    <row r="206" hidden="1">
      <c r="A206" s="102"/>
      <c r="C206" s="51"/>
      <c r="D206" s="102"/>
      <c r="E206" s="102"/>
      <c r="H206" s="102"/>
      <c r="I206" s="43"/>
    </row>
    <row r="207" hidden="1">
      <c r="A207" s="102"/>
      <c r="C207" s="51"/>
      <c r="D207" s="102"/>
      <c r="E207" s="102"/>
      <c r="H207" s="102"/>
      <c r="I207" s="43"/>
    </row>
    <row r="208" hidden="1">
      <c r="A208" s="102"/>
      <c r="C208" s="51"/>
      <c r="D208" s="102"/>
      <c r="E208" s="102"/>
      <c r="H208" s="102"/>
      <c r="I208" s="43"/>
    </row>
    <row r="209" hidden="1">
      <c r="A209" s="102"/>
      <c r="C209" s="51"/>
      <c r="D209" s="102"/>
      <c r="E209" s="102"/>
      <c r="H209" s="102"/>
      <c r="I209" s="43"/>
    </row>
    <row r="210" hidden="1">
      <c r="A210" s="102"/>
      <c r="C210" s="51"/>
      <c r="D210" s="102"/>
      <c r="E210" s="102"/>
      <c r="H210" s="102"/>
      <c r="I210" s="43"/>
    </row>
    <row r="211" hidden="1">
      <c r="A211" s="102"/>
      <c r="C211" s="51"/>
      <c r="D211" s="102"/>
      <c r="E211" s="102"/>
      <c r="H211" s="102"/>
      <c r="I211" s="43"/>
    </row>
    <row r="212" hidden="1">
      <c r="A212" s="102"/>
      <c r="C212" s="51"/>
      <c r="D212" s="102"/>
      <c r="E212" s="102"/>
      <c r="H212" s="102"/>
      <c r="I212" s="43"/>
    </row>
    <row r="213" hidden="1">
      <c r="A213" s="102"/>
      <c r="C213" s="51"/>
      <c r="D213" s="102"/>
      <c r="E213" s="102"/>
      <c r="H213" s="102"/>
      <c r="I213" s="43"/>
    </row>
    <row r="214" hidden="1">
      <c r="A214" s="102"/>
      <c r="C214" s="51"/>
      <c r="D214" s="102"/>
      <c r="E214" s="102"/>
      <c r="H214" s="102"/>
      <c r="I214" s="43"/>
    </row>
    <row r="215" hidden="1">
      <c r="A215" s="102"/>
      <c r="C215" s="51"/>
      <c r="D215" s="102"/>
      <c r="E215" s="102"/>
      <c r="H215" s="102"/>
      <c r="I215" s="43"/>
    </row>
    <row r="216" hidden="1">
      <c r="A216" s="102"/>
      <c r="C216" s="51"/>
      <c r="D216" s="102"/>
      <c r="E216" s="102"/>
      <c r="H216" s="102"/>
      <c r="I216" s="43"/>
    </row>
    <row r="217" hidden="1">
      <c r="A217" s="102"/>
      <c r="C217" s="51"/>
      <c r="D217" s="102"/>
      <c r="E217" s="102"/>
      <c r="H217" s="102"/>
      <c r="I217" s="43"/>
    </row>
    <row r="218" hidden="1">
      <c r="A218" s="102"/>
      <c r="C218" s="51"/>
      <c r="D218" s="102"/>
      <c r="E218" s="102"/>
      <c r="H218" s="102"/>
      <c r="I218" s="43"/>
    </row>
    <row r="219" hidden="1">
      <c r="A219" s="102"/>
      <c r="C219" s="51"/>
      <c r="D219" s="102"/>
      <c r="E219" s="102"/>
      <c r="H219" s="102"/>
      <c r="I219" s="43"/>
    </row>
    <row r="220" hidden="1">
      <c r="A220" s="102"/>
      <c r="C220" s="51"/>
      <c r="D220" s="102"/>
      <c r="E220" s="102"/>
      <c r="H220" s="102"/>
      <c r="I220" s="43"/>
    </row>
    <row r="221" hidden="1">
      <c r="A221" s="102"/>
      <c r="C221" s="51"/>
      <c r="D221" s="102"/>
      <c r="E221" s="102"/>
      <c r="H221" s="102"/>
      <c r="I221" s="43"/>
    </row>
    <row r="222" hidden="1">
      <c r="A222" s="102"/>
      <c r="C222" s="51"/>
      <c r="D222" s="102"/>
      <c r="E222" s="102"/>
      <c r="H222" s="102"/>
      <c r="I222" s="43"/>
    </row>
    <row r="223" hidden="1">
      <c r="A223" s="102"/>
      <c r="C223" s="51"/>
      <c r="D223" s="102"/>
      <c r="E223" s="102"/>
      <c r="H223" s="102"/>
      <c r="I223" s="43"/>
    </row>
    <row r="224" hidden="1">
      <c r="A224" s="102"/>
      <c r="C224" s="51"/>
      <c r="D224" s="102"/>
      <c r="E224" s="102"/>
      <c r="H224" s="102"/>
      <c r="I224" s="43"/>
    </row>
    <row r="225" hidden="1">
      <c r="A225" s="102"/>
      <c r="C225" s="51"/>
      <c r="D225" s="102"/>
      <c r="E225" s="102"/>
      <c r="H225" s="102"/>
      <c r="I225" s="43"/>
    </row>
    <row r="226" hidden="1">
      <c r="A226" s="102"/>
      <c r="C226" s="51"/>
      <c r="D226" s="102"/>
      <c r="E226" s="102"/>
      <c r="H226" s="102"/>
      <c r="I226" s="43"/>
    </row>
    <row r="227" hidden="1">
      <c r="A227" s="102"/>
      <c r="C227" s="51"/>
      <c r="D227" s="102"/>
      <c r="E227" s="102"/>
      <c r="H227" s="102"/>
      <c r="I227" s="43"/>
    </row>
    <row r="228" hidden="1">
      <c r="A228" s="102"/>
      <c r="C228" s="51"/>
      <c r="D228" s="102"/>
      <c r="E228" s="102"/>
      <c r="H228" s="102"/>
      <c r="I228" s="43"/>
    </row>
    <row r="229" hidden="1">
      <c r="A229" s="102"/>
      <c r="C229" s="51"/>
      <c r="D229" s="102"/>
      <c r="E229" s="102"/>
      <c r="H229" s="102"/>
      <c r="I229" s="43"/>
    </row>
    <row r="230" hidden="1">
      <c r="A230" s="102"/>
      <c r="C230" s="51"/>
      <c r="D230" s="102"/>
      <c r="E230" s="102"/>
      <c r="H230" s="102"/>
      <c r="I230" s="43"/>
    </row>
    <row r="231" hidden="1">
      <c r="A231" s="102"/>
      <c r="C231" s="51"/>
      <c r="D231" s="102"/>
      <c r="E231" s="102"/>
      <c r="H231" s="102"/>
      <c r="I231" s="43"/>
    </row>
    <row r="232" hidden="1">
      <c r="A232" s="102"/>
      <c r="C232" s="51"/>
      <c r="D232" s="102"/>
      <c r="E232" s="102"/>
      <c r="H232" s="102"/>
      <c r="I232" s="43"/>
    </row>
    <row r="233" hidden="1">
      <c r="A233" s="102"/>
      <c r="C233" s="51"/>
      <c r="D233" s="102"/>
      <c r="E233" s="102"/>
      <c r="H233" s="102"/>
      <c r="I233" s="43"/>
    </row>
    <row r="234" hidden="1">
      <c r="A234" s="102"/>
      <c r="C234" s="51"/>
      <c r="D234" s="102"/>
      <c r="E234" s="102"/>
      <c r="H234" s="102"/>
      <c r="I234" s="43"/>
    </row>
    <row r="235" hidden="1">
      <c r="A235" s="102"/>
      <c r="C235" s="51"/>
      <c r="D235" s="102"/>
      <c r="E235" s="102"/>
      <c r="H235" s="102"/>
      <c r="I235" s="43"/>
    </row>
    <row r="236" hidden="1">
      <c r="A236" s="102"/>
      <c r="C236" s="51"/>
      <c r="D236" s="102"/>
      <c r="E236" s="102"/>
      <c r="H236" s="102"/>
      <c r="I236" s="43"/>
    </row>
    <row r="237" hidden="1">
      <c r="A237" s="102"/>
      <c r="C237" s="51"/>
      <c r="D237" s="102"/>
      <c r="E237" s="102"/>
      <c r="H237" s="102"/>
      <c r="I237" s="43"/>
    </row>
    <row r="238" hidden="1">
      <c r="A238" s="102"/>
      <c r="C238" s="51"/>
      <c r="D238" s="102"/>
      <c r="E238" s="102"/>
      <c r="H238" s="102"/>
      <c r="I238" s="43"/>
    </row>
    <row r="239" hidden="1">
      <c r="A239" s="102"/>
      <c r="C239" s="51"/>
      <c r="D239" s="102"/>
      <c r="E239" s="102"/>
      <c r="H239" s="102"/>
      <c r="I239" s="43"/>
    </row>
    <row r="240" hidden="1">
      <c r="A240" s="102"/>
      <c r="C240" s="51"/>
      <c r="D240" s="102"/>
      <c r="E240" s="102"/>
      <c r="H240" s="102"/>
      <c r="I240" s="43"/>
    </row>
    <row r="241" hidden="1">
      <c r="A241" s="102"/>
      <c r="C241" s="51"/>
      <c r="D241" s="102"/>
      <c r="E241" s="102"/>
      <c r="H241" s="102"/>
      <c r="I241" s="43"/>
    </row>
    <row r="242" hidden="1">
      <c r="A242" s="102"/>
      <c r="C242" s="51"/>
      <c r="D242" s="102"/>
      <c r="E242" s="102"/>
      <c r="H242" s="102"/>
      <c r="I242" s="43"/>
    </row>
    <row r="243" hidden="1">
      <c r="A243" s="102"/>
      <c r="C243" s="51"/>
      <c r="D243" s="102"/>
      <c r="E243" s="102"/>
      <c r="H243" s="102"/>
      <c r="I243" s="43"/>
    </row>
    <row r="244" hidden="1">
      <c r="A244" s="102"/>
      <c r="C244" s="51"/>
      <c r="D244" s="102"/>
      <c r="E244" s="102"/>
      <c r="H244" s="102"/>
      <c r="I244" s="43"/>
    </row>
    <row r="245" hidden="1">
      <c r="A245" s="102"/>
      <c r="C245" s="51"/>
      <c r="D245" s="102"/>
      <c r="E245" s="102"/>
      <c r="H245" s="102"/>
      <c r="I245" s="43"/>
    </row>
    <row r="246" hidden="1">
      <c r="A246" s="102"/>
      <c r="C246" s="51"/>
      <c r="D246" s="102"/>
      <c r="E246" s="102"/>
      <c r="H246" s="102"/>
      <c r="I246" s="43"/>
    </row>
    <row r="247" hidden="1">
      <c r="A247" s="102"/>
      <c r="C247" s="51"/>
      <c r="D247" s="102"/>
      <c r="E247" s="102"/>
      <c r="H247" s="102"/>
      <c r="I247" s="43"/>
    </row>
    <row r="248" hidden="1">
      <c r="A248" s="102"/>
      <c r="C248" s="51"/>
      <c r="D248" s="102"/>
      <c r="E248" s="102"/>
      <c r="H248" s="102"/>
      <c r="I248" s="43"/>
    </row>
    <row r="249" hidden="1">
      <c r="A249" s="102"/>
      <c r="C249" s="51"/>
      <c r="D249" s="102"/>
      <c r="E249" s="102"/>
      <c r="H249" s="102"/>
      <c r="I249" s="43"/>
    </row>
    <row r="250" hidden="1">
      <c r="A250" s="102"/>
      <c r="C250" s="51"/>
      <c r="D250" s="102"/>
      <c r="E250" s="102"/>
      <c r="H250" s="102"/>
      <c r="I250" s="43"/>
    </row>
    <row r="251" hidden="1">
      <c r="A251" s="102"/>
      <c r="C251" s="51"/>
      <c r="D251" s="102"/>
      <c r="E251" s="102"/>
      <c r="H251" s="102"/>
      <c r="I251" s="43"/>
    </row>
    <row r="252" hidden="1">
      <c r="A252" s="102"/>
      <c r="C252" s="51"/>
      <c r="D252" s="102"/>
      <c r="E252" s="102"/>
      <c r="H252" s="102"/>
      <c r="I252" s="43"/>
    </row>
    <row r="253" hidden="1">
      <c r="A253" s="102"/>
      <c r="C253" s="51"/>
      <c r="D253" s="102"/>
      <c r="E253" s="102"/>
      <c r="H253" s="102"/>
      <c r="I253" s="43"/>
    </row>
    <row r="254" hidden="1">
      <c r="A254" s="102"/>
      <c r="C254" s="51"/>
      <c r="D254" s="102"/>
      <c r="E254" s="102"/>
      <c r="H254" s="102"/>
      <c r="I254" s="43"/>
    </row>
    <row r="255" hidden="1">
      <c r="A255" s="102"/>
      <c r="C255" s="51"/>
      <c r="D255" s="102"/>
      <c r="E255" s="102"/>
      <c r="H255" s="102"/>
      <c r="I255" s="43"/>
    </row>
    <row r="256" hidden="1">
      <c r="A256" s="102"/>
      <c r="C256" s="51"/>
      <c r="D256" s="102"/>
      <c r="E256" s="102"/>
      <c r="H256" s="102"/>
      <c r="I256" s="43"/>
    </row>
    <row r="257" hidden="1">
      <c r="A257" s="102"/>
      <c r="C257" s="51"/>
      <c r="D257" s="102"/>
      <c r="E257" s="102"/>
      <c r="H257" s="102"/>
      <c r="I257" s="43"/>
    </row>
    <row r="258" hidden="1">
      <c r="A258" s="102"/>
      <c r="C258" s="51"/>
      <c r="D258" s="102"/>
      <c r="E258" s="102"/>
      <c r="H258" s="102"/>
      <c r="I258" s="43"/>
    </row>
    <row r="259" hidden="1">
      <c r="A259" s="102"/>
      <c r="C259" s="51"/>
      <c r="D259" s="102"/>
      <c r="E259" s="102"/>
      <c r="H259" s="102"/>
      <c r="I259" s="43"/>
    </row>
    <row r="260" hidden="1">
      <c r="A260" s="102"/>
      <c r="C260" s="51"/>
      <c r="D260" s="102"/>
      <c r="E260" s="102"/>
      <c r="H260" s="102"/>
      <c r="I260" s="43"/>
    </row>
    <row r="261" hidden="1">
      <c r="A261" s="102"/>
      <c r="C261" s="51"/>
      <c r="D261" s="102"/>
      <c r="E261" s="102"/>
      <c r="H261" s="102"/>
      <c r="I261" s="43"/>
    </row>
    <row r="262" hidden="1">
      <c r="A262" s="102"/>
      <c r="C262" s="51"/>
      <c r="D262" s="102"/>
      <c r="E262" s="102"/>
      <c r="H262" s="102"/>
      <c r="I262" s="43"/>
    </row>
    <row r="263" hidden="1">
      <c r="A263" s="102"/>
      <c r="C263" s="51"/>
      <c r="D263" s="102"/>
      <c r="E263" s="102"/>
      <c r="H263" s="102"/>
      <c r="I263" s="43"/>
    </row>
    <row r="264" hidden="1">
      <c r="A264" s="102"/>
      <c r="C264" s="51"/>
      <c r="D264" s="102"/>
      <c r="E264" s="102"/>
      <c r="H264" s="102"/>
      <c r="I264" s="43"/>
    </row>
    <row r="265" hidden="1">
      <c r="A265" s="102"/>
      <c r="C265" s="51"/>
      <c r="D265" s="102"/>
      <c r="E265" s="102"/>
      <c r="H265" s="102"/>
      <c r="I265" s="43"/>
    </row>
    <row r="266" hidden="1">
      <c r="A266" s="102"/>
      <c r="C266" s="51"/>
      <c r="D266" s="102"/>
      <c r="E266" s="102"/>
      <c r="H266" s="102"/>
      <c r="I266" s="43"/>
    </row>
    <row r="267" hidden="1">
      <c r="A267" s="102"/>
      <c r="C267" s="51"/>
      <c r="D267" s="102"/>
      <c r="E267" s="102"/>
      <c r="H267" s="102"/>
      <c r="I267" s="43"/>
    </row>
    <row r="268" hidden="1">
      <c r="A268" s="102"/>
      <c r="C268" s="51"/>
      <c r="D268" s="102"/>
      <c r="E268" s="102"/>
      <c r="H268" s="102"/>
      <c r="I268" s="43"/>
    </row>
    <row r="269" hidden="1">
      <c r="A269" s="102"/>
      <c r="C269" s="51"/>
      <c r="D269" s="102"/>
      <c r="E269" s="102"/>
      <c r="H269" s="102"/>
      <c r="I269" s="43"/>
    </row>
    <row r="270" hidden="1">
      <c r="A270" s="102"/>
      <c r="C270" s="51"/>
      <c r="D270" s="102"/>
      <c r="E270" s="102"/>
      <c r="H270" s="102"/>
      <c r="I270" s="43"/>
    </row>
    <row r="271" hidden="1">
      <c r="A271" s="102"/>
      <c r="C271" s="51"/>
      <c r="D271" s="102"/>
      <c r="E271" s="102"/>
      <c r="H271" s="102"/>
      <c r="I271" s="43"/>
    </row>
    <row r="272" hidden="1">
      <c r="A272" s="102"/>
      <c r="C272" s="51"/>
      <c r="D272" s="102"/>
      <c r="E272" s="102"/>
      <c r="H272" s="102"/>
      <c r="I272" s="43"/>
    </row>
    <row r="273" hidden="1">
      <c r="A273" s="102"/>
      <c r="C273" s="51"/>
      <c r="D273" s="102"/>
      <c r="E273" s="102"/>
      <c r="H273" s="102"/>
      <c r="I273" s="43"/>
    </row>
    <row r="274" hidden="1">
      <c r="A274" s="102"/>
      <c r="C274" s="51"/>
      <c r="D274" s="102"/>
      <c r="E274" s="102"/>
      <c r="H274" s="102"/>
      <c r="I274" s="43"/>
    </row>
    <row r="275" hidden="1">
      <c r="A275" s="102"/>
      <c r="C275" s="51"/>
      <c r="D275" s="102"/>
      <c r="E275" s="102"/>
      <c r="H275" s="102"/>
      <c r="I275" s="43"/>
    </row>
    <row r="276" hidden="1">
      <c r="A276" s="102"/>
      <c r="C276" s="51"/>
      <c r="D276" s="102"/>
      <c r="E276" s="102"/>
      <c r="H276" s="102"/>
      <c r="I276" s="43"/>
    </row>
    <row r="277" hidden="1">
      <c r="A277" s="102"/>
      <c r="C277" s="51"/>
      <c r="D277" s="102"/>
      <c r="E277" s="102"/>
      <c r="H277" s="102"/>
      <c r="I277" s="43"/>
    </row>
    <row r="278" hidden="1">
      <c r="A278" s="102"/>
      <c r="C278" s="51"/>
      <c r="D278" s="102"/>
      <c r="E278" s="102"/>
      <c r="H278" s="102"/>
      <c r="I278" s="43"/>
    </row>
    <row r="279" hidden="1">
      <c r="A279" s="102"/>
      <c r="C279" s="51"/>
      <c r="D279" s="102"/>
      <c r="E279" s="102"/>
      <c r="H279" s="102"/>
      <c r="I279" s="43"/>
    </row>
    <row r="280" hidden="1">
      <c r="A280" s="102"/>
      <c r="C280" s="51"/>
      <c r="D280" s="102"/>
      <c r="E280" s="102"/>
      <c r="H280" s="102"/>
      <c r="I280" s="43"/>
    </row>
    <row r="281" hidden="1">
      <c r="A281" s="102"/>
      <c r="C281" s="51"/>
      <c r="D281" s="102"/>
      <c r="E281" s="102"/>
      <c r="H281" s="102"/>
      <c r="I281" s="43"/>
    </row>
    <row r="282" hidden="1">
      <c r="A282" s="102"/>
      <c r="C282" s="51"/>
      <c r="D282" s="102"/>
      <c r="E282" s="102"/>
      <c r="H282" s="102"/>
      <c r="I282" s="43"/>
    </row>
    <row r="283" hidden="1">
      <c r="A283" s="102"/>
      <c r="C283" s="51"/>
      <c r="D283" s="102"/>
      <c r="E283" s="102"/>
      <c r="H283" s="102"/>
      <c r="I283" s="43"/>
    </row>
    <row r="284" hidden="1">
      <c r="A284" s="102"/>
      <c r="C284" s="51"/>
      <c r="D284" s="102"/>
      <c r="E284" s="102"/>
      <c r="H284" s="102"/>
      <c r="I284" s="43"/>
    </row>
    <row r="285" hidden="1">
      <c r="A285" s="102"/>
      <c r="C285" s="51"/>
      <c r="D285" s="102"/>
      <c r="E285" s="102"/>
      <c r="H285" s="102"/>
      <c r="I285" s="43"/>
    </row>
    <row r="286" hidden="1">
      <c r="A286" s="102"/>
      <c r="C286" s="51"/>
      <c r="D286" s="102"/>
      <c r="E286" s="102"/>
      <c r="H286" s="102"/>
      <c r="I286" s="43"/>
    </row>
    <row r="287" hidden="1">
      <c r="A287" s="102"/>
      <c r="C287" s="51"/>
      <c r="D287" s="102"/>
      <c r="E287" s="102"/>
      <c r="H287" s="102"/>
      <c r="I287" s="43"/>
    </row>
    <row r="288" hidden="1">
      <c r="A288" s="102"/>
      <c r="C288" s="51"/>
      <c r="D288" s="102"/>
      <c r="E288" s="102"/>
      <c r="H288" s="102"/>
      <c r="I288" s="43"/>
    </row>
    <row r="289" hidden="1">
      <c r="A289" s="102"/>
      <c r="C289" s="51"/>
      <c r="D289" s="102"/>
      <c r="E289" s="102"/>
      <c r="H289" s="102"/>
      <c r="I289" s="43"/>
    </row>
    <row r="290" hidden="1">
      <c r="A290" s="102"/>
      <c r="C290" s="51"/>
      <c r="D290" s="102"/>
      <c r="E290" s="102"/>
      <c r="H290" s="102"/>
      <c r="I290" s="43"/>
    </row>
    <row r="291" hidden="1">
      <c r="A291" s="102"/>
      <c r="C291" s="51"/>
      <c r="D291" s="102"/>
      <c r="E291" s="102"/>
      <c r="H291" s="102"/>
      <c r="I291" s="43"/>
    </row>
    <row r="292" hidden="1">
      <c r="A292" s="102"/>
      <c r="C292" s="51"/>
      <c r="D292" s="102"/>
      <c r="E292" s="102"/>
      <c r="H292" s="102"/>
      <c r="I292" s="43"/>
    </row>
    <row r="293" hidden="1">
      <c r="A293" s="102"/>
      <c r="C293" s="51"/>
      <c r="D293" s="102"/>
      <c r="E293" s="102"/>
      <c r="H293" s="102"/>
      <c r="I293" s="43"/>
    </row>
    <row r="294" hidden="1">
      <c r="A294" s="102"/>
      <c r="C294" s="51"/>
      <c r="D294" s="102"/>
      <c r="E294" s="102"/>
      <c r="H294" s="102"/>
      <c r="I294" s="43"/>
    </row>
    <row r="295" hidden="1">
      <c r="A295" s="102"/>
      <c r="C295" s="51"/>
      <c r="D295" s="102"/>
      <c r="E295" s="102"/>
      <c r="H295" s="102"/>
      <c r="I295" s="43"/>
    </row>
    <row r="296" hidden="1">
      <c r="A296" s="102"/>
      <c r="C296" s="51"/>
      <c r="D296" s="102"/>
      <c r="E296" s="102"/>
      <c r="H296" s="102"/>
      <c r="I296" s="43"/>
    </row>
    <row r="297" hidden="1">
      <c r="A297" s="102"/>
      <c r="C297" s="51"/>
      <c r="D297" s="102"/>
      <c r="E297" s="102"/>
      <c r="H297" s="102"/>
      <c r="I297" s="43"/>
    </row>
    <row r="298" hidden="1">
      <c r="A298" s="102"/>
      <c r="C298" s="51"/>
      <c r="D298" s="102"/>
      <c r="E298" s="102"/>
      <c r="H298" s="102"/>
      <c r="I298" s="43"/>
    </row>
    <row r="299" hidden="1">
      <c r="A299" s="102"/>
      <c r="C299" s="51"/>
      <c r="D299" s="102"/>
      <c r="E299" s="102"/>
      <c r="H299" s="102"/>
      <c r="I299" s="43"/>
    </row>
    <row r="300" hidden="1">
      <c r="A300" s="102"/>
      <c r="C300" s="51"/>
      <c r="D300" s="102"/>
      <c r="E300" s="102"/>
      <c r="H300" s="102"/>
      <c r="I300" s="43"/>
    </row>
    <row r="301" hidden="1">
      <c r="A301" s="102"/>
      <c r="C301" s="51"/>
      <c r="D301" s="102"/>
      <c r="E301" s="102"/>
      <c r="H301" s="102"/>
      <c r="I301" s="43"/>
    </row>
    <row r="302" hidden="1">
      <c r="A302" s="102"/>
      <c r="C302" s="51"/>
      <c r="D302" s="102"/>
      <c r="E302" s="102"/>
      <c r="H302" s="102"/>
      <c r="I302" s="43"/>
    </row>
    <row r="303" hidden="1">
      <c r="A303" s="102"/>
      <c r="C303" s="51"/>
      <c r="D303" s="102"/>
      <c r="E303" s="102"/>
      <c r="H303" s="102"/>
      <c r="I303" s="43"/>
    </row>
    <row r="304" hidden="1">
      <c r="A304" s="102"/>
      <c r="C304" s="51"/>
      <c r="D304" s="102"/>
      <c r="E304" s="102"/>
      <c r="H304" s="102"/>
      <c r="I304" s="43"/>
    </row>
    <row r="305" hidden="1">
      <c r="A305" s="102"/>
      <c r="C305" s="51"/>
      <c r="D305" s="102"/>
      <c r="E305" s="102"/>
      <c r="H305" s="102"/>
      <c r="I305" s="43"/>
    </row>
    <row r="306" hidden="1">
      <c r="A306" s="102"/>
      <c r="C306" s="51"/>
      <c r="D306" s="102"/>
      <c r="E306" s="102"/>
      <c r="H306" s="102"/>
      <c r="I306" s="43"/>
    </row>
    <row r="307" hidden="1">
      <c r="A307" s="102"/>
      <c r="C307" s="51"/>
      <c r="D307" s="102"/>
      <c r="E307" s="102"/>
      <c r="H307" s="102"/>
      <c r="I307" s="43"/>
    </row>
    <row r="308" hidden="1">
      <c r="A308" s="102"/>
      <c r="C308" s="51"/>
      <c r="D308" s="102"/>
      <c r="E308" s="102"/>
      <c r="H308" s="102"/>
      <c r="I308" s="43"/>
    </row>
    <row r="309" hidden="1">
      <c r="A309" s="102"/>
      <c r="C309" s="51"/>
      <c r="D309" s="102"/>
      <c r="E309" s="102"/>
      <c r="H309" s="102"/>
      <c r="I309" s="43"/>
    </row>
    <row r="310" hidden="1">
      <c r="A310" s="102"/>
      <c r="C310" s="51"/>
      <c r="D310" s="102"/>
      <c r="E310" s="102"/>
      <c r="H310" s="102"/>
      <c r="I310" s="43"/>
    </row>
    <row r="311" hidden="1">
      <c r="A311" s="102"/>
      <c r="C311" s="51"/>
      <c r="D311" s="102"/>
      <c r="E311" s="102"/>
      <c r="H311" s="102"/>
      <c r="I311" s="43"/>
    </row>
    <row r="312" hidden="1">
      <c r="A312" s="102"/>
      <c r="C312" s="51"/>
      <c r="D312" s="102"/>
      <c r="E312" s="102"/>
      <c r="H312" s="102"/>
      <c r="I312" s="43"/>
    </row>
    <row r="313" hidden="1">
      <c r="A313" s="102"/>
      <c r="C313" s="51"/>
      <c r="D313" s="102"/>
      <c r="E313" s="102"/>
      <c r="H313" s="102"/>
      <c r="I313" s="43"/>
    </row>
    <row r="314" hidden="1">
      <c r="A314" s="102"/>
      <c r="C314" s="51"/>
      <c r="D314" s="102"/>
      <c r="E314" s="102"/>
      <c r="H314" s="102"/>
      <c r="I314" s="43"/>
    </row>
    <row r="315" hidden="1">
      <c r="A315" s="102"/>
      <c r="C315" s="51"/>
      <c r="D315" s="102"/>
      <c r="E315" s="102"/>
      <c r="H315" s="102"/>
      <c r="I315" s="43"/>
    </row>
    <row r="316" hidden="1">
      <c r="A316" s="102"/>
      <c r="C316" s="51"/>
      <c r="D316" s="102"/>
      <c r="E316" s="102"/>
      <c r="H316" s="102"/>
      <c r="I316" s="43"/>
    </row>
    <row r="317" hidden="1">
      <c r="A317" s="102"/>
      <c r="C317" s="51"/>
      <c r="D317" s="102"/>
      <c r="E317" s="102"/>
      <c r="H317" s="102"/>
      <c r="I317" s="43"/>
    </row>
    <row r="318" hidden="1">
      <c r="A318" s="102"/>
      <c r="C318" s="51"/>
      <c r="D318" s="102"/>
      <c r="E318" s="102"/>
      <c r="H318" s="102"/>
      <c r="I318" s="43"/>
    </row>
    <row r="319" hidden="1">
      <c r="A319" s="102"/>
      <c r="C319" s="51"/>
      <c r="D319" s="102"/>
      <c r="E319" s="102"/>
      <c r="H319" s="102"/>
      <c r="I319" s="43"/>
    </row>
    <row r="320" hidden="1">
      <c r="A320" s="102"/>
      <c r="C320" s="51"/>
      <c r="D320" s="102"/>
      <c r="E320" s="102"/>
      <c r="H320" s="102"/>
      <c r="I320" s="43"/>
    </row>
    <row r="321" hidden="1">
      <c r="A321" s="102"/>
      <c r="C321" s="51"/>
      <c r="D321" s="102"/>
      <c r="E321" s="102"/>
      <c r="H321" s="102"/>
      <c r="I321" s="43"/>
    </row>
    <row r="322" hidden="1">
      <c r="A322" s="102"/>
      <c r="C322" s="51"/>
      <c r="D322" s="102"/>
      <c r="E322" s="102"/>
      <c r="H322" s="102"/>
      <c r="I322" s="43"/>
    </row>
    <row r="323" hidden="1">
      <c r="A323" s="102"/>
      <c r="C323" s="51"/>
      <c r="D323" s="102"/>
      <c r="E323" s="102"/>
      <c r="H323" s="102"/>
      <c r="I323" s="43"/>
    </row>
    <row r="324" hidden="1">
      <c r="A324" s="102"/>
      <c r="C324" s="51"/>
      <c r="D324" s="102"/>
      <c r="E324" s="102"/>
      <c r="H324" s="102"/>
      <c r="I324" s="43"/>
    </row>
    <row r="325" hidden="1">
      <c r="A325" s="102"/>
      <c r="C325" s="51"/>
      <c r="D325" s="102"/>
      <c r="E325" s="102"/>
      <c r="H325" s="102"/>
      <c r="I325" s="43"/>
    </row>
    <row r="326" hidden="1">
      <c r="A326" s="102"/>
      <c r="C326" s="51"/>
      <c r="D326" s="102"/>
      <c r="E326" s="102"/>
      <c r="H326" s="102"/>
      <c r="I326" s="43"/>
    </row>
    <row r="327" hidden="1">
      <c r="A327" s="102"/>
      <c r="C327" s="51"/>
      <c r="D327" s="102"/>
      <c r="E327" s="102"/>
      <c r="H327" s="102"/>
      <c r="I327" s="43"/>
    </row>
    <row r="328" hidden="1">
      <c r="A328" s="102"/>
      <c r="C328" s="51"/>
      <c r="D328" s="102"/>
      <c r="E328" s="102"/>
      <c r="H328" s="102"/>
      <c r="I328" s="43"/>
    </row>
    <row r="329" hidden="1">
      <c r="A329" s="102"/>
      <c r="C329" s="51"/>
      <c r="D329" s="102"/>
      <c r="E329" s="102"/>
      <c r="H329" s="102"/>
      <c r="I329" s="43"/>
    </row>
    <row r="330" hidden="1">
      <c r="A330" s="102"/>
      <c r="C330" s="51"/>
      <c r="D330" s="102"/>
      <c r="E330" s="102"/>
      <c r="H330" s="102"/>
      <c r="I330" s="43"/>
    </row>
    <row r="331" hidden="1">
      <c r="A331" s="102"/>
      <c r="C331" s="51"/>
      <c r="D331" s="102"/>
      <c r="E331" s="102"/>
      <c r="H331" s="102"/>
      <c r="I331" s="43"/>
    </row>
    <row r="332" hidden="1">
      <c r="A332" s="102"/>
      <c r="C332" s="51"/>
      <c r="D332" s="102"/>
      <c r="E332" s="102"/>
      <c r="H332" s="102"/>
      <c r="I332" s="43"/>
    </row>
    <row r="333" hidden="1">
      <c r="A333" s="102"/>
      <c r="C333" s="51"/>
      <c r="D333" s="102"/>
      <c r="E333" s="102"/>
      <c r="H333" s="102"/>
      <c r="I333" s="43"/>
    </row>
    <row r="334" hidden="1">
      <c r="A334" s="102"/>
      <c r="C334" s="51"/>
      <c r="D334" s="102"/>
      <c r="E334" s="102"/>
      <c r="H334" s="102"/>
      <c r="I334" s="43"/>
    </row>
    <row r="335" hidden="1">
      <c r="A335" s="102"/>
      <c r="C335" s="51"/>
      <c r="D335" s="102"/>
      <c r="E335" s="102"/>
      <c r="H335" s="102"/>
      <c r="I335" s="43"/>
    </row>
    <row r="336" hidden="1">
      <c r="A336" s="102"/>
      <c r="C336" s="51"/>
      <c r="D336" s="102"/>
      <c r="E336" s="102"/>
      <c r="H336" s="102"/>
      <c r="I336" s="43"/>
    </row>
    <row r="337" hidden="1">
      <c r="A337" s="102"/>
      <c r="C337" s="51"/>
      <c r="D337" s="102"/>
      <c r="E337" s="102"/>
      <c r="H337" s="102"/>
      <c r="I337" s="43"/>
    </row>
    <row r="338" hidden="1">
      <c r="A338" s="102"/>
      <c r="C338" s="51"/>
      <c r="D338" s="102"/>
      <c r="E338" s="102"/>
      <c r="H338" s="102"/>
      <c r="I338" s="43"/>
    </row>
    <row r="339" hidden="1">
      <c r="A339" s="102"/>
      <c r="C339" s="51"/>
      <c r="D339" s="102"/>
      <c r="E339" s="102"/>
      <c r="H339" s="102"/>
      <c r="I339" s="43"/>
    </row>
    <row r="340" hidden="1">
      <c r="A340" s="102"/>
      <c r="C340" s="51"/>
      <c r="D340" s="102"/>
      <c r="E340" s="102"/>
      <c r="H340" s="102"/>
      <c r="I340" s="43"/>
    </row>
    <row r="341" hidden="1">
      <c r="A341" s="102"/>
      <c r="C341" s="51"/>
      <c r="D341" s="102"/>
      <c r="E341" s="102"/>
      <c r="H341" s="102"/>
      <c r="I341" s="43"/>
    </row>
    <row r="342" hidden="1">
      <c r="A342" s="102"/>
      <c r="C342" s="51"/>
      <c r="D342" s="102"/>
      <c r="E342" s="102"/>
      <c r="H342" s="102"/>
      <c r="I342" s="43"/>
    </row>
    <row r="343" hidden="1">
      <c r="A343" s="102"/>
      <c r="C343" s="51"/>
      <c r="D343" s="102"/>
      <c r="E343" s="102"/>
      <c r="H343" s="102"/>
      <c r="I343" s="43"/>
    </row>
    <row r="344" hidden="1">
      <c r="A344" s="102"/>
      <c r="C344" s="51"/>
      <c r="D344" s="102"/>
      <c r="E344" s="102"/>
      <c r="H344" s="102"/>
      <c r="I344" s="43"/>
    </row>
    <row r="345" hidden="1">
      <c r="A345" s="102"/>
      <c r="C345" s="51"/>
      <c r="D345" s="102"/>
      <c r="E345" s="102"/>
      <c r="H345" s="102"/>
      <c r="I345" s="43"/>
    </row>
    <row r="346" hidden="1">
      <c r="A346" s="102"/>
      <c r="C346" s="51"/>
      <c r="D346" s="102"/>
      <c r="E346" s="102"/>
      <c r="H346" s="102"/>
      <c r="I346" s="43"/>
    </row>
    <row r="347" hidden="1">
      <c r="A347" s="102"/>
      <c r="C347" s="51"/>
      <c r="D347" s="102"/>
      <c r="E347" s="102"/>
      <c r="H347" s="102"/>
      <c r="I347" s="43"/>
    </row>
    <row r="348" hidden="1">
      <c r="A348" s="102"/>
      <c r="C348" s="51"/>
      <c r="D348" s="102"/>
      <c r="E348" s="102"/>
      <c r="H348" s="102"/>
      <c r="I348" s="43"/>
    </row>
    <row r="349" hidden="1">
      <c r="A349" s="102"/>
      <c r="C349" s="51"/>
      <c r="D349" s="102"/>
      <c r="E349" s="102"/>
      <c r="H349" s="102"/>
      <c r="I349" s="43"/>
    </row>
    <row r="350" hidden="1">
      <c r="A350" s="102"/>
      <c r="C350" s="51"/>
      <c r="D350" s="102"/>
      <c r="E350" s="102"/>
      <c r="H350" s="102"/>
      <c r="I350" s="43"/>
    </row>
    <row r="351" hidden="1">
      <c r="A351" s="102"/>
      <c r="C351" s="51"/>
      <c r="D351" s="102"/>
      <c r="E351" s="102"/>
      <c r="H351" s="102"/>
      <c r="I351" s="43"/>
    </row>
    <row r="352" hidden="1">
      <c r="A352" s="102"/>
      <c r="C352" s="51"/>
      <c r="D352" s="102"/>
      <c r="E352" s="102"/>
      <c r="H352" s="102"/>
      <c r="I352" s="43"/>
    </row>
    <row r="353" hidden="1">
      <c r="A353" s="102"/>
      <c r="C353" s="51"/>
      <c r="D353" s="102"/>
      <c r="E353" s="102"/>
      <c r="H353" s="102"/>
      <c r="I353" s="43"/>
    </row>
    <row r="354" hidden="1">
      <c r="A354" s="102"/>
      <c r="C354" s="51"/>
      <c r="D354" s="102"/>
      <c r="E354" s="102"/>
      <c r="H354" s="102"/>
      <c r="I354" s="43"/>
    </row>
    <row r="355" hidden="1">
      <c r="A355" s="102"/>
      <c r="C355" s="51"/>
      <c r="D355" s="102"/>
      <c r="E355" s="102"/>
      <c r="H355" s="102"/>
      <c r="I355" s="43"/>
    </row>
    <row r="356" hidden="1">
      <c r="A356" s="102"/>
      <c r="C356" s="51"/>
      <c r="D356" s="102"/>
      <c r="E356" s="102"/>
      <c r="H356" s="102"/>
      <c r="I356" s="43"/>
    </row>
    <row r="357" hidden="1">
      <c r="A357" s="102"/>
      <c r="C357" s="51"/>
      <c r="D357" s="102"/>
      <c r="E357" s="102"/>
      <c r="H357" s="102"/>
      <c r="I357" s="43"/>
    </row>
    <row r="358" hidden="1">
      <c r="A358" s="102"/>
      <c r="C358" s="51"/>
      <c r="D358" s="102"/>
      <c r="E358" s="102"/>
      <c r="H358" s="102"/>
      <c r="I358" s="43"/>
    </row>
    <row r="359" hidden="1">
      <c r="A359" s="102"/>
      <c r="C359" s="51"/>
      <c r="D359" s="102"/>
      <c r="E359" s="102"/>
      <c r="H359" s="102"/>
      <c r="I359" s="43"/>
    </row>
    <row r="360" hidden="1">
      <c r="A360" s="102"/>
      <c r="C360" s="51"/>
      <c r="D360" s="102"/>
      <c r="E360" s="102"/>
      <c r="H360" s="102"/>
      <c r="I360" s="43"/>
    </row>
    <row r="361" hidden="1">
      <c r="A361" s="102"/>
      <c r="C361" s="51"/>
      <c r="D361" s="102"/>
      <c r="E361" s="102"/>
      <c r="H361" s="102"/>
      <c r="I361" s="43"/>
    </row>
    <row r="362" hidden="1">
      <c r="A362" s="102"/>
      <c r="C362" s="51"/>
      <c r="D362" s="102"/>
      <c r="E362" s="102"/>
      <c r="H362" s="102"/>
      <c r="I362" s="43"/>
    </row>
    <row r="363" hidden="1">
      <c r="A363" s="102"/>
      <c r="C363" s="51"/>
      <c r="D363" s="102"/>
      <c r="E363" s="102"/>
      <c r="H363" s="102"/>
      <c r="I363" s="43"/>
    </row>
    <row r="364" hidden="1">
      <c r="A364" s="102"/>
      <c r="C364" s="51"/>
      <c r="D364" s="102"/>
      <c r="E364" s="102"/>
      <c r="H364" s="102"/>
      <c r="I364" s="43"/>
    </row>
    <row r="365" hidden="1">
      <c r="A365" s="102"/>
      <c r="C365" s="51"/>
      <c r="D365" s="102"/>
      <c r="E365" s="102"/>
      <c r="H365" s="102"/>
      <c r="I365" s="43"/>
    </row>
    <row r="366" hidden="1">
      <c r="A366" s="102"/>
      <c r="C366" s="51"/>
      <c r="D366" s="102"/>
      <c r="E366" s="102"/>
      <c r="H366" s="102"/>
      <c r="I366" s="43"/>
    </row>
    <row r="367" hidden="1">
      <c r="A367" s="102"/>
      <c r="C367" s="51"/>
      <c r="D367" s="102"/>
      <c r="E367" s="102"/>
      <c r="H367" s="102"/>
      <c r="I367" s="43"/>
    </row>
    <row r="368" hidden="1">
      <c r="A368" s="102"/>
      <c r="C368" s="51"/>
      <c r="D368" s="102"/>
      <c r="E368" s="102"/>
      <c r="H368" s="102"/>
      <c r="I368" s="43"/>
    </row>
    <row r="369" hidden="1">
      <c r="A369" s="102"/>
      <c r="C369" s="51"/>
      <c r="D369" s="102"/>
      <c r="E369" s="102"/>
      <c r="H369" s="102"/>
      <c r="I369" s="43"/>
    </row>
    <row r="370" hidden="1">
      <c r="A370" s="102"/>
      <c r="C370" s="51"/>
      <c r="D370" s="102"/>
      <c r="E370" s="102"/>
      <c r="H370" s="102"/>
      <c r="I370" s="43"/>
    </row>
    <row r="371" hidden="1">
      <c r="A371" s="102"/>
      <c r="C371" s="51"/>
      <c r="D371" s="102"/>
      <c r="E371" s="102"/>
      <c r="H371" s="102"/>
      <c r="I371" s="43"/>
    </row>
    <row r="372" hidden="1">
      <c r="A372" s="102"/>
      <c r="C372" s="51"/>
      <c r="D372" s="102"/>
      <c r="E372" s="102"/>
      <c r="H372" s="102"/>
      <c r="I372" s="43"/>
    </row>
    <row r="373" hidden="1">
      <c r="A373" s="102"/>
      <c r="C373" s="51"/>
      <c r="D373" s="102"/>
      <c r="E373" s="102"/>
      <c r="H373" s="102"/>
      <c r="I373" s="43"/>
    </row>
    <row r="374" hidden="1">
      <c r="A374" s="102"/>
      <c r="C374" s="51"/>
      <c r="D374" s="102"/>
      <c r="E374" s="102"/>
      <c r="H374" s="102"/>
      <c r="I374" s="43"/>
    </row>
    <row r="375" hidden="1">
      <c r="A375" s="102"/>
      <c r="C375" s="51"/>
      <c r="D375" s="102"/>
      <c r="E375" s="102"/>
      <c r="H375" s="102"/>
      <c r="I375" s="43"/>
    </row>
    <row r="376" hidden="1">
      <c r="A376" s="102"/>
      <c r="C376" s="51"/>
      <c r="D376" s="102"/>
      <c r="E376" s="102"/>
      <c r="H376" s="102"/>
      <c r="I376" s="43"/>
    </row>
    <row r="377" hidden="1">
      <c r="A377" s="102"/>
      <c r="C377" s="51"/>
      <c r="D377" s="102"/>
      <c r="E377" s="102"/>
      <c r="H377" s="102"/>
      <c r="I377" s="43"/>
    </row>
    <row r="378" hidden="1">
      <c r="A378" s="102"/>
      <c r="C378" s="51"/>
      <c r="D378" s="102"/>
      <c r="E378" s="102"/>
      <c r="H378" s="102"/>
      <c r="I378" s="43"/>
    </row>
    <row r="379" hidden="1">
      <c r="A379" s="102"/>
      <c r="C379" s="51"/>
      <c r="D379" s="102"/>
      <c r="E379" s="102"/>
      <c r="H379" s="102"/>
      <c r="I379" s="43"/>
    </row>
    <row r="380" hidden="1">
      <c r="A380" s="102"/>
      <c r="C380" s="51"/>
      <c r="D380" s="102"/>
      <c r="E380" s="102"/>
      <c r="H380" s="102"/>
      <c r="I380" s="43"/>
    </row>
    <row r="381" hidden="1">
      <c r="A381" s="102"/>
      <c r="C381" s="51"/>
      <c r="D381" s="102"/>
      <c r="E381" s="102"/>
      <c r="H381" s="102"/>
      <c r="I381" s="43"/>
    </row>
    <row r="382" hidden="1">
      <c r="A382" s="102"/>
      <c r="C382" s="51"/>
      <c r="D382" s="102"/>
      <c r="E382" s="102"/>
      <c r="H382" s="102"/>
      <c r="I382" s="43"/>
    </row>
    <row r="383" hidden="1">
      <c r="A383" s="102"/>
      <c r="C383" s="51"/>
      <c r="D383" s="102"/>
      <c r="E383" s="102"/>
      <c r="H383" s="102"/>
      <c r="I383" s="43"/>
    </row>
    <row r="384" hidden="1">
      <c r="A384" s="102"/>
      <c r="C384" s="51"/>
      <c r="D384" s="102"/>
      <c r="E384" s="102"/>
      <c r="H384" s="102"/>
      <c r="I384" s="43"/>
    </row>
    <row r="385" hidden="1">
      <c r="A385" s="102"/>
      <c r="C385" s="51"/>
      <c r="D385" s="102"/>
      <c r="E385" s="102"/>
      <c r="H385" s="102"/>
      <c r="I385" s="43"/>
    </row>
    <row r="386" hidden="1">
      <c r="A386" s="102"/>
      <c r="C386" s="51"/>
      <c r="D386" s="102"/>
      <c r="E386" s="102"/>
      <c r="H386" s="102"/>
      <c r="I386" s="43"/>
    </row>
    <row r="387" hidden="1">
      <c r="A387" s="102"/>
      <c r="C387" s="51"/>
      <c r="D387" s="102"/>
      <c r="E387" s="102"/>
      <c r="H387" s="102"/>
      <c r="I387" s="43"/>
    </row>
    <row r="388" hidden="1">
      <c r="A388" s="102"/>
      <c r="C388" s="51"/>
      <c r="D388" s="102"/>
      <c r="E388" s="102"/>
      <c r="H388" s="102"/>
      <c r="I388" s="43"/>
    </row>
    <row r="389" hidden="1">
      <c r="A389" s="102"/>
      <c r="C389" s="51"/>
      <c r="D389" s="102"/>
      <c r="E389" s="102"/>
      <c r="H389" s="102"/>
      <c r="I389" s="43"/>
    </row>
    <row r="390" hidden="1">
      <c r="A390" s="102"/>
      <c r="C390" s="51"/>
      <c r="D390" s="102"/>
      <c r="E390" s="102"/>
      <c r="H390" s="102"/>
      <c r="I390" s="43"/>
    </row>
    <row r="391" hidden="1">
      <c r="A391" s="102"/>
      <c r="C391" s="51"/>
      <c r="D391" s="102"/>
      <c r="E391" s="102"/>
      <c r="H391" s="102"/>
      <c r="I391" s="43"/>
    </row>
    <row r="392" hidden="1">
      <c r="A392" s="102"/>
      <c r="C392" s="51"/>
      <c r="D392" s="102"/>
      <c r="E392" s="102"/>
      <c r="H392" s="102"/>
      <c r="I392" s="43"/>
    </row>
    <row r="393" hidden="1">
      <c r="A393" s="102"/>
      <c r="C393" s="51"/>
      <c r="D393" s="102"/>
      <c r="E393" s="102"/>
      <c r="H393" s="102"/>
      <c r="I393" s="43"/>
    </row>
    <row r="394" hidden="1">
      <c r="A394" s="102"/>
      <c r="C394" s="51"/>
      <c r="D394" s="102"/>
      <c r="E394" s="102"/>
      <c r="H394" s="102"/>
      <c r="I394" s="43"/>
    </row>
    <row r="395" hidden="1">
      <c r="A395" s="102"/>
      <c r="C395" s="51"/>
      <c r="D395" s="102"/>
      <c r="E395" s="102"/>
      <c r="H395" s="102"/>
      <c r="I395" s="43"/>
    </row>
    <row r="396" hidden="1">
      <c r="A396" s="102"/>
      <c r="C396" s="51"/>
      <c r="D396" s="102"/>
      <c r="E396" s="102"/>
      <c r="H396" s="102"/>
      <c r="I396" s="43"/>
    </row>
    <row r="397" hidden="1">
      <c r="A397" s="102"/>
      <c r="C397" s="51"/>
      <c r="D397" s="102"/>
      <c r="E397" s="102"/>
      <c r="H397" s="102"/>
      <c r="I397" s="43"/>
    </row>
    <row r="398" hidden="1">
      <c r="A398" s="102"/>
      <c r="C398" s="51"/>
      <c r="D398" s="102"/>
      <c r="E398" s="102"/>
      <c r="H398" s="102"/>
      <c r="I398" s="43"/>
    </row>
    <row r="399" hidden="1">
      <c r="A399" s="102"/>
      <c r="C399" s="51"/>
      <c r="D399" s="102"/>
      <c r="E399" s="102"/>
      <c r="H399" s="102"/>
      <c r="I399" s="43"/>
    </row>
    <row r="400" hidden="1">
      <c r="A400" s="102"/>
      <c r="C400" s="51"/>
      <c r="D400" s="102"/>
      <c r="E400" s="102"/>
      <c r="H400" s="102"/>
      <c r="I400" s="43"/>
    </row>
    <row r="401" hidden="1">
      <c r="A401" s="102"/>
      <c r="C401" s="51"/>
      <c r="D401" s="102"/>
      <c r="E401" s="102"/>
      <c r="H401" s="102"/>
      <c r="I401" s="43"/>
    </row>
    <row r="402" hidden="1">
      <c r="A402" s="102"/>
      <c r="C402" s="51"/>
      <c r="D402" s="102"/>
      <c r="E402" s="102"/>
      <c r="H402" s="102"/>
      <c r="I402" s="43"/>
    </row>
    <row r="403" hidden="1">
      <c r="A403" s="102"/>
      <c r="C403" s="51"/>
      <c r="D403" s="102"/>
      <c r="E403" s="102"/>
      <c r="H403" s="102"/>
      <c r="I403" s="43"/>
    </row>
    <row r="404" hidden="1">
      <c r="A404" s="102"/>
      <c r="C404" s="51"/>
      <c r="D404" s="102"/>
      <c r="E404" s="102"/>
      <c r="H404" s="102"/>
      <c r="I404" s="43"/>
    </row>
    <row r="405" hidden="1">
      <c r="A405" s="102"/>
      <c r="C405" s="51"/>
      <c r="D405" s="102"/>
      <c r="E405" s="102"/>
      <c r="H405" s="102"/>
      <c r="I405" s="43"/>
    </row>
    <row r="406" hidden="1">
      <c r="A406" s="102"/>
      <c r="C406" s="51"/>
      <c r="D406" s="102"/>
      <c r="E406" s="102"/>
      <c r="H406" s="102"/>
      <c r="I406" s="43"/>
    </row>
    <row r="407" hidden="1">
      <c r="A407" s="102"/>
      <c r="C407" s="51"/>
      <c r="D407" s="102"/>
      <c r="E407" s="102"/>
      <c r="H407" s="102"/>
      <c r="I407" s="43"/>
    </row>
    <row r="408" hidden="1">
      <c r="A408" s="102"/>
      <c r="C408" s="51"/>
      <c r="D408" s="102"/>
      <c r="E408" s="102"/>
      <c r="H408" s="102"/>
      <c r="I408" s="43"/>
    </row>
    <row r="409" hidden="1">
      <c r="A409" s="102"/>
      <c r="C409" s="51"/>
      <c r="D409" s="102"/>
      <c r="E409" s="102"/>
      <c r="H409" s="102"/>
      <c r="I409" s="43"/>
    </row>
    <row r="410" hidden="1">
      <c r="A410" s="102"/>
      <c r="C410" s="51"/>
      <c r="D410" s="102"/>
      <c r="E410" s="102"/>
      <c r="H410" s="102"/>
      <c r="I410" s="43"/>
    </row>
    <row r="411" hidden="1">
      <c r="A411" s="102"/>
      <c r="C411" s="51"/>
      <c r="D411" s="102"/>
      <c r="E411" s="102"/>
      <c r="H411" s="102"/>
      <c r="I411" s="43"/>
    </row>
    <row r="412" hidden="1">
      <c r="A412" s="102"/>
      <c r="C412" s="51"/>
      <c r="D412" s="102"/>
      <c r="E412" s="102"/>
      <c r="H412" s="102"/>
      <c r="I412" s="43"/>
    </row>
    <row r="413" hidden="1">
      <c r="A413" s="102"/>
      <c r="C413" s="51"/>
      <c r="D413" s="102"/>
      <c r="E413" s="102"/>
      <c r="H413" s="102"/>
      <c r="I413" s="43"/>
    </row>
    <row r="414" hidden="1">
      <c r="A414" s="102"/>
      <c r="C414" s="51"/>
      <c r="D414" s="102"/>
      <c r="E414" s="102"/>
      <c r="H414" s="102"/>
      <c r="I414" s="43"/>
    </row>
    <row r="415" hidden="1">
      <c r="A415" s="102"/>
      <c r="C415" s="51"/>
      <c r="D415" s="102"/>
      <c r="E415" s="102"/>
      <c r="H415" s="102"/>
      <c r="I415" s="43"/>
    </row>
    <row r="416" hidden="1">
      <c r="A416" s="102"/>
      <c r="C416" s="51"/>
      <c r="D416" s="102"/>
      <c r="E416" s="102"/>
      <c r="H416" s="102"/>
      <c r="I416" s="43"/>
    </row>
    <row r="417" hidden="1">
      <c r="A417" s="102"/>
      <c r="C417" s="51"/>
      <c r="D417" s="102"/>
      <c r="E417" s="102"/>
      <c r="H417" s="102"/>
      <c r="I417" s="43"/>
    </row>
    <row r="418" hidden="1">
      <c r="A418" s="102"/>
      <c r="C418" s="51"/>
      <c r="D418" s="102"/>
      <c r="E418" s="102"/>
      <c r="H418" s="102"/>
      <c r="I418" s="43"/>
    </row>
    <row r="419" hidden="1">
      <c r="A419" s="102"/>
      <c r="C419" s="51"/>
      <c r="D419" s="102"/>
      <c r="E419" s="102"/>
      <c r="H419" s="102"/>
      <c r="I419" s="43"/>
    </row>
    <row r="420" hidden="1">
      <c r="A420" s="102"/>
      <c r="C420" s="51"/>
      <c r="D420" s="102"/>
      <c r="E420" s="102"/>
      <c r="H420" s="102"/>
      <c r="I420" s="43"/>
    </row>
    <row r="421" hidden="1">
      <c r="A421" s="102"/>
      <c r="C421" s="51"/>
      <c r="D421" s="102"/>
      <c r="E421" s="102"/>
      <c r="H421" s="102"/>
      <c r="I421" s="43"/>
    </row>
    <row r="422" hidden="1">
      <c r="A422" s="102"/>
      <c r="C422" s="51"/>
      <c r="D422" s="102"/>
      <c r="E422" s="102"/>
      <c r="H422" s="102"/>
      <c r="I422" s="43"/>
    </row>
    <row r="423" hidden="1">
      <c r="A423" s="102"/>
      <c r="C423" s="51"/>
      <c r="D423" s="102"/>
      <c r="E423" s="102"/>
      <c r="H423" s="102"/>
      <c r="I423" s="43"/>
    </row>
    <row r="424" hidden="1">
      <c r="A424" s="102"/>
      <c r="C424" s="51"/>
      <c r="D424" s="102"/>
      <c r="E424" s="102"/>
      <c r="H424" s="102"/>
      <c r="I424" s="43"/>
    </row>
    <row r="425" hidden="1">
      <c r="A425" s="102"/>
      <c r="C425" s="51"/>
      <c r="D425" s="102"/>
      <c r="E425" s="102"/>
      <c r="H425" s="102"/>
      <c r="I425" s="43"/>
    </row>
    <row r="426" hidden="1">
      <c r="A426" s="102"/>
      <c r="C426" s="51"/>
      <c r="D426" s="102"/>
      <c r="E426" s="102"/>
      <c r="H426" s="102"/>
      <c r="I426" s="43"/>
    </row>
    <row r="427" hidden="1">
      <c r="A427" s="102"/>
      <c r="C427" s="51"/>
      <c r="D427" s="102"/>
      <c r="E427" s="102"/>
      <c r="H427" s="102"/>
      <c r="I427" s="43"/>
    </row>
    <row r="428" hidden="1">
      <c r="A428" s="102"/>
      <c r="C428" s="51"/>
      <c r="D428" s="102"/>
      <c r="E428" s="102"/>
      <c r="H428" s="102"/>
      <c r="I428" s="43"/>
    </row>
    <row r="429" hidden="1">
      <c r="A429" s="102"/>
      <c r="C429" s="51"/>
      <c r="D429" s="102"/>
      <c r="E429" s="102"/>
      <c r="H429" s="102"/>
      <c r="I429" s="43"/>
    </row>
    <row r="430" hidden="1">
      <c r="A430" s="102"/>
      <c r="C430" s="51"/>
      <c r="D430" s="102"/>
      <c r="E430" s="102"/>
      <c r="H430" s="102"/>
      <c r="I430" s="43"/>
    </row>
    <row r="431" hidden="1">
      <c r="A431" s="102"/>
      <c r="C431" s="51"/>
      <c r="D431" s="102"/>
      <c r="E431" s="102"/>
      <c r="H431" s="102"/>
      <c r="I431" s="43"/>
    </row>
    <row r="432" hidden="1">
      <c r="A432" s="102"/>
      <c r="C432" s="51"/>
      <c r="D432" s="102"/>
      <c r="E432" s="102"/>
      <c r="H432" s="102"/>
      <c r="I432" s="43"/>
    </row>
    <row r="433" hidden="1">
      <c r="A433" s="102"/>
      <c r="C433" s="51"/>
      <c r="D433" s="102"/>
      <c r="E433" s="102"/>
      <c r="H433" s="102"/>
      <c r="I433" s="43"/>
    </row>
    <row r="434" hidden="1">
      <c r="A434" s="102"/>
      <c r="C434" s="51"/>
      <c r="D434" s="102"/>
      <c r="E434" s="102"/>
      <c r="H434" s="102"/>
      <c r="I434" s="43"/>
    </row>
    <row r="435" hidden="1">
      <c r="A435" s="102"/>
      <c r="C435" s="51"/>
      <c r="D435" s="102"/>
      <c r="E435" s="102"/>
      <c r="H435" s="102"/>
      <c r="I435" s="43"/>
    </row>
    <row r="436" hidden="1">
      <c r="A436" s="102"/>
      <c r="C436" s="51"/>
      <c r="D436" s="102"/>
      <c r="E436" s="102"/>
      <c r="H436" s="102"/>
      <c r="I436" s="43"/>
    </row>
    <row r="437" hidden="1">
      <c r="A437" s="102"/>
      <c r="C437" s="51"/>
      <c r="D437" s="102"/>
      <c r="E437" s="102"/>
      <c r="H437" s="102"/>
      <c r="I437" s="43"/>
    </row>
    <row r="438" hidden="1">
      <c r="A438" s="102"/>
      <c r="C438" s="51"/>
      <c r="D438" s="102"/>
      <c r="E438" s="102"/>
      <c r="H438" s="102"/>
      <c r="I438" s="43"/>
    </row>
    <row r="439" hidden="1">
      <c r="A439" s="102"/>
      <c r="C439" s="51"/>
      <c r="D439" s="102"/>
      <c r="E439" s="102"/>
      <c r="H439" s="102"/>
      <c r="I439" s="43"/>
    </row>
    <row r="440" hidden="1">
      <c r="A440" s="102"/>
      <c r="C440" s="51"/>
      <c r="D440" s="102"/>
      <c r="E440" s="102"/>
      <c r="H440" s="102"/>
      <c r="I440" s="43"/>
    </row>
    <row r="441" hidden="1">
      <c r="A441" s="102"/>
      <c r="C441" s="51"/>
      <c r="D441" s="102"/>
      <c r="E441" s="102"/>
      <c r="H441" s="102"/>
      <c r="I441" s="43"/>
    </row>
    <row r="442" hidden="1">
      <c r="A442" s="102"/>
      <c r="C442" s="51"/>
      <c r="D442" s="102"/>
      <c r="E442" s="102"/>
      <c r="H442" s="102"/>
      <c r="I442" s="43"/>
    </row>
    <row r="443" hidden="1">
      <c r="A443" s="102"/>
      <c r="C443" s="51"/>
      <c r="D443" s="102"/>
      <c r="E443" s="102"/>
      <c r="H443" s="102"/>
      <c r="I443" s="43"/>
    </row>
    <row r="444" hidden="1">
      <c r="A444" s="102"/>
      <c r="C444" s="51"/>
      <c r="D444" s="102"/>
      <c r="E444" s="102"/>
      <c r="H444" s="102"/>
      <c r="I444" s="43"/>
    </row>
    <row r="445" hidden="1">
      <c r="A445" s="102"/>
      <c r="C445" s="51"/>
      <c r="D445" s="102"/>
      <c r="E445" s="102"/>
      <c r="H445" s="102"/>
      <c r="I445" s="43"/>
    </row>
    <row r="446" hidden="1">
      <c r="A446" s="102"/>
      <c r="C446" s="51"/>
      <c r="D446" s="102"/>
      <c r="E446" s="102"/>
      <c r="H446" s="102"/>
      <c r="I446" s="43"/>
    </row>
    <row r="447" hidden="1">
      <c r="A447" s="102"/>
      <c r="C447" s="51"/>
      <c r="D447" s="102"/>
      <c r="E447" s="102"/>
      <c r="H447" s="102"/>
      <c r="I447" s="43"/>
    </row>
    <row r="448" hidden="1">
      <c r="A448" s="102"/>
      <c r="C448" s="51"/>
      <c r="D448" s="102"/>
      <c r="E448" s="102"/>
      <c r="H448" s="102"/>
      <c r="I448" s="43"/>
    </row>
    <row r="449" hidden="1">
      <c r="A449" s="102"/>
      <c r="C449" s="51"/>
      <c r="D449" s="102"/>
      <c r="E449" s="102"/>
      <c r="H449" s="102"/>
      <c r="I449" s="43"/>
    </row>
    <row r="450" hidden="1">
      <c r="A450" s="102"/>
      <c r="C450" s="51"/>
      <c r="D450" s="102"/>
      <c r="E450" s="102"/>
      <c r="H450" s="102"/>
      <c r="I450" s="43"/>
    </row>
    <row r="451" hidden="1">
      <c r="A451" s="102"/>
      <c r="C451" s="51"/>
      <c r="D451" s="102"/>
      <c r="E451" s="102"/>
      <c r="H451" s="102"/>
      <c r="I451" s="43"/>
    </row>
    <row r="452" hidden="1">
      <c r="A452" s="102"/>
      <c r="C452" s="51"/>
      <c r="D452" s="102"/>
      <c r="E452" s="102"/>
      <c r="H452" s="102"/>
      <c r="I452" s="43"/>
    </row>
    <row r="453" hidden="1">
      <c r="A453" s="102"/>
      <c r="C453" s="51"/>
      <c r="D453" s="102"/>
      <c r="E453" s="102"/>
      <c r="H453" s="102"/>
      <c r="I453" s="43"/>
    </row>
    <row r="454" hidden="1">
      <c r="A454" s="102"/>
      <c r="C454" s="51"/>
      <c r="D454" s="102"/>
      <c r="E454" s="102"/>
      <c r="H454" s="102"/>
      <c r="I454" s="43"/>
    </row>
    <row r="455" hidden="1">
      <c r="A455" s="102"/>
      <c r="C455" s="51"/>
      <c r="D455" s="102"/>
      <c r="E455" s="102"/>
      <c r="H455" s="102"/>
      <c r="I455" s="43"/>
    </row>
    <row r="456" hidden="1">
      <c r="A456" s="102"/>
      <c r="C456" s="51"/>
      <c r="D456" s="102"/>
      <c r="E456" s="102"/>
      <c r="H456" s="102"/>
      <c r="I456" s="43"/>
    </row>
    <row r="457" hidden="1">
      <c r="A457" s="102"/>
      <c r="C457" s="51"/>
      <c r="D457" s="102"/>
      <c r="E457" s="102"/>
      <c r="H457" s="102"/>
      <c r="I457" s="43"/>
    </row>
    <row r="458" hidden="1">
      <c r="A458" s="102"/>
      <c r="C458" s="51"/>
      <c r="D458" s="102"/>
      <c r="E458" s="102"/>
      <c r="H458" s="102"/>
      <c r="I458" s="43"/>
    </row>
    <row r="459" hidden="1">
      <c r="A459" s="102"/>
      <c r="C459" s="51"/>
      <c r="D459" s="102"/>
      <c r="E459" s="102"/>
      <c r="H459" s="102"/>
      <c r="I459" s="43"/>
    </row>
    <row r="460" hidden="1">
      <c r="A460" s="102"/>
      <c r="C460" s="51"/>
      <c r="D460" s="102"/>
      <c r="E460" s="102"/>
      <c r="H460" s="102"/>
      <c r="I460" s="43"/>
    </row>
    <row r="461" hidden="1">
      <c r="A461" s="102"/>
      <c r="C461" s="51"/>
      <c r="D461" s="102"/>
      <c r="E461" s="102"/>
      <c r="H461" s="102"/>
      <c r="I461" s="43"/>
    </row>
    <row r="462" hidden="1">
      <c r="A462" s="102"/>
      <c r="C462" s="51"/>
      <c r="D462" s="102"/>
      <c r="E462" s="102"/>
      <c r="H462" s="102"/>
      <c r="I462" s="43"/>
    </row>
    <row r="463" hidden="1">
      <c r="A463" s="102"/>
      <c r="C463" s="51"/>
      <c r="D463" s="102"/>
      <c r="E463" s="102"/>
      <c r="H463" s="102"/>
      <c r="I463" s="43"/>
    </row>
    <row r="464" hidden="1">
      <c r="A464" s="102"/>
      <c r="C464" s="51"/>
      <c r="D464" s="102"/>
      <c r="E464" s="102"/>
      <c r="H464" s="102"/>
      <c r="I464" s="43"/>
    </row>
    <row r="465" hidden="1">
      <c r="A465" s="102"/>
      <c r="C465" s="51"/>
      <c r="D465" s="102"/>
      <c r="E465" s="102"/>
      <c r="H465" s="102"/>
      <c r="I465" s="43"/>
    </row>
    <row r="466" hidden="1">
      <c r="A466" s="102"/>
      <c r="C466" s="51"/>
      <c r="D466" s="102"/>
      <c r="E466" s="102"/>
      <c r="H466" s="102"/>
      <c r="I466" s="43"/>
    </row>
    <row r="467" hidden="1">
      <c r="A467" s="102"/>
      <c r="C467" s="51"/>
      <c r="D467" s="102"/>
      <c r="E467" s="102"/>
      <c r="H467" s="102"/>
      <c r="I467" s="43"/>
    </row>
    <row r="468" hidden="1">
      <c r="A468" s="102"/>
      <c r="C468" s="51"/>
      <c r="D468" s="102"/>
      <c r="E468" s="102"/>
      <c r="H468" s="102"/>
      <c r="I468" s="43"/>
    </row>
    <row r="469" hidden="1">
      <c r="A469" s="102"/>
      <c r="C469" s="51"/>
      <c r="D469" s="102"/>
      <c r="E469" s="102"/>
      <c r="H469" s="102"/>
      <c r="I469" s="43"/>
    </row>
    <row r="470" hidden="1">
      <c r="A470" s="102"/>
      <c r="C470" s="51"/>
      <c r="D470" s="102"/>
      <c r="E470" s="102"/>
      <c r="H470" s="102"/>
      <c r="I470" s="43"/>
    </row>
    <row r="471" hidden="1">
      <c r="A471" s="102"/>
      <c r="C471" s="51"/>
      <c r="D471" s="102"/>
      <c r="E471" s="102"/>
      <c r="H471" s="102"/>
      <c r="I471" s="43"/>
    </row>
    <row r="472" hidden="1">
      <c r="A472" s="102"/>
      <c r="C472" s="51"/>
      <c r="D472" s="102"/>
      <c r="E472" s="102"/>
      <c r="H472" s="102"/>
      <c r="I472" s="43"/>
    </row>
    <row r="473" hidden="1">
      <c r="A473" s="102"/>
      <c r="C473" s="51"/>
      <c r="D473" s="102"/>
      <c r="E473" s="102"/>
      <c r="H473" s="102"/>
      <c r="I473" s="43"/>
    </row>
    <row r="474" hidden="1">
      <c r="A474" s="102"/>
      <c r="C474" s="51"/>
      <c r="D474" s="102"/>
      <c r="E474" s="102"/>
      <c r="H474" s="102"/>
      <c r="I474" s="43"/>
    </row>
    <row r="475" hidden="1">
      <c r="A475" s="102"/>
      <c r="C475" s="51"/>
      <c r="D475" s="102"/>
      <c r="E475" s="102"/>
      <c r="H475" s="102"/>
      <c r="I475" s="43"/>
    </row>
    <row r="476" hidden="1">
      <c r="A476" s="102"/>
      <c r="C476" s="51"/>
      <c r="D476" s="102"/>
      <c r="E476" s="102"/>
      <c r="H476" s="102"/>
      <c r="I476" s="43"/>
    </row>
    <row r="477" hidden="1">
      <c r="A477" s="102"/>
      <c r="C477" s="51"/>
      <c r="D477" s="102"/>
      <c r="E477" s="102"/>
      <c r="H477" s="102"/>
      <c r="I477" s="43"/>
    </row>
    <row r="478" hidden="1">
      <c r="A478" s="102"/>
      <c r="C478" s="51"/>
      <c r="D478" s="102"/>
      <c r="E478" s="102"/>
      <c r="H478" s="102"/>
      <c r="I478" s="43"/>
    </row>
    <row r="479" hidden="1">
      <c r="A479" s="102"/>
      <c r="C479" s="51"/>
      <c r="D479" s="102"/>
      <c r="E479" s="102"/>
      <c r="H479" s="102"/>
      <c r="I479" s="43"/>
    </row>
    <row r="480" hidden="1">
      <c r="A480" s="102"/>
      <c r="C480" s="51"/>
      <c r="D480" s="102"/>
      <c r="E480" s="102"/>
      <c r="H480" s="102"/>
      <c r="I480" s="43"/>
    </row>
    <row r="481" hidden="1">
      <c r="A481" s="102"/>
      <c r="C481" s="51"/>
      <c r="D481" s="102"/>
      <c r="E481" s="102"/>
      <c r="H481" s="102"/>
      <c r="I481" s="43"/>
    </row>
    <row r="482" hidden="1">
      <c r="A482" s="102"/>
      <c r="C482" s="51"/>
      <c r="D482" s="102"/>
      <c r="E482" s="102"/>
      <c r="H482" s="102"/>
      <c r="I482" s="43"/>
    </row>
    <row r="483" hidden="1">
      <c r="A483" s="102"/>
      <c r="C483" s="51"/>
      <c r="D483" s="102"/>
      <c r="E483" s="102"/>
      <c r="H483" s="102"/>
      <c r="I483" s="43"/>
    </row>
    <row r="484" hidden="1">
      <c r="A484" s="102"/>
      <c r="C484" s="51"/>
      <c r="D484" s="102"/>
      <c r="E484" s="102"/>
      <c r="H484" s="102"/>
      <c r="I484" s="43"/>
    </row>
    <row r="485" hidden="1">
      <c r="A485" s="102"/>
      <c r="C485" s="51"/>
      <c r="D485" s="102"/>
      <c r="E485" s="102"/>
      <c r="H485" s="102"/>
      <c r="I485" s="43"/>
    </row>
    <row r="486" hidden="1">
      <c r="A486" s="102"/>
      <c r="C486" s="51"/>
      <c r="D486" s="102"/>
      <c r="E486" s="102"/>
      <c r="H486" s="102"/>
      <c r="I486" s="43"/>
    </row>
    <row r="487" hidden="1">
      <c r="A487" s="102"/>
      <c r="C487" s="51"/>
      <c r="D487" s="102"/>
      <c r="E487" s="102"/>
      <c r="H487" s="102"/>
      <c r="I487" s="43"/>
    </row>
    <row r="488" hidden="1">
      <c r="A488" s="102"/>
      <c r="C488" s="51"/>
      <c r="D488" s="102"/>
      <c r="E488" s="102"/>
      <c r="H488" s="102"/>
      <c r="I488" s="43"/>
    </row>
    <row r="489" hidden="1">
      <c r="A489" s="102"/>
      <c r="C489" s="51"/>
      <c r="D489" s="102"/>
      <c r="E489" s="102"/>
      <c r="H489" s="102"/>
      <c r="I489" s="43"/>
    </row>
    <row r="490" hidden="1">
      <c r="A490" s="102"/>
      <c r="C490" s="51"/>
      <c r="D490" s="102"/>
      <c r="E490" s="102"/>
      <c r="H490" s="102"/>
      <c r="I490" s="43"/>
    </row>
    <row r="491" hidden="1">
      <c r="A491" s="102"/>
      <c r="C491" s="51"/>
      <c r="D491" s="102"/>
      <c r="E491" s="102"/>
      <c r="H491" s="102"/>
      <c r="I491" s="43"/>
    </row>
    <row r="492" hidden="1">
      <c r="A492" s="102"/>
      <c r="C492" s="51"/>
      <c r="D492" s="102"/>
      <c r="E492" s="102"/>
      <c r="H492" s="102"/>
      <c r="I492" s="43"/>
    </row>
    <row r="493" hidden="1">
      <c r="A493" s="102"/>
      <c r="C493" s="51"/>
      <c r="D493" s="102"/>
      <c r="E493" s="102"/>
      <c r="H493" s="102"/>
      <c r="I493" s="43"/>
    </row>
    <row r="494" hidden="1">
      <c r="A494" s="102"/>
      <c r="C494" s="51"/>
      <c r="D494" s="102"/>
      <c r="E494" s="102"/>
      <c r="H494" s="102"/>
      <c r="I494" s="43"/>
    </row>
    <row r="495" hidden="1">
      <c r="A495" s="102"/>
      <c r="C495" s="51"/>
      <c r="D495" s="102"/>
      <c r="E495" s="102"/>
      <c r="H495" s="102"/>
      <c r="I495" s="43"/>
    </row>
    <row r="496" hidden="1">
      <c r="A496" s="102"/>
      <c r="C496" s="51"/>
      <c r="D496" s="102"/>
      <c r="E496" s="102"/>
      <c r="H496" s="102"/>
      <c r="I496" s="43"/>
    </row>
    <row r="497" hidden="1">
      <c r="A497" s="102"/>
      <c r="C497" s="51"/>
      <c r="D497" s="102"/>
      <c r="E497" s="102"/>
      <c r="H497" s="102"/>
      <c r="I497" s="43"/>
    </row>
    <row r="498" hidden="1">
      <c r="A498" s="102"/>
      <c r="C498" s="51"/>
      <c r="D498" s="102"/>
      <c r="E498" s="102"/>
      <c r="H498" s="102"/>
      <c r="I498" s="43"/>
    </row>
    <row r="499" hidden="1">
      <c r="A499" s="102"/>
      <c r="C499" s="51"/>
      <c r="D499" s="102"/>
      <c r="E499" s="102"/>
      <c r="H499" s="102"/>
      <c r="I499" s="43"/>
    </row>
    <row r="500" hidden="1">
      <c r="A500" s="102"/>
      <c r="C500" s="51"/>
      <c r="D500" s="102"/>
      <c r="E500" s="102"/>
      <c r="H500" s="102"/>
      <c r="I500" s="43"/>
    </row>
    <row r="501" hidden="1">
      <c r="A501" s="102"/>
      <c r="C501" s="51"/>
      <c r="D501" s="102"/>
      <c r="E501" s="102"/>
      <c r="H501" s="102"/>
      <c r="I501" s="43"/>
    </row>
    <row r="502" hidden="1">
      <c r="A502" s="102"/>
      <c r="C502" s="51"/>
      <c r="D502" s="102"/>
      <c r="E502" s="102"/>
      <c r="H502" s="102"/>
      <c r="I502" s="43"/>
    </row>
    <row r="503" hidden="1">
      <c r="A503" s="102"/>
      <c r="C503" s="51"/>
      <c r="D503" s="102"/>
      <c r="E503" s="102"/>
      <c r="H503" s="102"/>
      <c r="I503" s="43"/>
    </row>
    <row r="504" hidden="1">
      <c r="A504" s="102"/>
      <c r="C504" s="51"/>
      <c r="D504" s="102"/>
      <c r="E504" s="102"/>
      <c r="H504" s="102"/>
      <c r="I504" s="43"/>
    </row>
    <row r="505" hidden="1">
      <c r="A505" s="102"/>
      <c r="C505" s="51"/>
      <c r="D505" s="102"/>
      <c r="E505" s="102"/>
      <c r="H505" s="102"/>
      <c r="I505" s="43"/>
    </row>
    <row r="506" hidden="1">
      <c r="A506" s="102"/>
      <c r="C506" s="51"/>
      <c r="D506" s="102"/>
      <c r="E506" s="102"/>
      <c r="H506" s="102"/>
      <c r="I506" s="43"/>
    </row>
    <row r="507" hidden="1">
      <c r="A507" s="102"/>
      <c r="C507" s="51"/>
      <c r="D507" s="102"/>
      <c r="E507" s="102"/>
      <c r="H507" s="102"/>
      <c r="I507" s="43"/>
    </row>
    <row r="508" hidden="1">
      <c r="A508" s="102"/>
      <c r="C508" s="51"/>
      <c r="D508" s="102"/>
      <c r="E508" s="102"/>
      <c r="H508" s="102"/>
      <c r="I508" s="43"/>
    </row>
    <row r="509" hidden="1">
      <c r="A509" s="102"/>
      <c r="C509" s="51"/>
      <c r="D509" s="102"/>
      <c r="E509" s="102"/>
      <c r="H509" s="102"/>
      <c r="I509" s="43"/>
    </row>
    <row r="510" hidden="1">
      <c r="A510" s="102"/>
      <c r="C510" s="51"/>
      <c r="D510" s="102"/>
      <c r="E510" s="102"/>
      <c r="H510" s="102"/>
      <c r="I510" s="43"/>
    </row>
    <row r="511" hidden="1">
      <c r="A511" s="102"/>
      <c r="C511" s="51"/>
      <c r="D511" s="102"/>
      <c r="E511" s="102"/>
      <c r="H511" s="102"/>
      <c r="I511" s="43"/>
    </row>
    <row r="512" hidden="1">
      <c r="A512" s="102"/>
      <c r="C512" s="51"/>
      <c r="D512" s="102"/>
      <c r="E512" s="102"/>
      <c r="H512" s="102"/>
      <c r="I512" s="43"/>
    </row>
    <row r="513" hidden="1">
      <c r="A513" s="102"/>
      <c r="C513" s="51"/>
      <c r="D513" s="102"/>
      <c r="E513" s="102"/>
      <c r="H513" s="102"/>
      <c r="I513" s="43"/>
    </row>
    <row r="514" hidden="1">
      <c r="A514" s="102"/>
      <c r="C514" s="51"/>
      <c r="D514" s="102"/>
      <c r="E514" s="102"/>
      <c r="H514" s="102"/>
      <c r="I514" s="43"/>
    </row>
    <row r="515" hidden="1">
      <c r="A515" s="102"/>
      <c r="C515" s="51"/>
      <c r="D515" s="102"/>
      <c r="E515" s="102"/>
      <c r="H515" s="102"/>
      <c r="I515" s="43"/>
    </row>
    <row r="516" hidden="1">
      <c r="A516" s="102"/>
      <c r="C516" s="51"/>
      <c r="D516" s="102"/>
      <c r="E516" s="102"/>
      <c r="H516" s="102"/>
      <c r="I516" s="43"/>
    </row>
    <row r="517" hidden="1">
      <c r="A517" s="102"/>
      <c r="C517" s="51"/>
      <c r="D517" s="102"/>
      <c r="E517" s="102"/>
      <c r="H517" s="102"/>
      <c r="I517" s="43"/>
    </row>
    <row r="518" hidden="1">
      <c r="A518" s="102"/>
      <c r="C518" s="51"/>
      <c r="D518" s="102"/>
      <c r="E518" s="102"/>
      <c r="H518" s="102"/>
      <c r="I518" s="43"/>
    </row>
    <row r="519" hidden="1">
      <c r="A519" s="102"/>
      <c r="C519" s="51"/>
      <c r="D519" s="102"/>
      <c r="E519" s="102"/>
      <c r="H519" s="102"/>
      <c r="I519" s="43"/>
    </row>
    <row r="520" hidden="1">
      <c r="A520" s="102"/>
      <c r="C520" s="51"/>
      <c r="D520" s="102"/>
      <c r="E520" s="102"/>
      <c r="H520" s="102"/>
      <c r="I520" s="43"/>
    </row>
    <row r="521" hidden="1">
      <c r="A521" s="102"/>
      <c r="C521" s="51"/>
      <c r="D521" s="102"/>
      <c r="E521" s="102"/>
      <c r="H521" s="102"/>
      <c r="I521" s="43"/>
    </row>
    <row r="522" hidden="1">
      <c r="A522" s="102"/>
      <c r="C522" s="51"/>
      <c r="D522" s="102"/>
      <c r="E522" s="102"/>
      <c r="H522" s="102"/>
      <c r="I522" s="43"/>
    </row>
    <row r="523" hidden="1">
      <c r="A523" s="102"/>
      <c r="C523" s="51"/>
      <c r="D523" s="102"/>
      <c r="E523" s="102"/>
      <c r="H523" s="102"/>
      <c r="I523" s="43"/>
    </row>
    <row r="524" hidden="1">
      <c r="A524" s="102"/>
      <c r="C524" s="51"/>
      <c r="D524" s="102"/>
      <c r="E524" s="102"/>
      <c r="H524" s="102"/>
      <c r="I524" s="43"/>
    </row>
    <row r="525" hidden="1">
      <c r="A525" s="102"/>
      <c r="C525" s="51"/>
      <c r="D525" s="102"/>
      <c r="E525" s="102"/>
      <c r="H525" s="102"/>
      <c r="I525" s="43"/>
    </row>
    <row r="526" hidden="1">
      <c r="A526" s="102"/>
      <c r="C526" s="51"/>
      <c r="D526" s="102"/>
      <c r="E526" s="102"/>
      <c r="H526" s="102"/>
      <c r="I526" s="43"/>
    </row>
    <row r="527" hidden="1">
      <c r="A527" s="102"/>
      <c r="C527" s="51"/>
      <c r="D527" s="102"/>
      <c r="E527" s="102"/>
      <c r="H527" s="102"/>
      <c r="I527" s="43"/>
    </row>
    <row r="528" hidden="1">
      <c r="A528" s="102"/>
      <c r="C528" s="51"/>
      <c r="D528" s="102"/>
      <c r="E528" s="102"/>
      <c r="H528" s="102"/>
      <c r="I528" s="43"/>
    </row>
    <row r="529" hidden="1">
      <c r="A529" s="102"/>
      <c r="C529" s="51"/>
      <c r="D529" s="102"/>
      <c r="E529" s="102"/>
      <c r="H529" s="102"/>
      <c r="I529" s="43"/>
    </row>
    <row r="530" hidden="1">
      <c r="A530" s="102"/>
      <c r="C530" s="51"/>
      <c r="D530" s="102"/>
      <c r="E530" s="102"/>
      <c r="H530" s="102"/>
      <c r="I530" s="43"/>
    </row>
    <row r="531" hidden="1">
      <c r="A531" s="102"/>
      <c r="C531" s="51"/>
      <c r="D531" s="102"/>
      <c r="E531" s="102"/>
      <c r="H531" s="102"/>
      <c r="I531" s="43"/>
    </row>
    <row r="532" hidden="1">
      <c r="A532" s="102"/>
      <c r="C532" s="51"/>
      <c r="D532" s="102"/>
      <c r="E532" s="102"/>
      <c r="H532" s="102"/>
      <c r="I532" s="43"/>
    </row>
    <row r="533" hidden="1">
      <c r="A533" s="102"/>
      <c r="C533" s="51"/>
      <c r="D533" s="102"/>
      <c r="E533" s="102"/>
      <c r="H533" s="102"/>
      <c r="I533" s="43"/>
    </row>
    <row r="534" hidden="1">
      <c r="A534" s="102"/>
      <c r="C534" s="51"/>
      <c r="D534" s="102"/>
      <c r="E534" s="102"/>
      <c r="H534" s="102"/>
      <c r="I534" s="43"/>
    </row>
    <row r="535" hidden="1">
      <c r="A535" s="102"/>
      <c r="C535" s="51"/>
      <c r="D535" s="102"/>
      <c r="E535" s="102"/>
      <c r="H535" s="102"/>
      <c r="I535" s="43"/>
    </row>
    <row r="536" hidden="1">
      <c r="A536" s="102"/>
      <c r="C536" s="51"/>
      <c r="D536" s="102"/>
      <c r="E536" s="102"/>
      <c r="H536" s="102"/>
      <c r="I536" s="43"/>
    </row>
    <row r="537" hidden="1">
      <c r="A537" s="102"/>
      <c r="C537" s="51"/>
      <c r="D537" s="102"/>
      <c r="E537" s="102"/>
      <c r="H537" s="102"/>
      <c r="I537" s="43"/>
    </row>
    <row r="538" hidden="1">
      <c r="A538" s="102"/>
      <c r="C538" s="51"/>
      <c r="D538" s="102"/>
      <c r="E538" s="102"/>
      <c r="H538" s="102"/>
      <c r="I538" s="43"/>
    </row>
    <row r="539" hidden="1">
      <c r="A539" s="102"/>
      <c r="C539" s="51"/>
      <c r="D539" s="102"/>
      <c r="E539" s="102"/>
      <c r="H539" s="102"/>
      <c r="I539" s="43"/>
    </row>
    <row r="540" hidden="1">
      <c r="A540" s="102"/>
      <c r="C540" s="51"/>
      <c r="D540" s="102"/>
      <c r="E540" s="102"/>
      <c r="H540" s="102"/>
      <c r="I540" s="43"/>
    </row>
    <row r="541" hidden="1">
      <c r="A541" s="102"/>
      <c r="C541" s="51"/>
      <c r="D541" s="102"/>
      <c r="E541" s="102"/>
      <c r="H541" s="102"/>
      <c r="I541" s="43"/>
    </row>
    <row r="542" hidden="1">
      <c r="A542" s="102"/>
      <c r="C542" s="51"/>
      <c r="D542" s="102"/>
      <c r="E542" s="102"/>
      <c r="H542" s="102"/>
      <c r="I542" s="43"/>
    </row>
    <row r="543" hidden="1">
      <c r="A543" s="102"/>
      <c r="C543" s="51"/>
      <c r="D543" s="102"/>
      <c r="E543" s="102"/>
      <c r="H543" s="102"/>
      <c r="I543" s="43"/>
    </row>
    <row r="544" hidden="1">
      <c r="A544" s="102"/>
      <c r="C544" s="51"/>
      <c r="D544" s="102"/>
      <c r="E544" s="102"/>
      <c r="H544" s="102"/>
      <c r="I544" s="43"/>
    </row>
    <row r="545" hidden="1">
      <c r="A545" s="102"/>
      <c r="C545" s="51"/>
      <c r="D545" s="102"/>
      <c r="E545" s="102"/>
      <c r="H545" s="102"/>
      <c r="I545" s="43"/>
    </row>
    <row r="546" hidden="1">
      <c r="A546" s="102"/>
      <c r="C546" s="51"/>
      <c r="D546" s="102"/>
      <c r="E546" s="102"/>
      <c r="H546" s="102"/>
      <c r="I546" s="43"/>
    </row>
    <row r="547" hidden="1">
      <c r="A547" s="102"/>
      <c r="C547" s="51"/>
      <c r="D547" s="102"/>
      <c r="E547" s="102"/>
      <c r="H547" s="102"/>
      <c r="I547" s="43"/>
    </row>
    <row r="548" hidden="1">
      <c r="A548" s="102"/>
      <c r="C548" s="51"/>
      <c r="D548" s="102"/>
      <c r="E548" s="102"/>
      <c r="H548" s="102"/>
      <c r="I548" s="43"/>
    </row>
    <row r="549" hidden="1">
      <c r="A549" s="102"/>
      <c r="C549" s="51"/>
      <c r="D549" s="102"/>
      <c r="E549" s="102"/>
      <c r="H549" s="102"/>
      <c r="I549" s="43"/>
    </row>
    <row r="550" hidden="1">
      <c r="A550" s="102"/>
      <c r="C550" s="51"/>
      <c r="D550" s="102"/>
      <c r="E550" s="102"/>
      <c r="H550" s="102"/>
      <c r="I550" s="43"/>
    </row>
    <row r="551" hidden="1">
      <c r="A551" s="102"/>
      <c r="C551" s="51"/>
      <c r="D551" s="102"/>
      <c r="E551" s="102"/>
      <c r="H551" s="102"/>
      <c r="I551" s="43"/>
    </row>
    <row r="552" hidden="1">
      <c r="A552" s="102"/>
      <c r="C552" s="51"/>
      <c r="D552" s="102"/>
      <c r="E552" s="102"/>
      <c r="H552" s="102"/>
      <c r="I552" s="43"/>
    </row>
    <row r="553" hidden="1">
      <c r="A553" s="102"/>
      <c r="C553" s="51"/>
      <c r="D553" s="102"/>
      <c r="E553" s="102"/>
      <c r="H553" s="102"/>
      <c r="I553" s="43"/>
    </row>
    <row r="554" hidden="1">
      <c r="A554" s="102"/>
      <c r="C554" s="51"/>
      <c r="D554" s="102"/>
      <c r="E554" s="102"/>
      <c r="H554" s="102"/>
      <c r="I554" s="43"/>
    </row>
    <row r="555" hidden="1">
      <c r="A555" s="102"/>
      <c r="C555" s="51"/>
      <c r="D555" s="102"/>
      <c r="E555" s="102"/>
      <c r="H555" s="102"/>
      <c r="I555" s="43"/>
    </row>
    <row r="556" hidden="1">
      <c r="A556" s="102"/>
      <c r="C556" s="51"/>
      <c r="D556" s="102"/>
      <c r="E556" s="102"/>
      <c r="H556" s="102"/>
      <c r="I556" s="43"/>
    </row>
    <row r="557" hidden="1">
      <c r="A557" s="102"/>
      <c r="C557" s="51"/>
      <c r="D557" s="102"/>
      <c r="E557" s="102"/>
      <c r="H557" s="102"/>
      <c r="I557" s="43"/>
    </row>
    <row r="558" hidden="1">
      <c r="A558" s="102"/>
      <c r="C558" s="51"/>
      <c r="D558" s="102"/>
      <c r="E558" s="102"/>
      <c r="H558" s="102"/>
      <c r="I558" s="43"/>
    </row>
    <row r="559" hidden="1">
      <c r="A559" s="102"/>
      <c r="C559" s="51"/>
      <c r="D559" s="102"/>
      <c r="E559" s="102"/>
      <c r="H559" s="102"/>
      <c r="I559" s="43"/>
    </row>
    <row r="560" hidden="1">
      <c r="A560" s="102"/>
      <c r="C560" s="51"/>
      <c r="D560" s="102"/>
      <c r="E560" s="102"/>
      <c r="H560" s="102"/>
      <c r="I560" s="43"/>
    </row>
    <row r="561" hidden="1">
      <c r="A561" s="102"/>
      <c r="C561" s="51"/>
      <c r="D561" s="102"/>
      <c r="E561" s="102"/>
      <c r="H561" s="102"/>
      <c r="I561" s="43"/>
    </row>
    <row r="562" hidden="1">
      <c r="A562" s="102"/>
      <c r="C562" s="51"/>
      <c r="D562" s="102"/>
      <c r="E562" s="102"/>
      <c r="H562" s="102"/>
      <c r="I562" s="43"/>
    </row>
    <row r="563" hidden="1">
      <c r="A563" s="102"/>
      <c r="C563" s="51"/>
      <c r="D563" s="102"/>
      <c r="E563" s="102"/>
      <c r="H563" s="102"/>
      <c r="I563" s="43"/>
    </row>
    <row r="564" hidden="1">
      <c r="A564" s="102"/>
      <c r="C564" s="51"/>
      <c r="D564" s="102"/>
      <c r="E564" s="102"/>
      <c r="H564" s="102"/>
      <c r="I564" s="43"/>
    </row>
    <row r="565" hidden="1">
      <c r="A565" s="102"/>
      <c r="C565" s="51"/>
      <c r="D565" s="102"/>
      <c r="E565" s="102"/>
      <c r="H565" s="102"/>
      <c r="I565" s="43"/>
    </row>
    <row r="566" hidden="1">
      <c r="A566" s="102"/>
      <c r="C566" s="51"/>
      <c r="D566" s="102"/>
      <c r="E566" s="102"/>
      <c r="H566" s="102"/>
      <c r="I566" s="43"/>
    </row>
    <row r="567" hidden="1">
      <c r="A567" s="102"/>
      <c r="C567" s="51"/>
      <c r="D567" s="102"/>
      <c r="E567" s="102"/>
      <c r="H567" s="102"/>
      <c r="I567" s="43"/>
    </row>
    <row r="568" hidden="1">
      <c r="A568" s="102"/>
      <c r="C568" s="51"/>
      <c r="D568" s="102"/>
      <c r="E568" s="102"/>
      <c r="H568" s="102"/>
      <c r="I568" s="43"/>
    </row>
    <row r="569" hidden="1">
      <c r="A569" s="102"/>
      <c r="C569" s="51"/>
      <c r="D569" s="102"/>
      <c r="E569" s="102"/>
      <c r="H569" s="102"/>
      <c r="I569" s="43"/>
    </row>
    <row r="570" hidden="1">
      <c r="A570" s="102"/>
      <c r="C570" s="51"/>
      <c r="D570" s="102"/>
      <c r="E570" s="102"/>
      <c r="H570" s="102"/>
      <c r="I570" s="43"/>
    </row>
    <row r="571" hidden="1">
      <c r="A571" s="102"/>
      <c r="C571" s="51"/>
      <c r="D571" s="102"/>
      <c r="E571" s="102"/>
      <c r="H571" s="102"/>
      <c r="I571" s="43"/>
    </row>
    <row r="572" hidden="1">
      <c r="A572" s="102"/>
      <c r="C572" s="51"/>
      <c r="D572" s="102"/>
      <c r="E572" s="102"/>
      <c r="H572" s="102"/>
      <c r="I572" s="43"/>
    </row>
    <row r="573" hidden="1">
      <c r="A573" s="102"/>
      <c r="C573" s="51"/>
      <c r="D573" s="102"/>
      <c r="E573" s="102"/>
      <c r="H573" s="102"/>
      <c r="I573" s="43"/>
    </row>
    <row r="574" hidden="1">
      <c r="A574" s="102"/>
      <c r="C574" s="51"/>
      <c r="D574" s="102"/>
      <c r="E574" s="102"/>
      <c r="H574" s="102"/>
      <c r="I574" s="43"/>
    </row>
    <row r="575" hidden="1">
      <c r="A575" s="102"/>
      <c r="C575" s="51"/>
      <c r="D575" s="102"/>
      <c r="E575" s="102"/>
      <c r="H575" s="102"/>
      <c r="I575" s="43"/>
    </row>
    <row r="576" hidden="1">
      <c r="A576" s="102"/>
      <c r="C576" s="51"/>
      <c r="D576" s="102"/>
      <c r="E576" s="102"/>
      <c r="H576" s="102"/>
      <c r="I576" s="43"/>
    </row>
    <row r="577" hidden="1">
      <c r="A577" s="102"/>
      <c r="C577" s="51"/>
      <c r="D577" s="102"/>
      <c r="E577" s="102"/>
      <c r="H577" s="102"/>
      <c r="I577" s="43"/>
    </row>
    <row r="578" hidden="1">
      <c r="A578" s="102"/>
      <c r="C578" s="51"/>
      <c r="D578" s="102"/>
      <c r="E578" s="102"/>
      <c r="H578" s="102"/>
      <c r="I578" s="43"/>
    </row>
    <row r="579" hidden="1">
      <c r="A579" s="102"/>
      <c r="C579" s="51"/>
      <c r="D579" s="102"/>
      <c r="E579" s="102"/>
      <c r="H579" s="102"/>
      <c r="I579" s="43"/>
    </row>
    <row r="580" hidden="1">
      <c r="A580" s="102"/>
      <c r="C580" s="51"/>
      <c r="D580" s="102"/>
      <c r="E580" s="102"/>
      <c r="H580" s="102"/>
      <c r="I580" s="43"/>
    </row>
    <row r="581" hidden="1">
      <c r="A581" s="102"/>
      <c r="C581" s="51"/>
      <c r="D581" s="102"/>
      <c r="E581" s="102"/>
      <c r="H581" s="102"/>
      <c r="I581" s="43"/>
    </row>
    <row r="582" hidden="1">
      <c r="A582" s="102"/>
      <c r="C582" s="51"/>
      <c r="D582" s="102"/>
      <c r="E582" s="102"/>
      <c r="H582" s="102"/>
      <c r="I582" s="43"/>
    </row>
    <row r="583" hidden="1">
      <c r="A583" s="102"/>
      <c r="C583" s="51"/>
      <c r="D583" s="102"/>
      <c r="E583" s="102"/>
      <c r="H583" s="102"/>
      <c r="I583" s="43"/>
    </row>
    <row r="584" hidden="1">
      <c r="A584" s="102"/>
      <c r="C584" s="51"/>
      <c r="D584" s="102"/>
      <c r="E584" s="102"/>
      <c r="H584" s="102"/>
      <c r="I584" s="43"/>
    </row>
    <row r="585" hidden="1">
      <c r="A585" s="102"/>
      <c r="C585" s="51"/>
      <c r="D585" s="102"/>
      <c r="E585" s="102"/>
      <c r="H585" s="102"/>
      <c r="I585" s="43"/>
    </row>
    <row r="586" hidden="1">
      <c r="A586" s="102"/>
      <c r="C586" s="51"/>
      <c r="D586" s="102"/>
      <c r="E586" s="102"/>
      <c r="H586" s="102"/>
      <c r="I586" s="43"/>
    </row>
    <row r="587" hidden="1">
      <c r="A587" s="102"/>
      <c r="C587" s="51"/>
      <c r="D587" s="102"/>
      <c r="E587" s="102"/>
      <c r="H587" s="102"/>
      <c r="I587" s="43"/>
    </row>
    <row r="588" hidden="1">
      <c r="A588" s="102"/>
      <c r="C588" s="51"/>
      <c r="D588" s="102"/>
      <c r="E588" s="102"/>
      <c r="H588" s="102"/>
      <c r="I588" s="43"/>
    </row>
    <row r="589" hidden="1">
      <c r="A589" s="102"/>
      <c r="C589" s="51"/>
      <c r="D589" s="102"/>
      <c r="E589" s="102"/>
      <c r="H589" s="102"/>
      <c r="I589" s="43"/>
    </row>
    <row r="590" hidden="1">
      <c r="A590" s="102"/>
      <c r="C590" s="51"/>
      <c r="D590" s="102"/>
      <c r="E590" s="102"/>
      <c r="H590" s="102"/>
      <c r="I590" s="43"/>
    </row>
    <row r="591" hidden="1">
      <c r="A591" s="102"/>
      <c r="C591" s="51"/>
      <c r="D591" s="102"/>
      <c r="E591" s="102"/>
      <c r="H591" s="102"/>
      <c r="I591" s="43"/>
    </row>
    <row r="592" hidden="1">
      <c r="A592" s="102"/>
      <c r="C592" s="51"/>
      <c r="D592" s="102"/>
      <c r="E592" s="102"/>
      <c r="H592" s="102"/>
      <c r="I592" s="43"/>
    </row>
    <row r="593" hidden="1">
      <c r="A593" s="102"/>
      <c r="C593" s="51"/>
      <c r="D593" s="102"/>
      <c r="E593" s="102"/>
      <c r="H593" s="102"/>
      <c r="I593" s="43"/>
    </row>
    <row r="594" hidden="1">
      <c r="A594" s="102"/>
      <c r="C594" s="51"/>
      <c r="D594" s="102"/>
      <c r="E594" s="102"/>
      <c r="H594" s="102"/>
      <c r="I594" s="43"/>
    </row>
    <row r="595" hidden="1">
      <c r="A595" s="102"/>
      <c r="C595" s="51"/>
      <c r="D595" s="102"/>
      <c r="E595" s="102"/>
      <c r="H595" s="102"/>
      <c r="I595" s="43"/>
    </row>
    <row r="596" hidden="1">
      <c r="A596" s="102"/>
      <c r="C596" s="51"/>
      <c r="D596" s="102"/>
      <c r="E596" s="102"/>
      <c r="H596" s="102"/>
      <c r="I596" s="43"/>
    </row>
    <row r="597" hidden="1">
      <c r="A597" s="102"/>
      <c r="C597" s="51"/>
      <c r="D597" s="102"/>
      <c r="E597" s="102"/>
      <c r="H597" s="102"/>
      <c r="I597" s="43"/>
    </row>
    <row r="598" hidden="1">
      <c r="A598" s="102"/>
      <c r="C598" s="51"/>
      <c r="D598" s="102"/>
      <c r="E598" s="102"/>
      <c r="H598" s="102"/>
      <c r="I598" s="43"/>
    </row>
    <row r="599" hidden="1">
      <c r="A599" s="102"/>
      <c r="C599" s="51"/>
      <c r="D599" s="102"/>
      <c r="E599" s="102"/>
      <c r="H599" s="102"/>
      <c r="I599" s="43"/>
    </row>
    <row r="600" hidden="1">
      <c r="A600" s="102"/>
      <c r="C600" s="51"/>
      <c r="D600" s="102"/>
      <c r="E600" s="102"/>
      <c r="H600" s="102"/>
      <c r="I600" s="43"/>
    </row>
    <row r="601" hidden="1">
      <c r="A601" s="102"/>
      <c r="C601" s="51"/>
      <c r="D601" s="102"/>
      <c r="E601" s="102"/>
      <c r="H601" s="102"/>
      <c r="I601" s="43"/>
    </row>
    <row r="602" hidden="1">
      <c r="A602" s="102"/>
      <c r="C602" s="51"/>
      <c r="D602" s="102"/>
      <c r="E602" s="102"/>
      <c r="H602" s="102"/>
      <c r="I602" s="43"/>
    </row>
    <row r="603" hidden="1">
      <c r="A603" s="102"/>
      <c r="C603" s="51"/>
      <c r="D603" s="102"/>
      <c r="E603" s="102"/>
      <c r="H603" s="102"/>
      <c r="I603" s="43"/>
    </row>
    <row r="604" hidden="1">
      <c r="A604" s="102"/>
      <c r="C604" s="51"/>
      <c r="D604" s="102"/>
      <c r="E604" s="102"/>
      <c r="H604" s="102"/>
      <c r="I604" s="43"/>
    </row>
    <row r="605" hidden="1">
      <c r="A605" s="102"/>
      <c r="C605" s="51"/>
      <c r="D605" s="102"/>
      <c r="E605" s="102"/>
      <c r="H605" s="102"/>
      <c r="I605" s="43"/>
    </row>
    <row r="606" hidden="1">
      <c r="A606" s="102"/>
      <c r="C606" s="51"/>
      <c r="D606" s="102"/>
      <c r="E606" s="102"/>
      <c r="H606" s="102"/>
      <c r="I606" s="43"/>
    </row>
    <row r="607" hidden="1">
      <c r="A607" s="102"/>
      <c r="C607" s="51"/>
      <c r="D607" s="102"/>
      <c r="E607" s="102"/>
      <c r="H607" s="102"/>
      <c r="I607" s="43"/>
    </row>
    <row r="608" hidden="1">
      <c r="A608" s="102"/>
      <c r="C608" s="51"/>
      <c r="D608" s="102"/>
      <c r="E608" s="102"/>
      <c r="H608" s="102"/>
      <c r="I608" s="43"/>
    </row>
    <row r="609" hidden="1">
      <c r="A609" s="102"/>
      <c r="C609" s="51"/>
      <c r="D609" s="102"/>
      <c r="E609" s="102"/>
      <c r="H609" s="102"/>
      <c r="I609" s="43"/>
    </row>
    <row r="610" hidden="1">
      <c r="A610" s="102"/>
      <c r="C610" s="51"/>
      <c r="D610" s="102"/>
      <c r="E610" s="102"/>
      <c r="H610" s="102"/>
      <c r="I610" s="43"/>
    </row>
    <row r="611" hidden="1">
      <c r="A611" s="102"/>
      <c r="C611" s="51"/>
      <c r="D611" s="102"/>
      <c r="E611" s="102"/>
      <c r="H611" s="102"/>
      <c r="I611" s="43"/>
    </row>
    <row r="612" hidden="1">
      <c r="A612" s="102"/>
      <c r="C612" s="51"/>
      <c r="D612" s="102"/>
      <c r="E612" s="102"/>
      <c r="H612" s="102"/>
      <c r="I612" s="43"/>
    </row>
    <row r="613" hidden="1">
      <c r="A613" s="102"/>
      <c r="C613" s="51"/>
      <c r="D613" s="102"/>
      <c r="E613" s="102"/>
      <c r="H613" s="102"/>
      <c r="I613" s="43"/>
    </row>
    <row r="614" hidden="1">
      <c r="A614" s="102"/>
      <c r="C614" s="51"/>
      <c r="D614" s="102"/>
      <c r="E614" s="102"/>
      <c r="H614" s="102"/>
      <c r="I614" s="43"/>
    </row>
    <row r="615" hidden="1">
      <c r="A615" s="102"/>
      <c r="C615" s="51"/>
      <c r="D615" s="102"/>
      <c r="E615" s="102"/>
      <c r="H615" s="102"/>
      <c r="I615" s="43"/>
    </row>
    <row r="616" hidden="1">
      <c r="A616" s="102"/>
      <c r="C616" s="51"/>
      <c r="D616" s="102"/>
      <c r="E616" s="102"/>
      <c r="H616" s="102"/>
      <c r="I616" s="43"/>
    </row>
    <row r="617" hidden="1">
      <c r="A617" s="102"/>
      <c r="C617" s="51"/>
      <c r="D617" s="102"/>
      <c r="E617" s="102"/>
      <c r="H617" s="102"/>
      <c r="I617" s="43"/>
    </row>
    <row r="618" hidden="1">
      <c r="A618" s="102"/>
      <c r="C618" s="51"/>
      <c r="D618" s="102"/>
      <c r="E618" s="102"/>
      <c r="H618" s="102"/>
      <c r="I618" s="43"/>
    </row>
    <row r="619" hidden="1">
      <c r="A619" s="102"/>
      <c r="C619" s="51"/>
      <c r="D619" s="102"/>
      <c r="E619" s="102"/>
      <c r="H619" s="102"/>
      <c r="I619" s="43"/>
    </row>
    <row r="620" hidden="1">
      <c r="A620" s="102"/>
      <c r="C620" s="51"/>
      <c r="D620" s="102"/>
      <c r="E620" s="102"/>
      <c r="H620" s="102"/>
      <c r="I620" s="43"/>
    </row>
    <row r="621" hidden="1">
      <c r="A621" s="102"/>
      <c r="C621" s="51"/>
      <c r="D621" s="102"/>
      <c r="E621" s="102"/>
      <c r="H621" s="102"/>
      <c r="I621" s="43"/>
    </row>
    <row r="622" hidden="1">
      <c r="A622" s="102"/>
      <c r="C622" s="51"/>
      <c r="D622" s="102"/>
      <c r="E622" s="102"/>
      <c r="H622" s="102"/>
      <c r="I622" s="43"/>
    </row>
    <row r="623" hidden="1">
      <c r="A623" s="102"/>
      <c r="C623" s="51"/>
      <c r="D623" s="102"/>
      <c r="E623" s="102"/>
      <c r="H623" s="102"/>
      <c r="I623" s="43"/>
    </row>
    <row r="624" hidden="1">
      <c r="A624" s="102"/>
      <c r="C624" s="51"/>
      <c r="D624" s="102"/>
      <c r="E624" s="102"/>
      <c r="H624" s="102"/>
      <c r="I624" s="43"/>
    </row>
    <row r="625" hidden="1">
      <c r="A625" s="102"/>
      <c r="C625" s="51"/>
      <c r="D625" s="102"/>
      <c r="E625" s="102"/>
      <c r="H625" s="102"/>
      <c r="I625" s="43"/>
    </row>
    <row r="626" hidden="1">
      <c r="A626" s="102"/>
      <c r="C626" s="51"/>
      <c r="D626" s="102"/>
      <c r="E626" s="102"/>
      <c r="H626" s="102"/>
      <c r="I626" s="43"/>
    </row>
    <row r="627" hidden="1">
      <c r="A627" s="102"/>
      <c r="C627" s="51"/>
      <c r="D627" s="102"/>
      <c r="E627" s="102"/>
      <c r="H627" s="102"/>
      <c r="I627" s="43"/>
    </row>
    <row r="628" hidden="1">
      <c r="A628" s="102"/>
      <c r="C628" s="51"/>
      <c r="D628" s="102"/>
      <c r="E628" s="102"/>
      <c r="H628" s="102"/>
      <c r="I628" s="43"/>
    </row>
    <row r="629" hidden="1">
      <c r="A629" s="102"/>
      <c r="C629" s="51"/>
      <c r="D629" s="102"/>
      <c r="E629" s="102"/>
      <c r="H629" s="102"/>
      <c r="I629" s="43"/>
    </row>
    <row r="630" hidden="1">
      <c r="A630" s="102"/>
      <c r="C630" s="51"/>
      <c r="D630" s="102"/>
      <c r="E630" s="102"/>
      <c r="H630" s="102"/>
      <c r="I630" s="43"/>
    </row>
    <row r="631" hidden="1">
      <c r="A631" s="102"/>
      <c r="C631" s="51"/>
      <c r="D631" s="102"/>
      <c r="E631" s="102"/>
      <c r="H631" s="102"/>
      <c r="I631" s="43"/>
    </row>
    <row r="632" hidden="1">
      <c r="A632" s="102"/>
      <c r="C632" s="51"/>
      <c r="D632" s="102"/>
      <c r="E632" s="102"/>
      <c r="H632" s="102"/>
      <c r="I632" s="43"/>
    </row>
    <row r="633" hidden="1">
      <c r="A633" s="102"/>
      <c r="C633" s="51"/>
      <c r="D633" s="102"/>
      <c r="E633" s="102"/>
      <c r="H633" s="102"/>
      <c r="I633" s="43"/>
    </row>
    <row r="634" hidden="1">
      <c r="A634" s="102"/>
      <c r="C634" s="51"/>
      <c r="D634" s="102"/>
      <c r="E634" s="102"/>
      <c r="H634" s="102"/>
      <c r="I634" s="43"/>
    </row>
    <row r="635" hidden="1">
      <c r="A635" s="102"/>
      <c r="C635" s="51"/>
      <c r="D635" s="102"/>
      <c r="E635" s="102"/>
      <c r="H635" s="102"/>
      <c r="I635" s="43"/>
    </row>
    <row r="636" hidden="1">
      <c r="A636" s="102"/>
      <c r="C636" s="51"/>
      <c r="D636" s="102"/>
      <c r="E636" s="102"/>
      <c r="H636" s="102"/>
      <c r="I636" s="43"/>
    </row>
    <row r="637" hidden="1">
      <c r="A637" s="102"/>
      <c r="C637" s="51"/>
      <c r="D637" s="102"/>
      <c r="E637" s="102"/>
      <c r="H637" s="102"/>
      <c r="I637" s="43"/>
    </row>
    <row r="638" hidden="1">
      <c r="A638" s="102"/>
      <c r="C638" s="51"/>
      <c r="D638" s="102"/>
      <c r="E638" s="102"/>
      <c r="H638" s="102"/>
      <c r="I638" s="43"/>
    </row>
    <row r="639" hidden="1">
      <c r="A639" s="102"/>
      <c r="C639" s="51"/>
      <c r="D639" s="102"/>
      <c r="E639" s="102"/>
      <c r="H639" s="102"/>
      <c r="I639" s="43"/>
    </row>
    <row r="640" hidden="1">
      <c r="A640" s="102"/>
      <c r="C640" s="51"/>
      <c r="D640" s="102"/>
      <c r="E640" s="102"/>
      <c r="H640" s="102"/>
      <c r="I640" s="43"/>
    </row>
    <row r="641" hidden="1">
      <c r="A641" s="102"/>
      <c r="C641" s="51"/>
      <c r="D641" s="102"/>
      <c r="E641" s="102"/>
      <c r="H641" s="102"/>
      <c r="I641" s="43"/>
    </row>
    <row r="642" hidden="1">
      <c r="A642" s="102"/>
      <c r="C642" s="51"/>
      <c r="D642" s="102"/>
      <c r="E642" s="102"/>
      <c r="H642" s="102"/>
      <c r="I642" s="43"/>
    </row>
    <row r="643" hidden="1">
      <c r="A643" s="102"/>
      <c r="C643" s="51"/>
      <c r="D643" s="102"/>
      <c r="E643" s="102"/>
      <c r="H643" s="102"/>
      <c r="I643" s="43"/>
    </row>
    <row r="644" hidden="1">
      <c r="A644" s="102"/>
      <c r="C644" s="51"/>
      <c r="D644" s="102"/>
      <c r="E644" s="102"/>
      <c r="H644" s="102"/>
      <c r="I644" s="43"/>
    </row>
    <row r="645" hidden="1">
      <c r="A645" s="102"/>
      <c r="C645" s="51"/>
      <c r="D645" s="102"/>
      <c r="E645" s="102"/>
      <c r="H645" s="102"/>
      <c r="I645" s="43"/>
    </row>
    <row r="646" hidden="1">
      <c r="A646" s="102"/>
      <c r="C646" s="51"/>
      <c r="D646" s="102"/>
      <c r="E646" s="102"/>
      <c r="H646" s="102"/>
      <c r="I646" s="43"/>
    </row>
    <row r="647" hidden="1">
      <c r="A647" s="102"/>
      <c r="C647" s="51"/>
      <c r="D647" s="102"/>
      <c r="E647" s="102"/>
      <c r="H647" s="102"/>
      <c r="I647" s="43"/>
    </row>
    <row r="648" hidden="1">
      <c r="A648" s="102"/>
      <c r="C648" s="51"/>
      <c r="D648" s="102"/>
      <c r="E648" s="102"/>
      <c r="H648" s="102"/>
      <c r="I648" s="43"/>
    </row>
    <row r="649" hidden="1">
      <c r="A649" s="102"/>
      <c r="C649" s="51"/>
      <c r="D649" s="102"/>
      <c r="E649" s="102"/>
      <c r="H649" s="102"/>
      <c r="I649" s="43"/>
    </row>
    <row r="650" hidden="1">
      <c r="A650" s="102"/>
      <c r="C650" s="51"/>
      <c r="D650" s="102"/>
      <c r="E650" s="102"/>
      <c r="H650" s="102"/>
      <c r="I650" s="43"/>
    </row>
    <row r="651" hidden="1">
      <c r="A651" s="102"/>
      <c r="C651" s="51"/>
      <c r="D651" s="102"/>
      <c r="E651" s="102"/>
      <c r="H651" s="102"/>
      <c r="I651" s="43"/>
    </row>
    <row r="652" hidden="1">
      <c r="A652" s="102"/>
      <c r="C652" s="51"/>
      <c r="D652" s="102"/>
      <c r="E652" s="102"/>
      <c r="H652" s="102"/>
      <c r="I652" s="43"/>
    </row>
    <row r="653" hidden="1">
      <c r="A653" s="102"/>
      <c r="C653" s="51"/>
      <c r="D653" s="102"/>
      <c r="E653" s="102"/>
      <c r="H653" s="102"/>
      <c r="I653" s="43"/>
    </row>
    <row r="654" hidden="1">
      <c r="A654" s="102"/>
      <c r="C654" s="51"/>
      <c r="D654" s="102"/>
      <c r="E654" s="102"/>
      <c r="H654" s="102"/>
      <c r="I654" s="43"/>
    </row>
    <row r="655" hidden="1">
      <c r="A655" s="102"/>
      <c r="C655" s="51"/>
      <c r="D655" s="102"/>
      <c r="E655" s="102"/>
      <c r="H655" s="102"/>
      <c r="I655" s="43"/>
    </row>
    <row r="656" hidden="1">
      <c r="A656" s="102"/>
      <c r="C656" s="51"/>
      <c r="D656" s="102"/>
      <c r="E656" s="102"/>
      <c r="H656" s="102"/>
      <c r="I656" s="43"/>
    </row>
    <row r="657" hidden="1">
      <c r="A657" s="102"/>
      <c r="C657" s="51"/>
      <c r="D657" s="102"/>
      <c r="E657" s="102"/>
      <c r="H657" s="102"/>
      <c r="I657" s="43"/>
    </row>
    <row r="658" hidden="1">
      <c r="A658" s="102"/>
      <c r="C658" s="51"/>
      <c r="D658" s="102"/>
      <c r="E658" s="102"/>
      <c r="H658" s="102"/>
      <c r="I658" s="43"/>
    </row>
    <row r="659" hidden="1">
      <c r="A659" s="102"/>
      <c r="C659" s="51"/>
      <c r="D659" s="102"/>
      <c r="E659" s="102"/>
      <c r="H659" s="102"/>
      <c r="I659" s="43"/>
    </row>
    <row r="660" hidden="1">
      <c r="A660" s="102"/>
      <c r="C660" s="51"/>
      <c r="D660" s="102"/>
      <c r="E660" s="102"/>
      <c r="H660" s="102"/>
      <c r="I660" s="43"/>
    </row>
    <row r="661" hidden="1">
      <c r="A661" s="102"/>
      <c r="C661" s="51"/>
      <c r="D661" s="102"/>
      <c r="E661" s="102"/>
      <c r="H661" s="102"/>
      <c r="I661" s="43"/>
    </row>
    <row r="662" hidden="1">
      <c r="A662" s="102"/>
      <c r="C662" s="51"/>
      <c r="D662" s="102"/>
      <c r="E662" s="102"/>
      <c r="H662" s="102"/>
      <c r="I662" s="43"/>
    </row>
    <row r="663" hidden="1">
      <c r="A663" s="102"/>
      <c r="C663" s="51"/>
      <c r="D663" s="102"/>
      <c r="E663" s="102"/>
      <c r="H663" s="102"/>
      <c r="I663" s="43"/>
    </row>
    <row r="664" hidden="1">
      <c r="A664" s="102"/>
      <c r="C664" s="51"/>
      <c r="D664" s="102"/>
      <c r="E664" s="102"/>
      <c r="H664" s="102"/>
      <c r="I664" s="43"/>
    </row>
    <row r="665" hidden="1">
      <c r="A665" s="102"/>
      <c r="C665" s="51"/>
      <c r="D665" s="102"/>
      <c r="E665" s="102"/>
      <c r="H665" s="102"/>
      <c r="I665" s="43"/>
    </row>
    <row r="666" hidden="1">
      <c r="A666" s="102"/>
      <c r="C666" s="51"/>
      <c r="D666" s="102"/>
      <c r="E666" s="102"/>
      <c r="H666" s="102"/>
      <c r="I666" s="43"/>
    </row>
    <row r="667" hidden="1">
      <c r="A667" s="102"/>
      <c r="C667" s="51"/>
      <c r="D667" s="102"/>
      <c r="E667" s="102"/>
      <c r="H667" s="102"/>
      <c r="I667" s="43"/>
    </row>
    <row r="668" hidden="1">
      <c r="A668" s="102"/>
      <c r="C668" s="51"/>
      <c r="D668" s="102"/>
      <c r="E668" s="102"/>
      <c r="H668" s="102"/>
      <c r="I668" s="43"/>
    </row>
    <row r="669" hidden="1">
      <c r="A669" s="102"/>
      <c r="C669" s="51"/>
      <c r="D669" s="102"/>
      <c r="E669" s="102"/>
      <c r="H669" s="102"/>
      <c r="I669" s="43"/>
    </row>
    <row r="670" hidden="1">
      <c r="A670" s="102"/>
      <c r="C670" s="51"/>
      <c r="D670" s="102"/>
      <c r="E670" s="102"/>
      <c r="H670" s="102"/>
      <c r="I670" s="43"/>
    </row>
    <row r="671" hidden="1">
      <c r="A671" s="102"/>
      <c r="C671" s="51"/>
      <c r="D671" s="102"/>
      <c r="E671" s="102"/>
      <c r="H671" s="102"/>
      <c r="I671" s="43"/>
    </row>
    <row r="672" hidden="1">
      <c r="A672" s="102"/>
      <c r="C672" s="51"/>
      <c r="D672" s="102"/>
      <c r="E672" s="102"/>
      <c r="H672" s="102"/>
      <c r="I672" s="43"/>
    </row>
    <row r="673" hidden="1">
      <c r="A673" s="102"/>
      <c r="C673" s="51"/>
      <c r="D673" s="102"/>
      <c r="E673" s="102"/>
      <c r="H673" s="102"/>
      <c r="I673" s="43"/>
    </row>
    <row r="674" hidden="1">
      <c r="A674" s="102"/>
      <c r="C674" s="51"/>
      <c r="D674" s="102"/>
      <c r="E674" s="102"/>
      <c r="H674" s="102"/>
      <c r="I674" s="43"/>
    </row>
    <row r="675" hidden="1">
      <c r="A675" s="102"/>
      <c r="C675" s="51"/>
      <c r="D675" s="102"/>
      <c r="E675" s="102"/>
      <c r="H675" s="102"/>
      <c r="I675" s="43"/>
    </row>
    <row r="676" hidden="1">
      <c r="A676" s="102"/>
      <c r="C676" s="51"/>
      <c r="D676" s="102"/>
      <c r="E676" s="102"/>
      <c r="H676" s="102"/>
      <c r="I676" s="43"/>
    </row>
    <row r="677" hidden="1">
      <c r="A677" s="102"/>
      <c r="C677" s="51"/>
      <c r="D677" s="102"/>
      <c r="E677" s="102"/>
      <c r="H677" s="102"/>
      <c r="I677" s="43"/>
    </row>
    <row r="678" hidden="1">
      <c r="A678" s="102"/>
      <c r="C678" s="51"/>
      <c r="D678" s="102"/>
      <c r="E678" s="102"/>
      <c r="H678" s="102"/>
      <c r="I678" s="43"/>
    </row>
    <row r="679" hidden="1">
      <c r="A679" s="102"/>
      <c r="C679" s="51"/>
      <c r="D679" s="102"/>
      <c r="E679" s="102"/>
      <c r="H679" s="102"/>
      <c r="I679" s="43"/>
    </row>
    <row r="680" hidden="1">
      <c r="A680" s="102"/>
      <c r="C680" s="51"/>
      <c r="D680" s="102"/>
      <c r="E680" s="102"/>
      <c r="H680" s="102"/>
      <c r="I680" s="43"/>
    </row>
    <row r="681" hidden="1">
      <c r="A681" s="102"/>
      <c r="C681" s="51"/>
      <c r="D681" s="102"/>
      <c r="E681" s="102"/>
      <c r="H681" s="102"/>
      <c r="I681" s="43"/>
    </row>
    <row r="682" hidden="1">
      <c r="A682" s="102"/>
      <c r="C682" s="51"/>
      <c r="D682" s="102"/>
      <c r="E682" s="102"/>
      <c r="H682" s="102"/>
      <c r="I682" s="43"/>
    </row>
    <row r="683" hidden="1">
      <c r="A683" s="102"/>
      <c r="C683" s="51"/>
      <c r="D683" s="102"/>
      <c r="E683" s="102"/>
      <c r="H683" s="102"/>
      <c r="I683" s="43"/>
    </row>
    <row r="684" hidden="1">
      <c r="A684" s="102"/>
      <c r="C684" s="51"/>
      <c r="D684" s="102"/>
      <c r="E684" s="102"/>
      <c r="H684" s="102"/>
      <c r="I684" s="43"/>
    </row>
    <row r="685" hidden="1">
      <c r="A685" s="102"/>
      <c r="C685" s="51"/>
      <c r="D685" s="102"/>
      <c r="E685" s="102"/>
      <c r="H685" s="102"/>
      <c r="I685" s="43"/>
    </row>
    <row r="686" hidden="1">
      <c r="A686" s="102"/>
      <c r="C686" s="51"/>
      <c r="D686" s="102"/>
      <c r="E686" s="102"/>
      <c r="H686" s="102"/>
      <c r="I686" s="43"/>
    </row>
    <row r="687" hidden="1">
      <c r="A687" s="102"/>
      <c r="C687" s="51"/>
      <c r="D687" s="102"/>
      <c r="E687" s="102"/>
      <c r="H687" s="102"/>
      <c r="I687" s="43"/>
    </row>
    <row r="688" hidden="1">
      <c r="A688" s="102"/>
      <c r="C688" s="51"/>
      <c r="D688" s="102"/>
      <c r="E688" s="102"/>
      <c r="H688" s="102"/>
      <c r="I688" s="43"/>
    </row>
    <row r="689" hidden="1">
      <c r="A689" s="102"/>
      <c r="C689" s="51"/>
      <c r="D689" s="102"/>
      <c r="E689" s="102"/>
      <c r="H689" s="102"/>
      <c r="I689" s="43"/>
    </row>
    <row r="690" hidden="1">
      <c r="A690" s="102"/>
      <c r="C690" s="51"/>
      <c r="D690" s="102"/>
      <c r="E690" s="102"/>
      <c r="H690" s="102"/>
      <c r="I690" s="43"/>
    </row>
    <row r="691" hidden="1">
      <c r="A691" s="102"/>
      <c r="C691" s="51"/>
      <c r="D691" s="102"/>
      <c r="E691" s="102"/>
      <c r="H691" s="102"/>
      <c r="I691" s="43"/>
    </row>
    <row r="692" hidden="1">
      <c r="A692" s="102"/>
      <c r="C692" s="51"/>
      <c r="D692" s="102"/>
      <c r="E692" s="102"/>
      <c r="H692" s="102"/>
      <c r="I692" s="43"/>
    </row>
    <row r="693" hidden="1">
      <c r="A693" s="102"/>
      <c r="C693" s="51"/>
      <c r="D693" s="102"/>
      <c r="E693" s="102"/>
      <c r="H693" s="102"/>
      <c r="I693" s="43"/>
    </row>
    <row r="694" hidden="1">
      <c r="A694" s="102"/>
      <c r="C694" s="51"/>
      <c r="D694" s="102"/>
      <c r="E694" s="102"/>
      <c r="H694" s="102"/>
      <c r="I694" s="43"/>
    </row>
    <row r="695" hidden="1">
      <c r="A695" s="102"/>
      <c r="C695" s="51"/>
      <c r="D695" s="102"/>
      <c r="E695" s="102"/>
      <c r="H695" s="102"/>
      <c r="I695" s="43"/>
    </row>
    <row r="696" hidden="1">
      <c r="A696" s="102"/>
      <c r="C696" s="51"/>
      <c r="D696" s="102"/>
      <c r="E696" s="102"/>
      <c r="H696" s="102"/>
      <c r="I696" s="43"/>
    </row>
    <row r="697" hidden="1">
      <c r="A697" s="102"/>
      <c r="C697" s="51"/>
      <c r="D697" s="102"/>
      <c r="E697" s="102"/>
      <c r="H697" s="102"/>
      <c r="I697" s="43"/>
    </row>
    <row r="698" hidden="1">
      <c r="A698" s="102"/>
      <c r="C698" s="51"/>
      <c r="D698" s="102"/>
      <c r="E698" s="102"/>
      <c r="H698" s="102"/>
      <c r="I698" s="43"/>
    </row>
    <row r="699" hidden="1">
      <c r="A699" s="102"/>
      <c r="C699" s="51"/>
      <c r="D699" s="102"/>
      <c r="E699" s="102"/>
      <c r="H699" s="102"/>
      <c r="I699" s="43"/>
    </row>
    <row r="700" hidden="1">
      <c r="A700" s="102"/>
      <c r="C700" s="51"/>
      <c r="D700" s="102"/>
      <c r="E700" s="102"/>
      <c r="H700" s="102"/>
      <c r="I700" s="43"/>
    </row>
    <row r="701" hidden="1">
      <c r="A701" s="102"/>
      <c r="C701" s="51"/>
      <c r="D701" s="102"/>
      <c r="E701" s="102"/>
      <c r="H701" s="102"/>
      <c r="I701" s="43"/>
    </row>
    <row r="702" hidden="1">
      <c r="A702" s="102"/>
      <c r="C702" s="51"/>
      <c r="D702" s="102"/>
      <c r="E702" s="102"/>
      <c r="H702" s="102"/>
      <c r="I702" s="43"/>
    </row>
    <row r="703" hidden="1">
      <c r="A703" s="102"/>
      <c r="C703" s="51"/>
      <c r="D703" s="102"/>
      <c r="E703" s="102"/>
      <c r="H703" s="102"/>
      <c r="I703" s="43"/>
    </row>
    <row r="704" hidden="1">
      <c r="A704" s="102"/>
      <c r="C704" s="51"/>
      <c r="D704" s="102"/>
      <c r="E704" s="102"/>
      <c r="H704" s="102"/>
      <c r="I704" s="43"/>
    </row>
    <row r="705" hidden="1">
      <c r="A705" s="102"/>
      <c r="C705" s="51"/>
      <c r="D705" s="102"/>
      <c r="E705" s="102"/>
      <c r="H705" s="102"/>
      <c r="I705" s="43"/>
    </row>
    <row r="706" hidden="1">
      <c r="A706" s="102"/>
      <c r="C706" s="51"/>
      <c r="D706" s="102"/>
      <c r="E706" s="102"/>
      <c r="H706" s="102"/>
      <c r="I706" s="43"/>
    </row>
    <row r="707" hidden="1">
      <c r="A707" s="102"/>
      <c r="C707" s="51"/>
      <c r="D707" s="102"/>
      <c r="E707" s="102"/>
      <c r="H707" s="102"/>
      <c r="I707" s="43"/>
    </row>
    <row r="708" hidden="1">
      <c r="A708" s="102"/>
      <c r="C708" s="51"/>
      <c r="D708" s="102"/>
      <c r="E708" s="102"/>
      <c r="H708" s="102"/>
      <c r="I708" s="43"/>
    </row>
    <row r="709" hidden="1">
      <c r="A709" s="102"/>
      <c r="C709" s="51"/>
      <c r="D709" s="102"/>
      <c r="E709" s="102"/>
      <c r="H709" s="102"/>
      <c r="I709" s="43"/>
    </row>
    <row r="710" hidden="1">
      <c r="A710" s="102"/>
      <c r="C710" s="51"/>
      <c r="D710" s="102"/>
      <c r="E710" s="102"/>
      <c r="H710" s="102"/>
      <c r="I710" s="43"/>
    </row>
    <row r="711" hidden="1">
      <c r="A711" s="102"/>
      <c r="C711" s="51"/>
      <c r="D711" s="102"/>
      <c r="E711" s="102"/>
      <c r="H711" s="102"/>
      <c r="I711" s="43"/>
    </row>
    <row r="712" hidden="1">
      <c r="A712" s="102"/>
      <c r="C712" s="51"/>
      <c r="D712" s="102"/>
      <c r="E712" s="102"/>
      <c r="H712" s="102"/>
      <c r="I712" s="43"/>
    </row>
    <row r="713" hidden="1">
      <c r="A713" s="102"/>
      <c r="C713" s="51"/>
      <c r="D713" s="102"/>
      <c r="E713" s="102"/>
      <c r="H713" s="102"/>
      <c r="I713" s="43"/>
    </row>
    <row r="714" hidden="1">
      <c r="A714" s="102"/>
      <c r="C714" s="51"/>
      <c r="D714" s="102"/>
      <c r="E714" s="102"/>
      <c r="H714" s="102"/>
      <c r="I714" s="43"/>
    </row>
    <row r="715" hidden="1">
      <c r="A715" s="102"/>
      <c r="C715" s="51"/>
      <c r="D715" s="102"/>
      <c r="E715" s="102"/>
      <c r="H715" s="102"/>
      <c r="I715" s="43"/>
    </row>
    <row r="716" hidden="1">
      <c r="A716" s="102"/>
      <c r="C716" s="51"/>
      <c r="D716" s="102"/>
      <c r="E716" s="102"/>
      <c r="H716" s="102"/>
      <c r="I716" s="43"/>
    </row>
    <row r="717" hidden="1">
      <c r="A717" s="102"/>
      <c r="C717" s="51"/>
      <c r="D717" s="102"/>
      <c r="E717" s="102"/>
      <c r="H717" s="102"/>
      <c r="I717" s="43"/>
    </row>
    <row r="718" hidden="1">
      <c r="A718" s="102"/>
      <c r="C718" s="51"/>
      <c r="D718" s="102"/>
      <c r="E718" s="102"/>
      <c r="H718" s="102"/>
      <c r="I718" s="43"/>
    </row>
    <row r="719" hidden="1">
      <c r="A719" s="102"/>
      <c r="C719" s="51"/>
      <c r="D719" s="102"/>
      <c r="E719" s="102"/>
      <c r="H719" s="102"/>
      <c r="I719" s="43"/>
    </row>
    <row r="720" hidden="1">
      <c r="A720" s="102"/>
      <c r="C720" s="51"/>
      <c r="D720" s="102"/>
      <c r="E720" s="102"/>
      <c r="H720" s="102"/>
      <c r="I720" s="43"/>
    </row>
    <row r="721" hidden="1">
      <c r="A721" s="102"/>
      <c r="C721" s="51"/>
      <c r="D721" s="102"/>
      <c r="E721" s="102"/>
      <c r="H721" s="102"/>
      <c r="I721" s="43"/>
    </row>
    <row r="722" hidden="1">
      <c r="A722" s="102"/>
      <c r="C722" s="51"/>
      <c r="D722" s="102"/>
      <c r="E722" s="102"/>
      <c r="H722" s="102"/>
      <c r="I722" s="43"/>
    </row>
    <row r="723" hidden="1">
      <c r="A723" s="102"/>
      <c r="C723" s="51"/>
      <c r="D723" s="102"/>
      <c r="E723" s="102"/>
      <c r="H723" s="102"/>
      <c r="I723" s="43"/>
    </row>
    <row r="724" hidden="1">
      <c r="A724" s="102"/>
      <c r="C724" s="51"/>
      <c r="D724" s="102"/>
      <c r="E724" s="102"/>
      <c r="H724" s="102"/>
      <c r="I724" s="43"/>
    </row>
    <row r="725" hidden="1">
      <c r="A725" s="102"/>
      <c r="C725" s="51"/>
      <c r="D725" s="102"/>
      <c r="E725" s="102"/>
      <c r="H725" s="102"/>
      <c r="I725" s="43"/>
    </row>
    <row r="726" hidden="1">
      <c r="A726" s="102"/>
      <c r="C726" s="51"/>
      <c r="D726" s="102"/>
      <c r="E726" s="102"/>
      <c r="H726" s="102"/>
      <c r="I726" s="43"/>
    </row>
    <row r="727" hidden="1">
      <c r="A727" s="102"/>
      <c r="C727" s="51"/>
      <c r="D727" s="102"/>
      <c r="E727" s="102"/>
      <c r="H727" s="102"/>
      <c r="I727" s="43"/>
    </row>
    <row r="728" hidden="1">
      <c r="A728" s="102"/>
      <c r="C728" s="51"/>
      <c r="D728" s="102"/>
      <c r="E728" s="102"/>
      <c r="H728" s="102"/>
      <c r="I728" s="43"/>
    </row>
    <row r="729" hidden="1">
      <c r="A729" s="102"/>
      <c r="C729" s="51"/>
      <c r="D729" s="102"/>
      <c r="E729" s="102"/>
      <c r="H729" s="102"/>
      <c r="I729" s="43"/>
    </row>
    <row r="730" hidden="1">
      <c r="A730" s="102"/>
      <c r="C730" s="51"/>
      <c r="D730" s="102"/>
      <c r="E730" s="102"/>
      <c r="H730" s="102"/>
      <c r="I730" s="43"/>
    </row>
    <row r="731" hidden="1">
      <c r="A731" s="102"/>
      <c r="C731" s="51"/>
      <c r="D731" s="102"/>
      <c r="E731" s="102"/>
      <c r="H731" s="102"/>
      <c r="I731" s="43"/>
    </row>
    <row r="732" hidden="1">
      <c r="A732" s="102"/>
      <c r="C732" s="51"/>
      <c r="D732" s="102"/>
      <c r="E732" s="102"/>
      <c r="H732" s="102"/>
      <c r="I732" s="43"/>
    </row>
    <row r="733" hidden="1">
      <c r="A733" s="102"/>
      <c r="C733" s="51"/>
      <c r="D733" s="102"/>
      <c r="E733" s="102"/>
      <c r="H733" s="102"/>
      <c r="I733" s="43"/>
    </row>
    <row r="734" hidden="1">
      <c r="A734" s="102"/>
      <c r="C734" s="51"/>
      <c r="D734" s="102"/>
      <c r="E734" s="102"/>
      <c r="H734" s="102"/>
      <c r="I734" s="43"/>
    </row>
    <row r="735" hidden="1">
      <c r="A735" s="102"/>
      <c r="C735" s="51"/>
      <c r="D735" s="102"/>
      <c r="E735" s="102"/>
      <c r="H735" s="102"/>
      <c r="I735" s="43"/>
    </row>
    <row r="736" hidden="1">
      <c r="A736" s="102"/>
      <c r="C736" s="51"/>
      <c r="D736" s="102"/>
      <c r="E736" s="102"/>
      <c r="H736" s="102"/>
      <c r="I736" s="43"/>
    </row>
    <row r="737" hidden="1">
      <c r="A737" s="102"/>
      <c r="C737" s="51"/>
      <c r="D737" s="102"/>
      <c r="E737" s="102"/>
      <c r="H737" s="102"/>
      <c r="I737" s="43"/>
    </row>
    <row r="738" hidden="1">
      <c r="A738" s="102"/>
      <c r="C738" s="51"/>
      <c r="D738" s="102"/>
      <c r="E738" s="102"/>
      <c r="H738" s="102"/>
      <c r="I738" s="43"/>
    </row>
    <row r="739" hidden="1">
      <c r="A739" s="102"/>
      <c r="C739" s="51"/>
      <c r="D739" s="102"/>
      <c r="E739" s="102"/>
      <c r="H739" s="102"/>
      <c r="I739" s="43"/>
    </row>
    <row r="740" hidden="1">
      <c r="A740" s="102"/>
      <c r="C740" s="51"/>
      <c r="D740" s="102"/>
      <c r="E740" s="102"/>
      <c r="H740" s="102"/>
      <c r="I740" s="43"/>
    </row>
    <row r="741" hidden="1">
      <c r="A741" s="102"/>
      <c r="C741" s="51"/>
      <c r="D741" s="102"/>
      <c r="E741" s="102"/>
      <c r="H741" s="102"/>
      <c r="I741" s="43"/>
    </row>
    <row r="742" hidden="1">
      <c r="A742" s="102"/>
      <c r="C742" s="51"/>
      <c r="D742" s="102"/>
      <c r="E742" s="102"/>
      <c r="H742" s="102"/>
      <c r="I742" s="43"/>
    </row>
    <row r="743" hidden="1">
      <c r="A743" s="102"/>
      <c r="C743" s="51"/>
      <c r="D743" s="102"/>
      <c r="E743" s="102"/>
      <c r="H743" s="102"/>
      <c r="I743" s="43"/>
    </row>
    <row r="744" hidden="1">
      <c r="A744" s="102"/>
      <c r="C744" s="51"/>
      <c r="D744" s="102"/>
      <c r="E744" s="102"/>
      <c r="H744" s="102"/>
      <c r="I744" s="43"/>
    </row>
    <row r="745" hidden="1">
      <c r="A745" s="102"/>
      <c r="C745" s="51"/>
      <c r="D745" s="102"/>
      <c r="E745" s="102"/>
      <c r="H745" s="102"/>
      <c r="I745" s="43"/>
    </row>
    <row r="746" hidden="1">
      <c r="A746" s="102"/>
      <c r="C746" s="51"/>
      <c r="D746" s="102"/>
      <c r="E746" s="102"/>
      <c r="H746" s="102"/>
      <c r="I746" s="43"/>
    </row>
    <row r="747" hidden="1">
      <c r="A747" s="102"/>
      <c r="C747" s="51"/>
      <c r="D747" s="102"/>
      <c r="E747" s="102"/>
      <c r="H747" s="102"/>
      <c r="I747" s="43"/>
    </row>
    <row r="748" hidden="1">
      <c r="A748" s="102"/>
      <c r="C748" s="51"/>
      <c r="D748" s="102"/>
      <c r="E748" s="102"/>
      <c r="H748" s="102"/>
      <c r="I748" s="43"/>
    </row>
    <row r="749" hidden="1">
      <c r="A749" s="102"/>
      <c r="C749" s="51"/>
      <c r="D749" s="102"/>
      <c r="E749" s="102"/>
      <c r="H749" s="102"/>
      <c r="I749" s="43"/>
    </row>
    <row r="750" hidden="1">
      <c r="A750" s="102"/>
      <c r="C750" s="51"/>
      <c r="D750" s="102"/>
      <c r="E750" s="102"/>
      <c r="H750" s="102"/>
      <c r="I750" s="43"/>
    </row>
    <row r="751" hidden="1">
      <c r="A751" s="102"/>
      <c r="C751" s="51"/>
      <c r="D751" s="102"/>
      <c r="E751" s="102"/>
      <c r="H751" s="102"/>
      <c r="I751" s="43"/>
    </row>
    <row r="752" hidden="1">
      <c r="A752" s="102"/>
      <c r="C752" s="51"/>
      <c r="D752" s="102"/>
      <c r="E752" s="102"/>
      <c r="H752" s="102"/>
      <c r="I752" s="43"/>
    </row>
    <row r="753" hidden="1">
      <c r="A753" s="102"/>
      <c r="C753" s="51"/>
      <c r="D753" s="102"/>
      <c r="E753" s="102"/>
      <c r="H753" s="102"/>
      <c r="I753" s="43"/>
    </row>
    <row r="754" hidden="1">
      <c r="A754" s="102"/>
      <c r="C754" s="51"/>
      <c r="D754" s="102"/>
      <c r="E754" s="102"/>
      <c r="H754" s="102"/>
      <c r="I754" s="43"/>
    </row>
    <row r="755" hidden="1">
      <c r="A755" s="102"/>
      <c r="C755" s="51"/>
      <c r="D755" s="102"/>
      <c r="E755" s="102"/>
      <c r="H755" s="102"/>
      <c r="I755" s="43"/>
    </row>
    <row r="756" hidden="1">
      <c r="A756" s="102"/>
      <c r="C756" s="51"/>
      <c r="D756" s="102"/>
      <c r="E756" s="102"/>
      <c r="H756" s="102"/>
      <c r="I756" s="43"/>
    </row>
    <row r="757" hidden="1">
      <c r="A757" s="102"/>
      <c r="C757" s="51"/>
      <c r="D757" s="102"/>
      <c r="E757" s="102"/>
      <c r="H757" s="102"/>
      <c r="I757" s="43"/>
    </row>
    <row r="758" hidden="1">
      <c r="A758" s="102"/>
      <c r="C758" s="51"/>
      <c r="D758" s="102"/>
      <c r="E758" s="102"/>
      <c r="H758" s="102"/>
      <c r="I758" s="43"/>
    </row>
    <row r="759" hidden="1">
      <c r="A759" s="102"/>
      <c r="C759" s="51"/>
      <c r="D759" s="102"/>
      <c r="E759" s="102"/>
      <c r="H759" s="102"/>
      <c r="I759" s="43"/>
    </row>
    <row r="760" hidden="1">
      <c r="A760" s="102"/>
      <c r="C760" s="51"/>
      <c r="D760" s="102"/>
      <c r="E760" s="102"/>
      <c r="H760" s="102"/>
      <c r="I760" s="43"/>
    </row>
    <row r="761" hidden="1">
      <c r="A761" s="102"/>
      <c r="C761" s="51"/>
      <c r="D761" s="102"/>
      <c r="E761" s="102"/>
      <c r="H761" s="102"/>
      <c r="I761" s="43"/>
    </row>
    <row r="762" hidden="1">
      <c r="A762" s="102"/>
      <c r="C762" s="51"/>
      <c r="D762" s="102"/>
      <c r="E762" s="102"/>
      <c r="H762" s="102"/>
      <c r="I762" s="43"/>
    </row>
    <row r="763" hidden="1">
      <c r="A763" s="102"/>
      <c r="C763" s="51"/>
      <c r="D763" s="102"/>
      <c r="E763" s="102"/>
      <c r="H763" s="102"/>
      <c r="I763" s="43"/>
    </row>
    <row r="764" hidden="1">
      <c r="A764" s="102"/>
      <c r="C764" s="51"/>
      <c r="D764" s="102"/>
      <c r="E764" s="102"/>
      <c r="H764" s="102"/>
      <c r="I764" s="43"/>
    </row>
    <row r="765" hidden="1">
      <c r="A765" s="102"/>
      <c r="C765" s="51"/>
      <c r="D765" s="102"/>
      <c r="E765" s="102"/>
      <c r="H765" s="102"/>
      <c r="I765" s="43"/>
    </row>
    <row r="766" hidden="1">
      <c r="A766" s="102"/>
      <c r="C766" s="51"/>
      <c r="D766" s="102"/>
      <c r="E766" s="102"/>
      <c r="H766" s="102"/>
      <c r="I766" s="43"/>
    </row>
    <row r="767" hidden="1">
      <c r="A767" s="102"/>
      <c r="C767" s="51"/>
      <c r="D767" s="102"/>
      <c r="E767" s="102"/>
      <c r="H767" s="102"/>
      <c r="I767" s="43"/>
    </row>
    <row r="768" hidden="1">
      <c r="A768" s="102"/>
      <c r="C768" s="51"/>
      <c r="D768" s="102"/>
      <c r="E768" s="102"/>
      <c r="H768" s="102"/>
      <c r="I768" s="43"/>
    </row>
    <row r="769" hidden="1">
      <c r="A769" s="102"/>
      <c r="C769" s="51"/>
      <c r="D769" s="102"/>
      <c r="E769" s="102"/>
      <c r="H769" s="102"/>
      <c r="I769" s="43"/>
    </row>
    <row r="770" hidden="1">
      <c r="A770" s="102"/>
      <c r="C770" s="51"/>
      <c r="D770" s="102"/>
      <c r="E770" s="102"/>
      <c r="H770" s="102"/>
      <c r="I770" s="43"/>
    </row>
    <row r="771" hidden="1">
      <c r="A771" s="102"/>
      <c r="C771" s="51"/>
      <c r="D771" s="102"/>
      <c r="E771" s="102"/>
      <c r="H771" s="102"/>
      <c r="I771" s="43"/>
    </row>
    <row r="772" hidden="1">
      <c r="A772" s="102"/>
      <c r="C772" s="51"/>
      <c r="D772" s="102"/>
      <c r="E772" s="102"/>
      <c r="H772" s="102"/>
      <c r="I772" s="43"/>
    </row>
    <row r="773" hidden="1">
      <c r="A773" s="102"/>
      <c r="C773" s="51"/>
      <c r="D773" s="102"/>
      <c r="E773" s="102"/>
      <c r="H773" s="102"/>
      <c r="I773" s="43"/>
    </row>
    <row r="774" hidden="1">
      <c r="A774" s="102"/>
      <c r="C774" s="51"/>
      <c r="D774" s="102"/>
      <c r="E774" s="102"/>
      <c r="H774" s="102"/>
      <c r="I774" s="43"/>
    </row>
    <row r="775" hidden="1">
      <c r="A775" s="102"/>
      <c r="C775" s="51"/>
      <c r="D775" s="102"/>
      <c r="E775" s="102"/>
      <c r="H775" s="102"/>
      <c r="I775" s="43"/>
    </row>
    <row r="776" hidden="1">
      <c r="A776" s="102"/>
      <c r="C776" s="51"/>
      <c r="D776" s="102"/>
      <c r="E776" s="102"/>
      <c r="H776" s="102"/>
      <c r="I776" s="43"/>
    </row>
    <row r="777" hidden="1">
      <c r="A777" s="102"/>
      <c r="C777" s="51"/>
      <c r="D777" s="102"/>
      <c r="E777" s="102"/>
      <c r="H777" s="102"/>
      <c r="I777" s="43"/>
    </row>
    <row r="778" hidden="1">
      <c r="A778" s="102"/>
      <c r="C778" s="51"/>
      <c r="D778" s="102"/>
      <c r="E778" s="102"/>
      <c r="H778" s="102"/>
      <c r="I778" s="43"/>
    </row>
    <row r="779" hidden="1">
      <c r="A779" s="102"/>
      <c r="C779" s="51"/>
      <c r="D779" s="102"/>
      <c r="E779" s="102"/>
      <c r="H779" s="102"/>
      <c r="I779" s="43"/>
    </row>
    <row r="780" hidden="1">
      <c r="A780" s="102"/>
      <c r="C780" s="51"/>
      <c r="D780" s="102"/>
      <c r="E780" s="102"/>
      <c r="H780" s="102"/>
      <c r="I780" s="43"/>
    </row>
    <row r="781" hidden="1">
      <c r="A781" s="102"/>
      <c r="C781" s="51"/>
      <c r="D781" s="102"/>
      <c r="E781" s="102"/>
      <c r="H781" s="102"/>
      <c r="I781" s="43"/>
    </row>
    <row r="782" hidden="1">
      <c r="A782" s="102"/>
      <c r="C782" s="51"/>
      <c r="D782" s="102"/>
      <c r="E782" s="102"/>
      <c r="H782" s="102"/>
      <c r="I782" s="43"/>
    </row>
    <row r="783" hidden="1">
      <c r="A783" s="102"/>
      <c r="C783" s="51"/>
      <c r="D783" s="102"/>
      <c r="E783" s="102"/>
      <c r="H783" s="102"/>
      <c r="I783" s="43"/>
    </row>
    <row r="784" hidden="1">
      <c r="A784" s="102"/>
      <c r="C784" s="51"/>
      <c r="D784" s="102"/>
      <c r="E784" s="102"/>
      <c r="H784" s="102"/>
      <c r="I784" s="43"/>
    </row>
    <row r="785" hidden="1">
      <c r="A785" s="102"/>
      <c r="C785" s="51"/>
      <c r="D785" s="102"/>
      <c r="E785" s="102"/>
      <c r="H785" s="102"/>
      <c r="I785" s="43"/>
    </row>
    <row r="786" hidden="1">
      <c r="A786" s="102"/>
      <c r="C786" s="51"/>
      <c r="D786" s="102"/>
      <c r="E786" s="102"/>
      <c r="H786" s="102"/>
      <c r="I786" s="43"/>
    </row>
    <row r="787" hidden="1">
      <c r="A787" s="102"/>
      <c r="C787" s="51"/>
      <c r="D787" s="102"/>
      <c r="E787" s="102"/>
      <c r="H787" s="102"/>
      <c r="I787" s="43"/>
    </row>
    <row r="788" hidden="1">
      <c r="A788" s="102"/>
      <c r="C788" s="51"/>
      <c r="D788" s="102"/>
      <c r="E788" s="102"/>
      <c r="H788" s="102"/>
      <c r="I788" s="43"/>
    </row>
    <row r="789" hidden="1">
      <c r="A789" s="102"/>
      <c r="C789" s="51"/>
      <c r="D789" s="102"/>
      <c r="E789" s="102"/>
      <c r="H789" s="102"/>
      <c r="I789" s="43"/>
    </row>
    <row r="790" hidden="1">
      <c r="A790" s="102"/>
      <c r="C790" s="51"/>
      <c r="D790" s="102"/>
      <c r="E790" s="102"/>
      <c r="H790" s="102"/>
      <c r="I790" s="43"/>
    </row>
    <row r="791" hidden="1">
      <c r="A791" s="102"/>
      <c r="C791" s="51"/>
      <c r="D791" s="102"/>
      <c r="E791" s="102"/>
      <c r="H791" s="102"/>
      <c r="I791" s="43"/>
    </row>
    <row r="792" hidden="1">
      <c r="A792" s="102"/>
      <c r="C792" s="51"/>
      <c r="D792" s="102"/>
      <c r="E792" s="102"/>
      <c r="H792" s="102"/>
      <c r="I792" s="43"/>
    </row>
    <row r="793" hidden="1">
      <c r="A793" s="102"/>
      <c r="C793" s="51"/>
      <c r="D793" s="102"/>
      <c r="E793" s="102"/>
      <c r="H793" s="102"/>
      <c r="I793" s="43"/>
    </row>
    <row r="794" hidden="1">
      <c r="A794" s="102"/>
      <c r="C794" s="51"/>
      <c r="D794" s="102"/>
      <c r="E794" s="102"/>
      <c r="H794" s="102"/>
      <c r="I794" s="43"/>
    </row>
    <row r="795" hidden="1">
      <c r="A795" s="102"/>
      <c r="C795" s="51"/>
      <c r="D795" s="102"/>
      <c r="E795" s="102"/>
      <c r="H795" s="102"/>
      <c r="I795" s="43"/>
    </row>
    <row r="796" hidden="1">
      <c r="A796" s="102"/>
      <c r="C796" s="51"/>
      <c r="D796" s="102"/>
      <c r="E796" s="102"/>
      <c r="H796" s="102"/>
      <c r="I796" s="43"/>
    </row>
    <row r="797" hidden="1">
      <c r="A797" s="102"/>
      <c r="C797" s="51"/>
      <c r="D797" s="102"/>
      <c r="E797" s="102"/>
      <c r="H797" s="102"/>
      <c r="I797" s="43"/>
    </row>
    <row r="798" hidden="1">
      <c r="A798" s="102"/>
      <c r="C798" s="51"/>
      <c r="D798" s="102"/>
      <c r="E798" s="102"/>
      <c r="H798" s="102"/>
      <c r="I798" s="43"/>
    </row>
    <row r="799" hidden="1">
      <c r="A799" s="102"/>
      <c r="C799" s="51"/>
      <c r="D799" s="102"/>
      <c r="E799" s="102"/>
      <c r="H799" s="102"/>
      <c r="I799" s="43"/>
    </row>
    <row r="800" hidden="1">
      <c r="A800" s="102"/>
      <c r="C800" s="51"/>
      <c r="D800" s="102"/>
      <c r="E800" s="102"/>
      <c r="H800" s="102"/>
      <c r="I800" s="43"/>
    </row>
    <row r="801" hidden="1">
      <c r="A801" s="102"/>
      <c r="C801" s="51"/>
      <c r="D801" s="102"/>
      <c r="E801" s="102"/>
      <c r="H801" s="102"/>
      <c r="I801" s="43"/>
    </row>
    <row r="802" hidden="1">
      <c r="A802" s="102"/>
      <c r="C802" s="51"/>
      <c r="D802" s="102"/>
      <c r="E802" s="102"/>
      <c r="H802" s="102"/>
      <c r="I802" s="43"/>
    </row>
    <row r="803" hidden="1">
      <c r="A803" s="102"/>
      <c r="C803" s="51"/>
      <c r="D803" s="102"/>
      <c r="E803" s="102"/>
      <c r="H803" s="102"/>
      <c r="I803" s="43"/>
    </row>
    <row r="804" hidden="1">
      <c r="A804" s="102"/>
      <c r="C804" s="51"/>
      <c r="D804" s="102"/>
      <c r="E804" s="102"/>
      <c r="H804" s="102"/>
      <c r="I804" s="43"/>
    </row>
    <row r="805" hidden="1">
      <c r="A805" s="102"/>
      <c r="C805" s="51"/>
      <c r="D805" s="102"/>
      <c r="E805" s="102"/>
      <c r="H805" s="102"/>
      <c r="I805" s="43"/>
    </row>
    <row r="806" hidden="1">
      <c r="A806" s="102"/>
      <c r="C806" s="51"/>
      <c r="D806" s="102"/>
      <c r="E806" s="102"/>
      <c r="H806" s="102"/>
      <c r="I806" s="43"/>
    </row>
    <row r="807" hidden="1">
      <c r="A807" s="102"/>
      <c r="C807" s="51"/>
      <c r="D807" s="102"/>
      <c r="E807" s="102"/>
      <c r="H807" s="102"/>
      <c r="I807" s="43"/>
    </row>
    <row r="808" hidden="1">
      <c r="A808" s="102"/>
      <c r="C808" s="51"/>
      <c r="D808" s="102"/>
      <c r="E808" s="102"/>
      <c r="H808" s="102"/>
      <c r="I808" s="43"/>
    </row>
    <row r="809" hidden="1">
      <c r="A809" s="102"/>
      <c r="C809" s="51"/>
      <c r="D809" s="102"/>
      <c r="E809" s="102"/>
      <c r="H809" s="102"/>
      <c r="I809" s="43"/>
    </row>
    <row r="810" hidden="1">
      <c r="A810" s="102"/>
      <c r="C810" s="51"/>
      <c r="D810" s="102"/>
      <c r="E810" s="102"/>
      <c r="H810" s="102"/>
      <c r="I810" s="43"/>
    </row>
    <row r="811" hidden="1">
      <c r="A811" s="102"/>
      <c r="C811" s="51"/>
      <c r="D811" s="102"/>
      <c r="E811" s="102"/>
      <c r="H811" s="102"/>
      <c r="I811" s="43"/>
    </row>
    <row r="812" hidden="1">
      <c r="A812" s="102"/>
      <c r="C812" s="51"/>
      <c r="D812" s="102"/>
      <c r="E812" s="102"/>
      <c r="H812" s="102"/>
      <c r="I812" s="43"/>
    </row>
    <row r="813" hidden="1">
      <c r="A813" s="102"/>
      <c r="C813" s="51"/>
      <c r="D813" s="102"/>
      <c r="E813" s="102"/>
      <c r="H813" s="102"/>
      <c r="I813" s="43"/>
    </row>
    <row r="814" hidden="1">
      <c r="A814" s="102"/>
      <c r="C814" s="51"/>
      <c r="D814" s="102"/>
      <c r="E814" s="102"/>
      <c r="H814" s="102"/>
      <c r="I814" s="43"/>
    </row>
    <row r="815" hidden="1">
      <c r="A815" s="102"/>
      <c r="C815" s="51"/>
      <c r="D815" s="102"/>
      <c r="E815" s="102"/>
      <c r="H815" s="102"/>
      <c r="I815" s="43"/>
    </row>
    <row r="816" hidden="1">
      <c r="A816" s="102"/>
      <c r="C816" s="51"/>
      <c r="D816" s="102"/>
      <c r="E816" s="102"/>
      <c r="H816" s="102"/>
      <c r="I816" s="43"/>
    </row>
    <row r="817" hidden="1">
      <c r="A817" s="102"/>
      <c r="C817" s="51"/>
      <c r="D817" s="102"/>
      <c r="E817" s="102"/>
      <c r="H817" s="102"/>
      <c r="I817" s="43"/>
    </row>
    <row r="818" hidden="1">
      <c r="A818" s="102"/>
      <c r="C818" s="51"/>
      <c r="D818" s="102"/>
      <c r="E818" s="102"/>
      <c r="H818" s="102"/>
      <c r="I818" s="43"/>
    </row>
    <row r="819" hidden="1">
      <c r="A819" s="102"/>
      <c r="C819" s="51"/>
      <c r="D819" s="102"/>
      <c r="E819" s="102"/>
      <c r="H819" s="102"/>
      <c r="I819" s="43"/>
    </row>
    <row r="820" hidden="1">
      <c r="A820" s="102"/>
      <c r="C820" s="51"/>
      <c r="D820" s="102"/>
      <c r="E820" s="102"/>
      <c r="H820" s="102"/>
      <c r="I820" s="43"/>
    </row>
    <row r="821" hidden="1">
      <c r="A821" s="102"/>
      <c r="C821" s="51"/>
      <c r="D821" s="102"/>
      <c r="E821" s="102"/>
      <c r="H821" s="102"/>
      <c r="I821" s="43"/>
    </row>
    <row r="822" hidden="1">
      <c r="A822" s="102"/>
      <c r="C822" s="51"/>
      <c r="D822" s="102"/>
      <c r="E822" s="102"/>
      <c r="H822" s="102"/>
      <c r="I822" s="43"/>
    </row>
    <row r="823" hidden="1">
      <c r="A823" s="102"/>
      <c r="C823" s="51"/>
      <c r="D823" s="102"/>
      <c r="E823" s="102"/>
      <c r="H823" s="102"/>
      <c r="I823" s="43"/>
    </row>
    <row r="824" hidden="1">
      <c r="A824" s="102"/>
      <c r="C824" s="51"/>
      <c r="D824" s="102"/>
      <c r="E824" s="102"/>
      <c r="H824" s="102"/>
      <c r="I824" s="43"/>
    </row>
    <row r="825" hidden="1">
      <c r="A825" s="102"/>
      <c r="C825" s="51"/>
      <c r="D825" s="102"/>
      <c r="E825" s="102"/>
      <c r="H825" s="102"/>
      <c r="I825" s="43"/>
    </row>
    <row r="826" hidden="1">
      <c r="A826" s="102"/>
      <c r="C826" s="51"/>
      <c r="D826" s="102"/>
      <c r="E826" s="102"/>
      <c r="H826" s="102"/>
      <c r="I826" s="43"/>
    </row>
    <row r="827" hidden="1">
      <c r="A827" s="102"/>
      <c r="C827" s="51"/>
      <c r="D827" s="102"/>
      <c r="E827" s="102"/>
      <c r="H827" s="102"/>
      <c r="I827" s="43"/>
    </row>
    <row r="828" hidden="1">
      <c r="A828" s="102"/>
      <c r="C828" s="51"/>
      <c r="D828" s="102"/>
      <c r="E828" s="102"/>
      <c r="H828" s="102"/>
      <c r="I828" s="43"/>
    </row>
    <row r="829" hidden="1">
      <c r="A829" s="102"/>
      <c r="C829" s="51"/>
      <c r="D829" s="102"/>
      <c r="E829" s="102"/>
      <c r="H829" s="102"/>
      <c r="I829" s="43"/>
    </row>
    <row r="830" hidden="1">
      <c r="A830" s="102"/>
      <c r="C830" s="51"/>
      <c r="D830" s="102"/>
      <c r="E830" s="102"/>
      <c r="H830" s="102"/>
      <c r="I830" s="43"/>
    </row>
    <row r="831" hidden="1">
      <c r="A831" s="102"/>
      <c r="C831" s="51"/>
      <c r="D831" s="102"/>
      <c r="E831" s="102"/>
      <c r="H831" s="102"/>
      <c r="I831" s="43"/>
    </row>
    <row r="832" hidden="1">
      <c r="A832" s="102"/>
      <c r="C832" s="51"/>
      <c r="D832" s="102"/>
      <c r="E832" s="102"/>
      <c r="H832" s="102"/>
      <c r="I832" s="43"/>
    </row>
    <row r="833" hidden="1">
      <c r="A833" s="102"/>
      <c r="C833" s="51"/>
      <c r="D833" s="102"/>
      <c r="E833" s="102"/>
      <c r="H833" s="102"/>
      <c r="I833" s="43"/>
    </row>
    <row r="834" hidden="1">
      <c r="A834" s="102"/>
      <c r="C834" s="51"/>
      <c r="D834" s="102"/>
      <c r="E834" s="102"/>
      <c r="H834" s="102"/>
      <c r="I834" s="43"/>
    </row>
    <row r="835" hidden="1">
      <c r="A835" s="102"/>
      <c r="C835" s="51"/>
      <c r="D835" s="102"/>
      <c r="E835" s="102"/>
      <c r="H835" s="102"/>
      <c r="I835" s="43"/>
    </row>
    <row r="836" hidden="1">
      <c r="A836" s="102"/>
      <c r="C836" s="51"/>
      <c r="D836" s="102"/>
      <c r="E836" s="102"/>
      <c r="H836" s="102"/>
      <c r="I836" s="43"/>
    </row>
    <row r="837" hidden="1">
      <c r="A837" s="102"/>
      <c r="C837" s="51"/>
      <c r="D837" s="102"/>
      <c r="E837" s="102"/>
      <c r="H837" s="102"/>
      <c r="I837" s="43"/>
    </row>
    <row r="838" hidden="1">
      <c r="A838" s="102"/>
      <c r="C838" s="51"/>
      <c r="D838" s="102"/>
      <c r="E838" s="102"/>
      <c r="H838" s="102"/>
      <c r="I838" s="43"/>
    </row>
    <row r="839" hidden="1">
      <c r="A839" s="102"/>
      <c r="C839" s="51"/>
      <c r="D839" s="102"/>
      <c r="E839" s="102"/>
      <c r="H839" s="102"/>
      <c r="I839" s="43"/>
    </row>
    <row r="840" hidden="1">
      <c r="A840" s="102"/>
      <c r="C840" s="51"/>
      <c r="D840" s="102"/>
      <c r="E840" s="102"/>
      <c r="H840" s="102"/>
      <c r="I840" s="43"/>
    </row>
    <row r="841" hidden="1">
      <c r="A841" s="102"/>
      <c r="C841" s="51"/>
      <c r="D841" s="102"/>
      <c r="E841" s="102"/>
      <c r="H841" s="102"/>
      <c r="I841" s="43"/>
    </row>
    <row r="842" hidden="1">
      <c r="A842" s="102"/>
      <c r="C842" s="51"/>
      <c r="D842" s="102"/>
      <c r="E842" s="102"/>
      <c r="H842" s="102"/>
      <c r="I842" s="43"/>
    </row>
    <row r="843" hidden="1">
      <c r="A843" s="102"/>
      <c r="C843" s="51"/>
      <c r="D843" s="102"/>
      <c r="E843" s="102"/>
      <c r="H843" s="102"/>
      <c r="I843" s="43"/>
    </row>
    <row r="844" hidden="1">
      <c r="A844" s="102"/>
      <c r="C844" s="51"/>
      <c r="D844" s="102"/>
      <c r="E844" s="102"/>
      <c r="H844" s="102"/>
      <c r="I844" s="43"/>
    </row>
    <row r="845" hidden="1">
      <c r="A845" s="102"/>
      <c r="C845" s="51"/>
      <c r="D845" s="102"/>
      <c r="E845" s="102"/>
      <c r="H845" s="102"/>
      <c r="I845" s="43"/>
    </row>
    <row r="846" hidden="1">
      <c r="A846" s="102"/>
      <c r="C846" s="51"/>
      <c r="D846" s="102"/>
      <c r="E846" s="102"/>
      <c r="H846" s="102"/>
      <c r="I846" s="43"/>
    </row>
    <row r="847" hidden="1">
      <c r="A847" s="102"/>
      <c r="C847" s="51"/>
      <c r="D847" s="102"/>
      <c r="E847" s="102"/>
      <c r="H847" s="102"/>
      <c r="I847" s="43"/>
    </row>
    <row r="848" hidden="1">
      <c r="A848" s="102"/>
      <c r="C848" s="51"/>
      <c r="D848" s="102"/>
      <c r="E848" s="102"/>
      <c r="H848" s="102"/>
      <c r="I848" s="43"/>
    </row>
    <row r="849" hidden="1">
      <c r="A849" s="102"/>
      <c r="C849" s="51"/>
      <c r="D849" s="102"/>
      <c r="E849" s="102"/>
      <c r="H849" s="102"/>
      <c r="I849" s="43"/>
    </row>
    <row r="850" hidden="1">
      <c r="A850" s="102"/>
      <c r="C850" s="51"/>
      <c r="D850" s="102"/>
      <c r="E850" s="102"/>
      <c r="H850" s="102"/>
      <c r="I850" s="43"/>
    </row>
    <row r="851" hidden="1">
      <c r="A851" s="102"/>
      <c r="C851" s="51"/>
      <c r="D851" s="102"/>
      <c r="E851" s="102"/>
      <c r="H851" s="102"/>
      <c r="I851" s="43"/>
    </row>
    <row r="852" hidden="1">
      <c r="A852" s="102"/>
      <c r="C852" s="51"/>
      <c r="D852" s="102"/>
      <c r="E852" s="102"/>
      <c r="H852" s="102"/>
      <c r="I852" s="43"/>
    </row>
    <row r="853" hidden="1">
      <c r="A853" s="102"/>
      <c r="C853" s="51"/>
      <c r="D853" s="102"/>
      <c r="E853" s="102"/>
      <c r="H853" s="102"/>
      <c r="I853" s="43"/>
    </row>
    <row r="854" hidden="1">
      <c r="A854" s="102"/>
      <c r="C854" s="51"/>
      <c r="D854" s="102"/>
      <c r="E854" s="102"/>
      <c r="H854" s="102"/>
      <c r="I854" s="43"/>
    </row>
    <row r="855" hidden="1">
      <c r="A855" s="102"/>
      <c r="C855" s="51"/>
      <c r="D855" s="102"/>
      <c r="E855" s="102"/>
      <c r="H855" s="102"/>
      <c r="I855" s="43"/>
    </row>
    <row r="856" hidden="1">
      <c r="A856" s="102"/>
      <c r="C856" s="51"/>
      <c r="D856" s="102"/>
      <c r="E856" s="102"/>
      <c r="H856" s="102"/>
      <c r="I856" s="43"/>
    </row>
    <row r="857" hidden="1">
      <c r="A857" s="102"/>
      <c r="C857" s="51"/>
      <c r="D857" s="102"/>
      <c r="E857" s="102"/>
      <c r="H857" s="102"/>
      <c r="I857" s="43"/>
    </row>
    <row r="858" hidden="1">
      <c r="A858" s="102"/>
      <c r="C858" s="51"/>
      <c r="D858" s="102"/>
      <c r="E858" s="102"/>
      <c r="H858" s="102"/>
      <c r="I858" s="43"/>
    </row>
    <row r="859" hidden="1">
      <c r="A859" s="102"/>
      <c r="C859" s="51"/>
      <c r="D859" s="102"/>
      <c r="E859" s="102"/>
      <c r="H859" s="102"/>
      <c r="I859" s="43"/>
    </row>
    <row r="860" hidden="1">
      <c r="A860" s="102"/>
      <c r="C860" s="51"/>
      <c r="D860" s="102"/>
      <c r="E860" s="102"/>
      <c r="H860" s="102"/>
      <c r="I860" s="43"/>
    </row>
    <row r="861" hidden="1">
      <c r="A861" s="102"/>
      <c r="C861" s="51"/>
      <c r="D861" s="102"/>
      <c r="E861" s="102"/>
      <c r="H861" s="102"/>
      <c r="I861" s="43"/>
    </row>
    <row r="862" hidden="1">
      <c r="A862" s="102"/>
      <c r="C862" s="51"/>
      <c r="D862" s="102"/>
      <c r="E862" s="102"/>
      <c r="H862" s="102"/>
      <c r="I862" s="43"/>
    </row>
    <row r="863" hidden="1">
      <c r="A863" s="102"/>
      <c r="C863" s="51"/>
      <c r="D863" s="102"/>
      <c r="E863" s="102"/>
      <c r="H863" s="102"/>
      <c r="I863" s="43"/>
    </row>
    <row r="864" hidden="1">
      <c r="A864" s="102"/>
      <c r="C864" s="51"/>
      <c r="D864" s="102"/>
      <c r="E864" s="102"/>
      <c r="H864" s="102"/>
      <c r="I864" s="43"/>
    </row>
    <row r="865" hidden="1">
      <c r="A865" s="102"/>
      <c r="C865" s="51"/>
      <c r="D865" s="102"/>
      <c r="E865" s="102"/>
      <c r="H865" s="102"/>
      <c r="I865" s="43"/>
    </row>
    <row r="866" hidden="1">
      <c r="A866" s="102"/>
      <c r="C866" s="51"/>
      <c r="D866" s="102"/>
      <c r="E866" s="102"/>
      <c r="H866" s="102"/>
      <c r="I866" s="43"/>
    </row>
    <row r="867" hidden="1">
      <c r="A867" s="102"/>
      <c r="C867" s="51"/>
      <c r="D867" s="102"/>
      <c r="E867" s="102"/>
      <c r="H867" s="102"/>
      <c r="I867" s="43"/>
    </row>
    <row r="868" hidden="1">
      <c r="A868" s="102"/>
      <c r="C868" s="51"/>
      <c r="D868" s="102"/>
      <c r="E868" s="102"/>
      <c r="H868" s="102"/>
      <c r="I868" s="43"/>
    </row>
    <row r="869" hidden="1">
      <c r="A869" s="102"/>
      <c r="C869" s="51"/>
      <c r="D869" s="102"/>
      <c r="E869" s="102"/>
      <c r="H869" s="102"/>
      <c r="I869" s="43"/>
    </row>
    <row r="870" hidden="1">
      <c r="A870" s="102"/>
      <c r="C870" s="51"/>
      <c r="D870" s="102"/>
      <c r="E870" s="102"/>
      <c r="H870" s="102"/>
      <c r="I870" s="43"/>
    </row>
    <row r="871" hidden="1">
      <c r="A871" s="102"/>
      <c r="C871" s="51"/>
      <c r="D871" s="102"/>
      <c r="E871" s="102"/>
      <c r="H871" s="102"/>
      <c r="I871" s="43"/>
    </row>
    <row r="872" hidden="1">
      <c r="A872" s="102"/>
      <c r="C872" s="51"/>
      <c r="D872" s="102"/>
      <c r="E872" s="102"/>
      <c r="H872" s="102"/>
      <c r="I872" s="43"/>
    </row>
    <row r="873" hidden="1">
      <c r="A873" s="102"/>
      <c r="C873" s="51"/>
      <c r="D873" s="102"/>
      <c r="E873" s="102"/>
      <c r="H873" s="102"/>
      <c r="I873" s="43"/>
    </row>
    <row r="874" hidden="1">
      <c r="A874" s="102"/>
      <c r="C874" s="51"/>
      <c r="D874" s="102"/>
      <c r="E874" s="102"/>
      <c r="H874" s="102"/>
      <c r="I874" s="43"/>
    </row>
    <row r="875" hidden="1">
      <c r="A875" s="102"/>
      <c r="C875" s="51"/>
      <c r="D875" s="102"/>
      <c r="E875" s="102"/>
      <c r="H875" s="102"/>
      <c r="I875" s="43"/>
    </row>
    <row r="876" hidden="1">
      <c r="A876" s="102"/>
      <c r="C876" s="51"/>
      <c r="D876" s="102"/>
      <c r="E876" s="102"/>
      <c r="H876" s="102"/>
      <c r="I876" s="43"/>
    </row>
    <row r="877" hidden="1">
      <c r="A877" s="102"/>
      <c r="C877" s="51"/>
      <c r="D877" s="102"/>
      <c r="E877" s="102"/>
      <c r="H877" s="102"/>
      <c r="I877" s="43"/>
    </row>
    <row r="878" hidden="1">
      <c r="A878" s="102"/>
      <c r="C878" s="51"/>
      <c r="D878" s="102"/>
      <c r="E878" s="102"/>
      <c r="H878" s="102"/>
      <c r="I878" s="43"/>
    </row>
    <row r="879" hidden="1">
      <c r="A879" s="102"/>
      <c r="C879" s="51"/>
      <c r="D879" s="102"/>
      <c r="E879" s="102"/>
      <c r="H879" s="102"/>
      <c r="I879" s="43"/>
    </row>
    <row r="880" hidden="1">
      <c r="A880" s="102"/>
      <c r="C880" s="51"/>
      <c r="D880" s="102"/>
      <c r="E880" s="102"/>
      <c r="H880" s="102"/>
      <c r="I880" s="43"/>
    </row>
    <row r="881" hidden="1">
      <c r="A881" s="102"/>
      <c r="C881" s="51"/>
      <c r="D881" s="102"/>
      <c r="E881" s="102"/>
      <c r="H881" s="102"/>
      <c r="I881" s="43"/>
    </row>
    <row r="882" hidden="1">
      <c r="A882" s="102"/>
      <c r="C882" s="51"/>
      <c r="D882" s="102"/>
      <c r="E882" s="102"/>
      <c r="H882" s="102"/>
      <c r="I882" s="43"/>
    </row>
    <row r="883" hidden="1">
      <c r="A883" s="102"/>
      <c r="C883" s="51"/>
      <c r="D883" s="102"/>
      <c r="E883" s="102"/>
      <c r="H883" s="102"/>
      <c r="I883" s="43"/>
    </row>
    <row r="884" hidden="1">
      <c r="A884" s="102"/>
      <c r="C884" s="51"/>
      <c r="D884" s="102"/>
      <c r="E884" s="102"/>
      <c r="H884" s="102"/>
      <c r="I884" s="43"/>
    </row>
    <row r="885" hidden="1">
      <c r="A885" s="102"/>
      <c r="C885" s="51"/>
      <c r="D885" s="102"/>
      <c r="E885" s="102"/>
      <c r="H885" s="102"/>
      <c r="I885" s="43"/>
    </row>
    <row r="886" hidden="1">
      <c r="A886" s="102"/>
      <c r="C886" s="51"/>
      <c r="D886" s="102"/>
      <c r="E886" s="102"/>
      <c r="H886" s="102"/>
      <c r="I886" s="43"/>
    </row>
    <row r="887" hidden="1">
      <c r="A887" s="102"/>
      <c r="C887" s="51"/>
      <c r="D887" s="102"/>
      <c r="E887" s="102"/>
      <c r="H887" s="102"/>
      <c r="I887" s="43"/>
    </row>
    <row r="888" hidden="1">
      <c r="A888" s="102"/>
      <c r="C888" s="51"/>
      <c r="D888" s="102"/>
      <c r="E888" s="102"/>
      <c r="H888" s="102"/>
      <c r="I888" s="43"/>
    </row>
    <row r="889" hidden="1">
      <c r="A889" s="102"/>
      <c r="C889" s="51"/>
      <c r="D889" s="102"/>
      <c r="E889" s="102"/>
      <c r="H889" s="102"/>
      <c r="I889" s="43"/>
    </row>
    <row r="890" hidden="1">
      <c r="A890" s="102"/>
      <c r="C890" s="51"/>
      <c r="D890" s="102"/>
      <c r="E890" s="102"/>
      <c r="H890" s="102"/>
      <c r="I890" s="43"/>
    </row>
    <row r="891" hidden="1">
      <c r="A891" s="102"/>
      <c r="C891" s="51"/>
      <c r="D891" s="102"/>
      <c r="E891" s="102"/>
      <c r="H891" s="102"/>
      <c r="I891" s="43"/>
    </row>
    <row r="892" hidden="1">
      <c r="A892" s="102"/>
      <c r="C892" s="51"/>
      <c r="D892" s="102"/>
      <c r="E892" s="102"/>
      <c r="H892" s="102"/>
      <c r="I892" s="43"/>
    </row>
    <row r="893" hidden="1">
      <c r="A893" s="102"/>
      <c r="C893" s="51"/>
      <c r="D893" s="102"/>
      <c r="E893" s="102"/>
      <c r="H893" s="102"/>
      <c r="I893" s="43"/>
    </row>
    <row r="894" hidden="1">
      <c r="A894" s="102"/>
      <c r="C894" s="51"/>
      <c r="D894" s="102"/>
      <c r="E894" s="102"/>
      <c r="H894" s="102"/>
      <c r="I894" s="43"/>
    </row>
    <row r="895" hidden="1">
      <c r="A895" s="102"/>
      <c r="C895" s="51"/>
      <c r="D895" s="102"/>
      <c r="E895" s="102"/>
      <c r="H895" s="102"/>
      <c r="I895" s="43"/>
    </row>
    <row r="896" hidden="1">
      <c r="A896" s="102"/>
      <c r="C896" s="51"/>
      <c r="D896" s="102"/>
      <c r="E896" s="102"/>
      <c r="H896" s="102"/>
      <c r="I896" s="43"/>
    </row>
    <row r="897" hidden="1">
      <c r="A897" s="102"/>
      <c r="C897" s="51"/>
      <c r="D897" s="102"/>
      <c r="E897" s="102"/>
      <c r="H897" s="102"/>
      <c r="I897" s="43"/>
    </row>
    <row r="898" hidden="1">
      <c r="A898" s="102"/>
      <c r="C898" s="51"/>
      <c r="D898" s="102"/>
      <c r="E898" s="102"/>
      <c r="H898" s="102"/>
      <c r="I898" s="43"/>
    </row>
    <row r="899" hidden="1">
      <c r="A899" s="102"/>
      <c r="C899" s="51"/>
      <c r="D899" s="102"/>
      <c r="E899" s="102"/>
      <c r="H899" s="102"/>
      <c r="I899" s="43"/>
    </row>
    <row r="900" hidden="1">
      <c r="A900" s="102"/>
      <c r="C900" s="51"/>
      <c r="D900" s="102"/>
      <c r="E900" s="102"/>
      <c r="H900" s="102"/>
      <c r="I900" s="43"/>
    </row>
    <row r="901" hidden="1">
      <c r="A901" s="102"/>
      <c r="C901" s="51"/>
      <c r="D901" s="102"/>
      <c r="E901" s="102"/>
      <c r="H901" s="102"/>
      <c r="I901" s="43"/>
    </row>
    <row r="902" hidden="1">
      <c r="A902" s="102"/>
      <c r="C902" s="51"/>
      <c r="D902" s="102"/>
      <c r="E902" s="102"/>
      <c r="H902" s="102"/>
      <c r="I902" s="43"/>
    </row>
    <row r="903" hidden="1">
      <c r="A903" s="102"/>
      <c r="C903" s="51"/>
      <c r="D903" s="102"/>
      <c r="E903" s="102"/>
      <c r="H903" s="102"/>
      <c r="I903" s="43"/>
    </row>
    <row r="904" hidden="1">
      <c r="A904" s="102"/>
      <c r="C904" s="51"/>
      <c r="D904" s="102"/>
      <c r="E904" s="102"/>
      <c r="H904" s="102"/>
      <c r="I904" s="43"/>
    </row>
    <row r="905" hidden="1">
      <c r="A905" s="102"/>
      <c r="C905" s="51"/>
      <c r="D905" s="102"/>
      <c r="E905" s="102"/>
      <c r="H905" s="102"/>
      <c r="I905" s="43"/>
    </row>
    <row r="906" hidden="1">
      <c r="A906" s="102"/>
      <c r="C906" s="51"/>
      <c r="D906" s="102"/>
      <c r="E906" s="102"/>
      <c r="H906" s="102"/>
      <c r="I906" s="43"/>
    </row>
    <row r="907" hidden="1">
      <c r="A907" s="102"/>
      <c r="C907" s="51"/>
      <c r="D907" s="102"/>
      <c r="E907" s="102"/>
      <c r="H907" s="102"/>
      <c r="I907" s="43"/>
    </row>
    <row r="908" hidden="1">
      <c r="A908" s="102"/>
      <c r="C908" s="51"/>
      <c r="D908" s="102"/>
      <c r="E908" s="102"/>
      <c r="H908" s="102"/>
      <c r="I908" s="43"/>
    </row>
    <row r="909" hidden="1">
      <c r="A909" s="102"/>
      <c r="C909" s="51"/>
      <c r="D909" s="102"/>
      <c r="E909" s="102"/>
      <c r="H909" s="102"/>
      <c r="I909" s="43"/>
    </row>
    <row r="910" hidden="1">
      <c r="A910" s="102"/>
      <c r="C910" s="51"/>
      <c r="D910" s="102"/>
      <c r="E910" s="102"/>
      <c r="H910" s="102"/>
      <c r="I910" s="43"/>
    </row>
    <row r="911" hidden="1">
      <c r="A911" s="102"/>
      <c r="C911" s="51"/>
      <c r="D911" s="102"/>
      <c r="E911" s="102"/>
      <c r="H911" s="102"/>
      <c r="I911" s="43"/>
    </row>
    <row r="912" hidden="1">
      <c r="A912" s="102"/>
      <c r="C912" s="51"/>
      <c r="D912" s="102"/>
      <c r="E912" s="102"/>
      <c r="H912" s="102"/>
      <c r="I912" s="43"/>
    </row>
    <row r="913" hidden="1">
      <c r="A913" s="102"/>
      <c r="C913" s="51"/>
      <c r="D913" s="102"/>
      <c r="E913" s="102"/>
      <c r="H913" s="102"/>
      <c r="I913" s="43"/>
    </row>
    <row r="914" hidden="1">
      <c r="A914" s="102"/>
      <c r="C914" s="51"/>
      <c r="D914" s="102"/>
      <c r="E914" s="102"/>
      <c r="H914" s="102"/>
      <c r="I914" s="43"/>
    </row>
    <row r="915" hidden="1">
      <c r="A915" s="102"/>
      <c r="C915" s="51"/>
      <c r="D915" s="102"/>
      <c r="E915" s="102"/>
      <c r="H915" s="102"/>
      <c r="I915" s="43"/>
    </row>
    <row r="916" hidden="1">
      <c r="A916" s="102"/>
      <c r="C916" s="51"/>
      <c r="D916" s="102"/>
      <c r="E916" s="102"/>
      <c r="H916" s="102"/>
      <c r="I916" s="43"/>
    </row>
    <row r="917" hidden="1">
      <c r="A917" s="102"/>
      <c r="C917" s="51"/>
      <c r="D917" s="102"/>
      <c r="E917" s="102"/>
      <c r="H917" s="102"/>
      <c r="I917" s="43"/>
    </row>
    <row r="918" hidden="1">
      <c r="A918" s="102"/>
      <c r="C918" s="51"/>
      <c r="D918" s="102"/>
      <c r="E918" s="102"/>
      <c r="H918" s="102"/>
      <c r="I918" s="43"/>
    </row>
    <row r="919" hidden="1">
      <c r="A919" s="102"/>
      <c r="C919" s="51"/>
      <c r="D919" s="102"/>
      <c r="E919" s="102"/>
      <c r="H919" s="102"/>
      <c r="I919" s="43"/>
    </row>
    <row r="920" hidden="1">
      <c r="A920" s="102"/>
      <c r="C920" s="51"/>
      <c r="D920" s="102"/>
      <c r="E920" s="102"/>
      <c r="H920" s="102"/>
      <c r="I920" s="43"/>
    </row>
    <row r="921" hidden="1">
      <c r="A921" s="102"/>
      <c r="C921" s="51"/>
      <c r="D921" s="102"/>
      <c r="E921" s="102"/>
      <c r="H921" s="102"/>
      <c r="I921" s="43"/>
    </row>
    <row r="922" hidden="1">
      <c r="A922" s="102"/>
      <c r="C922" s="51"/>
      <c r="D922" s="102"/>
      <c r="E922" s="102"/>
      <c r="H922" s="102"/>
      <c r="I922" s="43"/>
    </row>
    <row r="923" hidden="1">
      <c r="A923" s="102"/>
      <c r="C923" s="51"/>
      <c r="D923" s="102"/>
      <c r="E923" s="102"/>
      <c r="H923" s="102"/>
      <c r="I923" s="43"/>
    </row>
    <row r="924" hidden="1">
      <c r="A924" s="102"/>
      <c r="C924" s="51"/>
      <c r="D924" s="102"/>
      <c r="E924" s="102"/>
      <c r="H924" s="102"/>
      <c r="I924" s="43"/>
    </row>
    <row r="925" hidden="1">
      <c r="A925" s="102"/>
      <c r="C925" s="51"/>
      <c r="D925" s="102"/>
      <c r="E925" s="102"/>
      <c r="H925" s="102"/>
      <c r="I925" s="43"/>
    </row>
    <row r="926" hidden="1">
      <c r="A926" s="102"/>
      <c r="C926" s="51"/>
      <c r="D926" s="102"/>
      <c r="E926" s="102"/>
      <c r="H926" s="102"/>
      <c r="I926" s="43"/>
    </row>
    <row r="927" hidden="1">
      <c r="A927" s="102"/>
      <c r="C927" s="51"/>
      <c r="D927" s="102"/>
      <c r="E927" s="102"/>
      <c r="H927" s="102"/>
      <c r="I927" s="43"/>
    </row>
    <row r="928" hidden="1">
      <c r="A928" s="102"/>
      <c r="C928" s="51"/>
      <c r="D928" s="102"/>
      <c r="E928" s="102"/>
      <c r="H928" s="102"/>
      <c r="I928" s="43"/>
    </row>
    <row r="929" hidden="1">
      <c r="A929" s="102"/>
      <c r="C929" s="51"/>
      <c r="D929" s="102"/>
      <c r="E929" s="102"/>
      <c r="H929" s="102"/>
      <c r="I929" s="43"/>
    </row>
    <row r="930" hidden="1">
      <c r="A930" s="102"/>
      <c r="C930" s="51"/>
      <c r="D930" s="102"/>
      <c r="E930" s="102"/>
      <c r="H930" s="102"/>
      <c r="I930" s="43"/>
    </row>
    <row r="931" hidden="1">
      <c r="A931" s="102"/>
      <c r="C931" s="51"/>
      <c r="D931" s="102"/>
      <c r="E931" s="102"/>
      <c r="H931" s="102"/>
      <c r="I931" s="43"/>
    </row>
    <row r="932" hidden="1">
      <c r="A932" s="102"/>
      <c r="C932" s="51"/>
      <c r="D932" s="102"/>
      <c r="E932" s="102"/>
      <c r="H932" s="102"/>
      <c r="I932" s="43"/>
    </row>
    <row r="933" hidden="1">
      <c r="A933" s="102"/>
      <c r="C933" s="51"/>
      <c r="D933" s="102"/>
      <c r="E933" s="102"/>
      <c r="H933" s="102"/>
      <c r="I933" s="43"/>
    </row>
    <row r="934" hidden="1">
      <c r="A934" s="102"/>
      <c r="C934" s="51"/>
      <c r="D934" s="102"/>
      <c r="E934" s="102"/>
      <c r="H934" s="102"/>
      <c r="I934" s="43"/>
    </row>
    <row r="935" hidden="1">
      <c r="A935" s="102"/>
      <c r="C935" s="51"/>
      <c r="D935" s="102"/>
      <c r="E935" s="102"/>
      <c r="H935" s="102"/>
      <c r="I935" s="43"/>
    </row>
    <row r="936" hidden="1">
      <c r="A936" s="102"/>
      <c r="C936" s="51"/>
      <c r="D936" s="102"/>
      <c r="E936" s="102"/>
      <c r="H936" s="102"/>
      <c r="I936" s="43"/>
    </row>
    <row r="937" hidden="1">
      <c r="A937" s="102"/>
      <c r="C937" s="51"/>
      <c r="D937" s="102"/>
      <c r="E937" s="102"/>
      <c r="H937" s="102"/>
      <c r="I937" s="43"/>
    </row>
    <row r="938" hidden="1">
      <c r="A938" s="102"/>
      <c r="C938" s="51"/>
      <c r="D938" s="102"/>
      <c r="E938" s="102"/>
      <c r="H938" s="102"/>
      <c r="I938" s="43"/>
    </row>
    <row r="939" hidden="1">
      <c r="A939" s="102"/>
      <c r="C939" s="51"/>
      <c r="D939" s="102"/>
      <c r="E939" s="102"/>
      <c r="H939" s="102"/>
      <c r="I939" s="43"/>
    </row>
    <row r="940" hidden="1">
      <c r="A940" s="102"/>
      <c r="C940" s="51"/>
      <c r="D940" s="102"/>
      <c r="E940" s="102"/>
      <c r="H940" s="102"/>
      <c r="I940" s="43"/>
    </row>
    <row r="941" hidden="1">
      <c r="A941" s="102"/>
      <c r="C941" s="51"/>
      <c r="D941" s="102"/>
      <c r="E941" s="102"/>
      <c r="H941" s="102"/>
      <c r="I941" s="43"/>
    </row>
    <row r="942" hidden="1">
      <c r="A942" s="102"/>
      <c r="C942" s="51"/>
      <c r="D942" s="102"/>
      <c r="E942" s="102"/>
      <c r="H942" s="102"/>
      <c r="I942" s="43"/>
    </row>
    <row r="943" hidden="1">
      <c r="A943" s="102"/>
      <c r="C943" s="51"/>
      <c r="D943" s="102"/>
      <c r="E943" s="102"/>
      <c r="H943" s="102"/>
      <c r="I943" s="43"/>
    </row>
    <row r="944" hidden="1">
      <c r="A944" s="102"/>
      <c r="C944" s="51"/>
      <c r="D944" s="102"/>
      <c r="E944" s="102"/>
      <c r="H944" s="102"/>
      <c r="I944" s="43"/>
    </row>
    <row r="945" hidden="1">
      <c r="A945" s="102"/>
      <c r="C945" s="51"/>
      <c r="D945" s="102"/>
      <c r="E945" s="102"/>
      <c r="H945" s="102"/>
      <c r="I945" s="43"/>
    </row>
    <row r="946" hidden="1">
      <c r="A946" s="102"/>
      <c r="C946" s="51"/>
      <c r="D946" s="102"/>
      <c r="E946" s="102"/>
      <c r="H946" s="102"/>
      <c r="I946" s="43"/>
    </row>
    <row r="947" hidden="1">
      <c r="A947" s="102"/>
      <c r="C947" s="51"/>
      <c r="D947" s="102"/>
      <c r="E947" s="102"/>
      <c r="H947" s="102"/>
      <c r="I947" s="43"/>
    </row>
    <row r="948" hidden="1">
      <c r="A948" s="102"/>
      <c r="C948" s="51"/>
      <c r="D948" s="102"/>
      <c r="E948" s="102"/>
      <c r="H948" s="102"/>
      <c r="I948" s="43"/>
    </row>
    <row r="949" hidden="1">
      <c r="A949" s="102"/>
      <c r="C949" s="51"/>
      <c r="D949" s="102"/>
      <c r="E949" s="102"/>
      <c r="H949" s="102"/>
      <c r="I949" s="43"/>
    </row>
    <row r="950" hidden="1">
      <c r="A950" s="102"/>
      <c r="C950" s="51"/>
      <c r="D950" s="102"/>
      <c r="E950" s="102"/>
      <c r="H950" s="102"/>
      <c r="I950" s="43"/>
    </row>
    <row r="951" hidden="1">
      <c r="A951" s="102"/>
      <c r="C951" s="51"/>
      <c r="D951" s="102"/>
      <c r="E951" s="102"/>
      <c r="H951" s="102"/>
      <c r="I951" s="43"/>
    </row>
    <row r="952" hidden="1">
      <c r="A952" s="102"/>
      <c r="C952" s="51"/>
      <c r="D952" s="102"/>
      <c r="E952" s="102"/>
      <c r="H952" s="102"/>
      <c r="I952" s="43"/>
    </row>
    <row r="953" hidden="1">
      <c r="A953" s="102"/>
      <c r="C953" s="51"/>
      <c r="D953" s="102"/>
      <c r="E953" s="102"/>
      <c r="H953" s="102"/>
      <c r="I953" s="43"/>
    </row>
    <row r="954" hidden="1">
      <c r="A954" s="102"/>
      <c r="C954" s="51"/>
      <c r="D954" s="102"/>
      <c r="E954" s="102"/>
      <c r="H954" s="102"/>
      <c r="I954" s="43"/>
    </row>
    <row r="955" hidden="1">
      <c r="A955" s="102"/>
      <c r="C955" s="51"/>
      <c r="D955" s="102"/>
      <c r="E955" s="102"/>
      <c r="H955" s="102"/>
      <c r="I955" s="43"/>
    </row>
    <row r="956" hidden="1">
      <c r="A956" s="102"/>
      <c r="C956" s="51"/>
      <c r="D956" s="102"/>
      <c r="E956" s="102"/>
      <c r="H956" s="102"/>
      <c r="I956" s="43"/>
    </row>
    <row r="957" hidden="1">
      <c r="A957" s="102"/>
      <c r="C957" s="51"/>
      <c r="D957" s="102"/>
      <c r="E957" s="102"/>
      <c r="H957" s="102"/>
      <c r="I957" s="43"/>
    </row>
    <row r="958" hidden="1">
      <c r="A958" s="102"/>
      <c r="C958" s="51"/>
      <c r="D958" s="102"/>
      <c r="E958" s="102"/>
      <c r="H958" s="102"/>
      <c r="I958" s="43"/>
    </row>
    <row r="959" hidden="1">
      <c r="A959" s="102"/>
      <c r="C959" s="51"/>
      <c r="D959" s="102"/>
      <c r="E959" s="102"/>
      <c r="H959" s="102"/>
      <c r="I959" s="43"/>
    </row>
    <row r="960" hidden="1">
      <c r="A960" s="102"/>
      <c r="C960" s="51"/>
      <c r="D960" s="102"/>
      <c r="E960" s="102"/>
      <c r="H960" s="102"/>
      <c r="I960" s="43"/>
    </row>
    <row r="961" hidden="1">
      <c r="A961" s="102"/>
      <c r="C961" s="51"/>
      <c r="D961" s="102"/>
      <c r="E961" s="102"/>
      <c r="H961" s="102"/>
      <c r="I961" s="43"/>
    </row>
    <row r="962" hidden="1">
      <c r="A962" s="102"/>
      <c r="C962" s="51"/>
      <c r="D962" s="102"/>
      <c r="E962" s="102"/>
      <c r="H962" s="102"/>
      <c r="I962" s="43"/>
    </row>
    <row r="963" hidden="1">
      <c r="A963" s="102"/>
      <c r="C963" s="51"/>
      <c r="D963" s="102"/>
      <c r="E963" s="102"/>
      <c r="H963" s="102"/>
      <c r="I963" s="43"/>
    </row>
    <row r="964" hidden="1">
      <c r="A964" s="102"/>
      <c r="C964" s="51"/>
      <c r="D964" s="102"/>
      <c r="E964" s="102"/>
      <c r="H964" s="102"/>
      <c r="I964" s="43"/>
    </row>
    <row r="965" hidden="1">
      <c r="A965" s="102"/>
      <c r="C965" s="51"/>
      <c r="D965" s="102"/>
      <c r="E965" s="102"/>
      <c r="H965" s="102"/>
      <c r="I965" s="43"/>
    </row>
    <row r="966" hidden="1">
      <c r="A966" s="102"/>
      <c r="C966" s="51"/>
      <c r="D966" s="102"/>
      <c r="E966" s="102"/>
      <c r="H966" s="102"/>
      <c r="I966" s="43"/>
    </row>
    <row r="967" hidden="1">
      <c r="A967" s="102"/>
      <c r="C967" s="51"/>
      <c r="D967" s="102"/>
      <c r="E967" s="102"/>
      <c r="H967" s="102"/>
      <c r="I967" s="43"/>
    </row>
    <row r="968" hidden="1">
      <c r="A968" s="102"/>
      <c r="C968" s="51"/>
      <c r="D968" s="102"/>
      <c r="E968" s="102"/>
      <c r="H968" s="102"/>
      <c r="I968" s="43"/>
    </row>
    <row r="969" hidden="1">
      <c r="A969" s="102"/>
      <c r="C969" s="51"/>
      <c r="D969" s="102"/>
      <c r="E969" s="102"/>
      <c r="H969" s="102"/>
      <c r="I969" s="43"/>
    </row>
    <row r="970" hidden="1">
      <c r="A970" s="102"/>
      <c r="C970" s="51"/>
      <c r="D970" s="102"/>
      <c r="E970" s="102"/>
      <c r="H970" s="102"/>
      <c r="I970" s="43"/>
    </row>
    <row r="971" hidden="1">
      <c r="A971" s="102"/>
      <c r="C971" s="51"/>
      <c r="D971" s="102"/>
      <c r="E971" s="102"/>
      <c r="H971" s="102"/>
      <c r="I971" s="43"/>
    </row>
    <row r="972" hidden="1">
      <c r="A972" s="102"/>
      <c r="C972" s="51"/>
      <c r="D972" s="102"/>
      <c r="E972" s="102"/>
      <c r="H972" s="102"/>
      <c r="I972" s="43"/>
    </row>
    <row r="973" hidden="1">
      <c r="A973" s="102"/>
      <c r="C973" s="51"/>
      <c r="D973" s="102"/>
      <c r="E973" s="102"/>
      <c r="H973" s="102"/>
      <c r="I973" s="43"/>
    </row>
    <row r="974" hidden="1">
      <c r="A974" s="102"/>
      <c r="C974" s="51"/>
      <c r="D974" s="102"/>
      <c r="E974" s="102"/>
      <c r="H974" s="102"/>
      <c r="I974" s="43"/>
    </row>
    <row r="975" hidden="1">
      <c r="A975" s="102"/>
      <c r="C975" s="51"/>
      <c r="D975" s="102"/>
      <c r="E975" s="102"/>
      <c r="H975" s="102"/>
      <c r="I975" s="43"/>
    </row>
    <row r="976" hidden="1">
      <c r="A976" s="102"/>
      <c r="C976" s="51"/>
      <c r="D976" s="102"/>
      <c r="E976" s="102"/>
      <c r="H976" s="102"/>
      <c r="I976" s="43"/>
    </row>
    <row r="977" hidden="1">
      <c r="A977" s="102"/>
      <c r="C977" s="51"/>
      <c r="D977" s="102"/>
      <c r="E977" s="102"/>
      <c r="H977" s="102"/>
      <c r="I977" s="43"/>
    </row>
    <row r="978" hidden="1">
      <c r="A978" s="102"/>
      <c r="C978" s="51"/>
      <c r="D978" s="102"/>
      <c r="E978" s="102"/>
      <c r="H978" s="102"/>
      <c r="I978" s="43"/>
    </row>
    <row r="979" hidden="1">
      <c r="A979" s="102"/>
      <c r="C979" s="51"/>
      <c r="D979" s="102"/>
      <c r="E979" s="102"/>
      <c r="H979" s="102"/>
      <c r="I979" s="43"/>
    </row>
    <row r="980" hidden="1">
      <c r="A980" s="102"/>
      <c r="C980" s="51"/>
      <c r="D980" s="102"/>
      <c r="E980" s="102"/>
      <c r="H980" s="102"/>
      <c r="I980" s="43"/>
    </row>
    <row r="981" hidden="1">
      <c r="A981" s="102"/>
      <c r="C981" s="51"/>
      <c r="D981" s="102"/>
      <c r="E981" s="102"/>
      <c r="H981" s="102"/>
      <c r="I981" s="43"/>
    </row>
    <row r="982" hidden="1">
      <c r="A982" s="102"/>
      <c r="C982" s="51"/>
      <c r="D982" s="102"/>
      <c r="E982" s="102"/>
      <c r="H982" s="102"/>
      <c r="I982" s="43"/>
    </row>
    <row r="983" hidden="1">
      <c r="A983" s="102"/>
      <c r="C983" s="51"/>
      <c r="D983" s="102"/>
      <c r="E983" s="102"/>
      <c r="H983" s="102"/>
      <c r="I983" s="43"/>
    </row>
    <row r="984" hidden="1">
      <c r="A984" s="102"/>
      <c r="C984" s="51"/>
      <c r="D984" s="102"/>
      <c r="E984" s="102"/>
      <c r="H984" s="102"/>
      <c r="I984" s="43"/>
    </row>
    <row r="985" hidden="1">
      <c r="A985" s="102"/>
      <c r="C985" s="51"/>
      <c r="D985" s="102"/>
      <c r="E985" s="102"/>
      <c r="H985" s="102"/>
      <c r="I985" s="43"/>
    </row>
    <row r="986" hidden="1">
      <c r="A986" s="102"/>
      <c r="C986" s="51"/>
      <c r="D986" s="102"/>
      <c r="E986" s="102"/>
      <c r="H986" s="102"/>
      <c r="I986" s="43"/>
    </row>
    <row r="987" hidden="1">
      <c r="A987" s="102"/>
      <c r="C987" s="51"/>
      <c r="D987" s="102"/>
      <c r="E987" s="102"/>
      <c r="H987" s="102"/>
      <c r="I987" s="43"/>
    </row>
    <row r="988" hidden="1">
      <c r="A988" s="102"/>
      <c r="C988" s="51"/>
      <c r="D988" s="102"/>
      <c r="E988" s="102"/>
      <c r="H988" s="102"/>
      <c r="I988" s="43"/>
    </row>
    <row r="989" hidden="1">
      <c r="A989" s="102"/>
      <c r="C989" s="51"/>
      <c r="D989" s="102"/>
      <c r="E989" s="102"/>
      <c r="H989" s="102"/>
      <c r="I989" s="43"/>
    </row>
    <row r="990" hidden="1">
      <c r="A990" s="102"/>
      <c r="C990" s="51"/>
      <c r="D990" s="102"/>
      <c r="E990" s="102"/>
      <c r="H990" s="102"/>
      <c r="I990" s="43"/>
    </row>
    <row r="991" hidden="1">
      <c r="A991" s="102"/>
      <c r="C991" s="51"/>
      <c r="D991" s="102"/>
      <c r="E991" s="102"/>
      <c r="H991" s="102"/>
      <c r="I991" s="43"/>
    </row>
    <row r="992" hidden="1">
      <c r="A992" s="102"/>
      <c r="C992" s="51"/>
      <c r="D992" s="102"/>
      <c r="E992" s="102"/>
      <c r="H992" s="102"/>
      <c r="I992" s="43"/>
    </row>
    <row r="993" hidden="1">
      <c r="A993" s="102"/>
      <c r="C993" s="51"/>
      <c r="D993" s="102"/>
      <c r="E993" s="102"/>
      <c r="H993" s="102"/>
      <c r="I993" s="43"/>
    </row>
    <row r="994" hidden="1">
      <c r="A994" s="102"/>
      <c r="C994" s="51"/>
      <c r="D994" s="102"/>
      <c r="E994" s="102"/>
      <c r="H994" s="102"/>
      <c r="I994" s="43"/>
    </row>
    <row r="995" hidden="1">
      <c r="A995" s="102"/>
      <c r="C995" s="51"/>
      <c r="D995" s="102"/>
      <c r="E995" s="102"/>
      <c r="H995" s="102"/>
      <c r="I995" s="43"/>
    </row>
    <row r="996" hidden="1">
      <c r="A996" s="102"/>
      <c r="C996" s="51"/>
      <c r="D996" s="102"/>
      <c r="E996" s="102"/>
      <c r="H996" s="102"/>
      <c r="I996" s="43"/>
    </row>
    <row r="997" hidden="1">
      <c r="A997" s="102"/>
      <c r="C997" s="51"/>
      <c r="D997" s="102"/>
      <c r="E997" s="102"/>
      <c r="H997" s="102"/>
      <c r="I997" s="43"/>
    </row>
    <row r="998" hidden="1">
      <c r="A998" s="102"/>
      <c r="C998" s="51"/>
      <c r="D998" s="102"/>
      <c r="E998" s="102"/>
      <c r="H998" s="102"/>
      <c r="I998" s="43"/>
    </row>
    <row r="999" hidden="1">
      <c r="A999" s="102"/>
      <c r="C999" s="51"/>
      <c r="D999" s="102"/>
      <c r="E999" s="102"/>
      <c r="H999" s="102"/>
      <c r="I999" s="43"/>
    </row>
    <row r="1000" hidden="1">
      <c r="A1000" s="102"/>
      <c r="C1000" s="51"/>
      <c r="D1000" s="102"/>
      <c r="E1000" s="102"/>
      <c r="H1000" s="102"/>
      <c r="I1000" s="43"/>
    </row>
    <row r="1001" hidden="1">
      <c r="A1001" s="102"/>
      <c r="C1001" s="51"/>
      <c r="D1001" s="102"/>
      <c r="E1001" s="102"/>
      <c r="H1001" s="102"/>
      <c r="I1001" s="43"/>
    </row>
    <row r="1002" hidden="1">
      <c r="A1002" s="102"/>
      <c r="C1002" s="51"/>
      <c r="D1002" s="102"/>
      <c r="E1002" s="102"/>
      <c r="H1002" s="102"/>
      <c r="I1002" s="43"/>
    </row>
    <row r="1003" hidden="1">
      <c r="A1003" s="102"/>
      <c r="C1003" s="51"/>
      <c r="D1003" s="102"/>
      <c r="E1003" s="102"/>
      <c r="H1003" s="102"/>
      <c r="I1003" s="43"/>
    </row>
    <row r="1004" hidden="1">
      <c r="A1004" s="102"/>
      <c r="C1004" s="51"/>
      <c r="D1004" s="102"/>
      <c r="E1004" s="102"/>
      <c r="H1004" s="102"/>
      <c r="I1004" s="43"/>
    </row>
    <row r="1005" hidden="1">
      <c r="A1005" s="102"/>
      <c r="C1005" s="51"/>
      <c r="D1005" s="102"/>
      <c r="E1005" s="102"/>
      <c r="H1005" s="102"/>
      <c r="I1005" s="43"/>
    </row>
    <row r="1006" hidden="1">
      <c r="A1006" s="102"/>
      <c r="C1006" s="51"/>
      <c r="D1006" s="102"/>
      <c r="E1006" s="102"/>
      <c r="H1006" s="102"/>
      <c r="I1006" s="43"/>
    </row>
    <row r="1007" hidden="1">
      <c r="A1007" s="102"/>
      <c r="C1007" s="51"/>
      <c r="D1007" s="102"/>
      <c r="E1007" s="102"/>
      <c r="H1007" s="102"/>
      <c r="I1007" s="43"/>
    </row>
    <row r="1008" hidden="1">
      <c r="A1008" s="102"/>
      <c r="C1008" s="51"/>
      <c r="D1008" s="102"/>
      <c r="E1008" s="102"/>
      <c r="H1008" s="102"/>
      <c r="I1008" s="43"/>
    </row>
    <row r="1009" hidden="1">
      <c r="A1009" s="102"/>
      <c r="C1009" s="51"/>
      <c r="D1009" s="102"/>
      <c r="E1009" s="102"/>
      <c r="H1009" s="102"/>
      <c r="I1009" s="43"/>
    </row>
    <row r="1010" hidden="1">
      <c r="A1010" s="102"/>
      <c r="C1010" s="51"/>
      <c r="D1010" s="102"/>
      <c r="E1010" s="102"/>
      <c r="H1010" s="102"/>
      <c r="I1010" s="43"/>
    </row>
    <row r="1011" hidden="1">
      <c r="A1011" s="102"/>
      <c r="C1011" s="51"/>
      <c r="D1011" s="102"/>
      <c r="E1011" s="102"/>
      <c r="H1011" s="102"/>
      <c r="I1011" s="43"/>
    </row>
    <row r="1012" hidden="1">
      <c r="A1012" s="102"/>
      <c r="C1012" s="51"/>
      <c r="D1012" s="102"/>
      <c r="E1012" s="102"/>
      <c r="H1012" s="102"/>
      <c r="I1012" s="43"/>
    </row>
    <row r="1013" hidden="1">
      <c r="A1013" s="102"/>
      <c r="C1013" s="51"/>
      <c r="D1013" s="102"/>
      <c r="E1013" s="102"/>
      <c r="H1013" s="102"/>
      <c r="I1013" s="43"/>
    </row>
    <row r="1014" hidden="1">
      <c r="A1014" s="102"/>
      <c r="C1014" s="51"/>
      <c r="D1014" s="102"/>
      <c r="E1014" s="102"/>
      <c r="H1014" s="102"/>
      <c r="I1014" s="43"/>
    </row>
    <row r="1015" hidden="1">
      <c r="A1015" s="102"/>
      <c r="C1015" s="51"/>
      <c r="D1015" s="102"/>
      <c r="E1015" s="102"/>
      <c r="H1015" s="102"/>
      <c r="I1015" s="43"/>
    </row>
    <row r="1016" hidden="1">
      <c r="A1016" s="102"/>
      <c r="C1016" s="51"/>
      <c r="D1016" s="102"/>
      <c r="E1016" s="102"/>
      <c r="H1016" s="102"/>
      <c r="I1016" s="43"/>
    </row>
    <row r="1017" hidden="1">
      <c r="A1017" s="102"/>
      <c r="C1017" s="51"/>
      <c r="D1017" s="102"/>
      <c r="E1017" s="102"/>
      <c r="H1017" s="102"/>
      <c r="I1017" s="43"/>
    </row>
    <row r="1018" hidden="1">
      <c r="A1018" s="102"/>
      <c r="C1018" s="51"/>
      <c r="D1018" s="102"/>
      <c r="E1018" s="102"/>
      <c r="H1018" s="102"/>
      <c r="I1018" s="43"/>
    </row>
    <row r="1019" hidden="1">
      <c r="A1019" s="102"/>
      <c r="C1019" s="51"/>
      <c r="D1019" s="102"/>
      <c r="E1019" s="102"/>
      <c r="H1019" s="102"/>
      <c r="I1019" s="43"/>
    </row>
    <row r="1020" hidden="1">
      <c r="A1020" s="102"/>
      <c r="C1020" s="51"/>
      <c r="D1020" s="102"/>
      <c r="E1020" s="102"/>
      <c r="H1020" s="102"/>
      <c r="I1020" s="43"/>
    </row>
    <row r="1021" hidden="1">
      <c r="A1021" s="102"/>
      <c r="C1021" s="51"/>
      <c r="D1021" s="102"/>
      <c r="E1021" s="102"/>
      <c r="H1021" s="102"/>
      <c r="I1021" s="43"/>
    </row>
    <row r="1022" hidden="1">
      <c r="A1022" s="102"/>
      <c r="C1022" s="51"/>
      <c r="D1022" s="102"/>
      <c r="E1022" s="102"/>
      <c r="H1022" s="102"/>
      <c r="I1022" s="43"/>
    </row>
    <row r="1023" hidden="1">
      <c r="A1023" s="102"/>
      <c r="C1023" s="51"/>
      <c r="D1023" s="102"/>
      <c r="E1023" s="102"/>
      <c r="H1023" s="102"/>
      <c r="I1023" s="43"/>
    </row>
    <row r="1024" hidden="1">
      <c r="A1024" s="102"/>
      <c r="C1024" s="51"/>
      <c r="D1024" s="102"/>
      <c r="E1024" s="102"/>
      <c r="H1024" s="102"/>
      <c r="I1024" s="43"/>
    </row>
    <row r="1025" hidden="1">
      <c r="A1025" s="102"/>
      <c r="C1025" s="51"/>
      <c r="D1025" s="102"/>
      <c r="E1025" s="102"/>
      <c r="H1025" s="102"/>
      <c r="I1025" s="43"/>
    </row>
    <row r="1026" hidden="1">
      <c r="A1026" s="102"/>
      <c r="C1026" s="51"/>
      <c r="D1026" s="102"/>
      <c r="E1026" s="102"/>
      <c r="H1026" s="102"/>
      <c r="I1026" s="43"/>
    </row>
    <row r="1027" hidden="1">
      <c r="A1027" s="102"/>
      <c r="C1027" s="51"/>
      <c r="D1027" s="102"/>
      <c r="E1027" s="102"/>
      <c r="H1027" s="102"/>
      <c r="I1027" s="43"/>
    </row>
    <row r="1028" hidden="1">
      <c r="A1028" s="102"/>
      <c r="C1028" s="51"/>
      <c r="D1028" s="102"/>
      <c r="E1028" s="102"/>
      <c r="H1028" s="102"/>
      <c r="I1028" s="43"/>
    </row>
    <row r="1029" hidden="1">
      <c r="A1029" s="102"/>
      <c r="C1029" s="51"/>
      <c r="D1029" s="102"/>
      <c r="E1029" s="102"/>
      <c r="H1029" s="102"/>
      <c r="I1029" s="43"/>
    </row>
    <row r="1030" hidden="1">
      <c r="A1030" s="102"/>
      <c r="C1030" s="51"/>
      <c r="D1030" s="102"/>
      <c r="E1030" s="102"/>
      <c r="H1030" s="102"/>
      <c r="I1030" s="43"/>
    </row>
    <row r="1031" hidden="1">
      <c r="A1031" s="102"/>
      <c r="C1031" s="51"/>
      <c r="D1031" s="102"/>
      <c r="E1031" s="102"/>
      <c r="H1031" s="102"/>
      <c r="I1031" s="43"/>
    </row>
    <row r="1032" hidden="1">
      <c r="A1032" s="102"/>
      <c r="C1032" s="51"/>
      <c r="D1032" s="102"/>
      <c r="E1032" s="102"/>
      <c r="H1032" s="102"/>
      <c r="I1032" s="43"/>
    </row>
    <row r="1033" hidden="1">
      <c r="A1033" s="102"/>
      <c r="C1033" s="51"/>
      <c r="D1033" s="102"/>
      <c r="E1033" s="102"/>
      <c r="H1033" s="102"/>
      <c r="I1033" s="43"/>
    </row>
    <row r="1034" hidden="1">
      <c r="A1034" s="102"/>
      <c r="C1034" s="51"/>
      <c r="D1034" s="102"/>
      <c r="E1034" s="102"/>
      <c r="H1034" s="102"/>
      <c r="I1034" s="43"/>
    </row>
    <row r="1035" hidden="1">
      <c r="A1035" s="102"/>
      <c r="C1035" s="51"/>
      <c r="D1035" s="102"/>
      <c r="E1035" s="102"/>
      <c r="H1035" s="102"/>
      <c r="I1035" s="43"/>
    </row>
    <row r="1036" hidden="1">
      <c r="A1036" s="102"/>
      <c r="C1036" s="51"/>
      <c r="D1036" s="102"/>
      <c r="E1036" s="102"/>
      <c r="H1036" s="102"/>
      <c r="I1036" s="43"/>
    </row>
    <row r="1037" hidden="1">
      <c r="A1037" s="102"/>
      <c r="C1037" s="51"/>
      <c r="D1037" s="102"/>
      <c r="E1037" s="102"/>
      <c r="H1037" s="102"/>
      <c r="I1037" s="43"/>
    </row>
    <row r="1038" hidden="1">
      <c r="A1038" s="102"/>
      <c r="C1038" s="51"/>
      <c r="D1038" s="102"/>
      <c r="E1038" s="102"/>
      <c r="H1038" s="102"/>
      <c r="I1038" s="43"/>
    </row>
    <row r="1039" hidden="1">
      <c r="A1039" s="102"/>
      <c r="C1039" s="51"/>
      <c r="D1039" s="102"/>
      <c r="E1039" s="102"/>
      <c r="H1039" s="102"/>
      <c r="I1039" s="43"/>
    </row>
    <row r="1040" hidden="1">
      <c r="A1040" s="102"/>
      <c r="C1040" s="51"/>
      <c r="D1040" s="102"/>
      <c r="E1040" s="102"/>
      <c r="H1040" s="102"/>
      <c r="I1040" s="43"/>
    </row>
    <row r="1041" hidden="1">
      <c r="A1041" s="102"/>
      <c r="C1041" s="51"/>
      <c r="D1041" s="102"/>
      <c r="E1041" s="102"/>
      <c r="H1041" s="102"/>
      <c r="I1041" s="43"/>
    </row>
    <row r="1042" hidden="1">
      <c r="A1042" s="102"/>
      <c r="C1042" s="51"/>
      <c r="D1042" s="102"/>
      <c r="E1042" s="102"/>
      <c r="H1042" s="102"/>
      <c r="I1042" s="43"/>
    </row>
    <row r="1043" hidden="1">
      <c r="A1043" s="102"/>
      <c r="C1043" s="51"/>
      <c r="D1043" s="102"/>
      <c r="E1043" s="102"/>
      <c r="H1043" s="102"/>
      <c r="I1043" s="43"/>
    </row>
    <row r="1044" hidden="1">
      <c r="A1044" s="102"/>
      <c r="C1044" s="51"/>
      <c r="D1044" s="102"/>
      <c r="E1044" s="102"/>
      <c r="H1044" s="102"/>
      <c r="I1044" s="43"/>
    </row>
    <row r="1045" hidden="1">
      <c r="A1045" s="102"/>
      <c r="C1045" s="51"/>
      <c r="D1045" s="102"/>
      <c r="E1045" s="102"/>
      <c r="H1045" s="102"/>
      <c r="I1045" s="43"/>
    </row>
    <row r="1046" hidden="1">
      <c r="A1046" s="102"/>
      <c r="C1046" s="51"/>
      <c r="D1046" s="102"/>
      <c r="E1046" s="102"/>
      <c r="H1046" s="102"/>
      <c r="I1046" s="43"/>
    </row>
    <row r="1047" hidden="1">
      <c r="A1047" s="102"/>
      <c r="C1047" s="51"/>
      <c r="D1047" s="102"/>
      <c r="E1047" s="102"/>
      <c r="H1047" s="102"/>
      <c r="I1047" s="43"/>
    </row>
    <row r="1048" hidden="1">
      <c r="A1048" s="102"/>
      <c r="C1048" s="51"/>
      <c r="D1048" s="102"/>
      <c r="E1048" s="102"/>
      <c r="H1048" s="102"/>
      <c r="I1048" s="43"/>
    </row>
    <row r="1049" hidden="1">
      <c r="A1049" s="102"/>
      <c r="C1049" s="51"/>
      <c r="D1049" s="102"/>
      <c r="E1049" s="102"/>
      <c r="H1049" s="102"/>
      <c r="I1049" s="43"/>
    </row>
    <row r="1050" hidden="1">
      <c r="A1050" s="102"/>
      <c r="C1050" s="51"/>
      <c r="D1050" s="102"/>
      <c r="E1050" s="102"/>
      <c r="H1050" s="102"/>
      <c r="I1050" s="43"/>
    </row>
    <row r="1051" hidden="1">
      <c r="A1051" s="102"/>
      <c r="C1051" s="51"/>
      <c r="D1051" s="102"/>
      <c r="E1051" s="102"/>
      <c r="H1051" s="102"/>
      <c r="I1051" s="43"/>
    </row>
    <row r="1052" hidden="1">
      <c r="A1052" s="102"/>
      <c r="C1052" s="51"/>
      <c r="D1052" s="102"/>
      <c r="E1052" s="102"/>
      <c r="H1052" s="102"/>
      <c r="I1052" s="43"/>
    </row>
    <row r="1053" hidden="1">
      <c r="A1053" s="102"/>
      <c r="C1053" s="51"/>
      <c r="D1053" s="102"/>
      <c r="E1053" s="102"/>
      <c r="H1053" s="102"/>
      <c r="I1053" s="43"/>
    </row>
    <row r="1054" hidden="1">
      <c r="A1054" s="102"/>
      <c r="C1054" s="51"/>
      <c r="D1054" s="102"/>
      <c r="E1054" s="102"/>
      <c r="H1054" s="102"/>
      <c r="I1054" s="43"/>
    </row>
    <row r="1055" hidden="1">
      <c r="A1055" s="102"/>
      <c r="C1055" s="51"/>
      <c r="D1055" s="102"/>
      <c r="E1055" s="102"/>
      <c r="H1055" s="102"/>
      <c r="I1055" s="43"/>
    </row>
    <row r="1056" hidden="1">
      <c r="A1056" s="102"/>
      <c r="C1056" s="51"/>
      <c r="D1056" s="102"/>
      <c r="E1056" s="102"/>
      <c r="H1056" s="102"/>
      <c r="I1056" s="43"/>
    </row>
    <row r="1057" hidden="1">
      <c r="A1057" s="102"/>
      <c r="C1057" s="51"/>
      <c r="D1057" s="102"/>
      <c r="E1057" s="102"/>
      <c r="H1057" s="102"/>
      <c r="I1057" s="43"/>
    </row>
    <row r="1058" hidden="1">
      <c r="A1058" s="102"/>
      <c r="C1058" s="51"/>
      <c r="D1058" s="102"/>
      <c r="E1058" s="102"/>
      <c r="H1058" s="102"/>
      <c r="I1058" s="43"/>
    </row>
    <row r="1059" hidden="1">
      <c r="A1059" s="102"/>
      <c r="C1059" s="51"/>
      <c r="D1059" s="102"/>
      <c r="E1059" s="102"/>
      <c r="H1059" s="102"/>
      <c r="I1059" s="43"/>
    </row>
    <row r="1060" hidden="1">
      <c r="A1060" s="102"/>
      <c r="C1060" s="51"/>
      <c r="D1060" s="102"/>
      <c r="E1060" s="102"/>
      <c r="H1060" s="102"/>
      <c r="I1060" s="43"/>
    </row>
    <row r="1061" hidden="1">
      <c r="A1061" s="102"/>
      <c r="C1061" s="51"/>
      <c r="D1061" s="102"/>
      <c r="E1061" s="102"/>
      <c r="H1061" s="102"/>
      <c r="I1061" s="43"/>
    </row>
    <row r="1062" hidden="1">
      <c r="A1062" s="102"/>
      <c r="C1062" s="51"/>
      <c r="D1062" s="102"/>
      <c r="E1062" s="102"/>
      <c r="H1062" s="102"/>
      <c r="I1062" s="43"/>
    </row>
    <row r="1063" hidden="1">
      <c r="A1063" s="102"/>
      <c r="C1063" s="51"/>
      <c r="D1063" s="102"/>
      <c r="E1063" s="102"/>
      <c r="H1063" s="102"/>
      <c r="I1063" s="43"/>
    </row>
    <row r="1064" hidden="1">
      <c r="A1064" s="102"/>
      <c r="C1064" s="51"/>
      <c r="D1064" s="102"/>
      <c r="E1064" s="102"/>
      <c r="H1064" s="102"/>
      <c r="I1064" s="43"/>
    </row>
    <row r="1065" hidden="1">
      <c r="A1065" s="102"/>
      <c r="C1065" s="51"/>
      <c r="D1065" s="102"/>
      <c r="E1065" s="102"/>
      <c r="H1065" s="102"/>
      <c r="I1065" s="43"/>
    </row>
    <row r="1066" hidden="1">
      <c r="A1066" s="102"/>
      <c r="C1066" s="51"/>
      <c r="D1066" s="102"/>
      <c r="E1066" s="102"/>
      <c r="H1066" s="102"/>
      <c r="I1066" s="43"/>
    </row>
    <row r="1067" hidden="1">
      <c r="A1067" s="102"/>
      <c r="C1067" s="51"/>
      <c r="D1067" s="102"/>
      <c r="E1067" s="102"/>
      <c r="H1067" s="102"/>
      <c r="I1067" s="43"/>
    </row>
    <row r="1068" hidden="1">
      <c r="A1068" s="102"/>
      <c r="C1068" s="51"/>
      <c r="D1068" s="102"/>
      <c r="E1068" s="102"/>
      <c r="H1068" s="102"/>
      <c r="I1068" s="43"/>
    </row>
    <row r="1069" hidden="1">
      <c r="A1069" s="102"/>
      <c r="C1069" s="51"/>
      <c r="D1069" s="102"/>
      <c r="E1069" s="102"/>
      <c r="H1069" s="102"/>
      <c r="I1069" s="43"/>
    </row>
    <row r="1070" hidden="1">
      <c r="A1070" s="102"/>
      <c r="C1070" s="51"/>
      <c r="D1070" s="102"/>
      <c r="E1070" s="102"/>
      <c r="H1070" s="102"/>
      <c r="I1070" s="43"/>
    </row>
    <row r="1071" hidden="1">
      <c r="A1071" s="102"/>
      <c r="C1071" s="51"/>
      <c r="D1071" s="102"/>
      <c r="E1071" s="102"/>
      <c r="H1071" s="102"/>
      <c r="I1071" s="43"/>
    </row>
    <row r="1072" hidden="1">
      <c r="A1072" s="102"/>
      <c r="C1072" s="51"/>
      <c r="D1072" s="102"/>
      <c r="E1072" s="102"/>
      <c r="H1072" s="102"/>
      <c r="I1072" s="43"/>
    </row>
    <row r="1073" hidden="1">
      <c r="A1073" s="102"/>
      <c r="C1073" s="51"/>
      <c r="D1073" s="102"/>
      <c r="E1073" s="102"/>
      <c r="H1073" s="102"/>
      <c r="I1073" s="43"/>
    </row>
    <row r="1074" hidden="1">
      <c r="A1074" s="102"/>
      <c r="C1074" s="51"/>
      <c r="D1074" s="102"/>
      <c r="E1074" s="102"/>
      <c r="H1074" s="102"/>
      <c r="I1074" s="43"/>
    </row>
    <row r="1075" hidden="1">
      <c r="A1075" s="102"/>
      <c r="C1075" s="51"/>
      <c r="D1075" s="102"/>
      <c r="E1075" s="102"/>
      <c r="H1075" s="102"/>
      <c r="I1075" s="43"/>
    </row>
    <row r="1076" hidden="1">
      <c r="A1076" s="102"/>
      <c r="C1076" s="51"/>
      <c r="D1076" s="102"/>
      <c r="E1076" s="102"/>
      <c r="H1076" s="102"/>
      <c r="I1076" s="43"/>
    </row>
    <row r="1077" hidden="1">
      <c r="A1077" s="102"/>
      <c r="C1077" s="51"/>
      <c r="D1077" s="102"/>
      <c r="E1077" s="102"/>
      <c r="H1077" s="102"/>
      <c r="I1077" s="43"/>
    </row>
    <row r="1078" hidden="1">
      <c r="A1078" s="102"/>
      <c r="C1078" s="51"/>
      <c r="D1078" s="102"/>
      <c r="E1078" s="102"/>
      <c r="H1078" s="102"/>
      <c r="I1078" s="43"/>
    </row>
    <row r="1079" hidden="1">
      <c r="A1079" s="102"/>
      <c r="C1079" s="51"/>
      <c r="D1079" s="102"/>
      <c r="E1079" s="102"/>
      <c r="H1079" s="102"/>
      <c r="I1079" s="43"/>
    </row>
    <row r="1080" hidden="1">
      <c r="A1080" s="102"/>
      <c r="C1080" s="51"/>
      <c r="D1080" s="102"/>
      <c r="E1080" s="102"/>
      <c r="H1080" s="102"/>
      <c r="I1080" s="43"/>
    </row>
    <row r="1081" hidden="1">
      <c r="A1081" s="102"/>
      <c r="C1081" s="51"/>
      <c r="D1081" s="102"/>
      <c r="E1081" s="102"/>
      <c r="H1081" s="102"/>
      <c r="I1081" s="43"/>
    </row>
    <row r="1082" hidden="1">
      <c r="A1082" s="102"/>
      <c r="C1082" s="51"/>
      <c r="D1082" s="102"/>
      <c r="E1082" s="102"/>
      <c r="H1082" s="102"/>
      <c r="I1082" s="43"/>
    </row>
    <row r="1083" hidden="1">
      <c r="A1083" s="102"/>
      <c r="C1083" s="51"/>
      <c r="D1083" s="102"/>
      <c r="E1083" s="102"/>
      <c r="H1083" s="102"/>
      <c r="I1083" s="43"/>
    </row>
    <row r="1084" hidden="1">
      <c r="A1084" s="102"/>
      <c r="C1084" s="51"/>
      <c r="D1084" s="102"/>
      <c r="E1084" s="102"/>
      <c r="H1084" s="102"/>
      <c r="I1084" s="43"/>
    </row>
    <row r="1085" hidden="1">
      <c r="A1085" s="102"/>
      <c r="C1085" s="51"/>
      <c r="D1085" s="102"/>
      <c r="E1085" s="102"/>
      <c r="H1085" s="102"/>
      <c r="I1085" s="43"/>
    </row>
    <row r="1086" hidden="1">
      <c r="A1086" s="102"/>
      <c r="C1086" s="51"/>
      <c r="D1086" s="102"/>
      <c r="E1086" s="102"/>
      <c r="H1086" s="102"/>
      <c r="I1086" s="43"/>
    </row>
    <row r="1087" hidden="1">
      <c r="A1087" s="102"/>
      <c r="C1087" s="51"/>
      <c r="D1087" s="102"/>
      <c r="E1087" s="102"/>
      <c r="H1087" s="102"/>
      <c r="I1087" s="43"/>
    </row>
    <row r="1088" hidden="1">
      <c r="A1088" s="102"/>
      <c r="C1088" s="51"/>
      <c r="D1088" s="102"/>
      <c r="E1088" s="102"/>
      <c r="H1088" s="102"/>
      <c r="I1088" s="43"/>
    </row>
    <row r="1089" hidden="1">
      <c r="A1089" s="102"/>
      <c r="C1089" s="51"/>
      <c r="D1089" s="102"/>
      <c r="E1089" s="102"/>
      <c r="H1089" s="102"/>
      <c r="I1089" s="43"/>
    </row>
    <row r="1090" hidden="1">
      <c r="A1090" s="102"/>
      <c r="C1090" s="51"/>
      <c r="D1090" s="102"/>
      <c r="E1090" s="102"/>
      <c r="H1090" s="102"/>
      <c r="I1090" s="43"/>
    </row>
    <row r="1091" hidden="1">
      <c r="A1091" s="102"/>
      <c r="C1091" s="51"/>
      <c r="D1091" s="102"/>
      <c r="E1091" s="102"/>
      <c r="H1091" s="102"/>
      <c r="I1091" s="43"/>
    </row>
    <row r="1092" hidden="1">
      <c r="A1092" s="102"/>
      <c r="C1092" s="51"/>
      <c r="D1092" s="102"/>
      <c r="E1092" s="102"/>
      <c r="H1092" s="102"/>
      <c r="I1092" s="43"/>
    </row>
    <row r="1093" hidden="1">
      <c r="A1093" s="102"/>
      <c r="C1093" s="51"/>
      <c r="D1093" s="102"/>
      <c r="E1093" s="102"/>
      <c r="H1093" s="102"/>
      <c r="I1093" s="43"/>
    </row>
    <row r="1094" hidden="1">
      <c r="A1094" s="102"/>
      <c r="C1094" s="51"/>
      <c r="D1094" s="102"/>
      <c r="E1094" s="102"/>
      <c r="H1094" s="102"/>
      <c r="I1094" s="43"/>
    </row>
    <row r="1095" hidden="1">
      <c r="A1095" s="102"/>
      <c r="C1095" s="51"/>
      <c r="D1095" s="102"/>
      <c r="E1095" s="102"/>
      <c r="H1095" s="102"/>
      <c r="I1095" s="43"/>
    </row>
    <row r="1096" hidden="1">
      <c r="A1096" s="102"/>
      <c r="C1096" s="51"/>
      <c r="D1096" s="102"/>
      <c r="E1096" s="102"/>
      <c r="H1096" s="102"/>
      <c r="I1096" s="43"/>
    </row>
    <row r="1097" hidden="1">
      <c r="A1097" s="102"/>
      <c r="C1097" s="51"/>
      <c r="D1097" s="102"/>
      <c r="E1097" s="102"/>
      <c r="H1097" s="102"/>
      <c r="I1097" s="43"/>
    </row>
    <row r="1098" hidden="1">
      <c r="A1098" s="102"/>
      <c r="C1098" s="51"/>
      <c r="D1098" s="102"/>
      <c r="E1098" s="102"/>
      <c r="H1098" s="102"/>
      <c r="I1098" s="43"/>
    </row>
    <row r="1099" hidden="1">
      <c r="A1099" s="102"/>
      <c r="C1099" s="51"/>
      <c r="D1099" s="102"/>
      <c r="E1099" s="102"/>
      <c r="H1099" s="102"/>
      <c r="I1099" s="43"/>
    </row>
    <row r="1100" hidden="1">
      <c r="A1100" s="102"/>
      <c r="C1100" s="51"/>
      <c r="D1100" s="102"/>
      <c r="E1100" s="102"/>
      <c r="H1100" s="102"/>
      <c r="I1100" s="43"/>
    </row>
    <row r="1101" hidden="1">
      <c r="A1101" s="102"/>
      <c r="C1101" s="51"/>
      <c r="D1101" s="102"/>
      <c r="E1101" s="102"/>
      <c r="H1101" s="102"/>
      <c r="I1101" s="43"/>
    </row>
    <row r="1102" hidden="1">
      <c r="A1102" s="102"/>
      <c r="C1102" s="51"/>
      <c r="D1102" s="102"/>
      <c r="E1102" s="102"/>
      <c r="H1102" s="102"/>
      <c r="I1102" s="43"/>
    </row>
    <row r="1103" hidden="1">
      <c r="A1103" s="102"/>
      <c r="C1103" s="51"/>
      <c r="D1103" s="102"/>
      <c r="E1103" s="102"/>
      <c r="H1103" s="102"/>
      <c r="I1103" s="43"/>
    </row>
    <row r="1104" hidden="1">
      <c r="A1104" s="102"/>
      <c r="C1104" s="51"/>
      <c r="D1104" s="102"/>
      <c r="E1104" s="102"/>
      <c r="H1104" s="102"/>
      <c r="I1104" s="43"/>
    </row>
    <row r="1105" hidden="1">
      <c r="A1105" s="102"/>
      <c r="C1105" s="51"/>
      <c r="D1105" s="102"/>
      <c r="E1105" s="102"/>
      <c r="H1105" s="102"/>
      <c r="I1105" s="43"/>
    </row>
    <row r="1106" hidden="1">
      <c r="A1106" s="102"/>
      <c r="C1106" s="51"/>
      <c r="D1106" s="102"/>
      <c r="E1106" s="102"/>
      <c r="H1106" s="102"/>
      <c r="I1106" s="43"/>
    </row>
    <row r="1107" hidden="1">
      <c r="A1107" s="102"/>
      <c r="C1107" s="51"/>
      <c r="D1107" s="102"/>
      <c r="E1107" s="102"/>
      <c r="H1107" s="102"/>
      <c r="I1107" s="43"/>
    </row>
    <row r="1108" hidden="1">
      <c r="A1108" s="102"/>
      <c r="C1108" s="51"/>
      <c r="D1108" s="102"/>
      <c r="E1108" s="102"/>
      <c r="H1108" s="102"/>
      <c r="I1108" s="43"/>
    </row>
    <row r="1109" hidden="1">
      <c r="A1109" s="102"/>
      <c r="C1109" s="51"/>
      <c r="D1109" s="102"/>
      <c r="E1109" s="102"/>
      <c r="H1109" s="102"/>
      <c r="I1109" s="43"/>
    </row>
    <row r="1110" hidden="1">
      <c r="A1110" s="102"/>
      <c r="C1110" s="51"/>
      <c r="D1110" s="102"/>
      <c r="E1110" s="102"/>
      <c r="H1110" s="102"/>
      <c r="I1110" s="43"/>
    </row>
    <row r="1111" hidden="1">
      <c r="A1111" s="102"/>
      <c r="C1111" s="51"/>
      <c r="D1111" s="102"/>
      <c r="E1111" s="102"/>
      <c r="H1111" s="102"/>
      <c r="I1111" s="43"/>
    </row>
    <row r="1112" hidden="1">
      <c r="A1112" s="102"/>
      <c r="C1112" s="51"/>
      <c r="D1112" s="102"/>
      <c r="E1112" s="102"/>
      <c r="H1112" s="102"/>
      <c r="I1112" s="43"/>
    </row>
    <row r="1113" hidden="1">
      <c r="A1113" s="102"/>
      <c r="C1113" s="51"/>
      <c r="D1113" s="102"/>
      <c r="E1113" s="102"/>
      <c r="H1113" s="102"/>
      <c r="I1113" s="43"/>
    </row>
    <row r="1114" hidden="1">
      <c r="A1114" s="102"/>
      <c r="C1114" s="51"/>
      <c r="D1114" s="102"/>
      <c r="E1114" s="102"/>
      <c r="H1114" s="102"/>
      <c r="I1114" s="43"/>
    </row>
    <row r="1115" hidden="1">
      <c r="A1115" s="102"/>
      <c r="C1115" s="51"/>
      <c r="D1115" s="102"/>
      <c r="E1115" s="102"/>
      <c r="H1115" s="102"/>
      <c r="I1115" s="43"/>
    </row>
    <row r="1116" hidden="1">
      <c r="A1116" s="102"/>
      <c r="C1116" s="51"/>
      <c r="D1116" s="102"/>
      <c r="E1116" s="102"/>
      <c r="H1116" s="102"/>
      <c r="I1116" s="43"/>
    </row>
    <row r="1117" hidden="1">
      <c r="A1117" s="102"/>
      <c r="C1117" s="51"/>
      <c r="D1117" s="102"/>
      <c r="E1117" s="102"/>
      <c r="H1117" s="102"/>
      <c r="I1117" s="43"/>
    </row>
    <row r="1118" hidden="1">
      <c r="A1118" s="102"/>
      <c r="C1118" s="51"/>
      <c r="D1118" s="102"/>
      <c r="E1118" s="102"/>
      <c r="H1118" s="102"/>
      <c r="I1118" s="43"/>
    </row>
    <row r="1119" hidden="1">
      <c r="A1119" s="102"/>
      <c r="C1119" s="51"/>
      <c r="D1119" s="102"/>
      <c r="E1119" s="102"/>
      <c r="H1119" s="102"/>
      <c r="I1119" s="43"/>
    </row>
    <row r="1120" hidden="1">
      <c r="A1120" s="102"/>
      <c r="C1120" s="51"/>
      <c r="D1120" s="102"/>
      <c r="E1120" s="102"/>
      <c r="H1120" s="102"/>
      <c r="I1120" s="43"/>
    </row>
    <row r="1121" hidden="1">
      <c r="A1121" s="102"/>
      <c r="C1121" s="51"/>
      <c r="D1121" s="102"/>
      <c r="E1121" s="102"/>
      <c r="H1121" s="102"/>
      <c r="I1121" s="43"/>
    </row>
    <row r="1122" hidden="1">
      <c r="A1122" s="102"/>
      <c r="C1122" s="51"/>
      <c r="D1122" s="102"/>
      <c r="E1122" s="102"/>
      <c r="H1122" s="102"/>
      <c r="I1122" s="43"/>
    </row>
    <row r="1123" hidden="1">
      <c r="A1123" s="102"/>
      <c r="C1123" s="51"/>
      <c r="D1123" s="102"/>
      <c r="E1123" s="102"/>
      <c r="H1123" s="102"/>
      <c r="I1123" s="43"/>
    </row>
    <row r="1124" hidden="1">
      <c r="A1124" s="102"/>
      <c r="C1124" s="51"/>
      <c r="D1124" s="102"/>
      <c r="E1124" s="102"/>
      <c r="H1124" s="102"/>
      <c r="I1124" s="43"/>
    </row>
    <row r="1125" hidden="1">
      <c r="A1125" s="102"/>
      <c r="C1125" s="51"/>
      <c r="D1125" s="102"/>
      <c r="E1125" s="102"/>
      <c r="H1125" s="102"/>
      <c r="I1125" s="43"/>
    </row>
    <row r="1126" hidden="1">
      <c r="A1126" s="102"/>
      <c r="C1126" s="51"/>
      <c r="D1126" s="102"/>
      <c r="E1126" s="102"/>
      <c r="H1126" s="102"/>
      <c r="I1126" s="43"/>
    </row>
    <row r="1127" hidden="1">
      <c r="A1127" s="102"/>
      <c r="C1127" s="51"/>
      <c r="D1127" s="102"/>
      <c r="E1127" s="102"/>
      <c r="H1127" s="102"/>
      <c r="I1127" s="43"/>
    </row>
    <row r="1128" hidden="1">
      <c r="A1128" s="102"/>
      <c r="C1128" s="51"/>
      <c r="D1128" s="102"/>
      <c r="E1128" s="102"/>
      <c r="H1128" s="102"/>
      <c r="I1128" s="43"/>
    </row>
    <row r="1129" hidden="1">
      <c r="A1129" s="102"/>
      <c r="C1129" s="51"/>
      <c r="D1129" s="102"/>
      <c r="E1129" s="102"/>
      <c r="H1129" s="102"/>
      <c r="I1129" s="43"/>
    </row>
    <row r="1130" hidden="1">
      <c r="A1130" s="102"/>
      <c r="C1130" s="51"/>
      <c r="D1130" s="102"/>
      <c r="E1130" s="102"/>
      <c r="H1130" s="102"/>
      <c r="I1130" s="43"/>
    </row>
    <row r="1131" hidden="1">
      <c r="A1131" s="102"/>
      <c r="C1131" s="51"/>
      <c r="D1131" s="102"/>
      <c r="E1131" s="102"/>
      <c r="H1131" s="102"/>
      <c r="I1131" s="43"/>
    </row>
    <row r="1132" hidden="1">
      <c r="A1132" s="102"/>
      <c r="C1132" s="51"/>
      <c r="D1132" s="102"/>
      <c r="E1132" s="102"/>
      <c r="H1132" s="102"/>
      <c r="I1132" s="43"/>
    </row>
    <row r="1133" hidden="1">
      <c r="A1133" s="102"/>
      <c r="C1133" s="51"/>
      <c r="D1133" s="102"/>
      <c r="E1133" s="102"/>
      <c r="H1133" s="102"/>
      <c r="I1133" s="43"/>
    </row>
    <row r="1134" hidden="1">
      <c r="A1134" s="102"/>
      <c r="C1134" s="51"/>
      <c r="D1134" s="102"/>
      <c r="E1134" s="102"/>
      <c r="H1134" s="102"/>
      <c r="I1134" s="43"/>
    </row>
    <row r="1135" hidden="1">
      <c r="A1135" s="102"/>
      <c r="C1135" s="51"/>
      <c r="D1135" s="102"/>
      <c r="E1135" s="102"/>
      <c r="H1135" s="102"/>
      <c r="I1135" s="43"/>
    </row>
    <row r="1136" hidden="1">
      <c r="A1136" s="102"/>
      <c r="C1136" s="51"/>
      <c r="D1136" s="102"/>
      <c r="E1136" s="102"/>
      <c r="H1136" s="102"/>
      <c r="I1136" s="43"/>
    </row>
    <row r="1137" hidden="1">
      <c r="A1137" s="102"/>
      <c r="C1137" s="51"/>
      <c r="D1137" s="102"/>
      <c r="E1137" s="102"/>
      <c r="H1137" s="102"/>
      <c r="I1137" s="43"/>
    </row>
    <row r="1138" hidden="1">
      <c r="A1138" s="102"/>
      <c r="C1138" s="51"/>
      <c r="D1138" s="102"/>
      <c r="E1138" s="102"/>
      <c r="H1138" s="102"/>
      <c r="I1138" s="43"/>
    </row>
    <row r="1139" hidden="1">
      <c r="A1139" s="102"/>
      <c r="C1139" s="51"/>
      <c r="D1139" s="102"/>
      <c r="E1139" s="102"/>
      <c r="H1139" s="102"/>
      <c r="I1139" s="43"/>
    </row>
    <row r="1140" hidden="1">
      <c r="A1140" s="102"/>
      <c r="C1140" s="51"/>
      <c r="D1140" s="102"/>
      <c r="E1140" s="102"/>
      <c r="H1140" s="102"/>
      <c r="I1140" s="43"/>
    </row>
    <row r="1141" hidden="1">
      <c r="A1141" s="102"/>
      <c r="C1141" s="51"/>
      <c r="D1141" s="102"/>
      <c r="E1141" s="102"/>
      <c r="H1141" s="102"/>
      <c r="I1141" s="43"/>
    </row>
    <row r="1142" hidden="1">
      <c r="A1142" s="102"/>
      <c r="C1142" s="51"/>
      <c r="D1142" s="102"/>
      <c r="E1142" s="102"/>
      <c r="H1142" s="102"/>
      <c r="I1142" s="43"/>
    </row>
    <row r="1143" hidden="1">
      <c r="A1143" s="102"/>
      <c r="C1143" s="51"/>
      <c r="D1143" s="102"/>
      <c r="E1143" s="102"/>
      <c r="H1143" s="102"/>
      <c r="I1143" s="43"/>
    </row>
    <row r="1144" hidden="1">
      <c r="A1144" s="102"/>
      <c r="C1144" s="51"/>
      <c r="D1144" s="102"/>
      <c r="E1144" s="102"/>
      <c r="H1144" s="102"/>
      <c r="I1144" s="43"/>
    </row>
    <row r="1145" hidden="1">
      <c r="A1145" s="102"/>
      <c r="C1145" s="51"/>
      <c r="D1145" s="102"/>
      <c r="E1145" s="102"/>
      <c r="H1145" s="102"/>
      <c r="I1145" s="43"/>
    </row>
    <row r="1146" hidden="1">
      <c r="A1146" s="102"/>
      <c r="C1146" s="51"/>
      <c r="D1146" s="102"/>
      <c r="E1146" s="102"/>
      <c r="H1146" s="102"/>
      <c r="I1146" s="43"/>
    </row>
    <row r="1147" hidden="1">
      <c r="A1147" s="102"/>
      <c r="C1147" s="51"/>
      <c r="D1147" s="102"/>
      <c r="E1147" s="102"/>
      <c r="H1147" s="102"/>
      <c r="I1147" s="43"/>
    </row>
    <row r="1148" hidden="1">
      <c r="A1148" s="102"/>
      <c r="C1148" s="51"/>
      <c r="D1148" s="102"/>
      <c r="E1148" s="102"/>
      <c r="H1148" s="102"/>
      <c r="I1148" s="43"/>
    </row>
    <row r="1149" hidden="1">
      <c r="A1149" s="102"/>
      <c r="C1149" s="51"/>
      <c r="D1149" s="102"/>
      <c r="E1149" s="102"/>
      <c r="H1149" s="102"/>
      <c r="I1149" s="43"/>
    </row>
    <row r="1150" hidden="1">
      <c r="A1150" s="102"/>
      <c r="C1150" s="51"/>
      <c r="D1150" s="102"/>
      <c r="E1150" s="102"/>
      <c r="H1150" s="102"/>
      <c r="I1150" s="43"/>
    </row>
    <row r="1151" hidden="1">
      <c r="A1151" s="102"/>
      <c r="C1151" s="51"/>
      <c r="D1151" s="102"/>
      <c r="E1151" s="102"/>
      <c r="H1151" s="102"/>
      <c r="I1151" s="43"/>
    </row>
    <row r="1152" hidden="1">
      <c r="A1152" s="102"/>
      <c r="C1152" s="51"/>
      <c r="D1152" s="102"/>
      <c r="E1152" s="102"/>
      <c r="H1152" s="102"/>
      <c r="I1152" s="43"/>
    </row>
    <row r="1153" hidden="1">
      <c r="A1153" s="102"/>
      <c r="C1153" s="51"/>
      <c r="D1153" s="102"/>
      <c r="E1153" s="102"/>
      <c r="H1153" s="102"/>
      <c r="I1153" s="43"/>
    </row>
    <row r="1154" hidden="1">
      <c r="A1154" s="102"/>
      <c r="C1154" s="51"/>
      <c r="D1154" s="102"/>
      <c r="E1154" s="102"/>
      <c r="H1154" s="102"/>
      <c r="I1154" s="43"/>
    </row>
    <row r="1155" hidden="1">
      <c r="A1155" s="102"/>
      <c r="C1155" s="51"/>
      <c r="D1155" s="102"/>
      <c r="E1155" s="102"/>
      <c r="H1155" s="102"/>
      <c r="I1155" s="43"/>
    </row>
    <row r="1156" hidden="1">
      <c r="A1156" s="102"/>
      <c r="C1156" s="51"/>
      <c r="D1156" s="102"/>
      <c r="E1156" s="102"/>
      <c r="H1156" s="102"/>
      <c r="I1156" s="43"/>
    </row>
    <row r="1157" hidden="1">
      <c r="A1157" s="102"/>
      <c r="C1157" s="51"/>
      <c r="D1157" s="102"/>
      <c r="E1157" s="102"/>
      <c r="H1157" s="102"/>
      <c r="I1157" s="43"/>
    </row>
    <row r="1158" hidden="1">
      <c r="A1158" s="102"/>
      <c r="C1158" s="51"/>
      <c r="D1158" s="102"/>
      <c r="E1158" s="102"/>
      <c r="H1158" s="102"/>
      <c r="I1158" s="43"/>
    </row>
    <row r="1159" hidden="1">
      <c r="A1159" s="102"/>
      <c r="C1159" s="51"/>
      <c r="D1159" s="102"/>
      <c r="E1159" s="102"/>
      <c r="H1159" s="102"/>
      <c r="I1159" s="43"/>
    </row>
    <row r="1160" hidden="1">
      <c r="A1160" s="102"/>
      <c r="C1160" s="51"/>
      <c r="D1160" s="102"/>
      <c r="E1160" s="102"/>
      <c r="H1160" s="102"/>
      <c r="I1160" s="43"/>
    </row>
    <row r="1161" hidden="1">
      <c r="A1161" s="102"/>
      <c r="C1161" s="51"/>
      <c r="D1161" s="102"/>
      <c r="E1161" s="102"/>
      <c r="H1161" s="102"/>
      <c r="I1161" s="43"/>
    </row>
    <row r="1162" hidden="1">
      <c r="A1162" s="102"/>
      <c r="C1162" s="51"/>
      <c r="D1162" s="102"/>
      <c r="E1162" s="102"/>
      <c r="H1162" s="102"/>
      <c r="I1162" s="43"/>
    </row>
    <row r="1163" hidden="1">
      <c r="A1163" s="102"/>
      <c r="C1163" s="51"/>
      <c r="D1163" s="102"/>
      <c r="E1163" s="102"/>
      <c r="H1163" s="102"/>
      <c r="I1163" s="43"/>
    </row>
    <row r="1164" hidden="1">
      <c r="A1164" s="102"/>
      <c r="C1164" s="51"/>
      <c r="D1164" s="102"/>
      <c r="E1164" s="102"/>
      <c r="H1164" s="102"/>
      <c r="I1164" s="43"/>
    </row>
    <row r="1165" hidden="1">
      <c r="A1165" s="102"/>
      <c r="C1165" s="51"/>
      <c r="D1165" s="102"/>
      <c r="E1165" s="102"/>
      <c r="H1165" s="102"/>
      <c r="I1165" s="43"/>
    </row>
    <row r="1166" hidden="1">
      <c r="A1166" s="102"/>
      <c r="C1166" s="51"/>
      <c r="D1166" s="102"/>
      <c r="E1166" s="102"/>
      <c r="H1166" s="102"/>
      <c r="I1166" s="43"/>
    </row>
    <row r="1167" hidden="1">
      <c r="A1167" s="102"/>
      <c r="C1167" s="51"/>
      <c r="D1167" s="102"/>
      <c r="E1167" s="102"/>
      <c r="H1167" s="102"/>
      <c r="I1167" s="43"/>
    </row>
    <row r="1168" hidden="1">
      <c r="A1168" s="102"/>
      <c r="C1168" s="51"/>
      <c r="D1168" s="102"/>
      <c r="E1168" s="102"/>
      <c r="H1168" s="102"/>
      <c r="I1168" s="43"/>
    </row>
    <row r="1169" hidden="1">
      <c r="A1169" s="102"/>
      <c r="C1169" s="51"/>
      <c r="D1169" s="102"/>
      <c r="E1169" s="102"/>
      <c r="H1169" s="102"/>
      <c r="I1169" s="43"/>
    </row>
    <row r="1170" hidden="1">
      <c r="A1170" s="102"/>
      <c r="C1170" s="51"/>
      <c r="D1170" s="102"/>
      <c r="E1170" s="102"/>
      <c r="H1170" s="102"/>
      <c r="I1170" s="43"/>
    </row>
    <row r="1171" hidden="1">
      <c r="A1171" s="102"/>
      <c r="C1171" s="51"/>
      <c r="D1171" s="102"/>
      <c r="E1171" s="102"/>
      <c r="H1171" s="102"/>
      <c r="I1171" s="43"/>
    </row>
    <row r="1172" hidden="1">
      <c r="A1172" s="102"/>
      <c r="C1172" s="51"/>
      <c r="D1172" s="102"/>
      <c r="E1172" s="102"/>
      <c r="H1172" s="102"/>
      <c r="I1172" s="43"/>
    </row>
    <row r="1173" hidden="1">
      <c r="A1173" s="102"/>
      <c r="C1173" s="51"/>
      <c r="D1173" s="102"/>
      <c r="E1173" s="102"/>
      <c r="H1173" s="102"/>
      <c r="I1173" s="43"/>
    </row>
    <row r="1174" hidden="1">
      <c r="A1174" s="102"/>
      <c r="C1174" s="51"/>
      <c r="D1174" s="102"/>
      <c r="E1174" s="102"/>
      <c r="H1174" s="102"/>
      <c r="I1174" s="43"/>
    </row>
    <row r="1175" hidden="1">
      <c r="A1175" s="102"/>
      <c r="C1175" s="51"/>
      <c r="D1175" s="102"/>
      <c r="E1175" s="102"/>
      <c r="H1175" s="102"/>
      <c r="I1175" s="43"/>
    </row>
    <row r="1176" hidden="1">
      <c r="A1176" s="102"/>
      <c r="C1176" s="51"/>
      <c r="D1176" s="102"/>
      <c r="E1176" s="102"/>
      <c r="H1176" s="102"/>
      <c r="I1176" s="43"/>
    </row>
    <row r="1177" hidden="1">
      <c r="A1177" s="102"/>
      <c r="C1177" s="51"/>
      <c r="D1177" s="102"/>
      <c r="E1177" s="102"/>
      <c r="H1177" s="102"/>
      <c r="I1177" s="43"/>
    </row>
    <row r="1178" hidden="1">
      <c r="A1178" s="102"/>
      <c r="C1178" s="51"/>
      <c r="D1178" s="102"/>
      <c r="E1178" s="102"/>
      <c r="H1178" s="102"/>
      <c r="I1178" s="43"/>
    </row>
    <row r="1179" hidden="1">
      <c r="A1179" s="102"/>
      <c r="C1179" s="51"/>
      <c r="D1179" s="102"/>
      <c r="E1179" s="102"/>
      <c r="H1179" s="102"/>
      <c r="I1179" s="43"/>
    </row>
    <row r="1180" hidden="1">
      <c r="A1180" s="102"/>
      <c r="C1180" s="51"/>
      <c r="D1180" s="102"/>
      <c r="E1180" s="102"/>
      <c r="H1180" s="102"/>
      <c r="I1180" s="43"/>
    </row>
    <row r="1181" hidden="1">
      <c r="A1181" s="102"/>
      <c r="C1181" s="51"/>
      <c r="D1181" s="102"/>
      <c r="E1181" s="102"/>
      <c r="H1181" s="102"/>
      <c r="I1181" s="43"/>
    </row>
    <row r="1182" hidden="1">
      <c r="A1182" s="102"/>
      <c r="C1182" s="51"/>
      <c r="D1182" s="102"/>
      <c r="E1182" s="102"/>
      <c r="H1182" s="102"/>
      <c r="I1182" s="43"/>
    </row>
    <row r="1183" hidden="1">
      <c r="A1183" s="102"/>
      <c r="C1183" s="51"/>
      <c r="D1183" s="102"/>
      <c r="E1183" s="102"/>
      <c r="H1183" s="102"/>
      <c r="I1183" s="43"/>
    </row>
    <row r="1184" hidden="1">
      <c r="A1184" s="102"/>
      <c r="C1184" s="51"/>
      <c r="D1184" s="102"/>
      <c r="E1184" s="102"/>
      <c r="H1184" s="102"/>
      <c r="I1184" s="43"/>
    </row>
    <row r="1185" hidden="1">
      <c r="A1185" s="102"/>
      <c r="C1185" s="51"/>
      <c r="D1185" s="102"/>
      <c r="E1185" s="102"/>
      <c r="H1185" s="102"/>
      <c r="I1185" s="43"/>
    </row>
    <row r="1186" hidden="1">
      <c r="A1186" s="102"/>
      <c r="C1186" s="51"/>
      <c r="D1186" s="102"/>
      <c r="E1186" s="102"/>
      <c r="H1186" s="102"/>
      <c r="I1186" s="43"/>
    </row>
    <row r="1187" hidden="1">
      <c r="A1187" s="102"/>
      <c r="C1187" s="51"/>
      <c r="D1187" s="102"/>
      <c r="E1187" s="102"/>
      <c r="H1187" s="102"/>
      <c r="I1187" s="43"/>
    </row>
    <row r="1188" hidden="1">
      <c r="A1188" s="102"/>
      <c r="C1188" s="51"/>
      <c r="D1188" s="102"/>
      <c r="E1188" s="102"/>
      <c r="H1188" s="102"/>
      <c r="I1188" s="43"/>
    </row>
    <row r="1189" hidden="1">
      <c r="A1189" s="102"/>
      <c r="C1189" s="51"/>
      <c r="D1189" s="102"/>
      <c r="E1189" s="102"/>
      <c r="H1189" s="102"/>
      <c r="I1189" s="43"/>
    </row>
    <row r="1190" hidden="1">
      <c r="A1190" s="102"/>
      <c r="C1190" s="51"/>
      <c r="D1190" s="102"/>
      <c r="E1190" s="102"/>
      <c r="H1190" s="102"/>
      <c r="I1190" s="43"/>
    </row>
    <row r="1191" hidden="1">
      <c r="A1191" s="102"/>
      <c r="C1191" s="51"/>
      <c r="D1191" s="102"/>
      <c r="E1191" s="102"/>
      <c r="H1191" s="102"/>
      <c r="I1191" s="43"/>
    </row>
    <row r="1192" hidden="1">
      <c r="A1192" s="102"/>
      <c r="C1192" s="51"/>
      <c r="D1192" s="102"/>
      <c r="E1192" s="102"/>
      <c r="H1192" s="102"/>
      <c r="I1192" s="43"/>
    </row>
    <row r="1193" hidden="1">
      <c r="A1193" s="102"/>
      <c r="C1193" s="51"/>
      <c r="D1193" s="102"/>
      <c r="E1193" s="102"/>
      <c r="H1193" s="102"/>
      <c r="I1193" s="43"/>
    </row>
    <row r="1194" hidden="1">
      <c r="A1194" s="102"/>
      <c r="C1194" s="51"/>
      <c r="D1194" s="102"/>
      <c r="E1194" s="102"/>
      <c r="H1194" s="102"/>
      <c r="I1194" s="43"/>
    </row>
    <row r="1195" hidden="1">
      <c r="A1195" s="102"/>
      <c r="C1195" s="51"/>
      <c r="D1195" s="102"/>
      <c r="E1195" s="102"/>
      <c r="H1195" s="102"/>
      <c r="I1195" s="43"/>
    </row>
    <row r="1196" hidden="1">
      <c r="A1196" s="102"/>
      <c r="C1196" s="51"/>
      <c r="D1196" s="102"/>
      <c r="E1196" s="102"/>
      <c r="H1196" s="102"/>
      <c r="I1196" s="43"/>
    </row>
    <row r="1197" hidden="1">
      <c r="A1197" s="102"/>
      <c r="C1197" s="51"/>
      <c r="D1197" s="102"/>
      <c r="E1197" s="102"/>
      <c r="H1197" s="102"/>
      <c r="I1197" s="43"/>
    </row>
    <row r="1198" hidden="1">
      <c r="A1198" s="102"/>
      <c r="C1198" s="51"/>
      <c r="D1198" s="102"/>
      <c r="E1198" s="102"/>
      <c r="H1198" s="102"/>
      <c r="I1198" s="43"/>
    </row>
    <row r="1199" hidden="1">
      <c r="A1199" s="102"/>
      <c r="C1199" s="51"/>
      <c r="D1199" s="102"/>
      <c r="E1199" s="102"/>
      <c r="H1199" s="102"/>
      <c r="I1199" s="43"/>
    </row>
    <row r="1200" hidden="1">
      <c r="A1200" s="102"/>
      <c r="C1200" s="51"/>
      <c r="D1200" s="102"/>
      <c r="E1200" s="102"/>
      <c r="H1200" s="102"/>
      <c r="I1200" s="43"/>
    </row>
    <row r="1201" hidden="1">
      <c r="A1201" s="102"/>
      <c r="C1201" s="51"/>
      <c r="D1201" s="102"/>
      <c r="E1201" s="102"/>
      <c r="H1201" s="102"/>
      <c r="I1201" s="43"/>
    </row>
    <row r="1202" hidden="1">
      <c r="A1202" s="102"/>
      <c r="C1202" s="51"/>
      <c r="D1202" s="102"/>
      <c r="E1202" s="102"/>
      <c r="H1202" s="102"/>
      <c r="I1202" s="43"/>
    </row>
    <row r="1203" hidden="1">
      <c r="A1203" s="102"/>
      <c r="C1203" s="51"/>
      <c r="D1203" s="102"/>
      <c r="E1203" s="102"/>
      <c r="H1203" s="102"/>
      <c r="I1203" s="43"/>
    </row>
    <row r="1204" hidden="1">
      <c r="A1204" s="102"/>
      <c r="C1204" s="51"/>
      <c r="D1204" s="102"/>
      <c r="E1204" s="102"/>
      <c r="H1204" s="102"/>
      <c r="I1204" s="43"/>
    </row>
    <row r="1205" hidden="1">
      <c r="A1205" s="102"/>
      <c r="C1205" s="51"/>
      <c r="D1205" s="102"/>
      <c r="E1205" s="102"/>
      <c r="H1205" s="102"/>
      <c r="I1205" s="43"/>
    </row>
    <row r="1206" hidden="1">
      <c r="A1206" s="102"/>
      <c r="C1206" s="51"/>
      <c r="D1206" s="102"/>
      <c r="E1206" s="102"/>
      <c r="H1206" s="102"/>
      <c r="I1206" s="43"/>
    </row>
    <row r="1207" hidden="1">
      <c r="A1207" s="102"/>
      <c r="C1207" s="51"/>
      <c r="D1207" s="102"/>
      <c r="E1207" s="102"/>
      <c r="H1207" s="102"/>
      <c r="I1207" s="43"/>
    </row>
    <row r="1208" hidden="1">
      <c r="A1208" s="102"/>
      <c r="C1208" s="51"/>
      <c r="D1208" s="102"/>
      <c r="E1208" s="102"/>
      <c r="H1208" s="102"/>
      <c r="I1208" s="43"/>
    </row>
    <row r="1209" hidden="1">
      <c r="A1209" s="102"/>
      <c r="C1209" s="51"/>
      <c r="D1209" s="102"/>
      <c r="E1209" s="102"/>
      <c r="H1209" s="102"/>
      <c r="I1209" s="43"/>
    </row>
    <row r="1210" hidden="1">
      <c r="A1210" s="102"/>
      <c r="C1210" s="51"/>
      <c r="D1210" s="102"/>
      <c r="E1210" s="102"/>
      <c r="H1210" s="102"/>
      <c r="I1210" s="43"/>
    </row>
    <row r="1211" hidden="1">
      <c r="A1211" s="102"/>
      <c r="C1211" s="51"/>
      <c r="D1211" s="102"/>
      <c r="E1211" s="102"/>
      <c r="H1211" s="102"/>
      <c r="I1211" s="43"/>
    </row>
    <row r="1212" hidden="1">
      <c r="A1212" s="102"/>
      <c r="C1212" s="51"/>
      <c r="D1212" s="102"/>
      <c r="E1212" s="102"/>
      <c r="H1212" s="102"/>
      <c r="I1212" s="43"/>
    </row>
    <row r="1213" hidden="1">
      <c r="A1213" s="102"/>
      <c r="C1213" s="51"/>
      <c r="D1213" s="102"/>
      <c r="E1213" s="102"/>
      <c r="H1213" s="102"/>
      <c r="I1213" s="43"/>
    </row>
    <row r="1214" hidden="1">
      <c r="A1214" s="102"/>
      <c r="C1214" s="51"/>
      <c r="D1214" s="102"/>
      <c r="E1214" s="102"/>
      <c r="H1214" s="102"/>
      <c r="I1214" s="43"/>
    </row>
    <row r="1215" hidden="1">
      <c r="A1215" s="102"/>
      <c r="C1215" s="51"/>
      <c r="D1215" s="102"/>
      <c r="E1215" s="102"/>
      <c r="H1215" s="102"/>
      <c r="I1215" s="43"/>
    </row>
    <row r="1216" hidden="1">
      <c r="A1216" s="102"/>
      <c r="C1216" s="51"/>
      <c r="D1216" s="102"/>
      <c r="E1216" s="102"/>
      <c r="H1216" s="102"/>
      <c r="I1216" s="43"/>
    </row>
    <row r="1217" hidden="1">
      <c r="A1217" s="102"/>
      <c r="C1217" s="51"/>
      <c r="D1217" s="102"/>
      <c r="E1217" s="102"/>
      <c r="H1217" s="102"/>
      <c r="I1217" s="43"/>
    </row>
    <row r="1218" hidden="1">
      <c r="A1218" s="102"/>
      <c r="C1218" s="51"/>
      <c r="D1218" s="102"/>
      <c r="E1218" s="102"/>
      <c r="H1218" s="102"/>
      <c r="I1218" s="43"/>
    </row>
  </sheetData>
  <autoFilter ref="$C$1:$C$1218">
    <filterColumn colId="0">
      <filters>
        <filter val="Agosto"/>
        <filter val="febrero"/>
      </filters>
    </filterColumn>
  </autoFilter>
  <dataValidations>
    <dataValidation type="list" allowBlank="1" showErrorMessage="1" sqref="C82:C1218">
      <formula1>"01 ene,02 feb,03 mar,04 abr,05 may,06 jun,07 jul,08 ago,09 sep,10 oct,11 nov,12 dic"</formula1>
    </dataValidation>
    <dataValidation type="list" allowBlank="1" showErrorMessage="1" sqref="C2:C81">
      <formula1>"Enero,Febrero,Marzo,Abril,Mayo,Junio,Julio,Agosto,Septiembre,Octubre,Noviembre,Diciembre"</formula1>
    </dataValidation>
    <dataValidation type="list" allowBlank="1" showErrorMessage="1" sqref="E2:E1218">
      <formula1>"Fee,One Shot,Demo,Epical"</formula1>
    </dataValidation>
    <dataValidation type="list" allowBlank="1" showErrorMessage="1" sqref="D2:D1218">
      <formula1>"2025,2026,2027,2028"</formula1>
    </dataValidation>
    <dataValidation type="list" allowBlank="1" showErrorMessage="1" sqref="A2:A1218">
      <formula1>"Coelsa,Arcos Dorados,Animal Studio,BID,Natura,Betterfly,Giampaoletti,Google LLC,Mastercard,Moreno Ocampo,Sentidos,Play Digital S.A (Modo),Warner,Netflix,Vertical Media,Detroit,IRSA,Uber,Coca-Cola,Kimberly Clark,Tortugas Open Mall,Epical,PeYa,Cami Criado"</formula1>
    </dataValidation>
    <dataValidation type="list" allowBlank="1" showErrorMessage="1" sqref="H2:H1218">
      <formula1>"Si,No"</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66.5"/>
    <col customWidth="1" min="2" max="2" width="20.63"/>
    <col customWidth="1" min="3" max="3" width="21.13"/>
    <col customWidth="1" min="4" max="4" width="20.5"/>
    <col customWidth="1" min="5" max="5" width="23.63"/>
  </cols>
  <sheetData>
    <row r="1">
      <c r="A1" s="494" t="s">
        <v>1262</v>
      </c>
      <c r="B1" s="450"/>
      <c r="C1" s="455"/>
      <c r="D1" s="450"/>
      <c r="E1" s="450"/>
      <c r="F1" s="450"/>
      <c r="G1" s="450"/>
      <c r="H1" s="450"/>
      <c r="I1" s="450"/>
      <c r="J1" s="450"/>
      <c r="K1" s="450"/>
      <c r="L1" s="450"/>
      <c r="M1" s="450"/>
      <c r="N1" s="450"/>
      <c r="O1" s="450"/>
      <c r="P1" s="450"/>
      <c r="Q1" s="450"/>
      <c r="R1" s="450"/>
      <c r="S1" s="450"/>
      <c r="T1" s="450"/>
      <c r="U1" s="450"/>
      <c r="V1" s="450"/>
      <c r="W1" s="450"/>
      <c r="X1" s="450"/>
      <c r="Y1" s="450"/>
      <c r="Z1" s="450"/>
      <c r="AA1" s="450"/>
      <c r="AB1" s="450"/>
      <c r="AC1" s="450"/>
      <c r="AD1" s="450"/>
      <c r="AE1" s="450"/>
      <c r="AF1" s="450"/>
      <c r="AG1" s="450"/>
      <c r="AH1" s="450"/>
      <c r="AI1" s="450"/>
      <c r="AJ1" s="450"/>
      <c r="AK1" s="450"/>
    </row>
    <row r="2">
      <c r="A2" s="450"/>
      <c r="B2" s="450"/>
      <c r="C2" s="455"/>
      <c r="D2" s="450"/>
      <c r="E2" s="450"/>
      <c r="F2" s="450"/>
      <c r="G2" s="450"/>
      <c r="H2" s="450"/>
      <c r="I2" s="450"/>
      <c r="J2" s="450"/>
      <c r="K2" s="450"/>
      <c r="L2" s="450"/>
      <c r="M2" s="450"/>
      <c r="N2" s="450"/>
      <c r="O2" s="450"/>
      <c r="P2" s="450"/>
      <c r="Q2" s="450"/>
      <c r="R2" s="450"/>
      <c r="S2" s="450"/>
      <c r="T2" s="450"/>
      <c r="U2" s="450"/>
      <c r="V2" s="450"/>
      <c r="W2" s="450"/>
      <c r="X2" s="450"/>
      <c r="Y2" s="450"/>
      <c r="Z2" s="450"/>
      <c r="AA2" s="450"/>
      <c r="AB2" s="450"/>
      <c r="AC2" s="450"/>
      <c r="AD2" s="450"/>
      <c r="AE2" s="450"/>
      <c r="AF2" s="450"/>
      <c r="AG2" s="450"/>
      <c r="AH2" s="450"/>
      <c r="AI2" s="450"/>
      <c r="AJ2" s="450"/>
      <c r="AK2" s="450"/>
    </row>
    <row r="3">
      <c r="A3" s="450"/>
      <c r="B3" s="495" t="s">
        <v>116</v>
      </c>
      <c r="C3" s="455" t="s">
        <v>1263</v>
      </c>
      <c r="D3" s="450"/>
      <c r="E3" s="450"/>
      <c r="F3" s="450"/>
      <c r="G3" s="450"/>
      <c r="H3" s="450"/>
      <c r="I3" s="450"/>
      <c r="J3" s="450"/>
      <c r="K3" s="450"/>
      <c r="L3" s="450"/>
      <c r="M3" s="450"/>
      <c r="N3" s="450"/>
      <c r="O3" s="450"/>
      <c r="P3" s="450"/>
      <c r="Q3" s="450"/>
      <c r="R3" s="450"/>
      <c r="S3" s="450"/>
      <c r="T3" s="450"/>
      <c r="U3" s="450"/>
      <c r="V3" s="450"/>
      <c r="W3" s="450"/>
      <c r="X3" s="450"/>
      <c r="Y3" s="450"/>
      <c r="Z3" s="450"/>
      <c r="AA3" s="450"/>
      <c r="AB3" s="450"/>
      <c r="AC3" s="450"/>
      <c r="AD3" s="450"/>
      <c r="AE3" s="450"/>
      <c r="AF3" s="450"/>
      <c r="AG3" s="450"/>
      <c r="AH3" s="450"/>
      <c r="AI3" s="450"/>
      <c r="AJ3" s="450"/>
      <c r="AK3" s="450"/>
    </row>
    <row r="4">
      <c r="A4" s="450"/>
      <c r="B4" s="495" t="s">
        <v>171</v>
      </c>
      <c r="C4" s="455"/>
      <c r="D4" s="455"/>
      <c r="E4" s="450"/>
      <c r="F4" s="450"/>
      <c r="G4" s="450"/>
      <c r="H4" s="450"/>
      <c r="I4" s="450"/>
      <c r="J4" s="450"/>
      <c r="K4" s="450"/>
      <c r="L4" s="450"/>
      <c r="M4" s="450"/>
      <c r="N4" s="450"/>
      <c r="O4" s="450"/>
      <c r="P4" s="450"/>
      <c r="Q4" s="450"/>
      <c r="R4" s="450"/>
      <c r="S4" s="450"/>
      <c r="T4" s="450"/>
      <c r="U4" s="450"/>
      <c r="V4" s="450"/>
      <c r="W4" s="450"/>
      <c r="X4" s="450"/>
      <c r="Y4" s="450"/>
      <c r="Z4" s="450"/>
      <c r="AA4" s="450"/>
      <c r="AB4" s="450"/>
      <c r="AC4" s="450"/>
      <c r="AD4" s="450"/>
      <c r="AE4" s="450"/>
      <c r="AF4" s="450"/>
      <c r="AG4" s="450"/>
      <c r="AH4" s="450"/>
      <c r="AI4" s="450"/>
      <c r="AJ4" s="450"/>
      <c r="AK4" s="450"/>
    </row>
    <row r="5">
      <c r="A5" s="450" t="s">
        <v>112</v>
      </c>
      <c r="B5" s="450" t="s">
        <v>1264</v>
      </c>
      <c r="C5" s="455" t="s">
        <v>1121</v>
      </c>
      <c r="D5" s="450" t="s">
        <v>1265</v>
      </c>
      <c r="E5" s="450" t="s">
        <v>286</v>
      </c>
      <c r="F5" s="450"/>
      <c r="G5" s="450"/>
      <c r="H5" s="450"/>
      <c r="I5" s="450"/>
      <c r="J5" s="450"/>
      <c r="K5" s="450"/>
      <c r="L5" s="450"/>
      <c r="M5" s="450"/>
      <c r="N5" s="450"/>
      <c r="O5" s="450"/>
      <c r="P5" s="450"/>
      <c r="Q5" s="450"/>
      <c r="R5" s="450"/>
      <c r="S5" s="450"/>
      <c r="T5" s="450"/>
      <c r="U5" s="450"/>
      <c r="V5" s="450"/>
      <c r="W5" s="450"/>
      <c r="X5" s="450"/>
      <c r="Y5" s="450"/>
      <c r="Z5" s="450"/>
      <c r="AA5" s="450"/>
      <c r="AB5" s="450"/>
      <c r="AC5" s="450"/>
      <c r="AD5" s="450"/>
      <c r="AE5" s="450"/>
      <c r="AF5" s="450"/>
      <c r="AG5" s="450"/>
      <c r="AH5" s="450"/>
      <c r="AI5" s="450"/>
      <c r="AJ5" s="450"/>
      <c r="AK5" s="450"/>
    </row>
    <row r="6">
      <c r="A6" s="450" t="s">
        <v>205</v>
      </c>
      <c r="B6" s="496">
        <v>159.999999999</v>
      </c>
      <c r="C6" s="455">
        <v>10000.0</v>
      </c>
      <c r="D6" s="497">
        <v>1599999.9999900002</v>
      </c>
      <c r="E6" s="498">
        <v>1107.2664359792388</v>
      </c>
      <c r="F6" s="443"/>
      <c r="G6" s="450"/>
      <c r="H6" s="450"/>
      <c r="I6" s="450"/>
      <c r="J6" s="450"/>
      <c r="K6" s="450"/>
      <c r="L6" s="450"/>
      <c r="M6" s="450"/>
      <c r="N6" s="450"/>
      <c r="O6" s="450"/>
      <c r="P6" s="450"/>
      <c r="Q6" s="450"/>
      <c r="R6" s="450"/>
      <c r="S6" s="450"/>
      <c r="T6" s="450"/>
      <c r="U6" s="450"/>
      <c r="V6" s="450"/>
      <c r="W6" s="450"/>
      <c r="X6" s="450"/>
      <c r="Y6" s="450"/>
      <c r="Z6" s="450"/>
      <c r="AA6" s="450"/>
      <c r="AB6" s="450"/>
      <c r="AC6" s="450"/>
      <c r="AD6" s="450"/>
      <c r="AE6" s="450"/>
      <c r="AF6" s="450"/>
      <c r="AG6" s="450"/>
      <c r="AH6" s="450"/>
      <c r="AI6" s="450"/>
      <c r="AJ6" s="450"/>
      <c r="AK6" s="450"/>
    </row>
    <row r="7">
      <c r="A7" s="450" t="s">
        <v>240</v>
      </c>
      <c r="B7" s="450">
        <v>80.0</v>
      </c>
      <c r="C7" s="455">
        <v>10750.0</v>
      </c>
      <c r="D7" s="497">
        <v>860000.0</v>
      </c>
      <c r="E7" s="498">
        <v>595.1557093425605</v>
      </c>
      <c r="F7" s="443"/>
      <c r="G7" s="450"/>
      <c r="H7" s="450"/>
      <c r="I7" s="450"/>
      <c r="J7" s="450"/>
      <c r="K7" s="450"/>
      <c r="L7" s="450"/>
      <c r="M7" s="450"/>
      <c r="N7" s="450"/>
      <c r="O7" s="450"/>
      <c r="P7" s="450"/>
      <c r="Q7" s="450"/>
      <c r="R7" s="450"/>
      <c r="S7" s="450"/>
      <c r="T7" s="450"/>
      <c r="U7" s="450"/>
      <c r="V7" s="450"/>
      <c r="W7" s="450"/>
      <c r="X7" s="450"/>
      <c r="Y7" s="450"/>
      <c r="Z7" s="450"/>
      <c r="AA7" s="450"/>
      <c r="AB7" s="450"/>
      <c r="AC7" s="450"/>
      <c r="AD7" s="450"/>
      <c r="AE7" s="450"/>
      <c r="AF7" s="450"/>
      <c r="AG7" s="450"/>
      <c r="AH7" s="450"/>
      <c r="AI7" s="450"/>
      <c r="AJ7" s="450"/>
      <c r="AK7" s="450"/>
    </row>
    <row r="8">
      <c r="A8" s="450" t="s">
        <v>228</v>
      </c>
      <c r="B8" s="496">
        <v>80.62</v>
      </c>
      <c r="C8" s="455">
        <v>20680.0</v>
      </c>
      <c r="D8" s="497">
        <v>1667221.6</v>
      </c>
      <c r="E8" s="498">
        <v>1153.786574394464</v>
      </c>
      <c r="F8" s="443"/>
      <c r="G8" s="450"/>
      <c r="H8" s="450"/>
      <c r="I8" s="450"/>
      <c r="J8" s="450"/>
      <c r="K8" s="450"/>
      <c r="L8" s="450"/>
      <c r="M8" s="450"/>
      <c r="N8" s="450"/>
      <c r="O8" s="450"/>
      <c r="P8" s="450"/>
      <c r="Q8" s="450"/>
      <c r="R8" s="450"/>
      <c r="S8" s="450"/>
      <c r="T8" s="450"/>
      <c r="U8" s="450"/>
      <c r="V8" s="450"/>
      <c r="W8" s="450"/>
      <c r="X8" s="450"/>
      <c r="Y8" s="450"/>
      <c r="Z8" s="450"/>
      <c r="AA8" s="450"/>
      <c r="AB8" s="450"/>
      <c r="AC8" s="450"/>
      <c r="AD8" s="450"/>
      <c r="AE8" s="450"/>
      <c r="AF8" s="450"/>
      <c r="AG8" s="450"/>
      <c r="AH8" s="450"/>
      <c r="AI8" s="450"/>
      <c r="AJ8" s="450"/>
      <c r="AK8" s="450"/>
    </row>
    <row r="9">
      <c r="A9" s="450" t="s">
        <v>214</v>
      </c>
      <c r="B9" s="450">
        <v>160.0</v>
      </c>
      <c r="C9" s="455">
        <v>10508.0</v>
      </c>
      <c r="D9" s="497">
        <v>1681280.0</v>
      </c>
      <c r="E9" s="498">
        <v>1163.515570934256</v>
      </c>
      <c r="F9" s="443"/>
      <c r="G9" s="450"/>
      <c r="H9" s="450"/>
      <c r="I9" s="450"/>
      <c r="J9" s="450"/>
      <c r="K9" s="450"/>
      <c r="L9" s="450"/>
      <c r="M9" s="450"/>
      <c r="N9" s="450"/>
      <c r="O9" s="450"/>
      <c r="P9" s="450"/>
      <c r="Q9" s="450"/>
      <c r="R9" s="450"/>
      <c r="S9" s="450"/>
      <c r="T9" s="450"/>
      <c r="U9" s="450"/>
      <c r="V9" s="450"/>
      <c r="W9" s="450"/>
      <c r="X9" s="450"/>
      <c r="Y9" s="450"/>
      <c r="Z9" s="450"/>
      <c r="AA9" s="450"/>
      <c r="AB9" s="450"/>
      <c r="AC9" s="450"/>
      <c r="AD9" s="450"/>
      <c r="AE9" s="450"/>
      <c r="AF9" s="450"/>
      <c r="AG9" s="450"/>
      <c r="AH9" s="450"/>
      <c r="AI9" s="450"/>
      <c r="AJ9" s="450"/>
      <c r="AK9" s="450"/>
    </row>
    <row r="10">
      <c r="A10" s="450" t="s">
        <v>200</v>
      </c>
      <c r="B10" s="450">
        <v>116.42</v>
      </c>
      <c r="C10" s="455">
        <v>18880.0</v>
      </c>
      <c r="D10" s="497">
        <v>2198009.6</v>
      </c>
      <c r="E10" s="498">
        <v>1521.113910034602</v>
      </c>
      <c r="F10" s="443"/>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row>
    <row r="11">
      <c r="A11" s="450" t="s">
        <v>216</v>
      </c>
      <c r="B11" s="450">
        <v>54.589999999999996</v>
      </c>
      <c r="C11" s="455">
        <v>13806.4612</v>
      </c>
      <c r="D11" s="497">
        <v>753694.716908</v>
      </c>
      <c r="E11" s="498">
        <v>521.5880393826989</v>
      </c>
      <c r="F11" s="450"/>
      <c r="G11" s="450"/>
      <c r="H11" s="450"/>
      <c r="I11" s="450"/>
      <c r="J11" s="450"/>
      <c r="K11" s="450"/>
      <c r="L11" s="450"/>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row>
    <row r="12">
      <c r="A12" s="450" t="s">
        <v>207</v>
      </c>
      <c r="B12" s="450">
        <v>85.07000000000001</v>
      </c>
      <c r="C12" s="455">
        <v>11558.8</v>
      </c>
      <c r="D12" s="497">
        <v>983307.116</v>
      </c>
      <c r="E12" s="498">
        <v>680.489353633218</v>
      </c>
      <c r="F12" s="450"/>
      <c r="G12" s="450"/>
      <c r="H12" s="450"/>
      <c r="I12" s="450"/>
      <c r="J12" s="450"/>
      <c r="K12" s="450"/>
      <c r="L12" s="450"/>
      <c r="M12" s="450"/>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row>
    <row r="13">
      <c r="A13" s="450" t="s">
        <v>87</v>
      </c>
      <c r="B13" s="450">
        <v>118.57</v>
      </c>
      <c r="C13" s="455">
        <v>11558.799999999997</v>
      </c>
      <c r="D13" s="497">
        <v>1370526.9159999997</v>
      </c>
      <c r="E13" s="498">
        <v>948.4615335640137</v>
      </c>
      <c r="F13" s="450"/>
      <c r="G13" s="450"/>
      <c r="H13" s="450"/>
      <c r="I13" s="450"/>
      <c r="J13" s="450"/>
      <c r="K13" s="450"/>
      <c r="L13" s="450"/>
      <c r="M13" s="450"/>
      <c r="N13" s="450"/>
      <c r="O13" s="450"/>
      <c r="P13" s="450"/>
      <c r="Q13" s="450"/>
      <c r="R13" s="450"/>
      <c r="S13" s="450"/>
      <c r="T13" s="450"/>
      <c r="U13" s="450"/>
      <c r="V13" s="450"/>
      <c r="W13" s="450"/>
      <c r="X13" s="450"/>
      <c r="Y13" s="450"/>
      <c r="Z13" s="450"/>
      <c r="AA13" s="450"/>
      <c r="AB13" s="450"/>
      <c r="AC13" s="450"/>
      <c r="AD13" s="450"/>
      <c r="AE13" s="450"/>
      <c r="AF13" s="450"/>
      <c r="AG13" s="450"/>
      <c r="AH13" s="450"/>
      <c r="AI13" s="450"/>
      <c r="AJ13" s="450"/>
      <c r="AK13" s="450"/>
    </row>
    <row r="14">
      <c r="A14" s="450" t="s">
        <v>194</v>
      </c>
      <c r="B14" s="450">
        <v>160.0</v>
      </c>
      <c r="C14" s="455">
        <v>12702.070399999999</v>
      </c>
      <c r="D14" s="497">
        <v>2032331.264</v>
      </c>
      <c r="E14" s="498">
        <v>1406.4576221453285</v>
      </c>
      <c r="F14" s="443"/>
      <c r="G14" s="450"/>
      <c r="H14" s="450"/>
      <c r="I14" s="450"/>
      <c r="J14" s="450"/>
      <c r="K14" s="450"/>
      <c r="L14" s="450"/>
      <c r="M14" s="450"/>
      <c r="N14" s="450"/>
      <c r="O14" s="450"/>
      <c r="P14" s="450"/>
      <c r="Q14" s="450"/>
      <c r="R14" s="450"/>
      <c r="S14" s="450"/>
      <c r="T14" s="450"/>
      <c r="U14" s="450"/>
      <c r="V14" s="450"/>
      <c r="W14" s="450"/>
      <c r="X14" s="450"/>
      <c r="Y14" s="450"/>
      <c r="Z14" s="450"/>
      <c r="AA14" s="450"/>
      <c r="AB14" s="450"/>
      <c r="AC14" s="450"/>
      <c r="AD14" s="450"/>
      <c r="AE14" s="450"/>
      <c r="AF14" s="450"/>
      <c r="AG14" s="450"/>
      <c r="AH14" s="450"/>
      <c r="AI14" s="450"/>
      <c r="AJ14" s="450"/>
      <c r="AK14" s="450"/>
    </row>
    <row r="15">
      <c r="A15" s="450" t="s">
        <v>230</v>
      </c>
      <c r="B15" s="450">
        <v>160.0</v>
      </c>
      <c r="C15" s="455">
        <v>12504.520000000002</v>
      </c>
      <c r="D15" s="497">
        <v>2000723.2000000002</v>
      </c>
      <c r="E15" s="498">
        <v>1384.5835294117649</v>
      </c>
      <c r="F15" s="450"/>
      <c r="G15" s="450"/>
      <c r="H15" s="450"/>
      <c r="I15" s="450"/>
      <c r="J15" s="450"/>
      <c r="K15" s="450"/>
      <c r="L15" s="450"/>
      <c r="M15" s="450"/>
      <c r="N15" s="450"/>
      <c r="O15" s="450"/>
      <c r="P15" s="450"/>
      <c r="Q15" s="450"/>
      <c r="R15" s="450"/>
      <c r="S15" s="450"/>
      <c r="T15" s="450"/>
      <c r="U15" s="450"/>
      <c r="V15" s="450"/>
      <c r="W15" s="450"/>
      <c r="X15" s="450"/>
      <c r="Y15" s="450"/>
      <c r="Z15" s="450"/>
      <c r="AA15" s="450"/>
      <c r="AB15" s="450"/>
      <c r="AC15" s="450"/>
      <c r="AD15" s="450"/>
      <c r="AE15" s="450"/>
      <c r="AF15" s="450"/>
      <c r="AG15" s="450"/>
      <c r="AH15" s="450"/>
      <c r="AI15" s="450"/>
      <c r="AJ15" s="450"/>
      <c r="AK15" s="450"/>
    </row>
    <row r="16">
      <c r="A16" s="450" t="s">
        <v>229</v>
      </c>
      <c r="B16" s="450">
        <v>65.0</v>
      </c>
      <c r="C16" s="455">
        <v>7500.0</v>
      </c>
      <c r="D16" s="497">
        <v>487500.0</v>
      </c>
      <c r="E16" s="498">
        <v>337.3702422145329</v>
      </c>
      <c r="F16" s="450"/>
      <c r="G16" s="450"/>
      <c r="H16" s="450"/>
      <c r="I16" s="450"/>
      <c r="J16" s="450"/>
      <c r="K16" s="450"/>
      <c r="L16" s="450"/>
      <c r="M16" s="450"/>
      <c r="N16" s="450"/>
      <c r="O16" s="450"/>
      <c r="P16" s="450"/>
      <c r="Q16" s="450"/>
      <c r="R16" s="450"/>
      <c r="S16" s="450"/>
      <c r="T16" s="450"/>
      <c r="U16" s="450"/>
      <c r="V16" s="450"/>
      <c r="W16" s="450"/>
      <c r="X16" s="450"/>
      <c r="Y16" s="450"/>
      <c r="Z16" s="450"/>
      <c r="AA16" s="450"/>
      <c r="AB16" s="450"/>
      <c r="AC16" s="450"/>
      <c r="AD16" s="450"/>
      <c r="AE16" s="450"/>
      <c r="AF16" s="450"/>
      <c r="AG16" s="450"/>
      <c r="AH16" s="450"/>
      <c r="AI16" s="450"/>
      <c r="AJ16" s="450"/>
      <c r="AK16" s="450"/>
    </row>
    <row r="17">
      <c r="A17" s="450" t="s">
        <v>217</v>
      </c>
      <c r="B17" s="450">
        <v>160.0</v>
      </c>
      <c r="C17" s="455">
        <v>10270.248800000001</v>
      </c>
      <c r="D17" s="497">
        <v>1643239.8080000002</v>
      </c>
      <c r="E17" s="498">
        <v>1137.190178546713</v>
      </c>
      <c r="F17" s="450"/>
      <c r="G17" s="450"/>
      <c r="H17" s="450"/>
      <c r="I17" s="450"/>
      <c r="J17" s="450"/>
      <c r="K17" s="450"/>
      <c r="L17" s="450"/>
      <c r="M17" s="450"/>
      <c r="N17" s="450"/>
      <c r="O17" s="450"/>
      <c r="P17" s="450"/>
      <c r="Q17" s="450"/>
      <c r="R17" s="450"/>
      <c r="S17" s="450"/>
      <c r="T17" s="450"/>
      <c r="U17" s="450"/>
      <c r="V17" s="450"/>
      <c r="W17" s="450"/>
      <c r="X17" s="450"/>
      <c r="Y17" s="450"/>
      <c r="Z17" s="450"/>
      <c r="AA17" s="450"/>
      <c r="AB17" s="450"/>
      <c r="AC17" s="450"/>
      <c r="AD17" s="450"/>
      <c r="AE17" s="450"/>
      <c r="AF17" s="450"/>
      <c r="AG17" s="450"/>
      <c r="AH17" s="450"/>
      <c r="AI17" s="450"/>
      <c r="AJ17" s="450"/>
      <c r="AK17" s="450"/>
    </row>
    <row r="18">
      <c r="A18" s="450" t="s">
        <v>210</v>
      </c>
      <c r="B18" s="450">
        <v>14.5</v>
      </c>
      <c r="C18" s="455">
        <v>18017.0</v>
      </c>
      <c r="D18" s="497">
        <v>261246.5</v>
      </c>
      <c r="E18" s="498">
        <v>180.79342560553633</v>
      </c>
      <c r="F18" s="450"/>
      <c r="G18" s="450"/>
      <c r="H18" s="450"/>
      <c r="I18" s="450"/>
      <c r="J18" s="450"/>
      <c r="K18" s="450"/>
      <c r="L18" s="450"/>
      <c r="M18" s="450"/>
      <c r="N18" s="450"/>
      <c r="O18" s="450"/>
      <c r="P18" s="450"/>
      <c r="Q18" s="450"/>
      <c r="R18" s="450"/>
      <c r="S18" s="450"/>
      <c r="T18" s="450"/>
      <c r="U18" s="450"/>
      <c r="V18" s="450"/>
      <c r="W18" s="450"/>
      <c r="X18" s="450"/>
      <c r="Y18" s="450"/>
      <c r="Z18" s="450"/>
      <c r="AA18" s="450"/>
      <c r="AB18" s="450"/>
      <c r="AC18" s="450"/>
      <c r="AD18" s="450"/>
      <c r="AE18" s="450"/>
      <c r="AF18" s="450"/>
      <c r="AG18" s="450"/>
      <c r="AH18" s="450"/>
      <c r="AI18" s="450"/>
      <c r="AJ18" s="450"/>
      <c r="AK18" s="450"/>
    </row>
    <row r="19">
      <c r="A19" s="450" t="s">
        <v>133</v>
      </c>
      <c r="B19" s="450">
        <v>160.0</v>
      </c>
      <c r="C19" s="455">
        <v>33143.04</v>
      </c>
      <c r="D19" s="497">
        <v>5302886.4</v>
      </c>
      <c r="E19" s="498">
        <v>3669.8175778546715</v>
      </c>
      <c r="F19" s="450"/>
      <c r="G19" s="450"/>
      <c r="H19" s="450"/>
      <c r="I19" s="450"/>
      <c r="J19" s="450"/>
      <c r="K19" s="450"/>
      <c r="L19" s="450"/>
      <c r="M19" s="450"/>
      <c r="N19" s="450"/>
      <c r="O19" s="450"/>
      <c r="P19" s="450"/>
      <c r="Q19" s="450"/>
      <c r="R19" s="450"/>
      <c r="S19" s="450"/>
      <c r="T19" s="450"/>
      <c r="U19" s="450"/>
      <c r="V19" s="450"/>
      <c r="W19" s="450"/>
      <c r="X19" s="450"/>
      <c r="Y19" s="450"/>
      <c r="Z19" s="450"/>
      <c r="AA19" s="450"/>
      <c r="AB19" s="450"/>
      <c r="AC19" s="450"/>
      <c r="AD19" s="450"/>
      <c r="AE19" s="450"/>
      <c r="AF19" s="450"/>
      <c r="AG19" s="450"/>
      <c r="AH19" s="450"/>
      <c r="AI19" s="450"/>
      <c r="AJ19" s="450"/>
      <c r="AK19" s="450"/>
    </row>
    <row r="20">
      <c r="A20" s="450" t="s">
        <v>221</v>
      </c>
      <c r="B20" s="450">
        <v>160.0</v>
      </c>
      <c r="C20" s="455">
        <v>11859.480000000001</v>
      </c>
      <c r="D20" s="497">
        <v>1897516.8000000003</v>
      </c>
      <c r="E20" s="498">
        <v>1313.1604152249135</v>
      </c>
      <c r="F20" s="450"/>
      <c r="G20" s="450"/>
      <c r="H20" s="450"/>
      <c r="I20" s="450"/>
      <c r="J20" s="450"/>
      <c r="K20" s="450"/>
      <c r="L20" s="450"/>
      <c r="M20" s="450"/>
      <c r="N20" s="450"/>
      <c r="O20" s="450"/>
      <c r="P20" s="450"/>
      <c r="Q20" s="450"/>
      <c r="R20" s="450"/>
      <c r="S20" s="450"/>
      <c r="T20" s="450"/>
      <c r="U20" s="450"/>
      <c r="V20" s="450"/>
      <c r="W20" s="450"/>
      <c r="X20" s="450"/>
      <c r="Y20" s="450"/>
      <c r="Z20" s="450"/>
      <c r="AA20" s="450"/>
      <c r="AB20" s="450"/>
      <c r="AC20" s="450"/>
      <c r="AD20" s="450"/>
      <c r="AE20" s="450"/>
      <c r="AF20" s="450"/>
      <c r="AG20" s="450"/>
      <c r="AH20" s="450"/>
      <c r="AI20" s="450"/>
      <c r="AJ20" s="450"/>
      <c r="AK20" s="450"/>
    </row>
    <row r="21">
      <c r="A21" s="450" t="s">
        <v>203</v>
      </c>
      <c r="B21" s="450">
        <v>105.5</v>
      </c>
      <c r="C21" s="455">
        <v>10853.7</v>
      </c>
      <c r="D21" s="497">
        <v>1145065.35</v>
      </c>
      <c r="E21" s="498">
        <v>792.43276816609</v>
      </c>
      <c r="F21" s="450"/>
      <c r="G21" s="450"/>
      <c r="H21" s="450"/>
      <c r="I21" s="450"/>
      <c r="J21" s="450"/>
      <c r="K21" s="450"/>
      <c r="L21" s="450"/>
      <c r="M21" s="450"/>
      <c r="N21" s="450"/>
      <c r="O21" s="450"/>
      <c r="P21" s="450"/>
      <c r="Q21" s="450"/>
      <c r="R21" s="450"/>
      <c r="S21" s="450"/>
      <c r="T21" s="450"/>
      <c r="U21" s="450"/>
      <c r="V21" s="450"/>
      <c r="W21" s="450"/>
      <c r="X21" s="450"/>
      <c r="Y21" s="450"/>
      <c r="Z21" s="450"/>
      <c r="AA21" s="450"/>
      <c r="AB21" s="450"/>
      <c r="AC21" s="450"/>
      <c r="AD21" s="450"/>
      <c r="AE21" s="450"/>
      <c r="AF21" s="450"/>
      <c r="AG21" s="450"/>
      <c r="AH21" s="450"/>
      <c r="AI21" s="450"/>
      <c r="AJ21" s="450"/>
      <c r="AK21" s="450"/>
    </row>
    <row r="22">
      <c r="A22" s="450" t="s">
        <v>197</v>
      </c>
      <c r="B22" s="450">
        <v>160.0</v>
      </c>
      <c r="C22" s="455">
        <v>13390.344399999998</v>
      </c>
      <c r="D22" s="497">
        <v>2142455.1040000003</v>
      </c>
      <c r="E22" s="498">
        <v>1482.6678920415225</v>
      </c>
      <c r="F22" s="450"/>
      <c r="G22" s="450"/>
      <c r="H22" s="450"/>
      <c r="I22" s="450"/>
      <c r="J22" s="450"/>
      <c r="K22" s="450"/>
      <c r="L22" s="450"/>
      <c r="M22" s="450"/>
      <c r="N22" s="450"/>
      <c r="O22" s="450"/>
      <c r="P22" s="450"/>
      <c r="Q22" s="450"/>
      <c r="R22" s="450"/>
      <c r="S22" s="450"/>
      <c r="T22" s="450"/>
      <c r="U22" s="450"/>
      <c r="V22" s="450"/>
      <c r="W22" s="450"/>
      <c r="X22" s="450"/>
      <c r="Y22" s="450"/>
      <c r="Z22" s="450"/>
      <c r="AA22" s="450"/>
      <c r="AB22" s="450"/>
      <c r="AC22" s="450"/>
      <c r="AD22" s="450"/>
      <c r="AE22" s="450"/>
      <c r="AF22" s="450"/>
      <c r="AG22" s="450"/>
      <c r="AH22" s="450"/>
      <c r="AI22" s="450"/>
      <c r="AJ22" s="450"/>
      <c r="AK22" s="450"/>
    </row>
    <row r="23">
      <c r="A23" s="450" t="s">
        <v>120</v>
      </c>
      <c r="B23" s="450">
        <v>130.58999999999997</v>
      </c>
      <c r="C23" s="455">
        <v>26583.33333333334</v>
      </c>
      <c r="D23" s="497">
        <v>3471517.5</v>
      </c>
      <c r="E23" s="498">
        <v>2402.434256055363</v>
      </c>
      <c r="F23" s="450"/>
      <c r="G23" s="450"/>
      <c r="H23" s="450"/>
      <c r="I23" s="450"/>
      <c r="J23" s="450"/>
      <c r="K23" s="450"/>
      <c r="L23" s="450"/>
      <c r="M23" s="450"/>
      <c r="N23" s="450"/>
      <c r="O23" s="450"/>
      <c r="P23" s="450"/>
      <c r="Q23" s="450"/>
      <c r="R23" s="450"/>
      <c r="S23" s="450"/>
      <c r="T23" s="450"/>
      <c r="U23" s="450"/>
      <c r="V23" s="450"/>
      <c r="W23" s="450"/>
      <c r="X23" s="450"/>
      <c r="Y23" s="450"/>
      <c r="Z23" s="450"/>
      <c r="AA23" s="450"/>
      <c r="AB23" s="450"/>
      <c r="AC23" s="450"/>
      <c r="AD23" s="450"/>
      <c r="AE23" s="450"/>
      <c r="AF23" s="450"/>
      <c r="AG23" s="450"/>
      <c r="AH23" s="450"/>
      <c r="AI23" s="450"/>
      <c r="AJ23" s="450"/>
      <c r="AK23" s="450"/>
    </row>
    <row r="24">
      <c r="A24" s="450" t="s">
        <v>127</v>
      </c>
      <c r="B24" s="450">
        <v>160.0</v>
      </c>
      <c r="C24" s="455">
        <v>26903.88</v>
      </c>
      <c r="D24" s="497">
        <v>4304620.8</v>
      </c>
      <c r="E24" s="498">
        <v>2978.9763321799305</v>
      </c>
      <c r="F24" s="450"/>
      <c r="G24" s="450"/>
      <c r="H24" s="450"/>
      <c r="I24" s="450"/>
      <c r="J24" s="450"/>
      <c r="K24" s="450"/>
      <c r="L24" s="450"/>
      <c r="M24" s="450"/>
      <c r="N24" s="450"/>
      <c r="O24" s="450"/>
      <c r="P24" s="450"/>
      <c r="Q24" s="450"/>
      <c r="R24" s="450"/>
      <c r="S24" s="450"/>
      <c r="T24" s="450"/>
      <c r="U24" s="450"/>
      <c r="V24" s="450"/>
      <c r="W24" s="450"/>
      <c r="X24" s="450"/>
      <c r="Y24" s="450"/>
      <c r="Z24" s="450"/>
      <c r="AA24" s="450"/>
      <c r="AB24" s="450"/>
      <c r="AC24" s="450"/>
      <c r="AD24" s="450"/>
      <c r="AE24" s="450"/>
      <c r="AF24" s="450"/>
      <c r="AG24" s="450"/>
      <c r="AH24" s="450"/>
      <c r="AI24" s="450"/>
      <c r="AJ24" s="450"/>
      <c r="AK24" s="450"/>
    </row>
    <row r="25">
      <c r="A25" s="450" t="s">
        <v>218</v>
      </c>
      <c r="B25" s="450">
        <v>40.25</v>
      </c>
      <c r="C25" s="455">
        <v>20000.008</v>
      </c>
      <c r="D25" s="497">
        <v>805000.322</v>
      </c>
      <c r="E25" s="498">
        <v>557.0936484429066</v>
      </c>
      <c r="F25" s="450"/>
      <c r="G25" s="450"/>
      <c r="H25" s="450"/>
      <c r="I25" s="450"/>
      <c r="J25" s="450"/>
      <c r="K25" s="450"/>
      <c r="L25" s="450"/>
      <c r="M25" s="450"/>
      <c r="N25" s="450"/>
      <c r="O25" s="450"/>
      <c r="P25" s="450"/>
      <c r="Q25" s="450"/>
      <c r="R25" s="450"/>
      <c r="S25" s="450"/>
      <c r="T25" s="450"/>
      <c r="U25" s="450"/>
      <c r="V25" s="450"/>
      <c r="W25" s="450"/>
      <c r="X25" s="450"/>
      <c r="Y25" s="450"/>
      <c r="Z25" s="450"/>
      <c r="AA25" s="450"/>
      <c r="AB25" s="450"/>
      <c r="AC25" s="450"/>
      <c r="AD25" s="450"/>
      <c r="AE25" s="450"/>
      <c r="AF25" s="450"/>
      <c r="AG25" s="450"/>
      <c r="AH25" s="450"/>
      <c r="AI25" s="450"/>
      <c r="AJ25" s="450"/>
      <c r="AK25" s="450"/>
    </row>
    <row r="26">
      <c r="A26" s="450" t="s">
        <v>1266</v>
      </c>
      <c r="B26" s="450">
        <v>2331.1099999989997</v>
      </c>
      <c r="C26" s="455">
        <v>15582.108161006296</v>
      </c>
      <c r="D26" s="497">
        <v>3.6608142996898E7</v>
      </c>
      <c r="E26" s="498">
        <v>25334.355015154324</v>
      </c>
      <c r="F26" s="450"/>
      <c r="G26" s="450"/>
      <c r="H26" s="450"/>
      <c r="I26" s="450"/>
      <c r="J26" s="450"/>
      <c r="K26" s="450"/>
      <c r="L26" s="450"/>
      <c r="M26" s="450"/>
      <c r="N26" s="450"/>
      <c r="O26" s="450"/>
      <c r="P26" s="450"/>
      <c r="Q26" s="450"/>
      <c r="R26" s="450"/>
      <c r="S26" s="450"/>
      <c r="T26" s="450"/>
      <c r="U26" s="450"/>
      <c r="V26" s="450"/>
      <c r="W26" s="450"/>
      <c r="X26" s="450"/>
      <c r="Y26" s="450"/>
      <c r="Z26" s="450"/>
      <c r="AA26" s="450"/>
      <c r="AB26" s="450"/>
      <c r="AC26" s="450"/>
      <c r="AD26" s="450"/>
      <c r="AE26" s="450"/>
      <c r="AF26" s="450"/>
      <c r="AG26" s="450"/>
      <c r="AH26" s="450"/>
      <c r="AI26" s="450"/>
      <c r="AJ26" s="450"/>
      <c r="AK26" s="450"/>
    </row>
    <row r="27">
      <c r="A27" s="450"/>
      <c r="B27" s="450"/>
      <c r="C27" s="455"/>
      <c r="D27" s="450"/>
      <c r="E27" s="450"/>
      <c r="F27" s="450"/>
      <c r="G27" s="450"/>
      <c r="H27" s="450"/>
      <c r="I27" s="450"/>
      <c r="J27" s="450"/>
      <c r="K27" s="450"/>
      <c r="L27" s="450"/>
      <c r="M27" s="450"/>
      <c r="N27" s="450"/>
      <c r="O27" s="450"/>
      <c r="P27" s="450"/>
      <c r="Q27" s="450"/>
      <c r="R27" s="450"/>
      <c r="S27" s="450"/>
      <c r="T27" s="450"/>
      <c r="U27" s="450"/>
      <c r="V27" s="450"/>
      <c r="W27" s="450"/>
      <c r="X27" s="450"/>
      <c r="Y27" s="450"/>
      <c r="Z27" s="450"/>
      <c r="AA27" s="450"/>
      <c r="AB27" s="450"/>
      <c r="AC27" s="450"/>
      <c r="AD27" s="450"/>
      <c r="AE27" s="450"/>
      <c r="AF27" s="450"/>
      <c r="AG27" s="450"/>
      <c r="AH27" s="450"/>
      <c r="AI27" s="450"/>
      <c r="AJ27" s="450"/>
      <c r="AK27" s="450"/>
    </row>
    <row r="28">
      <c r="A28" s="494" t="s">
        <v>1267</v>
      </c>
      <c r="B28" s="450"/>
      <c r="C28" s="455"/>
      <c r="D28" s="450"/>
      <c r="E28" s="450"/>
      <c r="F28" s="450"/>
      <c r="G28" s="450"/>
      <c r="H28" s="450"/>
      <c r="I28" s="450"/>
      <c r="J28" s="450"/>
      <c r="K28" s="450"/>
      <c r="L28" s="450"/>
      <c r="M28" s="450"/>
      <c r="N28" s="450"/>
      <c r="O28" s="450"/>
      <c r="P28" s="450"/>
      <c r="Q28" s="450"/>
      <c r="R28" s="450"/>
      <c r="S28" s="450"/>
      <c r="T28" s="450"/>
      <c r="U28" s="450"/>
      <c r="V28" s="450"/>
      <c r="W28" s="450"/>
      <c r="X28" s="450"/>
      <c r="Y28" s="450"/>
      <c r="Z28" s="450"/>
      <c r="AA28" s="450"/>
      <c r="AB28" s="450"/>
      <c r="AC28" s="450"/>
      <c r="AD28" s="450"/>
      <c r="AE28" s="450"/>
      <c r="AF28" s="450"/>
      <c r="AG28" s="450"/>
      <c r="AH28" s="450"/>
      <c r="AI28" s="450"/>
      <c r="AJ28" s="450"/>
      <c r="AK28" s="450"/>
    </row>
    <row r="29">
      <c r="A29" s="450"/>
      <c r="B29" s="450"/>
      <c r="C29" s="455"/>
      <c r="D29" s="450"/>
      <c r="E29" s="450"/>
      <c r="F29" s="450"/>
      <c r="G29" s="450"/>
      <c r="H29" s="450"/>
      <c r="I29" s="450"/>
      <c r="J29" s="450"/>
      <c r="K29" s="450"/>
      <c r="L29" s="450"/>
      <c r="M29" s="450"/>
      <c r="N29" s="450"/>
      <c r="O29" s="450"/>
      <c r="P29" s="450"/>
      <c r="Q29" s="450"/>
      <c r="R29" s="450"/>
      <c r="S29" s="450"/>
      <c r="T29" s="450"/>
      <c r="U29" s="450"/>
      <c r="V29" s="450"/>
      <c r="W29" s="450"/>
      <c r="X29" s="450"/>
      <c r="Y29" s="450"/>
      <c r="Z29" s="450"/>
      <c r="AA29" s="450"/>
      <c r="AB29" s="450"/>
      <c r="AC29" s="450"/>
      <c r="AD29" s="450"/>
      <c r="AE29" s="450"/>
      <c r="AF29" s="450"/>
      <c r="AG29" s="450"/>
      <c r="AH29" s="450"/>
      <c r="AI29" s="450"/>
      <c r="AJ29" s="450"/>
      <c r="AK29" s="450"/>
    </row>
    <row r="30">
      <c r="G30" s="450"/>
      <c r="H30" s="450"/>
      <c r="I30" s="450"/>
      <c r="J30" s="450"/>
      <c r="K30" s="450"/>
      <c r="L30" s="450"/>
      <c r="M30" s="450"/>
      <c r="N30" s="450"/>
      <c r="O30" s="450"/>
      <c r="P30" s="450"/>
      <c r="Q30" s="450"/>
      <c r="R30" s="450"/>
      <c r="S30" s="450"/>
      <c r="T30" s="450"/>
      <c r="U30" s="450"/>
      <c r="V30" s="450"/>
      <c r="W30" s="450"/>
      <c r="X30" s="450"/>
      <c r="Y30" s="450"/>
      <c r="Z30" s="450"/>
      <c r="AA30" s="450"/>
      <c r="AB30" s="450"/>
      <c r="AC30" s="450"/>
      <c r="AD30" s="450"/>
      <c r="AE30" s="450"/>
      <c r="AF30" s="450"/>
      <c r="AG30" s="450"/>
      <c r="AH30" s="450"/>
      <c r="AI30" s="450"/>
      <c r="AJ30" s="450"/>
      <c r="AK30" s="450"/>
    </row>
    <row r="31">
      <c r="G31" s="450"/>
      <c r="H31" s="450"/>
      <c r="I31" s="450"/>
      <c r="J31" s="450"/>
      <c r="K31" s="450"/>
      <c r="L31" s="450"/>
      <c r="M31" s="450"/>
      <c r="N31" s="450"/>
      <c r="O31" s="450"/>
      <c r="P31" s="450"/>
      <c r="Q31" s="450"/>
      <c r="R31" s="450"/>
      <c r="S31" s="450"/>
      <c r="T31" s="450"/>
      <c r="U31" s="450"/>
      <c r="V31" s="450"/>
      <c r="W31" s="450"/>
      <c r="X31" s="450"/>
      <c r="Y31" s="450"/>
      <c r="Z31" s="450"/>
      <c r="AA31" s="450"/>
      <c r="AB31" s="450"/>
      <c r="AC31" s="450"/>
      <c r="AD31" s="450"/>
      <c r="AE31" s="450"/>
      <c r="AF31" s="450"/>
      <c r="AG31" s="450"/>
      <c r="AH31" s="450"/>
      <c r="AI31" s="450"/>
      <c r="AJ31" s="450"/>
      <c r="AK31" s="450"/>
    </row>
    <row r="32">
      <c r="G32" s="450"/>
      <c r="H32" s="450"/>
      <c r="I32" s="450"/>
      <c r="J32" s="450"/>
      <c r="K32" s="450"/>
      <c r="L32" s="450"/>
      <c r="M32" s="450"/>
      <c r="N32" s="450"/>
      <c r="O32" s="450"/>
      <c r="P32" s="450"/>
      <c r="Q32" s="450"/>
      <c r="R32" s="450"/>
      <c r="S32" s="450"/>
      <c r="T32" s="450"/>
      <c r="U32" s="450"/>
      <c r="V32" s="450"/>
      <c r="W32" s="450"/>
      <c r="X32" s="450"/>
      <c r="Y32" s="450"/>
      <c r="Z32" s="450"/>
      <c r="AA32" s="450"/>
      <c r="AB32" s="450"/>
      <c r="AC32" s="450"/>
      <c r="AD32" s="450"/>
      <c r="AE32" s="450"/>
      <c r="AF32" s="450"/>
      <c r="AG32" s="450"/>
      <c r="AH32" s="450"/>
      <c r="AI32" s="450"/>
      <c r="AJ32" s="450"/>
      <c r="AK32" s="450"/>
    </row>
    <row r="33">
      <c r="G33" s="450"/>
      <c r="H33" s="450"/>
      <c r="I33" s="450"/>
      <c r="J33" s="450"/>
      <c r="K33" s="450"/>
      <c r="L33" s="450"/>
      <c r="M33" s="450"/>
      <c r="N33" s="450"/>
      <c r="O33" s="450"/>
      <c r="P33" s="450"/>
      <c r="Q33" s="450"/>
      <c r="R33" s="450"/>
      <c r="S33" s="450"/>
      <c r="T33" s="450"/>
      <c r="U33" s="450"/>
      <c r="V33" s="450"/>
      <c r="W33" s="450"/>
      <c r="X33" s="450"/>
      <c r="Y33" s="450"/>
      <c r="Z33" s="450"/>
      <c r="AA33" s="450"/>
      <c r="AB33" s="450"/>
      <c r="AC33" s="450"/>
      <c r="AD33" s="450"/>
      <c r="AE33" s="450"/>
      <c r="AF33" s="450"/>
      <c r="AG33" s="450"/>
      <c r="AH33" s="450"/>
      <c r="AI33" s="450"/>
      <c r="AJ33" s="450"/>
      <c r="AK33" s="450"/>
    </row>
    <row r="34">
      <c r="G34" s="450"/>
      <c r="H34" s="450"/>
      <c r="I34" s="450"/>
      <c r="J34" s="450"/>
      <c r="K34" s="450"/>
      <c r="L34" s="450"/>
      <c r="M34" s="450"/>
      <c r="N34" s="450"/>
      <c r="O34" s="450"/>
      <c r="P34" s="450"/>
      <c r="Q34" s="450"/>
      <c r="R34" s="450"/>
      <c r="S34" s="450"/>
      <c r="T34" s="450"/>
      <c r="U34" s="450"/>
      <c r="V34" s="450"/>
      <c r="W34" s="450"/>
      <c r="X34" s="450"/>
      <c r="Y34" s="450"/>
      <c r="Z34" s="450"/>
      <c r="AA34" s="450"/>
      <c r="AB34" s="450"/>
      <c r="AC34" s="450"/>
      <c r="AD34" s="450"/>
      <c r="AE34" s="450"/>
      <c r="AF34" s="450"/>
      <c r="AG34" s="450"/>
      <c r="AH34" s="450"/>
      <c r="AI34" s="450"/>
      <c r="AJ34" s="450"/>
      <c r="AK34" s="450"/>
    </row>
    <row r="35">
      <c r="G35" s="450"/>
      <c r="H35" s="450"/>
      <c r="I35" s="450"/>
      <c r="J35" s="450"/>
      <c r="K35" s="450"/>
      <c r="L35" s="450"/>
      <c r="M35" s="450"/>
      <c r="N35" s="450"/>
      <c r="O35" s="450"/>
      <c r="P35" s="450"/>
      <c r="Q35" s="450"/>
      <c r="R35" s="450"/>
      <c r="S35" s="450"/>
      <c r="T35" s="450"/>
      <c r="U35" s="450"/>
      <c r="V35" s="450"/>
      <c r="W35" s="450"/>
      <c r="X35" s="450"/>
      <c r="Y35" s="450"/>
      <c r="Z35" s="450"/>
      <c r="AA35" s="450"/>
      <c r="AB35" s="450"/>
      <c r="AC35" s="450"/>
      <c r="AD35" s="450"/>
      <c r="AE35" s="450"/>
      <c r="AF35" s="450"/>
      <c r="AG35" s="450"/>
      <c r="AH35" s="450"/>
      <c r="AI35" s="450"/>
      <c r="AJ35" s="450"/>
      <c r="AK35" s="450"/>
    </row>
    <row r="36">
      <c r="G36" s="450"/>
      <c r="H36" s="450"/>
      <c r="I36" s="450"/>
      <c r="J36" s="450"/>
      <c r="K36" s="450"/>
      <c r="L36" s="450"/>
      <c r="M36" s="450"/>
      <c r="N36" s="450"/>
      <c r="O36" s="450"/>
      <c r="P36" s="450"/>
      <c r="Q36" s="450"/>
      <c r="R36" s="450"/>
      <c r="S36" s="450"/>
      <c r="T36" s="450"/>
      <c r="U36" s="450"/>
      <c r="V36" s="450"/>
      <c r="W36" s="450"/>
      <c r="X36" s="450"/>
      <c r="Y36" s="450"/>
      <c r="Z36" s="450"/>
      <c r="AA36" s="450"/>
      <c r="AB36" s="450"/>
      <c r="AC36" s="450"/>
      <c r="AD36" s="450"/>
      <c r="AE36" s="450"/>
      <c r="AF36" s="450"/>
      <c r="AG36" s="450"/>
      <c r="AH36" s="450"/>
      <c r="AI36" s="450"/>
      <c r="AJ36" s="450"/>
      <c r="AK36" s="450"/>
    </row>
    <row r="37">
      <c r="G37" s="450"/>
      <c r="H37" s="450"/>
      <c r="I37" s="450"/>
      <c r="J37" s="450"/>
      <c r="K37" s="450"/>
      <c r="L37" s="450"/>
      <c r="M37" s="450"/>
      <c r="N37" s="450"/>
      <c r="O37" s="450"/>
      <c r="P37" s="450"/>
      <c r="Q37" s="450"/>
      <c r="R37" s="450"/>
      <c r="S37" s="450"/>
      <c r="T37" s="450"/>
      <c r="U37" s="450"/>
      <c r="V37" s="450"/>
      <c r="W37" s="450"/>
      <c r="X37" s="450"/>
      <c r="Y37" s="450"/>
      <c r="Z37" s="450"/>
      <c r="AA37" s="450"/>
      <c r="AB37" s="450"/>
      <c r="AC37" s="450"/>
      <c r="AD37" s="450"/>
      <c r="AE37" s="450"/>
      <c r="AF37" s="450"/>
      <c r="AG37" s="450"/>
      <c r="AH37" s="450"/>
      <c r="AI37" s="450"/>
      <c r="AJ37" s="450"/>
      <c r="AK37" s="450"/>
    </row>
    <row r="38">
      <c r="G38" s="450"/>
      <c r="H38" s="450"/>
      <c r="I38" s="450"/>
      <c r="J38" s="450"/>
      <c r="K38" s="450"/>
      <c r="L38" s="450"/>
      <c r="M38" s="450"/>
      <c r="N38" s="450"/>
      <c r="O38" s="450"/>
      <c r="P38" s="450"/>
      <c r="Q38" s="450"/>
      <c r="R38" s="450"/>
      <c r="S38" s="450"/>
      <c r="T38" s="450"/>
      <c r="U38" s="450"/>
      <c r="V38" s="450"/>
      <c r="W38" s="450"/>
      <c r="X38" s="450"/>
      <c r="Y38" s="450"/>
      <c r="Z38" s="450"/>
      <c r="AA38" s="450"/>
      <c r="AB38" s="450"/>
      <c r="AC38" s="450"/>
      <c r="AD38" s="450"/>
      <c r="AE38" s="450"/>
      <c r="AF38" s="450"/>
      <c r="AG38" s="450"/>
      <c r="AH38" s="450"/>
      <c r="AI38" s="450"/>
      <c r="AJ38" s="450"/>
      <c r="AK38" s="450"/>
    </row>
    <row r="39">
      <c r="G39" s="450"/>
      <c r="H39" s="450"/>
      <c r="I39" s="450"/>
      <c r="J39" s="450"/>
      <c r="K39" s="450"/>
      <c r="L39" s="450"/>
      <c r="M39" s="450"/>
      <c r="N39" s="450"/>
      <c r="O39" s="450"/>
      <c r="P39" s="450"/>
      <c r="Q39" s="450"/>
      <c r="R39" s="450"/>
      <c r="S39" s="450"/>
      <c r="T39" s="450"/>
      <c r="U39" s="450"/>
      <c r="V39" s="450"/>
      <c r="W39" s="450"/>
      <c r="X39" s="450"/>
      <c r="Y39" s="450"/>
      <c r="Z39" s="450"/>
      <c r="AA39" s="450"/>
      <c r="AB39" s="450"/>
      <c r="AC39" s="450"/>
      <c r="AD39" s="450"/>
      <c r="AE39" s="450"/>
      <c r="AF39" s="450"/>
      <c r="AG39" s="450"/>
      <c r="AH39" s="450"/>
      <c r="AI39" s="450"/>
      <c r="AJ39" s="450"/>
      <c r="AK39" s="450"/>
    </row>
    <row r="40">
      <c r="G40" s="450"/>
      <c r="H40" s="450"/>
      <c r="I40" s="450"/>
      <c r="J40" s="450"/>
      <c r="K40" s="450"/>
      <c r="L40" s="450"/>
      <c r="M40" s="450"/>
      <c r="N40" s="450"/>
      <c r="O40" s="450"/>
      <c r="P40" s="450"/>
      <c r="Q40" s="450"/>
      <c r="R40" s="450"/>
      <c r="S40" s="450"/>
      <c r="T40" s="450"/>
      <c r="U40" s="450"/>
      <c r="V40" s="450"/>
      <c r="W40" s="450"/>
      <c r="X40" s="450"/>
      <c r="Y40" s="450"/>
      <c r="Z40" s="450"/>
      <c r="AA40" s="450"/>
      <c r="AB40" s="450"/>
      <c r="AC40" s="450"/>
      <c r="AD40" s="450"/>
      <c r="AE40" s="450"/>
      <c r="AF40" s="450"/>
      <c r="AG40" s="450"/>
      <c r="AH40" s="450"/>
      <c r="AI40" s="450"/>
      <c r="AJ40" s="450"/>
      <c r="AK40" s="450"/>
    </row>
    <row r="41">
      <c r="G41" s="450"/>
      <c r="H41" s="450"/>
      <c r="I41" s="450"/>
      <c r="J41" s="450"/>
      <c r="K41" s="450"/>
      <c r="L41" s="450"/>
      <c r="M41" s="450"/>
      <c r="N41" s="450"/>
      <c r="O41" s="450"/>
      <c r="P41" s="450"/>
      <c r="Q41" s="450"/>
      <c r="R41" s="450"/>
      <c r="S41" s="450"/>
      <c r="T41" s="450"/>
      <c r="U41" s="450"/>
      <c r="V41" s="450"/>
      <c r="W41" s="450"/>
      <c r="X41" s="450"/>
      <c r="Y41" s="450"/>
      <c r="Z41" s="450"/>
      <c r="AA41" s="450"/>
      <c r="AB41" s="450"/>
      <c r="AC41" s="450"/>
      <c r="AD41" s="450"/>
      <c r="AE41" s="450"/>
      <c r="AF41" s="450"/>
      <c r="AG41" s="450"/>
      <c r="AH41" s="450"/>
      <c r="AI41" s="450"/>
      <c r="AJ41" s="450"/>
      <c r="AK41" s="450"/>
    </row>
    <row r="42">
      <c r="G42" s="450"/>
      <c r="H42" s="450"/>
      <c r="I42" s="450"/>
      <c r="J42" s="450"/>
      <c r="K42" s="450"/>
      <c r="L42" s="450"/>
      <c r="M42" s="450"/>
      <c r="N42" s="450"/>
      <c r="O42" s="450"/>
      <c r="P42" s="450"/>
      <c r="Q42" s="450"/>
      <c r="R42" s="450"/>
      <c r="S42" s="450"/>
      <c r="T42" s="450"/>
      <c r="U42" s="450"/>
      <c r="V42" s="450"/>
      <c r="W42" s="450"/>
      <c r="X42" s="450"/>
      <c r="Y42" s="450"/>
      <c r="Z42" s="450"/>
      <c r="AA42" s="450"/>
      <c r="AB42" s="450"/>
      <c r="AC42" s="450"/>
      <c r="AD42" s="450"/>
      <c r="AE42" s="450"/>
      <c r="AF42" s="450"/>
      <c r="AG42" s="450"/>
      <c r="AH42" s="450"/>
      <c r="AI42" s="450"/>
      <c r="AJ42" s="450"/>
      <c r="AK42" s="450"/>
    </row>
    <row r="43">
      <c r="G43" s="450"/>
      <c r="H43" s="450"/>
      <c r="I43" s="450"/>
      <c r="J43" s="450"/>
      <c r="K43" s="450"/>
      <c r="L43" s="450"/>
      <c r="M43" s="450"/>
      <c r="N43" s="450"/>
      <c r="O43" s="450"/>
      <c r="P43" s="450"/>
      <c r="Q43" s="450"/>
      <c r="R43" s="450"/>
      <c r="S43" s="450"/>
      <c r="T43" s="450"/>
      <c r="U43" s="450"/>
      <c r="V43" s="450"/>
      <c r="W43" s="450"/>
      <c r="X43" s="450"/>
      <c r="Y43" s="450"/>
      <c r="Z43" s="450"/>
      <c r="AA43" s="450"/>
      <c r="AB43" s="450"/>
      <c r="AC43" s="450"/>
      <c r="AD43" s="450"/>
      <c r="AE43" s="450"/>
      <c r="AF43" s="450"/>
      <c r="AG43" s="450"/>
      <c r="AH43" s="450"/>
      <c r="AI43" s="450"/>
      <c r="AJ43" s="450"/>
      <c r="AK43" s="450"/>
    </row>
    <row r="44">
      <c r="G44" s="450"/>
      <c r="H44" s="450"/>
      <c r="I44" s="450"/>
      <c r="J44" s="450"/>
      <c r="K44" s="450"/>
      <c r="L44" s="450"/>
      <c r="M44" s="450"/>
      <c r="N44" s="450"/>
      <c r="O44" s="450"/>
      <c r="P44" s="450"/>
      <c r="Q44" s="450"/>
      <c r="R44" s="450"/>
      <c r="S44" s="450"/>
      <c r="T44" s="450"/>
      <c r="U44" s="450"/>
      <c r="V44" s="450"/>
      <c r="W44" s="450"/>
      <c r="X44" s="450"/>
      <c r="Y44" s="450"/>
      <c r="Z44" s="450"/>
      <c r="AA44" s="450"/>
      <c r="AB44" s="450"/>
      <c r="AC44" s="450"/>
      <c r="AD44" s="450"/>
      <c r="AE44" s="450"/>
      <c r="AF44" s="450"/>
      <c r="AG44" s="450"/>
      <c r="AH44" s="450"/>
      <c r="AI44" s="450"/>
      <c r="AJ44" s="450"/>
      <c r="AK44" s="450"/>
    </row>
    <row r="45">
      <c r="G45" s="450"/>
      <c r="H45" s="450"/>
      <c r="I45" s="450"/>
      <c r="J45" s="450"/>
      <c r="K45" s="450"/>
      <c r="L45" s="450"/>
      <c r="M45" s="450"/>
      <c r="N45" s="450"/>
      <c r="O45" s="450"/>
      <c r="P45" s="450"/>
      <c r="Q45" s="450"/>
      <c r="R45" s="450"/>
      <c r="S45" s="450"/>
      <c r="T45" s="450"/>
      <c r="U45" s="450"/>
      <c r="V45" s="450"/>
      <c r="W45" s="450"/>
      <c r="X45" s="450"/>
      <c r="Y45" s="450"/>
      <c r="Z45" s="450"/>
      <c r="AA45" s="450"/>
      <c r="AB45" s="450"/>
      <c r="AC45" s="450"/>
      <c r="AD45" s="450"/>
      <c r="AE45" s="450"/>
      <c r="AF45" s="450"/>
      <c r="AG45" s="450"/>
      <c r="AH45" s="450"/>
      <c r="AI45" s="450"/>
      <c r="AJ45" s="450"/>
      <c r="AK45" s="450"/>
    </row>
    <row r="46">
      <c r="G46" s="450"/>
      <c r="H46" s="450"/>
      <c r="I46" s="450"/>
      <c r="J46" s="450"/>
      <c r="K46" s="450"/>
      <c r="L46" s="450"/>
      <c r="M46" s="450"/>
      <c r="N46" s="450"/>
      <c r="O46" s="450"/>
      <c r="P46" s="450"/>
      <c r="Q46" s="450"/>
      <c r="R46" s="450"/>
      <c r="S46" s="450"/>
      <c r="T46" s="450"/>
      <c r="U46" s="450"/>
      <c r="V46" s="450"/>
      <c r="W46" s="450"/>
      <c r="X46" s="450"/>
      <c r="Y46" s="450"/>
      <c r="Z46" s="450"/>
      <c r="AA46" s="450"/>
      <c r="AB46" s="450"/>
      <c r="AC46" s="450"/>
      <c r="AD46" s="450"/>
      <c r="AE46" s="450"/>
      <c r="AF46" s="450"/>
      <c r="AG46" s="450"/>
      <c r="AH46" s="450"/>
      <c r="AI46" s="450"/>
      <c r="AJ46" s="450"/>
      <c r="AK46" s="450"/>
    </row>
    <row r="47">
      <c r="G47" s="450"/>
      <c r="H47" s="450"/>
      <c r="I47" s="450"/>
      <c r="J47" s="450"/>
      <c r="K47" s="450"/>
      <c r="L47" s="450"/>
      <c r="M47" s="450"/>
      <c r="N47" s="450"/>
      <c r="O47" s="450"/>
      <c r="P47" s="450"/>
      <c r="Q47" s="450"/>
      <c r="R47" s="450"/>
      <c r="S47" s="450"/>
      <c r="T47" s="450"/>
      <c r="U47" s="450"/>
      <c r="V47" s="450"/>
      <c r="W47" s="450"/>
      <c r="X47" s="450"/>
      <c r="Y47" s="450"/>
      <c r="Z47" s="450"/>
      <c r="AA47" s="450"/>
      <c r="AB47" s="450"/>
      <c r="AC47" s="450"/>
      <c r="AD47" s="450"/>
      <c r="AE47" s="450"/>
      <c r="AF47" s="450"/>
      <c r="AG47" s="450"/>
      <c r="AH47" s="450"/>
      <c r="AI47" s="450"/>
      <c r="AJ47" s="450"/>
      <c r="AK47" s="450"/>
    </row>
    <row r="48">
      <c r="G48" s="450"/>
      <c r="H48" s="450"/>
      <c r="I48" s="450"/>
      <c r="J48" s="450"/>
      <c r="K48" s="450"/>
      <c r="L48" s="450"/>
      <c r="M48" s="450"/>
      <c r="N48" s="450"/>
      <c r="O48" s="450"/>
      <c r="P48" s="450"/>
      <c r="Q48" s="450"/>
      <c r="R48" s="450"/>
      <c r="S48" s="450"/>
      <c r="T48" s="450"/>
      <c r="U48" s="450"/>
      <c r="V48" s="450"/>
      <c r="W48" s="450"/>
      <c r="X48" s="450"/>
      <c r="Y48" s="450"/>
      <c r="Z48" s="450"/>
      <c r="AA48" s="450"/>
      <c r="AB48" s="450"/>
      <c r="AC48" s="450"/>
      <c r="AD48" s="450"/>
      <c r="AE48" s="450"/>
      <c r="AF48" s="450"/>
      <c r="AG48" s="450"/>
      <c r="AH48" s="450"/>
      <c r="AI48" s="450"/>
      <c r="AJ48" s="450"/>
      <c r="AK48" s="450"/>
    </row>
    <row r="49">
      <c r="G49" s="450"/>
      <c r="H49" s="450"/>
      <c r="I49" s="450"/>
      <c r="J49" s="450"/>
      <c r="K49" s="450"/>
      <c r="L49" s="450"/>
      <c r="M49" s="450"/>
      <c r="N49" s="450"/>
      <c r="O49" s="450"/>
      <c r="P49" s="450"/>
      <c r="Q49" s="450"/>
      <c r="R49" s="450"/>
      <c r="S49" s="450"/>
      <c r="T49" s="450"/>
      <c r="U49" s="450"/>
      <c r="V49" s="450"/>
      <c r="W49" s="450"/>
      <c r="X49" s="450"/>
      <c r="Y49" s="450"/>
      <c r="Z49" s="450"/>
      <c r="AA49" s="450"/>
      <c r="AB49" s="450"/>
      <c r="AC49" s="450"/>
      <c r="AD49" s="450"/>
      <c r="AE49" s="450"/>
      <c r="AF49" s="450"/>
      <c r="AG49" s="450"/>
      <c r="AH49" s="450"/>
      <c r="AI49" s="450"/>
      <c r="AJ49" s="450"/>
      <c r="AK49" s="450"/>
    </row>
    <row r="50">
      <c r="G50" s="450"/>
      <c r="H50" s="450"/>
      <c r="I50" s="450"/>
      <c r="J50" s="450"/>
      <c r="K50" s="450"/>
      <c r="L50" s="450"/>
      <c r="M50" s="450"/>
      <c r="N50" s="450"/>
      <c r="O50" s="450"/>
      <c r="P50" s="450"/>
      <c r="Q50" s="450"/>
      <c r="R50" s="450"/>
      <c r="S50" s="450"/>
      <c r="T50" s="450"/>
      <c r="U50" s="450"/>
      <c r="V50" s="450"/>
      <c r="W50" s="450"/>
      <c r="X50" s="450"/>
      <c r="Y50" s="450"/>
      <c r="Z50" s="450"/>
      <c r="AA50" s="450"/>
      <c r="AB50" s="450"/>
      <c r="AC50" s="450"/>
      <c r="AD50" s="450"/>
      <c r="AE50" s="450"/>
      <c r="AF50" s="450"/>
      <c r="AG50" s="450"/>
      <c r="AH50" s="450"/>
      <c r="AI50" s="450"/>
      <c r="AJ50" s="450"/>
      <c r="AK50" s="450"/>
    </row>
    <row r="51">
      <c r="G51" s="450"/>
      <c r="H51" s="450"/>
      <c r="I51" s="450"/>
      <c r="J51" s="450"/>
      <c r="K51" s="450"/>
      <c r="L51" s="450"/>
      <c r="M51" s="450"/>
      <c r="N51" s="450"/>
      <c r="O51" s="450"/>
      <c r="P51" s="450"/>
      <c r="Q51" s="450"/>
      <c r="R51" s="450"/>
      <c r="S51" s="450"/>
      <c r="T51" s="450"/>
      <c r="U51" s="450"/>
      <c r="V51" s="450"/>
      <c r="W51" s="450"/>
      <c r="X51" s="450"/>
      <c r="Y51" s="450"/>
      <c r="Z51" s="450"/>
      <c r="AA51" s="450"/>
      <c r="AB51" s="450"/>
      <c r="AC51" s="450"/>
      <c r="AD51" s="450"/>
      <c r="AE51" s="450"/>
      <c r="AF51" s="450"/>
      <c r="AG51" s="450"/>
      <c r="AH51" s="450"/>
      <c r="AI51" s="450"/>
      <c r="AJ51" s="450"/>
      <c r="AK51" s="450"/>
    </row>
    <row r="52">
      <c r="G52" s="450"/>
      <c r="H52" s="450"/>
      <c r="I52" s="450"/>
      <c r="J52" s="450"/>
      <c r="K52" s="450"/>
      <c r="L52" s="450"/>
      <c r="M52" s="450"/>
      <c r="N52" s="450"/>
      <c r="O52" s="450"/>
      <c r="P52" s="450"/>
      <c r="Q52" s="450"/>
      <c r="R52" s="450"/>
      <c r="S52" s="450"/>
      <c r="T52" s="450"/>
      <c r="U52" s="450"/>
      <c r="V52" s="450"/>
      <c r="W52" s="450"/>
      <c r="X52" s="450"/>
      <c r="Y52" s="450"/>
      <c r="Z52" s="450"/>
      <c r="AA52" s="450"/>
      <c r="AB52" s="450"/>
      <c r="AC52" s="450"/>
      <c r="AD52" s="450"/>
      <c r="AE52" s="450"/>
      <c r="AF52" s="450"/>
      <c r="AG52" s="450"/>
      <c r="AH52" s="450"/>
      <c r="AI52" s="450"/>
      <c r="AJ52" s="450"/>
      <c r="AK52" s="450"/>
    </row>
    <row r="53">
      <c r="G53" s="450"/>
      <c r="H53" s="450"/>
      <c r="I53" s="450"/>
      <c r="J53" s="450"/>
      <c r="K53" s="450"/>
      <c r="L53" s="450"/>
      <c r="M53" s="450"/>
      <c r="N53" s="450"/>
      <c r="O53" s="450"/>
      <c r="P53" s="450"/>
      <c r="Q53" s="450"/>
      <c r="R53" s="450"/>
      <c r="S53" s="450"/>
      <c r="T53" s="450"/>
      <c r="U53" s="450"/>
      <c r="V53" s="450"/>
      <c r="W53" s="450"/>
      <c r="X53" s="450"/>
      <c r="Y53" s="450"/>
      <c r="Z53" s="450"/>
      <c r="AA53" s="450"/>
      <c r="AB53" s="450"/>
      <c r="AC53" s="450"/>
      <c r="AD53" s="450"/>
      <c r="AE53" s="450"/>
      <c r="AF53" s="450"/>
      <c r="AG53" s="450"/>
      <c r="AH53" s="450"/>
      <c r="AI53" s="450"/>
      <c r="AJ53" s="450"/>
      <c r="AK53" s="450"/>
    </row>
    <row r="54">
      <c r="G54" s="450"/>
      <c r="H54" s="450"/>
      <c r="I54" s="450"/>
      <c r="J54" s="450"/>
      <c r="K54" s="450"/>
      <c r="L54" s="450"/>
      <c r="M54" s="450"/>
      <c r="N54" s="450"/>
      <c r="O54" s="450"/>
      <c r="P54" s="450"/>
      <c r="Q54" s="450"/>
      <c r="R54" s="450"/>
      <c r="S54" s="450"/>
      <c r="T54" s="450"/>
      <c r="U54" s="450"/>
      <c r="V54" s="450"/>
      <c r="W54" s="450"/>
      <c r="X54" s="450"/>
      <c r="Y54" s="450"/>
      <c r="Z54" s="450"/>
      <c r="AA54" s="450"/>
      <c r="AB54" s="450"/>
      <c r="AC54" s="450"/>
      <c r="AD54" s="450"/>
      <c r="AE54" s="450"/>
      <c r="AF54" s="450"/>
      <c r="AG54" s="450"/>
      <c r="AH54" s="450"/>
      <c r="AI54" s="450"/>
      <c r="AJ54" s="450"/>
      <c r="AK54" s="450"/>
    </row>
    <row r="55">
      <c r="G55" s="450"/>
      <c r="H55" s="450"/>
      <c r="I55" s="450"/>
      <c r="J55" s="450"/>
      <c r="K55" s="450"/>
      <c r="L55" s="450"/>
      <c r="M55" s="450"/>
      <c r="N55" s="450"/>
      <c r="O55" s="450"/>
      <c r="P55" s="450"/>
      <c r="Q55" s="450"/>
      <c r="R55" s="450"/>
      <c r="S55" s="450"/>
      <c r="T55" s="450"/>
      <c r="U55" s="450"/>
      <c r="V55" s="450"/>
      <c r="W55" s="450"/>
      <c r="X55" s="450"/>
      <c r="Y55" s="450"/>
      <c r="Z55" s="450"/>
      <c r="AA55" s="450"/>
      <c r="AB55" s="450"/>
      <c r="AC55" s="450"/>
      <c r="AD55" s="450"/>
      <c r="AE55" s="450"/>
      <c r="AF55" s="450"/>
      <c r="AG55" s="450"/>
      <c r="AH55" s="450"/>
      <c r="AI55" s="450"/>
      <c r="AJ55" s="450"/>
      <c r="AK55" s="450"/>
    </row>
    <row r="56">
      <c r="G56" s="450"/>
      <c r="H56" s="450"/>
      <c r="I56" s="450"/>
      <c r="J56" s="450"/>
      <c r="K56" s="450"/>
      <c r="L56" s="450"/>
      <c r="M56" s="450"/>
      <c r="N56" s="450"/>
      <c r="O56" s="450"/>
      <c r="P56" s="450"/>
      <c r="Q56" s="450"/>
      <c r="R56" s="450"/>
      <c r="S56" s="450"/>
      <c r="T56" s="450"/>
      <c r="U56" s="450"/>
      <c r="V56" s="450"/>
      <c r="W56" s="450"/>
      <c r="X56" s="450"/>
      <c r="Y56" s="450"/>
      <c r="Z56" s="450"/>
      <c r="AA56" s="450"/>
      <c r="AB56" s="450"/>
      <c r="AC56" s="450"/>
      <c r="AD56" s="450"/>
      <c r="AE56" s="450"/>
      <c r="AF56" s="450"/>
      <c r="AG56" s="450"/>
      <c r="AH56" s="450"/>
      <c r="AI56" s="450"/>
      <c r="AJ56" s="450"/>
      <c r="AK56" s="450"/>
    </row>
    <row r="57">
      <c r="G57" s="450"/>
      <c r="H57" s="450"/>
      <c r="I57" s="450"/>
      <c r="J57" s="450"/>
      <c r="K57" s="450"/>
      <c r="L57" s="450"/>
      <c r="M57" s="450"/>
      <c r="N57" s="450"/>
      <c r="O57" s="450"/>
      <c r="P57" s="450"/>
      <c r="Q57" s="450"/>
      <c r="R57" s="450"/>
      <c r="S57" s="450"/>
      <c r="T57" s="450"/>
      <c r="U57" s="450"/>
      <c r="V57" s="450"/>
      <c r="W57" s="450"/>
      <c r="X57" s="450"/>
      <c r="Y57" s="450"/>
      <c r="Z57" s="450"/>
      <c r="AA57" s="450"/>
      <c r="AB57" s="450"/>
      <c r="AC57" s="450"/>
      <c r="AD57" s="450"/>
      <c r="AE57" s="450"/>
      <c r="AF57" s="450"/>
      <c r="AG57" s="450"/>
      <c r="AH57" s="450"/>
      <c r="AI57" s="450"/>
      <c r="AJ57" s="450"/>
      <c r="AK57" s="450"/>
    </row>
    <row r="58">
      <c r="G58" s="450"/>
      <c r="H58" s="450"/>
      <c r="I58" s="450"/>
      <c r="J58" s="450"/>
      <c r="K58" s="450"/>
      <c r="L58" s="450"/>
      <c r="M58" s="450"/>
      <c r="N58" s="450"/>
      <c r="O58" s="450"/>
      <c r="P58" s="450"/>
      <c r="Q58" s="450"/>
      <c r="R58" s="450"/>
      <c r="S58" s="450"/>
      <c r="T58" s="450"/>
      <c r="U58" s="450"/>
      <c r="V58" s="450"/>
      <c r="W58" s="450"/>
      <c r="X58" s="450"/>
      <c r="Y58" s="450"/>
      <c r="Z58" s="450"/>
      <c r="AA58" s="450"/>
      <c r="AB58" s="450"/>
      <c r="AC58" s="450"/>
      <c r="AD58" s="450"/>
      <c r="AE58" s="450"/>
      <c r="AF58" s="450"/>
      <c r="AG58" s="450"/>
      <c r="AH58" s="450"/>
      <c r="AI58" s="450"/>
      <c r="AJ58" s="450"/>
      <c r="AK58" s="450"/>
    </row>
    <row r="59">
      <c r="G59" s="450"/>
      <c r="H59" s="450"/>
      <c r="I59" s="450"/>
      <c r="J59" s="450"/>
      <c r="K59" s="450"/>
      <c r="L59" s="450"/>
      <c r="M59" s="450"/>
      <c r="N59" s="450"/>
      <c r="O59" s="450"/>
      <c r="P59" s="450"/>
      <c r="Q59" s="450"/>
      <c r="R59" s="450"/>
      <c r="S59" s="450"/>
      <c r="T59" s="450"/>
      <c r="U59" s="450"/>
      <c r="V59" s="450"/>
      <c r="W59" s="450"/>
      <c r="X59" s="450"/>
      <c r="Y59" s="450"/>
      <c r="Z59" s="450"/>
      <c r="AA59" s="450"/>
      <c r="AB59" s="450"/>
      <c r="AC59" s="450"/>
      <c r="AD59" s="450"/>
      <c r="AE59" s="450"/>
      <c r="AF59" s="450"/>
      <c r="AG59" s="450"/>
      <c r="AH59" s="450"/>
      <c r="AI59" s="450"/>
      <c r="AJ59" s="450"/>
      <c r="AK59" s="450"/>
    </row>
    <row r="60">
      <c r="G60" s="450"/>
      <c r="H60" s="450"/>
      <c r="I60" s="450"/>
      <c r="J60" s="450"/>
      <c r="K60" s="450"/>
      <c r="L60" s="450"/>
      <c r="M60" s="450"/>
      <c r="N60" s="450"/>
      <c r="O60" s="450"/>
      <c r="P60" s="450"/>
      <c r="Q60" s="450"/>
      <c r="R60" s="450"/>
      <c r="S60" s="450"/>
      <c r="T60" s="450"/>
      <c r="U60" s="450"/>
      <c r="V60" s="450"/>
      <c r="W60" s="450"/>
      <c r="X60" s="450"/>
      <c r="Y60" s="450"/>
      <c r="Z60" s="450"/>
      <c r="AA60" s="450"/>
      <c r="AB60" s="450"/>
      <c r="AC60" s="450"/>
      <c r="AD60" s="450"/>
      <c r="AE60" s="450"/>
      <c r="AF60" s="450"/>
      <c r="AG60" s="450"/>
      <c r="AH60" s="450"/>
      <c r="AI60" s="450"/>
      <c r="AJ60" s="450"/>
      <c r="AK60" s="450"/>
    </row>
    <row r="61">
      <c r="G61" s="450"/>
      <c r="H61" s="450"/>
      <c r="I61" s="450"/>
      <c r="J61" s="450"/>
      <c r="K61" s="450"/>
      <c r="L61" s="450"/>
      <c r="M61" s="450"/>
      <c r="N61" s="450"/>
      <c r="O61" s="450"/>
      <c r="P61" s="450"/>
      <c r="Q61" s="450"/>
      <c r="R61" s="450"/>
      <c r="S61" s="450"/>
      <c r="T61" s="450"/>
      <c r="U61" s="450"/>
      <c r="V61" s="450"/>
      <c r="W61" s="450"/>
      <c r="X61" s="450"/>
      <c r="Y61" s="450"/>
      <c r="Z61" s="450"/>
      <c r="AA61" s="450"/>
      <c r="AB61" s="450"/>
      <c r="AC61" s="450"/>
      <c r="AD61" s="450"/>
      <c r="AE61" s="450"/>
      <c r="AF61" s="450"/>
      <c r="AG61" s="450"/>
      <c r="AH61" s="450"/>
      <c r="AI61" s="450"/>
      <c r="AJ61" s="450"/>
      <c r="AK61" s="450"/>
    </row>
    <row r="62">
      <c r="G62" s="450"/>
      <c r="H62" s="450"/>
      <c r="I62" s="450"/>
      <c r="J62" s="450"/>
      <c r="K62" s="450"/>
      <c r="L62" s="450"/>
      <c r="M62" s="450"/>
      <c r="N62" s="450"/>
      <c r="O62" s="450"/>
      <c r="P62" s="450"/>
      <c r="Q62" s="450"/>
      <c r="R62" s="450"/>
      <c r="S62" s="450"/>
      <c r="T62" s="450"/>
      <c r="U62" s="450"/>
      <c r="V62" s="450"/>
      <c r="W62" s="450"/>
      <c r="X62" s="450"/>
      <c r="Y62" s="450"/>
      <c r="Z62" s="450"/>
      <c r="AA62" s="450"/>
      <c r="AB62" s="450"/>
      <c r="AC62" s="450"/>
      <c r="AD62" s="450"/>
      <c r="AE62" s="450"/>
      <c r="AF62" s="450"/>
      <c r="AG62" s="450"/>
      <c r="AH62" s="450"/>
      <c r="AI62" s="450"/>
      <c r="AJ62" s="450"/>
      <c r="AK62" s="450"/>
    </row>
    <row r="63">
      <c r="G63" s="450"/>
      <c r="H63" s="450"/>
      <c r="I63" s="450"/>
      <c r="J63" s="450"/>
      <c r="K63" s="450"/>
      <c r="L63" s="450"/>
      <c r="M63" s="450"/>
      <c r="N63" s="450"/>
      <c r="O63" s="450"/>
      <c r="P63" s="450"/>
      <c r="Q63" s="450"/>
      <c r="R63" s="450"/>
      <c r="S63" s="450"/>
      <c r="T63" s="450"/>
      <c r="U63" s="450"/>
      <c r="V63" s="450"/>
      <c r="W63" s="450"/>
      <c r="X63" s="450"/>
      <c r="Y63" s="450"/>
      <c r="Z63" s="450"/>
      <c r="AA63" s="450"/>
      <c r="AB63" s="450"/>
      <c r="AC63" s="450"/>
      <c r="AD63" s="450"/>
      <c r="AE63" s="450"/>
      <c r="AF63" s="450"/>
      <c r="AG63" s="450"/>
      <c r="AH63" s="450"/>
      <c r="AI63" s="450"/>
      <c r="AJ63" s="450"/>
      <c r="AK63" s="450"/>
    </row>
    <row r="64">
      <c r="G64" s="450"/>
      <c r="H64" s="450"/>
      <c r="I64" s="450"/>
      <c r="J64" s="450"/>
      <c r="K64" s="450"/>
      <c r="L64" s="450"/>
      <c r="M64" s="450"/>
      <c r="N64" s="450"/>
      <c r="O64" s="450"/>
      <c r="P64" s="450"/>
      <c r="Q64" s="450"/>
      <c r="R64" s="450"/>
      <c r="S64" s="450"/>
      <c r="T64" s="450"/>
      <c r="U64" s="450"/>
      <c r="V64" s="450"/>
      <c r="W64" s="450"/>
      <c r="X64" s="450"/>
      <c r="Y64" s="450"/>
      <c r="Z64" s="450"/>
      <c r="AA64" s="450"/>
      <c r="AB64" s="450"/>
      <c r="AC64" s="450"/>
      <c r="AD64" s="450"/>
      <c r="AE64" s="450"/>
      <c r="AF64" s="450"/>
      <c r="AG64" s="450"/>
      <c r="AH64" s="450"/>
      <c r="AI64" s="450"/>
      <c r="AJ64" s="450"/>
      <c r="AK64" s="450"/>
    </row>
    <row r="65">
      <c r="G65" s="450"/>
      <c r="H65" s="450"/>
      <c r="I65" s="450"/>
      <c r="J65" s="450"/>
      <c r="K65" s="450"/>
      <c r="L65" s="450"/>
      <c r="M65" s="450"/>
      <c r="N65" s="450"/>
      <c r="O65" s="450"/>
      <c r="P65" s="450"/>
      <c r="Q65" s="450"/>
      <c r="R65" s="450"/>
      <c r="S65" s="450"/>
      <c r="T65" s="450"/>
      <c r="U65" s="450"/>
      <c r="V65" s="450"/>
      <c r="W65" s="450"/>
      <c r="X65" s="450"/>
      <c r="Y65" s="450"/>
      <c r="Z65" s="450"/>
      <c r="AA65" s="450"/>
      <c r="AB65" s="450"/>
      <c r="AC65" s="450"/>
      <c r="AD65" s="450"/>
      <c r="AE65" s="450"/>
      <c r="AF65" s="450"/>
      <c r="AG65" s="450"/>
      <c r="AH65" s="450"/>
      <c r="AI65" s="450"/>
      <c r="AJ65" s="450"/>
      <c r="AK65" s="450"/>
    </row>
    <row r="66">
      <c r="G66" s="450"/>
      <c r="H66" s="450"/>
      <c r="I66" s="450"/>
      <c r="J66" s="450"/>
      <c r="K66" s="450"/>
      <c r="L66" s="450"/>
      <c r="M66" s="450"/>
      <c r="N66" s="450"/>
      <c r="O66" s="450"/>
      <c r="P66" s="450"/>
      <c r="Q66" s="450"/>
      <c r="R66" s="450"/>
      <c r="S66" s="450"/>
      <c r="T66" s="450"/>
      <c r="U66" s="450"/>
      <c r="V66" s="450"/>
      <c r="W66" s="450"/>
      <c r="X66" s="450"/>
      <c r="Y66" s="450"/>
      <c r="Z66" s="450"/>
      <c r="AA66" s="450"/>
      <c r="AB66" s="450"/>
      <c r="AC66" s="450"/>
      <c r="AD66" s="450"/>
      <c r="AE66" s="450"/>
      <c r="AF66" s="450"/>
      <c r="AG66" s="450"/>
      <c r="AH66" s="450"/>
      <c r="AI66" s="450"/>
      <c r="AJ66" s="450"/>
      <c r="AK66" s="450"/>
    </row>
    <row r="67">
      <c r="G67" s="450"/>
      <c r="H67" s="450"/>
      <c r="I67" s="450"/>
      <c r="J67" s="450"/>
      <c r="K67" s="450"/>
      <c r="L67" s="450"/>
      <c r="M67" s="450"/>
      <c r="N67" s="450"/>
      <c r="O67" s="450"/>
      <c r="P67" s="450"/>
      <c r="Q67" s="450"/>
      <c r="R67" s="450"/>
      <c r="S67" s="450"/>
      <c r="T67" s="450"/>
      <c r="U67" s="450"/>
      <c r="V67" s="450"/>
      <c r="W67" s="450"/>
      <c r="X67" s="450"/>
      <c r="Y67" s="450"/>
      <c r="Z67" s="450"/>
      <c r="AA67" s="450"/>
      <c r="AB67" s="450"/>
      <c r="AC67" s="450"/>
      <c r="AD67" s="450"/>
      <c r="AE67" s="450"/>
      <c r="AF67" s="450"/>
      <c r="AG67" s="450"/>
      <c r="AH67" s="450"/>
      <c r="AI67" s="450"/>
      <c r="AJ67" s="450"/>
      <c r="AK67" s="450"/>
    </row>
    <row r="68">
      <c r="G68" s="450"/>
      <c r="H68" s="450"/>
      <c r="I68" s="450"/>
      <c r="J68" s="450"/>
      <c r="K68" s="450"/>
      <c r="L68" s="450"/>
      <c r="M68" s="450"/>
      <c r="N68" s="450"/>
      <c r="O68" s="450"/>
      <c r="P68" s="450"/>
      <c r="Q68" s="450"/>
      <c r="R68" s="450"/>
      <c r="S68" s="450"/>
      <c r="T68" s="450"/>
      <c r="U68" s="450"/>
      <c r="V68" s="450"/>
      <c r="W68" s="450"/>
      <c r="X68" s="450"/>
      <c r="Y68" s="450"/>
      <c r="Z68" s="450"/>
      <c r="AA68" s="450"/>
      <c r="AB68" s="450"/>
      <c r="AC68" s="450"/>
      <c r="AD68" s="450"/>
      <c r="AE68" s="450"/>
      <c r="AF68" s="450"/>
      <c r="AG68" s="450"/>
      <c r="AH68" s="450"/>
      <c r="AI68" s="450"/>
      <c r="AJ68" s="450"/>
      <c r="AK68" s="450"/>
    </row>
    <row r="69">
      <c r="G69" s="450"/>
      <c r="H69" s="450"/>
      <c r="I69" s="450"/>
      <c r="J69" s="450"/>
      <c r="K69" s="450"/>
      <c r="L69" s="450"/>
      <c r="M69" s="450"/>
      <c r="N69" s="450"/>
      <c r="O69" s="450"/>
      <c r="P69" s="450"/>
      <c r="Q69" s="450"/>
      <c r="R69" s="450"/>
      <c r="S69" s="450"/>
      <c r="T69" s="450"/>
      <c r="U69" s="450"/>
      <c r="V69" s="450"/>
      <c r="W69" s="450"/>
      <c r="X69" s="450"/>
      <c r="Y69" s="450"/>
      <c r="Z69" s="450"/>
      <c r="AA69" s="450"/>
      <c r="AB69" s="450"/>
      <c r="AC69" s="450"/>
      <c r="AD69" s="450"/>
      <c r="AE69" s="450"/>
      <c r="AF69" s="450"/>
      <c r="AG69" s="450"/>
      <c r="AH69" s="450"/>
      <c r="AI69" s="450"/>
      <c r="AJ69" s="450"/>
      <c r="AK69" s="450"/>
    </row>
    <row r="70">
      <c r="G70" s="450"/>
      <c r="H70" s="450"/>
      <c r="I70" s="450"/>
      <c r="J70" s="450"/>
      <c r="K70" s="450"/>
      <c r="L70" s="450"/>
      <c r="M70" s="450"/>
      <c r="N70" s="450"/>
      <c r="O70" s="450"/>
      <c r="P70" s="450"/>
      <c r="Q70" s="450"/>
      <c r="R70" s="450"/>
      <c r="S70" s="450"/>
      <c r="T70" s="450"/>
      <c r="U70" s="450"/>
      <c r="V70" s="450"/>
      <c r="W70" s="450"/>
      <c r="X70" s="450"/>
      <c r="Y70" s="450"/>
      <c r="Z70" s="450"/>
      <c r="AA70" s="450"/>
      <c r="AB70" s="450"/>
      <c r="AC70" s="450"/>
      <c r="AD70" s="450"/>
      <c r="AE70" s="450"/>
      <c r="AF70" s="450"/>
      <c r="AG70" s="450"/>
      <c r="AH70" s="450"/>
      <c r="AI70" s="450"/>
      <c r="AJ70" s="450"/>
      <c r="AK70" s="450"/>
    </row>
    <row r="71">
      <c r="G71" s="450"/>
      <c r="H71" s="450"/>
      <c r="I71" s="450"/>
      <c r="J71" s="450"/>
      <c r="K71" s="450"/>
      <c r="L71" s="450"/>
      <c r="M71" s="450"/>
      <c r="N71" s="450"/>
      <c r="O71" s="450"/>
      <c r="P71" s="450"/>
      <c r="Q71" s="450"/>
      <c r="R71" s="450"/>
      <c r="S71" s="450"/>
      <c r="T71" s="450"/>
      <c r="U71" s="450"/>
      <c r="V71" s="450"/>
      <c r="W71" s="450"/>
      <c r="X71" s="450"/>
      <c r="Y71" s="450"/>
      <c r="Z71" s="450"/>
      <c r="AA71" s="450"/>
      <c r="AB71" s="450"/>
      <c r="AC71" s="450"/>
      <c r="AD71" s="450"/>
      <c r="AE71" s="450"/>
      <c r="AF71" s="450"/>
      <c r="AG71" s="450"/>
      <c r="AH71" s="450"/>
      <c r="AI71" s="450"/>
      <c r="AJ71" s="450"/>
      <c r="AK71" s="450"/>
    </row>
    <row r="72">
      <c r="G72" s="450"/>
      <c r="H72" s="450"/>
      <c r="I72" s="450"/>
      <c r="J72" s="450"/>
      <c r="K72" s="450"/>
      <c r="L72" s="450"/>
      <c r="M72" s="450"/>
      <c r="N72" s="450"/>
      <c r="O72" s="450"/>
      <c r="P72" s="450"/>
      <c r="Q72" s="450"/>
      <c r="R72" s="450"/>
      <c r="S72" s="450"/>
      <c r="T72" s="450"/>
      <c r="U72" s="450"/>
      <c r="V72" s="450"/>
      <c r="W72" s="450"/>
      <c r="X72" s="450"/>
      <c r="Y72" s="450"/>
      <c r="Z72" s="450"/>
      <c r="AA72" s="450"/>
      <c r="AB72" s="450"/>
      <c r="AC72" s="450"/>
      <c r="AD72" s="450"/>
      <c r="AE72" s="450"/>
      <c r="AF72" s="450"/>
      <c r="AG72" s="450"/>
      <c r="AH72" s="450"/>
      <c r="AI72" s="450"/>
      <c r="AJ72" s="450"/>
      <c r="AK72" s="450"/>
    </row>
    <row r="73">
      <c r="G73" s="450"/>
      <c r="H73" s="450"/>
      <c r="I73" s="450"/>
      <c r="J73" s="450"/>
      <c r="K73" s="450"/>
      <c r="L73" s="450"/>
      <c r="M73" s="450"/>
      <c r="N73" s="450"/>
      <c r="O73" s="450"/>
      <c r="P73" s="450"/>
      <c r="Q73" s="450"/>
      <c r="R73" s="450"/>
      <c r="S73" s="450"/>
      <c r="T73" s="450"/>
      <c r="U73" s="450"/>
      <c r="V73" s="450"/>
      <c r="W73" s="450"/>
      <c r="X73" s="450"/>
      <c r="Y73" s="450"/>
      <c r="Z73" s="450"/>
      <c r="AA73" s="450"/>
      <c r="AB73" s="450"/>
      <c r="AC73" s="450"/>
      <c r="AD73" s="450"/>
      <c r="AE73" s="450"/>
      <c r="AF73" s="450"/>
      <c r="AG73" s="450"/>
      <c r="AH73" s="450"/>
      <c r="AI73" s="450"/>
      <c r="AJ73" s="450"/>
      <c r="AK73" s="450"/>
    </row>
    <row r="74">
      <c r="G74" s="450"/>
      <c r="H74" s="450"/>
      <c r="I74" s="450"/>
      <c r="J74" s="450"/>
      <c r="K74" s="450"/>
      <c r="L74" s="450"/>
      <c r="M74" s="450"/>
      <c r="N74" s="450"/>
      <c r="O74" s="450"/>
      <c r="P74" s="450"/>
      <c r="Q74" s="450"/>
      <c r="R74" s="450"/>
      <c r="S74" s="450"/>
      <c r="T74" s="450"/>
      <c r="U74" s="450"/>
      <c r="V74" s="450"/>
      <c r="W74" s="450"/>
      <c r="X74" s="450"/>
      <c r="Y74" s="450"/>
      <c r="Z74" s="450"/>
      <c r="AA74" s="450"/>
      <c r="AB74" s="450"/>
      <c r="AC74" s="450"/>
      <c r="AD74" s="450"/>
      <c r="AE74" s="450"/>
      <c r="AF74" s="450"/>
      <c r="AG74" s="450"/>
      <c r="AH74" s="450"/>
      <c r="AI74" s="450"/>
      <c r="AJ74" s="450"/>
      <c r="AK74" s="450"/>
    </row>
    <row r="75">
      <c r="G75" s="450"/>
      <c r="H75" s="450"/>
      <c r="I75" s="450"/>
      <c r="J75" s="450"/>
      <c r="K75" s="450"/>
      <c r="L75" s="450"/>
      <c r="M75" s="450"/>
      <c r="N75" s="450"/>
      <c r="O75" s="450"/>
      <c r="P75" s="450"/>
      <c r="Q75" s="450"/>
      <c r="R75" s="450"/>
      <c r="S75" s="450"/>
      <c r="T75" s="450"/>
      <c r="U75" s="450"/>
      <c r="V75" s="450"/>
      <c r="W75" s="450"/>
      <c r="X75" s="450"/>
      <c r="Y75" s="450"/>
      <c r="Z75" s="450"/>
      <c r="AA75" s="450"/>
      <c r="AB75" s="450"/>
      <c r="AC75" s="450"/>
      <c r="AD75" s="450"/>
      <c r="AE75" s="450"/>
      <c r="AF75" s="450"/>
      <c r="AG75" s="450"/>
      <c r="AH75" s="450"/>
      <c r="AI75" s="450"/>
      <c r="AJ75" s="450"/>
      <c r="AK75" s="450"/>
    </row>
    <row r="76">
      <c r="G76" s="450"/>
      <c r="H76" s="450"/>
      <c r="I76" s="450"/>
      <c r="J76" s="450"/>
      <c r="K76" s="450"/>
      <c r="L76" s="450"/>
      <c r="M76" s="450"/>
      <c r="N76" s="450"/>
      <c r="O76" s="450"/>
      <c r="P76" s="450"/>
      <c r="Q76" s="450"/>
      <c r="R76" s="450"/>
      <c r="S76" s="450"/>
      <c r="T76" s="450"/>
      <c r="U76" s="450"/>
      <c r="V76" s="450"/>
      <c r="W76" s="450"/>
      <c r="X76" s="450"/>
      <c r="Y76" s="450"/>
      <c r="Z76" s="450"/>
      <c r="AA76" s="450"/>
      <c r="AB76" s="450"/>
      <c r="AC76" s="450"/>
      <c r="AD76" s="450"/>
      <c r="AE76" s="450"/>
      <c r="AF76" s="450"/>
      <c r="AG76" s="450"/>
      <c r="AH76" s="450"/>
      <c r="AI76" s="450"/>
      <c r="AJ76" s="450"/>
      <c r="AK76" s="450"/>
    </row>
    <row r="77">
      <c r="G77" s="450"/>
      <c r="H77" s="450"/>
      <c r="I77" s="450"/>
      <c r="J77" s="450"/>
      <c r="K77" s="450"/>
      <c r="L77" s="450"/>
      <c r="M77" s="450"/>
      <c r="N77" s="450"/>
      <c r="O77" s="450"/>
      <c r="P77" s="450"/>
      <c r="Q77" s="450"/>
      <c r="R77" s="450"/>
      <c r="S77" s="450"/>
      <c r="T77" s="450"/>
      <c r="U77" s="450"/>
      <c r="V77" s="450"/>
      <c r="W77" s="450"/>
      <c r="X77" s="450"/>
      <c r="Y77" s="450"/>
      <c r="Z77" s="450"/>
      <c r="AA77" s="450"/>
      <c r="AB77" s="450"/>
      <c r="AC77" s="450"/>
      <c r="AD77" s="450"/>
      <c r="AE77" s="450"/>
      <c r="AF77" s="450"/>
      <c r="AG77" s="450"/>
      <c r="AH77" s="450"/>
      <c r="AI77" s="450"/>
      <c r="AJ77" s="450"/>
      <c r="AK77" s="450"/>
    </row>
    <row r="78">
      <c r="G78" s="450"/>
      <c r="H78" s="450"/>
      <c r="I78" s="450"/>
      <c r="J78" s="450"/>
      <c r="K78" s="450"/>
      <c r="L78" s="450"/>
      <c r="M78" s="450"/>
      <c r="N78" s="450"/>
      <c r="O78" s="450"/>
      <c r="P78" s="450"/>
      <c r="Q78" s="450"/>
      <c r="R78" s="450"/>
      <c r="S78" s="450"/>
      <c r="T78" s="450"/>
      <c r="U78" s="450"/>
      <c r="V78" s="450"/>
      <c r="W78" s="450"/>
      <c r="X78" s="450"/>
      <c r="Y78" s="450"/>
      <c r="Z78" s="450"/>
      <c r="AA78" s="450"/>
      <c r="AB78" s="450"/>
      <c r="AC78" s="450"/>
      <c r="AD78" s="450"/>
      <c r="AE78" s="450"/>
      <c r="AF78" s="450"/>
      <c r="AG78" s="450"/>
      <c r="AH78" s="450"/>
      <c r="AI78" s="450"/>
      <c r="AJ78" s="450"/>
      <c r="AK78" s="450"/>
    </row>
    <row r="79">
      <c r="G79" s="450"/>
      <c r="H79" s="450"/>
      <c r="I79" s="450"/>
      <c r="J79" s="450"/>
      <c r="K79" s="450"/>
      <c r="L79" s="450"/>
      <c r="M79" s="450"/>
      <c r="N79" s="450"/>
      <c r="O79" s="450"/>
      <c r="P79" s="450"/>
      <c r="Q79" s="450"/>
      <c r="R79" s="450"/>
      <c r="S79" s="450"/>
      <c r="T79" s="450"/>
      <c r="U79" s="450"/>
      <c r="V79" s="450"/>
      <c r="W79" s="450"/>
      <c r="X79" s="450"/>
      <c r="Y79" s="450"/>
      <c r="Z79" s="450"/>
      <c r="AA79" s="450"/>
      <c r="AB79" s="450"/>
      <c r="AC79" s="450"/>
      <c r="AD79" s="450"/>
      <c r="AE79" s="450"/>
      <c r="AF79" s="450"/>
      <c r="AG79" s="450"/>
      <c r="AH79" s="450"/>
      <c r="AI79" s="450"/>
      <c r="AJ79" s="450"/>
      <c r="AK79" s="450"/>
    </row>
    <row r="80">
      <c r="G80" s="450"/>
      <c r="H80" s="450"/>
      <c r="I80" s="450"/>
      <c r="J80" s="450"/>
      <c r="K80" s="450"/>
      <c r="L80" s="450"/>
      <c r="M80" s="450"/>
      <c r="N80" s="450"/>
      <c r="O80" s="450"/>
      <c r="P80" s="450"/>
      <c r="Q80" s="450"/>
      <c r="R80" s="450"/>
      <c r="S80" s="450"/>
      <c r="T80" s="450"/>
      <c r="U80" s="450"/>
      <c r="V80" s="450"/>
      <c r="W80" s="450"/>
      <c r="X80" s="450"/>
      <c r="Y80" s="450"/>
      <c r="Z80" s="450"/>
      <c r="AA80" s="450"/>
      <c r="AB80" s="450"/>
      <c r="AC80" s="450"/>
      <c r="AD80" s="450"/>
      <c r="AE80" s="450"/>
      <c r="AF80" s="450"/>
      <c r="AG80" s="450"/>
      <c r="AH80" s="450"/>
      <c r="AI80" s="450"/>
      <c r="AJ80" s="450"/>
      <c r="AK80" s="450"/>
    </row>
    <row r="81">
      <c r="G81" s="450"/>
      <c r="H81" s="450"/>
      <c r="I81" s="450"/>
      <c r="J81" s="450"/>
      <c r="K81" s="450"/>
      <c r="L81" s="450"/>
      <c r="M81" s="450"/>
      <c r="N81" s="450"/>
      <c r="O81" s="450"/>
      <c r="P81" s="450"/>
      <c r="Q81" s="450"/>
      <c r="R81" s="450"/>
      <c r="S81" s="450"/>
      <c r="T81" s="450"/>
      <c r="U81" s="450"/>
      <c r="V81" s="450"/>
      <c r="W81" s="450"/>
      <c r="X81" s="450"/>
      <c r="Y81" s="450"/>
      <c r="Z81" s="450"/>
      <c r="AA81" s="450"/>
      <c r="AB81" s="450"/>
      <c r="AC81" s="450"/>
      <c r="AD81" s="450"/>
      <c r="AE81" s="450"/>
      <c r="AF81" s="450"/>
      <c r="AG81" s="450"/>
      <c r="AH81" s="450"/>
      <c r="AI81" s="450"/>
      <c r="AJ81" s="450"/>
      <c r="AK81" s="450"/>
    </row>
    <row r="82">
      <c r="G82" s="450"/>
      <c r="H82" s="450"/>
      <c r="I82" s="450"/>
      <c r="J82" s="450"/>
      <c r="K82" s="450"/>
      <c r="L82" s="450"/>
      <c r="M82" s="450"/>
      <c r="N82" s="450"/>
      <c r="O82" s="450"/>
      <c r="P82" s="450"/>
      <c r="Q82" s="450"/>
      <c r="R82" s="450"/>
      <c r="S82" s="450"/>
      <c r="T82" s="450"/>
      <c r="U82" s="450"/>
      <c r="V82" s="450"/>
      <c r="W82" s="450"/>
      <c r="X82" s="450"/>
      <c r="Y82" s="450"/>
      <c r="Z82" s="450"/>
      <c r="AA82" s="450"/>
      <c r="AB82" s="450"/>
      <c r="AC82" s="450"/>
      <c r="AD82" s="450"/>
      <c r="AE82" s="450"/>
      <c r="AF82" s="450"/>
      <c r="AG82" s="450"/>
      <c r="AH82" s="450"/>
      <c r="AI82" s="450"/>
      <c r="AJ82" s="450"/>
      <c r="AK82" s="450"/>
    </row>
    <row r="83">
      <c r="G83" s="450"/>
      <c r="H83" s="450"/>
      <c r="I83" s="450"/>
      <c r="J83" s="450"/>
      <c r="K83" s="450"/>
      <c r="L83" s="450"/>
      <c r="M83" s="450"/>
      <c r="N83" s="450"/>
      <c r="O83" s="450"/>
      <c r="P83" s="450"/>
      <c r="Q83" s="450"/>
      <c r="R83" s="450"/>
      <c r="S83" s="450"/>
      <c r="T83" s="450"/>
      <c r="U83" s="450"/>
      <c r="V83" s="450"/>
      <c r="W83" s="450"/>
      <c r="X83" s="450"/>
      <c r="Y83" s="450"/>
      <c r="Z83" s="450"/>
      <c r="AA83" s="450"/>
      <c r="AB83" s="450"/>
      <c r="AC83" s="450"/>
      <c r="AD83" s="450"/>
      <c r="AE83" s="450"/>
      <c r="AF83" s="450"/>
      <c r="AG83" s="450"/>
      <c r="AH83" s="450"/>
      <c r="AI83" s="450"/>
      <c r="AJ83" s="450"/>
      <c r="AK83" s="450"/>
    </row>
    <row r="84">
      <c r="G84" s="450"/>
      <c r="H84" s="450"/>
      <c r="I84" s="450"/>
      <c r="J84" s="450"/>
      <c r="K84" s="450"/>
      <c r="L84" s="450"/>
      <c r="M84" s="450"/>
      <c r="N84" s="450"/>
      <c r="O84" s="450"/>
      <c r="P84" s="450"/>
      <c r="Q84" s="450"/>
      <c r="R84" s="450"/>
      <c r="S84" s="450"/>
      <c r="T84" s="450"/>
      <c r="U84" s="450"/>
      <c r="V84" s="450"/>
      <c r="W84" s="450"/>
      <c r="X84" s="450"/>
      <c r="Y84" s="450"/>
      <c r="Z84" s="450"/>
      <c r="AA84" s="450"/>
      <c r="AB84" s="450"/>
      <c r="AC84" s="450"/>
      <c r="AD84" s="450"/>
      <c r="AE84" s="450"/>
      <c r="AF84" s="450"/>
      <c r="AG84" s="450"/>
      <c r="AH84" s="450"/>
      <c r="AI84" s="450"/>
      <c r="AJ84" s="450"/>
      <c r="AK84" s="450"/>
    </row>
    <row r="85">
      <c r="G85" s="450"/>
      <c r="H85" s="450"/>
      <c r="I85" s="450"/>
      <c r="J85" s="450"/>
      <c r="K85" s="450"/>
      <c r="L85" s="450"/>
      <c r="M85" s="450"/>
      <c r="N85" s="450"/>
      <c r="O85" s="450"/>
      <c r="P85" s="450"/>
      <c r="Q85" s="450"/>
      <c r="R85" s="450"/>
      <c r="S85" s="450"/>
      <c r="T85" s="450"/>
      <c r="U85" s="450"/>
      <c r="V85" s="450"/>
      <c r="W85" s="450"/>
      <c r="X85" s="450"/>
      <c r="Y85" s="450"/>
      <c r="Z85" s="450"/>
      <c r="AA85" s="450"/>
      <c r="AB85" s="450"/>
      <c r="AC85" s="450"/>
      <c r="AD85" s="450"/>
      <c r="AE85" s="450"/>
      <c r="AF85" s="450"/>
      <c r="AG85" s="450"/>
      <c r="AH85" s="450"/>
      <c r="AI85" s="450"/>
      <c r="AJ85" s="450"/>
      <c r="AK85" s="450"/>
    </row>
    <row r="86">
      <c r="A86" s="450"/>
      <c r="B86" s="450"/>
      <c r="C86" s="455"/>
      <c r="D86" s="450"/>
      <c r="E86" s="450"/>
      <c r="F86" s="450"/>
      <c r="G86" s="450"/>
      <c r="H86" s="450"/>
      <c r="I86" s="450"/>
      <c r="J86" s="450"/>
      <c r="K86" s="450"/>
      <c r="L86" s="450"/>
      <c r="M86" s="450"/>
      <c r="N86" s="450"/>
      <c r="O86" s="450"/>
      <c r="P86" s="450"/>
      <c r="Q86" s="450"/>
      <c r="R86" s="450"/>
      <c r="S86" s="450"/>
      <c r="T86" s="450"/>
      <c r="U86" s="450"/>
      <c r="V86" s="450"/>
      <c r="W86" s="450"/>
      <c r="X86" s="450"/>
      <c r="Y86" s="450"/>
      <c r="Z86" s="450"/>
      <c r="AA86" s="450"/>
      <c r="AB86" s="450"/>
      <c r="AC86" s="450"/>
      <c r="AD86" s="450"/>
      <c r="AE86" s="450"/>
      <c r="AF86" s="450"/>
      <c r="AG86" s="450"/>
      <c r="AH86" s="450"/>
      <c r="AI86" s="450"/>
      <c r="AJ86" s="450"/>
      <c r="AK86" s="450"/>
    </row>
    <row r="87">
      <c r="A87" s="450"/>
      <c r="B87" s="450"/>
      <c r="C87" s="455"/>
      <c r="D87" s="450"/>
      <c r="E87" s="450"/>
      <c r="F87" s="450"/>
      <c r="G87" s="450"/>
      <c r="H87" s="450"/>
      <c r="I87" s="450"/>
      <c r="J87" s="450"/>
      <c r="K87" s="450"/>
      <c r="L87" s="450"/>
      <c r="M87" s="450"/>
      <c r="N87" s="450"/>
      <c r="O87" s="450"/>
      <c r="P87" s="450"/>
      <c r="Q87" s="450"/>
      <c r="R87" s="450"/>
      <c r="S87" s="450"/>
      <c r="T87" s="450"/>
      <c r="U87" s="450"/>
      <c r="V87" s="450"/>
      <c r="W87" s="450"/>
      <c r="X87" s="450"/>
      <c r="Y87" s="450"/>
      <c r="Z87" s="450"/>
      <c r="AA87" s="450"/>
      <c r="AB87" s="450"/>
      <c r="AC87" s="450"/>
      <c r="AD87" s="450"/>
      <c r="AE87" s="450"/>
      <c r="AF87" s="450"/>
      <c r="AG87" s="450"/>
      <c r="AH87" s="450"/>
      <c r="AI87" s="450"/>
      <c r="AJ87" s="450"/>
      <c r="AK87" s="450"/>
    </row>
    <row r="88">
      <c r="A88" s="450"/>
      <c r="B88" s="450"/>
      <c r="C88" s="455"/>
      <c r="D88" s="450"/>
      <c r="E88" s="450"/>
      <c r="F88" s="450"/>
      <c r="G88" s="450"/>
      <c r="H88" s="450"/>
      <c r="I88" s="450"/>
      <c r="J88" s="450"/>
      <c r="K88" s="450"/>
      <c r="L88" s="450"/>
      <c r="M88" s="450"/>
      <c r="N88" s="450"/>
      <c r="O88" s="450"/>
      <c r="P88" s="450"/>
      <c r="Q88" s="450"/>
      <c r="R88" s="450"/>
      <c r="S88" s="450"/>
      <c r="T88" s="450"/>
      <c r="U88" s="450"/>
      <c r="V88" s="450"/>
      <c r="W88" s="450"/>
      <c r="X88" s="450"/>
      <c r="Y88" s="450"/>
      <c r="Z88" s="450"/>
      <c r="AA88" s="450"/>
      <c r="AB88" s="450"/>
      <c r="AC88" s="450"/>
      <c r="AD88" s="450"/>
      <c r="AE88" s="450"/>
      <c r="AF88" s="450"/>
      <c r="AG88" s="450"/>
      <c r="AH88" s="450"/>
      <c r="AI88" s="450"/>
      <c r="AJ88" s="450"/>
      <c r="AK88" s="450"/>
    </row>
    <row r="89">
      <c r="A89" s="450"/>
      <c r="B89" s="450"/>
      <c r="C89" s="455"/>
      <c r="D89" s="450"/>
      <c r="E89" s="450"/>
      <c r="F89" s="450"/>
      <c r="G89" s="450"/>
      <c r="H89" s="450"/>
      <c r="I89" s="450"/>
      <c r="J89" s="450"/>
      <c r="K89" s="450"/>
      <c r="L89" s="450"/>
      <c r="M89" s="450"/>
      <c r="N89" s="450"/>
      <c r="O89" s="450"/>
      <c r="P89" s="450"/>
      <c r="Q89" s="450"/>
      <c r="R89" s="450"/>
      <c r="S89" s="450"/>
      <c r="T89" s="450"/>
      <c r="U89" s="450"/>
      <c r="V89" s="450"/>
      <c r="W89" s="450"/>
      <c r="X89" s="450"/>
      <c r="Y89" s="450"/>
      <c r="Z89" s="450"/>
      <c r="AA89" s="450"/>
      <c r="AB89" s="450"/>
      <c r="AC89" s="450"/>
      <c r="AD89" s="450"/>
      <c r="AE89" s="450"/>
      <c r="AF89" s="450"/>
      <c r="AG89" s="450"/>
      <c r="AH89" s="450"/>
      <c r="AI89" s="450"/>
      <c r="AJ89" s="450"/>
      <c r="AK89" s="450"/>
    </row>
    <row r="90">
      <c r="A90" s="450"/>
      <c r="B90" s="450"/>
      <c r="C90" s="455"/>
      <c r="D90" s="450"/>
      <c r="E90" s="450"/>
      <c r="F90" s="450"/>
      <c r="G90" s="450"/>
      <c r="H90" s="450"/>
      <c r="I90" s="450"/>
      <c r="J90" s="450"/>
      <c r="K90" s="450"/>
      <c r="L90" s="450"/>
      <c r="M90" s="450"/>
      <c r="N90" s="450"/>
      <c r="O90" s="450"/>
      <c r="P90" s="450"/>
      <c r="Q90" s="450"/>
      <c r="R90" s="450"/>
      <c r="S90" s="450"/>
      <c r="T90" s="450"/>
      <c r="U90" s="450"/>
      <c r="V90" s="450"/>
      <c r="W90" s="450"/>
      <c r="X90" s="450"/>
      <c r="Y90" s="450"/>
      <c r="Z90" s="450"/>
      <c r="AA90" s="450"/>
      <c r="AB90" s="450"/>
      <c r="AC90" s="450"/>
      <c r="AD90" s="450"/>
      <c r="AE90" s="450"/>
      <c r="AF90" s="450"/>
      <c r="AG90" s="450"/>
      <c r="AH90" s="450"/>
      <c r="AI90" s="450"/>
      <c r="AJ90" s="450"/>
      <c r="AK90" s="450"/>
    </row>
    <row r="91">
      <c r="A91" s="450"/>
      <c r="B91" s="450"/>
      <c r="C91" s="455"/>
      <c r="D91" s="450"/>
      <c r="E91" s="450"/>
      <c r="F91" s="450"/>
      <c r="G91" s="450"/>
      <c r="H91" s="450"/>
      <c r="I91" s="450"/>
      <c r="J91" s="450"/>
      <c r="K91" s="450"/>
      <c r="L91" s="450"/>
      <c r="M91" s="450"/>
      <c r="N91" s="450"/>
      <c r="O91" s="450"/>
      <c r="P91" s="450"/>
      <c r="Q91" s="450"/>
      <c r="R91" s="450"/>
      <c r="S91" s="450"/>
      <c r="T91" s="450"/>
      <c r="U91" s="450"/>
      <c r="V91" s="450"/>
      <c r="W91" s="450"/>
      <c r="X91" s="450"/>
      <c r="Y91" s="450"/>
      <c r="Z91" s="450"/>
      <c r="AA91" s="450"/>
      <c r="AB91" s="450"/>
      <c r="AC91" s="450"/>
      <c r="AD91" s="450"/>
      <c r="AE91" s="450"/>
      <c r="AF91" s="450"/>
      <c r="AG91" s="450"/>
      <c r="AH91" s="450"/>
      <c r="AI91" s="450"/>
      <c r="AJ91" s="450"/>
      <c r="AK91" s="450"/>
    </row>
    <row r="92">
      <c r="A92" s="450"/>
      <c r="B92" s="450"/>
      <c r="C92" s="455"/>
      <c r="D92" s="450"/>
      <c r="E92" s="450"/>
      <c r="F92" s="450"/>
      <c r="G92" s="450"/>
      <c r="H92" s="450"/>
      <c r="I92" s="450"/>
      <c r="J92" s="450"/>
      <c r="K92" s="450"/>
      <c r="L92" s="450"/>
      <c r="M92" s="450"/>
      <c r="N92" s="450"/>
      <c r="O92" s="450"/>
      <c r="P92" s="450"/>
      <c r="Q92" s="450"/>
      <c r="R92" s="450"/>
      <c r="S92" s="450"/>
      <c r="T92" s="450"/>
      <c r="U92" s="450"/>
      <c r="V92" s="450"/>
      <c r="W92" s="450"/>
      <c r="X92" s="450"/>
      <c r="Y92" s="450"/>
      <c r="Z92" s="450"/>
      <c r="AA92" s="450"/>
      <c r="AB92" s="450"/>
      <c r="AC92" s="450"/>
      <c r="AD92" s="450"/>
      <c r="AE92" s="450"/>
      <c r="AF92" s="450"/>
      <c r="AG92" s="450"/>
      <c r="AH92" s="450"/>
      <c r="AI92" s="450"/>
      <c r="AJ92" s="450"/>
      <c r="AK92" s="450"/>
    </row>
    <row r="93">
      <c r="A93" s="450"/>
      <c r="B93" s="450"/>
      <c r="C93" s="455"/>
      <c r="D93" s="450"/>
      <c r="E93" s="450"/>
      <c r="F93" s="450"/>
      <c r="G93" s="450"/>
      <c r="H93" s="450"/>
      <c r="I93" s="450"/>
      <c r="J93" s="450"/>
      <c r="K93" s="450"/>
      <c r="L93" s="450"/>
      <c r="M93" s="450"/>
      <c r="N93" s="450"/>
      <c r="O93" s="450"/>
      <c r="P93" s="450"/>
      <c r="Q93" s="450"/>
      <c r="R93" s="450"/>
      <c r="S93" s="450"/>
      <c r="T93" s="450"/>
      <c r="U93" s="450"/>
      <c r="V93" s="450"/>
      <c r="W93" s="450"/>
      <c r="X93" s="450"/>
      <c r="Y93" s="450"/>
      <c r="Z93" s="450"/>
      <c r="AA93" s="450"/>
      <c r="AB93" s="450"/>
      <c r="AC93" s="450"/>
      <c r="AD93" s="450"/>
      <c r="AE93" s="450"/>
      <c r="AF93" s="450"/>
      <c r="AG93" s="450"/>
      <c r="AH93" s="450"/>
      <c r="AI93" s="450"/>
      <c r="AJ93" s="450"/>
      <c r="AK93" s="450"/>
    </row>
    <row r="94">
      <c r="A94" s="450"/>
      <c r="B94" s="450"/>
      <c r="C94" s="455"/>
      <c r="D94" s="450"/>
      <c r="E94" s="450"/>
      <c r="F94" s="450"/>
      <c r="G94" s="450"/>
      <c r="H94" s="450"/>
      <c r="I94" s="450"/>
      <c r="J94" s="450"/>
      <c r="K94" s="450"/>
      <c r="L94" s="450"/>
      <c r="M94" s="450"/>
      <c r="N94" s="450"/>
      <c r="O94" s="450"/>
      <c r="P94" s="450"/>
      <c r="Q94" s="450"/>
      <c r="R94" s="450"/>
      <c r="S94" s="450"/>
      <c r="T94" s="450"/>
      <c r="U94" s="450"/>
      <c r="V94" s="450"/>
      <c r="W94" s="450"/>
      <c r="X94" s="450"/>
      <c r="Y94" s="450"/>
      <c r="Z94" s="450"/>
      <c r="AA94" s="450"/>
      <c r="AB94" s="450"/>
      <c r="AC94" s="450"/>
      <c r="AD94" s="450"/>
      <c r="AE94" s="450"/>
      <c r="AF94" s="450"/>
      <c r="AG94" s="450"/>
      <c r="AH94" s="450"/>
      <c r="AI94" s="450"/>
      <c r="AJ94" s="450"/>
      <c r="AK94" s="450"/>
    </row>
    <row r="95">
      <c r="A95" s="450"/>
      <c r="B95" s="450"/>
      <c r="C95" s="455"/>
      <c r="D95" s="450"/>
      <c r="E95" s="450"/>
      <c r="F95" s="450"/>
      <c r="G95" s="450"/>
      <c r="H95" s="450"/>
      <c r="I95" s="450"/>
      <c r="J95" s="450"/>
      <c r="K95" s="450"/>
      <c r="L95" s="450"/>
      <c r="M95" s="450"/>
      <c r="N95" s="450"/>
      <c r="O95" s="450"/>
      <c r="P95" s="450"/>
      <c r="Q95" s="450"/>
      <c r="R95" s="450"/>
      <c r="S95" s="450"/>
      <c r="T95" s="450"/>
      <c r="U95" s="450"/>
      <c r="V95" s="450"/>
      <c r="W95" s="450"/>
      <c r="X95" s="450"/>
      <c r="Y95" s="450"/>
      <c r="Z95" s="450"/>
      <c r="AA95" s="450"/>
      <c r="AB95" s="450"/>
      <c r="AC95" s="450"/>
      <c r="AD95" s="450"/>
      <c r="AE95" s="450"/>
      <c r="AF95" s="450"/>
      <c r="AG95" s="450"/>
      <c r="AH95" s="450"/>
      <c r="AI95" s="450"/>
      <c r="AJ95" s="450"/>
      <c r="AK95" s="450"/>
    </row>
    <row r="96">
      <c r="A96" s="450"/>
      <c r="B96" s="450"/>
      <c r="C96" s="455"/>
      <c r="D96" s="450"/>
      <c r="E96" s="450"/>
      <c r="F96" s="450"/>
      <c r="G96" s="450"/>
      <c r="H96" s="450"/>
      <c r="I96" s="450"/>
      <c r="J96" s="450"/>
      <c r="K96" s="450"/>
      <c r="L96" s="450"/>
      <c r="M96" s="450"/>
      <c r="N96" s="450"/>
      <c r="O96" s="450"/>
      <c r="P96" s="450"/>
      <c r="Q96" s="450"/>
      <c r="R96" s="450"/>
      <c r="S96" s="450"/>
      <c r="T96" s="450"/>
      <c r="U96" s="450"/>
      <c r="V96" s="450"/>
      <c r="W96" s="450"/>
      <c r="X96" s="450"/>
      <c r="Y96" s="450"/>
      <c r="Z96" s="450"/>
      <c r="AA96" s="450"/>
      <c r="AB96" s="450"/>
      <c r="AC96" s="450"/>
      <c r="AD96" s="450"/>
      <c r="AE96" s="450"/>
      <c r="AF96" s="450"/>
      <c r="AG96" s="450"/>
      <c r="AH96" s="450"/>
      <c r="AI96" s="450"/>
      <c r="AJ96" s="450"/>
      <c r="AK96" s="450"/>
    </row>
    <row r="97">
      <c r="A97" s="450"/>
      <c r="B97" s="450"/>
      <c r="C97" s="455"/>
      <c r="D97" s="450"/>
      <c r="E97" s="450"/>
      <c r="F97" s="450"/>
      <c r="G97" s="450"/>
      <c r="H97" s="450"/>
      <c r="I97" s="450"/>
      <c r="J97" s="450"/>
      <c r="K97" s="450"/>
      <c r="L97" s="450"/>
      <c r="M97" s="450"/>
      <c r="N97" s="450"/>
      <c r="O97" s="450"/>
      <c r="P97" s="450"/>
      <c r="Q97" s="450"/>
      <c r="R97" s="450"/>
      <c r="S97" s="450"/>
      <c r="T97" s="450"/>
      <c r="U97" s="450"/>
      <c r="V97" s="450"/>
      <c r="W97" s="450"/>
      <c r="X97" s="450"/>
      <c r="Y97" s="450"/>
      <c r="Z97" s="450"/>
      <c r="AA97" s="450"/>
      <c r="AB97" s="450"/>
      <c r="AC97" s="450"/>
      <c r="AD97" s="450"/>
      <c r="AE97" s="450"/>
      <c r="AF97" s="450"/>
      <c r="AG97" s="450"/>
      <c r="AH97" s="450"/>
      <c r="AI97" s="450"/>
      <c r="AJ97" s="450"/>
      <c r="AK97" s="450"/>
    </row>
    <row r="98">
      <c r="A98" s="450"/>
      <c r="B98" s="450"/>
      <c r="C98" s="455"/>
      <c r="D98" s="450"/>
      <c r="E98" s="450"/>
      <c r="F98" s="450"/>
      <c r="G98" s="450"/>
      <c r="H98" s="450"/>
      <c r="I98" s="450"/>
      <c r="J98" s="450"/>
      <c r="K98" s="450"/>
      <c r="L98" s="450"/>
      <c r="M98" s="450"/>
      <c r="N98" s="450"/>
      <c r="O98" s="450"/>
      <c r="P98" s="450"/>
      <c r="Q98" s="450"/>
      <c r="R98" s="450"/>
      <c r="S98" s="450"/>
      <c r="T98" s="450"/>
      <c r="U98" s="450"/>
      <c r="V98" s="450"/>
      <c r="W98" s="450"/>
      <c r="X98" s="450"/>
      <c r="Y98" s="450"/>
      <c r="Z98" s="450"/>
      <c r="AA98" s="450"/>
      <c r="AB98" s="450"/>
      <c r="AC98" s="450"/>
      <c r="AD98" s="450"/>
      <c r="AE98" s="450"/>
      <c r="AF98" s="450"/>
      <c r="AG98" s="450"/>
      <c r="AH98" s="450"/>
      <c r="AI98" s="450"/>
      <c r="AJ98" s="450"/>
      <c r="AK98" s="450"/>
    </row>
    <row r="99">
      <c r="C99" s="450"/>
      <c r="E99" s="450"/>
      <c r="F99" s="450"/>
      <c r="G99" s="450"/>
      <c r="H99" s="450"/>
      <c r="I99" s="450"/>
      <c r="J99" s="450"/>
      <c r="K99" s="450"/>
      <c r="L99" s="450"/>
      <c r="M99" s="450"/>
      <c r="N99" s="450"/>
      <c r="O99" s="450"/>
      <c r="P99" s="450"/>
      <c r="Q99" s="450"/>
      <c r="R99" s="450"/>
      <c r="S99" s="450"/>
      <c r="T99" s="450"/>
      <c r="U99" s="450"/>
      <c r="V99" s="450"/>
      <c r="W99" s="450"/>
      <c r="X99" s="450"/>
      <c r="Y99" s="450"/>
      <c r="Z99" s="450"/>
      <c r="AA99" s="450"/>
      <c r="AB99" s="450"/>
      <c r="AC99" s="450"/>
      <c r="AD99" s="450"/>
      <c r="AE99" s="450"/>
      <c r="AF99" s="450"/>
      <c r="AG99" s="450"/>
      <c r="AH99" s="450"/>
      <c r="AI99" s="450"/>
      <c r="AJ99" s="450"/>
      <c r="AK99" s="450"/>
    </row>
    <row r="100">
      <c r="C100" s="450"/>
      <c r="E100" s="450"/>
      <c r="F100" s="450"/>
      <c r="G100" s="450"/>
      <c r="H100" s="450"/>
      <c r="I100" s="450"/>
      <c r="J100" s="450"/>
      <c r="K100" s="450"/>
      <c r="L100" s="450"/>
      <c r="M100" s="450"/>
      <c r="N100" s="450"/>
      <c r="O100" s="450"/>
      <c r="P100" s="450"/>
      <c r="Q100" s="450"/>
      <c r="R100" s="450"/>
      <c r="S100" s="450"/>
      <c r="T100" s="450"/>
      <c r="U100" s="450"/>
      <c r="V100" s="450"/>
      <c r="W100" s="450"/>
      <c r="X100" s="450"/>
      <c r="Y100" s="450"/>
      <c r="Z100" s="450"/>
      <c r="AA100" s="450"/>
      <c r="AB100" s="450"/>
      <c r="AC100" s="450"/>
      <c r="AD100" s="450"/>
      <c r="AE100" s="450"/>
      <c r="AF100" s="450"/>
      <c r="AG100" s="450"/>
      <c r="AH100" s="450"/>
      <c r="AI100" s="450"/>
      <c r="AJ100" s="450"/>
      <c r="AK100" s="450"/>
    </row>
    <row r="101">
      <c r="C101" s="450"/>
      <c r="E101" s="450"/>
      <c r="F101" s="450"/>
      <c r="G101" s="450"/>
      <c r="H101" s="450"/>
      <c r="I101" s="450"/>
      <c r="J101" s="450"/>
      <c r="K101" s="450"/>
      <c r="L101" s="450"/>
      <c r="M101" s="450"/>
      <c r="N101" s="450"/>
      <c r="O101" s="450"/>
      <c r="P101" s="450"/>
      <c r="Q101" s="450"/>
      <c r="R101" s="450"/>
      <c r="S101" s="450"/>
      <c r="T101" s="450"/>
      <c r="U101" s="450"/>
      <c r="V101" s="450"/>
      <c r="W101" s="450"/>
      <c r="X101" s="450"/>
      <c r="Y101" s="450"/>
      <c r="Z101" s="450"/>
      <c r="AA101" s="450"/>
      <c r="AB101" s="450"/>
      <c r="AC101" s="450"/>
      <c r="AD101" s="450"/>
      <c r="AE101" s="450"/>
      <c r="AF101" s="450"/>
      <c r="AG101" s="450"/>
      <c r="AH101" s="450"/>
      <c r="AI101" s="450"/>
      <c r="AJ101" s="450"/>
      <c r="AK101" s="450"/>
    </row>
    <row r="102">
      <c r="C102" s="450"/>
      <c r="E102" s="450"/>
      <c r="F102" s="450"/>
      <c r="G102" s="450"/>
      <c r="H102" s="450"/>
      <c r="I102" s="450"/>
      <c r="J102" s="450"/>
      <c r="K102" s="450"/>
      <c r="L102" s="450"/>
      <c r="M102" s="450"/>
      <c r="N102" s="450"/>
      <c r="O102" s="450"/>
      <c r="P102" s="450"/>
      <c r="Q102" s="450"/>
      <c r="R102" s="450"/>
      <c r="S102" s="450"/>
      <c r="T102" s="450"/>
      <c r="U102" s="450"/>
      <c r="V102" s="450"/>
      <c r="W102" s="450"/>
      <c r="X102" s="450"/>
      <c r="Y102" s="450"/>
      <c r="Z102" s="450"/>
      <c r="AA102" s="450"/>
      <c r="AB102" s="450"/>
      <c r="AC102" s="450"/>
      <c r="AD102" s="450"/>
      <c r="AE102" s="450"/>
      <c r="AF102" s="450"/>
      <c r="AG102" s="450"/>
      <c r="AH102" s="450"/>
      <c r="AI102" s="450"/>
      <c r="AJ102" s="450"/>
      <c r="AK102" s="450"/>
    </row>
    <row r="103">
      <c r="C103" s="450"/>
      <c r="E103" s="450"/>
      <c r="F103" s="450"/>
      <c r="G103" s="450"/>
      <c r="H103" s="450"/>
      <c r="I103" s="450"/>
      <c r="J103" s="450"/>
      <c r="K103" s="450"/>
      <c r="L103" s="450"/>
      <c r="M103" s="450"/>
      <c r="N103" s="450"/>
      <c r="O103" s="450"/>
      <c r="P103" s="450"/>
      <c r="Q103" s="450"/>
      <c r="R103" s="450"/>
      <c r="S103" s="450"/>
      <c r="T103" s="450"/>
      <c r="U103" s="450"/>
      <c r="V103" s="450"/>
      <c r="W103" s="450"/>
      <c r="X103" s="450"/>
      <c r="Y103" s="450"/>
      <c r="Z103" s="450"/>
      <c r="AA103" s="450"/>
      <c r="AB103" s="450"/>
      <c r="AC103" s="450"/>
      <c r="AD103" s="450"/>
      <c r="AE103" s="450"/>
      <c r="AF103" s="450"/>
      <c r="AG103" s="450"/>
      <c r="AH103" s="450"/>
      <c r="AI103" s="450"/>
      <c r="AJ103" s="450"/>
      <c r="AK103" s="450"/>
    </row>
    <row r="104">
      <c r="C104" s="450"/>
      <c r="E104" s="450"/>
      <c r="F104" s="450"/>
      <c r="G104" s="450"/>
      <c r="H104" s="450"/>
      <c r="I104" s="450"/>
      <c r="J104" s="450"/>
      <c r="K104" s="450"/>
      <c r="L104" s="450"/>
      <c r="M104" s="450"/>
      <c r="N104" s="450"/>
      <c r="O104" s="450"/>
      <c r="P104" s="450"/>
      <c r="Q104" s="450"/>
      <c r="R104" s="450"/>
      <c r="S104" s="450"/>
      <c r="T104" s="450"/>
      <c r="U104" s="450"/>
      <c r="V104" s="450"/>
      <c r="W104" s="450"/>
      <c r="X104" s="450"/>
      <c r="Y104" s="450"/>
      <c r="Z104" s="450"/>
      <c r="AA104" s="450"/>
      <c r="AB104" s="450"/>
      <c r="AC104" s="450"/>
      <c r="AD104" s="450"/>
      <c r="AE104" s="450"/>
      <c r="AF104" s="450"/>
      <c r="AG104" s="450"/>
      <c r="AH104" s="450"/>
      <c r="AI104" s="450"/>
      <c r="AJ104" s="450"/>
      <c r="AK104" s="450"/>
    </row>
    <row r="105">
      <c r="C105" s="450"/>
      <c r="E105" s="450"/>
      <c r="F105" s="450"/>
      <c r="G105" s="450"/>
      <c r="H105" s="450"/>
      <c r="I105" s="450"/>
      <c r="J105" s="450"/>
      <c r="K105" s="450"/>
      <c r="L105" s="450"/>
      <c r="M105" s="450"/>
      <c r="N105" s="450"/>
      <c r="O105" s="450"/>
      <c r="P105" s="450"/>
      <c r="Q105" s="450"/>
      <c r="R105" s="450"/>
      <c r="S105" s="450"/>
      <c r="T105" s="450"/>
      <c r="U105" s="450"/>
      <c r="V105" s="450"/>
      <c r="W105" s="450"/>
      <c r="X105" s="450"/>
      <c r="Y105" s="450"/>
      <c r="Z105" s="450"/>
      <c r="AA105" s="450"/>
      <c r="AB105" s="450"/>
      <c r="AC105" s="450"/>
      <c r="AD105" s="450"/>
      <c r="AE105" s="450"/>
      <c r="AF105" s="450"/>
      <c r="AG105" s="450"/>
      <c r="AH105" s="450"/>
      <c r="AI105" s="450"/>
      <c r="AJ105" s="450"/>
      <c r="AK105" s="450"/>
    </row>
    <row r="106">
      <c r="C106" s="450"/>
      <c r="E106" s="450"/>
      <c r="F106" s="450"/>
      <c r="G106" s="450"/>
      <c r="H106" s="450"/>
      <c r="I106" s="450"/>
      <c r="J106" s="450"/>
      <c r="K106" s="450"/>
      <c r="L106" s="450"/>
      <c r="M106" s="450"/>
      <c r="N106" s="450"/>
      <c r="O106" s="450"/>
      <c r="P106" s="450"/>
      <c r="Q106" s="450"/>
      <c r="R106" s="450"/>
      <c r="S106" s="450"/>
      <c r="T106" s="450"/>
      <c r="U106" s="450"/>
      <c r="V106" s="450"/>
      <c r="W106" s="450"/>
      <c r="X106" s="450"/>
      <c r="Y106" s="450"/>
      <c r="Z106" s="450"/>
      <c r="AA106" s="450"/>
      <c r="AB106" s="450"/>
      <c r="AC106" s="450"/>
      <c r="AD106" s="450"/>
      <c r="AE106" s="450"/>
      <c r="AF106" s="450"/>
      <c r="AG106" s="450"/>
      <c r="AH106" s="450"/>
      <c r="AI106" s="450"/>
      <c r="AJ106" s="450"/>
      <c r="AK106" s="450"/>
    </row>
    <row r="107">
      <c r="C107" s="450"/>
      <c r="E107" s="450"/>
      <c r="F107" s="450"/>
      <c r="G107" s="450"/>
      <c r="H107" s="450"/>
      <c r="I107" s="450"/>
      <c r="J107" s="450"/>
      <c r="K107" s="450"/>
      <c r="L107" s="450"/>
      <c r="M107" s="450"/>
      <c r="N107" s="450"/>
      <c r="O107" s="450"/>
      <c r="P107" s="450"/>
      <c r="Q107" s="450"/>
      <c r="R107" s="450"/>
      <c r="S107" s="450"/>
      <c r="T107" s="450"/>
      <c r="U107" s="450"/>
      <c r="V107" s="450"/>
      <c r="W107" s="450"/>
      <c r="X107" s="450"/>
      <c r="Y107" s="450"/>
      <c r="Z107" s="450"/>
      <c r="AA107" s="450"/>
      <c r="AB107" s="450"/>
      <c r="AC107" s="450"/>
      <c r="AD107" s="450"/>
      <c r="AE107" s="450"/>
      <c r="AF107" s="450"/>
      <c r="AG107" s="450"/>
      <c r="AH107" s="450"/>
      <c r="AI107" s="450"/>
      <c r="AJ107" s="450"/>
      <c r="AK107" s="450"/>
    </row>
    <row r="108">
      <c r="C108" s="450"/>
      <c r="E108" s="450"/>
      <c r="F108" s="450"/>
      <c r="G108" s="450"/>
      <c r="H108" s="450"/>
      <c r="I108" s="450"/>
      <c r="J108" s="450"/>
      <c r="K108" s="450"/>
      <c r="L108" s="450"/>
      <c r="M108" s="450"/>
      <c r="N108" s="450"/>
      <c r="O108" s="450"/>
      <c r="P108" s="450"/>
      <c r="Q108" s="450"/>
      <c r="R108" s="450"/>
      <c r="S108" s="450"/>
      <c r="T108" s="450"/>
      <c r="U108" s="450"/>
      <c r="V108" s="450"/>
      <c r="W108" s="450"/>
      <c r="X108" s="450"/>
      <c r="Y108" s="450"/>
      <c r="Z108" s="450"/>
      <c r="AA108" s="450"/>
      <c r="AB108" s="450"/>
      <c r="AC108" s="450"/>
      <c r="AD108" s="450"/>
      <c r="AE108" s="450"/>
      <c r="AF108" s="450"/>
      <c r="AG108" s="450"/>
      <c r="AH108" s="450"/>
      <c r="AI108" s="450"/>
      <c r="AJ108" s="450"/>
      <c r="AK108" s="450"/>
    </row>
    <row r="109">
      <c r="C109" s="450"/>
      <c r="E109" s="450"/>
      <c r="F109" s="450"/>
      <c r="G109" s="450"/>
      <c r="H109" s="450"/>
      <c r="I109" s="450"/>
      <c r="J109" s="450"/>
      <c r="K109" s="450"/>
      <c r="L109" s="450"/>
      <c r="M109" s="450"/>
      <c r="N109" s="450"/>
      <c r="O109" s="450"/>
      <c r="P109" s="450"/>
      <c r="Q109" s="450"/>
      <c r="R109" s="450"/>
      <c r="S109" s="450"/>
      <c r="T109" s="450"/>
      <c r="U109" s="450"/>
      <c r="V109" s="450"/>
      <c r="W109" s="450"/>
      <c r="X109" s="450"/>
      <c r="Y109" s="450"/>
      <c r="Z109" s="450"/>
      <c r="AA109" s="450"/>
      <c r="AB109" s="450"/>
      <c r="AC109" s="450"/>
      <c r="AD109" s="450"/>
      <c r="AE109" s="450"/>
      <c r="AF109" s="450"/>
      <c r="AG109" s="450"/>
      <c r="AH109" s="450"/>
      <c r="AI109" s="450"/>
      <c r="AJ109" s="450"/>
      <c r="AK109" s="450"/>
    </row>
    <row r="110">
      <c r="C110" s="450"/>
      <c r="E110" s="450"/>
      <c r="F110" s="450"/>
      <c r="G110" s="450"/>
      <c r="H110" s="450"/>
      <c r="I110" s="450"/>
      <c r="J110" s="450"/>
      <c r="K110" s="450"/>
      <c r="L110" s="450"/>
      <c r="M110" s="450"/>
      <c r="N110" s="450"/>
      <c r="O110" s="450"/>
      <c r="P110" s="450"/>
      <c r="Q110" s="450"/>
      <c r="R110" s="450"/>
      <c r="S110" s="450"/>
      <c r="T110" s="450"/>
      <c r="U110" s="450"/>
      <c r="V110" s="450"/>
      <c r="W110" s="450"/>
      <c r="X110" s="450"/>
      <c r="Y110" s="450"/>
      <c r="Z110" s="450"/>
      <c r="AA110" s="450"/>
      <c r="AB110" s="450"/>
      <c r="AC110" s="450"/>
      <c r="AD110" s="450"/>
      <c r="AE110" s="450"/>
      <c r="AF110" s="450"/>
      <c r="AG110" s="450"/>
      <c r="AH110" s="450"/>
      <c r="AI110" s="450"/>
      <c r="AJ110" s="450"/>
      <c r="AK110" s="450"/>
    </row>
    <row r="111">
      <c r="C111" s="450"/>
      <c r="E111" s="450"/>
      <c r="F111" s="450"/>
      <c r="G111" s="450"/>
      <c r="H111" s="450"/>
      <c r="I111" s="450"/>
      <c r="J111" s="450"/>
      <c r="K111" s="450"/>
      <c r="L111" s="450"/>
      <c r="M111" s="450"/>
      <c r="N111" s="450"/>
      <c r="O111" s="450"/>
      <c r="P111" s="450"/>
      <c r="Q111" s="450"/>
      <c r="R111" s="450"/>
      <c r="S111" s="450"/>
      <c r="T111" s="450"/>
      <c r="U111" s="450"/>
      <c r="V111" s="450"/>
      <c r="W111" s="450"/>
      <c r="X111" s="450"/>
      <c r="Y111" s="450"/>
      <c r="Z111" s="450"/>
      <c r="AA111" s="450"/>
      <c r="AB111" s="450"/>
      <c r="AC111" s="450"/>
      <c r="AD111" s="450"/>
      <c r="AE111" s="450"/>
      <c r="AF111" s="450"/>
      <c r="AG111" s="450"/>
      <c r="AH111" s="450"/>
      <c r="AI111" s="450"/>
      <c r="AJ111" s="450"/>
      <c r="AK111" s="450"/>
    </row>
    <row r="112">
      <c r="C112" s="450"/>
      <c r="E112" s="450"/>
      <c r="F112" s="450"/>
      <c r="G112" s="450"/>
      <c r="H112" s="450"/>
      <c r="I112" s="450"/>
      <c r="J112" s="450"/>
      <c r="K112" s="450"/>
      <c r="L112" s="450"/>
      <c r="M112" s="450"/>
      <c r="N112" s="450"/>
      <c r="O112" s="450"/>
      <c r="P112" s="450"/>
      <c r="Q112" s="450"/>
      <c r="R112" s="450"/>
      <c r="S112" s="450"/>
      <c r="T112" s="450"/>
      <c r="U112" s="450"/>
      <c r="V112" s="450"/>
      <c r="W112" s="450"/>
      <c r="X112" s="450"/>
      <c r="Y112" s="450"/>
      <c r="Z112" s="450"/>
      <c r="AA112" s="450"/>
      <c r="AB112" s="450"/>
      <c r="AC112" s="450"/>
      <c r="AD112" s="450"/>
      <c r="AE112" s="450"/>
      <c r="AF112" s="450"/>
      <c r="AG112" s="450"/>
      <c r="AH112" s="450"/>
      <c r="AI112" s="450"/>
      <c r="AJ112" s="450"/>
      <c r="AK112" s="450"/>
    </row>
    <row r="113">
      <c r="C113" s="450"/>
      <c r="E113" s="450"/>
      <c r="F113" s="450"/>
      <c r="G113" s="450"/>
      <c r="H113" s="450"/>
      <c r="I113" s="450"/>
      <c r="J113" s="450"/>
      <c r="K113" s="450"/>
      <c r="L113" s="450"/>
      <c r="M113" s="450"/>
      <c r="N113" s="450"/>
      <c r="O113" s="450"/>
      <c r="P113" s="450"/>
      <c r="Q113" s="450"/>
      <c r="R113" s="450"/>
      <c r="S113" s="450"/>
      <c r="T113" s="450"/>
      <c r="U113" s="450"/>
      <c r="V113" s="450"/>
      <c r="W113" s="450"/>
      <c r="X113" s="450"/>
      <c r="Y113" s="450"/>
      <c r="Z113" s="450"/>
      <c r="AA113" s="450"/>
      <c r="AB113" s="450"/>
      <c r="AC113" s="450"/>
      <c r="AD113" s="450"/>
      <c r="AE113" s="450"/>
      <c r="AF113" s="450"/>
      <c r="AG113" s="450"/>
      <c r="AH113" s="450"/>
      <c r="AI113" s="450"/>
      <c r="AJ113" s="450"/>
      <c r="AK113" s="450"/>
    </row>
    <row r="114">
      <c r="C114" s="450"/>
      <c r="E114" s="450"/>
      <c r="F114" s="450"/>
      <c r="G114" s="450"/>
      <c r="H114" s="450"/>
      <c r="I114" s="450"/>
      <c r="J114" s="450"/>
      <c r="K114" s="450"/>
      <c r="L114" s="450"/>
      <c r="M114" s="450"/>
      <c r="N114" s="450"/>
      <c r="O114" s="450"/>
      <c r="P114" s="450"/>
      <c r="Q114" s="450"/>
      <c r="R114" s="450"/>
      <c r="S114" s="450"/>
      <c r="T114" s="450"/>
      <c r="U114" s="450"/>
      <c r="V114" s="450"/>
      <c r="W114" s="450"/>
      <c r="X114" s="450"/>
      <c r="Y114" s="450"/>
      <c r="Z114" s="450"/>
      <c r="AA114" s="450"/>
      <c r="AB114" s="450"/>
      <c r="AC114" s="450"/>
      <c r="AD114" s="450"/>
      <c r="AE114" s="450"/>
      <c r="AF114" s="450"/>
      <c r="AG114" s="450"/>
      <c r="AH114" s="450"/>
      <c r="AI114" s="450"/>
      <c r="AJ114" s="450"/>
      <c r="AK114" s="450"/>
    </row>
    <row r="115">
      <c r="C115" s="450"/>
      <c r="E115" s="450"/>
      <c r="F115" s="450"/>
      <c r="G115" s="450"/>
      <c r="H115" s="450"/>
      <c r="I115" s="450"/>
      <c r="J115" s="450"/>
      <c r="K115" s="450"/>
      <c r="L115" s="450"/>
      <c r="M115" s="450"/>
      <c r="N115" s="450"/>
      <c r="O115" s="450"/>
      <c r="P115" s="450"/>
      <c r="Q115" s="450"/>
      <c r="R115" s="450"/>
      <c r="S115" s="450"/>
      <c r="T115" s="450"/>
      <c r="U115" s="450"/>
      <c r="V115" s="450"/>
      <c r="W115" s="450"/>
      <c r="X115" s="450"/>
      <c r="Y115" s="450"/>
      <c r="Z115" s="450"/>
      <c r="AA115" s="450"/>
      <c r="AB115" s="450"/>
      <c r="AC115" s="450"/>
      <c r="AD115" s="450"/>
      <c r="AE115" s="450"/>
      <c r="AF115" s="450"/>
      <c r="AG115" s="450"/>
      <c r="AH115" s="450"/>
      <c r="AI115" s="450"/>
      <c r="AJ115" s="450"/>
      <c r="AK115" s="450"/>
    </row>
    <row r="116">
      <c r="C116" s="450"/>
      <c r="E116" s="450"/>
      <c r="F116" s="450"/>
      <c r="G116" s="450"/>
      <c r="H116" s="450"/>
      <c r="I116" s="450"/>
      <c r="J116" s="450"/>
      <c r="K116" s="450"/>
      <c r="L116" s="450"/>
      <c r="M116" s="450"/>
      <c r="N116" s="450"/>
      <c r="O116" s="450"/>
      <c r="P116" s="450"/>
      <c r="Q116" s="450"/>
      <c r="R116" s="450"/>
      <c r="S116" s="450"/>
      <c r="T116" s="450"/>
      <c r="U116" s="450"/>
      <c r="V116" s="450"/>
      <c r="W116" s="450"/>
      <c r="X116" s="450"/>
      <c r="Y116" s="450"/>
      <c r="Z116" s="450"/>
      <c r="AA116" s="450"/>
      <c r="AB116" s="450"/>
      <c r="AC116" s="450"/>
      <c r="AD116" s="450"/>
      <c r="AE116" s="450"/>
      <c r="AF116" s="450"/>
      <c r="AG116" s="450"/>
      <c r="AH116" s="450"/>
      <c r="AI116" s="450"/>
      <c r="AJ116" s="450"/>
      <c r="AK116" s="450"/>
    </row>
    <row r="117">
      <c r="C117" s="450"/>
      <c r="E117" s="450"/>
      <c r="F117" s="450"/>
      <c r="G117" s="450"/>
      <c r="H117" s="450"/>
      <c r="I117" s="450"/>
      <c r="J117" s="450"/>
      <c r="K117" s="450"/>
      <c r="L117" s="450"/>
      <c r="M117" s="450"/>
      <c r="N117" s="450"/>
      <c r="O117" s="450"/>
      <c r="P117" s="450"/>
      <c r="Q117" s="450"/>
      <c r="R117" s="450"/>
      <c r="S117" s="450"/>
      <c r="T117" s="450"/>
      <c r="U117" s="450"/>
      <c r="V117" s="450"/>
      <c r="W117" s="450"/>
      <c r="X117" s="450"/>
      <c r="Y117" s="450"/>
      <c r="Z117" s="450"/>
      <c r="AA117" s="450"/>
      <c r="AB117" s="450"/>
      <c r="AC117" s="450"/>
      <c r="AD117" s="450"/>
      <c r="AE117" s="450"/>
      <c r="AF117" s="450"/>
      <c r="AG117" s="450"/>
      <c r="AH117" s="450"/>
      <c r="AI117" s="450"/>
      <c r="AJ117" s="450"/>
      <c r="AK117" s="450"/>
    </row>
    <row r="118">
      <c r="C118" s="450"/>
      <c r="E118" s="450"/>
      <c r="F118" s="450"/>
      <c r="G118" s="450"/>
      <c r="H118" s="450"/>
      <c r="I118" s="450"/>
      <c r="J118" s="450"/>
      <c r="K118" s="450"/>
      <c r="L118" s="450"/>
      <c r="M118" s="450"/>
      <c r="N118" s="450"/>
      <c r="O118" s="450"/>
      <c r="P118" s="450"/>
      <c r="Q118" s="450"/>
      <c r="R118" s="450"/>
      <c r="S118" s="450"/>
      <c r="T118" s="450"/>
      <c r="U118" s="450"/>
      <c r="V118" s="450"/>
      <c r="W118" s="450"/>
      <c r="X118" s="450"/>
      <c r="Y118" s="450"/>
      <c r="Z118" s="450"/>
      <c r="AA118" s="450"/>
      <c r="AB118" s="450"/>
      <c r="AC118" s="450"/>
      <c r="AD118" s="450"/>
      <c r="AE118" s="450"/>
      <c r="AF118" s="450"/>
      <c r="AG118" s="450"/>
      <c r="AH118" s="450"/>
      <c r="AI118" s="450"/>
      <c r="AJ118" s="450"/>
      <c r="AK118" s="450"/>
    </row>
    <row r="119">
      <c r="C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c r="AD119" s="450"/>
      <c r="AE119" s="450"/>
      <c r="AF119" s="450"/>
      <c r="AG119" s="450"/>
      <c r="AH119" s="450"/>
      <c r="AI119" s="450"/>
      <c r="AJ119" s="450"/>
      <c r="AK119" s="450"/>
    </row>
    <row r="120">
      <c r="C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c r="AD120" s="450"/>
      <c r="AE120" s="450"/>
      <c r="AF120" s="450"/>
      <c r="AG120" s="450"/>
      <c r="AH120" s="450"/>
      <c r="AI120" s="450"/>
      <c r="AJ120" s="450"/>
      <c r="AK120" s="450"/>
    </row>
    <row r="121">
      <c r="C121" s="450"/>
      <c r="E121" s="450"/>
      <c r="F121" s="450"/>
      <c r="G121" s="450"/>
      <c r="H121" s="450"/>
      <c r="I121" s="450"/>
      <c r="J121" s="450"/>
      <c r="K121" s="450"/>
      <c r="L121" s="450"/>
      <c r="M121" s="450"/>
      <c r="N121" s="450"/>
      <c r="O121" s="450"/>
      <c r="P121" s="450"/>
      <c r="Q121" s="450"/>
      <c r="R121" s="450"/>
      <c r="S121" s="450"/>
      <c r="T121" s="450"/>
      <c r="U121" s="450"/>
      <c r="V121" s="450"/>
      <c r="W121" s="450"/>
      <c r="X121" s="450"/>
      <c r="Y121" s="450"/>
      <c r="Z121" s="450"/>
      <c r="AA121" s="450"/>
      <c r="AB121" s="450"/>
      <c r="AC121" s="450"/>
      <c r="AD121" s="450"/>
      <c r="AE121" s="450"/>
      <c r="AF121" s="450"/>
      <c r="AG121" s="450"/>
      <c r="AH121" s="450"/>
      <c r="AI121" s="450"/>
      <c r="AJ121" s="450"/>
      <c r="AK121" s="450"/>
    </row>
    <row r="122">
      <c r="C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0"/>
      <c r="AH122" s="450"/>
      <c r="AI122" s="450"/>
      <c r="AJ122" s="450"/>
      <c r="AK122" s="450"/>
    </row>
    <row r="123">
      <c r="A123" s="450"/>
      <c r="B123" s="450"/>
      <c r="C123" s="455"/>
      <c r="D123" s="450"/>
      <c r="E123" s="450"/>
      <c r="F123" s="450"/>
      <c r="G123" s="450"/>
      <c r="H123" s="450"/>
      <c r="I123" s="450"/>
      <c r="J123" s="450"/>
      <c r="K123" s="450"/>
      <c r="L123" s="450"/>
      <c r="M123" s="450"/>
      <c r="N123" s="450"/>
      <c r="O123" s="450"/>
      <c r="P123" s="450"/>
      <c r="Q123" s="450"/>
      <c r="R123" s="450"/>
      <c r="S123" s="450"/>
      <c r="T123" s="450"/>
      <c r="U123" s="450"/>
      <c r="V123" s="450"/>
      <c r="W123" s="450"/>
      <c r="X123" s="450"/>
      <c r="Y123" s="450"/>
      <c r="Z123" s="450"/>
      <c r="AA123" s="450"/>
      <c r="AB123" s="450"/>
      <c r="AC123" s="450"/>
      <c r="AD123" s="450"/>
      <c r="AE123" s="450"/>
      <c r="AF123" s="450"/>
      <c r="AG123" s="450"/>
      <c r="AH123" s="450"/>
      <c r="AI123" s="450"/>
      <c r="AJ123" s="450"/>
      <c r="AK123" s="450"/>
    </row>
    <row r="124">
      <c r="A124" s="450"/>
      <c r="B124" s="450"/>
      <c r="C124" s="455"/>
      <c r="D124" s="450"/>
      <c r="E124" s="450"/>
      <c r="F124" s="450"/>
      <c r="G124" s="450"/>
      <c r="H124" s="450"/>
      <c r="I124" s="450"/>
      <c r="J124" s="450"/>
      <c r="K124" s="450"/>
      <c r="L124" s="450"/>
      <c r="M124" s="450"/>
      <c r="N124" s="450"/>
      <c r="O124" s="450"/>
      <c r="P124" s="450"/>
      <c r="Q124" s="450"/>
      <c r="R124" s="450"/>
      <c r="S124" s="450"/>
      <c r="T124" s="450"/>
      <c r="U124" s="450"/>
      <c r="V124" s="450"/>
      <c r="W124" s="450"/>
      <c r="X124" s="450"/>
      <c r="Y124" s="450"/>
      <c r="Z124" s="450"/>
      <c r="AA124" s="450"/>
      <c r="AB124" s="450"/>
      <c r="AC124" s="450"/>
      <c r="AD124" s="450"/>
      <c r="AE124" s="450"/>
      <c r="AF124" s="450"/>
      <c r="AG124" s="450"/>
      <c r="AH124" s="450"/>
      <c r="AI124" s="450"/>
      <c r="AJ124" s="450"/>
      <c r="AK124" s="450"/>
    </row>
    <row r="125">
      <c r="A125" s="450"/>
      <c r="B125" s="450"/>
      <c r="C125" s="455"/>
      <c r="D125" s="450"/>
      <c r="E125" s="450"/>
      <c r="F125" s="450"/>
      <c r="G125" s="450"/>
      <c r="H125" s="450"/>
      <c r="I125" s="450"/>
      <c r="J125" s="450"/>
      <c r="K125" s="450"/>
      <c r="L125" s="450"/>
      <c r="M125" s="450"/>
      <c r="N125" s="450"/>
      <c r="O125" s="450"/>
      <c r="P125" s="450"/>
      <c r="Q125" s="450"/>
      <c r="R125" s="450"/>
      <c r="S125" s="450"/>
      <c r="T125" s="450"/>
      <c r="U125" s="450"/>
      <c r="V125" s="450"/>
      <c r="W125" s="450"/>
      <c r="X125" s="450"/>
      <c r="Y125" s="450"/>
      <c r="Z125" s="450"/>
      <c r="AA125" s="450"/>
      <c r="AB125" s="450"/>
      <c r="AC125" s="450"/>
      <c r="AD125" s="450"/>
      <c r="AE125" s="450"/>
      <c r="AF125" s="450"/>
      <c r="AG125" s="450"/>
      <c r="AH125" s="450"/>
      <c r="AI125" s="450"/>
      <c r="AJ125" s="450"/>
      <c r="AK125" s="450"/>
    </row>
    <row r="126">
      <c r="A126" s="450"/>
      <c r="B126" s="450"/>
      <c r="C126" s="455"/>
      <c r="D126" s="450"/>
      <c r="E126" s="450"/>
      <c r="F126" s="450"/>
      <c r="G126" s="450"/>
      <c r="H126" s="450"/>
      <c r="I126" s="450"/>
      <c r="J126" s="450"/>
      <c r="K126" s="450"/>
      <c r="L126" s="450"/>
      <c r="M126" s="450"/>
      <c r="N126" s="450"/>
      <c r="O126" s="450"/>
      <c r="P126" s="450"/>
      <c r="Q126" s="450"/>
      <c r="R126" s="450"/>
      <c r="S126" s="450"/>
      <c r="T126" s="450"/>
      <c r="U126" s="450"/>
      <c r="V126" s="450"/>
      <c r="W126" s="450"/>
      <c r="X126" s="450"/>
      <c r="Y126" s="450"/>
      <c r="Z126" s="450"/>
      <c r="AA126" s="450"/>
      <c r="AB126" s="450"/>
      <c r="AC126" s="450"/>
      <c r="AD126" s="450"/>
      <c r="AE126" s="450"/>
      <c r="AF126" s="450"/>
      <c r="AG126" s="450"/>
      <c r="AH126" s="450"/>
      <c r="AI126" s="450"/>
      <c r="AJ126" s="450"/>
      <c r="AK126" s="450"/>
    </row>
    <row r="127">
      <c r="A127" s="450"/>
      <c r="B127" s="450"/>
      <c r="C127" s="455"/>
      <c r="D127" s="450"/>
      <c r="E127" s="450"/>
      <c r="F127" s="450"/>
      <c r="G127" s="450"/>
      <c r="H127" s="450"/>
      <c r="I127" s="450"/>
      <c r="J127" s="450"/>
      <c r="K127" s="450"/>
      <c r="L127" s="450"/>
      <c r="M127" s="450"/>
      <c r="N127" s="450"/>
      <c r="O127" s="450"/>
      <c r="P127" s="450"/>
      <c r="Q127" s="450"/>
      <c r="R127" s="450"/>
      <c r="S127" s="450"/>
      <c r="T127" s="450"/>
      <c r="U127" s="450"/>
      <c r="V127" s="450"/>
      <c r="W127" s="450"/>
      <c r="X127" s="450"/>
      <c r="Y127" s="450"/>
      <c r="Z127" s="450"/>
      <c r="AA127" s="450"/>
      <c r="AB127" s="450"/>
      <c r="AC127" s="450"/>
      <c r="AD127" s="450"/>
      <c r="AE127" s="450"/>
      <c r="AF127" s="450"/>
      <c r="AG127" s="450"/>
      <c r="AH127" s="450"/>
      <c r="AI127" s="450"/>
      <c r="AJ127" s="450"/>
      <c r="AK127" s="450"/>
    </row>
    <row r="128">
      <c r="A128" s="450"/>
      <c r="B128" s="450"/>
      <c r="C128" s="455"/>
      <c r="D128" s="450"/>
      <c r="E128" s="450"/>
      <c r="F128" s="450"/>
      <c r="G128" s="450"/>
      <c r="H128" s="450"/>
      <c r="I128" s="450"/>
      <c r="J128" s="450"/>
      <c r="K128" s="450"/>
      <c r="L128" s="450"/>
      <c r="M128" s="450"/>
      <c r="N128" s="450"/>
      <c r="O128" s="450"/>
      <c r="P128" s="450"/>
      <c r="Q128" s="450"/>
      <c r="R128" s="450"/>
      <c r="S128" s="450"/>
      <c r="T128" s="450"/>
      <c r="U128" s="450"/>
      <c r="V128" s="450"/>
      <c r="W128" s="450"/>
      <c r="X128" s="450"/>
      <c r="Y128" s="450"/>
      <c r="Z128" s="450"/>
      <c r="AA128" s="450"/>
      <c r="AB128" s="450"/>
      <c r="AC128" s="450"/>
      <c r="AD128" s="450"/>
      <c r="AE128" s="450"/>
      <c r="AF128" s="450"/>
      <c r="AG128" s="450"/>
      <c r="AH128" s="450"/>
      <c r="AI128" s="450"/>
      <c r="AJ128" s="450"/>
      <c r="AK128" s="450"/>
    </row>
    <row r="129">
      <c r="A129" s="450"/>
      <c r="B129" s="450"/>
      <c r="C129" s="455"/>
      <c r="D129" s="450"/>
      <c r="E129" s="450"/>
      <c r="F129" s="450"/>
      <c r="G129" s="450"/>
      <c r="H129" s="450"/>
      <c r="I129" s="450"/>
      <c r="J129" s="450"/>
      <c r="K129" s="450"/>
      <c r="L129" s="450"/>
      <c r="M129" s="450"/>
      <c r="N129" s="450"/>
      <c r="O129" s="450"/>
      <c r="P129" s="450"/>
      <c r="Q129" s="450"/>
      <c r="R129" s="450"/>
      <c r="S129" s="450"/>
      <c r="T129" s="450"/>
      <c r="U129" s="450"/>
      <c r="V129" s="450"/>
      <c r="W129" s="450"/>
      <c r="X129" s="450"/>
      <c r="Y129" s="450"/>
      <c r="Z129" s="450"/>
      <c r="AA129" s="450"/>
      <c r="AB129" s="450"/>
      <c r="AC129" s="450"/>
      <c r="AD129" s="450"/>
      <c r="AE129" s="450"/>
      <c r="AF129" s="450"/>
      <c r="AG129" s="450"/>
      <c r="AH129" s="450"/>
      <c r="AI129" s="450"/>
      <c r="AJ129" s="450"/>
      <c r="AK129" s="450"/>
    </row>
    <row r="130">
      <c r="A130" s="450"/>
      <c r="B130" s="450"/>
      <c r="C130" s="455"/>
      <c r="D130" s="450"/>
      <c r="E130" s="450"/>
      <c r="F130" s="450"/>
      <c r="G130" s="450"/>
      <c r="H130" s="450"/>
      <c r="I130" s="450"/>
      <c r="J130" s="450"/>
      <c r="K130" s="450"/>
      <c r="L130" s="450"/>
      <c r="M130" s="450"/>
      <c r="N130" s="450"/>
      <c r="O130" s="450"/>
      <c r="P130" s="450"/>
      <c r="Q130" s="450"/>
      <c r="R130" s="450"/>
      <c r="S130" s="450"/>
      <c r="T130" s="450"/>
      <c r="U130" s="450"/>
      <c r="V130" s="450"/>
      <c r="W130" s="450"/>
      <c r="X130" s="450"/>
      <c r="Y130" s="450"/>
      <c r="Z130" s="450"/>
      <c r="AA130" s="450"/>
      <c r="AB130" s="450"/>
      <c r="AC130" s="450"/>
      <c r="AD130" s="450"/>
      <c r="AE130" s="450"/>
      <c r="AF130" s="450"/>
      <c r="AG130" s="450"/>
      <c r="AH130" s="450"/>
      <c r="AI130" s="450"/>
      <c r="AJ130" s="450"/>
      <c r="AK130" s="450"/>
    </row>
    <row r="131">
      <c r="A131" s="450"/>
      <c r="B131" s="450"/>
      <c r="C131" s="455"/>
      <c r="D131" s="450"/>
      <c r="E131" s="450"/>
      <c r="F131" s="450"/>
      <c r="G131" s="450"/>
      <c r="H131" s="450"/>
      <c r="I131" s="450"/>
      <c r="J131" s="450"/>
      <c r="K131" s="450"/>
      <c r="L131" s="450"/>
      <c r="M131" s="450"/>
      <c r="N131" s="450"/>
      <c r="O131" s="450"/>
      <c r="P131" s="450"/>
      <c r="Q131" s="450"/>
      <c r="R131" s="450"/>
      <c r="S131" s="450"/>
      <c r="T131" s="450"/>
      <c r="U131" s="450"/>
      <c r="V131" s="450"/>
      <c r="W131" s="450"/>
      <c r="X131" s="450"/>
      <c r="Y131" s="450"/>
      <c r="Z131" s="450"/>
      <c r="AA131" s="450"/>
      <c r="AB131" s="450"/>
      <c r="AC131" s="450"/>
      <c r="AD131" s="450"/>
      <c r="AE131" s="450"/>
      <c r="AF131" s="450"/>
      <c r="AG131" s="450"/>
      <c r="AH131" s="450"/>
      <c r="AI131" s="450"/>
      <c r="AJ131" s="450"/>
      <c r="AK131" s="450"/>
    </row>
    <row r="132">
      <c r="A132" s="450"/>
      <c r="B132" s="450"/>
      <c r="C132" s="455"/>
      <c r="D132" s="450"/>
      <c r="E132" s="450"/>
      <c r="F132" s="450"/>
      <c r="G132" s="450"/>
      <c r="H132" s="450"/>
      <c r="I132" s="450"/>
      <c r="J132" s="450"/>
      <c r="K132" s="450"/>
      <c r="L132" s="450"/>
      <c r="M132" s="450"/>
      <c r="N132" s="450"/>
      <c r="O132" s="450"/>
      <c r="P132" s="450"/>
      <c r="Q132" s="450"/>
      <c r="R132" s="450"/>
      <c r="S132" s="450"/>
      <c r="T132" s="450"/>
      <c r="U132" s="450"/>
      <c r="V132" s="450"/>
      <c r="W132" s="450"/>
      <c r="X132" s="450"/>
      <c r="Y132" s="450"/>
      <c r="Z132" s="450"/>
      <c r="AA132" s="450"/>
      <c r="AB132" s="450"/>
      <c r="AC132" s="450"/>
      <c r="AD132" s="450"/>
      <c r="AE132" s="450"/>
      <c r="AF132" s="450"/>
      <c r="AG132" s="450"/>
      <c r="AH132" s="450"/>
      <c r="AI132" s="450"/>
      <c r="AJ132" s="450"/>
      <c r="AK132" s="450"/>
    </row>
    <row r="133">
      <c r="A133" s="450"/>
      <c r="B133" s="450"/>
      <c r="C133" s="455"/>
      <c r="D133" s="450"/>
      <c r="E133" s="450"/>
      <c r="F133" s="450"/>
      <c r="G133" s="450"/>
      <c r="H133" s="450"/>
      <c r="I133" s="450"/>
      <c r="J133" s="450"/>
      <c r="K133" s="450"/>
      <c r="L133" s="450"/>
      <c r="M133" s="450"/>
      <c r="N133" s="450"/>
      <c r="O133" s="450"/>
      <c r="P133" s="450"/>
      <c r="Q133" s="450"/>
      <c r="R133" s="450"/>
      <c r="S133" s="450"/>
      <c r="T133" s="450"/>
      <c r="U133" s="450"/>
      <c r="V133" s="450"/>
      <c r="W133" s="450"/>
      <c r="X133" s="450"/>
      <c r="Y133" s="450"/>
      <c r="Z133" s="450"/>
      <c r="AA133" s="450"/>
      <c r="AB133" s="450"/>
      <c r="AC133" s="450"/>
      <c r="AD133" s="450"/>
      <c r="AE133" s="450"/>
      <c r="AF133" s="450"/>
      <c r="AG133" s="450"/>
      <c r="AH133" s="450"/>
      <c r="AI133" s="450"/>
      <c r="AJ133" s="450"/>
      <c r="AK133" s="450"/>
    </row>
    <row r="134">
      <c r="A134" s="450"/>
      <c r="B134" s="450"/>
      <c r="C134" s="455"/>
      <c r="D134" s="450"/>
      <c r="E134" s="450"/>
      <c r="F134" s="450"/>
      <c r="G134" s="450"/>
      <c r="H134" s="450"/>
      <c r="I134" s="450"/>
      <c r="J134" s="450"/>
      <c r="K134" s="450"/>
      <c r="L134" s="450"/>
      <c r="M134" s="450"/>
      <c r="N134" s="450"/>
      <c r="O134" s="450"/>
      <c r="P134" s="450"/>
      <c r="Q134" s="450"/>
      <c r="R134" s="450"/>
      <c r="S134" s="450"/>
      <c r="T134" s="450"/>
      <c r="U134" s="450"/>
      <c r="V134" s="450"/>
      <c r="W134" s="450"/>
      <c r="X134" s="450"/>
      <c r="Y134" s="450"/>
      <c r="Z134" s="450"/>
      <c r="AA134" s="450"/>
      <c r="AB134" s="450"/>
      <c r="AC134" s="450"/>
      <c r="AD134" s="450"/>
      <c r="AE134" s="450"/>
      <c r="AF134" s="450"/>
      <c r="AG134" s="450"/>
      <c r="AH134" s="450"/>
      <c r="AI134" s="450"/>
      <c r="AJ134" s="450"/>
      <c r="AK134" s="450"/>
    </row>
    <row r="135">
      <c r="A135" s="450"/>
      <c r="B135" s="450"/>
      <c r="C135" s="455"/>
      <c r="D135" s="450"/>
      <c r="E135" s="450"/>
      <c r="F135" s="450"/>
      <c r="G135" s="450"/>
      <c r="H135" s="450"/>
      <c r="I135" s="450"/>
      <c r="J135" s="450"/>
      <c r="K135" s="450"/>
      <c r="L135" s="450"/>
      <c r="M135" s="450"/>
      <c r="N135" s="450"/>
      <c r="O135" s="450"/>
      <c r="P135" s="450"/>
      <c r="Q135" s="450"/>
      <c r="R135" s="450"/>
      <c r="S135" s="450"/>
      <c r="T135" s="450"/>
      <c r="U135" s="450"/>
      <c r="V135" s="450"/>
      <c r="W135" s="450"/>
      <c r="X135" s="450"/>
      <c r="Y135" s="450"/>
      <c r="Z135" s="450"/>
      <c r="AA135" s="450"/>
      <c r="AB135" s="450"/>
      <c r="AC135" s="450"/>
      <c r="AD135" s="450"/>
      <c r="AE135" s="450"/>
      <c r="AF135" s="450"/>
      <c r="AG135" s="450"/>
      <c r="AH135" s="450"/>
      <c r="AI135" s="450"/>
      <c r="AJ135" s="450"/>
      <c r="AK135" s="450"/>
    </row>
    <row r="136">
      <c r="A136" s="450"/>
      <c r="B136" s="450"/>
      <c r="C136" s="455"/>
      <c r="D136" s="450"/>
      <c r="E136" s="450"/>
      <c r="F136" s="450"/>
      <c r="G136" s="450"/>
      <c r="H136" s="450"/>
      <c r="I136" s="450"/>
      <c r="J136" s="450"/>
      <c r="K136" s="450"/>
      <c r="L136" s="450"/>
      <c r="M136" s="450"/>
      <c r="N136" s="450"/>
      <c r="O136" s="450"/>
      <c r="P136" s="450"/>
      <c r="Q136" s="450"/>
      <c r="R136" s="450"/>
      <c r="S136" s="450"/>
      <c r="T136" s="450"/>
      <c r="U136" s="450"/>
      <c r="V136" s="450"/>
      <c r="W136" s="450"/>
      <c r="X136" s="450"/>
      <c r="Y136" s="450"/>
      <c r="Z136" s="450"/>
      <c r="AA136" s="450"/>
      <c r="AB136" s="450"/>
      <c r="AC136" s="450"/>
      <c r="AD136" s="450"/>
      <c r="AE136" s="450"/>
      <c r="AF136" s="450"/>
      <c r="AG136" s="450"/>
      <c r="AH136" s="450"/>
      <c r="AI136" s="450"/>
      <c r="AJ136" s="450"/>
      <c r="AK136" s="450"/>
    </row>
    <row r="137">
      <c r="A137" s="450"/>
      <c r="B137" s="450"/>
      <c r="C137" s="455"/>
      <c r="D137" s="450"/>
      <c r="E137" s="450"/>
      <c r="F137" s="450"/>
      <c r="G137" s="450"/>
      <c r="H137" s="450"/>
      <c r="I137" s="450"/>
      <c r="J137" s="450"/>
      <c r="K137" s="450"/>
      <c r="L137" s="450"/>
      <c r="M137" s="450"/>
      <c r="N137" s="450"/>
      <c r="O137" s="450"/>
      <c r="P137" s="450"/>
      <c r="Q137" s="450"/>
      <c r="R137" s="450"/>
      <c r="S137" s="450"/>
      <c r="T137" s="450"/>
      <c r="U137" s="450"/>
      <c r="V137" s="450"/>
      <c r="W137" s="450"/>
      <c r="X137" s="450"/>
      <c r="Y137" s="450"/>
      <c r="Z137" s="450"/>
      <c r="AA137" s="450"/>
      <c r="AB137" s="450"/>
      <c r="AC137" s="450"/>
      <c r="AD137" s="450"/>
      <c r="AE137" s="450"/>
      <c r="AF137" s="450"/>
      <c r="AG137" s="450"/>
      <c r="AH137" s="450"/>
      <c r="AI137" s="450"/>
      <c r="AJ137" s="450"/>
      <c r="AK137" s="450"/>
    </row>
    <row r="138">
      <c r="A138" s="450"/>
      <c r="B138" s="450"/>
      <c r="C138" s="455"/>
      <c r="D138" s="450"/>
      <c r="E138" s="450"/>
      <c r="F138" s="450"/>
      <c r="G138" s="450"/>
      <c r="H138" s="450"/>
      <c r="I138" s="450"/>
      <c r="J138" s="450"/>
      <c r="K138" s="450"/>
      <c r="L138" s="450"/>
      <c r="M138" s="450"/>
      <c r="N138" s="450"/>
      <c r="O138" s="450"/>
      <c r="P138" s="450"/>
      <c r="Q138" s="450"/>
      <c r="R138" s="450"/>
      <c r="S138" s="450"/>
      <c r="T138" s="450"/>
      <c r="U138" s="450"/>
      <c r="V138" s="450"/>
      <c r="W138" s="450"/>
      <c r="X138" s="450"/>
      <c r="Y138" s="450"/>
      <c r="Z138" s="450"/>
      <c r="AA138" s="450"/>
      <c r="AB138" s="450"/>
      <c r="AC138" s="450"/>
      <c r="AD138" s="450"/>
      <c r="AE138" s="450"/>
      <c r="AF138" s="450"/>
      <c r="AG138" s="450"/>
      <c r="AH138" s="450"/>
      <c r="AI138" s="450"/>
      <c r="AJ138" s="450"/>
      <c r="AK138" s="450"/>
    </row>
    <row r="139">
      <c r="A139" s="450"/>
      <c r="B139" s="450"/>
      <c r="C139" s="455"/>
      <c r="D139" s="450"/>
      <c r="E139" s="450"/>
      <c r="F139" s="450"/>
      <c r="G139" s="450"/>
      <c r="H139" s="450"/>
      <c r="I139" s="450"/>
      <c r="J139" s="450"/>
      <c r="K139" s="450"/>
      <c r="L139" s="450"/>
      <c r="M139" s="450"/>
      <c r="N139" s="450"/>
      <c r="O139" s="450"/>
      <c r="P139" s="450"/>
      <c r="Q139" s="450"/>
      <c r="R139" s="450"/>
      <c r="S139" s="450"/>
      <c r="T139" s="450"/>
      <c r="U139" s="450"/>
      <c r="V139" s="450"/>
      <c r="W139" s="450"/>
      <c r="X139" s="450"/>
      <c r="Y139" s="450"/>
      <c r="Z139" s="450"/>
      <c r="AA139" s="450"/>
      <c r="AB139" s="450"/>
      <c r="AC139" s="450"/>
      <c r="AD139" s="450"/>
      <c r="AE139" s="450"/>
      <c r="AF139" s="450"/>
      <c r="AG139" s="450"/>
      <c r="AH139" s="450"/>
      <c r="AI139" s="450"/>
      <c r="AJ139" s="450"/>
      <c r="AK139" s="450"/>
    </row>
    <row r="140">
      <c r="A140" s="450"/>
      <c r="B140" s="450"/>
      <c r="C140" s="455"/>
      <c r="D140" s="450"/>
      <c r="E140" s="450"/>
      <c r="F140" s="450"/>
      <c r="G140" s="450"/>
      <c r="H140" s="450"/>
      <c r="I140" s="450"/>
      <c r="J140" s="450"/>
      <c r="K140" s="450"/>
      <c r="L140" s="450"/>
      <c r="M140" s="450"/>
      <c r="N140" s="450"/>
      <c r="O140" s="450"/>
      <c r="P140" s="450"/>
      <c r="Q140" s="450"/>
      <c r="R140" s="450"/>
      <c r="S140" s="450"/>
      <c r="T140" s="450"/>
      <c r="U140" s="450"/>
      <c r="V140" s="450"/>
      <c r="W140" s="450"/>
      <c r="X140" s="450"/>
      <c r="Y140" s="450"/>
      <c r="Z140" s="450"/>
      <c r="AA140" s="450"/>
      <c r="AB140" s="450"/>
      <c r="AC140" s="450"/>
      <c r="AD140" s="450"/>
      <c r="AE140" s="450"/>
      <c r="AF140" s="450"/>
      <c r="AG140" s="450"/>
      <c r="AH140" s="450"/>
      <c r="AI140" s="450"/>
      <c r="AJ140" s="450"/>
      <c r="AK140" s="450"/>
    </row>
    <row r="141">
      <c r="A141" s="450"/>
      <c r="B141" s="450"/>
      <c r="C141" s="455"/>
      <c r="D141" s="450"/>
      <c r="E141" s="450"/>
      <c r="F141" s="450"/>
      <c r="G141" s="450"/>
      <c r="H141" s="450"/>
      <c r="I141" s="450"/>
      <c r="J141" s="450"/>
      <c r="K141" s="450"/>
      <c r="L141" s="450"/>
      <c r="M141" s="450"/>
      <c r="N141" s="450"/>
      <c r="O141" s="450"/>
      <c r="P141" s="450"/>
      <c r="Q141" s="450"/>
      <c r="R141" s="450"/>
      <c r="S141" s="450"/>
      <c r="T141" s="450"/>
      <c r="U141" s="450"/>
      <c r="V141" s="450"/>
      <c r="W141" s="450"/>
      <c r="X141" s="450"/>
      <c r="Y141" s="450"/>
      <c r="Z141" s="450"/>
      <c r="AA141" s="450"/>
      <c r="AB141" s="450"/>
      <c r="AC141" s="450"/>
      <c r="AD141" s="450"/>
      <c r="AE141" s="450"/>
      <c r="AF141" s="450"/>
      <c r="AG141" s="450"/>
      <c r="AH141" s="450"/>
      <c r="AI141" s="450"/>
      <c r="AJ141" s="450"/>
      <c r="AK141" s="450"/>
    </row>
    <row r="142">
      <c r="A142" s="450"/>
      <c r="B142" s="450"/>
      <c r="C142" s="455"/>
      <c r="D142" s="450"/>
      <c r="E142" s="450"/>
      <c r="F142" s="450"/>
      <c r="G142" s="450"/>
      <c r="H142" s="450"/>
      <c r="I142" s="450"/>
      <c r="J142" s="450"/>
      <c r="K142" s="450"/>
      <c r="L142" s="450"/>
      <c r="M142" s="450"/>
      <c r="N142" s="450"/>
      <c r="O142" s="450"/>
      <c r="P142" s="450"/>
      <c r="Q142" s="450"/>
      <c r="R142" s="450"/>
      <c r="S142" s="450"/>
      <c r="T142" s="450"/>
      <c r="U142" s="450"/>
      <c r="V142" s="450"/>
      <c r="W142" s="450"/>
      <c r="X142" s="450"/>
      <c r="Y142" s="450"/>
      <c r="Z142" s="450"/>
      <c r="AA142" s="450"/>
      <c r="AB142" s="450"/>
      <c r="AC142" s="450"/>
      <c r="AD142" s="450"/>
      <c r="AE142" s="450"/>
      <c r="AF142" s="450"/>
      <c r="AG142" s="450"/>
      <c r="AH142" s="450"/>
      <c r="AI142" s="450"/>
      <c r="AJ142" s="450"/>
      <c r="AK142" s="450"/>
    </row>
    <row r="143">
      <c r="A143" s="450"/>
      <c r="B143" s="450"/>
      <c r="C143" s="455"/>
      <c r="D143" s="450"/>
      <c r="E143" s="450"/>
      <c r="F143" s="450"/>
      <c r="G143" s="450"/>
      <c r="H143" s="450"/>
      <c r="I143" s="450"/>
      <c r="J143" s="450"/>
      <c r="K143" s="450"/>
      <c r="L143" s="450"/>
      <c r="M143" s="450"/>
      <c r="N143" s="450"/>
      <c r="O143" s="450"/>
      <c r="P143" s="450"/>
      <c r="Q143" s="450"/>
      <c r="R143" s="450"/>
      <c r="S143" s="450"/>
      <c r="T143" s="450"/>
      <c r="U143" s="450"/>
      <c r="V143" s="450"/>
      <c r="W143" s="450"/>
      <c r="X143" s="450"/>
      <c r="Y143" s="450"/>
      <c r="Z143" s="450"/>
      <c r="AA143" s="450"/>
      <c r="AB143" s="450"/>
      <c r="AC143" s="450"/>
      <c r="AD143" s="450"/>
      <c r="AE143" s="450"/>
      <c r="AF143" s="450"/>
      <c r="AG143" s="450"/>
      <c r="AH143" s="450"/>
      <c r="AI143" s="450"/>
      <c r="AJ143" s="450"/>
      <c r="AK143" s="450"/>
    </row>
    <row r="144">
      <c r="A144" s="450"/>
      <c r="B144" s="450"/>
      <c r="C144" s="455"/>
      <c r="D144" s="450"/>
      <c r="E144" s="450"/>
      <c r="F144" s="450"/>
      <c r="G144" s="450"/>
      <c r="H144" s="450"/>
      <c r="I144" s="450"/>
      <c r="J144" s="450"/>
      <c r="K144" s="450"/>
      <c r="L144" s="450"/>
      <c r="M144" s="450"/>
      <c r="N144" s="450"/>
      <c r="O144" s="450"/>
      <c r="P144" s="450"/>
      <c r="Q144" s="450"/>
      <c r="R144" s="450"/>
      <c r="S144" s="450"/>
      <c r="T144" s="450"/>
      <c r="U144" s="450"/>
      <c r="V144" s="450"/>
      <c r="W144" s="450"/>
      <c r="X144" s="450"/>
      <c r="Y144" s="450"/>
      <c r="Z144" s="450"/>
      <c r="AA144" s="450"/>
      <c r="AB144" s="450"/>
      <c r="AC144" s="450"/>
      <c r="AD144" s="450"/>
      <c r="AE144" s="450"/>
      <c r="AF144" s="450"/>
      <c r="AG144" s="450"/>
      <c r="AH144" s="450"/>
      <c r="AI144" s="450"/>
      <c r="AJ144" s="450"/>
      <c r="AK144" s="450"/>
    </row>
    <row r="145">
      <c r="A145" s="450"/>
      <c r="B145" s="450"/>
      <c r="C145" s="455"/>
      <c r="D145" s="450"/>
      <c r="E145" s="450"/>
      <c r="F145" s="450"/>
      <c r="G145" s="450"/>
      <c r="H145" s="450"/>
      <c r="I145" s="450"/>
      <c r="J145" s="450"/>
      <c r="K145" s="450"/>
      <c r="L145" s="450"/>
      <c r="M145" s="450"/>
      <c r="N145" s="450"/>
      <c r="O145" s="450"/>
      <c r="P145" s="450"/>
      <c r="Q145" s="450"/>
      <c r="R145" s="450"/>
      <c r="S145" s="450"/>
      <c r="T145" s="450"/>
      <c r="U145" s="450"/>
      <c r="V145" s="450"/>
      <c r="W145" s="450"/>
      <c r="X145" s="450"/>
      <c r="Y145" s="450"/>
      <c r="Z145" s="450"/>
      <c r="AA145" s="450"/>
      <c r="AB145" s="450"/>
      <c r="AC145" s="450"/>
      <c r="AD145" s="450"/>
      <c r="AE145" s="450"/>
      <c r="AF145" s="450"/>
      <c r="AG145" s="450"/>
      <c r="AH145" s="450"/>
      <c r="AI145" s="450"/>
      <c r="AJ145" s="450"/>
      <c r="AK145" s="450"/>
    </row>
    <row r="146">
      <c r="A146" s="450"/>
      <c r="B146" s="450"/>
      <c r="C146" s="455"/>
      <c r="D146" s="450"/>
      <c r="E146" s="450"/>
      <c r="F146" s="450"/>
      <c r="G146" s="450"/>
      <c r="H146" s="450"/>
      <c r="I146" s="450"/>
      <c r="J146" s="450"/>
      <c r="K146" s="450"/>
      <c r="L146" s="450"/>
      <c r="M146" s="450"/>
      <c r="N146" s="450"/>
      <c r="O146" s="450"/>
      <c r="P146" s="450"/>
      <c r="Q146" s="450"/>
      <c r="R146" s="450"/>
      <c r="S146" s="450"/>
      <c r="T146" s="450"/>
      <c r="U146" s="450"/>
      <c r="V146" s="450"/>
      <c r="W146" s="450"/>
      <c r="X146" s="450"/>
      <c r="Y146" s="450"/>
      <c r="Z146" s="450"/>
      <c r="AA146" s="450"/>
      <c r="AB146" s="450"/>
      <c r="AC146" s="450"/>
      <c r="AD146" s="450"/>
      <c r="AE146" s="450"/>
      <c r="AF146" s="450"/>
      <c r="AG146" s="450"/>
      <c r="AH146" s="450"/>
      <c r="AI146" s="450"/>
      <c r="AJ146" s="450"/>
      <c r="AK146" s="450"/>
    </row>
    <row r="147">
      <c r="A147" s="450"/>
      <c r="B147" s="450"/>
      <c r="C147" s="455"/>
      <c r="D147" s="450"/>
      <c r="E147" s="450"/>
      <c r="F147" s="450"/>
      <c r="G147" s="450"/>
      <c r="H147" s="450"/>
      <c r="I147" s="450"/>
      <c r="J147" s="450"/>
      <c r="K147" s="450"/>
      <c r="L147" s="450"/>
      <c r="M147" s="450"/>
      <c r="N147" s="450"/>
      <c r="O147" s="450"/>
      <c r="P147" s="450"/>
      <c r="Q147" s="450"/>
      <c r="R147" s="450"/>
      <c r="S147" s="450"/>
      <c r="T147" s="450"/>
      <c r="U147" s="450"/>
      <c r="V147" s="450"/>
      <c r="W147" s="450"/>
      <c r="X147" s="450"/>
      <c r="Y147" s="450"/>
      <c r="Z147" s="450"/>
      <c r="AA147" s="450"/>
      <c r="AB147" s="450"/>
      <c r="AC147" s="450"/>
      <c r="AD147" s="450"/>
      <c r="AE147" s="450"/>
      <c r="AF147" s="450"/>
      <c r="AG147" s="450"/>
      <c r="AH147" s="450"/>
      <c r="AI147" s="450"/>
      <c r="AJ147" s="450"/>
      <c r="AK147" s="450"/>
    </row>
    <row r="148">
      <c r="A148" s="450"/>
      <c r="B148" s="450"/>
      <c r="C148" s="455"/>
      <c r="D148" s="450"/>
      <c r="E148" s="450"/>
      <c r="F148" s="450"/>
      <c r="G148" s="450"/>
      <c r="H148" s="450"/>
      <c r="I148" s="450"/>
      <c r="J148" s="450"/>
      <c r="K148" s="450"/>
      <c r="L148" s="450"/>
      <c r="M148" s="450"/>
      <c r="N148" s="450"/>
      <c r="O148" s="450"/>
      <c r="P148" s="450"/>
      <c r="Q148" s="450"/>
      <c r="R148" s="450"/>
      <c r="S148" s="450"/>
      <c r="T148" s="450"/>
      <c r="U148" s="450"/>
      <c r="V148" s="450"/>
      <c r="W148" s="450"/>
      <c r="X148" s="450"/>
      <c r="Y148" s="450"/>
      <c r="Z148" s="450"/>
      <c r="AA148" s="450"/>
      <c r="AB148" s="450"/>
      <c r="AC148" s="450"/>
      <c r="AD148" s="450"/>
      <c r="AE148" s="450"/>
      <c r="AF148" s="450"/>
      <c r="AG148" s="450"/>
      <c r="AH148" s="450"/>
      <c r="AI148" s="450"/>
      <c r="AJ148" s="450"/>
      <c r="AK148" s="450"/>
    </row>
    <row r="149">
      <c r="A149" s="450"/>
      <c r="B149" s="450"/>
      <c r="C149" s="455"/>
      <c r="D149" s="450"/>
      <c r="E149" s="450"/>
      <c r="F149" s="450"/>
      <c r="G149" s="450"/>
      <c r="H149" s="450"/>
      <c r="I149" s="450"/>
      <c r="J149" s="450"/>
      <c r="K149" s="450"/>
      <c r="L149" s="450"/>
      <c r="M149" s="450"/>
      <c r="N149" s="450"/>
      <c r="O149" s="450"/>
      <c r="P149" s="450"/>
      <c r="Q149" s="450"/>
      <c r="R149" s="450"/>
      <c r="S149" s="450"/>
      <c r="T149" s="450"/>
      <c r="U149" s="450"/>
      <c r="V149" s="450"/>
      <c r="W149" s="450"/>
      <c r="X149" s="450"/>
      <c r="Y149" s="450"/>
      <c r="Z149" s="450"/>
      <c r="AA149" s="450"/>
      <c r="AB149" s="450"/>
      <c r="AC149" s="450"/>
      <c r="AD149" s="450"/>
      <c r="AE149" s="450"/>
      <c r="AF149" s="450"/>
      <c r="AG149" s="450"/>
      <c r="AH149" s="450"/>
      <c r="AI149" s="450"/>
      <c r="AJ149" s="450"/>
      <c r="AK149" s="450"/>
    </row>
    <row r="150">
      <c r="A150" s="450"/>
      <c r="B150" s="450"/>
      <c r="C150" s="455"/>
      <c r="D150" s="450"/>
      <c r="E150" s="450"/>
      <c r="F150" s="450"/>
      <c r="G150" s="450"/>
      <c r="H150" s="450"/>
      <c r="I150" s="450"/>
      <c r="J150" s="450"/>
      <c r="K150" s="450"/>
      <c r="L150" s="450"/>
      <c r="M150" s="450"/>
      <c r="N150" s="450"/>
      <c r="O150" s="450"/>
      <c r="P150" s="450"/>
      <c r="Q150" s="450"/>
      <c r="R150" s="450"/>
      <c r="S150" s="450"/>
      <c r="T150" s="450"/>
      <c r="U150" s="450"/>
      <c r="V150" s="450"/>
      <c r="W150" s="450"/>
      <c r="X150" s="450"/>
      <c r="Y150" s="450"/>
      <c r="Z150" s="450"/>
      <c r="AA150" s="450"/>
      <c r="AB150" s="450"/>
      <c r="AC150" s="450"/>
      <c r="AD150" s="450"/>
      <c r="AE150" s="450"/>
      <c r="AF150" s="450"/>
      <c r="AG150" s="450"/>
      <c r="AH150" s="450"/>
      <c r="AI150" s="450"/>
      <c r="AJ150" s="450"/>
      <c r="AK150" s="450"/>
    </row>
    <row r="151">
      <c r="A151" s="450"/>
      <c r="B151" s="450"/>
      <c r="C151" s="455"/>
      <c r="D151" s="450"/>
      <c r="E151" s="450"/>
      <c r="F151" s="450"/>
      <c r="G151" s="450"/>
      <c r="H151" s="450"/>
      <c r="I151" s="450"/>
      <c r="J151" s="450"/>
      <c r="K151" s="450"/>
      <c r="L151" s="450"/>
      <c r="M151" s="450"/>
      <c r="N151" s="450"/>
      <c r="O151" s="450"/>
      <c r="P151" s="450"/>
      <c r="Q151" s="450"/>
      <c r="R151" s="450"/>
      <c r="S151" s="450"/>
      <c r="T151" s="450"/>
      <c r="U151" s="450"/>
      <c r="V151" s="450"/>
      <c r="W151" s="450"/>
      <c r="X151" s="450"/>
      <c r="Y151" s="450"/>
      <c r="Z151" s="450"/>
      <c r="AA151" s="450"/>
      <c r="AB151" s="450"/>
      <c r="AC151" s="450"/>
      <c r="AD151" s="450"/>
      <c r="AE151" s="450"/>
      <c r="AF151" s="450"/>
      <c r="AG151" s="450"/>
      <c r="AH151" s="450"/>
      <c r="AI151" s="450"/>
      <c r="AJ151" s="450"/>
      <c r="AK151" s="450"/>
    </row>
    <row r="152">
      <c r="A152" s="450"/>
      <c r="B152" s="450"/>
      <c r="C152" s="455"/>
      <c r="D152" s="450"/>
      <c r="E152" s="450"/>
      <c r="F152" s="450"/>
      <c r="G152" s="450"/>
      <c r="H152" s="450"/>
      <c r="I152" s="450"/>
      <c r="J152" s="450"/>
      <c r="K152" s="450"/>
      <c r="L152" s="450"/>
      <c r="M152" s="450"/>
      <c r="N152" s="450"/>
      <c r="O152" s="450"/>
      <c r="P152" s="450"/>
      <c r="Q152" s="450"/>
      <c r="R152" s="450"/>
      <c r="S152" s="450"/>
      <c r="T152" s="450"/>
      <c r="U152" s="450"/>
      <c r="V152" s="450"/>
      <c r="W152" s="450"/>
      <c r="X152" s="450"/>
      <c r="Y152" s="450"/>
      <c r="Z152" s="450"/>
      <c r="AA152" s="450"/>
      <c r="AB152" s="450"/>
      <c r="AC152" s="450"/>
      <c r="AD152" s="450"/>
      <c r="AE152" s="450"/>
      <c r="AF152" s="450"/>
      <c r="AG152" s="450"/>
      <c r="AH152" s="450"/>
      <c r="AI152" s="450"/>
      <c r="AJ152" s="450"/>
      <c r="AK152" s="450"/>
    </row>
    <row r="153">
      <c r="A153" s="450"/>
      <c r="B153" s="450"/>
      <c r="C153" s="455"/>
      <c r="D153" s="450"/>
      <c r="E153" s="450"/>
      <c r="F153" s="450"/>
      <c r="G153" s="450"/>
      <c r="H153" s="450"/>
      <c r="I153" s="450"/>
      <c r="J153" s="450"/>
      <c r="K153" s="450"/>
      <c r="L153" s="450"/>
      <c r="M153" s="450"/>
      <c r="N153" s="450"/>
      <c r="O153" s="450"/>
      <c r="P153" s="450"/>
      <c r="Q153" s="450"/>
      <c r="R153" s="450"/>
      <c r="S153" s="450"/>
      <c r="T153" s="450"/>
      <c r="U153" s="450"/>
      <c r="V153" s="450"/>
      <c r="W153" s="450"/>
      <c r="X153" s="450"/>
      <c r="Y153" s="450"/>
      <c r="Z153" s="450"/>
      <c r="AA153" s="450"/>
      <c r="AB153" s="450"/>
      <c r="AC153" s="450"/>
      <c r="AD153" s="450"/>
      <c r="AE153" s="450"/>
      <c r="AF153" s="450"/>
      <c r="AG153" s="450"/>
      <c r="AH153" s="450"/>
      <c r="AI153" s="450"/>
      <c r="AJ153" s="450"/>
      <c r="AK153" s="450"/>
    </row>
    <row r="154">
      <c r="A154" s="450"/>
      <c r="B154" s="450"/>
      <c r="C154" s="455"/>
      <c r="D154" s="450"/>
      <c r="E154" s="450"/>
      <c r="F154" s="450"/>
      <c r="G154" s="450"/>
      <c r="H154" s="450"/>
      <c r="I154" s="450"/>
      <c r="J154" s="450"/>
      <c r="K154" s="450"/>
      <c r="L154" s="450"/>
      <c r="M154" s="450"/>
      <c r="N154" s="450"/>
      <c r="O154" s="450"/>
      <c r="P154" s="450"/>
      <c r="Q154" s="450"/>
      <c r="R154" s="450"/>
      <c r="S154" s="450"/>
      <c r="T154" s="450"/>
      <c r="U154" s="450"/>
      <c r="V154" s="450"/>
      <c r="W154" s="450"/>
      <c r="X154" s="450"/>
      <c r="Y154" s="450"/>
      <c r="Z154" s="450"/>
      <c r="AA154" s="450"/>
      <c r="AB154" s="450"/>
      <c r="AC154" s="450"/>
      <c r="AD154" s="450"/>
      <c r="AE154" s="450"/>
      <c r="AF154" s="450"/>
      <c r="AG154" s="450"/>
      <c r="AH154" s="450"/>
      <c r="AI154" s="450"/>
      <c r="AJ154" s="450"/>
      <c r="AK154" s="450"/>
    </row>
    <row r="155">
      <c r="A155" s="450"/>
      <c r="B155" s="450"/>
      <c r="C155" s="455"/>
      <c r="D155" s="450"/>
      <c r="E155" s="450"/>
      <c r="F155" s="450"/>
      <c r="G155" s="450"/>
      <c r="H155" s="450"/>
      <c r="I155" s="450"/>
      <c r="J155" s="450"/>
      <c r="K155" s="450"/>
      <c r="L155" s="450"/>
      <c r="M155" s="450"/>
      <c r="N155" s="450"/>
      <c r="O155" s="450"/>
      <c r="P155" s="450"/>
      <c r="Q155" s="450"/>
      <c r="R155" s="450"/>
      <c r="S155" s="450"/>
      <c r="T155" s="450"/>
      <c r="U155" s="450"/>
      <c r="V155" s="450"/>
      <c r="W155" s="450"/>
      <c r="X155" s="450"/>
      <c r="Y155" s="450"/>
      <c r="Z155" s="450"/>
      <c r="AA155" s="450"/>
      <c r="AB155" s="450"/>
      <c r="AC155" s="450"/>
      <c r="AD155" s="450"/>
      <c r="AE155" s="450"/>
      <c r="AF155" s="450"/>
      <c r="AG155" s="450"/>
      <c r="AH155" s="450"/>
      <c r="AI155" s="450"/>
      <c r="AJ155" s="450"/>
      <c r="AK155" s="450"/>
    </row>
    <row r="156">
      <c r="A156" s="450"/>
      <c r="B156" s="450"/>
      <c r="C156" s="455"/>
      <c r="D156" s="450"/>
      <c r="E156" s="450"/>
      <c r="F156" s="450"/>
      <c r="G156" s="450"/>
      <c r="H156" s="450"/>
      <c r="I156" s="450"/>
      <c r="J156" s="450"/>
      <c r="K156" s="450"/>
      <c r="L156" s="450"/>
      <c r="M156" s="450"/>
      <c r="N156" s="450"/>
      <c r="O156" s="450"/>
      <c r="P156" s="450"/>
      <c r="Q156" s="450"/>
      <c r="R156" s="450"/>
      <c r="S156" s="450"/>
      <c r="T156" s="450"/>
      <c r="U156" s="450"/>
      <c r="V156" s="450"/>
      <c r="W156" s="450"/>
      <c r="X156" s="450"/>
      <c r="Y156" s="450"/>
      <c r="Z156" s="450"/>
      <c r="AA156" s="450"/>
      <c r="AB156" s="450"/>
      <c r="AC156" s="450"/>
      <c r="AD156" s="450"/>
      <c r="AE156" s="450"/>
      <c r="AF156" s="450"/>
      <c r="AG156" s="450"/>
      <c r="AH156" s="450"/>
      <c r="AI156" s="450"/>
      <c r="AJ156" s="450"/>
      <c r="AK156" s="450"/>
    </row>
    <row r="157">
      <c r="A157" s="450"/>
      <c r="B157" s="450"/>
      <c r="C157" s="455"/>
      <c r="D157" s="450"/>
      <c r="E157" s="450"/>
      <c r="F157" s="450"/>
      <c r="G157" s="450"/>
      <c r="H157" s="450"/>
      <c r="I157" s="450"/>
      <c r="J157" s="450"/>
      <c r="K157" s="450"/>
      <c r="L157" s="450"/>
      <c r="M157" s="450"/>
      <c r="N157" s="450"/>
      <c r="O157" s="450"/>
      <c r="P157" s="450"/>
      <c r="Q157" s="450"/>
      <c r="R157" s="450"/>
      <c r="S157" s="450"/>
      <c r="T157" s="450"/>
      <c r="U157" s="450"/>
      <c r="V157" s="450"/>
      <c r="W157" s="450"/>
      <c r="X157" s="450"/>
      <c r="Y157" s="450"/>
      <c r="Z157" s="450"/>
      <c r="AA157" s="450"/>
      <c r="AB157" s="450"/>
      <c r="AC157" s="450"/>
      <c r="AD157" s="450"/>
      <c r="AE157" s="450"/>
      <c r="AF157" s="450"/>
      <c r="AG157" s="450"/>
      <c r="AH157" s="450"/>
      <c r="AI157" s="450"/>
      <c r="AJ157" s="450"/>
      <c r="AK157" s="450"/>
    </row>
    <row r="158">
      <c r="A158" s="450"/>
      <c r="B158" s="450"/>
      <c r="C158" s="455"/>
      <c r="D158" s="450"/>
      <c r="E158" s="450"/>
      <c r="F158" s="450"/>
      <c r="G158" s="450"/>
      <c r="H158" s="450"/>
      <c r="I158" s="450"/>
      <c r="J158" s="450"/>
      <c r="K158" s="450"/>
      <c r="L158" s="450"/>
      <c r="M158" s="450"/>
      <c r="N158" s="450"/>
      <c r="O158" s="450"/>
      <c r="P158" s="450"/>
      <c r="Q158" s="450"/>
      <c r="R158" s="450"/>
      <c r="S158" s="450"/>
      <c r="T158" s="450"/>
      <c r="U158" s="450"/>
      <c r="V158" s="450"/>
      <c r="W158" s="450"/>
      <c r="X158" s="450"/>
      <c r="Y158" s="450"/>
      <c r="Z158" s="450"/>
      <c r="AA158" s="450"/>
      <c r="AB158" s="450"/>
      <c r="AC158" s="450"/>
      <c r="AD158" s="450"/>
      <c r="AE158" s="450"/>
      <c r="AF158" s="450"/>
      <c r="AG158" s="450"/>
      <c r="AH158" s="450"/>
      <c r="AI158" s="450"/>
      <c r="AJ158" s="450"/>
      <c r="AK158" s="450"/>
    </row>
    <row r="159">
      <c r="A159" s="450"/>
      <c r="B159" s="450"/>
      <c r="C159" s="455"/>
      <c r="D159" s="450"/>
      <c r="E159" s="450"/>
      <c r="F159" s="450"/>
      <c r="G159" s="450"/>
      <c r="H159" s="450"/>
      <c r="I159" s="450"/>
      <c r="J159" s="450"/>
      <c r="K159" s="450"/>
      <c r="L159" s="450"/>
      <c r="M159" s="450"/>
      <c r="N159" s="450"/>
      <c r="O159" s="450"/>
      <c r="P159" s="450"/>
      <c r="Q159" s="450"/>
      <c r="R159" s="450"/>
      <c r="S159" s="450"/>
      <c r="T159" s="450"/>
      <c r="U159" s="450"/>
      <c r="V159" s="450"/>
      <c r="W159" s="450"/>
      <c r="X159" s="450"/>
      <c r="Y159" s="450"/>
      <c r="Z159" s="450"/>
      <c r="AA159" s="450"/>
      <c r="AB159" s="450"/>
      <c r="AC159" s="450"/>
      <c r="AD159" s="450"/>
      <c r="AE159" s="450"/>
      <c r="AF159" s="450"/>
      <c r="AG159" s="450"/>
      <c r="AH159" s="450"/>
      <c r="AI159" s="450"/>
      <c r="AJ159" s="450"/>
      <c r="AK159" s="450"/>
    </row>
    <row r="160">
      <c r="A160" s="450"/>
      <c r="B160" s="450"/>
      <c r="C160" s="455"/>
      <c r="D160" s="450"/>
      <c r="E160" s="450"/>
      <c r="F160" s="450"/>
      <c r="G160" s="450"/>
      <c r="H160" s="450"/>
      <c r="I160" s="450"/>
      <c r="J160" s="450"/>
      <c r="K160" s="450"/>
      <c r="L160" s="450"/>
      <c r="M160" s="450"/>
      <c r="N160" s="450"/>
      <c r="O160" s="450"/>
      <c r="P160" s="450"/>
      <c r="Q160" s="450"/>
      <c r="R160" s="450"/>
      <c r="S160" s="450"/>
      <c r="T160" s="450"/>
      <c r="U160" s="450"/>
      <c r="V160" s="450"/>
      <c r="W160" s="450"/>
      <c r="X160" s="450"/>
      <c r="Y160" s="450"/>
      <c r="Z160" s="450"/>
      <c r="AA160" s="450"/>
      <c r="AB160" s="450"/>
      <c r="AC160" s="450"/>
      <c r="AD160" s="450"/>
      <c r="AE160" s="450"/>
      <c r="AF160" s="450"/>
      <c r="AG160" s="450"/>
      <c r="AH160" s="450"/>
      <c r="AI160" s="450"/>
      <c r="AJ160" s="450"/>
      <c r="AK160" s="450"/>
    </row>
    <row r="161">
      <c r="A161" s="450"/>
      <c r="B161" s="450"/>
      <c r="C161" s="455"/>
      <c r="D161" s="450"/>
      <c r="E161" s="450"/>
      <c r="F161" s="450"/>
      <c r="G161" s="450"/>
      <c r="H161" s="450"/>
      <c r="I161" s="450"/>
      <c r="J161" s="450"/>
      <c r="K161" s="450"/>
      <c r="L161" s="450"/>
      <c r="M161" s="450"/>
      <c r="N161" s="450"/>
      <c r="O161" s="450"/>
      <c r="P161" s="450"/>
      <c r="Q161" s="450"/>
      <c r="R161" s="450"/>
      <c r="S161" s="450"/>
      <c r="T161" s="450"/>
      <c r="U161" s="450"/>
      <c r="V161" s="450"/>
      <c r="W161" s="450"/>
      <c r="X161" s="450"/>
      <c r="Y161" s="450"/>
      <c r="Z161" s="450"/>
      <c r="AA161" s="450"/>
      <c r="AB161" s="450"/>
      <c r="AC161" s="450"/>
      <c r="AD161" s="450"/>
      <c r="AE161" s="450"/>
      <c r="AF161" s="450"/>
      <c r="AG161" s="450"/>
      <c r="AH161" s="450"/>
      <c r="AI161" s="450"/>
      <c r="AJ161" s="450"/>
      <c r="AK161" s="450"/>
    </row>
    <row r="162">
      <c r="A162" s="450"/>
      <c r="B162" s="450"/>
      <c r="C162" s="455"/>
      <c r="D162" s="450"/>
      <c r="E162" s="450"/>
      <c r="F162" s="450"/>
      <c r="G162" s="450"/>
      <c r="H162" s="450"/>
      <c r="I162" s="450"/>
      <c r="J162" s="450"/>
      <c r="K162" s="450"/>
      <c r="L162" s="450"/>
      <c r="M162" s="450"/>
      <c r="N162" s="450"/>
      <c r="O162" s="450"/>
      <c r="P162" s="450"/>
      <c r="Q162" s="450"/>
      <c r="R162" s="450"/>
      <c r="S162" s="450"/>
      <c r="T162" s="450"/>
      <c r="U162" s="450"/>
      <c r="V162" s="450"/>
      <c r="W162" s="450"/>
      <c r="X162" s="450"/>
      <c r="Y162" s="450"/>
      <c r="Z162" s="450"/>
      <c r="AA162" s="450"/>
      <c r="AB162" s="450"/>
      <c r="AC162" s="450"/>
      <c r="AD162" s="450"/>
      <c r="AE162" s="450"/>
      <c r="AF162" s="450"/>
      <c r="AG162" s="450"/>
      <c r="AH162" s="450"/>
      <c r="AI162" s="450"/>
      <c r="AJ162" s="450"/>
      <c r="AK162" s="450"/>
    </row>
    <row r="163">
      <c r="A163" s="450"/>
      <c r="B163" s="450"/>
      <c r="C163" s="455"/>
      <c r="D163" s="450"/>
      <c r="E163" s="450"/>
      <c r="F163" s="450"/>
      <c r="G163" s="450"/>
      <c r="H163" s="450"/>
      <c r="I163" s="450"/>
      <c r="J163" s="450"/>
      <c r="K163" s="450"/>
      <c r="L163" s="450"/>
      <c r="M163" s="450"/>
      <c r="N163" s="450"/>
      <c r="O163" s="450"/>
      <c r="P163" s="450"/>
      <c r="Q163" s="450"/>
      <c r="R163" s="450"/>
      <c r="S163" s="450"/>
      <c r="T163" s="450"/>
      <c r="U163" s="450"/>
      <c r="V163" s="450"/>
      <c r="W163" s="450"/>
      <c r="X163" s="450"/>
      <c r="Y163" s="450"/>
      <c r="Z163" s="450"/>
      <c r="AA163" s="450"/>
      <c r="AB163" s="450"/>
      <c r="AC163" s="450"/>
      <c r="AD163" s="450"/>
      <c r="AE163" s="450"/>
      <c r="AF163" s="450"/>
      <c r="AG163" s="450"/>
      <c r="AH163" s="450"/>
      <c r="AI163" s="450"/>
      <c r="AJ163" s="450"/>
      <c r="AK163" s="450"/>
    </row>
    <row r="164">
      <c r="A164" s="450"/>
      <c r="B164" s="450"/>
      <c r="C164" s="455"/>
      <c r="D164" s="450"/>
      <c r="E164" s="450"/>
      <c r="F164" s="450"/>
      <c r="G164" s="450"/>
      <c r="H164" s="450"/>
      <c r="I164" s="450"/>
      <c r="J164" s="450"/>
      <c r="K164" s="450"/>
      <c r="L164" s="450"/>
      <c r="M164" s="450"/>
      <c r="N164" s="450"/>
      <c r="O164" s="450"/>
      <c r="P164" s="450"/>
      <c r="Q164" s="450"/>
      <c r="R164" s="450"/>
      <c r="S164" s="450"/>
      <c r="T164" s="450"/>
      <c r="U164" s="450"/>
      <c r="V164" s="450"/>
      <c r="W164" s="450"/>
      <c r="X164" s="450"/>
      <c r="Y164" s="450"/>
      <c r="Z164" s="450"/>
      <c r="AA164" s="450"/>
      <c r="AB164" s="450"/>
      <c r="AC164" s="450"/>
      <c r="AD164" s="450"/>
      <c r="AE164" s="450"/>
      <c r="AF164" s="450"/>
      <c r="AG164" s="450"/>
      <c r="AH164" s="450"/>
      <c r="AI164" s="450"/>
      <c r="AJ164" s="450"/>
      <c r="AK164" s="450"/>
    </row>
    <row r="165">
      <c r="A165" s="450"/>
      <c r="B165" s="450"/>
      <c r="C165" s="455"/>
      <c r="D165" s="450"/>
      <c r="E165" s="450"/>
      <c r="F165" s="450"/>
      <c r="G165" s="450"/>
      <c r="H165" s="450"/>
      <c r="I165" s="450"/>
      <c r="J165" s="450"/>
      <c r="K165" s="450"/>
      <c r="L165" s="450"/>
      <c r="M165" s="450"/>
      <c r="N165" s="450"/>
      <c r="O165" s="450"/>
      <c r="P165" s="450"/>
      <c r="Q165" s="450"/>
      <c r="R165" s="450"/>
      <c r="S165" s="450"/>
      <c r="T165" s="450"/>
      <c r="U165" s="450"/>
      <c r="V165" s="450"/>
      <c r="W165" s="450"/>
      <c r="X165" s="450"/>
      <c r="Y165" s="450"/>
      <c r="Z165" s="450"/>
      <c r="AA165" s="450"/>
      <c r="AB165" s="450"/>
      <c r="AC165" s="450"/>
      <c r="AD165" s="450"/>
      <c r="AE165" s="450"/>
      <c r="AF165" s="450"/>
      <c r="AG165" s="450"/>
      <c r="AH165" s="450"/>
      <c r="AI165" s="450"/>
      <c r="AJ165" s="450"/>
      <c r="AK165" s="450"/>
    </row>
    <row r="166">
      <c r="A166" s="450"/>
      <c r="B166" s="450"/>
      <c r="C166" s="455"/>
      <c r="D166" s="450"/>
      <c r="E166" s="450"/>
      <c r="F166" s="450"/>
      <c r="G166" s="450"/>
      <c r="H166" s="450"/>
      <c r="I166" s="450"/>
      <c r="J166" s="450"/>
      <c r="K166" s="450"/>
      <c r="L166" s="450"/>
      <c r="M166" s="450"/>
      <c r="N166" s="450"/>
      <c r="O166" s="450"/>
      <c r="P166" s="450"/>
      <c r="Q166" s="450"/>
      <c r="R166" s="450"/>
      <c r="S166" s="450"/>
      <c r="T166" s="450"/>
      <c r="U166" s="450"/>
      <c r="V166" s="450"/>
      <c r="W166" s="450"/>
      <c r="X166" s="450"/>
      <c r="Y166" s="450"/>
      <c r="Z166" s="450"/>
      <c r="AA166" s="450"/>
      <c r="AB166" s="450"/>
      <c r="AC166" s="450"/>
      <c r="AD166" s="450"/>
      <c r="AE166" s="450"/>
      <c r="AF166" s="450"/>
      <c r="AG166" s="450"/>
      <c r="AH166" s="450"/>
      <c r="AI166" s="450"/>
      <c r="AJ166" s="450"/>
      <c r="AK166" s="450"/>
    </row>
    <row r="167">
      <c r="A167" s="450"/>
      <c r="B167" s="450"/>
      <c r="C167" s="455"/>
      <c r="D167" s="450"/>
      <c r="E167" s="450"/>
      <c r="F167" s="450"/>
      <c r="G167" s="450"/>
      <c r="H167" s="450"/>
      <c r="I167" s="450"/>
      <c r="J167" s="450"/>
      <c r="K167" s="450"/>
      <c r="L167" s="450"/>
      <c r="M167" s="450"/>
      <c r="N167" s="450"/>
      <c r="O167" s="450"/>
      <c r="P167" s="450"/>
      <c r="Q167" s="450"/>
      <c r="R167" s="450"/>
      <c r="S167" s="450"/>
      <c r="T167" s="450"/>
      <c r="U167" s="450"/>
      <c r="V167" s="450"/>
      <c r="W167" s="450"/>
      <c r="X167" s="450"/>
      <c r="Y167" s="450"/>
      <c r="Z167" s="450"/>
      <c r="AA167" s="450"/>
      <c r="AB167" s="450"/>
      <c r="AC167" s="450"/>
      <c r="AD167" s="450"/>
      <c r="AE167" s="450"/>
      <c r="AF167" s="450"/>
      <c r="AG167" s="450"/>
      <c r="AH167" s="450"/>
      <c r="AI167" s="450"/>
      <c r="AJ167" s="450"/>
      <c r="AK167" s="450"/>
    </row>
    <row r="168">
      <c r="A168" s="450"/>
      <c r="B168" s="450"/>
      <c r="C168" s="455"/>
      <c r="D168" s="450"/>
      <c r="E168" s="450"/>
      <c r="F168" s="450"/>
      <c r="G168" s="450"/>
      <c r="H168" s="450"/>
      <c r="I168" s="450"/>
      <c r="J168" s="450"/>
      <c r="K168" s="450"/>
      <c r="L168" s="450"/>
      <c r="M168" s="450"/>
      <c r="N168" s="450"/>
      <c r="O168" s="450"/>
      <c r="P168" s="450"/>
      <c r="Q168" s="450"/>
      <c r="R168" s="450"/>
      <c r="S168" s="450"/>
      <c r="T168" s="450"/>
      <c r="U168" s="450"/>
      <c r="V168" s="450"/>
      <c r="W168" s="450"/>
      <c r="X168" s="450"/>
      <c r="Y168" s="450"/>
      <c r="Z168" s="450"/>
      <c r="AA168" s="450"/>
      <c r="AB168" s="450"/>
      <c r="AC168" s="450"/>
      <c r="AD168" s="450"/>
      <c r="AE168" s="450"/>
      <c r="AF168" s="450"/>
      <c r="AG168" s="450"/>
      <c r="AH168" s="450"/>
      <c r="AI168" s="450"/>
      <c r="AJ168" s="450"/>
      <c r="AK168" s="450"/>
    </row>
    <row r="169">
      <c r="A169" s="450"/>
      <c r="B169" s="450"/>
      <c r="C169" s="455"/>
      <c r="D169" s="450"/>
      <c r="E169" s="450"/>
      <c r="F169" s="450"/>
      <c r="G169" s="450"/>
      <c r="H169" s="450"/>
      <c r="I169" s="450"/>
      <c r="J169" s="450"/>
      <c r="K169" s="450"/>
      <c r="L169" s="450"/>
      <c r="M169" s="450"/>
      <c r="N169" s="450"/>
      <c r="O169" s="450"/>
      <c r="P169" s="450"/>
      <c r="Q169" s="450"/>
      <c r="R169" s="450"/>
      <c r="S169" s="450"/>
      <c r="T169" s="450"/>
      <c r="U169" s="450"/>
      <c r="V169" s="450"/>
      <c r="W169" s="450"/>
      <c r="X169" s="450"/>
      <c r="Y169" s="450"/>
      <c r="Z169" s="450"/>
      <c r="AA169" s="450"/>
      <c r="AB169" s="450"/>
      <c r="AC169" s="450"/>
      <c r="AD169" s="450"/>
      <c r="AE169" s="450"/>
      <c r="AF169" s="450"/>
      <c r="AG169" s="450"/>
      <c r="AH169" s="450"/>
      <c r="AI169" s="450"/>
      <c r="AJ169" s="450"/>
      <c r="AK169" s="450"/>
    </row>
    <row r="170">
      <c r="A170" s="450"/>
      <c r="B170" s="450"/>
      <c r="C170" s="455"/>
      <c r="D170" s="450"/>
      <c r="E170" s="450"/>
      <c r="F170" s="450"/>
      <c r="G170" s="450"/>
      <c r="H170" s="450"/>
      <c r="I170" s="450"/>
      <c r="J170" s="450"/>
      <c r="K170" s="450"/>
      <c r="L170" s="450"/>
      <c r="M170" s="450"/>
      <c r="N170" s="450"/>
      <c r="O170" s="450"/>
      <c r="P170" s="450"/>
      <c r="Q170" s="450"/>
      <c r="R170" s="450"/>
      <c r="S170" s="450"/>
      <c r="T170" s="450"/>
      <c r="U170" s="450"/>
      <c r="V170" s="450"/>
      <c r="W170" s="450"/>
      <c r="X170" s="450"/>
      <c r="Y170" s="450"/>
      <c r="Z170" s="450"/>
      <c r="AA170" s="450"/>
      <c r="AB170" s="450"/>
      <c r="AC170" s="450"/>
      <c r="AD170" s="450"/>
      <c r="AE170" s="450"/>
      <c r="AF170" s="450"/>
      <c r="AG170" s="450"/>
      <c r="AH170" s="450"/>
      <c r="AI170" s="450"/>
      <c r="AJ170" s="450"/>
      <c r="AK170" s="450"/>
    </row>
    <row r="171">
      <c r="A171" s="450"/>
      <c r="B171" s="450"/>
      <c r="C171" s="455"/>
      <c r="D171" s="450"/>
      <c r="E171" s="450"/>
      <c r="F171" s="450"/>
      <c r="G171" s="450"/>
      <c r="H171" s="450"/>
      <c r="I171" s="450"/>
      <c r="J171" s="450"/>
      <c r="K171" s="450"/>
      <c r="L171" s="450"/>
      <c r="M171" s="450"/>
      <c r="N171" s="450"/>
      <c r="O171" s="450"/>
      <c r="P171" s="450"/>
      <c r="Q171" s="450"/>
      <c r="R171" s="450"/>
      <c r="S171" s="450"/>
      <c r="T171" s="450"/>
      <c r="U171" s="450"/>
      <c r="V171" s="450"/>
      <c r="W171" s="450"/>
      <c r="X171" s="450"/>
      <c r="Y171" s="450"/>
      <c r="Z171" s="450"/>
      <c r="AA171" s="450"/>
      <c r="AB171" s="450"/>
      <c r="AC171" s="450"/>
      <c r="AD171" s="450"/>
      <c r="AE171" s="450"/>
      <c r="AF171" s="450"/>
      <c r="AG171" s="450"/>
      <c r="AH171" s="450"/>
      <c r="AI171" s="450"/>
      <c r="AJ171" s="450"/>
      <c r="AK171" s="450"/>
    </row>
    <row r="172">
      <c r="A172" s="450"/>
      <c r="B172" s="450"/>
      <c r="C172" s="455"/>
      <c r="D172" s="450"/>
      <c r="E172" s="450"/>
      <c r="F172" s="450"/>
      <c r="G172" s="450"/>
      <c r="H172" s="450"/>
      <c r="I172" s="450"/>
      <c r="J172" s="450"/>
      <c r="K172" s="450"/>
      <c r="L172" s="450"/>
      <c r="M172" s="450"/>
      <c r="N172" s="450"/>
      <c r="O172" s="450"/>
      <c r="P172" s="450"/>
      <c r="Q172" s="450"/>
      <c r="R172" s="450"/>
      <c r="S172" s="450"/>
      <c r="T172" s="450"/>
      <c r="U172" s="450"/>
      <c r="V172" s="450"/>
      <c r="W172" s="450"/>
      <c r="X172" s="450"/>
      <c r="Y172" s="450"/>
      <c r="Z172" s="450"/>
      <c r="AA172" s="450"/>
      <c r="AB172" s="450"/>
      <c r="AC172" s="450"/>
      <c r="AD172" s="450"/>
      <c r="AE172" s="450"/>
      <c r="AF172" s="450"/>
      <c r="AG172" s="450"/>
      <c r="AH172" s="450"/>
      <c r="AI172" s="450"/>
      <c r="AJ172" s="450"/>
      <c r="AK172" s="450"/>
    </row>
    <row r="173">
      <c r="A173" s="450"/>
      <c r="B173" s="450"/>
      <c r="C173" s="455"/>
      <c r="D173" s="450"/>
      <c r="E173" s="450"/>
      <c r="F173" s="450"/>
      <c r="G173" s="450"/>
      <c r="H173" s="450"/>
      <c r="I173" s="450"/>
      <c r="J173" s="450"/>
      <c r="K173" s="450"/>
      <c r="L173" s="450"/>
      <c r="M173" s="450"/>
      <c r="N173" s="450"/>
      <c r="O173" s="450"/>
      <c r="P173" s="450"/>
      <c r="Q173" s="450"/>
      <c r="R173" s="450"/>
      <c r="S173" s="450"/>
      <c r="T173" s="450"/>
      <c r="U173" s="450"/>
      <c r="V173" s="450"/>
      <c r="W173" s="450"/>
      <c r="X173" s="450"/>
      <c r="Y173" s="450"/>
      <c r="Z173" s="450"/>
      <c r="AA173" s="450"/>
      <c r="AB173" s="450"/>
      <c r="AC173" s="450"/>
      <c r="AD173" s="450"/>
      <c r="AE173" s="450"/>
      <c r="AF173" s="450"/>
      <c r="AG173" s="450"/>
      <c r="AH173" s="450"/>
      <c r="AI173" s="450"/>
      <c r="AJ173" s="450"/>
      <c r="AK173" s="450"/>
    </row>
    <row r="174">
      <c r="A174" s="450"/>
      <c r="B174" s="450"/>
      <c r="C174" s="455"/>
      <c r="D174" s="450"/>
      <c r="E174" s="450"/>
      <c r="F174" s="450"/>
      <c r="G174" s="450"/>
      <c r="H174" s="450"/>
      <c r="I174" s="450"/>
      <c r="J174" s="450"/>
      <c r="K174" s="450"/>
      <c r="L174" s="450"/>
      <c r="M174" s="450"/>
      <c r="N174" s="450"/>
      <c r="O174" s="450"/>
      <c r="P174" s="450"/>
      <c r="Q174" s="450"/>
      <c r="R174" s="450"/>
      <c r="S174" s="450"/>
      <c r="T174" s="450"/>
      <c r="U174" s="450"/>
      <c r="V174" s="450"/>
      <c r="W174" s="450"/>
      <c r="X174" s="450"/>
      <c r="Y174" s="450"/>
      <c r="Z174" s="450"/>
      <c r="AA174" s="450"/>
      <c r="AB174" s="450"/>
      <c r="AC174" s="450"/>
      <c r="AD174" s="450"/>
      <c r="AE174" s="450"/>
      <c r="AF174" s="450"/>
      <c r="AG174" s="450"/>
      <c r="AH174" s="450"/>
      <c r="AI174" s="450"/>
      <c r="AJ174" s="450"/>
      <c r="AK174" s="450"/>
    </row>
    <row r="175">
      <c r="A175" s="450"/>
      <c r="B175" s="450"/>
      <c r="C175" s="455"/>
      <c r="D175" s="450"/>
      <c r="E175" s="450"/>
      <c r="F175" s="450"/>
      <c r="G175" s="450"/>
      <c r="H175" s="450"/>
      <c r="I175" s="450"/>
      <c r="J175" s="450"/>
      <c r="K175" s="450"/>
      <c r="L175" s="450"/>
      <c r="M175" s="450"/>
      <c r="N175" s="450"/>
      <c r="O175" s="450"/>
      <c r="P175" s="450"/>
      <c r="Q175" s="450"/>
      <c r="R175" s="450"/>
      <c r="S175" s="450"/>
      <c r="T175" s="450"/>
      <c r="U175" s="450"/>
      <c r="V175" s="450"/>
      <c r="W175" s="450"/>
      <c r="X175" s="450"/>
      <c r="Y175" s="450"/>
      <c r="Z175" s="450"/>
      <c r="AA175" s="450"/>
      <c r="AB175" s="450"/>
      <c r="AC175" s="450"/>
      <c r="AD175" s="450"/>
      <c r="AE175" s="450"/>
      <c r="AF175" s="450"/>
      <c r="AG175" s="450"/>
      <c r="AH175" s="450"/>
      <c r="AI175" s="450"/>
      <c r="AJ175" s="450"/>
      <c r="AK175" s="450"/>
    </row>
    <row r="176">
      <c r="A176" s="450"/>
      <c r="B176" s="450"/>
      <c r="C176" s="455"/>
      <c r="D176" s="450"/>
      <c r="E176" s="450"/>
      <c r="F176" s="450"/>
      <c r="G176" s="450"/>
      <c r="H176" s="450"/>
      <c r="I176" s="450"/>
      <c r="J176" s="450"/>
      <c r="K176" s="450"/>
      <c r="L176" s="450"/>
      <c r="M176" s="450"/>
      <c r="N176" s="450"/>
      <c r="O176" s="450"/>
      <c r="P176" s="450"/>
      <c r="Q176" s="450"/>
      <c r="R176" s="450"/>
      <c r="S176" s="450"/>
      <c r="T176" s="450"/>
      <c r="U176" s="450"/>
      <c r="V176" s="450"/>
      <c r="W176" s="450"/>
      <c r="X176" s="450"/>
      <c r="Y176" s="450"/>
      <c r="Z176" s="450"/>
      <c r="AA176" s="450"/>
      <c r="AB176" s="450"/>
      <c r="AC176" s="450"/>
      <c r="AD176" s="450"/>
      <c r="AE176" s="450"/>
      <c r="AF176" s="450"/>
      <c r="AG176" s="450"/>
      <c r="AH176" s="450"/>
      <c r="AI176" s="450"/>
      <c r="AJ176" s="450"/>
      <c r="AK176" s="450"/>
    </row>
    <row r="177">
      <c r="A177" s="450"/>
      <c r="B177" s="450"/>
      <c r="C177" s="455"/>
      <c r="D177" s="450"/>
      <c r="E177" s="450"/>
      <c r="F177" s="450"/>
      <c r="G177" s="450"/>
      <c r="H177" s="450"/>
      <c r="I177" s="450"/>
      <c r="J177" s="450"/>
      <c r="K177" s="450"/>
      <c r="L177" s="450"/>
      <c r="M177" s="450"/>
      <c r="N177" s="450"/>
      <c r="O177" s="450"/>
      <c r="P177" s="450"/>
      <c r="Q177" s="450"/>
      <c r="R177" s="450"/>
      <c r="S177" s="450"/>
      <c r="T177" s="450"/>
      <c r="U177" s="450"/>
      <c r="V177" s="450"/>
      <c r="W177" s="450"/>
      <c r="X177" s="450"/>
      <c r="Y177" s="450"/>
      <c r="Z177" s="450"/>
      <c r="AA177" s="450"/>
      <c r="AB177" s="450"/>
      <c r="AC177" s="450"/>
      <c r="AD177" s="450"/>
      <c r="AE177" s="450"/>
      <c r="AF177" s="450"/>
      <c r="AG177" s="450"/>
      <c r="AH177" s="450"/>
      <c r="AI177" s="450"/>
      <c r="AJ177" s="450"/>
      <c r="AK177" s="450"/>
    </row>
    <row r="178">
      <c r="A178" s="450"/>
      <c r="B178" s="450"/>
      <c r="C178" s="455"/>
      <c r="D178" s="450"/>
      <c r="E178" s="450"/>
      <c r="F178" s="450"/>
      <c r="G178" s="450"/>
      <c r="H178" s="450"/>
      <c r="I178" s="450"/>
      <c r="J178" s="450"/>
      <c r="K178" s="450"/>
      <c r="L178" s="450"/>
      <c r="M178" s="450"/>
      <c r="N178" s="450"/>
      <c r="O178" s="450"/>
      <c r="P178" s="450"/>
      <c r="Q178" s="450"/>
      <c r="R178" s="450"/>
      <c r="S178" s="450"/>
      <c r="T178" s="450"/>
      <c r="U178" s="450"/>
      <c r="V178" s="450"/>
      <c r="W178" s="450"/>
      <c r="X178" s="450"/>
      <c r="Y178" s="450"/>
      <c r="Z178" s="450"/>
      <c r="AA178" s="450"/>
      <c r="AB178" s="450"/>
      <c r="AC178" s="450"/>
      <c r="AD178" s="450"/>
      <c r="AE178" s="450"/>
      <c r="AF178" s="450"/>
      <c r="AG178" s="450"/>
      <c r="AH178" s="450"/>
      <c r="AI178" s="450"/>
      <c r="AJ178" s="450"/>
      <c r="AK178" s="450"/>
    </row>
    <row r="179">
      <c r="A179" s="450"/>
      <c r="B179" s="450"/>
      <c r="C179" s="455"/>
      <c r="D179" s="450"/>
      <c r="E179" s="450"/>
      <c r="F179" s="450"/>
      <c r="G179" s="450"/>
      <c r="H179" s="450"/>
      <c r="I179" s="450"/>
      <c r="J179" s="450"/>
      <c r="K179" s="450"/>
      <c r="L179" s="450"/>
      <c r="M179" s="450"/>
      <c r="N179" s="450"/>
      <c r="O179" s="450"/>
      <c r="P179" s="450"/>
      <c r="Q179" s="450"/>
      <c r="R179" s="450"/>
      <c r="S179" s="450"/>
      <c r="T179" s="450"/>
      <c r="U179" s="450"/>
      <c r="V179" s="450"/>
      <c r="W179" s="450"/>
      <c r="X179" s="450"/>
      <c r="Y179" s="450"/>
      <c r="Z179" s="450"/>
      <c r="AA179" s="450"/>
      <c r="AB179" s="450"/>
      <c r="AC179" s="450"/>
      <c r="AD179" s="450"/>
      <c r="AE179" s="450"/>
      <c r="AF179" s="450"/>
      <c r="AG179" s="450"/>
      <c r="AH179" s="450"/>
      <c r="AI179" s="450"/>
      <c r="AJ179" s="450"/>
      <c r="AK179" s="450"/>
    </row>
    <row r="180">
      <c r="A180" s="450"/>
      <c r="B180" s="450"/>
      <c r="C180" s="455"/>
      <c r="D180" s="450"/>
      <c r="E180" s="450"/>
      <c r="F180" s="450"/>
      <c r="G180" s="450"/>
      <c r="H180" s="450"/>
      <c r="I180" s="450"/>
      <c r="J180" s="450"/>
      <c r="K180" s="450"/>
      <c r="L180" s="450"/>
      <c r="M180" s="450"/>
      <c r="N180" s="450"/>
      <c r="O180" s="450"/>
      <c r="P180" s="450"/>
      <c r="Q180" s="450"/>
      <c r="R180" s="450"/>
      <c r="S180" s="450"/>
      <c r="T180" s="450"/>
      <c r="U180" s="450"/>
      <c r="V180" s="450"/>
      <c r="W180" s="450"/>
      <c r="X180" s="450"/>
      <c r="Y180" s="450"/>
      <c r="Z180" s="450"/>
      <c r="AA180" s="450"/>
      <c r="AB180" s="450"/>
      <c r="AC180" s="450"/>
      <c r="AD180" s="450"/>
      <c r="AE180" s="450"/>
      <c r="AF180" s="450"/>
      <c r="AG180" s="450"/>
      <c r="AH180" s="450"/>
      <c r="AI180" s="450"/>
      <c r="AJ180" s="450"/>
      <c r="AK180" s="450"/>
    </row>
    <row r="181">
      <c r="A181" s="450"/>
      <c r="B181" s="450"/>
      <c r="C181" s="455"/>
      <c r="D181" s="450"/>
      <c r="E181" s="450"/>
      <c r="F181" s="450"/>
      <c r="G181" s="450"/>
      <c r="H181" s="450"/>
      <c r="I181" s="450"/>
      <c r="J181" s="450"/>
      <c r="K181" s="450"/>
      <c r="L181" s="450"/>
      <c r="M181" s="450"/>
      <c r="N181" s="450"/>
      <c r="O181" s="450"/>
      <c r="P181" s="450"/>
      <c r="Q181" s="450"/>
      <c r="R181" s="450"/>
      <c r="S181" s="450"/>
      <c r="T181" s="450"/>
      <c r="U181" s="450"/>
      <c r="V181" s="450"/>
      <c r="W181" s="450"/>
      <c r="X181" s="450"/>
      <c r="Y181" s="450"/>
      <c r="Z181" s="450"/>
      <c r="AA181" s="450"/>
      <c r="AB181" s="450"/>
      <c r="AC181" s="450"/>
      <c r="AD181" s="450"/>
      <c r="AE181" s="450"/>
      <c r="AF181" s="450"/>
      <c r="AG181" s="450"/>
      <c r="AH181" s="450"/>
      <c r="AI181" s="450"/>
      <c r="AJ181" s="450"/>
      <c r="AK181" s="450"/>
    </row>
    <row r="182">
      <c r="A182" s="450"/>
      <c r="B182" s="450"/>
      <c r="C182" s="455"/>
      <c r="D182" s="450"/>
      <c r="E182" s="450"/>
      <c r="F182" s="450"/>
      <c r="G182" s="450"/>
      <c r="H182" s="450"/>
      <c r="I182" s="450"/>
      <c r="J182" s="450"/>
      <c r="K182" s="450"/>
      <c r="L182" s="450"/>
      <c r="M182" s="450"/>
      <c r="N182" s="450"/>
      <c r="O182" s="450"/>
      <c r="P182" s="450"/>
      <c r="Q182" s="450"/>
      <c r="R182" s="450"/>
      <c r="S182" s="450"/>
      <c r="T182" s="450"/>
      <c r="U182" s="450"/>
      <c r="V182" s="450"/>
      <c r="W182" s="450"/>
      <c r="X182" s="450"/>
      <c r="Y182" s="450"/>
      <c r="Z182" s="450"/>
      <c r="AA182" s="450"/>
      <c r="AB182" s="450"/>
      <c r="AC182" s="450"/>
      <c r="AD182" s="450"/>
      <c r="AE182" s="450"/>
      <c r="AF182" s="450"/>
      <c r="AG182" s="450"/>
      <c r="AH182" s="450"/>
      <c r="AI182" s="450"/>
      <c r="AJ182" s="450"/>
      <c r="AK182" s="450"/>
    </row>
    <row r="183">
      <c r="A183" s="450"/>
      <c r="B183" s="450"/>
      <c r="C183" s="455"/>
      <c r="D183" s="450"/>
      <c r="E183" s="450"/>
      <c r="F183" s="450"/>
      <c r="G183" s="450"/>
      <c r="H183" s="450"/>
      <c r="I183" s="450"/>
      <c r="J183" s="450"/>
      <c r="K183" s="450"/>
      <c r="L183" s="450"/>
      <c r="M183" s="450"/>
      <c r="N183" s="450"/>
      <c r="O183" s="450"/>
      <c r="P183" s="450"/>
      <c r="Q183" s="450"/>
      <c r="R183" s="450"/>
      <c r="S183" s="450"/>
      <c r="T183" s="450"/>
      <c r="U183" s="450"/>
      <c r="V183" s="450"/>
      <c r="W183" s="450"/>
      <c r="X183" s="450"/>
      <c r="Y183" s="450"/>
      <c r="Z183" s="450"/>
      <c r="AA183" s="450"/>
      <c r="AB183" s="450"/>
      <c r="AC183" s="450"/>
      <c r="AD183" s="450"/>
      <c r="AE183" s="450"/>
      <c r="AF183" s="450"/>
      <c r="AG183" s="450"/>
      <c r="AH183" s="450"/>
      <c r="AI183" s="450"/>
      <c r="AJ183" s="450"/>
      <c r="AK183" s="450"/>
    </row>
    <row r="184">
      <c r="A184" s="450"/>
      <c r="B184" s="450"/>
      <c r="C184" s="455"/>
      <c r="D184" s="450"/>
      <c r="E184" s="450"/>
      <c r="F184" s="450"/>
      <c r="G184" s="450"/>
      <c r="H184" s="450"/>
      <c r="I184" s="450"/>
      <c r="J184" s="450"/>
      <c r="K184" s="450"/>
      <c r="L184" s="450"/>
      <c r="M184" s="450"/>
      <c r="N184" s="450"/>
      <c r="O184" s="450"/>
      <c r="P184" s="450"/>
      <c r="Q184" s="450"/>
      <c r="R184" s="450"/>
      <c r="S184" s="450"/>
      <c r="T184" s="450"/>
      <c r="U184" s="450"/>
      <c r="V184" s="450"/>
      <c r="W184" s="450"/>
      <c r="X184" s="450"/>
      <c r="Y184" s="450"/>
      <c r="Z184" s="450"/>
      <c r="AA184" s="450"/>
      <c r="AB184" s="450"/>
      <c r="AC184" s="450"/>
      <c r="AD184" s="450"/>
      <c r="AE184" s="450"/>
      <c r="AF184" s="450"/>
      <c r="AG184" s="450"/>
      <c r="AH184" s="450"/>
      <c r="AI184" s="450"/>
      <c r="AJ184" s="450"/>
      <c r="AK184" s="450"/>
    </row>
    <row r="185">
      <c r="A185" s="450"/>
      <c r="B185" s="450"/>
      <c r="C185" s="455"/>
      <c r="D185" s="450"/>
      <c r="E185" s="450"/>
      <c r="F185" s="450"/>
      <c r="G185" s="450"/>
      <c r="H185" s="450"/>
      <c r="I185" s="450"/>
      <c r="J185" s="450"/>
      <c r="K185" s="450"/>
      <c r="L185" s="450"/>
      <c r="M185" s="450"/>
      <c r="N185" s="450"/>
      <c r="O185" s="450"/>
      <c r="P185" s="450"/>
      <c r="Q185" s="450"/>
      <c r="R185" s="450"/>
      <c r="S185" s="450"/>
      <c r="T185" s="450"/>
      <c r="U185" s="450"/>
      <c r="V185" s="450"/>
      <c r="W185" s="450"/>
      <c r="X185" s="450"/>
      <c r="Y185" s="450"/>
      <c r="Z185" s="450"/>
      <c r="AA185" s="450"/>
      <c r="AB185" s="450"/>
      <c r="AC185" s="450"/>
      <c r="AD185" s="450"/>
      <c r="AE185" s="450"/>
      <c r="AF185" s="450"/>
      <c r="AG185" s="450"/>
      <c r="AH185" s="450"/>
      <c r="AI185" s="450"/>
      <c r="AJ185" s="450"/>
      <c r="AK185" s="450"/>
    </row>
    <row r="186">
      <c r="A186" s="450"/>
      <c r="B186" s="450"/>
      <c r="C186" s="455"/>
      <c r="D186" s="450"/>
      <c r="E186" s="450"/>
      <c r="F186" s="450"/>
      <c r="G186" s="450"/>
      <c r="H186" s="450"/>
      <c r="I186" s="450"/>
      <c r="J186" s="450"/>
      <c r="K186" s="450"/>
      <c r="L186" s="450"/>
      <c r="M186" s="450"/>
      <c r="N186" s="450"/>
      <c r="O186" s="450"/>
      <c r="P186" s="450"/>
      <c r="Q186" s="450"/>
      <c r="R186" s="450"/>
      <c r="S186" s="450"/>
      <c r="T186" s="450"/>
      <c r="U186" s="450"/>
      <c r="V186" s="450"/>
      <c r="W186" s="450"/>
      <c r="X186" s="450"/>
      <c r="Y186" s="450"/>
      <c r="Z186" s="450"/>
      <c r="AA186" s="450"/>
      <c r="AB186" s="450"/>
      <c r="AC186" s="450"/>
      <c r="AD186" s="450"/>
      <c r="AE186" s="450"/>
      <c r="AF186" s="450"/>
      <c r="AG186" s="450"/>
      <c r="AH186" s="450"/>
      <c r="AI186" s="450"/>
      <c r="AJ186" s="450"/>
      <c r="AK186" s="450"/>
    </row>
    <row r="187">
      <c r="A187" s="450"/>
      <c r="B187" s="450"/>
      <c r="C187" s="455"/>
      <c r="D187" s="450"/>
      <c r="E187" s="450"/>
      <c r="F187" s="450"/>
      <c r="G187" s="450"/>
      <c r="H187" s="450"/>
      <c r="I187" s="450"/>
      <c r="J187" s="450"/>
      <c r="K187" s="450"/>
      <c r="L187" s="450"/>
      <c r="M187" s="450"/>
      <c r="N187" s="450"/>
      <c r="O187" s="450"/>
      <c r="P187" s="450"/>
      <c r="Q187" s="450"/>
      <c r="R187" s="450"/>
      <c r="S187" s="450"/>
      <c r="T187" s="450"/>
      <c r="U187" s="450"/>
      <c r="V187" s="450"/>
      <c r="W187" s="450"/>
      <c r="X187" s="450"/>
      <c r="Y187" s="450"/>
      <c r="Z187" s="450"/>
      <c r="AA187" s="450"/>
      <c r="AB187" s="450"/>
      <c r="AC187" s="450"/>
      <c r="AD187" s="450"/>
      <c r="AE187" s="450"/>
      <c r="AF187" s="450"/>
      <c r="AG187" s="450"/>
      <c r="AH187" s="450"/>
      <c r="AI187" s="450"/>
      <c r="AJ187" s="450"/>
      <c r="AK187" s="450"/>
    </row>
    <row r="188">
      <c r="A188" s="450"/>
      <c r="B188" s="450"/>
      <c r="C188" s="455"/>
      <c r="D188" s="450"/>
      <c r="E188" s="450"/>
      <c r="F188" s="450"/>
      <c r="G188" s="450"/>
      <c r="H188" s="450"/>
      <c r="I188" s="450"/>
      <c r="J188" s="450"/>
      <c r="K188" s="450"/>
      <c r="L188" s="450"/>
      <c r="M188" s="450"/>
      <c r="N188" s="450"/>
      <c r="O188" s="450"/>
      <c r="P188" s="450"/>
      <c r="Q188" s="450"/>
      <c r="R188" s="450"/>
      <c r="S188" s="450"/>
      <c r="T188" s="450"/>
      <c r="U188" s="450"/>
      <c r="V188" s="450"/>
      <c r="W188" s="450"/>
      <c r="X188" s="450"/>
      <c r="Y188" s="450"/>
      <c r="Z188" s="450"/>
      <c r="AA188" s="450"/>
      <c r="AB188" s="450"/>
      <c r="AC188" s="450"/>
      <c r="AD188" s="450"/>
      <c r="AE188" s="450"/>
      <c r="AF188" s="450"/>
      <c r="AG188" s="450"/>
      <c r="AH188" s="450"/>
      <c r="AI188" s="450"/>
      <c r="AJ188" s="450"/>
      <c r="AK188" s="450"/>
    </row>
    <row r="189">
      <c r="A189" s="450"/>
      <c r="B189" s="450"/>
      <c r="C189" s="455"/>
      <c r="D189" s="450"/>
      <c r="E189" s="450"/>
      <c r="F189" s="450"/>
      <c r="G189" s="450"/>
      <c r="H189" s="450"/>
      <c r="I189" s="450"/>
      <c r="J189" s="450"/>
      <c r="K189" s="450"/>
      <c r="L189" s="450"/>
      <c r="M189" s="450"/>
      <c r="N189" s="450"/>
      <c r="O189" s="450"/>
      <c r="P189" s="450"/>
      <c r="Q189" s="450"/>
      <c r="R189" s="450"/>
      <c r="S189" s="450"/>
      <c r="T189" s="450"/>
      <c r="U189" s="450"/>
      <c r="V189" s="450"/>
      <c r="W189" s="450"/>
      <c r="X189" s="450"/>
      <c r="Y189" s="450"/>
      <c r="Z189" s="450"/>
      <c r="AA189" s="450"/>
      <c r="AB189" s="450"/>
      <c r="AC189" s="450"/>
      <c r="AD189" s="450"/>
      <c r="AE189" s="450"/>
      <c r="AF189" s="450"/>
      <c r="AG189" s="450"/>
      <c r="AH189" s="450"/>
      <c r="AI189" s="450"/>
      <c r="AJ189" s="450"/>
      <c r="AK189" s="450"/>
    </row>
    <row r="190">
      <c r="A190" s="450"/>
      <c r="B190" s="450"/>
      <c r="C190" s="455"/>
      <c r="D190" s="450"/>
      <c r="E190" s="450"/>
      <c r="F190" s="450"/>
      <c r="G190" s="450"/>
      <c r="H190" s="450"/>
      <c r="I190" s="450"/>
      <c r="J190" s="450"/>
      <c r="K190" s="450"/>
      <c r="L190" s="450"/>
      <c r="M190" s="450"/>
      <c r="N190" s="450"/>
      <c r="O190" s="450"/>
      <c r="P190" s="450"/>
      <c r="Q190" s="450"/>
      <c r="R190" s="450"/>
      <c r="S190" s="450"/>
      <c r="T190" s="450"/>
      <c r="U190" s="450"/>
      <c r="V190" s="450"/>
      <c r="W190" s="450"/>
      <c r="X190" s="450"/>
      <c r="Y190" s="450"/>
      <c r="Z190" s="450"/>
      <c r="AA190" s="450"/>
      <c r="AB190" s="450"/>
      <c r="AC190" s="450"/>
      <c r="AD190" s="450"/>
      <c r="AE190" s="450"/>
      <c r="AF190" s="450"/>
      <c r="AG190" s="450"/>
      <c r="AH190" s="450"/>
      <c r="AI190" s="450"/>
      <c r="AJ190" s="450"/>
      <c r="AK190" s="450"/>
    </row>
    <row r="191">
      <c r="A191" s="450"/>
      <c r="B191" s="450"/>
      <c r="C191" s="455"/>
      <c r="D191" s="450"/>
      <c r="E191" s="450"/>
      <c r="F191" s="450"/>
      <c r="G191" s="450"/>
      <c r="H191" s="450"/>
      <c r="I191" s="450"/>
      <c r="J191" s="450"/>
      <c r="K191" s="450"/>
      <c r="L191" s="450"/>
      <c r="M191" s="450"/>
      <c r="N191" s="450"/>
      <c r="O191" s="450"/>
      <c r="P191" s="450"/>
      <c r="Q191" s="450"/>
      <c r="R191" s="450"/>
      <c r="S191" s="450"/>
      <c r="T191" s="450"/>
      <c r="U191" s="450"/>
      <c r="V191" s="450"/>
      <c r="W191" s="450"/>
      <c r="X191" s="450"/>
      <c r="Y191" s="450"/>
      <c r="Z191" s="450"/>
      <c r="AA191" s="450"/>
      <c r="AB191" s="450"/>
      <c r="AC191" s="450"/>
      <c r="AD191" s="450"/>
      <c r="AE191" s="450"/>
      <c r="AF191" s="450"/>
      <c r="AG191" s="450"/>
      <c r="AH191" s="450"/>
      <c r="AI191" s="450"/>
      <c r="AJ191" s="450"/>
      <c r="AK191" s="450"/>
    </row>
    <row r="192">
      <c r="A192" s="450"/>
      <c r="B192" s="450"/>
      <c r="C192" s="455"/>
      <c r="D192" s="450"/>
      <c r="E192" s="450"/>
      <c r="F192" s="450"/>
      <c r="G192" s="450"/>
      <c r="H192" s="450"/>
      <c r="I192" s="450"/>
      <c r="J192" s="450"/>
      <c r="K192" s="450"/>
      <c r="L192" s="450"/>
      <c r="M192" s="450"/>
      <c r="N192" s="450"/>
      <c r="O192" s="450"/>
      <c r="P192" s="450"/>
      <c r="Q192" s="450"/>
      <c r="R192" s="450"/>
      <c r="S192" s="450"/>
      <c r="T192" s="450"/>
      <c r="U192" s="450"/>
      <c r="V192" s="450"/>
      <c r="W192" s="450"/>
      <c r="X192" s="450"/>
      <c r="Y192" s="450"/>
      <c r="Z192" s="450"/>
      <c r="AA192" s="450"/>
      <c r="AB192" s="450"/>
      <c r="AC192" s="450"/>
      <c r="AD192" s="450"/>
      <c r="AE192" s="450"/>
      <c r="AF192" s="450"/>
      <c r="AG192" s="450"/>
      <c r="AH192" s="450"/>
      <c r="AI192" s="450"/>
      <c r="AJ192" s="450"/>
      <c r="AK192" s="450"/>
    </row>
    <row r="193">
      <c r="A193" s="450"/>
      <c r="B193" s="450"/>
      <c r="C193" s="455"/>
      <c r="D193" s="450"/>
      <c r="E193" s="450"/>
      <c r="F193" s="450"/>
      <c r="G193" s="450"/>
      <c r="H193" s="450"/>
      <c r="I193" s="450"/>
      <c r="J193" s="450"/>
      <c r="K193" s="450"/>
      <c r="L193" s="450"/>
      <c r="M193" s="450"/>
      <c r="N193" s="450"/>
      <c r="O193" s="450"/>
      <c r="P193" s="450"/>
      <c r="Q193" s="450"/>
      <c r="R193" s="450"/>
      <c r="S193" s="450"/>
      <c r="T193" s="450"/>
      <c r="U193" s="450"/>
      <c r="V193" s="450"/>
      <c r="W193" s="450"/>
      <c r="X193" s="450"/>
      <c r="Y193" s="450"/>
      <c r="Z193" s="450"/>
      <c r="AA193" s="450"/>
      <c r="AB193" s="450"/>
      <c r="AC193" s="450"/>
      <c r="AD193" s="450"/>
      <c r="AE193" s="450"/>
      <c r="AF193" s="450"/>
      <c r="AG193" s="450"/>
      <c r="AH193" s="450"/>
      <c r="AI193" s="450"/>
      <c r="AJ193" s="450"/>
      <c r="AK193" s="450"/>
    </row>
    <row r="194">
      <c r="A194" s="450"/>
      <c r="B194" s="450"/>
      <c r="C194" s="455"/>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c r="AB194" s="450"/>
      <c r="AC194" s="450"/>
      <c r="AD194" s="450"/>
      <c r="AE194" s="450"/>
      <c r="AF194" s="450"/>
      <c r="AG194" s="450"/>
      <c r="AH194" s="450"/>
      <c r="AI194" s="450"/>
      <c r="AJ194" s="450"/>
      <c r="AK194" s="450"/>
    </row>
    <row r="195">
      <c r="A195" s="450"/>
      <c r="B195" s="450"/>
      <c r="C195" s="455"/>
      <c r="D195" s="450"/>
      <c r="E195" s="450"/>
      <c r="F195" s="450"/>
      <c r="G195" s="450"/>
      <c r="H195" s="450"/>
      <c r="I195" s="450"/>
      <c r="J195" s="450"/>
      <c r="K195" s="450"/>
      <c r="L195" s="450"/>
      <c r="M195" s="450"/>
      <c r="N195" s="450"/>
      <c r="O195" s="450"/>
      <c r="P195" s="450"/>
      <c r="Q195" s="450"/>
      <c r="R195" s="450"/>
      <c r="S195" s="450"/>
      <c r="T195" s="450"/>
      <c r="U195" s="450"/>
      <c r="V195" s="450"/>
      <c r="W195" s="450"/>
      <c r="X195" s="450"/>
      <c r="Y195" s="450"/>
      <c r="Z195" s="450"/>
      <c r="AA195" s="450"/>
      <c r="AB195" s="450"/>
      <c r="AC195" s="450"/>
      <c r="AD195" s="450"/>
      <c r="AE195" s="450"/>
      <c r="AF195" s="450"/>
      <c r="AG195" s="450"/>
      <c r="AH195" s="450"/>
      <c r="AI195" s="450"/>
      <c r="AJ195" s="450"/>
      <c r="AK195" s="450"/>
    </row>
    <row r="196">
      <c r="A196" s="450"/>
      <c r="B196" s="450"/>
      <c r="C196" s="455"/>
      <c r="D196" s="450"/>
      <c r="E196" s="450"/>
      <c r="F196" s="450"/>
      <c r="G196" s="450"/>
      <c r="H196" s="450"/>
      <c r="I196" s="450"/>
      <c r="J196" s="450"/>
      <c r="K196" s="450"/>
      <c r="L196" s="450"/>
      <c r="M196" s="450"/>
      <c r="N196" s="450"/>
      <c r="O196" s="450"/>
      <c r="P196" s="450"/>
      <c r="Q196" s="450"/>
      <c r="R196" s="450"/>
      <c r="S196" s="450"/>
      <c r="T196" s="450"/>
      <c r="U196" s="450"/>
      <c r="V196" s="450"/>
      <c r="W196" s="450"/>
      <c r="X196" s="450"/>
      <c r="Y196" s="450"/>
      <c r="Z196" s="450"/>
      <c r="AA196" s="450"/>
      <c r="AB196" s="450"/>
      <c r="AC196" s="450"/>
      <c r="AD196" s="450"/>
      <c r="AE196" s="450"/>
      <c r="AF196" s="450"/>
      <c r="AG196" s="450"/>
      <c r="AH196" s="450"/>
      <c r="AI196" s="450"/>
      <c r="AJ196" s="450"/>
      <c r="AK196" s="450"/>
    </row>
    <row r="197">
      <c r="A197" s="450"/>
      <c r="B197" s="450"/>
      <c r="C197" s="455"/>
      <c r="D197" s="450"/>
      <c r="E197" s="450"/>
      <c r="F197" s="450"/>
      <c r="G197" s="450"/>
      <c r="H197" s="450"/>
      <c r="I197" s="450"/>
      <c r="J197" s="450"/>
      <c r="K197" s="450"/>
      <c r="L197" s="450"/>
      <c r="M197" s="450"/>
      <c r="N197" s="450"/>
      <c r="O197" s="450"/>
      <c r="P197" s="450"/>
      <c r="Q197" s="450"/>
      <c r="R197" s="450"/>
      <c r="S197" s="450"/>
      <c r="T197" s="450"/>
      <c r="U197" s="450"/>
      <c r="V197" s="450"/>
      <c r="W197" s="450"/>
      <c r="X197" s="450"/>
      <c r="Y197" s="450"/>
      <c r="Z197" s="450"/>
      <c r="AA197" s="450"/>
      <c r="AB197" s="450"/>
      <c r="AC197" s="450"/>
      <c r="AD197" s="450"/>
      <c r="AE197" s="450"/>
      <c r="AF197" s="450"/>
      <c r="AG197" s="450"/>
      <c r="AH197" s="450"/>
      <c r="AI197" s="450"/>
      <c r="AJ197" s="450"/>
      <c r="AK197" s="450"/>
    </row>
    <row r="198">
      <c r="A198" s="450"/>
      <c r="B198" s="450"/>
      <c r="C198" s="455"/>
      <c r="D198" s="450"/>
      <c r="E198" s="450"/>
      <c r="F198" s="450"/>
      <c r="G198" s="450"/>
      <c r="H198" s="450"/>
      <c r="I198" s="450"/>
      <c r="J198" s="450"/>
      <c r="K198" s="450"/>
      <c r="L198" s="450"/>
      <c r="M198" s="450"/>
      <c r="N198" s="450"/>
      <c r="O198" s="450"/>
      <c r="P198" s="450"/>
      <c r="Q198" s="450"/>
      <c r="R198" s="450"/>
      <c r="S198" s="450"/>
      <c r="T198" s="450"/>
      <c r="U198" s="450"/>
      <c r="V198" s="450"/>
      <c r="W198" s="450"/>
      <c r="X198" s="450"/>
      <c r="Y198" s="450"/>
      <c r="Z198" s="450"/>
      <c r="AA198" s="450"/>
      <c r="AB198" s="450"/>
      <c r="AC198" s="450"/>
      <c r="AD198" s="450"/>
      <c r="AE198" s="450"/>
      <c r="AF198" s="450"/>
      <c r="AG198" s="450"/>
      <c r="AH198" s="450"/>
      <c r="AI198" s="450"/>
      <c r="AJ198" s="450"/>
      <c r="AK198" s="450"/>
    </row>
    <row r="199">
      <c r="A199" s="450"/>
      <c r="B199" s="450"/>
      <c r="C199" s="455"/>
      <c r="D199" s="450"/>
      <c r="E199" s="450"/>
      <c r="F199" s="450"/>
      <c r="G199" s="450"/>
      <c r="H199" s="450"/>
      <c r="I199" s="450"/>
      <c r="J199" s="450"/>
      <c r="K199" s="450"/>
      <c r="L199" s="450"/>
      <c r="M199" s="450"/>
      <c r="N199" s="450"/>
      <c r="O199" s="450"/>
      <c r="P199" s="450"/>
      <c r="Q199" s="450"/>
      <c r="R199" s="450"/>
      <c r="S199" s="450"/>
      <c r="T199" s="450"/>
      <c r="U199" s="450"/>
      <c r="V199" s="450"/>
      <c r="W199" s="450"/>
      <c r="X199" s="450"/>
      <c r="Y199" s="450"/>
      <c r="Z199" s="450"/>
      <c r="AA199" s="450"/>
      <c r="AB199" s="450"/>
      <c r="AC199" s="450"/>
      <c r="AD199" s="450"/>
      <c r="AE199" s="450"/>
      <c r="AF199" s="450"/>
      <c r="AG199" s="450"/>
      <c r="AH199" s="450"/>
      <c r="AI199" s="450"/>
      <c r="AJ199" s="450"/>
      <c r="AK199" s="450"/>
    </row>
    <row r="200">
      <c r="A200" s="450"/>
      <c r="B200" s="450"/>
      <c r="C200" s="455"/>
      <c r="D200" s="450"/>
      <c r="E200" s="450"/>
      <c r="F200" s="450"/>
      <c r="G200" s="450"/>
      <c r="H200" s="450"/>
      <c r="I200" s="450"/>
      <c r="J200" s="450"/>
      <c r="K200" s="450"/>
      <c r="L200" s="450"/>
      <c r="M200" s="450"/>
      <c r="N200" s="450"/>
      <c r="O200" s="450"/>
      <c r="P200" s="450"/>
      <c r="Q200" s="450"/>
      <c r="R200" s="450"/>
      <c r="S200" s="450"/>
      <c r="T200" s="450"/>
      <c r="U200" s="450"/>
      <c r="V200" s="450"/>
      <c r="W200" s="450"/>
      <c r="X200" s="450"/>
      <c r="Y200" s="450"/>
      <c r="Z200" s="450"/>
      <c r="AA200" s="450"/>
      <c r="AB200" s="450"/>
      <c r="AC200" s="450"/>
      <c r="AD200" s="450"/>
      <c r="AE200" s="450"/>
      <c r="AF200" s="450"/>
      <c r="AG200" s="450"/>
      <c r="AH200" s="450"/>
      <c r="AI200" s="450"/>
      <c r="AJ200" s="450"/>
      <c r="AK200" s="450"/>
    </row>
    <row r="201">
      <c r="A201" s="450"/>
      <c r="B201" s="450"/>
      <c r="C201" s="455"/>
      <c r="D201" s="450"/>
      <c r="E201" s="450"/>
      <c r="F201" s="450"/>
      <c r="G201" s="450"/>
      <c r="H201" s="450"/>
      <c r="I201" s="450"/>
      <c r="J201" s="450"/>
      <c r="K201" s="450"/>
      <c r="L201" s="450"/>
      <c r="M201" s="450"/>
      <c r="N201" s="450"/>
      <c r="O201" s="450"/>
      <c r="P201" s="450"/>
      <c r="Q201" s="450"/>
      <c r="R201" s="450"/>
      <c r="S201" s="450"/>
      <c r="T201" s="450"/>
      <c r="U201" s="450"/>
      <c r="V201" s="450"/>
      <c r="W201" s="450"/>
      <c r="X201" s="450"/>
      <c r="Y201" s="450"/>
      <c r="Z201" s="450"/>
      <c r="AA201" s="450"/>
      <c r="AB201" s="450"/>
      <c r="AC201" s="450"/>
      <c r="AD201" s="450"/>
      <c r="AE201" s="450"/>
      <c r="AF201" s="450"/>
      <c r="AG201" s="450"/>
      <c r="AH201" s="450"/>
      <c r="AI201" s="450"/>
      <c r="AJ201" s="450"/>
      <c r="AK201" s="450"/>
    </row>
    <row r="202">
      <c r="A202" s="450"/>
      <c r="B202" s="450"/>
      <c r="C202" s="455"/>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c r="AB202" s="450"/>
      <c r="AC202" s="450"/>
      <c r="AD202" s="450"/>
      <c r="AE202" s="450"/>
      <c r="AF202" s="450"/>
      <c r="AG202" s="450"/>
      <c r="AH202" s="450"/>
      <c r="AI202" s="450"/>
      <c r="AJ202" s="450"/>
      <c r="AK202" s="450"/>
    </row>
    <row r="203">
      <c r="A203" s="450"/>
      <c r="B203" s="450"/>
      <c r="C203" s="455"/>
      <c r="D203" s="450"/>
      <c r="E203" s="450"/>
      <c r="F203" s="450"/>
      <c r="G203" s="450"/>
      <c r="H203" s="450"/>
      <c r="I203" s="450"/>
      <c r="J203" s="450"/>
      <c r="K203" s="450"/>
      <c r="L203" s="450"/>
      <c r="M203" s="450"/>
      <c r="N203" s="450"/>
      <c r="O203" s="450"/>
      <c r="P203" s="450"/>
      <c r="Q203" s="450"/>
      <c r="R203" s="450"/>
      <c r="S203" s="450"/>
      <c r="T203" s="450"/>
      <c r="U203" s="450"/>
      <c r="V203" s="450"/>
      <c r="W203" s="450"/>
      <c r="X203" s="450"/>
      <c r="Y203" s="450"/>
      <c r="Z203" s="450"/>
      <c r="AA203" s="450"/>
      <c r="AB203" s="450"/>
      <c r="AC203" s="450"/>
      <c r="AD203" s="450"/>
      <c r="AE203" s="450"/>
      <c r="AF203" s="450"/>
      <c r="AG203" s="450"/>
      <c r="AH203" s="450"/>
      <c r="AI203" s="450"/>
      <c r="AJ203" s="450"/>
      <c r="AK203" s="450"/>
    </row>
    <row r="204">
      <c r="A204" s="450"/>
      <c r="B204" s="450"/>
      <c r="C204" s="455"/>
      <c r="D204" s="450"/>
      <c r="E204" s="450"/>
      <c r="F204" s="450"/>
      <c r="G204" s="450"/>
      <c r="H204" s="450"/>
      <c r="I204" s="450"/>
      <c r="J204" s="450"/>
      <c r="K204" s="450"/>
      <c r="L204" s="450"/>
      <c r="M204" s="450"/>
      <c r="N204" s="450"/>
      <c r="O204" s="450"/>
      <c r="P204" s="450"/>
      <c r="Q204" s="450"/>
      <c r="R204" s="450"/>
      <c r="S204" s="450"/>
      <c r="T204" s="450"/>
      <c r="U204" s="450"/>
      <c r="V204" s="450"/>
      <c r="W204" s="450"/>
      <c r="X204" s="450"/>
      <c r="Y204" s="450"/>
      <c r="Z204" s="450"/>
      <c r="AA204" s="450"/>
      <c r="AB204" s="450"/>
      <c r="AC204" s="450"/>
      <c r="AD204" s="450"/>
      <c r="AE204" s="450"/>
      <c r="AF204" s="450"/>
      <c r="AG204" s="450"/>
      <c r="AH204" s="450"/>
      <c r="AI204" s="450"/>
      <c r="AJ204" s="450"/>
      <c r="AK204" s="450"/>
    </row>
    <row r="205">
      <c r="A205" s="450"/>
      <c r="B205" s="450"/>
      <c r="C205" s="455"/>
      <c r="D205" s="450"/>
      <c r="E205" s="450"/>
      <c r="F205" s="450"/>
      <c r="G205" s="450"/>
      <c r="H205" s="450"/>
      <c r="I205" s="450"/>
      <c r="J205" s="450"/>
      <c r="K205" s="450"/>
      <c r="L205" s="450"/>
      <c r="M205" s="450"/>
      <c r="N205" s="450"/>
      <c r="O205" s="450"/>
      <c r="P205" s="450"/>
      <c r="Q205" s="450"/>
      <c r="R205" s="450"/>
      <c r="S205" s="450"/>
      <c r="T205" s="450"/>
      <c r="U205" s="450"/>
      <c r="V205" s="450"/>
      <c r="W205" s="450"/>
      <c r="X205" s="450"/>
      <c r="Y205" s="450"/>
      <c r="Z205" s="450"/>
      <c r="AA205" s="450"/>
      <c r="AB205" s="450"/>
      <c r="AC205" s="450"/>
      <c r="AD205" s="450"/>
      <c r="AE205" s="450"/>
      <c r="AF205" s="450"/>
      <c r="AG205" s="450"/>
      <c r="AH205" s="450"/>
      <c r="AI205" s="450"/>
      <c r="AJ205" s="450"/>
      <c r="AK205" s="450"/>
    </row>
    <row r="206">
      <c r="A206" s="450"/>
      <c r="B206" s="450"/>
      <c r="C206" s="455"/>
      <c r="D206" s="450"/>
      <c r="E206" s="450"/>
      <c r="F206" s="450"/>
      <c r="G206" s="450"/>
      <c r="H206" s="450"/>
      <c r="I206" s="450"/>
      <c r="J206" s="450"/>
      <c r="K206" s="450"/>
      <c r="L206" s="450"/>
      <c r="M206" s="450"/>
      <c r="N206" s="450"/>
      <c r="O206" s="450"/>
      <c r="P206" s="450"/>
      <c r="Q206" s="450"/>
      <c r="R206" s="450"/>
      <c r="S206" s="450"/>
      <c r="T206" s="450"/>
      <c r="U206" s="450"/>
      <c r="V206" s="450"/>
      <c r="W206" s="450"/>
      <c r="X206" s="450"/>
      <c r="Y206" s="450"/>
      <c r="Z206" s="450"/>
      <c r="AA206" s="450"/>
      <c r="AB206" s="450"/>
      <c r="AC206" s="450"/>
      <c r="AD206" s="450"/>
      <c r="AE206" s="450"/>
      <c r="AF206" s="450"/>
      <c r="AG206" s="450"/>
      <c r="AH206" s="450"/>
      <c r="AI206" s="450"/>
      <c r="AJ206" s="450"/>
      <c r="AK206" s="450"/>
    </row>
    <row r="207">
      <c r="A207" s="450"/>
      <c r="B207" s="450"/>
      <c r="C207" s="455"/>
      <c r="D207" s="450"/>
      <c r="E207" s="450"/>
      <c r="F207" s="450"/>
      <c r="G207" s="450"/>
      <c r="H207" s="450"/>
      <c r="I207" s="450"/>
      <c r="J207" s="450"/>
      <c r="K207" s="450"/>
      <c r="L207" s="450"/>
      <c r="M207" s="450"/>
      <c r="N207" s="450"/>
      <c r="O207" s="450"/>
      <c r="P207" s="450"/>
      <c r="Q207" s="450"/>
      <c r="R207" s="450"/>
      <c r="S207" s="450"/>
      <c r="T207" s="450"/>
      <c r="U207" s="450"/>
      <c r="V207" s="450"/>
      <c r="W207" s="450"/>
      <c r="X207" s="450"/>
      <c r="Y207" s="450"/>
      <c r="Z207" s="450"/>
      <c r="AA207" s="450"/>
      <c r="AB207" s="450"/>
      <c r="AC207" s="450"/>
      <c r="AD207" s="450"/>
      <c r="AE207" s="450"/>
      <c r="AF207" s="450"/>
      <c r="AG207" s="450"/>
      <c r="AH207" s="450"/>
      <c r="AI207" s="450"/>
      <c r="AJ207" s="450"/>
      <c r="AK207" s="450"/>
    </row>
    <row r="208">
      <c r="A208" s="450"/>
      <c r="B208" s="450"/>
      <c r="C208" s="455"/>
      <c r="D208" s="450"/>
      <c r="E208" s="450"/>
      <c r="F208" s="450"/>
      <c r="G208" s="450"/>
      <c r="H208" s="450"/>
      <c r="I208" s="450"/>
      <c r="J208" s="450"/>
      <c r="K208" s="450"/>
      <c r="L208" s="450"/>
      <c r="M208" s="450"/>
      <c r="N208" s="450"/>
      <c r="O208" s="450"/>
      <c r="P208" s="450"/>
      <c r="Q208" s="450"/>
      <c r="R208" s="450"/>
      <c r="S208" s="450"/>
      <c r="T208" s="450"/>
      <c r="U208" s="450"/>
      <c r="V208" s="450"/>
      <c r="W208" s="450"/>
      <c r="X208" s="450"/>
      <c r="Y208" s="450"/>
      <c r="Z208" s="450"/>
      <c r="AA208" s="450"/>
      <c r="AB208" s="450"/>
      <c r="AC208" s="450"/>
      <c r="AD208" s="450"/>
      <c r="AE208" s="450"/>
      <c r="AF208" s="450"/>
      <c r="AG208" s="450"/>
      <c r="AH208" s="450"/>
      <c r="AI208" s="450"/>
      <c r="AJ208" s="450"/>
      <c r="AK208" s="450"/>
    </row>
    <row r="209">
      <c r="A209" s="450"/>
      <c r="B209" s="450"/>
      <c r="C209" s="455"/>
      <c r="D209" s="450"/>
      <c r="E209" s="450"/>
      <c r="F209" s="450"/>
      <c r="G209" s="450"/>
      <c r="H209" s="450"/>
      <c r="I209" s="450"/>
      <c r="J209" s="450"/>
      <c r="K209" s="450"/>
      <c r="L209" s="450"/>
      <c r="M209" s="450"/>
      <c r="N209" s="450"/>
      <c r="O209" s="450"/>
      <c r="P209" s="450"/>
      <c r="Q209" s="450"/>
      <c r="R209" s="450"/>
      <c r="S209" s="450"/>
      <c r="T209" s="450"/>
      <c r="U209" s="450"/>
      <c r="V209" s="450"/>
      <c r="W209" s="450"/>
      <c r="X209" s="450"/>
      <c r="Y209" s="450"/>
      <c r="Z209" s="450"/>
      <c r="AA209" s="450"/>
      <c r="AB209" s="450"/>
      <c r="AC209" s="450"/>
      <c r="AD209" s="450"/>
      <c r="AE209" s="450"/>
      <c r="AF209" s="450"/>
      <c r="AG209" s="450"/>
      <c r="AH209" s="450"/>
      <c r="AI209" s="450"/>
      <c r="AJ209" s="450"/>
      <c r="AK209" s="450"/>
    </row>
    <row r="210">
      <c r="A210" s="450"/>
      <c r="B210" s="450"/>
      <c r="C210" s="455"/>
      <c r="D210" s="450"/>
      <c r="E210" s="450"/>
      <c r="F210" s="450"/>
      <c r="G210" s="450"/>
      <c r="H210" s="450"/>
      <c r="I210" s="450"/>
      <c r="J210" s="450"/>
      <c r="K210" s="450"/>
      <c r="L210" s="450"/>
      <c r="M210" s="450"/>
      <c r="N210" s="450"/>
      <c r="O210" s="450"/>
      <c r="P210" s="450"/>
      <c r="Q210" s="450"/>
      <c r="R210" s="450"/>
      <c r="S210" s="450"/>
      <c r="T210" s="450"/>
      <c r="U210" s="450"/>
      <c r="V210" s="450"/>
      <c r="W210" s="450"/>
      <c r="X210" s="450"/>
      <c r="Y210" s="450"/>
      <c r="Z210" s="450"/>
      <c r="AA210" s="450"/>
      <c r="AB210" s="450"/>
      <c r="AC210" s="450"/>
      <c r="AD210" s="450"/>
      <c r="AE210" s="450"/>
      <c r="AF210" s="450"/>
      <c r="AG210" s="450"/>
      <c r="AH210" s="450"/>
      <c r="AI210" s="450"/>
      <c r="AJ210" s="450"/>
      <c r="AK210" s="450"/>
    </row>
    <row r="211">
      <c r="A211" s="450"/>
      <c r="B211" s="450"/>
      <c r="C211" s="455"/>
      <c r="D211" s="450"/>
      <c r="E211" s="450"/>
      <c r="F211" s="450"/>
      <c r="G211" s="450"/>
      <c r="H211" s="450"/>
      <c r="I211" s="450"/>
      <c r="J211" s="450"/>
      <c r="K211" s="450"/>
      <c r="L211" s="450"/>
      <c r="M211" s="450"/>
      <c r="N211" s="450"/>
      <c r="O211" s="450"/>
      <c r="P211" s="450"/>
      <c r="Q211" s="450"/>
      <c r="R211" s="450"/>
      <c r="S211" s="450"/>
      <c r="T211" s="450"/>
      <c r="U211" s="450"/>
      <c r="V211" s="450"/>
      <c r="W211" s="450"/>
      <c r="X211" s="450"/>
      <c r="Y211" s="450"/>
      <c r="Z211" s="450"/>
      <c r="AA211" s="450"/>
      <c r="AB211" s="450"/>
      <c r="AC211" s="450"/>
      <c r="AD211" s="450"/>
      <c r="AE211" s="450"/>
      <c r="AF211" s="450"/>
      <c r="AG211" s="450"/>
      <c r="AH211" s="450"/>
      <c r="AI211" s="450"/>
      <c r="AJ211" s="450"/>
      <c r="AK211" s="450"/>
    </row>
    <row r="212">
      <c r="A212" s="450"/>
      <c r="B212" s="450"/>
      <c r="C212" s="455"/>
      <c r="D212" s="450"/>
      <c r="E212" s="450"/>
      <c r="F212" s="450"/>
      <c r="G212" s="450"/>
      <c r="H212" s="450"/>
      <c r="I212" s="450"/>
      <c r="J212" s="450"/>
      <c r="K212" s="450"/>
      <c r="L212" s="450"/>
      <c r="M212" s="450"/>
      <c r="N212" s="450"/>
      <c r="O212" s="450"/>
      <c r="P212" s="450"/>
      <c r="Q212" s="450"/>
      <c r="R212" s="450"/>
      <c r="S212" s="450"/>
      <c r="T212" s="450"/>
      <c r="U212" s="450"/>
      <c r="V212" s="450"/>
      <c r="W212" s="450"/>
      <c r="X212" s="450"/>
      <c r="Y212" s="450"/>
      <c r="Z212" s="450"/>
      <c r="AA212" s="450"/>
      <c r="AB212" s="450"/>
      <c r="AC212" s="450"/>
      <c r="AD212" s="450"/>
      <c r="AE212" s="450"/>
      <c r="AF212" s="450"/>
      <c r="AG212" s="450"/>
      <c r="AH212" s="450"/>
      <c r="AI212" s="450"/>
      <c r="AJ212" s="450"/>
      <c r="AK212" s="450"/>
    </row>
    <row r="213">
      <c r="A213" s="450"/>
      <c r="B213" s="450"/>
      <c r="C213" s="455"/>
      <c r="D213" s="450"/>
      <c r="E213" s="450"/>
      <c r="F213" s="450"/>
      <c r="G213" s="450"/>
      <c r="H213" s="450"/>
      <c r="I213" s="450"/>
      <c r="J213" s="450"/>
      <c r="K213" s="450"/>
      <c r="L213" s="450"/>
      <c r="M213" s="450"/>
      <c r="N213" s="450"/>
      <c r="O213" s="450"/>
      <c r="P213" s="450"/>
      <c r="Q213" s="450"/>
      <c r="R213" s="450"/>
      <c r="S213" s="450"/>
      <c r="T213" s="450"/>
      <c r="U213" s="450"/>
      <c r="V213" s="450"/>
      <c r="W213" s="450"/>
      <c r="X213" s="450"/>
      <c r="Y213" s="450"/>
      <c r="Z213" s="450"/>
      <c r="AA213" s="450"/>
      <c r="AB213" s="450"/>
      <c r="AC213" s="450"/>
      <c r="AD213" s="450"/>
      <c r="AE213" s="450"/>
      <c r="AF213" s="450"/>
      <c r="AG213" s="450"/>
      <c r="AH213" s="450"/>
      <c r="AI213" s="450"/>
      <c r="AJ213" s="450"/>
      <c r="AK213" s="450"/>
    </row>
    <row r="214">
      <c r="A214" s="450"/>
      <c r="B214" s="450"/>
      <c r="C214" s="455"/>
      <c r="D214" s="450"/>
      <c r="E214" s="450"/>
      <c r="F214" s="450"/>
      <c r="G214" s="450"/>
      <c r="H214" s="450"/>
      <c r="I214" s="450"/>
      <c r="J214" s="450"/>
      <c r="K214" s="450"/>
      <c r="L214" s="450"/>
      <c r="M214" s="450"/>
      <c r="N214" s="450"/>
      <c r="O214" s="450"/>
      <c r="P214" s="450"/>
      <c r="Q214" s="450"/>
      <c r="R214" s="450"/>
      <c r="S214" s="450"/>
      <c r="T214" s="450"/>
      <c r="U214" s="450"/>
      <c r="V214" s="450"/>
      <c r="W214" s="450"/>
      <c r="X214" s="450"/>
      <c r="Y214" s="450"/>
      <c r="Z214" s="450"/>
      <c r="AA214" s="450"/>
      <c r="AB214" s="450"/>
      <c r="AC214" s="450"/>
      <c r="AD214" s="450"/>
      <c r="AE214" s="450"/>
      <c r="AF214" s="450"/>
      <c r="AG214" s="450"/>
      <c r="AH214" s="450"/>
      <c r="AI214" s="450"/>
      <c r="AJ214" s="450"/>
      <c r="AK214" s="450"/>
    </row>
    <row r="215">
      <c r="A215" s="450"/>
      <c r="B215" s="450"/>
      <c r="C215" s="455"/>
      <c r="D215" s="450"/>
      <c r="E215" s="450"/>
      <c r="F215" s="450"/>
      <c r="G215" s="450"/>
      <c r="H215" s="450"/>
      <c r="I215" s="450"/>
      <c r="J215" s="450"/>
      <c r="K215" s="450"/>
      <c r="L215" s="450"/>
      <c r="M215" s="450"/>
      <c r="N215" s="450"/>
      <c r="O215" s="450"/>
      <c r="P215" s="450"/>
      <c r="Q215" s="450"/>
      <c r="R215" s="450"/>
      <c r="S215" s="450"/>
      <c r="T215" s="450"/>
      <c r="U215" s="450"/>
      <c r="V215" s="450"/>
      <c r="W215" s="450"/>
      <c r="X215" s="450"/>
      <c r="Y215" s="450"/>
      <c r="Z215" s="450"/>
      <c r="AA215" s="450"/>
      <c r="AB215" s="450"/>
      <c r="AC215" s="450"/>
      <c r="AD215" s="450"/>
      <c r="AE215" s="450"/>
      <c r="AF215" s="450"/>
      <c r="AG215" s="450"/>
      <c r="AH215" s="450"/>
      <c r="AI215" s="450"/>
      <c r="AJ215" s="450"/>
      <c r="AK215" s="450"/>
    </row>
    <row r="216">
      <c r="A216" s="450"/>
      <c r="B216" s="450"/>
      <c r="C216" s="455"/>
      <c r="D216" s="450"/>
      <c r="E216" s="450"/>
      <c r="F216" s="450"/>
      <c r="G216" s="450"/>
      <c r="H216" s="450"/>
      <c r="I216" s="450"/>
      <c r="J216" s="450"/>
      <c r="K216" s="450"/>
      <c r="L216" s="450"/>
      <c r="M216" s="450"/>
      <c r="N216" s="450"/>
      <c r="O216" s="450"/>
      <c r="P216" s="450"/>
      <c r="Q216" s="450"/>
      <c r="R216" s="450"/>
      <c r="S216" s="450"/>
      <c r="T216" s="450"/>
      <c r="U216" s="450"/>
      <c r="V216" s="450"/>
      <c r="W216" s="450"/>
      <c r="X216" s="450"/>
      <c r="Y216" s="450"/>
      <c r="Z216" s="450"/>
      <c r="AA216" s="450"/>
      <c r="AB216" s="450"/>
      <c r="AC216" s="450"/>
      <c r="AD216" s="450"/>
      <c r="AE216" s="450"/>
      <c r="AF216" s="450"/>
      <c r="AG216" s="450"/>
      <c r="AH216" s="450"/>
      <c r="AI216" s="450"/>
      <c r="AJ216" s="450"/>
      <c r="AK216" s="450"/>
    </row>
    <row r="217">
      <c r="A217" s="450"/>
      <c r="B217" s="450"/>
      <c r="C217" s="455"/>
      <c r="D217" s="450"/>
      <c r="E217" s="450"/>
      <c r="F217" s="450"/>
      <c r="G217" s="450"/>
      <c r="H217" s="450"/>
      <c r="I217" s="450"/>
      <c r="J217" s="450"/>
      <c r="K217" s="450"/>
      <c r="L217" s="450"/>
      <c r="M217" s="450"/>
      <c r="N217" s="450"/>
      <c r="O217" s="450"/>
      <c r="P217" s="450"/>
      <c r="Q217" s="450"/>
      <c r="R217" s="450"/>
      <c r="S217" s="450"/>
      <c r="T217" s="450"/>
      <c r="U217" s="450"/>
      <c r="V217" s="450"/>
      <c r="W217" s="450"/>
      <c r="X217" s="450"/>
      <c r="Y217" s="450"/>
      <c r="Z217" s="450"/>
      <c r="AA217" s="450"/>
      <c r="AB217" s="450"/>
      <c r="AC217" s="450"/>
      <c r="AD217" s="450"/>
      <c r="AE217" s="450"/>
      <c r="AF217" s="450"/>
      <c r="AG217" s="450"/>
      <c r="AH217" s="450"/>
      <c r="AI217" s="450"/>
      <c r="AJ217" s="450"/>
      <c r="AK217" s="450"/>
    </row>
    <row r="218">
      <c r="A218" s="450"/>
      <c r="B218" s="450"/>
      <c r="C218" s="455"/>
      <c r="D218" s="450"/>
      <c r="E218" s="450"/>
      <c r="F218" s="450"/>
      <c r="G218" s="450"/>
      <c r="H218" s="450"/>
      <c r="I218" s="450"/>
      <c r="J218" s="450"/>
      <c r="K218" s="450"/>
      <c r="L218" s="450"/>
      <c r="M218" s="450"/>
      <c r="N218" s="450"/>
      <c r="O218" s="450"/>
      <c r="P218" s="450"/>
      <c r="Q218" s="450"/>
      <c r="R218" s="450"/>
      <c r="S218" s="450"/>
      <c r="T218" s="450"/>
      <c r="U218" s="450"/>
      <c r="V218" s="450"/>
      <c r="W218" s="450"/>
      <c r="X218" s="450"/>
      <c r="Y218" s="450"/>
      <c r="Z218" s="450"/>
      <c r="AA218" s="450"/>
      <c r="AB218" s="450"/>
      <c r="AC218" s="450"/>
      <c r="AD218" s="450"/>
      <c r="AE218" s="450"/>
      <c r="AF218" s="450"/>
      <c r="AG218" s="450"/>
      <c r="AH218" s="450"/>
      <c r="AI218" s="450"/>
      <c r="AJ218" s="450"/>
      <c r="AK218" s="450"/>
    </row>
    <row r="219">
      <c r="A219" s="450"/>
      <c r="B219" s="450"/>
      <c r="C219" s="455"/>
      <c r="D219" s="450"/>
      <c r="E219" s="450"/>
      <c r="F219" s="450"/>
      <c r="G219" s="450"/>
      <c r="H219" s="450"/>
      <c r="I219" s="450"/>
      <c r="J219" s="450"/>
      <c r="K219" s="450"/>
      <c r="L219" s="450"/>
      <c r="M219" s="450"/>
      <c r="N219" s="450"/>
      <c r="O219" s="450"/>
      <c r="P219" s="450"/>
      <c r="Q219" s="450"/>
      <c r="R219" s="450"/>
      <c r="S219" s="450"/>
      <c r="T219" s="450"/>
      <c r="U219" s="450"/>
      <c r="V219" s="450"/>
      <c r="W219" s="450"/>
      <c r="X219" s="450"/>
      <c r="Y219" s="450"/>
      <c r="Z219" s="450"/>
      <c r="AA219" s="450"/>
      <c r="AB219" s="450"/>
      <c r="AC219" s="450"/>
      <c r="AD219" s="450"/>
      <c r="AE219" s="450"/>
      <c r="AF219" s="450"/>
      <c r="AG219" s="450"/>
      <c r="AH219" s="450"/>
      <c r="AI219" s="450"/>
      <c r="AJ219" s="450"/>
      <c r="AK219" s="450"/>
    </row>
    <row r="220">
      <c r="A220" s="450"/>
      <c r="B220" s="450"/>
      <c r="C220" s="455"/>
      <c r="D220" s="450"/>
      <c r="E220" s="450"/>
      <c r="F220" s="450"/>
      <c r="G220" s="450"/>
      <c r="H220" s="450"/>
      <c r="I220" s="450"/>
      <c r="J220" s="450"/>
      <c r="K220" s="450"/>
      <c r="L220" s="450"/>
      <c r="M220" s="450"/>
      <c r="N220" s="450"/>
      <c r="O220" s="450"/>
      <c r="P220" s="450"/>
      <c r="Q220" s="450"/>
      <c r="R220" s="450"/>
      <c r="S220" s="450"/>
      <c r="T220" s="450"/>
      <c r="U220" s="450"/>
      <c r="V220" s="450"/>
      <c r="W220" s="450"/>
      <c r="X220" s="450"/>
      <c r="Y220" s="450"/>
      <c r="Z220" s="450"/>
      <c r="AA220" s="450"/>
      <c r="AB220" s="450"/>
      <c r="AC220" s="450"/>
      <c r="AD220" s="450"/>
      <c r="AE220" s="450"/>
      <c r="AF220" s="450"/>
      <c r="AG220" s="450"/>
      <c r="AH220" s="450"/>
      <c r="AI220" s="450"/>
      <c r="AJ220" s="450"/>
      <c r="AK220" s="450"/>
    </row>
    <row r="221">
      <c r="A221" s="450"/>
      <c r="B221" s="450"/>
      <c r="C221" s="455"/>
      <c r="D221" s="450"/>
      <c r="E221" s="450"/>
      <c r="F221" s="450"/>
      <c r="G221" s="450"/>
      <c r="H221" s="450"/>
      <c r="I221" s="450"/>
      <c r="J221" s="450"/>
      <c r="K221" s="450"/>
      <c r="L221" s="450"/>
      <c r="M221" s="450"/>
      <c r="N221" s="450"/>
      <c r="O221" s="450"/>
      <c r="P221" s="450"/>
      <c r="Q221" s="450"/>
      <c r="R221" s="450"/>
      <c r="S221" s="450"/>
      <c r="T221" s="450"/>
      <c r="U221" s="450"/>
      <c r="V221" s="450"/>
      <c r="W221" s="450"/>
      <c r="X221" s="450"/>
      <c r="Y221" s="450"/>
      <c r="Z221" s="450"/>
      <c r="AA221" s="450"/>
      <c r="AB221" s="450"/>
      <c r="AC221" s="450"/>
      <c r="AD221" s="450"/>
      <c r="AE221" s="450"/>
      <c r="AF221" s="450"/>
      <c r="AG221" s="450"/>
      <c r="AH221" s="450"/>
      <c r="AI221" s="450"/>
      <c r="AJ221" s="450"/>
      <c r="AK221" s="450"/>
    </row>
    <row r="222">
      <c r="A222" s="450"/>
      <c r="B222" s="450"/>
      <c r="C222" s="455"/>
      <c r="D222" s="450"/>
      <c r="E222" s="450"/>
      <c r="F222" s="450"/>
      <c r="G222" s="450"/>
      <c r="H222" s="450"/>
      <c r="I222" s="450"/>
      <c r="J222" s="450"/>
      <c r="K222" s="450"/>
      <c r="L222" s="450"/>
      <c r="M222" s="450"/>
      <c r="N222" s="450"/>
      <c r="O222" s="450"/>
      <c r="P222" s="450"/>
      <c r="Q222" s="450"/>
      <c r="R222" s="450"/>
      <c r="S222" s="450"/>
      <c r="T222" s="450"/>
      <c r="U222" s="450"/>
      <c r="V222" s="450"/>
      <c r="W222" s="450"/>
      <c r="X222" s="450"/>
      <c r="Y222" s="450"/>
      <c r="Z222" s="450"/>
      <c r="AA222" s="450"/>
      <c r="AB222" s="450"/>
      <c r="AC222" s="450"/>
      <c r="AD222" s="450"/>
      <c r="AE222" s="450"/>
      <c r="AF222" s="450"/>
      <c r="AG222" s="450"/>
      <c r="AH222" s="450"/>
      <c r="AI222" s="450"/>
      <c r="AJ222" s="450"/>
      <c r="AK222" s="450"/>
    </row>
    <row r="223">
      <c r="A223" s="450"/>
      <c r="B223" s="450"/>
      <c r="C223" s="455"/>
      <c r="D223" s="450"/>
      <c r="E223" s="450"/>
      <c r="F223" s="450"/>
      <c r="G223" s="450"/>
      <c r="H223" s="450"/>
      <c r="I223" s="450"/>
      <c r="J223" s="450"/>
      <c r="K223" s="450"/>
      <c r="L223" s="450"/>
      <c r="M223" s="450"/>
      <c r="N223" s="450"/>
      <c r="O223" s="450"/>
      <c r="P223" s="450"/>
      <c r="Q223" s="450"/>
      <c r="R223" s="450"/>
      <c r="S223" s="450"/>
      <c r="T223" s="450"/>
      <c r="U223" s="450"/>
      <c r="V223" s="450"/>
      <c r="W223" s="450"/>
      <c r="X223" s="450"/>
      <c r="Y223" s="450"/>
      <c r="Z223" s="450"/>
      <c r="AA223" s="450"/>
      <c r="AB223" s="450"/>
      <c r="AC223" s="450"/>
      <c r="AD223" s="450"/>
      <c r="AE223" s="450"/>
      <c r="AF223" s="450"/>
      <c r="AG223" s="450"/>
      <c r="AH223" s="450"/>
      <c r="AI223" s="450"/>
      <c r="AJ223" s="450"/>
      <c r="AK223" s="450"/>
    </row>
    <row r="224">
      <c r="A224" s="450"/>
      <c r="B224" s="450"/>
      <c r="C224" s="455"/>
      <c r="D224" s="450"/>
      <c r="E224" s="450"/>
      <c r="F224" s="450"/>
      <c r="G224" s="450"/>
      <c r="H224" s="450"/>
      <c r="I224" s="450"/>
      <c r="J224" s="450"/>
      <c r="K224" s="450"/>
      <c r="L224" s="450"/>
      <c r="M224" s="450"/>
      <c r="N224" s="450"/>
      <c r="O224" s="450"/>
      <c r="P224" s="450"/>
      <c r="Q224" s="450"/>
      <c r="R224" s="450"/>
      <c r="S224" s="450"/>
      <c r="T224" s="450"/>
      <c r="U224" s="450"/>
      <c r="V224" s="450"/>
      <c r="W224" s="450"/>
      <c r="X224" s="450"/>
      <c r="Y224" s="450"/>
      <c r="Z224" s="450"/>
      <c r="AA224" s="450"/>
      <c r="AB224" s="450"/>
      <c r="AC224" s="450"/>
      <c r="AD224" s="450"/>
      <c r="AE224" s="450"/>
      <c r="AF224" s="450"/>
      <c r="AG224" s="450"/>
      <c r="AH224" s="450"/>
      <c r="AI224" s="450"/>
      <c r="AJ224" s="450"/>
      <c r="AK224" s="450"/>
    </row>
    <row r="225">
      <c r="A225" s="450"/>
      <c r="B225" s="450"/>
      <c r="C225" s="455"/>
      <c r="D225" s="450"/>
      <c r="E225" s="450"/>
      <c r="F225" s="450"/>
      <c r="G225" s="450"/>
      <c r="H225" s="450"/>
      <c r="I225" s="450"/>
      <c r="J225" s="450"/>
      <c r="K225" s="450"/>
      <c r="L225" s="450"/>
      <c r="M225" s="450"/>
      <c r="N225" s="450"/>
      <c r="O225" s="450"/>
      <c r="P225" s="450"/>
      <c r="Q225" s="450"/>
      <c r="R225" s="450"/>
      <c r="S225" s="450"/>
      <c r="T225" s="450"/>
      <c r="U225" s="450"/>
      <c r="V225" s="450"/>
      <c r="W225" s="450"/>
      <c r="X225" s="450"/>
      <c r="Y225" s="450"/>
      <c r="Z225" s="450"/>
      <c r="AA225" s="450"/>
      <c r="AB225" s="450"/>
      <c r="AC225" s="450"/>
      <c r="AD225" s="450"/>
      <c r="AE225" s="450"/>
      <c r="AF225" s="450"/>
      <c r="AG225" s="450"/>
      <c r="AH225" s="450"/>
      <c r="AI225" s="450"/>
      <c r="AJ225" s="450"/>
      <c r="AK225" s="450"/>
    </row>
    <row r="226">
      <c r="A226" s="450"/>
      <c r="B226" s="450"/>
      <c r="C226" s="455"/>
      <c r="D226" s="450"/>
      <c r="E226" s="450"/>
      <c r="F226" s="450"/>
      <c r="G226" s="450"/>
      <c r="H226" s="450"/>
      <c r="I226" s="450"/>
      <c r="J226" s="450"/>
      <c r="K226" s="450"/>
      <c r="L226" s="450"/>
      <c r="M226" s="450"/>
      <c r="N226" s="450"/>
      <c r="O226" s="450"/>
      <c r="P226" s="450"/>
      <c r="Q226" s="450"/>
      <c r="R226" s="450"/>
      <c r="S226" s="450"/>
      <c r="T226" s="450"/>
      <c r="U226" s="450"/>
      <c r="V226" s="450"/>
      <c r="W226" s="450"/>
      <c r="X226" s="450"/>
      <c r="Y226" s="450"/>
      <c r="Z226" s="450"/>
      <c r="AA226" s="450"/>
      <c r="AB226" s="450"/>
      <c r="AC226" s="450"/>
      <c r="AD226" s="450"/>
      <c r="AE226" s="450"/>
      <c r="AF226" s="450"/>
      <c r="AG226" s="450"/>
      <c r="AH226" s="450"/>
      <c r="AI226" s="450"/>
      <c r="AJ226" s="450"/>
      <c r="AK226" s="450"/>
    </row>
    <row r="227">
      <c r="A227" s="450"/>
      <c r="B227" s="450"/>
      <c r="C227" s="455"/>
      <c r="D227" s="450"/>
      <c r="E227" s="450"/>
      <c r="F227" s="450"/>
      <c r="G227" s="450"/>
      <c r="H227" s="450"/>
      <c r="I227" s="450"/>
      <c r="J227" s="450"/>
      <c r="K227" s="450"/>
      <c r="L227" s="450"/>
      <c r="M227" s="450"/>
      <c r="N227" s="450"/>
      <c r="O227" s="450"/>
      <c r="P227" s="450"/>
      <c r="Q227" s="450"/>
      <c r="R227" s="450"/>
      <c r="S227" s="450"/>
      <c r="T227" s="450"/>
      <c r="U227" s="450"/>
      <c r="V227" s="450"/>
      <c r="W227" s="450"/>
      <c r="X227" s="450"/>
      <c r="Y227" s="450"/>
      <c r="Z227" s="450"/>
      <c r="AA227" s="450"/>
      <c r="AB227" s="450"/>
      <c r="AC227" s="450"/>
      <c r="AD227" s="450"/>
      <c r="AE227" s="450"/>
      <c r="AF227" s="450"/>
      <c r="AG227" s="450"/>
      <c r="AH227" s="450"/>
      <c r="AI227" s="450"/>
      <c r="AJ227" s="450"/>
      <c r="AK227" s="450"/>
    </row>
    <row r="228">
      <c r="A228" s="450"/>
      <c r="B228" s="450"/>
      <c r="C228" s="455"/>
      <c r="D228" s="450"/>
      <c r="E228" s="450"/>
      <c r="F228" s="450"/>
      <c r="G228" s="450"/>
      <c r="H228" s="450"/>
      <c r="I228" s="450"/>
      <c r="J228" s="450"/>
      <c r="K228" s="450"/>
      <c r="L228" s="450"/>
      <c r="M228" s="450"/>
      <c r="N228" s="450"/>
      <c r="O228" s="450"/>
      <c r="P228" s="450"/>
      <c r="Q228" s="450"/>
      <c r="R228" s="450"/>
      <c r="S228" s="450"/>
      <c r="T228" s="450"/>
      <c r="U228" s="450"/>
      <c r="V228" s="450"/>
      <c r="W228" s="450"/>
      <c r="X228" s="450"/>
      <c r="Y228" s="450"/>
      <c r="Z228" s="450"/>
      <c r="AA228" s="450"/>
      <c r="AB228" s="450"/>
      <c r="AC228" s="450"/>
      <c r="AD228" s="450"/>
      <c r="AE228" s="450"/>
      <c r="AF228" s="450"/>
      <c r="AG228" s="450"/>
      <c r="AH228" s="450"/>
      <c r="AI228" s="450"/>
      <c r="AJ228" s="450"/>
      <c r="AK228" s="450"/>
    </row>
    <row r="229">
      <c r="A229" s="450"/>
      <c r="B229" s="450"/>
      <c r="C229" s="455"/>
      <c r="D229" s="450"/>
      <c r="E229" s="450"/>
      <c r="F229" s="450"/>
      <c r="G229" s="450"/>
      <c r="H229" s="450"/>
      <c r="I229" s="450"/>
      <c r="J229" s="450"/>
      <c r="K229" s="450"/>
      <c r="L229" s="450"/>
      <c r="M229" s="450"/>
      <c r="N229" s="450"/>
      <c r="O229" s="450"/>
      <c r="P229" s="450"/>
      <c r="Q229" s="450"/>
      <c r="R229" s="450"/>
      <c r="S229" s="450"/>
      <c r="T229" s="450"/>
      <c r="U229" s="450"/>
      <c r="V229" s="450"/>
      <c r="W229" s="450"/>
      <c r="X229" s="450"/>
      <c r="Y229" s="450"/>
      <c r="Z229" s="450"/>
      <c r="AA229" s="450"/>
      <c r="AB229" s="450"/>
      <c r="AC229" s="450"/>
      <c r="AD229" s="450"/>
      <c r="AE229" s="450"/>
      <c r="AF229" s="450"/>
      <c r="AG229" s="450"/>
      <c r="AH229" s="450"/>
      <c r="AI229" s="450"/>
      <c r="AJ229" s="450"/>
      <c r="AK229" s="450"/>
    </row>
    <row r="230">
      <c r="A230" s="450"/>
      <c r="B230" s="450"/>
      <c r="C230" s="455"/>
      <c r="D230" s="450"/>
      <c r="E230" s="450"/>
      <c r="F230" s="450"/>
      <c r="G230" s="450"/>
      <c r="H230" s="450"/>
      <c r="I230" s="450"/>
      <c r="J230" s="450"/>
      <c r="K230" s="450"/>
      <c r="L230" s="450"/>
      <c r="M230" s="450"/>
      <c r="N230" s="450"/>
      <c r="O230" s="450"/>
      <c r="P230" s="450"/>
      <c r="Q230" s="450"/>
      <c r="R230" s="450"/>
      <c r="S230" s="450"/>
      <c r="T230" s="450"/>
      <c r="U230" s="450"/>
      <c r="V230" s="450"/>
      <c r="W230" s="450"/>
      <c r="X230" s="450"/>
      <c r="Y230" s="450"/>
      <c r="Z230" s="450"/>
      <c r="AA230" s="450"/>
      <c r="AB230" s="450"/>
      <c r="AC230" s="450"/>
      <c r="AD230" s="450"/>
      <c r="AE230" s="450"/>
      <c r="AF230" s="450"/>
      <c r="AG230" s="450"/>
      <c r="AH230" s="450"/>
      <c r="AI230" s="450"/>
      <c r="AJ230" s="450"/>
      <c r="AK230" s="450"/>
    </row>
    <row r="231">
      <c r="A231" s="450"/>
      <c r="B231" s="450"/>
      <c r="C231" s="455"/>
      <c r="D231" s="450"/>
      <c r="E231" s="450"/>
      <c r="F231" s="450"/>
      <c r="G231" s="450"/>
      <c r="H231" s="450"/>
      <c r="I231" s="450"/>
      <c r="J231" s="450"/>
      <c r="K231" s="450"/>
      <c r="L231" s="450"/>
      <c r="M231" s="450"/>
      <c r="N231" s="450"/>
      <c r="O231" s="450"/>
      <c r="P231" s="450"/>
      <c r="Q231" s="450"/>
      <c r="R231" s="450"/>
      <c r="S231" s="450"/>
      <c r="T231" s="450"/>
      <c r="U231" s="450"/>
      <c r="V231" s="450"/>
      <c r="W231" s="450"/>
      <c r="X231" s="450"/>
      <c r="Y231" s="450"/>
      <c r="Z231" s="450"/>
      <c r="AA231" s="450"/>
      <c r="AB231" s="450"/>
      <c r="AC231" s="450"/>
      <c r="AD231" s="450"/>
      <c r="AE231" s="450"/>
      <c r="AF231" s="450"/>
      <c r="AG231" s="450"/>
      <c r="AH231" s="450"/>
      <c r="AI231" s="450"/>
      <c r="AJ231" s="450"/>
      <c r="AK231" s="450"/>
    </row>
    <row r="232">
      <c r="A232" s="450"/>
      <c r="B232" s="450"/>
      <c r="C232" s="455"/>
      <c r="D232" s="450"/>
      <c r="E232" s="450"/>
      <c r="F232" s="450"/>
      <c r="G232" s="450"/>
      <c r="H232" s="450"/>
      <c r="I232" s="450"/>
      <c r="J232" s="450"/>
      <c r="K232" s="450"/>
      <c r="L232" s="450"/>
      <c r="M232" s="450"/>
      <c r="N232" s="450"/>
      <c r="O232" s="450"/>
      <c r="P232" s="450"/>
      <c r="Q232" s="450"/>
      <c r="R232" s="450"/>
      <c r="S232" s="450"/>
      <c r="T232" s="450"/>
      <c r="U232" s="450"/>
      <c r="V232" s="450"/>
      <c r="W232" s="450"/>
      <c r="X232" s="450"/>
      <c r="Y232" s="450"/>
      <c r="Z232" s="450"/>
      <c r="AA232" s="450"/>
      <c r="AB232" s="450"/>
      <c r="AC232" s="450"/>
      <c r="AD232" s="450"/>
      <c r="AE232" s="450"/>
      <c r="AF232" s="450"/>
      <c r="AG232" s="450"/>
      <c r="AH232" s="450"/>
      <c r="AI232" s="450"/>
      <c r="AJ232" s="450"/>
      <c r="AK232" s="450"/>
    </row>
    <row r="233">
      <c r="A233" s="450"/>
      <c r="B233" s="450"/>
      <c r="C233" s="455"/>
      <c r="D233" s="450"/>
      <c r="E233" s="450"/>
      <c r="F233" s="450"/>
      <c r="G233" s="450"/>
      <c r="H233" s="450"/>
      <c r="I233" s="450"/>
      <c r="J233" s="450"/>
      <c r="K233" s="450"/>
      <c r="L233" s="450"/>
      <c r="M233" s="450"/>
      <c r="N233" s="450"/>
      <c r="O233" s="450"/>
      <c r="P233" s="450"/>
      <c r="Q233" s="450"/>
      <c r="R233" s="450"/>
      <c r="S233" s="450"/>
      <c r="T233" s="450"/>
      <c r="U233" s="450"/>
      <c r="V233" s="450"/>
      <c r="W233" s="450"/>
      <c r="X233" s="450"/>
      <c r="Y233" s="450"/>
      <c r="Z233" s="450"/>
      <c r="AA233" s="450"/>
      <c r="AB233" s="450"/>
      <c r="AC233" s="450"/>
      <c r="AD233" s="450"/>
      <c r="AE233" s="450"/>
      <c r="AF233" s="450"/>
      <c r="AG233" s="450"/>
      <c r="AH233" s="450"/>
      <c r="AI233" s="450"/>
      <c r="AJ233" s="450"/>
      <c r="AK233" s="450"/>
    </row>
    <row r="234">
      <c r="A234" s="450"/>
      <c r="B234" s="450"/>
      <c r="C234" s="455"/>
      <c r="D234" s="450"/>
      <c r="E234" s="450"/>
      <c r="F234" s="450"/>
      <c r="G234" s="450"/>
      <c r="H234" s="450"/>
      <c r="I234" s="450"/>
      <c r="J234" s="450"/>
      <c r="K234" s="450"/>
      <c r="L234" s="450"/>
      <c r="M234" s="450"/>
      <c r="N234" s="450"/>
      <c r="O234" s="450"/>
      <c r="P234" s="450"/>
      <c r="Q234" s="450"/>
      <c r="R234" s="450"/>
      <c r="S234" s="450"/>
      <c r="T234" s="450"/>
      <c r="U234" s="450"/>
      <c r="V234" s="450"/>
      <c r="W234" s="450"/>
      <c r="X234" s="450"/>
      <c r="Y234" s="450"/>
      <c r="Z234" s="450"/>
      <c r="AA234" s="450"/>
      <c r="AB234" s="450"/>
      <c r="AC234" s="450"/>
      <c r="AD234" s="450"/>
      <c r="AE234" s="450"/>
      <c r="AF234" s="450"/>
      <c r="AG234" s="450"/>
      <c r="AH234" s="450"/>
      <c r="AI234" s="450"/>
      <c r="AJ234" s="450"/>
      <c r="AK234" s="450"/>
    </row>
    <row r="235">
      <c r="A235" s="450"/>
      <c r="B235" s="450"/>
      <c r="C235" s="455"/>
      <c r="D235" s="450"/>
      <c r="E235" s="450"/>
      <c r="F235" s="450"/>
      <c r="G235" s="450"/>
      <c r="H235" s="450"/>
      <c r="I235" s="450"/>
      <c r="J235" s="450"/>
      <c r="K235" s="450"/>
      <c r="L235" s="450"/>
      <c r="M235" s="450"/>
      <c r="N235" s="450"/>
      <c r="O235" s="450"/>
      <c r="P235" s="450"/>
      <c r="Q235" s="450"/>
      <c r="R235" s="450"/>
      <c r="S235" s="450"/>
      <c r="T235" s="450"/>
      <c r="U235" s="450"/>
      <c r="V235" s="450"/>
      <c r="W235" s="450"/>
      <c r="X235" s="450"/>
      <c r="Y235" s="450"/>
      <c r="Z235" s="450"/>
      <c r="AA235" s="450"/>
      <c r="AB235" s="450"/>
      <c r="AC235" s="450"/>
      <c r="AD235" s="450"/>
      <c r="AE235" s="450"/>
      <c r="AF235" s="450"/>
      <c r="AG235" s="450"/>
      <c r="AH235" s="450"/>
      <c r="AI235" s="450"/>
      <c r="AJ235" s="450"/>
      <c r="AK235" s="450"/>
    </row>
    <row r="236">
      <c r="A236" s="450"/>
      <c r="B236" s="450"/>
      <c r="C236" s="455"/>
      <c r="D236" s="450"/>
      <c r="E236" s="450"/>
      <c r="F236" s="450"/>
      <c r="G236" s="450"/>
      <c r="H236" s="450"/>
      <c r="I236" s="450"/>
      <c r="J236" s="450"/>
      <c r="K236" s="450"/>
      <c r="L236" s="450"/>
      <c r="M236" s="450"/>
      <c r="N236" s="450"/>
      <c r="O236" s="450"/>
      <c r="P236" s="450"/>
      <c r="Q236" s="450"/>
      <c r="R236" s="450"/>
      <c r="S236" s="450"/>
      <c r="T236" s="450"/>
      <c r="U236" s="450"/>
      <c r="V236" s="450"/>
      <c r="W236" s="450"/>
      <c r="X236" s="450"/>
      <c r="Y236" s="450"/>
      <c r="Z236" s="450"/>
      <c r="AA236" s="450"/>
      <c r="AB236" s="450"/>
      <c r="AC236" s="450"/>
      <c r="AD236" s="450"/>
      <c r="AE236" s="450"/>
      <c r="AF236" s="450"/>
      <c r="AG236" s="450"/>
      <c r="AH236" s="450"/>
      <c r="AI236" s="450"/>
      <c r="AJ236" s="450"/>
      <c r="AK236" s="450"/>
    </row>
    <row r="237">
      <c r="A237" s="450"/>
      <c r="B237" s="450"/>
      <c r="C237" s="455"/>
      <c r="D237" s="450"/>
      <c r="E237" s="450"/>
      <c r="F237" s="450"/>
      <c r="G237" s="450"/>
      <c r="H237" s="450"/>
      <c r="I237" s="450"/>
      <c r="J237" s="450"/>
      <c r="K237" s="450"/>
      <c r="L237" s="450"/>
      <c r="M237" s="450"/>
      <c r="N237" s="450"/>
      <c r="O237" s="450"/>
      <c r="P237" s="450"/>
      <c r="Q237" s="450"/>
      <c r="R237" s="450"/>
      <c r="S237" s="450"/>
      <c r="T237" s="450"/>
      <c r="U237" s="450"/>
      <c r="V237" s="450"/>
      <c r="W237" s="450"/>
      <c r="X237" s="450"/>
      <c r="Y237" s="450"/>
      <c r="Z237" s="450"/>
      <c r="AA237" s="450"/>
      <c r="AB237" s="450"/>
      <c r="AC237" s="450"/>
      <c r="AD237" s="450"/>
      <c r="AE237" s="450"/>
      <c r="AF237" s="450"/>
      <c r="AG237" s="450"/>
      <c r="AH237" s="450"/>
      <c r="AI237" s="450"/>
      <c r="AJ237" s="450"/>
      <c r="AK237" s="450"/>
    </row>
    <row r="238">
      <c r="A238" s="450"/>
      <c r="B238" s="450"/>
      <c r="C238" s="455"/>
      <c r="D238" s="450"/>
      <c r="E238" s="450"/>
      <c r="F238" s="450"/>
      <c r="G238" s="450"/>
      <c r="H238" s="450"/>
      <c r="I238" s="450"/>
      <c r="J238" s="450"/>
      <c r="K238" s="450"/>
      <c r="L238" s="450"/>
      <c r="M238" s="450"/>
      <c r="N238" s="450"/>
      <c r="O238" s="450"/>
      <c r="P238" s="450"/>
      <c r="Q238" s="450"/>
      <c r="R238" s="450"/>
      <c r="S238" s="450"/>
      <c r="T238" s="450"/>
      <c r="U238" s="450"/>
      <c r="V238" s="450"/>
      <c r="W238" s="450"/>
      <c r="X238" s="450"/>
      <c r="Y238" s="450"/>
      <c r="Z238" s="450"/>
      <c r="AA238" s="450"/>
      <c r="AB238" s="450"/>
      <c r="AC238" s="450"/>
      <c r="AD238" s="450"/>
      <c r="AE238" s="450"/>
      <c r="AF238" s="450"/>
      <c r="AG238" s="450"/>
      <c r="AH238" s="450"/>
      <c r="AI238" s="450"/>
      <c r="AJ238" s="450"/>
      <c r="AK238" s="450"/>
    </row>
    <row r="239">
      <c r="A239" s="450"/>
      <c r="B239" s="450"/>
      <c r="C239" s="455"/>
      <c r="D239" s="450"/>
      <c r="E239" s="450"/>
      <c r="F239" s="450"/>
      <c r="G239" s="450"/>
      <c r="H239" s="450"/>
      <c r="I239" s="450"/>
      <c r="J239" s="450"/>
      <c r="K239" s="450"/>
      <c r="L239" s="450"/>
      <c r="M239" s="450"/>
      <c r="N239" s="450"/>
      <c r="O239" s="450"/>
      <c r="P239" s="450"/>
      <c r="Q239" s="450"/>
      <c r="R239" s="450"/>
      <c r="S239" s="450"/>
      <c r="T239" s="450"/>
      <c r="U239" s="450"/>
      <c r="V239" s="450"/>
      <c r="W239" s="450"/>
      <c r="X239" s="450"/>
      <c r="Y239" s="450"/>
      <c r="Z239" s="450"/>
      <c r="AA239" s="450"/>
      <c r="AB239" s="450"/>
      <c r="AC239" s="450"/>
      <c r="AD239" s="450"/>
      <c r="AE239" s="450"/>
      <c r="AF239" s="450"/>
      <c r="AG239" s="450"/>
      <c r="AH239" s="450"/>
      <c r="AI239" s="450"/>
      <c r="AJ239" s="450"/>
      <c r="AK239" s="450"/>
    </row>
    <row r="240">
      <c r="A240" s="450"/>
      <c r="B240" s="450"/>
      <c r="C240" s="455"/>
      <c r="D240" s="450"/>
      <c r="E240" s="450"/>
      <c r="F240" s="450"/>
      <c r="G240" s="450"/>
      <c r="H240" s="450"/>
      <c r="I240" s="450"/>
      <c r="J240" s="450"/>
      <c r="K240" s="450"/>
      <c r="L240" s="450"/>
      <c r="M240" s="450"/>
      <c r="N240" s="450"/>
      <c r="O240" s="450"/>
      <c r="P240" s="450"/>
      <c r="Q240" s="450"/>
      <c r="R240" s="450"/>
      <c r="S240" s="450"/>
      <c r="T240" s="450"/>
      <c r="U240" s="450"/>
      <c r="V240" s="450"/>
      <c r="W240" s="450"/>
      <c r="X240" s="450"/>
      <c r="Y240" s="450"/>
      <c r="Z240" s="450"/>
      <c r="AA240" s="450"/>
      <c r="AB240" s="450"/>
      <c r="AC240" s="450"/>
      <c r="AD240" s="450"/>
      <c r="AE240" s="450"/>
      <c r="AF240" s="450"/>
      <c r="AG240" s="450"/>
      <c r="AH240" s="450"/>
      <c r="AI240" s="450"/>
      <c r="AJ240" s="450"/>
      <c r="AK240" s="450"/>
    </row>
    <row r="241">
      <c r="A241" s="450"/>
      <c r="B241" s="450"/>
      <c r="C241" s="455"/>
      <c r="D241" s="450"/>
      <c r="E241" s="450"/>
      <c r="F241" s="450"/>
      <c r="G241" s="450"/>
      <c r="H241" s="450"/>
      <c r="I241" s="450"/>
      <c r="J241" s="450"/>
      <c r="K241" s="450"/>
      <c r="L241" s="450"/>
      <c r="M241" s="450"/>
      <c r="N241" s="450"/>
      <c r="O241" s="450"/>
      <c r="P241" s="450"/>
      <c r="Q241" s="450"/>
      <c r="R241" s="450"/>
      <c r="S241" s="450"/>
      <c r="T241" s="450"/>
      <c r="U241" s="450"/>
      <c r="V241" s="450"/>
      <c r="W241" s="450"/>
      <c r="X241" s="450"/>
      <c r="Y241" s="450"/>
      <c r="Z241" s="450"/>
      <c r="AA241" s="450"/>
      <c r="AB241" s="450"/>
      <c r="AC241" s="450"/>
      <c r="AD241" s="450"/>
      <c r="AE241" s="450"/>
      <c r="AF241" s="450"/>
      <c r="AG241" s="450"/>
      <c r="AH241" s="450"/>
      <c r="AI241" s="450"/>
      <c r="AJ241" s="450"/>
      <c r="AK241" s="450"/>
    </row>
    <row r="242">
      <c r="A242" s="450"/>
      <c r="B242" s="450"/>
      <c r="C242" s="455"/>
      <c r="D242" s="450"/>
      <c r="E242" s="450"/>
      <c r="F242" s="450"/>
      <c r="G242" s="450"/>
      <c r="H242" s="450"/>
      <c r="I242" s="450"/>
      <c r="J242" s="450"/>
      <c r="K242" s="450"/>
      <c r="L242" s="450"/>
      <c r="M242" s="450"/>
      <c r="N242" s="450"/>
      <c r="O242" s="450"/>
      <c r="P242" s="450"/>
      <c r="Q242" s="450"/>
      <c r="R242" s="450"/>
      <c r="S242" s="450"/>
      <c r="T242" s="450"/>
      <c r="U242" s="450"/>
      <c r="V242" s="450"/>
      <c r="W242" s="450"/>
      <c r="X242" s="450"/>
      <c r="Y242" s="450"/>
      <c r="Z242" s="450"/>
      <c r="AA242" s="450"/>
      <c r="AB242" s="450"/>
      <c r="AC242" s="450"/>
      <c r="AD242" s="450"/>
      <c r="AE242" s="450"/>
      <c r="AF242" s="450"/>
      <c r="AG242" s="450"/>
      <c r="AH242" s="450"/>
      <c r="AI242" s="450"/>
      <c r="AJ242" s="450"/>
      <c r="AK242" s="450"/>
    </row>
    <row r="243">
      <c r="A243" s="450"/>
      <c r="B243" s="450"/>
      <c r="C243" s="455"/>
      <c r="D243" s="450"/>
      <c r="E243" s="450"/>
      <c r="F243" s="450"/>
      <c r="G243" s="450"/>
      <c r="H243" s="450"/>
      <c r="I243" s="450"/>
      <c r="J243" s="450"/>
      <c r="K243" s="450"/>
      <c r="L243" s="450"/>
      <c r="M243" s="450"/>
      <c r="N243" s="450"/>
      <c r="O243" s="450"/>
      <c r="P243" s="450"/>
      <c r="Q243" s="450"/>
      <c r="R243" s="450"/>
      <c r="S243" s="450"/>
      <c r="T243" s="450"/>
      <c r="U243" s="450"/>
      <c r="V243" s="450"/>
      <c r="W243" s="450"/>
      <c r="X243" s="450"/>
      <c r="Y243" s="450"/>
      <c r="Z243" s="450"/>
      <c r="AA243" s="450"/>
      <c r="AB243" s="450"/>
      <c r="AC243" s="450"/>
      <c r="AD243" s="450"/>
      <c r="AE243" s="450"/>
      <c r="AF243" s="450"/>
      <c r="AG243" s="450"/>
      <c r="AH243" s="450"/>
      <c r="AI243" s="450"/>
      <c r="AJ243" s="450"/>
      <c r="AK243" s="450"/>
    </row>
    <row r="244">
      <c r="A244" s="450"/>
      <c r="B244" s="450"/>
      <c r="C244" s="455"/>
      <c r="D244" s="450"/>
      <c r="E244" s="450"/>
      <c r="F244" s="450"/>
      <c r="G244" s="450"/>
      <c r="H244" s="450"/>
      <c r="I244" s="450"/>
      <c r="J244" s="450"/>
      <c r="K244" s="450"/>
      <c r="L244" s="450"/>
      <c r="M244" s="450"/>
      <c r="N244" s="450"/>
      <c r="O244" s="450"/>
      <c r="P244" s="450"/>
      <c r="Q244" s="450"/>
      <c r="R244" s="450"/>
      <c r="S244" s="450"/>
      <c r="T244" s="450"/>
      <c r="U244" s="450"/>
      <c r="V244" s="450"/>
      <c r="W244" s="450"/>
      <c r="X244" s="450"/>
      <c r="Y244" s="450"/>
      <c r="Z244" s="450"/>
      <c r="AA244" s="450"/>
      <c r="AB244" s="450"/>
      <c r="AC244" s="450"/>
      <c r="AD244" s="450"/>
      <c r="AE244" s="450"/>
      <c r="AF244" s="450"/>
      <c r="AG244" s="450"/>
      <c r="AH244" s="450"/>
      <c r="AI244" s="450"/>
      <c r="AJ244" s="450"/>
      <c r="AK244" s="450"/>
    </row>
    <row r="245">
      <c r="A245" s="450"/>
      <c r="B245" s="450"/>
      <c r="C245" s="455"/>
      <c r="D245" s="450"/>
      <c r="E245" s="450"/>
      <c r="F245" s="450"/>
      <c r="G245" s="450"/>
      <c r="H245" s="450"/>
      <c r="I245" s="450"/>
      <c r="J245" s="450"/>
      <c r="K245" s="450"/>
      <c r="L245" s="450"/>
      <c r="M245" s="450"/>
      <c r="N245" s="450"/>
      <c r="O245" s="450"/>
      <c r="P245" s="450"/>
      <c r="Q245" s="450"/>
      <c r="R245" s="450"/>
      <c r="S245" s="450"/>
      <c r="T245" s="450"/>
      <c r="U245" s="450"/>
      <c r="V245" s="450"/>
      <c r="W245" s="450"/>
      <c r="X245" s="450"/>
      <c r="Y245" s="450"/>
      <c r="Z245" s="450"/>
      <c r="AA245" s="450"/>
      <c r="AB245" s="450"/>
      <c r="AC245" s="450"/>
      <c r="AD245" s="450"/>
      <c r="AE245" s="450"/>
      <c r="AF245" s="450"/>
      <c r="AG245" s="450"/>
      <c r="AH245" s="450"/>
      <c r="AI245" s="450"/>
      <c r="AJ245" s="450"/>
      <c r="AK245" s="450"/>
    </row>
    <row r="246">
      <c r="A246" s="450"/>
      <c r="B246" s="450"/>
      <c r="C246" s="455"/>
      <c r="D246" s="450"/>
      <c r="E246" s="450"/>
      <c r="F246" s="450"/>
      <c r="G246" s="450"/>
      <c r="H246" s="450"/>
      <c r="I246" s="450"/>
      <c r="J246" s="450"/>
      <c r="K246" s="450"/>
      <c r="L246" s="450"/>
      <c r="M246" s="450"/>
      <c r="N246" s="450"/>
      <c r="O246" s="450"/>
      <c r="P246" s="450"/>
      <c r="Q246" s="450"/>
      <c r="R246" s="450"/>
      <c r="S246" s="450"/>
      <c r="T246" s="450"/>
      <c r="U246" s="450"/>
      <c r="V246" s="450"/>
      <c r="W246" s="450"/>
      <c r="X246" s="450"/>
      <c r="Y246" s="450"/>
      <c r="Z246" s="450"/>
      <c r="AA246" s="450"/>
      <c r="AB246" s="450"/>
      <c r="AC246" s="450"/>
      <c r="AD246" s="450"/>
      <c r="AE246" s="450"/>
      <c r="AF246" s="450"/>
      <c r="AG246" s="450"/>
      <c r="AH246" s="450"/>
      <c r="AI246" s="450"/>
      <c r="AJ246" s="450"/>
      <c r="AK246" s="450"/>
    </row>
    <row r="247">
      <c r="A247" s="450"/>
      <c r="B247" s="450"/>
      <c r="C247" s="455"/>
      <c r="D247" s="450"/>
      <c r="E247" s="450"/>
      <c r="F247" s="450"/>
      <c r="G247" s="450"/>
      <c r="H247" s="450"/>
      <c r="I247" s="450"/>
      <c r="J247" s="450"/>
      <c r="K247" s="450"/>
      <c r="L247" s="450"/>
      <c r="M247" s="450"/>
      <c r="N247" s="450"/>
      <c r="O247" s="450"/>
      <c r="P247" s="450"/>
      <c r="Q247" s="450"/>
      <c r="R247" s="450"/>
      <c r="S247" s="450"/>
      <c r="T247" s="450"/>
      <c r="U247" s="450"/>
      <c r="V247" s="450"/>
      <c r="W247" s="450"/>
      <c r="X247" s="450"/>
      <c r="Y247" s="450"/>
      <c r="Z247" s="450"/>
      <c r="AA247" s="450"/>
      <c r="AB247" s="450"/>
      <c r="AC247" s="450"/>
      <c r="AD247" s="450"/>
      <c r="AE247" s="450"/>
      <c r="AF247" s="450"/>
      <c r="AG247" s="450"/>
      <c r="AH247" s="450"/>
      <c r="AI247" s="450"/>
      <c r="AJ247" s="450"/>
      <c r="AK247" s="450"/>
    </row>
    <row r="248">
      <c r="A248" s="450"/>
      <c r="B248" s="450"/>
      <c r="C248" s="455"/>
      <c r="D248" s="450"/>
      <c r="E248" s="450"/>
      <c r="F248" s="450"/>
      <c r="G248" s="450"/>
      <c r="H248" s="450"/>
      <c r="I248" s="450"/>
      <c r="J248" s="450"/>
      <c r="K248" s="450"/>
      <c r="L248" s="450"/>
      <c r="M248" s="450"/>
      <c r="N248" s="450"/>
      <c r="O248" s="450"/>
      <c r="P248" s="450"/>
      <c r="Q248" s="450"/>
      <c r="R248" s="450"/>
      <c r="S248" s="450"/>
      <c r="T248" s="450"/>
      <c r="U248" s="450"/>
      <c r="V248" s="450"/>
      <c r="W248" s="450"/>
      <c r="X248" s="450"/>
      <c r="Y248" s="450"/>
      <c r="Z248" s="450"/>
      <c r="AA248" s="450"/>
      <c r="AB248" s="450"/>
      <c r="AC248" s="450"/>
      <c r="AD248" s="450"/>
      <c r="AE248" s="450"/>
      <c r="AF248" s="450"/>
      <c r="AG248" s="450"/>
      <c r="AH248" s="450"/>
      <c r="AI248" s="450"/>
      <c r="AJ248" s="450"/>
      <c r="AK248" s="450"/>
    </row>
    <row r="249">
      <c r="A249" s="450"/>
      <c r="B249" s="450"/>
      <c r="C249" s="455"/>
      <c r="D249" s="450"/>
      <c r="E249" s="450"/>
      <c r="F249" s="450"/>
      <c r="G249" s="450"/>
      <c r="H249" s="450"/>
      <c r="I249" s="450"/>
      <c r="J249" s="450"/>
      <c r="K249" s="450"/>
      <c r="L249" s="450"/>
      <c r="M249" s="450"/>
      <c r="N249" s="450"/>
      <c r="O249" s="450"/>
      <c r="P249" s="450"/>
      <c r="Q249" s="450"/>
      <c r="R249" s="450"/>
      <c r="S249" s="450"/>
      <c r="T249" s="450"/>
      <c r="U249" s="450"/>
      <c r="V249" s="450"/>
      <c r="W249" s="450"/>
      <c r="X249" s="450"/>
      <c r="Y249" s="450"/>
      <c r="Z249" s="450"/>
      <c r="AA249" s="450"/>
      <c r="AB249" s="450"/>
      <c r="AC249" s="450"/>
      <c r="AD249" s="450"/>
      <c r="AE249" s="450"/>
      <c r="AF249" s="450"/>
      <c r="AG249" s="450"/>
      <c r="AH249" s="450"/>
      <c r="AI249" s="450"/>
      <c r="AJ249" s="450"/>
      <c r="AK249" s="450"/>
    </row>
    <row r="250">
      <c r="A250" s="450"/>
      <c r="B250" s="450"/>
      <c r="C250" s="455"/>
      <c r="D250" s="450"/>
      <c r="E250" s="450"/>
      <c r="F250" s="450"/>
      <c r="G250" s="450"/>
      <c r="H250" s="450"/>
      <c r="I250" s="450"/>
      <c r="J250" s="450"/>
      <c r="K250" s="450"/>
      <c r="L250" s="450"/>
      <c r="M250" s="450"/>
      <c r="N250" s="450"/>
      <c r="O250" s="450"/>
      <c r="P250" s="450"/>
      <c r="Q250" s="450"/>
      <c r="R250" s="450"/>
      <c r="S250" s="450"/>
      <c r="T250" s="450"/>
      <c r="U250" s="450"/>
      <c r="V250" s="450"/>
      <c r="W250" s="450"/>
      <c r="X250" s="450"/>
      <c r="Y250" s="450"/>
      <c r="Z250" s="450"/>
      <c r="AA250" s="450"/>
      <c r="AB250" s="450"/>
      <c r="AC250" s="450"/>
      <c r="AD250" s="450"/>
      <c r="AE250" s="450"/>
      <c r="AF250" s="450"/>
      <c r="AG250" s="450"/>
      <c r="AH250" s="450"/>
      <c r="AI250" s="450"/>
      <c r="AJ250" s="450"/>
      <c r="AK250" s="450"/>
    </row>
    <row r="251">
      <c r="A251" s="450"/>
      <c r="B251" s="450"/>
      <c r="C251" s="455"/>
      <c r="D251" s="450"/>
      <c r="E251" s="450"/>
      <c r="F251" s="450"/>
      <c r="G251" s="450"/>
      <c r="H251" s="450"/>
      <c r="I251" s="450"/>
      <c r="J251" s="450"/>
      <c r="K251" s="450"/>
      <c r="L251" s="450"/>
      <c r="M251" s="450"/>
      <c r="N251" s="450"/>
      <c r="O251" s="450"/>
      <c r="P251" s="450"/>
      <c r="Q251" s="450"/>
      <c r="R251" s="450"/>
      <c r="S251" s="450"/>
      <c r="T251" s="450"/>
      <c r="U251" s="450"/>
      <c r="V251" s="450"/>
      <c r="W251" s="450"/>
      <c r="X251" s="450"/>
      <c r="Y251" s="450"/>
      <c r="Z251" s="450"/>
      <c r="AA251" s="450"/>
      <c r="AB251" s="450"/>
      <c r="AC251" s="450"/>
      <c r="AD251" s="450"/>
      <c r="AE251" s="450"/>
      <c r="AF251" s="450"/>
      <c r="AG251" s="450"/>
      <c r="AH251" s="450"/>
      <c r="AI251" s="450"/>
      <c r="AJ251" s="450"/>
      <c r="AK251" s="450"/>
    </row>
    <row r="252">
      <c r="A252" s="450"/>
      <c r="B252" s="450"/>
      <c r="C252" s="455"/>
      <c r="D252" s="450"/>
      <c r="E252" s="450"/>
      <c r="F252" s="450"/>
      <c r="G252" s="450"/>
      <c r="H252" s="450"/>
      <c r="I252" s="450"/>
      <c r="J252" s="450"/>
      <c r="K252" s="450"/>
      <c r="L252" s="450"/>
      <c r="M252" s="450"/>
      <c r="N252" s="450"/>
      <c r="O252" s="450"/>
      <c r="P252" s="450"/>
      <c r="Q252" s="450"/>
      <c r="R252" s="450"/>
      <c r="S252" s="450"/>
      <c r="T252" s="450"/>
      <c r="U252" s="450"/>
      <c r="V252" s="450"/>
      <c r="W252" s="450"/>
      <c r="X252" s="450"/>
      <c r="Y252" s="450"/>
      <c r="Z252" s="450"/>
      <c r="AA252" s="450"/>
      <c r="AB252" s="450"/>
      <c r="AC252" s="450"/>
      <c r="AD252" s="450"/>
      <c r="AE252" s="450"/>
      <c r="AF252" s="450"/>
      <c r="AG252" s="450"/>
      <c r="AH252" s="450"/>
      <c r="AI252" s="450"/>
      <c r="AJ252" s="450"/>
      <c r="AK252" s="450"/>
    </row>
    <row r="253">
      <c r="A253" s="450"/>
      <c r="B253" s="450"/>
      <c r="C253" s="455"/>
      <c r="D253" s="450"/>
      <c r="E253" s="450"/>
      <c r="F253" s="450"/>
      <c r="G253" s="450"/>
      <c r="H253" s="450"/>
      <c r="I253" s="450"/>
      <c r="J253" s="450"/>
      <c r="K253" s="450"/>
      <c r="L253" s="450"/>
      <c r="M253" s="450"/>
      <c r="N253" s="450"/>
      <c r="O253" s="450"/>
      <c r="P253" s="450"/>
      <c r="Q253" s="450"/>
      <c r="R253" s="450"/>
      <c r="S253" s="450"/>
      <c r="T253" s="450"/>
      <c r="U253" s="450"/>
      <c r="V253" s="450"/>
      <c r="W253" s="450"/>
      <c r="X253" s="450"/>
      <c r="Y253" s="450"/>
      <c r="Z253" s="450"/>
      <c r="AA253" s="450"/>
      <c r="AB253" s="450"/>
      <c r="AC253" s="450"/>
      <c r="AD253" s="450"/>
      <c r="AE253" s="450"/>
      <c r="AF253" s="450"/>
      <c r="AG253" s="450"/>
      <c r="AH253" s="450"/>
      <c r="AI253" s="450"/>
      <c r="AJ253" s="450"/>
      <c r="AK253" s="450"/>
    </row>
    <row r="254">
      <c r="A254" s="450"/>
      <c r="B254" s="450"/>
      <c r="C254" s="455"/>
      <c r="D254" s="450"/>
      <c r="E254" s="450"/>
      <c r="F254" s="450"/>
      <c r="G254" s="450"/>
      <c r="H254" s="450"/>
      <c r="I254" s="450"/>
      <c r="J254" s="450"/>
      <c r="K254" s="450"/>
      <c r="L254" s="450"/>
      <c r="M254" s="450"/>
      <c r="N254" s="450"/>
      <c r="O254" s="450"/>
      <c r="P254" s="450"/>
      <c r="Q254" s="450"/>
      <c r="R254" s="450"/>
      <c r="S254" s="450"/>
      <c r="T254" s="450"/>
      <c r="U254" s="450"/>
      <c r="V254" s="450"/>
      <c r="W254" s="450"/>
      <c r="X254" s="450"/>
      <c r="Y254" s="450"/>
      <c r="Z254" s="450"/>
      <c r="AA254" s="450"/>
      <c r="AB254" s="450"/>
      <c r="AC254" s="450"/>
      <c r="AD254" s="450"/>
      <c r="AE254" s="450"/>
      <c r="AF254" s="450"/>
      <c r="AG254" s="450"/>
      <c r="AH254" s="450"/>
      <c r="AI254" s="450"/>
      <c r="AJ254" s="450"/>
      <c r="AK254" s="450"/>
    </row>
    <row r="255">
      <c r="A255" s="450"/>
      <c r="B255" s="450"/>
      <c r="C255" s="455"/>
      <c r="D255" s="450"/>
      <c r="E255" s="450"/>
      <c r="F255" s="450"/>
      <c r="G255" s="450"/>
      <c r="H255" s="450"/>
      <c r="I255" s="450"/>
      <c r="J255" s="450"/>
      <c r="K255" s="450"/>
      <c r="L255" s="450"/>
      <c r="M255" s="450"/>
      <c r="N255" s="450"/>
      <c r="O255" s="450"/>
      <c r="P255" s="450"/>
      <c r="Q255" s="450"/>
      <c r="R255" s="450"/>
      <c r="S255" s="450"/>
      <c r="T255" s="450"/>
      <c r="U255" s="450"/>
      <c r="V255" s="450"/>
      <c r="W255" s="450"/>
      <c r="X255" s="450"/>
      <c r="Y255" s="450"/>
      <c r="Z255" s="450"/>
      <c r="AA255" s="450"/>
      <c r="AB255" s="450"/>
      <c r="AC255" s="450"/>
      <c r="AD255" s="450"/>
      <c r="AE255" s="450"/>
      <c r="AF255" s="450"/>
      <c r="AG255" s="450"/>
      <c r="AH255" s="450"/>
      <c r="AI255" s="450"/>
      <c r="AJ255" s="450"/>
      <c r="AK255" s="450"/>
    </row>
    <row r="256">
      <c r="A256" s="450"/>
      <c r="B256" s="450"/>
      <c r="C256" s="455"/>
      <c r="D256" s="450"/>
      <c r="E256" s="450"/>
      <c r="F256" s="450"/>
      <c r="G256" s="450"/>
      <c r="H256" s="450"/>
      <c r="I256" s="450"/>
      <c r="J256" s="450"/>
      <c r="K256" s="450"/>
      <c r="L256" s="450"/>
      <c r="M256" s="450"/>
      <c r="N256" s="450"/>
      <c r="O256" s="450"/>
      <c r="P256" s="450"/>
      <c r="Q256" s="450"/>
      <c r="R256" s="450"/>
      <c r="S256" s="450"/>
      <c r="T256" s="450"/>
      <c r="U256" s="450"/>
      <c r="V256" s="450"/>
      <c r="W256" s="450"/>
      <c r="X256" s="450"/>
      <c r="Y256" s="450"/>
      <c r="Z256" s="450"/>
      <c r="AA256" s="450"/>
      <c r="AB256" s="450"/>
      <c r="AC256" s="450"/>
      <c r="AD256" s="450"/>
      <c r="AE256" s="450"/>
      <c r="AF256" s="450"/>
      <c r="AG256" s="450"/>
      <c r="AH256" s="450"/>
      <c r="AI256" s="450"/>
      <c r="AJ256" s="450"/>
      <c r="AK256" s="450"/>
    </row>
    <row r="257">
      <c r="A257" s="450"/>
      <c r="B257" s="450"/>
      <c r="C257" s="455"/>
      <c r="D257" s="450"/>
      <c r="E257" s="450"/>
      <c r="F257" s="450"/>
      <c r="G257" s="450"/>
      <c r="H257" s="450"/>
      <c r="I257" s="450"/>
      <c r="J257" s="450"/>
      <c r="K257" s="450"/>
      <c r="L257" s="450"/>
      <c r="M257" s="450"/>
      <c r="N257" s="450"/>
      <c r="O257" s="450"/>
      <c r="P257" s="450"/>
      <c r="Q257" s="450"/>
      <c r="R257" s="450"/>
      <c r="S257" s="450"/>
      <c r="T257" s="450"/>
      <c r="U257" s="450"/>
      <c r="V257" s="450"/>
      <c r="W257" s="450"/>
      <c r="X257" s="450"/>
      <c r="Y257" s="450"/>
      <c r="Z257" s="450"/>
      <c r="AA257" s="450"/>
      <c r="AB257" s="450"/>
      <c r="AC257" s="450"/>
      <c r="AD257" s="450"/>
      <c r="AE257" s="450"/>
      <c r="AF257" s="450"/>
      <c r="AG257" s="450"/>
      <c r="AH257" s="450"/>
      <c r="AI257" s="450"/>
      <c r="AJ257" s="450"/>
      <c r="AK257" s="450"/>
    </row>
    <row r="258">
      <c r="A258" s="450"/>
      <c r="B258" s="450"/>
      <c r="C258" s="455"/>
      <c r="D258" s="450"/>
      <c r="E258" s="450"/>
      <c r="F258" s="450"/>
      <c r="G258" s="450"/>
      <c r="H258" s="450"/>
      <c r="I258" s="450"/>
      <c r="J258" s="450"/>
      <c r="K258" s="450"/>
      <c r="L258" s="450"/>
      <c r="M258" s="450"/>
      <c r="N258" s="450"/>
      <c r="O258" s="450"/>
      <c r="P258" s="450"/>
      <c r="Q258" s="450"/>
      <c r="R258" s="450"/>
      <c r="S258" s="450"/>
      <c r="T258" s="450"/>
      <c r="U258" s="450"/>
      <c r="V258" s="450"/>
      <c r="W258" s="450"/>
      <c r="X258" s="450"/>
      <c r="Y258" s="450"/>
      <c r="Z258" s="450"/>
      <c r="AA258" s="450"/>
      <c r="AB258" s="450"/>
      <c r="AC258" s="450"/>
      <c r="AD258" s="450"/>
      <c r="AE258" s="450"/>
      <c r="AF258" s="450"/>
      <c r="AG258" s="450"/>
      <c r="AH258" s="450"/>
      <c r="AI258" s="450"/>
      <c r="AJ258" s="450"/>
      <c r="AK258" s="450"/>
    </row>
    <row r="259">
      <c r="A259" s="450"/>
      <c r="B259" s="450"/>
      <c r="C259" s="455"/>
      <c r="D259" s="450"/>
      <c r="E259" s="450"/>
      <c r="F259" s="450"/>
      <c r="G259" s="450"/>
      <c r="H259" s="450"/>
      <c r="I259" s="450"/>
      <c r="J259" s="450"/>
      <c r="K259" s="450"/>
      <c r="L259" s="450"/>
      <c r="M259" s="450"/>
      <c r="N259" s="450"/>
      <c r="O259" s="450"/>
      <c r="P259" s="450"/>
      <c r="Q259" s="450"/>
      <c r="R259" s="450"/>
      <c r="S259" s="450"/>
      <c r="T259" s="450"/>
      <c r="U259" s="450"/>
      <c r="V259" s="450"/>
      <c r="W259" s="450"/>
      <c r="X259" s="450"/>
      <c r="Y259" s="450"/>
      <c r="Z259" s="450"/>
      <c r="AA259" s="450"/>
      <c r="AB259" s="450"/>
      <c r="AC259" s="450"/>
      <c r="AD259" s="450"/>
      <c r="AE259" s="450"/>
      <c r="AF259" s="450"/>
      <c r="AG259" s="450"/>
      <c r="AH259" s="450"/>
      <c r="AI259" s="450"/>
      <c r="AJ259" s="450"/>
      <c r="AK259" s="450"/>
    </row>
    <row r="260">
      <c r="A260" s="450"/>
      <c r="B260" s="450"/>
      <c r="C260" s="455"/>
      <c r="D260" s="450"/>
      <c r="E260" s="450"/>
      <c r="F260" s="450"/>
      <c r="G260" s="450"/>
      <c r="H260" s="450"/>
      <c r="I260" s="450"/>
      <c r="J260" s="450"/>
      <c r="K260" s="450"/>
      <c r="L260" s="450"/>
      <c r="M260" s="450"/>
      <c r="N260" s="450"/>
      <c r="O260" s="450"/>
      <c r="P260" s="450"/>
      <c r="Q260" s="450"/>
      <c r="R260" s="450"/>
      <c r="S260" s="450"/>
      <c r="T260" s="450"/>
      <c r="U260" s="450"/>
      <c r="V260" s="450"/>
      <c r="W260" s="450"/>
      <c r="X260" s="450"/>
      <c r="Y260" s="450"/>
      <c r="Z260" s="450"/>
      <c r="AA260" s="450"/>
      <c r="AB260" s="450"/>
      <c r="AC260" s="450"/>
      <c r="AD260" s="450"/>
      <c r="AE260" s="450"/>
      <c r="AF260" s="450"/>
      <c r="AG260" s="450"/>
      <c r="AH260" s="450"/>
      <c r="AI260" s="450"/>
      <c r="AJ260" s="450"/>
      <c r="AK260" s="450"/>
    </row>
    <row r="261">
      <c r="A261" s="450"/>
      <c r="B261" s="450"/>
      <c r="C261" s="455"/>
      <c r="D261" s="450"/>
      <c r="E261" s="450"/>
      <c r="F261" s="450"/>
      <c r="G261" s="450"/>
      <c r="H261" s="450"/>
      <c r="I261" s="450"/>
      <c r="J261" s="450"/>
      <c r="K261" s="450"/>
      <c r="L261" s="450"/>
      <c r="M261" s="450"/>
      <c r="N261" s="450"/>
      <c r="O261" s="450"/>
      <c r="P261" s="450"/>
      <c r="Q261" s="450"/>
      <c r="R261" s="450"/>
      <c r="S261" s="450"/>
      <c r="T261" s="450"/>
      <c r="U261" s="450"/>
      <c r="V261" s="450"/>
      <c r="W261" s="450"/>
      <c r="X261" s="450"/>
      <c r="Y261" s="450"/>
      <c r="Z261" s="450"/>
      <c r="AA261" s="450"/>
      <c r="AB261" s="450"/>
      <c r="AC261" s="450"/>
      <c r="AD261" s="450"/>
      <c r="AE261" s="450"/>
      <c r="AF261" s="450"/>
      <c r="AG261" s="450"/>
      <c r="AH261" s="450"/>
      <c r="AI261" s="450"/>
      <c r="AJ261" s="450"/>
      <c r="AK261" s="450"/>
    </row>
    <row r="262">
      <c r="A262" s="450"/>
      <c r="B262" s="450"/>
      <c r="C262" s="455"/>
      <c r="D262" s="450"/>
      <c r="E262" s="450"/>
      <c r="F262" s="450"/>
      <c r="G262" s="450"/>
      <c r="H262" s="450"/>
      <c r="I262" s="450"/>
      <c r="J262" s="450"/>
      <c r="K262" s="450"/>
      <c r="L262" s="450"/>
      <c r="M262" s="450"/>
      <c r="N262" s="450"/>
      <c r="O262" s="450"/>
      <c r="P262" s="450"/>
      <c r="Q262" s="450"/>
      <c r="R262" s="450"/>
      <c r="S262" s="450"/>
      <c r="T262" s="450"/>
      <c r="U262" s="450"/>
      <c r="V262" s="450"/>
      <c r="W262" s="450"/>
      <c r="X262" s="450"/>
      <c r="Y262" s="450"/>
      <c r="Z262" s="450"/>
      <c r="AA262" s="450"/>
      <c r="AB262" s="450"/>
      <c r="AC262" s="450"/>
      <c r="AD262" s="450"/>
      <c r="AE262" s="450"/>
      <c r="AF262" s="450"/>
      <c r="AG262" s="450"/>
      <c r="AH262" s="450"/>
      <c r="AI262" s="450"/>
      <c r="AJ262" s="450"/>
      <c r="AK262" s="450"/>
    </row>
    <row r="263">
      <c r="A263" s="450"/>
      <c r="B263" s="450"/>
      <c r="C263" s="455"/>
      <c r="D263" s="450"/>
      <c r="E263" s="450"/>
      <c r="F263" s="450"/>
      <c r="G263" s="450"/>
      <c r="H263" s="450"/>
      <c r="I263" s="450"/>
      <c r="J263" s="450"/>
      <c r="K263" s="450"/>
      <c r="L263" s="450"/>
      <c r="M263" s="450"/>
      <c r="N263" s="450"/>
      <c r="O263" s="450"/>
      <c r="P263" s="450"/>
      <c r="Q263" s="450"/>
      <c r="R263" s="450"/>
      <c r="S263" s="450"/>
      <c r="T263" s="450"/>
      <c r="U263" s="450"/>
      <c r="V263" s="450"/>
      <c r="W263" s="450"/>
      <c r="X263" s="450"/>
      <c r="Y263" s="450"/>
      <c r="Z263" s="450"/>
      <c r="AA263" s="450"/>
      <c r="AB263" s="450"/>
      <c r="AC263" s="450"/>
      <c r="AD263" s="450"/>
      <c r="AE263" s="450"/>
      <c r="AF263" s="450"/>
      <c r="AG263" s="450"/>
      <c r="AH263" s="450"/>
      <c r="AI263" s="450"/>
      <c r="AJ263" s="450"/>
      <c r="AK263" s="450"/>
    </row>
    <row r="264">
      <c r="A264" s="450"/>
      <c r="B264" s="450"/>
      <c r="C264" s="455"/>
      <c r="D264" s="450"/>
      <c r="E264" s="450"/>
      <c r="F264" s="450"/>
      <c r="G264" s="450"/>
      <c r="H264" s="450"/>
      <c r="I264" s="450"/>
      <c r="J264" s="450"/>
      <c r="K264" s="450"/>
      <c r="L264" s="450"/>
      <c r="M264" s="450"/>
      <c r="N264" s="450"/>
      <c r="O264" s="450"/>
      <c r="P264" s="450"/>
      <c r="Q264" s="450"/>
      <c r="R264" s="450"/>
      <c r="S264" s="450"/>
      <c r="T264" s="450"/>
      <c r="U264" s="450"/>
      <c r="V264" s="450"/>
      <c r="W264" s="450"/>
      <c r="X264" s="450"/>
      <c r="Y264" s="450"/>
      <c r="Z264" s="450"/>
      <c r="AA264" s="450"/>
      <c r="AB264" s="450"/>
      <c r="AC264" s="450"/>
      <c r="AD264" s="450"/>
      <c r="AE264" s="450"/>
      <c r="AF264" s="450"/>
      <c r="AG264" s="450"/>
      <c r="AH264" s="450"/>
      <c r="AI264" s="450"/>
      <c r="AJ264" s="450"/>
      <c r="AK264" s="450"/>
    </row>
    <row r="265">
      <c r="A265" s="450"/>
      <c r="B265" s="450"/>
      <c r="C265" s="455"/>
      <c r="D265" s="450"/>
      <c r="E265" s="450"/>
      <c r="F265" s="450"/>
      <c r="G265" s="450"/>
      <c r="H265" s="450"/>
      <c r="I265" s="450"/>
      <c r="J265" s="450"/>
      <c r="K265" s="450"/>
      <c r="L265" s="450"/>
      <c r="M265" s="450"/>
      <c r="N265" s="450"/>
      <c r="O265" s="450"/>
      <c r="P265" s="450"/>
      <c r="Q265" s="450"/>
      <c r="R265" s="450"/>
      <c r="S265" s="450"/>
      <c r="T265" s="450"/>
      <c r="U265" s="450"/>
      <c r="V265" s="450"/>
      <c r="W265" s="450"/>
      <c r="X265" s="450"/>
      <c r="Y265" s="450"/>
      <c r="Z265" s="450"/>
      <c r="AA265" s="450"/>
      <c r="AB265" s="450"/>
      <c r="AC265" s="450"/>
      <c r="AD265" s="450"/>
      <c r="AE265" s="450"/>
      <c r="AF265" s="450"/>
      <c r="AG265" s="450"/>
      <c r="AH265" s="450"/>
      <c r="AI265" s="450"/>
      <c r="AJ265" s="450"/>
      <c r="AK265" s="450"/>
    </row>
    <row r="266">
      <c r="A266" s="450"/>
      <c r="B266" s="450"/>
      <c r="C266" s="455"/>
      <c r="D266" s="450"/>
      <c r="E266" s="450"/>
      <c r="F266" s="450"/>
      <c r="G266" s="450"/>
      <c r="H266" s="450"/>
      <c r="I266" s="450"/>
      <c r="J266" s="450"/>
      <c r="K266" s="450"/>
      <c r="L266" s="450"/>
      <c r="M266" s="450"/>
      <c r="N266" s="450"/>
      <c r="O266" s="450"/>
      <c r="P266" s="450"/>
      <c r="Q266" s="450"/>
      <c r="R266" s="450"/>
      <c r="S266" s="450"/>
      <c r="T266" s="450"/>
      <c r="U266" s="450"/>
      <c r="V266" s="450"/>
      <c r="W266" s="450"/>
      <c r="X266" s="450"/>
      <c r="Y266" s="450"/>
      <c r="Z266" s="450"/>
      <c r="AA266" s="450"/>
      <c r="AB266" s="450"/>
      <c r="AC266" s="450"/>
      <c r="AD266" s="450"/>
      <c r="AE266" s="450"/>
      <c r="AF266" s="450"/>
      <c r="AG266" s="450"/>
      <c r="AH266" s="450"/>
      <c r="AI266" s="450"/>
      <c r="AJ266" s="450"/>
      <c r="AK266" s="450"/>
    </row>
    <row r="267">
      <c r="A267" s="450"/>
      <c r="B267" s="450"/>
      <c r="C267" s="455"/>
      <c r="D267" s="450"/>
      <c r="E267" s="450"/>
      <c r="F267" s="450"/>
      <c r="G267" s="450"/>
      <c r="H267" s="450"/>
      <c r="I267" s="450"/>
      <c r="J267" s="450"/>
      <c r="K267" s="450"/>
      <c r="L267" s="450"/>
      <c r="M267" s="450"/>
      <c r="N267" s="450"/>
      <c r="O267" s="450"/>
      <c r="P267" s="450"/>
      <c r="Q267" s="450"/>
      <c r="R267" s="450"/>
      <c r="S267" s="450"/>
      <c r="T267" s="450"/>
      <c r="U267" s="450"/>
      <c r="V267" s="450"/>
      <c r="W267" s="450"/>
      <c r="X267" s="450"/>
      <c r="Y267" s="450"/>
      <c r="Z267" s="450"/>
      <c r="AA267" s="450"/>
      <c r="AB267" s="450"/>
      <c r="AC267" s="450"/>
      <c r="AD267" s="450"/>
      <c r="AE267" s="450"/>
      <c r="AF267" s="450"/>
      <c r="AG267" s="450"/>
      <c r="AH267" s="450"/>
      <c r="AI267" s="450"/>
      <c r="AJ267" s="450"/>
      <c r="AK267" s="450"/>
    </row>
    <row r="268">
      <c r="A268" s="450"/>
      <c r="B268" s="450"/>
      <c r="C268" s="455"/>
      <c r="D268" s="450"/>
      <c r="E268" s="450"/>
      <c r="F268" s="450"/>
      <c r="G268" s="450"/>
      <c r="H268" s="450"/>
      <c r="I268" s="450"/>
      <c r="J268" s="450"/>
      <c r="K268" s="450"/>
      <c r="L268" s="450"/>
      <c r="M268" s="450"/>
      <c r="N268" s="450"/>
      <c r="O268" s="450"/>
      <c r="P268" s="450"/>
      <c r="Q268" s="450"/>
      <c r="R268" s="450"/>
      <c r="S268" s="450"/>
      <c r="T268" s="450"/>
      <c r="U268" s="450"/>
      <c r="V268" s="450"/>
      <c r="W268" s="450"/>
      <c r="X268" s="450"/>
      <c r="Y268" s="450"/>
      <c r="Z268" s="450"/>
      <c r="AA268" s="450"/>
      <c r="AB268" s="450"/>
      <c r="AC268" s="450"/>
      <c r="AD268" s="450"/>
      <c r="AE268" s="450"/>
      <c r="AF268" s="450"/>
      <c r="AG268" s="450"/>
      <c r="AH268" s="450"/>
      <c r="AI268" s="450"/>
      <c r="AJ268" s="450"/>
      <c r="AK268" s="450"/>
    </row>
    <row r="269">
      <c r="A269" s="450"/>
      <c r="B269" s="450"/>
      <c r="C269" s="455"/>
      <c r="D269" s="450"/>
      <c r="E269" s="450"/>
      <c r="F269" s="450"/>
      <c r="G269" s="450"/>
      <c r="H269" s="450"/>
      <c r="I269" s="450"/>
      <c r="J269" s="450"/>
      <c r="K269" s="450"/>
      <c r="L269" s="450"/>
      <c r="M269" s="450"/>
      <c r="N269" s="450"/>
      <c r="O269" s="450"/>
      <c r="P269" s="450"/>
      <c r="Q269" s="450"/>
      <c r="R269" s="450"/>
      <c r="S269" s="450"/>
      <c r="T269" s="450"/>
      <c r="U269" s="450"/>
      <c r="V269" s="450"/>
      <c r="W269" s="450"/>
      <c r="X269" s="450"/>
      <c r="Y269" s="450"/>
      <c r="Z269" s="450"/>
      <c r="AA269" s="450"/>
      <c r="AB269" s="450"/>
      <c r="AC269" s="450"/>
      <c r="AD269" s="450"/>
      <c r="AE269" s="450"/>
      <c r="AF269" s="450"/>
      <c r="AG269" s="450"/>
      <c r="AH269" s="450"/>
      <c r="AI269" s="450"/>
      <c r="AJ269" s="450"/>
      <c r="AK269" s="450"/>
    </row>
    <row r="270">
      <c r="A270" s="450"/>
      <c r="B270" s="450"/>
      <c r="C270" s="455"/>
      <c r="D270" s="450"/>
      <c r="E270" s="450"/>
      <c r="F270" s="450"/>
      <c r="G270" s="450"/>
      <c r="H270" s="450"/>
      <c r="I270" s="450"/>
      <c r="J270" s="450"/>
      <c r="K270" s="450"/>
      <c r="L270" s="450"/>
      <c r="M270" s="450"/>
      <c r="N270" s="450"/>
      <c r="O270" s="450"/>
      <c r="P270" s="450"/>
      <c r="Q270" s="450"/>
      <c r="R270" s="450"/>
      <c r="S270" s="450"/>
      <c r="T270" s="450"/>
      <c r="U270" s="450"/>
      <c r="V270" s="450"/>
      <c r="W270" s="450"/>
      <c r="X270" s="450"/>
      <c r="Y270" s="450"/>
      <c r="Z270" s="450"/>
      <c r="AA270" s="450"/>
      <c r="AB270" s="450"/>
      <c r="AC270" s="450"/>
      <c r="AD270" s="450"/>
      <c r="AE270" s="450"/>
      <c r="AF270" s="450"/>
      <c r="AG270" s="450"/>
      <c r="AH270" s="450"/>
      <c r="AI270" s="450"/>
      <c r="AJ270" s="450"/>
      <c r="AK270" s="450"/>
    </row>
    <row r="271">
      <c r="A271" s="450"/>
      <c r="B271" s="450"/>
      <c r="C271" s="455"/>
      <c r="D271" s="450"/>
      <c r="E271" s="450"/>
      <c r="F271" s="450"/>
      <c r="G271" s="450"/>
      <c r="H271" s="450"/>
      <c r="I271" s="450"/>
      <c r="J271" s="450"/>
      <c r="K271" s="450"/>
      <c r="L271" s="450"/>
      <c r="M271" s="450"/>
      <c r="N271" s="450"/>
      <c r="O271" s="450"/>
      <c r="P271" s="450"/>
      <c r="Q271" s="450"/>
      <c r="R271" s="450"/>
      <c r="S271" s="450"/>
      <c r="T271" s="450"/>
      <c r="U271" s="450"/>
      <c r="V271" s="450"/>
      <c r="W271" s="450"/>
      <c r="X271" s="450"/>
      <c r="Y271" s="450"/>
      <c r="Z271" s="450"/>
      <c r="AA271" s="450"/>
      <c r="AB271" s="450"/>
      <c r="AC271" s="450"/>
      <c r="AD271" s="450"/>
      <c r="AE271" s="450"/>
      <c r="AF271" s="450"/>
      <c r="AG271" s="450"/>
      <c r="AH271" s="450"/>
      <c r="AI271" s="450"/>
      <c r="AJ271" s="450"/>
      <c r="AK271" s="450"/>
    </row>
    <row r="272">
      <c r="A272" s="450"/>
      <c r="B272" s="450"/>
      <c r="C272" s="455"/>
      <c r="D272" s="450"/>
      <c r="E272" s="450"/>
      <c r="F272" s="450"/>
      <c r="G272" s="450"/>
      <c r="H272" s="450"/>
      <c r="I272" s="450"/>
      <c r="J272" s="450"/>
      <c r="K272" s="450"/>
      <c r="L272" s="450"/>
      <c r="M272" s="450"/>
      <c r="N272" s="450"/>
      <c r="O272" s="450"/>
      <c r="P272" s="450"/>
      <c r="Q272" s="450"/>
      <c r="R272" s="450"/>
      <c r="S272" s="450"/>
      <c r="T272" s="450"/>
      <c r="U272" s="450"/>
      <c r="V272" s="450"/>
      <c r="W272" s="450"/>
      <c r="X272" s="450"/>
      <c r="Y272" s="450"/>
      <c r="Z272" s="450"/>
      <c r="AA272" s="450"/>
      <c r="AB272" s="450"/>
      <c r="AC272" s="450"/>
      <c r="AD272" s="450"/>
      <c r="AE272" s="450"/>
      <c r="AF272" s="450"/>
      <c r="AG272" s="450"/>
      <c r="AH272" s="450"/>
      <c r="AI272" s="450"/>
      <c r="AJ272" s="450"/>
      <c r="AK272" s="450"/>
    </row>
    <row r="273">
      <c r="A273" s="450"/>
      <c r="B273" s="450"/>
      <c r="C273" s="455"/>
      <c r="D273" s="450"/>
      <c r="E273" s="450"/>
      <c r="F273" s="450"/>
      <c r="G273" s="450"/>
      <c r="H273" s="450"/>
      <c r="I273" s="450"/>
      <c r="J273" s="450"/>
      <c r="K273" s="450"/>
      <c r="L273" s="450"/>
      <c r="M273" s="450"/>
      <c r="N273" s="450"/>
      <c r="O273" s="450"/>
      <c r="P273" s="450"/>
      <c r="Q273" s="450"/>
      <c r="R273" s="450"/>
      <c r="S273" s="450"/>
      <c r="T273" s="450"/>
      <c r="U273" s="450"/>
      <c r="V273" s="450"/>
      <c r="W273" s="450"/>
      <c r="X273" s="450"/>
      <c r="Y273" s="450"/>
      <c r="Z273" s="450"/>
      <c r="AA273" s="450"/>
      <c r="AB273" s="450"/>
      <c r="AC273" s="450"/>
      <c r="AD273" s="450"/>
      <c r="AE273" s="450"/>
      <c r="AF273" s="450"/>
      <c r="AG273" s="450"/>
      <c r="AH273" s="450"/>
      <c r="AI273" s="450"/>
      <c r="AJ273" s="450"/>
      <c r="AK273" s="450"/>
    </row>
    <row r="274">
      <c r="A274" s="450"/>
      <c r="B274" s="450"/>
      <c r="C274" s="455"/>
      <c r="D274" s="450"/>
      <c r="E274" s="450"/>
      <c r="F274" s="450"/>
      <c r="G274" s="450"/>
      <c r="H274" s="450"/>
      <c r="I274" s="450"/>
      <c r="J274" s="450"/>
      <c r="K274" s="450"/>
      <c r="L274" s="450"/>
      <c r="M274" s="450"/>
      <c r="N274" s="450"/>
      <c r="O274" s="450"/>
      <c r="P274" s="450"/>
      <c r="Q274" s="450"/>
      <c r="R274" s="450"/>
      <c r="S274" s="450"/>
      <c r="T274" s="450"/>
      <c r="U274" s="450"/>
      <c r="V274" s="450"/>
      <c r="W274" s="450"/>
      <c r="X274" s="450"/>
      <c r="Y274" s="450"/>
      <c r="Z274" s="450"/>
      <c r="AA274" s="450"/>
      <c r="AB274" s="450"/>
      <c r="AC274" s="450"/>
      <c r="AD274" s="450"/>
      <c r="AE274" s="450"/>
      <c r="AF274" s="450"/>
      <c r="AG274" s="450"/>
      <c r="AH274" s="450"/>
      <c r="AI274" s="450"/>
      <c r="AJ274" s="450"/>
      <c r="AK274" s="450"/>
    </row>
    <row r="275">
      <c r="A275" s="450"/>
      <c r="B275" s="450"/>
      <c r="C275" s="455"/>
      <c r="D275" s="450"/>
      <c r="E275" s="450"/>
      <c r="F275" s="450"/>
      <c r="G275" s="450"/>
      <c r="H275" s="450"/>
      <c r="I275" s="450"/>
      <c r="J275" s="450"/>
      <c r="K275" s="450"/>
      <c r="L275" s="450"/>
      <c r="M275" s="450"/>
      <c r="N275" s="450"/>
      <c r="O275" s="450"/>
      <c r="P275" s="450"/>
      <c r="Q275" s="450"/>
      <c r="R275" s="450"/>
      <c r="S275" s="450"/>
      <c r="T275" s="450"/>
      <c r="U275" s="450"/>
      <c r="V275" s="450"/>
      <c r="W275" s="450"/>
      <c r="X275" s="450"/>
      <c r="Y275" s="450"/>
      <c r="Z275" s="450"/>
      <c r="AA275" s="450"/>
      <c r="AB275" s="450"/>
      <c r="AC275" s="450"/>
      <c r="AD275" s="450"/>
      <c r="AE275" s="450"/>
      <c r="AF275" s="450"/>
      <c r="AG275" s="450"/>
      <c r="AH275" s="450"/>
      <c r="AI275" s="450"/>
      <c r="AJ275" s="450"/>
      <c r="AK275" s="450"/>
    </row>
    <row r="276">
      <c r="A276" s="450"/>
      <c r="B276" s="450"/>
      <c r="C276" s="455"/>
      <c r="D276" s="450"/>
      <c r="E276" s="450"/>
      <c r="F276" s="450"/>
      <c r="G276" s="450"/>
      <c r="H276" s="450"/>
      <c r="I276" s="450"/>
      <c r="J276" s="450"/>
      <c r="K276" s="450"/>
      <c r="L276" s="450"/>
      <c r="M276" s="450"/>
      <c r="N276" s="450"/>
      <c r="O276" s="450"/>
      <c r="P276" s="450"/>
      <c r="Q276" s="450"/>
      <c r="R276" s="450"/>
      <c r="S276" s="450"/>
      <c r="T276" s="450"/>
      <c r="U276" s="450"/>
      <c r="V276" s="450"/>
      <c r="W276" s="450"/>
      <c r="X276" s="450"/>
      <c r="Y276" s="450"/>
      <c r="Z276" s="450"/>
      <c r="AA276" s="450"/>
      <c r="AB276" s="450"/>
      <c r="AC276" s="450"/>
      <c r="AD276" s="450"/>
      <c r="AE276" s="450"/>
      <c r="AF276" s="450"/>
      <c r="AG276" s="450"/>
      <c r="AH276" s="450"/>
      <c r="AI276" s="450"/>
      <c r="AJ276" s="450"/>
      <c r="AK276" s="450"/>
    </row>
    <row r="277">
      <c r="A277" s="450"/>
      <c r="B277" s="450"/>
      <c r="C277" s="455"/>
      <c r="D277" s="450"/>
      <c r="E277" s="450"/>
      <c r="F277" s="450"/>
      <c r="G277" s="450"/>
      <c r="H277" s="450"/>
      <c r="I277" s="450"/>
      <c r="J277" s="450"/>
      <c r="K277" s="450"/>
      <c r="L277" s="450"/>
      <c r="M277" s="450"/>
      <c r="N277" s="450"/>
      <c r="O277" s="450"/>
      <c r="P277" s="450"/>
      <c r="Q277" s="450"/>
      <c r="R277" s="450"/>
      <c r="S277" s="450"/>
      <c r="T277" s="450"/>
      <c r="U277" s="450"/>
      <c r="V277" s="450"/>
      <c r="W277" s="450"/>
      <c r="X277" s="450"/>
      <c r="Y277" s="450"/>
      <c r="Z277" s="450"/>
      <c r="AA277" s="450"/>
      <c r="AB277" s="450"/>
      <c r="AC277" s="450"/>
      <c r="AD277" s="450"/>
      <c r="AE277" s="450"/>
      <c r="AF277" s="450"/>
      <c r="AG277" s="450"/>
      <c r="AH277" s="450"/>
      <c r="AI277" s="450"/>
      <c r="AJ277" s="450"/>
      <c r="AK277" s="450"/>
    </row>
    <row r="278">
      <c r="A278" s="450"/>
      <c r="B278" s="450"/>
      <c r="C278" s="455"/>
      <c r="D278" s="450"/>
      <c r="E278" s="450"/>
      <c r="F278" s="450"/>
      <c r="G278" s="450"/>
      <c r="H278" s="450"/>
      <c r="I278" s="450"/>
      <c r="J278" s="450"/>
      <c r="K278" s="450"/>
      <c r="L278" s="450"/>
      <c r="M278" s="450"/>
      <c r="N278" s="450"/>
      <c r="O278" s="450"/>
      <c r="P278" s="450"/>
      <c r="Q278" s="450"/>
      <c r="R278" s="450"/>
      <c r="S278" s="450"/>
      <c r="T278" s="450"/>
      <c r="U278" s="450"/>
      <c r="V278" s="450"/>
      <c r="W278" s="450"/>
      <c r="X278" s="450"/>
      <c r="Y278" s="450"/>
      <c r="Z278" s="450"/>
      <c r="AA278" s="450"/>
      <c r="AB278" s="450"/>
      <c r="AC278" s="450"/>
      <c r="AD278" s="450"/>
      <c r="AE278" s="450"/>
      <c r="AF278" s="450"/>
      <c r="AG278" s="450"/>
      <c r="AH278" s="450"/>
      <c r="AI278" s="450"/>
      <c r="AJ278" s="450"/>
      <c r="AK278" s="450"/>
    </row>
    <row r="279">
      <c r="A279" s="450"/>
      <c r="B279" s="450"/>
      <c r="C279" s="455"/>
      <c r="D279" s="450"/>
      <c r="E279" s="450"/>
      <c r="F279" s="450"/>
      <c r="G279" s="450"/>
      <c r="H279" s="450"/>
      <c r="I279" s="450"/>
      <c r="J279" s="450"/>
      <c r="K279" s="450"/>
      <c r="L279" s="450"/>
      <c r="M279" s="450"/>
      <c r="N279" s="450"/>
      <c r="O279" s="450"/>
      <c r="P279" s="450"/>
      <c r="Q279" s="450"/>
      <c r="R279" s="450"/>
      <c r="S279" s="450"/>
      <c r="T279" s="450"/>
      <c r="U279" s="450"/>
      <c r="V279" s="450"/>
      <c r="W279" s="450"/>
      <c r="X279" s="450"/>
      <c r="Y279" s="450"/>
      <c r="Z279" s="450"/>
      <c r="AA279" s="450"/>
      <c r="AB279" s="450"/>
      <c r="AC279" s="450"/>
      <c r="AD279" s="450"/>
      <c r="AE279" s="450"/>
      <c r="AF279" s="450"/>
      <c r="AG279" s="450"/>
      <c r="AH279" s="450"/>
      <c r="AI279" s="450"/>
      <c r="AJ279" s="450"/>
      <c r="AK279" s="450"/>
    </row>
    <row r="280">
      <c r="A280" s="450"/>
      <c r="B280" s="450"/>
      <c r="C280" s="455"/>
      <c r="D280" s="450"/>
      <c r="E280" s="450"/>
      <c r="F280" s="450"/>
      <c r="G280" s="450"/>
      <c r="H280" s="450"/>
      <c r="I280" s="450"/>
      <c r="J280" s="450"/>
      <c r="K280" s="450"/>
      <c r="L280" s="450"/>
      <c r="M280" s="450"/>
      <c r="N280" s="450"/>
      <c r="O280" s="450"/>
      <c r="P280" s="450"/>
      <c r="Q280" s="450"/>
      <c r="R280" s="450"/>
      <c r="S280" s="450"/>
      <c r="T280" s="450"/>
      <c r="U280" s="450"/>
      <c r="V280" s="450"/>
      <c r="W280" s="450"/>
      <c r="X280" s="450"/>
      <c r="Y280" s="450"/>
      <c r="Z280" s="450"/>
      <c r="AA280" s="450"/>
      <c r="AB280" s="450"/>
      <c r="AC280" s="450"/>
      <c r="AD280" s="450"/>
      <c r="AE280" s="450"/>
      <c r="AF280" s="450"/>
      <c r="AG280" s="450"/>
      <c r="AH280" s="450"/>
      <c r="AI280" s="450"/>
      <c r="AJ280" s="450"/>
      <c r="AK280" s="450"/>
    </row>
    <row r="281">
      <c r="A281" s="450"/>
      <c r="B281" s="450"/>
      <c r="C281" s="455"/>
      <c r="D281" s="450"/>
      <c r="E281" s="450"/>
      <c r="F281" s="450"/>
      <c r="G281" s="450"/>
      <c r="H281" s="450"/>
      <c r="I281" s="450"/>
      <c r="J281" s="450"/>
      <c r="K281" s="450"/>
      <c r="L281" s="450"/>
      <c r="M281" s="450"/>
      <c r="N281" s="450"/>
      <c r="O281" s="450"/>
      <c r="P281" s="450"/>
      <c r="Q281" s="450"/>
      <c r="R281" s="450"/>
      <c r="S281" s="450"/>
      <c r="T281" s="450"/>
      <c r="U281" s="450"/>
      <c r="V281" s="450"/>
      <c r="W281" s="450"/>
      <c r="X281" s="450"/>
      <c r="Y281" s="450"/>
      <c r="Z281" s="450"/>
      <c r="AA281" s="450"/>
      <c r="AB281" s="450"/>
      <c r="AC281" s="450"/>
      <c r="AD281" s="450"/>
      <c r="AE281" s="450"/>
      <c r="AF281" s="450"/>
      <c r="AG281" s="450"/>
      <c r="AH281" s="450"/>
      <c r="AI281" s="450"/>
      <c r="AJ281" s="450"/>
      <c r="AK281" s="450"/>
    </row>
    <row r="282">
      <c r="A282" s="450"/>
      <c r="B282" s="450"/>
      <c r="C282" s="455"/>
      <c r="D282" s="450"/>
      <c r="E282" s="450"/>
      <c r="F282" s="450"/>
      <c r="G282" s="450"/>
      <c r="H282" s="450"/>
      <c r="I282" s="450"/>
      <c r="J282" s="450"/>
      <c r="K282" s="450"/>
      <c r="L282" s="450"/>
      <c r="M282" s="450"/>
      <c r="N282" s="450"/>
      <c r="O282" s="450"/>
      <c r="P282" s="450"/>
      <c r="Q282" s="450"/>
      <c r="R282" s="450"/>
      <c r="S282" s="450"/>
      <c r="T282" s="450"/>
      <c r="U282" s="450"/>
      <c r="V282" s="450"/>
      <c r="W282" s="450"/>
      <c r="X282" s="450"/>
      <c r="Y282" s="450"/>
      <c r="Z282" s="450"/>
      <c r="AA282" s="450"/>
      <c r="AB282" s="450"/>
      <c r="AC282" s="450"/>
      <c r="AD282" s="450"/>
      <c r="AE282" s="450"/>
      <c r="AF282" s="450"/>
      <c r="AG282" s="450"/>
      <c r="AH282" s="450"/>
      <c r="AI282" s="450"/>
      <c r="AJ282" s="450"/>
      <c r="AK282" s="450"/>
    </row>
    <row r="283">
      <c r="A283" s="450"/>
      <c r="B283" s="450"/>
      <c r="C283" s="455"/>
      <c r="D283" s="450"/>
      <c r="E283" s="450"/>
      <c r="F283" s="450"/>
      <c r="G283" s="450"/>
      <c r="H283" s="450"/>
      <c r="I283" s="450"/>
      <c r="J283" s="450"/>
      <c r="K283" s="450"/>
      <c r="L283" s="450"/>
      <c r="M283" s="450"/>
      <c r="N283" s="450"/>
      <c r="O283" s="450"/>
      <c r="P283" s="450"/>
      <c r="Q283" s="450"/>
      <c r="R283" s="450"/>
      <c r="S283" s="450"/>
      <c r="T283" s="450"/>
      <c r="U283" s="450"/>
      <c r="V283" s="450"/>
      <c r="W283" s="450"/>
      <c r="X283" s="450"/>
      <c r="Y283" s="450"/>
      <c r="Z283" s="450"/>
      <c r="AA283" s="450"/>
      <c r="AB283" s="450"/>
      <c r="AC283" s="450"/>
      <c r="AD283" s="450"/>
      <c r="AE283" s="450"/>
      <c r="AF283" s="450"/>
      <c r="AG283" s="450"/>
      <c r="AH283" s="450"/>
      <c r="AI283" s="450"/>
      <c r="AJ283" s="450"/>
      <c r="AK283" s="450"/>
    </row>
    <row r="284">
      <c r="A284" s="450"/>
      <c r="B284" s="450"/>
      <c r="C284" s="455"/>
      <c r="D284" s="450"/>
      <c r="E284" s="450"/>
      <c r="F284" s="450"/>
      <c r="G284" s="450"/>
      <c r="H284" s="450"/>
      <c r="I284" s="450"/>
      <c r="J284" s="450"/>
      <c r="K284" s="450"/>
      <c r="L284" s="450"/>
      <c r="M284" s="450"/>
      <c r="N284" s="450"/>
      <c r="O284" s="450"/>
      <c r="P284" s="450"/>
      <c r="Q284" s="450"/>
      <c r="R284" s="450"/>
      <c r="S284" s="450"/>
      <c r="T284" s="450"/>
      <c r="U284" s="450"/>
      <c r="V284" s="450"/>
      <c r="W284" s="450"/>
      <c r="X284" s="450"/>
      <c r="Y284" s="450"/>
      <c r="Z284" s="450"/>
      <c r="AA284" s="450"/>
      <c r="AB284" s="450"/>
      <c r="AC284" s="450"/>
      <c r="AD284" s="450"/>
      <c r="AE284" s="450"/>
      <c r="AF284" s="450"/>
      <c r="AG284" s="450"/>
      <c r="AH284" s="450"/>
      <c r="AI284" s="450"/>
      <c r="AJ284" s="450"/>
      <c r="AK284" s="450"/>
    </row>
    <row r="285">
      <c r="A285" s="450"/>
      <c r="B285" s="450"/>
      <c r="C285" s="455"/>
      <c r="D285" s="450"/>
      <c r="E285" s="450"/>
      <c r="F285" s="450"/>
      <c r="G285" s="450"/>
      <c r="H285" s="450"/>
      <c r="I285" s="450"/>
      <c r="J285" s="450"/>
      <c r="K285" s="450"/>
      <c r="L285" s="450"/>
      <c r="M285" s="450"/>
      <c r="N285" s="450"/>
      <c r="O285" s="450"/>
      <c r="P285" s="450"/>
      <c r="Q285" s="450"/>
      <c r="R285" s="450"/>
      <c r="S285" s="450"/>
      <c r="T285" s="450"/>
      <c r="U285" s="450"/>
      <c r="V285" s="450"/>
      <c r="W285" s="450"/>
      <c r="X285" s="450"/>
      <c r="Y285" s="450"/>
      <c r="Z285" s="450"/>
      <c r="AA285" s="450"/>
      <c r="AB285" s="450"/>
      <c r="AC285" s="450"/>
      <c r="AD285" s="450"/>
      <c r="AE285" s="450"/>
      <c r="AF285" s="450"/>
      <c r="AG285" s="450"/>
      <c r="AH285" s="450"/>
      <c r="AI285" s="450"/>
      <c r="AJ285" s="450"/>
      <c r="AK285" s="450"/>
    </row>
    <row r="286">
      <c r="A286" s="450"/>
      <c r="B286" s="450"/>
      <c r="C286" s="455"/>
      <c r="D286" s="450"/>
      <c r="E286" s="450"/>
      <c r="F286" s="450"/>
      <c r="G286" s="450"/>
      <c r="H286" s="450"/>
      <c r="I286" s="450"/>
      <c r="J286" s="450"/>
      <c r="K286" s="450"/>
      <c r="L286" s="450"/>
      <c r="M286" s="450"/>
      <c r="N286" s="450"/>
      <c r="O286" s="450"/>
      <c r="P286" s="450"/>
      <c r="Q286" s="450"/>
      <c r="R286" s="450"/>
      <c r="S286" s="450"/>
      <c r="T286" s="450"/>
      <c r="U286" s="450"/>
      <c r="V286" s="450"/>
      <c r="W286" s="450"/>
      <c r="X286" s="450"/>
      <c r="Y286" s="450"/>
      <c r="Z286" s="450"/>
      <c r="AA286" s="450"/>
      <c r="AB286" s="450"/>
      <c r="AC286" s="450"/>
      <c r="AD286" s="450"/>
      <c r="AE286" s="450"/>
      <c r="AF286" s="450"/>
      <c r="AG286" s="450"/>
      <c r="AH286" s="450"/>
      <c r="AI286" s="450"/>
      <c r="AJ286" s="450"/>
      <c r="AK286" s="450"/>
    </row>
    <row r="287">
      <c r="A287" s="450"/>
      <c r="B287" s="450"/>
      <c r="C287" s="455"/>
      <c r="D287" s="450"/>
      <c r="E287" s="450"/>
      <c r="F287" s="450"/>
      <c r="G287" s="450"/>
      <c r="H287" s="450"/>
      <c r="I287" s="450"/>
      <c r="J287" s="450"/>
      <c r="K287" s="450"/>
      <c r="L287" s="450"/>
      <c r="M287" s="450"/>
      <c r="N287" s="450"/>
      <c r="O287" s="450"/>
      <c r="P287" s="450"/>
      <c r="Q287" s="450"/>
      <c r="R287" s="450"/>
      <c r="S287" s="450"/>
      <c r="T287" s="450"/>
      <c r="U287" s="450"/>
      <c r="V287" s="450"/>
      <c r="W287" s="450"/>
      <c r="X287" s="450"/>
      <c r="Y287" s="450"/>
      <c r="Z287" s="450"/>
      <c r="AA287" s="450"/>
      <c r="AB287" s="450"/>
      <c r="AC287" s="450"/>
      <c r="AD287" s="450"/>
      <c r="AE287" s="450"/>
      <c r="AF287" s="450"/>
      <c r="AG287" s="450"/>
      <c r="AH287" s="450"/>
      <c r="AI287" s="450"/>
      <c r="AJ287" s="450"/>
      <c r="AK287" s="450"/>
    </row>
    <row r="288">
      <c r="A288" s="450"/>
      <c r="B288" s="450"/>
      <c r="C288" s="455"/>
      <c r="D288" s="450"/>
      <c r="E288" s="450"/>
      <c r="F288" s="450"/>
      <c r="G288" s="450"/>
      <c r="H288" s="450"/>
      <c r="I288" s="450"/>
      <c r="J288" s="450"/>
      <c r="K288" s="450"/>
      <c r="L288" s="450"/>
      <c r="M288" s="450"/>
      <c r="N288" s="450"/>
      <c r="O288" s="450"/>
      <c r="P288" s="450"/>
      <c r="Q288" s="450"/>
      <c r="R288" s="450"/>
      <c r="S288" s="450"/>
      <c r="T288" s="450"/>
      <c r="U288" s="450"/>
      <c r="V288" s="450"/>
      <c r="W288" s="450"/>
      <c r="X288" s="450"/>
      <c r="Y288" s="450"/>
      <c r="Z288" s="450"/>
      <c r="AA288" s="450"/>
      <c r="AB288" s="450"/>
      <c r="AC288" s="450"/>
      <c r="AD288" s="450"/>
      <c r="AE288" s="450"/>
      <c r="AF288" s="450"/>
      <c r="AG288" s="450"/>
      <c r="AH288" s="450"/>
      <c r="AI288" s="450"/>
      <c r="AJ288" s="450"/>
      <c r="AK288" s="450"/>
    </row>
    <row r="289">
      <c r="A289" s="450"/>
      <c r="B289" s="450"/>
      <c r="C289" s="455"/>
      <c r="D289" s="450"/>
      <c r="E289" s="450"/>
      <c r="F289" s="450"/>
      <c r="G289" s="450"/>
      <c r="H289" s="450"/>
      <c r="I289" s="450"/>
      <c r="J289" s="450"/>
      <c r="K289" s="450"/>
      <c r="L289" s="450"/>
      <c r="M289" s="450"/>
      <c r="N289" s="450"/>
      <c r="O289" s="450"/>
      <c r="P289" s="450"/>
      <c r="Q289" s="450"/>
      <c r="R289" s="450"/>
      <c r="S289" s="450"/>
      <c r="T289" s="450"/>
      <c r="U289" s="450"/>
      <c r="V289" s="450"/>
      <c r="W289" s="450"/>
      <c r="X289" s="450"/>
      <c r="Y289" s="450"/>
      <c r="Z289" s="450"/>
      <c r="AA289" s="450"/>
      <c r="AB289" s="450"/>
      <c r="AC289" s="450"/>
      <c r="AD289" s="450"/>
      <c r="AE289" s="450"/>
      <c r="AF289" s="450"/>
      <c r="AG289" s="450"/>
      <c r="AH289" s="450"/>
      <c r="AI289" s="450"/>
      <c r="AJ289" s="450"/>
      <c r="AK289" s="450"/>
    </row>
    <row r="290">
      <c r="A290" s="450"/>
      <c r="B290" s="450"/>
      <c r="C290" s="455"/>
      <c r="D290" s="450"/>
      <c r="E290" s="450"/>
      <c r="F290" s="450"/>
      <c r="G290" s="450"/>
      <c r="H290" s="450"/>
      <c r="I290" s="450"/>
      <c r="J290" s="450"/>
      <c r="K290" s="450"/>
      <c r="L290" s="450"/>
      <c r="M290" s="450"/>
      <c r="N290" s="450"/>
      <c r="O290" s="450"/>
      <c r="P290" s="450"/>
      <c r="Q290" s="450"/>
      <c r="R290" s="450"/>
      <c r="S290" s="450"/>
      <c r="T290" s="450"/>
      <c r="U290" s="450"/>
      <c r="V290" s="450"/>
      <c r="W290" s="450"/>
      <c r="X290" s="450"/>
      <c r="Y290" s="450"/>
      <c r="Z290" s="450"/>
      <c r="AA290" s="450"/>
      <c r="AB290" s="450"/>
      <c r="AC290" s="450"/>
      <c r="AD290" s="450"/>
      <c r="AE290" s="450"/>
      <c r="AF290" s="450"/>
      <c r="AG290" s="450"/>
      <c r="AH290" s="450"/>
      <c r="AI290" s="450"/>
      <c r="AJ290" s="450"/>
      <c r="AK290" s="450"/>
    </row>
    <row r="291">
      <c r="A291" s="450"/>
      <c r="B291" s="450"/>
      <c r="C291" s="455"/>
      <c r="D291" s="450"/>
      <c r="E291" s="450"/>
      <c r="F291" s="450"/>
      <c r="G291" s="450"/>
      <c r="H291" s="450"/>
      <c r="I291" s="450"/>
      <c r="J291" s="450"/>
      <c r="K291" s="450"/>
      <c r="L291" s="450"/>
      <c r="M291" s="450"/>
      <c r="N291" s="450"/>
      <c r="O291" s="450"/>
      <c r="P291" s="450"/>
      <c r="Q291" s="450"/>
      <c r="R291" s="450"/>
      <c r="S291" s="450"/>
      <c r="T291" s="450"/>
      <c r="U291" s="450"/>
      <c r="V291" s="450"/>
      <c r="W291" s="450"/>
      <c r="X291" s="450"/>
      <c r="Y291" s="450"/>
      <c r="Z291" s="450"/>
      <c r="AA291" s="450"/>
      <c r="AB291" s="450"/>
      <c r="AC291" s="450"/>
      <c r="AD291" s="450"/>
      <c r="AE291" s="450"/>
      <c r="AF291" s="450"/>
      <c r="AG291" s="450"/>
      <c r="AH291" s="450"/>
      <c r="AI291" s="450"/>
      <c r="AJ291" s="450"/>
      <c r="AK291" s="450"/>
    </row>
    <row r="292">
      <c r="A292" s="450"/>
      <c r="B292" s="450"/>
      <c r="C292" s="455"/>
      <c r="D292" s="450"/>
      <c r="E292" s="450"/>
      <c r="F292" s="450"/>
      <c r="G292" s="450"/>
      <c r="H292" s="450"/>
      <c r="I292" s="450"/>
      <c r="J292" s="450"/>
      <c r="K292" s="450"/>
      <c r="L292" s="450"/>
      <c r="M292" s="450"/>
      <c r="N292" s="450"/>
      <c r="O292" s="450"/>
      <c r="P292" s="450"/>
      <c r="Q292" s="450"/>
      <c r="R292" s="450"/>
      <c r="S292" s="450"/>
      <c r="T292" s="450"/>
      <c r="U292" s="450"/>
      <c r="V292" s="450"/>
      <c r="W292" s="450"/>
      <c r="X292" s="450"/>
      <c r="Y292" s="450"/>
      <c r="Z292" s="450"/>
      <c r="AA292" s="450"/>
      <c r="AB292" s="450"/>
      <c r="AC292" s="450"/>
      <c r="AD292" s="450"/>
      <c r="AE292" s="450"/>
      <c r="AF292" s="450"/>
      <c r="AG292" s="450"/>
      <c r="AH292" s="450"/>
      <c r="AI292" s="450"/>
      <c r="AJ292" s="450"/>
      <c r="AK292" s="450"/>
    </row>
    <row r="293">
      <c r="A293" s="450"/>
      <c r="B293" s="450"/>
      <c r="C293" s="455"/>
      <c r="D293" s="450"/>
      <c r="E293" s="450"/>
      <c r="F293" s="450"/>
      <c r="G293" s="450"/>
      <c r="H293" s="450"/>
      <c r="I293" s="450"/>
      <c r="J293" s="450"/>
      <c r="K293" s="450"/>
      <c r="L293" s="450"/>
      <c r="M293" s="450"/>
      <c r="N293" s="450"/>
      <c r="O293" s="450"/>
      <c r="P293" s="450"/>
      <c r="Q293" s="450"/>
      <c r="R293" s="450"/>
      <c r="S293" s="450"/>
      <c r="T293" s="450"/>
      <c r="U293" s="450"/>
      <c r="V293" s="450"/>
      <c r="W293" s="450"/>
      <c r="X293" s="450"/>
      <c r="Y293" s="450"/>
      <c r="Z293" s="450"/>
      <c r="AA293" s="450"/>
      <c r="AB293" s="450"/>
      <c r="AC293" s="450"/>
      <c r="AD293" s="450"/>
      <c r="AE293" s="450"/>
      <c r="AF293" s="450"/>
      <c r="AG293" s="450"/>
      <c r="AH293" s="450"/>
      <c r="AI293" s="450"/>
      <c r="AJ293" s="450"/>
      <c r="AK293" s="450"/>
    </row>
    <row r="294">
      <c r="A294" s="450"/>
      <c r="B294" s="450"/>
      <c r="C294" s="455"/>
      <c r="D294" s="450"/>
      <c r="E294" s="450"/>
      <c r="F294" s="450"/>
      <c r="G294" s="450"/>
      <c r="H294" s="450"/>
      <c r="I294" s="450"/>
      <c r="J294" s="450"/>
      <c r="K294" s="450"/>
      <c r="L294" s="450"/>
      <c r="M294" s="450"/>
      <c r="N294" s="450"/>
      <c r="O294" s="450"/>
      <c r="P294" s="450"/>
      <c r="Q294" s="450"/>
      <c r="R294" s="450"/>
      <c r="S294" s="450"/>
      <c r="T294" s="450"/>
      <c r="U294" s="450"/>
      <c r="V294" s="450"/>
      <c r="W294" s="450"/>
      <c r="X294" s="450"/>
      <c r="Y294" s="450"/>
      <c r="Z294" s="450"/>
      <c r="AA294" s="450"/>
      <c r="AB294" s="450"/>
      <c r="AC294" s="450"/>
      <c r="AD294" s="450"/>
      <c r="AE294" s="450"/>
      <c r="AF294" s="450"/>
      <c r="AG294" s="450"/>
      <c r="AH294" s="450"/>
      <c r="AI294" s="450"/>
      <c r="AJ294" s="450"/>
      <c r="AK294" s="450"/>
    </row>
    <row r="295">
      <c r="A295" s="450"/>
      <c r="B295" s="450"/>
      <c r="C295" s="455"/>
      <c r="D295" s="450"/>
      <c r="E295" s="450"/>
      <c r="F295" s="450"/>
      <c r="G295" s="450"/>
      <c r="H295" s="450"/>
      <c r="I295" s="450"/>
      <c r="J295" s="450"/>
      <c r="K295" s="450"/>
      <c r="L295" s="450"/>
      <c r="M295" s="450"/>
      <c r="N295" s="450"/>
      <c r="O295" s="450"/>
      <c r="P295" s="450"/>
      <c r="Q295" s="450"/>
      <c r="R295" s="450"/>
      <c r="S295" s="450"/>
      <c r="T295" s="450"/>
      <c r="U295" s="450"/>
      <c r="V295" s="450"/>
      <c r="W295" s="450"/>
      <c r="X295" s="450"/>
      <c r="Y295" s="450"/>
      <c r="Z295" s="450"/>
      <c r="AA295" s="450"/>
      <c r="AB295" s="450"/>
      <c r="AC295" s="450"/>
      <c r="AD295" s="450"/>
      <c r="AE295" s="450"/>
      <c r="AF295" s="450"/>
      <c r="AG295" s="450"/>
      <c r="AH295" s="450"/>
      <c r="AI295" s="450"/>
      <c r="AJ295" s="450"/>
      <c r="AK295" s="450"/>
    </row>
    <row r="296">
      <c r="A296" s="450"/>
      <c r="B296" s="450"/>
      <c r="C296" s="455"/>
      <c r="D296" s="450"/>
      <c r="E296" s="450"/>
      <c r="F296" s="450"/>
      <c r="G296" s="450"/>
      <c r="H296" s="450"/>
      <c r="I296" s="450"/>
      <c r="J296" s="450"/>
      <c r="K296" s="450"/>
      <c r="L296" s="450"/>
      <c r="M296" s="450"/>
      <c r="N296" s="450"/>
      <c r="O296" s="450"/>
      <c r="P296" s="450"/>
      <c r="Q296" s="450"/>
      <c r="R296" s="450"/>
      <c r="S296" s="450"/>
      <c r="T296" s="450"/>
      <c r="U296" s="450"/>
      <c r="V296" s="450"/>
      <c r="W296" s="450"/>
      <c r="X296" s="450"/>
      <c r="Y296" s="450"/>
      <c r="Z296" s="450"/>
      <c r="AA296" s="450"/>
      <c r="AB296" s="450"/>
      <c r="AC296" s="450"/>
      <c r="AD296" s="450"/>
      <c r="AE296" s="450"/>
      <c r="AF296" s="450"/>
      <c r="AG296" s="450"/>
      <c r="AH296" s="450"/>
      <c r="AI296" s="450"/>
      <c r="AJ296" s="450"/>
      <c r="AK296" s="450"/>
    </row>
    <row r="297">
      <c r="A297" s="450"/>
      <c r="B297" s="450"/>
      <c r="C297" s="455"/>
      <c r="D297" s="450"/>
      <c r="E297" s="450"/>
      <c r="F297" s="450"/>
      <c r="G297" s="450"/>
      <c r="H297" s="450"/>
      <c r="I297" s="450"/>
      <c r="J297" s="450"/>
      <c r="K297" s="450"/>
      <c r="L297" s="450"/>
      <c r="M297" s="450"/>
      <c r="N297" s="450"/>
      <c r="O297" s="450"/>
      <c r="P297" s="450"/>
      <c r="Q297" s="450"/>
      <c r="R297" s="450"/>
      <c r="S297" s="450"/>
      <c r="T297" s="450"/>
      <c r="U297" s="450"/>
      <c r="V297" s="450"/>
      <c r="W297" s="450"/>
      <c r="X297" s="450"/>
      <c r="Y297" s="450"/>
      <c r="Z297" s="450"/>
      <c r="AA297" s="450"/>
      <c r="AB297" s="450"/>
      <c r="AC297" s="450"/>
      <c r="AD297" s="450"/>
      <c r="AE297" s="450"/>
      <c r="AF297" s="450"/>
      <c r="AG297" s="450"/>
      <c r="AH297" s="450"/>
      <c r="AI297" s="450"/>
      <c r="AJ297" s="450"/>
      <c r="AK297" s="450"/>
    </row>
    <row r="298">
      <c r="A298" s="450"/>
      <c r="B298" s="450"/>
      <c r="C298" s="455"/>
      <c r="D298" s="450"/>
      <c r="E298" s="450"/>
      <c r="F298" s="450"/>
      <c r="G298" s="450"/>
      <c r="H298" s="450"/>
      <c r="I298" s="450"/>
      <c r="J298" s="450"/>
      <c r="K298" s="450"/>
      <c r="L298" s="450"/>
      <c r="M298" s="450"/>
      <c r="N298" s="450"/>
      <c r="O298" s="450"/>
      <c r="P298" s="450"/>
      <c r="Q298" s="450"/>
      <c r="R298" s="450"/>
      <c r="S298" s="450"/>
      <c r="T298" s="450"/>
      <c r="U298" s="450"/>
      <c r="V298" s="450"/>
      <c r="W298" s="450"/>
      <c r="X298" s="450"/>
      <c r="Y298" s="450"/>
      <c r="Z298" s="450"/>
      <c r="AA298" s="450"/>
      <c r="AB298" s="450"/>
      <c r="AC298" s="450"/>
      <c r="AD298" s="450"/>
      <c r="AE298" s="450"/>
      <c r="AF298" s="450"/>
      <c r="AG298" s="450"/>
      <c r="AH298" s="450"/>
      <c r="AI298" s="450"/>
      <c r="AJ298" s="450"/>
      <c r="AK298" s="450"/>
    </row>
    <row r="299">
      <c r="A299" s="450"/>
      <c r="B299" s="450"/>
      <c r="C299" s="455"/>
      <c r="D299" s="450"/>
      <c r="E299" s="450"/>
      <c r="F299" s="450"/>
      <c r="G299" s="450"/>
      <c r="H299" s="450"/>
      <c r="I299" s="450"/>
      <c r="J299" s="450"/>
      <c r="K299" s="450"/>
      <c r="L299" s="450"/>
      <c r="M299" s="450"/>
      <c r="N299" s="450"/>
      <c r="O299" s="450"/>
      <c r="P299" s="450"/>
      <c r="Q299" s="450"/>
      <c r="R299" s="450"/>
      <c r="S299" s="450"/>
      <c r="T299" s="450"/>
      <c r="U299" s="450"/>
      <c r="V299" s="450"/>
      <c r="W299" s="450"/>
      <c r="X299" s="450"/>
      <c r="Y299" s="450"/>
      <c r="Z299" s="450"/>
      <c r="AA299" s="450"/>
      <c r="AB299" s="450"/>
      <c r="AC299" s="450"/>
      <c r="AD299" s="450"/>
      <c r="AE299" s="450"/>
      <c r="AF299" s="450"/>
      <c r="AG299" s="450"/>
      <c r="AH299" s="450"/>
      <c r="AI299" s="450"/>
      <c r="AJ299" s="450"/>
      <c r="AK299" s="450"/>
    </row>
    <row r="300">
      <c r="A300" s="450"/>
      <c r="B300" s="450"/>
      <c r="C300" s="455"/>
      <c r="D300" s="450"/>
      <c r="E300" s="450"/>
      <c r="F300" s="450"/>
      <c r="G300" s="450"/>
      <c r="H300" s="450"/>
      <c r="I300" s="450"/>
      <c r="J300" s="450"/>
      <c r="K300" s="450"/>
      <c r="L300" s="450"/>
      <c r="M300" s="450"/>
      <c r="N300" s="450"/>
      <c r="O300" s="450"/>
      <c r="P300" s="450"/>
      <c r="Q300" s="450"/>
      <c r="R300" s="450"/>
      <c r="S300" s="450"/>
      <c r="T300" s="450"/>
      <c r="U300" s="450"/>
      <c r="V300" s="450"/>
      <c r="W300" s="450"/>
      <c r="X300" s="450"/>
      <c r="Y300" s="450"/>
      <c r="Z300" s="450"/>
      <c r="AA300" s="450"/>
      <c r="AB300" s="450"/>
      <c r="AC300" s="450"/>
      <c r="AD300" s="450"/>
      <c r="AE300" s="450"/>
      <c r="AF300" s="450"/>
      <c r="AG300" s="450"/>
      <c r="AH300" s="450"/>
      <c r="AI300" s="450"/>
      <c r="AJ300" s="450"/>
      <c r="AK300" s="450"/>
    </row>
    <row r="301">
      <c r="A301" s="450"/>
      <c r="B301" s="450"/>
      <c r="C301" s="455"/>
      <c r="D301" s="450"/>
      <c r="E301" s="450"/>
      <c r="F301" s="450"/>
      <c r="G301" s="450"/>
      <c r="H301" s="450"/>
      <c r="I301" s="450"/>
      <c r="J301" s="450"/>
      <c r="K301" s="450"/>
      <c r="L301" s="450"/>
      <c r="M301" s="450"/>
      <c r="N301" s="450"/>
      <c r="O301" s="450"/>
      <c r="P301" s="450"/>
      <c r="Q301" s="450"/>
      <c r="R301" s="450"/>
      <c r="S301" s="450"/>
      <c r="T301" s="450"/>
      <c r="U301" s="450"/>
      <c r="V301" s="450"/>
      <c r="W301" s="450"/>
      <c r="X301" s="450"/>
      <c r="Y301" s="450"/>
      <c r="Z301" s="450"/>
      <c r="AA301" s="450"/>
      <c r="AB301" s="450"/>
      <c r="AC301" s="450"/>
      <c r="AD301" s="450"/>
      <c r="AE301" s="450"/>
      <c r="AF301" s="450"/>
      <c r="AG301" s="450"/>
      <c r="AH301" s="450"/>
      <c r="AI301" s="450"/>
      <c r="AJ301" s="450"/>
      <c r="AK301" s="450"/>
    </row>
    <row r="302">
      <c r="A302" s="450"/>
      <c r="B302" s="450"/>
      <c r="C302" s="455"/>
      <c r="D302" s="450"/>
      <c r="E302" s="450"/>
      <c r="F302" s="450"/>
      <c r="G302" s="450"/>
      <c r="H302" s="450"/>
      <c r="I302" s="450"/>
      <c r="J302" s="450"/>
      <c r="K302" s="450"/>
      <c r="L302" s="450"/>
      <c r="M302" s="450"/>
      <c r="N302" s="450"/>
      <c r="O302" s="450"/>
      <c r="P302" s="450"/>
      <c r="Q302" s="450"/>
      <c r="R302" s="450"/>
      <c r="S302" s="450"/>
      <c r="T302" s="450"/>
      <c r="U302" s="450"/>
      <c r="V302" s="450"/>
      <c r="W302" s="450"/>
      <c r="X302" s="450"/>
      <c r="Y302" s="450"/>
      <c r="Z302" s="450"/>
      <c r="AA302" s="450"/>
      <c r="AB302" s="450"/>
      <c r="AC302" s="450"/>
      <c r="AD302" s="450"/>
      <c r="AE302" s="450"/>
      <c r="AF302" s="450"/>
      <c r="AG302" s="450"/>
      <c r="AH302" s="450"/>
      <c r="AI302" s="450"/>
      <c r="AJ302" s="450"/>
      <c r="AK302" s="450"/>
    </row>
    <row r="303">
      <c r="A303" s="450"/>
      <c r="B303" s="450"/>
      <c r="C303" s="455"/>
      <c r="D303" s="450"/>
      <c r="E303" s="450"/>
      <c r="F303" s="450"/>
      <c r="G303" s="450"/>
      <c r="H303" s="450"/>
      <c r="I303" s="450"/>
      <c r="J303" s="450"/>
      <c r="K303" s="450"/>
      <c r="L303" s="450"/>
      <c r="M303" s="450"/>
      <c r="N303" s="450"/>
      <c r="O303" s="450"/>
      <c r="P303" s="450"/>
      <c r="Q303" s="450"/>
      <c r="R303" s="450"/>
      <c r="S303" s="450"/>
      <c r="T303" s="450"/>
      <c r="U303" s="450"/>
      <c r="V303" s="450"/>
      <c r="W303" s="450"/>
      <c r="X303" s="450"/>
      <c r="Y303" s="450"/>
      <c r="Z303" s="450"/>
      <c r="AA303" s="450"/>
      <c r="AB303" s="450"/>
      <c r="AC303" s="450"/>
      <c r="AD303" s="450"/>
      <c r="AE303" s="450"/>
      <c r="AF303" s="450"/>
      <c r="AG303" s="450"/>
      <c r="AH303" s="450"/>
      <c r="AI303" s="450"/>
      <c r="AJ303" s="450"/>
      <c r="AK303" s="450"/>
    </row>
    <row r="304">
      <c r="A304" s="450"/>
      <c r="B304" s="450"/>
      <c r="C304" s="455"/>
      <c r="D304" s="450"/>
      <c r="E304" s="450"/>
      <c r="F304" s="450"/>
      <c r="G304" s="450"/>
      <c r="H304" s="450"/>
      <c r="I304" s="450"/>
      <c r="J304" s="450"/>
      <c r="K304" s="450"/>
      <c r="L304" s="450"/>
      <c r="M304" s="450"/>
      <c r="N304" s="450"/>
      <c r="O304" s="450"/>
      <c r="P304" s="450"/>
      <c r="Q304" s="450"/>
      <c r="R304" s="450"/>
      <c r="S304" s="450"/>
      <c r="T304" s="450"/>
      <c r="U304" s="450"/>
      <c r="V304" s="450"/>
      <c r="W304" s="450"/>
      <c r="X304" s="450"/>
      <c r="Y304" s="450"/>
      <c r="Z304" s="450"/>
      <c r="AA304" s="450"/>
      <c r="AB304" s="450"/>
      <c r="AC304" s="450"/>
      <c r="AD304" s="450"/>
      <c r="AE304" s="450"/>
      <c r="AF304" s="450"/>
      <c r="AG304" s="450"/>
      <c r="AH304" s="450"/>
      <c r="AI304" s="450"/>
      <c r="AJ304" s="450"/>
      <c r="AK304" s="450"/>
    </row>
    <row r="305">
      <c r="A305" s="450"/>
      <c r="B305" s="450"/>
      <c r="C305" s="455"/>
      <c r="D305" s="450"/>
      <c r="E305" s="450"/>
      <c r="F305" s="450"/>
      <c r="G305" s="450"/>
      <c r="H305" s="450"/>
      <c r="I305" s="450"/>
      <c r="J305" s="450"/>
      <c r="K305" s="450"/>
      <c r="L305" s="450"/>
      <c r="M305" s="450"/>
      <c r="N305" s="450"/>
      <c r="O305" s="450"/>
      <c r="P305" s="450"/>
      <c r="Q305" s="450"/>
      <c r="R305" s="450"/>
      <c r="S305" s="450"/>
      <c r="T305" s="450"/>
      <c r="U305" s="450"/>
      <c r="V305" s="450"/>
      <c r="W305" s="450"/>
      <c r="X305" s="450"/>
      <c r="Y305" s="450"/>
      <c r="Z305" s="450"/>
      <c r="AA305" s="450"/>
      <c r="AB305" s="450"/>
      <c r="AC305" s="450"/>
      <c r="AD305" s="450"/>
      <c r="AE305" s="450"/>
      <c r="AF305" s="450"/>
      <c r="AG305" s="450"/>
      <c r="AH305" s="450"/>
      <c r="AI305" s="450"/>
      <c r="AJ305" s="450"/>
      <c r="AK305" s="450"/>
    </row>
    <row r="306">
      <c r="A306" s="450"/>
      <c r="B306" s="450"/>
      <c r="C306" s="455"/>
      <c r="D306" s="450"/>
      <c r="E306" s="450"/>
      <c r="F306" s="450"/>
      <c r="G306" s="450"/>
      <c r="H306" s="450"/>
      <c r="I306" s="450"/>
      <c r="J306" s="450"/>
      <c r="K306" s="450"/>
      <c r="L306" s="450"/>
      <c r="M306" s="450"/>
      <c r="N306" s="450"/>
      <c r="O306" s="450"/>
      <c r="P306" s="450"/>
      <c r="Q306" s="450"/>
      <c r="R306" s="450"/>
      <c r="S306" s="450"/>
      <c r="T306" s="450"/>
      <c r="U306" s="450"/>
      <c r="V306" s="450"/>
      <c r="W306" s="450"/>
      <c r="X306" s="450"/>
      <c r="Y306" s="450"/>
      <c r="Z306" s="450"/>
      <c r="AA306" s="450"/>
      <c r="AB306" s="450"/>
      <c r="AC306" s="450"/>
      <c r="AD306" s="450"/>
      <c r="AE306" s="450"/>
      <c r="AF306" s="450"/>
      <c r="AG306" s="450"/>
      <c r="AH306" s="450"/>
      <c r="AI306" s="450"/>
      <c r="AJ306" s="450"/>
      <c r="AK306" s="450"/>
    </row>
    <row r="307">
      <c r="A307" s="450"/>
      <c r="B307" s="450"/>
      <c r="C307" s="455"/>
      <c r="D307" s="450"/>
      <c r="E307" s="450"/>
      <c r="F307" s="450"/>
      <c r="G307" s="450"/>
      <c r="H307" s="450"/>
      <c r="I307" s="450"/>
      <c r="J307" s="450"/>
      <c r="K307" s="450"/>
      <c r="L307" s="450"/>
      <c r="M307" s="450"/>
      <c r="N307" s="450"/>
      <c r="O307" s="450"/>
      <c r="P307" s="450"/>
      <c r="Q307" s="450"/>
      <c r="R307" s="450"/>
      <c r="S307" s="450"/>
      <c r="T307" s="450"/>
      <c r="U307" s="450"/>
      <c r="V307" s="450"/>
      <c r="W307" s="450"/>
      <c r="X307" s="450"/>
      <c r="Y307" s="450"/>
      <c r="Z307" s="450"/>
      <c r="AA307" s="450"/>
      <c r="AB307" s="450"/>
      <c r="AC307" s="450"/>
      <c r="AD307" s="450"/>
      <c r="AE307" s="450"/>
      <c r="AF307" s="450"/>
      <c r="AG307" s="450"/>
      <c r="AH307" s="450"/>
      <c r="AI307" s="450"/>
      <c r="AJ307" s="450"/>
      <c r="AK307" s="450"/>
    </row>
    <row r="308">
      <c r="A308" s="450"/>
      <c r="B308" s="450"/>
      <c r="C308" s="455"/>
      <c r="D308" s="450"/>
      <c r="E308" s="450"/>
      <c r="F308" s="450"/>
      <c r="G308" s="450"/>
      <c r="H308" s="450"/>
      <c r="I308" s="450"/>
      <c r="J308" s="450"/>
      <c r="K308" s="450"/>
      <c r="L308" s="450"/>
      <c r="M308" s="450"/>
      <c r="N308" s="450"/>
      <c r="O308" s="450"/>
      <c r="P308" s="450"/>
      <c r="Q308" s="450"/>
      <c r="R308" s="450"/>
      <c r="S308" s="450"/>
      <c r="T308" s="450"/>
      <c r="U308" s="450"/>
      <c r="V308" s="450"/>
      <c r="W308" s="450"/>
      <c r="X308" s="450"/>
      <c r="Y308" s="450"/>
      <c r="Z308" s="450"/>
      <c r="AA308" s="450"/>
      <c r="AB308" s="450"/>
      <c r="AC308" s="450"/>
      <c r="AD308" s="450"/>
      <c r="AE308" s="450"/>
      <c r="AF308" s="450"/>
      <c r="AG308" s="450"/>
      <c r="AH308" s="450"/>
      <c r="AI308" s="450"/>
      <c r="AJ308" s="450"/>
      <c r="AK308" s="450"/>
    </row>
    <row r="309">
      <c r="A309" s="450"/>
      <c r="B309" s="450"/>
      <c r="C309" s="455"/>
      <c r="D309" s="450"/>
      <c r="E309" s="450"/>
      <c r="F309" s="450"/>
      <c r="G309" s="450"/>
      <c r="H309" s="450"/>
      <c r="I309" s="450"/>
      <c r="J309" s="450"/>
      <c r="K309" s="450"/>
      <c r="L309" s="450"/>
      <c r="M309" s="450"/>
      <c r="N309" s="450"/>
      <c r="O309" s="450"/>
      <c r="P309" s="450"/>
      <c r="Q309" s="450"/>
      <c r="R309" s="450"/>
      <c r="S309" s="450"/>
      <c r="T309" s="450"/>
      <c r="U309" s="450"/>
      <c r="V309" s="450"/>
      <c r="W309" s="450"/>
      <c r="X309" s="450"/>
      <c r="Y309" s="450"/>
      <c r="Z309" s="450"/>
      <c r="AA309" s="450"/>
      <c r="AB309" s="450"/>
      <c r="AC309" s="450"/>
      <c r="AD309" s="450"/>
      <c r="AE309" s="450"/>
      <c r="AF309" s="450"/>
      <c r="AG309" s="450"/>
      <c r="AH309" s="450"/>
      <c r="AI309" s="450"/>
      <c r="AJ309" s="450"/>
      <c r="AK309" s="450"/>
    </row>
    <row r="310">
      <c r="A310" s="450"/>
      <c r="B310" s="450"/>
      <c r="C310" s="455"/>
      <c r="D310" s="450"/>
      <c r="E310" s="450"/>
      <c r="F310" s="450"/>
      <c r="G310" s="450"/>
      <c r="H310" s="450"/>
      <c r="I310" s="450"/>
      <c r="J310" s="450"/>
      <c r="K310" s="450"/>
      <c r="L310" s="450"/>
      <c r="M310" s="450"/>
      <c r="N310" s="450"/>
      <c r="O310" s="450"/>
      <c r="P310" s="450"/>
      <c r="Q310" s="450"/>
      <c r="R310" s="450"/>
      <c r="S310" s="450"/>
      <c r="T310" s="450"/>
      <c r="U310" s="450"/>
      <c r="V310" s="450"/>
      <c r="W310" s="450"/>
      <c r="X310" s="450"/>
      <c r="Y310" s="450"/>
      <c r="Z310" s="450"/>
      <c r="AA310" s="450"/>
      <c r="AB310" s="450"/>
      <c r="AC310" s="450"/>
      <c r="AD310" s="450"/>
      <c r="AE310" s="450"/>
      <c r="AF310" s="450"/>
      <c r="AG310" s="450"/>
      <c r="AH310" s="450"/>
      <c r="AI310" s="450"/>
      <c r="AJ310" s="450"/>
      <c r="AK310" s="450"/>
    </row>
    <row r="311">
      <c r="A311" s="450"/>
      <c r="B311" s="450"/>
      <c r="C311" s="455"/>
      <c r="D311" s="450"/>
      <c r="E311" s="450"/>
      <c r="F311" s="450"/>
      <c r="G311" s="450"/>
      <c r="H311" s="450"/>
      <c r="I311" s="450"/>
      <c r="J311" s="450"/>
      <c r="K311" s="450"/>
      <c r="L311" s="450"/>
      <c r="M311" s="450"/>
      <c r="N311" s="450"/>
      <c r="O311" s="450"/>
      <c r="P311" s="450"/>
      <c r="Q311" s="450"/>
      <c r="R311" s="450"/>
      <c r="S311" s="450"/>
      <c r="T311" s="450"/>
      <c r="U311" s="450"/>
      <c r="V311" s="450"/>
      <c r="W311" s="450"/>
      <c r="X311" s="450"/>
      <c r="Y311" s="450"/>
      <c r="Z311" s="450"/>
      <c r="AA311" s="450"/>
      <c r="AB311" s="450"/>
      <c r="AC311" s="450"/>
      <c r="AD311" s="450"/>
      <c r="AE311" s="450"/>
      <c r="AF311" s="450"/>
      <c r="AG311" s="450"/>
      <c r="AH311" s="450"/>
      <c r="AI311" s="450"/>
      <c r="AJ311" s="450"/>
      <c r="AK311" s="450"/>
    </row>
    <row r="312">
      <c r="A312" s="450"/>
      <c r="B312" s="450"/>
      <c r="C312" s="455"/>
      <c r="D312" s="450"/>
      <c r="E312" s="450"/>
      <c r="F312" s="450"/>
      <c r="G312" s="450"/>
      <c r="H312" s="450"/>
      <c r="I312" s="450"/>
      <c r="J312" s="450"/>
      <c r="K312" s="450"/>
      <c r="L312" s="450"/>
      <c r="M312" s="450"/>
      <c r="N312" s="450"/>
      <c r="O312" s="450"/>
      <c r="P312" s="450"/>
      <c r="Q312" s="450"/>
      <c r="R312" s="450"/>
      <c r="S312" s="450"/>
      <c r="T312" s="450"/>
      <c r="U312" s="450"/>
      <c r="V312" s="450"/>
      <c r="W312" s="450"/>
      <c r="X312" s="450"/>
      <c r="Y312" s="450"/>
      <c r="Z312" s="450"/>
      <c r="AA312" s="450"/>
      <c r="AB312" s="450"/>
      <c r="AC312" s="450"/>
      <c r="AD312" s="450"/>
      <c r="AE312" s="450"/>
      <c r="AF312" s="450"/>
      <c r="AG312" s="450"/>
      <c r="AH312" s="450"/>
      <c r="AI312" s="450"/>
      <c r="AJ312" s="450"/>
      <c r="AK312" s="450"/>
    </row>
    <row r="313">
      <c r="A313" s="450"/>
      <c r="B313" s="450"/>
      <c r="C313" s="455"/>
      <c r="D313" s="450"/>
      <c r="E313" s="450"/>
      <c r="F313" s="450"/>
      <c r="G313" s="450"/>
      <c r="H313" s="450"/>
      <c r="I313" s="450"/>
      <c r="J313" s="450"/>
      <c r="K313" s="450"/>
      <c r="L313" s="450"/>
      <c r="M313" s="450"/>
      <c r="N313" s="450"/>
      <c r="O313" s="450"/>
      <c r="P313" s="450"/>
      <c r="Q313" s="450"/>
      <c r="R313" s="450"/>
      <c r="S313" s="450"/>
      <c r="T313" s="450"/>
      <c r="U313" s="450"/>
      <c r="V313" s="450"/>
      <c r="W313" s="450"/>
      <c r="X313" s="450"/>
      <c r="Y313" s="450"/>
      <c r="Z313" s="450"/>
      <c r="AA313" s="450"/>
      <c r="AB313" s="450"/>
      <c r="AC313" s="450"/>
      <c r="AD313" s="450"/>
      <c r="AE313" s="450"/>
      <c r="AF313" s="450"/>
      <c r="AG313" s="450"/>
      <c r="AH313" s="450"/>
      <c r="AI313" s="450"/>
      <c r="AJ313" s="450"/>
      <c r="AK313" s="450"/>
    </row>
    <row r="314">
      <c r="A314" s="450"/>
      <c r="B314" s="450"/>
      <c r="C314" s="455"/>
      <c r="D314" s="450"/>
      <c r="E314" s="450"/>
      <c r="F314" s="450"/>
      <c r="G314" s="450"/>
      <c r="H314" s="450"/>
      <c r="I314" s="450"/>
      <c r="J314" s="450"/>
      <c r="K314" s="450"/>
      <c r="L314" s="450"/>
      <c r="M314" s="450"/>
      <c r="N314" s="450"/>
      <c r="O314" s="450"/>
      <c r="P314" s="450"/>
      <c r="Q314" s="450"/>
      <c r="R314" s="450"/>
      <c r="S314" s="450"/>
      <c r="T314" s="450"/>
      <c r="U314" s="450"/>
      <c r="V314" s="450"/>
      <c r="W314" s="450"/>
      <c r="X314" s="450"/>
      <c r="Y314" s="450"/>
      <c r="Z314" s="450"/>
      <c r="AA314" s="450"/>
      <c r="AB314" s="450"/>
      <c r="AC314" s="450"/>
      <c r="AD314" s="450"/>
      <c r="AE314" s="450"/>
      <c r="AF314" s="450"/>
      <c r="AG314" s="450"/>
      <c r="AH314" s="450"/>
      <c r="AI314" s="450"/>
      <c r="AJ314" s="450"/>
      <c r="AK314" s="450"/>
    </row>
    <row r="315">
      <c r="A315" s="450"/>
      <c r="B315" s="450"/>
      <c r="C315" s="455"/>
      <c r="D315" s="450"/>
      <c r="E315" s="450"/>
      <c r="F315" s="450"/>
      <c r="G315" s="450"/>
      <c r="H315" s="450"/>
      <c r="I315" s="450"/>
      <c r="J315" s="450"/>
      <c r="K315" s="450"/>
      <c r="L315" s="450"/>
      <c r="M315" s="450"/>
      <c r="N315" s="450"/>
      <c r="O315" s="450"/>
      <c r="P315" s="450"/>
      <c r="Q315" s="450"/>
      <c r="R315" s="450"/>
      <c r="S315" s="450"/>
      <c r="T315" s="450"/>
      <c r="U315" s="450"/>
      <c r="V315" s="450"/>
      <c r="W315" s="450"/>
      <c r="X315" s="450"/>
      <c r="Y315" s="450"/>
      <c r="Z315" s="450"/>
      <c r="AA315" s="450"/>
      <c r="AB315" s="450"/>
      <c r="AC315" s="450"/>
      <c r="AD315" s="450"/>
      <c r="AE315" s="450"/>
      <c r="AF315" s="450"/>
      <c r="AG315" s="450"/>
      <c r="AH315" s="450"/>
      <c r="AI315" s="450"/>
      <c r="AJ315" s="450"/>
      <c r="AK315" s="450"/>
    </row>
    <row r="316">
      <c r="A316" s="450"/>
      <c r="B316" s="450"/>
      <c r="C316" s="455"/>
      <c r="D316" s="450"/>
      <c r="E316" s="450"/>
      <c r="F316" s="450"/>
      <c r="G316" s="450"/>
      <c r="H316" s="450"/>
      <c r="I316" s="450"/>
      <c r="J316" s="450"/>
      <c r="K316" s="450"/>
      <c r="L316" s="450"/>
      <c r="M316" s="450"/>
      <c r="N316" s="450"/>
      <c r="O316" s="450"/>
      <c r="P316" s="450"/>
      <c r="Q316" s="450"/>
      <c r="R316" s="450"/>
      <c r="S316" s="450"/>
      <c r="T316" s="450"/>
      <c r="U316" s="450"/>
      <c r="V316" s="450"/>
      <c r="W316" s="450"/>
      <c r="X316" s="450"/>
      <c r="Y316" s="450"/>
      <c r="Z316" s="450"/>
      <c r="AA316" s="450"/>
      <c r="AB316" s="450"/>
      <c r="AC316" s="450"/>
      <c r="AD316" s="450"/>
      <c r="AE316" s="450"/>
      <c r="AF316" s="450"/>
      <c r="AG316" s="450"/>
      <c r="AH316" s="450"/>
      <c r="AI316" s="450"/>
      <c r="AJ316" s="450"/>
      <c r="AK316" s="450"/>
    </row>
    <row r="317">
      <c r="A317" s="450"/>
      <c r="B317" s="450"/>
      <c r="C317" s="455"/>
      <c r="D317" s="450"/>
      <c r="E317" s="450"/>
      <c r="F317" s="450"/>
      <c r="G317" s="450"/>
      <c r="H317" s="450"/>
      <c r="I317" s="450"/>
      <c r="J317" s="450"/>
      <c r="K317" s="450"/>
      <c r="L317" s="450"/>
      <c r="M317" s="450"/>
      <c r="N317" s="450"/>
      <c r="O317" s="450"/>
      <c r="P317" s="450"/>
      <c r="Q317" s="450"/>
      <c r="R317" s="450"/>
      <c r="S317" s="450"/>
      <c r="T317" s="450"/>
      <c r="U317" s="450"/>
      <c r="V317" s="450"/>
      <c r="W317" s="450"/>
      <c r="X317" s="450"/>
      <c r="Y317" s="450"/>
      <c r="Z317" s="450"/>
      <c r="AA317" s="450"/>
      <c r="AB317" s="450"/>
      <c r="AC317" s="450"/>
      <c r="AD317" s="450"/>
      <c r="AE317" s="450"/>
      <c r="AF317" s="450"/>
      <c r="AG317" s="450"/>
      <c r="AH317" s="450"/>
      <c r="AI317" s="450"/>
      <c r="AJ317" s="450"/>
      <c r="AK317" s="450"/>
    </row>
    <row r="318">
      <c r="A318" s="450"/>
      <c r="B318" s="450"/>
      <c r="C318" s="455"/>
      <c r="D318" s="450"/>
      <c r="E318" s="450"/>
      <c r="F318" s="450"/>
      <c r="G318" s="450"/>
      <c r="H318" s="450"/>
      <c r="I318" s="450"/>
      <c r="J318" s="450"/>
      <c r="K318" s="450"/>
      <c r="L318" s="450"/>
      <c r="M318" s="450"/>
      <c r="N318" s="450"/>
      <c r="O318" s="450"/>
      <c r="P318" s="450"/>
      <c r="Q318" s="450"/>
      <c r="R318" s="450"/>
      <c r="S318" s="450"/>
      <c r="T318" s="450"/>
      <c r="U318" s="450"/>
      <c r="V318" s="450"/>
      <c r="W318" s="450"/>
      <c r="X318" s="450"/>
      <c r="Y318" s="450"/>
      <c r="Z318" s="450"/>
      <c r="AA318" s="450"/>
      <c r="AB318" s="450"/>
      <c r="AC318" s="450"/>
      <c r="AD318" s="450"/>
      <c r="AE318" s="450"/>
      <c r="AF318" s="450"/>
      <c r="AG318" s="450"/>
      <c r="AH318" s="450"/>
      <c r="AI318" s="450"/>
      <c r="AJ318" s="450"/>
      <c r="AK318" s="450"/>
    </row>
    <row r="319">
      <c r="A319" s="450"/>
      <c r="B319" s="450"/>
      <c r="C319" s="455"/>
      <c r="D319" s="450"/>
      <c r="E319" s="450"/>
      <c r="F319" s="450"/>
      <c r="G319" s="450"/>
      <c r="H319" s="450"/>
      <c r="I319" s="450"/>
      <c r="J319" s="450"/>
      <c r="K319" s="450"/>
      <c r="L319" s="450"/>
      <c r="M319" s="450"/>
      <c r="N319" s="450"/>
      <c r="O319" s="450"/>
      <c r="P319" s="450"/>
      <c r="Q319" s="450"/>
      <c r="R319" s="450"/>
      <c r="S319" s="450"/>
      <c r="T319" s="450"/>
      <c r="U319" s="450"/>
      <c r="V319" s="450"/>
      <c r="W319" s="450"/>
      <c r="X319" s="450"/>
      <c r="Y319" s="450"/>
      <c r="Z319" s="450"/>
      <c r="AA319" s="450"/>
      <c r="AB319" s="450"/>
      <c r="AC319" s="450"/>
      <c r="AD319" s="450"/>
      <c r="AE319" s="450"/>
      <c r="AF319" s="450"/>
      <c r="AG319" s="450"/>
      <c r="AH319" s="450"/>
      <c r="AI319" s="450"/>
      <c r="AJ319" s="450"/>
      <c r="AK319" s="450"/>
    </row>
    <row r="320">
      <c r="A320" s="450"/>
      <c r="B320" s="450"/>
      <c r="C320" s="455"/>
      <c r="D320" s="450"/>
      <c r="E320" s="450"/>
      <c r="F320" s="450"/>
      <c r="G320" s="450"/>
      <c r="H320" s="450"/>
      <c r="I320" s="450"/>
      <c r="J320" s="450"/>
      <c r="K320" s="450"/>
      <c r="L320" s="450"/>
      <c r="M320" s="450"/>
      <c r="N320" s="450"/>
      <c r="O320" s="450"/>
      <c r="P320" s="450"/>
      <c r="Q320" s="450"/>
      <c r="R320" s="450"/>
      <c r="S320" s="450"/>
      <c r="T320" s="450"/>
      <c r="U320" s="450"/>
      <c r="V320" s="450"/>
      <c r="W320" s="450"/>
      <c r="X320" s="450"/>
      <c r="Y320" s="450"/>
      <c r="Z320" s="450"/>
      <c r="AA320" s="450"/>
      <c r="AB320" s="450"/>
      <c r="AC320" s="450"/>
      <c r="AD320" s="450"/>
      <c r="AE320" s="450"/>
      <c r="AF320" s="450"/>
      <c r="AG320" s="450"/>
      <c r="AH320" s="450"/>
      <c r="AI320" s="450"/>
      <c r="AJ320" s="450"/>
      <c r="AK320" s="450"/>
    </row>
    <row r="321">
      <c r="A321" s="450"/>
      <c r="B321" s="450"/>
      <c r="C321" s="455"/>
      <c r="D321" s="450"/>
      <c r="E321" s="450"/>
      <c r="F321" s="450"/>
      <c r="G321" s="450"/>
      <c r="H321" s="450"/>
      <c r="I321" s="450"/>
      <c r="J321" s="450"/>
      <c r="K321" s="450"/>
      <c r="L321" s="450"/>
      <c r="M321" s="450"/>
      <c r="N321" s="450"/>
      <c r="O321" s="450"/>
      <c r="P321" s="450"/>
      <c r="Q321" s="450"/>
      <c r="R321" s="450"/>
      <c r="S321" s="450"/>
      <c r="T321" s="450"/>
      <c r="U321" s="450"/>
      <c r="V321" s="450"/>
      <c r="W321" s="450"/>
      <c r="X321" s="450"/>
      <c r="Y321" s="450"/>
      <c r="Z321" s="450"/>
      <c r="AA321" s="450"/>
      <c r="AB321" s="450"/>
      <c r="AC321" s="450"/>
      <c r="AD321" s="450"/>
      <c r="AE321" s="450"/>
      <c r="AF321" s="450"/>
      <c r="AG321" s="450"/>
      <c r="AH321" s="450"/>
      <c r="AI321" s="450"/>
      <c r="AJ321" s="450"/>
      <c r="AK321" s="450"/>
    </row>
    <row r="322">
      <c r="A322" s="450"/>
      <c r="B322" s="450"/>
      <c r="C322" s="455"/>
      <c r="D322" s="450"/>
      <c r="E322" s="450"/>
      <c r="F322" s="450"/>
      <c r="G322" s="450"/>
      <c r="H322" s="450"/>
      <c r="I322" s="450"/>
      <c r="J322" s="450"/>
      <c r="K322" s="450"/>
      <c r="L322" s="450"/>
      <c r="M322" s="450"/>
      <c r="N322" s="450"/>
      <c r="O322" s="450"/>
      <c r="P322" s="450"/>
      <c r="Q322" s="450"/>
      <c r="R322" s="450"/>
      <c r="S322" s="450"/>
      <c r="T322" s="450"/>
      <c r="U322" s="450"/>
      <c r="V322" s="450"/>
      <c r="W322" s="450"/>
      <c r="X322" s="450"/>
      <c r="Y322" s="450"/>
      <c r="Z322" s="450"/>
      <c r="AA322" s="450"/>
      <c r="AB322" s="450"/>
      <c r="AC322" s="450"/>
      <c r="AD322" s="450"/>
      <c r="AE322" s="450"/>
      <c r="AF322" s="450"/>
      <c r="AG322" s="450"/>
      <c r="AH322" s="450"/>
      <c r="AI322" s="450"/>
      <c r="AJ322" s="450"/>
      <c r="AK322" s="450"/>
    </row>
    <row r="323">
      <c r="A323" s="450"/>
      <c r="B323" s="450"/>
      <c r="C323" s="455"/>
      <c r="D323" s="450"/>
      <c r="E323" s="450"/>
      <c r="F323" s="450"/>
      <c r="G323" s="450"/>
      <c r="H323" s="450"/>
      <c r="I323" s="450"/>
      <c r="J323" s="450"/>
      <c r="K323" s="450"/>
      <c r="L323" s="450"/>
      <c r="M323" s="450"/>
      <c r="N323" s="450"/>
      <c r="O323" s="450"/>
      <c r="P323" s="450"/>
      <c r="Q323" s="450"/>
      <c r="R323" s="450"/>
      <c r="S323" s="450"/>
      <c r="T323" s="450"/>
      <c r="U323" s="450"/>
      <c r="V323" s="450"/>
      <c r="W323" s="450"/>
      <c r="X323" s="450"/>
      <c r="Y323" s="450"/>
      <c r="Z323" s="450"/>
      <c r="AA323" s="450"/>
      <c r="AB323" s="450"/>
      <c r="AC323" s="450"/>
      <c r="AD323" s="450"/>
      <c r="AE323" s="450"/>
      <c r="AF323" s="450"/>
      <c r="AG323" s="450"/>
      <c r="AH323" s="450"/>
      <c r="AI323" s="450"/>
      <c r="AJ323" s="450"/>
      <c r="AK323" s="450"/>
    </row>
    <row r="324">
      <c r="A324" s="450"/>
      <c r="B324" s="450"/>
      <c r="C324" s="455"/>
      <c r="D324" s="450"/>
      <c r="E324" s="450"/>
      <c r="F324" s="450"/>
      <c r="G324" s="450"/>
      <c r="H324" s="450"/>
      <c r="I324" s="450"/>
      <c r="J324" s="450"/>
      <c r="K324" s="450"/>
      <c r="L324" s="450"/>
      <c r="M324" s="450"/>
      <c r="N324" s="450"/>
      <c r="O324" s="450"/>
      <c r="P324" s="450"/>
      <c r="Q324" s="450"/>
      <c r="R324" s="450"/>
      <c r="S324" s="450"/>
      <c r="T324" s="450"/>
      <c r="U324" s="450"/>
      <c r="V324" s="450"/>
      <c r="W324" s="450"/>
      <c r="X324" s="450"/>
      <c r="Y324" s="450"/>
      <c r="Z324" s="450"/>
      <c r="AA324" s="450"/>
      <c r="AB324" s="450"/>
      <c r="AC324" s="450"/>
      <c r="AD324" s="450"/>
      <c r="AE324" s="450"/>
      <c r="AF324" s="450"/>
      <c r="AG324" s="450"/>
      <c r="AH324" s="450"/>
      <c r="AI324" s="450"/>
      <c r="AJ324" s="450"/>
      <c r="AK324" s="450"/>
    </row>
    <row r="325">
      <c r="A325" s="450"/>
      <c r="B325" s="450"/>
      <c r="C325" s="455"/>
      <c r="D325" s="450"/>
      <c r="E325" s="450"/>
      <c r="F325" s="450"/>
      <c r="G325" s="450"/>
      <c r="H325" s="450"/>
      <c r="I325" s="450"/>
      <c r="J325" s="450"/>
      <c r="K325" s="450"/>
      <c r="L325" s="450"/>
      <c r="M325" s="450"/>
      <c r="N325" s="450"/>
      <c r="O325" s="450"/>
      <c r="P325" s="450"/>
      <c r="Q325" s="450"/>
      <c r="R325" s="450"/>
      <c r="S325" s="450"/>
      <c r="T325" s="450"/>
      <c r="U325" s="450"/>
      <c r="V325" s="450"/>
      <c r="W325" s="450"/>
      <c r="X325" s="450"/>
      <c r="Y325" s="450"/>
      <c r="Z325" s="450"/>
      <c r="AA325" s="450"/>
      <c r="AB325" s="450"/>
      <c r="AC325" s="450"/>
      <c r="AD325" s="450"/>
      <c r="AE325" s="450"/>
      <c r="AF325" s="450"/>
      <c r="AG325" s="450"/>
      <c r="AH325" s="450"/>
      <c r="AI325" s="450"/>
      <c r="AJ325" s="450"/>
      <c r="AK325" s="450"/>
    </row>
    <row r="326">
      <c r="A326" s="450"/>
      <c r="B326" s="450"/>
      <c r="C326" s="455"/>
      <c r="D326" s="450"/>
      <c r="E326" s="450"/>
      <c r="F326" s="450"/>
      <c r="G326" s="450"/>
      <c r="H326" s="450"/>
      <c r="I326" s="450"/>
      <c r="J326" s="450"/>
      <c r="K326" s="450"/>
      <c r="L326" s="450"/>
      <c r="M326" s="450"/>
      <c r="N326" s="450"/>
      <c r="O326" s="450"/>
      <c r="P326" s="450"/>
      <c r="Q326" s="450"/>
      <c r="R326" s="450"/>
      <c r="S326" s="450"/>
      <c r="T326" s="450"/>
      <c r="U326" s="450"/>
      <c r="V326" s="450"/>
      <c r="W326" s="450"/>
      <c r="X326" s="450"/>
      <c r="Y326" s="450"/>
      <c r="Z326" s="450"/>
      <c r="AA326" s="450"/>
      <c r="AB326" s="450"/>
      <c r="AC326" s="450"/>
      <c r="AD326" s="450"/>
      <c r="AE326" s="450"/>
      <c r="AF326" s="450"/>
      <c r="AG326" s="450"/>
      <c r="AH326" s="450"/>
      <c r="AI326" s="450"/>
      <c r="AJ326" s="450"/>
      <c r="AK326" s="450"/>
    </row>
    <row r="327">
      <c r="A327" s="450"/>
      <c r="B327" s="450"/>
      <c r="C327" s="455"/>
      <c r="D327" s="450"/>
      <c r="E327" s="450"/>
      <c r="F327" s="450"/>
      <c r="G327" s="450"/>
      <c r="H327" s="450"/>
      <c r="I327" s="450"/>
      <c r="J327" s="450"/>
      <c r="K327" s="450"/>
      <c r="L327" s="450"/>
      <c r="M327" s="450"/>
      <c r="N327" s="450"/>
      <c r="O327" s="450"/>
      <c r="P327" s="450"/>
      <c r="Q327" s="450"/>
      <c r="R327" s="450"/>
      <c r="S327" s="450"/>
      <c r="T327" s="450"/>
      <c r="U327" s="450"/>
      <c r="V327" s="450"/>
      <c r="W327" s="450"/>
      <c r="X327" s="450"/>
      <c r="Y327" s="450"/>
      <c r="Z327" s="450"/>
      <c r="AA327" s="450"/>
      <c r="AB327" s="450"/>
      <c r="AC327" s="450"/>
      <c r="AD327" s="450"/>
      <c r="AE327" s="450"/>
      <c r="AF327" s="450"/>
      <c r="AG327" s="450"/>
      <c r="AH327" s="450"/>
      <c r="AI327" s="450"/>
      <c r="AJ327" s="450"/>
      <c r="AK327" s="450"/>
    </row>
    <row r="328">
      <c r="A328" s="450"/>
      <c r="B328" s="450"/>
      <c r="C328" s="455"/>
      <c r="D328" s="450"/>
      <c r="E328" s="450"/>
      <c r="F328" s="450"/>
      <c r="G328" s="450"/>
      <c r="H328" s="450"/>
      <c r="I328" s="450"/>
      <c r="J328" s="450"/>
      <c r="K328" s="450"/>
      <c r="L328" s="450"/>
      <c r="M328" s="450"/>
      <c r="N328" s="450"/>
      <c r="O328" s="450"/>
      <c r="P328" s="450"/>
      <c r="Q328" s="450"/>
      <c r="R328" s="450"/>
      <c r="S328" s="450"/>
      <c r="T328" s="450"/>
      <c r="U328" s="450"/>
      <c r="V328" s="450"/>
      <c r="W328" s="450"/>
      <c r="X328" s="450"/>
      <c r="Y328" s="450"/>
      <c r="Z328" s="450"/>
      <c r="AA328" s="450"/>
      <c r="AB328" s="450"/>
      <c r="AC328" s="450"/>
      <c r="AD328" s="450"/>
      <c r="AE328" s="450"/>
      <c r="AF328" s="450"/>
      <c r="AG328" s="450"/>
      <c r="AH328" s="450"/>
      <c r="AI328" s="450"/>
      <c r="AJ328" s="450"/>
      <c r="AK328" s="450"/>
    </row>
    <row r="329">
      <c r="A329" s="450"/>
      <c r="B329" s="450"/>
      <c r="C329" s="455"/>
      <c r="D329" s="450"/>
      <c r="E329" s="450"/>
      <c r="F329" s="450"/>
      <c r="G329" s="450"/>
      <c r="H329" s="450"/>
      <c r="I329" s="450"/>
      <c r="J329" s="450"/>
      <c r="K329" s="450"/>
      <c r="L329" s="450"/>
      <c r="M329" s="450"/>
      <c r="N329" s="450"/>
      <c r="O329" s="450"/>
      <c r="P329" s="450"/>
      <c r="Q329" s="450"/>
      <c r="R329" s="450"/>
      <c r="S329" s="450"/>
      <c r="T329" s="450"/>
      <c r="U329" s="450"/>
      <c r="V329" s="450"/>
      <c r="W329" s="450"/>
      <c r="X329" s="450"/>
      <c r="Y329" s="450"/>
      <c r="Z329" s="450"/>
      <c r="AA329" s="450"/>
      <c r="AB329" s="450"/>
      <c r="AC329" s="450"/>
      <c r="AD329" s="450"/>
      <c r="AE329" s="450"/>
      <c r="AF329" s="450"/>
      <c r="AG329" s="450"/>
      <c r="AH329" s="450"/>
      <c r="AI329" s="450"/>
      <c r="AJ329" s="450"/>
      <c r="AK329" s="450"/>
    </row>
    <row r="330">
      <c r="A330" s="450"/>
      <c r="B330" s="450"/>
      <c r="C330" s="455"/>
      <c r="D330" s="450"/>
      <c r="E330" s="450"/>
      <c r="F330" s="450"/>
      <c r="G330" s="450"/>
      <c r="H330" s="450"/>
      <c r="I330" s="450"/>
      <c r="J330" s="450"/>
      <c r="K330" s="450"/>
      <c r="L330" s="450"/>
      <c r="M330" s="450"/>
      <c r="N330" s="450"/>
      <c r="O330" s="450"/>
      <c r="P330" s="450"/>
      <c r="Q330" s="450"/>
      <c r="R330" s="450"/>
      <c r="S330" s="450"/>
      <c r="T330" s="450"/>
      <c r="U330" s="450"/>
      <c r="V330" s="450"/>
      <c r="W330" s="450"/>
      <c r="X330" s="450"/>
      <c r="Y330" s="450"/>
      <c r="Z330" s="450"/>
      <c r="AA330" s="450"/>
      <c r="AB330" s="450"/>
      <c r="AC330" s="450"/>
      <c r="AD330" s="450"/>
      <c r="AE330" s="450"/>
      <c r="AF330" s="450"/>
      <c r="AG330" s="450"/>
      <c r="AH330" s="450"/>
      <c r="AI330" s="450"/>
      <c r="AJ330" s="450"/>
      <c r="AK330" s="450"/>
    </row>
    <row r="331">
      <c r="A331" s="450"/>
      <c r="B331" s="450"/>
      <c r="C331" s="455"/>
      <c r="D331" s="450"/>
      <c r="E331" s="450"/>
      <c r="F331" s="450"/>
      <c r="G331" s="450"/>
      <c r="H331" s="450"/>
      <c r="I331" s="450"/>
      <c r="J331" s="450"/>
      <c r="K331" s="450"/>
      <c r="L331" s="450"/>
      <c r="M331" s="450"/>
      <c r="N331" s="450"/>
      <c r="O331" s="450"/>
      <c r="P331" s="450"/>
      <c r="Q331" s="450"/>
      <c r="R331" s="450"/>
      <c r="S331" s="450"/>
      <c r="T331" s="450"/>
      <c r="U331" s="450"/>
      <c r="V331" s="450"/>
      <c r="W331" s="450"/>
      <c r="X331" s="450"/>
      <c r="Y331" s="450"/>
      <c r="Z331" s="450"/>
      <c r="AA331" s="450"/>
      <c r="AB331" s="450"/>
      <c r="AC331" s="450"/>
      <c r="AD331" s="450"/>
      <c r="AE331" s="450"/>
      <c r="AF331" s="450"/>
      <c r="AG331" s="450"/>
      <c r="AH331" s="450"/>
      <c r="AI331" s="450"/>
      <c r="AJ331" s="450"/>
      <c r="AK331" s="450"/>
    </row>
    <row r="332">
      <c r="A332" s="450"/>
      <c r="B332" s="450"/>
      <c r="C332" s="455"/>
      <c r="D332" s="450"/>
      <c r="E332" s="450"/>
      <c r="F332" s="450"/>
      <c r="G332" s="450"/>
      <c r="H332" s="450"/>
      <c r="I332" s="450"/>
      <c r="J332" s="450"/>
      <c r="K332" s="450"/>
      <c r="L332" s="450"/>
      <c r="M332" s="450"/>
      <c r="N332" s="450"/>
      <c r="O332" s="450"/>
      <c r="P332" s="450"/>
      <c r="Q332" s="450"/>
      <c r="R332" s="450"/>
      <c r="S332" s="450"/>
      <c r="T332" s="450"/>
      <c r="U332" s="450"/>
      <c r="V332" s="450"/>
      <c r="W332" s="450"/>
      <c r="X332" s="450"/>
      <c r="Y332" s="450"/>
      <c r="Z332" s="450"/>
      <c r="AA332" s="450"/>
      <c r="AB332" s="450"/>
      <c r="AC332" s="450"/>
      <c r="AD332" s="450"/>
      <c r="AE332" s="450"/>
      <c r="AF332" s="450"/>
      <c r="AG332" s="450"/>
      <c r="AH332" s="450"/>
      <c r="AI332" s="450"/>
      <c r="AJ332" s="450"/>
      <c r="AK332" s="450"/>
    </row>
    <row r="333">
      <c r="A333" s="450"/>
      <c r="B333" s="450"/>
      <c r="C333" s="455"/>
      <c r="D333" s="450"/>
      <c r="E333" s="450"/>
      <c r="F333" s="450"/>
      <c r="G333" s="450"/>
      <c r="H333" s="450"/>
      <c r="I333" s="450"/>
      <c r="J333" s="450"/>
      <c r="K333" s="450"/>
      <c r="L333" s="450"/>
      <c r="M333" s="450"/>
      <c r="N333" s="450"/>
      <c r="O333" s="450"/>
      <c r="P333" s="450"/>
      <c r="Q333" s="450"/>
      <c r="R333" s="450"/>
      <c r="S333" s="450"/>
      <c r="T333" s="450"/>
      <c r="U333" s="450"/>
      <c r="V333" s="450"/>
      <c r="W333" s="450"/>
      <c r="X333" s="450"/>
      <c r="Y333" s="450"/>
      <c r="Z333" s="450"/>
      <c r="AA333" s="450"/>
      <c r="AB333" s="450"/>
      <c r="AC333" s="450"/>
      <c r="AD333" s="450"/>
      <c r="AE333" s="450"/>
      <c r="AF333" s="450"/>
      <c r="AG333" s="450"/>
      <c r="AH333" s="450"/>
      <c r="AI333" s="450"/>
      <c r="AJ333" s="450"/>
      <c r="AK333" s="450"/>
    </row>
    <row r="334">
      <c r="A334" s="450"/>
      <c r="B334" s="450"/>
      <c r="C334" s="455"/>
      <c r="D334" s="450"/>
      <c r="E334" s="450"/>
      <c r="F334" s="450"/>
      <c r="G334" s="450"/>
      <c r="H334" s="450"/>
      <c r="I334" s="450"/>
      <c r="J334" s="450"/>
      <c r="K334" s="450"/>
      <c r="L334" s="450"/>
      <c r="M334" s="450"/>
      <c r="N334" s="450"/>
      <c r="O334" s="450"/>
      <c r="P334" s="450"/>
      <c r="Q334" s="450"/>
      <c r="R334" s="450"/>
      <c r="S334" s="450"/>
      <c r="T334" s="450"/>
      <c r="U334" s="450"/>
      <c r="V334" s="450"/>
      <c r="W334" s="450"/>
      <c r="X334" s="450"/>
      <c r="Y334" s="450"/>
      <c r="Z334" s="450"/>
      <c r="AA334" s="450"/>
      <c r="AB334" s="450"/>
      <c r="AC334" s="450"/>
      <c r="AD334" s="450"/>
      <c r="AE334" s="450"/>
      <c r="AF334" s="450"/>
      <c r="AG334" s="450"/>
      <c r="AH334" s="450"/>
      <c r="AI334" s="450"/>
      <c r="AJ334" s="450"/>
      <c r="AK334" s="450"/>
    </row>
    <row r="335">
      <c r="A335" s="450"/>
      <c r="B335" s="450"/>
      <c r="C335" s="455"/>
      <c r="D335" s="450"/>
      <c r="E335" s="450"/>
      <c r="F335" s="450"/>
      <c r="G335" s="450"/>
      <c r="H335" s="450"/>
      <c r="I335" s="450"/>
      <c r="J335" s="450"/>
      <c r="K335" s="450"/>
      <c r="L335" s="450"/>
      <c r="M335" s="450"/>
      <c r="N335" s="450"/>
      <c r="O335" s="450"/>
      <c r="P335" s="450"/>
      <c r="Q335" s="450"/>
      <c r="R335" s="450"/>
      <c r="S335" s="450"/>
      <c r="T335" s="450"/>
      <c r="U335" s="450"/>
      <c r="V335" s="450"/>
      <c r="W335" s="450"/>
      <c r="X335" s="450"/>
      <c r="Y335" s="450"/>
      <c r="Z335" s="450"/>
      <c r="AA335" s="450"/>
      <c r="AB335" s="450"/>
      <c r="AC335" s="450"/>
      <c r="AD335" s="450"/>
      <c r="AE335" s="450"/>
      <c r="AF335" s="450"/>
      <c r="AG335" s="450"/>
      <c r="AH335" s="450"/>
      <c r="AI335" s="450"/>
      <c r="AJ335" s="450"/>
      <c r="AK335" s="450"/>
    </row>
    <row r="336">
      <c r="A336" s="450"/>
      <c r="B336" s="450"/>
      <c r="C336" s="455"/>
      <c r="D336" s="450"/>
      <c r="E336" s="450"/>
      <c r="F336" s="450"/>
      <c r="G336" s="450"/>
      <c r="H336" s="450"/>
      <c r="I336" s="450"/>
      <c r="J336" s="450"/>
      <c r="K336" s="450"/>
      <c r="L336" s="450"/>
      <c r="M336" s="450"/>
      <c r="N336" s="450"/>
      <c r="O336" s="450"/>
      <c r="P336" s="450"/>
      <c r="Q336" s="450"/>
      <c r="R336" s="450"/>
      <c r="S336" s="450"/>
      <c r="T336" s="450"/>
      <c r="U336" s="450"/>
      <c r="V336" s="450"/>
      <c r="W336" s="450"/>
      <c r="X336" s="450"/>
      <c r="Y336" s="450"/>
      <c r="Z336" s="450"/>
      <c r="AA336" s="450"/>
      <c r="AB336" s="450"/>
      <c r="AC336" s="450"/>
      <c r="AD336" s="450"/>
      <c r="AE336" s="450"/>
      <c r="AF336" s="450"/>
      <c r="AG336" s="450"/>
      <c r="AH336" s="450"/>
      <c r="AI336" s="450"/>
      <c r="AJ336" s="450"/>
      <c r="AK336" s="450"/>
    </row>
    <row r="337">
      <c r="A337" s="450"/>
      <c r="B337" s="450"/>
      <c r="C337" s="455"/>
      <c r="D337" s="450"/>
      <c r="E337" s="450"/>
      <c r="F337" s="450"/>
      <c r="G337" s="450"/>
      <c r="H337" s="450"/>
      <c r="I337" s="450"/>
      <c r="J337" s="450"/>
      <c r="K337" s="450"/>
      <c r="L337" s="450"/>
      <c r="M337" s="450"/>
      <c r="N337" s="450"/>
      <c r="O337" s="450"/>
      <c r="P337" s="450"/>
      <c r="Q337" s="450"/>
      <c r="R337" s="450"/>
      <c r="S337" s="450"/>
      <c r="T337" s="450"/>
      <c r="U337" s="450"/>
      <c r="V337" s="450"/>
      <c r="W337" s="450"/>
      <c r="X337" s="450"/>
      <c r="Y337" s="450"/>
      <c r="Z337" s="450"/>
      <c r="AA337" s="450"/>
      <c r="AB337" s="450"/>
      <c r="AC337" s="450"/>
      <c r="AD337" s="450"/>
      <c r="AE337" s="450"/>
      <c r="AF337" s="450"/>
      <c r="AG337" s="450"/>
      <c r="AH337" s="450"/>
      <c r="AI337" s="450"/>
      <c r="AJ337" s="450"/>
      <c r="AK337" s="450"/>
    </row>
    <row r="338">
      <c r="A338" s="450"/>
      <c r="B338" s="450"/>
      <c r="C338" s="455"/>
      <c r="D338" s="450"/>
      <c r="E338" s="450"/>
      <c r="F338" s="450"/>
      <c r="G338" s="450"/>
      <c r="H338" s="450"/>
      <c r="I338" s="450"/>
      <c r="J338" s="450"/>
      <c r="K338" s="450"/>
      <c r="L338" s="450"/>
      <c r="M338" s="450"/>
      <c r="N338" s="450"/>
      <c r="O338" s="450"/>
      <c r="P338" s="450"/>
      <c r="Q338" s="450"/>
      <c r="R338" s="450"/>
      <c r="S338" s="450"/>
      <c r="T338" s="450"/>
      <c r="U338" s="450"/>
      <c r="V338" s="450"/>
      <c r="W338" s="450"/>
      <c r="X338" s="450"/>
      <c r="Y338" s="450"/>
      <c r="Z338" s="450"/>
      <c r="AA338" s="450"/>
      <c r="AB338" s="450"/>
      <c r="AC338" s="450"/>
      <c r="AD338" s="450"/>
      <c r="AE338" s="450"/>
      <c r="AF338" s="450"/>
      <c r="AG338" s="450"/>
      <c r="AH338" s="450"/>
      <c r="AI338" s="450"/>
      <c r="AJ338" s="450"/>
      <c r="AK338" s="450"/>
    </row>
    <row r="339">
      <c r="A339" s="450"/>
      <c r="B339" s="450"/>
      <c r="C339" s="455"/>
      <c r="D339" s="450"/>
      <c r="E339" s="450"/>
      <c r="F339" s="450"/>
      <c r="G339" s="450"/>
      <c r="H339" s="450"/>
      <c r="I339" s="450"/>
      <c r="J339" s="450"/>
      <c r="K339" s="450"/>
      <c r="L339" s="450"/>
      <c r="M339" s="450"/>
      <c r="N339" s="450"/>
      <c r="O339" s="450"/>
      <c r="P339" s="450"/>
      <c r="Q339" s="450"/>
      <c r="R339" s="450"/>
      <c r="S339" s="450"/>
      <c r="T339" s="450"/>
      <c r="U339" s="450"/>
      <c r="V339" s="450"/>
      <c r="W339" s="450"/>
      <c r="X339" s="450"/>
      <c r="Y339" s="450"/>
      <c r="Z339" s="450"/>
      <c r="AA339" s="450"/>
      <c r="AB339" s="450"/>
      <c r="AC339" s="450"/>
      <c r="AD339" s="450"/>
      <c r="AE339" s="450"/>
      <c r="AF339" s="450"/>
      <c r="AG339" s="450"/>
      <c r="AH339" s="450"/>
      <c r="AI339" s="450"/>
      <c r="AJ339" s="450"/>
      <c r="AK339" s="450"/>
    </row>
    <row r="340">
      <c r="A340" s="450"/>
      <c r="B340" s="450"/>
      <c r="C340" s="455"/>
      <c r="D340" s="450"/>
      <c r="E340" s="450"/>
      <c r="F340" s="450"/>
      <c r="G340" s="450"/>
      <c r="H340" s="450"/>
      <c r="I340" s="450"/>
      <c r="J340" s="450"/>
      <c r="K340" s="450"/>
      <c r="L340" s="450"/>
      <c r="M340" s="450"/>
      <c r="N340" s="450"/>
      <c r="O340" s="450"/>
      <c r="P340" s="450"/>
      <c r="Q340" s="450"/>
      <c r="R340" s="450"/>
      <c r="S340" s="450"/>
      <c r="T340" s="450"/>
      <c r="U340" s="450"/>
      <c r="V340" s="450"/>
      <c r="W340" s="450"/>
      <c r="X340" s="450"/>
      <c r="Y340" s="450"/>
      <c r="Z340" s="450"/>
      <c r="AA340" s="450"/>
      <c r="AB340" s="450"/>
      <c r="AC340" s="450"/>
      <c r="AD340" s="450"/>
      <c r="AE340" s="450"/>
      <c r="AF340" s="450"/>
      <c r="AG340" s="450"/>
      <c r="AH340" s="450"/>
      <c r="AI340" s="450"/>
      <c r="AJ340" s="450"/>
      <c r="AK340" s="450"/>
    </row>
    <row r="341">
      <c r="A341" s="450"/>
      <c r="B341" s="450"/>
      <c r="C341" s="455"/>
      <c r="D341" s="450"/>
      <c r="E341" s="450"/>
      <c r="F341" s="450"/>
      <c r="G341" s="450"/>
      <c r="H341" s="450"/>
      <c r="I341" s="450"/>
      <c r="J341" s="450"/>
      <c r="K341" s="450"/>
      <c r="L341" s="450"/>
      <c r="M341" s="450"/>
      <c r="N341" s="450"/>
      <c r="O341" s="450"/>
      <c r="P341" s="450"/>
      <c r="Q341" s="450"/>
      <c r="R341" s="450"/>
      <c r="S341" s="450"/>
      <c r="T341" s="450"/>
      <c r="U341" s="450"/>
      <c r="V341" s="450"/>
      <c r="W341" s="450"/>
      <c r="X341" s="450"/>
      <c r="Y341" s="450"/>
      <c r="Z341" s="450"/>
      <c r="AA341" s="450"/>
      <c r="AB341" s="450"/>
      <c r="AC341" s="450"/>
      <c r="AD341" s="450"/>
      <c r="AE341" s="450"/>
      <c r="AF341" s="450"/>
      <c r="AG341" s="450"/>
      <c r="AH341" s="450"/>
      <c r="AI341" s="450"/>
      <c r="AJ341" s="450"/>
      <c r="AK341" s="450"/>
    </row>
    <row r="342">
      <c r="A342" s="450"/>
      <c r="B342" s="450"/>
      <c r="C342" s="455"/>
      <c r="D342" s="450"/>
      <c r="E342" s="450"/>
      <c r="F342" s="450"/>
      <c r="G342" s="450"/>
      <c r="H342" s="450"/>
      <c r="I342" s="450"/>
      <c r="J342" s="450"/>
      <c r="K342" s="450"/>
      <c r="L342" s="450"/>
      <c r="M342" s="450"/>
      <c r="N342" s="450"/>
      <c r="O342" s="450"/>
      <c r="P342" s="450"/>
      <c r="Q342" s="450"/>
      <c r="R342" s="450"/>
      <c r="S342" s="450"/>
      <c r="T342" s="450"/>
      <c r="U342" s="450"/>
      <c r="V342" s="450"/>
      <c r="W342" s="450"/>
      <c r="X342" s="450"/>
      <c r="Y342" s="450"/>
      <c r="Z342" s="450"/>
      <c r="AA342" s="450"/>
      <c r="AB342" s="450"/>
      <c r="AC342" s="450"/>
      <c r="AD342" s="450"/>
      <c r="AE342" s="450"/>
      <c r="AF342" s="450"/>
      <c r="AG342" s="450"/>
      <c r="AH342" s="450"/>
      <c r="AI342" s="450"/>
      <c r="AJ342" s="450"/>
      <c r="AK342" s="450"/>
    </row>
    <row r="343">
      <c r="A343" s="450"/>
      <c r="B343" s="450"/>
      <c r="C343" s="455"/>
      <c r="D343" s="450"/>
      <c r="E343" s="450"/>
      <c r="F343" s="450"/>
      <c r="G343" s="450"/>
      <c r="H343" s="450"/>
      <c r="I343" s="450"/>
      <c r="J343" s="450"/>
      <c r="K343" s="450"/>
      <c r="L343" s="450"/>
      <c r="M343" s="450"/>
      <c r="N343" s="450"/>
      <c r="O343" s="450"/>
      <c r="P343" s="450"/>
      <c r="Q343" s="450"/>
      <c r="R343" s="450"/>
      <c r="S343" s="450"/>
      <c r="T343" s="450"/>
      <c r="U343" s="450"/>
      <c r="V343" s="450"/>
      <c r="W343" s="450"/>
      <c r="X343" s="450"/>
      <c r="Y343" s="450"/>
      <c r="Z343" s="450"/>
      <c r="AA343" s="450"/>
      <c r="AB343" s="450"/>
      <c r="AC343" s="450"/>
      <c r="AD343" s="450"/>
      <c r="AE343" s="450"/>
      <c r="AF343" s="450"/>
      <c r="AG343" s="450"/>
      <c r="AH343" s="450"/>
      <c r="AI343" s="450"/>
      <c r="AJ343" s="450"/>
      <c r="AK343" s="450"/>
    </row>
    <row r="344">
      <c r="A344" s="450"/>
      <c r="B344" s="450"/>
      <c r="C344" s="455"/>
      <c r="D344" s="450"/>
      <c r="E344" s="450"/>
      <c r="F344" s="450"/>
      <c r="G344" s="450"/>
      <c r="H344" s="450"/>
      <c r="I344" s="450"/>
      <c r="J344" s="450"/>
      <c r="K344" s="450"/>
      <c r="L344" s="450"/>
      <c r="M344" s="450"/>
      <c r="N344" s="450"/>
      <c r="O344" s="450"/>
      <c r="P344" s="450"/>
      <c r="Q344" s="450"/>
      <c r="R344" s="450"/>
      <c r="S344" s="450"/>
      <c r="T344" s="450"/>
      <c r="U344" s="450"/>
      <c r="V344" s="450"/>
      <c r="W344" s="450"/>
      <c r="X344" s="450"/>
      <c r="Y344" s="450"/>
      <c r="Z344" s="450"/>
      <c r="AA344" s="450"/>
      <c r="AB344" s="450"/>
      <c r="AC344" s="450"/>
      <c r="AD344" s="450"/>
      <c r="AE344" s="450"/>
      <c r="AF344" s="450"/>
      <c r="AG344" s="450"/>
      <c r="AH344" s="450"/>
      <c r="AI344" s="450"/>
      <c r="AJ344" s="450"/>
      <c r="AK344" s="450"/>
    </row>
    <row r="345">
      <c r="A345" s="450"/>
      <c r="B345" s="450"/>
      <c r="C345" s="455"/>
      <c r="D345" s="450"/>
      <c r="E345" s="450"/>
      <c r="F345" s="450"/>
      <c r="G345" s="450"/>
      <c r="H345" s="450"/>
      <c r="I345" s="450"/>
      <c r="J345" s="450"/>
      <c r="K345" s="450"/>
      <c r="L345" s="450"/>
      <c r="M345" s="450"/>
      <c r="N345" s="450"/>
      <c r="O345" s="450"/>
      <c r="P345" s="450"/>
      <c r="Q345" s="450"/>
      <c r="R345" s="450"/>
      <c r="S345" s="450"/>
      <c r="T345" s="450"/>
      <c r="U345" s="450"/>
      <c r="V345" s="450"/>
      <c r="W345" s="450"/>
      <c r="X345" s="450"/>
      <c r="Y345" s="450"/>
      <c r="Z345" s="450"/>
      <c r="AA345" s="450"/>
      <c r="AB345" s="450"/>
      <c r="AC345" s="450"/>
      <c r="AD345" s="450"/>
      <c r="AE345" s="450"/>
      <c r="AF345" s="450"/>
      <c r="AG345" s="450"/>
      <c r="AH345" s="450"/>
      <c r="AI345" s="450"/>
      <c r="AJ345" s="450"/>
      <c r="AK345" s="450"/>
    </row>
    <row r="346">
      <c r="A346" s="450"/>
      <c r="B346" s="450"/>
      <c r="C346" s="455"/>
      <c r="D346" s="450"/>
      <c r="E346" s="450"/>
      <c r="F346" s="450"/>
      <c r="G346" s="450"/>
      <c r="H346" s="450"/>
      <c r="I346" s="450"/>
      <c r="J346" s="450"/>
      <c r="K346" s="450"/>
      <c r="L346" s="450"/>
      <c r="M346" s="450"/>
      <c r="N346" s="450"/>
      <c r="O346" s="450"/>
      <c r="P346" s="450"/>
      <c r="Q346" s="450"/>
      <c r="R346" s="450"/>
      <c r="S346" s="450"/>
      <c r="T346" s="450"/>
      <c r="U346" s="450"/>
      <c r="V346" s="450"/>
      <c r="W346" s="450"/>
      <c r="X346" s="450"/>
      <c r="Y346" s="450"/>
      <c r="Z346" s="450"/>
      <c r="AA346" s="450"/>
      <c r="AB346" s="450"/>
      <c r="AC346" s="450"/>
      <c r="AD346" s="450"/>
      <c r="AE346" s="450"/>
      <c r="AF346" s="450"/>
      <c r="AG346" s="450"/>
      <c r="AH346" s="450"/>
      <c r="AI346" s="450"/>
      <c r="AJ346" s="450"/>
      <c r="AK346" s="450"/>
    </row>
    <row r="347">
      <c r="A347" s="450"/>
      <c r="B347" s="450"/>
      <c r="C347" s="455"/>
      <c r="D347" s="450"/>
      <c r="E347" s="450"/>
      <c r="F347" s="450"/>
      <c r="G347" s="450"/>
      <c r="H347" s="450"/>
      <c r="I347" s="450"/>
      <c r="J347" s="450"/>
      <c r="K347" s="450"/>
      <c r="L347" s="450"/>
      <c r="M347" s="450"/>
      <c r="N347" s="450"/>
      <c r="O347" s="450"/>
      <c r="P347" s="450"/>
      <c r="Q347" s="450"/>
      <c r="R347" s="450"/>
      <c r="S347" s="450"/>
      <c r="T347" s="450"/>
      <c r="U347" s="450"/>
      <c r="V347" s="450"/>
      <c r="W347" s="450"/>
      <c r="X347" s="450"/>
      <c r="Y347" s="450"/>
      <c r="Z347" s="450"/>
      <c r="AA347" s="450"/>
      <c r="AB347" s="450"/>
      <c r="AC347" s="450"/>
      <c r="AD347" s="450"/>
      <c r="AE347" s="450"/>
      <c r="AF347" s="450"/>
      <c r="AG347" s="450"/>
      <c r="AH347" s="450"/>
      <c r="AI347" s="450"/>
      <c r="AJ347" s="450"/>
      <c r="AK347" s="450"/>
    </row>
    <row r="348">
      <c r="A348" s="450"/>
      <c r="B348" s="450"/>
      <c r="C348" s="455"/>
      <c r="D348" s="450"/>
      <c r="E348" s="450"/>
      <c r="F348" s="450"/>
      <c r="G348" s="450"/>
      <c r="H348" s="450"/>
      <c r="I348" s="450"/>
      <c r="J348" s="450"/>
      <c r="K348" s="450"/>
      <c r="L348" s="450"/>
      <c r="M348" s="450"/>
      <c r="N348" s="450"/>
      <c r="O348" s="450"/>
      <c r="P348" s="450"/>
      <c r="Q348" s="450"/>
      <c r="R348" s="450"/>
      <c r="S348" s="450"/>
      <c r="T348" s="450"/>
      <c r="U348" s="450"/>
      <c r="V348" s="450"/>
      <c r="W348" s="450"/>
      <c r="X348" s="450"/>
      <c r="Y348" s="450"/>
      <c r="Z348" s="450"/>
      <c r="AA348" s="450"/>
      <c r="AB348" s="450"/>
      <c r="AC348" s="450"/>
      <c r="AD348" s="450"/>
      <c r="AE348" s="450"/>
      <c r="AF348" s="450"/>
      <c r="AG348" s="450"/>
      <c r="AH348" s="450"/>
      <c r="AI348" s="450"/>
      <c r="AJ348" s="450"/>
      <c r="AK348" s="450"/>
    </row>
    <row r="349">
      <c r="A349" s="450"/>
      <c r="B349" s="450"/>
      <c r="C349" s="455"/>
      <c r="D349" s="450"/>
      <c r="E349" s="450"/>
      <c r="F349" s="450"/>
      <c r="G349" s="450"/>
      <c r="H349" s="450"/>
      <c r="I349" s="450"/>
      <c r="J349" s="450"/>
      <c r="K349" s="450"/>
      <c r="L349" s="450"/>
      <c r="M349" s="450"/>
      <c r="N349" s="450"/>
      <c r="O349" s="450"/>
      <c r="P349" s="450"/>
      <c r="Q349" s="450"/>
      <c r="R349" s="450"/>
      <c r="S349" s="450"/>
      <c r="T349" s="450"/>
      <c r="U349" s="450"/>
      <c r="V349" s="450"/>
      <c r="W349" s="450"/>
      <c r="X349" s="450"/>
      <c r="Y349" s="450"/>
      <c r="Z349" s="450"/>
      <c r="AA349" s="450"/>
      <c r="AB349" s="450"/>
      <c r="AC349" s="450"/>
      <c r="AD349" s="450"/>
      <c r="AE349" s="450"/>
      <c r="AF349" s="450"/>
      <c r="AG349" s="450"/>
      <c r="AH349" s="450"/>
      <c r="AI349" s="450"/>
      <c r="AJ349" s="450"/>
      <c r="AK349" s="450"/>
    </row>
    <row r="350">
      <c r="A350" s="450"/>
      <c r="B350" s="450"/>
      <c r="C350" s="455"/>
      <c r="D350" s="450"/>
      <c r="E350" s="450"/>
      <c r="F350" s="450"/>
      <c r="G350" s="450"/>
      <c r="H350" s="450"/>
      <c r="I350" s="450"/>
      <c r="J350" s="450"/>
      <c r="K350" s="450"/>
      <c r="L350" s="450"/>
      <c r="M350" s="450"/>
      <c r="N350" s="450"/>
      <c r="O350" s="450"/>
      <c r="P350" s="450"/>
      <c r="Q350" s="450"/>
      <c r="R350" s="450"/>
      <c r="S350" s="450"/>
      <c r="T350" s="450"/>
      <c r="U350" s="450"/>
      <c r="V350" s="450"/>
      <c r="W350" s="450"/>
      <c r="X350" s="450"/>
      <c r="Y350" s="450"/>
      <c r="Z350" s="450"/>
      <c r="AA350" s="450"/>
      <c r="AB350" s="450"/>
      <c r="AC350" s="450"/>
      <c r="AD350" s="450"/>
      <c r="AE350" s="450"/>
      <c r="AF350" s="450"/>
      <c r="AG350" s="450"/>
      <c r="AH350" s="450"/>
      <c r="AI350" s="450"/>
      <c r="AJ350" s="450"/>
      <c r="AK350" s="450"/>
    </row>
    <row r="351">
      <c r="A351" s="450"/>
      <c r="B351" s="450"/>
      <c r="C351" s="455"/>
      <c r="D351" s="450"/>
      <c r="E351" s="450"/>
      <c r="F351" s="450"/>
      <c r="G351" s="450"/>
      <c r="H351" s="450"/>
      <c r="I351" s="450"/>
      <c r="J351" s="450"/>
      <c r="K351" s="450"/>
      <c r="L351" s="450"/>
      <c r="M351" s="450"/>
      <c r="N351" s="450"/>
      <c r="O351" s="450"/>
      <c r="P351" s="450"/>
      <c r="Q351" s="450"/>
      <c r="R351" s="450"/>
      <c r="S351" s="450"/>
      <c r="T351" s="450"/>
      <c r="U351" s="450"/>
      <c r="V351" s="450"/>
      <c r="W351" s="450"/>
      <c r="X351" s="450"/>
      <c r="Y351" s="450"/>
      <c r="Z351" s="450"/>
      <c r="AA351" s="450"/>
      <c r="AB351" s="450"/>
      <c r="AC351" s="450"/>
      <c r="AD351" s="450"/>
      <c r="AE351" s="450"/>
      <c r="AF351" s="450"/>
      <c r="AG351" s="450"/>
      <c r="AH351" s="450"/>
      <c r="AI351" s="450"/>
      <c r="AJ351" s="450"/>
      <c r="AK351" s="450"/>
    </row>
    <row r="352">
      <c r="A352" s="450"/>
      <c r="B352" s="450"/>
      <c r="C352" s="455"/>
      <c r="D352" s="450"/>
      <c r="E352" s="450"/>
      <c r="F352" s="450"/>
      <c r="G352" s="450"/>
      <c r="H352" s="450"/>
      <c r="I352" s="450"/>
      <c r="J352" s="450"/>
      <c r="K352" s="450"/>
      <c r="L352" s="450"/>
      <c r="M352" s="450"/>
      <c r="N352" s="450"/>
      <c r="O352" s="450"/>
      <c r="P352" s="450"/>
      <c r="Q352" s="450"/>
      <c r="R352" s="450"/>
      <c r="S352" s="450"/>
      <c r="T352" s="450"/>
      <c r="U352" s="450"/>
      <c r="V352" s="450"/>
      <c r="W352" s="450"/>
      <c r="X352" s="450"/>
      <c r="Y352" s="450"/>
      <c r="Z352" s="450"/>
      <c r="AA352" s="450"/>
      <c r="AB352" s="450"/>
      <c r="AC352" s="450"/>
      <c r="AD352" s="450"/>
      <c r="AE352" s="450"/>
      <c r="AF352" s="450"/>
      <c r="AG352" s="450"/>
      <c r="AH352" s="450"/>
      <c r="AI352" s="450"/>
      <c r="AJ352" s="450"/>
      <c r="AK352" s="450"/>
    </row>
    <row r="353">
      <c r="A353" s="450"/>
      <c r="B353" s="450"/>
      <c r="C353" s="455"/>
      <c r="D353" s="450"/>
      <c r="E353" s="450"/>
      <c r="F353" s="450"/>
      <c r="G353" s="450"/>
      <c r="H353" s="450"/>
      <c r="I353" s="450"/>
      <c r="J353" s="450"/>
      <c r="K353" s="450"/>
      <c r="L353" s="450"/>
      <c r="M353" s="450"/>
      <c r="N353" s="450"/>
      <c r="O353" s="450"/>
      <c r="P353" s="450"/>
      <c r="Q353" s="450"/>
      <c r="R353" s="450"/>
      <c r="S353" s="450"/>
      <c r="T353" s="450"/>
      <c r="U353" s="450"/>
      <c r="V353" s="450"/>
      <c r="W353" s="450"/>
      <c r="X353" s="450"/>
      <c r="Y353" s="450"/>
      <c r="Z353" s="450"/>
      <c r="AA353" s="450"/>
      <c r="AB353" s="450"/>
      <c r="AC353" s="450"/>
      <c r="AD353" s="450"/>
      <c r="AE353" s="450"/>
      <c r="AF353" s="450"/>
      <c r="AG353" s="450"/>
      <c r="AH353" s="450"/>
      <c r="AI353" s="450"/>
      <c r="AJ353" s="450"/>
      <c r="AK353" s="450"/>
    </row>
    <row r="354">
      <c r="A354" s="450"/>
      <c r="B354" s="450"/>
      <c r="C354" s="455"/>
      <c r="D354" s="450"/>
      <c r="E354" s="450"/>
      <c r="F354" s="450"/>
      <c r="G354" s="450"/>
      <c r="H354" s="450"/>
      <c r="I354" s="450"/>
      <c r="J354" s="450"/>
      <c r="K354" s="450"/>
      <c r="L354" s="450"/>
      <c r="M354" s="450"/>
      <c r="N354" s="450"/>
      <c r="O354" s="450"/>
      <c r="P354" s="450"/>
      <c r="Q354" s="450"/>
      <c r="R354" s="450"/>
      <c r="S354" s="450"/>
      <c r="T354" s="450"/>
      <c r="U354" s="450"/>
      <c r="V354" s="450"/>
      <c r="W354" s="450"/>
      <c r="X354" s="450"/>
      <c r="Y354" s="450"/>
      <c r="Z354" s="450"/>
      <c r="AA354" s="450"/>
      <c r="AB354" s="450"/>
      <c r="AC354" s="450"/>
      <c r="AD354" s="450"/>
      <c r="AE354" s="450"/>
      <c r="AF354" s="450"/>
      <c r="AG354" s="450"/>
      <c r="AH354" s="450"/>
      <c r="AI354" s="450"/>
      <c r="AJ354" s="450"/>
      <c r="AK354" s="450"/>
    </row>
    <row r="355">
      <c r="A355" s="450"/>
      <c r="B355" s="450"/>
      <c r="C355" s="455"/>
      <c r="D355" s="450"/>
      <c r="E355" s="450"/>
      <c r="F355" s="450"/>
      <c r="G355" s="450"/>
      <c r="H355" s="450"/>
      <c r="I355" s="450"/>
      <c r="J355" s="450"/>
      <c r="K355" s="450"/>
      <c r="L355" s="450"/>
      <c r="M355" s="450"/>
      <c r="N355" s="450"/>
      <c r="O355" s="450"/>
      <c r="P355" s="450"/>
      <c r="Q355" s="450"/>
      <c r="R355" s="450"/>
      <c r="S355" s="450"/>
      <c r="T355" s="450"/>
      <c r="U355" s="450"/>
      <c r="V355" s="450"/>
      <c r="W355" s="450"/>
      <c r="X355" s="450"/>
      <c r="Y355" s="450"/>
      <c r="Z355" s="450"/>
      <c r="AA355" s="450"/>
      <c r="AB355" s="450"/>
      <c r="AC355" s="450"/>
      <c r="AD355" s="450"/>
      <c r="AE355" s="450"/>
      <c r="AF355" s="450"/>
      <c r="AG355" s="450"/>
      <c r="AH355" s="450"/>
      <c r="AI355" s="450"/>
      <c r="AJ355" s="450"/>
      <c r="AK355" s="450"/>
    </row>
    <row r="356">
      <c r="A356" s="450"/>
      <c r="B356" s="450"/>
      <c r="C356" s="455"/>
      <c r="D356" s="450"/>
      <c r="E356" s="450"/>
      <c r="F356" s="450"/>
      <c r="G356" s="450"/>
      <c r="H356" s="450"/>
      <c r="I356" s="450"/>
      <c r="J356" s="450"/>
      <c r="K356" s="450"/>
      <c r="L356" s="450"/>
      <c r="M356" s="450"/>
      <c r="N356" s="450"/>
      <c r="O356" s="450"/>
      <c r="P356" s="450"/>
      <c r="Q356" s="450"/>
      <c r="R356" s="450"/>
      <c r="S356" s="450"/>
      <c r="T356" s="450"/>
      <c r="U356" s="450"/>
      <c r="V356" s="450"/>
      <c r="W356" s="450"/>
      <c r="X356" s="450"/>
      <c r="Y356" s="450"/>
      <c r="Z356" s="450"/>
      <c r="AA356" s="450"/>
      <c r="AB356" s="450"/>
      <c r="AC356" s="450"/>
      <c r="AD356" s="450"/>
      <c r="AE356" s="450"/>
      <c r="AF356" s="450"/>
      <c r="AG356" s="450"/>
      <c r="AH356" s="450"/>
      <c r="AI356" s="450"/>
      <c r="AJ356" s="450"/>
      <c r="AK356" s="450"/>
    </row>
    <row r="357">
      <c r="A357" s="450"/>
      <c r="B357" s="450"/>
      <c r="C357" s="455"/>
      <c r="D357" s="450"/>
      <c r="E357" s="450"/>
      <c r="F357" s="450"/>
      <c r="G357" s="450"/>
      <c r="H357" s="450"/>
      <c r="I357" s="450"/>
      <c r="J357" s="450"/>
      <c r="K357" s="450"/>
      <c r="L357" s="450"/>
      <c r="M357" s="450"/>
      <c r="N357" s="450"/>
      <c r="O357" s="450"/>
      <c r="P357" s="450"/>
      <c r="Q357" s="450"/>
      <c r="R357" s="450"/>
      <c r="S357" s="450"/>
      <c r="T357" s="450"/>
      <c r="U357" s="450"/>
      <c r="V357" s="450"/>
      <c r="W357" s="450"/>
      <c r="X357" s="450"/>
      <c r="Y357" s="450"/>
      <c r="Z357" s="450"/>
      <c r="AA357" s="450"/>
      <c r="AB357" s="450"/>
      <c r="AC357" s="450"/>
      <c r="AD357" s="450"/>
      <c r="AE357" s="450"/>
      <c r="AF357" s="450"/>
      <c r="AG357" s="450"/>
      <c r="AH357" s="450"/>
      <c r="AI357" s="450"/>
      <c r="AJ357" s="450"/>
      <c r="AK357" s="450"/>
    </row>
    <row r="358">
      <c r="A358" s="450"/>
      <c r="B358" s="450"/>
      <c r="C358" s="455"/>
      <c r="D358" s="450"/>
      <c r="E358" s="450"/>
      <c r="F358" s="450"/>
      <c r="G358" s="450"/>
      <c r="H358" s="450"/>
      <c r="I358" s="450"/>
      <c r="J358" s="450"/>
      <c r="K358" s="450"/>
      <c r="L358" s="450"/>
      <c r="M358" s="450"/>
      <c r="N358" s="450"/>
      <c r="O358" s="450"/>
      <c r="P358" s="450"/>
      <c r="Q358" s="450"/>
      <c r="R358" s="450"/>
      <c r="S358" s="450"/>
      <c r="T358" s="450"/>
      <c r="U358" s="450"/>
      <c r="V358" s="450"/>
      <c r="W358" s="450"/>
      <c r="X358" s="450"/>
      <c r="Y358" s="450"/>
      <c r="Z358" s="450"/>
      <c r="AA358" s="450"/>
      <c r="AB358" s="450"/>
      <c r="AC358" s="450"/>
      <c r="AD358" s="450"/>
      <c r="AE358" s="450"/>
      <c r="AF358" s="450"/>
      <c r="AG358" s="450"/>
      <c r="AH358" s="450"/>
      <c r="AI358" s="450"/>
      <c r="AJ358" s="450"/>
      <c r="AK358" s="450"/>
    </row>
    <row r="359">
      <c r="A359" s="450"/>
      <c r="B359" s="450"/>
      <c r="C359" s="455"/>
      <c r="D359" s="450"/>
      <c r="E359" s="450"/>
      <c r="F359" s="450"/>
      <c r="G359" s="450"/>
      <c r="H359" s="450"/>
      <c r="I359" s="450"/>
      <c r="J359" s="450"/>
      <c r="K359" s="450"/>
      <c r="L359" s="450"/>
      <c r="M359" s="450"/>
      <c r="N359" s="450"/>
      <c r="O359" s="450"/>
      <c r="P359" s="450"/>
      <c r="Q359" s="450"/>
      <c r="R359" s="450"/>
      <c r="S359" s="450"/>
      <c r="T359" s="450"/>
      <c r="U359" s="450"/>
      <c r="V359" s="450"/>
      <c r="W359" s="450"/>
      <c r="X359" s="450"/>
      <c r="Y359" s="450"/>
      <c r="Z359" s="450"/>
      <c r="AA359" s="450"/>
      <c r="AB359" s="450"/>
      <c r="AC359" s="450"/>
      <c r="AD359" s="450"/>
      <c r="AE359" s="450"/>
      <c r="AF359" s="450"/>
      <c r="AG359" s="450"/>
      <c r="AH359" s="450"/>
      <c r="AI359" s="450"/>
      <c r="AJ359" s="450"/>
      <c r="AK359" s="450"/>
    </row>
    <row r="360">
      <c r="A360" s="450"/>
      <c r="B360" s="450"/>
      <c r="C360" s="455"/>
      <c r="D360" s="450"/>
      <c r="E360" s="450"/>
      <c r="F360" s="450"/>
      <c r="G360" s="450"/>
      <c r="H360" s="450"/>
      <c r="I360" s="450"/>
      <c r="J360" s="450"/>
      <c r="K360" s="450"/>
      <c r="L360" s="450"/>
      <c r="M360" s="450"/>
      <c r="N360" s="450"/>
      <c r="O360" s="450"/>
      <c r="P360" s="450"/>
      <c r="Q360" s="450"/>
      <c r="R360" s="450"/>
      <c r="S360" s="450"/>
      <c r="T360" s="450"/>
      <c r="U360" s="450"/>
      <c r="V360" s="450"/>
      <c r="W360" s="450"/>
      <c r="X360" s="450"/>
      <c r="Y360" s="450"/>
      <c r="Z360" s="450"/>
      <c r="AA360" s="450"/>
      <c r="AB360" s="450"/>
      <c r="AC360" s="450"/>
      <c r="AD360" s="450"/>
      <c r="AE360" s="450"/>
      <c r="AF360" s="450"/>
      <c r="AG360" s="450"/>
      <c r="AH360" s="450"/>
      <c r="AI360" s="450"/>
      <c r="AJ360" s="450"/>
      <c r="AK360" s="450"/>
    </row>
    <row r="361">
      <c r="A361" s="450"/>
      <c r="B361" s="450"/>
      <c r="C361" s="455"/>
      <c r="D361" s="450"/>
      <c r="E361" s="450"/>
      <c r="F361" s="450"/>
      <c r="G361" s="450"/>
      <c r="H361" s="450"/>
      <c r="I361" s="450"/>
      <c r="J361" s="450"/>
      <c r="K361" s="450"/>
      <c r="L361" s="450"/>
      <c r="M361" s="450"/>
      <c r="N361" s="450"/>
      <c r="O361" s="450"/>
      <c r="P361" s="450"/>
      <c r="Q361" s="450"/>
      <c r="R361" s="450"/>
      <c r="S361" s="450"/>
      <c r="T361" s="450"/>
      <c r="U361" s="450"/>
      <c r="V361" s="450"/>
      <c r="W361" s="450"/>
      <c r="X361" s="450"/>
      <c r="Y361" s="450"/>
      <c r="Z361" s="450"/>
      <c r="AA361" s="450"/>
      <c r="AB361" s="450"/>
      <c r="AC361" s="450"/>
      <c r="AD361" s="450"/>
      <c r="AE361" s="450"/>
      <c r="AF361" s="450"/>
      <c r="AG361" s="450"/>
      <c r="AH361" s="450"/>
      <c r="AI361" s="450"/>
      <c r="AJ361" s="450"/>
      <c r="AK361" s="450"/>
    </row>
    <row r="362">
      <c r="A362" s="450"/>
      <c r="B362" s="450"/>
      <c r="C362" s="455"/>
      <c r="D362" s="450"/>
      <c r="E362" s="450"/>
      <c r="F362" s="450"/>
      <c r="G362" s="450"/>
      <c r="H362" s="450"/>
      <c r="I362" s="450"/>
      <c r="J362" s="450"/>
      <c r="K362" s="450"/>
      <c r="L362" s="450"/>
      <c r="M362" s="450"/>
      <c r="N362" s="450"/>
      <c r="O362" s="450"/>
      <c r="P362" s="450"/>
      <c r="Q362" s="450"/>
      <c r="R362" s="450"/>
      <c r="S362" s="450"/>
      <c r="T362" s="450"/>
      <c r="U362" s="450"/>
      <c r="V362" s="450"/>
      <c r="W362" s="450"/>
      <c r="X362" s="450"/>
      <c r="Y362" s="450"/>
      <c r="Z362" s="450"/>
      <c r="AA362" s="450"/>
      <c r="AB362" s="450"/>
      <c r="AC362" s="450"/>
      <c r="AD362" s="450"/>
      <c r="AE362" s="450"/>
      <c r="AF362" s="450"/>
      <c r="AG362" s="450"/>
      <c r="AH362" s="450"/>
      <c r="AI362" s="450"/>
      <c r="AJ362" s="450"/>
      <c r="AK362" s="450"/>
    </row>
    <row r="363">
      <c r="A363" s="450"/>
      <c r="B363" s="450"/>
      <c r="C363" s="455"/>
      <c r="D363" s="450"/>
      <c r="E363" s="450"/>
      <c r="F363" s="450"/>
      <c r="G363" s="450"/>
      <c r="H363" s="450"/>
      <c r="I363" s="450"/>
      <c r="J363" s="450"/>
      <c r="K363" s="450"/>
      <c r="L363" s="450"/>
      <c r="M363" s="450"/>
      <c r="N363" s="450"/>
      <c r="O363" s="450"/>
      <c r="P363" s="450"/>
      <c r="Q363" s="450"/>
      <c r="R363" s="450"/>
      <c r="S363" s="450"/>
      <c r="T363" s="450"/>
      <c r="U363" s="450"/>
      <c r="V363" s="450"/>
      <c r="W363" s="450"/>
      <c r="X363" s="450"/>
      <c r="Y363" s="450"/>
      <c r="Z363" s="450"/>
      <c r="AA363" s="450"/>
      <c r="AB363" s="450"/>
      <c r="AC363" s="450"/>
      <c r="AD363" s="450"/>
      <c r="AE363" s="450"/>
      <c r="AF363" s="450"/>
      <c r="AG363" s="450"/>
      <c r="AH363" s="450"/>
      <c r="AI363" s="450"/>
      <c r="AJ363" s="450"/>
      <c r="AK363" s="450"/>
    </row>
    <row r="364">
      <c r="A364" s="450"/>
      <c r="B364" s="450"/>
      <c r="C364" s="455"/>
      <c r="D364" s="450"/>
      <c r="E364" s="450"/>
      <c r="F364" s="450"/>
      <c r="G364" s="450"/>
      <c r="H364" s="450"/>
      <c r="I364" s="450"/>
      <c r="J364" s="450"/>
      <c r="K364" s="450"/>
      <c r="L364" s="450"/>
      <c r="M364" s="450"/>
      <c r="N364" s="450"/>
      <c r="O364" s="450"/>
      <c r="P364" s="450"/>
      <c r="Q364" s="450"/>
      <c r="R364" s="450"/>
      <c r="S364" s="450"/>
      <c r="T364" s="450"/>
      <c r="U364" s="450"/>
      <c r="V364" s="450"/>
      <c r="W364" s="450"/>
      <c r="X364" s="450"/>
      <c r="Y364" s="450"/>
      <c r="Z364" s="450"/>
      <c r="AA364" s="450"/>
      <c r="AB364" s="450"/>
      <c r="AC364" s="450"/>
      <c r="AD364" s="450"/>
      <c r="AE364" s="450"/>
      <c r="AF364" s="450"/>
      <c r="AG364" s="450"/>
      <c r="AH364" s="450"/>
      <c r="AI364" s="450"/>
      <c r="AJ364" s="450"/>
      <c r="AK364" s="450"/>
    </row>
    <row r="365">
      <c r="A365" s="450"/>
      <c r="B365" s="450"/>
      <c r="C365" s="455"/>
      <c r="D365" s="450"/>
      <c r="E365" s="450"/>
      <c r="F365" s="450"/>
      <c r="G365" s="450"/>
      <c r="H365" s="450"/>
      <c r="I365" s="450"/>
      <c r="J365" s="450"/>
      <c r="K365" s="450"/>
      <c r="L365" s="450"/>
      <c r="M365" s="450"/>
      <c r="N365" s="450"/>
      <c r="O365" s="450"/>
      <c r="P365" s="450"/>
      <c r="Q365" s="450"/>
      <c r="R365" s="450"/>
      <c r="S365" s="450"/>
      <c r="T365" s="450"/>
      <c r="U365" s="450"/>
      <c r="V365" s="450"/>
      <c r="W365" s="450"/>
      <c r="X365" s="450"/>
      <c r="Y365" s="450"/>
      <c r="Z365" s="450"/>
      <c r="AA365" s="450"/>
      <c r="AB365" s="450"/>
      <c r="AC365" s="450"/>
      <c r="AD365" s="450"/>
      <c r="AE365" s="450"/>
      <c r="AF365" s="450"/>
      <c r="AG365" s="450"/>
      <c r="AH365" s="450"/>
      <c r="AI365" s="450"/>
      <c r="AJ365" s="450"/>
      <c r="AK365" s="450"/>
    </row>
    <row r="366">
      <c r="A366" s="450"/>
      <c r="B366" s="450"/>
      <c r="C366" s="455"/>
      <c r="D366" s="450"/>
      <c r="E366" s="450"/>
      <c r="F366" s="450"/>
      <c r="G366" s="450"/>
      <c r="H366" s="450"/>
      <c r="I366" s="450"/>
      <c r="J366" s="450"/>
      <c r="K366" s="450"/>
      <c r="L366" s="450"/>
      <c r="M366" s="450"/>
      <c r="N366" s="450"/>
      <c r="O366" s="450"/>
      <c r="P366" s="450"/>
      <c r="Q366" s="450"/>
      <c r="R366" s="450"/>
      <c r="S366" s="450"/>
      <c r="T366" s="450"/>
      <c r="U366" s="450"/>
      <c r="V366" s="450"/>
      <c r="W366" s="450"/>
      <c r="X366" s="450"/>
      <c r="Y366" s="450"/>
      <c r="Z366" s="450"/>
      <c r="AA366" s="450"/>
      <c r="AB366" s="450"/>
      <c r="AC366" s="450"/>
      <c r="AD366" s="450"/>
      <c r="AE366" s="450"/>
      <c r="AF366" s="450"/>
      <c r="AG366" s="450"/>
      <c r="AH366" s="450"/>
      <c r="AI366" s="450"/>
      <c r="AJ366" s="450"/>
      <c r="AK366" s="450"/>
    </row>
    <row r="367">
      <c r="A367" s="450"/>
      <c r="B367" s="450"/>
      <c r="C367" s="455"/>
      <c r="D367" s="450"/>
      <c r="E367" s="450"/>
      <c r="F367" s="450"/>
      <c r="G367" s="450"/>
      <c r="H367" s="450"/>
      <c r="I367" s="450"/>
      <c r="J367" s="450"/>
      <c r="K367" s="450"/>
      <c r="L367" s="450"/>
      <c r="M367" s="450"/>
      <c r="N367" s="450"/>
      <c r="O367" s="450"/>
      <c r="P367" s="450"/>
      <c r="Q367" s="450"/>
      <c r="R367" s="450"/>
      <c r="S367" s="450"/>
      <c r="T367" s="450"/>
      <c r="U367" s="450"/>
      <c r="V367" s="450"/>
      <c r="W367" s="450"/>
      <c r="X367" s="450"/>
      <c r="Y367" s="450"/>
      <c r="Z367" s="450"/>
      <c r="AA367" s="450"/>
      <c r="AB367" s="450"/>
      <c r="AC367" s="450"/>
      <c r="AD367" s="450"/>
      <c r="AE367" s="450"/>
      <c r="AF367" s="450"/>
      <c r="AG367" s="450"/>
      <c r="AH367" s="450"/>
      <c r="AI367" s="450"/>
      <c r="AJ367" s="450"/>
      <c r="AK367" s="450"/>
    </row>
    <row r="368">
      <c r="A368" s="450"/>
      <c r="B368" s="450"/>
      <c r="C368" s="455"/>
      <c r="D368" s="450"/>
      <c r="E368" s="450"/>
      <c r="F368" s="450"/>
      <c r="G368" s="450"/>
      <c r="H368" s="450"/>
      <c r="I368" s="450"/>
      <c r="J368" s="450"/>
      <c r="K368" s="450"/>
      <c r="L368" s="450"/>
      <c r="M368" s="450"/>
      <c r="N368" s="450"/>
      <c r="O368" s="450"/>
      <c r="P368" s="450"/>
      <c r="Q368" s="450"/>
      <c r="R368" s="450"/>
      <c r="S368" s="450"/>
      <c r="T368" s="450"/>
      <c r="U368" s="450"/>
      <c r="V368" s="450"/>
      <c r="W368" s="450"/>
      <c r="X368" s="450"/>
      <c r="Y368" s="450"/>
      <c r="Z368" s="450"/>
      <c r="AA368" s="450"/>
      <c r="AB368" s="450"/>
      <c r="AC368" s="450"/>
      <c r="AD368" s="450"/>
      <c r="AE368" s="450"/>
      <c r="AF368" s="450"/>
      <c r="AG368" s="450"/>
      <c r="AH368" s="450"/>
      <c r="AI368" s="450"/>
      <c r="AJ368" s="450"/>
      <c r="AK368" s="450"/>
    </row>
    <row r="369">
      <c r="A369" s="450"/>
      <c r="B369" s="450"/>
      <c r="C369" s="455"/>
      <c r="D369" s="450"/>
      <c r="E369" s="450"/>
      <c r="F369" s="450"/>
      <c r="G369" s="450"/>
      <c r="H369" s="450"/>
      <c r="I369" s="450"/>
      <c r="J369" s="450"/>
      <c r="K369" s="450"/>
      <c r="L369" s="450"/>
      <c r="M369" s="450"/>
      <c r="N369" s="450"/>
      <c r="O369" s="450"/>
      <c r="P369" s="450"/>
      <c r="Q369" s="450"/>
      <c r="R369" s="450"/>
      <c r="S369" s="450"/>
      <c r="T369" s="450"/>
      <c r="U369" s="450"/>
      <c r="V369" s="450"/>
      <c r="W369" s="450"/>
      <c r="X369" s="450"/>
      <c r="Y369" s="450"/>
      <c r="Z369" s="450"/>
      <c r="AA369" s="450"/>
      <c r="AB369" s="450"/>
      <c r="AC369" s="450"/>
      <c r="AD369" s="450"/>
      <c r="AE369" s="450"/>
      <c r="AF369" s="450"/>
      <c r="AG369" s="450"/>
      <c r="AH369" s="450"/>
      <c r="AI369" s="450"/>
      <c r="AJ369" s="450"/>
      <c r="AK369" s="450"/>
    </row>
    <row r="370">
      <c r="A370" s="450"/>
      <c r="B370" s="450"/>
      <c r="C370" s="455"/>
      <c r="D370" s="450"/>
      <c r="E370" s="450"/>
      <c r="F370" s="450"/>
      <c r="G370" s="450"/>
      <c r="H370" s="450"/>
      <c r="I370" s="450"/>
      <c r="J370" s="450"/>
      <c r="K370" s="450"/>
      <c r="L370" s="450"/>
      <c r="M370" s="450"/>
      <c r="N370" s="450"/>
      <c r="O370" s="450"/>
      <c r="P370" s="450"/>
      <c r="Q370" s="450"/>
      <c r="R370" s="450"/>
      <c r="S370" s="450"/>
      <c r="T370" s="450"/>
      <c r="U370" s="450"/>
      <c r="V370" s="450"/>
      <c r="W370" s="450"/>
      <c r="X370" s="450"/>
      <c r="Y370" s="450"/>
      <c r="Z370" s="450"/>
      <c r="AA370" s="450"/>
      <c r="AB370" s="450"/>
      <c r="AC370" s="450"/>
      <c r="AD370" s="450"/>
      <c r="AE370" s="450"/>
      <c r="AF370" s="450"/>
      <c r="AG370" s="450"/>
      <c r="AH370" s="450"/>
      <c r="AI370" s="450"/>
      <c r="AJ370" s="450"/>
      <c r="AK370" s="450"/>
    </row>
    <row r="371">
      <c r="A371" s="450"/>
      <c r="B371" s="450"/>
      <c r="C371" s="455"/>
      <c r="D371" s="450"/>
      <c r="E371" s="450"/>
      <c r="F371" s="450"/>
      <c r="G371" s="450"/>
      <c r="H371" s="450"/>
      <c r="I371" s="450"/>
      <c r="J371" s="450"/>
      <c r="K371" s="450"/>
      <c r="L371" s="450"/>
      <c r="M371" s="450"/>
      <c r="N371" s="450"/>
      <c r="O371" s="450"/>
      <c r="P371" s="450"/>
      <c r="Q371" s="450"/>
      <c r="R371" s="450"/>
      <c r="S371" s="450"/>
      <c r="T371" s="450"/>
      <c r="U371" s="450"/>
      <c r="V371" s="450"/>
      <c r="W371" s="450"/>
      <c r="X371" s="450"/>
      <c r="Y371" s="450"/>
      <c r="Z371" s="450"/>
      <c r="AA371" s="450"/>
      <c r="AB371" s="450"/>
      <c r="AC371" s="450"/>
      <c r="AD371" s="450"/>
      <c r="AE371" s="450"/>
      <c r="AF371" s="450"/>
      <c r="AG371" s="450"/>
      <c r="AH371" s="450"/>
      <c r="AI371" s="450"/>
      <c r="AJ371" s="450"/>
      <c r="AK371" s="450"/>
    </row>
    <row r="372">
      <c r="A372" s="450"/>
      <c r="B372" s="450"/>
      <c r="C372" s="455"/>
      <c r="D372" s="450"/>
      <c r="E372" s="450"/>
      <c r="F372" s="450"/>
      <c r="G372" s="450"/>
      <c r="H372" s="450"/>
      <c r="I372" s="450"/>
      <c r="J372" s="450"/>
      <c r="K372" s="450"/>
      <c r="L372" s="450"/>
      <c r="M372" s="450"/>
      <c r="N372" s="450"/>
      <c r="O372" s="450"/>
      <c r="P372" s="450"/>
      <c r="Q372" s="450"/>
      <c r="R372" s="450"/>
      <c r="S372" s="450"/>
      <c r="T372" s="450"/>
      <c r="U372" s="450"/>
      <c r="V372" s="450"/>
      <c r="W372" s="450"/>
      <c r="X372" s="450"/>
      <c r="Y372" s="450"/>
      <c r="Z372" s="450"/>
      <c r="AA372" s="450"/>
      <c r="AB372" s="450"/>
      <c r="AC372" s="450"/>
      <c r="AD372" s="450"/>
      <c r="AE372" s="450"/>
      <c r="AF372" s="450"/>
      <c r="AG372" s="450"/>
      <c r="AH372" s="450"/>
      <c r="AI372" s="450"/>
      <c r="AJ372" s="450"/>
      <c r="AK372" s="450"/>
    </row>
    <row r="373">
      <c r="A373" s="450"/>
      <c r="B373" s="450"/>
      <c r="C373" s="455"/>
      <c r="D373" s="450"/>
      <c r="E373" s="450"/>
      <c r="F373" s="450"/>
      <c r="G373" s="450"/>
      <c r="H373" s="450"/>
      <c r="I373" s="450"/>
      <c r="J373" s="450"/>
      <c r="K373" s="450"/>
      <c r="L373" s="450"/>
      <c r="M373" s="450"/>
      <c r="N373" s="450"/>
      <c r="O373" s="450"/>
      <c r="P373" s="450"/>
      <c r="Q373" s="450"/>
      <c r="R373" s="450"/>
      <c r="S373" s="450"/>
      <c r="T373" s="450"/>
      <c r="U373" s="450"/>
      <c r="V373" s="450"/>
      <c r="W373" s="450"/>
      <c r="X373" s="450"/>
      <c r="Y373" s="450"/>
      <c r="Z373" s="450"/>
      <c r="AA373" s="450"/>
      <c r="AB373" s="450"/>
      <c r="AC373" s="450"/>
      <c r="AD373" s="450"/>
      <c r="AE373" s="450"/>
      <c r="AF373" s="450"/>
      <c r="AG373" s="450"/>
      <c r="AH373" s="450"/>
      <c r="AI373" s="450"/>
      <c r="AJ373" s="450"/>
      <c r="AK373" s="450"/>
    </row>
    <row r="374">
      <c r="A374" s="450"/>
      <c r="B374" s="450"/>
      <c r="C374" s="455"/>
      <c r="D374" s="450"/>
      <c r="E374" s="450"/>
      <c r="F374" s="450"/>
      <c r="G374" s="450"/>
      <c r="H374" s="450"/>
      <c r="I374" s="450"/>
      <c r="J374" s="450"/>
      <c r="K374" s="450"/>
      <c r="L374" s="450"/>
      <c r="M374" s="450"/>
      <c r="N374" s="450"/>
      <c r="O374" s="450"/>
      <c r="P374" s="450"/>
      <c r="Q374" s="450"/>
      <c r="R374" s="450"/>
      <c r="S374" s="450"/>
      <c r="T374" s="450"/>
      <c r="U374" s="450"/>
      <c r="V374" s="450"/>
      <c r="W374" s="450"/>
      <c r="X374" s="450"/>
      <c r="Y374" s="450"/>
      <c r="Z374" s="450"/>
      <c r="AA374" s="450"/>
      <c r="AB374" s="450"/>
      <c r="AC374" s="450"/>
      <c r="AD374" s="450"/>
      <c r="AE374" s="450"/>
      <c r="AF374" s="450"/>
      <c r="AG374" s="450"/>
      <c r="AH374" s="450"/>
      <c r="AI374" s="450"/>
      <c r="AJ374" s="450"/>
      <c r="AK374" s="450"/>
    </row>
    <row r="375">
      <c r="A375" s="450"/>
      <c r="B375" s="450"/>
      <c r="C375" s="455"/>
      <c r="D375" s="450"/>
      <c r="E375" s="450"/>
      <c r="F375" s="450"/>
      <c r="G375" s="450"/>
      <c r="H375" s="450"/>
      <c r="I375" s="450"/>
      <c r="J375" s="450"/>
      <c r="K375" s="450"/>
      <c r="L375" s="450"/>
      <c r="M375" s="450"/>
      <c r="N375" s="450"/>
      <c r="O375" s="450"/>
      <c r="P375" s="450"/>
      <c r="Q375" s="450"/>
      <c r="R375" s="450"/>
      <c r="S375" s="450"/>
      <c r="T375" s="450"/>
      <c r="U375" s="450"/>
      <c r="V375" s="450"/>
      <c r="W375" s="450"/>
      <c r="X375" s="450"/>
      <c r="Y375" s="450"/>
      <c r="Z375" s="450"/>
      <c r="AA375" s="450"/>
      <c r="AB375" s="450"/>
      <c r="AC375" s="450"/>
      <c r="AD375" s="450"/>
      <c r="AE375" s="450"/>
      <c r="AF375" s="450"/>
      <c r="AG375" s="450"/>
      <c r="AH375" s="450"/>
      <c r="AI375" s="450"/>
      <c r="AJ375" s="450"/>
      <c r="AK375" s="450"/>
    </row>
    <row r="376">
      <c r="A376" s="450"/>
      <c r="B376" s="450"/>
      <c r="C376" s="455"/>
      <c r="D376" s="450"/>
      <c r="E376" s="450"/>
      <c r="F376" s="450"/>
      <c r="G376" s="450"/>
      <c r="H376" s="450"/>
      <c r="I376" s="450"/>
      <c r="J376" s="450"/>
      <c r="K376" s="450"/>
      <c r="L376" s="450"/>
      <c r="M376" s="450"/>
      <c r="N376" s="450"/>
      <c r="O376" s="450"/>
      <c r="P376" s="450"/>
      <c r="Q376" s="450"/>
      <c r="R376" s="450"/>
      <c r="S376" s="450"/>
      <c r="T376" s="450"/>
      <c r="U376" s="450"/>
      <c r="V376" s="450"/>
      <c r="W376" s="450"/>
      <c r="X376" s="450"/>
      <c r="Y376" s="450"/>
      <c r="Z376" s="450"/>
      <c r="AA376" s="450"/>
      <c r="AB376" s="450"/>
      <c r="AC376" s="450"/>
      <c r="AD376" s="450"/>
      <c r="AE376" s="450"/>
      <c r="AF376" s="450"/>
      <c r="AG376" s="450"/>
      <c r="AH376" s="450"/>
      <c r="AI376" s="450"/>
      <c r="AJ376" s="450"/>
      <c r="AK376" s="450"/>
    </row>
    <row r="377">
      <c r="A377" s="450"/>
      <c r="B377" s="450"/>
      <c r="C377" s="455"/>
      <c r="D377" s="450"/>
      <c r="E377" s="450"/>
      <c r="F377" s="450"/>
      <c r="G377" s="450"/>
      <c r="H377" s="450"/>
      <c r="I377" s="450"/>
      <c r="J377" s="450"/>
      <c r="K377" s="450"/>
      <c r="L377" s="450"/>
      <c r="M377" s="450"/>
      <c r="N377" s="450"/>
      <c r="O377" s="450"/>
      <c r="P377" s="450"/>
      <c r="Q377" s="450"/>
      <c r="R377" s="450"/>
      <c r="S377" s="450"/>
      <c r="T377" s="450"/>
      <c r="U377" s="450"/>
      <c r="V377" s="450"/>
      <c r="W377" s="450"/>
      <c r="X377" s="450"/>
      <c r="Y377" s="450"/>
      <c r="Z377" s="450"/>
      <c r="AA377" s="450"/>
      <c r="AB377" s="450"/>
      <c r="AC377" s="450"/>
      <c r="AD377" s="450"/>
      <c r="AE377" s="450"/>
      <c r="AF377" s="450"/>
      <c r="AG377" s="450"/>
      <c r="AH377" s="450"/>
      <c r="AI377" s="450"/>
      <c r="AJ377" s="450"/>
      <c r="AK377" s="450"/>
    </row>
    <row r="378">
      <c r="A378" s="450"/>
      <c r="B378" s="450"/>
      <c r="C378" s="455"/>
      <c r="D378" s="450"/>
      <c r="E378" s="450"/>
      <c r="F378" s="450"/>
      <c r="G378" s="450"/>
      <c r="H378" s="450"/>
      <c r="I378" s="450"/>
      <c r="J378" s="450"/>
      <c r="K378" s="450"/>
      <c r="L378" s="450"/>
      <c r="M378" s="450"/>
      <c r="N378" s="450"/>
      <c r="O378" s="450"/>
      <c r="P378" s="450"/>
      <c r="Q378" s="450"/>
      <c r="R378" s="450"/>
      <c r="S378" s="450"/>
      <c r="T378" s="450"/>
      <c r="U378" s="450"/>
      <c r="V378" s="450"/>
      <c r="W378" s="450"/>
      <c r="X378" s="450"/>
      <c r="Y378" s="450"/>
      <c r="Z378" s="450"/>
      <c r="AA378" s="450"/>
      <c r="AB378" s="450"/>
      <c r="AC378" s="450"/>
      <c r="AD378" s="450"/>
      <c r="AE378" s="450"/>
      <c r="AF378" s="450"/>
      <c r="AG378" s="450"/>
      <c r="AH378" s="450"/>
      <c r="AI378" s="450"/>
      <c r="AJ378" s="450"/>
      <c r="AK378" s="450"/>
    </row>
    <row r="379">
      <c r="A379" s="450"/>
      <c r="B379" s="450"/>
      <c r="C379" s="455"/>
      <c r="D379" s="450"/>
      <c r="E379" s="450"/>
      <c r="F379" s="450"/>
      <c r="G379" s="450"/>
      <c r="H379" s="450"/>
      <c r="I379" s="450"/>
      <c r="J379" s="450"/>
      <c r="K379" s="450"/>
      <c r="L379" s="450"/>
      <c r="M379" s="450"/>
      <c r="N379" s="450"/>
      <c r="O379" s="450"/>
      <c r="P379" s="450"/>
      <c r="Q379" s="450"/>
      <c r="R379" s="450"/>
      <c r="S379" s="450"/>
      <c r="T379" s="450"/>
      <c r="U379" s="450"/>
      <c r="V379" s="450"/>
      <c r="W379" s="450"/>
      <c r="X379" s="450"/>
      <c r="Y379" s="450"/>
      <c r="Z379" s="450"/>
      <c r="AA379" s="450"/>
      <c r="AB379" s="450"/>
      <c r="AC379" s="450"/>
      <c r="AD379" s="450"/>
      <c r="AE379" s="450"/>
      <c r="AF379" s="450"/>
      <c r="AG379" s="450"/>
      <c r="AH379" s="450"/>
      <c r="AI379" s="450"/>
      <c r="AJ379" s="450"/>
      <c r="AK379" s="450"/>
    </row>
    <row r="380">
      <c r="A380" s="450"/>
      <c r="B380" s="450"/>
      <c r="C380" s="455"/>
      <c r="D380" s="450"/>
      <c r="E380" s="450"/>
      <c r="F380" s="450"/>
      <c r="G380" s="450"/>
      <c r="H380" s="450"/>
      <c r="I380" s="450"/>
      <c r="J380" s="450"/>
      <c r="K380" s="450"/>
      <c r="L380" s="450"/>
      <c r="M380" s="450"/>
      <c r="N380" s="450"/>
      <c r="O380" s="450"/>
      <c r="P380" s="450"/>
      <c r="Q380" s="450"/>
      <c r="R380" s="450"/>
      <c r="S380" s="450"/>
      <c r="T380" s="450"/>
      <c r="U380" s="450"/>
      <c r="V380" s="450"/>
      <c r="W380" s="450"/>
      <c r="X380" s="450"/>
      <c r="Y380" s="450"/>
      <c r="Z380" s="450"/>
      <c r="AA380" s="450"/>
      <c r="AB380" s="450"/>
      <c r="AC380" s="450"/>
      <c r="AD380" s="450"/>
      <c r="AE380" s="450"/>
      <c r="AF380" s="450"/>
      <c r="AG380" s="450"/>
      <c r="AH380" s="450"/>
      <c r="AI380" s="450"/>
      <c r="AJ380" s="450"/>
      <c r="AK380" s="450"/>
    </row>
    <row r="381">
      <c r="A381" s="450"/>
      <c r="B381" s="450"/>
      <c r="C381" s="455"/>
      <c r="D381" s="450"/>
      <c r="E381" s="450"/>
      <c r="F381" s="450"/>
      <c r="G381" s="450"/>
      <c r="H381" s="450"/>
      <c r="I381" s="450"/>
      <c r="J381" s="450"/>
      <c r="K381" s="450"/>
      <c r="L381" s="450"/>
      <c r="M381" s="450"/>
      <c r="N381" s="450"/>
      <c r="O381" s="450"/>
      <c r="P381" s="450"/>
      <c r="Q381" s="450"/>
      <c r="R381" s="450"/>
      <c r="S381" s="450"/>
      <c r="T381" s="450"/>
      <c r="U381" s="450"/>
      <c r="V381" s="450"/>
      <c r="W381" s="450"/>
      <c r="X381" s="450"/>
      <c r="Y381" s="450"/>
      <c r="Z381" s="450"/>
      <c r="AA381" s="450"/>
      <c r="AB381" s="450"/>
      <c r="AC381" s="450"/>
      <c r="AD381" s="450"/>
      <c r="AE381" s="450"/>
      <c r="AF381" s="450"/>
      <c r="AG381" s="450"/>
      <c r="AH381" s="450"/>
      <c r="AI381" s="450"/>
      <c r="AJ381" s="450"/>
      <c r="AK381" s="450"/>
    </row>
    <row r="382">
      <c r="A382" s="450"/>
      <c r="B382" s="450"/>
      <c r="C382" s="455"/>
      <c r="D382" s="450"/>
      <c r="E382" s="450"/>
      <c r="F382" s="450"/>
      <c r="G382" s="450"/>
      <c r="H382" s="450"/>
      <c r="I382" s="450"/>
      <c r="J382" s="450"/>
      <c r="K382" s="450"/>
      <c r="L382" s="450"/>
      <c r="M382" s="450"/>
      <c r="N382" s="450"/>
      <c r="O382" s="450"/>
      <c r="P382" s="450"/>
      <c r="Q382" s="450"/>
      <c r="R382" s="450"/>
      <c r="S382" s="450"/>
      <c r="T382" s="450"/>
      <c r="U382" s="450"/>
      <c r="V382" s="450"/>
      <c r="W382" s="450"/>
      <c r="X382" s="450"/>
      <c r="Y382" s="450"/>
      <c r="Z382" s="450"/>
      <c r="AA382" s="450"/>
      <c r="AB382" s="450"/>
      <c r="AC382" s="450"/>
      <c r="AD382" s="450"/>
      <c r="AE382" s="450"/>
      <c r="AF382" s="450"/>
      <c r="AG382" s="450"/>
      <c r="AH382" s="450"/>
      <c r="AI382" s="450"/>
      <c r="AJ382" s="450"/>
      <c r="AK382" s="450"/>
    </row>
    <row r="383">
      <c r="A383" s="450"/>
      <c r="B383" s="450"/>
      <c r="C383" s="455"/>
      <c r="D383" s="450"/>
      <c r="E383" s="450"/>
      <c r="F383" s="450"/>
      <c r="G383" s="450"/>
      <c r="H383" s="450"/>
      <c r="I383" s="450"/>
      <c r="J383" s="450"/>
      <c r="K383" s="450"/>
      <c r="L383" s="450"/>
      <c r="M383" s="450"/>
      <c r="N383" s="450"/>
      <c r="O383" s="450"/>
      <c r="P383" s="450"/>
      <c r="Q383" s="450"/>
      <c r="R383" s="450"/>
      <c r="S383" s="450"/>
      <c r="T383" s="450"/>
      <c r="U383" s="450"/>
      <c r="V383" s="450"/>
      <c r="W383" s="450"/>
      <c r="X383" s="450"/>
      <c r="Y383" s="450"/>
      <c r="Z383" s="450"/>
      <c r="AA383" s="450"/>
      <c r="AB383" s="450"/>
      <c r="AC383" s="450"/>
      <c r="AD383" s="450"/>
      <c r="AE383" s="450"/>
      <c r="AF383" s="450"/>
      <c r="AG383" s="450"/>
      <c r="AH383" s="450"/>
      <c r="AI383" s="450"/>
      <c r="AJ383" s="450"/>
      <c r="AK383" s="450"/>
    </row>
    <row r="384">
      <c r="A384" s="450"/>
      <c r="B384" s="450"/>
      <c r="C384" s="455"/>
      <c r="D384" s="450"/>
      <c r="E384" s="450"/>
      <c r="F384" s="450"/>
      <c r="G384" s="450"/>
      <c r="H384" s="450"/>
      <c r="I384" s="450"/>
      <c r="J384" s="450"/>
      <c r="K384" s="450"/>
      <c r="L384" s="450"/>
      <c r="M384" s="450"/>
      <c r="N384" s="450"/>
      <c r="O384" s="450"/>
      <c r="P384" s="450"/>
      <c r="Q384" s="450"/>
      <c r="R384" s="450"/>
      <c r="S384" s="450"/>
      <c r="T384" s="450"/>
      <c r="U384" s="450"/>
      <c r="V384" s="450"/>
      <c r="W384" s="450"/>
      <c r="X384" s="450"/>
      <c r="Y384" s="450"/>
      <c r="Z384" s="450"/>
      <c r="AA384" s="450"/>
      <c r="AB384" s="450"/>
      <c r="AC384" s="450"/>
      <c r="AD384" s="450"/>
      <c r="AE384" s="450"/>
      <c r="AF384" s="450"/>
      <c r="AG384" s="450"/>
      <c r="AH384" s="450"/>
      <c r="AI384" s="450"/>
      <c r="AJ384" s="450"/>
      <c r="AK384" s="450"/>
    </row>
    <row r="385">
      <c r="A385" s="450"/>
      <c r="B385" s="450"/>
      <c r="C385" s="455"/>
      <c r="D385" s="450"/>
      <c r="E385" s="450"/>
      <c r="F385" s="450"/>
      <c r="G385" s="450"/>
      <c r="H385" s="450"/>
      <c r="I385" s="450"/>
      <c r="J385" s="450"/>
      <c r="K385" s="450"/>
      <c r="L385" s="450"/>
      <c r="M385" s="450"/>
      <c r="N385" s="450"/>
      <c r="O385" s="450"/>
      <c r="P385" s="450"/>
      <c r="Q385" s="450"/>
      <c r="R385" s="450"/>
      <c r="S385" s="450"/>
      <c r="T385" s="450"/>
      <c r="U385" s="450"/>
      <c r="V385" s="450"/>
      <c r="W385" s="450"/>
      <c r="X385" s="450"/>
      <c r="Y385" s="450"/>
      <c r="Z385" s="450"/>
      <c r="AA385" s="450"/>
      <c r="AB385" s="450"/>
      <c r="AC385" s="450"/>
      <c r="AD385" s="450"/>
      <c r="AE385" s="450"/>
      <c r="AF385" s="450"/>
      <c r="AG385" s="450"/>
      <c r="AH385" s="450"/>
      <c r="AI385" s="450"/>
      <c r="AJ385" s="450"/>
      <c r="AK385" s="450"/>
    </row>
    <row r="386">
      <c r="A386" s="450"/>
      <c r="B386" s="450"/>
      <c r="C386" s="455"/>
      <c r="D386" s="450"/>
      <c r="E386" s="450"/>
      <c r="F386" s="450"/>
      <c r="G386" s="450"/>
      <c r="H386" s="450"/>
      <c r="I386" s="450"/>
      <c r="J386" s="450"/>
      <c r="K386" s="450"/>
      <c r="L386" s="450"/>
      <c r="M386" s="450"/>
      <c r="N386" s="450"/>
      <c r="O386" s="450"/>
      <c r="P386" s="450"/>
      <c r="Q386" s="450"/>
      <c r="R386" s="450"/>
      <c r="S386" s="450"/>
      <c r="T386" s="450"/>
      <c r="U386" s="450"/>
      <c r="V386" s="450"/>
      <c r="W386" s="450"/>
      <c r="X386" s="450"/>
      <c r="Y386" s="450"/>
      <c r="Z386" s="450"/>
      <c r="AA386" s="450"/>
      <c r="AB386" s="450"/>
      <c r="AC386" s="450"/>
      <c r="AD386" s="450"/>
      <c r="AE386" s="450"/>
      <c r="AF386" s="450"/>
      <c r="AG386" s="450"/>
      <c r="AH386" s="450"/>
      <c r="AI386" s="450"/>
      <c r="AJ386" s="450"/>
      <c r="AK386" s="450"/>
    </row>
    <row r="387">
      <c r="A387" s="450"/>
      <c r="B387" s="450"/>
      <c r="C387" s="455"/>
      <c r="D387" s="450"/>
      <c r="E387" s="450"/>
      <c r="F387" s="450"/>
      <c r="G387" s="450"/>
      <c r="H387" s="450"/>
      <c r="I387" s="450"/>
      <c r="J387" s="450"/>
      <c r="K387" s="450"/>
      <c r="L387" s="450"/>
      <c r="M387" s="450"/>
      <c r="N387" s="450"/>
      <c r="O387" s="450"/>
      <c r="P387" s="450"/>
      <c r="Q387" s="450"/>
      <c r="R387" s="450"/>
      <c r="S387" s="450"/>
      <c r="T387" s="450"/>
      <c r="U387" s="450"/>
      <c r="V387" s="450"/>
      <c r="W387" s="450"/>
      <c r="X387" s="450"/>
      <c r="Y387" s="450"/>
      <c r="Z387" s="450"/>
      <c r="AA387" s="450"/>
      <c r="AB387" s="450"/>
      <c r="AC387" s="450"/>
      <c r="AD387" s="450"/>
      <c r="AE387" s="450"/>
      <c r="AF387" s="450"/>
      <c r="AG387" s="450"/>
      <c r="AH387" s="450"/>
      <c r="AI387" s="450"/>
      <c r="AJ387" s="450"/>
      <c r="AK387" s="450"/>
    </row>
    <row r="388">
      <c r="A388" s="450"/>
      <c r="B388" s="450"/>
      <c r="C388" s="455"/>
      <c r="D388" s="450"/>
      <c r="E388" s="450"/>
      <c r="F388" s="450"/>
      <c r="G388" s="450"/>
      <c r="H388" s="450"/>
      <c r="I388" s="450"/>
      <c r="J388" s="450"/>
      <c r="K388" s="450"/>
      <c r="L388" s="450"/>
      <c r="M388" s="450"/>
      <c r="N388" s="450"/>
      <c r="O388" s="450"/>
      <c r="P388" s="450"/>
      <c r="Q388" s="450"/>
      <c r="R388" s="450"/>
      <c r="S388" s="450"/>
      <c r="T388" s="450"/>
      <c r="U388" s="450"/>
      <c r="V388" s="450"/>
      <c r="W388" s="450"/>
      <c r="X388" s="450"/>
      <c r="Y388" s="450"/>
      <c r="Z388" s="450"/>
      <c r="AA388" s="450"/>
      <c r="AB388" s="450"/>
      <c r="AC388" s="450"/>
      <c r="AD388" s="450"/>
      <c r="AE388" s="450"/>
      <c r="AF388" s="450"/>
      <c r="AG388" s="450"/>
      <c r="AH388" s="450"/>
      <c r="AI388" s="450"/>
      <c r="AJ388" s="450"/>
      <c r="AK388" s="450"/>
    </row>
    <row r="389">
      <c r="A389" s="450"/>
      <c r="B389" s="450"/>
      <c r="C389" s="455"/>
      <c r="D389" s="450"/>
      <c r="E389" s="450"/>
      <c r="F389" s="450"/>
      <c r="G389" s="450"/>
      <c r="H389" s="450"/>
      <c r="I389" s="450"/>
      <c r="J389" s="450"/>
      <c r="K389" s="450"/>
      <c r="L389" s="450"/>
      <c r="M389" s="450"/>
      <c r="N389" s="450"/>
      <c r="O389" s="450"/>
      <c r="P389" s="450"/>
      <c r="Q389" s="450"/>
      <c r="R389" s="450"/>
      <c r="S389" s="450"/>
      <c r="T389" s="450"/>
      <c r="U389" s="450"/>
      <c r="V389" s="450"/>
      <c r="W389" s="450"/>
      <c r="X389" s="450"/>
      <c r="Y389" s="450"/>
      <c r="Z389" s="450"/>
      <c r="AA389" s="450"/>
      <c r="AB389" s="450"/>
      <c r="AC389" s="450"/>
      <c r="AD389" s="450"/>
      <c r="AE389" s="450"/>
      <c r="AF389" s="450"/>
      <c r="AG389" s="450"/>
      <c r="AH389" s="450"/>
      <c r="AI389" s="450"/>
      <c r="AJ389" s="450"/>
      <c r="AK389" s="450"/>
    </row>
    <row r="390">
      <c r="A390" s="450"/>
      <c r="B390" s="450"/>
      <c r="C390" s="455"/>
      <c r="D390" s="450"/>
      <c r="E390" s="450"/>
      <c r="F390" s="450"/>
      <c r="G390" s="450"/>
      <c r="H390" s="450"/>
      <c r="I390" s="450"/>
      <c r="J390" s="450"/>
      <c r="K390" s="450"/>
      <c r="L390" s="450"/>
      <c r="M390" s="450"/>
      <c r="N390" s="450"/>
      <c r="O390" s="450"/>
      <c r="P390" s="450"/>
      <c r="Q390" s="450"/>
      <c r="R390" s="450"/>
      <c r="S390" s="450"/>
      <c r="T390" s="450"/>
      <c r="U390" s="450"/>
      <c r="V390" s="450"/>
      <c r="W390" s="450"/>
      <c r="X390" s="450"/>
      <c r="Y390" s="450"/>
      <c r="Z390" s="450"/>
      <c r="AA390" s="450"/>
      <c r="AB390" s="450"/>
      <c r="AC390" s="450"/>
      <c r="AD390" s="450"/>
      <c r="AE390" s="450"/>
      <c r="AF390" s="450"/>
      <c r="AG390" s="450"/>
      <c r="AH390" s="450"/>
      <c r="AI390" s="450"/>
      <c r="AJ390" s="450"/>
      <c r="AK390" s="450"/>
    </row>
    <row r="391">
      <c r="A391" s="450"/>
      <c r="B391" s="450"/>
      <c r="C391" s="455"/>
      <c r="D391" s="450"/>
      <c r="E391" s="450"/>
      <c r="F391" s="450"/>
      <c r="G391" s="450"/>
      <c r="H391" s="450"/>
      <c r="I391" s="450"/>
      <c r="J391" s="450"/>
      <c r="K391" s="450"/>
      <c r="L391" s="450"/>
      <c r="M391" s="450"/>
      <c r="N391" s="450"/>
      <c r="O391" s="450"/>
      <c r="P391" s="450"/>
      <c r="Q391" s="450"/>
      <c r="R391" s="450"/>
      <c r="S391" s="450"/>
      <c r="T391" s="450"/>
      <c r="U391" s="450"/>
      <c r="V391" s="450"/>
      <c r="W391" s="450"/>
      <c r="X391" s="450"/>
      <c r="Y391" s="450"/>
      <c r="Z391" s="450"/>
      <c r="AA391" s="450"/>
      <c r="AB391" s="450"/>
      <c r="AC391" s="450"/>
      <c r="AD391" s="450"/>
      <c r="AE391" s="450"/>
      <c r="AF391" s="450"/>
      <c r="AG391" s="450"/>
      <c r="AH391" s="450"/>
      <c r="AI391" s="450"/>
      <c r="AJ391" s="450"/>
      <c r="AK391" s="450"/>
    </row>
    <row r="392">
      <c r="A392" s="450"/>
      <c r="B392" s="450"/>
      <c r="C392" s="455"/>
      <c r="D392" s="450"/>
      <c r="E392" s="450"/>
      <c r="F392" s="450"/>
      <c r="G392" s="450"/>
      <c r="H392" s="450"/>
      <c r="I392" s="450"/>
      <c r="J392" s="450"/>
      <c r="K392" s="450"/>
      <c r="L392" s="450"/>
      <c r="M392" s="450"/>
      <c r="N392" s="450"/>
      <c r="O392" s="450"/>
      <c r="P392" s="450"/>
      <c r="Q392" s="450"/>
      <c r="R392" s="450"/>
      <c r="S392" s="450"/>
      <c r="T392" s="450"/>
      <c r="U392" s="450"/>
      <c r="V392" s="450"/>
      <c r="W392" s="450"/>
      <c r="X392" s="450"/>
      <c r="Y392" s="450"/>
      <c r="Z392" s="450"/>
      <c r="AA392" s="450"/>
      <c r="AB392" s="450"/>
      <c r="AC392" s="450"/>
      <c r="AD392" s="450"/>
      <c r="AE392" s="450"/>
      <c r="AF392" s="450"/>
      <c r="AG392" s="450"/>
      <c r="AH392" s="450"/>
      <c r="AI392" s="450"/>
      <c r="AJ392" s="450"/>
      <c r="AK392" s="450"/>
    </row>
    <row r="393">
      <c r="A393" s="450"/>
      <c r="B393" s="450"/>
      <c r="C393" s="455"/>
      <c r="D393" s="450"/>
      <c r="E393" s="450"/>
      <c r="F393" s="450"/>
      <c r="G393" s="450"/>
      <c r="H393" s="450"/>
      <c r="I393" s="450"/>
      <c r="J393" s="450"/>
      <c r="K393" s="450"/>
      <c r="L393" s="450"/>
      <c r="M393" s="450"/>
      <c r="N393" s="450"/>
      <c r="O393" s="450"/>
      <c r="P393" s="450"/>
      <c r="Q393" s="450"/>
      <c r="R393" s="450"/>
      <c r="S393" s="450"/>
      <c r="T393" s="450"/>
      <c r="U393" s="450"/>
      <c r="V393" s="450"/>
      <c r="W393" s="450"/>
      <c r="X393" s="450"/>
      <c r="Y393" s="450"/>
      <c r="Z393" s="450"/>
      <c r="AA393" s="450"/>
      <c r="AB393" s="450"/>
      <c r="AC393" s="450"/>
      <c r="AD393" s="450"/>
      <c r="AE393" s="450"/>
      <c r="AF393" s="450"/>
      <c r="AG393" s="450"/>
      <c r="AH393" s="450"/>
      <c r="AI393" s="450"/>
      <c r="AJ393" s="450"/>
      <c r="AK393" s="450"/>
    </row>
    <row r="394">
      <c r="A394" s="450"/>
      <c r="B394" s="450"/>
      <c r="C394" s="455"/>
      <c r="D394" s="450"/>
      <c r="E394" s="450"/>
      <c r="F394" s="450"/>
      <c r="G394" s="450"/>
      <c r="H394" s="450"/>
      <c r="I394" s="450"/>
      <c r="J394" s="450"/>
      <c r="K394" s="450"/>
      <c r="L394" s="450"/>
      <c r="M394" s="450"/>
      <c r="N394" s="450"/>
      <c r="O394" s="450"/>
      <c r="P394" s="450"/>
      <c r="Q394" s="450"/>
      <c r="R394" s="450"/>
      <c r="S394" s="450"/>
      <c r="T394" s="450"/>
      <c r="U394" s="450"/>
      <c r="V394" s="450"/>
      <c r="W394" s="450"/>
      <c r="X394" s="450"/>
      <c r="Y394" s="450"/>
      <c r="Z394" s="450"/>
      <c r="AA394" s="450"/>
      <c r="AB394" s="450"/>
      <c r="AC394" s="450"/>
      <c r="AD394" s="450"/>
      <c r="AE394" s="450"/>
      <c r="AF394" s="450"/>
      <c r="AG394" s="450"/>
      <c r="AH394" s="450"/>
      <c r="AI394" s="450"/>
      <c r="AJ394" s="450"/>
      <c r="AK394" s="450"/>
    </row>
    <row r="395">
      <c r="A395" s="450"/>
      <c r="B395" s="450"/>
      <c r="C395" s="455"/>
      <c r="D395" s="450"/>
      <c r="E395" s="450"/>
      <c r="F395" s="450"/>
      <c r="G395" s="450"/>
      <c r="H395" s="450"/>
      <c r="I395" s="450"/>
      <c r="J395" s="450"/>
      <c r="K395" s="450"/>
      <c r="L395" s="450"/>
      <c r="M395" s="450"/>
      <c r="N395" s="450"/>
      <c r="O395" s="450"/>
      <c r="P395" s="450"/>
      <c r="Q395" s="450"/>
      <c r="R395" s="450"/>
      <c r="S395" s="450"/>
      <c r="T395" s="450"/>
      <c r="U395" s="450"/>
      <c r="V395" s="450"/>
      <c r="W395" s="450"/>
      <c r="X395" s="450"/>
      <c r="Y395" s="450"/>
      <c r="Z395" s="450"/>
      <c r="AA395" s="450"/>
      <c r="AB395" s="450"/>
      <c r="AC395" s="450"/>
      <c r="AD395" s="450"/>
      <c r="AE395" s="450"/>
      <c r="AF395" s="450"/>
      <c r="AG395" s="450"/>
      <c r="AH395" s="450"/>
      <c r="AI395" s="450"/>
      <c r="AJ395" s="450"/>
      <c r="AK395" s="450"/>
    </row>
    <row r="396">
      <c r="A396" s="450"/>
      <c r="B396" s="450"/>
      <c r="C396" s="455"/>
      <c r="D396" s="450"/>
      <c r="E396" s="450"/>
      <c r="F396" s="450"/>
      <c r="G396" s="450"/>
      <c r="H396" s="450"/>
      <c r="I396" s="450"/>
      <c r="J396" s="450"/>
      <c r="K396" s="450"/>
      <c r="L396" s="450"/>
      <c r="M396" s="450"/>
      <c r="N396" s="450"/>
      <c r="O396" s="450"/>
      <c r="P396" s="450"/>
      <c r="Q396" s="450"/>
      <c r="R396" s="450"/>
      <c r="S396" s="450"/>
      <c r="T396" s="450"/>
      <c r="U396" s="450"/>
      <c r="V396" s="450"/>
      <c r="W396" s="450"/>
      <c r="X396" s="450"/>
      <c r="Y396" s="450"/>
      <c r="Z396" s="450"/>
      <c r="AA396" s="450"/>
      <c r="AB396" s="450"/>
      <c r="AC396" s="450"/>
      <c r="AD396" s="450"/>
      <c r="AE396" s="450"/>
      <c r="AF396" s="450"/>
      <c r="AG396" s="450"/>
      <c r="AH396" s="450"/>
      <c r="AI396" s="450"/>
      <c r="AJ396" s="450"/>
      <c r="AK396" s="450"/>
    </row>
    <row r="397">
      <c r="A397" s="450"/>
      <c r="B397" s="450"/>
      <c r="C397" s="455"/>
      <c r="D397" s="450"/>
      <c r="E397" s="450"/>
      <c r="F397" s="450"/>
      <c r="G397" s="450"/>
      <c r="H397" s="450"/>
      <c r="I397" s="450"/>
      <c r="J397" s="450"/>
      <c r="K397" s="450"/>
      <c r="L397" s="450"/>
      <c r="M397" s="450"/>
      <c r="N397" s="450"/>
      <c r="O397" s="450"/>
      <c r="P397" s="450"/>
      <c r="Q397" s="450"/>
      <c r="R397" s="450"/>
      <c r="S397" s="450"/>
      <c r="T397" s="450"/>
      <c r="U397" s="450"/>
      <c r="V397" s="450"/>
      <c r="W397" s="450"/>
      <c r="X397" s="450"/>
      <c r="Y397" s="450"/>
      <c r="Z397" s="450"/>
      <c r="AA397" s="450"/>
      <c r="AB397" s="450"/>
      <c r="AC397" s="450"/>
      <c r="AD397" s="450"/>
      <c r="AE397" s="450"/>
      <c r="AF397" s="450"/>
      <c r="AG397" s="450"/>
      <c r="AH397" s="450"/>
      <c r="AI397" s="450"/>
      <c r="AJ397" s="450"/>
      <c r="AK397" s="450"/>
    </row>
    <row r="398">
      <c r="A398" s="450"/>
      <c r="B398" s="450"/>
      <c r="C398" s="455"/>
      <c r="D398" s="450"/>
      <c r="E398" s="450"/>
      <c r="F398" s="450"/>
      <c r="G398" s="450"/>
      <c r="H398" s="450"/>
      <c r="I398" s="450"/>
      <c r="J398" s="450"/>
      <c r="K398" s="450"/>
      <c r="L398" s="450"/>
      <c r="M398" s="450"/>
      <c r="N398" s="450"/>
      <c r="O398" s="450"/>
      <c r="P398" s="450"/>
      <c r="Q398" s="450"/>
      <c r="R398" s="450"/>
      <c r="S398" s="450"/>
      <c r="T398" s="450"/>
      <c r="U398" s="450"/>
      <c r="V398" s="450"/>
      <c r="W398" s="450"/>
      <c r="X398" s="450"/>
      <c r="Y398" s="450"/>
      <c r="Z398" s="450"/>
      <c r="AA398" s="450"/>
      <c r="AB398" s="450"/>
      <c r="AC398" s="450"/>
      <c r="AD398" s="450"/>
      <c r="AE398" s="450"/>
      <c r="AF398" s="450"/>
      <c r="AG398" s="450"/>
      <c r="AH398" s="450"/>
      <c r="AI398" s="450"/>
      <c r="AJ398" s="450"/>
      <c r="AK398" s="450"/>
    </row>
    <row r="399">
      <c r="A399" s="450"/>
      <c r="B399" s="450"/>
      <c r="C399" s="455"/>
      <c r="D399" s="450"/>
      <c r="E399" s="450"/>
      <c r="F399" s="450"/>
      <c r="G399" s="450"/>
      <c r="H399" s="450"/>
      <c r="I399" s="450"/>
      <c r="J399" s="450"/>
      <c r="K399" s="450"/>
      <c r="L399" s="450"/>
      <c r="M399" s="450"/>
      <c r="N399" s="450"/>
      <c r="O399" s="450"/>
      <c r="P399" s="450"/>
      <c r="Q399" s="450"/>
      <c r="R399" s="450"/>
      <c r="S399" s="450"/>
      <c r="T399" s="450"/>
      <c r="U399" s="450"/>
      <c r="V399" s="450"/>
      <c r="W399" s="450"/>
      <c r="X399" s="450"/>
      <c r="Y399" s="450"/>
      <c r="Z399" s="450"/>
      <c r="AA399" s="450"/>
      <c r="AB399" s="450"/>
      <c r="AC399" s="450"/>
      <c r="AD399" s="450"/>
      <c r="AE399" s="450"/>
      <c r="AF399" s="450"/>
      <c r="AG399" s="450"/>
      <c r="AH399" s="450"/>
      <c r="AI399" s="450"/>
      <c r="AJ399" s="450"/>
      <c r="AK399" s="450"/>
    </row>
    <row r="400">
      <c r="A400" s="450"/>
      <c r="B400" s="450"/>
      <c r="C400" s="455"/>
      <c r="D400" s="450"/>
      <c r="E400" s="450"/>
      <c r="F400" s="450"/>
      <c r="G400" s="450"/>
      <c r="H400" s="450"/>
      <c r="I400" s="450"/>
      <c r="J400" s="450"/>
      <c r="K400" s="450"/>
      <c r="L400" s="450"/>
      <c r="M400" s="450"/>
      <c r="N400" s="450"/>
      <c r="O400" s="450"/>
      <c r="P400" s="450"/>
      <c r="Q400" s="450"/>
      <c r="R400" s="450"/>
      <c r="S400" s="450"/>
      <c r="T400" s="450"/>
      <c r="U400" s="450"/>
      <c r="V400" s="450"/>
      <c r="W400" s="450"/>
      <c r="X400" s="450"/>
      <c r="Y400" s="450"/>
      <c r="Z400" s="450"/>
      <c r="AA400" s="450"/>
      <c r="AB400" s="450"/>
      <c r="AC400" s="450"/>
      <c r="AD400" s="450"/>
      <c r="AE400" s="450"/>
      <c r="AF400" s="450"/>
      <c r="AG400" s="450"/>
      <c r="AH400" s="450"/>
      <c r="AI400" s="450"/>
      <c r="AJ400" s="450"/>
      <c r="AK400" s="450"/>
    </row>
    <row r="401">
      <c r="A401" s="450"/>
      <c r="B401" s="450"/>
      <c r="C401" s="455"/>
      <c r="D401" s="450"/>
      <c r="E401" s="450"/>
      <c r="F401" s="450"/>
      <c r="G401" s="450"/>
      <c r="H401" s="450"/>
      <c r="I401" s="450"/>
      <c r="J401" s="450"/>
      <c r="K401" s="450"/>
      <c r="L401" s="450"/>
      <c r="M401" s="450"/>
      <c r="N401" s="450"/>
      <c r="O401" s="450"/>
      <c r="P401" s="450"/>
      <c r="Q401" s="450"/>
      <c r="R401" s="450"/>
      <c r="S401" s="450"/>
      <c r="T401" s="450"/>
      <c r="U401" s="450"/>
      <c r="V401" s="450"/>
      <c r="W401" s="450"/>
      <c r="X401" s="450"/>
      <c r="Y401" s="450"/>
      <c r="Z401" s="450"/>
      <c r="AA401" s="450"/>
      <c r="AB401" s="450"/>
      <c r="AC401" s="450"/>
      <c r="AD401" s="450"/>
      <c r="AE401" s="450"/>
      <c r="AF401" s="450"/>
      <c r="AG401" s="450"/>
      <c r="AH401" s="450"/>
      <c r="AI401" s="450"/>
      <c r="AJ401" s="450"/>
      <c r="AK401" s="450"/>
    </row>
    <row r="402">
      <c r="A402" s="450"/>
      <c r="B402" s="450"/>
      <c r="C402" s="455"/>
      <c r="D402" s="450"/>
      <c r="E402" s="450"/>
      <c r="F402" s="450"/>
      <c r="G402" s="450"/>
      <c r="H402" s="450"/>
      <c r="I402" s="450"/>
      <c r="J402" s="450"/>
      <c r="K402" s="450"/>
      <c r="L402" s="450"/>
      <c r="M402" s="450"/>
      <c r="N402" s="450"/>
      <c r="O402" s="450"/>
      <c r="P402" s="450"/>
      <c r="Q402" s="450"/>
      <c r="R402" s="450"/>
      <c r="S402" s="450"/>
      <c r="T402" s="450"/>
      <c r="U402" s="450"/>
      <c r="V402" s="450"/>
      <c r="W402" s="450"/>
      <c r="X402" s="450"/>
      <c r="Y402" s="450"/>
      <c r="Z402" s="450"/>
      <c r="AA402" s="450"/>
      <c r="AB402" s="450"/>
      <c r="AC402" s="450"/>
      <c r="AD402" s="450"/>
      <c r="AE402" s="450"/>
      <c r="AF402" s="450"/>
      <c r="AG402" s="450"/>
      <c r="AH402" s="450"/>
      <c r="AI402" s="450"/>
      <c r="AJ402" s="450"/>
      <c r="AK402" s="450"/>
    </row>
    <row r="403">
      <c r="A403" s="450"/>
      <c r="B403" s="450"/>
      <c r="C403" s="455"/>
      <c r="D403" s="450"/>
      <c r="E403" s="450"/>
      <c r="F403" s="450"/>
      <c r="G403" s="450"/>
      <c r="H403" s="450"/>
      <c r="I403" s="450"/>
      <c r="J403" s="450"/>
      <c r="K403" s="450"/>
      <c r="L403" s="450"/>
      <c r="M403" s="450"/>
      <c r="N403" s="450"/>
      <c r="O403" s="450"/>
      <c r="P403" s="450"/>
      <c r="Q403" s="450"/>
      <c r="R403" s="450"/>
      <c r="S403" s="450"/>
      <c r="T403" s="450"/>
      <c r="U403" s="450"/>
      <c r="V403" s="450"/>
      <c r="W403" s="450"/>
      <c r="X403" s="450"/>
      <c r="Y403" s="450"/>
      <c r="Z403" s="450"/>
      <c r="AA403" s="450"/>
      <c r="AB403" s="450"/>
      <c r="AC403" s="450"/>
      <c r="AD403" s="450"/>
      <c r="AE403" s="450"/>
      <c r="AF403" s="450"/>
      <c r="AG403" s="450"/>
      <c r="AH403" s="450"/>
      <c r="AI403" s="450"/>
      <c r="AJ403" s="450"/>
      <c r="AK403" s="450"/>
    </row>
    <row r="404">
      <c r="A404" s="450"/>
      <c r="B404" s="450"/>
      <c r="C404" s="455"/>
      <c r="D404" s="450"/>
      <c r="E404" s="450"/>
      <c r="F404" s="450"/>
      <c r="G404" s="450"/>
      <c r="H404" s="450"/>
      <c r="I404" s="450"/>
      <c r="J404" s="450"/>
      <c r="K404" s="450"/>
      <c r="L404" s="450"/>
      <c r="M404" s="450"/>
      <c r="N404" s="450"/>
      <c r="O404" s="450"/>
      <c r="P404" s="450"/>
      <c r="Q404" s="450"/>
      <c r="R404" s="450"/>
      <c r="S404" s="450"/>
      <c r="T404" s="450"/>
      <c r="U404" s="450"/>
      <c r="V404" s="450"/>
      <c r="W404" s="450"/>
      <c r="X404" s="450"/>
      <c r="Y404" s="450"/>
      <c r="Z404" s="450"/>
      <c r="AA404" s="450"/>
      <c r="AB404" s="450"/>
      <c r="AC404" s="450"/>
      <c r="AD404" s="450"/>
      <c r="AE404" s="450"/>
      <c r="AF404" s="450"/>
      <c r="AG404" s="450"/>
      <c r="AH404" s="450"/>
      <c r="AI404" s="450"/>
      <c r="AJ404" s="450"/>
      <c r="AK404" s="450"/>
    </row>
    <row r="405">
      <c r="A405" s="450"/>
      <c r="B405" s="450"/>
      <c r="C405" s="455"/>
      <c r="D405" s="450"/>
      <c r="E405" s="450"/>
      <c r="F405" s="450"/>
      <c r="G405" s="450"/>
      <c r="H405" s="450"/>
      <c r="I405" s="450"/>
      <c r="J405" s="450"/>
      <c r="K405" s="450"/>
      <c r="L405" s="450"/>
      <c r="M405" s="450"/>
      <c r="N405" s="450"/>
      <c r="O405" s="450"/>
      <c r="P405" s="450"/>
      <c r="Q405" s="450"/>
      <c r="R405" s="450"/>
      <c r="S405" s="450"/>
      <c r="T405" s="450"/>
      <c r="U405" s="450"/>
      <c r="V405" s="450"/>
      <c r="W405" s="450"/>
      <c r="X405" s="450"/>
      <c r="Y405" s="450"/>
      <c r="Z405" s="450"/>
      <c r="AA405" s="450"/>
      <c r="AB405" s="450"/>
      <c r="AC405" s="450"/>
      <c r="AD405" s="450"/>
      <c r="AE405" s="450"/>
      <c r="AF405" s="450"/>
      <c r="AG405" s="450"/>
      <c r="AH405" s="450"/>
      <c r="AI405" s="450"/>
      <c r="AJ405" s="450"/>
      <c r="AK405" s="450"/>
    </row>
    <row r="406">
      <c r="A406" s="450"/>
      <c r="B406" s="450"/>
      <c r="C406" s="455"/>
      <c r="D406" s="450"/>
      <c r="E406" s="450"/>
      <c r="F406" s="450"/>
      <c r="G406" s="450"/>
      <c r="H406" s="450"/>
      <c r="I406" s="450"/>
      <c r="J406" s="450"/>
      <c r="K406" s="450"/>
      <c r="L406" s="450"/>
      <c r="M406" s="450"/>
      <c r="N406" s="450"/>
      <c r="O406" s="450"/>
      <c r="P406" s="450"/>
      <c r="Q406" s="450"/>
      <c r="R406" s="450"/>
      <c r="S406" s="450"/>
      <c r="T406" s="450"/>
      <c r="U406" s="450"/>
      <c r="V406" s="450"/>
      <c r="W406" s="450"/>
      <c r="X406" s="450"/>
      <c r="Y406" s="450"/>
      <c r="Z406" s="450"/>
      <c r="AA406" s="450"/>
      <c r="AB406" s="450"/>
      <c r="AC406" s="450"/>
      <c r="AD406" s="450"/>
      <c r="AE406" s="450"/>
      <c r="AF406" s="450"/>
      <c r="AG406" s="450"/>
      <c r="AH406" s="450"/>
      <c r="AI406" s="450"/>
      <c r="AJ406" s="450"/>
      <c r="AK406" s="450"/>
    </row>
    <row r="407">
      <c r="A407" s="450"/>
      <c r="B407" s="450"/>
      <c r="C407" s="455"/>
      <c r="D407" s="450"/>
      <c r="E407" s="450"/>
      <c r="F407" s="450"/>
      <c r="G407" s="450"/>
      <c r="H407" s="450"/>
      <c r="I407" s="450"/>
      <c r="J407" s="450"/>
      <c r="K407" s="450"/>
      <c r="L407" s="450"/>
      <c r="M407" s="450"/>
      <c r="N407" s="450"/>
      <c r="O407" s="450"/>
      <c r="P407" s="450"/>
      <c r="Q407" s="450"/>
      <c r="R407" s="450"/>
      <c r="S407" s="450"/>
      <c r="T407" s="450"/>
      <c r="U407" s="450"/>
      <c r="V407" s="450"/>
      <c r="W407" s="450"/>
      <c r="X407" s="450"/>
      <c r="Y407" s="450"/>
      <c r="Z407" s="450"/>
      <c r="AA407" s="450"/>
      <c r="AB407" s="450"/>
      <c r="AC407" s="450"/>
      <c r="AD407" s="450"/>
      <c r="AE407" s="450"/>
      <c r="AF407" s="450"/>
      <c r="AG407" s="450"/>
      <c r="AH407" s="450"/>
      <c r="AI407" s="450"/>
      <c r="AJ407" s="450"/>
      <c r="AK407" s="450"/>
    </row>
    <row r="408">
      <c r="A408" s="450"/>
      <c r="B408" s="450"/>
      <c r="C408" s="455"/>
      <c r="D408" s="450"/>
      <c r="E408" s="450"/>
      <c r="F408" s="450"/>
      <c r="G408" s="450"/>
      <c r="H408" s="450"/>
      <c r="I408" s="450"/>
      <c r="J408" s="450"/>
      <c r="K408" s="450"/>
      <c r="L408" s="450"/>
      <c r="M408" s="450"/>
      <c r="N408" s="450"/>
      <c r="O408" s="450"/>
      <c r="P408" s="450"/>
      <c r="Q408" s="450"/>
      <c r="R408" s="450"/>
      <c r="S408" s="450"/>
      <c r="T408" s="450"/>
      <c r="U408" s="450"/>
      <c r="V408" s="450"/>
      <c r="W408" s="450"/>
      <c r="X408" s="450"/>
      <c r="Y408" s="450"/>
      <c r="Z408" s="450"/>
      <c r="AA408" s="450"/>
      <c r="AB408" s="450"/>
      <c r="AC408" s="450"/>
      <c r="AD408" s="450"/>
      <c r="AE408" s="450"/>
      <c r="AF408" s="450"/>
      <c r="AG408" s="450"/>
      <c r="AH408" s="450"/>
      <c r="AI408" s="450"/>
      <c r="AJ408" s="450"/>
      <c r="AK408" s="450"/>
    </row>
    <row r="409">
      <c r="A409" s="450"/>
      <c r="B409" s="450"/>
      <c r="C409" s="455"/>
      <c r="D409" s="450"/>
      <c r="E409" s="450"/>
      <c r="F409" s="450"/>
      <c r="G409" s="450"/>
      <c r="H409" s="450"/>
      <c r="I409" s="450"/>
      <c r="J409" s="450"/>
      <c r="K409" s="450"/>
      <c r="L409" s="450"/>
      <c r="M409" s="450"/>
      <c r="N409" s="450"/>
      <c r="O409" s="450"/>
      <c r="P409" s="450"/>
      <c r="Q409" s="450"/>
      <c r="R409" s="450"/>
      <c r="S409" s="450"/>
      <c r="T409" s="450"/>
      <c r="U409" s="450"/>
      <c r="V409" s="450"/>
      <c r="W409" s="450"/>
      <c r="X409" s="450"/>
      <c r="Y409" s="450"/>
      <c r="Z409" s="450"/>
      <c r="AA409" s="450"/>
      <c r="AB409" s="450"/>
      <c r="AC409" s="450"/>
      <c r="AD409" s="450"/>
      <c r="AE409" s="450"/>
      <c r="AF409" s="450"/>
      <c r="AG409" s="450"/>
      <c r="AH409" s="450"/>
      <c r="AI409" s="450"/>
      <c r="AJ409" s="450"/>
      <c r="AK409" s="450"/>
    </row>
    <row r="410">
      <c r="A410" s="450"/>
      <c r="B410" s="450"/>
      <c r="C410" s="455"/>
      <c r="D410" s="450"/>
      <c r="E410" s="450"/>
      <c r="F410" s="450"/>
      <c r="G410" s="450"/>
      <c r="H410" s="450"/>
      <c r="I410" s="450"/>
      <c r="J410" s="450"/>
      <c r="K410" s="450"/>
      <c r="L410" s="450"/>
      <c r="M410" s="450"/>
      <c r="N410" s="450"/>
      <c r="O410" s="450"/>
      <c r="P410" s="450"/>
      <c r="Q410" s="450"/>
      <c r="R410" s="450"/>
      <c r="S410" s="450"/>
      <c r="T410" s="450"/>
      <c r="U410" s="450"/>
      <c r="V410" s="450"/>
      <c r="W410" s="450"/>
      <c r="X410" s="450"/>
      <c r="Y410" s="450"/>
      <c r="Z410" s="450"/>
      <c r="AA410" s="450"/>
      <c r="AB410" s="450"/>
      <c r="AC410" s="450"/>
      <c r="AD410" s="450"/>
      <c r="AE410" s="450"/>
      <c r="AF410" s="450"/>
      <c r="AG410" s="450"/>
      <c r="AH410" s="450"/>
      <c r="AI410" s="450"/>
      <c r="AJ410" s="450"/>
      <c r="AK410" s="450"/>
    </row>
    <row r="411">
      <c r="A411" s="450"/>
      <c r="B411" s="450"/>
      <c r="C411" s="455"/>
      <c r="D411" s="450"/>
      <c r="E411" s="450"/>
      <c r="F411" s="450"/>
      <c r="G411" s="450"/>
      <c r="H411" s="450"/>
      <c r="I411" s="450"/>
      <c r="J411" s="450"/>
      <c r="K411" s="450"/>
      <c r="L411" s="450"/>
      <c r="M411" s="450"/>
      <c r="N411" s="450"/>
      <c r="O411" s="450"/>
      <c r="P411" s="450"/>
      <c r="Q411" s="450"/>
      <c r="R411" s="450"/>
      <c r="S411" s="450"/>
      <c r="T411" s="450"/>
      <c r="U411" s="450"/>
      <c r="V411" s="450"/>
      <c r="W411" s="450"/>
      <c r="X411" s="450"/>
      <c r="Y411" s="450"/>
      <c r="Z411" s="450"/>
      <c r="AA411" s="450"/>
      <c r="AB411" s="450"/>
      <c r="AC411" s="450"/>
      <c r="AD411" s="450"/>
      <c r="AE411" s="450"/>
      <c r="AF411" s="450"/>
      <c r="AG411" s="450"/>
      <c r="AH411" s="450"/>
      <c r="AI411" s="450"/>
      <c r="AJ411" s="450"/>
      <c r="AK411" s="450"/>
    </row>
    <row r="412">
      <c r="A412" s="450"/>
      <c r="B412" s="450"/>
      <c r="C412" s="455"/>
      <c r="D412" s="450"/>
      <c r="E412" s="450"/>
      <c r="F412" s="450"/>
      <c r="G412" s="450"/>
      <c r="H412" s="450"/>
      <c r="I412" s="450"/>
      <c r="J412" s="450"/>
      <c r="K412" s="450"/>
      <c r="L412" s="450"/>
      <c r="M412" s="450"/>
      <c r="N412" s="450"/>
      <c r="O412" s="450"/>
      <c r="P412" s="450"/>
      <c r="Q412" s="450"/>
      <c r="R412" s="450"/>
      <c r="S412" s="450"/>
      <c r="T412" s="450"/>
      <c r="U412" s="450"/>
      <c r="V412" s="450"/>
      <c r="W412" s="450"/>
      <c r="X412" s="450"/>
      <c r="Y412" s="450"/>
      <c r="Z412" s="450"/>
      <c r="AA412" s="450"/>
      <c r="AB412" s="450"/>
      <c r="AC412" s="450"/>
      <c r="AD412" s="450"/>
      <c r="AE412" s="450"/>
      <c r="AF412" s="450"/>
      <c r="AG412" s="450"/>
      <c r="AH412" s="450"/>
      <c r="AI412" s="450"/>
      <c r="AJ412" s="450"/>
      <c r="AK412" s="450"/>
    </row>
    <row r="413">
      <c r="A413" s="450"/>
      <c r="B413" s="450"/>
      <c r="C413" s="455"/>
      <c r="D413" s="450"/>
      <c r="E413" s="450"/>
      <c r="F413" s="450"/>
      <c r="G413" s="450"/>
      <c r="H413" s="450"/>
      <c r="I413" s="450"/>
      <c r="J413" s="450"/>
      <c r="K413" s="450"/>
      <c r="L413" s="450"/>
      <c r="M413" s="450"/>
      <c r="N413" s="450"/>
      <c r="O413" s="450"/>
      <c r="P413" s="450"/>
      <c r="Q413" s="450"/>
      <c r="R413" s="450"/>
      <c r="S413" s="450"/>
      <c r="T413" s="450"/>
      <c r="U413" s="450"/>
      <c r="V413" s="450"/>
      <c r="W413" s="450"/>
      <c r="X413" s="450"/>
      <c r="Y413" s="450"/>
      <c r="Z413" s="450"/>
      <c r="AA413" s="450"/>
      <c r="AB413" s="450"/>
      <c r="AC413" s="450"/>
      <c r="AD413" s="450"/>
      <c r="AE413" s="450"/>
      <c r="AF413" s="450"/>
      <c r="AG413" s="450"/>
      <c r="AH413" s="450"/>
      <c r="AI413" s="450"/>
      <c r="AJ413" s="450"/>
      <c r="AK413" s="450"/>
    </row>
    <row r="414">
      <c r="A414" s="450"/>
      <c r="B414" s="450"/>
      <c r="C414" s="455"/>
      <c r="D414" s="450"/>
      <c r="E414" s="450"/>
      <c r="F414" s="450"/>
      <c r="G414" s="450"/>
      <c r="H414" s="450"/>
      <c r="I414" s="450"/>
      <c r="J414" s="450"/>
      <c r="K414" s="450"/>
      <c r="L414" s="450"/>
      <c r="M414" s="450"/>
      <c r="N414" s="450"/>
      <c r="O414" s="450"/>
      <c r="P414" s="450"/>
      <c r="Q414" s="450"/>
      <c r="R414" s="450"/>
      <c r="S414" s="450"/>
      <c r="T414" s="450"/>
      <c r="U414" s="450"/>
      <c r="V414" s="450"/>
      <c r="W414" s="450"/>
      <c r="X414" s="450"/>
      <c r="Y414" s="450"/>
      <c r="Z414" s="450"/>
      <c r="AA414" s="450"/>
      <c r="AB414" s="450"/>
      <c r="AC414" s="450"/>
      <c r="AD414" s="450"/>
      <c r="AE414" s="450"/>
      <c r="AF414" s="450"/>
      <c r="AG414" s="450"/>
      <c r="AH414" s="450"/>
      <c r="AI414" s="450"/>
      <c r="AJ414" s="450"/>
      <c r="AK414" s="450"/>
    </row>
    <row r="415">
      <c r="A415" s="450"/>
      <c r="B415" s="450"/>
      <c r="C415" s="455"/>
      <c r="D415" s="450"/>
      <c r="E415" s="450"/>
      <c r="F415" s="450"/>
      <c r="G415" s="450"/>
      <c r="H415" s="450"/>
      <c r="I415" s="450"/>
      <c r="J415" s="450"/>
      <c r="K415" s="450"/>
      <c r="L415" s="450"/>
      <c r="M415" s="450"/>
      <c r="N415" s="450"/>
      <c r="O415" s="450"/>
      <c r="P415" s="450"/>
      <c r="Q415" s="450"/>
      <c r="R415" s="450"/>
      <c r="S415" s="450"/>
      <c r="T415" s="450"/>
      <c r="U415" s="450"/>
      <c r="V415" s="450"/>
      <c r="W415" s="450"/>
      <c r="X415" s="450"/>
      <c r="Y415" s="450"/>
      <c r="Z415" s="450"/>
      <c r="AA415" s="450"/>
      <c r="AB415" s="450"/>
      <c r="AC415" s="450"/>
      <c r="AD415" s="450"/>
      <c r="AE415" s="450"/>
      <c r="AF415" s="450"/>
      <c r="AG415" s="450"/>
      <c r="AH415" s="450"/>
      <c r="AI415" s="450"/>
      <c r="AJ415" s="450"/>
      <c r="AK415" s="450"/>
    </row>
    <row r="416">
      <c r="A416" s="450"/>
      <c r="B416" s="450"/>
      <c r="C416" s="455"/>
      <c r="D416" s="450"/>
      <c r="E416" s="450"/>
      <c r="F416" s="450"/>
      <c r="G416" s="450"/>
      <c r="H416" s="450"/>
      <c r="I416" s="450"/>
      <c r="J416" s="450"/>
      <c r="K416" s="450"/>
      <c r="L416" s="450"/>
      <c r="M416" s="450"/>
      <c r="N416" s="450"/>
      <c r="O416" s="450"/>
      <c r="P416" s="450"/>
      <c r="Q416" s="450"/>
      <c r="R416" s="450"/>
      <c r="S416" s="450"/>
      <c r="T416" s="450"/>
      <c r="U416" s="450"/>
      <c r="V416" s="450"/>
      <c r="W416" s="450"/>
      <c r="X416" s="450"/>
      <c r="Y416" s="450"/>
      <c r="Z416" s="450"/>
      <c r="AA416" s="450"/>
      <c r="AB416" s="450"/>
      <c r="AC416" s="450"/>
      <c r="AD416" s="450"/>
      <c r="AE416" s="450"/>
      <c r="AF416" s="450"/>
      <c r="AG416" s="450"/>
      <c r="AH416" s="450"/>
      <c r="AI416" s="450"/>
      <c r="AJ416" s="450"/>
      <c r="AK416" s="450"/>
    </row>
    <row r="417">
      <c r="A417" s="450"/>
      <c r="B417" s="450"/>
      <c r="C417" s="455"/>
      <c r="D417" s="450"/>
      <c r="E417" s="450"/>
      <c r="F417" s="450"/>
      <c r="G417" s="450"/>
      <c r="H417" s="450"/>
      <c r="I417" s="450"/>
      <c r="J417" s="450"/>
      <c r="K417" s="450"/>
      <c r="L417" s="450"/>
      <c r="M417" s="450"/>
      <c r="N417" s="450"/>
      <c r="O417" s="450"/>
      <c r="P417" s="450"/>
      <c r="Q417" s="450"/>
      <c r="R417" s="450"/>
      <c r="S417" s="450"/>
      <c r="T417" s="450"/>
      <c r="U417" s="450"/>
      <c r="V417" s="450"/>
      <c r="W417" s="450"/>
      <c r="X417" s="450"/>
      <c r="Y417" s="450"/>
      <c r="Z417" s="450"/>
      <c r="AA417" s="450"/>
      <c r="AB417" s="450"/>
      <c r="AC417" s="450"/>
      <c r="AD417" s="450"/>
      <c r="AE417" s="450"/>
      <c r="AF417" s="450"/>
      <c r="AG417" s="450"/>
      <c r="AH417" s="450"/>
      <c r="AI417" s="450"/>
      <c r="AJ417" s="450"/>
      <c r="AK417" s="450"/>
    </row>
    <row r="418">
      <c r="A418" s="450"/>
      <c r="B418" s="450"/>
      <c r="C418" s="455"/>
      <c r="D418" s="450"/>
      <c r="E418" s="450"/>
      <c r="F418" s="450"/>
      <c r="G418" s="450"/>
      <c r="H418" s="450"/>
      <c r="I418" s="450"/>
      <c r="J418" s="450"/>
      <c r="K418" s="450"/>
      <c r="L418" s="450"/>
      <c r="M418" s="450"/>
      <c r="N418" s="450"/>
      <c r="O418" s="450"/>
      <c r="P418" s="450"/>
      <c r="Q418" s="450"/>
      <c r="R418" s="450"/>
      <c r="S418" s="450"/>
      <c r="T418" s="450"/>
      <c r="U418" s="450"/>
      <c r="V418" s="450"/>
      <c r="W418" s="450"/>
      <c r="X418" s="450"/>
      <c r="Y418" s="450"/>
      <c r="Z418" s="450"/>
      <c r="AA418" s="450"/>
      <c r="AB418" s="450"/>
      <c r="AC418" s="450"/>
      <c r="AD418" s="450"/>
      <c r="AE418" s="450"/>
      <c r="AF418" s="450"/>
      <c r="AG418" s="450"/>
      <c r="AH418" s="450"/>
      <c r="AI418" s="450"/>
      <c r="AJ418" s="450"/>
      <c r="AK418" s="450"/>
    </row>
    <row r="419">
      <c r="A419" s="450"/>
      <c r="B419" s="450"/>
      <c r="C419" s="455"/>
      <c r="D419" s="450"/>
      <c r="E419" s="450"/>
      <c r="F419" s="450"/>
      <c r="G419" s="450"/>
      <c r="H419" s="450"/>
      <c r="I419" s="450"/>
      <c r="J419" s="450"/>
      <c r="K419" s="450"/>
      <c r="L419" s="450"/>
      <c r="M419" s="450"/>
      <c r="N419" s="450"/>
      <c r="O419" s="450"/>
      <c r="P419" s="450"/>
      <c r="Q419" s="450"/>
      <c r="R419" s="450"/>
      <c r="S419" s="450"/>
      <c r="T419" s="450"/>
      <c r="U419" s="450"/>
      <c r="V419" s="450"/>
      <c r="W419" s="450"/>
      <c r="X419" s="450"/>
      <c r="Y419" s="450"/>
      <c r="Z419" s="450"/>
      <c r="AA419" s="450"/>
      <c r="AB419" s="450"/>
      <c r="AC419" s="450"/>
      <c r="AD419" s="450"/>
      <c r="AE419" s="450"/>
      <c r="AF419" s="450"/>
      <c r="AG419" s="450"/>
      <c r="AH419" s="450"/>
      <c r="AI419" s="450"/>
      <c r="AJ419" s="450"/>
      <c r="AK419" s="450"/>
    </row>
    <row r="420">
      <c r="A420" s="450"/>
      <c r="B420" s="450"/>
      <c r="C420" s="455"/>
      <c r="D420" s="450"/>
      <c r="E420" s="450"/>
      <c r="F420" s="450"/>
      <c r="G420" s="450"/>
      <c r="H420" s="450"/>
      <c r="I420" s="450"/>
      <c r="J420" s="450"/>
      <c r="K420" s="450"/>
      <c r="L420" s="450"/>
      <c r="M420" s="450"/>
      <c r="N420" s="450"/>
      <c r="O420" s="450"/>
      <c r="P420" s="450"/>
      <c r="Q420" s="450"/>
      <c r="R420" s="450"/>
      <c r="S420" s="450"/>
      <c r="T420" s="450"/>
      <c r="U420" s="450"/>
      <c r="V420" s="450"/>
      <c r="W420" s="450"/>
      <c r="X420" s="450"/>
      <c r="Y420" s="450"/>
      <c r="Z420" s="450"/>
      <c r="AA420" s="450"/>
      <c r="AB420" s="450"/>
      <c r="AC420" s="450"/>
      <c r="AD420" s="450"/>
      <c r="AE420" s="450"/>
      <c r="AF420" s="450"/>
      <c r="AG420" s="450"/>
      <c r="AH420" s="450"/>
      <c r="AI420" s="450"/>
      <c r="AJ420" s="450"/>
      <c r="AK420" s="450"/>
    </row>
    <row r="421">
      <c r="A421" s="450"/>
      <c r="B421" s="450"/>
      <c r="C421" s="455"/>
      <c r="D421" s="450"/>
      <c r="E421" s="450"/>
      <c r="F421" s="450"/>
      <c r="G421" s="450"/>
      <c r="H421" s="450"/>
      <c r="I421" s="450"/>
      <c r="J421" s="450"/>
      <c r="K421" s="450"/>
      <c r="L421" s="450"/>
      <c r="M421" s="450"/>
      <c r="N421" s="450"/>
      <c r="O421" s="450"/>
      <c r="P421" s="450"/>
      <c r="Q421" s="450"/>
      <c r="R421" s="450"/>
      <c r="S421" s="450"/>
      <c r="T421" s="450"/>
      <c r="U421" s="450"/>
      <c r="V421" s="450"/>
      <c r="W421" s="450"/>
      <c r="X421" s="450"/>
      <c r="Y421" s="450"/>
      <c r="Z421" s="450"/>
      <c r="AA421" s="450"/>
      <c r="AB421" s="450"/>
      <c r="AC421" s="450"/>
      <c r="AD421" s="450"/>
      <c r="AE421" s="450"/>
      <c r="AF421" s="450"/>
      <c r="AG421" s="450"/>
      <c r="AH421" s="450"/>
      <c r="AI421" s="450"/>
      <c r="AJ421" s="450"/>
      <c r="AK421" s="450"/>
    </row>
    <row r="422">
      <c r="A422" s="450"/>
      <c r="B422" s="450"/>
      <c r="C422" s="455"/>
      <c r="D422" s="450"/>
      <c r="E422" s="450"/>
      <c r="F422" s="450"/>
      <c r="G422" s="450"/>
      <c r="H422" s="450"/>
      <c r="I422" s="450"/>
      <c r="J422" s="450"/>
      <c r="K422" s="450"/>
      <c r="L422" s="450"/>
      <c r="M422" s="450"/>
      <c r="N422" s="450"/>
      <c r="O422" s="450"/>
      <c r="P422" s="450"/>
      <c r="Q422" s="450"/>
      <c r="R422" s="450"/>
      <c r="S422" s="450"/>
      <c r="T422" s="450"/>
      <c r="U422" s="450"/>
      <c r="V422" s="450"/>
      <c r="W422" s="450"/>
      <c r="X422" s="450"/>
      <c r="Y422" s="450"/>
      <c r="Z422" s="450"/>
      <c r="AA422" s="450"/>
      <c r="AB422" s="450"/>
      <c r="AC422" s="450"/>
      <c r="AD422" s="450"/>
      <c r="AE422" s="450"/>
      <c r="AF422" s="450"/>
      <c r="AG422" s="450"/>
      <c r="AH422" s="450"/>
      <c r="AI422" s="450"/>
      <c r="AJ422" s="450"/>
      <c r="AK422" s="450"/>
    </row>
    <row r="423">
      <c r="A423" s="450"/>
      <c r="B423" s="450"/>
      <c r="C423" s="455"/>
      <c r="D423" s="450"/>
      <c r="E423" s="450"/>
      <c r="F423" s="450"/>
      <c r="G423" s="450"/>
      <c r="H423" s="450"/>
      <c r="I423" s="450"/>
      <c r="J423" s="450"/>
      <c r="K423" s="450"/>
      <c r="L423" s="450"/>
      <c r="M423" s="450"/>
      <c r="N423" s="450"/>
      <c r="O423" s="450"/>
      <c r="P423" s="450"/>
      <c r="Q423" s="450"/>
      <c r="R423" s="450"/>
      <c r="S423" s="450"/>
      <c r="T423" s="450"/>
      <c r="U423" s="450"/>
      <c r="V423" s="450"/>
      <c r="W423" s="450"/>
      <c r="X423" s="450"/>
      <c r="Y423" s="450"/>
      <c r="Z423" s="450"/>
      <c r="AA423" s="450"/>
      <c r="AB423" s="450"/>
      <c r="AC423" s="450"/>
      <c r="AD423" s="450"/>
      <c r="AE423" s="450"/>
      <c r="AF423" s="450"/>
      <c r="AG423" s="450"/>
      <c r="AH423" s="450"/>
      <c r="AI423" s="450"/>
      <c r="AJ423" s="450"/>
      <c r="AK423" s="450"/>
    </row>
    <row r="424">
      <c r="A424" s="450"/>
      <c r="B424" s="450"/>
      <c r="C424" s="455"/>
      <c r="D424" s="450"/>
      <c r="E424" s="450"/>
      <c r="F424" s="450"/>
      <c r="G424" s="450"/>
      <c r="H424" s="450"/>
      <c r="I424" s="450"/>
      <c r="J424" s="450"/>
      <c r="K424" s="450"/>
      <c r="L424" s="450"/>
      <c r="M424" s="450"/>
      <c r="N424" s="450"/>
      <c r="O424" s="450"/>
      <c r="P424" s="450"/>
      <c r="Q424" s="450"/>
      <c r="R424" s="450"/>
      <c r="S424" s="450"/>
      <c r="T424" s="450"/>
      <c r="U424" s="450"/>
      <c r="V424" s="450"/>
      <c r="W424" s="450"/>
      <c r="X424" s="450"/>
      <c r="Y424" s="450"/>
      <c r="Z424" s="450"/>
      <c r="AA424" s="450"/>
      <c r="AB424" s="450"/>
      <c r="AC424" s="450"/>
      <c r="AD424" s="450"/>
      <c r="AE424" s="450"/>
      <c r="AF424" s="450"/>
      <c r="AG424" s="450"/>
      <c r="AH424" s="450"/>
      <c r="AI424" s="450"/>
      <c r="AJ424" s="450"/>
      <c r="AK424" s="450"/>
    </row>
    <row r="425">
      <c r="A425" s="450"/>
      <c r="B425" s="450"/>
      <c r="C425" s="455"/>
      <c r="D425" s="450"/>
      <c r="E425" s="450"/>
      <c r="F425" s="450"/>
      <c r="G425" s="450"/>
      <c r="H425" s="450"/>
      <c r="I425" s="450"/>
      <c r="J425" s="450"/>
      <c r="K425" s="450"/>
      <c r="L425" s="450"/>
      <c r="M425" s="450"/>
      <c r="N425" s="450"/>
      <c r="O425" s="450"/>
      <c r="P425" s="450"/>
      <c r="Q425" s="450"/>
      <c r="R425" s="450"/>
      <c r="S425" s="450"/>
      <c r="T425" s="450"/>
      <c r="U425" s="450"/>
      <c r="V425" s="450"/>
      <c r="W425" s="450"/>
      <c r="X425" s="450"/>
      <c r="Y425" s="450"/>
      <c r="Z425" s="450"/>
      <c r="AA425" s="450"/>
      <c r="AB425" s="450"/>
      <c r="AC425" s="450"/>
      <c r="AD425" s="450"/>
      <c r="AE425" s="450"/>
      <c r="AF425" s="450"/>
      <c r="AG425" s="450"/>
      <c r="AH425" s="450"/>
      <c r="AI425" s="450"/>
      <c r="AJ425" s="450"/>
      <c r="AK425" s="450"/>
    </row>
    <row r="426">
      <c r="A426" s="450"/>
      <c r="B426" s="450"/>
      <c r="C426" s="455"/>
      <c r="D426" s="450"/>
      <c r="E426" s="450"/>
      <c r="F426" s="450"/>
      <c r="G426" s="450"/>
      <c r="H426" s="450"/>
      <c r="I426" s="450"/>
      <c r="J426" s="450"/>
      <c r="K426" s="450"/>
      <c r="L426" s="450"/>
      <c r="M426" s="450"/>
      <c r="N426" s="450"/>
      <c r="O426" s="450"/>
      <c r="P426" s="450"/>
      <c r="Q426" s="450"/>
      <c r="R426" s="450"/>
      <c r="S426" s="450"/>
      <c r="T426" s="450"/>
      <c r="U426" s="450"/>
      <c r="V426" s="450"/>
      <c r="W426" s="450"/>
      <c r="X426" s="450"/>
      <c r="Y426" s="450"/>
      <c r="Z426" s="450"/>
      <c r="AA426" s="450"/>
      <c r="AB426" s="450"/>
      <c r="AC426" s="450"/>
      <c r="AD426" s="450"/>
      <c r="AE426" s="450"/>
      <c r="AF426" s="450"/>
      <c r="AG426" s="450"/>
      <c r="AH426" s="450"/>
      <c r="AI426" s="450"/>
      <c r="AJ426" s="450"/>
      <c r="AK426" s="450"/>
    </row>
    <row r="427">
      <c r="A427" s="450"/>
      <c r="B427" s="450"/>
      <c r="C427" s="455"/>
      <c r="D427" s="450"/>
      <c r="E427" s="450"/>
      <c r="F427" s="450"/>
      <c r="G427" s="450"/>
      <c r="H427" s="450"/>
      <c r="I427" s="450"/>
      <c r="J427" s="450"/>
      <c r="K427" s="450"/>
      <c r="L427" s="450"/>
      <c r="M427" s="450"/>
      <c r="N427" s="450"/>
      <c r="O427" s="450"/>
      <c r="P427" s="450"/>
      <c r="Q427" s="450"/>
      <c r="R427" s="450"/>
      <c r="S427" s="450"/>
      <c r="T427" s="450"/>
      <c r="U427" s="450"/>
      <c r="V427" s="450"/>
      <c r="W427" s="450"/>
      <c r="X427" s="450"/>
      <c r="Y427" s="450"/>
      <c r="Z427" s="450"/>
      <c r="AA427" s="450"/>
      <c r="AB427" s="450"/>
      <c r="AC427" s="450"/>
      <c r="AD427" s="450"/>
      <c r="AE427" s="450"/>
      <c r="AF427" s="450"/>
      <c r="AG427" s="450"/>
      <c r="AH427" s="450"/>
      <c r="AI427" s="450"/>
      <c r="AJ427" s="450"/>
      <c r="AK427" s="450"/>
    </row>
    <row r="428">
      <c r="A428" s="450"/>
      <c r="B428" s="450"/>
      <c r="C428" s="455"/>
      <c r="D428" s="450"/>
      <c r="E428" s="450"/>
      <c r="F428" s="450"/>
      <c r="G428" s="450"/>
      <c r="H428" s="450"/>
      <c r="I428" s="450"/>
      <c r="J428" s="450"/>
      <c r="K428" s="450"/>
      <c r="L428" s="450"/>
      <c r="M428" s="450"/>
      <c r="N428" s="450"/>
      <c r="O428" s="450"/>
      <c r="P428" s="450"/>
      <c r="Q428" s="450"/>
      <c r="R428" s="450"/>
      <c r="S428" s="450"/>
      <c r="T428" s="450"/>
      <c r="U428" s="450"/>
      <c r="V428" s="450"/>
      <c r="W428" s="450"/>
      <c r="X428" s="450"/>
      <c r="Y428" s="450"/>
      <c r="Z428" s="450"/>
      <c r="AA428" s="450"/>
      <c r="AB428" s="450"/>
      <c r="AC428" s="450"/>
      <c r="AD428" s="450"/>
      <c r="AE428" s="450"/>
      <c r="AF428" s="450"/>
      <c r="AG428" s="450"/>
      <c r="AH428" s="450"/>
      <c r="AI428" s="450"/>
      <c r="AJ428" s="450"/>
      <c r="AK428" s="450"/>
    </row>
    <row r="429">
      <c r="A429" s="450"/>
      <c r="B429" s="450"/>
      <c r="C429" s="455"/>
      <c r="D429" s="450"/>
      <c r="E429" s="450"/>
      <c r="F429" s="450"/>
      <c r="G429" s="450"/>
      <c r="H429" s="450"/>
      <c r="I429" s="450"/>
      <c r="J429" s="450"/>
      <c r="K429" s="450"/>
      <c r="L429" s="450"/>
      <c r="M429" s="450"/>
      <c r="N429" s="450"/>
      <c r="O429" s="450"/>
      <c r="P429" s="450"/>
      <c r="Q429" s="450"/>
      <c r="R429" s="450"/>
      <c r="S429" s="450"/>
      <c r="T429" s="450"/>
      <c r="U429" s="450"/>
      <c r="V429" s="450"/>
      <c r="W429" s="450"/>
      <c r="X429" s="450"/>
      <c r="Y429" s="450"/>
      <c r="Z429" s="450"/>
      <c r="AA429" s="450"/>
      <c r="AB429" s="450"/>
      <c r="AC429" s="450"/>
      <c r="AD429" s="450"/>
      <c r="AE429" s="450"/>
      <c r="AF429" s="450"/>
      <c r="AG429" s="450"/>
      <c r="AH429" s="450"/>
      <c r="AI429" s="450"/>
      <c r="AJ429" s="450"/>
      <c r="AK429" s="450"/>
    </row>
    <row r="430">
      <c r="A430" s="450"/>
      <c r="B430" s="450"/>
      <c r="C430" s="455"/>
      <c r="D430" s="450"/>
      <c r="E430" s="450"/>
      <c r="F430" s="450"/>
      <c r="G430" s="450"/>
      <c r="H430" s="450"/>
      <c r="I430" s="450"/>
      <c r="J430" s="450"/>
      <c r="K430" s="450"/>
      <c r="L430" s="450"/>
      <c r="M430" s="450"/>
      <c r="N430" s="450"/>
      <c r="O430" s="450"/>
      <c r="P430" s="450"/>
      <c r="Q430" s="450"/>
      <c r="R430" s="450"/>
      <c r="S430" s="450"/>
      <c r="T430" s="450"/>
      <c r="U430" s="450"/>
      <c r="V430" s="450"/>
      <c r="W430" s="450"/>
      <c r="X430" s="450"/>
      <c r="Y430" s="450"/>
      <c r="Z430" s="450"/>
      <c r="AA430" s="450"/>
      <c r="AB430" s="450"/>
      <c r="AC430" s="450"/>
      <c r="AD430" s="450"/>
      <c r="AE430" s="450"/>
      <c r="AF430" s="450"/>
      <c r="AG430" s="450"/>
      <c r="AH430" s="450"/>
      <c r="AI430" s="450"/>
      <c r="AJ430" s="450"/>
      <c r="AK430" s="450"/>
    </row>
    <row r="431">
      <c r="A431" s="450"/>
      <c r="B431" s="450"/>
      <c r="C431" s="455"/>
      <c r="D431" s="450"/>
      <c r="E431" s="450"/>
      <c r="F431" s="450"/>
      <c r="G431" s="450"/>
      <c r="H431" s="450"/>
      <c r="I431" s="450"/>
      <c r="J431" s="450"/>
      <c r="K431" s="450"/>
      <c r="L431" s="450"/>
      <c r="M431" s="450"/>
      <c r="N431" s="450"/>
      <c r="O431" s="450"/>
      <c r="P431" s="450"/>
      <c r="Q431" s="450"/>
      <c r="R431" s="450"/>
      <c r="S431" s="450"/>
      <c r="T431" s="450"/>
      <c r="U431" s="450"/>
      <c r="V431" s="450"/>
      <c r="W431" s="450"/>
      <c r="X431" s="450"/>
      <c r="Y431" s="450"/>
      <c r="Z431" s="450"/>
      <c r="AA431" s="450"/>
      <c r="AB431" s="450"/>
      <c r="AC431" s="450"/>
      <c r="AD431" s="450"/>
      <c r="AE431" s="450"/>
      <c r="AF431" s="450"/>
      <c r="AG431" s="450"/>
      <c r="AH431" s="450"/>
      <c r="AI431" s="450"/>
      <c r="AJ431" s="450"/>
      <c r="AK431" s="450"/>
    </row>
    <row r="432">
      <c r="A432" s="450"/>
      <c r="B432" s="450"/>
      <c r="C432" s="455"/>
      <c r="D432" s="450"/>
      <c r="E432" s="450"/>
      <c r="F432" s="450"/>
      <c r="G432" s="450"/>
      <c r="H432" s="450"/>
      <c r="I432" s="450"/>
      <c r="J432" s="450"/>
      <c r="K432" s="450"/>
      <c r="L432" s="450"/>
      <c r="M432" s="450"/>
      <c r="N432" s="450"/>
      <c r="O432" s="450"/>
      <c r="P432" s="450"/>
      <c r="Q432" s="450"/>
      <c r="R432" s="450"/>
      <c r="S432" s="450"/>
      <c r="T432" s="450"/>
      <c r="U432" s="450"/>
      <c r="V432" s="450"/>
      <c r="W432" s="450"/>
      <c r="X432" s="450"/>
      <c r="Y432" s="450"/>
      <c r="Z432" s="450"/>
      <c r="AA432" s="450"/>
      <c r="AB432" s="450"/>
      <c r="AC432" s="450"/>
      <c r="AD432" s="450"/>
      <c r="AE432" s="450"/>
      <c r="AF432" s="450"/>
      <c r="AG432" s="450"/>
      <c r="AH432" s="450"/>
      <c r="AI432" s="450"/>
      <c r="AJ432" s="450"/>
      <c r="AK432" s="450"/>
    </row>
    <row r="433">
      <c r="A433" s="450"/>
      <c r="B433" s="450"/>
      <c r="C433" s="455"/>
      <c r="D433" s="450"/>
      <c r="E433" s="450"/>
      <c r="F433" s="450"/>
      <c r="G433" s="450"/>
      <c r="H433" s="450"/>
      <c r="I433" s="450"/>
      <c r="J433" s="450"/>
      <c r="K433" s="450"/>
      <c r="L433" s="450"/>
      <c r="M433" s="450"/>
      <c r="N433" s="450"/>
      <c r="O433" s="450"/>
      <c r="P433" s="450"/>
      <c r="Q433" s="450"/>
      <c r="R433" s="450"/>
      <c r="S433" s="450"/>
      <c r="T433" s="450"/>
      <c r="U433" s="450"/>
      <c r="V433" s="450"/>
      <c r="W433" s="450"/>
      <c r="X433" s="450"/>
      <c r="Y433" s="450"/>
      <c r="Z433" s="450"/>
      <c r="AA433" s="450"/>
      <c r="AB433" s="450"/>
      <c r="AC433" s="450"/>
      <c r="AD433" s="450"/>
      <c r="AE433" s="450"/>
      <c r="AF433" s="450"/>
      <c r="AG433" s="450"/>
      <c r="AH433" s="450"/>
      <c r="AI433" s="450"/>
      <c r="AJ433" s="450"/>
      <c r="AK433" s="450"/>
    </row>
    <row r="434">
      <c r="A434" s="450"/>
      <c r="B434" s="450"/>
      <c r="C434" s="455"/>
      <c r="D434" s="450"/>
      <c r="E434" s="450"/>
      <c r="F434" s="450"/>
      <c r="G434" s="450"/>
      <c r="H434" s="450"/>
      <c r="I434" s="450"/>
      <c r="J434" s="450"/>
      <c r="K434" s="450"/>
      <c r="L434" s="450"/>
      <c r="M434" s="450"/>
      <c r="N434" s="450"/>
      <c r="O434" s="450"/>
      <c r="P434" s="450"/>
      <c r="Q434" s="450"/>
      <c r="R434" s="450"/>
      <c r="S434" s="450"/>
      <c r="T434" s="450"/>
      <c r="U434" s="450"/>
      <c r="V434" s="450"/>
      <c r="W434" s="450"/>
      <c r="X434" s="450"/>
      <c r="Y434" s="450"/>
      <c r="Z434" s="450"/>
      <c r="AA434" s="450"/>
      <c r="AB434" s="450"/>
      <c r="AC434" s="450"/>
      <c r="AD434" s="450"/>
      <c r="AE434" s="450"/>
      <c r="AF434" s="450"/>
      <c r="AG434" s="450"/>
      <c r="AH434" s="450"/>
      <c r="AI434" s="450"/>
      <c r="AJ434" s="450"/>
      <c r="AK434" s="450"/>
    </row>
    <row r="435">
      <c r="A435" s="450"/>
      <c r="B435" s="450"/>
      <c r="C435" s="455"/>
      <c r="D435" s="450"/>
      <c r="E435" s="450"/>
      <c r="F435" s="450"/>
      <c r="G435" s="450"/>
      <c r="H435" s="450"/>
      <c r="I435" s="450"/>
      <c r="J435" s="450"/>
      <c r="K435" s="450"/>
      <c r="L435" s="450"/>
      <c r="M435" s="450"/>
      <c r="N435" s="450"/>
      <c r="O435" s="450"/>
      <c r="P435" s="450"/>
      <c r="Q435" s="450"/>
      <c r="R435" s="450"/>
      <c r="S435" s="450"/>
      <c r="T435" s="450"/>
      <c r="U435" s="450"/>
      <c r="V435" s="450"/>
      <c r="W435" s="450"/>
      <c r="X435" s="450"/>
      <c r="Y435" s="450"/>
      <c r="Z435" s="450"/>
      <c r="AA435" s="450"/>
      <c r="AB435" s="450"/>
      <c r="AC435" s="450"/>
      <c r="AD435" s="450"/>
      <c r="AE435" s="450"/>
      <c r="AF435" s="450"/>
      <c r="AG435" s="450"/>
      <c r="AH435" s="450"/>
      <c r="AI435" s="450"/>
      <c r="AJ435" s="450"/>
      <c r="AK435" s="450"/>
    </row>
    <row r="436">
      <c r="A436" s="450"/>
      <c r="B436" s="450"/>
      <c r="C436" s="455"/>
      <c r="D436" s="450"/>
      <c r="E436" s="450"/>
      <c r="F436" s="450"/>
      <c r="G436" s="450"/>
      <c r="H436" s="450"/>
      <c r="I436" s="450"/>
      <c r="J436" s="450"/>
      <c r="K436" s="450"/>
      <c r="L436" s="450"/>
      <c r="M436" s="450"/>
      <c r="N436" s="450"/>
      <c r="O436" s="450"/>
      <c r="P436" s="450"/>
      <c r="Q436" s="450"/>
      <c r="R436" s="450"/>
      <c r="S436" s="450"/>
      <c r="T436" s="450"/>
      <c r="U436" s="450"/>
      <c r="V436" s="450"/>
      <c r="W436" s="450"/>
      <c r="X436" s="450"/>
      <c r="Y436" s="450"/>
      <c r="Z436" s="450"/>
      <c r="AA436" s="450"/>
      <c r="AB436" s="450"/>
      <c r="AC436" s="450"/>
      <c r="AD436" s="450"/>
      <c r="AE436" s="450"/>
      <c r="AF436" s="450"/>
      <c r="AG436" s="450"/>
      <c r="AH436" s="450"/>
      <c r="AI436" s="450"/>
      <c r="AJ436" s="450"/>
      <c r="AK436" s="450"/>
    </row>
    <row r="437">
      <c r="A437" s="450"/>
      <c r="B437" s="450"/>
      <c r="C437" s="455"/>
      <c r="D437" s="450"/>
      <c r="E437" s="450"/>
      <c r="F437" s="450"/>
      <c r="G437" s="450"/>
      <c r="H437" s="450"/>
      <c r="I437" s="450"/>
      <c r="J437" s="450"/>
      <c r="K437" s="450"/>
      <c r="L437" s="450"/>
      <c r="M437" s="450"/>
      <c r="N437" s="450"/>
      <c r="O437" s="450"/>
      <c r="P437" s="450"/>
      <c r="Q437" s="450"/>
      <c r="R437" s="450"/>
      <c r="S437" s="450"/>
      <c r="T437" s="450"/>
      <c r="U437" s="450"/>
      <c r="V437" s="450"/>
      <c r="W437" s="450"/>
      <c r="X437" s="450"/>
      <c r="Y437" s="450"/>
      <c r="Z437" s="450"/>
      <c r="AA437" s="450"/>
      <c r="AB437" s="450"/>
      <c r="AC437" s="450"/>
      <c r="AD437" s="450"/>
      <c r="AE437" s="450"/>
      <c r="AF437" s="450"/>
      <c r="AG437" s="450"/>
      <c r="AH437" s="450"/>
      <c r="AI437" s="450"/>
      <c r="AJ437" s="450"/>
      <c r="AK437" s="450"/>
    </row>
    <row r="438">
      <c r="A438" s="450"/>
      <c r="B438" s="450"/>
      <c r="C438" s="455"/>
      <c r="D438" s="450"/>
      <c r="E438" s="450"/>
      <c r="F438" s="450"/>
      <c r="G438" s="450"/>
      <c r="H438" s="450"/>
      <c r="I438" s="450"/>
      <c r="J438" s="450"/>
      <c r="K438" s="450"/>
      <c r="L438" s="450"/>
      <c r="M438" s="450"/>
      <c r="N438" s="450"/>
      <c r="O438" s="450"/>
      <c r="P438" s="450"/>
      <c r="Q438" s="450"/>
      <c r="R438" s="450"/>
      <c r="S438" s="450"/>
      <c r="T438" s="450"/>
      <c r="U438" s="450"/>
      <c r="V438" s="450"/>
      <c r="W438" s="450"/>
      <c r="X438" s="450"/>
      <c r="Y438" s="450"/>
      <c r="Z438" s="450"/>
      <c r="AA438" s="450"/>
      <c r="AB438" s="450"/>
      <c r="AC438" s="450"/>
      <c r="AD438" s="450"/>
      <c r="AE438" s="450"/>
      <c r="AF438" s="450"/>
      <c r="AG438" s="450"/>
      <c r="AH438" s="450"/>
      <c r="AI438" s="450"/>
      <c r="AJ438" s="450"/>
      <c r="AK438" s="450"/>
    </row>
    <row r="439">
      <c r="A439" s="450"/>
      <c r="B439" s="450"/>
      <c r="C439" s="455"/>
      <c r="D439" s="450"/>
      <c r="E439" s="450"/>
      <c r="F439" s="450"/>
      <c r="G439" s="450"/>
      <c r="H439" s="450"/>
      <c r="I439" s="450"/>
      <c r="J439" s="450"/>
      <c r="K439" s="450"/>
      <c r="L439" s="450"/>
      <c r="M439" s="450"/>
      <c r="N439" s="450"/>
      <c r="O439" s="450"/>
      <c r="P439" s="450"/>
      <c r="Q439" s="450"/>
      <c r="R439" s="450"/>
      <c r="S439" s="450"/>
      <c r="T439" s="450"/>
      <c r="U439" s="450"/>
      <c r="V439" s="450"/>
      <c r="W439" s="450"/>
      <c r="X439" s="450"/>
      <c r="Y439" s="450"/>
      <c r="Z439" s="450"/>
      <c r="AA439" s="450"/>
      <c r="AB439" s="450"/>
      <c r="AC439" s="450"/>
      <c r="AD439" s="450"/>
      <c r="AE439" s="450"/>
      <c r="AF439" s="450"/>
      <c r="AG439" s="450"/>
      <c r="AH439" s="450"/>
      <c r="AI439" s="450"/>
      <c r="AJ439" s="450"/>
      <c r="AK439" s="450"/>
    </row>
    <row r="440">
      <c r="A440" s="450"/>
      <c r="B440" s="450"/>
      <c r="C440" s="455"/>
      <c r="D440" s="450"/>
      <c r="E440" s="450"/>
      <c r="F440" s="450"/>
      <c r="G440" s="450"/>
      <c r="H440" s="450"/>
      <c r="I440" s="450"/>
      <c r="J440" s="450"/>
      <c r="K440" s="450"/>
      <c r="L440" s="450"/>
      <c r="M440" s="450"/>
      <c r="N440" s="450"/>
      <c r="O440" s="450"/>
      <c r="P440" s="450"/>
      <c r="Q440" s="450"/>
      <c r="R440" s="450"/>
      <c r="S440" s="450"/>
      <c r="T440" s="450"/>
      <c r="U440" s="450"/>
      <c r="V440" s="450"/>
      <c r="W440" s="450"/>
      <c r="X440" s="450"/>
      <c r="Y440" s="450"/>
      <c r="Z440" s="450"/>
      <c r="AA440" s="450"/>
      <c r="AB440" s="450"/>
      <c r="AC440" s="450"/>
      <c r="AD440" s="450"/>
      <c r="AE440" s="450"/>
      <c r="AF440" s="450"/>
      <c r="AG440" s="450"/>
      <c r="AH440" s="450"/>
      <c r="AI440" s="450"/>
      <c r="AJ440" s="450"/>
      <c r="AK440" s="450"/>
    </row>
    <row r="441">
      <c r="A441" s="450"/>
      <c r="B441" s="450"/>
      <c r="C441" s="455"/>
      <c r="D441" s="450"/>
      <c r="E441" s="450"/>
      <c r="F441" s="450"/>
      <c r="G441" s="450"/>
      <c r="H441" s="450"/>
      <c r="I441" s="450"/>
      <c r="J441" s="450"/>
      <c r="K441" s="450"/>
      <c r="L441" s="450"/>
      <c r="M441" s="450"/>
      <c r="N441" s="450"/>
      <c r="O441" s="450"/>
      <c r="P441" s="450"/>
      <c r="Q441" s="450"/>
      <c r="R441" s="450"/>
      <c r="S441" s="450"/>
      <c r="T441" s="450"/>
      <c r="U441" s="450"/>
      <c r="V441" s="450"/>
      <c r="W441" s="450"/>
      <c r="X441" s="450"/>
      <c r="Y441" s="450"/>
      <c r="Z441" s="450"/>
      <c r="AA441" s="450"/>
      <c r="AB441" s="450"/>
      <c r="AC441" s="450"/>
      <c r="AD441" s="450"/>
      <c r="AE441" s="450"/>
      <c r="AF441" s="450"/>
      <c r="AG441" s="450"/>
      <c r="AH441" s="450"/>
      <c r="AI441" s="450"/>
      <c r="AJ441" s="450"/>
      <c r="AK441" s="450"/>
    </row>
    <row r="442">
      <c r="A442" s="450"/>
      <c r="B442" s="450"/>
      <c r="C442" s="455"/>
      <c r="D442" s="450"/>
      <c r="E442" s="450"/>
      <c r="F442" s="450"/>
      <c r="G442" s="450"/>
      <c r="H442" s="450"/>
      <c r="I442" s="450"/>
      <c r="J442" s="450"/>
      <c r="K442" s="450"/>
      <c r="L442" s="450"/>
      <c r="M442" s="450"/>
      <c r="N442" s="450"/>
      <c r="O442" s="450"/>
      <c r="P442" s="450"/>
      <c r="Q442" s="450"/>
      <c r="R442" s="450"/>
      <c r="S442" s="450"/>
      <c r="T442" s="450"/>
      <c r="U442" s="450"/>
      <c r="V442" s="450"/>
      <c r="W442" s="450"/>
      <c r="X442" s="450"/>
      <c r="Y442" s="450"/>
      <c r="Z442" s="450"/>
      <c r="AA442" s="450"/>
      <c r="AB442" s="450"/>
      <c r="AC442" s="450"/>
      <c r="AD442" s="450"/>
      <c r="AE442" s="450"/>
      <c r="AF442" s="450"/>
      <c r="AG442" s="450"/>
      <c r="AH442" s="450"/>
      <c r="AI442" s="450"/>
      <c r="AJ442" s="450"/>
      <c r="AK442" s="450"/>
    </row>
    <row r="443">
      <c r="A443" s="450"/>
      <c r="B443" s="450"/>
      <c r="C443" s="455"/>
      <c r="D443" s="450"/>
      <c r="E443" s="450"/>
      <c r="F443" s="450"/>
      <c r="G443" s="450"/>
      <c r="H443" s="450"/>
      <c r="I443" s="450"/>
      <c r="J443" s="450"/>
      <c r="K443" s="450"/>
      <c r="L443" s="450"/>
      <c r="M443" s="450"/>
      <c r="N443" s="450"/>
      <c r="O443" s="450"/>
      <c r="P443" s="450"/>
      <c r="Q443" s="450"/>
      <c r="R443" s="450"/>
      <c r="S443" s="450"/>
      <c r="T443" s="450"/>
      <c r="U443" s="450"/>
      <c r="V443" s="450"/>
      <c r="W443" s="450"/>
      <c r="X443" s="450"/>
      <c r="Y443" s="450"/>
      <c r="Z443" s="450"/>
      <c r="AA443" s="450"/>
      <c r="AB443" s="450"/>
      <c r="AC443" s="450"/>
      <c r="AD443" s="450"/>
      <c r="AE443" s="450"/>
      <c r="AF443" s="450"/>
      <c r="AG443" s="450"/>
      <c r="AH443" s="450"/>
      <c r="AI443" s="450"/>
      <c r="AJ443" s="450"/>
      <c r="AK443" s="450"/>
    </row>
    <row r="444">
      <c r="A444" s="450"/>
      <c r="B444" s="450"/>
      <c r="C444" s="455"/>
      <c r="D444" s="450"/>
      <c r="E444" s="450"/>
      <c r="F444" s="450"/>
      <c r="G444" s="450"/>
      <c r="H444" s="450"/>
      <c r="I444" s="450"/>
      <c r="J444" s="450"/>
      <c r="K444" s="450"/>
      <c r="L444" s="450"/>
      <c r="M444" s="450"/>
      <c r="N444" s="450"/>
      <c r="O444" s="450"/>
      <c r="P444" s="450"/>
      <c r="Q444" s="450"/>
      <c r="R444" s="450"/>
      <c r="S444" s="450"/>
      <c r="T444" s="450"/>
      <c r="U444" s="450"/>
      <c r="V444" s="450"/>
      <c r="W444" s="450"/>
      <c r="X444" s="450"/>
      <c r="Y444" s="450"/>
      <c r="Z444" s="450"/>
      <c r="AA444" s="450"/>
      <c r="AB444" s="450"/>
      <c r="AC444" s="450"/>
      <c r="AD444" s="450"/>
      <c r="AE444" s="450"/>
      <c r="AF444" s="450"/>
      <c r="AG444" s="450"/>
      <c r="AH444" s="450"/>
      <c r="AI444" s="450"/>
      <c r="AJ444" s="450"/>
      <c r="AK444" s="450"/>
    </row>
    <row r="445">
      <c r="A445" s="450"/>
      <c r="B445" s="450"/>
      <c r="C445" s="455"/>
      <c r="D445" s="450"/>
      <c r="E445" s="450"/>
      <c r="F445" s="450"/>
      <c r="G445" s="450"/>
      <c r="H445" s="450"/>
      <c r="I445" s="450"/>
      <c r="J445" s="450"/>
      <c r="K445" s="450"/>
      <c r="L445" s="450"/>
      <c r="M445" s="450"/>
      <c r="N445" s="450"/>
      <c r="O445" s="450"/>
      <c r="P445" s="450"/>
      <c r="Q445" s="450"/>
      <c r="R445" s="450"/>
      <c r="S445" s="450"/>
      <c r="T445" s="450"/>
      <c r="U445" s="450"/>
      <c r="V445" s="450"/>
      <c r="W445" s="450"/>
      <c r="X445" s="450"/>
      <c r="Y445" s="450"/>
      <c r="Z445" s="450"/>
      <c r="AA445" s="450"/>
      <c r="AB445" s="450"/>
      <c r="AC445" s="450"/>
      <c r="AD445" s="450"/>
      <c r="AE445" s="450"/>
      <c r="AF445" s="450"/>
      <c r="AG445" s="450"/>
      <c r="AH445" s="450"/>
      <c r="AI445" s="450"/>
      <c r="AJ445" s="450"/>
      <c r="AK445" s="450"/>
    </row>
    <row r="446">
      <c r="A446" s="450"/>
      <c r="B446" s="450"/>
      <c r="C446" s="455"/>
      <c r="D446" s="450"/>
      <c r="E446" s="450"/>
      <c r="F446" s="450"/>
      <c r="G446" s="450"/>
      <c r="H446" s="450"/>
      <c r="I446" s="450"/>
      <c r="J446" s="450"/>
      <c r="K446" s="450"/>
      <c r="L446" s="450"/>
      <c r="M446" s="450"/>
      <c r="N446" s="450"/>
      <c r="O446" s="450"/>
      <c r="P446" s="450"/>
      <c r="Q446" s="450"/>
      <c r="R446" s="450"/>
      <c r="S446" s="450"/>
      <c r="T446" s="450"/>
      <c r="U446" s="450"/>
      <c r="V446" s="450"/>
      <c r="W446" s="450"/>
      <c r="X446" s="450"/>
      <c r="Y446" s="450"/>
      <c r="Z446" s="450"/>
      <c r="AA446" s="450"/>
      <c r="AB446" s="450"/>
      <c r="AC446" s="450"/>
      <c r="AD446" s="450"/>
      <c r="AE446" s="450"/>
      <c r="AF446" s="450"/>
      <c r="AG446" s="450"/>
      <c r="AH446" s="450"/>
      <c r="AI446" s="450"/>
      <c r="AJ446" s="450"/>
      <c r="AK446" s="450"/>
    </row>
    <row r="447">
      <c r="A447" s="450"/>
      <c r="B447" s="450"/>
      <c r="C447" s="455"/>
      <c r="D447" s="450"/>
      <c r="E447" s="450"/>
      <c r="F447" s="450"/>
      <c r="G447" s="450"/>
      <c r="H447" s="450"/>
      <c r="I447" s="450"/>
      <c r="J447" s="450"/>
      <c r="K447" s="450"/>
      <c r="L447" s="450"/>
      <c r="M447" s="450"/>
      <c r="N447" s="450"/>
      <c r="O447" s="450"/>
      <c r="P447" s="450"/>
      <c r="Q447" s="450"/>
      <c r="R447" s="450"/>
      <c r="S447" s="450"/>
      <c r="T447" s="450"/>
      <c r="U447" s="450"/>
      <c r="V447" s="450"/>
      <c r="W447" s="450"/>
      <c r="X447" s="450"/>
      <c r="Y447" s="450"/>
      <c r="Z447" s="450"/>
      <c r="AA447" s="450"/>
      <c r="AB447" s="450"/>
      <c r="AC447" s="450"/>
      <c r="AD447" s="450"/>
      <c r="AE447" s="450"/>
      <c r="AF447" s="450"/>
      <c r="AG447" s="450"/>
      <c r="AH447" s="450"/>
      <c r="AI447" s="450"/>
      <c r="AJ447" s="450"/>
      <c r="AK447" s="450"/>
    </row>
    <row r="448">
      <c r="A448" s="450"/>
      <c r="B448" s="450"/>
      <c r="C448" s="455"/>
      <c r="D448" s="450"/>
      <c r="E448" s="450"/>
      <c r="F448" s="450"/>
      <c r="G448" s="450"/>
      <c r="H448" s="450"/>
      <c r="I448" s="450"/>
      <c r="J448" s="450"/>
      <c r="K448" s="450"/>
      <c r="L448" s="450"/>
      <c r="M448" s="450"/>
      <c r="N448" s="450"/>
      <c r="O448" s="450"/>
      <c r="P448" s="450"/>
      <c r="Q448" s="450"/>
      <c r="R448" s="450"/>
      <c r="S448" s="450"/>
      <c r="T448" s="450"/>
      <c r="U448" s="450"/>
      <c r="V448" s="450"/>
      <c r="W448" s="450"/>
      <c r="X448" s="450"/>
      <c r="Y448" s="450"/>
      <c r="Z448" s="450"/>
      <c r="AA448" s="450"/>
      <c r="AB448" s="450"/>
      <c r="AC448" s="450"/>
      <c r="AD448" s="450"/>
      <c r="AE448" s="450"/>
      <c r="AF448" s="450"/>
      <c r="AG448" s="450"/>
      <c r="AH448" s="450"/>
      <c r="AI448" s="450"/>
      <c r="AJ448" s="450"/>
      <c r="AK448" s="450"/>
    </row>
    <row r="449">
      <c r="A449" s="450"/>
      <c r="B449" s="450"/>
      <c r="C449" s="455"/>
      <c r="D449" s="450"/>
      <c r="E449" s="450"/>
      <c r="F449" s="450"/>
      <c r="G449" s="450"/>
      <c r="H449" s="450"/>
      <c r="I449" s="450"/>
      <c r="J449" s="450"/>
      <c r="K449" s="450"/>
      <c r="L449" s="450"/>
      <c r="M449" s="450"/>
      <c r="N449" s="450"/>
      <c r="O449" s="450"/>
      <c r="P449" s="450"/>
      <c r="Q449" s="450"/>
      <c r="R449" s="450"/>
      <c r="S449" s="450"/>
      <c r="T449" s="450"/>
      <c r="U449" s="450"/>
      <c r="V449" s="450"/>
      <c r="W449" s="450"/>
      <c r="X449" s="450"/>
      <c r="Y449" s="450"/>
      <c r="Z449" s="450"/>
      <c r="AA449" s="450"/>
      <c r="AB449" s="450"/>
      <c r="AC449" s="450"/>
      <c r="AD449" s="450"/>
      <c r="AE449" s="450"/>
      <c r="AF449" s="450"/>
      <c r="AG449" s="450"/>
      <c r="AH449" s="450"/>
      <c r="AI449" s="450"/>
      <c r="AJ449" s="450"/>
      <c r="AK449" s="450"/>
    </row>
    <row r="450">
      <c r="A450" s="450"/>
      <c r="B450" s="450"/>
      <c r="C450" s="455"/>
      <c r="D450" s="450"/>
      <c r="E450" s="450"/>
      <c r="F450" s="450"/>
      <c r="G450" s="450"/>
      <c r="H450" s="450"/>
      <c r="I450" s="450"/>
      <c r="J450" s="450"/>
      <c r="K450" s="450"/>
      <c r="L450" s="450"/>
      <c r="M450" s="450"/>
      <c r="N450" s="450"/>
      <c r="O450" s="450"/>
      <c r="P450" s="450"/>
      <c r="Q450" s="450"/>
      <c r="R450" s="450"/>
      <c r="S450" s="450"/>
      <c r="T450" s="450"/>
      <c r="U450" s="450"/>
      <c r="V450" s="450"/>
      <c r="W450" s="450"/>
      <c r="X450" s="450"/>
      <c r="Y450" s="450"/>
      <c r="Z450" s="450"/>
      <c r="AA450" s="450"/>
      <c r="AB450" s="450"/>
      <c r="AC450" s="450"/>
      <c r="AD450" s="450"/>
      <c r="AE450" s="450"/>
      <c r="AF450" s="450"/>
      <c r="AG450" s="450"/>
      <c r="AH450" s="450"/>
      <c r="AI450" s="450"/>
      <c r="AJ450" s="450"/>
      <c r="AK450" s="450"/>
    </row>
    <row r="451">
      <c r="A451" s="450"/>
      <c r="B451" s="450"/>
      <c r="C451" s="455"/>
      <c r="D451" s="450"/>
      <c r="E451" s="450"/>
      <c r="F451" s="450"/>
      <c r="G451" s="450"/>
      <c r="H451" s="450"/>
      <c r="I451" s="450"/>
      <c r="J451" s="450"/>
      <c r="K451" s="450"/>
      <c r="L451" s="450"/>
      <c r="M451" s="450"/>
      <c r="N451" s="450"/>
      <c r="O451" s="450"/>
      <c r="P451" s="450"/>
      <c r="Q451" s="450"/>
      <c r="R451" s="450"/>
      <c r="S451" s="450"/>
      <c r="T451" s="450"/>
      <c r="U451" s="450"/>
      <c r="V451" s="450"/>
      <c r="W451" s="450"/>
      <c r="X451" s="450"/>
      <c r="Y451" s="450"/>
      <c r="Z451" s="450"/>
      <c r="AA451" s="450"/>
      <c r="AB451" s="450"/>
      <c r="AC451" s="450"/>
      <c r="AD451" s="450"/>
      <c r="AE451" s="450"/>
      <c r="AF451" s="450"/>
      <c r="AG451" s="450"/>
      <c r="AH451" s="450"/>
      <c r="AI451" s="450"/>
      <c r="AJ451" s="450"/>
      <c r="AK451" s="450"/>
    </row>
    <row r="452">
      <c r="A452" s="450"/>
      <c r="B452" s="450"/>
      <c r="C452" s="455"/>
      <c r="D452" s="450"/>
      <c r="E452" s="450"/>
      <c r="F452" s="450"/>
      <c r="G452" s="450"/>
      <c r="H452" s="450"/>
      <c r="I452" s="450"/>
      <c r="J452" s="450"/>
      <c r="K452" s="450"/>
      <c r="L452" s="450"/>
      <c r="M452" s="450"/>
      <c r="N452" s="450"/>
      <c r="O452" s="450"/>
      <c r="P452" s="450"/>
      <c r="Q452" s="450"/>
      <c r="R452" s="450"/>
      <c r="S452" s="450"/>
      <c r="T452" s="450"/>
      <c r="U452" s="450"/>
      <c r="V452" s="450"/>
      <c r="W452" s="450"/>
      <c r="X452" s="450"/>
      <c r="Y452" s="450"/>
      <c r="Z452" s="450"/>
      <c r="AA452" s="450"/>
      <c r="AB452" s="450"/>
      <c r="AC452" s="450"/>
      <c r="AD452" s="450"/>
      <c r="AE452" s="450"/>
      <c r="AF452" s="450"/>
      <c r="AG452" s="450"/>
      <c r="AH452" s="450"/>
      <c r="AI452" s="450"/>
      <c r="AJ452" s="450"/>
      <c r="AK452" s="450"/>
    </row>
    <row r="453">
      <c r="A453" s="450"/>
      <c r="B453" s="450"/>
      <c r="C453" s="455"/>
      <c r="D453" s="450"/>
      <c r="E453" s="450"/>
      <c r="F453" s="450"/>
      <c r="G453" s="450"/>
      <c r="H453" s="450"/>
      <c r="I453" s="450"/>
      <c r="J453" s="450"/>
      <c r="K453" s="450"/>
      <c r="L453" s="450"/>
      <c r="M453" s="450"/>
      <c r="N453" s="450"/>
      <c r="O453" s="450"/>
      <c r="P453" s="450"/>
      <c r="Q453" s="450"/>
      <c r="R453" s="450"/>
      <c r="S453" s="450"/>
      <c r="T453" s="450"/>
      <c r="U453" s="450"/>
      <c r="V453" s="450"/>
      <c r="W453" s="450"/>
      <c r="X453" s="450"/>
      <c r="Y453" s="450"/>
      <c r="Z453" s="450"/>
      <c r="AA453" s="450"/>
      <c r="AB453" s="450"/>
      <c r="AC453" s="450"/>
      <c r="AD453" s="450"/>
      <c r="AE453" s="450"/>
      <c r="AF453" s="450"/>
      <c r="AG453" s="450"/>
      <c r="AH453" s="450"/>
      <c r="AI453" s="450"/>
      <c r="AJ453" s="450"/>
      <c r="AK453" s="450"/>
    </row>
    <row r="454">
      <c r="A454" s="450"/>
      <c r="B454" s="450"/>
      <c r="C454" s="455"/>
      <c r="D454" s="450"/>
      <c r="E454" s="450"/>
      <c r="F454" s="450"/>
      <c r="G454" s="450"/>
      <c r="H454" s="450"/>
      <c r="I454" s="450"/>
      <c r="J454" s="450"/>
      <c r="K454" s="450"/>
      <c r="L454" s="450"/>
      <c r="M454" s="450"/>
      <c r="N454" s="450"/>
      <c r="O454" s="450"/>
      <c r="P454" s="450"/>
      <c r="Q454" s="450"/>
      <c r="R454" s="450"/>
      <c r="S454" s="450"/>
      <c r="T454" s="450"/>
      <c r="U454" s="450"/>
      <c r="V454" s="450"/>
      <c r="W454" s="450"/>
      <c r="X454" s="450"/>
      <c r="Y454" s="450"/>
      <c r="Z454" s="450"/>
      <c r="AA454" s="450"/>
      <c r="AB454" s="450"/>
      <c r="AC454" s="450"/>
      <c r="AD454" s="450"/>
      <c r="AE454" s="450"/>
      <c r="AF454" s="450"/>
      <c r="AG454" s="450"/>
      <c r="AH454" s="450"/>
      <c r="AI454" s="450"/>
      <c r="AJ454" s="450"/>
      <c r="AK454" s="450"/>
    </row>
    <row r="455">
      <c r="A455" s="450"/>
      <c r="B455" s="450"/>
      <c r="C455" s="455"/>
      <c r="D455" s="450"/>
      <c r="E455" s="450"/>
      <c r="F455" s="450"/>
      <c r="G455" s="450"/>
      <c r="H455" s="450"/>
      <c r="I455" s="450"/>
      <c r="J455" s="450"/>
      <c r="K455" s="450"/>
      <c r="L455" s="450"/>
      <c r="M455" s="450"/>
      <c r="N455" s="450"/>
      <c r="O455" s="450"/>
      <c r="P455" s="450"/>
      <c r="Q455" s="450"/>
      <c r="R455" s="450"/>
      <c r="S455" s="450"/>
      <c r="T455" s="450"/>
      <c r="U455" s="450"/>
      <c r="V455" s="450"/>
      <c r="W455" s="450"/>
      <c r="X455" s="450"/>
      <c r="Y455" s="450"/>
      <c r="Z455" s="450"/>
      <c r="AA455" s="450"/>
      <c r="AB455" s="450"/>
      <c r="AC455" s="450"/>
      <c r="AD455" s="450"/>
      <c r="AE455" s="450"/>
      <c r="AF455" s="450"/>
      <c r="AG455" s="450"/>
      <c r="AH455" s="450"/>
      <c r="AI455" s="450"/>
      <c r="AJ455" s="450"/>
      <c r="AK455" s="450"/>
    </row>
    <row r="456">
      <c r="A456" s="450"/>
      <c r="B456" s="450"/>
      <c r="C456" s="455"/>
      <c r="D456" s="450"/>
      <c r="E456" s="450"/>
      <c r="F456" s="450"/>
      <c r="G456" s="450"/>
      <c r="H456" s="450"/>
      <c r="I456" s="450"/>
      <c r="J456" s="450"/>
      <c r="K456" s="450"/>
      <c r="L456" s="450"/>
      <c r="M456" s="450"/>
      <c r="N456" s="450"/>
      <c r="O456" s="450"/>
      <c r="P456" s="450"/>
      <c r="Q456" s="450"/>
      <c r="R456" s="450"/>
      <c r="S456" s="450"/>
      <c r="T456" s="450"/>
      <c r="U456" s="450"/>
      <c r="V456" s="450"/>
      <c r="W456" s="450"/>
      <c r="X456" s="450"/>
      <c r="Y456" s="450"/>
      <c r="Z456" s="450"/>
      <c r="AA456" s="450"/>
      <c r="AB456" s="450"/>
      <c r="AC456" s="450"/>
      <c r="AD456" s="450"/>
      <c r="AE456" s="450"/>
      <c r="AF456" s="450"/>
      <c r="AG456" s="450"/>
      <c r="AH456" s="450"/>
      <c r="AI456" s="450"/>
      <c r="AJ456" s="450"/>
      <c r="AK456" s="450"/>
    </row>
    <row r="457">
      <c r="A457" s="450"/>
      <c r="B457" s="450"/>
      <c r="C457" s="455"/>
      <c r="D457" s="450"/>
      <c r="E457" s="450"/>
      <c r="F457" s="450"/>
      <c r="G457" s="450"/>
      <c r="H457" s="450"/>
      <c r="I457" s="450"/>
      <c r="J457" s="450"/>
      <c r="K457" s="450"/>
      <c r="L457" s="450"/>
      <c r="M457" s="450"/>
      <c r="N457" s="450"/>
      <c r="O457" s="450"/>
      <c r="P457" s="450"/>
      <c r="Q457" s="450"/>
      <c r="R457" s="450"/>
      <c r="S457" s="450"/>
      <c r="T457" s="450"/>
      <c r="U457" s="450"/>
      <c r="V457" s="450"/>
      <c r="W457" s="450"/>
      <c r="X457" s="450"/>
      <c r="Y457" s="450"/>
      <c r="Z457" s="450"/>
      <c r="AA457" s="450"/>
      <c r="AB457" s="450"/>
      <c r="AC457" s="450"/>
      <c r="AD457" s="450"/>
      <c r="AE457" s="450"/>
      <c r="AF457" s="450"/>
      <c r="AG457" s="450"/>
      <c r="AH457" s="450"/>
      <c r="AI457" s="450"/>
      <c r="AJ457" s="450"/>
      <c r="AK457" s="450"/>
    </row>
    <row r="458">
      <c r="A458" s="450"/>
      <c r="B458" s="450"/>
      <c r="C458" s="455"/>
      <c r="D458" s="450"/>
      <c r="E458" s="450"/>
      <c r="F458" s="450"/>
      <c r="G458" s="450"/>
      <c r="H458" s="450"/>
      <c r="I458" s="450"/>
      <c r="J458" s="450"/>
      <c r="K458" s="450"/>
      <c r="L458" s="450"/>
      <c r="M458" s="450"/>
      <c r="N458" s="450"/>
      <c r="O458" s="450"/>
      <c r="P458" s="450"/>
      <c r="Q458" s="450"/>
      <c r="R458" s="450"/>
      <c r="S458" s="450"/>
      <c r="T458" s="450"/>
      <c r="U458" s="450"/>
      <c r="V458" s="450"/>
      <c r="W458" s="450"/>
      <c r="X458" s="450"/>
      <c r="Y458" s="450"/>
      <c r="Z458" s="450"/>
      <c r="AA458" s="450"/>
      <c r="AB458" s="450"/>
      <c r="AC458" s="450"/>
      <c r="AD458" s="450"/>
      <c r="AE458" s="450"/>
      <c r="AF458" s="450"/>
      <c r="AG458" s="450"/>
      <c r="AH458" s="450"/>
      <c r="AI458" s="450"/>
      <c r="AJ458" s="450"/>
      <c r="AK458" s="450"/>
    </row>
    <row r="459">
      <c r="A459" s="450"/>
      <c r="B459" s="450"/>
      <c r="C459" s="455"/>
      <c r="D459" s="450"/>
      <c r="E459" s="450"/>
      <c r="F459" s="450"/>
      <c r="G459" s="450"/>
      <c r="H459" s="450"/>
      <c r="I459" s="450"/>
      <c r="J459" s="450"/>
      <c r="K459" s="450"/>
      <c r="L459" s="450"/>
      <c r="M459" s="450"/>
      <c r="N459" s="450"/>
      <c r="O459" s="450"/>
      <c r="P459" s="450"/>
      <c r="Q459" s="450"/>
      <c r="R459" s="450"/>
      <c r="S459" s="450"/>
      <c r="T459" s="450"/>
      <c r="U459" s="450"/>
      <c r="V459" s="450"/>
      <c r="W459" s="450"/>
      <c r="X459" s="450"/>
      <c r="Y459" s="450"/>
      <c r="Z459" s="450"/>
      <c r="AA459" s="450"/>
      <c r="AB459" s="450"/>
      <c r="AC459" s="450"/>
      <c r="AD459" s="450"/>
      <c r="AE459" s="450"/>
      <c r="AF459" s="450"/>
      <c r="AG459" s="450"/>
      <c r="AH459" s="450"/>
      <c r="AI459" s="450"/>
      <c r="AJ459" s="450"/>
      <c r="AK459" s="450"/>
    </row>
    <row r="460">
      <c r="A460" s="450"/>
      <c r="B460" s="450"/>
      <c r="C460" s="455"/>
      <c r="D460" s="450"/>
      <c r="E460" s="450"/>
      <c r="F460" s="450"/>
      <c r="G460" s="450"/>
      <c r="H460" s="450"/>
      <c r="I460" s="450"/>
      <c r="J460" s="450"/>
      <c r="K460" s="450"/>
      <c r="L460" s="450"/>
      <c r="M460" s="450"/>
      <c r="N460" s="450"/>
      <c r="O460" s="450"/>
      <c r="P460" s="450"/>
      <c r="Q460" s="450"/>
      <c r="R460" s="450"/>
      <c r="S460" s="450"/>
      <c r="T460" s="450"/>
      <c r="U460" s="450"/>
      <c r="V460" s="450"/>
      <c r="W460" s="450"/>
      <c r="X460" s="450"/>
      <c r="Y460" s="450"/>
      <c r="Z460" s="450"/>
      <c r="AA460" s="450"/>
      <c r="AB460" s="450"/>
      <c r="AC460" s="450"/>
      <c r="AD460" s="450"/>
      <c r="AE460" s="450"/>
      <c r="AF460" s="450"/>
      <c r="AG460" s="450"/>
      <c r="AH460" s="450"/>
      <c r="AI460" s="450"/>
      <c r="AJ460" s="450"/>
      <c r="AK460" s="450"/>
    </row>
    <row r="461">
      <c r="A461" s="450"/>
      <c r="B461" s="450"/>
      <c r="C461" s="455"/>
      <c r="D461" s="450"/>
      <c r="E461" s="450"/>
      <c r="F461" s="450"/>
      <c r="G461" s="450"/>
      <c r="H461" s="450"/>
      <c r="I461" s="450"/>
      <c r="J461" s="450"/>
      <c r="K461" s="450"/>
      <c r="L461" s="450"/>
      <c r="M461" s="450"/>
      <c r="N461" s="450"/>
      <c r="O461" s="450"/>
      <c r="P461" s="450"/>
      <c r="Q461" s="450"/>
      <c r="R461" s="450"/>
      <c r="S461" s="450"/>
      <c r="T461" s="450"/>
      <c r="U461" s="450"/>
      <c r="V461" s="450"/>
      <c r="W461" s="450"/>
      <c r="X461" s="450"/>
      <c r="Y461" s="450"/>
      <c r="Z461" s="450"/>
      <c r="AA461" s="450"/>
      <c r="AB461" s="450"/>
      <c r="AC461" s="450"/>
      <c r="AD461" s="450"/>
      <c r="AE461" s="450"/>
      <c r="AF461" s="450"/>
      <c r="AG461" s="450"/>
      <c r="AH461" s="450"/>
      <c r="AI461" s="450"/>
      <c r="AJ461" s="450"/>
      <c r="AK461" s="450"/>
    </row>
    <row r="462">
      <c r="A462" s="450"/>
      <c r="B462" s="450"/>
      <c r="C462" s="455"/>
      <c r="D462" s="450"/>
      <c r="E462" s="450"/>
      <c r="F462" s="450"/>
      <c r="G462" s="450"/>
      <c r="H462" s="450"/>
      <c r="I462" s="450"/>
      <c r="J462" s="450"/>
      <c r="K462" s="450"/>
      <c r="L462" s="450"/>
      <c r="M462" s="450"/>
      <c r="N462" s="450"/>
      <c r="O462" s="450"/>
      <c r="P462" s="450"/>
      <c r="Q462" s="450"/>
      <c r="R462" s="450"/>
      <c r="S462" s="450"/>
      <c r="T462" s="450"/>
      <c r="U462" s="450"/>
      <c r="V462" s="450"/>
      <c r="W462" s="450"/>
      <c r="X462" s="450"/>
      <c r="Y462" s="450"/>
      <c r="Z462" s="450"/>
      <c r="AA462" s="450"/>
      <c r="AB462" s="450"/>
      <c r="AC462" s="450"/>
      <c r="AD462" s="450"/>
      <c r="AE462" s="450"/>
      <c r="AF462" s="450"/>
      <c r="AG462" s="450"/>
      <c r="AH462" s="450"/>
      <c r="AI462" s="450"/>
      <c r="AJ462" s="450"/>
      <c r="AK462" s="450"/>
    </row>
    <row r="463">
      <c r="A463" s="450"/>
      <c r="B463" s="450"/>
      <c r="C463" s="455"/>
      <c r="D463" s="450"/>
      <c r="E463" s="450"/>
      <c r="F463" s="450"/>
      <c r="G463" s="450"/>
      <c r="H463" s="450"/>
      <c r="I463" s="450"/>
      <c r="J463" s="450"/>
      <c r="K463" s="450"/>
      <c r="L463" s="450"/>
      <c r="M463" s="450"/>
      <c r="N463" s="450"/>
      <c r="O463" s="450"/>
      <c r="P463" s="450"/>
      <c r="Q463" s="450"/>
      <c r="R463" s="450"/>
      <c r="S463" s="450"/>
      <c r="T463" s="450"/>
      <c r="U463" s="450"/>
      <c r="V463" s="450"/>
      <c r="W463" s="450"/>
      <c r="X463" s="450"/>
      <c r="Y463" s="450"/>
      <c r="Z463" s="450"/>
      <c r="AA463" s="450"/>
      <c r="AB463" s="450"/>
      <c r="AC463" s="450"/>
      <c r="AD463" s="450"/>
      <c r="AE463" s="450"/>
      <c r="AF463" s="450"/>
      <c r="AG463" s="450"/>
      <c r="AH463" s="450"/>
      <c r="AI463" s="450"/>
      <c r="AJ463" s="450"/>
      <c r="AK463" s="450"/>
    </row>
    <row r="464">
      <c r="A464" s="450"/>
      <c r="B464" s="450"/>
      <c r="C464" s="455"/>
      <c r="D464" s="450"/>
      <c r="E464" s="450"/>
      <c r="F464" s="450"/>
      <c r="G464" s="450"/>
      <c r="H464" s="450"/>
      <c r="I464" s="450"/>
      <c r="J464" s="450"/>
      <c r="K464" s="450"/>
      <c r="L464" s="450"/>
      <c r="M464" s="450"/>
      <c r="N464" s="450"/>
      <c r="O464" s="450"/>
      <c r="P464" s="450"/>
      <c r="Q464" s="450"/>
      <c r="R464" s="450"/>
      <c r="S464" s="450"/>
      <c r="T464" s="450"/>
      <c r="U464" s="450"/>
      <c r="V464" s="450"/>
      <c r="W464" s="450"/>
      <c r="X464" s="450"/>
      <c r="Y464" s="450"/>
      <c r="Z464" s="450"/>
      <c r="AA464" s="450"/>
      <c r="AB464" s="450"/>
      <c r="AC464" s="450"/>
      <c r="AD464" s="450"/>
      <c r="AE464" s="450"/>
      <c r="AF464" s="450"/>
      <c r="AG464" s="450"/>
      <c r="AH464" s="450"/>
      <c r="AI464" s="450"/>
      <c r="AJ464" s="450"/>
      <c r="AK464" s="450"/>
    </row>
    <row r="465">
      <c r="A465" s="450"/>
      <c r="B465" s="450"/>
      <c r="C465" s="455"/>
      <c r="D465" s="450"/>
      <c r="E465" s="450"/>
      <c r="F465" s="450"/>
      <c r="G465" s="450"/>
      <c r="H465" s="450"/>
      <c r="I465" s="450"/>
      <c r="J465" s="450"/>
      <c r="K465" s="450"/>
      <c r="L465" s="450"/>
      <c r="M465" s="450"/>
      <c r="N465" s="450"/>
      <c r="O465" s="450"/>
      <c r="P465" s="450"/>
      <c r="Q465" s="450"/>
      <c r="R465" s="450"/>
      <c r="S465" s="450"/>
      <c r="T465" s="450"/>
      <c r="U465" s="450"/>
      <c r="V465" s="450"/>
      <c r="W465" s="450"/>
      <c r="X465" s="450"/>
      <c r="Y465" s="450"/>
      <c r="Z465" s="450"/>
      <c r="AA465" s="450"/>
      <c r="AB465" s="450"/>
      <c r="AC465" s="450"/>
      <c r="AD465" s="450"/>
      <c r="AE465" s="450"/>
      <c r="AF465" s="450"/>
      <c r="AG465" s="450"/>
      <c r="AH465" s="450"/>
      <c r="AI465" s="450"/>
      <c r="AJ465" s="450"/>
      <c r="AK465" s="450"/>
    </row>
    <row r="466">
      <c r="A466" s="450"/>
      <c r="B466" s="450"/>
      <c r="C466" s="455"/>
      <c r="D466" s="450"/>
      <c r="E466" s="450"/>
      <c r="F466" s="450"/>
      <c r="G466" s="450"/>
      <c r="H466" s="450"/>
      <c r="I466" s="450"/>
      <c r="J466" s="450"/>
      <c r="K466" s="450"/>
      <c r="L466" s="450"/>
      <c r="M466" s="450"/>
      <c r="N466" s="450"/>
      <c r="O466" s="450"/>
      <c r="P466" s="450"/>
      <c r="Q466" s="450"/>
      <c r="R466" s="450"/>
      <c r="S466" s="450"/>
      <c r="T466" s="450"/>
      <c r="U466" s="450"/>
      <c r="V466" s="450"/>
      <c r="W466" s="450"/>
      <c r="X466" s="450"/>
      <c r="Y466" s="450"/>
      <c r="Z466" s="450"/>
      <c r="AA466" s="450"/>
      <c r="AB466" s="450"/>
      <c r="AC466" s="450"/>
      <c r="AD466" s="450"/>
      <c r="AE466" s="450"/>
      <c r="AF466" s="450"/>
      <c r="AG466" s="450"/>
      <c r="AH466" s="450"/>
      <c r="AI466" s="450"/>
      <c r="AJ466" s="450"/>
      <c r="AK466" s="450"/>
    </row>
    <row r="467">
      <c r="A467" s="450"/>
      <c r="B467" s="450"/>
      <c r="C467" s="455"/>
      <c r="D467" s="450"/>
      <c r="E467" s="450"/>
      <c r="F467" s="450"/>
      <c r="G467" s="450"/>
      <c r="H467" s="450"/>
      <c r="I467" s="450"/>
      <c r="J467" s="450"/>
      <c r="K467" s="450"/>
      <c r="L467" s="450"/>
      <c r="M467" s="450"/>
      <c r="N467" s="450"/>
      <c r="O467" s="450"/>
      <c r="P467" s="450"/>
      <c r="Q467" s="450"/>
      <c r="R467" s="450"/>
      <c r="S467" s="450"/>
      <c r="T467" s="450"/>
      <c r="U467" s="450"/>
      <c r="V467" s="450"/>
      <c r="W467" s="450"/>
      <c r="X467" s="450"/>
      <c r="Y467" s="450"/>
      <c r="Z467" s="450"/>
      <c r="AA467" s="450"/>
      <c r="AB467" s="450"/>
      <c r="AC467" s="450"/>
      <c r="AD467" s="450"/>
      <c r="AE467" s="450"/>
      <c r="AF467" s="450"/>
      <c r="AG467" s="450"/>
      <c r="AH467" s="450"/>
      <c r="AI467" s="450"/>
      <c r="AJ467" s="450"/>
      <c r="AK467" s="450"/>
    </row>
    <row r="468">
      <c r="A468" s="450"/>
      <c r="B468" s="450"/>
      <c r="C468" s="455"/>
      <c r="D468" s="450"/>
      <c r="E468" s="450"/>
      <c r="F468" s="450"/>
      <c r="G468" s="450"/>
      <c r="H468" s="450"/>
      <c r="I468" s="450"/>
      <c r="J468" s="450"/>
      <c r="K468" s="450"/>
      <c r="L468" s="450"/>
      <c r="M468" s="450"/>
      <c r="N468" s="450"/>
      <c r="O468" s="450"/>
      <c r="P468" s="450"/>
      <c r="Q468" s="450"/>
      <c r="R468" s="450"/>
      <c r="S468" s="450"/>
      <c r="T468" s="450"/>
      <c r="U468" s="450"/>
      <c r="V468" s="450"/>
      <c r="W468" s="450"/>
      <c r="X468" s="450"/>
      <c r="Y468" s="450"/>
      <c r="Z468" s="450"/>
      <c r="AA468" s="450"/>
      <c r="AB468" s="450"/>
      <c r="AC468" s="450"/>
      <c r="AD468" s="450"/>
      <c r="AE468" s="450"/>
      <c r="AF468" s="450"/>
      <c r="AG468" s="450"/>
      <c r="AH468" s="450"/>
      <c r="AI468" s="450"/>
      <c r="AJ468" s="450"/>
      <c r="AK468" s="450"/>
    </row>
    <row r="469">
      <c r="A469" s="450"/>
      <c r="B469" s="450"/>
      <c r="C469" s="455"/>
      <c r="D469" s="450"/>
      <c r="E469" s="450"/>
      <c r="F469" s="450"/>
      <c r="G469" s="450"/>
      <c r="H469" s="450"/>
      <c r="I469" s="450"/>
      <c r="J469" s="450"/>
      <c r="K469" s="450"/>
      <c r="L469" s="450"/>
      <c r="M469" s="450"/>
      <c r="N469" s="450"/>
      <c r="O469" s="450"/>
      <c r="P469" s="450"/>
      <c r="Q469" s="450"/>
      <c r="R469" s="450"/>
      <c r="S469" s="450"/>
      <c r="T469" s="450"/>
      <c r="U469" s="450"/>
      <c r="V469" s="450"/>
      <c r="W469" s="450"/>
      <c r="X469" s="450"/>
      <c r="Y469" s="450"/>
      <c r="Z469" s="450"/>
      <c r="AA469" s="450"/>
      <c r="AB469" s="450"/>
      <c r="AC469" s="450"/>
      <c r="AD469" s="450"/>
      <c r="AE469" s="450"/>
      <c r="AF469" s="450"/>
      <c r="AG469" s="450"/>
      <c r="AH469" s="450"/>
      <c r="AI469" s="450"/>
      <c r="AJ469" s="450"/>
      <c r="AK469" s="450"/>
    </row>
    <row r="470">
      <c r="A470" s="450"/>
      <c r="B470" s="450"/>
      <c r="C470" s="455"/>
      <c r="D470" s="450"/>
      <c r="E470" s="450"/>
      <c r="F470" s="450"/>
      <c r="G470" s="450"/>
      <c r="H470" s="450"/>
      <c r="I470" s="450"/>
      <c r="J470" s="450"/>
      <c r="K470" s="450"/>
      <c r="L470" s="450"/>
      <c r="M470" s="450"/>
      <c r="N470" s="450"/>
      <c r="O470" s="450"/>
      <c r="P470" s="450"/>
      <c r="Q470" s="450"/>
      <c r="R470" s="450"/>
      <c r="S470" s="450"/>
      <c r="T470" s="450"/>
      <c r="U470" s="450"/>
      <c r="V470" s="450"/>
      <c r="W470" s="450"/>
      <c r="X470" s="450"/>
      <c r="Y470" s="450"/>
      <c r="Z470" s="450"/>
      <c r="AA470" s="450"/>
      <c r="AB470" s="450"/>
      <c r="AC470" s="450"/>
      <c r="AD470" s="450"/>
      <c r="AE470" s="450"/>
      <c r="AF470" s="450"/>
      <c r="AG470" s="450"/>
      <c r="AH470" s="450"/>
      <c r="AI470" s="450"/>
      <c r="AJ470" s="450"/>
      <c r="AK470" s="450"/>
    </row>
    <row r="471">
      <c r="A471" s="450"/>
      <c r="B471" s="450"/>
      <c r="C471" s="455"/>
      <c r="D471" s="450"/>
      <c r="E471" s="450"/>
      <c r="F471" s="450"/>
      <c r="G471" s="450"/>
      <c r="H471" s="450"/>
      <c r="I471" s="450"/>
      <c r="J471" s="450"/>
      <c r="K471" s="450"/>
      <c r="L471" s="450"/>
      <c r="M471" s="450"/>
      <c r="N471" s="450"/>
      <c r="O471" s="450"/>
      <c r="P471" s="450"/>
      <c r="Q471" s="450"/>
      <c r="R471" s="450"/>
      <c r="S471" s="450"/>
      <c r="T471" s="450"/>
      <c r="U471" s="450"/>
      <c r="V471" s="450"/>
      <c r="W471" s="450"/>
      <c r="X471" s="450"/>
      <c r="Y471" s="450"/>
      <c r="Z471" s="450"/>
      <c r="AA471" s="450"/>
      <c r="AB471" s="450"/>
      <c r="AC471" s="450"/>
      <c r="AD471" s="450"/>
      <c r="AE471" s="450"/>
      <c r="AF471" s="450"/>
      <c r="AG471" s="450"/>
      <c r="AH471" s="450"/>
      <c r="AI471" s="450"/>
      <c r="AJ471" s="450"/>
      <c r="AK471" s="450"/>
    </row>
    <row r="472">
      <c r="A472" s="450"/>
      <c r="B472" s="450"/>
      <c r="C472" s="455"/>
      <c r="D472" s="450"/>
      <c r="E472" s="450"/>
      <c r="F472" s="450"/>
      <c r="G472" s="450"/>
      <c r="H472" s="450"/>
      <c r="I472" s="450"/>
      <c r="J472" s="450"/>
      <c r="K472" s="450"/>
      <c r="L472" s="450"/>
      <c r="M472" s="450"/>
      <c r="N472" s="450"/>
      <c r="O472" s="450"/>
      <c r="P472" s="450"/>
      <c r="Q472" s="450"/>
      <c r="R472" s="450"/>
      <c r="S472" s="450"/>
      <c r="T472" s="450"/>
      <c r="U472" s="450"/>
      <c r="V472" s="450"/>
      <c r="W472" s="450"/>
      <c r="X472" s="450"/>
      <c r="Y472" s="450"/>
      <c r="Z472" s="450"/>
      <c r="AA472" s="450"/>
      <c r="AB472" s="450"/>
      <c r="AC472" s="450"/>
      <c r="AD472" s="450"/>
      <c r="AE472" s="450"/>
      <c r="AF472" s="450"/>
      <c r="AG472" s="450"/>
      <c r="AH472" s="450"/>
      <c r="AI472" s="450"/>
      <c r="AJ472" s="450"/>
      <c r="AK472" s="450"/>
    </row>
    <row r="473">
      <c r="A473" s="450"/>
      <c r="B473" s="450"/>
      <c r="C473" s="455"/>
      <c r="D473" s="450"/>
      <c r="E473" s="450"/>
      <c r="F473" s="450"/>
      <c r="G473" s="450"/>
      <c r="H473" s="450"/>
      <c r="I473" s="450"/>
      <c r="J473" s="450"/>
      <c r="K473" s="450"/>
      <c r="L473" s="450"/>
      <c r="M473" s="450"/>
      <c r="N473" s="450"/>
      <c r="O473" s="450"/>
      <c r="P473" s="450"/>
      <c r="Q473" s="450"/>
      <c r="R473" s="450"/>
      <c r="S473" s="450"/>
      <c r="T473" s="450"/>
      <c r="U473" s="450"/>
      <c r="V473" s="450"/>
      <c r="W473" s="450"/>
      <c r="X473" s="450"/>
      <c r="Y473" s="450"/>
      <c r="Z473" s="450"/>
      <c r="AA473" s="450"/>
      <c r="AB473" s="450"/>
      <c r="AC473" s="450"/>
      <c r="AD473" s="450"/>
      <c r="AE473" s="450"/>
      <c r="AF473" s="450"/>
      <c r="AG473" s="450"/>
      <c r="AH473" s="450"/>
      <c r="AI473" s="450"/>
      <c r="AJ473" s="450"/>
      <c r="AK473" s="450"/>
    </row>
    <row r="474">
      <c r="A474" s="450"/>
      <c r="B474" s="450"/>
      <c r="C474" s="455"/>
      <c r="D474" s="450"/>
      <c r="E474" s="450"/>
      <c r="F474" s="450"/>
      <c r="G474" s="450"/>
      <c r="H474" s="450"/>
      <c r="I474" s="450"/>
      <c r="J474" s="450"/>
      <c r="K474" s="450"/>
      <c r="L474" s="450"/>
      <c r="M474" s="450"/>
      <c r="N474" s="450"/>
      <c r="O474" s="450"/>
      <c r="P474" s="450"/>
      <c r="Q474" s="450"/>
      <c r="R474" s="450"/>
      <c r="S474" s="450"/>
      <c r="T474" s="450"/>
      <c r="U474" s="450"/>
      <c r="V474" s="450"/>
      <c r="W474" s="450"/>
      <c r="X474" s="450"/>
      <c r="Y474" s="450"/>
      <c r="Z474" s="450"/>
      <c r="AA474" s="450"/>
      <c r="AB474" s="450"/>
      <c r="AC474" s="450"/>
      <c r="AD474" s="450"/>
      <c r="AE474" s="450"/>
      <c r="AF474" s="450"/>
      <c r="AG474" s="450"/>
      <c r="AH474" s="450"/>
      <c r="AI474" s="450"/>
      <c r="AJ474" s="450"/>
      <c r="AK474" s="450"/>
    </row>
    <row r="475">
      <c r="A475" s="450"/>
      <c r="B475" s="450"/>
      <c r="C475" s="455"/>
      <c r="D475" s="450"/>
      <c r="E475" s="450"/>
      <c r="F475" s="450"/>
      <c r="G475" s="450"/>
      <c r="H475" s="450"/>
      <c r="I475" s="450"/>
      <c r="J475" s="450"/>
      <c r="K475" s="450"/>
      <c r="L475" s="450"/>
      <c r="M475" s="450"/>
      <c r="N475" s="450"/>
      <c r="O475" s="450"/>
      <c r="P475" s="450"/>
      <c r="Q475" s="450"/>
      <c r="R475" s="450"/>
      <c r="S475" s="450"/>
      <c r="T475" s="450"/>
      <c r="U475" s="450"/>
      <c r="V475" s="450"/>
      <c r="W475" s="450"/>
      <c r="X475" s="450"/>
      <c r="Y475" s="450"/>
      <c r="Z475" s="450"/>
      <c r="AA475" s="450"/>
      <c r="AB475" s="450"/>
      <c r="AC475" s="450"/>
      <c r="AD475" s="450"/>
      <c r="AE475" s="450"/>
      <c r="AF475" s="450"/>
      <c r="AG475" s="450"/>
      <c r="AH475" s="450"/>
      <c r="AI475" s="450"/>
      <c r="AJ475" s="450"/>
      <c r="AK475" s="450"/>
    </row>
    <row r="476">
      <c r="A476" s="450"/>
      <c r="B476" s="450"/>
      <c r="C476" s="455"/>
      <c r="D476" s="450"/>
      <c r="E476" s="450"/>
      <c r="F476" s="450"/>
      <c r="G476" s="450"/>
      <c r="H476" s="450"/>
      <c r="I476" s="450"/>
      <c r="J476" s="450"/>
      <c r="K476" s="450"/>
      <c r="L476" s="450"/>
      <c r="M476" s="450"/>
      <c r="N476" s="450"/>
      <c r="O476" s="450"/>
      <c r="P476" s="450"/>
      <c r="Q476" s="450"/>
      <c r="R476" s="450"/>
      <c r="S476" s="450"/>
      <c r="T476" s="450"/>
      <c r="U476" s="450"/>
      <c r="V476" s="450"/>
      <c r="W476" s="450"/>
      <c r="X476" s="450"/>
      <c r="Y476" s="450"/>
      <c r="Z476" s="450"/>
      <c r="AA476" s="450"/>
      <c r="AB476" s="450"/>
      <c r="AC476" s="450"/>
      <c r="AD476" s="450"/>
      <c r="AE476" s="450"/>
      <c r="AF476" s="450"/>
      <c r="AG476" s="450"/>
      <c r="AH476" s="450"/>
      <c r="AI476" s="450"/>
      <c r="AJ476" s="450"/>
      <c r="AK476" s="450"/>
    </row>
    <row r="477">
      <c r="A477" s="450"/>
      <c r="B477" s="450"/>
      <c r="C477" s="455"/>
      <c r="D477" s="450"/>
      <c r="E477" s="450"/>
      <c r="F477" s="450"/>
      <c r="G477" s="450"/>
      <c r="H477" s="450"/>
      <c r="I477" s="450"/>
      <c r="J477" s="450"/>
      <c r="K477" s="450"/>
      <c r="L477" s="450"/>
      <c r="M477" s="450"/>
      <c r="N477" s="450"/>
      <c r="O477" s="450"/>
      <c r="P477" s="450"/>
      <c r="Q477" s="450"/>
      <c r="R477" s="450"/>
      <c r="S477" s="450"/>
      <c r="T477" s="450"/>
      <c r="U477" s="450"/>
      <c r="V477" s="450"/>
      <c r="W477" s="450"/>
      <c r="X477" s="450"/>
      <c r="Y477" s="450"/>
      <c r="Z477" s="450"/>
      <c r="AA477" s="450"/>
      <c r="AB477" s="450"/>
      <c r="AC477" s="450"/>
      <c r="AD477" s="450"/>
      <c r="AE477" s="450"/>
      <c r="AF477" s="450"/>
      <c r="AG477" s="450"/>
      <c r="AH477" s="450"/>
      <c r="AI477" s="450"/>
      <c r="AJ477" s="450"/>
      <c r="AK477" s="450"/>
    </row>
    <row r="478">
      <c r="A478" s="450"/>
      <c r="B478" s="450"/>
      <c r="C478" s="455"/>
      <c r="D478" s="450"/>
      <c r="E478" s="450"/>
      <c r="F478" s="450"/>
      <c r="G478" s="450"/>
      <c r="H478" s="450"/>
      <c r="I478" s="450"/>
      <c r="J478" s="450"/>
      <c r="K478" s="450"/>
      <c r="L478" s="450"/>
      <c r="M478" s="450"/>
      <c r="N478" s="450"/>
      <c r="O478" s="450"/>
      <c r="P478" s="450"/>
      <c r="Q478" s="450"/>
      <c r="R478" s="450"/>
      <c r="S478" s="450"/>
      <c r="T478" s="450"/>
      <c r="U478" s="450"/>
      <c r="V478" s="450"/>
      <c r="W478" s="450"/>
      <c r="X478" s="450"/>
      <c r="Y478" s="450"/>
      <c r="Z478" s="450"/>
      <c r="AA478" s="450"/>
      <c r="AB478" s="450"/>
      <c r="AC478" s="450"/>
      <c r="AD478" s="450"/>
      <c r="AE478" s="450"/>
      <c r="AF478" s="450"/>
      <c r="AG478" s="450"/>
      <c r="AH478" s="450"/>
      <c r="AI478" s="450"/>
      <c r="AJ478" s="450"/>
      <c r="AK478" s="450"/>
    </row>
    <row r="479">
      <c r="A479" s="450"/>
      <c r="B479" s="450"/>
      <c r="C479" s="455"/>
      <c r="D479" s="450"/>
      <c r="E479" s="450"/>
      <c r="F479" s="450"/>
      <c r="G479" s="450"/>
      <c r="H479" s="450"/>
      <c r="I479" s="450"/>
      <c r="J479" s="450"/>
      <c r="K479" s="450"/>
      <c r="L479" s="450"/>
      <c r="M479" s="450"/>
      <c r="N479" s="450"/>
      <c r="O479" s="450"/>
      <c r="P479" s="450"/>
      <c r="Q479" s="450"/>
      <c r="R479" s="450"/>
      <c r="S479" s="450"/>
      <c r="T479" s="450"/>
      <c r="U479" s="450"/>
      <c r="V479" s="450"/>
      <c r="W479" s="450"/>
      <c r="X479" s="450"/>
      <c r="Y479" s="450"/>
      <c r="Z479" s="450"/>
      <c r="AA479" s="450"/>
      <c r="AB479" s="450"/>
      <c r="AC479" s="450"/>
      <c r="AD479" s="450"/>
      <c r="AE479" s="450"/>
      <c r="AF479" s="450"/>
      <c r="AG479" s="450"/>
      <c r="AH479" s="450"/>
      <c r="AI479" s="450"/>
      <c r="AJ479" s="450"/>
      <c r="AK479" s="450"/>
    </row>
    <row r="480">
      <c r="A480" s="450"/>
      <c r="B480" s="450"/>
      <c r="C480" s="455"/>
      <c r="D480" s="450"/>
      <c r="E480" s="450"/>
      <c r="F480" s="450"/>
      <c r="G480" s="450"/>
      <c r="H480" s="450"/>
      <c r="I480" s="450"/>
      <c r="J480" s="450"/>
      <c r="K480" s="450"/>
      <c r="L480" s="450"/>
      <c r="M480" s="450"/>
      <c r="N480" s="450"/>
      <c r="O480" s="450"/>
      <c r="P480" s="450"/>
      <c r="Q480" s="450"/>
      <c r="R480" s="450"/>
      <c r="S480" s="450"/>
      <c r="T480" s="450"/>
      <c r="U480" s="450"/>
      <c r="V480" s="450"/>
      <c r="W480" s="450"/>
      <c r="X480" s="450"/>
      <c r="Y480" s="450"/>
      <c r="Z480" s="450"/>
      <c r="AA480" s="450"/>
      <c r="AB480" s="450"/>
      <c r="AC480" s="450"/>
      <c r="AD480" s="450"/>
      <c r="AE480" s="450"/>
      <c r="AF480" s="450"/>
      <c r="AG480" s="450"/>
      <c r="AH480" s="450"/>
      <c r="AI480" s="450"/>
      <c r="AJ480" s="450"/>
      <c r="AK480" s="450"/>
    </row>
    <row r="481">
      <c r="A481" s="450"/>
      <c r="B481" s="450"/>
      <c r="C481" s="455"/>
      <c r="D481" s="450"/>
      <c r="E481" s="450"/>
      <c r="F481" s="450"/>
      <c r="G481" s="450"/>
      <c r="H481" s="450"/>
      <c r="I481" s="450"/>
      <c r="J481" s="450"/>
      <c r="K481" s="450"/>
      <c r="L481" s="450"/>
      <c r="M481" s="450"/>
      <c r="N481" s="450"/>
      <c r="O481" s="450"/>
      <c r="P481" s="450"/>
      <c r="Q481" s="450"/>
      <c r="R481" s="450"/>
      <c r="S481" s="450"/>
      <c r="T481" s="450"/>
      <c r="U481" s="450"/>
      <c r="V481" s="450"/>
      <c r="W481" s="450"/>
      <c r="X481" s="450"/>
      <c r="Y481" s="450"/>
      <c r="Z481" s="450"/>
      <c r="AA481" s="450"/>
      <c r="AB481" s="450"/>
      <c r="AC481" s="450"/>
      <c r="AD481" s="450"/>
      <c r="AE481" s="450"/>
      <c r="AF481" s="450"/>
      <c r="AG481" s="450"/>
      <c r="AH481" s="450"/>
      <c r="AI481" s="450"/>
      <c r="AJ481" s="450"/>
      <c r="AK481" s="450"/>
    </row>
    <row r="482">
      <c r="A482" s="450"/>
      <c r="B482" s="450"/>
      <c r="C482" s="455"/>
      <c r="D482" s="450"/>
      <c r="E482" s="450"/>
      <c r="F482" s="450"/>
      <c r="G482" s="450"/>
      <c r="H482" s="450"/>
      <c r="I482" s="450"/>
      <c r="J482" s="450"/>
      <c r="K482" s="450"/>
      <c r="L482" s="450"/>
      <c r="M482" s="450"/>
      <c r="N482" s="450"/>
      <c r="O482" s="450"/>
      <c r="P482" s="450"/>
      <c r="Q482" s="450"/>
      <c r="R482" s="450"/>
      <c r="S482" s="450"/>
      <c r="T482" s="450"/>
      <c r="U482" s="450"/>
      <c r="V482" s="450"/>
      <c r="W482" s="450"/>
      <c r="X482" s="450"/>
      <c r="Y482" s="450"/>
      <c r="Z482" s="450"/>
      <c r="AA482" s="450"/>
      <c r="AB482" s="450"/>
      <c r="AC482" s="450"/>
      <c r="AD482" s="450"/>
      <c r="AE482" s="450"/>
      <c r="AF482" s="450"/>
      <c r="AG482" s="450"/>
      <c r="AH482" s="450"/>
      <c r="AI482" s="450"/>
      <c r="AJ482" s="450"/>
      <c r="AK482" s="450"/>
    </row>
    <row r="483">
      <c r="A483" s="450"/>
      <c r="B483" s="450"/>
      <c r="C483" s="455"/>
      <c r="D483" s="450"/>
      <c r="E483" s="450"/>
      <c r="F483" s="450"/>
      <c r="G483" s="450"/>
      <c r="H483" s="450"/>
      <c r="I483" s="450"/>
      <c r="J483" s="450"/>
      <c r="K483" s="450"/>
      <c r="L483" s="450"/>
      <c r="M483" s="450"/>
      <c r="N483" s="450"/>
      <c r="O483" s="450"/>
      <c r="P483" s="450"/>
      <c r="Q483" s="450"/>
      <c r="R483" s="450"/>
      <c r="S483" s="450"/>
      <c r="T483" s="450"/>
      <c r="U483" s="450"/>
      <c r="V483" s="450"/>
      <c r="W483" s="450"/>
      <c r="X483" s="450"/>
      <c r="Y483" s="450"/>
      <c r="Z483" s="450"/>
      <c r="AA483" s="450"/>
      <c r="AB483" s="450"/>
      <c r="AC483" s="450"/>
      <c r="AD483" s="450"/>
      <c r="AE483" s="450"/>
      <c r="AF483" s="450"/>
      <c r="AG483" s="450"/>
      <c r="AH483" s="450"/>
      <c r="AI483" s="450"/>
      <c r="AJ483" s="450"/>
      <c r="AK483" s="450"/>
    </row>
    <row r="484">
      <c r="A484" s="450"/>
      <c r="B484" s="450"/>
      <c r="C484" s="455"/>
      <c r="D484" s="450"/>
      <c r="E484" s="450"/>
      <c r="F484" s="450"/>
      <c r="G484" s="450"/>
      <c r="H484" s="450"/>
      <c r="I484" s="450"/>
      <c r="J484" s="450"/>
      <c r="K484" s="450"/>
      <c r="L484" s="450"/>
      <c r="M484" s="450"/>
      <c r="N484" s="450"/>
      <c r="O484" s="450"/>
      <c r="P484" s="450"/>
      <c r="Q484" s="450"/>
      <c r="R484" s="450"/>
      <c r="S484" s="450"/>
      <c r="T484" s="450"/>
      <c r="U484" s="450"/>
      <c r="V484" s="450"/>
      <c r="W484" s="450"/>
      <c r="X484" s="450"/>
      <c r="Y484" s="450"/>
      <c r="Z484" s="450"/>
      <c r="AA484" s="450"/>
      <c r="AB484" s="450"/>
      <c r="AC484" s="450"/>
      <c r="AD484" s="450"/>
      <c r="AE484" s="450"/>
      <c r="AF484" s="450"/>
      <c r="AG484" s="450"/>
      <c r="AH484" s="450"/>
      <c r="AI484" s="450"/>
      <c r="AJ484" s="450"/>
      <c r="AK484" s="450"/>
    </row>
    <row r="485">
      <c r="A485" s="450"/>
      <c r="B485" s="450"/>
      <c r="C485" s="455"/>
      <c r="D485" s="450"/>
      <c r="E485" s="450"/>
      <c r="F485" s="450"/>
      <c r="G485" s="450"/>
      <c r="H485" s="450"/>
      <c r="I485" s="450"/>
      <c r="J485" s="450"/>
      <c r="K485" s="450"/>
      <c r="L485" s="450"/>
      <c r="M485" s="450"/>
      <c r="N485" s="450"/>
      <c r="O485" s="450"/>
      <c r="P485" s="450"/>
      <c r="Q485" s="450"/>
      <c r="R485" s="450"/>
      <c r="S485" s="450"/>
      <c r="T485" s="450"/>
      <c r="U485" s="450"/>
      <c r="V485" s="450"/>
      <c r="W485" s="450"/>
      <c r="X485" s="450"/>
      <c r="Y485" s="450"/>
      <c r="Z485" s="450"/>
      <c r="AA485" s="450"/>
      <c r="AB485" s="450"/>
      <c r="AC485" s="450"/>
      <c r="AD485" s="450"/>
      <c r="AE485" s="450"/>
      <c r="AF485" s="450"/>
      <c r="AG485" s="450"/>
      <c r="AH485" s="450"/>
      <c r="AI485" s="450"/>
      <c r="AJ485" s="450"/>
      <c r="AK485" s="450"/>
    </row>
    <row r="486">
      <c r="A486" s="450"/>
      <c r="B486" s="450"/>
      <c r="C486" s="455"/>
      <c r="D486" s="450"/>
      <c r="E486" s="450"/>
      <c r="F486" s="450"/>
      <c r="G486" s="450"/>
      <c r="H486" s="450"/>
      <c r="I486" s="450"/>
      <c r="J486" s="450"/>
      <c r="K486" s="450"/>
      <c r="L486" s="450"/>
      <c r="M486" s="450"/>
      <c r="N486" s="450"/>
      <c r="O486" s="450"/>
      <c r="P486" s="450"/>
      <c r="Q486" s="450"/>
      <c r="R486" s="450"/>
      <c r="S486" s="450"/>
      <c r="T486" s="450"/>
      <c r="U486" s="450"/>
      <c r="V486" s="450"/>
      <c r="W486" s="450"/>
      <c r="X486" s="450"/>
      <c r="Y486" s="450"/>
      <c r="Z486" s="450"/>
      <c r="AA486" s="450"/>
      <c r="AB486" s="450"/>
      <c r="AC486" s="450"/>
      <c r="AD486" s="450"/>
      <c r="AE486" s="450"/>
      <c r="AF486" s="450"/>
      <c r="AG486" s="450"/>
      <c r="AH486" s="450"/>
      <c r="AI486" s="450"/>
      <c r="AJ486" s="450"/>
      <c r="AK486" s="450"/>
    </row>
    <row r="487">
      <c r="A487" s="450"/>
      <c r="B487" s="450"/>
      <c r="C487" s="455"/>
      <c r="D487" s="450"/>
      <c r="E487" s="450"/>
      <c r="F487" s="450"/>
      <c r="G487" s="450"/>
      <c r="H487" s="450"/>
      <c r="I487" s="450"/>
      <c r="J487" s="450"/>
      <c r="K487" s="450"/>
      <c r="L487" s="450"/>
      <c r="M487" s="450"/>
      <c r="N487" s="450"/>
      <c r="O487" s="450"/>
      <c r="P487" s="450"/>
      <c r="Q487" s="450"/>
      <c r="R487" s="450"/>
      <c r="S487" s="450"/>
      <c r="T487" s="450"/>
      <c r="U487" s="450"/>
      <c r="V487" s="450"/>
      <c r="W487" s="450"/>
      <c r="X487" s="450"/>
      <c r="Y487" s="450"/>
      <c r="Z487" s="450"/>
      <c r="AA487" s="450"/>
      <c r="AB487" s="450"/>
      <c r="AC487" s="450"/>
      <c r="AD487" s="450"/>
      <c r="AE487" s="450"/>
      <c r="AF487" s="450"/>
      <c r="AG487" s="450"/>
      <c r="AH487" s="450"/>
      <c r="AI487" s="450"/>
      <c r="AJ487" s="450"/>
      <c r="AK487" s="450"/>
    </row>
    <row r="488">
      <c r="A488" s="450"/>
      <c r="B488" s="450"/>
      <c r="C488" s="455"/>
      <c r="D488" s="450"/>
      <c r="E488" s="450"/>
      <c r="F488" s="450"/>
      <c r="G488" s="450"/>
      <c r="H488" s="450"/>
      <c r="I488" s="450"/>
      <c r="J488" s="450"/>
      <c r="K488" s="450"/>
      <c r="L488" s="450"/>
      <c r="M488" s="450"/>
      <c r="N488" s="450"/>
      <c r="O488" s="450"/>
      <c r="P488" s="450"/>
      <c r="Q488" s="450"/>
      <c r="R488" s="450"/>
      <c r="S488" s="450"/>
      <c r="T488" s="450"/>
      <c r="U488" s="450"/>
      <c r="V488" s="450"/>
      <c r="W488" s="450"/>
      <c r="X488" s="450"/>
      <c r="Y488" s="450"/>
      <c r="Z488" s="450"/>
      <c r="AA488" s="450"/>
      <c r="AB488" s="450"/>
      <c r="AC488" s="450"/>
      <c r="AD488" s="450"/>
      <c r="AE488" s="450"/>
      <c r="AF488" s="450"/>
      <c r="AG488" s="450"/>
      <c r="AH488" s="450"/>
      <c r="AI488" s="450"/>
      <c r="AJ488" s="450"/>
      <c r="AK488" s="450"/>
    </row>
    <row r="489">
      <c r="A489" s="450"/>
      <c r="B489" s="450"/>
      <c r="C489" s="455"/>
      <c r="D489" s="450"/>
      <c r="E489" s="450"/>
      <c r="F489" s="450"/>
      <c r="G489" s="450"/>
      <c r="H489" s="450"/>
      <c r="I489" s="450"/>
      <c r="J489" s="450"/>
      <c r="K489" s="450"/>
      <c r="L489" s="450"/>
      <c r="M489" s="450"/>
      <c r="N489" s="450"/>
      <c r="O489" s="450"/>
      <c r="P489" s="450"/>
      <c r="Q489" s="450"/>
      <c r="R489" s="450"/>
      <c r="S489" s="450"/>
      <c r="T489" s="450"/>
      <c r="U489" s="450"/>
      <c r="V489" s="450"/>
      <c r="W489" s="450"/>
      <c r="X489" s="450"/>
      <c r="Y489" s="450"/>
      <c r="Z489" s="450"/>
      <c r="AA489" s="450"/>
      <c r="AB489" s="450"/>
      <c r="AC489" s="450"/>
      <c r="AD489" s="450"/>
      <c r="AE489" s="450"/>
      <c r="AF489" s="450"/>
      <c r="AG489" s="450"/>
      <c r="AH489" s="450"/>
      <c r="AI489" s="450"/>
      <c r="AJ489" s="450"/>
      <c r="AK489" s="450"/>
    </row>
    <row r="490">
      <c r="A490" s="450"/>
      <c r="B490" s="450"/>
      <c r="C490" s="455"/>
      <c r="D490" s="450"/>
      <c r="E490" s="450"/>
      <c r="F490" s="450"/>
      <c r="G490" s="450"/>
      <c r="H490" s="450"/>
      <c r="I490" s="450"/>
      <c r="J490" s="450"/>
      <c r="K490" s="450"/>
      <c r="L490" s="450"/>
      <c r="M490" s="450"/>
      <c r="N490" s="450"/>
      <c r="O490" s="450"/>
      <c r="P490" s="450"/>
      <c r="Q490" s="450"/>
      <c r="R490" s="450"/>
      <c r="S490" s="450"/>
      <c r="T490" s="450"/>
      <c r="U490" s="450"/>
      <c r="V490" s="450"/>
      <c r="W490" s="450"/>
      <c r="X490" s="450"/>
      <c r="Y490" s="450"/>
      <c r="Z490" s="450"/>
      <c r="AA490" s="450"/>
      <c r="AB490" s="450"/>
      <c r="AC490" s="450"/>
      <c r="AD490" s="450"/>
      <c r="AE490" s="450"/>
      <c r="AF490" s="450"/>
      <c r="AG490" s="450"/>
      <c r="AH490" s="450"/>
      <c r="AI490" s="450"/>
      <c r="AJ490" s="450"/>
      <c r="AK490" s="450"/>
    </row>
    <row r="491">
      <c r="A491" s="450"/>
      <c r="B491" s="450"/>
      <c r="C491" s="455"/>
      <c r="D491" s="450"/>
      <c r="E491" s="450"/>
      <c r="F491" s="450"/>
      <c r="G491" s="450"/>
      <c r="H491" s="450"/>
      <c r="I491" s="450"/>
      <c r="J491" s="450"/>
      <c r="K491" s="450"/>
      <c r="L491" s="450"/>
      <c r="M491" s="450"/>
      <c r="N491" s="450"/>
      <c r="O491" s="450"/>
      <c r="P491" s="450"/>
      <c r="Q491" s="450"/>
      <c r="R491" s="450"/>
      <c r="S491" s="450"/>
      <c r="T491" s="450"/>
      <c r="U491" s="450"/>
      <c r="V491" s="450"/>
      <c r="W491" s="450"/>
      <c r="X491" s="450"/>
      <c r="Y491" s="450"/>
      <c r="Z491" s="450"/>
      <c r="AA491" s="450"/>
      <c r="AB491" s="450"/>
      <c r="AC491" s="450"/>
      <c r="AD491" s="450"/>
      <c r="AE491" s="450"/>
      <c r="AF491" s="450"/>
      <c r="AG491" s="450"/>
      <c r="AH491" s="450"/>
      <c r="AI491" s="450"/>
      <c r="AJ491" s="450"/>
      <c r="AK491" s="450"/>
    </row>
    <row r="492">
      <c r="A492" s="450"/>
      <c r="B492" s="450"/>
      <c r="C492" s="455"/>
      <c r="D492" s="450"/>
      <c r="E492" s="450"/>
      <c r="F492" s="450"/>
      <c r="G492" s="450"/>
      <c r="H492" s="450"/>
      <c r="I492" s="450"/>
      <c r="J492" s="450"/>
      <c r="K492" s="450"/>
      <c r="L492" s="450"/>
      <c r="M492" s="450"/>
      <c r="N492" s="450"/>
      <c r="O492" s="450"/>
      <c r="P492" s="450"/>
      <c r="Q492" s="450"/>
      <c r="R492" s="450"/>
      <c r="S492" s="450"/>
      <c r="T492" s="450"/>
      <c r="U492" s="450"/>
      <c r="V492" s="450"/>
      <c r="W492" s="450"/>
      <c r="X492" s="450"/>
      <c r="Y492" s="450"/>
      <c r="Z492" s="450"/>
      <c r="AA492" s="450"/>
      <c r="AB492" s="450"/>
      <c r="AC492" s="450"/>
      <c r="AD492" s="450"/>
      <c r="AE492" s="450"/>
      <c r="AF492" s="450"/>
      <c r="AG492" s="450"/>
      <c r="AH492" s="450"/>
      <c r="AI492" s="450"/>
      <c r="AJ492" s="450"/>
      <c r="AK492" s="450"/>
    </row>
    <row r="493">
      <c r="A493" s="450"/>
      <c r="B493" s="450"/>
      <c r="C493" s="455"/>
      <c r="D493" s="450"/>
      <c r="E493" s="450"/>
      <c r="F493" s="450"/>
      <c r="G493" s="450"/>
      <c r="H493" s="450"/>
      <c r="I493" s="450"/>
      <c r="J493" s="450"/>
      <c r="K493" s="450"/>
      <c r="L493" s="450"/>
      <c r="M493" s="450"/>
      <c r="N493" s="450"/>
      <c r="O493" s="450"/>
      <c r="P493" s="450"/>
      <c r="Q493" s="450"/>
      <c r="R493" s="450"/>
      <c r="S493" s="450"/>
      <c r="T493" s="450"/>
      <c r="U493" s="450"/>
      <c r="V493" s="450"/>
      <c r="W493" s="450"/>
      <c r="X493" s="450"/>
      <c r="Y493" s="450"/>
      <c r="Z493" s="450"/>
      <c r="AA493" s="450"/>
      <c r="AB493" s="450"/>
      <c r="AC493" s="450"/>
      <c r="AD493" s="450"/>
      <c r="AE493" s="450"/>
      <c r="AF493" s="450"/>
      <c r="AG493" s="450"/>
      <c r="AH493" s="450"/>
      <c r="AI493" s="450"/>
      <c r="AJ493" s="450"/>
      <c r="AK493" s="450"/>
    </row>
    <row r="494">
      <c r="A494" s="450"/>
      <c r="B494" s="450"/>
      <c r="C494" s="455"/>
      <c r="D494" s="450"/>
      <c r="E494" s="450"/>
      <c r="F494" s="450"/>
      <c r="G494" s="450"/>
      <c r="H494" s="450"/>
      <c r="I494" s="450"/>
      <c r="J494" s="450"/>
      <c r="K494" s="450"/>
      <c r="L494" s="450"/>
      <c r="M494" s="450"/>
      <c r="N494" s="450"/>
      <c r="O494" s="450"/>
      <c r="P494" s="450"/>
      <c r="Q494" s="450"/>
      <c r="R494" s="450"/>
      <c r="S494" s="450"/>
      <c r="T494" s="450"/>
      <c r="U494" s="450"/>
      <c r="V494" s="450"/>
      <c r="W494" s="450"/>
      <c r="X494" s="450"/>
      <c r="Y494" s="450"/>
      <c r="Z494" s="450"/>
      <c r="AA494" s="450"/>
      <c r="AB494" s="450"/>
      <c r="AC494" s="450"/>
      <c r="AD494" s="450"/>
      <c r="AE494" s="450"/>
      <c r="AF494" s="450"/>
      <c r="AG494" s="450"/>
      <c r="AH494" s="450"/>
      <c r="AI494" s="450"/>
      <c r="AJ494" s="450"/>
      <c r="AK494" s="450"/>
    </row>
    <row r="495">
      <c r="A495" s="450"/>
      <c r="B495" s="450"/>
      <c r="C495" s="455"/>
      <c r="D495" s="450"/>
      <c r="E495" s="450"/>
      <c r="F495" s="450"/>
      <c r="G495" s="450"/>
      <c r="H495" s="450"/>
      <c r="I495" s="450"/>
      <c r="J495" s="450"/>
      <c r="K495" s="450"/>
      <c r="L495" s="450"/>
      <c r="M495" s="450"/>
      <c r="N495" s="450"/>
      <c r="O495" s="450"/>
      <c r="P495" s="450"/>
      <c r="Q495" s="450"/>
      <c r="R495" s="450"/>
      <c r="S495" s="450"/>
      <c r="T495" s="450"/>
      <c r="U495" s="450"/>
      <c r="V495" s="450"/>
      <c r="W495" s="450"/>
      <c r="X495" s="450"/>
      <c r="Y495" s="450"/>
      <c r="Z495" s="450"/>
      <c r="AA495" s="450"/>
      <c r="AB495" s="450"/>
      <c r="AC495" s="450"/>
      <c r="AD495" s="450"/>
      <c r="AE495" s="450"/>
      <c r="AF495" s="450"/>
      <c r="AG495" s="450"/>
      <c r="AH495" s="450"/>
      <c r="AI495" s="450"/>
      <c r="AJ495" s="450"/>
      <c r="AK495" s="450"/>
    </row>
    <row r="496">
      <c r="A496" s="450"/>
      <c r="B496" s="450"/>
      <c r="C496" s="455"/>
      <c r="D496" s="450"/>
      <c r="E496" s="450"/>
      <c r="F496" s="450"/>
      <c r="G496" s="450"/>
      <c r="H496" s="450"/>
      <c r="I496" s="450"/>
      <c r="J496" s="450"/>
      <c r="K496" s="450"/>
      <c r="L496" s="450"/>
      <c r="M496" s="450"/>
      <c r="N496" s="450"/>
      <c r="O496" s="450"/>
      <c r="P496" s="450"/>
      <c r="Q496" s="450"/>
      <c r="R496" s="450"/>
      <c r="S496" s="450"/>
      <c r="T496" s="450"/>
      <c r="U496" s="450"/>
      <c r="V496" s="450"/>
      <c r="W496" s="450"/>
      <c r="X496" s="450"/>
      <c r="Y496" s="450"/>
      <c r="Z496" s="450"/>
      <c r="AA496" s="450"/>
      <c r="AB496" s="450"/>
      <c r="AC496" s="450"/>
      <c r="AD496" s="450"/>
      <c r="AE496" s="450"/>
      <c r="AF496" s="450"/>
      <c r="AG496" s="450"/>
      <c r="AH496" s="450"/>
      <c r="AI496" s="450"/>
      <c r="AJ496" s="450"/>
      <c r="AK496" s="450"/>
    </row>
    <row r="497">
      <c r="A497" s="450"/>
      <c r="B497" s="450"/>
      <c r="C497" s="455"/>
      <c r="D497" s="450"/>
      <c r="E497" s="450"/>
      <c r="F497" s="450"/>
      <c r="G497" s="450"/>
      <c r="H497" s="450"/>
      <c r="I497" s="450"/>
      <c r="J497" s="450"/>
      <c r="K497" s="450"/>
      <c r="L497" s="450"/>
      <c r="M497" s="450"/>
      <c r="N497" s="450"/>
      <c r="O497" s="450"/>
      <c r="P497" s="450"/>
      <c r="Q497" s="450"/>
      <c r="R497" s="450"/>
      <c r="S497" s="450"/>
      <c r="T497" s="450"/>
      <c r="U497" s="450"/>
      <c r="V497" s="450"/>
      <c r="W497" s="450"/>
      <c r="X497" s="450"/>
      <c r="Y497" s="450"/>
      <c r="Z497" s="450"/>
      <c r="AA497" s="450"/>
      <c r="AB497" s="450"/>
      <c r="AC497" s="450"/>
      <c r="AD497" s="450"/>
      <c r="AE497" s="450"/>
      <c r="AF497" s="450"/>
      <c r="AG497" s="450"/>
      <c r="AH497" s="450"/>
      <c r="AI497" s="450"/>
      <c r="AJ497" s="450"/>
      <c r="AK497" s="450"/>
    </row>
    <row r="498">
      <c r="A498" s="450"/>
      <c r="B498" s="450"/>
      <c r="C498" s="455"/>
      <c r="D498" s="450"/>
      <c r="E498" s="450"/>
      <c r="F498" s="450"/>
      <c r="G498" s="450"/>
      <c r="H498" s="450"/>
      <c r="I498" s="450"/>
      <c r="J498" s="450"/>
      <c r="K498" s="450"/>
      <c r="L498" s="450"/>
      <c r="M498" s="450"/>
      <c r="N498" s="450"/>
      <c r="O498" s="450"/>
      <c r="P498" s="450"/>
      <c r="Q498" s="450"/>
      <c r="R498" s="450"/>
      <c r="S498" s="450"/>
      <c r="T498" s="450"/>
      <c r="U498" s="450"/>
      <c r="V498" s="450"/>
      <c r="W498" s="450"/>
      <c r="X498" s="450"/>
      <c r="Y498" s="450"/>
      <c r="Z498" s="450"/>
      <c r="AA498" s="450"/>
      <c r="AB498" s="450"/>
      <c r="AC498" s="450"/>
      <c r="AD498" s="450"/>
      <c r="AE498" s="450"/>
      <c r="AF498" s="450"/>
      <c r="AG498" s="450"/>
      <c r="AH498" s="450"/>
      <c r="AI498" s="450"/>
      <c r="AJ498" s="450"/>
      <c r="AK498" s="450"/>
    </row>
    <row r="499">
      <c r="A499" s="450"/>
      <c r="B499" s="450"/>
      <c r="C499" s="455"/>
      <c r="D499" s="450"/>
      <c r="E499" s="450"/>
      <c r="F499" s="450"/>
      <c r="G499" s="450"/>
      <c r="H499" s="450"/>
      <c r="I499" s="450"/>
      <c r="J499" s="450"/>
      <c r="K499" s="450"/>
      <c r="L499" s="450"/>
      <c r="M499" s="450"/>
      <c r="N499" s="450"/>
      <c r="O499" s="450"/>
      <c r="P499" s="450"/>
      <c r="Q499" s="450"/>
      <c r="R499" s="450"/>
      <c r="S499" s="450"/>
      <c r="T499" s="450"/>
      <c r="U499" s="450"/>
      <c r="V499" s="450"/>
      <c r="W499" s="450"/>
      <c r="X499" s="450"/>
      <c r="Y499" s="450"/>
      <c r="Z499" s="450"/>
      <c r="AA499" s="450"/>
      <c r="AB499" s="450"/>
      <c r="AC499" s="450"/>
      <c r="AD499" s="450"/>
      <c r="AE499" s="450"/>
      <c r="AF499" s="450"/>
      <c r="AG499" s="450"/>
      <c r="AH499" s="450"/>
      <c r="AI499" s="450"/>
      <c r="AJ499" s="450"/>
      <c r="AK499" s="450"/>
    </row>
    <row r="500">
      <c r="A500" s="450"/>
      <c r="B500" s="450"/>
      <c r="C500" s="455"/>
      <c r="D500" s="450"/>
      <c r="E500" s="450"/>
      <c r="F500" s="450"/>
      <c r="G500" s="450"/>
      <c r="H500" s="450"/>
      <c r="I500" s="450"/>
      <c r="J500" s="450"/>
      <c r="K500" s="450"/>
      <c r="L500" s="450"/>
      <c r="M500" s="450"/>
      <c r="N500" s="450"/>
      <c r="O500" s="450"/>
      <c r="P500" s="450"/>
      <c r="Q500" s="450"/>
      <c r="R500" s="450"/>
      <c r="S500" s="450"/>
      <c r="T500" s="450"/>
      <c r="U500" s="450"/>
      <c r="V500" s="450"/>
      <c r="W500" s="450"/>
      <c r="X500" s="450"/>
      <c r="Y500" s="450"/>
      <c r="Z500" s="450"/>
      <c r="AA500" s="450"/>
      <c r="AB500" s="450"/>
      <c r="AC500" s="450"/>
      <c r="AD500" s="450"/>
      <c r="AE500" s="450"/>
      <c r="AF500" s="450"/>
      <c r="AG500" s="450"/>
      <c r="AH500" s="450"/>
      <c r="AI500" s="450"/>
      <c r="AJ500" s="450"/>
      <c r="AK500" s="450"/>
    </row>
    <row r="501">
      <c r="A501" s="450"/>
      <c r="B501" s="450"/>
      <c r="C501" s="455"/>
      <c r="D501" s="450"/>
      <c r="E501" s="450"/>
      <c r="F501" s="450"/>
      <c r="G501" s="450"/>
      <c r="H501" s="450"/>
      <c r="I501" s="450"/>
      <c r="J501" s="450"/>
      <c r="K501" s="450"/>
      <c r="L501" s="450"/>
      <c r="M501" s="450"/>
      <c r="N501" s="450"/>
      <c r="O501" s="450"/>
      <c r="P501" s="450"/>
      <c r="Q501" s="450"/>
      <c r="R501" s="450"/>
      <c r="S501" s="450"/>
      <c r="T501" s="450"/>
      <c r="U501" s="450"/>
      <c r="V501" s="450"/>
      <c r="W501" s="450"/>
      <c r="X501" s="450"/>
      <c r="Y501" s="450"/>
      <c r="Z501" s="450"/>
      <c r="AA501" s="450"/>
      <c r="AB501" s="450"/>
      <c r="AC501" s="450"/>
      <c r="AD501" s="450"/>
      <c r="AE501" s="450"/>
      <c r="AF501" s="450"/>
      <c r="AG501" s="450"/>
      <c r="AH501" s="450"/>
      <c r="AI501" s="450"/>
      <c r="AJ501" s="450"/>
      <c r="AK501" s="450"/>
    </row>
    <row r="502">
      <c r="A502" s="450"/>
      <c r="B502" s="450"/>
      <c r="C502" s="455"/>
      <c r="D502" s="450"/>
      <c r="E502" s="450"/>
      <c r="F502" s="450"/>
      <c r="G502" s="450"/>
      <c r="H502" s="450"/>
      <c r="I502" s="450"/>
      <c r="J502" s="450"/>
      <c r="K502" s="450"/>
      <c r="L502" s="450"/>
      <c r="M502" s="450"/>
      <c r="N502" s="450"/>
      <c r="O502" s="450"/>
      <c r="P502" s="450"/>
      <c r="Q502" s="450"/>
      <c r="R502" s="450"/>
      <c r="S502" s="450"/>
      <c r="T502" s="450"/>
      <c r="U502" s="450"/>
      <c r="V502" s="450"/>
      <c r="W502" s="450"/>
      <c r="X502" s="450"/>
      <c r="Y502" s="450"/>
      <c r="Z502" s="450"/>
      <c r="AA502" s="450"/>
      <c r="AB502" s="450"/>
      <c r="AC502" s="450"/>
      <c r="AD502" s="450"/>
      <c r="AE502" s="450"/>
      <c r="AF502" s="450"/>
      <c r="AG502" s="450"/>
      <c r="AH502" s="450"/>
      <c r="AI502" s="450"/>
      <c r="AJ502" s="450"/>
      <c r="AK502" s="450"/>
    </row>
    <row r="503">
      <c r="A503" s="450"/>
      <c r="B503" s="450"/>
      <c r="C503" s="455"/>
      <c r="D503" s="450"/>
      <c r="E503" s="450"/>
      <c r="F503" s="450"/>
      <c r="G503" s="450"/>
      <c r="H503" s="450"/>
      <c r="I503" s="450"/>
      <c r="J503" s="450"/>
      <c r="K503" s="450"/>
      <c r="L503" s="450"/>
      <c r="M503" s="450"/>
      <c r="N503" s="450"/>
      <c r="O503" s="450"/>
      <c r="P503" s="450"/>
      <c r="Q503" s="450"/>
      <c r="R503" s="450"/>
      <c r="S503" s="450"/>
      <c r="T503" s="450"/>
      <c r="U503" s="450"/>
      <c r="V503" s="450"/>
      <c r="W503" s="450"/>
      <c r="X503" s="450"/>
      <c r="Y503" s="450"/>
      <c r="Z503" s="450"/>
      <c r="AA503" s="450"/>
      <c r="AB503" s="450"/>
      <c r="AC503" s="450"/>
      <c r="AD503" s="450"/>
      <c r="AE503" s="450"/>
      <c r="AF503" s="450"/>
      <c r="AG503" s="450"/>
      <c r="AH503" s="450"/>
      <c r="AI503" s="450"/>
      <c r="AJ503" s="450"/>
      <c r="AK503" s="450"/>
    </row>
    <row r="504">
      <c r="A504" s="450"/>
      <c r="B504" s="450"/>
      <c r="C504" s="455"/>
      <c r="D504" s="450"/>
      <c r="E504" s="450"/>
      <c r="F504" s="450"/>
      <c r="G504" s="450"/>
      <c r="H504" s="450"/>
      <c r="I504" s="450"/>
      <c r="J504" s="450"/>
      <c r="K504" s="450"/>
      <c r="L504" s="450"/>
      <c r="M504" s="450"/>
      <c r="N504" s="450"/>
      <c r="O504" s="450"/>
      <c r="P504" s="450"/>
      <c r="Q504" s="450"/>
      <c r="R504" s="450"/>
      <c r="S504" s="450"/>
      <c r="T504" s="450"/>
      <c r="U504" s="450"/>
      <c r="V504" s="450"/>
      <c r="W504" s="450"/>
      <c r="X504" s="450"/>
      <c r="Y504" s="450"/>
      <c r="Z504" s="450"/>
      <c r="AA504" s="450"/>
      <c r="AB504" s="450"/>
      <c r="AC504" s="450"/>
      <c r="AD504" s="450"/>
      <c r="AE504" s="450"/>
      <c r="AF504" s="450"/>
      <c r="AG504" s="450"/>
      <c r="AH504" s="450"/>
      <c r="AI504" s="450"/>
      <c r="AJ504" s="450"/>
      <c r="AK504" s="450"/>
    </row>
    <row r="505">
      <c r="A505" s="450"/>
      <c r="B505" s="450"/>
      <c r="C505" s="455"/>
      <c r="D505" s="450"/>
      <c r="E505" s="450"/>
      <c r="F505" s="450"/>
      <c r="G505" s="450"/>
      <c r="H505" s="450"/>
      <c r="I505" s="450"/>
      <c r="J505" s="450"/>
      <c r="K505" s="450"/>
      <c r="L505" s="450"/>
      <c r="M505" s="450"/>
      <c r="N505" s="450"/>
      <c r="O505" s="450"/>
      <c r="P505" s="450"/>
      <c r="Q505" s="450"/>
      <c r="R505" s="450"/>
      <c r="S505" s="450"/>
      <c r="T505" s="450"/>
      <c r="U505" s="450"/>
      <c r="V505" s="450"/>
      <c r="W505" s="450"/>
      <c r="X505" s="450"/>
      <c r="Y505" s="450"/>
      <c r="Z505" s="450"/>
      <c r="AA505" s="450"/>
      <c r="AB505" s="450"/>
      <c r="AC505" s="450"/>
      <c r="AD505" s="450"/>
      <c r="AE505" s="450"/>
      <c r="AF505" s="450"/>
      <c r="AG505" s="450"/>
      <c r="AH505" s="450"/>
      <c r="AI505" s="450"/>
      <c r="AJ505" s="450"/>
      <c r="AK505" s="450"/>
    </row>
    <row r="506">
      <c r="A506" s="450"/>
      <c r="B506" s="450"/>
      <c r="C506" s="455"/>
      <c r="D506" s="450"/>
      <c r="E506" s="450"/>
      <c r="F506" s="450"/>
      <c r="G506" s="450"/>
      <c r="H506" s="450"/>
      <c r="I506" s="450"/>
      <c r="J506" s="450"/>
      <c r="K506" s="450"/>
      <c r="L506" s="450"/>
      <c r="M506" s="450"/>
      <c r="N506" s="450"/>
      <c r="O506" s="450"/>
      <c r="P506" s="450"/>
      <c r="Q506" s="450"/>
      <c r="R506" s="450"/>
      <c r="S506" s="450"/>
      <c r="T506" s="450"/>
      <c r="U506" s="450"/>
      <c r="V506" s="450"/>
      <c r="W506" s="450"/>
      <c r="X506" s="450"/>
      <c r="Y506" s="450"/>
      <c r="Z506" s="450"/>
      <c r="AA506" s="450"/>
      <c r="AB506" s="450"/>
      <c r="AC506" s="450"/>
      <c r="AD506" s="450"/>
      <c r="AE506" s="450"/>
      <c r="AF506" s="450"/>
      <c r="AG506" s="450"/>
      <c r="AH506" s="450"/>
      <c r="AI506" s="450"/>
      <c r="AJ506" s="450"/>
      <c r="AK506" s="450"/>
    </row>
    <row r="507">
      <c r="A507" s="450"/>
      <c r="B507" s="450"/>
      <c r="C507" s="455"/>
      <c r="D507" s="450"/>
      <c r="E507" s="450"/>
      <c r="F507" s="450"/>
      <c r="G507" s="450"/>
      <c r="H507" s="450"/>
      <c r="I507" s="450"/>
      <c r="J507" s="450"/>
      <c r="K507" s="450"/>
      <c r="L507" s="450"/>
      <c r="M507" s="450"/>
      <c r="N507" s="450"/>
      <c r="O507" s="450"/>
      <c r="P507" s="450"/>
      <c r="Q507" s="450"/>
      <c r="R507" s="450"/>
      <c r="S507" s="450"/>
      <c r="T507" s="450"/>
      <c r="U507" s="450"/>
      <c r="V507" s="450"/>
      <c r="W507" s="450"/>
      <c r="X507" s="450"/>
      <c r="Y507" s="450"/>
      <c r="Z507" s="450"/>
      <c r="AA507" s="450"/>
      <c r="AB507" s="450"/>
      <c r="AC507" s="450"/>
      <c r="AD507" s="450"/>
      <c r="AE507" s="450"/>
      <c r="AF507" s="450"/>
      <c r="AG507" s="450"/>
      <c r="AH507" s="450"/>
      <c r="AI507" s="450"/>
      <c r="AJ507" s="450"/>
      <c r="AK507" s="450"/>
    </row>
    <row r="508">
      <c r="A508" s="450"/>
      <c r="B508" s="450"/>
      <c r="C508" s="455"/>
      <c r="D508" s="450"/>
      <c r="E508" s="450"/>
      <c r="F508" s="450"/>
      <c r="G508" s="450"/>
      <c r="H508" s="450"/>
      <c r="I508" s="450"/>
      <c r="J508" s="450"/>
      <c r="K508" s="450"/>
      <c r="L508" s="450"/>
      <c r="M508" s="450"/>
      <c r="N508" s="450"/>
      <c r="O508" s="450"/>
      <c r="P508" s="450"/>
      <c r="Q508" s="450"/>
      <c r="R508" s="450"/>
      <c r="S508" s="450"/>
      <c r="T508" s="450"/>
      <c r="U508" s="450"/>
      <c r="V508" s="450"/>
      <c r="W508" s="450"/>
      <c r="X508" s="450"/>
      <c r="Y508" s="450"/>
      <c r="Z508" s="450"/>
      <c r="AA508" s="450"/>
      <c r="AB508" s="450"/>
      <c r="AC508" s="450"/>
      <c r="AD508" s="450"/>
      <c r="AE508" s="450"/>
      <c r="AF508" s="450"/>
      <c r="AG508" s="450"/>
      <c r="AH508" s="450"/>
      <c r="AI508" s="450"/>
      <c r="AJ508" s="450"/>
      <c r="AK508" s="450"/>
    </row>
    <row r="509">
      <c r="A509" s="450"/>
      <c r="B509" s="450"/>
      <c r="C509" s="455"/>
      <c r="D509" s="450"/>
      <c r="E509" s="450"/>
      <c r="F509" s="450"/>
      <c r="G509" s="450"/>
      <c r="H509" s="450"/>
      <c r="I509" s="450"/>
      <c r="J509" s="450"/>
      <c r="K509" s="450"/>
      <c r="L509" s="450"/>
      <c r="M509" s="450"/>
      <c r="N509" s="450"/>
      <c r="O509" s="450"/>
      <c r="P509" s="450"/>
      <c r="Q509" s="450"/>
      <c r="R509" s="450"/>
      <c r="S509" s="450"/>
      <c r="T509" s="450"/>
      <c r="U509" s="450"/>
      <c r="V509" s="450"/>
      <c r="W509" s="450"/>
      <c r="X509" s="450"/>
      <c r="Y509" s="450"/>
      <c r="Z509" s="450"/>
      <c r="AA509" s="450"/>
      <c r="AB509" s="450"/>
      <c r="AC509" s="450"/>
      <c r="AD509" s="450"/>
      <c r="AE509" s="450"/>
      <c r="AF509" s="450"/>
      <c r="AG509" s="450"/>
      <c r="AH509" s="450"/>
      <c r="AI509" s="450"/>
      <c r="AJ509" s="450"/>
      <c r="AK509" s="450"/>
    </row>
    <row r="510">
      <c r="A510" s="450"/>
      <c r="B510" s="450"/>
      <c r="C510" s="455"/>
      <c r="D510" s="450"/>
      <c r="E510" s="450"/>
      <c r="F510" s="450"/>
      <c r="G510" s="450"/>
      <c r="H510" s="450"/>
      <c r="I510" s="450"/>
      <c r="J510" s="450"/>
      <c r="K510" s="450"/>
      <c r="L510" s="450"/>
      <c r="M510" s="450"/>
      <c r="N510" s="450"/>
      <c r="O510" s="450"/>
      <c r="P510" s="450"/>
      <c r="Q510" s="450"/>
      <c r="R510" s="450"/>
      <c r="S510" s="450"/>
      <c r="T510" s="450"/>
      <c r="U510" s="450"/>
      <c r="V510" s="450"/>
      <c r="W510" s="450"/>
      <c r="X510" s="450"/>
      <c r="Y510" s="450"/>
      <c r="Z510" s="450"/>
      <c r="AA510" s="450"/>
      <c r="AB510" s="450"/>
      <c r="AC510" s="450"/>
      <c r="AD510" s="450"/>
      <c r="AE510" s="450"/>
      <c r="AF510" s="450"/>
      <c r="AG510" s="450"/>
      <c r="AH510" s="450"/>
      <c r="AI510" s="450"/>
      <c r="AJ510" s="450"/>
      <c r="AK510" s="450"/>
    </row>
    <row r="511">
      <c r="A511" s="450"/>
      <c r="B511" s="450"/>
      <c r="C511" s="455"/>
      <c r="D511" s="450"/>
      <c r="E511" s="450"/>
      <c r="F511" s="450"/>
      <c r="G511" s="450"/>
      <c r="H511" s="450"/>
      <c r="I511" s="450"/>
      <c r="J511" s="450"/>
      <c r="K511" s="450"/>
      <c r="L511" s="450"/>
      <c r="M511" s="450"/>
      <c r="N511" s="450"/>
      <c r="O511" s="450"/>
      <c r="P511" s="450"/>
      <c r="Q511" s="450"/>
      <c r="R511" s="450"/>
      <c r="S511" s="450"/>
      <c r="T511" s="450"/>
      <c r="U511" s="450"/>
      <c r="V511" s="450"/>
      <c r="W511" s="450"/>
      <c r="X511" s="450"/>
      <c r="Y511" s="450"/>
      <c r="Z511" s="450"/>
      <c r="AA511" s="450"/>
      <c r="AB511" s="450"/>
      <c r="AC511" s="450"/>
      <c r="AD511" s="450"/>
      <c r="AE511" s="450"/>
      <c r="AF511" s="450"/>
      <c r="AG511" s="450"/>
      <c r="AH511" s="450"/>
      <c r="AI511" s="450"/>
      <c r="AJ511" s="450"/>
      <c r="AK511" s="450"/>
    </row>
    <row r="512">
      <c r="A512" s="450"/>
      <c r="B512" s="450"/>
      <c r="C512" s="455"/>
      <c r="D512" s="450"/>
      <c r="E512" s="450"/>
      <c r="F512" s="450"/>
      <c r="G512" s="450"/>
      <c r="H512" s="450"/>
      <c r="I512" s="450"/>
      <c r="J512" s="450"/>
      <c r="K512" s="450"/>
      <c r="L512" s="450"/>
      <c r="M512" s="450"/>
      <c r="N512" s="450"/>
      <c r="O512" s="450"/>
      <c r="P512" s="450"/>
      <c r="Q512" s="450"/>
      <c r="R512" s="450"/>
      <c r="S512" s="450"/>
      <c r="T512" s="450"/>
      <c r="U512" s="450"/>
      <c r="V512" s="450"/>
      <c r="W512" s="450"/>
      <c r="X512" s="450"/>
      <c r="Y512" s="450"/>
      <c r="Z512" s="450"/>
      <c r="AA512" s="450"/>
      <c r="AB512" s="450"/>
      <c r="AC512" s="450"/>
      <c r="AD512" s="450"/>
      <c r="AE512" s="450"/>
      <c r="AF512" s="450"/>
      <c r="AG512" s="450"/>
      <c r="AH512" s="450"/>
      <c r="AI512" s="450"/>
      <c r="AJ512" s="450"/>
      <c r="AK512" s="450"/>
    </row>
    <row r="513">
      <c r="A513" s="450"/>
      <c r="B513" s="450"/>
      <c r="C513" s="455"/>
      <c r="D513" s="450"/>
      <c r="E513" s="450"/>
      <c r="F513" s="450"/>
      <c r="G513" s="450"/>
      <c r="H513" s="450"/>
      <c r="I513" s="450"/>
      <c r="J513" s="450"/>
      <c r="K513" s="450"/>
      <c r="L513" s="450"/>
      <c r="M513" s="450"/>
      <c r="N513" s="450"/>
      <c r="O513" s="450"/>
      <c r="P513" s="450"/>
      <c r="Q513" s="450"/>
      <c r="R513" s="450"/>
      <c r="S513" s="450"/>
      <c r="T513" s="450"/>
      <c r="U513" s="450"/>
      <c r="V513" s="450"/>
      <c r="W513" s="450"/>
      <c r="X513" s="450"/>
      <c r="Y513" s="450"/>
      <c r="Z513" s="450"/>
      <c r="AA513" s="450"/>
      <c r="AB513" s="450"/>
      <c r="AC513" s="450"/>
      <c r="AD513" s="450"/>
      <c r="AE513" s="450"/>
      <c r="AF513" s="450"/>
      <c r="AG513" s="450"/>
      <c r="AH513" s="450"/>
      <c r="AI513" s="450"/>
      <c r="AJ513" s="450"/>
      <c r="AK513" s="450"/>
    </row>
    <row r="514">
      <c r="A514" s="450"/>
      <c r="B514" s="450"/>
      <c r="C514" s="455"/>
      <c r="D514" s="450"/>
      <c r="E514" s="450"/>
      <c r="F514" s="450"/>
      <c r="G514" s="450"/>
      <c r="H514" s="450"/>
      <c r="I514" s="450"/>
      <c r="J514" s="450"/>
      <c r="K514" s="450"/>
      <c r="L514" s="450"/>
      <c r="M514" s="450"/>
      <c r="N514" s="450"/>
      <c r="O514" s="450"/>
      <c r="P514" s="450"/>
      <c r="Q514" s="450"/>
      <c r="R514" s="450"/>
      <c r="S514" s="450"/>
      <c r="T514" s="450"/>
      <c r="U514" s="450"/>
      <c r="V514" s="450"/>
      <c r="W514" s="450"/>
      <c r="X514" s="450"/>
      <c r="Y514" s="450"/>
      <c r="Z514" s="450"/>
      <c r="AA514" s="450"/>
      <c r="AB514" s="450"/>
      <c r="AC514" s="450"/>
      <c r="AD514" s="450"/>
      <c r="AE514" s="450"/>
      <c r="AF514" s="450"/>
      <c r="AG514" s="450"/>
      <c r="AH514" s="450"/>
      <c r="AI514" s="450"/>
      <c r="AJ514" s="450"/>
      <c r="AK514" s="450"/>
    </row>
    <row r="515">
      <c r="A515" s="450"/>
      <c r="B515" s="450"/>
      <c r="C515" s="455"/>
      <c r="D515" s="450"/>
      <c r="E515" s="450"/>
      <c r="F515" s="450"/>
      <c r="G515" s="450"/>
      <c r="H515" s="450"/>
      <c r="I515" s="450"/>
      <c r="J515" s="450"/>
      <c r="K515" s="450"/>
      <c r="L515" s="450"/>
      <c r="M515" s="450"/>
      <c r="N515" s="450"/>
      <c r="O515" s="450"/>
      <c r="P515" s="450"/>
      <c r="Q515" s="450"/>
      <c r="R515" s="450"/>
      <c r="S515" s="450"/>
      <c r="T515" s="450"/>
      <c r="U515" s="450"/>
      <c r="V515" s="450"/>
      <c r="W515" s="450"/>
      <c r="X515" s="450"/>
      <c r="Y515" s="450"/>
      <c r="Z515" s="450"/>
      <c r="AA515" s="450"/>
      <c r="AB515" s="450"/>
      <c r="AC515" s="450"/>
      <c r="AD515" s="450"/>
      <c r="AE515" s="450"/>
      <c r="AF515" s="450"/>
      <c r="AG515" s="450"/>
      <c r="AH515" s="450"/>
      <c r="AI515" s="450"/>
      <c r="AJ515" s="450"/>
      <c r="AK515" s="450"/>
    </row>
    <row r="516">
      <c r="A516" s="450"/>
      <c r="B516" s="450"/>
      <c r="C516" s="455"/>
      <c r="D516" s="450"/>
      <c r="E516" s="450"/>
      <c r="F516" s="450"/>
      <c r="G516" s="450"/>
      <c r="H516" s="450"/>
      <c r="I516" s="450"/>
      <c r="J516" s="450"/>
      <c r="K516" s="450"/>
      <c r="L516" s="450"/>
      <c r="M516" s="450"/>
      <c r="N516" s="450"/>
      <c r="O516" s="450"/>
      <c r="P516" s="450"/>
      <c r="Q516" s="450"/>
      <c r="R516" s="450"/>
      <c r="S516" s="450"/>
      <c r="T516" s="450"/>
      <c r="U516" s="450"/>
      <c r="V516" s="450"/>
      <c r="W516" s="450"/>
      <c r="X516" s="450"/>
      <c r="Y516" s="450"/>
      <c r="Z516" s="450"/>
      <c r="AA516" s="450"/>
      <c r="AB516" s="450"/>
      <c r="AC516" s="450"/>
      <c r="AD516" s="450"/>
      <c r="AE516" s="450"/>
      <c r="AF516" s="450"/>
      <c r="AG516" s="450"/>
      <c r="AH516" s="450"/>
      <c r="AI516" s="450"/>
      <c r="AJ516" s="450"/>
      <c r="AK516" s="450"/>
    </row>
    <row r="517">
      <c r="A517" s="450"/>
      <c r="B517" s="450"/>
      <c r="C517" s="455"/>
      <c r="D517" s="450"/>
      <c r="E517" s="450"/>
      <c r="F517" s="450"/>
      <c r="G517" s="450"/>
      <c r="H517" s="450"/>
      <c r="I517" s="450"/>
      <c r="J517" s="450"/>
      <c r="K517" s="450"/>
      <c r="L517" s="450"/>
      <c r="M517" s="450"/>
      <c r="N517" s="450"/>
      <c r="O517" s="450"/>
      <c r="P517" s="450"/>
      <c r="Q517" s="450"/>
      <c r="R517" s="450"/>
      <c r="S517" s="450"/>
      <c r="T517" s="450"/>
      <c r="U517" s="450"/>
      <c r="V517" s="450"/>
      <c r="W517" s="450"/>
      <c r="X517" s="450"/>
      <c r="Y517" s="450"/>
      <c r="Z517" s="450"/>
      <c r="AA517" s="450"/>
      <c r="AB517" s="450"/>
      <c r="AC517" s="450"/>
      <c r="AD517" s="450"/>
      <c r="AE517" s="450"/>
      <c r="AF517" s="450"/>
      <c r="AG517" s="450"/>
      <c r="AH517" s="450"/>
      <c r="AI517" s="450"/>
      <c r="AJ517" s="450"/>
      <c r="AK517" s="450"/>
    </row>
    <row r="518">
      <c r="A518" s="450"/>
      <c r="B518" s="450"/>
      <c r="C518" s="455"/>
      <c r="D518" s="450"/>
      <c r="E518" s="450"/>
      <c r="F518" s="450"/>
      <c r="G518" s="450"/>
      <c r="H518" s="450"/>
      <c r="I518" s="450"/>
      <c r="J518" s="450"/>
      <c r="K518" s="450"/>
      <c r="L518" s="450"/>
      <c r="M518" s="450"/>
      <c r="N518" s="450"/>
      <c r="O518" s="450"/>
      <c r="P518" s="450"/>
      <c r="Q518" s="450"/>
      <c r="R518" s="450"/>
      <c r="S518" s="450"/>
      <c r="T518" s="450"/>
      <c r="U518" s="450"/>
      <c r="V518" s="450"/>
      <c r="W518" s="450"/>
      <c r="X518" s="450"/>
      <c r="Y518" s="450"/>
      <c r="Z518" s="450"/>
      <c r="AA518" s="450"/>
      <c r="AB518" s="450"/>
      <c r="AC518" s="450"/>
      <c r="AD518" s="450"/>
      <c r="AE518" s="450"/>
      <c r="AF518" s="450"/>
      <c r="AG518" s="450"/>
      <c r="AH518" s="450"/>
      <c r="AI518" s="450"/>
      <c r="AJ518" s="450"/>
      <c r="AK518" s="450"/>
    </row>
    <row r="519">
      <c r="A519" s="450"/>
      <c r="B519" s="450"/>
      <c r="C519" s="455"/>
      <c r="D519" s="450"/>
      <c r="E519" s="450"/>
      <c r="F519" s="450"/>
      <c r="G519" s="450"/>
      <c r="H519" s="450"/>
      <c r="I519" s="450"/>
      <c r="J519" s="450"/>
      <c r="K519" s="450"/>
      <c r="L519" s="450"/>
      <c r="M519" s="450"/>
      <c r="N519" s="450"/>
      <c r="O519" s="450"/>
      <c r="P519" s="450"/>
      <c r="Q519" s="450"/>
      <c r="R519" s="450"/>
      <c r="S519" s="450"/>
      <c r="T519" s="450"/>
      <c r="U519" s="450"/>
      <c r="V519" s="450"/>
      <c r="W519" s="450"/>
      <c r="X519" s="450"/>
      <c r="Y519" s="450"/>
      <c r="Z519" s="450"/>
      <c r="AA519" s="450"/>
      <c r="AB519" s="450"/>
      <c r="AC519" s="450"/>
      <c r="AD519" s="450"/>
      <c r="AE519" s="450"/>
      <c r="AF519" s="450"/>
      <c r="AG519" s="450"/>
      <c r="AH519" s="450"/>
      <c r="AI519" s="450"/>
      <c r="AJ519" s="450"/>
      <c r="AK519" s="450"/>
    </row>
    <row r="520">
      <c r="A520" s="450"/>
      <c r="B520" s="450"/>
      <c r="C520" s="455"/>
      <c r="D520" s="450"/>
      <c r="E520" s="450"/>
      <c r="F520" s="450"/>
      <c r="G520" s="450"/>
      <c r="H520" s="450"/>
      <c r="I520" s="450"/>
      <c r="J520" s="450"/>
      <c r="K520" s="450"/>
      <c r="L520" s="450"/>
      <c r="M520" s="450"/>
      <c r="N520" s="450"/>
      <c r="O520" s="450"/>
      <c r="P520" s="450"/>
      <c r="Q520" s="450"/>
      <c r="R520" s="450"/>
      <c r="S520" s="450"/>
      <c r="T520" s="450"/>
      <c r="U520" s="450"/>
      <c r="V520" s="450"/>
      <c r="W520" s="450"/>
      <c r="X520" s="450"/>
      <c r="Y520" s="450"/>
      <c r="Z520" s="450"/>
      <c r="AA520" s="450"/>
      <c r="AB520" s="450"/>
      <c r="AC520" s="450"/>
      <c r="AD520" s="450"/>
      <c r="AE520" s="450"/>
      <c r="AF520" s="450"/>
      <c r="AG520" s="450"/>
      <c r="AH520" s="450"/>
      <c r="AI520" s="450"/>
      <c r="AJ520" s="450"/>
      <c r="AK520" s="450"/>
    </row>
    <row r="521">
      <c r="A521" s="450"/>
      <c r="B521" s="450"/>
      <c r="C521" s="455"/>
      <c r="D521" s="450"/>
      <c r="E521" s="450"/>
      <c r="F521" s="450"/>
      <c r="G521" s="450"/>
      <c r="H521" s="450"/>
      <c r="I521" s="450"/>
      <c r="J521" s="450"/>
      <c r="K521" s="450"/>
      <c r="L521" s="450"/>
      <c r="M521" s="450"/>
      <c r="N521" s="450"/>
      <c r="O521" s="450"/>
      <c r="P521" s="450"/>
      <c r="Q521" s="450"/>
      <c r="R521" s="450"/>
      <c r="S521" s="450"/>
      <c r="T521" s="450"/>
      <c r="U521" s="450"/>
      <c r="V521" s="450"/>
      <c r="W521" s="450"/>
      <c r="X521" s="450"/>
      <c r="Y521" s="450"/>
      <c r="Z521" s="450"/>
      <c r="AA521" s="450"/>
      <c r="AB521" s="450"/>
      <c r="AC521" s="450"/>
      <c r="AD521" s="450"/>
      <c r="AE521" s="450"/>
      <c r="AF521" s="450"/>
      <c r="AG521" s="450"/>
      <c r="AH521" s="450"/>
      <c r="AI521" s="450"/>
      <c r="AJ521" s="450"/>
      <c r="AK521" s="450"/>
    </row>
    <row r="522">
      <c r="A522" s="450"/>
      <c r="B522" s="450"/>
      <c r="C522" s="455"/>
      <c r="D522" s="450"/>
      <c r="E522" s="450"/>
      <c r="F522" s="450"/>
      <c r="G522" s="450"/>
      <c r="H522" s="450"/>
      <c r="I522" s="450"/>
      <c r="J522" s="450"/>
      <c r="K522" s="450"/>
      <c r="L522" s="450"/>
      <c r="M522" s="450"/>
      <c r="N522" s="450"/>
      <c r="O522" s="450"/>
      <c r="P522" s="450"/>
      <c r="Q522" s="450"/>
      <c r="R522" s="450"/>
      <c r="S522" s="450"/>
      <c r="T522" s="450"/>
      <c r="U522" s="450"/>
      <c r="V522" s="450"/>
      <c r="W522" s="450"/>
      <c r="X522" s="450"/>
      <c r="Y522" s="450"/>
      <c r="Z522" s="450"/>
      <c r="AA522" s="450"/>
      <c r="AB522" s="450"/>
      <c r="AC522" s="450"/>
      <c r="AD522" s="450"/>
      <c r="AE522" s="450"/>
      <c r="AF522" s="450"/>
      <c r="AG522" s="450"/>
      <c r="AH522" s="450"/>
      <c r="AI522" s="450"/>
      <c r="AJ522" s="450"/>
      <c r="AK522" s="450"/>
    </row>
    <row r="523">
      <c r="A523" s="450"/>
      <c r="B523" s="450"/>
      <c r="C523" s="455"/>
      <c r="D523" s="450"/>
      <c r="E523" s="450"/>
      <c r="F523" s="450"/>
      <c r="G523" s="450"/>
      <c r="H523" s="450"/>
      <c r="I523" s="450"/>
      <c r="J523" s="450"/>
      <c r="K523" s="450"/>
      <c r="L523" s="450"/>
      <c r="M523" s="450"/>
      <c r="N523" s="450"/>
      <c r="O523" s="450"/>
      <c r="P523" s="450"/>
      <c r="Q523" s="450"/>
      <c r="R523" s="450"/>
      <c r="S523" s="450"/>
      <c r="T523" s="450"/>
      <c r="U523" s="450"/>
      <c r="V523" s="450"/>
      <c r="W523" s="450"/>
      <c r="X523" s="450"/>
      <c r="Y523" s="450"/>
      <c r="Z523" s="450"/>
      <c r="AA523" s="450"/>
      <c r="AB523" s="450"/>
      <c r="AC523" s="450"/>
      <c r="AD523" s="450"/>
      <c r="AE523" s="450"/>
      <c r="AF523" s="450"/>
      <c r="AG523" s="450"/>
      <c r="AH523" s="450"/>
      <c r="AI523" s="450"/>
      <c r="AJ523" s="450"/>
      <c r="AK523" s="450"/>
    </row>
    <row r="524">
      <c r="A524" s="450"/>
      <c r="B524" s="450"/>
      <c r="C524" s="455"/>
      <c r="D524" s="450"/>
      <c r="E524" s="450"/>
      <c r="F524" s="450"/>
      <c r="G524" s="450"/>
      <c r="H524" s="450"/>
      <c r="I524" s="450"/>
      <c r="J524" s="450"/>
      <c r="K524" s="450"/>
      <c r="L524" s="450"/>
      <c r="M524" s="450"/>
      <c r="N524" s="450"/>
      <c r="O524" s="450"/>
      <c r="P524" s="450"/>
      <c r="Q524" s="450"/>
      <c r="R524" s="450"/>
      <c r="S524" s="450"/>
      <c r="T524" s="450"/>
      <c r="U524" s="450"/>
      <c r="V524" s="450"/>
      <c r="W524" s="450"/>
      <c r="X524" s="450"/>
      <c r="Y524" s="450"/>
      <c r="Z524" s="450"/>
      <c r="AA524" s="450"/>
      <c r="AB524" s="450"/>
      <c r="AC524" s="450"/>
      <c r="AD524" s="450"/>
      <c r="AE524" s="450"/>
      <c r="AF524" s="450"/>
      <c r="AG524" s="450"/>
      <c r="AH524" s="450"/>
      <c r="AI524" s="450"/>
      <c r="AJ524" s="450"/>
      <c r="AK524" s="450"/>
    </row>
    <row r="525">
      <c r="A525" s="450"/>
      <c r="B525" s="450"/>
      <c r="C525" s="455"/>
      <c r="D525" s="450"/>
      <c r="E525" s="450"/>
      <c r="F525" s="450"/>
      <c r="G525" s="450"/>
      <c r="H525" s="450"/>
      <c r="I525" s="450"/>
      <c r="J525" s="450"/>
      <c r="K525" s="450"/>
      <c r="L525" s="450"/>
      <c r="M525" s="450"/>
      <c r="N525" s="450"/>
      <c r="O525" s="450"/>
      <c r="P525" s="450"/>
      <c r="Q525" s="450"/>
      <c r="R525" s="450"/>
      <c r="S525" s="450"/>
      <c r="T525" s="450"/>
      <c r="U525" s="450"/>
      <c r="V525" s="450"/>
      <c r="W525" s="450"/>
      <c r="X525" s="450"/>
      <c r="Y525" s="450"/>
      <c r="Z525" s="450"/>
      <c r="AA525" s="450"/>
      <c r="AB525" s="450"/>
      <c r="AC525" s="450"/>
      <c r="AD525" s="450"/>
      <c r="AE525" s="450"/>
      <c r="AF525" s="450"/>
      <c r="AG525" s="450"/>
      <c r="AH525" s="450"/>
      <c r="AI525" s="450"/>
      <c r="AJ525" s="450"/>
      <c r="AK525" s="450"/>
    </row>
    <row r="526">
      <c r="A526" s="450"/>
      <c r="B526" s="450"/>
      <c r="C526" s="455"/>
      <c r="D526" s="450"/>
      <c r="E526" s="450"/>
      <c r="F526" s="450"/>
      <c r="G526" s="450"/>
      <c r="H526" s="450"/>
      <c r="I526" s="450"/>
      <c r="J526" s="450"/>
      <c r="K526" s="450"/>
      <c r="L526" s="450"/>
      <c r="M526" s="450"/>
      <c r="N526" s="450"/>
      <c r="O526" s="450"/>
      <c r="P526" s="450"/>
      <c r="Q526" s="450"/>
      <c r="R526" s="450"/>
      <c r="S526" s="450"/>
      <c r="T526" s="450"/>
      <c r="U526" s="450"/>
      <c r="V526" s="450"/>
      <c r="W526" s="450"/>
      <c r="X526" s="450"/>
      <c r="Y526" s="450"/>
      <c r="Z526" s="450"/>
      <c r="AA526" s="450"/>
      <c r="AB526" s="450"/>
      <c r="AC526" s="450"/>
      <c r="AD526" s="450"/>
      <c r="AE526" s="450"/>
      <c r="AF526" s="450"/>
      <c r="AG526" s="450"/>
      <c r="AH526" s="450"/>
      <c r="AI526" s="450"/>
      <c r="AJ526" s="450"/>
      <c r="AK526" s="450"/>
    </row>
    <row r="527">
      <c r="A527" s="450"/>
      <c r="B527" s="450"/>
      <c r="C527" s="455"/>
      <c r="D527" s="450"/>
      <c r="E527" s="450"/>
      <c r="F527" s="450"/>
      <c r="G527" s="450"/>
      <c r="H527" s="450"/>
      <c r="I527" s="450"/>
      <c r="J527" s="450"/>
      <c r="K527" s="450"/>
      <c r="L527" s="450"/>
      <c r="M527" s="450"/>
      <c r="N527" s="450"/>
      <c r="O527" s="450"/>
      <c r="P527" s="450"/>
      <c r="Q527" s="450"/>
      <c r="R527" s="450"/>
      <c r="S527" s="450"/>
      <c r="T527" s="450"/>
      <c r="U527" s="450"/>
      <c r="V527" s="450"/>
      <c r="W527" s="450"/>
      <c r="X527" s="450"/>
      <c r="Y527" s="450"/>
      <c r="Z527" s="450"/>
      <c r="AA527" s="450"/>
      <c r="AB527" s="450"/>
      <c r="AC527" s="450"/>
      <c r="AD527" s="450"/>
      <c r="AE527" s="450"/>
      <c r="AF527" s="450"/>
      <c r="AG527" s="450"/>
      <c r="AH527" s="450"/>
      <c r="AI527" s="450"/>
      <c r="AJ527" s="450"/>
      <c r="AK527" s="450"/>
    </row>
    <row r="528">
      <c r="A528" s="450"/>
      <c r="B528" s="450"/>
      <c r="C528" s="455"/>
      <c r="D528" s="450"/>
      <c r="E528" s="450"/>
      <c r="F528" s="450"/>
      <c r="G528" s="450"/>
      <c r="H528" s="450"/>
      <c r="I528" s="450"/>
      <c r="J528" s="450"/>
      <c r="K528" s="450"/>
      <c r="L528" s="450"/>
      <c r="M528" s="450"/>
      <c r="N528" s="450"/>
      <c r="O528" s="450"/>
      <c r="P528" s="450"/>
      <c r="Q528" s="450"/>
      <c r="R528" s="450"/>
      <c r="S528" s="450"/>
      <c r="T528" s="450"/>
      <c r="U528" s="450"/>
      <c r="V528" s="450"/>
      <c r="W528" s="450"/>
      <c r="X528" s="450"/>
      <c r="Y528" s="450"/>
      <c r="Z528" s="450"/>
      <c r="AA528" s="450"/>
      <c r="AB528" s="450"/>
      <c r="AC528" s="450"/>
      <c r="AD528" s="450"/>
      <c r="AE528" s="450"/>
      <c r="AF528" s="450"/>
      <c r="AG528" s="450"/>
      <c r="AH528" s="450"/>
      <c r="AI528" s="450"/>
      <c r="AJ528" s="450"/>
      <c r="AK528" s="450"/>
    </row>
    <row r="529">
      <c r="A529" s="450"/>
      <c r="B529" s="450"/>
      <c r="C529" s="455"/>
      <c r="D529" s="450"/>
      <c r="E529" s="450"/>
      <c r="F529" s="450"/>
      <c r="G529" s="450"/>
      <c r="H529" s="450"/>
      <c r="I529" s="450"/>
      <c r="J529" s="450"/>
      <c r="K529" s="450"/>
      <c r="L529" s="450"/>
      <c r="M529" s="450"/>
      <c r="N529" s="450"/>
      <c r="O529" s="450"/>
      <c r="P529" s="450"/>
      <c r="Q529" s="450"/>
      <c r="R529" s="450"/>
      <c r="S529" s="450"/>
      <c r="T529" s="450"/>
      <c r="U529" s="450"/>
      <c r="V529" s="450"/>
      <c r="W529" s="450"/>
      <c r="X529" s="450"/>
      <c r="Y529" s="450"/>
      <c r="Z529" s="450"/>
      <c r="AA529" s="450"/>
      <c r="AB529" s="450"/>
      <c r="AC529" s="450"/>
      <c r="AD529" s="450"/>
      <c r="AE529" s="450"/>
      <c r="AF529" s="450"/>
      <c r="AG529" s="450"/>
      <c r="AH529" s="450"/>
      <c r="AI529" s="450"/>
      <c r="AJ529" s="450"/>
      <c r="AK529" s="450"/>
    </row>
    <row r="530">
      <c r="A530" s="450"/>
      <c r="B530" s="450"/>
      <c r="C530" s="455"/>
      <c r="D530" s="450"/>
      <c r="E530" s="450"/>
      <c r="F530" s="450"/>
      <c r="G530" s="450"/>
      <c r="H530" s="450"/>
      <c r="I530" s="450"/>
      <c r="J530" s="450"/>
      <c r="K530" s="450"/>
      <c r="L530" s="450"/>
      <c r="M530" s="450"/>
      <c r="N530" s="450"/>
      <c r="O530" s="450"/>
      <c r="P530" s="450"/>
      <c r="Q530" s="450"/>
      <c r="R530" s="450"/>
      <c r="S530" s="450"/>
      <c r="T530" s="450"/>
      <c r="U530" s="450"/>
      <c r="V530" s="450"/>
      <c r="W530" s="450"/>
      <c r="X530" s="450"/>
      <c r="Y530" s="450"/>
      <c r="Z530" s="450"/>
      <c r="AA530" s="450"/>
      <c r="AB530" s="450"/>
      <c r="AC530" s="450"/>
      <c r="AD530" s="450"/>
      <c r="AE530" s="450"/>
      <c r="AF530" s="450"/>
      <c r="AG530" s="450"/>
      <c r="AH530" s="450"/>
      <c r="AI530" s="450"/>
      <c r="AJ530" s="450"/>
      <c r="AK530" s="450"/>
    </row>
    <row r="531">
      <c r="A531" s="450"/>
      <c r="B531" s="450"/>
      <c r="C531" s="455"/>
      <c r="D531" s="450"/>
      <c r="E531" s="450"/>
      <c r="F531" s="450"/>
      <c r="G531" s="450"/>
      <c r="H531" s="450"/>
      <c r="I531" s="450"/>
      <c r="J531" s="450"/>
      <c r="K531" s="450"/>
      <c r="L531" s="450"/>
      <c r="M531" s="450"/>
      <c r="N531" s="450"/>
      <c r="O531" s="450"/>
      <c r="P531" s="450"/>
      <c r="Q531" s="450"/>
      <c r="R531" s="450"/>
      <c r="S531" s="450"/>
      <c r="T531" s="450"/>
      <c r="U531" s="450"/>
      <c r="V531" s="450"/>
      <c r="W531" s="450"/>
      <c r="X531" s="450"/>
      <c r="Y531" s="450"/>
      <c r="Z531" s="450"/>
      <c r="AA531" s="450"/>
      <c r="AB531" s="450"/>
      <c r="AC531" s="450"/>
      <c r="AD531" s="450"/>
      <c r="AE531" s="450"/>
      <c r="AF531" s="450"/>
      <c r="AG531" s="450"/>
      <c r="AH531" s="450"/>
      <c r="AI531" s="450"/>
      <c r="AJ531" s="450"/>
      <c r="AK531" s="450"/>
    </row>
    <row r="532">
      <c r="A532" s="450"/>
      <c r="B532" s="450"/>
      <c r="C532" s="455"/>
      <c r="D532" s="450"/>
      <c r="E532" s="450"/>
      <c r="F532" s="450"/>
      <c r="G532" s="450"/>
      <c r="H532" s="450"/>
      <c r="I532" s="450"/>
      <c r="J532" s="450"/>
      <c r="K532" s="450"/>
      <c r="L532" s="450"/>
      <c r="M532" s="450"/>
      <c r="N532" s="450"/>
      <c r="O532" s="450"/>
      <c r="P532" s="450"/>
      <c r="Q532" s="450"/>
      <c r="R532" s="450"/>
      <c r="S532" s="450"/>
      <c r="T532" s="450"/>
      <c r="U532" s="450"/>
      <c r="V532" s="450"/>
      <c r="W532" s="450"/>
      <c r="X532" s="450"/>
      <c r="Y532" s="450"/>
      <c r="Z532" s="450"/>
      <c r="AA532" s="450"/>
      <c r="AB532" s="450"/>
      <c r="AC532" s="450"/>
      <c r="AD532" s="450"/>
      <c r="AE532" s="450"/>
      <c r="AF532" s="450"/>
      <c r="AG532" s="450"/>
      <c r="AH532" s="450"/>
      <c r="AI532" s="450"/>
      <c r="AJ532" s="450"/>
      <c r="AK532" s="450"/>
    </row>
    <row r="533">
      <c r="A533" s="450"/>
      <c r="B533" s="450"/>
      <c r="C533" s="455"/>
      <c r="D533" s="450"/>
      <c r="E533" s="450"/>
      <c r="F533" s="450"/>
      <c r="G533" s="450"/>
      <c r="H533" s="450"/>
      <c r="I533" s="450"/>
      <c r="J533" s="450"/>
      <c r="K533" s="450"/>
      <c r="L533" s="450"/>
      <c r="M533" s="450"/>
      <c r="N533" s="450"/>
      <c r="O533" s="450"/>
      <c r="P533" s="450"/>
      <c r="Q533" s="450"/>
      <c r="R533" s="450"/>
      <c r="S533" s="450"/>
      <c r="T533" s="450"/>
      <c r="U533" s="450"/>
      <c r="V533" s="450"/>
      <c r="W533" s="450"/>
      <c r="X533" s="450"/>
      <c r="Y533" s="450"/>
      <c r="Z533" s="450"/>
      <c r="AA533" s="450"/>
      <c r="AB533" s="450"/>
      <c r="AC533" s="450"/>
      <c r="AD533" s="450"/>
      <c r="AE533" s="450"/>
      <c r="AF533" s="450"/>
      <c r="AG533" s="450"/>
      <c r="AH533" s="450"/>
      <c r="AI533" s="450"/>
      <c r="AJ533" s="450"/>
      <c r="AK533" s="450"/>
    </row>
    <row r="534">
      <c r="A534" s="450"/>
      <c r="B534" s="450"/>
      <c r="C534" s="455"/>
      <c r="D534" s="450"/>
      <c r="E534" s="450"/>
      <c r="F534" s="450"/>
      <c r="G534" s="450"/>
      <c r="H534" s="450"/>
      <c r="I534" s="450"/>
      <c r="J534" s="450"/>
      <c r="K534" s="450"/>
      <c r="L534" s="450"/>
      <c r="M534" s="450"/>
      <c r="N534" s="450"/>
      <c r="O534" s="450"/>
      <c r="P534" s="450"/>
      <c r="Q534" s="450"/>
      <c r="R534" s="450"/>
      <c r="S534" s="450"/>
      <c r="T534" s="450"/>
      <c r="U534" s="450"/>
      <c r="V534" s="450"/>
      <c r="W534" s="450"/>
      <c r="X534" s="450"/>
      <c r="Y534" s="450"/>
      <c r="Z534" s="450"/>
      <c r="AA534" s="450"/>
      <c r="AB534" s="450"/>
      <c r="AC534" s="450"/>
      <c r="AD534" s="450"/>
      <c r="AE534" s="450"/>
      <c r="AF534" s="450"/>
      <c r="AG534" s="450"/>
      <c r="AH534" s="450"/>
      <c r="AI534" s="450"/>
      <c r="AJ534" s="450"/>
      <c r="AK534" s="450"/>
    </row>
    <row r="535">
      <c r="A535" s="450"/>
      <c r="B535" s="450"/>
      <c r="C535" s="455"/>
      <c r="D535" s="450"/>
      <c r="E535" s="450"/>
      <c r="F535" s="450"/>
      <c r="G535" s="450"/>
      <c r="H535" s="450"/>
      <c r="I535" s="450"/>
      <c r="J535" s="450"/>
      <c r="K535" s="450"/>
      <c r="L535" s="450"/>
      <c r="M535" s="450"/>
      <c r="N535" s="450"/>
      <c r="O535" s="450"/>
      <c r="P535" s="450"/>
      <c r="Q535" s="450"/>
      <c r="R535" s="450"/>
      <c r="S535" s="450"/>
      <c r="T535" s="450"/>
      <c r="U535" s="450"/>
      <c r="V535" s="450"/>
      <c r="W535" s="450"/>
      <c r="X535" s="450"/>
      <c r="Y535" s="450"/>
      <c r="Z535" s="450"/>
      <c r="AA535" s="450"/>
      <c r="AB535" s="450"/>
      <c r="AC535" s="450"/>
      <c r="AD535" s="450"/>
      <c r="AE535" s="450"/>
      <c r="AF535" s="450"/>
      <c r="AG535" s="450"/>
      <c r="AH535" s="450"/>
      <c r="AI535" s="450"/>
      <c r="AJ535" s="450"/>
      <c r="AK535" s="450"/>
    </row>
    <row r="536">
      <c r="A536" s="450"/>
      <c r="B536" s="450"/>
      <c r="C536" s="455"/>
      <c r="D536" s="450"/>
      <c r="E536" s="450"/>
      <c r="F536" s="450"/>
      <c r="G536" s="450"/>
      <c r="H536" s="450"/>
      <c r="I536" s="450"/>
      <c r="J536" s="450"/>
      <c r="K536" s="450"/>
      <c r="L536" s="450"/>
      <c r="M536" s="450"/>
      <c r="N536" s="450"/>
      <c r="O536" s="450"/>
      <c r="P536" s="450"/>
      <c r="Q536" s="450"/>
      <c r="R536" s="450"/>
      <c r="S536" s="450"/>
      <c r="T536" s="450"/>
      <c r="U536" s="450"/>
      <c r="V536" s="450"/>
      <c r="W536" s="450"/>
      <c r="X536" s="450"/>
      <c r="Y536" s="450"/>
      <c r="Z536" s="450"/>
      <c r="AA536" s="450"/>
      <c r="AB536" s="450"/>
      <c r="AC536" s="450"/>
      <c r="AD536" s="450"/>
      <c r="AE536" s="450"/>
      <c r="AF536" s="450"/>
      <c r="AG536" s="450"/>
      <c r="AH536" s="450"/>
      <c r="AI536" s="450"/>
      <c r="AJ536" s="450"/>
      <c r="AK536" s="450"/>
    </row>
    <row r="537">
      <c r="A537" s="450"/>
      <c r="B537" s="450"/>
      <c r="C537" s="455"/>
      <c r="D537" s="450"/>
      <c r="E537" s="450"/>
      <c r="F537" s="450"/>
      <c r="G537" s="450"/>
      <c r="H537" s="450"/>
      <c r="I537" s="450"/>
      <c r="J537" s="450"/>
      <c r="K537" s="450"/>
      <c r="L537" s="450"/>
      <c r="M537" s="450"/>
      <c r="N537" s="450"/>
      <c r="O537" s="450"/>
      <c r="P537" s="450"/>
      <c r="Q537" s="450"/>
      <c r="R537" s="450"/>
      <c r="S537" s="450"/>
      <c r="T537" s="450"/>
      <c r="U537" s="450"/>
      <c r="V537" s="450"/>
      <c r="W537" s="450"/>
      <c r="X537" s="450"/>
      <c r="Y537" s="450"/>
      <c r="Z537" s="450"/>
      <c r="AA537" s="450"/>
      <c r="AB537" s="450"/>
      <c r="AC537" s="450"/>
      <c r="AD537" s="450"/>
      <c r="AE537" s="450"/>
      <c r="AF537" s="450"/>
      <c r="AG537" s="450"/>
      <c r="AH537" s="450"/>
      <c r="AI537" s="450"/>
      <c r="AJ537" s="450"/>
      <c r="AK537" s="450"/>
    </row>
    <row r="538">
      <c r="A538" s="450"/>
      <c r="B538" s="450"/>
      <c r="C538" s="455"/>
      <c r="D538" s="450"/>
      <c r="E538" s="450"/>
      <c r="F538" s="450"/>
      <c r="G538" s="450"/>
      <c r="H538" s="450"/>
      <c r="I538" s="450"/>
      <c r="J538" s="450"/>
      <c r="K538" s="450"/>
      <c r="L538" s="450"/>
      <c r="M538" s="450"/>
      <c r="N538" s="450"/>
      <c r="O538" s="450"/>
      <c r="P538" s="450"/>
      <c r="Q538" s="450"/>
      <c r="R538" s="450"/>
      <c r="S538" s="450"/>
      <c r="T538" s="450"/>
      <c r="U538" s="450"/>
      <c r="V538" s="450"/>
      <c r="W538" s="450"/>
      <c r="X538" s="450"/>
      <c r="Y538" s="450"/>
      <c r="Z538" s="450"/>
      <c r="AA538" s="450"/>
      <c r="AB538" s="450"/>
      <c r="AC538" s="450"/>
      <c r="AD538" s="450"/>
      <c r="AE538" s="450"/>
      <c r="AF538" s="450"/>
      <c r="AG538" s="450"/>
      <c r="AH538" s="450"/>
      <c r="AI538" s="450"/>
      <c r="AJ538" s="450"/>
      <c r="AK538" s="450"/>
    </row>
    <row r="539">
      <c r="A539" s="450"/>
      <c r="B539" s="450"/>
      <c r="C539" s="455"/>
      <c r="D539" s="450"/>
      <c r="E539" s="450"/>
      <c r="F539" s="450"/>
      <c r="G539" s="450"/>
      <c r="H539" s="450"/>
      <c r="I539" s="450"/>
      <c r="J539" s="450"/>
      <c r="K539" s="450"/>
      <c r="L539" s="450"/>
      <c r="M539" s="450"/>
      <c r="N539" s="450"/>
      <c r="O539" s="450"/>
      <c r="P539" s="450"/>
      <c r="Q539" s="450"/>
      <c r="R539" s="450"/>
      <c r="S539" s="450"/>
      <c r="T539" s="450"/>
      <c r="U539" s="450"/>
      <c r="V539" s="450"/>
      <c r="W539" s="450"/>
      <c r="X539" s="450"/>
      <c r="Y539" s="450"/>
      <c r="Z539" s="450"/>
      <c r="AA539" s="450"/>
      <c r="AB539" s="450"/>
      <c r="AC539" s="450"/>
      <c r="AD539" s="450"/>
      <c r="AE539" s="450"/>
      <c r="AF539" s="450"/>
      <c r="AG539" s="450"/>
      <c r="AH539" s="450"/>
      <c r="AI539" s="450"/>
      <c r="AJ539" s="450"/>
      <c r="AK539" s="450"/>
    </row>
    <row r="540">
      <c r="A540" s="450"/>
      <c r="B540" s="450"/>
      <c r="C540" s="455"/>
      <c r="D540" s="450"/>
      <c r="E540" s="450"/>
      <c r="F540" s="450"/>
      <c r="G540" s="450"/>
      <c r="H540" s="450"/>
      <c r="I540" s="450"/>
      <c r="J540" s="450"/>
      <c r="K540" s="450"/>
      <c r="L540" s="450"/>
      <c r="M540" s="450"/>
      <c r="N540" s="450"/>
      <c r="O540" s="450"/>
      <c r="P540" s="450"/>
      <c r="Q540" s="450"/>
      <c r="R540" s="450"/>
      <c r="S540" s="450"/>
      <c r="T540" s="450"/>
      <c r="U540" s="450"/>
      <c r="V540" s="450"/>
      <c r="W540" s="450"/>
      <c r="X540" s="450"/>
      <c r="Y540" s="450"/>
      <c r="Z540" s="450"/>
      <c r="AA540" s="450"/>
      <c r="AB540" s="450"/>
      <c r="AC540" s="450"/>
      <c r="AD540" s="450"/>
      <c r="AE540" s="450"/>
      <c r="AF540" s="450"/>
      <c r="AG540" s="450"/>
      <c r="AH540" s="450"/>
      <c r="AI540" s="450"/>
      <c r="AJ540" s="450"/>
      <c r="AK540" s="450"/>
    </row>
    <row r="541">
      <c r="A541" s="450"/>
      <c r="B541" s="450"/>
      <c r="C541" s="455"/>
      <c r="D541" s="450"/>
      <c r="E541" s="450"/>
      <c r="F541" s="450"/>
      <c r="G541" s="450"/>
      <c r="H541" s="450"/>
      <c r="I541" s="450"/>
      <c r="J541" s="450"/>
      <c r="K541" s="450"/>
      <c r="L541" s="450"/>
      <c r="M541" s="450"/>
      <c r="N541" s="450"/>
      <c r="O541" s="450"/>
      <c r="P541" s="450"/>
      <c r="Q541" s="450"/>
      <c r="R541" s="450"/>
      <c r="S541" s="450"/>
      <c r="T541" s="450"/>
      <c r="U541" s="450"/>
      <c r="V541" s="450"/>
      <c r="W541" s="450"/>
      <c r="X541" s="450"/>
      <c r="Y541" s="450"/>
      <c r="Z541" s="450"/>
      <c r="AA541" s="450"/>
      <c r="AB541" s="450"/>
      <c r="AC541" s="450"/>
      <c r="AD541" s="450"/>
      <c r="AE541" s="450"/>
      <c r="AF541" s="450"/>
      <c r="AG541" s="450"/>
      <c r="AH541" s="450"/>
      <c r="AI541" s="450"/>
      <c r="AJ541" s="450"/>
      <c r="AK541" s="450"/>
    </row>
    <row r="542">
      <c r="A542" s="450"/>
      <c r="B542" s="450"/>
      <c r="C542" s="455"/>
      <c r="D542" s="450"/>
      <c r="E542" s="450"/>
      <c r="F542" s="450"/>
      <c r="G542" s="450"/>
      <c r="H542" s="450"/>
      <c r="I542" s="450"/>
      <c r="J542" s="450"/>
      <c r="K542" s="450"/>
      <c r="L542" s="450"/>
      <c r="M542" s="450"/>
      <c r="N542" s="450"/>
      <c r="O542" s="450"/>
      <c r="P542" s="450"/>
      <c r="Q542" s="450"/>
      <c r="R542" s="450"/>
      <c r="S542" s="450"/>
      <c r="T542" s="450"/>
      <c r="U542" s="450"/>
      <c r="V542" s="450"/>
      <c r="W542" s="450"/>
      <c r="X542" s="450"/>
      <c r="Y542" s="450"/>
      <c r="Z542" s="450"/>
      <c r="AA542" s="450"/>
      <c r="AB542" s="450"/>
      <c r="AC542" s="450"/>
      <c r="AD542" s="450"/>
      <c r="AE542" s="450"/>
      <c r="AF542" s="450"/>
      <c r="AG542" s="450"/>
      <c r="AH542" s="450"/>
      <c r="AI542" s="450"/>
      <c r="AJ542" s="450"/>
      <c r="AK542" s="450"/>
    </row>
    <row r="543">
      <c r="A543" s="450"/>
      <c r="B543" s="450"/>
      <c r="C543" s="455"/>
      <c r="D543" s="450"/>
      <c r="E543" s="450"/>
      <c r="F543" s="450"/>
      <c r="G543" s="450"/>
      <c r="H543" s="450"/>
      <c r="I543" s="450"/>
      <c r="J543" s="450"/>
      <c r="K543" s="450"/>
      <c r="L543" s="450"/>
      <c r="M543" s="450"/>
      <c r="N543" s="450"/>
      <c r="O543" s="450"/>
      <c r="P543" s="450"/>
      <c r="Q543" s="450"/>
      <c r="R543" s="450"/>
      <c r="S543" s="450"/>
      <c r="T543" s="450"/>
      <c r="U543" s="450"/>
      <c r="V543" s="450"/>
      <c r="W543" s="450"/>
      <c r="X543" s="450"/>
      <c r="Y543" s="450"/>
      <c r="Z543" s="450"/>
      <c r="AA543" s="450"/>
      <c r="AB543" s="450"/>
      <c r="AC543" s="450"/>
      <c r="AD543" s="450"/>
      <c r="AE543" s="450"/>
      <c r="AF543" s="450"/>
      <c r="AG543" s="450"/>
      <c r="AH543" s="450"/>
      <c r="AI543" s="450"/>
      <c r="AJ543" s="450"/>
      <c r="AK543" s="450"/>
    </row>
    <row r="544">
      <c r="A544" s="450"/>
      <c r="B544" s="450"/>
      <c r="C544" s="455"/>
      <c r="D544" s="450"/>
      <c r="E544" s="450"/>
      <c r="F544" s="450"/>
      <c r="G544" s="450"/>
      <c r="H544" s="450"/>
      <c r="I544" s="450"/>
      <c r="J544" s="450"/>
      <c r="K544" s="450"/>
      <c r="L544" s="450"/>
      <c r="M544" s="450"/>
      <c r="N544" s="450"/>
      <c r="O544" s="450"/>
      <c r="P544" s="450"/>
      <c r="Q544" s="450"/>
      <c r="R544" s="450"/>
      <c r="S544" s="450"/>
      <c r="T544" s="450"/>
      <c r="U544" s="450"/>
      <c r="V544" s="450"/>
      <c r="W544" s="450"/>
      <c r="X544" s="450"/>
      <c r="Y544" s="450"/>
      <c r="Z544" s="450"/>
      <c r="AA544" s="450"/>
      <c r="AB544" s="450"/>
      <c r="AC544" s="450"/>
      <c r="AD544" s="450"/>
      <c r="AE544" s="450"/>
      <c r="AF544" s="450"/>
      <c r="AG544" s="450"/>
      <c r="AH544" s="450"/>
      <c r="AI544" s="450"/>
      <c r="AJ544" s="450"/>
      <c r="AK544" s="450"/>
    </row>
    <row r="545">
      <c r="A545" s="450"/>
      <c r="B545" s="450"/>
      <c r="C545" s="455"/>
      <c r="D545" s="450"/>
      <c r="E545" s="450"/>
      <c r="F545" s="450"/>
      <c r="G545" s="450"/>
      <c r="H545" s="450"/>
      <c r="I545" s="450"/>
      <c r="J545" s="450"/>
      <c r="K545" s="450"/>
      <c r="L545" s="450"/>
      <c r="M545" s="450"/>
      <c r="N545" s="450"/>
      <c r="O545" s="450"/>
      <c r="P545" s="450"/>
      <c r="Q545" s="450"/>
      <c r="R545" s="450"/>
      <c r="S545" s="450"/>
      <c r="T545" s="450"/>
      <c r="U545" s="450"/>
      <c r="V545" s="450"/>
      <c r="W545" s="450"/>
      <c r="X545" s="450"/>
      <c r="Y545" s="450"/>
      <c r="Z545" s="450"/>
      <c r="AA545" s="450"/>
      <c r="AB545" s="450"/>
      <c r="AC545" s="450"/>
      <c r="AD545" s="450"/>
      <c r="AE545" s="450"/>
      <c r="AF545" s="450"/>
      <c r="AG545" s="450"/>
      <c r="AH545" s="450"/>
      <c r="AI545" s="450"/>
      <c r="AJ545" s="450"/>
      <c r="AK545" s="450"/>
    </row>
    <row r="546">
      <c r="A546" s="450"/>
      <c r="B546" s="450"/>
      <c r="C546" s="455"/>
      <c r="D546" s="450"/>
      <c r="E546" s="450"/>
      <c r="F546" s="450"/>
      <c r="G546" s="450"/>
      <c r="H546" s="450"/>
      <c r="I546" s="450"/>
      <c r="J546" s="450"/>
      <c r="K546" s="450"/>
      <c r="L546" s="450"/>
      <c r="M546" s="450"/>
      <c r="N546" s="450"/>
      <c r="O546" s="450"/>
      <c r="P546" s="450"/>
      <c r="Q546" s="450"/>
      <c r="R546" s="450"/>
      <c r="S546" s="450"/>
      <c r="T546" s="450"/>
      <c r="U546" s="450"/>
      <c r="V546" s="450"/>
      <c r="W546" s="450"/>
      <c r="X546" s="450"/>
      <c r="Y546" s="450"/>
      <c r="Z546" s="450"/>
      <c r="AA546" s="450"/>
      <c r="AB546" s="450"/>
      <c r="AC546" s="450"/>
      <c r="AD546" s="450"/>
      <c r="AE546" s="450"/>
      <c r="AF546" s="450"/>
      <c r="AG546" s="450"/>
      <c r="AH546" s="450"/>
      <c r="AI546" s="450"/>
      <c r="AJ546" s="450"/>
      <c r="AK546" s="450"/>
    </row>
    <row r="547">
      <c r="A547" s="450"/>
      <c r="B547" s="450"/>
      <c r="C547" s="455"/>
      <c r="D547" s="450"/>
      <c r="E547" s="450"/>
      <c r="F547" s="450"/>
      <c r="G547" s="450"/>
      <c r="H547" s="450"/>
      <c r="I547" s="450"/>
      <c r="J547" s="450"/>
      <c r="K547" s="450"/>
      <c r="L547" s="450"/>
      <c r="M547" s="450"/>
      <c r="N547" s="450"/>
      <c r="O547" s="450"/>
      <c r="P547" s="450"/>
      <c r="Q547" s="450"/>
      <c r="R547" s="450"/>
      <c r="S547" s="450"/>
      <c r="T547" s="450"/>
      <c r="U547" s="450"/>
      <c r="V547" s="450"/>
      <c r="W547" s="450"/>
      <c r="X547" s="450"/>
      <c r="Y547" s="450"/>
      <c r="Z547" s="450"/>
      <c r="AA547" s="450"/>
      <c r="AB547" s="450"/>
      <c r="AC547" s="450"/>
      <c r="AD547" s="450"/>
      <c r="AE547" s="450"/>
      <c r="AF547" s="450"/>
      <c r="AG547" s="450"/>
      <c r="AH547" s="450"/>
      <c r="AI547" s="450"/>
      <c r="AJ547" s="450"/>
      <c r="AK547" s="450"/>
    </row>
    <row r="548">
      <c r="A548" s="450"/>
      <c r="B548" s="450"/>
      <c r="C548" s="455"/>
      <c r="D548" s="450"/>
      <c r="E548" s="450"/>
      <c r="F548" s="450"/>
      <c r="G548" s="450"/>
      <c r="H548" s="450"/>
      <c r="I548" s="450"/>
      <c r="J548" s="450"/>
      <c r="K548" s="450"/>
      <c r="L548" s="450"/>
      <c r="M548" s="450"/>
      <c r="N548" s="450"/>
      <c r="O548" s="450"/>
      <c r="P548" s="450"/>
      <c r="Q548" s="450"/>
      <c r="R548" s="450"/>
      <c r="S548" s="450"/>
      <c r="T548" s="450"/>
      <c r="U548" s="450"/>
      <c r="V548" s="450"/>
      <c r="W548" s="450"/>
      <c r="X548" s="450"/>
      <c r="Y548" s="450"/>
      <c r="Z548" s="450"/>
      <c r="AA548" s="450"/>
      <c r="AB548" s="450"/>
      <c r="AC548" s="450"/>
      <c r="AD548" s="450"/>
      <c r="AE548" s="450"/>
      <c r="AF548" s="450"/>
      <c r="AG548" s="450"/>
      <c r="AH548" s="450"/>
      <c r="AI548" s="450"/>
      <c r="AJ548" s="450"/>
      <c r="AK548" s="450"/>
    </row>
    <row r="549">
      <c r="A549" s="450"/>
      <c r="B549" s="450"/>
      <c r="C549" s="455"/>
      <c r="D549" s="450"/>
      <c r="E549" s="450"/>
      <c r="F549" s="450"/>
      <c r="G549" s="450"/>
      <c r="H549" s="450"/>
      <c r="I549" s="450"/>
      <c r="J549" s="450"/>
      <c r="K549" s="450"/>
      <c r="L549" s="450"/>
      <c r="M549" s="450"/>
      <c r="N549" s="450"/>
      <c r="O549" s="450"/>
      <c r="P549" s="450"/>
      <c r="Q549" s="450"/>
      <c r="R549" s="450"/>
      <c r="S549" s="450"/>
      <c r="T549" s="450"/>
      <c r="U549" s="450"/>
      <c r="V549" s="450"/>
      <c r="W549" s="450"/>
      <c r="X549" s="450"/>
      <c r="Y549" s="450"/>
      <c r="Z549" s="450"/>
      <c r="AA549" s="450"/>
      <c r="AB549" s="450"/>
      <c r="AC549" s="450"/>
      <c r="AD549" s="450"/>
      <c r="AE549" s="450"/>
      <c r="AF549" s="450"/>
      <c r="AG549" s="450"/>
      <c r="AH549" s="450"/>
      <c r="AI549" s="450"/>
      <c r="AJ549" s="450"/>
      <c r="AK549" s="450"/>
    </row>
    <row r="550">
      <c r="A550" s="450"/>
      <c r="B550" s="450"/>
      <c r="C550" s="455"/>
      <c r="D550" s="450"/>
      <c r="E550" s="450"/>
      <c r="F550" s="450"/>
      <c r="G550" s="450"/>
      <c r="H550" s="450"/>
      <c r="I550" s="450"/>
      <c r="J550" s="450"/>
      <c r="K550" s="450"/>
      <c r="L550" s="450"/>
      <c r="M550" s="450"/>
      <c r="N550" s="450"/>
      <c r="O550" s="450"/>
      <c r="P550" s="450"/>
      <c r="Q550" s="450"/>
      <c r="R550" s="450"/>
      <c r="S550" s="450"/>
      <c r="T550" s="450"/>
      <c r="U550" s="450"/>
      <c r="V550" s="450"/>
      <c r="W550" s="450"/>
      <c r="X550" s="450"/>
      <c r="Y550" s="450"/>
      <c r="Z550" s="450"/>
      <c r="AA550" s="450"/>
      <c r="AB550" s="450"/>
      <c r="AC550" s="450"/>
      <c r="AD550" s="450"/>
      <c r="AE550" s="450"/>
      <c r="AF550" s="450"/>
      <c r="AG550" s="450"/>
      <c r="AH550" s="450"/>
      <c r="AI550" s="450"/>
      <c r="AJ550" s="450"/>
      <c r="AK550" s="450"/>
    </row>
    <row r="551">
      <c r="A551" s="450"/>
      <c r="B551" s="450"/>
      <c r="C551" s="455"/>
      <c r="D551" s="450"/>
      <c r="E551" s="450"/>
      <c r="F551" s="450"/>
      <c r="G551" s="450"/>
      <c r="H551" s="450"/>
      <c r="I551" s="450"/>
      <c r="J551" s="450"/>
      <c r="K551" s="450"/>
      <c r="L551" s="450"/>
      <c r="M551" s="450"/>
      <c r="N551" s="450"/>
      <c r="O551" s="450"/>
      <c r="P551" s="450"/>
      <c r="Q551" s="450"/>
      <c r="R551" s="450"/>
      <c r="S551" s="450"/>
      <c r="T551" s="450"/>
      <c r="U551" s="450"/>
      <c r="V551" s="450"/>
      <c r="W551" s="450"/>
      <c r="X551" s="450"/>
      <c r="Y551" s="450"/>
      <c r="Z551" s="450"/>
      <c r="AA551" s="450"/>
      <c r="AB551" s="450"/>
      <c r="AC551" s="450"/>
      <c r="AD551" s="450"/>
      <c r="AE551" s="450"/>
      <c r="AF551" s="450"/>
      <c r="AG551" s="450"/>
      <c r="AH551" s="450"/>
      <c r="AI551" s="450"/>
      <c r="AJ551" s="450"/>
      <c r="AK551" s="450"/>
    </row>
    <row r="552">
      <c r="A552" s="450"/>
      <c r="B552" s="450"/>
      <c r="C552" s="455"/>
      <c r="D552" s="450"/>
      <c r="E552" s="450"/>
      <c r="F552" s="450"/>
      <c r="G552" s="450"/>
      <c r="H552" s="450"/>
      <c r="I552" s="450"/>
      <c r="J552" s="450"/>
      <c r="K552" s="450"/>
      <c r="L552" s="450"/>
      <c r="M552" s="450"/>
      <c r="N552" s="450"/>
      <c r="O552" s="450"/>
      <c r="P552" s="450"/>
      <c r="Q552" s="450"/>
      <c r="R552" s="450"/>
      <c r="S552" s="450"/>
      <c r="T552" s="450"/>
      <c r="U552" s="450"/>
      <c r="V552" s="450"/>
      <c r="W552" s="450"/>
      <c r="X552" s="450"/>
      <c r="Y552" s="450"/>
      <c r="Z552" s="450"/>
      <c r="AA552" s="450"/>
      <c r="AB552" s="450"/>
      <c r="AC552" s="450"/>
      <c r="AD552" s="450"/>
      <c r="AE552" s="450"/>
      <c r="AF552" s="450"/>
      <c r="AG552" s="450"/>
      <c r="AH552" s="450"/>
      <c r="AI552" s="450"/>
      <c r="AJ552" s="450"/>
      <c r="AK552" s="450"/>
    </row>
    <row r="553">
      <c r="A553" s="450"/>
      <c r="B553" s="450"/>
      <c r="C553" s="455"/>
      <c r="D553" s="450"/>
      <c r="E553" s="450"/>
      <c r="F553" s="450"/>
      <c r="G553" s="450"/>
      <c r="H553" s="450"/>
      <c r="I553" s="450"/>
      <c r="J553" s="450"/>
      <c r="K553" s="450"/>
      <c r="L553" s="450"/>
      <c r="M553" s="450"/>
      <c r="N553" s="450"/>
      <c r="O553" s="450"/>
      <c r="P553" s="450"/>
      <c r="Q553" s="450"/>
      <c r="R553" s="450"/>
      <c r="S553" s="450"/>
      <c r="T553" s="450"/>
      <c r="U553" s="450"/>
      <c r="V553" s="450"/>
      <c r="W553" s="450"/>
      <c r="X553" s="450"/>
      <c r="Y553" s="450"/>
      <c r="Z553" s="450"/>
      <c r="AA553" s="450"/>
      <c r="AB553" s="450"/>
      <c r="AC553" s="450"/>
      <c r="AD553" s="450"/>
      <c r="AE553" s="450"/>
      <c r="AF553" s="450"/>
      <c r="AG553" s="450"/>
      <c r="AH553" s="450"/>
      <c r="AI553" s="450"/>
      <c r="AJ553" s="450"/>
      <c r="AK553" s="450"/>
    </row>
    <row r="554">
      <c r="A554" s="450"/>
      <c r="B554" s="450"/>
      <c r="C554" s="455"/>
      <c r="D554" s="450"/>
      <c r="E554" s="450"/>
      <c r="F554" s="450"/>
      <c r="G554" s="450"/>
      <c r="H554" s="450"/>
      <c r="I554" s="450"/>
      <c r="J554" s="450"/>
      <c r="K554" s="450"/>
      <c r="L554" s="450"/>
      <c r="M554" s="450"/>
      <c r="N554" s="450"/>
      <c r="O554" s="450"/>
      <c r="P554" s="450"/>
      <c r="Q554" s="450"/>
      <c r="R554" s="450"/>
      <c r="S554" s="450"/>
      <c r="T554" s="450"/>
      <c r="U554" s="450"/>
      <c r="V554" s="450"/>
      <c r="W554" s="450"/>
      <c r="X554" s="450"/>
      <c r="Y554" s="450"/>
      <c r="Z554" s="450"/>
      <c r="AA554" s="450"/>
      <c r="AB554" s="450"/>
      <c r="AC554" s="450"/>
      <c r="AD554" s="450"/>
      <c r="AE554" s="450"/>
      <c r="AF554" s="450"/>
      <c r="AG554" s="450"/>
      <c r="AH554" s="450"/>
      <c r="AI554" s="450"/>
      <c r="AJ554" s="450"/>
      <c r="AK554" s="450"/>
    </row>
    <row r="555">
      <c r="A555" s="450"/>
      <c r="B555" s="450"/>
      <c r="C555" s="455"/>
      <c r="D555" s="450"/>
      <c r="E555" s="450"/>
      <c r="F555" s="450"/>
      <c r="G555" s="450"/>
      <c r="H555" s="450"/>
      <c r="I555" s="450"/>
      <c r="J555" s="450"/>
      <c r="K555" s="450"/>
      <c r="L555" s="450"/>
      <c r="M555" s="450"/>
      <c r="N555" s="450"/>
      <c r="O555" s="450"/>
      <c r="P555" s="450"/>
      <c r="Q555" s="450"/>
      <c r="R555" s="450"/>
      <c r="S555" s="450"/>
      <c r="T555" s="450"/>
      <c r="U555" s="450"/>
      <c r="V555" s="450"/>
      <c r="W555" s="450"/>
      <c r="X555" s="450"/>
      <c r="Y555" s="450"/>
      <c r="Z555" s="450"/>
      <c r="AA555" s="450"/>
      <c r="AB555" s="450"/>
      <c r="AC555" s="450"/>
      <c r="AD555" s="450"/>
      <c r="AE555" s="450"/>
      <c r="AF555" s="450"/>
      <c r="AG555" s="450"/>
      <c r="AH555" s="450"/>
      <c r="AI555" s="450"/>
      <c r="AJ555" s="450"/>
      <c r="AK555" s="450"/>
    </row>
    <row r="556">
      <c r="A556" s="450"/>
      <c r="B556" s="450"/>
      <c r="C556" s="455"/>
      <c r="D556" s="450"/>
      <c r="E556" s="450"/>
      <c r="F556" s="450"/>
      <c r="G556" s="450"/>
      <c r="H556" s="450"/>
      <c r="I556" s="450"/>
      <c r="J556" s="450"/>
      <c r="K556" s="450"/>
      <c r="L556" s="450"/>
      <c r="M556" s="450"/>
      <c r="N556" s="450"/>
      <c r="O556" s="450"/>
      <c r="P556" s="450"/>
      <c r="Q556" s="450"/>
      <c r="R556" s="450"/>
      <c r="S556" s="450"/>
      <c r="T556" s="450"/>
      <c r="U556" s="450"/>
      <c r="V556" s="450"/>
      <c r="W556" s="450"/>
      <c r="X556" s="450"/>
      <c r="Y556" s="450"/>
      <c r="Z556" s="450"/>
      <c r="AA556" s="450"/>
      <c r="AB556" s="450"/>
      <c r="AC556" s="450"/>
      <c r="AD556" s="450"/>
      <c r="AE556" s="450"/>
      <c r="AF556" s="450"/>
      <c r="AG556" s="450"/>
      <c r="AH556" s="450"/>
      <c r="AI556" s="450"/>
      <c r="AJ556" s="450"/>
      <c r="AK556" s="450"/>
    </row>
    <row r="557">
      <c r="A557" s="450"/>
      <c r="B557" s="450"/>
      <c r="C557" s="455"/>
      <c r="D557" s="450"/>
      <c r="E557" s="450"/>
      <c r="F557" s="450"/>
      <c r="G557" s="450"/>
      <c r="H557" s="450"/>
      <c r="I557" s="450"/>
      <c r="J557" s="450"/>
      <c r="K557" s="450"/>
      <c r="L557" s="450"/>
      <c r="M557" s="450"/>
      <c r="N557" s="450"/>
      <c r="O557" s="450"/>
      <c r="P557" s="450"/>
      <c r="Q557" s="450"/>
      <c r="R557" s="450"/>
      <c r="S557" s="450"/>
      <c r="T557" s="450"/>
      <c r="U557" s="450"/>
      <c r="V557" s="450"/>
      <c r="W557" s="450"/>
      <c r="X557" s="450"/>
      <c r="Y557" s="450"/>
      <c r="Z557" s="450"/>
      <c r="AA557" s="450"/>
      <c r="AB557" s="450"/>
      <c r="AC557" s="450"/>
      <c r="AD557" s="450"/>
      <c r="AE557" s="450"/>
      <c r="AF557" s="450"/>
      <c r="AG557" s="450"/>
      <c r="AH557" s="450"/>
      <c r="AI557" s="450"/>
      <c r="AJ557" s="450"/>
      <c r="AK557" s="450"/>
    </row>
    <row r="558">
      <c r="A558" s="450"/>
      <c r="B558" s="450"/>
      <c r="C558" s="455"/>
      <c r="D558" s="450"/>
      <c r="E558" s="450"/>
      <c r="F558" s="450"/>
      <c r="G558" s="450"/>
      <c r="H558" s="450"/>
      <c r="I558" s="450"/>
      <c r="J558" s="450"/>
      <c r="K558" s="450"/>
      <c r="L558" s="450"/>
      <c r="M558" s="450"/>
      <c r="N558" s="450"/>
      <c r="O558" s="450"/>
      <c r="P558" s="450"/>
      <c r="Q558" s="450"/>
      <c r="R558" s="450"/>
      <c r="S558" s="450"/>
      <c r="T558" s="450"/>
      <c r="U558" s="450"/>
      <c r="V558" s="450"/>
      <c r="W558" s="450"/>
      <c r="X558" s="450"/>
      <c r="Y558" s="450"/>
      <c r="Z558" s="450"/>
      <c r="AA558" s="450"/>
      <c r="AB558" s="450"/>
      <c r="AC558" s="450"/>
      <c r="AD558" s="450"/>
      <c r="AE558" s="450"/>
      <c r="AF558" s="450"/>
      <c r="AG558" s="450"/>
      <c r="AH558" s="450"/>
      <c r="AI558" s="450"/>
      <c r="AJ558" s="450"/>
      <c r="AK558" s="450"/>
    </row>
    <row r="559">
      <c r="A559" s="450"/>
      <c r="B559" s="450"/>
      <c r="C559" s="455"/>
      <c r="D559" s="450"/>
      <c r="E559" s="450"/>
      <c r="F559" s="450"/>
      <c r="G559" s="450"/>
      <c r="H559" s="450"/>
      <c r="I559" s="450"/>
      <c r="J559" s="450"/>
      <c r="K559" s="450"/>
      <c r="L559" s="450"/>
      <c r="M559" s="450"/>
      <c r="N559" s="450"/>
      <c r="O559" s="450"/>
      <c r="P559" s="450"/>
      <c r="Q559" s="450"/>
      <c r="R559" s="450"/>
      <c r="S559" s="450"/>
      <c r="T559" s="450"/>
      <c r="U559" s="450"/>
      <c r="V559" s="450"/>
      <c r="W559" s="450"/>
      <c r="X559" s="450"/>
      <c r="Y559" s="450"/>
      <c r="Z559" s="450"/>
      <c r="AA559" s="450"/>
      <c r="AB559" s="450"/>
      <c r="AC559" s="450"/>
      <c r="AD559" s="450"/>
      <c r="AE559" s="450"/>
      <c r="AF559" s="450"/>
      <c r="AG559" s="450"/>
      <c r="AH559" s="450"/>
      <c r="AI559" s="450"/>
      <c r="AJ559" s="450"/>
      <c r="AK559" s="450"/>
    </row>
    <row r="560">
      <c r="A560" s="450"/>
      <c r="B560" s="450"/>
      <c r="C560" s="455"/>
      <c r="D560" s="450"/>
      <c r="E560" s="450"/>
      <c r="F560" s="450"/>
      <c r="G560" s="450"/>
      <c r="H560" s="450"/>
      <c r="I560" s="450"/>
      <c r="J560" s="450"/>
      <c r="K560" s="450"/>
      <c r="L560" s="450"/>
      <c r="M560" s="450"/>
      <c r="N560" s="450"/>
      <c r="O560" s="450"/>
      <c r="P560" s="450"/>
      <c r="Q560" s="450"/>
      <c r="R560" s="450"/>
      <c r="S560" s="450"/>
      <c r="T560" s="450"/>
      <c r="U560" s="450"/>
      <c r="V560" s="450"/>
      <c r="W560" s="450"/>
      <c r="X560" s="450"/>
      <c r="Y560" s="450"/>
      <c r="Z560" s="450"/>
      <c r="AA560" s="450"/>
      <c r="AB560" s="450"/>
      <c r="AC560" s="450"/>
      <c r="AD560" s="450"/>
      <c r="AE560" s="450"/>
      <c r="AF560" s="450"/>
      <c r="AG560" s="450"/>
      <c r="AH560" s="450"/>
      <c r="AI560" s="450"/>
      <c r="AJ560" s="450"/>
      <c r="AK560" s="450"/>
    </row>
    <row r="561">
      <c r="A561" s="450"/>
      <c r="B561" s="450"/>
      <c r="C561" s="455"/>
      <c r="D561" s="450"/>
      <c r="E561" s="450"/>
      <c r="F561" s="450"/>
      <c r="G561" s="450"/>
      <c r="H561" s="450"/>
      <c r="I561" s="450"/>
      <c r="J561" s="450"/>
      <c r="K561" s="450"/>
      <c r="L561" s="450"/>
      <c r="M561" s="450"/>
      <c r="N561" s="450"/>
      <c r="O561" s="450"/>
      <c r="P561" s="450"/>
      <c r="Q561" s="450"/>
      <c r="R561" s="450"/>
      <c r="S561" s="450"/>
      <c r="T561" s="450"/>
      <c r="U561" s="450"/>
      <c r="V561" s="450"/>
      <c r="W561" s="450"/>
      <c r="X561" s="450"/>
      <c r="Y561" s="450"/>
      <c r="Z561" s="450"/>
      <c r="AA561" s="450"/>
      <c r="AB561" s="450"/>
      <c r="AC561" s="450"/>
      <c r="AD561" s="450"/>
      <c r="AE561" s="450"/>
      <c r="AF561" s="450"/>
      <c r="AG561" s="450"/>
      <c r="AH561" s="450"/>
      <c r="AI561" s="450"/>
      <c r="AJ561" s="450"/>
      <c r="AK561" s="450"/>
    </row>
    <row r="562">
      <c r="A562" s="450"/>
      <c r="B562" s="450"/>
      <c r="C562" s="455"/>
      <c r="D562" s="450"/>
      <c r="E562" s="450"/>
      <c r="F562" s="450"/>
      <c r="G562" s="450"/>
      <c r="H562" s="450"/>
      <c r="I562" s="450"/>
      <c r="J562" s="450"/>
      <c r="K562" s="450"/>
      <c r="L562" s="450"/>
      <c r="M562" s="450"/>
      <c r="N562" s="450"/>
      <c r="O562" s="450"/>
      <c r="P562" s="450"/>
      <c r="Q562" s="450"/>
      <c r="R562" s="450"/>
      <c r="S562" s="450"/>
      <c r="T562" s="450"/>
      <c r="U562" s="450"/>
      <c r="V562" s="450"/>
      <c r="W562" s="450"/>
      <c r="X562" s="450"/>
      <c r="Y562" s="450"/>
      <c r="Z562" s="450"/>
      <c r="AA562" s="450"/>
      <c r="AB562" s="450"/>
      <c r="AC562" s="450"/>
      <c r="AD562" s="450"/>
      <c r="AE562" s="450"/>
      <c r="AF562" s="450"/>
      <c r="AG562" s="450"/>
      <c r="AH562" s="450"/>
      <c r="AI562" s="450"/>
      <c r="AJ562" s="450"/>
      <c r="AK562" s="450"/>
    </row>
    <row r="563">
      <c r="A563" s="450"/>
      <c r="B563" s="450"/>
      <c r="C563" s="455"/>
      <c r="D563" s="450"/>
      <c r="E563" s="450"/>
      <c r="F563" s="450"/>
      <c r="G563" s="450"/>
      <c r="H563" s="450"/>
      <c r="I563" s="450"/>
      <c r="J563" s="450"/>
      <c r="K563" s="450"/>
      <c r="L563" s="450"/>
      <c r="M563" s="450"/>
      <c r="N563" s="450"/>
      <c r="O563" s="450"/>
      <c r="P563" s="450"/>
      <c r="Q563" s="450"/>
      <c r="R563" s="450"/>
      <c r="S563" s="450"/>
      <c r="T563" s="450"/>
      <c r="U563" s="450"/>
      <c r="V563" s="450"/>
      <c r="W563" s="450"/>
      <c r="X563" s="450"/>
      <c r="Y563" s="450"/>
      <c r="Z563" s="450"/>
      <c r="AA563" s="450"/>
      <c r="AB563" s="450"/>
      <c r="AC563" s="450"/>
      <c r="AD563" s="450"/>
      <c r="AE563" s="450"/>
      <c r="AF563" s="450"/>
      <c r="AG563" s="450"/>
      <c r="AH563" s="450"/>
      <c r="AI563" s="450"/>
      <c r="AJ563" s="450"/>
      <c r="AK563" s="450"/>
    </row>
    <row r="564">
      <c r="A564" s="450"/>
      <c r="B564" s="450"/>
      <c r="C564" s="455"/>
      <c r="D564" s="450"/>
      <c r="E564" s="450"/>
      <c r="F564" s="450"/>
      <c r="G564" s="450"/>
      <c r="H564" s="450"/>
      <c r="I564" s="450"/>
      <c r="J564" s="450"/>
      <c r="K564" s="450"/>
      <c r="L564" s="450"/>
      <c r="M564" s="450"/>
      <c r="N564" s="450"/>
      <c r="O564" s="450"/>
      <c r="P564" s="450"/>
      <c r="Q564" s="450"/>
      <c r="R564" s="450"/>
      <c r="S564" s="450"/>
      <c r="T564" s="450"/>
      <c r="U564" s="450"/>
      <c r="V564" s="450"/>
      <c r="W564" s="450"/>
      <c r="X564" s="450"/>
      <c r="Y564" s="450"/>
      <c r="Z564" s="450"/>
      <c r="AA564" s="450"/>
      <c r="AB564" s="450"/>
      <c r="AC564" s="450"/>
      <c r="AD564" s="450"/>
      <c r="AE564" s="450"/>
      <c r="AF564" s="450"/>
      <c r="AG564" s="450"/>
      <c r="AH564" s="450"/>
      <c r="AI564" s="450"/>
      <c r="AJ564" s="450"/>
      <c r="AK564" s="450"/>
    </row>
    <row r="565">
      <c r="A565" s="450"/>
      <c r="B565" s="450"/>
      <c r="C565" s="455"/>
      <c r="D565" s="450"/>
      <c r="E565" s="450"/>
      <c r="F565" s="450"/>
      <c r="G565" s="450"/>
      <c r="H565" s="450"/>
      <c r="I565" s="450"/>
      <c r="J565" s="450"/>
      <c r="K565" s="450"/>
      <c r="L565" s="450"/>
      <c r="M565" s="450"/>
      <c r="N565" s="450"/>
      <c r="O565" s="450"/>
      <c r="P565" s="450"/>
      <c r="Q565" s="450"/>
      <c r="R565" s="450"/>
      <c r="S565" s="450"/>
      <c r="T565" s="450"/>
      <c r="U565" s="450"/>
      <c r="V565" s="450"/>
      <c r="W565" s="450"/>
      <c r="X565" s="450"/>
      <c r="Y565" s="450"/>
      <c r="Z565" s="450"/>
      <c r="AA565" s="450"/>
      <c r="AB565" s="450"/>
      <c r="AC565" s="450"/>
      <c r="AD565" s="450"/>
      <c r="AE565" s="450"/>
      <c r="AF565" s="450"/>
      <c r="AG565" s="450"/>
      <c r="AH565" s="450"/>
      <c r="AI565" s="450"/>
      <c r="AJ565" s="450"/>
      <c r="AK565" s="450"/>
    </row>
    <row r="566">
      <c r="A566" s="450"/>
      <c r="B566" s="450"/>
      <c r="C566" s="455"/>
      <c r="D566" s="450"/>
      <c r="E566" s="450"/>
      <c r="F566" s="450"/>
      <c r="G566" s="450"/>
      <c r="H566" s="450"/>
      <c r="I566" s="450"/>
      <c r="J566" s="450"/>
      <c r="K566" s="450"/>
      <c r="L566" s="450"/>
      <c r="M566" s="450"/>
      <c r="N566" s="450"/>
      <c r="O566" s="450"/>
      <c r="P566" s="450"/>
      <c r="Q566" s="450"/>
      <c r="R566" s="450"/>
      <c r="S566" s="450"/>
      <c r="T566" s="450"/>
      <c r="U566" s="450"/>
      <c r="V566" s="450"/>
      <c r="W566" s="450"/>
      <c r="X566" s="450"/>
      <c r="Y566" s="450"/>
      <c r="Z566" s="450"/>
      <c r="AA566" s="450"/>
      <c r="AB566" s="450"/>
      <c r="AC566" s="450"/>
      <c r="AD566" s="450"/>
      <c r="AE566" s="450"/>
      <c r="AF566" s="450"/>
      <c r="AG566" s="450"/>
      <c r="AH566" s="450"/>
      <c r="AI566" s="450"/>
      <c r="AJ566" s="450"/>
      <c r="AK566" s="450"/>
    </row>
    <row r="567">
      <c r="A567" s="450"/>
      <c r="B567" s="450"/>
      <c r="C567" s="455"/>
      <c r="D567" s="450"/>
      <c r="E567" s="450"/>
      <c r="F567" s="450"/>
      <c r="G567" s="450"/>
      <c r="H567" s="450"/>
      <c r="I567" s="450"/>
      <c r="J567" s="450"/>
      <c r="K567" s="450"/>
      <c r="L567" s="450"/>
      <c r="M567" s="450"/>
      <c r="N567" s="450"/>
      <c r="O567" s="450"/>
      <c r="P567" s="450"/>
      <c r="Q567" s="450"/>
      <c r="R567" s="450"/>
      <c r="S567" s="450"/>
      <c r="T567" s="450"/>
      <c r="U567" s="450"/>
      <c r="V567" s="450"/>
      <c r="W567" s="450"/>
      <c r="X567" s="450"/>
      <c r="Y567" s="450"/>
      <c r="Z567" s="450"/>
      <c r="AA567" s="450"/>
      <c r="AB567" s="450"/>
      <c r="AC567" s="450"/>
      <c r="AD567" s="450"/>
      <c r="AE567" s="450"/>
      <c r="AF567" s="450"/>
      <c r="AG567" s="450"/>
      <c r="AH567" s="450"/>
      <c r="AI567" s="450"/>
      <c r="AJ567" s="450"/>
      <c r="AK567" s="450"/>
    </row>
    <row r="568">
      <c r="A568" s="450"/>
      <c r="B568" s="450"/>
      <c r="C568" s="455"/>
      <c r="D568" s="450"/>
      <c r="E568" s="450"/>
      <c r="F568" s="450"/>
      <c r="G568" s="450"/>
      <c r="H568" s="450"/>
      <c r="I568" s="450"/>
      <c r="J568" s="450"/>
      <c r="K568" s="450"/>
      <c r="L568" s="450"/>
      <c r="M568" s="450"/>
      <c r="N568" s="450"/>
      <c r="O568" s="450"/>
      <c r="P568" s="450"/>
      <c r="Q568" s="450"/>
      <c r="R568" s="450"/>
      <c r="S568" s="450"/>
      <c r="T568" s="450"/>
      <c r="U568" s="450"/>
      <c r="V568" s="450"/>
      <c r="W568" s="450"/>
      <c r="X568" s="450"/>
      <c r="Y568" s="450"/>
      <c r="Z568" s="450"/>
      <c r="AA568" s="450"/>
      <c r="AB568" s="450"/>
      <c r="AC568" s="450"/>
      <c r="AD568" s="450"/>
      <c r="AE568" s="450"/>
      <c r="AF568" s="450"/>
      <c r="AG568" s="450"/>
      <c r="AH568" s="450"/>
      <c r="AI568" s="450"/>
      <c r="AJ568" s="450"/>
      <c r="AK568" s="450"/>
    </row>
    <row r="569">
      <c r="A569" s="450"/>
      <c r="B569" s="450"/>
      <c r="C569" s="455"/>
      <c r="D569" s="450"/>
      <c r="E569" s="450"/>
      <c r="F569" s="450"/>
      <c r="G569" s="450"/>
      <c r="H569" s="450"/>
      <c r="I569" s="450"/>
      <c r="J569" s="450"/>
      <c r="K569" s="450"/>
      <c r="L569" s="450"/>
      <c r="M569" s="450"/>
      <c r="N569" s="450"/>
      <c r="O569" s="450"/>
      <c r="P569" s="450"/>
      <c r="Q569" s="450"/>
      <c r="R569" s="450"/>
      <c r="S569" s="450"/>
      <c r="T569" s="450"/>
      <c r="U569" s="450"/>
      <c r="V569" s="450"/>
      <c r="W569" s="450"/>
      <c r="X569" s="450"/>
      <c r="Y569" s="450"/>
      <c r="Z569" s="450"/>
      <c r="AA569" s="450"/>
      <c r="AB569" s="450"/>
      <c r="AC569" s="450"/>
      <c r="AD569" s="450"/>
      <c r="AE569" s="450"/>
      <c r="AF569" s="450"/>
      <c r="AG569" s="450"/>
      <c r="AH569" s="450"/>
      <c r="AI569" s="450"/>
      <c r="AJ569" s="450"/>
      <c r="AK569" s="450"/>
    </row>
    <row r="570">
      <c r="A570" s="450"/>
      <c r="B570" s="450"/>
      <c r="C570" s="455"/>
      <c r="D570" s="450"/>
      <c r="E570" s="450"/>
      <c r="F570" s="450"/>
      <c r="G570" s="450"/>
      <c r="H570" s="450"/>
      <c r="I570" s="450"/>
      <c r="J570" s="450"/>
      <c r="K570" s="450"/>
      <c r="L570" s="450"/>
      <c r="M570" s="450"/>
      <c r="N570" s="450"/>
      <c r="O570" s="450"/>
      <c r="P570" s="450"/>
      <c r="Q570" s="450"/>
      <c r="R570" s="450"/>
      <c r="S570" s="450"/>
      <c r="T570" s="450"/>
      <c r="U570" s="450"/>
      <c r="V570" s="450"/>
      <c r="W570" s="450"/>
      <c r="X570" s="450"/>
      <c r="Y570" s="450"/>
      <c r="Z570" s="450"/>
      <c r="AA570" s="450"/>
      <c r="AB570" s="450"/>
      <c r="AC570" s="450"/>
      <c r="AD570" s="450"/>
      <c r="AE570" s="450"/>
      <c r="AF570" s="450"/>
      <c r="AG570" s="450"/>
      <c r="AH570" s="450"/>
      <c r="AI570" s="450"/>
      <c r="AJ570" s="450"/>
      <c r="AK570" s="450"/>
    </row>
    <row r="571">
      <c r="A571" s="450"/>
      <c r="B571" s="450"/>
      <c r="C571" s="455"/>
      <c r="D571" s="450"/>
      <c r="E571" s="450"/>
      <c r="F571" s="450"/>
      <c r="G571" s="450"/>
      <c r="H571" s="450"/>
      <c r="I571" s="450"/>
      <c r="J571" s="450"/>
      <c r="K571" s="450"/>
      <c r="L571" s="450"/>
      <c r="M571" s="450"/>
      <c r="N571" s="450"/>
      <c r="O571" s="450"/>
      <c r="P571" s="450"/>
      <c r="Q571" s="450"/>
      <c r="R571" s="450"/>
      <c r="S571" s="450"/>
      <c r="T571" s="450"/>
      <c r="U571" s="450"/>
      <c r="V571" s="450"/>
      <c r="W571" s="450"/>
      <c r="X571" s="450"/>
      <c r="Y571" s="450"/>
      <c r="Z571" s="450"/>
      <c r="AA571" s="450"/>
      <c r="AB571" s="450"/>
      <c r="AC571" s="450"/>
      <c r="AD571" s="450"/>
      <c r="AE571" s="450"/>
      <c r="AF571" s="450"/>
      <c r="AG571" s="450"/>
      <c r="AH571" s="450"/>
      <c r="AI571" s="450"/>
      <c r="AJ571" s="450"/>
      <c r="AK571" s="450"/>
    </row>
    <row r="572">
      <c r="A572" s="450"/>
      <c r="B572" s="450"/>
      <c r="C572" s="455"/>
      <c r="D572" s="450"/>
      <c r="E572" s="450"/>
      <c r="F572" s="450"/>
      <c r="G572" s="450"/>
      <c r="H572" s="450"/>
      <c r="I572" s="450"/>
      <c r="J572" s="450"/>
      <c r="K572" s="450"/>
      <c r="L572" s="450"/>
      <c r="M572" s="450"/>
      <c r="N572" s="450"/>
      <c r="O572" s="450"/>
      <c r="P572" s="450"/>
      <c r="Q572" s="450"/>
      <c r="R572" s="450"/>
      <c r="S572" s="450"/>
      <c r="T572" s="450"/>
      <c r="U572" s="450"/>
      <c r="V572" s="450"/>
      <c r="W572" s="450"/>
      <c r="X572" s="450"/>
      <c r="Y572" s="450"/>
      <c r="Z572" s="450"/>
      <c r="AA572" s="450"/>
      <c r="AB572" s="450"/>
      <c r="AC572" s="450"/>
      <c r="AD572" s="450"/>
      <c r="AE572" s="450"/>
      <c r="AF572" s="450"/>
      <c r="AG572" s="450"/>
      <c r="AH572" s="450"/>
      <c r="AI572" s="450"/>
      <c r="AJ572" s="450"/>
      <c r="AK572" s="450"/>
    </row>
    <row r="573">
      <c r="A573" s="450"/>
      <c r="B573" s="450"/>
      <c r="C573" s="455"/>
      <c r="D573" s="450"/>
      <c r="E573" s="450"/>
      <c r="F573" s="450"/>
      <c r="G573" s="450"/>
      <c r="H573" s="450"/>
      <c r="I573" s="450"/>
      <c r="J573" s="450"/>
      <c r="K573" s="450"/>
      <c r="L573" s="450"/>
      <c r="M573" s="450"/>
      <c r="N573" s="450"/>
      <c r="O573" s="450"/>
      <c r="P573" s="450"/>
      <c r="Q573" s="450"/>
      <c r="R573" s="450"/>
      <c r="S573" s="450"/>
      <c r="T573" s="450"/>
      <c r="U573" s="450"/>
      <c r="V573" s="450"/>
      <c r="W573" s="450"/>
      <c r="X573" s="450"/>
      <c r="Y573" s="450"/>
      <c r="Z573" s="450"/>
      <c r="AA573" s="450"/>
      <c r="AB573" s="450"/>
      <c r="AC573" s="450"/>
      <c r="AD573" s="450"/>
      <c r="AE573" s="450"/>
      <c r="AF573" s="450"/>
      <c r="AG573" s="450"/>
      <c r="AH573" s="450"/>
      <c r="AI573" s="450"/>
      <c r="AJ573" s="450"/>
      <c r="AK573" s="450"/>
    </row>
    <row r="574">
      <c r="A574" s="450"/>
      <c r="B574" s="450"/>
      <c r="C574" s="455"/>
      <c r="D574" s="450"/>
      <c r="E574" s="450"/>
      <c r="F574" s="450"/>
      <c r="G574" s="450"/>
      <c r="H574" s="450"/>
      <c r="I574" s="450"/>
      <c r="J574" s="450"/>
      <c r="K574" s="450"/>
      <c r="L574" s="450"/>
      <c r="M574" s="450"/>
      <c r="N574" s="450"/>
      <c r="O574" s="450"/>
      <c r="P574" s="450"/>
      <c r="Q574" s="450"/>
      <c r="R574" s="450"/>
      <c r="S574" s="450"/>
      <c r="T574" s="450"/>
      <c r="U574" s="450"/>
      <c r="V574" s="450"/>
      <c r="W574" s="450"/>
      <c r="X574" s="450"/>
      <c r="Y574" s="450"/>
      <c r="Z574" s="450"/>
      <c r="AA574" s="450"/>
      <c r="AB574" s="450"/>
      <c r="AC574" s="450"/>
      <c r="AD574" s="450"/>
      <c r="AE574" s="450"/>
      <c r="AF574" s="450"/>
      <c r="AG574" s="450"/>
      <c r="AH574" s="450"/>
      <c r="AI574" s="450"/>
      <c r="AJ574" s="450"/>
      <c r="AK574" s="450"/>
    </row>
    <row r="575">
      <c r="A575" s="450"/>
      <c r="B575" s="450"/>
      <c r="C575" s="455"/>
      <c r="D575" s="450"/>
      <c r="E575" s="450"/>
      <c r="F575" s="450"/>
      <c r="G575" s="450"/>
      <c r="H575" s="450"/>
      <c r="I575" s="450"/>
      <c r="J575" s="450"/>
      <c r="K575" s="450"/>
      <c r="L575" s="450"/>
      <c r="M575" s="450"/>
      <c r="N575" s="450"/>
      <c r="O575" s="450"/>
      <c r="P575" s="450"/>
      <c r="Q575" s="450"/>
      <c r="R575" s="450"/>
      <c r="S575" s="450"/>
      <c r="T575" s="450"/>
      <c r="U575" s="450"/>
      <c r="V575" s="450"/>
      <c r="W575" s="450"/>
      <c r="X575" s="450"/>
      <c r="Y575" s="450"/>
      <c r="Z575" s="450"/>
      <c r="AA575" s="450"/>
      <c r="AB575" s="450"/>
      <c r="AC575" s="450"/>
      <c r="AD575" s="450"/>
      <c r="AE575" s="450"/>
      <c r="AF575" s="450"/>
      <c r="AG575" s="450"/>
      <c r="AH575" s="450"/>
      <c r="AI575" s="450"/>
      <c r="AJ575" s="450"/>
      <c r="AK575" s="450"/>
    </row>
    <row r="576">
      <c r="A576" s="450"/>
      <c r="B576" s="450"/>
      <c r="C576" s="455"/>
      <c r="D576" s="450"/>
      <c r="E576" s="450"/>
      <c r="F576" s="450"/>
      <c r="G576" s="450"/>
      <c r="H576" s="450"/>
      <c r="I576" s="450"/>
      <c r="J576" s="450"/>
      <c r="K576" s="450"/>
      <c r="L576" s="450"/>
      <c r="M576" s="450"/>
      <c r="N576" s="450"/>
      <c r="O576" s="450"/>
      <c r="P576" s="450"/>
      <c r="Q576" s="450"/>
      <c r="R576" s="450"/>
      <c r="S576" s="450"/>
      <c r="T576" s="450"/>
      <c r="U576" s="450"/>
      <c r="V576" s="450"/>
      <c r="W576" s="450"/>
      <c r="X576" s="450"/>
      <c r="Y576" s="450"/>
      <c r="Z576" s="450"/>
      <c r="AA576" s="450"/>
      <c r="AB576" s="450"/>
      <c r="AC576" s="450"/>
      <c r="AD576" s="450"/>
      <c r="AE576" s="450"/>
      <c r="AF576" s="450"/>
      <c r="AG576" s="450"/>
      <c r="AH576" s="450"/>
      <c r="AI576" s="450"/>
      <c r="AJ576" s="450"/>
      <c r="AK576" s="450"/>
    </row>
    <row r="577">
      <c r="A577" s="450"/>
      <c r="B577" s="450"/>
      <c r="C577" s="455"/>
      <c r="D577" s="450"/>
      <c r="E577" s="450"/>
      <c r="F577" s="450"/>
      <c r="G577" s="450"/>
      <c r="H577" s="450"/>
      <c r="I577" s="450"/>
      <c r="J577" s="450"/>
      <c r="K577" s="450"/>
      <c r="L577" s="450"/>
      <c r="M577" s="450"/>
      <c r="N577" s="450"/>
      <c r="O577" s="450"/>
      <c r="P577" s="450"/>
      <c r="Q577" s="450"/>
      <c r="R577" s="450"/>
      <c r="S577" s="450"/>
      <c r="T577" s="450"/>
      <c r="U577" s="450"/>
      <c r="V577" s="450"/>
      <c r="W577" s="450"/>
      <c r="X577" s="450"/>
      <c r="Y577" s="450"/>
      <c r="Z577" s="450"/>
      <c r="AA577" s="450"/>
      <c r="AB577" s="450"/>
      <c r="AC577" s="450"/>
      <c r="AD577" s="450"/>
      <c r="AE577" s="450"/>
      <c r="AF577" s="450"/>
      <c r="AG577" s="450"/>
      <c r="AH577" s="450"/>
      <c r="AI577" s="450"/>
      <c r="AJ577" s="450"/>
      <c r="AK577" s="450"/>
    </row>
    <row r="578">
      <c r="A578" s="450"/>
      <c r="B578" s="450"/>
      <c r="C578" s="455"/>
      <c r="D578" s="450"/>
      <c r="E578" s="450"/>
      <c r="F578" s="450"/>
      <c r="G578" s="450"/>
      <c r="H578" s="450"/>
      <c r="I578" s="450"/>
      <c r="J578" s="450"/>
      <c r="K578" s="450"/>
      <c r="L578" s="450"/>
      <c r="M578" s="450"/>
      <c r="N578" s="450"/>
      <c r="O578" s="450"/>
      <c r="P578" s="450"/>
      <c r="Q578" s="450"/>
      <c r="R578" s="450"/>
      <c r="S578" s="450"/>
      <c r="T578" s="450"/>
      <c r="U578" s="450"/>
      <c r="V578" s="450"/>
      <c r="W578" s="450"/>
      <c r="X578" s="450"/>
      <c r="Y578" s="450"/>
      <c r="Z578" s="450"/>
      <c r="AA578" s="450"/>
      <c r="AB578" s="450"/>
      <c r="AC578" s="450"/>
      <c r="AD578" s="450"/>
      <c r="AE578" s="450"/>
      <c r="AF578" s="450"/>
      <c r="AG578" s="450"/>
      <c r="AH578" s="450"/>
      <c r="AI578" s="450"/>
      <c r="AJ578" s="450"/>
      <c r="AK578" s="450"/>
    </row>
    <row r="579">
      <c r="A579" s="450"/>
      <c r="B579" s="450"/>
      <c r="C579" s="455"/>
      <c r="D579" s="450"/>
      <c r="E579" s="450"/>
      <c r="F579" s="450"/>
      <c r="G579" s="450"/>
      <c r="H579" s="450"/>
      <c r="I579" s="450"/>
      <c r="J579" s="450"/>
      <c r="K579" s="450"/>
      <c r="L579" s="450"/>
      <c r="M579" s="450"/>
      <c r="N579" s="450"/>
      <c r="O579" s="450"/>
      <c r="P579" s="450"/>
      <c r="Q579" s="450"/>
      <c r="R579" s="450"/>
      <c r="S579" s="450"/>
      <c r="T579" s="450"/>
      <c r="U579" s="450"/>
      <c r="V579" s="450"/>
      <c r="W579" s="450"/>
      <c r="X579" s="450"/>
      <c r="Y579" s="450"/>
      <c r="Z579" s="450"/>
      <c r="AA579" s="450"/>
      <c r="AB579" s="450"/>
      <c r="AC579" s="450"/>
      <c r="AD579" s="450"/>
      <c r="AE579" s="450"/>
      <c r="AF579" s="450"/>
      <c r="AG579" s="450"/>
      <c r="AH579" s="450"/>
      <c r="AI579" s="450"/>
      <c r="AJ579" s="450"/>
      <c r="AK579" s="450"/>
    </row>
    <row r="580">
      <c r="A580" s="450"/>
      <c r="B580" s="450"/>
      <c r="C580" s="455"/>
      <c r="D580" s="450"/>
      <c r="E580" s="450"/>
      <c r="F580" s="450"/>
      <c r="G580" s="450"/>
      <c r="H580" s="450"/>
      <c r="I580" s="450"/>
      <c r="J580" s="450"/>
      <c r="K580" s="450"/>
      <c r="L580" s="450"/>
      <c r="M580" s="450"/>
      <c r="N580" s="450"/>
      <c r="O580" s="450"/>
      <c r="P580" s="450"/>
      <c r="Q580" s="450"/>
      <c r="R580" s="450"/>
      <c r="S580" s="450"/>
      <c r="T580" s="450"/>
      <c r="U580" s="450"/>
      <c r="V580" s="450"/>
      <c r="W580" s="450"/>
      <c r="X580" s="450"/>
      <c r="Y580" s="450"/>
      <c r="Z580" s="450"/>
      <c r="AA580" s="450"/>
      <c r="AB580" s="450"/>
      <c r="AC580" s="450"/>
      <c r="AD580" s="450"/>
      <c r="AE580" s="450"/>
      <c r="AF580" s="450"/>
      <c r="AG580" s="450"/>
      <c r="AH580" s="450"/>
      <c r="AI580" s="450"/>
      <c r="AJ580" s="450"/>
      <c r="AK580" s="450"/>
    </row>
    <row r="581">
      <c r="A581" s="450"/>
      <c r="B581" s="450"/>
      <c r="C581" s="455"/>
      <c r="D581" s="450"/>
      <c r="E581" s="450"/>
      <c r="F581" s="450"/>
      <c r="G581" s="450"/>
      <c r="H581" s="450"/>
      <c r="I581" s="450"/>
      <c r="J581" s="450"/>
      <c r="K581" s="450"/>
      <c r="L581" s="450"/>
      <c r="M581" s="450"/>
      <c r="N581" s="450"/>
      <c r="O581" s="450"/>
      <c r="P581" s="450"/>
      <c r="Q581" s="450"/>
      <c r="R581" s="450"/>
      <c r="S581" s="450"/>
      <c r="T581" s="450"/>
      <c r="U581" s="450"/>
      <c r="V581" s="450"/>
      <c r="W581" s="450"/>
      <c r="X581" s="450"/>
      <c r="Y581" s="450"/>
      <c r="Z581" s="450"/>
      <c r="AA581" s="450"/>
      <c r="AB581" s="450"/>
      <c r="AC581" s="450"/>
      <c r="AD581" s="450"/>
      <c r="AE581" s="450"/>
      <c r="AF581" s="450"/>
      <c r="AG581" s="450"/>
      <c r="AH581" s="450"/>
      <c r="AI581" s="450"/>
      <c r="AJ581" s="450"/>
      <c r="AK581" s="450"/>
    </row>
    <row r="582">
      <c r="A582" s="450"/>
      <c r="B582" s="450"/>
      <c r="C582" s="455"/>
      <c r="D582" s="450"/>
      <c r="E582" s="450"/>
      <c r="F582" s="450"/>
      <c r="G582" s="450"/>
      <c r="H582" s="450"/>
      <c r="I582" s="450"/>
      <c r="J582" s="450"/>
      <c r="K582" s="450"/>
      <c r="L582" s="450"/>
      <c r="M582" s="450"/>
      <c r="N582" s="450"/>
      <c r="O582" s="450"/>
      <c r="P582" s="450"/>
      <c r="Q582" s="450"/>
      <c r="R582" s="450"/>
      <c r="S582" s="450"/>
      <c r="T582" s="450"/>
      <c r="U582" s="450"/>
      <c r="V582" s="450"/>
      <c r="W582" s="450"/>
      <c r="X582" s="450"/>
      <c r="Y582" s="450"/>
      <c r="Z582" s="450"/>
      <c r="AA582" s="450"/>
      <c r="AB582" s="450"/>
      <c r="AC582" s="450"/>
      <c r="AD582" s="450"/>
      <c r="AE582" s="450"/>
      <c r="AF582" s="450"/>
      <c r="AG582" s="450"/>
      <c r="AH582" s="450"/>
      <c r="AI582" s="450"/>
      <c r="AJ582" s="450"/>
      <c r="AK582" s="450"/>
    </row>
    <row r="583">
      <c r="A583" s="450"/>
      <c r="B583" s="450"/>
      <c r="C583" s="455"/>
      <c r="D583" s="450"/>
      <c r="E583" s="450"/>
      <c r="F583" s="450"/>
      <c r="G583" s="450"/>
      <c r="H583" s="450"/>
      <c r="I583" s="450"/>
      <c r="J583" s="450"/>
      <c r="K583" s="450"/>
      <c r="L583" s="450"/>
      <c r="M583" s="450"/>
      <c r="N583" s="450"/>
      <c r="O583" s="450"/>
      <c r="P583" s="450"/>
      <c r="Q583" s="450"/>
      <c r="R583" s="450"/>
      <c r="S583" s="450"/>
      <c r="T583" s="450"/>
      <c r="U583" s="450"/>
      <c r="V583" s="450"/>
      <c r="W583" s="450"/>
      <c r="X583" s="450"/>
      <c r="Y583" s="450"/>
      <c r="Z583" s="450"/>
      <c r="AA583" s="450"/>
      <c r="AB583" s="450"/>
      <c r="AC583" s="450"/>
      <c r="AD583" s="450"/>
      <c r="AE583" s="450"/>
      <c r="AF583" s="450"/>
      <c r="AG583" s="450"/>
      <c r="AH583" s="450"/>
      <c r="AI583" s="450"/>
      <c r="AJ583" s="450"/>
      <c r="AK583" s="450"/>
    </row>
    <row r="584">
      <c r="A584" s="450"/>
      <c r="B584" s="450"/>
      <c r="C584" s="455"/>
      <c r="D584" s="450"/>
      <c r="E584" s="450"/>
      <c r="F584" s="450"/>
      <c r="G584" s="450"/>
      <c r="H584" s="450"/>
      <c r="I584" s="450"/>
      <c r="J584" s="450"/>
      <c r="K584" s="450"/>
      <c r="L584" s="450"/>
      <c r="M584" s="450"/>
      <c r="N584" s="450"/>
      <c r="O584" s="450"/>
      <c r="P584" s="450"/>
      <c r="Q584" s="450"/>
      <c r="R584" s="450"/>
      <c r="S584" s="450"/>
      <c r="T584" s="450"/>
      <c r="U584" s="450"/>
      <c r="V584" s="450"/>
      <c r="W584" s="450"/>
      <c r="X584" s="450"/>
      <c r="Y584" s="450"/>
      <c r="Z584" s="450"/>
      <c r="AA584" s="450"/>
      <c r="AB584" s="450"/>
      <c r="AC584" s="450"/>
      <c r="AD584" s="450"/>
      <c r="AE584" s="450"/>
      <c r="AF584" s="450"/>
      <c r="AG584" s="450"/>
      <c r="AH584" s="450"/>
      <c r="AI584" s="450"/>
      <c r="AJ584" s="450"/>
      <c r="AK584" s="450"/>
    </row>
    <row r="585">
      <c r="A585" s="450"/>
      <c r="B585" s="450"/>
      <c r="C585" s="455"/>
      <c r="D585" s="450"/>
      <c r="E585" s="450"/>
      <c r="F585" s="450"/>
      <c r="G585" s="450"/>
      <c r="H585" s="450"/>
      <c r="I585" s="450"/>
      <c r="J585" s="450"/>
      <c r="K585" s="450"/>
      <c r="L585" s="450"/>
      <c r="M585" s="450"/>
      <c r="N585" s="450"/>
      <c r="O585" s="450"/>
      <c r="P585" s="450"/>
      <c r="Q585" s="450"/>
      <c r="R585" s="450"/>
      <c r="S585" s="450"/>
      <c r="T585" s="450"/>
      <c r="U585" s="450"/>
      <c r="V585" s="450"/>
      <c r="W585" s="450"/>
      <c r="X585" s="450"/>
      <c r="Y585" s="450"/>
      <c r="Z585" s="450"/>
      <c r="AA585" s="450"/>
      <c r="AB585" s="450"/>
      <c r="AC585" s="450"/>
      <c r="AD585" s="450"/>
      <c r="AE585" s="450"/>
      <c r="AF585" s="450"/>
      <c r="AG585" s="450"/>
      <c r="AH585" s="450"/>
      <c r="AI585" s="450"/>
      <c r="AJ585" s="450"/>
      <c r="AK585" s="450"/>
    </row>
    <row r="586">
      <c r="A586" s="450"/>
      <c r="B586" s="450"/>
      <c r="C586" s="455"/>
      <c r="D586" s="450"/>
      <c r="E586" s="450"/>
      <c r="F586" s="450"/>
      <c r="G586" s="450"/>
      <c r="H586" s="450"/>
      <c r="I586" s="450"/>
      <c r="J586" s="450"/>
      <c r="K586" s="450"/>
      <c r="L586" s="450"/>
      <c r="M586" s="450"/>
      <c r="N586" s="450"/>
      <c r="O586" s="450"/>
      <c r="P586" s="450"/>
      <c r="Q586" s="450"/>
      <c r="R586" s="450"/>
      <c r="S586" s="450"/>
      <c r="T586" s="450"/>
      <c r="U586" s="450"/>
      <c r="V586" s="450"/>
      <c r="W586" s="450"/>
      <c r="X586" s="450"/>
      <c r="Y586" s="450"/>
      <c r="Z586" s="450"/>
      <c r="AA586" s="450"/>
      <c r="AB586" s="450"/>
      <c r="AC586" s="450"/>
      <c r="AD586" s="450"/>
      <c r="AE586" s="450"/>
      <c r="AF586" s="450"/>
      <c r="AG586" s="450"/>
      <c r="AH586" s="450"/>
      <c r="AI586" s="450"/>
      <c r="AJ586" s="450"/>
      <c r="AK586" s="450"/>
    </row>
    <row r="587">
      <c r="A587" s="450"/>
      <c r="B587" s="450"/>
      <c r="C587" s="455"/>
      <c r="D587" s="450"/>
      <c r="E587" s="450"/>
      <c r="F587" s="450"/>
      <c r="G587" s="450"/>
      <c r="H587" s="450"/>
      <c r="I587" s="450"/>
      <c r="J587" s="450"/>
      <c r="K587" s="450"/>
      <c r="L587" s="450"/>
      <c r="M587" s="450"/>
      <c r="N587" s="450"/>
      <c r="O587" s="450"/>
      <c r="P587" s="450"/>
      <c r="Q587" s="450"/>
      <c r="R587" s="450"/>
      <c r="S587" s="450"/>
      <c r="T587" s="450"/>
      <c r="U587" s="450"/>
      <c r="V587" s="450"/>
      <c r="W587" s="450"/>
      <c r="X587" s="450"/>
      <c r="Y587" s="450"/>
      <c r="Z587" s="450"/>
      <c r="AA587" s="450"/>
      <c r="AB587" s="450"/>
      <c r="AC587" s="450"/>
      <c r="AD587" s="450"/>
      <c r="AE587" s="450"/>
      <c r="AF587" s="450"/>
      <c r="AG587" s="450"/>
      <c r="AH587" s="450"/>
      <c r="AI587" s="450"/>
      <c r="AJ587" s="450"/>
      <c r="AK587" s="450"/>
    </row>
    <row r="588">
      <c r="A588" s="450"/>
      <c r="B588" s="450"/>
      <c r="C588" s="455"/>
      <c r="D588" s="450"/>
      <c r="E588" s="450"/>
      <c r="F588" s="450"/>
      <c r="G588" s="450"/>
      <c r="H588" s="450"/>
      <c r="I588" s="450"/>
      <c r="J588" s="450"/>
      <c r="K588" s="450"/>
      <c r="L588" s="450"/>
      <c r="M588" s="450"/>
      <c r="N588" s="450"/>
      <c r="O588" s="450"/>
      <c r="P588" s="450"/>
      <c r="Q588" s="450"/>
      <c r="R588" s="450"/>
      <c r="S588" s="450"/>
      <c r="T588" s="450"/>
      <c r="U588" s="450"/>
      <c r="V588" s="450"/>
      <c r="W588" s="450"/>
      <c r="X588" s="450"/>
      <c r="Y588" s="450"/>
      <c r="Z588" s="450"/>
      <c r="AA588" s="450"/>
      <c r="AB588" s="450"/>
      <c r="AC588" s="450"/>
      <c r="AD588" s="450"/>
      <c r="AE588" s="450"/>
      <c r="AF588" s="450"/>
      <c r="AG588" s="450"/>
      <c r="AH588" s="450"/>
      <c r="AI588" s="450"/>
      <c r="AJ588" s="450"/>
      <c r="AK588" s="450"/>
    </row>
    <row r="589">
      <c r="A589" s="450"/>
      <c r="B589" s="450"/>
      <c r="C589" s="455"/>
      <c r="D589" s="450"/>
      <c r="E589" s="450"/>
      <c r="F589" s="450"/>
      <c r="G589" s="450"/>
      <c r="H589" s="450"/>
      <c r="I589" s="450"/>
      <c r="J589" s="450"/>
      <c r="K589" s="450"/>
      <c r="L589" s="450"/>
      <c r="M589" s="450"/>
      <c r="N589" s="450"/>
      <c r="O589" s="450"/>
      <c r="P589" s="450"/>
      <c r="Q589" s="450"/>
      <c r="R589" s="450"/>
      <c r="S589" s="450"/>
      <c r="T589" s="450"/>
      <c r="U589" s="450"/>
      <c r="V589" s="450"/>
      <c r="W589" s="450"/>
      <c r="X589" s="450"/>
      <c r="Y589" s="450"/>
      <c r="Z589" s="450"/>
      <c r="AA589" s="450"/>
      <c r="AB589" s="450"/>
      <c r="AC589" s="450"/>
      <c r="AD589" s="450"/>
      <c r="AE589" s="450"/>
      <c r="AF589" s="450"/>
      <c r="AG589" s="450"/>
      <c r="AH589" s="450"/>
      <c r="AI589" s="450"/>
      <c r="AJ589" s="450"/>
      <c r="AK589" s="450"/>
    </row>
    <row r="590">
      <c r="A590" s="450"/>
      <c r="B590" s="450"/>
      <c r="C590" s="455"/>
      <c r="D590" s="450"/>
      <c r="E590" s="450"/>
      <c r="F590" s="450"/>
      <c r="G590" s="450"/>
      <c r="H590" s="450"/>
      <c r="I590" s="450"/>
      <c r="J590" s="450"/>
      <c r="K590" s="450"/>
      <c r="L590" s="450"/>
      <c r="M590" s="450"/>
      <c r="N590" s="450"/>
      <c r="O590" s="450"/>
      <c r="P590" s="450"/>
      <c r="Q590" s="450"/>
      <c r="R590" s="450"/>
      <c r="S590" s="450"/>
      <c r="T590" s="450"/>
      <c r="U590" s="450"/>
      <c r="V590" s="450"/>
      <c r="W590" s="450"/>
      <c r="X590" s="450"/>
      <c r="Y590" s="450"/>
      <c r="Z590" s="450"/>
      <c r="AA590" s="450"/>
      <c r="AB590" s="450"/>
      <c r="AC590" s="450"/>
      <c r="AD590" s="450"/>
      <c r="AE590" s="450"/>
      <c r="AF590" s="450"/>
      <c r="AG590" s="450"/>
      <c r="AH590" s="450"/>
      <c r="AI590" s="450"/>
      <c r="AJ590" s="450"/>
      <c r="AK590" s="450"/>
    </row>
    <row r="591">
      <c r="A591" s="450"/>
      <c r="B591" s="450"/>
      <c r="C591" s="455"/>
      <c r="D591" s="450"/>
      <c r="E591" s="450"/>
      <c r="F591" s="450"/>
      <c r="G591" s="450"/>
      <c r="H591" s="450"/>
      <c r="I591" s="450"/>
      <c r="J591" s="450"/>
      <c r="K591" s="450"/>
      <c r="L591" s="450"/>
      <c r="M591" s="450"/>
      <c r="N591" s="450"/>
      <c r="O591" s="450"/>
      <c r="P591" s="450"/>
      <c r="Q591" s="450"/>
      <c r="R591" s="450"/>
      <c r="S591" s="450"/>
      <c r="T591" s="450"/>
      <c r="U591" s="450"/>
      <c r="V591" s="450"/>
      <c r="W591" s="450"/>
      <c r="X591" s="450"/>
      <c r="Y591" s="450"/>
      <c r="Z591" s="450"/>
      <c r="AA591" s="450"/>
      <c r="AB591" s="450"/>
      <c r="AC591" s="450"/>
      <c r="AD591" s="450"/>
      <c r="AE591" s="450"/>
      <c r="AF591" s="450"/>
      <c r="AG591" s="450"/>
      <c r="AH591" s="450"/>
      <c r="AI591" s="450"/>
      <c r="AJ591" s="450"/>
      <c r="AK591" s="450"/>
    </row>
    <row r="592">
      <c r="A592" s="450"/>
      <c r="B592" s="450"/>
      <c r="C592" s="455"/>
      <c r="D592" s="450"/>
      <c r="E592" s="450"/>
      <c r="F592" s="450"/>
      <c r="G592" s="450"/>
      <c r="H592" s="450"/>
      <c r="I592" s="450"/>
      <c r="J592" s="450"/>
      <c r="K592" s="450"/>
      <c r="L592" s="450"/>
      <c r="M592" s="450"/>
      <c r="N592" s="450"/>
      <c r="O592" s="450"/>
      <c r="P592" s="450"/>
      <c r="Q592" s="450"/>
      <c r="R592" s="450"/>
      <c r="S592" s="450"/>
      <c r="T592" s="450"/>
      <c r="U592" s="450"/>
      <c r="V592" s="450"/>
      <c r="W592" s="450"/>
      <c r="X592" s="450"/>
      <c r="Y592" s="450"/>
      <c r="Z592" s="450"/>
      <c r="AA592" s="450"/>
      <c r="AB592" s="450"/>
      <c r="AC592" s="450"/>
      <c r="AD592" s="450"/>
      <c r="AE592" s="450"/>
      <c r="AF592" s="450"/>
      <c r="AG592" s="450"/>
      <c r="AH592" s="450"/>
      <c r="AI592" s="450"/>
      <c r="AJ592" s="450"/>
      <c r="AK592" s="450"/>
    </row>
    <row r="593">
      <c r="A593" s="450"/>
      <c r="B593" s="450"/>
      <c r="C593" s="455"/>
      <c r="D593" s="450"/>
      <c r="E593" s="450"/>
      <c r="F593" s="450"/>
      <c r="G593" s="450"/>
      <c r="H593" s="450"/>
      <c r="I593" s="450"/>
      <c r="J593" s="450"/>
      <c r="K593" s="450"/>
      <c r="L593" s="450"/>
      <c r="M593" s="450"/>
      <c r="N593" s="450"/>
      <c r="O593" s="450"/>
      <c r="P593" s="450"/>
      <c r="Q593" s="450"/>
      <c r="R593" s="450"/>
      <c r="S593" s="450"/>
      <c r="T593" s="450"/>
      <c r="U593" s="450"/>
      <c r="V593" s="450"/>
      <c r="W593" s="450"/>
      <c r="X593" s="450"/>
      <c r="Y593" s="450"/>
      <c r="Z593" s="450"/>
      <c r="AA593" s="450"/>
      <c r="AB593" s="450"/>
      <c r="AC593" s="450"/>
      <c r="AD593" s="450"/>
      <c r="AE593" s="450"/>
      <c r="AF593" s="450"/>
      <c r="AG593" s="450"/>
      <c r="AH593" s="450"/>
      <c r="AI593" s="450"/>
      <c r="AJ593" s="450"/>
      <c r="AK593" s="450"/>
    </row>
    <row r="594">
      <c r="A594" s="450"/>
      <c r="B594" s="450"/>
      <c r="C594" s="455"/>
      <c r="D594" s="450"/>
      <c r="E594" s="450"/>
      <c r="F594" s="450"/>
      <c r="G594" s="450"/>
      <c r="H594" s="450"/>
      <c r="I594" s="450"/>
      <c r="J594" s="450"/>
      <c r="K594" s="450"/>
      <c r="L594" s="450"/>
      <c r="M594" s="450"/>
      <c r="N594" s="450"/>
      <c r="O594" s="450"/>
      <c r="P594" s="450"/>
      <c r="Q594" s="450"/>
      <c r="R594" s="450"/>
      <c r="S594" s="450"/>
      <c r="T594" s="450"/>
      <c r="U594" s="450"/>
      <c r="V594" s="450"/>
      <c r="W594" s="450"/>
      <c r="X594" s="450"/>
      <c r="Y594" s="450"/>
      <c r="Z594" s="450"/>
      <c r="AA594" s="450"/>
      <c r="AB594" s="450"/>
      <c r="AC594" s="450"/>
      <c r="AD594" s="450"/>
      <c r="AE594" s="450"/>
      <c r="AF594" s="450"/>
      <c r="AG594" s="450"/>
      <c r="AH594" s="450"/>
      <c r="AI594" s="450"/>
      <c r="AJ594" s="450"/>
      <c r="AK594" s="450"/>
    </row>
    <row r="595">
      <c r="A595" s="450"/>
      <c r="B595" s="450"/>
      <c r="C595" s="455"/>
      <c r="D595" s="450"/>
      <c r="E595" s="450"/>
      <c r="F595" s="450"/>
      <c r="G595" s="450"/>
      <c r="H595" s="450"/>
      <c r="I595" s="450"/>
      <c r="J595" s="450"/>
      <c r="K595" s="450"/>
      <c r="L595" s="450"/>
      <c r="M595" s="450"/>
      <c r="N595" s="450"/>
      <c r="O595" s="450"/>
      <c r="P595" s="450"/>
      <c r="Q595" s="450"/>
      <c r="R595" s="450"/>
      <c r="S595" s="450"/>
      <c r="T595" s="450"/>
      <c r="U595" s="450"/>
      <c r="V595" s="450"/>
      <c r="W595" s="450"/>
      <c r="X595" s="450"/>
      <c r="Y595" s="450"/>
      <c r="Z595" s="450"/>
      <c r="AA595" s="450"/>
      <c r="AB595" s="450"/>
      <c r="AC595" s="450"/>
      <c r="AD595" s="450"/>
      <c r="AE595" s="450"/>
      <c r="AF595" s="450"/>
      <c r="AG595" s="450"/>
      <c r="AH595" s="450"/>
      <c r="AI595" s="450"/>
      <c r="AJ595" s="450"/>
      <c r="AK595" s="450"/>
    </row>
    <row r="596">
      <c r="A596" s="450"/>
      <c r="B596" s="450"/>
      <c r="C596" s="455"/>
      <c r="D596" s="450"/>
      <c r="E596" s="450"/>
      <c r="F596" s="450"/>
      <c r="G596" s="450"/>
      <c r="H596" s="450"/>
      <c r="I596" s="450"/>
      <c r="J596" s="450"/>
      <c r="K596" s="450"/>
      <c r="L596" s="450"/>
      <c r="M596" s="450"/>
      <c r="N596" s="450"/>
      <c r="O596" s="450"/>
      <c r="P596" s="450"/>
      <c r="Q596" s="450"/>
      <c r="R596" s="450"/>
      <c r="S596" s="450"/>
      <c r="T596" s="450"/>
      <c r="U596" s="450"/>
      <c r="V596" s="450"/>
      <c r="W596" s="450"/>
      <c r="X596" s="450"/>
      <c r="Y596" s="450"/>
      <c r="Z596" s="450"/>
      <c r="AA596" s="450"/>
      <c r="AB596" s="450"/>
      <c r="AC596" s="450"/>
      <c r="AD596" s="450"/>
      <c r="AE596" s="450"/>
      <c r="AF596" s="450"/>
      <c r="AG596" s="450"/>
      <c r="AH596" s="450"/>
      <c r="AI596" s="450"/>
      <c r="AJ596" s="450"/>
      <c r="AK596" s="450"/>
    </row>
    <row r="597">
      <c r="A597" s="450"/>
      <c r="B597" s="450"/>
      <c r="C597" s="455"/>
      <c r="D597" s="450"/>
      <c r="E597" s="450"/>
      <c r="F597" s="450"/>
      <c r="G597" s="450"/>
      <c r="H597" s="450"/>
      <c r="I597" s="450"/>
      <c r="J597" s="450"/>
      <c r="K597" s="450"/>
      <c r="L597" s="450"/>
      <c r="M597" s="450"/>
      <c r="N597" s="450"/>
      <c r="O597" s="450"/>
      <c r="P597" s="450"/>
      <c r="Q597" s="450"/>
      <c r="R597" s="450"/>
      <c r="S597" s="450"/>
      <c r="T597" s="450"/>
      <c r="U597" s="450"/>
      <c r="V597" s="450"/>
      <c r="W597" s="450"/>
      <c r="X597" s="450"/>
      <c r="Y597" s="450"/>
      <c r="Z597" s="450"/>
      <c r="AA597" s="450"/>
      <c r="AB597" s="450"/>
      <c r="AC597" s="450"/>
      <c r="AD597" s="450"/>
      <c r="AE597" s="450"/>
      <c r="AF597" s="450"/>
      <c r="AG597" s="450"/>
      <c r="AH597" s="450"/>
      <c r="AI597" s="450"/>
      <c r="AJ597" s="450"/>
      <c r="AK597" s="450"/>
    </row>
    <row r="598">
      <c r="A598" s="450"/>
      <c r="B598" s="450"/>
      <c r="C598" s="455"/>
      <c r="D598" s="450"/>
      <c r="E598" s="450"/>
      <c r="F598" s="450"/>
      <c r="G598" s="450"/>
      <c r="H598" s="450"/>
      <c r="I598" s="450"/>
      <c r="J598" s="450"/>
      <c r="K598" s="450"/>
      <c r="L598" s="450"/>
      <c r="M598" s="450"/>
      <c r="N598" s="450"/>
      <c r="O598" s="450"/>
      <c r="P598" s="450"/>
      <c r="Q598" s="450"/>
      <c r="R598" s="450"/>
      <c r="S598" s="450"/>
      <c r="T598" s="450"/>
      <c r="U598" s="450"/>
      <c r="V598" s="450"/>
      <c r="W598" s="450"/>
      <c r="X598" s="450"/>
      <c r="Y598" s="450"/>
      <c r="Z598" s="450"/>
      <c r="AA598" s="450"/>
      <c r="AB598" s="450"/>
      <c r="AC598" s="450"/>
      <c r="AD598" s="450"/>
      <c r="AE598" s="450"/>
      <c r="AF598" s="450"/>
      <c r="AG598" s="450"/>
      <c r="AH598" s="450"/>
      <c r="AI598" s="450"/>
      <c r="AJ598" s="450"/>
      <c r="AK598" s="450"/>
    </row>
    <row r="599">
      <c r="A599" s="450"/>
      <c r="B599" s="450"/>
      <c r="C599" s="455"/>
      <c r="D599" s="450"/>
      <c r="E599" s="450"/>
      <c r="F599" s="450"/>
      <c r="G599" s="450"/>
      <c r="H599" s="450"/>
      <c r="I599" s="450"/>
      <c r="J599" s="450"/>
      <c r="K599" s="450"/>
      <c r="L599" s="450"/>
      <c r="M599" s="450"/>
      <c r="N599" s="450"/>
      <c r="O599" s="450"/>
      <c r="P599" s="450"/>
      <c r="Q599" s="450"/>
      <c r="R599" s="450"/>
      <c r="S599" s="450"/>
      <c r="T599" s="450"/>
      <c r="U599" s="450"/>
      <c r="V599" s="450"/>
      <c r="W599" s="450"/>
      <c r="X599" s="450"/>
      <c r="Y599" s="450"/>
      <c r="Z599" s="450"/>
      <c r="AA599" s="450"/>
      <c r="AB599" s="450"/>
      <c r="AC599" s="450"/>
      <c r="AD599" s="450"/>
      <c r="AE599" s="450"/>
      <c r="AF599" s="450"/>
      <c r="AG599" s="450"/>
      <c r="AH599" s="450"/>
      <c r="AI599" s="450"/>
      <c r="AJ599" s="450"/>
      <c r="AK599" s="450"/>
    </row>
    <row r="600">
      <c r="A600" s="450"/>
      <c r="B600" s="450"/>
      <c r="C600" s="455"/>
      <c r="D600" s="450"/>
      <c r="E600" s="450"/>
      <c r="F600" s="450"/>
      <c r="G600" s="450"/>
      <c r="H600" s="450"/>
      <c r="I600" s="450"/>
      <c r="J600" s="450"/>
      <c r="K600" s="450"/>
      <c r="L600" s="450"/>
      <c r="M600" s="450"/>
      <c r="N600" s="450"/>
      <c r="O600" s="450"/>
      <c r="P600" s="450"/>
      <c r="Q600" s="450"/>
      <c r="R600" s="450"/>
      <c r="S600" s="450"/>
      <c r="T600" s="450"/>
      <c r="U600" s="450"/>
      <c r="V600" s="450"/>
      <c r="W600" s="450"/>
      <c r="X600" s="450"/>
      <c r="Y600" s="450"/>
      <c r="Z600" s="450"/>
      <c r="AA600" s="450"/>
      <c r="AB600" s="450"/>
      <c r="AC600" s="450"/>
      <c r="AD600" s="450"/>
      <c r="AE600" s="450"/>
      <c r="AF600" s="450"/>
      <c r="AG600" s="450"/>
      <c r="AH600" s="450"/>
      <c r="AI600" s="450"/>
      <c r="AJ600" s="450"/>
      <c r="AK600" s="450"/>
    </row>
    <row r="601">
      <c r="A601" s="450"/>
      <c r="B601" s="450"/>
      <c r="C601" s="455"/>
      <c r="D601" s="450"/>
      <c r="E601" s="450"/>
      <c r="F601" s="450"/>
      <c r="G601" s="450"/>
      <c r="H601" s="450"/>
      <c r="I601" s="450"/>
      <c r="J601" s="450"/>
      <c r="K601" s="450"/>
      <c r="L601" s="450"/>
      <c r="M601" s="450"/>
      <c r="N601" s="450"/>
      <c r="O601" s="450"/>
      <c r="P601" s="450"/>
      <c r="Q601" s="450"/>
      <c r="R601" s="450"/>
      <c r="S601" s="450"/>
      <c r="T601" s="450"/>
      <c r="U601" s="450"/>
      <c r="V601" s="450"/>
      <c r="W601" s="450"/>
      <c r="X601" s="450"/>
      <c r="Y601" s="450"/>
      <c r="Z601" s="450"/>
      <c r="AA601" s="450"/>
      <c r="AB601" s="450"/>
      <c r="AC601" s="450"/>
      <c r="AD601" s="450"/>
      <c r="AE601" s="450"/>
      <c r="AF601" s="450"/>
      <c r="AG601" s="450"/>
      <c r="AH601" s="450"/>
      <c r="AI601" s="450"/>
      <c r="AJ601" s="450"/>
      <c r="AK601" s="450"/>
    </row>
    <row r="602">
      <c r="A602" s="450"/>
      <c r="B602" s="450"/>
      <c r="C602" s="455"/>
      <c r="D602" s="450"/>
      <c r="E602" s="450"/>
      <c r="F602" s="450"/>
      <c r="G602" s="450"/>
      <c r="H602" s="450"/>
      <c r="I602" s="450"/>
      <c r="J602" s="450"/>
      <c r="K602" s="450"/>
      <c r="L602" s="450"/>
      <c r="M602" s="450"/>
      <c r="N602" s="450"/>
      <c r="O602" s="450"/>
      <c r="P602" s="450"/>
      <c r="Q602" s="450"/>
      <c r="R602" s="450"/>
      <c r="S602" s="450"/>
      <c r="T602" s="450"/>
      <c r="U602" s="450"/>
      <c r="V602" s="450"/>
      <c r="W602" s="450"/>
      <c r="X602" s="450"/>
      <c r="Y602" s="450"/>
      <c r="Z602" s="450"/>
      <c r="AA602" s="450"/>
      <c r="AB602" s="450"/>
      <c r="AC602" s="450"/>
      <c r="AD602" s="450"/>
      <c r="AE602" s="450"/>
      <c r="AF602" s="450"/>
      <c r="AG602" s="450"/>
      <c r="AH602" s="450"/>
      <c r="AI602" s="450"/>
      <c r="AJ602" s="450"/>
      <c r="AK602" s="450"/>
    </row>
    <row r="603">
      <c r="A603" s="450"/>
      <c r="B603" s="450"/>
      <c r="C603" s="455"/>
      <c r="D603" s="450"/>
      <c r="E603" s="450"/>
      <c r="F603" s="450"/>
      <c r="G603" s="450"/>
      <c r="H603" s="450"/>
      <c r="I603" s="450"/>
      <c r="J603" s="450"/>
      <c r="K603" s="450"/>
      <c r="L603" s="450"/>
      <c r="M603" s="450"/>
      <c r="N603" s="450"/>
      <c r="O603" s="450"/>
      <c r="P603" s="450"/>
      <c r="Q603" s="450"/>
      <c r="R603" s="450"/>
      <c r="S603" s="450"/>
      <c r="T603" s="450"/>
      <c r="U603" s="450"/>
      <c r="V603" s="450"/>
      <c r="W603" s="450"/>
      <c r="X603" s="450"/>
      <c r="Y603" s="450"/>
      <c r="Z603" s="450"/>
      <c r="AA603" s="450"/>
      <c r="AB603" s="450"/>
      <c r="AC603" s="450"/>
      <c r="AD603" s="450"/>
      <c r="AE603" s="450"/>
      <c r="AF603" s="450"/>
      <c r="AG603" s="450"/>
      <c r="AH603" s="450"/>
      <c r="AI603" s="450"/>
      <c r="AJ603" s="450"/>
      <c r="AK603" s="450"/>
    </row>
    <row r="604">
      <c r="A604" s="450"/>
      <c r="B604" s="450"/>
      <c r="C604" s="455"/>
      <c r="D604" s="450"/>
      <c r="E604" s="450"/>
      <c r="F604" s="450"/>
      <c r="G604" s="450"/>
      <c r="H604" s="450"/>
      <c r="I604" s="450"/>
      <c r="J604" s="450"/>
      <c r="K604" s="450"/>
      <c r="L604" s="450"/>
      <c r="M604" s="450"/>
      <c r="N604" s="450"/>
      <c r="O604" s="450"/>
      <c r="P604" s="450"/>
      <c r="Q604" s="450"/>
      <c r="R604" s="450"/>
      <c r="S604" s="450"/>
      <c r="T604" s="450"/>
      <c r="U604" s="450"/>
      <c r="V604" s="450"/>
      <c r="W604" s="450"/>
      <c r="X604" s="450"/>
      <c r="Y604" s="450"/>
      <c r="Z604" s="450"/>
      <c r="AA604" s="450"/>
      <c r="AB604" s="450"/>
      <c r="AC604" s="450"/>
      <c r="AD604" s="450"/>
      <c r="AE604" s="450"/>
      <c r="AF604" s="450"/>
      <c r="AG604" s="450"/>
      <c r="AH604" s="450"/>
      <c r="AI604" s="450"/>
      <c r="AJ604" s="450"/>
      <c r="AK604" s="450"/>
    </row>
    <row r="605">
      <c r="A605" s="450"/>
      <c r="B605" s="450"/>
      <c r="C605" s="455"/>
      <c r="D605" s="450"/>
      <c r="E605" s="450"/>
      <c r="F605" s="450"/>
      <c r="G605" s="450"/>
      <c r="H605" s="450"/>
      <c r="I605" s="450"/>
      <c r="J605" s="450"/>
      <c r="K605" s="450"/>
      <c r="L605" s="450"/>
      <c r="M605" s="450"/>
      <c r="N605" s="450"/>
      <c r="O605" s="450"/>
      <c r="P605" s="450"/>
      <c r="Q605" s="450"/>
      <c r="R605" s="450"/>
      <c r="S605" s="450"/>
      <c r="T605" s="450"/>
      <c r="U605" s="450"/>
      <c r="V605" s="450"/>
      <c r="W605" s="450"/>
      <c r="X605" s="450"/>
      <c r="Y605" s="450"/>
      <c r="Z605" s="450"/>
      <c r="AA605" s="450"/>
      <c r="AB605" s="450"/>
      <c r="AC605" s="450"/>
      <c r="AD605" s="450"/>
      <c r="AE605" s="450"/>
      <c r="AF605" s="450"/>
      <c r="AG605" s="450"/>
      <c r="AH605" s="450"/>
      <c r="AI605" s="450"/>
      <c r="AJ605" s="450"/>
      <c r="AK605" s="450"/>
    </row>
    <row r="606">
      <c r="A606" s="450"/>
      <c r="B606" s="450"/>
      <c r="C606" s="455"/>
      <c r="D606" s="450"/>
      <c r="E606" s="450"/>
      <c r="F606" s="450"/>
      <c r="G606" s="450"/>
      <c r="H606" s="450"/>
      <c r="I606" s="450"/>
      <c r="J606" s="450"/>
      <c r="K606" s="450"/>
      <c r="L606" s="450"/>
      <c r="M606" s="450"/>
      <c r="N606" s="450"/>
      <c r="O606" s="450"/>
      <c r="P606" s="450"/>
      <c r="Q606" s="450"/>
      <c r="R606" s="450"/>
      <c r="S606" s="450"/>
      <c r="T606" s="450"/>
      <c r="U606" s="450"/>
      <c r="V606" s="450"/>
      <c r="W606" s="450"/>
      <c r="X606" s="450"/>
      <c r="Y606" s="450"/>
      <c r="Z606" s="450"/>
      <c r="AA606" s="450"/>
      <c r="AB606" s="450"/>
      <c r="AC606" s="450"/>
      <c r="AD606" s="450"/>
      <c r="AE606" s="450"/>
      <c r="AF606" s="450"/>
      <c r="AG606" s="450"/>
      <c r="AH606" s="450"/>
      <c r="AI606" s="450"/>
      <c r="AJ606" s="450"/>
      <c r="AK606" s="450"/>
    </row>
    <row r="607">
      <c r="A607" s="450"/>
      <c r="B607" s="450"/>
      <c r="C607" s="455"/>
      <c r="D607" s="450"/>
      <c r="E607" s="450"/>
      <c r="F607" s="450"/>
      <c r="G607" s="450"/>
      <c r="H607" s="450"/>
      <c r="I607" s="450"/>
      <c r="J607" s="450"/>
      <c r="K607" s="450"/>
      <c r="L607" s="450"/>
      <c r="M607" s="450"/>
      <c r="N607" s="450"/>
      <c r="O607" s="450"/>
      <c r="P607" s="450"/>
      <c r="Q607" s="450"/>
      <c r="R607" s="450"/>
      <c r="S607" s="450"/>
      <c r="T607" s="450"/>
      <c r="U607" s="450"/>
      <c r="V607" s="450"/>
      <c r="W607" s="450"/>
      <c r="X607" s="450"/>
      <c r="Y607" s="450"/>
      <c r="Z607" s="450"/>
      <c r="AA607" s="450"/>
      <c r="AB607" s="450"/>
      <c r="AC607" s="450"/>
      <c r="AD607" s="450"/>
      <c r="AE607" s="450"/>
      <c r="AF607" s="450"/>
      <c r="AG607" s="450"/>
      <c r="AH607" s="450"/>
      <c r="AI607" s="450"/>
      <c r="AJ607" s="450"/>
      <c r="AK607" s="450"/>
    </row>
    <row r="608">
      <c r="A608" s="450"/>
      <c r="B608" s="450"/>
      <c r="C608" s="455"/>
      <c r="D608" s="450"/>
      <c r="E608" s="450"/>
      <c r="F608" s="450"/>
      <c r="G608" s="450"/>
      <c r="H608" s="450"/>
      <c r="I608" s="450"/>
      <c r="J608" s="450"/>
      <c r="K608" s="450"/>
      <c r="L608" s="450"/>
      <c r="M608" s="450"/>
      <c r="N608" s="450"/>
      <c r="O608" s="450"/>
      <c r="P608" s="450"/>
      <c r="Q608" s="450"/>
      <c r="R608" s="450"/>
      <c r="S608" s="450"/>
      <c r="T608" s="450"/>
      <c r="U608" s="450"/>
      <c r="V608" s="450"/>
      <c r="W608" s="450"/>
      <c r="X608" s="450"/>
      <c r="Y608" s="450"/>
      <c r="Z608" s="450"/>
      <c r="AA608" s="450"/>
      <c r="AB608" s="450"/>
      <c r="AC608" s="450"/>
      <c r="AD608" s="450"/>
      <c r="AE608" s="450"/>
      <c r="AF608" s="450"/>
      <c r="AG608" s="450"/>
      <c r="AH608" s="450"/>
      <c r="AI608" s="450"/>
      <c r="AJ608" s="450"/>
      <c r="AK608" s="450"/>
    </row>
    <row r="609">
      <c r="A609" s="450"/>
      <c r="B609" s="450"/>
      <c r="C609" s="455"/>
      <c r="D609" s="450"/>
      <c r="E609" s="450"/>
      <c r="F609" s="450"/>
      <c r="G609" s="450"/>
      <c r="H609" s="450"/>
      <c r="I609" s="450"/>
      <c r="J609" s="450"/>
      <c r="K609" s="450"/>
      <c r="L609" s="450"/>
      <c r="M609" s="450"/>
      <c r="N609" s="450"/>
      <c r="O609" s="450"/>
      <c r="P609" s="450"/>
      <c r="Q609" s="450"/>
      <c r="R609" s="450"/>
      <c r="S609" s="450"/>
      <c r="T609" s="450"/>
      <c r="U609" s="450"/>
      <c r="V609" s="450"/>
      <c r="W609" s="450"/>
      <c r="X609" s="450"/>
      <c r="Y609" s="450"/>
      <c r="Z609" s="450"/>
      <c r="AA609" s="450"/>
      <c r="AB609" s="450"/>
      <c r="AC609" s="450"/>
      <c r="AD609" s="450"/>
      <c r="AE609" s="450"/>
      <c r="AF609" s="450"/>
      <c r="AG609" s="450"/>
      <c r="AH609" s="450"/>
      <c r="AI609" s="450"/>
      <c r="AJ609" s="450"/>
      <c r="AK609" s="450"/>
    </row>
    <row r="610">
      <c r="A610" s="450"/>
      <c r="B610" s="450"/>
      <c r="C610" s="455"/>
      <c r="D610" s="450"/>
      <c r="E610" s="450"/>
      <c r="F610" s="450"/>
      <c r="G610" s="450"/>
      <c r="H610" s="450"/>
      <c r="I610" s="450"/>
      <c r="J610" s="450"/>
      <c r="K610" s="450"/>
      <c r="L610" s="450"/>
      <c r="M610" s="450"/>
      <c r="N610" s="450"/>
      <c r="O610" s="450"/>
      <c r="P610" s="450"/>
      <c r="Q610" s="450"/>
      <c r="R610" s="450"/>
      <c r="S610" s="450"/>
      <c r="T610" s="450"/>
      <c r="U610" s="450"/>
      <c r="V610" s="450"/>
      <c r="W610" s="450"/>
      <c r="X610" s="450"/>
      <c r="Y610" s="450"/>
      <c r="Z610" s="450"/>
      <c r="AA610" s="450"/>
      <c r="AB610" s="450"/>
      <c r="AC610" s="450"/>
      <c r="AD610" s="450"/>
      <c r="AE610" s="450"/>
      <c r="AF610" s="450"/>
      <c r="AG610" s="450"/>
      <c r="AH610" s="450"/>
      <c r="AI610" s="450"/>
      <c r="AJ610" s="450"/>
      <c r="AK610" s="450"/>
    </row>
    <row r="611">
      <c r="A611" s="450"/>
      <c r="B611" s="450"/>
      <c r="C611" s="455"/>
      <c r="D611" s="450"/>
      <c r="E611" s="450"/>
      <c r="F611" s="450"/>
      <c r="G611" s="450"/>
      <c r="H611" s="450"/>
      <c r="I611" s="450"/>
      <c r="J611" s="450"/>
      <c r="K611" s="450"/>
      <c r="L611" s="450"/>
      <c r="M611" s="450"/>
      <c r="N611" s="450"/>
      <c r="O611" s="450"/>
      <c r="P611" s="450"/>
      <c r="Q611" s="450"/>
      <c r="R611" s="450"/>
      <c r="S611" s="450"/>
      <c r="T611" s="450"/>
      <c r="U611" s="450"/>
      <c r="V611" s="450"/>
      <c r="W611" s="450"/>
      <c r="X611" s="450"/>
      <c r="Y611" s="450"/>
      <c r="Z611" s="450"/>
      <c r="AA611" s="450"/>
      <c r="AB611" s="450"/>
      <c r="AC611" s="450"/>
      <c r="AD611" s="450"/>
      <c r="AE611" s="450"/>
      <c r="AF611" s="450"/>
      <c r="AG611" s="450"/>
      <c r="AH611" s="450"/>
      <c r="AI611" s="450"/>
      <c r="AJ611" s="450"/>
      <c r="AK611" s="450"/>
    </row>
    <row r="612">
      <c r="A612" s="450"/>
      <c r="B612" s="450"/>
      <c r="C612" s="455"/>
      <c r="D612" s="450"/>
      <c r="E612" s="450"/>
      <c r="F612" s="450"/>
      <c r="G612" s="450"/>
      <c r="H612" s="450"/>
      <c r="I612" s="450"/>
      <c r="J612" s="450"/>
      <c r="K612" s="450"/>
      <c r="L612" s="450"/>
      <c r="M612" s="450"/>
      <c r="N612" s="450"/>
      <c r="O612" s="450"/>
      <c r="P612" s="450"/>
      <c r="Q612" s="450"/>
      <c r="R612" s="450"/>
      <c r="S612" s="450"/>
      <c r="T612" s="450"/>
      <c r="U612" s="450"/>
      <c r="V612" s="450"/>
      <c r="W612" s="450"/>
      <c r="X612" s="450"/>
      <c r="Y612" s="450"/>
      <c r="Z612" s="450"/>
      <c r="AA612" s="450"/>
      <c r="AB612" s="450"/>
      <c r="AC612" s="450"/>
      <c r="AD612" s="450"/>
      <c r="AE612" s="450"/>
      <c r="AF612" s="450"/>
      <c r="AG612" s="450"/>
      <c r="AH612" s="450"/>
      <c r="AI612" s="450"/>
      <c r="AJ612" s="450"/>
      <c r="AK612" s="450"/>
    </row>
    <row r="613">
      <c r="A613" s="450"/>
      <c r="B613" s="450"/>
      <c r="C613" s="455"/>
      <c r="D613" s="450"/>
      <c r="E613" s="450"/>
      <c r="F613" s="450"/>
      <c r="G613" s="450"/>
      <c r="H613" s="450"/>
      <c r="I613" s="450"/>
      <c r="J613" s="450"/>
      <c r="K613" s="450"/>
      <c r="L613" s="450"/>
      <c r="M613" s="450"/>
      <c r="N613" s="450"/>
      <c r="O613" s="450"/>
      <c r="P613" s="450"/>
      <c r="Q613" s="450"/>
      <c r="R613" s="450"/>
      <c r="S613" s="450"/>
      <c r="T613" s="450"/>
      <c r="U613" s="450"/>
      <c r="V613" s="450"/>
      <c r="W613" s="450"/>
      <c r="X613" s="450"/>
      <c r="Y613" s="450"/>
      <c r="Z613" s="450"/>
      <c r="AA613" s="450"/>
      <c r="AB613" s="450"/>
      <c r="AC613" s="450"/>
      <c r="AD613" s="450"/>
      <c r="AE613" s="450"/>
      <c r="AF613" s="450"/>
      <c r="AG613" s="450"/>
      <c r="AH613" s="450"/>
      <c r="AI613" s="450"/>
      <c r="AJ613" s="450"/>
      <c r="AK613" s="450"/>
    </row>
    <row r="614">
      <c r="A614" s="450"/>
      <c r="B614" s="450"/>
      <c r="C614" s="455"/>
      <c r="D614" s="450"/>
      <c r="E614" s="450"/>
      <c r="F614" s="450"/>
      <c r="G614" s="450"/>
      <c r="H614" s="450"/>
      <c r="I614" s="450"/>
      <c r="J614" s="450"/>
      <c r="K614" s="450"/>
      <c r="L614" s="450"/>
      <c r="M614" s="450"/>
      <c r="N614" s="450"/>
      <c r="O614" s="450"/>
      <c r="P614" s="450"/>
      <c r="Q614" s="450"/>
      <c r="R614" s="450"/>
      <c r="S614" s="450"/>
      <c r="T614" s="450"/>
      <c r="U614" s="450"/>
      <c r="V614" s="450"/>
      <c r="W614" s="450"/>
      <c r="X614" s="450"/>
      <c r="Y614" s="450"/>
      <c r="Z614" s="450"/>
      <c r="AA614" s="450"/>
      <c r="AB614" s="450"/>
      <c r="AC614" s="450"/>
      <c r="AD614" s="450"/>
      <c r="AE614" s="450"/>
      <c r="AF614" s="450"/>
      <c r="AG614" s="450"/>
      <c r="AH614" s="450"/>
      <c r="AI614" s="450"/>
      <c r="AJ614" s="450"/>
      <c r="AK614" s="450"/>
    </row>
    <row r="615">
      <c r="A615" s="450"/>
      <c r="B615" s="450"/>
      <c r="C615" s="455"/>
      <c r="D615" s="450"/>
      <c r="E615" s="450"/>
      <c r="F615" s="450"/>
      <c r="G615" s="450"/>
      <c r="H615" s="450"/>
      <c r="I615" s="450"/>
      <c r="J615" s="450"/>
      <c r="K615" s="450"/>
      <c r="L615" s="450"/>
      <c r="M615" s="450"/>
      <c r="N615" s="450"/>
      <c r="O615" s="450"/>
      <c r="P615" s="450"/>
      <c r="Q615" s="450"/>
      <c r="R615" s="450"/>
      <c r="S615" s="450"/>
      <c r="T615" s="450"/>
      <c r="U615" s="450"/>
      <c r="V615" s="450"/>
      <c r="W615" s="450"/>
      <c r="X615" s="450"/>
      <c r="Y615" s="450"/>
      <c r="Z615" s="450"/>
      <c r="AA615" s="450"/>
      <c r="AB615" s="450"/>
      <c r="AC615" s="450"/>
      <c r="AD615" s="450"/>
      <c r="AE615" s="450"/>
      <c r="AF615" s="450"/>
      <c r="AG615" s="450"/>
      <c r="AH615" s="450"/>
      <c r="AI615" s="450"/>
      <c r="AJ615" s="450"/>
      <c r="AK615" s="450"/>
    </row>
    <row r="616">
      <c r="A616" s="450"/>
      <c r="B616" s="450"/>
      <c r="C616" s="455"/>
      <c r="D616" s="450"/>
      <c r="E616" s="450"/>
      <c r="F616" s="450"/>
      <c r="G616" s="450"/>
      <c r="H616" s="450"/>
      <c r="I616" s="450"/>
      <c r="J616" s="450"/>
      <c r="K616" s="450"/>
      <c r="L616" s="450"/>
      <c r="M616" s="450"/>
      <c r="N616" s="450"/>
      <c r="O616" s="450"/>
      <c r="P616" s="450"/>
      <c r="Q616" s="450"/>
      <c r="R616" s="450"/>
      <c r="S616" s="450"/>
      <c r="T616" s="450"/>
      <c r="U616" s="450"/>
      <c r="V616" s="450"/>
      <c r="W616" s="450"/>
      <c r="X616" s="450"/>
      <c r="Y616" s="450"/>
      <c r="Z616" s="450"/>
      <c r="AA616" s="450"/>
      <c r="AB616" s="450"/>
      <c r="AC616" s="450"/>
      <c r="AD616" s="450"/>
      <c r="AE616" s="450"/>
      <c r="AF616" s="450"/>
      <c r="AG616" s="450"/>
      <c r="AH616" s="450"/>
      <c r="AI616" s="450"/>
      <c r="AJ616" s="450"/>
      <c r="AK616" s="450"/>
    </row>
    <row r="617">
      <c r="A617" s="450"/>
      <c r="B617" s="450"/>
      <c r="C617" s="455"/>
      <c r="D617" s="450"/>
      <c r="E617" s="450"/>
      <c r="F617" s="450"/>
      <c r="G617" s="450"/>
      <c r="H617" s="450"/>
      <c r="I617" s="450"/>
      <c r="J617" s="450"/>
      <c r="K617" s="450"/>
      <c r="L617" s="450"/>
      <c r="M617" s="450"/>
      <c r="N617" s="450"/>
      <c r="O617" s="450"/>
      <c r="P617" s="450"/>
      <c r="Q617" s="450"/>
      <c r="R617" s="450"/>
      <c r="S617" s="450"/>
      <c r="T617" s="450"/>
      <c r="U617" s="450"/>
      <c r="V617" s="450"/>
      <c r="W617" s="450"/>
      <c r="X617" s="450"/>
      <c r="Y617" s="450"/>
      <c r="Z617" s="450"/>
      <c r="AA617" s="450"/>
      <c r="AB617" s="450"/>
      <c r="AC617" s="450"/>
      <c r="AD617" s="450"/>
      <c r="AE617" s="450"/>
      <c r="AF617" s="450"/>
      <c r="AG617" s="450"/>
      <c r="AH617" s="450"/>
      <c r="AI617" s="450"/>
      <c r="AJ617" s="450"/>
      <c r="AK617" s="450"/>
    </row>
    <row r="618">
      <c r="A618" s="450"/>
      <c r="B618" s="450"/>
      <c r="C618" s="455"/>
      <c r="D618" s="450"/>
      <c r="E618" s="450"/>
      <c r="F618" s="450"/>
      <c r="G618" s="450"/>
      <c r="H618" s="450"/>
      <c r="I618" s="450"/>
      <c r="J618" s="450"/>
      <c r="K618" s="450"/>
      <c r="L618" s="450"/>
      <c r="M618" s="450"/>
      <c r="N618" s="450"/>
      <c r="O618" s="450"/>
      <c r="P618" s="450"/>
      <c r="Q618" s="450"/>
      <c r="R618" s="450"/>
      <c r="S618" s="450"/>
      <c r="T618" s="450"/>
      <c r="U618" s="450"/>
      <c r="V618" s="450"/>
      <c r="W618" s="450"/>
      <c r="X618" s="450"/>
      <c r="Y618" s="450"/>
      <c r="Z618" s="450"/>
      <c r="AA618" s="450"/>
      <c r="AB618" s="450"/>
      <c r="AC618" s="450"/>
      <c r="AD618" s="450"/>
      <c r="AE618" s="450"/>
      <c r="AF618" s="450"/>
      <c r="AG618" s="450"/>
      <c r="AH618" s="450"/>
      <c r="AI618" s="450"/>
      <c r="AJ618" s="450"/>
      <c r="AK618" s="450"/>
    </row>
    <row r="619">
      <c r="A619" s="450"/>
      <c r="B619" s="450"/>
      <c r="C619" s="455"/>
      <c r="D619" s="450"/>
      <c r="E619" s="450"/>
      <c r="F619" s="450"/>
      <c r="G619" s="450"/>
      <c r="H619" s="450"/>
      <c r="I619" s="450"/>
      <c r="J619" s="450"/>
      <c r="K619" s="450"/>
      <c r="L619" s="450"/>
      <c r="M619" s="450"/>
      <c r="N619" s="450"/>
      <c r="O619" s="450"/>
      <c r="P619" s="450"/>
      <c r="Q619" s="450"/>
      <c r="R619" s="450"/>
      <c r="S619" s="450"/>
      <c r="T619" s="450"/>
      <c r="U619" s="450"/>
      <c r="V619" s="450"/>
      <c r="W619" s="450"/>
      <c r="X619" s="450"/>
      <c r="Y619" s="450"/>
      <c r="Z619" s="450"/>
      <c r="AA619" s="450"/>
      <c r="AB619" s="450"/>
      <c r="AC619" s="450"/>
      <c r="AD619" s="450"/>
      <c r="AE619" s="450"/>
      <c r="AF619" s="450"/>
      <c r="AG619" s="450"/>
      <c r="AH619" s="450"/>
      <c r="AI619" s="450"/>
      <c r="AJ619" s="450"/>
      <c r="AK619" s="450"/>
    </row>
    <row r="620">
      <c r="A620" s="450"/>
      <c r="B620" s="450"/>
      <c r="C620" s="455"/>
      <c r="D620" s="450"/>
      <c r="E620" s="450"/>
      <c r="F620" s="450"/>
      <c r="G620" s="450"/>
      <c r="H620" s="450"/>
      <c r="I620" s="450"/>
      <c r="J620" s="450"/>
      <c r="K620" s="450"/>
      <c r="L620" s="450"/>
      <c r="M620" s="450"/>
      <c r="N620" s="450"/>
      <c r="O620" s="450"/>
      <c r="P620" s="450"/>
      <c r="Q620" s="450"/>
      <c r="R620" s="450"/>
      <c r="S620" s="450"/>
      <c r="T620" s="450"/>
      <c r="U620" s="450"/>
      <c r="V620" s="450"/>
      <c r="W620" s="450"/>
      <c r="X620" s="450"/>
      <c r="Y620" s="450"/>
      <c r="Z620" s="450"/>
      <c r="AA620" s="450"/>
      <c r="AB620" s="450"/>
      <c r="AC620" s="450"/>
      <c r="AD620" s="450"/>
      <c r="AE620" s="450"/>
      <c r="AF620" s="450"/>
      <c r="AG620" s="450"/>
      <c r="AH620" s="450"/>
      <c r="AI620" s="450"/>
      <c r="AJ620" s="450"/>
      <c r="AK620" s="450"/>
    </row>
    <row r="621">
      <c r="A621" s="450"/>
      <c r="B621" s="450"/>
      <c r="C621" s="455"/>
      <c r="D621" s="450"/>
      <c r="E621" s="450"/>
      <c r="F621" s="450"/>
      <c r="G621" s="450"/>
      <c r="H621" s="450"/>
      <c r="I621" s="450"/>
      <c r="J621" s="450"/>
      <c r="K621" s="450"/>
      <c r="L621" s="450"/>
      <c r="M621" s="450"/>
      <c r="N621" s="450"/>
      <c r="O621" s="450"/>
      <c r="P621" s="450"/>
      <c r="Q621" s="450"/>
      <c r="R621" s="450"/>
      <c r="S621" s="450"/>
      <c r="T621" s="450"/>
      <c r="U621" s="450"/>
      <c r="V621" s="450"/>
      <c r="W621" s="450"/>
      <c r="X621" s="450"/>
      <c r="Y621" s="450"/>
      <c r="Z621" s="450"/>
      <c r="AA621" s="450"/>
      <c r="AB621" s="450"/>
      <c r="AC621" s="450"/>
      <c r="AD621" s="450"/>
      <c r="AE621" s="450"/>
      <c r="AF621" s="450"/>
      <c r="AG621" s="450"/>
      <c r="AH621" s="450"/>
      <c r="AI621" s="450"/>
      <c r="AJ621" s="450"/>
      <c r="AK621" s="450"/>
    </row>
    <row r="622">
      <c r="A622" s="450"/>
      <c r="B622" s="450"/>
      <c r="C622" s="455"/>
      <c r="D622" s="450"/>
      <c r="E622" s="450"/>
      <c r="F622" s="450"/>
      <c r="G622" s="450"/>
      <c r="H622" s="450"/>
      <c r="I622" s="450"/>
      <c r="J622" s="450"/>
      <c r="K622" s="450"/>
      <c r="L622" s="450"/>
      <c r="M622" s="450"/>
      <c r="N622" s="450"/>
      <c r="O622" s="450"/>
      <c r="P622" s="450"/>
      <c r="Q622" s="450"/>
      <c r="R622" s="450"/>
      <c r="S622" s="450"/>
      <c r="T622" s="450"/>
      <c r="U622" s="450"/>
      <c r="V622" s="450"/>
      <c r="W622" s="450"/>
      <c r="X622" s="450"/>
      <c r="Y622" s="450"/>
      <c r="Z622" s="450"/>
      <c r="AA622" s="450"/>
      <c r="AB622" s="450"/>
      <c r="AC622" s="450"/>
      <c r="AD622" s="450"/>
      <c r="AE622" s="450"/>
      <c r="AF622" s="450"/>
      <c r="AG622" s="450"/>
      <c r="AH622" s="450"/>
      <c r="AI622" s="450"/>
      <c r="AJ622" s="450"/>
      <c r="AK622" s="450"/>
    </row>
    <row r="623">
      <c r="A623" s="450"/>
      <c r="B623" s="450"/>
      <c r="C623" s="455"/>
      <c r="D623" s="450"/>
      <c r="E623" s="450"/>
      <c r="F623" s="450"/>
      <c r="G623" s="450"/>
      <c r="H623" s="450"/>
      <c r="I623" s="450"/>
      <c r="J623" s="450"/>
      <c r="K623" s="450"/>
      <c r="L623" s="450"/>
      <c r="M623" s="450"/>
      <c r="N623" s="450"/>
      <c r="O623" s="450"/>
      <c r="P623" s="450"/>
      <c r="Q623" s="450"/>
      <c r="R623" s="450"/>
      <c r="S623" s="450"/>
      <c r="T623" s="450"/>
      <c r="U623" s="450"/>
      <c r="V623" s="450"/>
      <c r="W623" s="450"/>
      <c r="X623" s="450"/>
      <c r="Y623" s="450"/>
      <c r="Z623" s="450"/>
      <c r="AA623" s="450"/>
      <c r="AB623" s="450"/>
      <c r="AC623" s="450"/>
      <c r="AD623" s="450"/>
      <c r="AE623" s="450"/>
      <c r="AF623" s="450"/>
      <c r="AG623" s="450"/>
      <c r="AH623" s="450"/>
      <c r="AI623" s="450"/>
      <c r="AJ623" s="450"/>
      <c r="AK623" s="450"/>
    </row>
    <row r="624">
      <c r="A624" s="450"/>
      <c r="B624" s="450"/>
      <c r="C624" s="455"/>
      <c r="D624" s="450"/>
      <c r="E624" s="450"/>
      <c r="F624" s="450"/>
      <c r="G624" s="450"/>
      <c r="H624" s="450"/>
      <c r="I624" s="450"/>
      <c r="J624" s="450"/>
      <c r="K624" s="450"/>
      <c r="L624" s="450"/>
      <c r="M624" s="450"/>
      <c r="N624" s="450"/>
      <c r="O624" s="450"/>
      <c r="P624" s="450"/>
      <c r="Q624" s="450"/>
      <c r="R624" s="450"/>
      <c r="S624" s="450"/>
      <c r="T624" s="450"/>
      <c r="U624" s="450"/>
      <c r="V624" s="450"/>
      <c r="W624" s="450"/>
      <c r="X624" s="450"/>
      <c r="Y624" s="450"/>
      <c r="Z624" s="450"/>
      <c r="AA624" s="450"/>
      <c r="AB624" s="450"/>
      <c r="AC624" s="450"/>
      <c r="AD624" s="450"/>
      <c r="AE624" s="450"/>
      <c r="AF624" s="450"/>
      <c r="AG624" s="450"/>
      <c r="AH624" s="450"/>
      <c r="AI624" s="450"/>
      <c r="AJ624" s="450"/>
      <c r="AK624" s="450"/>
    </row>
    <row r="625">
      <c r="A625" s="450"/>
      <c r="B625" s="450"/>
      <c r="C625" s="455"/>
      <c r="D625" s="450"/>
      <c r="E625" s="450"/>
      <c r="F625" s="450"/>
      <c r="G625" s="450"/>
      <c r="H625" s="450"/>
      <c r="I625" s="450"/>
      <c r="J625" s="450"/>
      <c r="K625" s="450"/>
      <c r="L625" s="450"/>
      <c r="M625" s="450"/>
      <c r="N625" s="450"/>
      <c r="O625" s="450"/>
      <c r="P625" s="450"/>
      <c r="Q625" s="450"/>
      <c r="R625" s="450"/>
      <c r="S625" s="450"/>
      <c r="T625" s="450"/>
      <c r="U625" s="450"/>
      <c r="V625" s="450"/>
      <c r="W625" s="450"/>
      <c r="X625" s="450"/>
      <c r="Y625" s="450"/>
      <c r="Z625" s="450"/>
      <c r="AA625" s="450"/>
      <c r="AB625" s="450"/>
      <c r="AC625" s="450"/>
      <c r="AD625" s="450"/>
      <c r="AE625" s="450"/>
      <c r="AF625" s="450"/>
      <c r="AG625" s="450"/>
      <c r="AH625" s="450"/>
      <c r="AI625" s="450"/>
      <c r="AJ625" s="450"/>
      <c r="AK625" s="450"/>
    </row>
    <row r="626">
      <c r="A626" s="450"/>
      <c r="B626" s="450"/>
      <c r="C626" s="455"/>
      <c r="D626" s="450"/>
      <c r="E626" s="450"/>
      <c r="F626" s="450"/>
      <c r="G626" s="450"/>
      <c r="H626" s="450"/>
      <c r="I626" s="450"/>
      <c r="J626" s="450"/>
      <c r="K626" s="450"/>
      <c r="L626" s="450"/>
      <c r="M626" s="450"/>
      <c r="N626" s="450"/>
      <c r="O626" s="450"/>
      <c r="P626" s="450"/>
      <c r="Q626" s="450"/>
      <c r="R626" s="450"/>
      <c r="S626" s="450"/>
      <c r="T626" s="450"/>
      <c r="U626" s="450"/>
      <c r="V626" s="450"/>
      <c r="W626" s="450"/>
      <c r="X626" s="450"/>
      <c r="Y626" s="450"/>
      <c r="Z626" s="450"/>
      <c r="AA626" s="450"/>
      <c r="AB626" s="450"/>
      <c r="AC626" s="450"/>
      <c r="AD626" s="450"/>
      <c r="AE626" s="450"/>
      <c r="AF626" s="450"/>
      <c r="AG626" s="450"/>
      <c r="AH626" s="450"/>
      <c r="AI626" s="450"/>
      <c r="AJ626" s="450"/>
      <c r="AK626" s="450"/>
    </row>
    <row r="627">
      <c r="A627" s="450"/>
      <c r="B627" s="450"/>
      <c r="C627" s="455"/>
      <c r="D627" s="450"/>
      <c r="E627" s="450"/>
      <c r="F627" s="450"/>
      <c r="G627" s="450"/>
      <c r="H627" s="450"/>
      <c r="I627" s="450"/>
      <c r="J627" s="450"/>
      <c r="K627" s="450"/>
      <c r="L627" s="450"/>
      <c r="M627" s="450"/>
      <c r="N627" s="450"/>
      <c r="O627" s="450"/>
      <c r="P627" s="450"/>
      <c r="Q627" s="450"/>
      <c r="R627" s="450"/>
      <c r="S627" s="450"/>
      <c r="T627" s="450"/>
      <c r="U627" s="450"/>
      <c r="V627" s="450"/>
      <c r="W627" s="450"/>
      <c r="X627" s="450"/>
      <c r="Y627" s="450"/>
      <c r="Z627" s="450"/>
      <c r="AA627" s="450"/>
      <c r="AB627" s="450"/>
      <c r="AC627" s="450"/>
      <c r="AD627" s="450"/>
      <c r="AE627" s="450"/>
      <c r="AF627" s="450"/>
      <c r="AG627" s="450"/>
      <c r="AH627" s="450"/>
      <c r="AI627" s="450"/>
      <c r="AJ627" s="450"/>
      <c r="AK627" s="450"/>
    </row>
    <row r="628">
      <c r="A628" s="450"/>
      <c r="B628" s="450"/>
      <c r="C628" s="455"/>
      <c r="D628" s="450"/>
      <c r="E628" s="450"/>
      <c r="F628" s="450"/>
      <c r="G628" s="450"/>
      <c r="H628" s="450"/>
      <c r="I628" s="450"/>
      <c r="J628" s="450"/>
      <c r="K628" s="450"/>
      <c r="L628" s="450"/>
      <c r="M628" s="450"/>
      <c r="N628" s="450"/>
      <c r="O628" s="450"/>
      <c r="P628" s="450"/>
      <c r="Q628" s="450"/>
      <c r="R628" s="450"/>
      <c r="S628" s="450"/>
      <c r="T628" s="450"/>
      <c r="U628" s="450"/>
      <c r="V628" s="450"/>
      <c r="W628" s="450"/>
      <c r="X628" s="450"/>
      <c r="Y628" s="450"/>
      <c r="Z628" s="450"/>
      <c r="AA628" s="450"/>
      <c r="AB628" s="450"/>
      <c r="AC628" s="450"/>
      <c r="AD628" s="450"/>
      <c r="AE628" s="450"/>
      <c r="AF628" s="450"/>
      <c r="AG628" s="450"/>
      <c r="AH628" s="450"/>
      <c r="AI628" s="450"/>
      <c r="AJ628" s="450"/>
      <c r="AK628" s="450"/>
    </row>
    <row r="629">
      <c r="A629" s="450"/>
      <c r="B629" s="450"/>
      <c r="C629" s="455"/>
      <c r="D629" s="450"/>
      <c r="E629" s="450"/>
      <c r="F629" s="450"/>
      <c r="G629" s="450"/>
      <c r="H629" s="450"/>
      <c r="I629" s="450"/>
      <c r="J629" s="450"/>
      <c r="K629" s="450"/>
      <c r="L629" s="450"/>
      <c r="M629" s="450"/>
      <c r="N629" s="450"/>
      <c r="O629" s="450"/>
      <c r="P629" s="450"/>
      <c r="Q629" s="450"/>
      <c r="R629" s="450"/>
      <c r="S629" s="450"/>
      <c r="T629" s="450"/>
      <c r="U629" s="450"/>
      <c r="V629" s="450"/>
      <c r="W629" s="450"/>
      <c r="X629" s="450"/>
      <c r="Y629" s="450"/>
      <c r="Z629" s="450"/>
      <c r="AA629" s="450"/>
      <c r="AB629" s="450"/>
      <c r="AC629" s="450"/>
      <c r="AD629" s="450"/>
      <c r="AE629" s="450"/>
      <c r="AF629" s="450"/>
      <c r="AG629" s="450"/>
      <c r="AH629" s="450"/>
      <c r="AI629" s="450"/>
      <c r="AJ629" s="450"/>
      <c r="AK629" s="450"/>
    </row>
    <row r="630">
      <c r="A630" s="450"/>
      <c r="B630" s="450"/>
      <c r="C630" s="455"/>
      <c r="D630" s="450"/>
      <c r="E630" s="450"/>
      <c r="F630" s="450"/>
      <c r="G630" s="450"/>
      <c r="H630" s="450"/>
      <c r="I630" s="450"/>
      <c r="J630" s="450"/>
      <c r="K630" s="450"/>
      <c r="L630" s="450"/>
      <c r="M630" s="450"/>
      <c r="N630" s="450"/>
      <c r="O630" s="450"/>
      <c r="P630" s="450"/>
      <c r="Q630" s="450"/>
      <c r="R630" s="450"/>
      <c r="S630" s="450"/>
      <c r="T630" s="450"/>
      <c r="U630" s="450"/>
      <c r="V630" s="450"/>
      <c r="W630" s="450"/>
      <c r="X630" s="450"/>
      <c r="Y630" s="450"/>
      <c r="Z630" s="450"/>
      <c r="AA630" s="450"/>
      <c r="AB630" s="450"/>
      <c r="AC630" s="450"/>
      <c r="AD630" s="450"/>
      <c r="AE630" s="450"/>
      <c r="AF630" s="450"/>
      <c r="AG630" s="450"/>
      <c r="AH630" s="450"/>
      <c r="AI630" s="450"/>
      <c r="AJ630" s="450"/>
      <c r="AK630" s="450"/>
    </row>
    <row r="631">
      <c r="A631" s="450"/>
      <c r="B631" s="450"/>
      <c r="C631" s="455"/>
      <c r="D631" s="450"/>
      <c r="E631" s="450"/>
      <c r="F631" s="450"/>
      <c r="G631" s="450"/>
      <c r="H631" s="450"/>
      <c r="I631" s="450"/>
      <c r="J631" s="450"/>
      <c r="K631" s="450"/>
      <c r="L631" s="450"/>
      <c r="M631" s="450"/>
      <c r="N631" s="450"/>
      <c r="O631" s="450"/>
      <c r="P631" s="450"/>
      <c r="Q631" s="450"/>
      <c r="R631" s="450"/>
      <c r="S631" s="450"/>
      <c r="T631" s="450"/>
      <c r="U631" s="450"/>
      <c r="V631" s="450"/>
      <c r="W631" s="450"/>
      <c r="X631" s="450"/>
      <c r="Y631" s="450"/>
      <c r="Z631" s="450"/>
      <c r="AA631" s="450"/>
      <c r="AB631" s="450"/>
      <c r="AC631" s="450"/>
      <c r="AD631" s="450"/>
      <c r="AE631" s="450"/>
      <c r="AF631" s="450"/>
      <c r="AG631" s="450"/>
      <c r="AH631" s="450"/>
      <c r="AI631" s="450"/>
      <c r="AJ631" s="450"/>
      <c r="AK631" s="450"/>
    </row>
    <row r="632">
      <c r="A632" s="450"/>
      <c r="B632" s="450"/>
      <c r="C632" s="455"/>
      <c r="D632" s="450"/>
      <c r="E632" s="450"/>
      <c r="F632" s="450"/>
      <c r="G632" s="450"/>
      <c r="H632" s="450"/>
      <c r="I632" s="450"/>
      <c r="J632" s="450"/>
      <c r="K632" s="450"/>
      <c r="L632" s="450"/>
      <c r="M632" s="450"/>
      <c r="N632" s="450"/>
      <c r="O632" s="450"/>
      <c r="P632" s="450"/>
      <c r="Q632" s="450"/>
      <c r="R632" s="450"/>
      <c r="S632" s="450"/>
      <c r="T632" s="450"/>
      <c r="U632" s="450"/>
      <c r="V632" s="450"/>
      <c r="W632" s="450"/>
      <c r="X632" s="450"/>
      <c r="Y632" s="450"/>
      <c r="Z632" s="450"/>
      <c r="AA632" s="450"/>
      <c r="AB632" s="450"/>
      <c r="AC632" s="450"/>
      <c r="AD632" s="450"/>
      <c r="AE632" s="450"/>
      <c r="AF632" s="450"/>
      <c r="AG632" s="450"/>
      <c r="AH632" s="450"/>
      <c r="AI632" s="450"/>
      <c r="AJ632" s="450"/>
      <c r="AK632" s="450"/>
    </row>
    <row r="633">
      <c r="A633" s="450"/>
      <c r="B633" s="450"/>
      <c r="C633" s="455"/>
      <c r="D633" s="450"/>
      <c r="E633" s="450"/>
      <c r="F633" s="450"/>
      <c r="G633" s="450"/>
      <c r="H633" s="450"/>
      <c r="I633" s="450"/>
      <c r="J633" s="450"/>
      <c r="K633" s="450"/>
      <c r="L633" s="450"/>
      <c r="M633" s="450"/>
      <c r="N633" s="450"/>
      <c r="O633" s="450"/>
      <c r="P633" s="450"/>
      <c r="Q633" s="450"/>
      <c r="R633" s="450"/>
      <c r="S633" s="450"/>
      <c r="T633" s="450"/>
      <c r="U633" s="450"/>
      <c r="V633" s="450"/>
      <c r="W633" s="450"/>
      <c r="X633" s="450"/>
      <c r="Y633" s="450"/>
      <c r="Z633" s="450"/>
      <c r="AA633" s="450"/>
      <c r="AB633" s="450"/>
      <c r="AC633" s="450"/>
      <c r="AD633" s="450"/>
      <c r="AE633" s="450"/>
      <c r="AF633" s="450"/>
      <c r="AG633" s="450"/>
      <c r="AH633" s="450"/>
      <c r="AI633" s="450"/>
      <c r="AJ633" s="450"/>
      <c r="AK633" s="450"/>
    </row>
    <row r="634">
      <c r="A634" s="450"/>
      <c r="B634" s="450"/>
      <c r="C634" s="455"/>
      <c r="D634" s="450"/>
      <c r="E634" s="450"/>
      <c r="F634" s="450"/>
      <c r="G634" s="450"/>
      <c r="H634" s="450"/>
      <c r="I634" s="450"/>
      <c r="J634" s="450"/>
      <c r="K634" s="450"/>
      <c r="L634" s="450"/>
      <c r="M634" s="450"/>
      <c r="N634" s="450"/>
      <c r="O634" s="450"/>
      <c r="P634" s="450"/>
      <c r="Q634" s="450"/>
      <c r="R634" s="450"/>
      <c r="S634" s="450"/>
      <c r="T634" s="450"/>
      <c r="U634" s="450"/>
      <c r="V634" s="450"/>
      <c r="W634" s="450"/>
      <c r="X634" s="450"/>
      <c r="Y634" s="450"/>
      <c r="Z634" s="450"/>
      <c r="AA634" s="450"/>
      <c r="AB634" s="450"/>
      <c r="AC634" s="450"/>
      <c r="AD634" s="450"/>
      <c r="AE634" s="450"/>
      <c r="AF634" s="450"/>
      <c r="AG634" s="450"/>
      <c r="AH634" s="450"/>
      <c r="AI634" s="450"/>
      <c r="AJ634" s="450"/>
      <c r="AK634" s="450"/>
    </row>
    <row r="635">
      <c r="A635" s="450"/>
      <c r="B635" s="450"/>
      <c r="C635" s="455"/>
      <c r="D635" s="450"/>
      <c r="E635" s="450"/>
      <c r="F635" s="450"/>
      <c r="G635" s="450"/>
      <c r="H635" s="450"/>
      <c r="I635" s="450"/>
      <c r="J635" s="450"/>
      <c r="K635" s="450"/>
      <c r="L635" s="450"/>
      <c r="M635" s="450"/>
      <c r="N635" s="450"/>
      <c r="O635" s="450"/>
      <c r="P635" s="450"/>
      <c r="Q635" s="450"/>
      <c r="R635" s="450"/>
      <c r="S635" s="450"/>
      <c r="T635" s="450"/>
      <c r="U635" s="450"/>
      <c r="V635" s="450"/>
      <c r="W635" s="450"/>
      <c r="X635" s="450"/>
      <c r="Y635" s="450"/>
      <c r="Z635" s="450"/>
      <c r="AA635" s="450"/>
      <c r="AB635" s="450"/>
      <c r="AC635" s="450"/>
      <c r="AD635" s="450"/>
      <c r="AE635" s="450"/>
      <c r="AF635" s="450"/>
      <c r="AG635" s="450"/>
      <c r="AH635" s="450"/>
      <c r="AI635" s="450"/>
      <c r="AJ635" s="450"/>
      <c r="AK635" s="450"/>
    </row>
    <row r="636">
      <c r="A636" s="450"/>
      <c r="B636" s="450"/>
      <c r="C636" s="455"/>
      <c r="D636" s="450"/>
      <c r="E636" s="450"/>
      <c r="F636" s="450"/>
      <c r="G636" s="450"/>
      <c r="H636" s="450"/>
      <c r="I636" s="450"/>
      <c r="J636" s="450"/>
      <c r="K636" s="450"/>
      <c r="L636" s="450"/>
      <c r="M636" s="450"/>
      <c r="N636" s="450"/>
      <c r="O636" s="450"/>
      <c r="P636" s="450"/>
      <c r="Q636" s="450"/>
      <c r="R636" s="450"/>
      <c r="S636" s="450"/>
      <c r="T636" s="450"/>
      <c r="U636" s="450"/>
      <c r="V636" s="450"/>
      <c r="W636" s="450"/>
      <c r="X636" s="450"/>
      <c r="Y636" s="450"/>
      <c r="Z636" s="450"/>
      <c r="AA636" s="450"/>
      <c r="AB636" s="450"/>
      <c r="AC636" s="450"/>
      <c r="AD636" s="450"/>
      <c r="AE636" s="450"/>
      <c r="AF636" s="450"/>
      <c r="AG636" s="450"/>
      <c r="AH636" s="450"/>
      <c r="AI636" s="450"/>
      <c r="AJ636" s="450"/>
      <c r="AK636" s="450"/>
    </row>
    <row r="637">
      <c r="A637" s="450"/>
      <c r="B637" s="450"/>
      <c r="C637" s="455"/>
      <c r="D637" s="450"/>
      <c r="E637" s="450"/>
      <c r="F637" s="450"/>
      <c r="G637" s="450"/>
      <c r="H637" s="450"/>
      <c r="I637" s="450"/>
      <c r="J637" s="450"/>
      <c r="K637" s="450"/>
      <c r="L637" s="450"/>
      <c r="M637" s="450"/>
      <c r="N637" s="450"/>
      <c r="O637" s="450"/>
      <c r="P637" s="450"/>
      <c r="Q637" s="450"/>
      <c r="R637" s="450"/>
      <c r="S637" s="450"/>
      <c r="T637" s="450"/>
      <c r="U637" s="450"/>
      <c r="V637" s="450"/>
      <c r="W637" s="450"/>
      <c r="X637" s="450"/>
      <c r="Y637" s="450"/>
      <c r="Z637" s="450"/>
      <c r="AA637" s="450"/>
      <c r="AB637" s="450"/>
      <c r="AC637" s="450"/>
      <c r="AD637" s="450"/>
      <c r="AE637" s="450"/>
      <c r="AF637" s="450"/>
      <c r="AG637" s="450"/>
      <c r="AH637" s="450"/>
      <c r="AI637" s="450"/>
      <c r="AJ637" s="450"/>
      <c r="AK637" s="450"/>
    </row>
    <row r="638">
      <c r="A638" s="450"/>
      <c r="B638" s="450"/>
      <c r="C638" s="455"/>
      <c r="D638" s="450"/>
      <c r="E638" s="450"/>
      <c r="F638" s="450"/>
      <c r="G638" s="450"/>
      <c r="H638" s="450"/>
      <c r="I638" s="450"/>
      <c r="J638" s="450"/>
      <c r="K638" s="450"/>
      <c r="L638" s="450"/>
      <c r="M638" s="450"/>
      <c r="N638" s="450"/>
      <c r="O638" s="450"/>
      <c r="P638" s="450"/>
      <c r="Q638" s="450"/>
      <c r="R638" s="450"/>
      <c r="S638" s="450"/>
      <c r="T638" s="450"/>
      <c r="U638" s="450"/>
      <c r="V638" s="450"/>
      <c r="W638" s="450"/>
      <c r="X638" s="450"/>
      <c r="Y638" s="450"/>
      <c r="Z638" s="450"/>
      <c r="AA638" s="450"/>
      <c r="AB638" s="450"/>
      <c r="AC638" s="450"/>
      <c r="AD638" s="450"/>
      <c r="AE638" s="450"/>
      <c r="AF638" s="450"/>
      <c r="AG638" s="450"/>
      <c r="AH638" s="450"/>
      <c r="AI638" s="450"/>
      <c r="AJ638" s="450"/>
      <c r="AK638" s="450"/>
    </row>
    <row r="639">
      <c r="A639" s="450"/>
      <c r="B639" s="450"/>
      <c r="C639" s="455"/>
      <c r="D639" s="450"/>
      <c r="E639" s="450"/>
      <c r="F639" s="450"/>
      <c r="G639" s="450"/>
      <c r="H639" s="450"/>
      <c r="I639" s="450"/>
      <c r="J639" s="450"/>
      <c r="K639" s="450"/>
      <c r="L639" s="450"/>
      <c r="M639" s="450"/>
      <c r="N639" s="450"/>
      <c r="O639" s="450"/>
      <c r="P639" s="450"/>
      <c r="Q639" s="450"/>
      <c r="R639" s="450"/>
      <c r="S639" s="450"/>
      <c r="T639" s="450"/>
      <c r="U639" s="450"/>
      <c r="V639" s="450"/>
      <c r="W639" s="450"/>
      <c r="X639" s="450"/>
      <c r="Y639" s="450"/>
      <c r="Z639" s="450"/>
      <c r="AA639" s="450"/>
      <c r="AB639" s="450"/>
      <c r="AC639" s="450"/>
      <c r="AD639" s="450"/>
      <c r="AE639" s="450"/>
      <c r="AF639" s="450"/>
      <c r="AG639" s="450"/>
      <c r="AH639" s="450"/>
      <c r="AI639" s="450"/>
      <c r="AJ639" s="450"/>
      <c r="AK639" s="450"/>
    </row>
    <row r="640">
      <c r="A640" s="450"/>
      <c r="B640" s="450"/>
      <c r="C640" s="455"/>
      <c r="D640" s="450"/>
      <c r="E640" s="450"/>
      <c r="F640" s="450"/>
      <c r="G640" s="450"/>
      <c r="H640" s="450"/>
      <c r="I640" s="450"/>
      <c r="J640" s="450"/>
      <c r="K640" s="450"/>
      <c r="L640" s="450"/>
      <c r="M640" s="450"/>
      <c r="N640" s="450"/>
      <c r="O640" s="450"/>
      <c r="P640" s="450"/>
      <c r="Q640" s="450"/>
      <c r="R640" s="450"/>
      <c r="S640" s="450"/>
      <c r="T640" s="450"/>
      <c r="U640" s="450"/>
      <c r="V640" s="450"/>
      <c r="W640" s="450"/>
      <c r="X640" s="450"/>
      <c r="Y640" s="450"/>
      <c r="Z640" s="450"/>
      <c r="AA640" s="450"/>
      <c r="AB640" s="450"/>
      <c r="AC640" s="450"/>
      <c r="AD640" s="450"/>
      <c r="AE640" s="450"/>
      <c r="AF640" s="450"/>
      <c r="AG640" s="450"/>
      <c r="AH640" s="450"/>
      <c r="AI640" s="450"/>
      <c r="AJ640" s="450"/>
      <c r="AK640" s="450"/>
    </row>
    <row r="641">
      <c r="A641" s="450"/>
      <c r="B641" s="450"/>
      <c r="C641" s="455"/>
      <c r="D641" s="450"/>
      <c r="E641" s="450"/>
      <c r="F641" s="450"/>
      <c r="G641" s="450"/>
      <c r="H641" s="450"/>
      <c r="I641" s="450"/>
      <c r="J641" s="450"/>
      <c r="K641" s="450"/>
      <c r="L641" s="450"/>
      <c r="M641" s="450"/>
      <c r="N641" s="450"/>
      <c r="O641" s="450"/>
      <c r="P641" s="450"/>
      <c r="Q641" s="450"/>
      <c r="R641" s="450"/>
      <c r="S641" s="450"/>
      <c r="T641" s="450"/>
      <c r="U641" s="450"/>
      <c r="V641" s="450"/>
      <c r="W641" s="450"/>
      <c r="X641" s="450"/>
      <c r="Y641" s="450"/>
      <c r="Z641" s="450"/>
      <c r="AA641" s="450"/>
      <c r="AB641" s="450"/>
      <c r="AC641" s="450"/>
      <c r="AD641" s="450"/>
      <c r="AE641" s="450"/>
      <c r="AF641" s="450"/>
      <c r="AG641" s="450"/>
      <c r="AH641" s="450"/>
      <c r="AI641" s="450"/>
      <c r="AJ641" s="450"/>
      <c r="AK641" s="450"/>
    </row>
    <row r="642">
      <c r="A642" s="450"/>
      <c r="B642" s="450"/>
      <c r="C642" s="455"/>
      <c r="D642" s="450"/>
      <c r="E642" s="450"/>
      <c r="F642" s="450"/>
      <c r="G642" s="450"/>
      <c r="H642" s="450"/>
      <c r="I642" s="450"/>
      <c r="J642" s="450"/>
      <c r="K642" s="450"/>
      <c r="L642" s="450"/>
      <c r="M642" s="450"/>
      <c r="N642" s="450"/>
      <c r="O642" s="450"/>
      <c r="P642" s="450"/>
      <c r="Q642" s="450"/>
      <c r="R642" s="450"/>
      <c r="S642" s="450"/>
      <c r="T642" s="450"/>
      <c r="U642" s="450"/>
      <c r="V642" s="450"/>
      <c r="W642" s="450"/>
      <c r="X642" s="450"/>
      <c r="Y642" s="450"/>
      <c r="Z642" s="450"/>
      <c r="AA642" s="450"/>
      <c r="AB642" s="450"/>
      <c r="AC642" s="450"/>
      <c r="AD642" s="450"/>
      <c r="AE642" s="450"/>
      <c r="AF642" s="450"/>
      <c r="AG642" s="450"/>
      <c r="AH642" s="450"/>
      <c r="AI642" s="450"/>
      <c r="AJ642" s="450"/>
      <c r="AK642" s="450"/>
    </row>
    <row r="643">
      <c r="A643" s="450"/>
      <c r="B643" s="450"/>
      <c r="C643" s="455"/>
      <c r="D643" s="450"/>
      <c r="E643" s="450"/>
      <c r="F643" s="450"/>
      <c r="G643" s="450"/>
      <c r="H643" s="450"/>
      <c r="I643" s="450"/>
      <c r="J643" s="450"/>
      <c r="K643" s="450"/>
      <c r="L643" s="450"/>
      <c r="M643" s="450"/>
      <c r="N643" s="450"/>
      <c r="O643" s="450"/>
      <c r="P643" s="450"/>
      <c r="Q643" s="450"/>
      <c r="R643" s="450"/>
      <c r="S643" s="450"/>
      <c r="T643" s="450"/>
      <c r="U643" s="450"/>
      <c r="V643" s="450"/>
      <c r="W643" s="450"/>
      <c r="X643" s="450"/>
      <c r="Y643" s="450"/>
      <c r="Z643" s="450"/>
      <c r="AA643" s="450"/>
      <c r="AB643" s="450"/>
      <c r="AC643" s="450"/>
      <c r="AD643" s="450"/>
      <c r="AE643" s="450"/>
      <c r="AF643" s="450"/>
      <c r="AG643" s="450"/>
      <c r="AH643" s="450"/>
      <c r="AI643" s="450"/>
      <c r="AJ643" s="450"/>
      <c r="AK643" s="450"/>
    </row>
    <row r="644">
      <c r="A644" s="450"/>
      <c r="B644" s="450"/>
      <c r="C644" s="455"/>
      <c r="D644" s="450"/>
      <c r="E644" s="450"/>
      <c r="F644" s="450"/>
      <c r="G644" s="450"/>
      <c r="H644" s="450"/>
      <c r="I644" s="450"/>
      <c r="J644" s="450"/>
      <c r="K644" s="450"/>
      <c r="L644" s="450"/>
      <c r="M644" s="450"/>
      <c r="N644" s="450"/>
      <c r="O644" s="450"/>
      <c r="P644" s="450"/>
      <c r="Q644" s="450"/>
      <c r="R644" s="450"/>
      <c r="S644" s="450"/>
      <c r="T644" s="450"/>
      <c r="U644" s="450"/>
      <c r="V644" s="450"/>
      <c r="W644" s="450"/>
      <c r="X644" s="450"/>
      <c r="Y644" s="450"/>
      <c r="Z644" s="450"/>
      <c r="AA644" s="450"/>
      <c r="AB644" s="450"/>
      <c r="AC644" s="450"/>
      <c r="AD644" s="450"/>
      <c r="AE644" s="450"/>
      <c r="AF644" s="450"/>
      <c r="AG644" s="450"/>
      <c r="AH644" s="450"/>
      <c r="AI644" s="450"/>
      <c r="AJ644" s="450"/>
      <c r="AK644" s="450"/>
    </row>
    <row r="645">
      <c r="A645" s="450"/>
      <c r="B645" s="450"/>
      <c r="C645" s="455"/>
      <c r="D645" s="450"/>
      <c r="E645" s="450"/>
      <c r="F645" s="450"/>
      <c r="G645" s="450"/>
      <c r="H645" s="450"/>
      <c r="I645" s="450"/>
      <c r="J645" s="450"/>
      <c r="K645" s="450"/>
      <c r="L645" s="450"/>
      <c r="M645" s="450"/>
      <c r="N645" s="450"/>
      <c r="O645" s="450"/>
      <c r="P645" s="450"/>
      <c r="Q645" s="450"/>
      <c r="R645" s="450"/>
      <c r="S645" s="450"/>
      <c r="T645" s="450"/>
      <c r="U645" s="450"/>
      <c r="V645" s="450"/>
      <c r="W645" s="450"/>
      <c r="X645" s="450"/>
      <c r="Y645" s="450"/>
      <c r="Z645" s="450"/>
      <c r="AA645" s="450"/>
      <c r="AB645" s="450"/>
      <c r="AC645" s="450"/>
      <c r="AD645" s="450"/>
      <c r="AE645" s="450"/>
      <c r="AF645" s="450"/>
      <c r="AG645" s="450"/>
      <c r="AH645" s="450"/>
      <c r="AI645" s="450"/>
      <c r="AJ645" s="450"/>
      <c r="AK645" s="450"/>
    </row>
    <row r="646">
      <c r="A646" s="450"/>
      <c r="B646" s="450"/>
      <c r="C646" s="455"/>
      <c r="D646" s="450"/>
      <c r="E646" s="450"/>
      <c r="F646" s="450"/>
      <c r="G646" s="450"/>
      <c r="H646" s="450"/>
      <c r="I646" s="450"/>
      <c r="J646" s="450"/>
      <c r="K646" s="450"/>
      <c r="L646" s="450"/>
      <c r="M646" s="450"/>
      <c r="N646" s="450"/>
      <c r="O646" s="450"/>
      <c r="P646" s="450"/>
      <c r="Q646" s="450"/>
      <c r="R646" s="450"/>
      <c r="S646" s="450"/>
      <c r="T646" s="450"/>
      <c r="U646" s="450"/>
      <c r="V646" s="450"/>
      <c r="W646" s="450"/>
      <c r="X646" s="450"/>
      <c r="Y646" s="450"/>
      <c r="Z646" s="450"/>
      <c r="AA646" s="450"/>
      <c r="AB646" s="450"/>
      <c r="AC646" s="450"/>
      <c r="AD646" s="450"/>
      <c r="AE646" s="450"/>
      <c r="AF646" s="450"/>
      <c r="AG646" s="450"/>
      <c r="AH646" s="450"/>
      <c r="AI646" s="450"/>
      <c r="AJ646" s="450"/>
      <c r="AK646" s="450"/>
    </row>
    <row r="647">
      <c r="A647" s="450"/>
      <c r="B647" s="450"/>
      <c r="C647" s="455"/>
      <c r="D647" s="450"/>
      <c r="E647" s="450"/>
      <c r="F647" s="450"/>
      <c r="G647" s="450"/>
      <c r="H647" s="450"/>
      <c r="I647" s="450"/>
      <c r="J647" s="450"/>
      <c r="K647" s="450"/>
      <c r="L647" s="450"/>
      <c r="M647" s="450"/>
      <c r="N647" s="450"/>
      <c r="O647" s="450"/>
      <c r="P647" s="450"/>
      <c r="Q647" s="450"/>
      <c r="R647" s="450"/>
      <c r="S647" s="450"/>
      <c r="T647" s="450"/>
      <c r="U647" s="450"/>
      <c r="V647" s="450"/>
      <c r="W647" s="450"/>
      <c r="X647" s="450"/>
      <c r="Y647" s="450"/>
      <c r="Z647" s="450"/>
      <c r="AA647" s="450"/>
      <c r="AB647" s="450"/>
      <c r="AC647" s="450"/>
      <c r="AD647" s="450"/>
      <c r="AE647" s="450"/>
      <c r="AF647" s="450"/>
      <c r="AG647" s="450"/>
      <c r="AH647" s="450"/>
      <c r="AI647" s="450"/>
      <c r="AJ647" s="450"/>
      <c r="AK647" s="450"/>
    </row>
    <row r="648">
      <c r="A648" s="450"/>
      <c r="B648" s="450"/>
      <c r="C648" s="455"/>
      <c r="D648" s="450"/>
      <c r="E648" s="450"/>
      <c r="F648" s="450"/>
      <c r="G648" s="450"/>
      <c r="H648" s="450"/>
      <c r="I648" s="450"/>
      <c r="J648" s="450"/>
      <c r="K648" s="450"/>
      <c r="L648" s="450"/>
      <c r="M648" s="450"/>
      <c r="N648" s="450"/>
      <c r="O648" s="450"/>
      <c r="P648" s="450"/>
      <c r="Q648" s="450"/>
      <c r="R648" s="450"/>
      <c r="S648" s="450"/>
      <c r="T648" s="450"/>
      <c r="U648" s="450"/>
      <c r="V648" s="450"/>
      <c r="W648" s="450"/>
      <c r="X648" s="450"/>
      <c r="Y648" s="450"/>
      <c r="Z648" s="450"/>
      <c r="AA648" s="450"/>
      <c r="AB648" s="450"/>
      <c r="AC648" s="450"/>
      <c r="AD648" s="450"/>
      <c r="AE648" s="450"/>
      <c r="AF648" s="450"/>
      <c r="AG648" s="450"/>
      <c r="AH648" s="450"/>
      <c r="AI648" s="450"/>
      <c r="AJ648" s="450"/>
      <c r="AK648" s="450"/>
    </row>
    <row r="649">
      <c r="A649" s="450"/>
      <c r="B649" s="450"/>
      <c r="C649" s="455"/>
      <c r="D649" s="450"/>
      <c r="E649" s="450"/>
      <c r="F649" s="450"/>
      <c r="G649" s="450"/>
      <c r="H649" s="450"/>
      <c r="I649" s="450"/>
      <c r="J649" s="450"/>
      <c r="K649" s="450"/>
      <c r="L649" s="450"/>
      <c r="M649" s="450"/>
      <c r="N649" s="450"/>
      <c r="O649" s="450"/>
      <c r="P649" s="450"/>
      <c r="Q649" s="450"/>
      <c r="R649" s="450"/>
      <c r="S649" s="450"/>
      <c r="T649" s="450"/>
      <c r="U649" s="450"/>
      <c r="V649" s="450"/>
      <c r="W649" s="450"/>
      <c r="X649" s="450"/>
      <c r="Y649" s="450"/>
      <c r="Z649" s="450"/>
      <c r="AA649" s="450"/>
      <c r="AB649" s="450"/>
      <c r="AC649" s="450"/>
      <c r="AD649" s="450"/>
      <c r="AE649" s="450"/>
      <c r="AF649" s="450"/>
      <c r="AG649" s="450"/>
      <c r="AH649" s="450"/>
      <c r="AI649" s="450"/>
      <c r="AJ649" s="450"/>
      <c r="AK649" s="450"/>
    </row>
    <row r="650">
      <c r="A650" s="450"/>
      <c r="B650" s="450"/>
      <c r="C650" s="455"/>
      <c r="D650" s="450"/>
      <c r="E650" s="450"/>
      <c r="F650" s="450"/>
      <c r="G650" s="450"/>
      <c r="H650" s="450"/>
      <c r="I650" s="450"/>
      <c r="J650" s="450"/>
      <c r="K650" s="450"/>
      <c r="L650" s="450"/>
      <c r="M650" s="450"/>
      <c r="N650" s="450"/>
      <c r="O650" s="450"/>
      <c r="P650" s="450"/>
      <c r="Q650" s="450"/>
      <c r="R650" s="450"/>
      <c r="S650" s="450"/>
      <c r="T650" s="450"/>
      <c r="U650" s="450"/>
      <c r="V650" s="450"/>
      <c r="W650" s="450"/>
      <c r="X650" s="450"/>
      <c r="Y650" s="450"/>
      <c r="Z650" s="450"/>
      <c r="AA650" s="450"/>
      <c r="AB650" s="450"/>
      <c r="AC650" s="450"/>
      <c r="AD650" s="450"/>
      <c r="AE650" s="450"/>
      <c r="AF650" s="450"/>
      <c r="AG650" s="450"/>
      <c r="AH650" s="450"/>
      <c r="AI650" s="450"/>
      <c r="AJ650" s="450"/>
      <c r="AK650" s="450"/>
    </row>
    <row r="651">
      <c r="A651" s="450"/>
      <c r="B651" s="450"/>
      <c r="C651" s="455"/>
      <c r="D651" s="450"/>
      <c r="E651" s="450"/>
      <c r="F651" s="450"/>
      <c r="G651" s="450"/>
      <c r="H651" s="450"/>
      <c r="I651" s="450"/>
      <c r="J651" s="450"/>
      <c r="K651" s="450"/>
      <c r="L651" s="450"/>
      <c r="M651" s="450"/>
      <c r="N651" s="450"/>
      <c r="O651" s="450"/>
      <c r="P651" s="450"/>
      <c r="Q651" s="450"/>
      <c r="R651" s="450"/>
      <c r="S651" s="450"/>
      <c r="T651" s="450"/>
      <c r="U651" s="450"/>
      <c r="V651" s="450"/>
      <c r="W651" s="450"/>
      <c r="X651" s="450"/>
      <c r="Y651" s="450"/>
      <c r="Z651" s="450"/>
      <c r="AA651" s="450"/>
      <c r="AB651" s="450"/>
      <c r="AC651" s="450"/>
      <c r="AD651" s="450"/>
      <c r="AE651" s="450"/>
      <c r="AF651" s="450"/>
      <c r="AG651" s="450"/>
      <c r="AH651" s="450"/>
      <c r="AI651" s="450"/>
      <c r="AJ651" s="450"/>
      <c r="AK651" s="450"/>
    </row>
    <row r="652">
      <c r="A652" s="450"/>
      <c r="B652" s="450"/>
      <c r="C652" s="455"/>
      <c r="D652" s="450"/>
      <c r="E652" s="450"/>
      <c r="F652" s="450"/>
      <c r="G652" s="450"/>
      <c r="H652" s="450"/>
      <c r="I652" s="450"/>
      <c r="J652" s="450"/>
      <c r="K652" s="450"/>
      <c r="L652" s="450"/>
      <c r="M652" s="450"/>
      <c r="N652" s="450"/>
      <c r="O652" s="450"/>
      <c r="P652" s="450"/>
      <c r="Q652" s="450"/>
      <c r="R652" s="450"/>
      <c r="S652" s="450"/>
      <c r="T652" s="450"/>
      <c r="U652" s="450"/>
      <c r="V652" s="450"/>
      <c r="W652" s="450"/>
      <c r="X652" s="450"/>
      <c r="Y652" s="450"/>
      <c r="Z652" s="450"/>
      <c r="AA652" s="450"/>
      <c r="AB652" s="450"/>
      <c r="AC652" s="450"/>
      <c r="AD652" s="450"/>
      <c r="AE652" s="450"/>
      <c r="AF652" s="450"/>
      <c r="AG652" s="450"/>
      <c r="AH652" s="450"/>
      <c r="AI652" s="450"/>
      <c r="AJ652" s="450"/>
      <c r="AK652" s="450"/>
    </row>
    <row r="653">
      <c r="A653" s="450"/>
      <c r="B653" s="450"/>
      <c r="C653" s="455"/>
      <c r="D653" s="450"/>
      <c r="E653" s="450"/>
      <c r="F653" s="450"/>
      <c r="G653" s="450"/>
      <c r="H653" s="450"/>
      <c r="I653" s="450"/>
      <c r="J653" s="450"/>
      <c r="K653" s="450"/>
      <c r="L653" s="450"/>
      <c r="M653" s="450"/>
      <c r="N653" s="450"/>
      <c r="O653" s="450"/>
      <c r="P653" s="450"/>
      <c r="Q653" s="450"/>
      <c r="R653" s="450"/>
      <c r="S653" s="450"/>
      <c r="T653" s="450"/>
      <c r="U653" s="450"/>
      <c r="V653" s="450"/>
      <c r="W653" s="450"/>
      <c r="X653" s="450"/>
      <c r="Y653" s="450"/>
      <c r="Z653" s="450"/>
      <c r="AA653" s="450"/>
      <c r="AB653" s="450"/>
      <c r="AC653" s="450"/>
      <c r="AD653" s="450"/>
      <c r="AE653" s="450"/>
      <c r="AF653" s="450"/>
      <c r="AG653" s="450"/>
      <c r="AH653" s="450"/>
      <c r="AI653" s="450"/>
      <c r="AJ653" s="450"/>
      <c r="AK653" s="450"/>
    </row>
    <row r="654">
      <c r="A654" s="450"/>
      <c r="B654" s="450"/>
      <c r="C654" s="455"/>
      <c r="D654" s="450"/>
      <c r="E654" s="450"/>
      <c r="F654" s="450"/>
      <c r="G654" s="450"/>
      <c r="H654" s="450"/>
      <c r="I654" s="450"/>
      <c r="J654" s="450"/>
      <c r="K654" s="450"/>
      <c r="L654" s="450"/>
      <c r="M654" s="450"/>
      <c r="N654" s="450"/>
      <c r="O654" s="450"/>
      <c r="P654" s="450"/>
      <c r="Q654" s="450"/>
      <c r="R654" s="450"/>
      <c r="S654" s="450"/>
      <c r="T654" s="450"/>
      <c r="U654" s="450"/>
      <c r="V654" s="450"/>
      <c r="W654" s="450"/>
      <c r="X654" s="450"/>
      <c r="Y654" s="450"/>
      <c r="Z654" s="450"/>
      <c r="AA654" s="450"/>
      <c r="AB654" s="450"/>
      <c r="AC654" s="450"/>
      <c r="AD654" s="450"/>
      <c r="AE654" s="450"/>
      <c r="AF654" s="450"/>
      <c r="AG654" s="450"/>
      <c r="AH654" s="450"/>
      <c r="AI654" s="450"/>
      <c r="AJ654" s="450"/>
      <c r="AK654" s="450"/>
    </row>
    <row r="655">
      <c r="A655" s="450"/>
      <c r="B655" s="450"/>
      <c r="C655" s="455"/>
      <c r="D655" s="450"/>
      <c r="E655" s="450"/>
      <c r="F655" s="450"/>
      <c r="G655" s="450"/>
      <c r="H655" s="450"/>
      <c r="I655" s="450"/>
      <c r="J655" s="450"/>
      <c r="K655" s="450"/>
      <c r="L655" s="450"/>
      <c r="M655" s="450"/>
      <c r="N655" s="450"/>
      <c r="O655" s="450"/>
      <c r="P655" s="450"/>
      <c r="Q655" s="450"/>
      <c r="R655" s="450"/>
      <c r="S655" s="450"/>
      <c r="T655" s="450"/>
      <c r="U655" s="450"/>
      <c r="V655" s="450"/>
      <c r="W655" s="450"/>
      <c r="X655" s="450"/>
      <c r="Y655" s="450"/>
      <c r="Z655" s="450"/>
      <c r="AA655" s="450"/>
      <c r="AB655" s="450"/>
      <c r="AC655" s="450"/>
      <c r="AD655" s="450"/>
      <c r="AE655" s="450"/>
      <c r="AF655" s="450"/>
      <c r="AG655" s="450"/>
      <c r="AH655" s="450"/>
      <c r="AI655" s="450"/>
      <c r="AJ655" s="450"/>
      <c r="AK655" s="450"/>
    </row>
    <row r="656">
      <c r="A656" s="450"/>
      <c r="B656" s="450"/>
      <c r="C656" s="455"/>
      <c r="D656" s="450"/>
      <c r="E656" s="450"/>
      <c r="F656" s="450"/>
      <c r="G656" s="450"/>
      <c r="H656" s="450"/>
      <c r="I656" s="450"/>
      <c r="J656" s="450"/>
      <c r="K656" s="450"/>
      <c r="L656" s="450"/>
      <c r="M656" s="450"/>
      <c r="N656" s="450"/>
      <c r="O656" s="450"/>
      <c r="P656" s="450"/>
      <c r="Q656" s="450"/>
      <c r="R656" s="450"/>
      <c r="S656" s="450"/>
      <c r="T656" s="450"/>
      <c r="U656" s="450"/>
      <c r="V656" s="450"/>
      <c r="W656" s="450"/>
      <c r="X656" s="450"/>
      <c r="Y656" s="450"/>
      <c r="Z656" s="450"/>
      <c r="AA656" s="450"/>
      <c r="AB656" s="450"/>
      <c r="AC656" s="450"/>
      <c r="AD656" s="450"/>
      <c r="AE656" s="450"/>
      <c r="AF656" s="450"/>
      <c r="AG656" s="450"/>
      <c r="AH656" s="450"/>
      <c r="AI656" s="450"/>
      <c r="AJ656" s="450"/>
      <c r="AK656" s="450"/>
    </row>
    <row r="657">
      <c r="A657" s="450"/>
      <c r="B657" s="450"/>
      <c r="C657" s="455"/>
      <c r="D657" s="450"/>
      <c r="E657" s="450"/>
      <c r="F657" s="450"/>
      <c r="G657" s="450"/>
      <c r="H657" s="450"/>
      <c r="I657" s="450"/>
      <c r="J657" s="450"/>
      <c r="K657" s="450"/>
      <c r="L657" s="450"/>
      <c r="M657" s="450"/>
      <c r="N657" s="450"/>
      <c r="O657" s="450"/>
      <c r="P657" s="450"/>
      <c r="Q657" s="450"/>
      <c r="R657" s="450"/>
      <c r="S657" s="450"/>
      <c r="T657" s="450"/>
      <c r="U657" s="450"/>
      <c r="V657" s="450"/>
      <c r="W657" s="450"/>
      <c r="X657" s="450"/>
      <c r="Y657" s="450"/>
      <c r="Z657" s="450"/>
      <c r="AA657" s="450"/>
      <c r="AB657" s="450"/>
      <c r="AC657" s="450"/>
      <c r="AD657" s="450"/>
      <c r="AE657" s="450"/>
      <c r="AF657" s="450"/>
      <c r="AG657" s="450"/>
      <c r="AH657" s="450"/>
      <c r="AI657" s="450"/>
      <c r="AJ657" s="450"/>
      <c r="AK657" s="450"/>
    </row>
    <row r="658">
      <c r="A658" s="450"/>
      <c r="B658" s="450"/>
      <c r="C658" s="455"/>
      <c r="D658" s="450"/>
      <c r="E658" s="450"/>
      <c r="F658" s="450"/>
      <c r="G658" s="450"/>
      <c r="H658" s="450"/>
      <c r="I658" s="450"/>
      <c r="J658" s="450"/>
      <c r="K658" s="450"/>
      <c r="L658" s="450"/>
      <c r="M658" s="450"/>
      <c r="N658" s="450"/>
      <c r="O658" s="450"/>
      <c r="P658" s="450"/>
      <c r="Q658" s="450"/>
      <c r="R658" s="450"/>
      <c r="S658" s="450"/>
      <c r="T658" s="450"/>
      <c r="U658" s="450"/>
      <c r="V658" s="450"/>
      <c r="W658" s="450"/>
      <c r="X658" s="450"/>
      <c r="Y658" s="450"/>
      <c r="Z658" s="450"/>
      <c r="AA658" s="450"/>
      <c r="AB658" s="450"/>
      <c r="AC658" s="450"/>
      <c r="AD658" s="450"/>
      <c r="AE658" s="450"/>
      <c r="AF658" s="450"/>
      <c r="AG658" s="450"/>
      <c r="AH658" s="450"/>
      <c r="AI658" s="450"/>
      <c r="AJ658" s="450"/>
      <c r="AK658" s="450"/>
    </row>
    <row r="659">
      <c r="A659" s="450"/>
      <c r="B659" s="450"/>
      <c r="C659" s="455"/>
      <c r="D659" s="450"/>
      <c r="E659" s="450"/>
      <c r="F659" s="450"/>
      <c r="G659" s="450"/>
      <c r="H659" s="450"/>
      <c r="I659" s="450"/>
      <c r="J659" s="450"/>
      <c r="K659" s="450"/>
      <c r="L659" s="450"/>
      <c r="M659" s="450"/>
      <c r="N659" s="450"/>
      <c r="O659" s="450"/>
      <c r="P659" s="450"/>
      <c r="Q659" s="450"/>
      <c r="R659" s="450"/>
      <c r="S659" s="450"/>
      <c r="T659" s="450"/>
      <c r="U659" s="450"/>
      <c r="V659" s="450"/>
      <c r="W659" s="450"/>
      <c r="X659" s="450"/>
      <c r="Y659" s="450"/>
      <c r="Z659" s="450"/>
      <c r="AA659" s="450"/>
      <c r="AB659" s="450"/>
      <c r="AC659" s="450"/>
      <c r="AD659" s="450"/>
      <c r="AE659" s="450"/>
      <c r="AF659" s="450"/>
      <c r="AG659" s="450"/>
      <c r="AH659" s="450"/>
      <c r="AI659" s="450"/>
      <c r="AJ659" s="450"/>
      <c r="AK659" s="450"/>
    </row>
    <row r="660">
      <c r="A660" s="450"/>
      <c r="B660" s="450"/>
      <c r="C660" s="455"/>
      <c r="D660" s="450"/>
      <c r="E660" s="450"/>
      <c r="F660" s="450"/>
      <c r="G660" s="450"/>
      <c r="H660" s="450"/>
      <c r="I660" s="450"/>
      <c r="J660" s="450"/>
      <c r="K660" s="450"/>
      <c r="L660" s="450"/>
      <c r="M660" s="450"/>
      <c r="N660" s="450"/>
      <c r="O660" s="450"/>
      <c r="P660" s="450"/>
      <c r="Q660" s="450"/>
      <c r="R660" s="450"/>
      <c r="S660" s="450"/>
      <c r="T660" s="450"/>
      <c r="U660" s="450"/>
      <c r="V660" s="450"/>
      <c r="W660" s="450"/>
      <c r="X660" s="450"/>
      <c r="Y660" s="450"/>
      <c r="Z660" s="450"/>
      <c r="AA660" s="450"/>
      <c r="AB660" s="450"/>
      <c r="AC660" s="450"/>
      <c r="AD660" s="450"/>
      <c r="AE660" s="450"/>
      <c r="AF660" s="450"/>
      <c r="AG660" s="450"/>
      <c r="AH660" s="450"/>
      <c r="AI660" s="450"/>
      <c r="AJ660" s="450"/>
      <c r="AK660" s="450"/>
    </row>
    <row r="661">
      <c r="A661" s="450"/>
      <c r="B661" s="450"/>
      <c r="C661" s="455"/>
      <c r="D661" s="450"/>
      <c r="E661" s="450"/>
      <c r="F661" s="450"/>
      <c r="G661" s="450"/>
      <c r="H661" s="450"/>
      <c r="I661" s="450"/>
      <c r="J661" s="450"/>
      <c r="K661" s="450"/>
      <c r="L661" s="450"/>
      <c r="M661" s="450"/>
      <c r="N661" s="450"/>
      <c r="O661" s="450"/>
      <c r="P661" s="450"/>
      <c r="Q661" s="450"/>
      <c r="R661" s="450"/>
      <c r="S661" s="450"/>
      <c r="T661" s="450"/>
      <c r="U661" s="450"/>
      <c r="V661" s="450"/>
      <c r="W661" s="450"/>
      <c r="X661" s="450"/>
      <c r="Y661" s="450"/>
      <c r="Z661" s="450"/>
      <c r="AA661" s="450"/>
      <c r="AB661" s="450"/>
      <c r="AC661" s="450"/>
      <c r="AD661" s="450"/>
      <c r="AE661" s="450"/>
      <c r="AF661" s="450"/>
      <c r="AG661" s="450"/>
      <c r="AH661" s="450"/>
      <c r="AI661" s="450"/>
      <c r="AJ661" s="450"/>
      <c r="AK661" s="450"/>
    </row>
    <row r="662">
      <c r="A662" s="450"/>
      <c r="B662" s="450"/>
      <c r="C662" s="455"/>
      <c r="D662" s="450"/>
      <c r="E662" s="450"/>
      <c r="F662" s="450"/>
      <c r="G662" s="450"/>
      <c r="H662" s="450"/>
      <c r="I662" s="450"/>
      <c r="J662" s="450"/>
      <c r="K662" s="450"/>
      <c r="L662" s="450"/>
      <c r="M662" s="450"/>
      <c r="N662" s="450"/>
      <c r="O662" s="450"/>
      <c r="P662" s="450"/>
      <c r="Q662" s="450"/>
      <c r="R662" s="450"/>
      <c r="S662" s="450"/>
      <c r="T662" s="450"/>
      <c r="U662" s="450"/>
      <c r="V662" s="450"/>
      <c r="W662" s="450"/>
      <c r="X662" s="450"/>
      <c r="Y662" s="450"/>
      <c r="Z662" s="450"/>
      <c r="AA662" s="450"/>
      <c r="AB662" s="450"/>
      <c r="AC662" s="450"/>
      <c r="AD662" s="450"/>
      <c r="AE662" s="450"/>
      <c r="AF662" s="450"/>
      <c r="AG662" s="450"/>
      <c r="AH662" s="450"/>
      <c r="AI662" s="450"/>
      <c r="AJ662" s="450"/>
      <c r="AK662" s="450"/>
    </row>
    <row r="663">
      <c r="A663" s="450"/>
      <c r="B663" s="450"/>
      <c r="C663" s="455"/>
      <c r="D663" s="450"/>
      <c r="E663" s="450"/>
      <c r="F663" s="450"/>
      <c r="G663" s="450"/>
      <c r="H663" s="450"/>
      <c r="I663" s="450"/>
      <c r="J663" s="450"/>
      <c r="K663" s="450"/>
      <c r="L663" s="450"/>
      <c r="M663" s="450"/>
      <c r="N663" s="450"/>
      <c r="O663" s="450"/>
      <c r="P663" s="450"/>
      <c r="Q663" s="450"/>
      <c r="R663" s="450"/>
      <c r="S663" s="450"/>
      <c r="T663" s="450"/>
      <c r="U663" s="450"/>
      <c r="V663" s="450"/>
      <c r="W663" s="450"/>
      <c r="X663" s="450"/>
      <c r="Y663" s="450"/>
      <c r="Z663" s="450"/>
      <c r="AA663" s="450"/>
      <c r="AB663" s="450"/>
      <c r="AC663" s="450"/>
      <c r="AD663" s="450"/>
      <c r="AE663" s="450"/>
      <c r="AF663" s="450"/>
      <c r="AG663" s="450"/>
      <c r="AH663" s="450"/>
      <c r="AI663" s="450"/>
      <c r="AJ663" s="450"/>
      <c r="AK663" s="450"/>
    </row>
    <row r="664">
      <c r="A664" s="450"/>
      <c r="B664" s="450"/>
      <c r="C664" s="455"/>
      <c r="D664" s="450"/>
      <c r="E664" s="450"/>
      <c r="F664" s="450"/>
      <c r="G664" s="450"/>
      <c r="H664" s="450"/>
      <c r="I664" s="450"/>
      <c r="J664" s="450"/>
      <c r="K664" s="450"/>
      <c r="L664" s="450"/>
      <c r="M664" s="450"/>
      <c r="N664" s="450"/>
      <c r="O664" s="450"/>
      <c r="P664" s="450"/>
      <c r="Q664" s="450"/>
      <c r="R664" s="450"/>
      <c r="S664" s="450"/>
      <c r="T664" s="450"/>
      <c r="U664" s="450"/>
      <c r="V664" s="450"/>
      <c r="W664" s="450"/>
      <c r="X664" s="450"/>
      <c r="Y664" s="450"/>
      <c r="Z664" s="450"/>
      <c r="AA664" s="450"/>
      <c r="AB664" s="450"/>
      <c r="AC664" s="450"/>
      <c r="AD664" s="450"/>
      <c r="AE664" s="450"/>
      <c r="AF664" s="450"/>
      <c r="AG664" s="450"/>
      <c r="AH664" s="450"/>
      <c r="AI664" s="450"/>
      <c r="AJ664" s="450"/>
      <c r="AK664" s="450"/>
    </row>
    <row r="665">
      <c r="A665" s="450"/>
      <c r="B665" s="450"/>
      <c r="C665" s="455"/>
      <c r="D665" s="450"/>
      <c r="E665" s="450"/>
      <c r="F665" s="450"/>
      <c r="G665" s="450"/>
      <c r="H665" s="450"/>
      <c r="I665" s="450"/>
      <c r="J665" s="450"/>
      <c r="K665" s="450"/>
      <c r="L665" s="450"/>
      <c r="M665" s="450"/>
      <c r="N665" s="450"/>
      <c r="O665" s="450"/>
      <c r="P665" s="450"/>
      <c r="Q665" s="450"/>
      <c r="R665" s="450"/>
      <c r="S665" s="450"/>
      <c r="T665" s="450"/>
      <c r="U665" s="450"/>
      <c r="V665" s="450"/>
      <c r="W665" s="450"/>
      <c r="X665" s="450"/>
      <c r="Y665" s="450"/>
      <c r="Z665" s="450"/>
      <c r="AA665" s="450"/>
      <c r="AB665" s="450"/>
      <c r="AC665" s="450"/>
      <c r="AD665" s="450"/>
      <c r="AE665" s="450"/>
      <c r="AF665" s="450"/>
      <c r="AG665" s="450"/>
      <c r="AH665" s="450"/>
      <c r="AI665" s="450"/>
      <c r="AJ665" s="450"/>
      <c r="AK665" s="450"/>
    </row>
    <row r="666">
      <c r="A666" s="450"/>
      <c r="B666" s="450"/>
      <c r="C666" s="455"/>
      <c r="D666" s="450"/>
      <c r="E666" s="450"/>
      <c r="F666" s="450"/>
      <c r="G666" s="450"/>
      <c r="H666" s="450"/>
      <c r="I666" s="450"/>
      <c r="J666" s="450"/>
      <c r="K666" s="450"/>
      <c r="L666" s="450"/>
      <c r="M666" s="450"/>
      <c r="N666" s="450"/>
      <c r="O666" s="450"/>
      <c r="P666" s="450"/>
      <c r="Q666" s="450"/>
      <c r="R666" s="450"/>
      <c r="S666" s="450"/>
      <c r="T666" s="450"/>
      <c r="U666" s="450"/>
      <c r="V666" s="450"/>
      <c r="W666" s="450"/>
      <c r="X666" s="450"/>
      <c r="Y666" s="450"/>
      <c r="Z666" s="450"/>
      <c r="AA666" s="450"/>
      <c r="AB666" s="450"/>
      <c r="AC666" s="450"/>
      <c r="AD666" s="450"/>
      <c r="AE666" s="450"/>
      <c r="AF666" s="450"/>
      <c r="AG666" s="450"/>
      <c r="AH666" s="450"/>
      <c r="AI666" s="450"/>
      <c r="AJ666" s="450"/>
      <c r="AK666" s="450"/>
    </row>
    <row r="667">
      <c r="A667" s="450"/>
      <c r="B667" s="450"/>
      <c r="C667" s="455"/>
      <c r="D667" s="450"/>
      <c r="E667" s="450"/>
      <c r="F667" s="450"/>
      <c r="G667" s="450"/>
      <c r="H667" s="450"/>
      <c r="I667" s="450"/>
      <c r="J667" s="450"/>
      <c r="K667" s="450"/>
      <c r="L667" s="450"/>
      <c r="M667" s="450"/>
      <c r="N667" s="450"/>
      <c r="O667" s="450"/>
      <c r="P667" s="450"/>
      <c r="Q667" s="450"/>
      <c r="R667" s="450"/>
      <c r="S667" s="450"/>
      <c r="T667" s="450"/>
      <c r="U667" s="450"/>
      <c r="V667" s="450"/>
      <c r="W667" s="450"/>
      <c r="X667" s="450"/>
      <c r="Y667" s="450"/>
      <c r="Z667" s="450"/>
      <c r="AA667" s="450"/>
      <c r="AB667" s="450"/>
      <c r="AC667" s="450"/>
      <c r="AD667" s="450"/>
      <c r="AE667" s="450"/>
      <c r="AF667" s="450"/>
      <c r="AG667" s="450"/>
      <c r="AH667" s="450"/>
      <c r="AI667" s="450"/>
      <c r="AJ667" s="450"/>
      <c r="AK667" s="450"/>
    </row>
    <row r="668">
      <c r="A668" s="450"/>
      <c r="B668" s="450"/>
      <c r="C668" s="455"/>
      <c r="D668" s="450"/>
      <c r="E668" s="450"/>
      <c r="F668" s="450"/>
      <c r="G668" s="450"/>
      <c r="H668" s="450"/>
      <c r="I668" s="450"/>
      <c r="J668" s="450"/>
      <c r="K668" s="450"/>
      <c r="L668" s="450"/>
      <c r="M668" s="450"/>
      <c r="N668" s="450"/>
      <c r="O668" s="450"/>
      <c r="P668" s="450"/>
      <c r="Q668" s="450"/>
      <c r="R668" s="450"/>
      <c r="S668" s="450"/>
      <c r="T668" s="450"/>
      <c r="U668" s="450"/>
      <c r="V668" s="450"/>
      <c r="W668" s="450"/>
      <c r="X668" s="450"/>
      <c r="Y668" s="450"/>
      <c r="Z668" s="450"/>
      <c r="AA668" s="450"/>
      <c r="AB668" s="450"/>
      <c r="AC668" s="450"/>
      <c r="AD668" s="450"/>
      <c r="AE668" s="450"/>
      <c r="AF668" s="450"/>
      <c r="AG668" s="450"/>
      <c r="AH668" s="450"/>
      <c r="AI668" s="450"/>
      <c r="AJ668" s="450"/>
      <c r="AK668" s="450"/>
    </row>
    <row r="669">
      <c r="A669" s="450"/>
      <c r="B669" s="450"/>
      <c r="C669" s="455"/>
      <c r="D669" s="450"/>
      <c r="E669" s="450"/>
      <c r="F669" s="450"/>
      <c r="G669" s="450"/>
      <c r="H669" s="450"/>
      <c r="I669" s="450"/>
      <c r="J669" s="450"/>
      <c r="K669" s="450"/>
      <c r="L669" s="450"/>
      <c r="M669" s="450"/>
      <c r="N669" s="450"/>
      <c r="O669" s="450"/>
      <c r="P669" s="450"/>
      <c r="Q669" s="450"/>
      <c r="R669" s="450"/>
      <c r="S669" s="450"/>
      <c r="T669" s="450"/>
      <c r="U669" s="450"/>
      <c r="V669" s="450"/>
      <c r="W669" s="450"/>
      <c r="X669" s="450"/>
      <c r="Y669" s="450"/>
      <c r="Z669" s="450"/>
      <c r="AA669" s="450"/>
      <c r="AB669" s="450"/>
      <c r="AC669" s="450"/>
      <c r="AD669" s="450"/>
      <c r="AE669" s="450"/>
      <c r="AF669" s="450"/>
      <c r="AG669" s="450"/>
      <c r="AH669" s="450"/>
      <c r="AI669" s="450"/>
      <c r="AJ669" s="450"/>
      <c r="AK669" s="450"/>
    </row>
    <row r="670">
      <c r="A670" s="450"/>
      <c r="B670" s="450"/>
      <c r="C670" s="455"/>
      <c r="D670" s="450"/>
      <c r="E670" s="450"/>
      <c r="F670" s="450"/>
      <c r="G670" s="450"/>
      <c r="H670" s="450"/>
      <c r="I670" s="450"/>
      <c r="J670" s="450"/>
      <c r="K670" s="450"/>
      <c r="L670" s="450"/>
      <c r="M670" s="450"/>
      <c r="N670" s="450"/>
      <c r="O670" s="450"/>
      <c r="P670" s="450"/>
      <c r="Q670" s="450"/>
      <c r="R670" s="450"/>
      <c r="S670" s="450"/>
      <c r="T670" s="450"/>
      <c r="U670" s="450"/>
      <c r="V670" s="450"/>
      <c r="W670" s="450"/>
      <c r="X670" s="450"/>
      <c r="Y670" s="450"/>
      <c r="Z670" s="450"/>
      <c r="AA670" s="450"/>
      <c r="AB670" s="450"/>
      <c r="AC670" s="450"/>
      <c r="AD670" s="450"/>
      <c r="AE670" s="450"/>
      <c r="AF670" s="450"/>
      <c r="AG670" s="450"/>
      <c r="AH670" s="450"/>
      <c r="AI670" s="450"/>
      <c r="AJ670" s="450"/>
      <c r="AK670" s="450"/>
    </row>
    <row r="671">
      <c r="A671" s="450"/>
      <c r="B671" s="450"/>
      <c r="C671" s="455"/>
      <c r="D671" s="450"/>
      <c r="E671" s="450"/>
      <c r="F671" s="450"/>
      <c r="G671" s="450"/>
      <c r="H671" s="450"/>
      <c r="I671" s="450"/>
      <c r="J671" s="450"/>
      <c r="K671" s="450"/>
      <c r="L671" s="450"/>
      <c r="M671" s="450"/>
      <c r="N671" s="450"/>
      <c r="O671" s="450"/>
      <c r="P671" s="450"/>
      <c r="Q671" s="450"/>
      <c r="R671" s="450"/>
      <c r="S671" s="450"/>
      <c r="T671" s="450"/>
      <c r="U671" s="450"/>
      <c r="V671" s="450"/>
      <c r="W671" s="450"/>
      <c r="X671" s="450"/>
      <c r="Y671" s="450"/>
      <c r="Z671" s="450"/>
      <c r="AA671" s="450"/>
      <c r="AB671" s="450"/>
      <c r="AC671" s="450"/>
      <c r="AD671" s="450"/>
      <c r="AE671" s="450"/>
      <c r="AF671" s="450"/>
      <c r="AG671" s="450"/>
      <c r="AH671" s="450"/>
      <c r="AI671" s="450"/>
      <c r="AJ671" s="450"/>
      <c r="AK671" s="450"/>
    </row>
    <row r="672">
      <c r="A672" s="450"/>
      <c r="B672" s="450"/>
      <c r="C672" s="455"/>
      <c r="D672" s="450"/>
      <c r="E672" s="450"/>
      <c r="F672" s="450"/>
      <c r="G672" s="450"/>
      <c r="H672" s="450"/>
      <c r="I672" s="450"/>
      <c r="J672" s="450"/>
      <c r="K672" s="450"/>
      <c r="L672" s="450"/>
      <c r="M672" s="450"/>
      <c r="N672" s="450"/>
      <c r="O672" s="450"/>
      <c r="P672" s="450"/>
      <c r="Q672" s="450"/>
      <c r="R672" s="450"/>
      <c r="S672" s="450"/>
      <c r="T672" s="450"/>
      <c r="U672" s="450"/>
      <c r="V672" s="450"/>
      <c r="W672" s="450"/>
      <c r="X672" s="450"/>
      <c r="Y672" s="450"/>
      <c r="Z672" s="450"/>
      <c r="AA672" s="450"/>
      <c r="AB672" s="450"/>
      <c r="AC672" s="450"/>
      <c r="AD672" s="450"/>
      <c r="AE672" s="450"/>
      <c r="AF672" s="450"/>
      <c r="AG672" s="450"/>
      <c r="AH672" s="450"/>
      <c r="AI672" s="450"/>
      <c r="AJ672" s="450"/>
      <c r="AK672" s="450"/>
    </row>
    <row r="673">
      <c r="A673" s="450"/>
      <c r="B673" s="450"/>
      <c r="C673" s="455"/>
      <c r="D673" s="450"/>
      <c r="E673" s="450"/>
      <c r="F673" s="450"/>
      <c r="G673" s="450"/>
      <c r="H673" s="450"/>
      <c r="I673" s="450"/>
      <c r="J673" s="450"/>
      <c r="K673" s="450"/>
      <c r="L673" s="450"/>
      <c r="M673" s="450"/>
      <c r="N673" s="450"/>
      <c r="O673" s="450"/>
      <c r="P673" s="450"/>
      <c r="Q673" s="450"/>
      <c r="R673" s="450"/>
      <c r="S673" s="450"/>
      <c r="T673" s="450"/>
      <c r="U673" s="450"/>
      <c r="V673" s="450"/>
      <c r="W673" s="450"/>
      <c r="X673" s="450"/>
      <c r="Y673" s="450"/>
      <c r="Z673" s="450"/>
      <c r="AA673" s="450"/>
      <c r="AB673" s="450"/>
      <c r="AC673" s="450"/>
      <c r="AD673" s="450"/>
      <c r="AE673" s="450"/>
      <c r="AF673" s="450"/>
      <c r="AG673" s="450"/>
      <c r="AH673" s="450"/>
      <c r="AI673" s="450"/>
      <c r="AJ673" s="450"/>
      <c r="AK673" s="450"/>
    </row>
    <row r="674">
      <c r="A674" s="450"/>
      <c r="B674" s="450"/>
      <c r="C674" s="455"/>
      <c r="D674" s="450"/>
      <c r="E674" s="450"/>
      <c r="F674" s="450"/>
      <c r="G674" s="450"/>
      <c r="H674" s="450"/>
      <c r="I674" s="450"/>
      <c r="J674" s="450"/>
      <c r="K674" s="450"/>
      <c r="L674" s="450"/>
      <c r="M674" s="450"/>
      <c r="N674" s="450"/>
      <c r="O674" s="450"/>
      <c r="P674" s="450"/>
      <c r="Q674" s="450"/>
      <c r="R674" s="450"/>
      <c r="S674" s="450"/>
      <c r="T674" s="450"/>
      <c r="U674" s="450"/>
      <c r="V674" s="450"/>
      <c r="W674" s="450"/>
      <c r="X674" s="450"/>
      <c r="Y674" s="450"/>
      <c r="Z674" s="450"/>
      <c r="AA674" s="450"/>
      <c r="AB674" s="450"/>
      <c r="AC674" s="450"/>
      <c r="AD674" s="450"/>
      <c r="AE674" s="450"/>
      <c r="AF674" s="450"/>
      <c r="AG674" s="450"/>
      <c r="AH674" s="450"/>
      <c r="AI674" s="450"/>
      <c r="AJ674" s="450"/>
      <c r="AK674" s="450"/>
    </row>
    <row r="675">
      <c r="A675" s="450"/>
      <c r="B675" s="450"/>
      <c r="C675" s="455"/>
      <c r="D675" s="450"/>
      <c r="E675" s="450"/>
      <c r="F675" s="450"/>
      <c r="G675" s="450"/>
      <c r="H675" s="450"/>
      <c r="I675" s="450"/>
      <c r="J675" s="450"/>
      <c r="K675" s="450"/>
      <c r="L675" s="450"/>
      <c r="M675" s="450"/>
      <c r="N675" s="450"/>
      <c r="O675" s="450"/>
      <c r="P675" s="450"/>
      <c r="Q675" s="450"/>
      <c r="R675" s="450"/>
      <c r="S675" s="450"/>
      <c r="T675" s="450"/>
      <c r="U675" s="450"/>
      <c r="V675" s="450"/>
      <c r="W675" s="450"/>
      <c r="X675" s="450"/>
      <c r="Y675" s="450"/>
      <c r="Z675" s="450"/>
      <c r="AA675" s="450"/>
      <c r="AB675" s="450"/>
      <c r="AC675" s="450"/>
      <c r="AD675" s="450"/>
      <c r="AE675" s="450"/>
      <c r="AF675" s="450"/>
      <c r="AG675" s="450"/>
      <c r="AH675" s="450"/>
      <c r="AI675" s="450"/>
      <c r="AJ675" s="450"/>
      <c r="AK675" s="450"/>
    </row>
    <row r="676">
      <c r="A676" s="450"/>
      <c r="B676" s="450"/>
      <c r="C676" s="455"/>
      <c r="D676" s="450"/>
      <c r="E676" s="450"/>
      <c r="F676" s="450"/>
      <c r="G676" s="450"/>
      <c r="H676" s="450"/>
      <c r="I676" s="450"/>
      <c r="J676" s="450"/>
      <c r="K676" s="450"/>
      <c r="L676" s="450"/>
      <c r="M676" s="450"/>
      <c r="N676" s="450"/>
      <c r="O676" s="450"/>
      <c r="P676" s="450"/>
      <c r="Q676" s="450"/>
      <c r="R676" s="450"/>
      <c r="S676" s="450"/>
      <c r="T676" s="450"/>
      <c r="U676" s="450"/>
      <c r="V676" s="450"/>
      <c r="W676" s="450"/>
      <c r="X676" s="450"/>
      <c r="Y676" s="450"/>
      <c r="Z676" s="450"/>
      <c r="AA676" s="450"/>
      <c r="AB676" s="450"/>
      <c r="AC676" s="450"/>
      <c r="AD676" s="450"/>
      <c r="AE676" s="450"/>
      <c r="AF676" s="450"/>
      <c r="AG676" s="450"/>
      <c r="AH676" s="450"/>
      <c r="AI676" s="450"/>
      <c r="AJ676" s="450"/>
      <c r="AK676" s="450"/>
    </row>
    <row r="677">
      <c r="A677" s="450"/>
      <c r="B677" s="450"/>
      <c r="C677" s="455"/>
      <c r="D677" s="450"/>
      <c r="E677" s="450"/>
      <c r="F677" s="450"/>
      <c r="G677" s="450"/>
      <c r="H677" s="450"/>
      <c r="I677" s="450"/>
      <c r="J677" s="450"/>
      <c r="K677" s="450"/>
      <c r="L677" s="450"/>
      <c r="M677" s="450"/>
      <c r="N677" s="450"/>
      <c r="O677" s="450"/>
      <c r="P677" s="450"/>
      <c r="Q677" s="450"/>
      <c r="R677" s="450"/>
      <c r="S677" s="450"/>
      <c r="T677" s="450"/>
      <c r="U677" s="450"/>
      <c r="V677" s="450"/>
      <c r="W677" s="450"/>
      <c r="X677" s="450"/>
      <c r="Y677" s="450"/>
      <c r="Z677" s="450"/>
      <c r="AA677" s="450"/>
      <c r="AB677" s="450"/>
      <c r="AC677" s="450"/>
      <c r="AD677" s="450"/>
      <c r="AE677" s="450"/>
      <c r="AF677" s="450"/>
      <c r="AG677" s="450"/>
      <c r="AH677" s="450"/>
      <c r="AI677" s="450"/>
      <c r="AJ677" s="450"/>
      <c r="AK677" s="450"/>
    </row>
    <row r="678">
      <c r="A678" s="450"/>
      <c r="B678" s="450"/>
      <c r="C678" s="455"/>
      <c r="D678" s="450"/>
      <c r="E678" s="450"/>
      <c r="F678" s="450"/>
      <c r="G678" s="450"/>
      <c r="H678" s="450"/>
      <c r="I678" s="450"/>
      <c r="J678" s="450"/>
      <c r="K678" s="450"/>
      <c r="L678" s="450"/>
      <c r="M678" s="450"/>
      <c r="N678" s="450"/>
      <c r="O678" s="450"/>
      <c r="P678" s="450"/>
      <c r="Q678" s="450"/>
      <c r="R678" s="450"/>
      <c r="S678" s="450"/>
      <c r="T678" s="450"/>
      <c r="U678" s="450"/>
      <c r="V678" s="450"/>
      <c r="W678" s="450"/>
      <c r="X678" s="450"/>
      <c r="Y678" s="450"/>
      <c r="Z678" s="450"/>
      <c r="AA678" s="450"/>
      <c r="AB678" s="450"/>
      <c r="AC678" s="450"/>
      <c r="AD678" s="450"/>
      <c r="AE678" s="450"/>
      <c r="AF678" s="450"/>
      <c r="AG678" s="450"/>
      <c r="AH678" s="450"/>
      <c r="AI678" s="450"/>
      <c r="AJ678" s="450"/>
      <c r="AK678" s="450"/>
    </row>
    <row r="679">
      <c r="A679" s="450"/>
      <c r="B679" s="450"/>
      <c r="C679" s="455"/>
      <c r="D679" s="450"/>
      <c r="E679" s="450"/>
      <c r="F679" s="450"/>
      <c r="G679" s="450"/>
      <c r="H679" s="450"/>
      <c r="I679" s="450"/>
      <c r="J679" s="450"/>
      <c r="K679" s="450"/>
      <c r="L679" s="450"/>
      <c r="M679" s="450"/>
      <c r="N679" s="450"/>
      <c r="O679" s="450"/>
      <c r="P679" s="450"/>
      <c r="Q679" s="450"/>
      <c r="R679" s="450"/>
      <c r="S679" s="450"/>
      <c r="T679" s="450"/>
      <c r="U679" s="450"/>
      <c r="V679" s="450"/>
      <c r="W679" s="450"/>
      <c r="X679" s="450"/>
      <c r="Y679" s="450"/>
      <c r="Z679" s="450"/>
      <c r="AA679" s="450"/>
      <c r="AB679" s="450"/>
      <c r="AC679" s="450"/>
      <c r="AD679" s="450"/>
      <c r="AE679" s="450"/>
      <c r="AF679" s="450"/>
      <c r="AG679" s="450"/>
      <c r="AH679" s="450"/>
      <c r="AI679" s="450"/>
      <c r="AJ679" s="450"/>
      <c r="AK679" s="450"/>
    </row>
    <row r="680">
      <c r="A680" s="450"/>
      <c r="B680" s="450"/>
      <c r="C680" s="455"/>
      <c r="D680" s="450"/>
      <c r="E680" s="450"/>
      <c r="F680" s="450"/>
      <c r="G680" s="450"/>
      <c r="H680" s="450"/>
      <c r="I680" s="450"/>
      <c r="J680" s="450"/>
      <c r="K680" s="450"/>
      <c r="L680" s="450"/>
      <c r="M680" s="450"/>
      <c r="N680" s="450"/>
      <c r="O680" s="450"/>
      <c r="P680" s="450"/>
      <c r="Q680" s="450"/>
      <c r="R680" s="450"/>
      <c r="S680" s="450"/>
      <c r="T680" s="450"/>
      <c r="U680" s="450"/>
      <c r="V680" s="450"/>
      <c r="W680" s="450"/>
      <c r="X680" s="450"/>
      <c r="Y680" s="450"/>
      <c r="Z680" s="450"/>
      <c r="AA680" s="450"/>
      <c r="AB680" s="450"/>
      <c r="AC680" s="450"/>
      <c r="AD680" s="450"/>
      <c r="AE680" s="450"/>
      <c r="AF680" s="450"/>
      <c r="AG680" s="450"/>
      <c r="AH680" s="450"/>
      <c r="AI680" s="450"/>
      <c r="AJ680" s="450"/>
      <c r="AK680" s="450"/>
    </row>
    <row r="681">
      <c r="A681" s="450"/>
      <c r="B681" s="450"/>
      <c r="C681" s="455"/>
      <c r="D681" s="450"/>
      <c r="E681" s="450"/>
      <c r="F681" s="450"/>
      <c r="G681" s="450"/>
      <c r="H681" s="450"/>
      <c r="I681" s="450"/>
      <c r="J681" s="450"/>
      <c r="K681" s="450"/>
      <c r="L681" s="450"/>
      <c r="M681" s="450"/>
      <c r="N681" s="450"/>
      <c r="O681" s="450"/>
      <c r="P681" s="450"/>
      <c r="Q681" s="450"/>
      <c r="R681" s="450"/>
      <c r="S681" s="450"/>
      <c r="T681" s="450"/>
      <c r="U681" s="450"/>
      <c r="V681" s="450"/>
      <c r="W681" s="450"/>
      <c r="X681" s="450"/>
      <c r="Y681" s="450"/>
      <c r="Z681" s="450"/>
      <c r="AA681" s="450"/>
      <c r="AB681" s="450"/>
      <c r="AC681" s="450"/>
      <c r="AD681" s="450"/>
      <c r="AE681" s="450"/>
      <c r="AF681" s="450"/>
      <c r="AG681" s="450"/>
      <c r="AH681" s="450"/>
      <c r="AI681" s="450"/>
      <c r="AJ681" s="450"/>
      <c r="AK681" s="450"/>
    </row>
    <row r="682">
      <c r="A682" s="450"/>
      <c r="B682" s="450"/>
      <c r="C682" s="455"/>
      <c r="D682" s="450"/>
      <c r="E682" s="450"/>
      <c r="F682" s="450"/>
      <c r="G682" s="450"/>
      <c r="H682" s="450"/>
      <c r="I682" s="450"/>
      <c r="J682" s="450"/>
      <c r="K682" s="450"/>
      <c r="L682" s="450"/>
      <c r="M682" s="450"/>
      <c r="N682" s="450"/>
      <c r="O682" s="450"/>
      <c r="P682" s="450"/>
      <c r="Q682" s="450"/>
      <c r="R682" s="450"/>
      <c r="S682" s="450"/>
      <c r="T682" s="450"/>
      <c r="U682" s="450"/>
      <c r="V682" s="450"/>
      <c r="W682" s="450"/>
      <c r="X682" s="450"/>
      <c r="Y682" s="450"/>
      <c r="Z682" s="450"/>
      <c r="AA682" s="450"/>
      <c r="AB682" s="450"/>
      <c r="AC682" s="450"/>
      <c r="AD682" s="450"/>
      <c r="AE682" s="450"/>
      <c r="AF682" s="450"/>
      <c r="AG682" s="450"/>
      <c r="AH682" s="450"/>
      <c r="AI682" s="450"/>
      <c r="AJ682" s="450"/>
      <c r="AK682" s="450"/>
    </row>
    <row r="683">
      <c r="A683" s="450"/>
      <c r="B683" s="450"/>
      <c r="C683" s="455"/>
      <c r="D683" s="450"/>
      <c r="E683" s="450"/>
      <c r="F683" s="450"/>
      <c r="G683" s="450"/>
      <c r="H683" s="450"/>
      <c r="I683" s="450"/>
      <c r="J683" s="450"/>
      <c r="K683" s="450"/>
      <c r="L683" s="450"/>
      <c r="M683" s="450"/>
      <c r="N683" s="450"/>
      <c r="O683" s="450"/>
      <c r="P683" s="450"/>
      <c r="Q683" s="450"/>
      <c r="R683" s="450"/>
      <c r="S683" s="450"/>
      <c r="T683" s="450"/>
      <c r="U683" s="450"/>
      <c r="V683" s="450"/>
      <c r="W683" s="450"/>
      <c r="X683" s="450"/>
      <c r="Y683" s="450"/>
      <c r="Z683" s="450"/>
      <c r="AA683" s="450"/>
      <c r="AB683" s="450"/>
      <c r="AC683" s="450"/>
      <c r="AD683" s="450"/>
      <c r="AE683" s="450"/>
      <c r="AF683" s="450"/>
      <c r="AG683" s="450"/>
      <c r="AH683" s="450"/>
      <c r="AI683" s="450"/>
      <c r="AJ683" s="450"/>
      <c r="AK683" s="450"/>
    </row>
    <row r="684">
      <c r="A684" s="450"/>
      <c r="B684" s="450"/>
      <c r="C684" s="455"/>
      <c r="D684" s="450"/>
      <c r="E684" s="450"/>
      <c r="F684" s="450"/>
      <c r="G684" s="450"/>
      <c r="H684" s="450"/>
      <c r="I684" s="450"/>
      <c r="J684" s="450"/>
      <c r="K684" s="450"/>
      <c r="L684" s="450"/>
      <c r="M684" s="450"/>
      <c r="N684" s="450"/>
      <c r="O684" s="450"/>
      <c r="P684" s="450"/>
      <c r="Q684" s="450"/>
      <c r="R684" s="450"/>
      <c r="S684" s="450"/>
      <c r="T684" s="450"/>
      <c r="U684" s="450"/>
      <c r="V684" s="450"/>
      <c r="W684" s="450"/>
      <c r="X684" s="450"/>
      <c r="Y684" s="450"/>
      <c r="Z684" s="450"/>
      <c r="AA684" s="450"/>
      <c r="AB684" s="450"/>
      <c r="AC684" s="450"/>
      <c r="AD684" s="450"/>
      <c r="AE684" s="450"/>
      <c r="AF684" s="450"/>
      <c r="AG684" s="450"/>
      <c r="AH684" s="450"/>
      <c r="AI684" s="450"/>
      <c r="AJ684" s="450"/>
      <c r="AK684" s="450"/>
    </row>
    <row r="685">
      <c r="A685" s="450"/>
      <c r="B685" s="450"/>
      <c r="C685" s="455"/>
      <c r="D685" s="450"/>
      <c r="E685" s="450"/>
      <c r="F685" s="450"/>
      <c r="G685" s="450"/>
      <c r="H685" s="450"/>
      <c r="I685" s="450"/>
      <c r="J685" s="450"/>
      <c r="K685" s="450"/>
      <c r="L685" s="450"/>
      <c r="M685" s="450"/>
      <c r="N685" s="450"/>
      <c r="O685" s="450"/>
      <c r="P685" s="450"/>
      <c r="Q685" s="450"/>
      <c r="R685" s="450"/>
      <c r="S685" s="450"/>
      <c r="T685" s="450"/>
      <c r="U685" s="450"/>
      <c r="V685" s="450"/>
      <c r="W685" s="450"/>
      <c r="X685" s="450"/>
      <c r="Y685" s="450"/>
      <c r="Z685" s="450"/>
      <c r="AA685" s="450"/>
      <c r="AB685" s="450"/>
      <c r="AC685" s="450"/>
      <c r="AD685" s="450"/>
      <c r="AE685" s="450"/>
      <c r="AF685" s="450"/>
      <c r="AG685" s="450"/>
      <c r="AH685" s="450"/>
      <c r="AI685" s="450"/>
      <c r="AJ685" s="450"/>
      <c r="AK685" s="450"/>
    </row>
    <row r="686">
      <c r="A686" s="450"/>
      <c r="B686" s="450"/>
      <c r="C686" s="455"/>
      <c r="D686" s="450"/>
      <c r="E686" s="450"/>
      <c r="F686" s="450"/>
      <c r="G686" s="450"/>
      <c r="H686" s="450"/>
      <c r="I686" s="450"/>
      <c r="J686" s="450"/>
      <c r="K686" s="450"/>
      <c r="L686" s="450"/>
      <c r="M686" s="450"/>
      <c r="N686" s="450"/>
      <c r="O686" s="450"/>
      <c r="P686" s="450"/>
      <c r="Q686" s="450"/>
      <c r="R686" s="450"/>
      <c r="S686" s="450"/>
      <c r="T686" s="450"/>
      <c r="U686" s="450"/>
      <c r="V686" s="450"/>
      <c r="W686" s="450"/>
      <c r="X686" s="450"/>
      <c r="Y686" s="450"/>
      <c r="Z686" s="450"/>
      <c r="AA686" s="450"/>
      <c r="AB686" s="450"/>
      <c r="AC686" s="450"/>
      <c r="AD686" s="450"/>
      <c r="AE686" s="450"/>
      <c r="AF686" s="450"/>
      <c r="AG686" s="450"/>
      <c r="AH686" s="450"/>
      <c r="AI686" s="450"/>
      <c r="AJ686" s="450"/>
      <c r="AK686" s="450"/>
    </row>
    <row r="687">
      <c r="A687" s="450"/>
      <c r="B687" s="450"/>
      <c r="C687" s="455"/>
      <c r="D687" s="450"/>
      <c r="E687" s="450"/>
      <c r="F687" s="450"/>
      <c r="G687" s="450"/>
      <c r="H687" s="450"/>
      <c r="I687" s="450"/>
      <c r="J687" s="450"/>
      <c r="K687" s="450"/>
      <c r="L687" s="450"/>
      <c r="M687" s="450"/>
      <c r="N687" s="450"/>
      <c r="O687" s="450"/>
      <c r="P687" s="450"/>
      <c r="Q687" s="450"/>
      <c r="R687" s="450"/>
      <c r="S687" s="450"/>
      <c r="T687" s="450"/>
      <c r="U687" s="450"/>
      <c r="V687" s="450"/>
      <c r="W687" s="450"/>
      <c r="X687" s="450"/>
      <c r="Y687" s="450"/>
      <c r="Z687" s="450"/>
      <c r="AA687" s="450"/>
      <c r="AB687" s="450"/>
      <c r="AC687" s="450"/>
      <c r="AD687" s="450"/>
      <c r="AE687" s="450"/>
      <c r="AF687" s="450"/>
      <c r="AG687" s="450"/>
      <c r="AH687" s="450"/>
      <c r="AI687" s="450"/>
      <c r="AJ687" s="450"/>
      <c r="AK687" s="450"/>
    </row>
    <row r="688">
      <c r="A688" s="450"/>
      <c r="B688" s="450"/>
      <c r="C688" s="455"/>
      <c r="D688" s="450"/>
      <c r="E688" s="450"/>
      <c r="F688" s="450"/>
      <c r="G688" s="450"/>
      <c r="H688" s="450"/>
      <c r="I688" s="450"/>
      <c r="J688" s="450"/>
      <c r="K688" s="450"/>
      <c r="L688" s="450"/>
      <c r="M688" s="450"/>
      <c r="N688" s="450"/>
      <c r="O688" s="450"/>
      <c r="P688" s="450"/>
      <c r="Q688" s="450"/>
      <c r="R688" s="450"/>
      <c r="S688" s="450"/>
      <c r="T688" s="450"/>
      <c r="U688" s="450"/>
      <c r="V688" s="450"/>
      <c r="W688" s="450"/>
      <c r="X688" s="450"/>
      <c r="Y688" s="450"/>
      <c r="Z688" s="450"/>
      <c r="AA688" s="450"/>
      <c r="AB688" s="450"/>
      <c r="AC688" s="450"/>
      <c r="AD688" s="450"/>
      <c r="AE688" s="450"/>
      <c r="AF688" s="450"/>
      <c r="AG688" s="450"/>
      <c r="AH688" s="450"/>
      <c r="AI688" s="450"/>
      <c r="AJ688" s="450"/>
      <c r="AK688" s="450"/>
    </row>
    <row r="689">
      <c r="A689" s="450"/>
      <c r="B689" s="450"/>
      <c r="C689" s="455"/>
      <c r="D689" s="450"/>
      <c r="E689" s="450"/>
      <c r="F689" s="450"/>
      <c r="G689" s="450"/>
      <c r="H689" s="450"/>
      <c r="I689" s="450"/>
      <c r="J689" s="450"/>
      <c r="K689" s="450"/>
      <c r="L689" s="450"/>
      <c r="M689" s="450"/>
      <c r="N689" s="450"/>
      <c r="O689" s="450"/>
      <c r="P689" s="450"/>
      <c r="Q689" s="450"/>
      <c r="R689" s="450"/>
      <c r="S689" s="450"/>
      <c r="T689" s="450"/>
      <c r="U689" s="450"/>
      <c r="V689" s="450"/>
      <c r="W689" s="450"/>
      <c r="X689" s="450"/>
      <c r="Y689" s="450"/>
      <c r="Z689" s="450"/>
      <c r="AA689" s="450"/>
      <c r="AB689" s="450"/>
      <c r="AC689" s="450"/>
      <c r="AD689" s="450"/>
      <c r="AE689" s="450"/>
      <c r="AF689" s="450"/>
      <c r="AG689" s="450"/>
      <c r="AH689" s="450"/>
      <c r="AI689" s="450"/>
      <c r="AJ689" s="450"/>
      <c r="AK689" s="450"/>
    </row>
    <row r="690">
      <c r="A690" s="450"/>
      <c r="B690" s="450"/>
      <c r="C690" s="455"/>
      <c r="D690" s="450"/>
      <c r="E690" s="450"/>
      <c r="F690" s="450"/>
      <c r="G690" s="450"/>
      <c r="H690" s="450"/>
      <c r="I690" s="450"/>
      <c r="J690" s="450"/>
      <c r="K690" s="450"/>
      <c r="L690" s="450"/>
      <c r="M690" s="450"/>
      <c r="N690" s="450"/>
      <c r="O690" s="450"/>
      <c r="P690" s="450"/>
      <c r="Q690" s="450"/>
      <c r="R690" s="450"/>
      <c r="S690" s="450"/>
      <c r="T690" s="450"/>
      <c r="U690" s="450"/>
      <c r="V690" s="450"/>
      <c r="W690" s="450"/>
      <c r="X690" s="450"/>
      <c r="Y690" s="450"/>
      <c r="Z690" s="450"/>
      <c r="AA690" s="450"/>
      <c r="AB690" s="450"/>
      <c r="AC690" s="450"/>
      <c r="AD690" s="450"/>
      <c r="AE690" s="450"/>
      <c r="AF690" s="450"/>
      <c r="AG690" s="450"/>
      <c r="AH690" s="450"/>
      <c r="AI690" s="450"/>
      <c r="AJ690" s="450"/>
      <c r="AK690" s="450"/>
    </row>
    <row r="691">
      <c r="A691" s="450"/>
      <c r="B691" s="450"/>
      <c r="C691" s="455"/>
      <c r="D691" s="450"/>
      <c r="E691" s="450"/>
      <c r="F691" s="450"/>
      <c r="G691" s="450"/>
      <c r="H691" s="450"/>
      <c r="I691" s="450"/>
      <c r="J691" s="450"/>
      <c r="K691" s="450"/>
      <c r="L691" s="450"/>
      <c r="M691" s="450"/>
      <c r="N691" s="450"/>
      <c r="O691" s="450"/>
      <c r="P691" s="450"/>
      <c r="Q691" s="450"/>
      <c r="R691" s="450"/>
      <c r="S691" s="450"/>
      <c r="T691" s="450"/>
      <c r="U691" s="450"/>
      <c r="V691" s="450"/>
      <c r="W691" s="450"/>
      <c r="X691" s="450"/>
      <c r="Y691" s="450"/>
      <c r="Z691" s="450"/>
      <c r="AA691" s="450"/>
      <c r="AB691" s="450"/>
      <c r="AC691" s="450"/>
      <c r="AD691" s="450"/>
      <c r="AE691" s="450"/>
      <c r="AF691" s="450"/>
      <c r="AG691" s="450"/>
      <c r="AH691" s="450"/>
      <c r="AI691" s="450"/>
      <c r="AJ691" s="450"/>
      <c r="AK691" s="450"/>
    </row>
    <row r="692">
      <c r="A692" s="450"/>
      <c r="B692" s="450"/>
      <c r="C692" s="455"/>
      <c r="D692" s="450"/>
      <c r="E692" s="450"/>
      <c r="F692" s="450"/>
      <c r="G692" s="450"/>
      <c r="H692" s="450"/>
      <c r="I692" s="450"/>
      <c r="J692" s="450"/>
      <c r="K692" s="450"/>
      <c r="L692" s="450"/>
      <c r="M692" s="450"/>
      <c r="N692" s="450"/>
      <c r="O692" s="450"/>
      <c r="P692" s="450"/>
      <c r="Q692" s="450"/>
      <c r="R692" s="450"/>
      <c r="S692" s="450"/>
      <c r="T692" s="450"/>
      <c r="U692" s="450"/>
      <c r="V692" s="450"/>
      <c r="W692" s="450"/>
      <c r="X692" s="450"/>
      <c r="Y692" s="450"/>
      <c r="Z692" s="450"/>
      <c r="AA692" s="450"/>
      <c r="AB692" s="450"/>
      <c r="AC692" s="450"/>
      <c r="AD692" s="450"/>
      <c r="AE692" s="450"/>
      <c r="AF692" s="450"/>
      <c r="AG692" s="450"/>
      <c r="AH692" s="450"/>
      <c r="AI692" s="450"/>
      <c r="AJ692" s="450"/>
      <c r="AK692" s="450"/>
    </row>
    <row r="693">
      <c r="A693" s="450"/>
      <c r="B693" s="450"/>
      <c r="C693" s="455"/>
      <c r="D693" s="450"/>
      <c r="E693" s="450"/>
      <c r="F693" s="450"/>
      <c r="G693" s="450"/>
      <c r="H693" s="450"/>
      <c r="I693" s="450"/>
      <c r="J693" s="450"/>
      <c r="K693" s="450"/>
      <c r="L693" s="450"/>
      <c r="M693" s="450"/>
      <c r="N693" s="450"/>
      <c r="O693" s="450"/>
      <c r="P693" s="450"/>
      <c r="Q693" s="450"/>
      <c r="R693" s="450"/>
      <c r="S693" s="450"/>
      <c r="T693" s="450"/>
      <c r="U693" s="450"/>
      <c r="V693" s="450"/>
      <c r="W693" s="450"/>
      <c r="X693" s="450"/>
      <c r="Y693" s="450"/>
      <c r="Z693" s="450"/>
      <c r="AA693" s="450"/>
      <c r="AB693" s="450"/>
      <c r="AC693" s="450"/>
      <c r="AD693" s="450"/>
      <c r="AE693" s="450"/>
      <c r="AF693" s="450"/>
      <c r="AG693" s="450"/>
      <c r="AH693" s="450"/>
      <c r="AI693" s="450"/>
      <c r="AJ693" s="450"/>
      <c r="AK693" s="450"/>
    </row>
    <row r="694">
      <c r="A694" s="450"/>
      <c r="B694" s="450"/>
      <c r="C694" s="455"/>
      <c r="D694" s="450"/>
      <c r="E694" s="450"/>
      <c r="F694" s="450"/>
      <c r="G694" s="450"/>
      <c r="H694" s="450"/>
      <c r="I694" s="450"/>
      <c r="J694" s="450"/>
      <c r="K694" s="450"/>
      <c r="L694" s="450"/>
      <c r="M694" s="450"/>
      <c r="N694" s="450"/>
      <c r="O694" s="450"/>
      <c r="P694" s="450"/>
      <c r="Q694" s="450"/>
      <c r="R694" s="450"/>
      <c r="S694" s="450"/>
      <c r="T694" s="450"/>
      <c r="U694" s="450"/>
      <c r="V694" s="450"/>
      <c r="W694" s="450"/>
      <c r="X694" s="450"/>
      <c r="Y694" s="450"/>
      <c r="Z694" s="450"/>
      <c r="AA694" s="450"/>
      <c r="AB694" s="450"/>
      <c r="AC694" s="450"/>
      <c r="AD694" s="450"/>
      <c r="AE694" s="450"/>
      <c r="AF694" s="450"/>
      <c r="AG694" s="450"/>
      <c r="AH694" s="450"/>
      <c r="AI694" s="450"/>
      <c r="AJ694" s="450"/>
      <c r="AK694" s="450"/>
    </row>
    <row r="695">
      <c r="A695" s="450"/>
      <c r="B695" s="450"/>
      <c r="C695" s="455"/>
      <c r="D695" s="450"/>
      <c r="E695" s="450"/>
      <c r="F695" s="450"/>
      <c r="G695" s="450"/>
      <c r="H695" s="450"/>
      <c r="I695" s="450"/>
      <c r="J695" s="450"/>
      <c r="K695" s="450"/>
      <c r="L695" s="450"/>
      <c r="M695" s="450"/>
      <c r="N695" s="450"/>
      <c r="O695" s="450"/>
      <c r="P695" s="450"/>
      <c r="Q695" s="450"/>
      <c r="R695" s="450"/>
      <c r="S695" s="450"/>
      <c r="T695" s="450"/>
      <c r="U695" s="450"/>
      <c r="V695" s="450"/>
      <c r="W695" s="450"/>
      <c r="X695" s="450"/>
      <c r="Y695" s="450"/>
      <c r="Z695" s="450"/>
      <c r="AA695" s="450"/>
      <c r="AB695" s="450"/>
      <c r="AC695" s="450"/>
      <c r="AD695" s="450"/>
      <c r="AE695" s="450"/>
      <c r="AF695" s="450"/>
      <c r="AG695" s="450"/>
      <c r="AH695" s="450"/>
      <c r="AI695" s="450"/>
      <c r="AJ695" s="450"/>
      <c r="AK695" s="450"/>
    </row>
    <row r="696">
      <c r="A696" s="450"/>
      <c r="B696" s="450"/>
      <c r="C696" s="455"/>
      <c r="D696" s="450"/>
      <c r="E696" s="450"/>
      <c r="F696" s="450"/>
      <c r="G696" s="450"/>
      <c r="H696" s="450"/>
      <c r="I696" s="450"/>
      <c r="J696" s="450"/>
      <c r="K696" s="450"/>
      <c r="L696" s="450"/>
      <c r="M696" s="450"/>
      <c r="N696" s="450"/>
      <c r="O696" s="450"/>
      <c r="P696" s="450"/>
      <c r="Q696" s="450"/>
      <c r="R696" s="450"/>
      <c r="S696" s="450"/>
      <c r="T696" s="450"/>
      <c r="U696" s="450"/>
      <c r="V696" s="450"/>
      <c r="W696" s="450"/>
      <c r="X696" s="450"/>
      <c r="Y696" s="450"/>
      <c r="Z696" s="450"/>
      <c r="AA696" s="450"/>
      <c r="AB696" s="450"/>
      <c r="AC696" s="450"/>
      <c r="AD696" s="450"/>
      <c r="AE696" s="450"/>
      <c r="AF696" s="450"/>
      <c r="AG696" s="450"/>
      <c r="AH696" s="450"/>
      <c r="AI696" s="450"/>
      <c r="AJ696" s="450"/>
      <c r="AK696" s="450"/>
    </row>
    <row r="697">
      <c r="A697" s="450"/>
      <c r="B697" s="450"/>
      <c r="C697" s="455"/>
      <c r="D697" s="450"/>
      <c r="E697" s="450"/>
      <c r="F697" s="450"/>
      <c r="G697" s="450"/>
      <c r="H697" s="450"/>
      <c r="I697" s="450"/>
      <c r="J697" s="450"/>
      <c r="K697" s="450"/>
      <c r="L697" s="450"/>
      <c r="M697" s="450"/>
      <c r="N697" s="450"/>
      <c r="O697" s="450"/>
      <c r="P697" s="450"/>
      <c r="Q697" s="450"/>
      <c r="R697" s="450"/>
      <c r="S697" s="450"/>
      <c r="T697" s="450"/>
      <c r="U697" s="450"/>
      <c r="V697" s="450"/>
      <c r="W697" s="450"/>
      <c r="X697" s="450"/>
      <c r="Y697" s="450"/>
      <c r="Z697" s="450"/>
      <c r="AA697" s="450"/>
      <c r="AB697" s="450"/>
      <c r="AC697" s="450"/>
      <c r="AD697" s="450"/>
      <c r="AE697" s="450"/>
      <c r="AF697" s="450"/>
      <c r="AG697" s="450"/>
      <c r="AH697" s="450"/>
      <c r="AI697" s="450"/>
      <c r="AJ697" s="450"/>
      <c r="AK697" s="450"/>
    </row>
    <row r="698">
      <c r="A698" s="450"/>
      <c r="B698" s="450"/>
      <c r="C698" s="455"/>
      <c r="D698" s="450"/>
      <c r="E698" s="450"/>
      <c r="F698" s="450"/>
      <c r="G698" s="450"/>
      <c r="H698" s="450"/>
      <c r="I698" s="450"/>
      <c r="J698" s="450"/>
      <c r="K698" s="450"/>
      <c r="L698" s="450"/>
      <c r="M698" s="450"/>
      <c r="N698" s="450"/>
      <c r="O698" s="450"/>
      <c r="P698" s="450"/>
      <c r="Q698" s="450"/>
      <c r="R698" s="450"/>
      <c r="S698" s="450"/>
      <c r="T698" s="450"/>
      <c r="U698" s="450"/>
      <c r="V698" s="450"/>
      <c r="W698" s="450"/>
      <c r="X698" s="450"/>
      <c r="Y698" s="450"/>
      <c r="Z698" s="450"/>
      <c r="AA698" s="450"/>
      <c r="AB698" s="450"/>
      <c r="AC698" s="450"/>
      <c r="AD698" s="450"/>
      <c r="AE698" s="450"/>
      <c r="AF698" s="450"/>
      <c r="AG698" s="450"/>
      <c r="AH698" s="450"/>
      <c r="AI698" s="450"/>
      <c r="AJ698" s="450"/>
      <c r="AK698" s="450"/>
    </row>
    <row r="699">
      <c r="A699" s="450"/>
      <c r="B699" s="450"/>
      <c r="C699" s="455"/>
      <c r="D699" s="450"/>
      <c r="E699" s="450"/>
      <c r="F699" s="450"/>
      <c r="G699" s="450"/>
      <c r="H699" s="450"/>
      <c r="I699" s="450"/>
      <c r="J699" s="450"/>
      <c r="K699" s="450"/>
      <c r="L699" s="450"/>
      <c r="M699" s="450"/>
      <c r="N699" s="450"/>
      <c r="O699" s="450"/>
      <c r="P699" s="450"/>
      <c r="Q699" s="450"/>
      <c r="R699" s="450"/>
      <c r="S699" s="450"/>
      <c r="T699" s="450"/>
      <c r="U699" s="450"/>
      <c r="V699" s="450"/>
      <c r="W699" s="450"/>
      <c r="X699" s="450"/>
      <c r="Y699" s="450"/>
      <c r="Z699" s="450"/>
      <c r="AA699" s="450"/>
      <c r="AB699" s="450"/>
      <c r="AC699" s="450"/>
      <c r="AD699" s="450"/>
      <c r="AE699" s="450"/>
      <c r="AF699" s="450"/>
      <c r="AG699" s="450"/>
      <c r="AH699" s="450"/>
      <c r="AI699" s="450"/>
      <c r="AJ699" s="450"/>
      <c r="AK699" s="450"/>
    </row>
    <row r="700">
      <c r="A700" s="450"/>
      <c r="B700" s="450"/>
      <c r="C700" s="455"/>
      <c r="D700" s="450"/>
      <c r="E700" s="450"/>
      <c r="F700" s="450"/>
      <c r="G700" s="450"/>
      <c r="H700" s="450"/>
      <c r="I700" s="450"/>
      <c r="J700" s="450"/>
      <c r="K700" s="450"/>
      <c r="L700" s="450"/>
      <c r="M700" s="450"/>
      <c r="N700" s="450"/>
      <c r="O700" s="450"/>
      <c r="P700" s="450"/>
      <c r="Q700" s="450"/>
      <c r="R700" s="450"/>
      <c r="S700" s="450"/>
      <c r="T700" s="450"/>
      <c r="U700" s="450"/>
      <c r="V700" s="450"/>
      <c r="W700" s="450"/>
      <c r="X700" s="450"/>
      <c r="Y700" s="450"/>
      <c r="Z700" s="450"/>
      <c r="AA700" s="450"/>
      <c r="AB700" s="450"/>
      <c r="AC700" s="450"/>
      <c r="AD700" s="450"/>
      <c r="AE700" s="450"/>
      <c r="AF700" s="450"/>
      <c r="AG700" s="450"/>
      <c r="AH700" s="450"/>
      <c r="AI700" s="450"/>
      <c r="AJ700" s="450"/>
      <c r="AK700" s="450"/>
    </row>
    <row r="701">
      <c r="A701" s="450"/>
      <c r="B701" s="450"/>
      <c r="C701" s="455"/>
      <c r="D701" s="450"/>
      <c r="E701" s="450"/>
      <c r="F701" s="450"/>
      <c r="G701" s="450"/>
      <c r="H701" s="450"/>
      <c r="I701" s="450"/>
      <c r="J701" s="450"/>
      <c r="K701" s="450"/>
      <c r="L701" s="450"/>
      <c r="M701" s="450"/>
      <c r="N701" s="450"/>
      <c r="O701" s="450"/>
      <c r="P701" s="450"/>
      <c r="Q701" s="450"/>
      <c r="R701" s="450"/>
      <c r="S701" s="450"/>
      <c r="T701" s="450"/>
      <c r="U701" s="450"/>
      <c r="V701" s="450"/>
      <c r="W701" s="450"/>
      <c r="X701" s="450"/>
      <c r="Y701" s="450"/>
      <c r="Z701" s="450"/>
      <c r="AA701" s="450"/>
      <c r="AB701" s="450"/>
      <c r="AC701" s="450"/>
      <c r="AD701" s="450"/>
      <c r="AE701" s="450"/>
      <c r="AF701" s="450"/>
      <c r="AG701" s="450"/>
      <c r="AH701" s="450"/>
      <c r="AI701" s="450"/>
      <c r="AJ701" s="450"/>
      <c r="AK701" s="450"/>
    </row>
    <row r="702">
      <c r="A702" s="450"/>
      <c r="B702" s="450"/>
      <c r="C702" s="455"/>
      <c r="D702" s="450"/>
      <c r="E702" s="450"/>
      <c r="F702" s="450"/>
      <c r="G702" s="450"/>
      <c r="H702" s="450"/>
      <c r="I702" s="450"/>
      <c r="J702" s="450"/>
      <c r="K702" s="450"/>
      <c r="L702" s="450"/>
      <c r="M702" s="450"/>
      <c r="N702" s="450"/>
      <c r="O702" s="450"/>
      <c r="P702" s="450"/>
      <c r="Q702" s="450"/>
      <c r="R702" s="450"/>
      <c r="S702" s="450"/>
      <c r="T702" s="450"/>
      <c r="U702" s="450"/>
      <c r="V702" s="450"/>
      <c r="W702" s="450"/>
      <c r="X702" s="450"/>
      <c r="Y702" s="450"/>
      <c r="Z702" s="450"/>
      <c r="AA702" s="450"/>
      <c r="AB702" s="450"/>
      <c r="AC702" s="450"/>
      <c r="AD702" s="450"/>
      <c r="AE702" s="450"/>
      <c r="AF702" s="450"/>
      <c r="AG702" s="450"/>
      <c r="AH702" s="450"/>
      <c r="AI702" s="450"/>
      <c r="AJ702" s="450"/>
      <c r="AK702" s="450"/>
    </row>
    <row r="703">
      <c r="A703" s="450"/>
      <c r="B703" s="450"/>
      <c r="C703" s="455"/>
      <c r="D703" s="450"/>
      <c r="E703" s="450"/>
      <c r="F703" s="450"/>
      <c r="G703" s="450"/>
      <c r="H703" s="450"/>
      <c r="I703" s="450"/>
      <c r="J703" s="450"/>
      <c r="K703" s="450"/>
      <c r="L703" s="450"/>
      <c r="M703" s="450"/>
      <c r="N703" s="450"/>
      <c r="O703" s="450"/>
      <c r="P703" s="450"/>
      <c r="Q703" s="450"/>
      <c r="R703" s="450"/>
      <c r="S703" s="450"/>
      <c r="T703" s="450"/>
      <c r="U703" s="450"/>
      <c r="V703" s="450"/>
      <c r="W703" s="450"/>
      <c r="X703" s="450"/>
      <c r="Y703" s="450"/>
      <c r="Z703" s="450"/>
      <c r="AA703" s="450"/>
      <c r="AB703" s="450"/>
      <c r="AC703" s="450"/>
      <c r="AD703" s="450"/>
      <c r="AE703" s="450"/>
      <c r="AF703" s="450"/>
      <c r="AG703" s="450"/>
      <c r="AH703" s="450"/>
      <c r="AI703" s="450"/>
      <c r="AJ703" s="450"/>
      <c r="AK703" s="450"/>
    </row>
    <row r="704">
      <c r="A704" s="450"/>
      <c r="B704" s="450"/>
      <c r="C704" s="455"/>
      <c r="D704" s="450"/>
      <c r="E704" s="450"/>
      <c r="F704" s="450"/>
      <c r="G704" s="450"/>
      <c r="H704" s="450"/>
      <c r="I704" s="450"/>
      <c r="J704" s="450"/>
      <c r="K704" s="450"/>
      <c r="L704" s="450"/>
      <c r="M704" s="450"/>
      <c r="N704" s="450"/>
      <c r="O704" s="450"/>
      <c r="P704" s="450"/>
      <c r="Q704" s="450"/>
      <c r="R704" s="450"/>
      <c r="S704" s="450"/>
      <c r="T704" s="450"/>
      <c r="U704" s="450"/>
      <c r="V704" s="450"/>
      <c r="W704" s="450"/>
      <c r="X704" s="450"/>
      <c r="Y704" s="450"/>
      <c r="Z704" s="450"/>
      <c r="AA704" s="450"/>
      <c r="AB704" s="450"/>
      <c r="AC704" s="450"/>
      <c r="AD704" s="450"/>
      <c r="AE704" s="450"/>
      <c r="AF704" s="450"/>
      <c r="AG704" s="450"/>
      <c r="AH704" s="450"/>
      <c r="AI704" s="450"/>
      <c r="AJ704" s="450"/>
      <c r="AK704" s="450"/>
    </row>
    <row r="705">
      <c r="A705" s="450"/>
      <c r="B705" s="450"/>
      <c r="C705" s="455"/>
      <c r="D705" s="450"/>
      <c r="E705" s="450"/>
      <c r="F705" s="450"/>
      <c r="G705" s="450"/>
      <c r="H705" s="450"/>
      <c r="I705" s="450"/>
      <c r="J705" s="450"/>
      <c r="K705" s="450"/>
      <c r="L705" s="450"/>
      <c r="M705" s="450"/>
      <c r="N705" s="450"/>
      <c r="O705" s="450"/>
      <c r="P705" s="450"/>
      <c r="Q705" s="450"/>
      <c r="R705" s="450"/>
      <c r="S705" s="450"/>
      <c r="T705" s="450"/>
      <c r="U705" s="450"/>
      <c r="V705" s="450"/>
      <c r="W705" s="450"/>
      <c r="X705" s="450"/>
      <c r="Y705" s="450"/>
      <c r="Z705" s="450"/>
      <c r="AA705" s="450"/>
      <c r="AB705" s="450"/>
      <c r="AC705" s="450"/>
      <c r="AD705" s="450"/>
      <c r="AE705" s="450"/>
      <c r="AF705" s="450"/>
      <c r="AG705" s="450"/>
      <c r="AH705" s="450"/>
      <c r="AI705" s="450"/>
      <c r="AJ705" s="450"/>
      <c r="AK705" s="450"/>
    </row>
    <row r="706">
      <c r="A706" s="450"/>
      <c r="B706" s="450"/>
      <c r="C706" s="455"/>
      <c r="D706" s="450"/>
      <c r="E706" s="450"/>
      <c r="F706" s="450"/>
      <c r="G706" s="450"/>
      <c r="H706" s="450"/>
      <c r="I706" s="450"/>
      <c r="J706" s="450"/>
      <c r="K706" s="450"/>
      <c r="L706" s="450"/>
      <c r="M706" s="450"/>
      <c r="N706" s="450"/>
      <c r="O706" s="450"/>
      <c r="P706" s="450"/>
      <c r="Q706" s="450"/>
      <c r="R706" s="450"/>
      <c r="S706" s="450"/>
      <c r="T706" s="450"/>
      <c r="U706" s="450"/>
      <c r="V706" s="450"/>
      <c r="W706" s="450"/>
      <c r="X706" s="450"/>
      <c r="Y706" s="450"/>
      <c r="Z706" s="450"/>
      <c r="AA706" s="450"/>
      <c r="AB706" s="450"/>
      <c r="AC706" s="450"/>
      <c r="AD706" s="450"/>
      <c r="AE706" s="450"/>
      <c r="AF706" s="450"/>
      <c r="AG706" s="450"/>
      <c r="AH706" s="450"/>
      <c r="AI706" s="450"/>
      <c r="AJ706" s="450"/>
      <c r="AK706" s="450"/>
    </row>
    <row r="707">
      <c r="A707" s="450"/>
      <c r="B707" s="450"/>
      <c r="C707" s="455"/>
      <c r="D707" s="450"/>
      <c r="E707" s="450"/>
      <c r="F707" s="450"/>
      <c r="G707" s="450"/>
      <c r="H707" s="450"/>
      <c r="I707" s="450"/>
      <c r="J707" s="450"/>
      <c r="K707" s="450"/>
      <c r="L707" s="450"/>
      <c r="M707" s="450"/>
      <c r="N707" s="450"/>
      <c r="O707" s="450"/>
      <c r="P707" s="450"/>
      <c r="Q707" s="450"/>
      <c r="R707" s="450"/>
      <c r="S707" s="450"/>
      <c r="T707" s="450"/>
      <c r="U707" s="450"/>
      <c r="V707" s="450"/>
      <c r="W707" s="450"/>
      <c r="X707" s="450"/>
      <c r="Y707" s="450"/>
      <c r="Z707" s="450"/>
      <c r="AA707" s="450"/>
      <c r="AB707" s="450"/>
      <c r="AC707" s="450"/>
      <c r="AD707" s="450"/>
      <c r="AE707" s="450"/>
      <c r="AF707" s="450"/>
      <c r="AG707" s="450"/>
      <c r="AH707" s="450"/>
      <c r="AI707" s="450"/>
      <c r="AJ707" s="450"/>
      <c r="AK707" s="450"/>
    </row>
    <row r="708">
      <c r="A708" s="450"/>
      <c r="B708" s="450"/>
      <c r="C708" s="455"/>
      <c r="D708" s="450"/>
      <c r="E708" s="450"/>
      <c r="F708" s="450"/>
      <c r="G708" s="450"/>
      <c r="H708" s="450"/>
      <c r="I708" s="450"/>
      <c r="J708" s="450"/>
      <c r="K708" s="450"/>
      <c r="L708" s="450"/>
      <c r="M708" s="450"/>
      <c r="N708" s="450"/>
      <c r="O708" s="450"/>
      <c r="P708" s="450"/>
      <c r="Q708" s="450"/>
      <c r="R708" s="450"/>
      <c r="S708" s="450"/>
      <c r="T708" s="450"/>
      <c r="U708" s="450"/>
      <c r="V708" s="450"/>
      <c r="W708" s="450"/>
      <c r="X708" s="450"/>
      <c r="Y708" s="450"/>
      <c r="Z708" s="450"/>
      <c r="AA708" s="450"/>
      <c r="AB708" s="450"/>
      <c r="AC708" s="450"/>
      <c r="AD708" s="450"/>
      <c r="AE708" s="450"/>
      <c r="AF708" s="450"/>
      <c r="AG708" s="450"/>
      <c r="AH708" s="450"/>
      <c r="AI708" s="450"/>
      <c r="AJ708" s="450"/>
      <c r="AK708" s="450"/>
    </row>
    <row r="709">
      <c r="A709" s="450"/>
      <c r="B709" s="450"/>
      <c r="C709" s="455"/>
      <c r="D709" s="450"/>
      <c r="E709" s="450"/>
      <c r="F709" s="450"/>
      <c r="G709" s="450"/>
      <c r="H709" s="450"/>
      <c r="I709" s="450"/>
      <c r="J709" s="450"/>
      <c r="K709" s="450"/>
      <c r="L709" s="450"/>
      <c r="M709" s="450"/>
      <c r="N709" s="450"/>
      <c r="O709" s="450"/>
      <c r="P709" s="450"/>
      <c r="Q709" s="450"/>
      <c r="R709" s="450"/>
      <c r="S709" s="450"/>
      <c r="T709" s="450"/>
      <c r="U709" s="450"/>
      <c r="V709" s="450"/>
      <c r="W709" s="450"/>
      <c r="X709" s="450"/>
      <c r="Y709" s="450"/>
      <c r="Z709" s="450"/>
      <c r="AA709" s="450"/>
      <c r="AB709" s="450"/>
      <c r="AC709" s="450"/>
      <c r="AD709" s="450"/>
      <c r="AE709" s="450"/>
      <c r="AF709" s="450"/>
      <c r="AG709" s="450"/>
      <c r="AH709" s="450"/>
      <c r="AI709" s="450"/>
      <c r="AJ709" s="450"/>
      <c r="AK709" s="450"/>
    </row>
    <row r="710">
      <c r="A710" s="450"/>
      <c r="B710" s="450"/>
      <c r="C710" s="455"/>
      <c r="D710" s="450"/>
      <c r="E710" s="450"/>
      <c r="F710" s="450"/>
      <c r="G710" s="450"/>
      <c r="H710" s="450"/>
      <c r="I710" s="450"/>
      <c r="J710" s="450"/>
      <c r="K710" s="450"/>
      <c r="L710" s="450"/>
      <c r="M710" s="450"/>
      <c r="N710" s="450"/>
      <c r="O710" s="450"/>
      <c r="P710" s="450"/>
      <c r="Q710" s="450"/>
      <c r="R710" s="450"/>
      <c r="S710" s="450"/>
      <c r="T710" s="450"/>
      <c r="U710" s="450"/>
      <c r="V710" s="450"/>
      <c r="W710" s="450"/>
      <c r="X710" s="450"/>
      <c r="Y710" s="450"/>
      <c r="Z710" s="450"/>
      <c r="AA710" s="450"/>
      <c r="AB710" s="450"/>
      <c r="AC710" s="450"/>
      <c r="AD710" s="450"/>
      <c r="AE710" s="450"/>
      <c r="AF710" s="450"/>
      <c r="AG710" s="450"/>
      <c r="AH710" s="450"/>
      <c r="AI710" s="450"/>
      <c r="AJ710" s="450"/>
      <c r="AK710" s="450"/>
    </row>
    <row r="711">
      <c r="A711" s="450"/>
      <c r="B711" s="450"/>
      <c r="C711" s="455"/>
      <c r="D711" s="450"/>
      <c r="E711" s="450"/>
      <c r="F711" s="450"/>
      <c r="G711" s="450"/>
      <c r="H711" s="450"/>
      <c r="I711" s="450"/>
      <c r="J711" s="450"/>
      <c r="K711" s="450"/>
      <c r="L711" s="450"/>
      <c r="M711" s="450"/>
      <c r="N711" s="450"/>
      <c r="O711" s="450"/>
      <c r="P711" s="450"/>
      <c r="Q711" s="450"/>
      <c r="R711" s="450"/>
      <c r="S711" s="450"/>
      <c r="T711" s="450"/>
      <c r="U711" s="450"/>
      <c r="V711" s="450"/>
      <c r="W711" s="450"/>
      <c r="X711" s="450"/>
      <c r="Y711" s="450"/>
      <c r="Z711" s="450"/>
      <c r="AA711" s="450"/>
      <c r="AB711" s="450"/>
      <c r="AC711" s="450"/>
      <c r="AD711" s="450"/>
      <c r="AE711" s="450"/>
      <c r="AF711" s="450"/>
      <c r="AG711" s="450"/>
      <c r="AH711" s="450"/>
      <c r="AI711" s="450"/>
      <c r="AJ711" s="450"/>
      <c r="AK711" s="450"/>
    </row>
    <row r="712">
      <c r="A712" s="450"/>
      <c r="B712" s="450"/>
      <c r="C712" s="455"/>
      <c r="D712" s="450"/>
      <c r="E712" s="450"/>
      <c r="F712" s="450"/>
      <c r="G712" s="450"/>
      <c r="H712" s="450"/>
      <c r="I712" s="450"/>
      <c r="J712" s="450"/>
      <c r="K712" s="450"/>
      <c r="L712" s="450"/>
      <c r="M712" s="450"/>
      <c r="N712" s="450"/>
      <c r="O712" s="450"/>
      <c r="P712" s="450"/>
      <c r="Q712" s="450"/>
      <c r="R712" s="450"/>
      <c r="S712" s="450"/>
      <c r="T712" s="450"/>
      <c r="U712" s="450"/>
      <c r="V712" s="450"/>
      <c r="W712" s="450"/>
      <c r="X712" s="450"/>
      <c r="Y712" s="450"/>
      <c r="Z712" s="450"/>
      <c r="AA712" s="450"/>
      <c r="AB712" s="450"/>
      <c r="AC712" s="450"/>
      <c r="AD712" s="450"/>
      <c r="AE712" s="450"/>
      <c r="AF712" s="450"/>
      <c r="AG712" s="450"/>
      <c r="AH712" s="450"/>
      <c r="AI712" s="450"/>
      <c r="AJ712" s="450"/>
      <c r="AK712" s="450"/>
    </row>
    <row r="713">
      <c r="A713" s="450"/>
      <c r="B713" s="450"/>
      <c r="C713" s="455"/>
      <c r="D713" s="450"/>
      <c r="E713" s="450"/>
      <c r="F713" s="450"/>
      <c r="G713" s="450"/>
      <c r="H713" s="450"/>
      <c r="I713" s="450"/>
      <c r="J713" s="450"/>
      <c r="K713" s="450"/>
      <c r="L713" s="450"/>
      <c r="M713" s="450"/>
      <c r="N713" s="450"/>
      <c r="O713" s="450"/>
      <c r="P713" s="450"/>
      <c r="Q713" s="450"/>
      <c r="R713" s="450"/>
      <c r="S713" s="450"/>
      <c r="T713" s="450"/>
      <c r="U713" s="450"/>
      <c r="V713" s="450"/>
      <c r="W713" s="450"/>
      <c r="X713" s="450"/>
      <c r="Y713" s="450"/>
      <c r="Z713" s="450"/>
      <c r="AA713" s="450"/>
      <c r="AB713" s="450"/>
      <c r="AC713" s="450"/>
      <c r="AD713" s="450"/>
      <c r="AE713" s="450"/>
      <c r="AF713" s="450"/>
      <c r="AG713" s="450"/>
      <c r="AH713" s="450"/>
      <c r="AI713" s="450"/>
      <c r="AJ713" s="450"/>
      <c r="AK713" s="450"/>
    </row>
    <row r="714">
      <c r="A714" s="450"/>
      <c r="B714" s="450"/>
      <c r="C714" s="455"/>
      <c r="D714" s="450"/>
      <c r="E714" s="450"/>
      <c r="F714" s="450"/>
      <c r="G714" s="450"/>
      <c r="H714" s="450"/>
      <c r="I714" s="450"/>
      <c r="J714" s="450"/>
      <c r="K714" s="450"/>
      <c r="L714" s="450"/>
      <c r="M714" s="450"/>
      <c r="N714" s="450"/>
      <c r="O714" s="450"/>
      <c r="P714" s="450"/>
      <c r="Q714" s="450"/>
      <c r="R714" s="450"/>
      <c r="S714" s="450"/>
      <c r="T714" s="450"/>
      <c r="U714" s="450"/>
      <c r="V714" s="450"/>
      <c r="W714" s="450"/>
      <c r="X714" s="450"/>
      <c r="Y714" s="450"/>
      <c r="Z714" s="450"/>
      <c r="AA714" s="450"/>
      <c r="AB714" s="450"/>
      <c r="AC714" s="450"/>
      <c r="AD714" s="450"/>
      <c r="AE714" s="450"/>
      <c r="AF714" s="450"/>
      <c r="AG714" s="450"/>
      <c r="AH714" s="450"/>
      <c r="AI714" s="450"/>
      <c r="AJ714" s="450"/>
      <c r="AK714" s="450"/>
    </row>
    <row r="715">
      <c r="A715" s="450"/>
      <c r="B715" s="450"/>
      <c r="C715" s="455"/>
      <c r="D715" s="450"/>
      <c r="E715" s="450"/>
      <c r="F715" s="450"/>
      <c r="G715" s="450"/>
      <c r="H715" s="450"/>
      <c r="I715" s="450"/>
      <c r="J715" s="450"/>
      <c r="K715" s="450"/>
      <c r="L715" s="450"/>
      <c r="M715" s="450"/>
      <c r="N715" s="450"/>
      <c r="O715" s="450"/>
      <c r="P715" s="450"/>
      <c r="Q715" s="450"/>
      <c r="R715" s="450"/>
      <c r="S715" s="450"/>
      <c r="T715" s="450"/>
      <c r="U715" s="450"/>
      <c r="V715" s="450"/>
      <c r="W715" s="450"/>
      <c r="X715" s="450"/>
      <c r="Y715" s="450"/>
      <c r="Z715" s="450"/>
      <c r="AA715" s="450"/>
      <c r="AB715" s="450"/>
      <c r="AC715" s="450"/>
      <c r="AD715" s="450"/>
      <c r="AE715" s="450"/>
      <c r="AF715" s="450"/>
      <c r="AG715" s="450"/>
      <c r="AH715" s="450"/>
      <c r="AI715" s="450"/>
      <c r="AJ715" s="450"/>
      <c r="AK715" s="450"/>
    </row>
    <row r="716">
      <c r="A716" s="450"/>
      <c r="B716" s="450"/>
      <c r="C716" s="455"/>
      <c r="D716" s="450"/>
      <c r="E716" s="450"/>
      <c r="F716" s="450"/>
      <c r="G716" s="450"/>
      <c r="H716" s="450"/>
      <c r="I716" s="450"/>
      <c r="J716" s="450"/>
      <c r="K716" s="450"/>
      <c r="L716" s="450"/>
      <c r="M716" s="450"/>
      <c r="N716" s="450"/>
      <c r="O716" s="450"/>
      <c r="P716" s="450"/>
      <c r="Q716" s="450"/>
      <c r="R716" s="450"/>
      <c r="S716" s="450"/>
      <c r="T716" s="450"/>
      <c r="U716" s="450"/>
      <c r="V716" s="450"/>
      <c r="W716" s="450"/>
      <c r="X716" s="450"/>
      <c r="Y716" s="450"/>
      <c r="Z716" s="450"/>
      <c r="AA716" s="450"/>
      <c r="AB716" s="450"/>
      <c r="AC716" s="450"/>
      <c r="AD716" s="450"/>
      <c r="AE716" s="450"/>
      <c r="AF716" s="450"/>
      <c r="AG716" s="450"/>
      <c r="AH716" s="450"/>
      <c r="AI716" s="450"/>
      <c r="AJ716" s="450"/>
      <c r="AK716" s="450"/>
    </row>
    <row r="717">
      <c r="A717" s="450"/>
      <c r="B717" s="450"/>
      <c r="C717" s="455"/>
      <c r="D717" s="450"/>
      <c r="E717" s="450"/>
      <c r="F717" s="450"/>
      <c r="G717" s="450"/>
      <c r="H717" s="450"/>
      <c r="I717" s="450"/>
      <c r="J717" s="450"/>
      <c r="K717" s="450"/>
      <c r="L717" s="450"/>
      <c r="M717" s="450"/>
      <c r="N717" s="450"/>
      <c r="O717" s="450"/>
      <c r="P717" s="450"/>
      <c r="Q717" s="450"/>
      <c r="R717" s="450"/>
      <c r="S717" s="450"/>
      <c r="T717" s="450"/>
      <c r="U717" s="450"/>
      <c r="V717" s="450"/>
      <c r="W717" s="450"/>
      <c r="X717" s="450"/>
      <c r="Y717" s="450"/>
      <c r="Z717" s="450"/>
      <c r="AA717" s="450"/>
      <c r="AB717" s="450"/>
      <c r="AC717" s="450"/>
      <c r="AD717" s="450"/>
      <c r="AE717" s="450"/>
      <c r="AF717" s="450"/>
      <c r="AG717" s="450"/>
      <c r="AH717" s="450"/>
      <c r="AI717" s="450"/>
      <c r="AJ717" s="450"/>
      <c r="AK717" s="450"/>
    </row>
    <row r="718">
      <c r="A718" s="450"/>
      <c r="B718" s="450"/>
      <c r="C718" s="455"/>
      <c r="D718" s="450"/>
      <c r="E718" s="450"/>
      <c r="F718" s="450"/>
      <c r="G718" s="450"/>
      <c r="H718" s="450"/>
      <c r="I718" s="450"/>
      <c r="J718" s="450"/>
      <c r="K718" s="450"/>
      <c r="L718" s="450"/>
      <c r="M718" s="450"/>
      <c r="N718" s="450"/>
      <c r="O718" s="450"/>
      <c r="P718" s="450"/>
      <c r="Q718" s="450"/>
      <c r="R718" s="450"/>
      <c r="S718" s="450"/>
      <c r="T718" s="450"/>
      <c r="U718" s="450"/>
      <c r="V718" s="450"/>
      <c r="W718" s="450"/>
      <c r="X718" s="450"/>
      <c r="Y718" s="450"/>
      <c r="Z718" s="450"/>
      <c r="AA718" s="450"/>
      <c r="AB718" s="450"/>
      <c r="AC718" s="450"/>
      <c r="AD718" s="450"/>
      <c r="AE718" s="450"/>
      <c r="AF718" s="450"/>
      <c r="AG718" s="450"/>
      <c r="AH718" s="450"/>
      <c r="AI718" s="450"/>
      <c r="AJ718" s="450"/>
      <c r="AK718" s="450"/>
    </row>
    <row r="719">
      <c r="A719" s="450"/>
      <c r="B719" s="450"/>
      <c r="C719" s="455"/>
      <c r="D719" s="450"/>
      <c r="E719" s="450"/>
      <c r="F719" s="450"/>
      <c r="G719" s="450"/>
      <c r="H719" s="450"/>
      <c r="I719" s="450"/>
      <c r="J719" s="450"/>
      <c r="K719" s="450"/>
      <c r="L719" s="450"/>
      <c r="M719" s="450"/>
      <c r="N719" s="450"/>
      <c r="O719" s="450"/>
      <c r="P719" s="450"/>
      <c r="Q719" s="450"/>
      <c r="R719" s="450"/>
      <c r="S719" s="450"/>
      <c r="T719" s="450"/>
      <c r="U719" s="450"/>
      <c r="V719" s="450"/>
      <c r="W719" s="450"/>
      <c r="X719" s="450"/>
      <c r="Y719" s="450"/>
      <c r="Z719" s="450"/>
      <c r="AA719" s="450"/>
      <c r="AB719" s="450"/>
      <c r="AC719" s="450"/>
      <c r="AD719" s="450"/>
      <c r="AE719" s="450"/>
      <c r="AF719" s="450"/>
      <c r="AG719" s="450"/>
      <c r="AH719" s="450"/>
      <c r="AI719" s="450"/>
      <c r="AJ719" s="450"/>
      <c r="AK719" s="450"/>
    </row>
    <row r="720">
      <c r="A720" s="450"/>
      <c r="B720" s="450"/>
      <c r="C720" s="455"/>
      <c r="D720" s="450"/>
      <c r="E720" s="450"/>
      <c r="F720" s="450"/>
      <c r="G720" s="450"/>
      <c r="H720" s="450"/>
      <c r="I720" s="450"/>
      <c r="J720" s="450"/>
      <c r="K720" s="450"/>
      <c r="L720" s="450"/>
      <c r="M720" s="450"/>
      <c r="N720" s="450"/>
      <c r="O720" s="450"/>
      <c r="P720" s="450"/>
      <c r="Q720" s="450"/>
      <c r="R720" s="450"/>
      <c r="S720" s="450"/>
      <c r="T720" s="450"/>
      <c r="U720" s="450"/>
      <c r="V720" s="450"/>
      <c r="W720" s="450"/>
      <c r="X720" s="450"/>
      <c r="Y720" s="450"/>
      <c r="Z720" s="450"/>
      <c r="AA720" s="450"/>
      <c r="AB720" s="450"/>
      <c r="AC720" s="450"/>
      <c r="AD720" s="450"/>
      <c r="AE720" s="450"/>
      <c r="AF720" s="450"/>
      <c r="AG720" s="450"/>
      <c r="AH720" s="450"/>
      <c r="AI720" s="450"/>
      <c r="AJ720" s="450"/>
      <c r="AK720" s="450"/>
    </row>
    <row r="721">
      <c r="A721" s="450"/>
      <c r="B721" s="450"/>
      <c r="C721" s="455"/>
      <c r="D721" s="450"/>
      <c r="E721" s="450"/>
      <c r="F721" s="450"/>
      <c r="G721" s="450"/>
      <c r="H721" s="450"/>
      <c r="I721" s="450"/>
      <c r="J721" s="450"/>
      <c r="K721" s="450"/>
      <c r="L721" s="450"/>
      <c r="M721" s="450"/>
      <c r="N721" s="450"/>
      <c r="O721" s="450"/>
      <c r="P721" s="450"/>
      <c r="Q721" s="450"/>
      <c r="R721" s="450"/>
      <c r="S721" s="450"/>
      <c r="T721" s="450"/>
      <c r="U721" s="450"/>
      <c r="V721" s="450"/>
      <c r="W721" s="450"/>
      <c r="X721" s="450"/>
      <c r="Y721" s="450"/>
      <c r="Z721" s="450"/>
      <c r="AA721" s="450"/>
      <c r="AB721" s="450"/>
      <c r="AC721" s="450"/>
      <c r="AD721" s="450"/>
      <c r="AE721" s="450"/>
      <c r="AF721" s="450"/>
      <c r="AG721" s="450"/>
      <c r="AH721" s="450"/>
      <c r="AI721" s="450"/>
      <c r="AJ721" s="450"/>
      <c r="AK721" s="450"/>
    </row>
    <row r="722">
      <c r="A722" s="450"/>
      <c r="B722" s="450"/>
      <c r="C722" s="455"/>
      <c r="D722" s="450"/>
      <c r="E722" s="450"/>
      <c r="F722" s="450"/>
      <c r="G722" s="450"/>
      <c r="H722" s="450"/>
      <c r="I722" s="450"/>
      <c r="J722" s="450"/>
      <c r="K722" s="450"/>
      <c r="L722" s="450"/>
      <c r="M722" s="450"/>
      <c r="N722" s="450"/>
      <c r="O722" s="450"/>
      <c r="P722" s="450"/>
      <c r="Q722" s="450"/>
      <c r="R722" s="450"/>
      <c r="S722" s="450"/>
      <c r="T722" s="450"/>
      <c r="U722" s="450"/>
      <c r="V722" s="450"/>
      <c r="W722" s="450"/>
      <c r="X722" s="450"/>
      <c r="Y722" s="450"/>
      <c r="Z722" s="450"/>
      <c r="AA722" s="450"/>
      <c r="AB722" s="450"/>
      <c r="AC722" s="450"/>
      <c r="AD722" s="450"/>
      <c r="AE722" s="450"/>
      <c r="AF722" s="450"/>
      <c r="AG722" s="450"/>
      <c r="AH722" s="450"/>
      <c r="AI722" s="450"/>
      <c r="AJ722" s="450"/>
      <c r="AK722" s="450"/>
    </row>
    <row r="723">
      <c r="A723" s="450"/>
      <c r="B723" s="450"/>
      <c r="C723" s="455"/>
      <c r="D723" s="450"/>
      <c r="E723" s="450"/>
      <c r="F723" s="450"/>
      <c r="G723" s="450"/>
      <c r="H723" s="450"/>
      <c r="I723" s="450"/>
      <c r="J723" s="450"/>
      <c r="K723" s="450"/>
      <c r="L723" s="450"/>
      <c r="M723" s="450"/>
      <c r="N723" s="450"/>
      <c r="O723" s="450"/>
      <c r="P723" s="450"/>
      <c r="Q723" s="450"/>
      <c r="R723" s="450"/>
      <c r="S723" s="450"/>
      <c r="T723" s="450"/>
      <c r="U723" s="450"/>
      <c r="V723" s="450"/>
      <c r="W723" s="450"/>
      <c r="X723" s="450"/>
      <c r="Y723" s="450"/>
      <c r="Z723" s="450"/>
      <c r="AA723" s="450"/>
      <c r="AB723" s="450"/>
      <c r="AC723" s="450"/>
      <c r="AD723" s="450"/>
      <c r="AE723" s="450"/>
      <c r="AF723" s="450"/>
      <c r="AG723" s="450"/>
      <c r="AH723" s="450"/>
      <c r="AI723" s="450"/>
      <c r="AJ723" s="450"/>
      <c r="AK723" s="450"/>
    </row>
    <row r="724">
      <c r="A724" s="450"/>
      <c r="B724" s="450"/>
      <c r="C724" s="455"/>
      <c r="D724" s="450"/>
      <c r="E724" s="450"/>
      <c r="F724" s="450"/>
      <c r="G724" s="450"/>
      <c r="H724" s="450"/>
      <c r="I724" s="450"/>
      <c r="J724" s="450"/>
      <c r="K724" s="450"/>
      <c r="L724" s="450"/>
      <c r="M724" s="450"/>
      <c r="N724" s="450"/>
      <c r="O724" s="450"/>
      <c r="P724" s="450"/>
      <c r="Q724" s="450"/>
      <c r="R724" s="450"/>
      <c r="S724" s="450"/>
      <c r="T724" s="450"/>
      <c r="U724" s="450"/>
      <c r="V724" s="450"/>
      <c r="W724" s="450"/>
      <c r="X724" s="450"/>
      <c r="Y724" s="450"/>
      <c r="Z724" s="450"/>
      <c r="AA724" s="450"/>
      <c r="AB724" s="450"/>
      <c r="AC724" s="450"/>
      <c r="AD724" s="450"/>
      <c r="AE724" s="450"/>
      <c r="AF724" s="450"/>
      <c r="AG724" s="450"/>
      <c r="AH724" s="450"/>
      <c r="AI724" s="450"/>
      <c r="AJ724" s="450"/>
      <c r="AK724" s="450"/>
    </row>
    <row r="725">
      <c r="A725" s="450"/>
      <c r="B725" s="450"/>
      <c r="C725" s="455"/>
      <c r="D725" s="450"/>
      <c r="E725" s="450"/>
      <c r="F725" s="450"/>
      <c r="G725" s="450"/>
      <c r="H725" s="450"/>
      <c r="I725" s="450"/>
      <c r="J725" s="450"/>
      <c r="K725" s="450"/>
      <c r="L725" s="450"/>
      <c r="M725" s="450"/>
      <c r="N725" s="450"/>
      <c r="O725" s="450"/>
      <c r="P725" s="450"/>
      <c r="Q725" s="450"/>
      <c r="R725" s="450"/>
      <c r="S725" s="450"/>
      <c r="T725" s="450"/>
      <c r="U725" s="450"/>
      <c r="V725" s="450"/>
      <c r="W725" s="450"/>
      <c r="X725" s="450"/>
      <c r="Y725" s="450"/>
      <c r="Z725" s="450"/>
      <c r="AA725" s="450"/>
      <c r="AB725" s="450"/>
      <c r="AC725" s="450"/>
      <c r="AD725" s="450"/>
      <c r="AE725" s="450"/>
      <c r="AF725" s="450"/>
      <c r="AG725" s="450"/>
      <c r="AH725" s="450"/>
      <c r="AI725" s="450"/>
      <c r="AJ725" s="450"/>
      <c r="AK725" s="450"/>
    </row>
    <row r="726">
      <c r="A726" s="450"/>
      <c r="B726" s="450"/>
      <c r="C726" s="455"/>
      <c r="D726" s="450"/>
      <c r="E726" s="450"/>
      <c r="F726" s="450"/>
      <c r="G726" s="450"/>
      <c r="H726" s="450"/>
      <c r="I726" s="450"/>
      <c r="J726" s="450"/>
      <c r="K726" s="450"/>
      <c r="L726" s="450"/>
      <c r="M726" s="450"/>
      <c r="N726" s="450"/>
      <c r="O726" s="450"/>
      <c r="P726" s="450"/>
      <c r="Q726" s="450"/>
      <c r="R726" s="450"/>
      <c r="S726" s="450"/>
      <c r="T726" s="450"/>
      <c r="U726" s="450"/>
      <c r="V726" s="450"/>
      <c r="W726" s="450"/>
      <c r="X726" s="450"/>
      <c r="Y726" s="450"/>
      <c r="Z726" s="450"/>
      <c r="AA726" s="450"/>
      <c r="AB726" s="450"/>
      <c r="AC726" s="450"/>
      <c r="AD726" s="450"/>
      <c r="AE726" s="450"/>
      <c r="AF726" s="450"/>
      <c r="AG726" s="450"/>
      <c r="AH726" s="450"/>
      <c r="AI726" s="450"/>
      <c r="AJ726" s="450"/>
      <c r="AK726" s="450"/>
    </row>
    <row r="727">
      <c r="A727" s="450"/>
      <c r="B727" s="450"/>
      <c r="C727" s="455"/>
      <c r="D727" s="450"/>
      <c r="E727" s="450"/>
      <c r="F727" s="450"/>
      <c r="G727" s="450"/>
      <c r="H727" s="450"/>
      <c r="I727" s="450"/>
      <c r="J727" s="450"/>
      <c r="K727" s="450"/>
      <c r="L727" s="450"/>
      <c r="M727" s="450"/>
      <c r="N727" s="450"/>
      <c r="O727" s="450"/>
      <c r="P727" s="450"/>
      <c r="Q727" s="450"/>
      <c r="R727" s="450"/>
      <c r="S727" s="450"/>
      <c r="T727" s="450"/>
      <c r="U727" s="450"/>
      <c r="V727" s="450"/>
      <c r="W727" s="450"/>
      <c r="X727" s="450"/>
      <c r="Y727" s="450"/>
      <c r="Z727" s="450"/>
      <c r="AA727" s="450"/>
      <c r="AB727" s="450"/>
      <c r="AC727" s="450"/>
      <c r="AD727" s="450"/>
      <c r="AE727" s="450"/>
      <c r="AF727" s="450"/>
      <c r="AG727" s="450"/>
      <c r="AH727" s="450"/>
      <c r="AI727" s="450"/>
      <c r="AJ727" s="450"/>
      <c r="AK727" s="450"/>
    </row>
    <row r="728">
      <c r="A728" s="450"/>
      <c r="B728" s="450"/>
      <c r="C728" s="455"/>
      <c r="D728" s="450"/>
      <c r="E728" s="450"/>
      <c r="F728" s="450"/>
      <c r="G728" s="450"/>
      <c r="H728" s="450"/>
      <c r="I728" s="450"/>
      <c r="J728" s="450"/>
      <c r="K728" s="450"/>
      <c r="L728" s="450"/>
      <c r="M728" s="450"/>
      <c r="N728" s="450"/>
      <c r="O728" s="450"/>
      <c r="P728" s="450"/>
      <c r="Q728" s="450"/>
      <c r="R728" s="450"/>
      <c r="S728" s="450"/>
      <c r="T728" s="450"/>
      <c r="U728" s="450"/>
      <c r="V728" s="450"/>
      <c r="W728" s="450"/>
      <c r="X728" s="450"/>
      <c r="Y728" s="450"/>
      <c r="Z728" s="450"/>
      <c r="AA728" s="450"/>
      <c r="AB728" s="450"/>
      <c r="AC728" s="450"/>
      <c r="AD728" s="450"/>
      <c r="AE728" s="450"/>
      <c r="AF728" s="450"/>
      <c r="AG728" s="450"/>
      <c r="AH728" s="450"/>
      <c r="AI728" s="450"/>
      <c r="AJ728" s="450"/>
      <c r="AK728" s="450"/>
    </row>
    <row r="729">
      <c r="A729" s="450"/>
      <c r="B729" s="450"/>
      <c r="C729" s="455"/>
      <c r="D729" s="450"/>
      <c r="E729" s="450"/>
      <c r="F729" s="450"/>
      <c r="G729" s="450"/>
      <c r="H729" s="450"/>
      <c r="I729" s="450"/>
      <c r="J729" s="450"/>
      <c r="K729" s="450"/>
      <c r="L729" s="450"/>
      <c r="M729" s="450"/>
      <c r="N729" s="450"/>
      <c r="O729" s="450"/>
      <c r="P729" s="450"/>
      <c r="Q729" s="450"/>
      <c r="R729" s="450"/>
      <c r="S729" s="450"/>
      <c r="T729" s="450"/>
      <c r="U729" s="450"/>
      <c r="V729" s="450"/>
      <c r="W729" s="450"/>
      <c r="X729" s="450"/>
      <c r="Y729" s="450"/>
      <c r="Z729" s="450"/>
      <c r="AA729" s="450"/>
      <c r="AB729" s="450"/>
      <c r="AC729" s="450"/>
      <c r="AD729" s="450"/>
      <c r="AE729" s="450"/>
      <c r="AF729" s="450"/>
      <c r="AG729" s="450"/>
      <c r="AH729" s="450"/>
      <c r="AI729" s="450"/>
      <c r="AJ729" s="450"/>
      <c r="AK729" s="450"/>
    </row>
    <row r="730">
      <c r="A730" s="450"/>
      <c r="B730" s="450"/>
      <c r="C730" s="455"/>
      <c r="D730" s="450"/>
      <c r="E730" s="450"/>
      <c r="F730" s="450"/>
      <c r="G730" s="450"/>
      <c r="H730" s="450"/>
      <c r="I730" s="450"/>
      <c r="J730" s="450"/>
      <c r="K730" s="450"/>
      <c r="L730" s="450"/>
      <c r="M730" s="450"/>
      <c r="N730" s="450"/>
      <c r="O730" s="450"/>
      <c r="P730" s="450"/>
      <c r="Q730" s="450"/>
      <c r="R730" s="450"/>
      <c r="S730" s="450"/>
      <c r="T730" s="450"/>
      <c r="U730" s="450"/>
      <c r="V730" s="450"/>
      <c r="W730" s="450"/>
      <c r="X730" s="450"/>
      <c r="Y730" s="450"/>
      <c r="Z730" s="450"/>
      <c r="AA730" s="450"/>
      <c r="AB730" s="450"/>
      <c r="AC730" s="450"/>
      <c r="AD730" s="450"/>
      <c r="AE730" s="450"/>
      <c r="AF730" s="450"/>
      <c r="AG730" s="450"/>
      <c r="AH730" s="450"/>
      <c r="AI730" s="450"/>
      <c r="AJ730" s="450"/>
      <c r="AK730" s="450"/>
    </row>
    <row r="731">
      <c r="A731" s="450"/>
      <c r="B731" s="450"/>
      <c r="C731" s="455"/>
      <c r="D731" s="450"/>
      <c r="E731" s="450"/>
      <c r="F731" s="450"/>
      <c r="G731" s="450"/>
      <c r="H731" s="450"/>
      <c r="I731" s="450"/>
      <c r="J731" s="450"/>
      <c r="K731" s="450"/>
      <c r="L731" s="450"/>
      <c r="M731" s="450"/>
      <c r="N731" s="450"/>
      <c r="O731" s="450"/>
      <c r="P731" s="450"/>
      <c r="Q731" s="450"/>
      <c r="R731" s="450"/>
      <c r="S731" s="450"/>
      <c r="T731" s="450"/>
      <c r="U731" s="450"/>
      <c r="V731" s="450"/>
      <c r="W731" s="450"/>
      <c r="X731" s="450"/>
      <c r="Y731" s="450"/>
      <c r="Z731" s="450"/>
      <c r="AA731" s="450"/>
      <c r="AB731" s="450"/>
      <c r="AC731" s="450"/>
      <c r="AD731" s="450"/>
      <c r="AE731" s="450"/>
      <c r="AF731" s="450"/>
      <c r="AG731" s="450"/>
      <c r="AH731" s="450"/>
      <c r="AI731" s="450"/>
      <c r="AJ731" s="450"/>
      <c r="AK731" s="450"/>
    </row>
    <row r="732">
      <c r="A732" s="450"/>
      <c r="B732" s="450"/>
      <c r="C732" s="455"/>
      <c r="D732" s="450"/>
      <c r="E732" s="450"/>
      <c r="F732" s="450"/>
      <c r="G732" s="450"/>
      <c r="H732" s="450"/>
      <c r="I732" s="450"/>
      <c r="J732" s="450"/>
      <c r="K732" s="450"/>
      <c r="L732" s="450"/>
      <c r="M732" s="450"/>
      <c r="N732" s="450"/>
      <c r="O732" s="450"/>
      <c r="P732" s="450"/>
      <c r="Q732" s="450"/>
      <c r="R732" s="450"/>
      <c r="S732" s="450"/>
      <c r="T732" s="450"/>
      <c r="U732" s="450"/>
      <c r="V732" s="450"/>
      <c r="W732" s="450"/>
      <c r="X732" s="450"/>
      <c r="Y732" s="450"/>
      <c r="Z732" s="450"/>
      <c r="AA732" s="450"/>
      <c r="AB732" s="450"/>
      <c r="AC732" s="450"/>
      <c r="AD732" s="450"/>
      <c r="AE732" s="450"/>
      <c r="AF732" s="450"/>
      <c r="AG732" s="450"/>
      <c r="AH732" s="450"/>
      <c r="AI732" s="450"/>
      <c r="AJ732" s="450"/>
      <c r="AK732" s="450"/>
    </row>
    <row r="733">
      <c r="A733" s="450"/>
      <c r="B733" s="450"/>
      <c r="C733" s="455"/>
      <c r="D733" s="450"/>
      <c r="E733" s="450"/>
      <c r="F733" s="450"/>
      <c r="G733" s="450"/>
      <c r="H733" s="450"/>
      <c r="I733" s="450"/>
      <c r="J733" s="450"/>
      <c r="K733" s="450"/>
      <c r="L733" s="450"/>
      <c r="M733" s="450"/>
      <c r="N733" s="450"/>
      <c r="O733" s="450"/>
      <c r="P733" s="450"/>
      <c r="Q733" s="450"/>
      <c r="R733" s="450"/>
      <c r="S733" s="450"/>
      <c r="T733" s="450"/>
      <c r="U733" s="450"/>
      <c r="V733" s="450"/>
      <c r="W733" s="450"/>
      <c r="X733" s="450"/>
      <c r="Y733" s="450"/>
      <c r="Z733" s="450"/>
      <c r="AA733" s="450"/>
      <c r="AB733" s="450"/>
      <c r="AC733" s="450"/>
      <c r="AD733" s="450"/>
      <c r="AE733" s="450"/>
      <c r="AF733" s="450"/>
      <c r="AG733" s="450"/>
      <c r="AH733" s="450"/>
      <c r="AI733" s="450"/>
      <c r="AJ733" s="450"/>
      <c r="AK733" s="450"/>
    </row>
    <row r="734">
      <c r="A734" s="450"/>
      <c r="B734" s="450"/>
      <c r="C734" s="455"/>
      <c r="D734" s="450"/>
      <c r="E734" s="450"/>
      <c r="F734" s="450"/>
      <c r="G734" s="450"/>
      <c r="H734" s="450"/>
      <c r="I734" s="450"/>
      <c r="J734" s="450"/>
      <c r="K734" s="450"/>
      <c r="L734" s="450"/>
      <c r="M734" s="450"/>
      <c r="N734" s="450"/>
      <c r="O734" s="450"/>
      <c r="P734" s="450"/>
      <c r="Q734" s="450"/>
      <c r="R734" s="450"/>
      <c r="S734" s="450"/>
      <c r="T734" s="450"/>
      <c r="U734" s="450"/>
      <c r="V734" s="450"/>
      <c r="W734" s="450"/>
      <c r="X734" s="450"/>
      <c r="Y734" s="450"/>
      <c r="Z734" s="450"/>
      <c r="AA734" s="450"/>
      <c r="AB734" s="450"/>
      <c r="AC734" s="450"/>
      <c r="AD734" s="450"/>
      <c r="AE734" s="450"/>
      <c r="AF734" s="450"/>
      <c r="AG734" s="450"/>
      <c r="AH734" s="450"/>
      <c r="AI734" s="450"/>
      <c r="AJ734" s="450"/>
      <c r="AK734" s="450"/>
    </row>
    <row r="735">
      <c r="A735" s="450"/>
      <c r="B735" s="450"/>
      <c r="C735" s="455"/>
      <c r="D735" s="450"/>
      <c r="E735" s="450"/>
      <c r="F735" s="450"/>
      <c r="G735" s="450"/>
      <c r="H735" s="450"/>
      <c r="I735" s="450"/>
      <c r="J735" s="450"/>
      <c r="K735" s="450"/>
      <c r="L735" s="450"/>
      <c r="M735" s="450"/>
      <c r="N735" s="450"/>
      <c r="O735" s="450"/>
      <c r="P735" s="450"/>
      <c r="Q735" s="450"/>
      <c r="R735" s="450"/>
      <c r="S735" s="450"/>
      <c r="T735" s="450"/>
      <c r="U735" s="450"/>
      <c r="V735" s="450"/>
      <c r="W735" s="450"/>
      <c r="X735" s="450"/>
      <c r="Y735" s="450"/>
      <c r="Z735" s="450"/>
      <c r="AA735" s="450"/>
      <c r="AB735" s="450"/>
      <c r="AC735" s="450"/>
      <c r="AD735" s="450"/>
      <c r="AE735" s="450"/>
      <c r="AF735" s="450"/>
      <c r="AG735" s="450"/>
      <c r="AH735" s="450"/>
      <c r="AI735" s="450"/>
      <c r="AJ735" s="450"/>
      <c r="AK735" s="450"/>
    </row>
    <row r="736">
      <c r="A736" s="450"/>
      <c r="B736" s="450"/>
      <c r="C736" s="455"/>
      <c r="D736" s="450"/>
      <c r="E736" s="450"/>
      <c r="F736" s="450"/>
      <c r="G736" s="450"/>
      <c r="H736" s="450"/>
      <c r="I736" s="450"/>
      <c r="J736" s="450"/>
      <c r="K736" s="450"/>
      <c r="L736" s="450"/>
      <c r="M736" s="450"/>
      <c r="N736" s="450"/>
      <c r="O736" s="450"/>
      <c r="P736" s="450"/>
      <c r="Q736" s="450"/>
      <c r="R736" s="450"/>
      <c r="S736" s="450"/>
      <c r="T736" s="450"/>
      <c r="U736" s="450"/>
      <c r="V736" s="450"/>
      <c r="W736" s="450"/>
      <c r="X736" s="450"/>
      <c r="Y736" s="450"/>
      <c r="Z736" s="450"/>
      <c r="AA736" s="450"/>
      <c r="AB736" s="450"/>
      <c r="AC736" s="450"/>
      <c r="AD736" s="450"/>
      <c r="AE736" s="450"/>
      <c r="AF736" s="450"/>
      <c r="AG736" s="450"/>
      <c r="AH736" s="450"/>
      <c r="AI736" s="450"/>
      <c r="AJ736" s="450"/>
      <c r="AK736" s="450"/>
    </row>
    <row r="737">
      <c r="A737" s="450"/>
      <c r="B737" s="450"/>
      <c r="C737" s="455"/>
      <c r="D737" s="450"/>
      <c r="E737" s="450"/>
      <c r="F737" s="450"/>
      <c r="G737" s="450"/>
      <c r="H737" s="450"/>
      <c r="I737" s="450"/>
      <c r="J737" s="450"/>
      <c r="K737" s="450"/>
      <c r="L737" s="450"/>
      <c r="M737" s="450"/>
      <c r="N737" s="450"/>
      <c r="O737" s="450"/>
      <c r="P737" s="450"/>
      <c r="Q737" s="450"/>
      <c r="R737" s="450"/>
      <c r="S737" s="450"/>
      <c r="T737" s="450"/>
      <c r="U737" s="450"/>
      <c r="V737" s="450"/>
      <c r="W737" s="450"/>
      <c r="X737" s="450"/>
      <c r="Y737" s="450"/>
      <c r="Z737" s="450"/>
      <c r="AA737" s="450"/>
      <c r="AB737" s="450"/>
      <c r="AC737" s="450"/>
      <c r="AD737" s="450"/>
      <c r="AE737" s="450"/>
      <c r="AF737" s="450"/>
      <c r="AG737" s="450"/>
      <c r="AH737" s="450"/>
      <c r="AI737" s="450"/>
      <c r="AJ737" s="450"/>
      <c r="AK737" s="450"/>
    </row>
    <row r="738">
      <c r="A738" s="450"/>
      <c r="B738" s="450"/>
      <c r="C738" s="455"/>
      <c r="D738" s="450"/>
      <c r="E738" s="450"/>
      <c r="F738" s="450"/>
      <c r="G738" s="450"/>
      <c r="H738" s="450"/>
      <c r="I738" s="450"/>
      <c r="J738" s="450"/>
      <c r="K738" s="450"/>
      <c r="L738" s="450"/>
      <c r="M738" s="450"/>
      <c r="N738" s="450"/>
      <c r="O738" s="450"/>
      <c r="P738" s="450"/>
      <c r="Q738" s="450"/>
      <c r="R738" s="450"/>
      <c r="S738" s="450"/>
      <c r="T738" s="450"/>
      <c r="U738" s="450"/>
      <c r="V738" s="450"/>
      <c r="W738" s="450"/>
      <c r="X738" s="450"/>
      <c r="Y738" s="450"/>
      <c r="Z738" s="450"/>
      <c r="AA738" s="450"/>
      <c r="AB738" s="450"/>
      <c r="AC738" s="450"/>
      <c r="AD738" s="450"/>
      <c r="AE738" s="450"/>
      <c r="AF738" s="450"/>
      <c r="AG738" s="450"/>
      <c r="AH738" s="450"/>
      <c r="AI738" s="450"/>
      <c r="AJ738" s="450"/>
      <c r="AK738" s="450"/>
    </row>
    <row r="739">
      <c r="A739" s="450"/>
      <c r="B739" s="450"/>
      <c r="C739" s="455"/>
      <c r="D739" s="450"/>
      <c r="E739" s="450"/>
      <c r="F739" s="450"/>
      <c r="G739" s="450"/>
      <c r="H739" s="450"/>
      <c r="I739" s="450"/>
      <c r="J739" s="450"/>
      <c r="K739" s="450"/>
      <c r="L739" s="450"/>
      <c r="M739" s="450"/>
      <c r="N739" s="450"/>
      <c r="O739" s="450"/>
      <c r="P739" s="450"/>
      <c r="Q739" s="450"/>
      <c r="R739" s="450"/>
      <c r="S739" s="450"/>
      <c r="T739" s="450"/>
      <c r="U739" s="450"/>
      <c r="V739" s="450"/>
      <c r="W739" s="450"/>
      <c r="X739" s="450"/>
      <c r="Y739" s="450"/>
      <c r="Z739" s="450"/>
      <c r="AA739" s="450"/>
      <c r="AB739" s="450"/>
      <c r="AC739" s="450"/>
      <c r="AD739" s="450"/>
      <c r="AE739" s="450"/>
      <c r="AF739" s="450"/>
      <c r="AG739" s="450"/>
      <c r="AH739" s="450"/>
      <c r="AI739" s="450"/>
      <c r="AJ739" s="450"/>
      <c r="AK739" s="450"/>
    </row>
    <row r="740">
      <c r="A740" s="450"/>
      <c r="B740" s="450"/>
      <c r="C740" s="455"/>
      <c r="D740" s="450"/>
      <c r="E740" s="450"/>
      <c r="F740" s="450"/>
      <c r="G740" s="450"/>
      <c r="H740" s="450"/>
      <c r="I740" s="450"/>
      <c r="J740" s="450"/>
      <c r="K740" s="450"/>
      <c r="L740" s="450"/>
      <c r="M740" s="450"/>
      <c r="N740" s="450"/>
      <c r="O740" s="450"/>
      <c r="P740" s="450"/>
      <c r="Q740" s="450"/>
      <c r="R740" s="450"/>
      <c r="S740" s="450"/>
      <c r="T740" s="450"/>
      <c r="U740" s="450"/>
      <c r="V740" s="450"/>
      <c r="W740" s="450"/>
      <c r="X740" s="450"/>
      <c r="Y740" s="450"/>
      <c r="Z740" s="450"/>
      <c r="AA740" s="450"/>
      <c r="AB740" s="450"/>
      <c r="AC740" s="450"/>
      <c r="AD740" s="450"/>
      <c r="AE740" s="450"/>
      <c r="AF740" s="450"/>
      <c r="AG740" s="450"/>
      <c r="AH740" s="450"/>
      <c r="AI740" s="450"/>
      <c r="AJ740" s="450"/>
      <c r="AK740" s="450"/>
    </row>
    <row r="741">
      <c r="A741" s="450"/>
      <c r="B741" s="450"/>
      <c r="C741" s="455"/>
      <c r="D741" s="450"/>
      <c r="E741" s="450"/>
      <c r="F741" s="450"/>
      <c r="G741" s="450"/>
      <c r="H741" s="450"/>
      <c r="I741" s="450"/>
      <c r="J741" s="450"/>
      <c r="K741" s="450"/>
      <c r="L741" s="450"/>
      <c r="M741" s="450"/>
      <c r="N741" s="450"/>
      <c r="O741" s="450"/>
      <c r="P741" s="450"/>
      <c r="Q741" s="450"/>
      <c r="R741" s="450"/>
      <c r="S741" s="450"/>
      <c r="T741" s="450"/>
      <c r="U741" s="450"/>
      <c r="V741" s="450"/>
      <c r="W741" s="450"/>
      <c r="X741" s="450"/>
      <c r="Y741" s="450"/>
      <c r="Z741" s="450"/>
      <c r="AA741" s="450"/>
      <c r="AB741" s="450"/>
      <c r="AC741" s="450"/>
      <c r="AD741" s="450"/>
      <c r="AE741" s="450"/>
      <c r="AF741" s="450"/>
      <c r="AG741" s="450"/>
      <c r="AH741" s="450"/>
      <c r="AI741" s="450"/>
      <c r="AJ741" s="450"/>
      <c r="AK741" s="450"/>
    </row>
    <row r="742">
      <c r="A742" s="450"/>
      <c r="B742" s="450"/>
      <c r="C742" s="455"/>
      <c r="D742" s="450"/>
      <c r="E742" s="450"/>
      <c r="F742" s="450"/>
      <c r="G742" s="450"/>
      <c r="H742" s="450"/>
      <c r="I742" s="450"/>
      <c r="J742" s="450"/>
      <c r="K742" s="450"/>
      <c r="L742" s="450"/>
      <c r="M742" s="450"/>
      <c r="N742" s="450"/>
      <c r="O742" s="450"/>
      <c r="P742" s="450"/>
      <c r="Q742" s="450"/>
      <c r="R742" s="450"/>
      <c r="S742" s="450"/>
      <c r="T742" s="450"/>
      <c r="U742" s="450"/>
      <c r="V742" s="450"/>
      <c r="W742" s="450"/>
      <c r="X742" s="450"/>
      <c r="Y742" s="450"/>
      <c r="Z742" s="450"/>
      <c r="AA742" s="450"/>
      <c r="AB742" s="450"/>
      <c r="AC742" s="450"/>
      <c r="AD742" s="450"/>
      <c r="AE742" s="450"/>
      <c r="AF742" s="450"/>
      <c r="AG742" s="450"/>
      <c r="AH742" s="450"/>
      <c r="AI742" s="450"/>
      <c r="AJ742" s="450"/>
      <c r="AK742" s="450"/>
    </row>
    <row r="743">
      <c r="A743" s="450"/>
      <c r="B743" s="450"/>
      <c r="C743" s="455"/>
      <c r="D743" s="450"/>
      <c r="E743" s="450"/>
      <c r="F743" s="450"/>
      <c r="G743" s="450"/>
      <c r="H743" s="450"/>
      <c r="I743" s="450"/>
      <c r="J743" s="450"/>
      <c r="K743" s="450"/>
      <c r="L743" s="450"/>
      <c r="M743" s="450"/>
      <c r="N743" s="450"/>
      <c r="O743" s="450"/>
      <c r="P743" s="450"/>
      <c r="Q743" s="450"/>
      <c r="R743" s="450"/>
      <c r="S743" s="450"/>
      <c r="T743" s="450"/>
      <c r="U743" s="450"/>
      <c r="V743" s="450"/>
      <c r="W743" s="450"/>
      <c r="X743" s="450"/>
      <c r="Y743" s="450"/>
      <c r="Z743" s="450"/>
      <c r="AA743" s="450"/>
      <c r="AB743" s="450"/>
      <c r="AC743" s="450"/>
      <c r="AD743" s="450"/>
      <c r="AE743" s="450"/>
      <c r="AF743" s="450"/>
      <c r="AG743" s="450"/>
      <c r="AH743" s="450"/>
      <c r="AI743" s="450"/>
      <c r="AJ743" s="450"/>
      <c r="AK743" s="450"/>
    </row>
    <row r="744">
      <c r="A744" s="450"/>
      <c r="B744" s="450"/>
      <c r="C744" s="455"/>
      <c r="D744" s="450"/>
      <c r="E744" s="450"/>
      <c r="F744" s="450"/>
      <c r="G744" s="450"/>
      <c r="H744" s="450"/>
      <c r="I744" s="450"/>
      <c r="J744" s="450"/>
      <c r="K744" s="450"/>
      <c r="L744" s="450"/>
      <c r="M744" s="450"/>
      <c r="N744" s="450"/>
      <c r="O744" s="450"/>
      <c r="P744" s="450"/>
      <c r="Q744" s="450"/>
      <c r="R744" s="450"/>
      <c r="S744" s="450"/>
      <c r="T744" s="450"/>
      <c r="U744" s="450"/>
      <c r="V744" s="450"/>
      <c r="W744" s="450"/>
      <c r="X744" s="450"/>
      <c r="Y744" s="450"/>
      <c r="Z744" s="450"/>
      <c r="AA744" s="450"/>
      <c r="AB744" s="450"/>
      <c r="AC744" s="450"/>
      <c r="AD744" s="450"/>
      <c r="AE744" s="450"/>
      <c r="AF744" s="450"/>
      <c r="AG744" s="450"/>
      <c r="AH744" s="450"/>
      <c r="AI744" s="450"/>
      <c r="AJ744" s="450"/>
      <c r="AK744" s="450"/>
    </row>
    <row r="745">
      <c r="A745" s="450"/>
      <c r="B745" s="450"/>
      <c r="C745" s="455"/>
      <c r="D745" s="450"/>
      <c r="E745" s="450"/>
      <c r="F745" s="450"/>
      <c r="G745" s="450"/>
      <c r="H745" s="450"/>
      <c r="I745" s="450"/>
      <c r="J745" s="450"/>
      <c r="K745" s="450"/>
      <c r="L745" s="450"/>
      <c r="M745" s="450"/>
      <c r="N745" s="450"/>
      <c r="O745" s="450"/>
      <c r="P745" s="450"/>
      <c r="Q745" s="450"/>
      <c r="R745" s="450"/>
      <c r="S745" s="450"/>
      <c r="T745" s="450"/>
      <c r="U745" s="450"/>
      <c r="V745" s="450"/>
      <c r="W745" s="450"/>
      <c r="X745" s="450"/>
      <c r="Y745" s="450"/>
      <c r="Z745" s="450"/>
      <c r="AA745" s="450"/>
      <c r="AB745" s="450"/>
      <c r="AC745" s="450"/>
      <c r="AD745" s="450"/>
      <c r="AE745" s="450"/>
      <c r="AF745" s="450"/>
      <c r="AG745" s="450"/>
      <c r="AH745" s="450"/>
      <c r="AI745" s="450"/>
      <c r="AJ745" s="450"/>
      <c r="AK745" s="450"/>
    </row>
    <row r="746">
      <c r="A746" s="450"/>
      <c r="B746" s="450"/>
      <c r="C746" s="455"/>
      <c r="D746" s="450"/>
      <c r="E746" s="450"/>
      <c r="F746" s="450"/>
      <c r="G746" s="450"/>
      <c r="H746" s="450"/>
      <c r="I746" s="450"/>
      <c r="J746" s="450"/>
      <c r="K746" s="450"/>
      <c r="L746" s="450"/>
      <c r="M746" s="450"/>
      <c r="N746" s="450"/>
      <c r="O746" s="450"/>
      <c r="P746" s="450"/>
      <c r="Q746" s="450"/>
      <c r="R746" s="450"/>
      <c r="S746" s="450"/>
      <c r="T746" s="450"/>
      <c r="U746" s="450"/>
      <c r="V746" s="450"/>
      <c r="W746" s="450"/>
      <c r="X746" s="450"/>
      <c r="Y746" s="450"/>
      <c r="Z746" s="450"/>
      <c r="AA746" s="450"/>
      <c r="AB746" s="450"/>
      <c r="AC746" s="450"/>
      <c r="AD746" s="450"/>
      <c r="AE746" s="450"/>
      <c r="AF746" s="450"/>
      <c r="AG746" s="450"/>
      <c r="AH746" s="450"/>
      <c r="AI746" s="450"/>
      <c r="AJ746" s="450"/>
      <c r="AK746" s="450"/>
    </row>
    <row r="747">
      <c r="A747" s="450"/>
      <c r="B747" s="450"/>
      <c r="C747" s="455"/>
      <c r="D747" s="450"/>
      <c r="E747" s="450"/>
      <c r="F747" s="450"/>
      <c r="G747" s="450"/>
      <c r="H747" s="450"/>
      <c r="I747" s="450"/>
      <c r="J747" s="450"/>
      <c r="K747" s="450"/>
      <c r="L747" s="450"/>
      <c r="M747" s="450"/>
      <c r="N747" s="450"/>
      <c r="O747" s="450"/>
      <c r="P747" s="450"/>
      <c r="Q747" s="450"/>
      <c r="R747" s="450"/>
      <c r="S747" s="450"/>
      <c r="T747" s="450"/>
      <c r="U747" s="450"/>
      <c r="V747" s="450"/>
      <c r="W747" s="450"/>
      <c r="X747" s="450"/>
      <c r="Y747" s="450"/>
      <c r="Z747" s="450"/>
      <c r="AA747" s="450"/>
      <c r="AB747" s="450"/>
      <c r="AC747" s="450"/>
      <c r="AD747" s="450"/>
      <c r="AE747" s="450"/>
      <c r="AF747" s="450"/>
      <c r="AG747" s="450"/>
      <c r="AH747" s="450"/>
      <c r="AI747" s="450"/>
      <c r="AJ747" s="450"/>
      <c r="AK747" s="450"/>
    </row>
    <row r="748">
      <c r="A748" s="450"/>
      <c r="B748" s="450"/>
      <c r="C748" s="455"/>
      <c r="D748" s="450"/>
      <c r="E748" s="450"/>
      <c r="F748" s="450"/>
      <c r="G748" s="450"/>
      <c r="H748" s="450"/>
      <c r="I748" s="450"/>
      <c r="J748" s="450"/>
      <c r="K748" s="450"/>
      <c r="L748" s="450"/>
      <c r="M748" s="450"/>
      <c r="N748" s="450"/>
      <c r="O748" s="450"/>
      <c r="P748" s="450"/>
      <c r="Q748" s="450"/>
      <c r="R748" s="450"/>
      <c r="S748" s="450"/>
      <c r="T748" s="450"/>
      <c r="U748" s="450"/>
      <c r="V748" s="450"/>
      <c r="W748" s="450"/>
      <c r="X748" s="450"/>
      <c r="Y748" s="450"/>
      <c r="Z748" s="450"/>
      <c r="AA748" s="450"/>
      <c r="AB748" s="450"/>
      <c r="AC748" s="450"/>
      <c r="AD748" s="450"/>
      <c r="AE748" s="450"/>
      <c r="AF748" s="450"/>
      <c r="AG748" s="450"/>
      <c r="AH748" s="450"/>
      <c r="AI748" s="450"/>
      <c r="AJ748" s="450"/>
      <c r="AK748" s="450"/>
    </row>
    <row r="749">
      <c r="A749" s="450"/>
      <c r="B749" s="450"/>
      <c r="C749" s="455"/>
      <c r="D749" s="450"/>
      <c r="E749" s="450"/>
      <c r="F749" s="450"/>
      <c r="G749" s="450"/>
      <c r="H749" s="450"/>
      <c r="I749" s="450"/>
      <c r="J749" s="450"/>
      <c r="K749" s="450"/>
      <c r="L749" s="450"/>
      <c r="M749" s="450"/>
      <c r="N749" s="450"/>
      <c r="O749" s="450"/>
      <c r="P749" s="450"/>
      <c r="Q749" s="450"/>
      <c r="R749" s="450"/>
      <c r="S749" s="450"/>
      <c r="T749" s="450"/>
      <c r="U749" s="450"/>
      <c r="V749" s="450"/>
      <c r="W749" s="450"/>
      <c r="X749" s="450"/>
      <c r="Y749" s="450"/>
      <c r="Z749" s="450"/>
      <c r="AA749" s="450"/>
      <c r="AB749" s="450"/>
      <c r="AC749" s="450"/>
      <c r="AD749" s="450"/>
      <c r="AE749" s="450"/>
      <c r="AF749" s="450"/>
      <c r="AG749" s="450"/>
      <c r="AH749" s="450"/>
      <c r="AI749" s="450"/>
      <c r="AJ749" s="450"/>
      <c r="AK749" s="450"/>
    </row>
    <row r="750">
      <c r="A750" s="450"/>
      <c r="B750" s="450"/>
      <c r="C750" s="455"/>
      <c r="D750" s="450"/>
      <c r="E750" s="450"/>
      <c r="F750" s="450"/>
      <c r="G750" s="450"/>
      <c r="H750" s="450"/>
      <c r="I750" s="450"/>
      <c r="J750" s="450"/>
      <c r="K750" s="450"/>
      <c r="L750" s="450"/>
      <c r="M750" s="450"/>
      <c r="N750" s="450"/>
      <c r="O750" s="450"/>
      <c r="P750" s="450"/>
      <c r="Q750" s="450"/>
      <c r="R750" s="450"/>
      <c r="S750" s="450"/>
      <c r="T750" s="450"/>
      <c r="U750" s="450"/>
      <c r="V750" s="450"/>
      <c r="W750" s="450"/>
      <c r="X750" s="450"/>
      <c r="Y750" s="450"/>
      <c r="Z750" s="450"/>
      <c r="AA750" s="450"/>
      <c r="AB750" s="450"/>
      <c r="AC750" s="450"/>
      <c r="AD750" s="450"/>
      <c r="AE750" s="450"/>
      <c r="AF750" s="450"/>
      <c r="AG750" s="450"/>
      <c r="AH750" s="450"/>
      <c r="AI750" s="450"/>
      <c r="AJ750" s="450"/>
      <c r="AK750" s="450"/>
    </row>
    <row r="751">
      <c r="A751" s="450"/>
      <c r="B751" s="450"/>
      <c r="C751" s="455"/>
      <c r="D751" s="450"/>
      <c r="E751" s="450"/>
      <c r="F751" s="450"/>
      <c r="G751" s="450"/>
      <c r="H751" s="450"/>
      <c r="I751" s="450"/>
      <c r="J751" s="450"/>
      <c r="K751" s="450"/>
      <c r="L751" s="450"/>
      <c r="M751" s="450"/>
      <c r="N751" s="450"/>
      <c r="O751" s="450"/>
      <c r="P751" s="450"/>
      <c r="Q751" s="450"/>
      <c r="R751" s="450"/>
      <c r="S751" s="450"/>
      <c r="T751" s="450"/>
      <c r="U751" s="450"/>
      <c r="V751" s="450"/>
      <c r="W751" s="450"/>
      <c r="X751" s="450"/>
      <c r="Y751" s="450"/>
      <c r="Z751" s="450"/>
      <c r="AA751" s="450"/>
      <c r="AB751" s="450"/>
      <c r="AC751" s="450"/>
      <c r="AD751" s="450"/>
      <c r="AE751" s="450"/>
      <c r="AF751" s="450"/>
      <c r="AG751" s="450"/>
      <c r="AH751" s="450"/>
      <c r="AI751" s="450"/>
      <c r="AJ751" s="450"/>
      <c r="AK751" s="450"/>
    </row>
    <row r="752">
      <c r="A752" s="450"/>
      <c r="B752" s="450"/>
      <c r="C752" s="455"/>
      <c r="D752" s="450"/>
      <c r="E752" s="450"/>
      <c r="F752" s="450"/>
      <c r="G752" s="450"/>
      <c r="H752" s="450"/>
      <c r="I752" s="450"/>
      <c r="J752" s="450"/>
      <c r="K752" s="450"/>
      <c r="L752" s="450"/>
      <c r="M752" s="450"/>
      <c r="N752" s="450"/>
      <c r="O752" s="450"/>
      <c r="P752" s="450"/>
      <c r="Q752" s="450"/>
      <c r="R752" s="450"/>
      <c r="S752" s="450"/>
      <c r="T752" s="450"/>
      <c r="U752" s="450"/>
      <c r="V752" s="450"/>
      <c r="W752" s="450"/>
      <c r="X752" s="450"/>
      <c r="Y752" s="450"/>
      <c r="Z752" s="450"/>
      <c r="AA752" s="450"/>
      <c r="AB752" s="450"/>
      <c r="AC752" s="450"/>
      <c r="AD752" s="450"/>
      <c r="AE752" s="450"/>
      <c r="AF752" s="450"/>
      <c r="AG752" s="450"/>
      <c r="AH752" s="450"/>
      <c r="AI752" s="450"/>
      <c r="AJ752" s="450"/>
      <c r="AK752" s="450"/>
    </row>
    <row r="753">
      <c r="A753" s="450"/>
      <c r="B753" s="450"/>
      <c r="C753" s="455"/>
      <c r="D753" s="450"/>
      <c r="E753" s="450"/>
      <c r="F753" s="450"/>
      <c r="G753" s="450"/>
      <c r="H753" s="450"/>
      <c r="I753" s="450"/>
      <c r="J753" s="450"/>
      <c r="K753" s="450"/>
      <c r="L753" s="450"/>
      <c r="M753" s="450"/>
      <c r="N753" s="450"/>
      <c r="O753" s="450"/>
      <c r="P753" s="450"/>
      <c r="Q753" s="450"/>
      <c r="R753" s="450"/>
      <c r="S753" s="450"/>
      <c r="T753" s="450"/>
      <c r="U753" s="450"/>
      <c r="V753" s="450"/>
      <c r="W753" s="450"/>
      <c r="X753" s="450"/>
      <c r="Y753" s="450"/>
      <c r="Z753" s="450"/>
      <c r="AA753" s="450"/>
      <c r="AB753" s="450"/>
      <c r="AC753" s="450"/>
      <c r="AD753" s="450"/>
      <c r="AE753" s="450"/>
      <c r="AF753" s="450"/>
      <c r="AG753" s="450"/>
      <c r="AH753" s="450"/>
      <c r="AI753" s="450"/>
      <c r="AJ753" s="450"/>
      <c r="AK753" s="450"/>
    </row>
    <row r="754">
      <c r="A754" s="450"/>
      <c r="B754" s="450"/>
      <c r="C754" s="455"/>
      <c r="D754" s="450"/>
      <c r="E754" s="450"/>
      <c r="F754" s="450"/>
      <c r="G754" s="450"/>
      <c r="H754" s="450"/>
      <c r="I754" s="450"/>
      <c r="J754" s="450"/>
      <c r="K754" s="450"/>
      <c r="L754" s="450"/>
      <c r="M754" s="450"/>
      <c r="N754" s="450"/>
      <c r="O754" s="450"/>
      <c r="P754" s="450"/>
      <c r="Q754" s="450"/>
      <c r="R754" s="450"/>
      <c r="S754" s="450"/>
      <c r="T754" s="450"/>
      <c r="U754" s="450"/>
      <c r="V754" s="450"/>
      <c r="W754" s="450"/>
      <c r="X754" s="450"/>
      <c r="Y754" s="450"/>
      <c r="Z754" s="450"/>
      <c r="AA754" s="450"/>
      <c r="AB754" s="450"/>
      <c r="AC754" s="450"/>
      <c r="AD754" s="450"/>
      <c r="AE754" s="450"/>
      <c r="AF754" s="450"/>
      <c r="AG754" s="450"/>
      <c r="AH754" s="450"/>
      <c r="AI754" s="450"/>
      <c r="AJ754" s="450"/>
      <c r="AK754" s="450"/>
    </row>
    <row r="755">
      <c r="A755" s="450"/>
      <c r="B755" s="450"/>
      <c r="C755" s="455"/>
      <c r="D755" s="450"/>
      <c r="E755" s="450"/>
      <c r="F755" s="450"/>
      <c r="G755" s="450"/>
      <c r="H755" s="450"/>
      <c r="I755" s="450"/>
      <c r="J755" s="450"/>
      <c r="K755" s="450"/>
      <c r="L755" s="450"/>
      <c r="M755" s="450"/>
      <c r="N755" s="450"/>
      <c r="O755" s="450"/>
      <c r="P755" s="450"/>
      <c r="Q755" s="450"/>
      <c r="R755" s="450"/>
      <c r="S755" s="450"/>
      <c r="T755" s="450"/>
      <c r="U755" s="450"/>
      <c r="V755" s="450"/>
      <c r="W755" s="450"/>
      <c r="X755" s="450"/>
      <c r="Y755" s="450"/>
      <c r="Z755" s="450"/>
      <c r="AA755" s="450"/>
      <c r="AB755" s="450"/>
      <c r="AC755" s="450"/>
      <c r="AD755" s="450"/>
      <c r="AE755" s="450"/>
      <c r="AF755" s="450"/>
      <c r="AG755" s="450"/>
      <c r="AH755" s="450"/>
      <c r="AI755" s="450"/>
      <c r="AJ755" s="450"/>
      <c r="AK755" s="450"/>
    </row>
    <row r="756">
      <c r="A756" s="450"/>
      <c r="B756" s="450"/>
      <c r="C756" s="455"/>
      <c r="D756" s="450"/>
      <c r="E756" s="450"/>
      <c r="F756" s="450"/>
      <c r="G756" s="450"/>
      <c r="H756" s="450"/>
      <c r="I756" s="450"/>
      <c r="J756" s="450"/>
      <c r="K756" s="450"/>
      <c r="L756" s="450"/>
      <c r="M756" s="450"/>
      <c r="N756" s="450"/>
      <c r="O756" s="450"/>
      <c r="P756" s="450"/>
      <c r="Q756" s="450"/>
      <c r="R756" s="450"/>
      <c r="S756" s="450"/>
      <c r="T756" s="450"/>
      <c r="U756" s="450"/>
      <c r="V756" s="450"/>
      <c r="W756" s="450"/>
      <c r="X756" s="450"/>
      <c r="Y756" s="450"/>
      <c r="Z756" s="450"/>
      <c r="AA756" s="450"/>
      <c r="AB756" s="450"/>
      <c r="AC756" s="450"/>
      <c r="AD756" s="450"/>
      <c r="AE756" s="450"/>
      <c r="AF756" s="450"/>
      <c r="AG756" s="450"/>
      <c r="AH756" s="450"/>
      <c r="AI756" s="450"/>
      <c r="AJ756" s="450"/>
      <c r="AK756" s="450"/>
    </row>
    <row r="757">
      <c r="A757" s="450"/>
      <c r="B757" s="450"/>
      <c r="C757" s="455"/>
      <c r="D757" s="450"/>
      <c r="E757" s="450"/>
      <c r="F757" s="450"/>
      <c r="G757" s="450"/>
      <c r="H757" s="450"/>
      <c r="I757" s="450"/>
      <c r="J757" s="450"/>
      <c r="K757" s="450"/>
      <c r="L757" s="450"/>
      <c r="M757" s="450"/>
      <c r="N757" s="450"/>
      <c r="O757" s="450"/>
      <c r="P757" s="450"/>
      <c r="Q757" s="450"/>
      <c r="R757" s="450"/>
      <c r="S757" s="450"/>
      <c r="T757" s="450"/>
      <c r="U757" s="450"/>
      <c r="V757" s="450"/>
      <c r="W757" s="450"/>
      <c r="X757" s="450"/>
      <c r="Y757" s="450"/>
      <c r="Z757" s="450"/>
      <c r="AA757" s="450"/>
      <c r="AB757" s="450"/>
      <c r="AC757" s="450"/>
      <c r="AD757" s="450"/>
      <c r="AE757" s="450"/>
      <c r="AF757" s="450"/>
      <c r="AG757" s="450"/>
      <c r="AH757" s="450"/>
      <c r="AI757" s="450"/>
      <c r="AJ757" s="450"/>
      <c r="AK757" s="450"/>
    </row>
    <row r="758">
      <c r="A758" s="450"/>
      <c r="B758" s="450"/>
      <c r="C758" s="455"/>
      <c r="D758" s="450"/>
      <c r="E758" s="450"/>
      <c r="F758" s="450"/>
      <c r="G758" s="450"/>
      <c r="H758" s="450"/>
      <c r="I758" s="450"/>
      <c r="J758" s="450"/>
      <c r="K758" s="450"/>
      <c r="L758" s="450"/>
      <c r="M758" s="450"/>
      <c r="N758" s="450"/>
      <c r="O758" s="450"/>
      <c r="P758" s="450"/>
      <c r="Q758" s="450"/>
      <c r="R758" s="450"/>
      <c r="S758" s="450"/>
      <c r="T758" s="450"/>
      <c r="U758" s="450"/>
      <c r="V758" s="450"/>
      <c r="W758" s="450"/>
      <c r="X758" s="450"/>
      <c r="Y758" s="450"/>
      <c r="Z758" s="450"/>
      <c r="AA758" s="450"/>
      <c r="AB758" s="450"/>
      <c r="AC758" s="450"/>
      <c r="AD758" s="450"/>
      <c r="AE758" s="450"/>
      <c r="AF758" s="450"/>
      <c r="AG758" s="450"/>
      <c r="AH758" s="450"/>
      <c r="AI758" s="450"/>
      <c r="AJ758" s="450"/>
      <c r="AK758" s="450"/>
    </row>
    <row r="759">
      <c r="A759" s="450"/>
      <c r="B759" s="450"/>
      <c r="C759" s="455"/>
      <c r="D759" s="450"/>
      <c r="E759" s="450"/>
      <c r="F759" s="450"/>
      <c r="G759" s="450"/>
      <c r="H759" s="450"/>
      <c r="I759" s="450"/>
      <c r="J759" s="450"/>
      <c r="K759" s="450"/>
      <c r="L759" s="450"/>
      <c r="M759" s="450"/>
      <c r="N759" s="450"/>
      <c r="O759" s="450"/>
      <c r="P759" s="450"/>
      <c r="Q759" s="450"/>
      <c r="R759" s="450"/>
      <c r="S759" s="450"/>
      <c r="T759" s="450"/>
      <c r="U759" s="450"/>
      <c r="V759" s="450"/>
      <c r="W759" s="450"/>
      <c r="X759" s="450"/>
      <c r="Y759" s="450"/>
      <c r="Z759" s="450"/>
      <c r="AA759" s="450"/>
      <c r="AB759" s="450"/>
      <c r="AC759" s="450"/>
      <c r="AD759" s="450"/>
      <c r="AE759" s="450"/>
      <c r="AF759" s="450"/>
      <c r="AG759" s="450"/>
      <c r="AH759" s="450"/>
      <c r="AI759" s="450"/>
      <c r="AJ759" s="450"/>
      <c r="AK759" s="450"/>
    </row>
    <row r="760">
      <c r="A760" s="450"/>
      <c r="B760" s="450"/>
      <c r="C760" s="455"/>
      <c r="D760" s="450"/>
      <c r="E760" s="450"/>
      <c r="F760" s="450"/>
      <c r="G760" s="450"/>
      <c r="H760" s="450"/>
      <c r="I760" s="450"/>
      <c r="J760" s="450"/>
      <c r="K760" s="450"/>
      <c r="L760" s="450"/>
      <c r="M760" s="450"/>
      <c r="N760" s="450"/>
      <c r="O760" s="450"/>
      <c r="P760" s="450"/>
      <c r="Q760" s="450"/>
      <c r="R760" s="450"/>
      <c r="S760" s="450"/>
      <c r="T760" s="450"/>
      <c r="U760" s="450"/>
      <c r="V760" s="450"/>
      <c r="W760" s="450"/>
      <c r="X760" s="450"/>
      <c r="Y760" s="450"/>
      <c r="Z760" s="450"/>
      <c r="AA760" s="450"/>
      <c r="AB760" s="450"/>
      <c r="AC760" s="450"/>
      <c r="AD760" s="450"/>
      <c r="AE760" s="450"/>
      <c r="AF760" s="450"/>
      <c r="AG760" s="450"/>
      <c r="AH760" s="450"/>
      <c r="AI760" s="450"/>
      <c r="AJ760" s="450"/>
      <c r="AK760" s="450"/>
    </row>
    <row r="761">
      <c r="A761" s="450"/>
      <c r="B761" s="450"/>
      <c r="C761" s="455"/>
      <c r="D761" s="450"/>
      <c r="E761" s="450"/>
      <c r="F761" s="450"/>
      <c r="G761" s="450"/>
      <c r="H761" s="450"/>
      <c r="I761" s="450"/>
      <c r="J761" s="450"/>
      <c r="K761" s="450"/>
      <c r="L761" s="450"/>
      <c r="M761" s="450"/>
      <c r="N761" s="450"/>
      <c r="O761" s="450"/>
      <c r="P761" s="450"/>
      <c r="Q761" s="450"/>
      <c r="R761" s="450"/>
      <c r="S761" s="450"/>
      <c r="T761" s="450"/>
      <c r="U761" s="450"/>
      <c r="V761" s="450"/>
      <c r="W761" s="450"/>
      <c r="X761" s="450"/>
      <c r="Y761" s="450"/>
      <c r="Z761" s="450"/>
      <c r="AA761" s="450"/>
      <c r="AB761" s="450"/>
      <c r="AC761" s="450"/>
      <c r="AD761" s="450"/>
      <c r="AE761" s="450"/>
      <c r="AF761" s="450"/>
      <c r="AG761" s="450"/>
      <c r="AH761" s="450"/>
      <c r="AI761" s="450"/>
      <c r="AJ761" s="450"/>
      <c r="AK761" s="450"/>
    </row>
    <row r="762">
      <c r="A762" s="450"/>
      <c r="B762" s="450"/>
      <c r="C762" s="455"/>
      <c r="D762" s="450"/>
      <c r="E762" s="450"/>
      <c r="F762" s="450"/>
      <c r="G762" s="450"/>
      <c r="H762" s="450"/>
      <c r="I762" s="450"/>
      <c r="J762" s="450"/>
      <c r="K762" s="450"/>
      <c r="L762" s="450"/>
      <c r="M762" s="450"/>
      <c r="N762" s="450"/>
      <c r="O762" s="450"/>
      <c r="P762" s="450"/>
      <c r="Q762" s="450"/>
      <c r="R762" s="450"/>
      <c r="S762" s="450"/>
      <c r="T762" s="450"/>
      <c r="U762" s="450"/>
      <c r="V762" s="450"/>
      <c r="W762" s="450"/>
      <c r="X762" s="450"/>
      <c r="Y762" s="450"/>
      <c r="Z762" s="450"/>
      <c r="AA762" s="450"/>
      <c r="AB762" s="450"/>
      <c r="AC762" s="450"/>
      <c r="AD762" s="450"/>
      <c r="AE762" s="450"/>
      <c r="AF762" s="450"/>
      <c r="AG762" s="450"/>
      <c r="AH762" s="450"/>
      <c r="AI762" s="450"/>
      <c r="AJ762" s="450"/>
      <c r="AK762" s="450"/>
    </row>
    <row r="763">
      <c r="A763" s="450"/>
      <c r="B763" s="450"/>
      <c r="C763" s="455"/>
      <c r="D763" s="450"/>
      <c r="E763" s="450"/>
      <c r="F763" s="450"/>
      <c r="G763" s="450"/>
      <c r="H763" s="450"/>
      <c r="I763" s="450"/>
      <c r="J763" s="450"/>
      <c r="K763" s="450"/>
      <c r="L763" s="450"/>
      <c r="M763" s="450"/>
      <c r="N763" s="450"/>
      <c r="O763" s="450"/>
      <c r="P763" s="450"/>
      <c r="Q763" s="450"/>
      <c r="R763" s="450"/>
      <c r="S763" s="450"/>
      <c r="T763" s="450"/>
      <c r="U763" s="450"/>
      <c r="V763" s="450"/>
      <c r="W763" s="450"/>
      <c r="X763" s="450"/>
      <c r="Y763" s="450"/>
      <c r="Z763" s="450"/>
      <c r="AA763" s="450"/>
      <c r="AB763" s="450"/>
      <c r="AC763" s="450"/>
      <c r="AD763" s="450"/>
      <c r="AE763" s="450"/>
      <c r="AF763" s="450"/>
      <c r="AG763" s="450"/>
      <c r="AH763" s="450"/>
      <c r="AI763" s="450"/>
      <c r="AJ763" s="450"/>
      <c r="AK763" s="450"/>
    </row>
    <row r="764">
      <c r="A764" s="450"/>
      <c r="B764" s="450"/>
      <c r="C764" s="455"/>
      <c r="D764" s="450"/>
      <c r="E764" s="450"/>
      <c r="F764" s="450"/>
      <c r="G764" s="450"/>
      <c r="H764" s="450"/>
      <c r="I764" s="450"/>
      <c r="J764" s="450"/>
      <c r="K764" s="450"/>
      <c r="L764" s="450"/>
      <c r="M764" s="450"/>
      <c r="N764" s="450"/>
      <c r="O764" s="450"/>
      <c r="P764" s="450"/>
      <c r="Q764" s="450"/>
      <c r="R764" s="450"/>
      <c r="S764" s="450"/>
      <c r="T764" s="450"/>
      <c r="U764" s="450"/>
      <c r="V764" s="450"/>
      <c r="W764" s="450"/>
      <c r="X764" s="450"/>
      <c r="Y764" s="450"/>
      <c r="Z764" s="450"/>
      <c r="AA764" s="450"/>
      <c r="AB764" s="450"/>
      <c r="AC764" s="450"/>
      <c r="AD764" s="450"/>
      <c r="AE764" s="450"/>
      <c r="AF764" s="450"/>
      <c r="AG764" s="450"/>
      <c r="AH764" s="450"/>
      <c r="AI764" s="450"/>
      <c r="AJ764" s="450"/>
      <c r="AK764" s="450"/>
    </row>
    <row r="765">
      <c r="A765" s="450"/>
      <c r="B765" s="450"/>
      <c r="C765" s="455"/>
      <c r="D765" s="450"/>
      <c r="E765" s="450"/>
      <c r="F765" s="450"/>
      <c r="G765" s="450"/>
      <c r="H765" s="450"/>
      <c r="I765" s="450"/>
      <c r="J765" s="450"/>
      <c r="K765" s="450"/>
      <c r="L765" s="450"/>
      <c r="M765" s="450"/>
      <c r="N765" s="450"/>
      <c r="O765" s="450"/>
      <c r="P765" s="450"/>
      <c r="Q765" s="450"/>
      <c r="R765" s="450"/>
      <c r="S765" s="450"/>
      <c r="T765" s="450"/>
      <c r="U765" s="450"/>
      <c r="V765" s="450"/>
      <c r="W765" s="450"/>
      <c r="X765" s="450"/>
      <c r="Y765" s="450"/>
      <c r="Z765" s="450"/>
      <c r="AA765" s="450"/>
      <c r="AB765" s="450"/>
      <c r="AC765" s="450"/>
      <c r="AD765" s="450"/>
      <c r="AE765" s="450"/>
      <c r="AF765" s="450"/>
      <c r="AG765" s="450"/>
      <c r="AH765" s="450"/>
      <c r="AI765" s="450"/>
      <c r="AJ765" s="450"/>
      <c r="AK765" s="450"/>
    </row>
    <row r="766">
      <c r="A766" s="450"/>
      <c r="B766" s="450"/>
      <c r="C766" s="455"/>
      <c r="D766" s="450"/>
      <c r="E766" s="450"/>
      <c r="F766" s="450"/>
      <c r="G766" s="450"/>
      <c r="H766" s="450"/>
      <c r="I766" s="450"/>
      <c r="J766" s="450"/>
      <c r="K766" s="450"/>
      <c r="L766" s="450"/>
      <c r="M766" s="450"/>
      <c r="N766" s="450"/>
      <c r="O766" s="450"/>
      <c r="P766" s="450"/>
      <c r="Q766" s="450"/>
      <c r="R766" s="450"/>
      <c r="S766" s="450"/>
      <c r="T766" s="450"/>
      <c r="U766" s="450"/>
      <c r="V766" s="450"/>
      <c r="W766" s="450"/>
      <c r="X766" s="450"/>
      <c r="Y766" s="450"/>
      <c r="Z766" s="450"/>
      <c r="AA766" s="450"/>
      <c r="AB766" s="450"/>
      <c r="AC766" s="450"/>
      <c r="AD766" s="450"/>
      <c r="AE766" s="450"/>
      <c r="AF766" s="450"/>
      <c r="AG766" s="450"/>
      <c r="AH766" s="450"/>
      <c r="AI766" s="450"/>
      <c r="AJ766" s="450"/>
      <c r="AK766" s="450"/>
    </row>
    <row r="767">
      <c r="A767" s="450"/>
      <c r="B767" s="450"/>
      <c r="C767" s="455"/>
      <c r="D767" s="450"/>
      <c r="E767" s="450"/>
      <c r="F767" s="450"/>
      <c r="G767" s="450"/>
      <c r="H767" s="450"/>
      <c r="I767" s="450"/>
      <c r="J767" s="450"/>
      <c r="K767" s="450"/>
      <c r="L767" s="450"/>
      <c r="M767" s="450"/>
      <c r="N767" s="450"/>
      <c r="O767" s="450"/>
      <c r="P767" s="450"/>
      <c r="Q767" s="450"/>
      <c r="R767" s="450"/>
      <c r="S767" s="450"/>
      <c r="T767" s="450"/>
      <c r="U767" s="450"/>
      <c r="V767" s="450"/>
      <c r="W767" s="450"/>
      <c r="X767" s="450"/>
      <c r="Y767" s="450"/>
      <c r="Z767" s="450"/>
      <c r="AA767" s="450"/>
      <c r="AB767" s="450"/>
      <c r="AC767" s="450"/>
      <c r="AD767" s="450"/>
      <c r="AE767" s="450"/>
      <c r="AF767" s="450"/>
      <c r="AG767" s="450"/>
      <c r="AH767" s="450"/>
      <c r="AI767" s="450"/>
      <c r="AJ767" s="450"/>
      <c r="AK767" s="450"/>
    </row>
    <row r="768">
      <c r="A768" s="450"/>
      <c r="B768" s="450"/>
      <c r="C768" s="455"/>
      <c r="D768" s="450"/>
      <c r="E768" s="450"/>
      <c r="F768" s="450"/>
      <c r="G768" s="450"/>
      <c r="H768" s="450"/>
      <c r="I768" s="450"/>
      <c r="J768" s="450"/>
      <c r="K768" s="450"/>
      <c r="L768" s="450"/>
      <c r="M768" s="450"/>
      <c r="N768" s="450"/>
      <c r="O768" s="450"/>
      <c r="P768" s="450"/>
      <c r="Q768" s="450"/>
      <c r="R768" s="450"/>
      <c r="S768" s="450"/>
      <c r="T768" s="450"/>
      <c r="U768" s="450"/>
      <c r="V768" s="450"/>
      <c r="W768" s="450"/>
      <c r="X768" s="450"/>
      <c r="Y768" s="450"/>
      <c r="Z768" s="450"/>
      <c r="AA768" s="450"/>
      <c r="AB768" s="450"/>
      <c r="AC768" s="450"/>
      <c r="AD768" s="450"/>
      <c r="AE768" s="450"/>
      <c r="AF768" s="450"/>
      <c r="AG768" s="450"/>
      <c r="AH768" s="450"/>
      <c r="AI768" s="450"/>
      <c r="AJ768" s="450"/>
      <c r="AK768" s="450"/>
    </row>
    <row r="769">
      <c r="A769" s="450"/>
      <c r="B769" s="450"/>
      <c r="C769" s="455"/>
      <c r="D769" s="450"/>
      <c r="E769" s="450"/>
      <c r="F769" s="450"/>
      <c r="G769" s="450"/>
      <c r="H769" s="450"/>
      <c r="I769" s="450"/>
      <c r="J769" s="450"/>
      <c r="K769" s="450"/>
      <c r="L769" s="450"/>
      <c r="M769" s="450"/>
      <c r="N769" s="450"/>
      <c r="O769" s="450"/>
      <c r="P769" s="450"/>
      <c r="Q769" s="450"/>
      <c r="R769" s="450"/>
      <c r="S769" s="450"/>
      <c r="T769" s="450"/>
      <c r="U769" s="450"/>
      <c r="V769" s="450"/>
      <c r="W769" s="450"/>
      <c r="X769" s="450"/>
      <c r="Y769" s="450"/>
      <c r="Z769" s="450"/>
      <c r="AA769" s="450"/>
      <c r="AB769" s="450"/>
      <c r="AC769" s="450"/>
      <c r="AD769" s="450"/>
      <c r="AE769" s="450"/>
      <c r="AF769" s="450"/>
      <c r="AG769" s="450"/>
      <c r="AH769" s="450"/>
      <c r="AI769" s="450"/>
      <c r="AJ769" s="450"/>
      <c r="AK769" s="450"/>
    </row>
    <row r="770">
      <c r="A770" s="450"/>
      <c r="B770" s="450"/>
      <c r="C770" s="455"/>
      <c r="D770" s="450"/>
      <c r="E770" s="450"/>
      <c r="F770" s="450"/>
      <c r="G770" s="450"/>
      <c r="H770" s="450"/>
      <c r="I770" s="450"/>
      <c r="J770" s="450"/>
      <c r="K770" s="450"/>
      <c r="L770" s="450"/>
      <c r="M770" s="450"/>
      <c r="N770" s="450"/>
      <c r="O770" s="450"/>
      <c r="P770" s="450"/>
      <c r="Q770" s="450"/>
      <c r="R770" s="450"/>
      <c r="S770" s="450"/>
      <c r="T770" s="450"/>
      <c r="U770" s="450"/>
      <c r="V770" s="450"/>
      <c r="W770" s="450"/>
      <c r="X770" s="450"/>
      <c r="Y770" s="450"/>
      <c r="Z770" s="450"/>
      <c r="AA770" s="450"/>
      <c r="AB770" s="450"/>
      <c r="AC770" s="450"/>
      <c r="AD770" s="450"/>
      <c r="AE770" s="450"/>
      <c r="AF770" s="450"/>
      <c r="AG770" s="450"/>
      <c r="AH770" s="450"/>
      <c r="AI770" s="450"/>
      <c r="AJ770" s="450"/>
      <c r="AK770" s="450"/>
    </row>
    <row r="771">
      <c r="A771" s="450"/>
      <c r="B771" s="450"/>
      <c r="C771" s="455"/>
      <c r="D771" s="450"/>
      <c r="E771" s="450"/>
      <c r="F771" s="450"/>
      <c r="G771" s="450"/>
      <c r="H771" s="450"/>
      <c r="I771" s="450"/>
      <c r="J771" s="450"/>
      <c r="K771" s="450"/>
      <c r="L771" s="450"/>
      <c r="M771" s="450"/>
      <c r="N771" s="450"/>
      <c r="O771" s="450"/>
      <c r="P771" s="450"/>
      <c r="Q771" s="450"/>
      <c r="R771" s="450"/>
      <c r="S771" s="450"/>
      <c r="T771" s="450"/>
      <c r="U771" s="450"/>
      <c r="V771" s="450"/>
      <c r="W771" s="450"/>
      <c r="X771" s="450"/>
      <c r="Y771" s="450"/>
      <c r="Z771" s="450"/>
      <c r="AA771" s="450"/>
      <c r="AB771" s="450"/>
      <c r="AC771" s="450"/>
      <c r="AD771" s="450"/>
      <c r="AE771" s="450"/>
      <c r="AF771" s="450"/>
      <c r="AG771" s="450"/>
      <c r="AH771" s="450"/>
      <c r="AI771" s="450"/>
      <c r="AJ771" s="450"/>
      <c r="AK771" s="450"/>
    </row>
    <row r="772">
      <c r="A772" s="450"/>
      <c r="B772" s="450"/>
      <c r="C772" s="455"/>
      <c r="D772" s="450"/>
      <c r="E772" s="450"/>
      <c r="F772" s="450"/>
      <c r="G772" s="450"/>
      <c r="H772" s="450"/>
      <c r="I772" s="450"/>
      <c r="J772" s="450"/>
      <c r="K772" s="450"/>
      <c r="L772" s="450"/>
      <c r="M772" s="450"/>
      <c r="N772" s="450"/>
      <c r="O772" s="450"/>
      <c r="P772" s="450"/>
      <c r="Q772" s="450"/>
      <c r="R772" s="450"/>
      <c r="S772" s="450"/>
      <c r="T772" s="450"/>
      <c r="U772" s="450"/>
      <c r="V772" s="450"/>
      <c r="W772" s="450"/>
      <c r="X772" s="450"/>
      <c r="Y772" s="450"/>
      <c r="Z772" s="450"/>
      <c r="AA772" s="450"/>
      <c r="AB772" s="450"/>
      <c r="AC772" s="450"/>
      <c r="AD772" s="450"/>
      <c r="AE772" s="450"/>
      <c r="AF772" s="450"/>
      <c r="AG772" s="450"/>
      <c r="AH772" s="450"/>
      <c r="AI772" s="450"/>
      <c r="AJ772" s="450"/>
      <c r="AK772" s="450"/>
    </row>
    <row r="773">
      <c r="A773" s="450"/>
      <c r="B773" s="450"/>
      <c r="C773" s="455"/>
      <c r="D773" s="450"/>
      <c r="E773" s="450"/>
      <c r="F773" s="450"/>
      <c r="G773" s="450"/>
      <c r="H773" s="450"/>
      <c r="I773" s="450"/>
      <c r="J773" s="450"/>
      <c r="K773" s="450"/>
      <c r="L773" s="450"/>
      <c r="M773" s="450"/>
      <c r="N773" s="450"/>
      <c r="O773" s="450"/>
      <c r="P773" s="450"/>
      <c r="Q773" s="450"/>
      <c r="R773" s="450"/>
      <c r="S773" s="450"/>
      <c r="T773" s="450"/>
      <c r="U773" s="450"/>
      <c r="V773" s="450"/>
      <c r="W773" s="450"/>
      <c r="X773" s="450"/>
      <c r="Y773" s="450"/>
      <c r="Z773" s="450"/>
      <c r="AA773" s="450"/>
      <c r="AB773" s="450"/>
      <c r="AC773" s="450"/>
      <c r="AD773" s="450"/>
      <c r="AE773" s="450"/>
      <c r="AF773" s="450"/>
      <c r="AG773" s="450"/>
      <c r="AH773" s="450"/>
      <c r="AI773" s="450"/>
      <c r="AJ773" s="450"/>
      <c r="AK773" s="450"/>
    </row>
    <row r="774">
      <c r="A774" s="450"/>
      <c r="B774" s="450"/>
      <c r="C774" s="455"/>
      <c r="D774" s="450"/>
      <c r="E774" s="450"/>
      <c r="F774" s="450"/>
      <c r="G774" s="450"/>
      <c r="H774" s="450"/>
      <c r="I774" s="450"/>
      <c r="J774" s="450"/>
      <c r="K774" s="450"/>
      <c r="L774" s="450"/>
      <c r="M774" s="450"/>
      <c r="N774" s="450"/>
      <c r="O774" s="450"/>
      <c r="P774" s="450"/>
      <c r="Q774" s="450"/>
      <c r="R774" s="450"/>
      <c r="S774" s="450"/>
      <c r="T774" s="450"/>
      <c r="U774" s="450"/>
      <c r="V774" s="450"/>
      <c r="W774" s="450"/>
      <c r="X774" s="450"/>
      <c r="Y774" s="450"/>
      <c r="Z774" s="450"/>
      <c r="AA774" s="450"/>
      <c r="AB774" s="450"/>
      <c r="AC774" s="450"/>
      <c r="AD774" s="450"/>
      <c r="AE774" s="450"/>
      <c r="AF774" s="450"/>
      <c r="AG774" s="450"/>
      <c r="AH774" s="450"/>
      <c r="AI774" s="450"/>
      <c r="AJ774" s="450"/>
      <c r="AK774" s="450"/>
    </row>
    <row r="775">
      <c r="A775" s="450"/>
      <c r="B775" s="450"/>
      <c r="C775" s="455"/>
      <c r="D775" s="450"/>
      <c r="E775" s="450"/>
      <c r="F775" s="450"/>
      <c r="G775" s="450"/>
      <c r="H775" s="450"/>
      <c r="I775" s="450"/>
      <c r="J775" s="450"/>
      <c r="K775" s="450"/>
      <c r="L775" s="450"/>
      <c r="M775" s="450"/>
      <c r="N775" s="450"/>
      <c r="O775" s="450"/>
      <c r="P775" s="450"/>
      <c r="Q775" s="450"/>
      <c r="R775" s="450"/>
      <c r="S775" s="450"/>
      <c r="T775" s="450"/>
      <c r="U775" s="450"/>
      <c r="V775" s="450"/>
      <c r="W775" s="450"/>
      <c r="X775" s="450"/>
      <c r="Y775" s="450"/>
      <c r="Z775" s="450"/>
      <c r="AA775" s="450"/>
      <c r="AB775" s="450"/>
      <c r="AC775" s="450"/>
      <c r="AD775" s="450"/>
      <c r="AE775" s="450"/>
      <c r="AF775" s="450"/>
      <c r="AG775" s="450"/>
      <c r="AH775" s="450"/>
      <c r="AI775" s="450"/>
      <c r="AJ775" s="450"/>
      <c r="AK775" s="450"/>
    </row>
    <row r="776">
      <c r="A776" s="450"/>
      <c r="B776" s="450"/>
      <c r="C776" s="455"/>
      <c r="D776" s="450"/>
      <c r="E776" s="450"/>
      <c r="F776" s="450"/>
      <c r="G776" s="450"/>
      <c r="H776" s="450"/>
      <c r="I776" s="450"/>
      <c r="J776" s="450"/>
      <c r="K776" s="450"/>
      <c r="L776" s="450"/>
      <c r="M776" s="450"/>
      <c r="N776" s="450"/>
      <c r="O776" s="450"/>
      <c r="P776" s="450"/>
      <c r="Q776" s="450"/>
      <c r="R776" s="450"/>
      <c r="S776" s="450"/>
      <c r="T776" s="450"/>
      <c r="U776" s="450"/>
      <c r="V776" s="450"/>
      <c r="W776" s="450"/>
      <c r="X776" s="450"/>
      <c r="Y776" s="450"/>
      <c r="Z776" s="450"/>
      <c r="AA776" s="450"/>
      <c r="AB776" s="450"/>
      <c r="AC776" s="450"/>
      <c r="AD776" s="450"/>
      <c r="AE776" s="450"/>
      <c r="AF776" s="450"/>
      <c r="AG776" s="450"/>
      <c r="AH776" s="450"/>
      <c r="AI776" s="450"/>
      <c r="AJ776" s="450"/>
      <c r="AK776" s="450"/>
    </row>
    <row r="777">
      <c r="A777" s="450"/>
      <c r="B777" s="450"/>
      <c r="C777" s="455"/>
      <c r="D777" s="450"/>
      <c r="E777" s="450"/>
      <c r="F777" s="450"/>
      <c r="G777" s="450"/>
      <c r="H777" s="450"/>
      <c r="I777" s="450"/>
      <c r="J777" s="450"/>
      <c r="K777" s="450"/>
      <c r="L777" s="450"/>
      <c r="M777" s="450"/>
      <c r="N777" s="450"/>
      <c r="O777" s="450"/>
      <c r="P777" s="450"/>
      <c r="Q777" s="450"/>
      <c r="R777" s="450"/>
      <c r="S777" s="450"/>
      <c r="T777" s="450"/>
      <c r="U777" s="450"/>
      <c r="V777" s="450"/>
      <c r="W777" s="450"/>
      <c r="X777" s="450"/>
      <c r="Y777" s="450"/>
      <c r="Z777" s="450"/>
      <c r="AA777" s="450"/>
      <c r="AB777" s="450"/>
      <c r="AC777" s="450"/>
      <c r="AD777" s="450"/>
      <c r="AE777" s="450"/>
      <c r="AF777" s="450"/>
      <c r="AG777" s="450"/>
      <c r="AH777" s="450"/>
      <c r="AI777" s="450"/>
      <c r="AJ777" s="450"/>
      <c r="AK777" s="450"/>
    </row>
    <row r="778">
      <c r="A778" s="450"/>
      <c r="B778" s="450"/>
      <c r="C778" s="455"/>
      <c r="D778" s="450"/>
      <c r="E778" s="450"/>
      <c r="F778" s="450"/>
      <c r="G778" s="450"/>
      <c r="H778" s="450"/>
      <c r="I778" s="450"/>
      <c r="J778" s="450"/>
      <c r="K778" s="450"/>
      <c r="L778" s="450"/>
      <c r="M778" s="450"/>
      <c r="N778" s="450"/>
      <c r="O778" s="450"/>
      <c r="P778" s="450"/>
      <c r="Q778" s="450"/>
      <c r="R778" s="450"/>
      <c r="S778" s="450"/>
      <c r="T778" s="450"/>
      <c r="U778" s="450"/>
      <c r="V778" s="450"/>
      <c r="W778" s="450"/>
      <c r="X778" s="450"/>
      <c r="Y778" s="450"/>
      <c r="Z778" s="450"/>
      <c r="AA778" s="450"/>
      <c r="AB778" s="450"/>
      <c r="AC778" s="450"/>
      <c r="AD778" s="450"/>
      <c r="AE778" s="450"/>
      <c r="AF778" s="450"/>
      <c r="AG778" s="450"/>
      <c r="AH778" s="450"/>
      <c r="AI778" s="450"/>
      <c r="AJ778" s="450"/>
      <c r="AK778" s="450"/>
    </row>
    <row r="779">
      <c r="A779" s="450"/>
      <c r="B779" s="450"/>
      <c r="C779" s="455"/>
      <c r="D779" s="450"/>
      <c r="E779" s="450"/>
      <c r="F779" s="450"/>
      <c r="G779" s="450"/>
      <c r="H779" s="450"/>
      <c r="I779" s="450"/>
      <c r="J779" s="450"/>
      <c r="K779" s="450"/>
      <c r="L779" s="450"/>
      <c r="M779" s="450"/>
      <c r="N779" s="450"/>
      <c r="O779" s="450"/>
      <c r="P779" s="450"/>
      <c r="Q779" s="450"/>
      <c r="R779" s="450"/>
      <c r="S779" s="450"/>
      <c r="T779" s="450"/>
      <c r="U779" s="450"/>
      <c r="V779" s="450"/>
      <c r="W779" s="450"/>
      <c r="X779" s="450"/>
      <c r="Y779" s="450"/>
      <c r="Z779" s="450"/>
      <c r="AA779" s="450"/>
      <c r="AB779" s="450"/>
      <c r="AC779" s="450"/>
      <c r="AD779" s="450"/>
      <c r="AE779" s="450"/>
      <c r="AF779" s="450"/>
      <c r="AG779" s="450"/>
      <c r="AH779" s="450"/>
      <c r="AI779" s="450"/>
      <c r="AJ779" s="450"/>
      <c r="AK779" s="450"/>
    </row>
    <row r="780">
      <c r="A780" s="450"/>
      <c r="B780" s="450"/>
      <c r="C780" s="455"/>
      <c r="D780" s="450"/>
      <c r="E780" s="450"/>
      <c r="F780" s="450"/>
      <c r="G780" s="450"/>
      <c r="H780" s="450"/>
      <c r="I780" s="450"/>
      <c r="J780" s="450"/>
      <c r="K780" s="450"/>
      <c r="L780" s="450"/>
      <c r="M780" s="450"/>
      <c r="N780" s="450"/>
      <c r="O780" s="450"/>
      <c r="P780" s="450"/>
      <c r="Q780" s="450"/>
      <c r="R780" s="450"/>
      <c r="S780" s="450"/>
      <c r="T780" s="450"/>
      <c r="U780" s="450"/>
      <c r="V780" s="450"/>
      <c r="W780" s="450"/>
      <c r="X780" s="450"/>
      <c r="Y780" s="450"/>
      <c r="Z780" s="450"/>
      <c r="AA780" s="450"/>
      <c r="AB780" s="450"/>
      <c r="AC780" s="450"/>
      <c r="AD780" s="450"/>
      <c r="AE780" s="450"/>
      <c r="AF780" s="450"/>
      <c r="AG780" s="450"/>
      <c r="AH780" s="450"/>
      <c r="AI780" s="450"/>
      <c r="AJ780" s="450"/>
      <c r="AK780" s="450"/>
    </row>
    <row r="781">
      <c r="A781" s="450"/>
      <c r="B781" s="450"/>
      <c r="C781" s="455"/>
      <c r="D781" s="450"/>
      <c r="E781" s="450"/>
      <c r="F781" s="450"/>
      <c r="G781" s="450"/>
      <c r="H781" s="450"/>
      <c r="I781" s="450"/>
      <c r="J781" s="450"/>
      <c r="K781" s="450"/>
      <c r="L781" s="450"/>
      <c r="M781" s="450"/>
      <c r="N781" s="450"/>
      <c r="O781" s="450"/>
      <c r="P781" s="450"/>
      <c r="Q781" s="450"/>
      <c r="R781" s="450"/>
      <c r="S781" s="450"/>
      <c r="T781" s="450"/>
      <c r="U781" s="450"/>
      <c r="V781" s="450"/>
      <c r="W781" s="450"/>
      <c r="X781" s="450"/>
      <c r="Y781" s="450"/>
      <c r="Z781" s="450"/>
      <c r="AA781" s="450"/>
      <c r="AB781" s="450"/>
      <c r="AC781" s="450"/>
      <c r="AD781" s="450"/>
      <c r="AE781" s="450"/>
      <c r="AF781" s="450"/>
      <c r="AG781" s="450"/>
      <c r="AH781" s="450"/>
      <c r="AI781" s="450"/>
      <c r="AJ781" s="450"/>
      <c r="AK781" s="450"/>
    </row>
    <row r="782">
      <c r="A782" s="450"/>
      <c r="B782" s="450"/>
      <c r="C782" s="455"/>
      <c r="D782" s="450"/>
      <c r="E782" s="450"/>
      <c r="F782" s="450"/>
      <c r="G782" s="450"/>
      <c r="H782" s="450"/>
      <c r="I782" s="450"/>
      <c r="J782" s="450"/>
      <c r="K782" s="450"/>
      <c r="L782" s="450"/>
      <c r="M782" s="450"/>
      <c r="N782" s="450"/>
      <c r="O782" s="450"/>
      <c r="P782" s="450"/>
      <c r="Q782" s="450"/>
      <c r="R782" s="450"/>
      <c r="S782" s="450"/>
      <c r="T782" s="450"/>
      <c r="U782" s="450"/>
      <c r="V782" s="450"/>
      <c r="W782" s="450"/>
      <c r="X782" s="450"/>
      <c r="Y782" s="450"/>
      <c r="Z782" s="450"/>
      <c r="AA782" s="450"/>
      <c r="AB782" s="450"/>
      <c r="AC782" s="450"/>
      <c r="AD782" s="450"/>
      <c r="AE782" s="450"/>
      <c r="AF782" s="450"/>
      <c r="AG782" s="450"/>
      <c r="AH782" s="450"/>
      <c r="AI782" s="450"/>
      <c r="AJ782" s="450"/>
      <c r="AK782" s="450"/>
    </row>
    <row r="783">
      <c r="A783" s="450"/>
      <c r="B783" s="450"/>
      <c r="C783" s="455"/>
      <c r="D783" s="450"/>
      <c r="E783" s="450"/>
      <c r="F783" s="450"/>
      <c r="G783" s="450"/>
      <c r="H783" s="450"/>
      <c r="I783" s="450"/>
      <c r="J783" s="450"/>
      <c r="K783" s="450"/>
      <c r="L783" s="450"/>
      <c r="M783" s="450"/>
      <c r="N783" s="450"/>
      <c r="O783" s="450"/>
      <c r="P783" s="450"/>
      <c r="Q783" s="450"/>
      <c r="R783" s="450"/>
      <c r="S783" s="450"/>
      <c r="T783" s="450"/>
      <c r="U783" s="450"/>
      <c r="V783" s="450"/>
      <c r="W783" s="450"/>
      <c r="X783" s="450"/>
      <c r="Y783" s="450"/>
      <c r="Z783" s="450"/>
      <c r="AA783" s="450"/>
      <c r="AB783" s="450"/>
      <c r="AC783" s="450"/>
      <c r="AD783" s="450"/>
      <c r="AE783" s="450"/>
      <c r="AF783" s="450"/>
      <c r="AG783" s="450"/>
      <c r="AH783" s="450"/>
      <c r="AI783" s="450"/>
      <c r="AJ783" s="450"/>
      <c r="AK783" s="450"/>
    </row>
    <row r="784">
      <c r="A784" s="450"/>
      <c r="B784" s="450"/>
      <c r="C784" s="455"/>
      <c r="D784" s="450"/>
      <c r="E784" s="450"/>
      <c r="F784" s="450"/>
      <c r="G784" s="450"/>
      <c r="H784" s="450"/>
      <c r="I784" s="450"/>
      <c r="J784" s="450"/>
      <c r="K784" s="450"/>
      <c r="L784" s="450"/>
      <c r="M784" s="450"/>
      <c r="N784" s="450"/>
      <c r="O784" s="450"/>
      <c r="P784" s="450"/>
      <c r="Q784" s="450"/>
      <c r="R784" s="450"/>
      <c r="S784" s="450"/>
      <c r="T784" s="450"/>
      <c r="U784" s="450"/>
      <c r="V784" s="450"/>
      <c r="W784" s="450"/>
      <c r="X784" s="450"/>
      <c r="Y784" s="450"/>
      <c r="Z784" s="450"/>
      <c r="AA784" s="450"/>
      <c r="AB784" s="450"/>
      <c r="AC784" s="450"/>
      <c r="AD784" s="450"/>
      <c r="AE784" s="450"/>
      <c r="AF784" s="450"/>
      <c r="AG784" s="450"/>
      <c r="AH784" s="450"/>
      <c r="AI784" s="450"/>
      <c r="AJ784" s="450"/>
      <c r="AK784" s="450"/>
    </row>
    <row r="785">
      <c r="A785" s="450"/>
      <c r="B785" s="450"/>
      <c r="C785" s="455"/>
      <c r="D785" s="450"/>
      <c r="E785" s="450"/>
      <c r="F785" s="450"/>
      <c r="G785" s="450"/>
      <c r="H785" s="450"/>
      <c r="I785" s="450"/>
      <c r="J785" s="450"/>
      <c r="K785" s="450"/>
      <c r="L785" s="450"/>
      <c r="M785" s="450"/>
      <c r="N785" s="450"/>
      <c r="O785" s="450"/>
      <c r="P785" s="450"/>
      <c r="Q785" s="450"/>
      <c r="R785" s="450"/>
      <c r="S785" s="450"/>
      <c r="T785" s="450"/>
      <c r="U785" s="450"/>
      <c r="V785" s="450"/>
      <c r="W785" s="450"/>
      <c r="X785" s="450"/>
      <c r="Y785" s="450"/>
      <c r="Z785" s="450"/>
      <c r="AA785" s="450"/>
      <c r="AB785" s="450"/>
      <c r="AC785" s="450"/>
      <c r="AD785" s="450"/>
      <c r="AE785" s="450"/>
      <c r="AF785" s="450"/>
      <c r="AG785" s="450"/>
      <c r="AH785" s="450"/>
      <c r="AI785" s="450"/>
      <c r="AJ785" s="450"/>
      <c r="AK785" s="450"/>
    </row>
    <row r="786">
      <c r="A786" s="450"/>
      <c r="B786" s="450"/>
      <c r="C786" s="455"/>
      <c r="D786" s="450"/>
      <c r="E786" s="450"/>
      <c r="F786" s="450"/>
      <c r="G786" s="450"/>
      <c r="H786" s="450"/>
      <c r="I786" s="450"/>
      <c r="J786" s="450"/>
      <c r="K786" s="450"/>
      <c r="L786" s="450"/>
      <c r="M786" s="450"/>
      <c r="N786" s="450"/>
      <c r="O786" s="450"/>
      <c r="P786" s="450"/>
      <c r="Q786" s="450"/>
      <c r="R786" s="450"/>
      <c r="S786" s="450"/>
      <c r="T786" s="450"/>
      <c r="U786" s="450"/>
      <c r="V786" s="450"/>
      <c r="W786" s="450"/>
      <c r="X786" s="450"/>
      <c r="Y786" s="450"/>
      <c r="Z786" s="450"/>
      <c r="AA786" s="450"/>
      <c r="AB786" s="450"/>
      <c r="AC786" s="450"/>
      <c r="AD786" s="450"/>
      <c r="AE786" s="450"/>
      <c r="AF786" s="450"/>
      <c r="AG786" s="450"/>
      <c r="AH786" s="450"/>
      <c r="AI786" s="450"/>
      <c r="AJ786" s="450"/>
      <c r="AK786" s="450"/>
    </row>
    <row r="787">
      <c r="A787" s="450"/>
      <c r="B787" s="450"/>
      <c r="C787" s="455"/>
      <c r="D787" s="450"/>
      <c r="E787" s="450"/>
      <c r="F787" s="450"/>
      <c r="G787" s="450"/>
      <c r="H787" s="450"/>
      <c r="I787" s="450"/>
      <c r="J787" s="450"/>
      <c r="K787" s="450"/>
      <c r="L787" s="450"/>
      <c r="M787" s="450"/>
      <c r="N787" s="450"/>
      <c r="O787" s="450"/>
      <c r="P787" s="450"/>
      <c r="Q787" s="450"/>
      <c r="R787" s="450"/>
      <c r="S787" s="450"/>
      <c r="T787" s="450"/>
      <c r="U787" s="450"/>
      <c r="V787" s="450"/>
      <c r="W787" s="450"/>
      <c r="X787" s="450"/>
      <c r="Y787" s="450"/>
      <c r="Z787" s="450"/>
      <c r="AA787" s="450"/>
      <c r="AB787" s="450"/>
      <c r="AC787" s="450"/>
      <c r="AD787" s="450"/>
      <c r="AE787" s="450"/>
      <c r="AF787" s="450"/>
      <c r="AG787" s="450"/>
      <c r="AH787" s="450"/>
      <c r="AI787" s="450"/>
      <c r="AJ787" s="450"/>
      <c r="AK787" s="450"/>
    </row>
    <row r="788">
      <c r="A788" s="450"/>
      <c r="B788" s="450"/>
      <c r="C788" s="455"/>
      <c r="D788" s="450"/>
      <c r="E788" s="450"/>
      <c r="F788" s="450"/>
      <c r="G788" s="450"/>
      <c r="H788" s="450"/>
      <c r="I788" s="450"/>
      <c r="J788" s="450"/>
      <c r="K788" s="450"/>
      <c r="L788" s="450"/>
      <c r="M788" s="450"/>
      <c r="N788" s="450"/>
      <c r="O788" s="450"/>
      <c r="P788" s="450"/>
      <c r="Q788" s="450"/>
      <c r="R788" s="450"/>
      <c r="S788" s="450"/>
      <c r="T788" s="450"/>
      <c r="U788" s="450"/>
      <c r="V788" s="450"/>
      <c r="W788" s="450"/>
      <c r="X788" s="450"/>
      <c r="Y788" s="450"/>
      <c r="Z788" s="450"/>
      <c r="AA788" s="450"/>
      <c r="AB788" s="450"/>
      <c r="AC788" s="450"/>
      <c r="AD788" s="450"/>
      <c r="AE788" s="450"/>
      <c r="AF788" s="450"/>
      <c r="AG788" s="450"/>
      <c r="AH788" s="450"/>
      <c r="AI788" s="450"/>
      <c r="AJ788" s="450"/>
      <c r="AK788" s="450"/>
    </row>
    <row r="789">
      <c r="A789" s="450"/>
      <c r="B789" s="450"/>
      <c r="C789" s="455"/>
      <c r="D789" s="450"/>
      <c r="E789" s="450"/>
      <c r="F789" s="450"/>
      <c r="G789" s="450"/>
      <c r="H789" s="450"/>
      <c r="I789" s="450"/>
      <c r="J789" s="450"/>
      <c r="K789" s="450"/>
      <c r="L789" s="450"/>
      <c r="M789" s="450"/>
      <c r="N789" s="450"/>
      <c r="O789" s="450"/>
      <c r="P789" s="450"/>
      <c r="Q789" s="450"/>
      <c r="R789" s="450"/>
      <c r="S789" s="450"/>
      <c r="T789" s="450"/>
      <c r="U789" s="450"/>
      <c r="V789" s="450"/>
      <c r="W789" s="450"/>
      <c r="X789" s="450"/>
      <c r="Y789" s="450"/>
      <c r="Z789" s="450"/>
      <c r="AA789" s="450"/>
      <c r="AB789" s="450"/>
      <c r="AC789" s="450"/>
      <c r="AD789" s="450"/>
      <c r="AE789" s="450"/>
      <c r="AF789" s="450"/>
      <c r="AG789" s="450"/>
      <c r="AH789" s="450"/>
      <c r="AI789" s="450"/>
      <c r="AJ789" s="450"/>
      <c r="AK789" s="450"/>
    </row>
    <row r="790">
      <c r="A790" s="450"/>
      <c r="B790" s="450"/>
      <c r="C790" s="455"/>
      <c r="D790" s="450"/>
      <c r="E790" s="450"/>
      <c r="F790" s="450"/>
      <c r="G790" s="450"/>
      <c r="H790" s="450"/>
      <c r="I790" s="450"/>
      <c r="J790" s="450"/>
      <c r="K790" s="450"/>
      <c r="L790" s="450"/>
      <c r="M790" s="450"/>
      <c r="N790" s="450"/>
      <c r="O790" s="450"/>
      <c r="P790" s="450"/>
      <c r="Q790" s="450"/>
      <c r="R790" s="450"/>
      <c r="S790" s="450"/>
      <c r="T790" s="450"/>
      <c r="U790" s="450"/>
      <c r="V790" s="450"/>
      <c r="W790" s="450"/>
      <c r="X790" s="450"/>
      <c r="Y790" s="450"/>
      <c r="Z790" s="450"/>
      <c r="AA790" s="450"/>
      <c r="AB790" s="450"/>
      <c r="AC790" s="450"/>
      <c r="AD790" s="450"/>
      <c r="AE790" s="450"/>
      <c r="AF790" s="450"/>
      <c r="AG790" s="450"/>
      <c r="AH790" s="450"/>
      <c r="AI790" s="450"/>
      <c r="AJ790" s="450"/>
      <c r="AK790" s="450"/>
    </row>
    <row r="791">
      <c r="A791" s="450"/>
      <c r="B791" s="450"/>
      <c r="C791" s="455"/>
      <c r="D791" s="450"/>
      <c r="E791" s="450"/>
      <c r="F791" s="450"/>
      <c r="G791" s="450"/>
      <c r="H791" s="450"/>
      <c r="I791" s="450"/>
      <c r="J791" s="450"/>
      <c r="K791" s="450"/>
      <c r="L791" s="450"/>
      <c r="M791" s="450"/>
      <c r="N791" s="450"/>
      <c r="O791" s="450"/>
      <c r="P791" s="450"/>
      <c r="Q791" s="450"/>
      <c r="R791" s="450"/>
      <c r="S791" s="450"/>
      <c r="T791" s="450"/>
      <c r="U791" s="450"/>
      <c r="V791" s="450"/>
      <c r="W791" s="450"/>
      <c r="X791" s="450"/>
      <c r="Y791" s="450"/>
      <c r="Z791" s="450"/>
      <c r="AA791" s="450"/>
      <c r="AB791" s="450"/>
      <c r="AC791" s="450"/>
      <c r="AD791" s="450"/>
      <c r="AE791" s="450"/>
      <c r="AF791" s="450"/>
      <c r="AG791" s="450"/>
      <c r="AH791" s="450"/>
      <c r="AI791" s="450"/>
      <c r="AJ791" s="450"/>
      <c r="AK791" s="450"/>
    </row>
    <row r="792">
      <c r="A792" s="450"/>
      <c r="B792" s="450"/>
      <c r="C792" s="455"/>
      <c r="D792" s="450"/>
      <c r="E792" s="450"/>
      <c r="F792" s="450"/>
      <c r="G792" s="450"/>
      <c r="H792" s="450"/>
      <c r="I792" s="450"/>
      <c r="J792" s="450"/>
      <c r="K792" s="450"/>
      <c r="L792" s="450"/>
      <c r="M792" s="450"/>
      <c r="N792" s="450"/>
      <c r="O792" s="450"/>
      <c r="P792" s="450"/>
      <c r="Q792" s="450"/>
      <c r="R792" s="450"/>
      <c r="S792" s="450"/>
      <c r="T792" s="450"/>
      <c r="U792" s="450"/>
      <c r="V792" s="450"/>
      <c r="W792" s="450"/>
      <c r="X792" s="450"/>
      <c r="Y792" s="450"/>
      <c r="Z792" s="450"/>
      <c r="AA792" s="450"/>
      <c r="AB792" s="450"/>
      <c r="AC792" s="450"/>
      <c r="AD792" s="450"/>
      <c r="AE792" s="450"/>
      <c r="AF792" s="450"/>
      <c r="AG792" s="450"/>
      <c r="AH792" s="450"/>
      <c r="AI792" s="450"/>
      <c r="AJ792" s="450"/>
      <c r="AK792" s="450"/>
    </row>
    <row r="793">
      <c r="A793" s="450"/>
      <c r="B793" s="450"/>
      <c r="C793" s="455"/>
      <c r="D793" s="450"/>
      <c r="E793" s="450"/>
      <c r="F793" s="450"/>
      <c r="G793" s="450"/>
      <c r="H793" s="450"/>
      <c r="I793" s="450"/>
      <c r="J793" s="450"/>
      <c r="K793" s="450"/>
      <c r="L793" s="450"/>
      <c r="M793" s="450"/>
      <c r="N793" s="450"/>
      <c r="O793" s="450"/>
      <c r="P793" s="450"/>
      <c r="Q793" s="450"/>
      <c r="R793" s="450"/>
      <c r="S793" s="450"/>
      <c r="T793" s="450"/>
      <c r="U793" s="450"/>
      <c r="V793" s="450"/>
      <c r="W793" s="450"/>
      <c r="X793" s="450"/>
      <c r="Y793" s="450"/>
      <c r="Z793" s="450"/>
      <c r="AA793" s="450"/>
      <c r="AB793" s="450"/>
      <c r="AC793" s="450"/>
      <c r="AD793" s="450"/>
      <c r="AE793" s="450"/>
      <c r="AF793" s="450"/>
      <c r="AG793" s="450"/>
      <c r="AH793" s="450"/>
      <c r="AI793" s="450"/>
      <c r="AJ793" s="450"/>
      <c r="AK793" s="450"/>
    </row>
    <row r="794">
      <c r="A794" s="450"/>
      <c r="B794" s="450"/>
      <c r="C794" s="455"/>
      <c r="D794" s="450"/>
      <c r="E794" s="450"/>
      <c r="F794" s="450"/>
      <c r="G794" s="450"/>
      <c r="H794" s="450"/>
      <c r="I794" s="450"/>
      <c r="J794" s="450"/>
      <c r="K794" s="450"/>
      <c r="L794" s="450"/>
      <c r="M794" s="450"/>
      <c r="N794" s="450"/>
      <c r="O794" s="450"/>
      <c r="P794" s="450"/>
      <c r="Q794" s="450"/>
      <c r="R794" s="450"/>
      <c r="S794" s="450"/>
      <c r="T794" s="450"/>
      <c r="U794" s="450"/>
      <c r="V794" s="450"/>
      <c r="W794" s="450"/>
      <c r="X794" s="450"/>
      <c r="Y794" s="450"/>
      <c r="Z794" s="450"/>
      <c r="AA794" s="450"/>
      <c r="AB794" s="450"/>
      <c r="AC794" s="450"/>
      <c r="AD794" s="450"/>
      <c r="AE794" s="450"/>
      <c r="AF794" s="450"/>
      <c r="AG794" s="450"/>
      <c r="AH794" s="450"/>
      <c r="AI794" s="450"/>
      <c r="AJ794" s="450"/>
      <c r="AK794" s="450"/>
    </row>
    <row r="795">
      <c r="A795" s="450"/>
      <c r="B795" s="450"/>
      <c r="C795" s="455"/>
      <c r="D795" s="450"/>
      <c r="E795" s="450"/>
      <c r="F795" s="450"/>
      <c r="G795" s="450"/>
      <c r="H795" s="450"/>
      <c r="I795" s="450"/>
      <c r="J795" s="450"/>
      <c r="K795" s="450"/>
      <c r="L795" s="450"/>
      <c r="M795" s="450"/>
      <c r="N795" s="450"/>
      <c r="O795" s="450"/>
      <c r="P795" s="450"/>
      <c r="Q795" s="450"/>
      <c r="R795" s="450"/>
      <c r="S795" s="450"/>
      <c r="T795" s="450"/>
      <c r="U795" s="450"/>
      <c r="V795" s="450"/>
      <c r="W795" s="450"/>
      <c r="X795" s="450"/>
      <c r="Y795" s="450"/>
      <c r="Z795" s="450"/>
      <c r="AA795" s="450"/>
      <c r="AB795" s="450"/>
      <c r="AC795" s="450"/>
      <c r="AD795" s="450"/>
      <c r="AE795" s="450"/>
      <c r="AF795" s="450"/>
      <c r="AG795" s="450"/>
      <c r="AH795" s="450"/>
      <c r="AI795" s="450"/>
      <c r="AJ795" s="450"/>
      <c r="AK795" s="450"/>
    </row>
    <row r="796">
      <c r="A796" s="450"/>
      <c r="B796" s="450"/>
      <c r="C796" s="455"/>
      <c r="D796" s="450"/>
      <c r="E796" s="450"/>
      <c r="F796" s="450"/>
      <c r="G796" s="450"/>
      <c r="H796" s="450"/>
      <c r="I796" s="450"/>
      <c r="J796" s="450"/>
      <c r="K796" s="450"/>
      <c r="L796" s="450"/>
      <c r="M796" s="450"/>
      <c r="N796" s="450"/>
      <c r="O796" s="450"/>
      <c r="P796" s="450"/>
      <c r="Q796" s="450"/>
      <c r="R796" s="450"/>
      <c r="S796" s="450"/>
      <c r="T796" s="450"/>
      <c r="U796" s="450"/>
      <c r="V796" s="450"/>
      <c r="W796" s="450"/>
      <c r="X796" s="450"/>
      <c r="Y796" s="450"/>
      <c r="Z796" s="450"/>
      <c r="AA796" s="450"/>
      <c r="AB796" s="450"/>
      <c r="AC796" s="450"/>
      <c r="AD796" s="450"/>
      <c r="AE796" s="450"/>
      <c r="AF796" s="450"/>
      <c r="AG796" s="450"/>
      <c r="AH796" s="450"/>
      <c r="AI796" s="450"/>
      <c r="AJ796" s="450"/>
      <c r="AK796" s="450"/>
    </row>
    <row r="797">
      <c r="A797" s="450"/>
      <c r="B797" s="450"/>
      <c r="C797" s="455"/>
      <c r="D797" s="450"/>
      <c r="E797" s="450"/>
      <c r="F797" s="450"/>
      <c r="G797" s="450"/>
      <c r="H797" s="450"/>
      <c r="I797" s="450"/>
      <c r="J797" s="450"/>
      <c r="K797" s="450"/>
      <c r="L797" s="450"/>
      <c r="M797" s="450"/>
      <c r="N797" s="450"/>
      <c r="O797" s="450"/>
      <c r="P797" s="450"/>
      <c r="Q797" s="450"/>
      <c r="R797" s="450"/>
      <c r="S797" s="450"/>
      <c r="T797" s="450"/>
      <c r="U797" s="450"/>
      <c r="V797" s="450"/>
      <c r="W797" s="450"/>
      <c r="X797" s="450"/>
      <c r="Y797" s="450"/>
      <c r="Z797" s="450"/>
      <c r="AA797" s="450"/>
      <c r="AB797" s="450"/>
      <c r="AC797" s="450"/>
      <c r="AD797" s="450"/>
      <c r="AE797" s="450"/>
      <c r="AF797" s="450"/>
      <c r="AG797" s="450"/>
      <c r="AH797" s="450"/>
      <c r="AI797" s="450"/>
      <c r="AJ797" s="450"/>
      <c r="AK797" s="450"/>
    </row>
    <row r="798">
      <c r="A798" s="450"/>
      <c r="B798" s="450"/>
      <c r="C798" s="455"/>
      <c r="D798" s="450"/>
      <c r="E798" s="450"/>
      <c r="F798" s="450"/>
      <c r="G798" s="450"/>
      <c r="H798" s="450"/>
      <c r="I798" s="450"/>
      <c r="J798" s="450"/>
      <c r="K798" s="450"/>
      <c r="L798" s="450"/>
      <c r="M798" s="450"/>
      <c r="N798" s="450"/>
      <c r="O798" s="450"/>
      <c r="P798" s="450"/>
      <c r="Q798" s="450"/>
      <c r="R798" s="450"/>
      <c r="S798" s="450"/>
      <c r="T798" s="450"/>
      <c r="U798" s="450"/>
      <c r="V798" s="450"/>
      <c r="W798" s="450"/>
      <c r="X798" s="450"/>
      <c r="Y798" s="450"/>
      <c r="Z798" s="450"/>
      <c r="AA798" s="450"/>
      <c r="AB798" s="450"/>
      <c r="AC798" s="450"/>
      <c r="AD798" s="450"/>
      <c r="AE798" s="450"/>
      <c r="AF798" s="450"/>
      <c r="AG798" s="450"/>
      <c r="AH798" s="450"/>
      <c r="AI798" s="450"/>
      <c r="AJ798" s="450"/>
      <c r="AK798" s="450"/>
    </row>
    <row r="799">
      <c r="A799" s="450"/>
      <c r="B799" s="450"/>
      <c r="C799" s="455"/>
      <c r="D799" s="450"/>
      <c r="E799" s="450"/>
      <c r="F799" s="450"/>
      <c r="G799" s="450"/>
      <c r="H799" s="450"/>
      <c r="I799" s="450"/>
      <c r="J799" s="450"/>
      <c r="K799" s="450"/>
      <c r="L799" s="450"/>
      <c r="M799" s="450"/>
      <c r="N799" s="450"/>
      <c r="O799" s="450"/>
      <c r="P799" s="450"/>
      <c r="Q799" s="450"/>
      <c r="R799" s="450"/>
      <c r="S799" s="450"/>
      <c r="T799" s="450"/>
      <c r="U799" s="450"/>
      <c r="V799" s="450"/>
      <c r="W799" s="450"/>
      <c r="X799" s="450"/>
      <c r="Y799" s="450"/>
      <c r="Z799" s="450"/>
      <c r="AA799" s="450"/>
      <c r="AB799" s="450"/>
      <c r="AC799" s="450"/>
      <c r="AD799" s="450"/>
      <c r="AE799" s="450"/>
      <c r="AF799" s="450"/>
      <c r="AG799" s="450"/>
      <c r="AH799" s="450"/>
      <c r="AI799" s="450"/>
      <c r="AJ799" s="450"/>
      <c r="AK799" s="450"/>
    </row>
    <row r="800">
      <c r="A800" s="450"/>
      <c r="B800" s="450"/>
      <c r="C800" s="455"/>
      <c r="D800" s="450"/>
      <c r="E800" s="450"/>
      <c r="F800" s="450"/>
      <c r="G800" s="450"/>
      <c r="H800" s="450"/>
      <c r="I800" s="450"/>
      <c r="J800" s="450"/>
      <c r="K800" s="450"/>
      <c r="L800" s="450"/>
      <c r="M800" s="450"/>
      <c r="N800" s="450"/>
      <c r="O800" s="450"/>
      <c r="P800" s="450"/>
      <c r="Q800" s="450"/>
      <c r="R800" s="450"/>
      <c r="S800" s="450"/>
      <c r="T800" s="450"/>
      <c r="U800" s="450"/>
      <c r="V800" s="450"/>
      <c r="W800" s="450"/>
      <c r="X800" s="450"/>
      <c r="Y800" s="450"/>
      <c r="Z800" s="450"/>
      <c r="AA800" s="450"/>
      <c r="AB800" s="450"/>
      <c r="AC800" s="450"/>
      <c r="AD800" s="450"/>
      <c r="AE800" s="450"/>
      <c r="AF800" s="450"/>
      <c r="AG800" s="450"/>
      <c r="AH800" s="450"/>
      <c r="AI800" s="450"/>
      <c r="AJ800" s="450"/>
      <c r="AK800" s="450"/>
    </row>
    <row r="801">
      <c r="A801" s="450"/>
      <c r="B801" s="450"/>
      <c r="C801" s="455"/>
      <c r="D801" s="450"/>
      <c r="E801" s="450"/>
      <c r="F801" s="450"/>
      <c r="G801" s="450"/>
      <c r="H801" s="450"/>
      <c r="I801" s="450"/>
      <c r="J801" s="450"/>
      <c r="K801" s="450"/>
      <c r="L801" s="450"/>
      <c r="M801" s="450"/>
      <c r="N801" s="450"/>
      <c r="O801" s="450"/>
      <c r="P801" s="450"/>
      <c r="Q801" s="450"/>
      <c r="R801" s="450"/>
      <c r="S801" s="450"/>
      <c r="T801" s="450"/>
      <c r="U801" s="450"/>
      <c r="V801" s="450"/>
      <c r="W801" s="450"/>
      <c r="X801" s="450"/>
      <c r="Y801" s="450"/>
      <c r="Z801" s="450"/>
      <c r="AA801" s="450"/>
      <c r="AB801" s="450"/>
      <c r="AC801" s="450"/>
      <c r="AD801" s="450"/>
      <c r="AE801" s="450"/>
      <c r="AF801" s="450"/>
      <c r="AG801" s="450"/>
      <c r="AH801" s="450"/>
      <c r="AI801" s="450"/>
      <c r="AJ801" s="450"/>
      <c r="AK801" s="450"/>
    </row>
    <row r="802">
      <c r="A802" s="450"/>
      <c r="B802" s="450"/>
      <c r="C802" s="455"/>
      <c r="D802" s="450"/>
      <c r="E802" s="450"/>
      <c r="F802" s="450"/>
      <c r="G802" s="450"/>
      <c r="H802" s="450"/>
      <c r="I802" s="450"/>
      <c r="J802" s="450"/>
      <c r="K802" s="450"/>
      <c r="L802" s="450"/>
      <c r="M802" s="450"/>
      <c r="N802" s="450"/>
      <c r="O802" s="450"/>
      <c r="P802" s="450"/>
      <c r="Q802" s="450"/>
      <c r="R802" s="450"/>
      <c r="S802" s="450"/>
      <c r="T802" s="450"/>
      <c r="U802" s="450"/>
      <c r="V802" s="450"/>
      <c r="W802" s="450"/>
      <c r="X802" s="450"/>
      <c r="Y802" s="450"/>
      <c r="Z802" s="450"/>
      <c r="AA802" s="450"/>
      <c r="AB802" s="450"/>
      <c r="AC802" s="450"/>
      <c r="AD802" s="450"/>
      <c r="AE802" s="450"/>
      <c r="AF802" s="450"/>
      <c r="AG802" s="450"/>
      <c r="AH802" s="450"/>
      <c r="AI802" s="450"/>
      <c r="AJ802" s="450"/>
      <c r="AK802" s="450"/>
    </row>
    <row r="803">
      <c r="A803" s="450"/>
      <c r="B803" s="450"/>
      <c r="C803" s="455"/>
      <c r="D803" s="450"/>
      <c r="E803" s="450"/>
      <c r="F803" s="450"/>
      <c r="G803" s="450"/>
      <c r="H803" s="450"/>
      <c r="I803" s="450"/>
      <c r="J803" s="450"/>
      <c r="K803" s="450"/>
      <c r="L803" s="450"/>
      <c r="M803" s="450"/>
      <c r="N803" s="450"/>
      <c r="O803" s="450"/>
      <c r="P803" s="450"/>
      <c r="Q803" s="450"/>
      <c r="R803" s="450"/>
      <c r="S803" s="450"/>
      <c r="T803" s="450"/>
      <c r="U803" s="450"/>
      <c r="V803" s="450"/>
      <c r="W803" s="450"/>
      <c r="X803" s="450"/>
      <c r="Y803" s="450"/>
      <c r="Z803" s="450"/>
      <c r="AA803" s="450"/>
      <c r="AB803" s="450"/>
      <c r="AC803" s="450"/>
      <c r="AD803" s="450"/>
      <c r="AE803" s="450"/>
      <c r="AF803" s="450"/>
      <c r="AG803" s="450"/>
      <c r="AH803" s="450"/>
      <c r="AI803" s="450"/>
      <c r="AJ803" s="450"/>
      <c r="AK803" s="450"/>
    </row>
    <row r="804">
      <c r="A804" s="450"/>
      <c r="B804" s="450"/>
      <c r="C804" s="455"/>
      <c r="D804" s="450"/>
      <c r="E804" s="450"/>
      <c r="F804" s="450"/>
      <c r="G804" s="450"/>
      <c r="H804" s="450"/>
      <c r="I804" s="450"/>
      <c r="J804" s="450"/>
      <c r="K804" s="450"/>
      <c r="L804" s="450"/>
      <c r="M804" s="450"/>
      <c r="N804" s="450"/>
      <c r="O804" s="450"/>
      <c r="P804" s="450"/>
      <c r="Q804" s="450"/>
      <c r="R804" s="450"/>
      <c r="S804" s="450"/>
      <c r="T804" s="450"/>
      <c r="U804" s="450"/>
      <c r="V804" s="450"/>
      <c r="W804" s="450"/>
      <c r="X804" s="450"/>
      <c r="Y804" s="450"/>
      <c r="Z804" s="450"/>
      <c r="AA804" s="450"/>
      <c r="AB804" s="450"/>
      <c r="AC804" s="450"/>
      <c r="AD804" s="450"/>
      <c r="AE804" s="450"/>
      <c r="AF804" s="450"/>
      <c r="AG804" s="450"/>
      <c r="AH804" s="450"/>
      <c r="AI804" s="450"/>
      <c r="AJ804" s="450"/>
      <c r="AK804" s="450"/>
    </row>
    <row r="805">
      <c r="A805" s="450"/>
      <c r="B805" s="450"/>
      <c r="C805" s="455"/>
      <c r="D805" s="450"/>
      <c r="E805" s="450"/>
      <c r="F805" s="450"/>
      <c r="G805" s="450"/>
      <c r="H805" s="450"/>
      <c r="I805" s="450"/>
      <c r="J805" s="450"/>
      <c r="K805" s="450"/>
      <c r="L805" s="450"/>
      <c r="M805" s="450"/>
      <c r="N805" s="450"/>
      <c r="O805" s="450"/>
      <c r="P805" s="450"/>
      <c r="Q805" s="450"/>
      <c r="R805" s="450"/>
      <c r="S805" s="450"/>
      <c r="T805" s="450"/>
      <c r="U805" s="450"/>
      <c r="V805" s="450"/>
      <c r="W805" s="450"/>
      <c r="X805" s="450"/>
      <c r="Y805" s="450"/>
      <c r="Z805" s="450"/>
      <c r="AA805" s="450"/>
      <c r="AB805" s="450"/>
      <c r="AC805" s="450"/>
      <c r="AD805" s="450"/>
      <c r="AE805" s="450"/>
      <c r="AF805" s="450"/>
      <c r="AG805" s="450"/>
      <c r="AH805" s="450"/>
      <c r="AI805" s="450"/>
      <c r="AJ805" s="450"/>
      <c r="AK805" s="450"/>
    </row>
    <row r="806">
      <c r="A806" s="450"/>
      <c r="B806" s="450"/>
      <c r="C806" s="455"/>
      <c r="D806" s="450"/>
      <c r="E806" s="450"/>
      <c r="F806" s="450"/>
      <c r="G806" s="450"/>
      <c r="H806" s="450"/>
      <c r="I806" s="450"/>
      <c r="J806" s="450"/>
      <c r="K806" s="450"/>
      <c r="L806" s="450"/>
      <c r="M806" s="450"/>
      <c r="N806" s="450"/>
      <c r="O806" s="450"/>
      <c r="P806" s="450"/>
      <c r="Q806" s="450"/>
      <c r="R806" s="450"/>
      <c r="S806" s="450"/>
      <c r="T806" s="450"/>
      <c r="U806" s="450"/>
      <c r="V806" s="450"/>
      <c r="W806" s="450"/>
      <c r="X806" s="450"/>
      <c r="Y806" s="450"/>
      <c r="Z806" s="450"/>
      <c r="AA806" s="450"/>
      <c r="AB806" s="450"/>
      <c r="AC806" s="450"/>
      <c r="AD806" s="450"/>
      <c r="AE806" s="450"/>
      <c r="AF806" s="450"/>
      <c r="AG806" s="450"/>
      <c r="AH806" s="450"/>
      <c r="AI806" s="450"/>
      <c r="AJ806" s="450"/>
      <c r="AK806" s="450"/>
    </row>
    <row r="807">
      <c r="A807" s="450"/>
      <c r="B807" s="450"/>
      <c r="C807" s="455"/>
      <c r="D807" s="450"/>
      <c r="E807" s="450"/>
      <c r="F807" s="450"/>
      <c r="G807" s="450"/>
      <c r="H807" s="450"/>
      <c r="I807" s="450"/>
      <c r="J807" s="450"/>
      <c r="K807" s="450"/>
      <c r="L807" s="450"/>
      <c r="M807" s="450"/>
      <c r="N807" s="450"/>
      <c r="O807" s="450"/>
      <c r="P807" s="450"/>
      <c r="Q807" s="450"/>
      <c r="R807" s="450"/>
      <c r="S807" s="450"/>
      <c r="T807" s="450"/>
      <c r="U807" s="450"/>
      <c r="V807" s="450"/>
      <c r="W807" s="450"/>
      <c r="X807" s="450"/>
      <c r="Y807" s="450"/>
      <c r="Z807" s="450"/>
      <c r="AA807" s="450"/>
      <c r="AB807" s="450"/>
      <c r="AC807" s="450"/>
      <c r="AD807" s="450"/>
      <c r="AE807" s="450"/>
      <c r="AF807" s="450"/>
      <c r="AG807" s="450"/>
      <c r="AH807" s="450"/>
      <c r="AI807" s="450"/>
      <c r="AJ807" s="450"/>
      <c r="AK807" s="450"/>
    </row>
    <row r="808">
      <c r="A808" s="450"/>
      <c r="B808" s="450"/>
      <c r="C808" s="455"/>
      <c r="D808" s="450"/>
      <c r="E808" s="450"/>
      <c r="F808" s="450"/>
      <c r="G808" s="450"/>
      <c r="H808" s="450"/>
      <c r="I808" s="450"/>
      <c r="J808" s="450"/>
      <c r="K808" s="450"/>
      <c r="L808" s="450"/>
      <c r="M808" s="450"/>
      <c r="N808" s="450"/>
      <c r="O808" s="450"/>
      <c r="P808" s="450"/>
      <c r="Q808" s="450"/>
      <c r="R808" s="450"/>
      <c r="S808" s="450"/>
      <c r="T808" s="450"/>
      <c r="U808" s="450"/>
      <c r="V808" s="450"/>
      <c r="W808" s="450"/>
      <c r="X808" s="450"/>
      <c r="Y808" s="450"/>
      <c r="Z808" s="450"/>
      <c r="AA808" s="450"/>
      <c r="AB808" s="450"/>
      <c r="AC808" s="450"/>
      <c r="AD808" s="450"/>
      <c r="AE808" s="450"/>
      <c r="AF808" s="450"/>
      <c r="AG808" s="450"/>
      <c r="AH808" s="450"/>
      <c r="AI808" s="450"/>
      <c r="AJ808" s="450"/>
      <c r="AK808" s="450"/>
    </row>
    <row r="809">
      <c r="A809" s="450"/>
      <c r="B809" s="450"/>
      <c r="C809" s="455"/>
      <c r="D809" s="450"/>
      <c r="E809" s="450"/>
      <c r="F809" s="450"/>
      <c r="G809" s="450"/>
      <c r="H809" s="450"/>
      <c r="I809" s="450"/>
      <c r="J809" s="450"/>
      <c r="K809" s="450"/>
      <c r="L809" s="450"/>
      <c r="M809" s="450"/>
      <c r="N809" s="450"/>
      <c r="O809" s="450"/>
      <c r="P809" s="450"/>
      <c r="Q809" s="450"/>
      <c r="R809" s="450"/>
      <c r="S809" s="450"/>
      <c r="T809" s="450"/>
      <c r="U809" s="450"/>
      <c r="V809" s="450"/>
      <c r="W809" s="450"/>
      <c r="X809" s="450"/>
      <c r="Y809" s="450"/>
      <c r="Z809" s="450"/>
      <c r="AA809" s="450"/>
      <c r="AB809" s="450"/>
      <c r="AC809" s="450"/>
      <c r="AD809" s="450"/>
      <c r="AE809" s="450"/>
      <c r="AF809" s="450"/>
      <c r="AG809" s="450"/>
      <c r="AH809" s="450"/>
      <c r="AI809" s="450"/>
      <c r="AJ809" s="450"/>
      <c r="AK809" s="450"/>
    </row>
    <row r="810">
      <c r="A810" s="450"/>
      <c r="B810" s="450"/>
      <c r="C810" s="455"/>
      <c r="D810" s="450"/>
      <c r="E810" s="450"/>
      <c r="F810" s="450"/>
      <c r="G810" s="450"/>
      <c r="H810" s="450"/>
      <c r="I810" s="450"/>
      <c r="J810" s="450"/>
      <c r="K810" s="450"/>
      <c r="L810" s="450"/>
      <c r="M810" s="450"/>
      <c r="N810" s="450"/>
      <c r="O810" s="450"/>
      <c r="P810" s="450"/>
      <c r="Q810" s="450"/>
      <c r="R810" s="450"/>
      <c r="S810" s="450"/>
      <c r="T810" s="450"/>
      <c r="U810" s="450"/>
      <c r="V810" s="450"/>
      <c r="W810" s="450"/>
      <c r="X810" s="450"/>
      <c r="Y810" s="450"/>
      <c r="Z810" s="450"/>
      <c r="AA810" s="450"/>
      <c r="AB810" s="450"/>
      <c r="AC810" s="450"/>
      <c r="AD810" s="450"/>
      <c r="AE810" s="450"/>
      <c r="AF810" s="450"/>
      <c r="AG810" s="450"/>
      <c r="AH810" s="450"/>
      <c r="AI810" s="450"/>
      <c r="AJ810" s="450"/>
      <c r="AK810" s="450"/>
    </row>
    <row r="811">
      <c r="A811" s="450"/>
      <c r="B811" s="450"/>
      <c r="C811" s="455"/>
      <c r="D811" s="450"/>
      <c r="E811" s="450"/>
      <c r="F811" s="450"/>
      <c r="G811" s="450"/>
      <c r="H811" s="450"/>
      <c r="I811" s="450"/>
      <c r="J811" s="450"/>
      <c r="K811" s="450"/>
      <c r="L811" s="450"/>
      <c r="M811" s="450"/>
      <c r="N811" s="450"/>
      <c r="O811" s="450"/>
      <c r="P811" s="450"/>
      <c r="Q811" s="450"/>
      <c r="R811" s="450"/>
      <c r="S811" s="450"/>
      <c r="T811" s="450"/>
      <c r="U811" s="450"/>
      <c r="V811" s="450"/>
      <c r="W811" s="450"/>
      <c r="X811" s="450"/>
      <c r="Y811" s="450"/>
      <c r="Z811" s="450"/>
      <c r="AA811" s="450"/>
      <c r="AB811" s="450"/>
      <c r="AC811" s="450"/>
      <c r="AD811" s="450"/>
      <c r="AE811" s="450"/>
      <c r="AF811" s="450"/>
      <c r="AG811" s="450"/>
      <c r="AH811" s="450"/>
      <c r="AI811" s="450"/>
      <c r="AJ811" s="450"/>
      <c r="AK811" s="450"/>
    </row>
    <row r="812">
      <c r="A812" s="450"/>
      <c r="B812" s="450"/>
      <c r="C812" s="455"/>
      <c r="D812" s="450"/>
      <c r="E812" s="450"/>
      <c r="F812" s="450"/>
      <c r="G812" s="450"/>
      <c r="H812" s="450"/>
      <c r="I812" s="450"/>
      <c r="J812" s="450"/>
      <c r="K812" s="450"/>
      <c r="L812" s="450"/>
      <c r="M812" s="450"/>
      <c r="N812" s="450"/>
      <c r="O812" s="450"/>
      <c r="P812" s="450"/>
      <c r="Q812" s="450"/>
      <c r="R812" s="450"/>
      <c r="S812" s="450"/>
      <c r="T812" s="450"/>
      <c r="U812" s="450"/>
      <c r="V812" s="450"/>
      <c r="W812" s="450"/>
      <c r="X812" s="450"/>
      <c r="Y812" s="450"/>
      <c r="Z812" s="450"/>
      <c r="AA812" s="450"/>
      <c r="AB812" s="450"/>
      <c r="AC812" s="450"/>
      <c r="AD812" s="450"/>
      <c r="AE812" s="450"/>
      <c r="AF812" s="450"/>
      <c r="AG812" s="450"/>
      <c r="AH812" s="450"/>
      <c r="AI812" s="450"/>
      <c r="AJ812" s="450"/>
      <c r="AK812" s="450"/>
    </row>
    <row r="813">
      <c r="A813" s="450"/>
      <c r="B813" s="450"/>
      <c r="C813" s="455"/>
      <c r="D813" s="450"/>
      <c r="E813" s="450"/>
      <c r="F813" s="450"/>
      <c r="G813" s="450"/>
      <c r="H813" s="450"/>
      <c r="I813" s="450"/>
      <c r="J813" s="450"/>
      <c r="K813" s="450"/>
      <c r="L813" s="450"/>
      <c r="M813" s="450"/>
      <c r="N813" s="450"/>
      <c r="O813" s="450"/>
      <c r="P813" s="450"/>
      <c r="Q813" s="450"/>
      <c r="R813" s="450"/>
      <c r="S813" s="450"/>
      <c r="T813" s="450"/>
      <c r="U813" s="450"/>
      <c r="V813" s="450"/>
      <c r="W813" s="450"/>
      <c r="X813" s="450"/>
      <c r="Y813" s="450"/>
      <c r="Z813" s="450"/>
      <c r="AA813" s="450"/>
      <c r="AB813" s="450"/>
      <c r="AC813" s="450"/>
      <c r="AD813" s="450"/>
      <c r="AE813" s="450"/>
      <c r="AF813" s="450"/>
      <c r="AG813" s="450"/>
      <c r="AH813" s="450"/>
      <c r="AI813" s="450"/>
      <c r="AJ813" s="450"/>
      <c r="AK813" s="450"/>
    </row>
    <row r="814">
      <c r="A814" s="450"/>
      <c r="B814" s="450"/>
      <c r="C814" s="455"/>
      <c r="D814" s="450"/>
      <c r="E814" s="450"/>
      <c r="F814" s="450"/>
      <c r="G814" s="450"/>
      <c r="H814" s="450"/>
      <c r="I814" s="450"/>
      <c r="J814" s="450"/>
      <c r="K814" s="450"/>
      <c r="L814" s="450"/>
      <c r="M814" s="450"/>
      <c r="N814" s="450"/>
      <c r="O814" s="450"/>
      <c r="P814" s="450"/>
      <c r="Q814" s="450"/>
      <c r="R814" s="450"/>
      <c r="S814" s="450"/>
      <c r="T814" s="450"/>
      <c r="U814" s="450"/>
      <c r="V814" s="450"/>
      <c r="W814" s="450"/>
      <c r="X814" s="450"/>
      <c r="Y814" s="450"/>
      <c r="Z814" s="450"/>
      <c r="AA814" s="450"/>
      <c r="AB814" s="450"/>
      <c r="AC814" s="450"/>
      <c r="AD814" s="450"/>
      <c r="AE814" s="450"/>
      <c r="AF814" s="450"/>
      <c r="AG814" s="450"/>
      <c r="AH814" s="450"/>
      <c r="AI814" s="450"/>
      <c r="AJ814" s="450"/>
      <c r="AK814" s="450"/>
    </row>
    <row r="815">
      <c r="A815" s="450"/>
      <c r="B815" s="450"/>
      <c r="C815" s="455"/>
      <c r="D815" s="450"/>
      <c r="E815" s="450"/>
      <c r="F815" s="450"/>
      <c r="G815" s="450"/>
      <c r="H815" s="450"/>
      <c r="I815" s="450"/>
      <c r="J815" s="450"/>
      <c r="K815" s="450"/>
      <c r="L815" s="450"/>
      <c r="M815" s="450"/>
      <c r="N815" s="450"/>
      <c r="O815" s="450"/>
      <c r="P815" s="450"/>
      <c r="Q815" s="450"/>
      <c r="R815" s="450"/>
      <c r="S815" s="450"/>
      <c r="T815" s="450"/>
      <c r="U815" s="450"/>
      <c r="V815" s="450"/>
      <c r="W815" s="450"/>
      <c r="X815" s="450"/>
      <c r="Y815" s="450"/>
      <c r="Z815" s="450"/>
      <c r="AA815" s="450"/>
      <c r="AB815" s="450"/>
      <c r="AC815" s="450"/>
      <c r="AD815" s="450"/>
      <c r="AE815" s="450"/>
      <c r="AF815" s="450"/>
      <c r="AG815" s="450"/>
      <c r="AH815" s="450"/>
      <c r="AI815" s="450"/>
      <c r="AJ815" s="450"/>
      <c r="AK815" s="450"/>
    </row>
    <row r="816">
      <c r="A816" s="450"/>
      <c r="B816" s="450"/>
      <c r="C816" s="455"/>
      <c r="D816" s="450"/>
      <c r="E816" s="450"/>
      <c r="F816" s="450"/>
      <c r="G816" s="450"/>
      <c r="H816" s="450"/>
      <c r="I816" s="450"/>
      <c r="J816" s="450"/>
      <c r="K816" s="450"/>
      <c r="L816" s="450"/>
      <c r="M816" s="450"/>
      <c r="N816" s="450"/>
      <c r="O816" s="450"/>
      <c r="P816" s="450"/>
      <c r="Q816" s="450"/>
      <c r="R816" s="450"/>
      <c r="S816" s="450"/>
      <c r="T816" s="450"/>
      <c r="U816" s="450"/>
      <c r="V816" s="450"/>
      <c r="W816" s="450"/>
      <c r="X816" s="450"/>
      <c r="Y816" s="450"/>
      <c r="Z816" s="450"/>
      <c r="AA816" s="450"/>
      <c r="AB816" s="450"/>
      <c r="AC816" s="450"/>
      <c r="AD816" s="450"/>
      <c r="AE816" s="450"/>
      <c r="AF816" s="450"/>
      <c r="AG816" s="450"/>
      <c r="AH816" s="450"/>
      <c r="AI816" s="450"/>
      <c r="AJ816" s="450"/>
      <c r="AK816" s="450"/>
    </row>
    <row r="817">
      <c r="A817" s="450"/>
      <c r="B817" s="450"/>
      <c r="C817" s="455"/>
      <c r="D817" s="450"/>
      <c r="E817" s="450"/>
      <c r="F817" s="450"/>
      <c r="G817" s="450"/>
      <c r="H817" s="450"/>
      <c r="I817" s="450"/>
      <c r="J817" s="450"/>
      <c r="K817" s="450"/>
      <c r="L817" s="450"/>
      <c r="M817" s="450"/>
      <c r="N817" s="450"/>
      <c r="O817" s="450"/>
      <c r="P817" s="450"/>
      <c r="Q817" s="450"/>
      <c r="R817" s="450"/>
      <c r="S817" s="450"/>
      <c r="T817" s="450"/>
      <c r="U817" s="450"/>
      <c r="V817" s="450"/>
      <c r="W817" s="450"/>
      <c r="X817" s="450"/>
      <c r="Y817" s="450"/>
      <c r="Z817" s="450"/>
      <c r="AA817" s="450"/>
      <c r="AB817" s="450"/>
      <c r="AC817" s="450"/>
      <c r="AD817" s="450"/>
      <c r="AE817" s="450"/>
      <c r="AF817" s="450"/>
      <c r="AG817" s="450"/>
      <c r="AH817" s="450"/>
      <c r="AI817" s="450"/>
      <c r="AJ817" s="450"/>
      <c r="AK817" s="450"/>
    </row>
    <row r="818">
      <c r="A818" s="450"/>
      <c r="B818" s="450"/>
      <c r="C818" s="455"/>
      <c r="D818" s="450"/>
      <c r="E818" s="450"/>
      <c r="F818" s="450"/>
      <c r="G818" s="450"/>
      <c r="H818" s="450"/>
      <c r="I818" s="450"/>
      <c r="J818" s="450"/>
      <c r="K818" s="450"/>
      <c r="L818" s="450"/>
      <c r="M818" s="450"/>
      <c r="N818" s="450"/>
      <c r="O818" s="450"/>
      <c r="P818" s="450"/>
      <c r="Q818" s="450"/>
      <c r="R818" s="450"/>
      <c r="S818" s="450"/>
      <c r="T818" s="450"/>
      <c r="U818" s="450"/>
      <c r="V818" s="450"/>
      <c r="W818" s="450"/>
      <c r="X818" s="450"/>
      <c r="Y818" s="450"/>
      <c r="Z818" s="450"/>
      <c r="AA818" s="450"/>
      <c r="AB818" s="450"/>
      <c r="AC818" s="450"/>
      <c r="AD818" s="450"/>
      <c r="AE818" s="450"/>
      <c r="AF818" s="450"/>
      <c r="AG818" s="450"/>
      <c r="AH818" s="450"/>
      <c r="AI818" s="450"/>
      <c r="AJ818" s="450"/>
      <c r="AK818" s="450"/>
    </row>
    <row r="819">
      <c r="A819" s="450"/>
      <c r="B819" s="450"/>
      <c r="C819" s="455"/>
      <c r="D819" s="450"/>
      <c r="E819" s="450"/>
      <c r="F819" s="450"/>
      <c r="G819" s="450"/>
      <c r="H819" s="450"/>
      <c r="I819" s="450"/>
      <c r="J819" s="450"/>
      <c r="K819" s="450"/>
      <c r="L819" s="450"/>
      <c r="M819" s="450"/>
      <c r="N819" s="450"/>
      <c r="O819" s="450"/>
      <c r="P819" s="450"/>
      <c r="Q819" s="450"/>
      <c r="R819" s="450"/>
      <c r="S819" s="450"/>
      <c r="T819" s="450"/>
      <c r="U819" s="450"/>
      <c r="V819" s="450"/>
      <c r="W819" s="450"/>
      <c r="X819" s="450"/>
      <c r="Y819" s="450"/>
      <c r="Z819" s="450"/>
      <c r="AA819" s="450"/>
      <c r="AB819" s="450"/>
      <c r="AC819" s="450"/>
      <c r="AD819" s="450"/>
      <c r="AE819" s="450"/>
      <c r="AF819" s="450"/>
      <c r="AG819" s="450"/>
      <c r="AH819" s="450"/>
      <c r="AI819" s="450"/>
      <c r="AJ819" s="450"/>
      <c r="AK819" s="450"/>
    </row>
    <row r="820">
      <c r="A820" s="450"/>
      <c r="B820" s="450"/>
      <c r="C820" s="455"/>
      <c r="D820" s="450"/>
      <c r="E820" s="450"/>
      <c r="F820" s="450"/>
      <c r="G820" s="450"/>
      <c r="H820" s="450"/>
      <c r="I820" s="450"/>
      <c r="J820" s="450"/>
      <c r="K820" s="450"/>
      <c r="L820" s="450"/>
      <c r="M820" s="450"/>
      <c r="N820" s="450"/>
      <c r="O820" s="450"/>
      <c r="P820" s="450"/>
      <c r="Q820" s="450"/>
      <c r="R820" s="450"/>
      <c r="S820" s="450"/>
      <c r="T820" s="450"/>
      <c r="U820" s="450"/>
      <c r="V820" s="450"/>
      <c r="W820" s="450"/>
      <c r="X820" s="450"/>
      <c r="Y820" s="450"/>
      <c r="Z820" s="450"/>
      <c r="AA820" s="450"/>
      <c r="AB820" s="450"/>
      <c r="AC820" s="450"/>
      <c r="AD820" s="450"/>
      <c r="AE820" s="450"/>
      <c r="AF820" s="450"/>
      <c r="AG820" s="450"/>
      <c r="AH820" s="450"/>
      <c r="AI820" s="450"/>
      <c r="AJ820" s="450"/>
      <c r="AK820" s="450"/>
    </row>
    <row r="821">
      <c r="A821" s="450"/>
      <c r="B821" s="450"/>
      <c r="C821" s="455"/>
      <c r="D821" s="450"/>
      <c r="E821" s="450"/>
      <c r="F821" s="450"/>
      <c r="G821" s="450"/>
      <c r="H821" s="450"/>
      <c r="I821" s="450"/>
      <c r="J821" s="450"/>
      <c r="K821" s="450"/>
      <c r="L821" s="450"/>
      <c r="M821" s="450"/>
      <c r="N821" s="450"/>
      <c r="O821" s="450"/>
      <c r="P821" s="450"/>
      <c r="Q821" s="450"/>
      <c r="R821" s="450"/>
      <c r="S821" s="450"/>
      <c r="T821" s="450"/>
      <c r="U821" s="450"/>
      <c r="V821" s="450"/>
      <c r="W821" s="450"/>
      <c r="X821" s="450"/>
      <c r="Y821" s="450"/>
      <c r="Z821" s="450"/>
      <c r="AA821" s="450"/>
      <c r="AB821" s="450"/>
      <c r="AC821" s="450"/>
      <c r="AD821" s="450"/>
      <c r="AE821" s="450"/>
      <c r="AF821" s="450"/>
      <c r="AG821" s="450"/>
      <c r="AH821" s="450"/>
      <c r="AI821" s="450"/>
      <c r="AJ821" s="450"/>
      <c r="AK821" s="450"/>
    </row>
    <row r="822">
      <c r="A822" s="450"/>
      <c r="B822" s="450"/>
      <c r="C822" s="455"/>
      <c r="D822" s="450"/>
      <c r="E822" s="450"/>
      <c r="F822" s="450"/>
      <c r="G822" s="450"/>
      <c r="H822" s="450"/>
      <c r="I822" s="450"/>
      <c r="J822" s="450"/>
      <c r="K822" s="450"/>
      <c r="L822" s="450"/>
      <c r="M822" s="450"/>
      <c r="N822" s="450"/>
      <c r="O822" s="450"/>
      <c r="P822" s="450"/>
      <c r="Q822" s="450"/>
      <c r="R822" s="450"/>
      <c r="S822" s="450"/>
      <c r="T822" s="450"/>
      <c r="U822" s="450"/>
      <c r="V822" s="450"/>
      <c r="W822" s="450"/>
      <c r="X822" s="450"/>
      <c r="Y822" s="450"/>
      <c r="Z822" s="450"/>
      <c r="AA822" s="450"/>
      <c r="AB822" s="450"/>
      <c r="AC822" s="450"/>
      <c r="AD822" s="450"/>
      <c r="AE822" s="450"/>
      <c r="AF822" s="450"/>
      <c r="AG822" s="450"/>
      <c r="AH822" s="450"/>
      <c r="AI822" s="450"/>
      <c r="AJ822" s="450"/>
      <c r="AK822" s="450"/>
    </row>
    <row r="823">
      <c r="A823" s="450"/>
      <c r="B823" s="450"/>
      <c r="C823" s="455"/>
      <c r="D823" s="450"/>
      <c r="E823" s="450"/>
      <c r="F823" s="450"/>
      <c r="G823" s="450"/>
      <c r="H823" s="450"/>
      <c r="I823" s="450"/>
      <c r="J823" s="450"/>
      <c r="K823" s="450"/>
      <c r="L823" s="450"/>
      <c r="M823" s="450"/>
      <c r="N823" s="450"/>
      <c r="O823" s="450"/>
      <c r="P823" s="450"/>
      <c r="Q823" s="450"/>
      <c r="R823" s="450"/>
      <c r="S823" s="450"/>
      <c r="T823" s="450"/>
      <c r="U823" s="450"/>
      <c r="V823" s="450"/>
      <c r="W823" s="450"/>
      <c r="X823" s="450"/>
      <c r="Y823" s="450"/>
      <c r="Z823" s="450"/>
      <c r="AA823" s="450"/>
      <c r="AB823" s="450"/>
      <c r="AC823" s="450"/>
      <c r="AD823" s="450"/>
      <c r="AE823" s="450"/>
      <c r="AF823" s="450"/>
      <c r="AG823" s="450"/>
      <c r="AH823" s="450"/>
      <c r="AI823" s="450"/>
      <c r="AJ823" s="450"/>
      <c r="AK823" s="450"/>
    </row>
    <row r="824">
      <c r="A824" s="450"/>
      <c r="B824" s="450"/>
      <c r="C824" s="455"/>
      <c r="D824" s="450"/>
      <c r="E824" s="450"/>
      <c r="F824" s="450"/>
      <c r="G824" s="450"/>
      <c r="H824" s="450"/>
      <c r="I824" s="450"/>
      <c r="J824" s="450"/>
      <c r="K824" s="450"/>
      <c r="L824" s="450"/>
      <c r="M824" s="450"/>
      <c r="N824" s="450"/>
      <c r="O824" s="450"/>
      <c r="P824" s="450"/>
      <c r="Q824" s="450"/>
      <c r="R824" s="450"/>
      <c r="S824" s="450"/>
      <c r="T824" s="450"/>
      <c r="U824" s="450"/>
      <c r="V824" s="450"/>
      <c r="W824" s="450"/>
      <c r="X824" s="450"/>
      <c r="Y824" s="450"/>
      <c r="Z824" s="450"/>
      <c r="AA824" s="450"/>
      <c r="AB824" s="450"/>
      <c r="AC824" s="450"/>
      <c r="AD824" s="450"/>
      <c r="AE824" s="450"/>
      <c r="AF824" s="450"/>
      <c r="AG824" s="450"/>
      <c r="AH824" s="450"/>
      <c r="AI824" s="450"/>
      <c r="AJ824" s="450"/>
      <c r="AK824" s="450"/>
    </row>
    <row r="825">
      <c r="A825" s="450"/>
      <c r="B825" s="450"/>
      <c r="C825" s="455"/>
      <c r="D825" s="450"/>
      <c r="E825" s="450"/>
      <c r="F825" s="450"/>
      <c r="G825" s="450"/>
      <c r="H825" s="450"/>
      <c r="I825" s="450"/>
      <c r="J825" s="450"/>
      <c r="K825" s="450"/>
      <c r="L825" s="450"/>
      <c r="M825" s="450"/>
      <c r="N825" s="450"/>
      <c r="O825" s="450"/>
      <c r="P825" s="450"/>
      <c r="Q825" s="450"/>
      <c r="R825" s="450"/>
      <c r="S825" s="450"/>
      <c r="T825" s="450"/>
      <c r="U825" s="450"/>
      <c r="V825" s="450"/>
      <c r="W825" s="450"/>
      <c r="X825" s="450"/>
      <c r="Y825" s="450"/>
      <c r="Z825" s="450"/>
      <c r="AA825" s="450"/>
      <c r="AB825" s="450"/>
      <c r="AC825" s="450"/>
      <c r="AD825" s="450"/>
      <c r="AE825" s="450"/>
      <c r="AF825" s="450"/>
      <c r="AG825" s="450"/>
      <c r="AH825" s="450"/>
      <c r="AI825" s="450"/>
      <c r="AJ825" s="450"/>
      <c r="AK825" s="450"/>
    </row>
    <row r="826">
      <c r="A826" s="450"/>
      <c r="B826" s="450"/>
      <c r="C826" s="455"/>
      <c r="D826" s="450"/>
      <c r="E826" s="450"/>
      <c r="F826" s="450"/>
      <c r="G826" s="450"/>
      <c r="H826" s="450"/>
      <c r="I826" s="450"/>
      <c r="J826" s="450"/>
      <c r="K826" s="450"/>
      <c r="L826" s="450"/>
      <c r="M826" s="450"/>
      <c r="N826" s="450"/>
      <c r="O826" s="450"/>
      <c r="P826" s="450"/>
      <c r="Q826" s="450"/>
      <c r="R826" s="450"/>
      <c r="S826" s="450"/>
      <c r="T826" s="450"/>
      <c r="U826" s="450"/>
      <c r="V826" s="450"/>
      <c r="W826" s="450"/>
      <c r="X826" s="450"/>
      <c r="Y826" s="450"/>
      <c r="Z826" s="450"/>
      <c r="AA826" s="450"/>
      <c r="AB826" s="450"/>
      <c r="AC826" s="450"/>
      <c r="AD826" s="450"/>
      <c r="AE826" s="450"/>
      <c r="AF826" s="450"/>
      <c r="AG826" s="450"/>
      <c r="AH826" s="450"/>
      <c r="AI826" s="450"/>
      <c r="AJ826" s="450"/>
      <c r="AK826" s="450"/>
    </row>
    <row r="827">
      <c r="A827" s="450"/>
      <c r="B827" s="450"/>
      <c r="C827" s="455"/>
      <c r="D827" s="450"/>
      <c r="E827" s="450"/>
      <c r="F827" s="450"/>
      <c r="G827" s="450"/>
      <c r="H827" s="450"/>
      <c r="I827" s="450"/>
      <c r="J827" s="450"/>
      <c r="K827" s="450"/>
      <c r="L827" s="450"/>
      <c r="M827" s="450"/>
      <c r="N827" s="450"/>
      <c r="O827" s="450"/>
      <c r="P827" s="450"/>
      <c r="Q827" s="450"/>
      <c r="R827" s="450"/>
      <c r="S827" s="450"/>
      <c r="T827" s="450"/>
      <c r="U827" s="450"/>
      <c r="V827" s="450"/>
      <c r="W827" s="450"/>
      <c r="X827" s="450"/>
      <c r="Y827" s="450"/>
      <c r="Z827" s="450"/>
      <c r="AA827" s="450"/>
      <c r="AB827" s="450"/>
      <c r="AC827" s="450"/>
      <c r="AD827" s="450"/>
      <c r="AE827" s="450"/>
      <c r="AF827" s="450"/>
      <c r="AG827" s="450"/>
      <c r="AH827" s="450"/>
      <c r="AI827" s="450"/>
      <c r="AJ827" s="450"/>
      <c r="AK827" s="450"/>
    </row>
    <row r="828">
      <c r="A828" s="450"/>
      <c r="B828" s="450"/>
      <c r="C828" s="455"/>
      <c r="D828" s="450"/>
      <c r="E828" s="450"/>
      <c r="F828" s="450"/>
      <c r="G828" s="450"/>
      <c r="H828" s="450"/>
      <c r="I828" s="450"/>
      <c r="J828" s="450"/>
      <c r="K828" s="450"/>
      <c r="L828" s="450"/>
      <c r="M828" s="450"/>
      <c r="N828" s="450"/>
      <c r="O828" s="450"/>
      <c r="P828" s="450"/>
      <c r="Q828" s="450"/>
      <c r="R828" s="450"/>
      <c r="S828" s="450"/>
      <c r="T828" s="450"/>
      <c r="U828" s="450"/>
      <c r="V828" s="450"/>
      <c r="W828" s="450"/>
      <c r="X828" s="450"/>
      <c r="Y828" s="450"/>
      <c r="Z828" s="450"/>
      <c r="AA828" s="450"/>
      <c r="AB828" s="450"/>
      <c r="AC828" s="450"/>
      <c r="AD828" s="450"/>
      <c r="AE828" s="450"/>
      <c r="AF828" s="450"/>
      <c r="AG828" s="450"/>
      <c r="AH828" s="450"/>
      <c r="AI828" s="450"/>
      <c r="AJ828" s="450"/>
      <c r="AK828" s="450"/>
    </row>
    <row r="829">
      <c r="A829" s="450"/>
      <c r="B829" s="450"/>
      <c r="C829" s="455"/>
      <c r="D829" s="450"/>
      <c r="E829" s="450"/>
      <c r="F829" s="450"/>
      <c r="G829" s="450"/>
      <c r="H829" s="450"/>
      <c r="I829" s="450"/>
      <c r="J829" s="450"/>
      <c r="K829" s="450"/>
      <c r="L829" s="450"/>
      <c r="M829" s="450"/>
      <c r="N829" s="450"/>
      <c r="O829" s="450"/>
      <c r="P829" s="450"/>
      <c r="Q829" s="450"/>
      <c r="R829" s="450"/>
      <c r="S829" s="450"/>
      <c r="T829" s="450"/>
      <c r="U829" s="450"/>
      <c r="V829" s="450"/>
      <c r="W829" s="450"/>
      <c r="X829" s="450"/>
      <c r="Y829" s="450"/>
      <c r="Z829" s="450"/>
      <c r="AA829" s="450"/>
      <c r="AB829" s="450"/>
      <c r="AC829" s="450"/>
      <c r="AD829" s="450"/>
      <c r="AE829" s="450"/>
      <c r="AF829" s="450"/>
      <c r="AG829" s="450"/>
      <c r="AH829" s="450"/>
      <c r="AI829" s="450"/>
      <c r="AJ829" s="450"/>
      <c r="AK829" s="450"/>
    </row>
    <row r="830">
      <c r="A830" s="450"/>
      <c r="B830" s="450"/>
      <c r="C830" s="455"/>
      <c r="D830" s="450"/>
      <c r="E830" s="450"/>
      <c r="F830" s="450"/>
      <c r="G830" s="450"/>
      <c r="H830" s="450"/>
      <c r="I830" s="450"/>
      <c r="J830" s="450"/>
      <c r="K830" s="450"/>
      <c r="L830" s="450"/>
      <c r="M830" s="450"/>
      <c r="N830" s="450"/>
      <c r="O830" s="450"/>
      <c r="P830" s="450"/>
      <c r="Q830" s="450"/>
      <c r="R830" s="450"/>
      <c r="S830" s="450"/>
      <c r="T830" s="450"/>
      <c r="U830" s="450"/>
      <c r="V830" s="450"/>
      <c r="W830" s="450"/>
      <c r="X830" s="450"/>
      <c r="Y830" s="450"/>
      <c r="Z830" s="450"/>
      <c r="AA830" s="450"/>
      <c r="AB830" s="450"/>
      <c r="AC830" s="450"/>
      <c r="AD830" s="450"/>
      <c r="AE830" s="450"/>
      <c r="AF830" s="450"/>
      <c r="AG830" s="450"/>
      <c r="AH830" s="450"/>
      <c r="AI830" s="450"/>
      <c r="AJ830" s="450"/>
      <c r="AK830" s="450"/>
    </row>
    <row r="831">
      <c r="A831" s="450"/>
      <c r="B831" s="450"/>
      <c r="C831" s="455"/>
      <c r="D831" s="450"/>
      <c r="E831" s="450"/>
      <c r="F831" s="450"/>
      <c r="G831" s="450"/>
      <c r="H831" s="450"/>
      <c r="I831" s="450"/>
      <c r="J831" s="450"/>
      <c r="K831" s="450"/>
      <c r="L831" s="450"/>
      <c r="M831" s="450"/>
      <c r="N831" s="450"/>
      <c r="O831" s="450"/>
      <c r="P831" s="450"/>
      <c r="Q831" s="450"/>
      <c r="R831" s="450"/>
      <c r="S831" s="450"/>
      <c r="T831" s="450"/>
      <c r="U831" s="450"/>
      <c r="V831" s="450"/>
      <c r="W831" s="450"/>
      <c r="X831" s="450"/>
      <c r="Y831" s="450"/>
      <c r="Z831" s="450"/>
      <c r="AA831" s="450"/>
      <c r="AB831" s="450"/>
      <c r="AC831" s="450"/>
      <c r="AD831" s="450"/>
      <c r="AE831" s="450"/>
      <c r="AF831" s="450"/>
      <c r="AG831" s="450"/>
      <c r="AH831" s="450"/>
      <c r="AI831" s="450"/>
      <c r="AJ831" s="450"/>
      <c r="AK831" s="450"/>
    </row>
    <row r="832">
      <c r="A832" s="450"/>
      <c r="B832" s="450"/>
      <c r="C832" s="455"/>
      <c r="D832" s="450"/>
      <c r="E832" s="450"/>
      <c r="F832" s="450"/>
      <c r="G832" s="450"/>
      <c r="H832" s="450"/>
      <c r="I832" s="450"/>
      <c r="J832" s="450"/>
      <c r="K832" s="450"/>
      <c r="L832" s="450"/>
      <c r="M832" s="450"/>
      <c r="N832" s="450"/>
      <c r="O832" s="450"/>
      <c r="P832" s="450"/>
      <c r="Q832" s="450"/>
      <c r="R832" s="450"/>
      <c r="S832" s="450"/>
      <c r="T832" s="450"/>
      <c r="U832" s="450"/>
      <c r="V832" s="450"/>
      <c r="W832" s="450"/>
      <c r="X832" s="450"/>
      <c r="Y832" s="450"/>
      <c r="Z832" s="450"/>
      <c r="AA832" s="450"/>
      <c r="AB832" s="450"/>
      <c r="AC832" s="450"/>
      <c r="AD832" s="450"/>
      <c r="AE832" s="450"/>
      <c r="AF832" s="450"/>
      <c r="AG832" s="450"/>
      <c r="AH832" s="450"/>
      <c r="AI832" s="450"/>
      <c r="AJ832" s="450"/>
      <c r="AK832" s="450"/>
    </row>
    <row r="833">
      <c r="A833" s="450"/>
      <c r="B833" s="450"/>
      <c r="C833" s="455"/>
      <c r="D833" s="450"/>
      <c r="E833" s="450"/>
      <c r="F833" s="450"/>
      <c r="G833" s="450"/>
      <c r="H833" s="450"/>
      <c r="I833" s="450"/>
      <c r="J833" s="450"/>
      <c r="K833" s="450"/>
      <c r="L833" s="450"/>
      <c r="M833" s="450"/>
      <c r="N833" s="450"/>
      <c r="O833" s="450"/>
      <c r="P833" s="450"/>
      <c r="Q833" s="450"/>
      <c r="R833" s="450"/>
      <c r="S833" s="450"/>
      <c r="T833" s="450"/>
      <c r="U833" s="450"/>
      <c r="V833" s="450"/>
      <c r="W833" s="450"/>
      <c r="X833" s="450"/>
      <c r="Y833" s="450"/>
      <c r="Z833" s="450"/>
      <c r="AA833" s="450"/>
      <c r="AB833" s="450"/>
      <c r="AC833" s="450"/>
      <c r="AD833" s="450"/>
      <c r="AE833" s="450"/>
      <c r="AF833" s="450"/>
      <c r="AG833" s="450"/>
      <c r="AH833" s="450"/>
      <c r="AI833" s="450"/>
      <c r="AJ833" s="450"/>
      <c r="AK833" s="450"/>
    </row>
    <row r="834">
      <c r="A834" s="450"/>
      <c r="B834" s="450"/>
      <c r="C834" s="455"/>
      <c r="D834" s="450"/>
      <c r="E834" s="450"/>
      <c r="F834" s="450"/>
      <c r="G834" s="450"/>
      <c r="H834" s="450"/>
      <c r="I834" s="450"/>
      <c r="J834" s="450"/>
      <c r="K834" s="450"/>
      <c r="L834" s="450"/>
      <c r="M834" s="450"/>
      <c r="N834" s="450"/>
      <c r="O834" s="450"/>
      <c r="P834" s="450"/>
      <c r="Q834" s="450"/>
      <c r="R834" s="450"/>
      <c r="S834" s="450"/>
      <c r="T834" s="450"/>
      <c r="U834" s="450"/>
      <c r="V834" s="450"/>
      <c r="W834" s="450"/>
      <c r="X834" s="450"/>
      <c r="Y834" s="450"/>
      <c r="Z834" s="450"/>
      <c r="AA834" s="450"/>
      <c r="AB834" s="450"/>
      <c r="AC834" s="450"/>
      <c r="AD834" s="450"/>
      <c r="AE834" s="450"/>
      <c r="AF834" s="450"/>
      <c r="AG834" s="450"/>
      <c r="AH834" s="450"/>
      <c r="AI834" s="450"/>
      <c r="AJ834" s="450"/>
      <c r="AK834" s="450"/>
    </row>
    <row r="835">
      <c r="A835" s="450"/>
      <c r="B835" s="450"/>
      <c r="C835" s="455"/>
      <c r="D835" s="450"/>
      <c r="E835" s="450"/>
      <c r="F835" s="450"/>
      <c r="G835" s="450"/>
      <c r="H835" s="450"/>
      <c r="I835" s="450"/>
      <c r="J835" s="450"/>
      <c r="K835" s="450"/>
      <c r="L835" s="450"/>
      <c r="M835" s="450"/>
      <c r="N835" s="450"/>
      <c r="O835" s="450"/>
      <c r="P835" s="450"/>
      <c r="Q835" s="450"/>
      <c r="R835" s="450"/>
      <c r="S835" s="450"/>
      <c r="T835" s="450"/>
      <c r="U835" s="450"/>
      <c r="V835" s="450"/>
      <c r="W835" s="450"/>
      <c r="X835" s="450"/>
      <c r="Y835" s="450"/>
      <c r="Z835" s="450"/>
      <c r="AA835" s="450"/>
      <c r="AB835" s="450"/>
      <c r="AC835" s="450"/>
      <c r="AD835" s="450"/>
      <c r="AE835" s="450"/>
      <c r="AF835" s="450"/>
      <c r="AG835" s="450"/>
      <c r="AH835" s="450"/>
      <c r="AI835" s="450"/>
      <c r="AJ835" s="450"/>
      <c r="AK835" s="450"/>
    </row>
    <row r="836">
      <c r="A836" s="450"/>
      <c r="B836" s="450"/>
      <c r="C836" s="455"/>
      <c r="D836" s="450"/>
      <c r="E836" s="450"/>
      <c r="F836" s="450"/>
      <c r="G836" s="450"/>
      <c r="H836" s="450"/>
      <c r="I836" s="450"/>
      <c r="J836" s="450"/>
      <c r="K836" s="450"/>
      <c r="L836" s="450"/>
      <c r="M836" s="450"/>
      <c r="N836" s="450"/>
      <c r="O836" s="450"/>
      <c r="P836" s="450"/>
      <c r="Q836" s="450"/>
      <c r="R836" s="450"/>
      <c r="S836" s="450"/>
      <c r="T836" s="450"/>
      <c r="U836" s="450"/>
      <c r="V836" s="450"/>
      <c r="W836" s="450"/>
      <c r="X836" s="450"/>
      <c r="Y836" s="450"/>
      <c r="Z836" s="450"/>
      <c r="AA836" s="450"/>
      <c r="AB836" s="450"/>
      <c r="AC836" s="450"/>
      <c r="AD836" s="450"/>
      <c r="AE836" s="450"/>
      <c r="AF836" s="450"/>
      <c r="AG836" s="450"/>
      <c r="AH836" s="450"/>
      <c r="AI836" s="450"/>
      <c r="AJ836" s="450"/>
      <c r="AK836" s="450"/>
    </row>
    <row r="837">
      <c r="A837" s="450"/>
      <c r="B837" s="450"/>
      <c r="C837" s="455"/>
      <c r="D837" s="450"/>
      <c r="E837" s="450"/>
      <c r="F837" s="450"/>
      <c r="G837" s="450"/>
      <c r="H837" s="450"/>
      <c r="I837" s="450"/>
      <c r="J837" s="450"/>
      <c r="K837" s="450"/>
      <c r="L837" s="450"/>
      <c r="M837" s="450"/>
      <c r="N837" s="450"/>
      <c r="O837" s="450"/>
      <c r="P837" s="450"/>
      <c r="Q837" s="450"/>
      <c r="R837" s="450"/>
      <c r="S837" s="450"/>
      <c r="T837" s="450"/>
      <c r="U837" s="450"/>
      <c r="V837" s="450"/>
      <c r="W837" s="450"/>
      <c r="X837" s="450"/>
      <c r="Y837" s="450"/>
      <c r="Z837" s="450"/>
      <c r="AA837" s="450"/>
      <c r="AB837" s="450"/>
      <c r="AC837" s="450"/>
      <c r="AD837" s="450"/>
      <c r="AE837" s="450"/>
      <c r="AF837" s="450"/>
      <c r="AG837" s="450"/>
      <c r="AH837" s="450"/>
      <c r="AI837" s="450"/>
      <c r="AJ837" s="450"/>
      <c r="AK837" s="450"/>
    </row>
    <row r="838">
      <c r="A838" s="450"/>
      <c r="B838" s="450"/>
      <c r="C838" s="455"/>
      <c r="D838" s="450"/>
      <c r="E838" s="450"/>
      <c r="F838" s="450"/>
      <c r="G838" s="450"/>
      <c r="H838" s="450"/>
      <c r="I838" s="450"/>
      <c r="J838" s="450"/>
      <c r="K838" s="450"/>
      <c r="L838" s="450"/>
      <c r="M838" s="450"/>
      <c r="N838" s="450"/>
      <c r="O838" s="450"/>
      <c r="P838" s="450"/>
      <c r="Q838" s="450"/>
      <c r="R838" s="450"/>
      <c r="S838" s="450"/>
      <c r="T838" s="450"/>
      <c r="U838" s="450"/>
      <c r="V838" s="450"/>
      <c r="W838" s="450"/>
      <c r="X838" s="450"/>
      <c r="Y838" s="450"/>
      <c r="Z838" s="450"/>
      <c r="AA838" s="450"/>
      <c r="AB838" s="450"/>
      <c r="AC838" s="450"/>
      <c r="AD838" s="450"/>
      <c r="AE838" s="450"/>
      <c r="AF838" s="450"/>
      <c r="AG838" s="450"/>
      <c r="AH838" s="450"/>
      <c r="AI838" s="450"/>
      <c r="AJ838" s="450"/>
      <c r="AK838" s="450"/>
    </row>
    <row r="839">
      <c r="A839" s="450"/>
      <c r="B839" s="450"/>
      <c r="C839" s="455"/>
      <c r="D839" s="450"/>
      <c r="E839" s="450"/>
      <c r="F839" s="450"/>
      <c r="G839" s="450"/>
      <c r="H839" s="450"/>
      <c r="I839" s="450"/>
      <c r="J839" s="450"/>
      <c r="K839" s="450"/>
      <c r="L839" s="450"/>
      <c r="M839" s="450"/>
      <c r="N839" s="450"/>
      <c r="O839" s="450"/>
      <c r="P839" s="450"/>
      <c r="Q839" s="450"/>
      <c r="R839" s="450"/>
      <c r="S839" s="450"/>
      <c r="T839" s="450"/>
      <c r="U839" s="450"/>
      <c r="V839" s="450"/>
      <c r="W839" s="450"/>
      <c r="X839" s="450"/>
      <c r="Y839" s="450"/>
      <c r="Z839" s="450"/>
      <c r="AA839" s="450"/>
      <c r="AB839" s="450"/>
      <c r="AC839" s="450"/>
      <c r="AD839" s="450"/>
      <c r="AE839" s="450"/>
      <c r="AF839" s="450"/>
      <c r="AG839" s="450"/>
      <c r="AH839" s="450"/>
      <c r="AI839" s="450"/>
      <c r="AJ839" s="450"/>
      <c r="AK839" s="450"/>
    </row>
    <row r="840">
      <c r="A840" s="450"/>
      <c r="B840" s="450"/>
      <c r="C840" s="455"/>
      <c r="D840" s="450"/>
      <c r="E840" s="450"/>
      <c r="F840" s="450"/>
      <c r="G840" s="450"/>
      <c r="H840" s="450"/>
      <c r="I840" s="450"/>
      <c r="J840" s="450"/>
      <c r="K840" s="450"/>
      <c r="L840" s="450"/>
      <c r="M840" s="450"/>
      <c r="N840" s="450"/>
      <c r="O840" s="450"/>
      <c r="P840" s="450"/>
      <c r="Q840" s="450"/>
      <c r="R840" s="450"/>
      <c r="S840" s="450"/>
      <c r="T840" s="450"/>
      <c r="U840" s="450"/>
      <c r="V840" s="450"/>
      <c r="W840" s="450"/>
      <c r="X840" s="450"/>
      <c r="Y840" s="450"/>
      <c r="Z840" s="450"/>
      <c r="AA840" s="450"/>
      <c r="AB840" s="450"/>
      <c r="AC840" s="450"/>
      <c r="AD840" s="450"/>
      <c r="AE840" s="450"/>
      <c r="AF840" s="450"/>
      <c r="AG840" s="450"/>
      <c r="AH840" s="450"/>
      <c r="AI840" s="450"/>
      <c r="AJ840" s="450"/>
      <c r="AK840" s="450"/>
    </row>
    <row r="841">
      <c r="A841" s="450"/>
      <c r="B841" s="450"/>
      <c r="C841" s="455"/>
      <c r="D841" s="450"/>
      <c r="E841" s="450"/>
      <c r="F841" s="450"/>
      <c r="G841" s="450"/>
      <c r="H841" s="450"/>
      <c r="I841" s="450"/>
      <c r="J841" s="450"/>
      <c r="K841" s="450"/>
      <c r="L841" s="450"/>
      <c r="M841" s="450"/>
      <c r="N841" s="450"/>
      <c r="O841" s="450"/>
      <c r="P841" s="450"/>
      <c r="Q841" s="450"/>
      <c r="R841" s="450"/>
      <c r="S841" s="450"/>
      <c r="T841" s="450"/>
      <c r="U841" s="450"/>
      <c r="V841" s="450"/>
      <c r="W841" s="450"/>
      <c r="X841" s="450"/>
      <c r="Y841" s="450"/>
      <c r="Z841" s="450"/>
      <c r="AA841" s="450"/>
      <c r="AB841" s="450"/>
      <c r="AC841" s="450"/>
      <c r="AD841" s="450"/>
      <c r="AE841" s="450"/>
      <c r="AF841" s="450"/>
      <c r="AG841" s="450"/>
      <c r="AH841" s="450"/>
      <c r="AI841" s="450"/>
      <c r="AJ841" s="450"/>
      <c r="AK841" s="450"/>
    </row>
    <row r="842">
      <c r="A842" s="450"/>
      <c r="B842" s="450"/>
      <c r="C842" s="455"/>
      <c r="D842" s="450"/>
      <c r="E842" s="450"/>
      <c r="F842" s="450"/>
      <c r="G842" s="450"/>
      <c r="H842" s="450"/>
      <c r="I842" s="450"/>
      <c r="J842" s="450"/>
      <c r="K842" s="450"/>
      <c r="L842" s="450"/>
      <c r="M842" s="450"/>
      <c r="N842" s="450"/>
      <c r="O842" s="450"/>
      <c r="P842" s="450"/>
      <c r="Q842" s="450"/>
      <c r="R842" s="450"/>
      <c r="S842" s="450"/>
      <c r="T842" s="450"/>
      <c r="U842" s="450"/>
      <c r="V842" s="450"/>
      <c r="W842" s="450"/>
      <c r="X842" s="450"/>
      <c r="Y842" s="450"/>
      <c r="Z842" s="450"/>
      <c r="AA842" s="450"/>
      <c r="AB842" s="450"/>
      <c r="AC842" s="450"/>
      <c r="AD842" s="450"/>
      <c r="AE842" s="450"/>
      <c r="AF842" s="450"/>
      <c r="AG842" s="450"/>
      <c r="AH842" s="450"/>
      <c r="AI842" s="450"/>
      <c r="AJ842" s="450"/>
      <c r="AK842" s="450"/>
    </row>
    <row r="843">
      <c r="A843" s="450"/>
      <c r="B843" s="450"/>
      <c r="C843" s="455"/>
      <c r="D843" s="450"/>
      <c r="E843" s="450"/>
      <c r="F843" s="450"/>
      <c r="G843" s="450"/>
      <c r="H843" s="450"/>
      <c r="I843" s="450"/>
      <c r="J843" s="450"/>
      <c r="K843" s="450"/>
      <c r="L843" s="450"/>
      <c r="M843" s="450"/>
      <c r="N843" s="450"/>
      <c r="O843" s="450"/>
      <c r="P843" s="450"/>
      <c r="Q843" s="450"/>
      <c r="R843" s="450"/>
      <c r="S843" s="450"/>
      <c r="T843" s="450"/>
      <c r="U843" s="450"/>
      <c r="V843" s="450"/>
      <c r="W843" s="450"/>
      <c r="X843" s="450"/>
      <c r="Y843" s="450"/>
      <c r="Z843" s="450"/>
      <c r="AA843" s="450"/>
      <c r="AB843" s="450"/>
      <c r="AC843" s="450"/>
      <c r="AD843" s="450"/>
      <c r="AE843" s="450"/>
      <c r="AF843" s="450"/>
      <c r="AG843" s="450"/>
      <c r="AH843" s="450"/>
      <c r="AI843" s="450"/>
      <c r="AJ843" s="450"/>
      <c r="AK843" s="450"/>
    </row>
    <row r="844">
      <c r="A844" s="450"/>
      <c r="B844" s="450"/>
      <c r="C844" s="455"/>
      <c r="D844" s="450"/>
      <c r="E844" s="450"/>
      <c r="F844" s="450"/>
      <c r="G844" s="450"/>
      <c r="H844" s="450"/>
      <c r="I844" s="450"/>
      <c r="J844" s="450"/>
      <c r="K844" s="450"/>
      <c r="L844" s="450"/>
      <c r="M844" s="450"/>
      <c r="N844" s="450"/>
      <c r="O844" s="450"/>
      <c r="P844" s="450"/>
      <c r="Q844" s="450"/>
      <c r="R844" s="450"/>
      <c r="S844" s="450"/>
      <c r="T844" s="450"/>
      <c r="U844" s="450"/>
      <c r="V844" s="450"/>
      <c r="W844" s="450"/>
      <c r="X844" s="450"/>
      <c r="Y844" s="450"/>
      <c r="Z844" s="450"/>
      <c r="AA844" s="450"/>
      <c r="AB844" s="450"/>
      <c r="AC844" s="450"/>
      <c r="AD844" s="450"/>
      <c r="AE844" s="450"/>
      <c r="AF844" s="450"/>
      <c r="AG844" s="450"/>
      <c r="AH844" s="450"/>
      <c r="AI844" s="450"/>
      <c r="AJ844" s="450"/>
      <c r="AK844" s="450"/>
    </row>
    <row r="845">
      <c r="A845" s="450"/>
      <c r="B845" s="450"/>
      <c r="C845" s="455"/>
      <c r="D845" s="450"/>
      <c r="E845" s="450"/>
      <c r="F845" s="450"/>
      <c r="G845" s="450"/>
      <c r="H845" s="450"/>
      <c r="I845" s="450"/>
      <c r="J845" s="450"/>
      <c r="K845" s="450"/>
      <c r="L845" s="450"/>
      <c r="M845" s="450"/>
      <c r="N845" s="450"/>
      <c r="O845" s="450"/>
      <c r="P845" s="450"/>
      <c r="Q845" s="450"/>
      <c r="R845" s="450"/>
      <c r="S845" s="450"/>
      <c r="T845" s="450"/>
      <c r="U845" s="450"/>
      <c r="V845" s="450"/>
      <c r="W845" s="450"/>
      <c r="X845" s="450"/>
      <c r="Y845" s="450"/>
      <c r="Z845" s="450"/>
      <c r="AA845" s="450"/>
      <c r="AB845" s="450"/>
      <c r="AC845" s="450"/>
      <c r="AD845" s="450"/>
      <c r="AE845" s="450"/>
      <c r="AF845" s="450"/>
      <c r="AG845" s="450"/>
      <c r="AH845" s="450"/>
      <c r="AI845" s="450"/>
      <c r="AJ845" s="450"/>
      <c r="AK845" s="450"/>
    </row>
    <row r="846">
      <c r="A846" s="450"/>
      <c r="B846" s="450"/>
      <c r="C846" s="455"/>
      <c r="D846" s="450"/>
      <c r="E846" s="450"/>
      <c r="F846" s="450"/>
      <c r="G846" s="450"/>
      <c r="H846" s="450"/>
      <c r="I846" s="450"/>
      <c r="J846" s="450"/>
      <c r="K846" s="450"/>
      <c r="L846" s="450"/>
      <c r="M846" s="450"/>
      <c r="N846" s="450"/>
      <c r="O846" s="450"/>
      <c r="P846" s="450"/>
      <c r="Q846" s="450"/>
      <c r="R846" s="450"/>
      <c r="S846" s="450"/>
      <c r="T846" s="450"/>
      <c r="U846" s="450"/>
      <c r="V846" s="450"/>
      <c r="W846" s="450"/>
      <c r="X846" s="450"/>
      <c r="Y846" s="450"/>
      <c r="Z846" s="450"/>
      <c r="AA846" s="450"/>
      <c r="AB846" s="450"/>
      <c r="AC846" s="450"/>
      <c r="AD846" s="450"/>
      <c r="AE846" s="450"/>
      <c r="AF846" s="450"/>
      <c r="AG846" s="450"/>
      <c r="AH846" s="450"/>
      <c r="AI846" s="450"/>
      <c r="AJ846" s="450"/>
      <c r="AK846" s="450"/>
    </row>
    <row r="847">
      <c r="A847" s="450"/>
      <c r="B847" s="450"/>
      <c r="C847" s="455"/>
      <c r="D847" s="450"/>
      <c r="E847" s="450"/>
      <c r="F847" s="450"/>
      <c r="G847" s="450"/>
      <c r="H847" s="450"/>
      <c r="I847" s="450"/>
      <c r="J847" s="450"/>
      <c r="K847" s="450"/>
      <c r="L847" s="450"/>
      <c r="M847" s="450"/>
      <c r="N847" s="450"/>
      <c r="O847" s="450"/>
      <c r="P847" s="450"/>
      <c r="Q847" s="450"/>
      <c r="R847" s="450"/>
      <c r="S847" s="450"/>
      <c r="T847" s="450"/>
      <c r="U847" s="450"/>
      <c r="V847" s="450"/>
      <c r="W847" s="450"/>
      <c r="X847" s="450"/>
      <c r="Y847" s="450"/>
      <c r="Z847" s="450"/>
      <c r="AA847" s="450"/>
      <c r="AB847" s="450"/>
      <c r="AC847" s="450"/>
      <c r="AD847" s="450"/>
      <c r="AE847" s="450"/>
      <c r="AF847" s="450"/>
      <c r="AG847" s="450"/>
      <c r="AH847" s="450"/>
      <c r="AI847" s="450"/>
      <c r="AJ847" s="450"/>
      <c r="AK847" s="450"/>
    </row>
    <row r="848">
      <c r="A848" s="450"/>
      <c r="B848" s="450"/>
      <c r="C848" s="455"/>
      <c r="D848" s="450"/>
      <c r="E848" s="450"/>
      <c r="F848" s="450"/>
      <c r="G848" s="450"/>
      <c r="H848" s="450"/>
      <c r="I848" s="450"/>
      <c r="J848" s="450"/>
      <c r="K848" s="450"/>
      <c r="L848" s="450"/>
      <c r="M848" s="450"/>
      <c r="N848" s="450"/>
      <c r="O848" s="450"/>
      <c r="P848" s="450"/>
      <c r="Q848" s="450"/>
      <c r="R848" s="450"/>
      <c r="S848" s="450"/>
      <c r="T848" s="450"/>
      <c r="U848" s="450"/>
      <c r="V848" s="450"/>
      <c r="W848" s="450"/>
      <c r="X848" s="450"/>
      <c r="Y848" s="450"/>
      <c r="Z848" s="450"/>
      <c r="AA848" s="450"/>
      <c r="AB848" s="450"/>
      <c r="AC848" s="450"/>
      <c r="AD848" s="450"/>
      <c r="AE848" s="450"/>
      <c r="AF848" s="450"/>
      <c r="AG848" s="450"/>
      <c r="AH848" s="450"/>
      <c r="AI848" s="450"/>
      <c r="AJ848" s="450"/>
      <c r="AK848" s="450"/>
    </row>
    <row r="849">
      <c r="A849" s="450"/>
      <c r="B849" s="450"/>
      <c r="C849" s="455"/>
      <c r="D849" s="450"/>
      <c r="E849" s="450"/>
      <c r="F849" s="450"/>
      <c r="G849" s="450"/>
      <c r="H849" s="450"/>
      <c r="I849" s="450"/>
      <c r="J849" s="450"/>
      <c r="K849" s="450"/>
      <c r="L849" s="450"/>
      <c r="M849" s="450"/>
      <c r="N849" s="450"/>
      <c r="O849" s="450"/>
      <c r="P849" s="450"/>
      <c r="Q849" s="450"/>
      <c r="R849" s="450"/>
      <c r="S849" s="450"/>
      <c r="T849" s="450"/>
      <c r="U849" s="450"/>
      <c r="V849" s="450"/>
      <c r="W849" s="450"/>
      <c r="X849" s="450"/>
      <c r="Y849" s="450"/>
      <c r="Z849" s="450"/>
      <c r="AA849" s="450"/>
      <c r="AB849" s="450"/>
      <c r="AC849" s="450"/>
      <c r="AD849" s="450"/>
      <c r="AE849" s="450"/>
      <c r="AF849" s="450"/>
      <c r="AG849" s="450"/>
      <c r="AH849" s="450"/>
      <c r="AI849" s="450"/>
      <c r="AJ849" s="450"/>
      <c r="AK849" s="450"/>
    </row>
    <row r="850">
      <c r="A850" s="450"/>
      <c r="B850" s="450"/>
      <c r="C850" s="455"/>
      <c r="D850" s="450"/>
      <c r="E850" s="450"/>
      <c r="F850" s="450"/>
      <c r="G850" s="450"/>
      <c r="H850" s="450"/>
      <c r="I850" s="450"/>
      <c r="J850" s="450"/>
      <c r="K850" s="450"/>
      <c r="L850" s="450"/>
      <c r="M850" s="450"/>
      <c r="N850" s="450"/>
      <c r="O850" s="450"/>
      <c r="P850" s="450"/>
      <c r="Q850" s="450"/>
      <c r="R850" s="450"/>
      <c r="S850" s="450"/>
      <c r="T850" s="450"/>
      <c r="U850" s="450"/>
      <c r="V850" s="450"/>
      <c r="W850" s="450"/>
      <c r="X850" s="450"/>
      <c r="Y850" s="450"/>
      <c r="Z850" s="450"/>
      <c r="AA850" s="450"/>
      <c r="AB850" s="450"/>
      <c r="AC850" s="450"/>
      <c r="AD850" s="450"/>
      <c r="AE850" s="450"/>
      <c r="AF850" s="450"/>
      <c r="AG850" s="450"/>
      <c r="AH850" s="450"/>
      <c r="AI850" s="450"/>
      <c r="AJ850" s="450"/>
      <c r="AK850" s="450"/>
    </row>
    <row r="851">
      <c r="A851" s="450"/>
      <c r="B851" s="450"/>
      <c r="C851" s="455"/>
      <c r="D851" s="450"/>
      <c r="E851" s="450"/>
      <c r="F851" s="450"/>
      <c r="G851" s="450"/>
      <c r="H851" s="450"/>
      <c r="I851" s="450"/>
      <c r="J851" s="450"/>
      <c r="K851" s="450"/>
      <c r="L851" s="450"/>
      <c r="M851" s="450"/>
      <c r="N851" s="450"/>
      <c r="O851" s="450"/>
      <c r="P851" s="450"/>
      <c r="Q851" s="450"/>
      <c r="R851" s="450"/>
      <c r="S851" s="450"/>
      <c r="T851" s="450"/>
      <c r="U851" s="450"/>
      <c r="V851" s="450"/>
      <c r="W851" s="450"/>
      <c r="X851" s="450"/>
      <c r="Y851" s="450"/>
      <c r="Z851" s="450"/>
      <c r="AA851" s="450"/>
      <c r="AB851" s="450"/>
      <c r="AC851" s="450"/>
      <c r="AD851" s="450"/>
      <c r="AE851" s="450"/>
      <c r="AF851" s="450"/>
      <c r="AG851" s="450"/>
      <c r="AH851" s="450"/>
      <c r="AI851" s="450"/>
      <c r="AJ851" s="450"/>
      <c r="AK851" s="450"/>
    </row>
    <row r="852">
      <c r="A852" s="450"/>
      <c r="B852" s="450"/>
      <c r="C852" s="455"/>
      <c r="D852" s="450"/>
      <c r="E852" s="450"/>
      <c r="F852" s="450"/>
      <c r="G852" s="450"/>
      <c r="H852" s="450"/>
      <c r="I852" s="450"/>
      <c r="J852" s="450"/>
      <c r="K852" s="450"/>
      <c r="L852" s="450"/>
      <c r="M852" s="450"/>
      <c r="N852" s="450"/>
      <c r="O852" s="450"/>
      <c r="P852" s="450"/>
      <c r="Q852" s="450"/>
      <c r="R852" s="450"/>
      <c r="S852" s="450"/>
      <c r="T852" s="450"/>
      <c r="U852" s="450"/>
      <c r="V852" s="450"/>
      <c r="W852" s="450"/>
      <c r="X852" s="450"/>
      <c r="Y852" s="450"/>
      <c r="Z852" s="450"/>
      <c r="AA852" s="450"/>
      <c r="AB852" s="450"/>
      <c r="AC852" s="450"/>
      <c r="AD852" s="450"/>
      <c r="AE852" s="450"/>
      <c r="AF852" s="450"/>
      <c r="AG852" s="450"/>
      <c r="AH852" s="450"/>
      <c r="AI852" s="450"/>
      <c r="AJ852" s="450"/>
      <c r="AK852" s="450"/>
    </row>
    <row r="853">
      <c r="A853" s="450"/>
      <c r="B853" s="450"/>
      <c r="C853" s="455"/>
      <c r="D853" s="450"/>
      <c r="E853" s="450"/>
      <c r="F853" s="450"/>
      <c r="G853" s="450"/>
      <c r="H853" s="450"/>
      <c r="I853" s="450"/>
      <c r="J853" s="450"/>
      <c r="K853" s="450"/>
      <c r="L853" s="450"/>
      <c r="M853" s="450"/>
      <c r="N853" s="450"/>
      <c r="O853" s="450"/>
      <c r="P853" s="450"/>
      <c r="Q853" s="450"/>
      <c r="R853" s="450"/>
      <c r="S853" s="450"/>
      <c r="T853" s="450"/>
      <c r="U853" s="450"/>
      <c r="V853" s="450"/>
      <c r="W853" s="450"/>
      <c r="X853" s="450"/>
      <c r="Y853" s="450"/>
      <c r="Z853" s="450"/>
      <c r="AA853" s="450"/>
      <c r="AB853" s="450"/>
      <c r="AC853" s="450"/>
      <c r="AD853" s="450"/>
      <c r="AE853" s="450"/>
      <c r="AF853" s="450"/>
      <c r="AG853" s="450"/>
      <c r="AH853" s="450"/>
      <c r="AI853" s="450"/>
      <c r="AJ853" s="450"/>
      <c r="AK853" s="450"/>
    </row>
    <row r="854">
      <c r="A854" s="450"/>
      <c r="B854" s="450"/>
      <c r="C854" s="455"/>
      <c r="D854" s="450"/>
      <c r="E854" s="450"/>
      <c r="F854" s="450"/>
      <c r="G854" s="450"/>
      <c r="H854" s="450"/>
      <c r="I854" s="450"/>
      <c r="J854" s="450"/>
      <c r="K854" s="450"/>
      <c r="L854" s="450"/>
      <c r="M854" s="450"/>
      <c r="N854" s="450"/>
      <c r="O854" s="450"/>
      <c r="P854" s="450"/>
      <c r="Q854" s="450"/>
      <c r="R854" s="450"/>
      <c r="S854" s="450"/>
      <c r="T854" s="450"/>
      <c r="U854" s="450"/>
      <c r="V854" s="450"/>
      <c r="W854" s="450"/>
      <c r="X854" s="450"/>
      <c r="Y854" s="450"/>
      <c r="Z854" s="450"/>
      <c r="AA854" s="450"/>
      <c r="AB854" s="450"/>
      <c r="AC854" s="450"/>
      <c r="AD854" s="450"/>
      <c r="AE854" s="450"/>
      <c r="AF854" s="450"/>
      <c r="AG854" s="450"/>
      <c r="AH854" s="450"/>
      <c r="AI854" s="450"/>
      <c r="AJ854" s="450"/>
      <c r="AK854" s="450"/>
    </row>
    <row r="855">
      <c r="A855" s="450"/>
      <c r="B855" s="450"/>
      <c r="C855" s="455"/>
      <c r="D855" s="450"/>
      <c r="E855" s="450"/>
      <c r="F855" s="450"/>
      <c r="G855" s="450"/>
      <c r="H855" s="450"/>
      <c r="I855" s="450"/>
      <c r="J855" s="450"/>
      <c r="K855" s="450"/>
      <c r="L855" s="450"/>
      <c r="M855" s="450"/>
      <c r="N855" s="450"/>
      <c r="O855" s="450"/>
      <c r="P855" s="450"/>
      <c r="Q855" s="450"/>
      <c r="R855" s="450"/>
      <c r="S855" s="450"/>
      <c r="T855" s="450"/>
      <c r="U855" s="450"/>
      <c r="V855" s="450"/>
      <c r="W855" s="450"/>
      <c r="X855" s="450"/>
      <c r="Y855" s="450"/>
      <c r="Z855" s="450"/>
      <c r="AA855" s="450"/>
      <c r="AB855" s="450"/>
      <c r="AC855" s="450"/>
      <c r="AD855" s="450"/>
      <c r="AE855" s="450"/>
      <c r="AF855" s="450"/>
      <c r="AG855" s="450"/>
      <c r="AH855" s="450"/>
      <c r="AI855" s="450"/>
      <c r="AJ855" s="450"/>
      <c r="AK855" s="450"/>
    </row>
    <row r="856">
      <c r="A856" s="450"/>
      <c r="B856" s="450"/>
      <c r="C856" s="455"/>
      <c r="D856" s="450"/>
      <c r="E856" s="450"/>
      <c r="F856" s="450"/>
      <c r="G856" s="450"/>
      <c r="H856" s="450"/>
      <c r="I856" s="450"/>
      <c r="J856" s="450"/>
      <c r="K856" s="450"/>
      <c r="L856" s="450"/>
      <c r="M856" s="450"/>
      <c r="N856" s="450"/>
      <c r="O856" s="450"/>
      <c r="P856" s="450"/>
      <c r="Q856" s="450"/>
      <c r="R856" s="450"/>
      <c r="S856" s="450"/>
      <c r="T856" s="450"/>
      <c r="U856" s="450"/>
      <c r="V856" s="450"/>
      <c r="W856" s="450"/>
      <c r="X856" s="450"/>
      <c r="Y856" s="450"/>
      <c r="Z856" s="450"/>
      <c r="AA856" s="450"/>
      <c r="AB856" s="450"/>
      <c r="AC856" s="450"/>
      <c r="AD856" s="450"/>
      <c r="AE856" s="450"/>
      <c r="AF856" s="450"/>
      <c r="AG856" s="450"/>
      <c r="AH856" s="450"/>
      <c r="AI856" s="450"/>
      <c r="AJ856" s="450"/>
      <c r="AK856" s="450"/>
    </row>
    <row r="857">
      <c r="A857" s="450"/>
      <c r="B857" s="450"/>
      <c r="C857" s="455"/>
      <c r="D857" s="450"/>
      <c r="E857" s="450"/>
      <c r="F857" s="450"/>
      <c r="G857" s="450"/>
      <c r="H857" s="450"/>
      <c r="I857" s="450"/>
      <c r="J857" s="450"/>
      <c r="K857" s="450"/>
      <c r="L857" s="450"/>
      <c r="M857" s="450"/>
      <c r="N857" s="450"/>
      <c r="O857" s="450"/>
      <c r="P857" s="450"/>
      <c r="Q857" s="450"/>
      <c r="R857" s="450"/>
      <c r="S857" s="450"/>
      <c r="T857" s="450"/>
      <c r="U857" s="450"/>
      <c r="V857" s="450"/>
      <c r="W857" s="450"/>
      <c r="X857" s="450"/>
      <c r="Y857" s="450"/>
      <c r="Z857" s="450"/>
      <c r="AA857" s="450"/>
      <c r="AB857" s="450"/>
      <c r="AC857" s="450"/>
      <c r="AD857" s="450"/>
      <c r="AE857" s="450"/>
      <c r="AF857" s="450"/>
      <c r="AG857" s="450"/>
      <c r="AH857" s="450"/>
      <c r="AI857" s="450"/>
      <c r="AJ857" s="450"/>
      <c r="AK857" s="450"/>
    </row>
    <row r="858">
      <c r="A858" s="450"/>
      <c r="B858" s="450"/>
      <c r="C858" s="455"/>
      <c r="D858" s="450"/>
      <c r="E858" s="450"/>
      <c r="F858" s="450"/>
      <c r="G858" s="450"/>
      <c r="H858" s="450"/>
      <c r="I858" s="450"/>
      <c r="J858" s="450"/>
      <c r="K858" s="450"/>
      <c r="L858" s="450"/>
      <c r="M858" s="450"/>
      <c r="N858" s="450"/>
      <c r="O858" s="450"/>
      <c r="P858" s="450"/>
      <c r="Q858" s="450"/>
      <c r="R858" s="450"/>
      <c r="S858" s="450"/>
      <c r="T858" s="450"/>
      <c r="U858" s="450"/>
      <c r="V858" s="450"/>
      <c r="W858" s="450"/>
      <c r="X858" s="450"/>
      <c r="Y858" s="450"/>
      <c r="Z858" s="450"/>
      <c r="AA858" s="450"/>
      <c r="AB858" s="450"/>
      <c r="AC858" s="450"/>
      <c r="AD858" s="450"/>
      <c r="AE858" s="450"/>
      <c r="AF858" s="450"/>
      <c r="AG858" s="450"/>
      <c r="AH858" s="450"/>
      <c r="AI858" s="450"/>
      <c r="AJ858" s="450"/>
      <c r="AK858" s="450"/>
    </row>
    <row r="859">
      <c r="A859" s="450"/>
      <c r="B859" s="450"/>
      <c r="C859" s="455"/>
      <c r="D859" s="450"/>
      <c r="E859" s="450"/>
      <c r="F859" s="450"/>
      <c r="G859" s="450"/>
      <c r="H859" s="450"/>
      <c r="I859" s="450"/>
      <c r="J859" s="450"/>
      <c r="K859" s="450"/>
      <c r="L859" s="450"/>
      <c r="M859" s="450"/>
      <c r="N859" s="450"/>
      <c r="O859" s="450"/>
      <c r="P859" s="450"/>
      <c r="Q859" s="450"/>
      <c r="R859" s="450"/>
      <c r="S859" s="450"/>
      <c r="T859" s="450"/>
      <c r="U859" s="450"/>
      <c r="V859" s="450"/>
      <c r="W859" s="450"/>
      <c r="X859" s="450"/>
      <c r="Y859" s="450"/>
      <c r="Z859" s="450"/>
      <c r="AA859" s="450"/>
      <c r="AB859" s="450"/>
      <c r="AC859" s="450"/>
      <c r="AD859" s="450"/>
      <c r="AE859" s="450"/>
      <c r="AF859" s="450"/>
      <c r="AG859" s="450"/>
      <c r="AH859" s="450"/>
      <c r="AI859" s="450"/>
      <c r="AJ859" s="450"/>
      <c r="AK859" s="450"/>
    </row>
    <row r="860">
      <c r="A860" s="450"/>
      <c r="B860" s="450"/>
      <c r="C860" s="455"/>
      <c r="D860" s="450"/>
      <c r="E860" s="450"/>
      <c r="F860" s="450"/>
      <c r="G860" s="450"/>
      <c r="H860" s="450"/>
      <c r="I860" s="450"/>
      <c r="J860" s="450"/>
      <c r="K860" s="450"/>
      <c r="L860" s="450"/>
      <c r="M860" s="450"/>
      <c r="N860" s="450"/>
      <c r="O860" s="450"/>
      <c r="P860" s="450"/>
      <c r="Q860" s="450"/>
      <c r="R860" s="450"/>
      <c r="S860" s="450"/>
      <c r="T860" s="450"/>
      <c r="U860" s="450"/>
      <c r="V860" s="450"/>
      <c r="W860" s="450"/>
      <c r="X860" s="450"/>
      <c r="Y860" s="450"/>
      <c r="Z860" s="450"/>
      <c r="AA860" s="450"/>
      <c r="AB860" s="450"/>
      <c r="AC860" s="450"/>
      <c r="AD860" s="450"/>
      <c r="AE860" s="450"/>
      <c r="AF860" s="450"/>
      <c r="AG860" s="450"/>
      <c r="AH860" s="450"/>
      <c r="AI860" s="450"/>
      <c r="AJ860" s="450"/>
      <c r="AK860" s="450"/>
    </row>
    <row r="861">
      <c r="A861" s="450"/>
      <c r="B861" s="450"/>
      <c r="C861" s="455"/>
      <c r="D861" s="450"/>
      <c r="E861" s="450"/>
      <c r="F861" s="450"/>
      <c r="G861" s="450"/>
      <c r="H861" s="450"/>
      <c r="I861" s="450"/>
      <c r="J861" s="450"/>
      <c r="K861" s="450"/>
      <c r="L861" s="450"/>
      <c r="M861" s="450"/>
      <c r="N861" s="450"/>
      <c r="O861" s="450"/>
      <c r="P861" s="450"/>
      <c r="Q861" s="450"/>
      <c r="R861" s="450"/>
      <c r="S861" s="450"/>
      <c r="T861" s="450"/>
      <c r="U861" s="450"/>
      <c r="V861" s="450"/>
      <c r="W861" s="450"/>
      <c r="X861" s="450"/>
      <c r="Y861" s="450"/>
      <c r="Z861" s="450"/>
      <c r="AA861" s="450"/>
      <c r="AB861" s="450"/>
      <c r="AC861" s="450"/>
      <c r="AD861" s="450"/>
      <c r="AE861" s="450"/>
      <c r="AF861" s="450"/>
      <c r="AG861" s="450"/>
      <c r="AH861" s="450"/>
      <c r="AI861" s="450"/>
      <c r="AJ861" s="450"/>
      <c r="AK861" s="450"/>
    </row>
    <row r="862">
      <c r="A862" s="450"/>
      <c r="B862" s="450"/>
      <c r="C862" s="455"/>
      <c r="D862" s="450"/>
      <c r="E862" s="450"/>
      <c r="F862" s="450"/>
      <c r="G862" s="450"/>
      <c r="H862" s="450"/>
      <c r="I862" s="450"/>
      <c r="J862" s="450"/>
      <c r="K862" s="450"/>
      <c r="L862" s="450"/>
      <c r="M862" s="450"/>
      <c r="N862" s="450"/>
      <c r="O862" s="450"/>
      <c r="P862" s="450"/>
      <c r="Q862" s="450"/>
      <c r="R862" s="450"/>
      <c r="S862" s="450"/>
      <c r="T862" s="450"/>
      <c r="U862" s="450"/>
      <c r="V862" s="450"/>
      <c r="W862" s="450"/>
      <c r="X862" s="450"/>
      <c r="Y862" s="450"/>
      <c r="Z862" s="450"/>
      <c r="AA862" s="450"/>
      <c r="AB862" s="450"/>
      <c r="AC862" s="450"/>
      <c r="AD862" s="450"/>
      <c r="AE862" s="450"/>
      <c r="AF862" s="450"/>
      <c r="AG862" s="450"/>
      <c r="AH862" s="450"/>
      <c r="AI862" s="450"/>
      <c r="AJ862" s="450"/>
      <c r="AK862" s="450"/>
    </row>
    <row r="863">
      <c r="A863" s="450"/>
      <c r="B863" s="450"/>
      <c r="C863" s="455"/>
      <c r="D863" s="450"/>
      <c r="E863" s="450"/>
      <c r="F863" s="450"/>
      <c r="G863" s="450"/>
      <c r="H863" s="450"/>
      <c r="I863" s="450"/>
      <c r="J863" s="450"/>
      <c r="K863" s="450"/>
      <c r="L863" s="450"/>
      <c r="M863" s="450"/>
      <c r="N863" s="450"/>
      <c r="O863" s="450"/>
      <c r="P863" s="450"/>
      <c r="Q863" s="450"/>
      <c r="R863" s="450"/>
      <c r="S863" s="450"/>
      <c r="T863" s="450"/>
      <c r="U863" s="450"/>
      <c r="V863" s="450"/>
      <c r="W863" s="450"/>
      <c r="X863" s="450"/>
      <c r="Y863" s="450"/>
      <c r="Z863" s="450"/>
      <c r="AA863" s="450"/>
      <c r="AB863" s="450"/>
      <c r="AC863" s="450"/>
      <c r="AD863" s="450"/>
      <c r="AE863" s="450"/>
      <c r="AF863" s="450"/>
      <c r="AG863" s="450"/>
      <c r="AH863" s="450"/>
      <c r="AI863" s="450"/>
      <c r="AJ863" s="450"/>
      <c r="AK863" s="450"/>
    </row>
    <row r="864">
      <c r="A864" s="450"/>
      <c r="B864" s="450"/>
      <c r="C864" s="455"/>
      <c r="D864" s="450"/>
      <c r="E864" s="450"/>
      <c r="F864" s="450"/>
      <c r="G864" s="450"/>
      <c r="H864" s="450"/>
      <c r="I864" s="450"/>
      <c r="J864" s="450"/>
      <c r="K864" s="450"/>
      <c r="L864" s="450"/>
      <c r="M864" s="450"/>
      <c r="N864" s="450"/>
      <c r="O864" s="450"/>
      <c r="P864" s="450"/>
      <c r="Q864" s="450"/>
      <c r="R864" s="450"/>
      <c r="S864" s="450"/>
      <c r="T864" s="450"/>
      <c r="U864" s="450"/>
      <c r="V864" s="450"/>
      <c r="W864" s="450"/>
      <c r="X864" s="450"/>
      <c r="Y864" s="450"/>
      <c r="Z864" s="450"/>
      <c r="AA864" s="450"/>
      <c r="AB864" s="450"/>
      <c r="AC864" s="450"/>
      <c r="AD864" s="450"/>
      <c r="AE864" s="450"/>
      <c r="AF864" s="450"/>
      <c r="AG864" s="450"/>
      <c r="AH864" s="450"/>
      <c r="AI864" s="450"/>
      <c r="AJ864" s="450"/>
      <c r="AK864" s="450"/>
    </row>
    <row r="865">
      <c r="A865" s="450"/>
      <c r="B865" s="450"/>
      <c r="C865" s="455"/>
      <c r="D865" s="450"/>
      <c r="E865" s="450"/>
      <c r="F865" s="450"/>
      <c r="G865" s="450"/>
      <c r="H865" s="450"/>
      <c r="I865" s="450"/>
      <c r="J865" s="450"/>
      <c r="K865" s="450"/>
      <c r="L865" s="450"/>
      <c r="M865" s="450"/>
      <c r="N865" s="450"/>
      <c r="O865" s="450"/>
      <c r="P865" s="450"/>
      <c r="Q865" s="450"/>
      <c r="R865" s="450"/>
      <c r="S865" s="450"/>
      <c r="T865" s="450"/>
      <c r="U865" s="450"/>
      <c r="V865" s="450"/>
      <c r="W865" s="450"/>
      <c r="X865" s="450"/>
      <c r="Y865" s="450"/>
      <c r="Z865" s="450"/>
      <c r="AA865" s="450"/>
      <c r="AB865" s="450"/>
      <c r="AC865" s="450"/>
      <c r="AD865" s="450"/>
      <c r="AE865" s="450"/>
      <c r="AF865" s="450"/>
      <c r="AG865" s="450"/>
      <c r="AH865" s="450"/>
      <c r="AI865" s="450"/>
      <c r="AJ865" s="450"/>
      <c r="AK865" s="450"/>
    </row>
    <row r="866">
      <c r="A866" s="450"/>
      <c r="B866" s="450"/>
      <c r="C866" s="455"/>
      <c r="D866" s="450"/>
      <c r="E866" s="450"/>
      <c r="F866" s="450"/>
      <c r="G866" s="450"/>
      <c r="H866" s="450"/>
      <c r="I866" s="450"/>
      <c r="J866" s="450"/>
      <c r="K866" s="450"/>
      <c r="L866" s="450"/>
      <c r="M866" s="450"/>
      <c r="N866" s="450"/>
      <c r="O866" s="450"/>
      <c r="P866" s="450"/>
      <c r="Q866" s="450"/>
      <c r="R866" s="450"/>
      <c r="S866" s="450"/>
      <c r="T866" s="450"/>
      <c r="U866" s="450"/>
      <c r="V866" s="450"/>
      <c r="W866" s="450"/>
      <c r="X866" s="450"/>
      <c r="Y866" s="450"/>
      <c r="Z866" s="450"/>
      <c r="AA866" s="450"/>
      <c r="AB866" s="450"/>
      <c r="AC866" s="450"/>
      <c r="AD866" s="450"/>
      <c r="AE866" s="450"/>
      <c r="AF866" s="450"/>
      <c r="AG866" s="450"/>
      <c r="AH866" s="450"/>
      <c r="AI866" s="450"/>
      <c r="AJ866" s="450"/>
      <c r="AK866" s="450"/>
    </row>
    <row r="867">
      <c r="A867" s="450"/>
      <c r="B867" s="450"/>
      <c r="C867" s="455"/>
      <c r="D867" s="450"/>
      <c r="E867" s="450"/>
      <c r="F867" s="450"/>
      <c r="G867" s="450"/>
      <c r="H867" s="450"/>
      <c r="I867" s="450"/>
      <c r="J867" s="450"/>
      <c r="K867" s="450"/>
      <c r="L867" s="450"/>
      <c r="M867" s="450"/>
      <c r="N867" s="450"/>
      <c r="O867" s="450"/>
      <c r="P867" s="450"/>
      <c r="Q867" s="450"/>
      <c r="R867" s="450"/>
      <c r="S867" s="450"/>
      <c r="T867" s="450"/>
      <c r="U867" s="450"/>
      <c r="V867" s="450"/>
      <c r="W867" s="450"/>
      <c r="X867" s="450"/>
      <c r="Y867" s="450"/>
      <c r="Z867" s="450"/>
      <c r="AA867" s="450"/>
      <c r="AB867" s="450"/>
      <c r="AC867" s="450"/>
      <c r="AD867" s="450"/>
      <c r="AE867" s="450"/>
      <c r="AF867" s="450"/>
      <c r="AG867" s="450"/>
      <c r="AH867" s="450"/>
      <c r="AI867" s="450"/>
      <c r="AJ867" s="450"/>
      <c r="AK867" s="450"/>
    </row>
    <row r="868">
      <c r="A868" s="450"/>
      <c r="B868" s="450"/>
      <c r="C868" s="455"/>
      <c r="D868" s="450"/>
      <c r="E868" s="450"/>
      <c r="F868" s="450"/>
      <c r="G868" s="450"/>
      <c r="H868" s="450"/>
      <c r="I868" s="450"/>
      <c r="J868" s="450"/>
      <c r="K868" s="450"/>
      <c r="L868" s="450"/>
      <c r="M868" s="450"/>
      <c r="N868" s="450"/>
      <c r="O868" s="450"/>
      <c r="P868" s="450"/>
      <c r="Q868" s="450"/>
      <c r="R868" s="450"/>
      <c r="S868" s="450"/>
      <c r="T868" s="450"/>
      <c r="U868" s="450"/>
      <c r="V868" s="450"/>
      <c r="W868" s="450"/>
      <c r="X868" s="450"/>
      <c r="Y868" s="450"/>
      <c r="Z868" s="450"/>
      <c r="AA868" s="450"/>
      <c r="AB868" s="450"/>
      <c r="AC868" s="450"/>
      <c r="AD868" s="450"/>
      <c r="AE868" s="450"/>
      <c r="AF868" s="450"/>
      <c r="AG868" s="450"/>
      <c r="AH868" s="450"/>
      <c r="AI868" s="450"/>
      <c r="AJ868" s="450"/>
      <c r="AK868" s="450"/>
    </row>
    <row r="869">
      <c r="A869" s="450"/>
      <c r="B869" s="450"/>
      <c r="C869" s="455"/>
      <c r="D869" s="450"/>
      <c r="E869" s="450"/>
      <c r="F869" s="450"/>
      <c r="G869" s="450"/>
      <c r="H869" s="450"/>
      <c r="I869" s="450"/>
      <c r="J869" s="450"/>
      <c r="K869" s="450"/>
      <c r="L869" s="450"/>
      <c r="M869" s="450"/>
      <c r="N869" s="450"/>
      <c r="O869" s="450"/>
      <c r="P869" s="450"/>
      <c r="Q869" s="450"/>
      <c r="R869" s="450"/>
      <c r="S869" s="450"/>
      <c r="T869" s="450"/>
      <c r="U869" s="450"/>
      <c r="V869" s="450"/>
      <c r="W869" s="450"/>
      <c r="X869" s="450"/>
      <c r="Y869" s="450"/>
      <c r="Z869" s="450"/>
      <c r="AA869" s="450"/>
      <c r="AB869" s="450"/>
      <c r="AC869" s="450"/>
      <c r="AD869" s="450"/>
      <c r="AE869" s="450"/>
      <c r="AF869" s="450"/>
      <c r="AG869" s="450"/>
      <c r="AH869" s="450"/>
      <c r="AI869" s="450"/>
      <c r="AJ869" s="450"/>
      <c r="AK869" s="450"/>
    </row>
    <row r="870">
      <c r="A870" s="450"/>
      <c r="B870" s="450"/>
      <c r="C870" s="455"/>
      <c r="D870" s="450"/>
      <c r="E870" s="450"/>
      <c r="F870" s="450"/>
      <c r="G870" s="450"/>
      <c r="H870" s="450"/>
      <c r="I870" s="450"/>
      <c r="J870" s="450"/>
      <c r="K870" s="450"/>
      <c r="L870" s="450"/>
      <c r="M870" s="450"/>
      <c r="N870" s="450"/>
      <c r="O870" s="450"/>
      <c r="P870" s="450"/>
      <c r="Q870" s="450"/>
      <c r="R870" s="450"/>
      <c r="S870" s="450"/>
      <c r="T870" s="450"/>
      <c r="U870" s="450"/>
      <c r="V870" s="450"/>
      <c r="W870" s="450"/>
      <c r="X870" s="450"/>
      <c r="Y870" s="450"/>
      <c r="Z870" s="450"/>
      <c r="AA870" s="450"/>
      <c r="AB870" s="450"/>
      <c r="AC870" s="450"/>
      <c r="AD870" s="450"/>
      <c r="AE870" s="450"/>
      <c r="AF870" s="450"/>
      <c r="AG870" s="450"/>
      <c r="AH870" s="450"/>
      <c r="AI870" s="450"/>
      <c r="AJ870" s="450"/>
      <c r="AK870" s="450"/>
    </row>
    <row r="871">
      <c r="A871" s="450"/>
      <c r="B871" s="450"/>
      <c r="C871" s="455"/>
      <c r="D871" s="450"/>
      <c r="E871" s="450"/>
      <c r="F871" s="450"/>
      <c r="G871" s="450"/>
      <c r="H871" s="450"/>
      <c r="I871" s="450"/>
      <c r="J871" s="450"/>
      <c r="K871" s="450"/>
      <c r="L871" s="450"/>
      <c r="M871" s="450"/>
      <c r="N871" s="450"/>
      <c r="O871" s="450"/>
      <c r="P871" s="450"/>
      <c r="Q871" s="450"/>
      <c r="R871" s="450"/>
      <c r="S871" s="450"/>
      <c r="T871" s="450"/>
      <c r="U871" s="450"/>
      <c r="V871" s="450"/>
      <c r="W871" s="450"/>
      <c r="X871" s="450"/>
      <c r="Y871" s="450"/>
      <c r="Z871" s="450"/>
      <c r="AA871" s="450"/>
      <c r="AB871" s="450"/>
      <c r="AC871" s="450"/>
      <c r="AD871" s="450"/>
      <c r="AE871" s="450"/>
      <c r="AF871" s="450"/>
      <c r="AG871" s="450"/>
      <c r="AH871" s="450"/>
      <c r="AI871" s="450"/>
      <c r="AJ871" s="450"/>
      <c r="AK871" s="450"/>
    </row>
    <row r="872">
      <c r="A872" s="450"/>
      <c r="B872" s="450"/>
      <c r="C872" s="455"/>
      <c r="D872" s="450"/>
      <c r="E872" s="450"/>
      <c r="F872" s="450"/>
      <c r="G872" s="450"/>
      <c r="H872" s="450"/>
      <c r="I872" s="450"/>
      <c r="J872" s="450"/>
      <c r="K872" s="450"/>
      <c r="L872" s="450"/>
      <c r="M872" s="450"/>
      <c r="N872" s="450"/>
      <c r="O872" s="450"/>
      <c r="P872" s="450"/>
      <c r="Q872" s="450"/>
      <c r="R872" s="450"/>
      <c r="S872" s="450"/>
      <c r="T872" s="450"/>
      <c r="U872" s="450"/>
      <c r="V872" s="450"/>
      <c r="W872" s="450"/>
      <c r="X872" s="450"/>
      <c r="Y872" s="450"/>
      <c r="Z872" s="450"/>
      <c r="AA872" s="450"/>
      <c r="AB872" s="450"/>
      <c r="AC872" s="450"/>
      <c r="AD872" s="450"/>
      <c r="AE872" s="450"/>
      <c r="AF872" s="450"/>
      <c r="AG872" s="450"/>
      <c r="AH872" s="450"/>
      <c r="AI872" s="450"/>
      <c r="AJ872" s="450"/>
      <c r="AK872" s="450"/>
    </row>
    <row r="873">
      <c r="A873" s="450"/>
      <c r="B873" s="450"/>
      <c r="C873" s="455"/>
      <c r="D873" s="450"/>
      <c r="E873" s="450"/>
      <c r="F873" s="450"/>
      <c r="G873" s="450"/>
      <c r="H873" s="450"/>
      <c r="I873" s="450"/>
      <c r="J873" s="450"/>
      <c r="K873" s="450"/>
      <c r="L873" s="450"/>
      <c r="M873" s="450"/>
      <c r="N873" s="450"/>
      <c r="O873" s="450"/>
      <c r="P873" s="450"/>
      <c r="Q873" s="450"/>
      <c r="R873" s="450"/>
      <c r="S873" s="450"/>
      <c r="T873" s="450"/>
      <c r="U873" s="450"/>
      <c r="V873" s="450"/>
      <c r="W873" s="450"/>
      <c r="X873" s="450"/>
      <c r="Y873" s="450"/>
      <c r="Z873" s="450"/>
      <c r="AA873" s="450"/>
      <c r="AB873" s="450"/>
      <c r="AC873" s="450"/>
      <c r="AD873" s="450"/>
      <c r="AE873" s="450"/>
      <c r="AF873" s="450"/>
      <c r="AG873" s="450"/>
      <c r="AH873" s="450"/>
      <c r="AI873" s="450"/>
      <c r="AJ873" s="450"/>
      <c r="AK873" s="450"/>
    </row>
    <row r="874">
      <c r="A874" s="450"/>
      <c r="B874" s="450"/>
      <c r="C874" s="455"/>
      <c r="D874" s="450"/>
      <c r="E874" s="450"/>
      <c r="F874" s="450"/>
      <c r="G874" s="450"/>
      <c r="H874" s="450"/>
      <c r="I874" s="450"/>
      <c r="J874" s="450"/>
      <c r="K874" s="450"/>
      <c r="L874" s="450"/>
      <c r="M874" s="450"/>
      <c r="N874" s="450"/>
      <c r="O874" s="450"/>
      <c r="P874" s="450"/>
      <c r="Q874" s="450"/>
      <c r="R874" s="450"/>
      <c r="S874" s="450"/>
      <c r="T874" s="450"/>
      <c r="U874" s="450"/>
      <c r="V874" s="450"/>
      <c r="W874" s="450"/>
      <c r="X874" s="450"/>
      <c r="Y874" s="450"/>
      <c r="Z874" s="450"/>
      <c r="AA874" s="450"/>
      <c r="AB874" s="450"/>
      <c r="AC874" s="450"/>
      <c r="AD874" s="450"/>
      <c r="AE874" s="450"/>
      <c r="AF874" s="450"/>
      <c r="AG874" s="450"/>
      <c r="AH874" s="450"/>
      <c r="AI874" s="450"/>
      <c r="AJ874" s="450"/>
      <c r="AK874" s="450"/>
    </row>
    <row r="875">
      <c r="A875" s="450"/>
      <c r="B875" s="450"/>
      <c r="C875" s="455"/>
      <c r="D875" s="450"/>
      <c r="E875" s="450"/>
      <c r="F875" s="450"/>
      <c r="G875" s="450"/>
      <c r="H875" s="450"/>
      <c r="I875" s="450"/>
      <c r="J875" s="450"/>
      <c r="K875" s="450"/>
      <c r="L875" s="450"/>
      <c r="M875" s="450"/>
      <c r="N875" s="450"/>
      <c r="O875" s="450"/>
      <c r="P875" s="450"/>
      <c r="Q875" s="450"/>
      <c r="R875" s="450"/>
      <c r="S875" s="450"/>
      <c r="T875" s="450"/>
      <c r="U875" s="450"/>
      <c r="V875" s="450"/>
      <c r="W875" s="450"/>
      <c r="X875" s="450"/>
      <c r="Y875" s="450"/>
      <c r="Z875" s="450"/>
      <c r="AA875" s="450"/>
      <c r="AB875" s="450"/>
      <c r="AC875" s="450"/>
      <c r="AD875" s="450"/>
      <c r="AE875" s="450"/>
      <c r="AF875" s="450"/>
      <c r="AG875" s="450"/>
      <c r="AH875" s="450"/>
      <c r="AI875" s="450"/>
      <c r="AJ875" s="450"/>
      <c r="AK875" s="450"/>
    </row>
    <row r="876">
      <c r="A876" s="450"/>
      <c r="B876" s="450"/>
      <c r="C876" s="455"/>
      <c r="D876" s="450"/>
      <c r="E876" s="450"/>
      <c r="F876" s="450"/>
      <c r="G876" s="450"/>
      <c r="H876" s="450"/>
      <c r="I876" s="450"/>
      <c r="J876" s="450"/>
      <c r="K876" s="450"/>
      <c r="L876" s="450"/>
      <c r="M876" s="450"/>
      <c r="N876" s="450"/>
      <c r="O876" s="450"/>
      <c r="P876" s="450"/>
      <c r="Q876" s="450"/>
      <c r="R876" s="450"/>
      <c r="S876" s="450"/>
      <c r="T876" s="450"/>
      <c r="U876" s="450"/>
      <c r="V876" s="450"/>
      <c r="W876" s="450"/>
      <c r="X876" s="450"/>
      <c r="Y876" s="450"/>
      <c r="Z876" s="450"/>
      <c r="AA876" s="450"/>
      <c r="AB876" s="450"/>
      <c r="AC876" s="450"/>
      <c r="AD876" s="450"/>
      <c r="AE876" s="450"/>
      <c r="AF876" s="450"/>
      <c r="AG876" s="450"/>
      <c r="AH876" s="450"/>
      <c r="AI876" s="450"/>
      <c r="AJ876" s="450"/>
      <c r="AK876" s="450"/>
    </row>
    <row r="877">
      <c r="A877" s="450"/>
      <c r="B877" s="450"/>
      <c r="C877" s="455"/>
      <c r="D877" s="450"/>
      <c r="E877" s="450"/>
      <c r="F877" s="450"/>
      <c r="G877" s="450"/>
      <c r="H877" s="450"/>
      <c r="I877" s="450"/>
      <c r="J877" s="450"/>
      <c r="K877" s="450"/>
      <c r="L877" s="450"/>
      <c r="M877" s="450"/>
      <c r="N877" s="450"/>
      <c r="O877" s="450"/>
      <c r="P877" s="450"/>
      <c r="Q877" s="450"/>
      <c r="R877" s="450"/>
      <c r="S877" s="450"/>
      <c r="T877" s="450"/>
      <c r="U877" s="450"/>
      <c r="V877" s="450"/>
      <c r="W877" s="450"/>
      <c r="X877" s="450"/>
      <c r="Y877" s="450"/>
      <c r="Z877" s="450"/>
      <c r="AA877" s="450"/>
      <c r="AB877" s="450"/>
      <c r="AC877" s="450"/>
      <c r="AD877" s="450"/>
      <c r="AE877" s="450"/>
      <c r="AF877" s="450"/>
      <c r="AG877" s="450"/>
      <c r="AH877" s="450"/>
      <c r="AI877" s="450"/>
      <c r="AJ877" s="450"/>
      <c r="AK877" s="450"/>
    </row>
    <row r="878">
      <c r="A878" s="450"/>
      <c r="B878" s="450"/>
      <c r="C878" s="455"/>
      <c r="D878" s="450"/>
      <c r="E878" s="450"/>
      <c r="F878" s="450"/>
      <c r="G878" s="450"/>
      <c r="H878" s="450"/>
      <c r="I878" s="450"/>
      <c r="J878" s="450"/>
      <c r="K878" s="450"/>
      <c r="L878" s="450"/>
      <c r="M878" s="450"/>
      <c r="N878" s="450"/>
      <c r="O878" s="450"/>
      <c r="P878" s="450"/>
      <c r="Q878" s="450"/>
      <c r="R878" s="450"/>
      <c r="S878" s="450"/>
      <c r="T878" s="450"/>
      <c r="U878" s="450"/>
      <c r="V878" s="450"/>
      <c r="W878" s="450"/>
      <c r="X878" s="450"/>
      <c r="Y878" s="450"/>
      <c r="Z878" s="450"/>
      <c r="AA878" s="450"/>
      <c r="AB878" s="450"/>
      <c r="AC878" s="450"/>
      <c r="AD878" s="450"/>
      <c r="AE878" s="450"/>
      <c r="AF878" s="450"/>
      <c r="AG878" s="450"/>
      <c r="AH878" s="450"/>
      <c r="AI878" s="450"/>
      <c r="AJ878" s="450"/>
      <c r="AK878" s="450"/>
    </row>
    <row r="879">
      <c r="A879" s="450"/>
      <c r="B879" s="450"/>
      <c r="C879" s="455"/>
      <c r="D879" s="450"/>
      <c r="E879" s="450"/>
      <c r="F879" s="450"/>
      <c r="G879" s="450"/>
      <c r="H879" s="450"/>
      <c r="I879" s="450"/>
      <c r="J879" s="450"/>
      <c r="K879" s="450"/>
      <c r="L879" s="450"/>
      <c r="M879" s="450"/>
      <c r="N879" s="450"/>
      <c r="O879" s="450"/>
      <c r="P879" s="450"/>
      <c r="Q879" s="450"/>
      <c r="R879" s="450"/>
      <c r="S879" s="450"/>
      <c r="T879" s="450"/>
      <c r="U879" s="450"/>
      <c r="V879" s="450"/>
      <c r="W879" s="450"/>
      <c r="X879" s="450"/>
      <c r="Y879" s="450"/>
      <c r="Z879" s="450"/>
      <c r="AA879" s="450"/>
      <c r="AB879" s="450"/>
      <c r="AC879" s="450"/>
      <c r="AD879" s="450"/>
      <c r="AE879" s="450"/>
      <c r="AF879" s="450"/>
      <c r="AG879" s="450"/>
      <c r="AH879" s="450"/>
      <c r="AI879" s="450"/>
      <c r="AJ879" s="450"/>
      <c r="AK879" s="450"/>
    </row>
    <row r="880">
      <c r="A880" s="450"/>
      <c r="B880" s="450"/>
      <c r="C880" s="455"/>
      <c r="D880" s="450"/>
      <c r="E880" s="450"/>
      <c r="F880" s="450"/>
      <c r="G880" s="450"/>
      <c r="H880" s="450"/>
      <c r="I880" s="450"/>
      <c r="J880" s="450"/>
      <c r="K880" s="450"/>
      <c r="L880" s="450"/>
      <c r="M880" s="450"/>
      <c r="N880" s="450"/>
      <c r="O880" s="450"/>
      <c r="P880" s="450"/>
      <c r="Q880" s="450"/>
      <c r="R880" s="450"/>
      <c r="S880" s="450"/>
      <c r="T880" s="450"/>
      <c r="U880" s="450"/>
      <c r="V880" s="450"/>
      <c r="W880" s="450"/>
      <c r="X880" s="450"/>
      <c r="Y880" s="450"/>
      <c r="Z880" s="450"/>
      <c r="AA880" s="450"/>
      <c r="AB880" s="450"/>
      <c r="AC880" s="450"/>
      <c r="AD880" s="450"/>
      <c r="AE880" s="450"/>
      <c r="AF880" s="450"/>
      <c r="AG880" s="450"/>
      <c r="AH880" s="450"/>
      <c r="AI880" s="450"/>
      <c r="AJ880" s="450"/>
      <c r="AK880" s="450"/>
    </row>
    <row r="881">
      <c r="A881" s="450"/>
      <c r="B881" s="450"/>
      <c r="C881" s="455"/>
      <c r="D881" s="450"/>
      <c r="E881" s="450"/>
      <c r="F881" s="450"/>
      <c r="G881" s="450"/>
      <c r="H881" s="450"/>
      <c r="I881" s="450"/>
      <c r="J881" s="450"/>
      <c r="K881" s="450"/>
      <c r="L881" s="450"/>
      <c r="M881" s="450"/>
      <c r="N881" s="450"/>
      <c r="O881" s="450"/>
      <c r="P881" s="450"/>
      <c r="Q881" s="450"/>
      <c r="R881" s="450"/>
      <c r="S881" s="450"/>
      <c r="T881" s="450"/>
      <c r="U881" s="450"/>
      <c r="V881" s="450"/>
      <c r="W881" s="450"/>
      <c r="X881" s="450"/>
      <c r="Y881" s="450"/>
      <c r="Z881" s="450"/>
      <c r="AA881" s="450"/>
      <c r="AB881" s="450"/>
      <c r="AC881" s="450"/>
      <c r="AD881" s="450"/>
      <c r="AE881" s="450"/>
      <c r="AF881" s="450"/>
      <c r="AG881" s="450"/>
      <c r="AH881" s="450"/>
      <c r="AI881" s="450"/>
      <c r="AJ881" s="450"/>
      <c r="AK881" s="450"/>
    </row>
    <row r="882">
      <c r="A882" s="450"/>
      <c r="B882" s="450"/>
      <c r="C882" s="455"/>
      <c r="D882" s="450"/>
      <c r="E882" s="450"/>
      <c r="F882" s="450"/>
      <c r="G882" s="450"/>
      <c r="H882" s="450"/>
      <c r="I882" s="450"/>
      <c r="J882" s="450"/>
      <c r="K882" s="450"/>
      <c r="L882" s="450"/>
      <c r="M882" s="450"/>
      <c r="N882" s="450"/>
      <c r="O882" s="450"/>
      <c r="P882" s="450"/>
      <c r="Q882" s="450"/>
      <c r="R882" s="450"/>
      <c r="S882" s="450"/>
      <c r="T882" s="450"/>
      <c r="U882" s="450"/>
      <c r="V882" s="450"/>
      <c r="W882" s="450"/>
      <c r="X882" s="450"/>
      <c r="Y882" s="450"/>
      <c r="Z882" s="450"/>
      <c r="AA882" s="450"/>
      <c r="AB882" s="450"/>
      <c r="AC882" s="450"/>
      <c r="AD882" s="450"/>
      <c r="AE882" s="450"/>
      <c r="AF882" s="450"/>
      <c r="AG882" s="450"/>
      <c r="AH882" s="450"/>
      <c r="AI882" s="450"/>
      <c r="AJ882" s="450"/>
      <c r="AK882" s="450"/>
    </row>
    <row r="883">
      <c r="A883" s="450"/>
      <c r="B883" s="450"/>
      <c r="C883" s="455"/>
      <c r="D883" s="450"/>
      <c r="E883" s="450"/>
      <c r="F883" s="450"/>
      <c r="G883" s="450"/>
      <c r="H883" s="450"/>
      <c r="I883" s="450"/>
      <c r="J883" s="450"/>
      <c r="K883" s="450"/>
      <c r="L883" s="450"/>
      <c r="M883" s="450"/>
      <c r="N883" s="450"/>
      <c r="O883" s="450"/>
      <c r="P883" s="450"/>
      <c r="Q883" s="450"/>
      <c r="R883" s="450"/>
      <c r="S883" s="450"/>
      <c r="T883" s="450"/>
      <c r="U883" s="450"/>
      <c r="V883" s="450"/>
      <c r="W883" s="450"/>
      <c r="X883" s="450"/>
      <c r="Y883" s="450"/>
      <c r="Z883" s="450"/>
      <c r="AA883" s="450"/>
      <c r="AB883" s="450"/>
      <c r="AC883" s="450"/>
      <c r="AD883" s="450"/>
      <c r="AE883" s="450"/>
      <c r="AF883" s="450"/>
      <c r="AG883" s="450"/>
      <c r="AH883" s="450"/>
      <c r="AI883" s="450"/>
      <c r="AJ883" s="450"/>
      <c r="AK883" s="450"/>
    </row>
    <row r="884">
      <c r="A884" s="450"/>
      <c r="B884" s="450"/>
      <c r="C884" s="455"/>
      <c r="D884" s="450"/>
      <c r="E884" s="450"/>
      <c r="F884" s="450"/>
      <c r="G884" s="450"/>
      <c r="H884" s="450"/>
      <c r="I884" s="450"/>
      <c r="J884" s="450"/>
      <c r="K884" s="450"/>
      <c r="L884" s="450"/>
      <c r="M884" s="450"/>
      <c r="N884" s="450"/>
      <c r="O884" s="450"/>
      <c r="P884" s="450"/>
      <c r="Q884" s="450"/>
      <c r="R884" s="450"/>
      <c r="S884" s="450"/>
      <c r="T884" s="450"/>
      <c r="U884" s="450"/>
      <c r="V884" s="450"/>
      <c r="W884" s="450"/>
      <c r="X884" s="450"/>
      <c r="Y884" s="450"/>
      <c r="Z884" s="450"/>
      <c r="AA884" s="450"/>
      <c r="AB884" s="450"/>
      <c r="AC884" s="450"/>
      <c r="AD884" s="450"/>
      <c r="AE884" s="450"/>
      <c r="AF884" s="450"/>
      <c r="AG884" s="450"/>
      <c r="AH884" s="450"/>
      <c r="AI884" s="450"/>
      <c r="AJ884" s="450"/>
      <c r="AK884" s="450"/>
    </row>
    <row r="885">
      <c r="A885" s="450"/>
      <c r="B885" s="450"/>
      <c r="C885" s="455"/>
      <c r="D885" s="450"/>
      <c r="E885" s="450"/>
      <c r="F885" s="450"/>
      <c r="G885" s="450"/>
      <c r="H885" s="450"/>
      <c r="I885" s="450"/>
      <c r="J885" s="450"/>
      <c r="K885" s="450"/>
      <c r="L885" s="450"/>
      <c r="M885" s="450"/>
      <c r="N885" s="450"/>
      <c r="O885" s="450"/>
      <c r="P885" s="450"/>
      <c r="Q885" s="450"/>
      <c r="R885" s="450"/>
      <c r="S885" s="450"/>
      <c r="T885" s="450"/>
      <c r="U885" s="450"/>
      <c r="V885" s="450"/>
      <c r="W885" s="450"/>
      <c r="X885" s="450"/>
      <c r="Y885" s="450"/>
      <c r="Z885" s="450"/>
      <c r="AA885" s="450"/>
      <c r="AB885" s="450"/>
      <c r="AC885" s="450"/>
      <c r="AD885" s="450"/>
      <c r="AE885" s="450"/>
      <c r="AF885" s="450"/>
      <c r="AG885" s="450"/>
      <c r="AH885" s="450"/>
      <c r="AI885" s="450"/>
      <c r="AJ885" s="450"/>
      <c r="AK885" s="450"/>
    </row>
    <row r="886">
      <c r="A886" s="450"/>
      <c r="B886" s="450"/>
      <c r="C886" s="455"/>
      <c r="D886" s="450"/>
      <c r="E886" s="450"/>
      <c r="F886" s="450"/>
      <c r="G886" s="450"/>
      <c r="H886" s="450"/>
      <c r="I886" s="450"/>
      <c r="J886" s="450"/>
      <c r="K886" s="450"/>
      <c r="L886" s="450"/>
      <c r="M886" s="450"/>
      <c r="N886" s="450"/>
      <c r="O886" s="450"/>
      <c r="P886" s="450"/>
      <c r="Q886" s="450"/>
      <c r="R886" s="450"/>
      <c r="S886" s="450"/>
      <c r="T886" s="450"/>
      <c r="U886" s="450"/>
      <c r="V886" s="450"/>
      <c r="W886" s="450"/>
      <c r="X886" s="450"/>
      <c r="Y886" s="450"/>
      <c r="Z886" s="450"/>
      <c r="AA886" s="450"/>
      <c r="AB886" s="450"/>
      <c r="AC886" s="450"/>
      <c r="AD886" s="450"/>
      <c r="AE886" s="450"/>
      <c r="AF886" s="450"/>
      <c r="AG886" s="450"/>
      <c r="AH886" s="450"/>
      <c r="AI886" s="450"/>
      <c r="AJ886" s="450"/>
      <c r="AK886" s="450"/>
    </row>
    <row r="887">
      <c r="A887" s="450"/>
      <c r="B887" s="450"/>
      <c r="C887" s="455"/>
      <c r="D887" s="450"/>
      <c r="E887" s="450"/>
      <c r="F887" s="450"/>
      <c r="G887" s="450"/>
      <c r="H887" s="450"/>
      <c r="I887" s="450"/>
      <c r="J887" s="450"/>
      <c r="K887" s="450"/>
      <c r="L887" s="450"/>
      <c r="M887" s="450"/>
      <c r="N887" s="450"/>
      <c r="O887" s="450"/>
      <c r="P887" s="450"/>
      <c r="Q887" s="450"/>
      <c r="R887" s="450"/>
      <c r="S887" s="450"/>
      <c r="T887" s="450"/>
      <c r="U887" s="450"/>
      <c r="V887" s="450"/>
      <c r="W887" s="450"/>
      <c r="X887" s="450"/>
      <c r="Y887" s="450"/>
      <c r="Z887" s="450"/>
      <c r="AA887" s="450"/>
      <c r="AB887" s="450"/>
      <c r="AC887" s="450"/>
      <c r="AD887" s="450"/>
      <c r="AE887" s="450"/>
      <c r="AF887" s="450"/>
      <c r="AG887" s="450"/>
      <c r="AH887" s="450"/>
      <c r="AI887" s="450"/>
      <c r="AJ887" s="450"/>
      <c r="AK887" s="450"/>
    </row>
    <row r="888">
      <c r="A888" s="450"/>
      <c r="B888" s="450"/>
      <c r="C888" s="455"/>
      <c r="D888" s="450"/>
      <c r="E888" s="450"/>
      <c r="F888" s="450"/>
      <c r="G888" s="450"/>
      <c r="H888" s="450"/>
      <c r="I888" s="450"/>
      <c r="J888" s="450"/>
      <c r="K888" s="450"/>
      <c r="L888" s="450"/>
      <c r="M888" s="450"/>
      <c r="N888" s="450"/>
      <c r="O888" s="450"/>
      <c r="P888" s="450"/>
      <c r="Q888" s="450"/>
      <c r="R888" s="450"/>
      <c r="S888" s="450"/>
      <c r="T888" s="450"/>
      <c r="U888" s="450"/>
      <c r="V888" s="450"/>
      <c r="W888" s="450"/>
      <c r="X888" s="450"/>
      <c r="Y888" s="450"/>
      <c r="Z888" s="450"/>
      <c r="AA888" s="450"/>
      <c r="AB888" s="450"/>
      <c r="AC888" s="450"/>
      <c r="AD888" s="450"/>
      <c r="AE888" s="450"/>
      <c r="AF888" s="450"/>
      <c r="AG888" s="450"/>
      <c r="AH888" s="450"/>
      <c r="AI888" s="450"/>
      <c r="AJ888" s="450"/>
      <c r="AK888" s="450"/>
    </row>
    <row r="889">
      <c r="A889" s="450"/>
      <c r="B889" s="450"/>
      <c r="C889" s="455"/>
      <c r="D889" s="450"/>
      <c r="E889" s="450"/>
      <c r="F889" s="450"/>
      <c r="G889" s="450"/>
      <c r="H889" s="450"/>
      <c r="I889" s="450"/>
      <c r="J889" s="450"/>
      <c r="K889" s="450"/>
      <c r="L889" s="450"/>
      <c r="M889" s="450"/>
      <c r="N889" s="450"/>
      <c r="O889" s="450"/>
      <c r="P889" s="450"/>
      <c r="Q889" s="450"/>
      <c r="R889" s="450"/>
      <c r="S889" s="450"/>
      <c r="T889" s="450"/>
      <c r="U889" s="450"/>
      <c r="V889" s="450"/>
      <c r="W889" s="450"/>
      <c r="X889" s="450"/>
      <c r="Y889" s="450"/>
      <c r="Z889" s="450"/>
      <c r="AA889" s="450"/>
      <c r="AB889" s="450"/>
      <c r="AC889" s="450"/>
      <c r="AD889" s="450"/>
      <c r="AE889" s="450"/>
      <c r="AF889" s="450"/>
      <c r="AG889" s="450"/>
      <c r="AH889" s="450"/>
      <c r="AI889" s="450"/>
      <c r="AJ889" s="450"/>
      <c r="AK889" s="450"/>
    </row>
    <row r="890">
      <c r="A890" s="450"/>
      <c r="B890" s="450"/>
      <c r="C890" s="455"/>
      <c r="D890" s="450"/>
      <c r="E890" s="450"/>
      <c r="F890" s="450"/>
      <c r="G890" s="450"/>
      <c r="H890" s="450"/>
      <c r="I890" s="450"/>
      <c r="J890" s="450"/>
      <c r="K890" s="450"/>
      <c r="L890" s="450"/>
      <c r="M890" s="450"/>
      <c r="N890" s="450"/>
      <c r="O890" s="450"/>
      <c r="P890" s="450"/>
      <c r="Q890" s="450"/>
      <c r="R890" s="450"/>
      <c r="S890" s="450"/>
      <c r="T890" s="450"/>
      <c r="U890" s="450"/>
      <c r="V890" s="450"/>
      <c r="W890" s="450"/>
      <c r="X890" s="450"/>
      <c r="Y890" s="450"/>
      <c r="Z890" s="450"/>
      <c r="AA890" s="450"/>
      <c r="AB890" s="450"/>
      <c r="AC890" s="450"/>
      <c r="AD890" s="450"/>
      <c r="AE890" s="450"/>
      <c r="AF890" s="450"/>
      <c r="AG890" s="450"/>
      <c r="AH890" s="450"/>
      <c r="AI890" s="450"/>
      <c r="AJ890" s="450"/>
      <c r="AK890" s="450"/>
    </row>
    <row r="891">
      <c r="A891" s="450"/>
      <c r="B891" s="450"/>
      <c r="C891" s="455"/>
      <c r="D891" s="450"/>
      <c r="E891" s="450"/>
      <c r="F891" s="450"/>
      <c r="G891" s="450"/>
      <c r="H891" s="450"/>
      <c r="I891" s="450"/>
      <c r="J891" s="450"/>
      <c r="K891" s="450"/>
      <c r="L891" s="450"/>
      <c r="M891" s="450"/>
      <c r="N891" s="450"/>
      <c r="O891" s="450"/>
      <c r="P891" s="450"/>
      <c r="Q891" s="450"/>
      <c r="R891" s="450"/>
      <c r="S891" s="450"/>
      <c r="T891" s="450"/>
      <c r="U891" s="450"/>
      <c r="V891" s="450"/>
      <c r="W891" s="450"/>
      <c r="X891" s="450"/>
      <c r="Y891" s="450"/>
      <c r="Z891" s="450"/>
      <c r="AA891" s="450"/>
      <c r="AB891" s="450"/>
      <c r="AC891" s="450"/>
      <c r="AD891" s="450"/>
      <c r="AE891" s="450"/>
      <c r="AF891" s="450"/>
      <c r="AG891" s="450"/>
      <c r="AH891" s="450"/>
      <c r="AI891" s="450"/>
      <c r="AJ891" s="450"/>
      <c r="AK891" s="450"/>
    </row>
    <row r="892">
      <c r="A892" s="450"/>
      <c r="B892" s="450"/>
      <c r="C892" s="455"/>
      <c r="D892" s="450"/>
      <c r="E892" s="450"/>
      <c r="F892" s="450"/>
      <c r="G892" s="450"/>
      <c r="H892" s="450"/>
      <c r="I892" s="450"/>
      <c r="J892" s="450"/>
      <c r="K892" s="450"/>
      <c r="L892" s="450"/>
      <c r="M892" s="450"/>
      <c r="N892" s="450"/>
      <c r="O892" s="450"/>
      <c r="P892" s="450"/>
      <c r="Q892" s="450"/>
      <c r="R892" s="450"/>
      <c r="S892" s="450"/>
      <c r="T892" s="450"/>
      <c r="U892" s="450"/>
      <c r="V892" s="450"/>
      <c r="W892" s="450"/>
      <c r="X892" s="450"/>
      <c r="Y892" s="450"/>
      <c r="Z892" s="450"/>
      <c r="AA892" s="450"/>
      <c r="AB892" s="450"/>
      <c r="AC892" s="450"/>
      <c r="AD892" s="450"/>
      <c r="AE892" s="450"/>
      <c r="AF892" s="450"/>
      <c r="AG892" s="450"/>
      <c r="AH892" s="450"/>
      <c r="AI892" s="450"/>
      <c r="AJ892" s="450"/>
      <c r="AK892" s="450"/>
    </row>
    <row r="893">
      <c r="A893" s="450"/>
      <c r="B893" s="450"/>
      <c r="C893" s="455"/>
      <c r="D893" s="450"/>
      <c r="E893" s="450"/>
      <c r="F893" s="450"/>
      <c r="G893" s="450"/>
      <c r="H893" s="450"/>
      <c r="I893" s="450"/>
      <c r="J893" s="450"/>
      <c r="K893" s="450"/>
      <c r="L893" s="450"/>
      <c r="M893" s="450"/>
      <c r="N893" s="450"/>
      <c r="O893" s="450"/>
      <c r="P893" s="450"/>
      <c r="Q893" s="450"/>
      <c r="R893" s="450"/>
      <c r="S893" s="450"/>
      <c r="T893" s="450"/>
      <c r="U893" s="450"/>
      <c r="V893" s="450"/>
      <c r="W893" s="450"/>
      <c r="X893" s="450"/>
      <c r="Y893" s="450"/>
      <c r="Z893" s="450"/>
      <c r="AA893" s="450"/>
      <c r="AB893" s="450"/>
      <c r="AC893" s="450"/>
      <c r="AD893" s="450"/>
      <c r="AE893" s="450"/>
      <c r="AF893" s="450"/>
      <c r="AG893" s="450"/>
      <c r="AH893" s="450"/>
      <c r="AI893" s="450"/>
      <c r="AJ893" s="450"/>
      <c r="AK893" s="450"/>
    </row>
    <row r="894">
      <c r="A894" s="450"/>
      <c r="B894" s="450"/>
      <c r="C894" s="455"/>
      <c r="D894" s="450"/>
      <c r="E894" s="450"/>
      <c r="F894" s="450"/>
      <c r="G894" s="450"/>
      <c r="H894" s="450"/>
      <c r="I894" s="450"/>
      <c r="J894" s="450"/>
      <c r="K894" s="450"/>
      <c r="L894" s="450"/>
      <c r="M894" s="450"/>
      <c r="N894" s="450"/>
      <c r="O894" s="450"/>
      <c r="P894" s="450"/>
      <c r="Q894" s="450"/>
      <c r="R894" s="450"/>
      <c r="S894" s="450"/>
      <c r="T894" s="450"/>
      <c r="U894" s="450"/>
      <c r="V894" s="450"/>
      <c r="W894" s="450"/>
      <c r="X894" s="450"/>
      <c r="Y894" s="450"/>
      <c r="Z894" s="450"/>
      <c r="AA894" s="450"/>
      <c r="AB894" s="450"/>
      <c r="AC894" s="450"/>
      <c r="AD894" s="450"/>
      <c r="AE894" s="450"/>
      <c r="AF894" s="450"/>
      <c r="AG894" s="450"/>
      <c r="AH894" s="450"/>
      <c r="AI894" s="450"/>
      <c r="AJ894" s="450"/>
      <c r="AK894" s="450"/>
    </row>
    <row r="895">
      <c r="A895" s="450"/>
      <c r="B895" s="450"/>
      <c r="C895" s="455"/>
      <c r="D895" s="450"/>
      <c r="E895" s="450"/>
      <c r="F895" s="450"/>
      <c r="G895" s="450"/>
      <c r="H895" s="450"/>
      <c r="I895" s="450"/>
      <c r="J895" s="450"/>
      <c r="K895" s="450"/>
      <c r="L895" s="450"/>
      <c r="M895" s="450"/>
      <c r="N895" s="450"/>
      <c r="O895" s="450"/>
      <c r="P895" s="450"/>
      <c r="Q895" s="450"/>
      <c r="R895" s="450"/>
      <c r="S895" s="450"/>
      <c r="T895" s="450"/>
      <c r="U895" s="450"/>
      <c r="V895" s="450"/>
      <c r="W895" s="450"/>
      <c r="X895" s="450"/>
      <c r="Y895" s="450"/>
      <c r="Z895" s="450"/>
      <c r="AA895" s="450"/>
      <c r="AB895" s="450"/>
      <c r="AC895" s="450"/>
      <c r="AD895" s="450"/>
      <c r="AE895" s="450"/>
      <c r="AF895" s="450"/>
      <c r="AG895" s="450"/>
      <c r="AH895" s="450"/>
      <c r="AI895" s="450"/>
      <c r="AJ895" s="450"/>
      <c r="AK895" s="450"/>
    </row>
    <row r="896">
      <c r="A896" s="450"/>
      <c r="B896" s="450"/>
      <c r="C896" s="455"/>
      <c r="D896" s="450"/>
      <c r="E896" s="450"/>
      <c r="F896" s="450"/>
      <c r="G896" s="450"/>
      <c r="H896" s="450"/>
      <c r="I896" s="450"/>
      <c r="J896" s="450"/>
      <c r="K896" s="450"/>
      <c r="L896" s="450"/>
      <c r="M896" s="450"/>
      <c r="N896" s="450"/>
      <c r="O896" s="450"/>
      <c r="P896" s="450"/>
      <c r="Q896" s="450"/>
      <c r="R896" s="450"/>
      <c r="S896" s="450"/>
      <c r="T896" s="450"/>
      <c r="U896" s="450"/>
      <c r="V896" s="450"/>
      <c r="W896" s="450"/>
      <c r="X896" s="450"/>
      <c r="Y896" s="450"/>
      <c r="Z896" s="450"/>
      <c r="AA896" s="450"/>
      <c r="AB896" s="450"/>
      <c r="AC896" s="450"/>
      <c r="AD896" s="450"/>
      <c r="AE896" s="450"/>
      <c r="AF896" s="450"/>
      <c r="AG896" s="450"/>
      <c r="AH896" s="450"/>
      <c r="AI896" s="450"/>
      <c r="AJ896" s="450"/>
      <c r="AK896" s="450"/>
    </row>
    <row r="897">
      <c r="A897" s="450"/>
      <c r="B897" s="450"/>
      <c r="C897" s="455"/>
      <c r="D897" s="450"/>
      <c r="E897" s="450"/>
      <c r="F897" s="450"/>
      <c r="G897" s="450"/>
      <c r="H897" s="450"/>
      <c r="I897" s="450"/>
      <c r="J897" s="450"/>
      <c r="K897" s="450"/>
      <c r="L897" s="450"/>
      <c r="M897" s="450"/>
      <c r="N897" s="450"/>
      <c r="O897" s="450"/>
      <c r="P897" s="450"/>
      <c r="Q897" s="450"/>
      <c r="R897" s="450"/>
      <c r="S897" s="450"/>
      <c r="T897" s="450"/>
      <c r="U897" s="450"/>
      <c r="V897" s="450"/>
      <c r="W897" s="450"/>
      <c r="X897" s="450"/>
      <c r="Y897" s="450"/>
      <c r="Z897" s="450"/>
      <c r="AA897" s="450"/>
      <c r="AB897" s="450"/>
      <c r="AC897" s="450"/>
      <c r="AD897" s="450"/>
      <c r="AE897" s="450"/>
      <c r="AF897" s="450"/>
      <c r="AG897" s="450"/>
      <c r="AH897" s="450"/>
      <c r="AI897" s="450"/>
      <c r="AJ897" s="450"/>
      <c r="AK897" s="450"/>
    </row>
    <row r="898">
      <c r="A898" s="450"/>
      <c r="B898" s="450"/>
      <c r="C898" s="455"/>
      <c r="D898" s="450"/>
      <c r="E898" s="450"/>
      <c r="F898" s="450"/>
      <c r="G898" s="450"/>
      <c r="H898" s="450"/>
      <c r="I898" s="450"/>
      <c r="J898" s="450"/>
      <c r="K898" s="450"/>
      <c r="L898" s="450"/>
      <c r="M898" s="450"/>
      <c r="N898" s="450"/>
      <c r="O898" s="450"/>
      <c r="P898" s="450"/>
      <c r="Q898" s="450"/>
      <c r="R898" s="450"/>
      <c r="S898" s="450"/>
      <c r="T898" s="450"/>
      <c r="U898" s="450"/>
      <c r="V898" s="450"/>
      <c r="W898" s="450"/>
      <c r="X898" s="450"/>
      <c r="Y898" s="450"/>
      <c r="Z898" s="450"/>
      <c r="AA898" s="450"/>
      <c r="AB898" s="450"/>
      <c r="AC898" s="450"/>
      <c r="AD898" s="450"/>
      <c r="AE898" s="450"/>
      <c r="AF898" s="450"/>
      <c r="AG898" s="450"/>
      <c r="AH898" s="450"/>
      <c r="AI898" s="450"/>
      <c r="AJ898" s="450"/>
      <c r="AK898" s="450"/>
    </row>
    <row r="899">
      <c r="A899" s="450"/>
      <c r="B899" s="450"/>
      <c r="C899" s="455"/>
      <c r="D899" s="450"/>
      <c r="E899" s="450"/>
      <c r="F899" s="450"/>
      <c r="G899" s="450"/>
      <c r="H899" s="450"/>
      <c r="I899" s="450"/>
      <c r="J899" s="450"/>
      <c r="K899" s="450"/>
      <c r="L899" s="450"/>
      <c r="M899" s="450"/>
      <c r="N899" s="450"/>
      <c r="O899" s="450"/>
      <c r="P899" s="450"/>
      <c r="Q899" s="450"/>
      <c r="R899" s="450"/>
      <c r="S899" s="450"/>
      <c r="T899" s="450"/>
      <c r="U899" s="450"/>
      <c r="V899" s="450"/>
      <c r="W899" s="450"/>
      <c r="X899" s="450"/>
      <c r="Y899" s="450"/>
      <c r="Z899" s="450"/>
      <c r="AA899" s="450"/>
      <c r="AB899" s="450"/>
      <c r="AC899" s="450"/>
      <c r="AD899" s="450"/>
      <c r="AE899" s="450"/>
      <c r="AF899" s="450"/>
      <c r="AG899" s="450"/>
      <c r="AH899" s="450"/>
      <c r="AI899" s="450"/>
      <c r="AJ899" s="450"/>
      <c r="AK899" s="450"/>
    </row>
    <row r="900">
      <c r="A900" s="450"/>
      <c r="B900" s="450"/>
      <c r="C900" s="455"/>
      <c r="D900" s="450"/>
      <c r="E900" s="450"/>
      <c r="F900" s="450"/>
      <c r="G900" s="450"/>
      <c r="H900" s="450"/>
      <c r="I900" s="450"/>
      <c r="J900" s="450"/>
      <c r="K900" s="450"/>
      <c r="L900" s="450"/>
      <c r="M900" s="450"/>
      <c r="N900" s="450"/>
      <c r="O900" s="450"/>
      <c r="P900" s="450"/>
      <c r="Q900" s="450"/>
      <c r="R900" s="450"/>
      <c r="S900" s="450"/>
      <c r="T900" s="450"/>
      <c r="U900" s="450"/>
      <c r="V900" s="450"/>
      <c r="W900" s="450"/>
      <c r="X900" s="450"/>
      <c r="Y900" s="450"/>
      <c r="Z900" s="450"/>
      <c r="AA900" s="450"/>
      <c r="AB900" s="450"/>
      <c r="AC900" s="450"/>
      <c r="AD900" s="450"/>
      <c r="AE900" s="450"/>
      <c r="AF900" s="450"/>
      <c r="AG900" s="450"/>
      <c r="AH900" s="450"/>
      <c r="AI900" s="450"/>
      <c r="AJ900" s="450"/>
      <c r="AK900" s="450"/>
    </row>
    <row r="901">
      <c r="A901" s="450"/>
      <c r="B901" s="450"/>
      <c r="C901" s="455"/>
      <c r="D901" s="450"/>
      <c r="E901" s="450"/>
      <c r="F901" s="450"/>
      <c r="G901" s="450"/>
      <c r="H901" s="450"/>
      <c r="I901" s="450"/>
      <c r="J901" s="450"/>
      <c r="K901" s="450"/>
      <c r="L901" s="450"/>
      <c r="M901" s="450"/>
      <c r="N901" s="450"/>
      <c r="O901" s="450"/>
      <c r="P901" s="450"/>
      <c r="Q901" s="450"/>
      <c r="R901" s="450"/>
      <c r="S901" s="450"/>
      <c r="T901" s="450"/>
      <c r="U901" s="450"/>
      <c r="V901" s="450"/>
      <c r="W901" s="450"/>
      <c r="X901" s="450"/>
      <c r="Y901" s="450"/>
      <c r="Z901" s="450"/>
      <c r="AA901" s="450"/>
      <c r="AB901" s="450"/>
      <c r="AC901" s="450"/>
      <c r="AD901" s="450"/>
      <c r="AE901" s="450"/>
      <c r="AF901" s="450"/>
      <c r="AG901" s="450"/>
      <c r="AH901" s="450"/>
      <c r="AI901" s="450"/>
      <c r="AJ901" s="450"/>
      <c r="AK901" s="450"/>
    </row>
    <row r="902">
      <c r="A902" s="450"/>
      <c r="B902" s="450"/>
      <c r="C902" s="455"/>
      <c r="D902" s="450"/>
      <c r="E902" s="450"/>
      <c r="F902" s="450"/>
      <c r="G902" s="450"/>
      <c r="H902" s="450"/>
      <c r="I902" s="450"/>
      <c r="J902" s="450"/>
      <c r="K902" s="450"/>
      <c r="L902" s="450"/>
      <c r="M902" s="450"/>
      <c r="N902" s="450"/>
      <c r="O902" s="450"/>
      <c r="P902" s="450"/>
      <c r="Q902" s="450"/>
      <c r="R902" s="450"/>
      <c r="S902" s="450"/>
      <c r="T902" s="450"/>
      <c r="U902" s="450"/>
      <c r="V902" s="450"/>
      <c r="W902" s="450"/>
      <c r="X902" s="450"/>
      <c r="Y902" s="450"/>
      <c r="Z902" s="450"/>
      <c r="AA902" s="450"/>
      <c r="AB902" s="450"/>
      <c r="AC902" s="450"/>
      <c r="AD902" s="450"/>
      <c r="AE902" s="450"/>
      <c r="AF902" s="450"/>
      <c r="AG902" s="450"/>
      <c r="AH902" s="450"/>
      <c r="AI902" s="450"/>
      <c r="AJ902" s="450"/>
      <c r="AK902" s="450"/>
    </row>
    <row r="903">
      <c r="A903" s="450"/>
      <c r="B903" s="450"/>
      <c r="C903" s="455"/>
      <c r="D903" s="450"/>
      <c r="E903" s="450"/>
      <c r="F903" s="450"/>
      <c r="G903" s="450"/>
      <c r="H903" s="450"/>
      <c r="I903" s="450"/>
      <c r="J903" s="450"/>
      <c r="K903" s="450"/>
      <c r="L903" s="450"/>
      <c r="M903" s="450"/>
      <c r="N903" s="450"/>
      <c r="O903" s="450"/>
      <c r="P903" s="450"/>
      <c r="Q903" s="450"/>
      <c r="R903" s="450"/>
      <c r="S903" s="450"/>
      <c r="T903" s="450"/>
      <c r="U903" s="450"/>
      <c r="V903" s="450"/>
      <c r="W903" s="450"/>
      <c r="X903" s="450"/>
      <c r="Y903" s="450"/>
      <c r="Z903" s="450"/>
      <c r="AA903" s="450"/>
      <c r="AB903" s="450"/>
      <c r="AC903" s="450"/>
      <c r="AD903" s="450"/>
      <c r="AE903" s="450"/>
      <c r="AF903" s="450"/>
      <c r="AG903" s="450"/>
      <c r="AH903" s="450"/>
      <c r="AI903" s="450"/>
      <c r="AJ903" s="450"/>
      <c r="AK903" s="450"/>
    </row>
    <row r="904">
      <c r="A904" s="450"/>
      <c r="B904" s="450"/>
      <c r="C904" s="455"/>
      <c r="D904" s="450"/>
      <c r="E904" s="450"/>
      <c r="F904" s="450"/>
      <c r="G904" s="450"/>
      <c r="H904" s="450"/>
      <c r="I904" s="450"/>
      <c r="J904" s="450"/>
      <c r="K904" s="450"/>
      <c r="L904" s="450"/>
      <c r="M904" s="450"/>
      <c r="N904" s="450"/>
      <c r="O904" s="450"/>
      <c r="P904" s="450"/>
      <c r="Q904" s="450"/>
      <c r="R904" s="450"/>
      <c r="S904" s="450"/>
      <c r="T904" s="450"/>
      <c r="U904" s="450"/>
      <c r="V904" s="450"/>
      <c r="W904" s="450"/>
      <c r="X904" s="450"/>
      <c r="Y904" s="450"/>
      <c r="Z904" s="450"/>
      <c r="AA904" s="450"/>
      <c r="AB904" s="450"/>
      <c r="AC904" s="450"/>
      <c r="AD904" s="450"/>
      <c r="AE904" s="450"/>
      <c r="AF904" s="450"/>
      <c r="AG904" s="450"/>
      <c r="AH904" s="450"/>
      <c r="AI904" s="450"/>
      <c r="AJ904" s="450"/>
      <c r="AK904" s="450"/>
    </row>
    <row r="905">
      <c r="A905" s="450"/>
      <c r="B905" s="450"/>
      <c r="C905" s="455"/>
      <c r="D905" s="450"/>
      <c r="E905" s="450"/>
      <c r="F905" s="450"/>
      <c r="G905" s="450"/>
      <c r="H905" s="450"/>
      <c r="I905" s="450"/>
      <c r="J905" s="450"/>
      <c r="K905" s="450"/>
      <c r="L905" s="450"/>
      <c r="M905" s="450"/>
      <c r="N905" s="450"/>
      <c r="O905" s="450"/>
      <c r="P905" s="450"/>
      <c r="Q905" s="450"/>
      <c r="R905" s="450"/>
      <c r="S905" s="450"/>
      <c r="T905" s="450"/>
      <c r="U905" s="450"/>
      <c r="V905" s="450"/>
      <c r="W905" s="450"/>
      <c r="X905" s="450"/>
      <c r="Y905" s="450"/>
      <c r="Z905" s="450"/>
      <c r="AA905" s="450"/>
      <c r="AB905" s="450"/>
      <c r="AC905" s="450"/>
      <c r="AD905" s="450"/>
      <c r="AE905" s="450"/>
      <c r="AF905" s="450"/>
      <c r="AG905" s="450"/>
      <c r="AH905" s="450"/>
      <c r="AI905" s="450"/>
      <c r="AJ905" s="450"/>
      <c r="AK905" s="450"/>
    </row>
    <row r="906">
      <c r="A906" s="450"/>
      <c r="B906" s="450"/>
      <c r="C906" s="455"/>
      <c r="D906" s="450"/>
      <c r="E906" s="450"/>
      <c r="F906" s="450"/>
      <c r="G906" s="450"/>
      <c r="H906" s="450"/>
      <c r="I906" s="450"/>
      <c r="J906" s="450"/>
      <c r="K906" s="450"/>
      <c r="L906" s="450"/>
      <c r="M906" s="450"/>
      <c r="N906" s="450"/>
      <c r="O906" s="450"/>
      <c r="P906" s="450"/>
      <c r="Q906" s="450"/>
      <c r="R906" s="450"/>
      <c r="S906" s="450"/>
      <c r="T906" s="450"/>
      <c r="U906" s="450"/>
      <c r="V906" s="450"/>
      <c r="W906" s="450"/>
      <c r="X906" s="450"/>
      <c r="Y906" s="450"/>
      <c r="Z906" s="450"/>
      <c r="AA906" s="450"/>
      <c r="AB906" s="450"/>
      <c r="AC906" s="450"/>
      <c r="AD906" s="450"/>
      <c r="AE906" s="450"/>
      <c r="AF906" s="450"/>
      <c r="AG906" s="450"/>
      <c r="AH906" s="450"/>
      <c r="AI906" s="450"/>
      <c r="AJ906" s="450"/>
      <c r="AK906" s="450"/>
    </row>
    <row r="907">
      <c r="A907" s="450"/>
      <c r="B907" s="450"/>
      <c r="C907" s="455"/>
      <c r="D907" s="450"/>
      <c r="E907" s="450"/>
      <c r="F907" s="450"/>
      <c r="G907" s="450"/>
      <c r="H907" s="450"/>
      <c r="I907" s="450"/>
      <c r="J907" s="450"/>
      <c r="K907" s="450"/>
      <c r="L907" s="450"/>
      <c r="M907" s="450"/>
      <c r="N907" s="450"/>
      <c r="O907" s="450"/>
      <c r="P907" s="450"/>
      <c r="Q907" s="450"/>
      <c r="R907" s="450"/>
      <c r="S907" s="450"/>
      <c r="T907" s="450"/>
      <c r="U907" s="450"/>
      <c r="V907" s="450"/>
      <c r="W907" s="450"/>
      <c r="X907" s="450"/>
      <c r="Y907" s="450"/>
      <c r="Z907" s="450"/>
      <c r="AA907" s="450"/>
      <c r="AB907" s="450"/>
      <c r="AC907" s="450"/>
      <c r="AD907" s="450"/>
      <c r="AE907" s="450"/>
      <c r="AF907" s="450"/>
      <c r="AG907" s="450"/>
      <c r="AH907" s="450"/>
      <c r="AI907" s="450"/>
      <c r="AJ907" s="450"/>
      <c r="AK907" s="450"/>
    </row>
    <row r="908">
      <c r="A908" s="450"/>
      <c r="B908" s="450"/>
      <c r="C908" s="455"/>
      <c r="D908" s="450"/>
      <c r="E908" s="450"/>
      <c r="F908" s="450"/>
      <c r="G908" s="450"/>
      <c r="H908" s="450"/>
      <c r="I908" s="450"/>
      <c r="J908" s="450"/>
      <c r="K908" s="450"/>
      <c r="L908" s="450"/>
      <c r="M908" s="450"/>
      <c r="N908" s="450"/>
      <c r="O908" s="450"/>
      <c r="P908" s="450"/>
      <c r="Q908" s="450"/>
      <c r="R908" s="450"/>
      <c r="S908" s="450"/>
      <c r="T908" s="450"/>
      <c r="U908" s="450"/>
      <c r="V908" s="450"/>
      <c r="W908" s="450"/>
      <c r="X908" s="450"/>
      <c r="Y908" s="450"/>
      <c r="Z908" s="450"/>
      <c r="AA908" s="450"/>
      <c r="AB908" s="450"/>
      <c r="AC908" s="450"/>
      <c r="AD908" s="450"/>
      <c r="AE908" s="450"/>
      <c r="AF908" s="450"/>
      <c r="AG908" s="450"/>
      <c r="AH908" s="450"/>
      <c r="AI908" s="450"/>
      <c r="AJ908" s="450"/>
      <c r="AK908" s="450"/>
    </row>
    <row r="909">
      <c r="A909" s="450"/>
      <c r="B909" s="450"/>
      <c r="C909" s="455"/>
      <c r="D909" s="450"/>
      <c r="E909" s="450"/>
      <c r="F909" s="450"/>
      <c r="G909" s="450"/>
      <c r="H909" s="450"/>
      <c r="I909" s="450"/>
      <c r="J909" s="450"/>
      <c r="K909" s="450"/>
      <c r="L909" s="450"/>
      <c r="M909" s="450"/>
      <c r="N909" s="450"/>
      <c r="O909" s="450"/>
      <c r="P909" s="450"/>
      <c r="Q909" s="450"/>
      <c r="R909" s="450"/>
      <c r="S909" s="450"/>
      <c r="T909" s="450"/>
      <c r="U909" s="450"/>
      <c r="V909" s="450"/>
      <c r="W909" s="450"/>
      <c r="X909" s="450"/>
      <c r="Y909" s="450"/>
      <c r="Z909" s="450"/>
      <c r="AA909" s="450"/>
      <c r="AB909" s="450"/>
      <c r="AC909" s="450"/>
      <c r="AD909" s="450"/>
      <c r="AE909" s="450"/>
      <c r="AF909" s="450"/>
      <c r="AG909" s="450"/>
      <c r="AH909" s="450"/>
      <c r="AI909" s="450"/>
      <c r="AJ909" s="450"/>
      <c r="AK909" s="450"/>
    </row>
    <row r="910">
      <c r="A910" s="450"/>
      <c r="B910" s="450"/>
      <c r="C910" s="455"/>
      <c r="D910" s="450"/>
      <c r="E910" s="450"/>
      <c r="F910" s="450"/>
      <c r="G910" s="450"/>
      <c r="H910" s="450"/>
      <c r="I910" s="450"/>
      <c r="J910" s="450"/>
      <c r="K910" s="450"/>
      <c r="L910" s="450"/>
      <c r="M910" s="450"/>
      <c r="N910" s="450"/>
      <c r="O910" s="450"/>
      <c r="P910" s="450"/>
      <c r="Q910" s="450"/>
      <c r="R910" s="450"/>
      <c r="S910" s="450"/>
      <c r="T910" s="450"/>
      <c r="U910" s="450"/>
      <c r="V910" s="450"/>
      <c r="W910" s="450"/>
      <c r="X910" s="450"/>
      <c r="Y910" s="450"/>
      <c r="Z910" s="450"/>
      <c r="AA910" s="450"/>
      <c r="AB910" s="450"/>
      <c r="AC910" s="450"/>
      <c r="AD910" s="450"/>
      <c r="AE910" s="450"/>
      <c r="AF910" s="450"/>
      <c r="AG910" s="450"/>
      <c r="AH910" s="450"/>
      <c r="AI910" s="450"/>
      <c r="AJ910" s="450"/>
      <c r="AK910" s="450"/>
    </row>
    <row r="911">
      <c r="A911" s="450"/>
      <c r="B911" s="450"/>
      <c r="C911" s="455"/>
      <c r="D911" s="450"/>
      <c r="E911" s="450"/>
      <c r="F911" s="450"/>
      <c r="G911" s="450"/>
      <c r="H911" s="450"/>
      <c r="I911" s="450"/>
      <c r="J911" s="450"/>
      <c r="K911" s="450"/>
      <c r="L911" s="450"/>
      <c r="M911" s="450"/>
      <c r="N911" s="450"/>
      <c r="O911" s="450"/>
      <c r="P911" s="450"/>
      <c r="Q911" s="450"/>
      <c r="R911" s="450"/>
      <c r="S911" s="450"/>
      <c r="T911" s="450"/>
      <c r="U911" s="450"/>
      <c r="V911" s="450"/>
      <c r="W911" s="450"/>
      <c r="X911" s="450"/>
      <c r="Y911" s="450"/>
      <c r="Z911" s="450"/>
      <c r="AA911" s="450"/>
      <c r="AB911" s="450"/>
      <c r="AC911" s="450"/>
      <c r="AD911" s="450"/>
      <c r="AE911" s="450"/>
      <c r="AF911" s="450"/>
      <c r="AG911" s="450"/>
      <c r="AH911" s="450"/>
      <c r="AI911" s="450"/>
      <c r="AJ911" s="450"/>
      <c r="AK911" s="450"/>
    </row>
    <row r="912">
      <c r="A912" s="450"/>
      <c r="B912" s="450"/>
      <c r="C912" s="455"/>
      <c r="D912" s="450"/>
      <c r="E912" s="450"/>
      <c r="F912" s="450"/>
      <c r="G912" s="450"/>
      <c r="H912" s="450"/>
      <c r="I912" s="450"/>
      <c r="J912" s="450"/>
      <c r="K912" s="450"/>
      <c r="L912" s="450"/>
      <c r="M912" s="450"/>
      <c r="N912" s="450"/>
      <c r="O912" s="450"/>
      <c r="P912" s="450"/>
      <c r="Q912" s="450"/>
      <c r="R912" s="450"/>
      <c r="S912" s="450"/>
      <c r="T912" s="450"/>
      <c r="U912" s="450"/>
      <c r="V912" s="450"/>
      <c r="W912" s="450"/>
      <c r="X912" s="450"/>
      <c r="Y912" s="450"/>
      <c r="Z912" s="450"/>
      <c r="AA912" s="450"/>
      <c r="AB912" s="450"/>
      <c r="AC912" s="450"/>
      <c r="AD912" s="450"/>
      <c r="AE912" s="450"/>
      <c r="AF912" s="450"/>
      <c r="AG912" s="450"/>
      <c r="AH912" s="450"/>
      <c r="AI912" s="450"/>
      <c r="AJ912" s="450"/>
      <c r="AK912" s="450"/>
    </row>
    <row r="913">
      <c r="A913" s="450"/>
      <c r="B913" s="450"/>
      <c r="C913" s="455"/>
      <c r="D913" s="450"/>
      <c r="E913" s="450"/>
      <c r="F913" s="450"/>
      <c r="G913" s="450"/>
      <c r="H913" s="450"/>
      <c r="I913" s="450"/>
      <c r="J913" s="450"/>
      <c r="K913" s="450"/>
      <c r="L913" s="450"/>
      <c r="M913" s="450"/>
      <c r="N913" s="450"/>
      <c r="O913" s="450"/>
      <c r="P913" s="450"/>
      <c r="Q913" s="450"/>
      <c r="R913" s="450"/>
      <c r="S913" s="450"/>
      <c r="T913" s="450"/>
      <c r="U913" s="450"/>
      <c r="V913" s="450"/>
      <c r="W913" s="450"/>
      <c r="X913" s="450"/>
      <c r="Y913" s="450"/>
      <c r="Z913" s="450"/>
      <c r="AA913" s="450"/>
      <c r="AB913" s="450"/>
      <c r="AC913" s="450"/>
      <c r="AD913" s="450"/>
      <c r="AE913" s="450"/>
      <c r="AF913" s="450"/>
      <c r="AG913" s="450"/>
      <c r="AH913" s="450"/>
      <c r="AI913" s="450"/>
      <c r="AJ913" s="450"/>
      <c r="AK913" s="450"/>
    </row>
    <row r="914">
      <c r="A914" s="450"/>
      <c r="B914" s="450"/>
      <c r="C914" s="455"/>
      <c r="D914" s="450"/>
      <c r="E914" s="450"/>
      <c r="F914" s="450"/>
      <c r="G914" s="450"/>
      <c r="H914" s="450"/>
      <c r="I914" s="450"/>
      <c r="J914" s="450"/>
      <c r="K914" s="450"/>
      <c r="L914" s="450"/>
      <c r="M914" s="450"/>
      <c r="N914" s="450"/>
      <c r="O914" s="450"/>
      <c r="P914" s="450"/>
      <c r="Q914" s="450"/>
      <c r="R914" s="450"/>
      <c r="S914" s="450"/>
      <c r="T914" s="450"/>
      <c r="U914" s="450"/>
      <c r="V914" s="450"/>
      <c r="W914" s="450"/>
      <c r="X914" s="450"/>
      <c r="Y914" s="450"/>
      <c r="Z914" s="450"/>
      <c r="AA914" s="450"/>
      <c r="AB914" s="450"/>
      <c r="AC914" s="450"/>
      <c r="AD914" s="450"/>
      <c r="AE914" s="450"/>
      <c r="AF914" s="450"/>
      <c r="AG914" s="450"/>
      <c r="AH914" s="450"/>
      <c r="AI914" s="450"/>
      <c r="AJ914" s="450"/>
      <c r="AK914" s="450"/>
    </row>
    <row r="915">
      <c r="A915" s="450"/>
      <c r="B915" s="450"/>
      <c r="C915" s="455"/>
      <c r="D915" s="450"/>
      <c r="E915" s="450"/>
      <c r="F915" s="450"/>
      <c r="G915" s="450"/>
      <c r="H915" s="450"/>
      <c r="I915" s="450"/>
      <c r="J915" s="450"/>
      <c r="K915" s="450"/>
      <c r="L915" s="450"/>
      <c r="M915" s="450"/>
      <c r="N915" s="450"/>
      <c r="O915" s="450"/>
      <c r="P915" s="450"/>
      <c r="Q915" s="450"/>
      <c r="R915" s="450"/>
      <c r="S915" s="450"/>
      <c r="T915" s="450"/>
      <c r="U915" s="450"/>
      <c r="V915" s="450"/>
      <c r="W915" s="450"/>
      <c r="X915" s="450"/>
      <c r="Y915" s="450"/>
      <c r="Z915" s="450"/>
      <c r="AA915" s="450"/>
      <c r="AB915" s="450"/>
      <c r="AC915" s="450"/>
      <c r="AD915" s="450"/>
      <c r="AE915" s="450"/>
      <c r="AF915" s="450"/>
      <c r="AG915" s="450"/>
      <c r="AH915" s="450"/>
      <c r="AI915" s="450"/>
      <c r="AJ915" s="450"/>
      <c r="AK915" s="450"/>
    </row>
    <row r="916">
      <c r="A916" s="450"/>
      <c r="B916" s="450"/>
      <c r="C916" s="455"/>
      <c r="D916" s="450"/>
      <c r="E916" s="450"/>
      <c r="F916" s="450"/>
      <c r="G916" s="450"/>
      <c r="H916" s="450"/>
      <c r="I916" s="450"/>
      <c r="J916" s="450"/>
      <c r="K916" s="450"/>
      <c r="L916" s="450"/>
      <c r="M916" s="450"/>
      <c r="N916" s="450"/>
      <c r="O916" s="450"/>
      <c r="P916" s="450"/>
      <c r="Q916" s="450"/>
      <c r="R916" s="450"/>
      <c r="S916" s="450"/>
      <c r="T916" s="450"/>
      <c r="U916" s="450"/>
      <c r="V916" s="450"/>
      <c r="W916" s="450"/>
      <c r="X916" s="450"/>
      <c r="Y916" s="450"/>
      <c r="Z916" s="450"/>
      <c r="AA916" s="450"/>
      <c r="AB916" s="450"/>
      <c r="AC916" s="450"/>
      <c r="AD916" s="450"/>
      <c r="AE916" s="450"/>
      <c r="AF916" s="450"/>
      <c r="AG916" s="450"/>
      <c r="AH916" s="450"/>
      <c r="AI916" s="450"/>
      <c r="AJ916" s="450"/>
      <c r="AK916" s="450"/>
    </row>
    <row r="917">
      <c r="A917" s="450"/>
      <c r="B917" s="450"/>
      <c r="C917" s="455"/>
      <c r="D917" s="450"/>
      <c r="E917" s="450"/>
      <c r="F917" s="450"/>
      <c r="G917" s="450"/>
      <c r="H917" s="450"/>
      <c r="I917" s="450"/>
      <c r="J917" s="450"/>
      <c r="K917" s="450"/>
      <c r="L917" s="450"/>
      <c r="M917" s="450"/>
      <c r="N917" s="450"/>
      <c r="O917" s="450"/>
      <c r="P917" s="450"/>
      <c r="Q917" s="450"/>
      <c r="R917" s="450"/>
      <c r="S917" s="450"/>
      <c r="T917" s="450"/>
      <c r="U917" s="450"/>
      <c r="V917" s="450"/>
      <c r="W917" s="450"/>
      <c r="X917" s="450"/>
      <c r="Y917" s="450"/>
      <c r="Z917" s="450"/>
      <c r="AA917" s="450"/>
      <c r="AB917" s="450"/>
      <c r="AC917" s="450"/>
      <c r="AD917" s="450"/>
      <c r="AE917" s="450"/>
      <c r="AF917" s="450"/>
      <c r="AG917" s="450"/>
      <c r="AH917" s="450"/>
      <c r="AI917" s="450"/>
      <c r="AJ917" s="450"/>
      <c r="AK917" s="450"/>
    </row>
    <row r="918">
      <c r="A918" s="450"/>
      <c r="B918" s="450"/>
      <c r="C918" s="455"/>
      <c r="D918" s="450"/>
      <c r="E918" s="450"/>
      <c r="F918" s="450"/>
      <c r="G918" s="450"/>
      <c r="H918" s="450"/>
      <c r="I918" s="450"/>
      <c r="J918" s="450"/>
      <c r="K918" s="450"/>
      <c r="L918" s="450"/>
      <c r="M918" s="450"/>
      <c r="N918" s="450"/>
      <c r="O918" s="450"/>
      <c r="P918" s="450"/>
      <c r="Q918" s="450"/>
      <c r="R918" s="450"/>
      <c r="S918" s="450"/>
      <c r="T918" s="450"/>
      <c r="U918" s="450"/>
      <c r="V918" s="450"/>
      <c r="W918" s="450"/>
      <c r="X918" s="450"/>
      <c r="Y918" s="450"/>
      <c r="Z918" s="450"/>
      <c r="AA918" s="450"/>
      <c r="AB918" s="450"/>
      <c r="AC918" s="450"/>
      <c r="AD918" s="450"/>
      <c r="AE918" s="450"/>
      <c r="AF918" s="450"/>
      <c r="AG918" s="450"/>
      <c r="AH918" s="450"/>
      <c r="AI918" s="450"/>
      <c r="AJ918" s="450"/>
      <c r="AK918" s="450"/>
    </row>
    <row r="919">
      <c r="A919" s="450"/>
      <c r="B919" s="450"/>
      <c r="C919" s="455"/>
      <c r="D919" s="450"/>
      <c r="E919" s="450"/>
      <c r="F919" s="450"/>
      <c r="G919" s="450"/>
      <c r="H919" s="450"/>
      <c r="I919" s="450"/>
      <c r="J919" s="450"/>
      <c r="K919" s="450"/>
      <c r="L919" s="450"/>
      <c r="M919" s="450"/>
      <c r="N919" s="450"/>
      <c r="O919" s="450"/>
      <c r="P919" s="450"/>
      <c r="Q919" s="450"/>
      <c r="R919" s="450"/>
      <c r="S919" s="450"/>
      <c r="T919" s="450"/>
      <c r="U919" s="450"/>
      <c r="V919" s="450"/>
      <c r="W919" s="450"/>
      <c r="X919" s="450"/>
      <c r="Y919" s="450"/>
      <c r="Z919" s="450"/>
      <c r="AA919" s="450"/>
      <c r="AB919" s="450"/>
      <c r="AC919" s="450"/>
      <c r="AD919" s="450"/>
      <c r="AE919" s="450"/>
      <c r="AF919" s="450"/>
      <c r="AG919" s="450"/>
      <c r="AH919" s="450"/>
      <c r="AI919" s="450"/>
      <c r="AJ919" s="450"/>
      <c r="AK919" s="450"/>
    </row>
    <row r="920">
      <c r="A920" s="450"/>
      <c r="B920" s="450"/>
      <c r="C920" s="455"/>
      <c r="D920" s="450"/>
      <c r="E920" s="450"/>
      <c r="F920" s="450"/>
      <c r="G920" s="450"/>
      <c r="H920" s="450"/>
      <c r="I920" s="450"/>
      <c r="J920" s="450"/>
      <c r="K920" s="450"/>
      <c r="L920" s="450"/>
      <c r="M920" s="450"/>
      <c r="N920" s="450"/>
      <c r="O920" s="450"/>
      <c r="P920" s="450"/>
      <c r="Q920" s="450"/>
      <c r="R920" s="450"/>
      <c r="S920" s="450"/>
      <c r="T920" s="450"/>
      <c r="U920" s="450"/>
      <c r="V920" s="450"/>
      <c r="W920" s="450"/>
      <c r="X920" s="450"/>
      <c r="Y920" s="450"/>
      <c r="Z920" s="450"/>
      <c r="AA920" s="450"/>
      <c r="AB920" s="450"/>
      <c r="AC920" s="450"/>
      <c r="AD920" s="450"/>
      <c r="AE920" s="450"/>
      <c r="AF920" s="450"/>
      <c r="AG920" s="450"/>
      <c r="AH920" s="450"/>
      <c r="AI920" s="450"/>
      <c r="AJ920" s="450"/>
      <c r="AK920" s="450"/>
    </row>
    <row r="921">
      <c r="A921" s="450"/>
      <c r="B921" s="450"/>
      <c r="C921" s="455"/>
      <c r="D921" s="450"/>
      <c r="E921" s="450"/>
      <c r="F921" s="450"/>
      <c r="G921" s="450"/>
      <c r="H921" s="450"/>
      <c r="I921" s="450"/>
      <c r="J921" s="450"/>
      <c r="K921" s="450"/>
      <c r="L921" s="450"/>
      <c r="M921" s="450"/>
      <c r="N921" s="450"/>
      <c r="O921" s="450"/>
      <c r="P921" s="450"/>
      <c r="Q921" s="450"/>
      <c r="R921" s="450"/>
      <c r="S921" s="450"/>
      <c r="T921" s="450"/>
      <c r="U921" s="450"/>
      <c r="V921" s="450"/>
      <c r="W921" s="450"/>
      <c r="X921" s="450"/>
      <c r="Y921" s="450"/>
      <c r="Z921" s="450"/>
      <c r="AA921" s="450"/>
      <c r="AB921" s="450"/>
      <c r="AC921" s="450"/>
      <c r="AD921" s="450"/>
      <c r="AE921" s="450"/>
      <c r="AF921" s="450"/>
      <c r="AG921" s="450"/>
      <c r="AH921" s="450"/>
      <c r="AI921" s="450"/>
      <c r="AJ921" s="450"/>
      <c r="AK921" s="450"/>
    </row>
    <row r="922">
      <c r="A922" s="450"/>
      <c r="B922" s="450"/>
      <c r="C922" s="455"/>
      <c r="D922" s="450"/>
      <c r="E922" s="450"/>
      <c r="F922" s="450"/>
      <c r="G922" s="450"/>
      <c r="H922" s="450"/>
      <c r="I922" s="450"/>
      <c r="J922" s="450"/>
      <c r="K922" s="450"/>
      <c r="L922" s="450"/>
      <c r="M922" s="450"/>
      <c r="N922" s="450"/>
      <c r="O922" s="450"/>
      <c r="P922" s="450"/>
      <c r="Q922" s="450"/>
      <c r="R922" s="450"/>
      <c r="S922" s="450"/>
      <c r="T922" s="450"/>
      <c r="U922" s="450"/>
      <c r="V922" s="450"/>
      <c r="W922" s="450"/>
      <c r="X922" s="450"/>
      <c r="Y922" s="450"/>
      <c r="Z922" s="450"/>
      <c r="AA922" s="450"/>
      <c r="AB922" s="450"/>
      <c r="AC922" s="450"/>
      <c r="AD922" s="450"/>
      <c r="AE922" s="450"/>
      <c r="AF922" s="450"/>
      <c r="AG922" s="450"/>
      <c r="AH922" s="450"/>
      <c r="AI922" s="450"/>
      <c r="AJ922" s="450"/>
      <c r="AK922" s="450"/>
    </row>
    <row r="923">
      <c r="A923" s="450"/>
      <c r="B923" s="450"/>
      <c r="C923" s="455"/>
      <c r="D923" s="450"/>
      <c r="E923" s="450"/>
      <c r="F923" s="450"/>
      <c r="G923" s="450"/>
      <c r="H923" s="450"/>
      <c r="I923" s="450"/>
      <c r="J923" s="450"/>
      <c r="K923" s="450"/>
      <c r="L923" s="450"/>
      <c r="M923" s="450"/>
      <c r="N923" s="450"/>
      <c r="O923" s="450"/>
      <c r="P923" s="450"/>
      <c r="Q923" s="450"/>
      <c r="R923" s="450"/>
      <c r="S923" s="450"/>
      <c r="T923" s="450"/>
      <c r="U923" s="450"/>
      <c r="V923" s="450"/>
      <c r="W923" s="450"/>
      <c r="X923" s="450"/>
      <c r="Y923" s="450"/>
      <c r="Z923" s="450"/>
      <c r="AA923" s="450"/>
      <c r="AB923" s="450"/>
      <c r="AC923" s="450"/>
      <c r="AD923" s="450"/>
      <c r="AE923" s="450"/>
      <c r="AF923" s="450"/>
      <c r="AG923" s="450"/>
      <c r="AH923" s="450"/>
      <c r="AI923" s="450"/>
      <c r="AJ923" s="450"/>
      <c r="AK923" s="450"/>
    </row>
    <row r="924">
      <c r="A924" s="450"/>
      <c r="B924" s="450"/>
      <c r="C924" s="455"/>
      <c r="D924" s="450"/>
      <c r="E924" s="450"/>
      <c r="F924" s="450"/>
      <c r="G924" s="450"/>
      <c r="H924" s="450"/>
      <c r="I924" s="450"/>
      <c r="J924" s="450"/>
      <c r="K924" s="450"/>
      <c r="L924" s="450"/>
      <c r="M924" s="450"/>
      <c r="N924" s="450"/>
      <c r="O924" s="450"/>
      <c r="P924" s="450"/>
      <c r="Q924" s="450"/>
      <c r="R924" s="450"/>
      <c r="S924" s="450"/>
      <c r="T924" s="450"/>
      <c r="U924" s="450"/>
      <c r="V924" s="450"/>
      <c r="W924" s="450"/>
      <c r="X924" s="450"/>
      <c r="Y924" s="450"/>
      <c r="Z924" s="450"/>
      <c r="AA924" s="450"/>
      <c r="AB924" s="450"/>
      <c r="AC924" s="450"/>
      <c r="AD924" s="450"/>
      <c r="AE924" s="450"/>
      <c r="AF924" s="450"/>
      <c r="AG924" s="450"/>
      <c r="AH924" s="450"/>
      <c r="AI924" s="450"/>
      <c r="AJ924" s="450"/>
      <c r="AK924" s="450"/>
    </row>
    <row r="925">
      <c r="A925" s="450"/>
      <c r="B925" s="450"/>
      <c r="C925" s="455"/>
      <c r="D925" s="450"/>
      <c r="E925" s="450"/>
      <c r="F925" s="450"/>
      <c r="G925" s="450"/>
      <c r="H925" s="450"/>
      <c r="I925" s="450"/>
      <c r="J925" s="450"/>
      <c r="K925" s="450"/>
      <c r="L925" s="450"/>
      <c r="M925" s="450"/>
      <c r="N925" s="450"/>
      <c r="O925" s="450"/>
      <c r="P925" s="450"/>
      <c r="Q925" s="450"/>
      <c r="R925" s="450"/>
      <c r="S925" s="450"/>
      <c r="T925" s="450"/>
      <c r="U925" s="450"/>
      <c r="V925" s="450"/>
      <c r="W925" s="450"/>
      <c r="X925" s="450"/>
      <c r="Y925" s="450"/>
      <c r="Z925" s="450"/>
      <c r="AA925" s="450"/>
      <c r="AB925" s="450"/>
      <c r="AC925" s="450"/>
      <c r="AD925" s="450"/>
      <c r="AE925" s="450"/>
      <c r="AF925" s="450"/>
      <c r="AG925" s="450"/>
      <c r="AH925" s="450"/>
      <c r="AI925" s="450"/>
      <c r="AJ925" s="450"/>
      <c r="AK925" s="450"/>
    </row>
    <row r="926">
      <c r="A926" s="450"/>
      <c r="B926" s="450"/>
      <c r="C926" s="455"/>
      <c r="D926" s="450"/>
      <c r="E926" s="450"/>
      <c r="F926" s="450"/>
      <c r="G926" s="450"/>
      <c r="H926" s="450"/>
      <c r="I926" s="450"/>
      <c r="J926" s="450"/>
      <c r="K926" s="450"/>
      <c r="L926" s="450"/>
      <c r="M926" s="450"/>
      <c r="N926" s="450"/>
      <c r="O926" s="450"/>
      <c r="P926" s="450"/>
      <c r="Q926" s="450"/>
      <c r="R926" s="450"/>
      <c r="S926" s="450"/>
      <c r="T926" s="450"/>
      <c r="U926" s="450"/>
      <c r="V926" s="450"/>
      <c r="W926" s="450"/>
      <c r="X926" s="450"/>
      <c r="Y926" s="450"/>
      <c r="Z926" s="450"/>
      <c r="AA926" s="450"/>
      <c r="AB926" s="450"/>
      <c r="AC926" s="450"/>
      <c r="AD926" s="450"/>
      <c r="AE926" s="450"/>
      <c r="AF926" s="450"/>
      <c r="AG926" s="450"/>
      <c r="AH926" s="450"/>
      <c r="AI926" s="450"/>
      <c r="AJ926" s="450"/>
      <c r="AK926" s="450"/>
    </row>
    <row r="927">
      <c r="A927" s="450"/>
      <c r="B927" s="450"/>
      <c r="C927" s="455"/>
      <c r="D927" s="450"/>
      <c r="E927" s="450"/>
      <c r="F927" s="450"/>
      <c r="G927" s="450"/>
      <c r="H927" s="450"/>
      <c r="I927" s="450"/>
      <c r="J927" s="450"/>
      <c r="K927" s="450"/>
      <c r="L927" s="450"/>
      <c r="M927" s="450"/>
      <c r="N927" s="450"/>
      <c r="O927" s="450"/>
      <c r="P927" s="450"/>
      <c r="Q927" s="450"/>
      <c r="R927" s="450"/>
      <c r="S927" s="450"/>
      <c r="T927" s="450"/>
      <c r="U927" s="450"/>
      <c r="V927" s="450"/>
      <c r="W927" s="450"/>
      <c r="X927" s="450"/>
      <c r="Y927" s="450"/>
      <c r="Z927" s="450"/>
      <c r="AA927" s="450"/>
      <c r="AB927" s="450"/>
      <c r="AC927" s="450"/>
      <c r="AD927" s="450"/>
      <c r="AE927" s="450"/>
      <c r="AF927" s="450"/>
      <c r="AG927" s="450"/>
      <c r="AH927" s="450"/>
      <c r="AI927" s="450"/>
      <c r="AJ927" s="450"/>
      <c r="AK927" s="450"/>
    </row>
    <row r="928">
      <c r="A928" s="450"/>
      <c r="B928" s="450"/>
      <c r="C928" s="455"/>
      <c r="D928" s="450"/>
      <c r="E928" s="450"/>
      <c r="F928" s="450"/>
      <c r="G928" s="450"/>
      <c r="H928" s="450"/>
      <c r="I928" s="450"/>
      <c r="J928" s="450"/>
      <c r="K928" s="450"/>
      <c r="L928" s="450"/>
      <c r="M928" s="450"/>
      <c r="N928" s="450"/>
      <c r="O928" s="450"/>
      <c r="P928" s="450"/>
      <c r="Q928" s="450"/>
      <c r="R928" s="450"/>
      <c r="S928" s="450"/>
      <c r="T928" s="450"/>
      <c r="U928" s="450"/>
      <c r="V928" s="450"/>
      <c r="W928" s="450"/>
      <c r="X928" s="450"/>
      <c r="Y928" s="450"/>
      <c r="Z928" s="450"/>
      <c r="AA928" s="450"/>
      <c r="AB928" s="450"/>
      <c r="AC928" s="450"/>
      <c r="AD928" s="450"/>
      <c r="AE928" s="450"/>
      <c r="AF928" s="450"/>
      <c r="AG928" s="450"/>
      <c r="AH928" s="450"/>
      <c r="AI928" s="450"/>
      <c r="AJ928" s="450"/>
      <c r="AK928" s="450"/>
    </row>
    <row r="929">
      <c r="A929" s="450"/>
      <c r="B929" s="450"/>
      <c r="C929" s="455"/>
      <c r="D929" s="450"/>
      <c r="E929" s="450"/>
      <c r="F929" s="450"/>
      <c r="G929" s="450"/>
      <c r="H929" s="450"/>
      <c r="I929" s="450"/>
      <c r="J929" s="450"/>
      <c r="K929" s="450"/>
      <c r="L929" s="450"/>
      <c r="M929" s="450"/>
      <c r="N929" s="450"/>
      <c r="O929" s="450"/>
      <c r="P929" s="450"/>
      <c r="Q929" s="450"/>
      <c r="R929" s="450"/>
      <c r="S929" s="450"/>
      <c r="T929" s="450"/>
      <c r="U929" s="450"/>
      <c r="V929" s="450"/>
      <c r="W929" s="450"/>
      <c r="X929" s="450"/>
      <c r="Y929" s="450"/>
      <c r="Z929" s="450"/>
      <c r="AA929" s="450"/>
      <c r="AB929" s="450"/>
      <c r="AC929" s="450"/>
      <c r="AD929" s="450"/>
      <c r="AE929" s="450"/>
      <c r="AF929" s="450"/>
      <c r="AG929" s="450"/>
      <c r="AH929" s="450"/>
      <c r="AI929" s="450"/>
      <c r="AJ929" s="450"/>
      <c r="AK929" s="450"/>
    </row>
    <row r="930">
      <c r="A930" s="450"/>
      <c r="B930" s="450"/>
      <c r="C930" s="455"/>
      <c r="D930" s="450"/>
      <c r="E930" s="450"/>
      <c r="F930" s="450"/>
      <c r="G930" s="450"/>
      <c r="H930" s="450"/>
      <c r="I930" s="450"/>
      <c r="J930" s="450"/>
      <c r="K930" s="450"/>
      <c r="L930" s="450"/>
      <c r="M930" s="450"/>
      <c r="N930" s="450"/>
      <c r="O930" s="450"/>
      <c r="P930" s="450"/>
      <c r="Q930" s="450"/>
      <c r="R930" s="450"/>
      <c r="S930" s="450"/>
      <c r="T930" s="450"/>
      <c r="U930" s="450"/>
      <c r="V930" s="450"/>
      <c r="W930" s="450"/>
      <c r="X930" s="450"/>
      <c r="Y930" s="450"/>
      <c r="Z930" s="450"/>
      <c r="AA930" s="450"/>
      <c r="AB930" s="450"/>
      <c r="AC930" s="450"/>
      <c r="AD930" s="450"/>
      <c r="AE930" s="450"/>
      <c r="AF930" s="450"/>
      <c r="AG930" s="450"/>
      <c r="AH930" s="450"/>
      <c r="AI930" s="450"/>
      <c r="AJ930" s="450"/>
      <c r="AK930" s="450"/>
    </row>
    <row r="931">
      <c r="A931" s="450"/>
      <c r="B931" s="450"/>
      <c r="C931" s="455"/>
      <c r="D931" s="450"/>
      <c r="E931" s="450"/>
      <c r="F931" s="450"/>
      <c r="G931" s="450"/>
      <c r="H931" s="450"/>
      <c r="I931" s="450"/>
      <c r="J931" s="450"/>
      <c r="K931" s="450"/>
      <c r="L931" s="450"/>
      <c r="M931" s="450"/>
      <c r="N931" s="450"/>
      <c r="O931" s="450"/>
      <c r="P931" s="450"/>
      <c r="Q931" s="450"/>
      <c r="R931" s="450"/>
      <c r="S931" s="450"/>
      <c r="T931" s="450"/>
      <c r="U931" s="450"/>
      <c r="V931" s="450"/>
      <c r="W931" s="450"/>
      <c r="X931" s="450"/>
      <c r="Y931" s="450"/>
      <c r="Z931" s="450"/>
      <c r="AA931" s="450"/>
      <c r="AB931" s="450"/>
      <c r="AC931" s="450"/>
      <c r="AD931" s="450"/>
      <c r="AE931" s="450"/>
      <c r="AF931" s="450"/>
      <c r="AG931" s="450"/>
      <c r="AH931" s="450"/>
      <c r="AI931" s="450"/>
      <c r="AJ931" s="450"/>
      <c r="AK931" s="450"/>
    </row>
    <row r="932">
      <c r="A932" s="450"/>
      <c r="B932" s="450"/>
      <c r="C932" s="455"/>
      <c r="D932" s="450"/>
      <c r="E932" s="450"/>
      <c r="F932" s="450"/>
      <c r="G932" s="450"/>
      <c r="H932" s="450"/>
      <c r="I932" s="450"/>
      <c r="J932" s="450"/>
      <c r="K932" s="450"/>
      <c r="L932" s="450"/>
      <c r="M932" s="450"/>
      <c r="N932" s="450"/>
      <c r="O932" s="450"/>
      <c r="P932" s="450"/>
      <c r="Q932" s="450"/>
      <c r="R932" s="450"/>
      <c r="S932" s="450"/>
      <c r="T932" s="450"/>
      <c r="U932" s="450"/>
      <c r="V932" s="450"/>
      <c r="W932" s="450"/>
      <c r="X932" s="450"/>
      <c r="Y932" s="450"/>
      <c r="Z932" s="450"/>
      <c r="AA932" s="450"/>
      <c r="AB932" s="450"/>
      <c r="AC932" s="450"/>
      <c r="AD932" s="450"/>
      <c r="AE932" s="450"/>
      <c r="AF932" s="450"/>
      <c r="AG932" s="450"/>
      <c r="AH932" s="450"/>
      <c r="AI932" s="450"/>
      <c r="AJ932" s="450"/>
      <c r="AK932" s="450"/>
    </row>
    <row r="933">
      <c r="A933" s="450"/>
      <c r="B933" s="450"/>
      <c r="C933" s="455"/>
      <c r="D933" s="450"/>
      <c r="E933" s="450"/>
      <c r="F933" s="450"/>
      <c r="G933" s="450"/>
      <c r="H933" s="450"/>
      <c r="I933" s="450"/>
      <c r="J933" s="450"/>
      <c r="K933" s="450"/>
      <c r="L933" s="450"/>
      <c r="M933" s="450"/>
      <c r="N933" s="450"/>
      <c r="O933" s="450"/>
      <c r="P933" s="450"/>
      <c r="Q933" s="450"/>
      <c r="R933" s="450"/>
      <c r="S933" s="450"/>
      <c r="T933" s="450"/>
      <c r="U933" s="450"/>
      <c r="V933" s="450"/>
      <c r="W933" s="450"/>
      <c r="X933" s="450"/>
      <c r="Y933" s="450"/>
      <c r="Z933" s="450"/>
      <c r="AA933" s="450"/>
      <c r="AB933" s="450"/>
      <c r="AC933" s="450"/>
      <c r="AD933" s="450"/>
      <c r="AE933" s="450"/>
      <c r="AF933" s="450"/>
      <c r="AG933" s="450"/>
      <c r="AH933" s="450"/>
      <c r="AI933" s="450"/>
      <c r="AJ933" s="450"/>
      <c r="AK933" s="450"/>
    </row>
    <row r="934">
      <c r="A934" s="450"/>
      <c r="B934" s="450"/>
      <c r="C934" s="455"/>
      <c r="D934" s="450"/>
      <c r="E934" s="450"/>
      <c r="F934" s="450"/>
      <c r="G934" s="450"/>
      <c r="H934" s="450"/>
      <c r="I934" s="450"/>
      <c r="J934" s="450"/>
      <c r="K934" s="450"/>
      <c r="L934" s="450"/>
      <c r="M934" s="450"/>
      <c r="N934" s="450"/>
      <c r="O934" s="450"/>
      <c r="P934" s="450"/>
      <c r="Q934" s="450"/>
      <c r="R934" s="450"/>
      <c r="S934" s="450"/>
      <c r="T934" s="450"/>
      <c r="U934" s="450"/>
      <c r="V934" s="450"/>
      <c r="W934" s="450"/>
      <c r="X934" s="450"/>
      <c r="Y934" s="450"/>
      <c r="Z934" s="450"/>
      <c r="AA934" s="450"/>
      <c r="AB934" s="450"/>
      <c r="AC934" s="450"/>
      <c r="AD934" s="450"/>
      <c r="AE934" s="450"/>
      <c r="AF934" s="450"/>
      <c r="AG934" s="450"/>
      <c r="AH934" s="450"/>
      <c r="AI934" s="450"/>
      <c r="AJ934" s="450"/>
      <c r="AK934" s="450"/>
    </row>
    <row r="935">
      <c r="A935" s="450"/>
      <c r="B935" s="450"/>
      <c r="C935" s="455"/>
      <c r="D935" s="450"/>
      <c r="E935" s="450"/>
      <c r="F935" s="450"/>
      <c r="G935" s="450"/>
      <c r="H935" s="450"/>
      <c r="I935" s="450"/>
      <c r="J935" s="450"/>
      <c r="K935" s="450"/>
      <c r="L935" s="450"/>
      <c r="M935" s="450"/>
      <c r="N935" s="450"/>
      <c r="O935" s="450"/>
      <c r="P935" s="450"/>
      <c r="Q935" s="450"/>
      <c r="R935" s="450"/>
      <c r="S935" s="450"/>
      <c r="T935" s="450"/>
      <c r="U935" s="450"/>
      <c r="V935" s="450"/>
      <c r="W935" s="450"/>
      <c r="X935" s="450"/>
      <c r="Y935" s="450"/>
      <c r="Z935" s="450"/>
      <c r="AA935" s="450"/>
      <c r="AB935" s="450"/>
      <c r="AC935" s="450"/>
      <c r="AD935" s="450"/>
      <c r="AE935" s="450"/>
      <c r="AF935" s="450"/>
      <c r="AG935" s="450"/>
      <c r="AH935" s="450"/>
      <c r="AI935" s="450"/>
      <c r="AJ935" s="450"/>
      <c r="AK935" s="450"/>
    </row>
    <row r="936">
      <c r="A936" s="450"/>
      <c r="B936" s="450"/>
      <c r="C936" s="455"/>
      <c r="D936" s="450"/>
      <c r="E936" s="450"/>
      <c r="F936" s="450"/>
      <c r="G936" s="450"/>
      <c r="H936" s="450"/>
      <c r="I936" s="450"/>
      <c r="J936" s="450"/>
      <c r="K936" s="450"/>
      <c r="L936" s="450"/>
      <c r="M936" s="450"/>
      <c r="N936" s="450"/>
      <c r="O936" s="450"/>
      <c r="P936" s="450"/>
      <c r="Q936" s="450"/>
      <c r="R936" s="450"/>
      <c r="S936" s="450"/>
      <c r="T936" s="450"/>
      <c r="U936" s="450"/>
      <c r="V936" s="450"/>
      <c r="W936" s="450"/>
      <c r="X936" s="450"/>
      <c r="Y936" s="450"/>
      <c r="Z936" s="450"/>
      <c r="AA936" s="450"/>
      <c r="AB936" s="450"/>
      <c r="AC936" s="450"/>
      <c r="AD936" s="450"/>
      <c r="AE936" s="450"/>
      <c r="AF936" s="450"/>
      <c r="AG936" s="450"/>
      <c r="AH936" s="450"/>
      <c r="AI936" s="450"/>
      <c r="AJ936" s="450"/>
      <c r="AK936" s="450"/>
    </row>
    <row r="937">
      <c r="A937" s="450"/>
      <c r="B937" s="450"/>
      <c r="C937" s="455"/>
      <c r="D937" s="450"/>
      <c r="E937" s="450"/>
      <c r="F937" s="450"/>
      <c r="G937" s="450"/>
      <c r="H937" s="450"/>
      <c r="I937" s="450"/>
      <c r="J937" s="450"/>
      <c r="K937" s="450"/>
      <c r="L937" s="450"/>
      <c r="M937" s="450"/>
      <c r="N937" s="450"/>
      <c r="O937" s="450"/>
      <c r="P937" s="450"/>
      <c r="Q937" s="450"/>
      <c r="R937" s="450"/>
      <c r="S937" s="450"/>
      <c r="T937" s="450"/>
      <c r="U937" s="450"/>
      <c r="V937" s="450"/>
      <c r="W937" s="450"/>
      <c r="X937" s="450"/>
      <c r="Y937" s="450"/>
      <c r="Z937" s="450"/>
      <c r="AA937" s="450"/>
      <c r="AB937" s="450"/>
      <c r="AC937" s="450"/>
      <c r="AD937" s="450"/>
      <c r="AE937" s="450"/>
      <c r="AF937" s="450"/>
      <c r="AG937" s="450"/>
      <c r="AH937" s="450"/>
      <c r="AI937" s="450"/>
      <c r="AJ937" s="450"/>
      <c r="AK937" s="450"/>
    </row>
    <row r="938">
      <c r="A938" s="450"/>
      <c r="B938" s="450"/>
      <c r="C938" s="455"/>
      <c r="D938" s="450"/>
      <c r="E938" s="450"/>
      <c r="F938" s="450"/>
      <c r="G938" s="450"/>
      <c r="H938" s="450"/>
      <c r="I938" s="450"/>
      <c r="J938" s="450"/>
      <c r="K938" s="450"/>
      <c r="L938" s="450"/>
      <c r="M938" s="450"/>
      <c r="N938" s="450"/>
      <c r="O938" s="450"/>
      <c r="P938" s="450"/>
      <c r="Q938" s="450"/>
      <c r="R938" s="450"/>
      <c r="S938" s="450"/>
      <c r="T938" s="450"/>
      <c r="U938" s="450"/>
      <c r="V938" s="450"/>
      <c r="W938" s="450"/>
      <c r="X938" s="450"/>
      <c r="Y938" s="450"/>
      <c r="Z938" s="450"/>
      <c r="AA938" s="450"/>
      <c r="AB938" s="450"/>
      <c r="AC938" s="450"/>
      <c r="AD938" s="450"/>
      <c r="AE938" s="450"/>
      <c r="AF938" s="450"/>
      <c r="AG938" s="450"/>
      <c r="AH938" s="450"/>
      <c r="AI938" s="450"/>
      <c r="AJ938" s="450"/>
      <c r="AK938" s="450"/>
    </row>
    <row r="939">
      <c r="A939" s="450"/>
      <c r="B939" s="450"/>
      <c r="C939" s="455"/>
      <c r="D939" s="450"/>
      <c r="E939" s="450"/>
      <c r="F939" s="450"/>
      <c r="G939" s="450"/>
      <c r="H939" s="450"/>
      <c r="I939" s="450"/>
      <c r="J939" s="450"/>
      <c r="K939" s="450"/>
      <c r="L939" s="450"/>
      <c r="M939" s="450"/>
      <c r="N939" s="450"/>
      <c r="O939" s="450"/>
      <c r="P939" s="450"/>
      <c r="Q939" s="450"/>
      <c r="R939" s="450"/>
      <c r="S939" s="450"/>
      <c r="T939" s="450"/>
      <c r="U939" s="450"/>
      <c r="V939" s="450"/>
      <c r="W939" s="450"/>
      <c r="X939" s="450"/>
      <c r="Y939" s="450"/>
      <c r="Z939" s="450"/>
      <c r="AA939" s="450"/>
      <c r="AB939" s="450"/>
      <c r="AC939" s="450"/>
      <c r="AD939" s="450"/>
      <c r="AE939" s="450"/>
      <c r="AF939" s="450"/>
      <c r="AG939" s="450"/>
      <c r="AH939" s="450"/>
      <c r="AI939" s="450"/>
      <c r="AJ939" s="450"/>
      <c r="AK939" s="450"/>
    </row>
    <row r="940">
      <c r="A940" s="450"/>
      <c r="B940" s="450"/>
      <c r="C940" s="455"/>
      <c r="D940" s="450"/>
      <c r="E940" s="450"/>
      <c r="F940" s="450"/>
      <c r="G940" s="450"/>
      <c r="H940" s="450"/>
      <c r="I940" s="450"/>
      <c r="J940" s="450"/>
      <c r="K940" s="450"/>
      <c r="L940" s="450"/>
      <c r="M940" s="450"/>
      <c r="N940" s="450"/>
      <c r="O940" s="450"/>
      <c r="P940" s="450"/>
      <c r="Q940" s="450"/>
      <c r="R940" s="450"/>
      <c r="S940" s="450"/>
      <c r="T940" s="450"/>
      <c r="U940" s="450"/>
      <c r="V940" s="450"/>
      <c r="W940" s="450"/>
      <c r="X940" s="450"/>
      <c r="Y940" s="450"/>
      <c r="Z940" s="450"/>
      <c r="AA940" s="450"/>
      <c r="AB940" s="450"/>
      <c r="AC940" s="450"/>
      <c r="AD940" s="450"/>
      <c r="AE940" s="450"/>
      <c r="AF940" s="450"/>
      <c r="AG940" s="450"/>
      <c r="AH940" s="450"/>
      <c r="AI940" s="450"/>
      <c r="AJ940" s="450"/>
      <c r="AK940" s="450"/>
    </row>
    <row r="941">
      <c r="A941" s="450"/>
      <c r="B941" s="450"/>
      <c r="C941" s="455"/>
      <c r="D941" s="450"/>
      <c r="E941" s="450"/>
      <c r="F941" s="450"/>
      <c r="G941" s="450"/>
      <c r="H941" s="450"/>
      <c r="I941" s="450"/>
      <c r="J941" s="450"/>
      <c r="K941" s="450"/>
      <c r="L941" s="450"/>
      <c r="M941" s="450"/>
      <c r="N941" s="450"/>
      <c r="O941" s="450"/>
      <c r="P941" s="450"/>
      <c r="Q941" s="450"/>
      <c r="R941" s="450"/>
      <c r="S941" s="450"/>
      <c r="T941" s="450"/>
      <c r="U941" s="450"/>
      <c r="V941" s="450"/>
      <c r="W941" s="450"/>
      <c r="X941" s="450"/>
      <c r="Y941" s="450"/>
      <c r="Z941" s="450"/>
      <c r="AA941" s="450"/>
      <c r="AB941" s="450"/>
      <c r="AC941" s="450"/>
      <c r="AD941" s="450"/>
      <c r="AE941" s="450"/>
      <c r="AF941" s="450"/>
      <c r="AG941" s="450"/>
      <c r="AH941" s="450"/>
      <c r="AI941" s="450"/>
      <c r="AJ941" s="450"/>
      <c r="AK941" s="450"/>
    </row>
    <row r="942">
      <c r="A942" s="450"/>
      <c r="B942" s="450"/>
      <c r="C942" s="455"/>
      <c r="D942" s="450"/>
      <c r="E942" s="450"/>
      <c r="F942" s="450"/>
      <c r="G942" s="450"/>
      <c r="H942" s="450"/>
      <c r="I942" s="450"/>
      <c r="J942" s="450"/>
      <c r="K942" s="450"/>
      <c r="L942" s="450"/>
      <c r="M942" s="450"/>
      <c r="N942" s="450"/>
      <c r="O942" s="450"/>
      <c r="P942" s="450"/>
      <c r="Q942" s="450"/>
      <c r="R942" s="450"/>
      <c r="S942" s="450"/>
      <c r="T942" s="450"/>
      <c r="U942" s="450"/>
      <c r="V942" s="450"/>
      <c r="W942" s="450"/>
      <c r="X942" s="450"/>
      <c r="Y942" s="450"/>
      <c r="Z942" s="450"/>
      <c r="AA942" s="450"/>
      <c r="AB942" s="450"/>
      <c r="AC942" s="450"/>
      <c r="AD942" s="450"/>
      <c r="AE942" s="450"/>
      <c r="AF942" s="450"/>
      <c r="AG942" s="450"/>
      <c r="AH942" s="450"/>
      <c r="AI942" s="450"/>
      <c r="AJ942" s="450"/>
      <c r="AK942" s="450"/>
    </row>
    <row r="943">
      <c r="A943" s="450"/>
      <c r="B943" s="450"/>
      <c r="C943" s="455"/>
      <c r="D943" s="450"/>
      <c r="E943" s="450"/>
      <c r="F943" s="450"/>
      <c r="G943" s="450"/>
      <c r="H943" s="450"/>
      <c r="I943" s="450"/>
      <c r="J943" s="450"/>
      <c r="K943" s="450"/>
      <c r="L943" s="450"/>
      <c r="M943" s="450"/>
      <c r="N943" s="450"/>
      <c r="O943" s="450"/>
      <c r="P943" s="450"/>
      <c r="Q943" s="450"/>
      <c r="R943" s="450"/>
      <c r="S943" s="450"/>
      <c r="T943" s="450"/>
      <c r="U943" s="450"/>
      <c r="V943" s="450"/>
      <c r="W943" s="450"/>
      <c r="X943" s="450"/>
      <c r="Y943" s="450"/>
      <c r="Z943" s="450"/>
      <c r="AA943" s="450"/>
      <c r="AB943" s="450"/>
      <c r="AC943" s="450"/>
      <c r="AD943" s="450"/>
      <c r="AE943" s="450"/>
      <c r="AF943" s="450"/>
      <c r="AG943" s="450"/>
      <c r="AH943" s="450"/>
      <c r="AI943" s="450"/>
      <c r="AJ943" s="450"/>
      <c r="AK943" s="450"/>
    </row>
    <row r="944">
      <c r="A944" s="450"/>
      <c r="B944" s="450"/>
      <c r="C944" s="455"/>
      <c r="D944" s="450"/>
      <c r="E944" s="450"/>
      <c r="F944" s="450"/>
      <c r="G944" s="450"/>
      <c r="H944" s="450"/>
      <c r="I944" s="450"/>
      <c r="J944" s="450"/>
      <c r="K944" s="450"/>
      <c r="L944" s="450"/>
      <c r="M944" s="450"/>
      <c r="N944" s="450"/>
      <c r="O944" s="450"/>
      <c r="P944" s="450"/>
      <c r="Q944" s="450"/>
      <c r="R944" s="450"/>
      <c r="S944" s="450"/>
      <c r="T944" s="450"/>
      <c r="U944" s="450"/>
      <c r="V944" s="450"/>
      <c r="W944" s="450"/>
      <c r="X944" s="450"/>
      <c r="Y944" s="450"/>
      <c r="Z944" s="450"/>
      <c r="AA944" s="450"/>
      <c r="AB944" s="450"/>
      <c r="AC944" s="450"/>
      <c r="AD944" s="450"/>
      <c r="AE944" s="450"/>
      <c r="AF944" s="450"/>
      <c r="AG944" s="450"/>
      <c r="AH944" s="450"/>
      <c r="AI944" s="450"/>
      <c r="AJ944" s="450"/>
      <c r="AK944" s="450"/>
    </row>
    <row r="945">
      <c r="A945" s="450"/>
      <c r="B945" s="450"/>
      <c r="C945" s="455"/>
      <c r="D945" s="450"/>
      <c r="E945" s="450"/>
      <c r="F945" s="450"/>
      <c r="G945" s="450"/>
      <c r="H945" s="450"/>
      <c r="I945" s="450"/>
      <c r="J945" s="450"/>
      <c r="K945" s="450"/>
      <c r="L945" s="450"/>
      <c r="M945" s="450"/>
      <c r="N945" s="450"/>
      <c r="O945" s="450"/>
      <c r="P945" s="450"/>
      <c r="Q945" s="450"/>
      <c r="R945" s="450"/>
      <c r="S945" s="450"/>
      <c r="T945" s="450"/>
      <c r="U945" s="450"/>
      <c r="V945" s="450"/>
      <c r="W945" s="450"/>
      <c r="X945" s="450"/>
      <c r="Y945" s="450"/>
      <c r="Z945" s="450"/>
      <c r="AA945" s="450"/>
      <c r="AB945" s="450"/>
      <c r="AC945" s="450"/>
      <c r="AD945" s="450"/>
      <c r="AE945" s="450"/>
      <c r="AF945" s="450"/>
      <c r="AG945" s="450"/>
      <c r="AH945" s="450"/>
      <c r="AI945" s="450"/>
      <c r="AJ945" s="450"/>
      <c r="AK945" s="450"/>
    </row>
    <row r="946">
      <c r="A946" s="450"/>
      <c r="B946" s="450"/>
      <c r="C946" s="455"/>
      <c r="D946" s="450"/>
      <c r="E946" s="450"/>
      <c r="F946" s="450"/>
      <c r="G946" s="450"/>
      <c r="H946" s="450"/>
      <c r="I946" s="450"/>
      <c r="J946" s="450"/>
      <c r="K946" s="450"/>
      <c r="L946" s="450"/>
      <c r="M946" s="450"/>
      <c r="N946" s="450"/>
      <c r="O946" s="450"/>
      <c r="P946" s="450"/>
      <c r="Q946" s="450"/>
      <c r="R946" s="450"/>
      <c r="S946" s="450"/>
      <c r="T946" s="450"/>
      <c r="U946" s="450"/>
      <c r="V946" s="450"/>
      <c r="W946" s="450"/>
      <c r="X946" s="450"/>
      <c r="Y946" s="450"/>
      <c r="Z946" s="450"/>
      <c r="AA946" s="450"/>
      <c r="AB946" s="450"/>
      <c r="AC946" s="450"/>
      <c r="AD946" s="450"/>
      <c r="AE946" s="450"/>
      <c r="AF946" s="450"/>
      <c r="AG946" s="450"/>
      <c r="AH946" s="450"/>
      <c r="AI946" s="450"/>
      <c r="AJ946" s="450"/>
      <c r="AK946" s="450"/>
    </row>
    <row r="947">
      <c r="A947" s="450"/>
      <c r="B947" s="450"/>
      <c r="C947" s="455"/>
      <c r="D947" s="450"/>
      <c r="E947" s="450"/>
      <c r="F947" s="450"/>
      <c r="G947" s="450"/>
      <c r="H947" s="450"/>
      <c r="I947" s="450"/>
      <c r="J947" s="450"/>
      <c r="K947" s="450"/>
      <c r="L947" s="450"/>
      <c r="M947" s="450"/>
      <c r="N947" s="450"/>
      <c r="O947" s="450"/>
      <c r="P947" s="450"/>
      <c r="Q947" s="450"/>
      <c r="R947" s="450"/>
      <c r="S947" s="450"/>
      <c r="T947" s="450"/>
      <c r="U947" s="450"/>
      <c r="V947" s="450"/>
      <c r="W947" s="450"/>
      <c r="X947" s="450"/>
      <c r="Y947" s="450"/>
      <c r="Z947" s="450"/>
      <c r="AA947" s="450"/>
      <c r="AB947" s="450"/>
      <c r="AC947" s="450"/>
      <c r="AD947" s="450"/>
      <c r="AE947" s="450"/>
      <c r="AF947" s="450"/>
      <c r="AG947" s="450"/>
      <c r="AH947" s="450"/>
      <c r="AI947" s="450"/>
      <c r="AJ947" s="450"/>
      <c r="AK947" s="450"/>
    </row>
    <row r="948">
      <c r="A948" s="450"/>
      <c r="B948" s="450"/>
      <c r="C948" s="455"/>
      <c r="D948" s="450"/>
      <c r="E948" s="450"/>
      <c r="F948" s="450"/>
      <c r="G948" s="450"/>
      <c r="H948" s="450"/>
      <c r="I948" s="450"/>
      <c r="J948" s="450"/>
      <c r="K948" s="450"/>
      <c r="L948" s="450"/>
      <c r="M948" s="450"/>
      <c r="N948" s="450"/>
      <c r="O948" s="450"/>
      <c r="P948" s="450"/>
      <c r="Q948" s="450"/>
      <c r="R948" s="450"/>
      <c r="S948" s="450"/>
      <c r="T948" s="450"/>
      <c r="U948" s="450"/>
      <c r="V948" s="450"/>
      <c r="W948" s="450"/>
      <c r="X948" s="450"/>
      <c r="Y948" s="450"/>
      <c r="Z948" s="450"/>
      <c r="AA948" s="450"/>
      <c r="AB948" s="450"/>
      <c r="AC948" s="450"/>
      <c r="AD948" s="450"/>
      <c r="AE948" s="450"/>
      <c r="AF948" s="450"/>
      <c r="AG948" s="450"/>
      <c r="AH948" s="450"/>
      <c r="AI948" s="450"/>
      <c r="AJ948" s="450"/>
      <c r="AK948" s="450"/>
    </row>
    <row r="949">
      <c r="A949" s="450"/>
      <c r="B949" s="450"/>
      <c r="C949" s="455"/>
      <c r="D949" s="450"/>
      <c r="E949" s="450"/>
      <c r="F949" s="450"/>
      <c r="G949" s="450"/>
      <c r="H949" s="450"/>
      <c r="I949" s="450"/>
      <c r="J949" s="450"/>
      <c r="K949" s="450"/>
      <c r="L949" s="450"/>
      <c r="M949" s="450"/>
      <c r="N949" s="450"/>
      <c r="O949" s="450"/>
      <c r="P949" s="450"/>
      <c r="Q949" s="450"/>
      <c r="R949" s="450"/>
      <c r="S949" s="450"/>
      <c r="T949" s="450"/>
      <c r="U949" s="450"/>
      <c r="V949" s="450"/>
      <c r="W949" s="450"/>
      <c r="X949" s="450"/>
      <c r="Y949" s="450"/>
      <c r="Z949" s="450"/>
      <c r="AA949" s="450"/>
      <c r="AB949" s="450"/>
      <c r="AC949" s="450"/>
      <c r="AD949" s="450"/>
      <c r="AE949" s="450"/>
      <c r="AF949" s="450"/>
      <c r="AG949" s="450"/>
      <c r="AH949" s="450"/>
      <c r="AI949" s="450"/>
      <c r="AJ949" s="450"/>
      <c r="AK949" s="450"/>
    </row>
    <row r="950">
      <c r="A950" s="450"/>
      <c r="B950" s="450"/>
      <c r="C950" s="455"/>
      <c r="D950" s="450"/>
      <c r="E950" s="450"/>
      <c r="F950" s="450"/>
      <c r="G950" s="450"/>
      <c r="H950" s="450"/>
      <c r="I950" s="450"/>
      <c r="J950" s="450"/>
      <c r="K950" s="450"/>
      <c r="L950" s="450"/>
      <c r="M950" s="450"/>
      <c r="N950" s="450"/>
      <c r="O950" s="450"/>
      <c r="P950" s="450"/>
      <c r="Q950" s="450"/>
      <c r="R950" s="450"/>
      <c r="S950" s="450"/>
      <c r="T950" s="450"/>
      <c r="U950" s="450"/>
      <c r="V950" s="450"/>
      <c r="W950" s="450"/>
      <c r="X950" s="450"/>
      <c r="Y950" s="450"/>
      <c r="Z950" s="450"/>
      <c r="AA950" s="450"/>
      <c r="AB950" s="450"/>
      <c r="AC950" s="450"/>
      <c r="AD950" s="450"/>
      <c r="AE950" s="450"/>
      <c r="AF950" s="450"/>
      <c r="AG950" s="450"/>
      <c r="AH950" s="450"/>
      <c r="AI950" s="450"/>
      <c r="AJ950" s="450"/>
      <c r="AK950" s="450"/>
    </row>
    <row r="951">
      <c r="A951" s="450"/>
      <c r="B951" s="450"/>
      <c r="C951" s="455"/>
      <c r="D951" s="450"/>
      <c r="E951" s="450"/>
      <c r="F951" s="450"/>
      <c r="G951" s="450"/>
      <c r="H951" s="450"/>
      <c r="I951" s="450"/>
      <c r="J951" s="450"/>
      <c r="K951" s="450"/>
      <c r="L951" s="450"/>
      <c r="M951" s="450"/>
      <c r="N951" s="450"/>
      <c r="O951" s="450"/>
      <c r="P951" s="450"/>
      <c r="Q951" s="450"/>
      <c r="R951" s="450"/>
      <c r="S951" s="450"/>
      <c r="T951" s="450"/>
      <c r="U951" s="450"/>
      <c r="V951" s="450"/>
      <c r="W951" s="450"/>
      <c r="X951" s="450"/>
      <c r="Y951" s="450"/>
      <c r="Z951" s="450"/>
      <c r="AA951" s="450"/>
      <c r="AB951" s="450"/>
      <c r="AC951" s="450"/>
      <c r="AD951" s="450"/>
      <c r="AE951" s="450"/>
      <c r="AF951" s="450"/>
      <c r="AG951" s="450"/>
      <c r="AH951" s="450"/>
      <c r="AI951" s="450"/>
      <c r="AJ951" s="450"/>
      <c r="AK951" s="450"/>
    </row>
    <row r="952">
      <c r="A952" s="450"/>
      <c r="B952" s="450"/>
      <c r="C952" s="455"/>
      <c r="D952" s="450"/>
      <c r="E952" s="450"/>
      <c r="F952" s="450"/>
      <c r="G952" s="450"/>
      <c r="H952" s="450"/>
      <c r="I952" s="450"/>
      <c r="J952" s="450"/>
      <c r="K952" s="450"/>
      <c r="L952" s="450"/>
      <c r="M952" s="450"/>
      <c r="N952" s="450"/>
      <c r="O952" s="450"/>
      <c r="P952" s="450"/>
      <c r="Q952" s="450"/>
      <c r="R952" s="450"/>
      <c r="S952" s="450"/>
      <c r="T952" s="450"/>
      <c r="U952" s="450"/>
      <c r="V952" s="450"/>
      <c r="W952" s="450"/>
      <c r="X952" s="450"/>
      <c r="Y952" s="450"/>
      <c r="Z952" s="450"/>
      <c r="AA952" s="450"/>
      <c r="AB952" s="450"/>
      <c r="AC952" s="450"/>
      <c r="AD952" s="450"/>
      <c r="AE952" s="450"/>
      <c r="AF952" s="450"/>
      <c r="AG952" s="450"/>
      <c r="AH952" s="450"/>
      <c r="AI952" s="450"/>
      <c r="AJ952" s="450"/>
      <c r="AK952" s="450"/>
    </row>
    <row r="953">
      <c r="A953" s="450"/>
      <c r="B953" s="450"/>
      <c r="C953" s="455"/>
      <c r="D953" s="450"/>
      <c r="E953" s="450"/>
      <c r="F953" s="450"/>
      <c r="G953" s="450"/>
      <c r="H953" s="450"/>
      <c r="I953" s="450"/>
      <c r="J953" s="450"/>
      <c r="K953" s="450"/>
      <c r="L953" s="450"/>
      <c r="M953" s="450"/>
      <c r="N953" s="450"/>
      <c r="O953" s="450"/>
      <c r="P953" s="450"/>
      <c r="Q953" s="450"/>
      <c r="R953" s="450"/>
      <c r="S953" s="450"/>
      <c r="T953" s="450"/>
      <c r="U953" s="450"/>
      <c r="V953" s="450"/>
      <c r="W953" s="450"/>
      <c r="X953" s="450"/>
      <c r="Y953" s="450"/>
      <c r="Z953" s="450"/>
      <c r="AA953" s="450"/>
      <c r="AB953" s="450"/>
      <c r="AC953" s="450"/>
      <c r="AD953" s="450"/>
      <c r="AE953" s="450"/>
      <c r="AF953" s="450"/>
      <c r="AG953" s="450"/>
      <c r="AH953" s="450"/>
      <c r="AI953" s="450"/>
      <c r="AJ953" s="450"/>
      <c r="AK953" s="450"/>
    </row>
    <row r="954">
      <c r="A954" s="450"/>
      <c r="B954" s="450"/>
      <c r="C954" s="455"/>
      <c r="D954" s="450"/>
      <c r="E954" s="450"/>
      <c r="F954" s="450"/>
      <c r="G954" s="450"/>
      <c r="H954" s="450"/>
      <c r="I954" s="450"/>
      <c r="J954" s="450"/>
      <c r="K954" s="450"/>
      <c r="L954" s="450"/>
      <c r="M954" s="450"/>
      <c r="N954" s="450"/>
      <c r="O954" s="450"/>
      <c r="P954" s="450"/>
      <c r="Q954" s="450"/>
      <c r="R954" s="450"/>
      <c r="S954" s="450"/>
      <c r="T954" s="450"/>
      <c r="U954" s="450"/>
      <c r="V954" s="450"/>
      <c r="W954" s="450"/>
      <c r="X954" s="450"/>
      <c r="Y954" s="450"/>
      <c r="Z954" s="450"/>
      <c r="AA954" s="450"/>
      <c r="AB954" s="450"/>
      <c r="AC954" s="450"/>
      <c r="AD954" s="450"/>
      <c r="AE954" s="450"/>
      <c r="AF954" s="450"/>
      <c r="AG954" s="450"/>
      <c r="AH954" s="450"/>
      <c r="AI954" s="450"/>
      <c r="AJ954" s="450"/>
      <c r="AK954" s="450"/>
    </row>
    <row r="955">
      <c r="A955" s="450"/>
      <c r="B955" s="450"/>
      <c r="C955" s="455"/>
      <c r="D955" s="450"/>
      <c r="E955" s="450"/>
      <c r="F955" s="450"/>
      <c r="G955" s="450"/>
      <c r="H955" s="450"/>
      <c r="I955" s="450"/>
      <c r="J955" s="450"/>
      <c r="K955" s="450"/>
      <c r="L955" s="450"/>
      <c r="M955" s="450"/>
      <c r="N955" s="450"/>
      <c r="O955" s="450"/>
      <c r="P955" s="450"/>
      <c r="Q955" s="450"/>
      <c r="R955" s="450"/>
      <c r="S955" s="450"/>
      <c r="T955" s="450"/>
      <c r="U955" s="450"/>
      <c r="V955" s="450"/>
      <c r="W955" s="450"/>
      <c r="X955" s="450"/>
      <c r="Y955" s="450"/>
      <c r="Z955" s="450"/>
      <c r="AA955" s="450"/>
      <c r="AB955" s="450"/>
      <c r="AC955" s="450"/>
      <c r="AD955" s="450"/>
      <c r="AE955" s="450"/>
      <c r="AF955" s="450"/>
      <c r="AG955" s="450"/>
      <c r="AH955" s="450"/>
      <c r="AI955" s="450"/>
      <c r="AJ955" s="450"/>
      <c r="AK955" s="450"/>
    </row>
    <row r="956">
      <c r="A956" s="450"/>
      <c r="B956" s="450"/>
      <c r="C956" s="455"/>
      <c r="D956" s="450"/>
      <c r="E956" s="450"/>
      <c r="F956" s="450"/>
      <c r="G956" s="450"/>
      <c r="H956" s="450"/>
      <c r="I956" s="450"/>
      <c r="J956" s="450"/>
      <c r="K956" s="450"/>
      <c r="L956" s="450"/>
      <c r="M956" s="450"/>
      <c r="N956" s="450"/>
      <c r="O956" s="450"/>
      <c r="P956" s="450"/>
      <c r="Q956" s="450"/>
      <c r="R956" s="450"/>
      <c r="S956" s="450"/>
      <c r="T956" s="450"/>
      <c r="U956" s="450"/>
      <c r="V956" s="450"/>
      <c r="W956" s="450"/>
      <c r="X956" s="450"/>
      <c r="Y956" s="450"/>
      <c r="Z956" s="450"/>
      <c r="AA956" s="450"/>
      <c r="AB956" s="450"/>
      <c r="AC956" s="450"/>
      <c r="AD956" s="450"/>
      <c r="AE956" s="450"/>
      <c r="AF956" s="450"/>
      <c r="AG956" s="450"/>
      <c r="AH956" s="450"/>
      <c r="AI956" s="450"/>
      <c r="AJ956" s="450"/>
      <c r="AK956" s="450"/>
    </row>
    <row r="957">
      <c r="A957" s="450"/>
      <c r="B957" s="450"/>
      <c r="C957" s="455"/>
      <c r="D957" s="450"/>
      <c r="E957" s="450"/>
      <c r="F957" s="450"/>
      <c r="G957" s="450"/>
      <c r="H957" s="450"/>
      <c r="I957" s="450"/>
      <c r="J957" s="450"/>
      <c r="K957" s="450"/>
      <c r="L957" s="450"/>
      <c r="M957" s="450"/>
      <c r="N957" s="450"/>
      <c r="O957" s="450"/>
      <c r="P957" s="450"/>
      <c r="Q957" s="450"/>
      <c r="R957" s="450"/>
      <c r="S957" s="450"/>
      <c r="T957" s="450"/>
      <c r="U957" s="450"/>
      <c r="V957" s="450"/>
      <c r="W957" s="450"/>
      <c r="X957" s="450"/>
      <c r="Y957" s="450"/>
      <c r="Z957" s="450"/>
      <c r="AA957" s="450"/>
      <c r="AB957" s="450"/>
      <c r="AC957" s="450"/>
      <c r="AD957" s="450"/>
      <c r="AE957" s="450"/>
      <c r="AF957" s="450"/>
      <c r="AG957" s="450"/>
      <c r="AH957" s="450"/>
      <c r="AI957" s="450"/>
      <c r="AJ957" s="450"/>
      <c r="AK957" s="450"/>
    </row>
    <row r="958">
      <c r="A958" s="450"/>
      <c r="B958" s="450"/>
      <c r="C958" s="455"/>
      <c r="D958" s="450"/>
      <c r="E958" s="450"/>
      <c r="F958" s="450"/>
      <c r="G958" s="450"/>
      <c r="H958" s="450"/>
      <c r="I958" s="450"/>
      <c r="J958" s="450"/>
      <c r="K958" s="450"/>
      <c r="L958" s="450"/>
      <c r="M958" s="450"/>
      <c r="N958" s="450"/>
      <c r="O958" s="450"/>
      <c r="P958" s="450"/>
      <c r="Q958" s="450"/>
      <c r="R958" s="450"/>
      <c r="S958" s="450"/>
      <c r="T958" s="450"/>
      <c r="U958" s="450"/>
      <c r="V958" s="450"/>
      <c r="W958" s="450"/>
      <c r="X958" s="450"/>
      <c r="Y958" s="450"/>
      <c r="Z958" s="450"/>
      <c r="AA958" s="450"/>
      <c r="AB958" s="450"/>
      <c r="AC958" s="450"/>
      <c r="AD958" s="450"/>
      <c r="AE958" s="450"/>
      <c r="AF958" s="450"/>
      <c r="AG958" s="450"/>
      <c r="AH958" s="450"/>
      <c r="AI958" s="450"/>
      <c r="AJ958" s="450"/>
      <c r="AK958" s="450"/>
    </row>
    <row r="959">
      <c r="A959" s="450"/>
      <c r="B959" s="450"/>
      <c r="C959" s="455"/>
      <c r="D959" s="450"/>
      <c r="E959" s="450"/>
      <c r="F959" s="450"/>
      <c r="G959" s="450"/>
      <c r="H959" s="450"/>
      <c r="I959" s="450"/>
      <c r="J959" s="450"/>
      <c r="K959" s="450"/>
      <c r="L959" s="450"/>
      <c r="M959" s="450"/>
      <c r="N959" s="450"/>
      <c r="O959" s="450"/>
      <c r="P959" s="450"/>
      <c r="Q959" s="450"/>
      <c r="R959" s="450"/>
      <c r="S959" s="450"/>
      <c r="T959" s="450"/>
      <c r="U959" s="450"/>
      <c r="V959" s="450"/>
      <c r="W959" s="450"/>
      <c r="X959" s="450"/>
      <c r="Y959" s="450"/>
      <c r="Z959" s="450"/>
      <c r="AA959" s="450"/>
      <c r="AB959" s="450"/>
      <c r="AC959" s="450"/>
      <c r="AD959" s="450"/>
      <c r="AE959" s="450"/>
      <c r="AF959" s="450"/>
      <c r="AG959" s="450"/>
      <c r="AH959" s="450"/>
      <c r="AI959" s="450"/>
      <c r="AJ959" s="450"/>
      <c r="AK959" s="450"/>
    </row>
    <row r="960">
      <c r="A960" s="450"/>
      <c r="B960" s="450"/>
      <c r="C960" s="455"/>
      <c r="D960" s="450"/>
      <c r="E960" s="450"/>
      <c r="F960" s="450"/>
      <c r="G960" s="450"/>
      <c r="H960" s="450"/>
      <c r="I960" s="450"/>
      <c r="J960" s="450"/>
      <c r="K960" s="450"/>
      <c r="L960" s="450"/>
      <c r="M960" s="450"/>
      <c r="N960" s="450"/>
      <c r="O960" s="450"/>
      <c r="P960" s="450"/>
      <c r="Q960" s="450"/>
      <c r="R960" s="450"/>
      <c r="S960" s="450"/>
      <c r="T960" s="450"/>
      <c r="U960" s="450"/>
      <c r="V960" s="450"/>
      <c r="W960" s="450"/>
      <c r="X960" s="450"/>
      <c r="Y960" s="450"/>
      <c r="Z960" s="450"/>
      <c r="AA960" s="450"/>
      <c r="AB960" s="450"/>
      <c r="AC960" s="450"/>
      <c r="AD960" s="450"/>
      <c r="AE960" s="450"/>
      <c r="AF960" s="450"/>
      <c r="AG960" s="450"/>
      <c r="AH960" s="450"/>
      <c r="AI960" s="450"/>
      <c r="AJ960" s="450"/>
      <c r="AK960" s="450"/>
    </row>
    <row r="961">
      <c r="A961" s="450"/>
      <c r="B961" s="450"/>
      <c r="C961" s="455"/>
      <c r="D961" s="450"/>
      <c r="E961" s="450"/>
      <c r="F961" s="450"/>
      <c r="G961" s="450"/>
      <c r="H961" s="450"/>
      <c r="I961" s="450"/>
      <c r="J961" s="450"/>
      <c r="K961" s="450"/>
      <c r="L961" s="450"/>
      <c r="M961" s="450"/>
      <c r="N961" s="450"/>
      <c r="O961" s="450"/>
      <c r="P961" s="450"/>
      <c r="Q961" s="450"/>
      <c r="R961" s="450"/>
      <c r="S961" s="450"/>
      <c r="T961" s="450"/>
      <c r="U961" s="450"/>
      <c r="V961" s="450"/>
      <c r="W961" s="450"/>
      <c r="X961" s="450"/>
      <c r="Y961" s="450"/>
      <c r="Z961" s="450"/>
      <c r="AA961" s="450"/>
      <c r="AB961" s="450"/>
      <c r="AC961" s="450"/>
      <c r="AD961" s="450"/>
      <c r="AE961" s="450"/>
      <c r="AF961" s="450"/>
      <c r="AG961" s="450"/>
      <c r="AH961" s="450"/>
      <c r="AI961" s="450"/>
      <c r="AJ961" s="450"/>
      <c r="AK961" s="450"/>
    </row>
    <row r="962">
      <c r="A962" s="450"/>
      <c r="B962" s="450"/>
      <c r="C962" s="455"/>
      <c r="D962" s="450"/>
      <c r="E962" s="450"/>
      <c r="F962" s="450"/>
      <c r="G962" s="450"/>
      <c r="H962" s="450"/>
      <c r="I962" s="450"/>
      <c r="J962" s="450"/>
      <c r="K962" s="450"/>
      <c r="L962" s="450"/>
      <c r="M962" s="450"/>
      <c r="N962" s="450"/>
      <c r="O962" s="450"/>
      <c r="P962" s="450"/>
      <c r="Q962" s="450"/>
      <c r="R962" s="450"/>
      <c r="S962" s="450"/>
      <c r="T962" s="450"/>
      <c r="U962" s="450"/>
      <c r="V962" s="450"/>
      <c r="W962" s="450"/>
      <c r="X962" s="450"/>
      <c r="Y962" s="450"/>
      <c r="Z962" s="450"/>
      <c r="AA962" s="450"/>
      <c r="AB962" s="450"/>
      <c r="AC962" s="450"/>
      <c r="AD962" s="450"/>
      <c r="AE962" s="450"/>
      <c r="AF962" s="450"/>
      <c r="AG962" s="450"/>
      <c r="AH962" s="450"/>
      <c r="AI962" s="450"/>
      <c r="AJ962" s="450"/>
      <c r="AK962" s="450"/>
    </row>
    <row r="963">
      <c r="A963" s="450"/>
      <c r="B963" s="450"/>
      <c r="C963" s="455"/>
      <c r="D963" s="450"/>
      <c r="E963" s="450"/>
      <c r="F963" s="450"/>
      <c r="G963" s="450"/>
      <c r="H963" s="450"/>
      <c r="I963" s="450"/>
      <c r="J963" s="450"/>
      <c r="K963" s="450"/>
      <c r="L963" s="450"/>
      <c r="M963" s="450"/>
      <c r="N963" s="450"/>
      <c r="O963" s="450"/>
      <c r="P963" s="450"/>
      <c r="Q963" s="450"/>
      <c r="R963" s="450"/>
      <c r="S963" s="450"/>
      <c r="T963" s="450"/>
      <c r="U963" s="450"/>
      <c r="V963" s="450"/>
      <c r="W963" s="450"/>
      <c r="X963" s="450"/>
      <c r="Y963" s="450"/>
      <c r="Z963" s="450"/>
      <c r="AA963" s="450"/>
      <c r="AB963" s="450"/>
      <c r="AC963" s="450"/>
      <c r="AD963" s="450"/>
      <c r="AE963" s="450"/>
      <c r="AF963" s="450"/>
      <c r="AG963" s="450"/>
      <c r="AH963" s="450"/>
      <c r="AI963" s="450"/>
      <c r="AJ963" s="450"/>
      <c r="AK963" s="450"/>
    </row>
    <row r="964">
      <c r="A964" s="450"/>
      <c r="B964" s="450"/>
      <c r="C964" s="455"/>
      <c r="D964" s="450"/>
      <c r="E964" s="450"/>
      <c r="F964" s="450"/>
      <c r="G964" s="450"/>
      <c r="H964" s="450"/>
      <c r="I964" s="450"/>
      <c r="J964" s="450"/>
      <c r="K964" s="450"/>
      <c r="L964" s="450"/>
      <c r="M964" s="450"/>
      <c r="N964" s="450"/>
      <c r="O964" s="450"/>
      <c r="P964" s="450"/>
      <c r="Q964" s="450"/>
      <c r="R964" s="450"/>
      <c r="S964" s="450"/>
      <c r="T964" s="450"/>
      <c r="U964" s="450"/>
      <c r="V964" s="450"/>
      <c r="W964" s="450"/>
      <c r="X964" s="450"/>
      <c r="Y964" s="450"/>
      <c r="Z964" s="450"/>
      <c r="AA964" s="450"/>
      <c r="AB964" s="450"/>
      <c r="AC964" s="450"/>
      <c r="AD964" s="450"/>
      <c r="AE964" s="450"/>
      <c r="AF964" s="450"/>
      <c r="AG964" s="450"/>
      <c r="AH964" s="450"/>
      <c r="AI964" s="450"/>
      <c r="AJ964" s="450"/>
      <c r="AK964" s="450"/>
    </row>
    <row r="965">
      <c r="A965" s="450"/>
      <c r="B965" s="450"/>
      <c r="C965" s="455"/>
      <c r="D965" s="450"/>
      <c r="E965" s="450"/>
      <c r="F965" s="450"/>
      <c r="G965" s="450"/>
      <c r="H965" s="450"/>
      <c r="I965" s="450"/>
      <c r="J965" s="450"/>
      <c r="K965" s="450"/>
      <c r="L965" s="450"/>
      <c r="M965" s="450"/>
      <c r="N965" s="450"/>
      <c r="O965" s="450"/>
      <c r="P965" s="450"/>
      <c r="Q965" s="450"/>
      <c r="R965" s="450"/>
      <c r="S965" s="450"/>
      <c r="T965" s="450"/>
      <c r="U965" s="450"/>
      <c r="V965" s="450"/>
      <c r="W965" s="450"/>
      <c r="X965" s="450"/>
      <c r="Y965" s="450"/>
      <c r="Z965" s="450"/>
      <c r="AA965" s="450"/>
      <c r="AB965" s="450"/>
      <c r="AC965" s="450"/>
      <c r="AD965" s="450"/>
      <c r="AE965" s="450"/>
      <c r="AF965" s="450"/>
      <c r="AG965" s="450"/>
      <c r="AH965" s="450"/>
      <c r="AI965" s="450"/>
      <c r="AJ965" s="450"/>
      <c r="AK965" s="450"/>
    </row>
    <row r="966">
      <c r="A966" s="450"/>
      <c r="B966" s="450"/>
      <c r="C966" s="455"/>
      <c r="D966" s="450"/>
      <c r="E966" s="450"/>
      <c r="F966" s="450"/>
      <c r="G966" s="450"/>
      <c r="H966" s="450"/>
      <c r="I966" s="450"/>
      <c r="J966" s="450"/>
      <c r="K966" s="450"/>
      <c r="L966" s="450"/>
      <c r="M966" s="450"/>
      <c r="N966" s="450"/>
      <c r="O966" s="450"/>
      <c r="P966" s="450"/>
      <c r="Q966" s="450"/>
      <c r="R966" s="450"/>
      <c r="S966" s="450"/>
      <c r="T966" s="450"/>
      <c r="U966" s="450"/>
      <c r="V966" s="450"/>
      <c r="W966" s="450"/>
      <c r="X966" s="450"/>
      <c r="Y966" s="450"/>
      <c r="Z966" s="450"/>
      <c r="AA966" s="450"/>
      <c r="AB966" s="450"/>
      <c r="AC966" s="450"/>
      <c r="AD966" s="450"/>
      <c r="AE966" s="450"/>
      <c r="AF966" s="450"/>
      <c r="AG966" s="450"/>
      <c r="AH966" s="450"/>
      <c r="AI966" s="450"/>
      <c r="AJ966" s="450"/>
      <c r="AK966" s="450"/>
    </row>
    <row r="967">
      <c r="A967" s="450"/>
      <c r="B967" s="450"/>
      <c r="C967" s="455"/>
      <c r="D967" s="450"/>
      <c r="E967" s="450"/>
      <c r="F967" s="450"/>
      <c r="G967" s="450"/>
      <c r="H967" s="450"/>
      <c r="I967" s="450"/>
      <c r="J967" s="450"/>
      <c r="K967" s="450"/>
      <c r="L967" s="450"/>
      <c r="M967" s="450"/>
      <c r="N967" s="450"/>
      <c r="O967" s="450"/>
      <c r="P967" s="450"/>
      <c r="Q967" s="450"/>
      <c r="R967" s="450"/>
      <c r="S967" s="450"/>
      <c r="T967" s="450"/>
      <c r="U967" s="450"/>
      <c r="V967" s="450"/>
      <c r="W967" s="450"/>
      <c r="X967" s="450"/>
      <c r="Y967" s="450"/>
      <c r="Z967" s="450"/>
      <c r="AA967" s="450"/>
      <c r="AB967" s="450"/>
      <c r="AC967" s="450"/>
      <c r="AD967" s="450"/>
      <c r="AE967" s="450"/>
      <c r="AF967" s="450"/>
      <c r="AG967" s="450"/>
      <c r="AH967" s="450"/>
      <c r="AI967" s="450"/>
      <c r="AJ967" s="450"/>
      <c r="AK967" s="450"/>
    </row>
    <row r="968">
      <c r="A968" s="450"/>
      <c r="B968" s="450"/>
      <c r="C968" s="455"/>
      <c r="D968" s="450"/>
      <c r="E968" s="450"/>
      <c r="F968" s="450"/>
      <c r="G968" s="450"/>
      <c r="H968" s="450"/>
      <c r="I968" s="450"/>
      <c r="J968" s="450"/>
      <c r="K968" s="450"/>
      <c r="L968" s="450"/>
      <c r="M968" s="450"/>
      <c r="N968" s="450"/>
      <c r="O968" s="450"/>
      <c r="P968" s="450"/>
      <c r="Q968" s="450"/>
      <c r="R968" s="450"/>
      <c r="S968" s="450"/>
      <c r="T968" s="450"/>
      <c r="U968" s="450"/>
      <c r="V968" s="450"/>
      <c r="W968" s="450"/>
      <c r="X968" s="450"/>
      <c r="Y968" s="450"/>
      <c r="Z968" s="450"/>
      <c r="AA968" s="450"/>
      <c r="AB968" s="450"/>
      <c r="AC968" s="450"/>
      <c r="AD968" s="450"/>
      <c r="AE968" s="450"/>
      <c r="AF968" s="450"/>
      <c r="AG968" s="450"/>
      <c r="AH968" s="450"/>
      <c r="AI968" s="450"/>
      <c r="AJ968" s="450"/>
      <c r="AK968" s="450"/>
    </row>
    <row r="969">
      <c r="A969" s="450"/>
      <c r="B969" s="450"/>
      <c r="C969" s="455"/>
      <c r="D969" s="450"/>
      <c r="E969" s="450"/>
      <c r="F969" s="450"/>
      <c r="G969" s="450"/>
      <c r="H969" s="450"/>
      <c r="I969" s="450"/>
      <c r="J969" s="450"/>
      <c r="K969" s="450"/>
      <c r="L969" s="450"/>
      <c r="M969" s="450"/>
      <c r="N969" s="450"/>
      <c r="O969" s="450"/>
      <c r="P969" s="450"/>
      <c r="Q969" s="450"/>
      <c r="R969" s="450"/>
      <c r="S969" s="450"/>
      <c r="T969" s="450"/>
      <c r="U969" s="450"/>
      <c r="V969" s="450"/>
      <c r="W969" s="450"/>
      <c r="X969" s="450"/>
      <c r="Y969" s="450"/>
      <c r="Z969" s="450"/>
      <c r="AA969" s="450"/>
      <c r="AB969" s="450"/>
      <c r="AC969" s="450"/>
      <c r="AD969" s="450"/>
      <c r="AE969" s="450"/>
      <c r="AF969" s="450"/>
      <c r="AG969" s="450"/>
      <c r="AH969" s="450"/>
      <c r="AI969" s="450"/>
      <c r="AJ969" s="450"/>
      <c r="AK969" s="450"/>
    </row>
    <row r="970">
      <c r="A970" s="450"/>
      <c r="B970" s="450"/>
      <c r="C970" s="455"/>
      <c r="D970" s="450"/>
      <c r="E970" s="450"/>
      <c r="F970" s="450"/>
      <c r="G970" s="450"/>
      <c r="H970" s="450"/>
      <c r="I970" s="450"/>
      <c r="J970" s="450"/>
      <c r="K970" s="450"/>
      <c r="L970" s="450"/>
      <c r="M970" s="450"/>
      <c r="N970" s="450"/>
      <c r="O970" s="450"/>
      <c r="P970" s="450"/>
      <c r="Q970" s="450"/>
      <c r="R970" s="450"/>
      <c r="S970" s="450"/>
      <c r="T970" s="450"/>
      <c r="U970" s="450"/>
      <c r="V970" s="450"/>
      <c r="W970" s="450"/>
      <c r="X970" s="450"/>
      <c r="Y970" s="450"/>
      <c r="Z970" s="450"/>
      <c r="AA970" s="450"/>
      <c r="AB970" s="450"/>
      <c r="AC970" s="450"/>
      <c r="AD970" s="450"/>
      <c r="AE970" s="450"/>
      <c r="AF970" s="450"/>
      <c r="AG970" s="450"/>
      <c r="AH970" s="450"/>
      <c r="AI970" s="450"/>
      <c r="AJ970" s="450"/>
      <c r="AK970" s="450"/>
    </row>
    <row r="971">
      <c r="A971" s="450"/>
      <c r="B971" s="450"/>
      <c r="C971" s="455"/>
      <c r="D971" s="450"/>
      <c r="E971" s="450"/>
      <c r="F971" s="450"/>
      <c r="G971" s="450"/>
      <c r="H971" s="450"/>
      <c r="I971" s="450"/>
      <c r="J971" s="450"/>
      <c r="K971" s="450"/>
      <c r="L971" s="450"/>
      <c r="M971" s="450"/>
      <c r="N971" s="450"/>
      <c r="O971" s="450"/>
      <c r="P971" s="450"/>
      <c r="Q971" s="450"/>
      <c r="R971" s="450"/>
      <c r="S971" s="450"/>
      <c r="T971" s="450"/>
      <c r="U971" s="450"/>
      <c r="V971" s="450"/>
      <c r="W971" s="450"/>
      <c r="X971" s="450"/>
      <c r="Y971" s="450"/>
      <c r="Z971" s="450"/>
      <c r="AA971" s="450"/>
      <c r="AB971" s="450"/>
      <c r="AC971" s="450"/>
      <c r="AD971" s="450"/>
      <c r="AE971" s="450"/>
      <c r="AF971" s="450"/>
      <c r="AG971" s="450"/>
      <c r="AH971" s="450"/>
      <c r="AI971" s="450"/>
      <c r="AJ971" s="450"/>
      <c r="AK971" s="450"/>
    </row>
    <row r="972">
      <c r="A972" s="450"/>
      <c r="B972" s="450"/>
      <c r="C972" s="455"/>
      <c r="D972" s="450"/>
      <c r="E972" s="450"/>
      <c r="F972" s="450"/>
      <c r="G972" s="450"/>
      <c r="H972" s="450"/>
      <c r="I972" s="450"/>
      <c r="J972" s="450"/>
      <c r="K972" s="450"/>
      <c r="L972" s="450"/>
      <c r="M972" s="450"/>
      <c r="N972" s="450"/>
      <c r="O972" s="450"/>
      <c r="P972" s="450"/>
      <c r="Q972" s="450"/>
      <c r="R972" s="450"/>
      <c r="S972" s="450"/>
      <c r="T972" s="450"/>
      <c r="U972" s="450"/>
      <c r="V972" s="450"/>
      <c r="W972" s="450"/>
      <c r="X972" s="450"/>
      <c r="Y972" s="450"/>
      <c r="Z972" s="450"/>
      <c r="AA972" s="450"/>
      <c r="AB972" s="450"/>
      <c r="AC972" s="450"/>
      <c r="AD972" s="450"/>
      <c r="AE972" s="450"/>
      <c r="AF972" s="450"/>
      <c r="AG972" s="450"/>
      <c r="AH972" s="450"/>
      <c r="AI972" s="450"/>
      <c r="AJ972" s="450"/>
      <c r="AK972" s="450"/>
    </row>
    <row r="973">
      <c r="A973" s="450"/>
      <c r="B973" s="450"/>
      <c r="C973" s="455"/>
      <c r="D973" s="450"/>
      <c r="E973" s="450"/>
      <c r="F973" s="450"/>
      <c r="G973" s="450"/>
      <c r="H973" s="450"/>
      <c r="I973" s="450"/>
      <c r="J973" s="450"/>
      <c r="K973" s="450"/>
      <c r="L973" s="450"/>
      <c r="M973" s="450"/>
      <c r="N973" s="450"/>
      <c r="O973" s="450"/>
      <c r="P973" s="450"/>
      <c r="Q973" s="450"/>
      <c r="R973" s="450"/>
      <c r="S973" s="450"/>
      <c r="T973" s="450"/>
      <c r="U973" s="450"/>
      <c r="V973" s="450"/>
      <c r="W973" s="450"/>
      <c r="X973" s="450"/>
      <c r="Y973" s="450"/>
      <c r="Z973" s="450"/>
      <c r="AA973" s="450"/>
      <c r="AB973" s="450"/>
      <c r="AC973" s="450"/>
      <c r="AD973" s="450"/>
      <c r="AE973" s="450"/>
      <c r="AF973" s="450"/>
      <c r="AG973" s="450"/>
      <c r="AH973" s="450"/>
      <c r="AI973" s="450"/>
      <c r="AJ973" s="450"/>
      <c r="AK973" s="450"/>
    </row>
    <row r="974">
      <c r="A974" s="450"/>
      <c r="B974" s="450"/>
      <c r="C974" s="455"/>
      <c r="D974" s="450"/>
      <c r="E974" s="450"/>
      <c r="F974" s="450"/>
      <c r="G974" s="450"/>
      <c r="H974" s="450"/>
      <c r="I974" s="450"/>
      <c r="J974" s="450"/>
      <c r="K974" s="450"/>
      <c r="L974" s="450"/>
      <c r="M974" s="450"/>
      <c r="N974" s="450"/>
      <c r="O974" s="450"/>
      <c r="P974" s="450"/>
      <c r="Q974" s="450"/>
      <c r="R974" s="450"/>
      <c r="S974" s="450"/>
      <c r="T974" s="450"/>
      <c r="U974" s="450"/>
      <c r="V974" s="450"/>
      <c r="W974" s="450"/>
      <c r="X974" s="450"/>
      <c r="Y974" s="450"/>
      <c r="Z974" s="450"/>
      <c r="AA974" s="450"/>
      <c r="AB974" s="450"/>
      <c r="AC974" s="450"/>
      <c r="AD974" s="450"/>
      <c r="AE974" s="450"/>
      <c r="AF974" s="450"/>
      <c r="AG974" s="450"/>
      <c r="AH974" s="450"/>
      <c r="AI974" s="450"/>
      <c r="AJ974" s="450"/>
      <c r="AK974" s="450"/>
    </row>
    <row r="975">
      <c r="A975" s="450"/>
      <c r="B975" s="450"/>
      <c r="C975" s="455"/>
      <c r="D975" s="450"/>
      <c r="E975" s="450"/>
      <c r="F975" s="450"/>
      <c r="G975" s="450"/>
      <c r="H975" s="450"/>
      <c r="I975" s="450"/>
      <c r="J975" s="450"/>
      <c r="K975" s="450"/>
      <c r="L975" s="450"/>
      <c r="M975" s="450"/>
      <c r="N975" s="450"/>
      <c r="O975" s="450"/>
      <c r="P975" s="450"/>
      <c r="Q975" s="450"/>
      <c r="R975" s="450"/>
      <c r="S975" s="450"/>
      <c r="T975" s="450"/>
      <c r="U975" s="450"/>
      <c r="V975" s="450"/>
      <c r="W975" s="450"/>
      <c r="X975" s="450"/>
      <c r="Y975" s="450"/>
      <c r="Z975" s="450"/>
      <c r="AA975" s="450"/>
      <c r="AB975" s="450"/>
      <c r="AC975" s="450"/>
      <c r="AD975" s="450"/>
      <c r="AE975" s="450"/>
      <c r="AF975" s="450"/>
      <c r="AG975" s="450"/>
      <c r="AH975" s="450"/>
      <c r="AI975" s="450"/>
      <c r="AJ975" s="450"/>
      <c r="AK975" s="450"/>
    </row>
    <row r="976">
      <c r="A976" s="450"/>
      <c r="B976" s="450"/>
      <c r="C976" s="455"/>
      <c r="D976" s="450"/>
      <c r="E976" s="450"/>
      <c r="F976" s="450"/>
      <c r="G976" s="450"/>
      <c r="H976" s="450"/>
      <c r="I976" s="450"/>
      <c r="J976" s="450"/>
      <c r="K976" s="450"/>
      <c r="L976" s="450"/>
      <c r="M976" s="450"/>
      <c r="N976" s="450"/>
      <c r="O976" s="450"/>
      <c r="P976" s="450"/>
      <c r="Q976" s="450"/>
      <c r="R976" s="450"/>
      <c r="S976" s="450"/>
      <c r="T976" s="450"/>
      <c r="U976" s="450"/>
      <c r="V976" s="450"/>
      <c r="W976" s="450"/>
      <c r="X976" s="450"/>
      <c r="Y976" s="450"/>
      <c r="Z976" s="450"/>
      <c r="AA976" s="450"/>
      <c r="AB976" s="450"/>
      <c r="AC976" s="450"/>
      <c r="AD976" s="450"/>
      <c r="AE976" s="450"/>
      <c r="AF976" s="450"/>
      <c r="AG976" s="450"/>
      <c r="AH976" s="450"/>
      <c r="AI976" s="450"/>
      <c r="AJ976" s="450"/>
      <c r="AK976" s="450"/>
    </row>
    <row r="977">
      <c r="A977" s="450"/>
      <c r="B977" s="450"/>
      <c r="C977" s="455"/>
      <c r="D977" s="450"/>
      <c r="E977" s="450"/>
      <c r="F977" s="450"/>
      <c r="G977" s="450"/>
      <c r="H977" s="450"/>
      <c r="I977" s="450"/>
      <c r="J977" s="450"/>
      <c r="K977" s="450"/>
      <c r="L977" s="450"/>
      <c r="M977" s="450"/>
      <c r="N977" s="450"/>
      <c r="O977" s="450"/>
      <c r="P977" s="450"/>
      <c r="Q977" s="450"/>
      <c r="R977" s="450"/>
      <c r="S977" s="450"/>
      <c r="T977" s="450"/>
      <c r="U977" s="450"/>
      <c r="V977" s="450"/>
      <c r="W977" s="450"/>
      <c r="X977" s="450"/>
      <c r="Y977" s="450"/>
      <c r="Z977" s="450"/>
      <c r="AA977" s="450"/>
      <c r="AB977" s="450"/>
      <c r="AC977" s="450"/>
      <c r="AD977" s="450"/>
      <c r="AE977" s="450"/>
      <c r="AF977" s="450"/>
      <c r="AG977" s="450"/>
      <c r="AH977" s="450"/>
      <c r="AI977" s="450"/>
      <c r="AJ977" s="450"/>
      <c r="AK977" s="450"/>
    </row>
    <row r="978">
      <c r="A978" s="450"/>
      <c r="B978" s="450"/>
      <c r="C978" s="455"/>
      <c r="D978" s="450"/>
      <c r="E978" s="450"/>
      <c r="F978" s="450"/>
      <c r="G978" s="450"/>
      <c r="H978" s="450"/>
      <c r="I978" s="450"/>
      <c r="J978" s="450"/>
      <c r="K978" s="450"/>
      <c r="L978" s="450"/>
      <c r="M978" s="450"/>
      <c r="N978" s="450"/>
      <c r="O978" s="450"/>
      <c r="P978" s="450"/>
      <c r="Q978" s="450"/>
      <c r="R978" s="450"/>
      <c r="S978" s="450"/>
      <c r="T978" s="450"/>
      <c r="U978" s="450"/>
      <c r="V978" s="450"/>
      <c r="W978" s="450"/>
      <c r="X978" s="450"/>
      <c r="Y978" s="450"/>
      <c r="Z978" s="450"/>
      <c r="AA978" s="450"/>
      <c r="AB978" s="450"/>
      <c r="AC978" s="450"/>
      <c r="AD978" s="450"/>
      <c r="AE978" s="450"/>
      <c r="AF978" s="450"/>
      <c r="AG978" s="450"/>
      <c r="AH978" s="450"/>
      <c r="AI978" s="450"/>
      <c r="AJ978" s="450"/>
      <c r="AK978" s="450"/>
    </row>
    <row r="979">
      <c r="A979" s="450"/>
      <c r="B979" s="450"/>
      <c r="C979" s="455"/>
      <c r="D979" s="450"/>
      <c r="E979" s="450"/>
      <c r="F979" s="450"/>
      <c r="G979" s="450"/>
      <c r="H979" s="450"/>
      <c r="I979" s="450"/>
      <c r="J979" s="450"/>
      <c r="K979" s="450"/>
      <c r="L979" s="450"/>
      <c r="M979" s="450"/>
      <c r="N979" s="450"/>
      <c r="O979" s="450"/>
      <c r="P979" s="450"/>
      <c r="Q979" s="450"/>
      <c r="R979" s="450"/>
      <c r="S979" s="450"/>
      <c r="T979" s="450"/>
      <c r="U979" s="450"/>
      <c r="V979" s="450"/>
      <c r="W979" s="450"/>
      <c r="X979" s="450"/>
      <c r="Y979" s="450"/>
      <c r="Z979" s="450"/>
      <c r="AA979" s="450"/>
      <c r="AB979" s="450"/>
      <c r="AC979" s="450"/>
      <c r="AD979" s="450"/>
      <c r="AE979" s="450"/>
      <c r="AF979" s="450"/>
      <c r="AG979" s="450"/>
      <c r="AH979" s="450"/>
      <c r="AI979" s="450"/>
      <c r="AJ979" s="450"/>
      <c r="AK979" s="450"/>
    </row>
    <row r="980">
      <c r="A980" s="450"/>
      <c r="B980" s="450"/>
      <c r="C980" s="455"/>
      <c r="D980" s="450"/>
      <c r="E980" s="450"/>
      <c r="F980" s="450"/>
      <c r="G980" s="450"/>
      <c r="H980" s="450"/>
      <c r="I980" s="450"/>
      <c r="J980" s="450"/>
      <c r="K980" s="450"/>
      <c r="L980" s="450"/>
      <c r="M980" s="450"/>
      <c r="N980" s="450"/>
      <c r="O980" s="450"/>
      <c r="P980" s="450"/>
      <c r="Q980" s="450"/>
      <c r="R980" s="450"/>
      <c r="S980" s="450"/>
      <c r="T980" s="450"/>
      <c r="U980" s="450"/>
      <c r="V980" s="450"/>
      <c r="W980" s="450"/>
      <c r="X980" s="450"/>
      <c r="Y980" s="450"/>
      <c r="Z980" s="450"/>
      <c r="AA980" s="450"/>
      <c r="AB980" s="450"/>
      <c r="AC980" s="450"/>
      <c r="AD980" s="450"/>
      <c r="AE980" s="450"/>
      <c r="AF980" s="450"/>
      <c r="AG980" s="450"/>
      <c r="AH980" s="450"/>
      <c r="AI980" s="450"/>
      <c r="AJ980" s="450"/>
      <c r="AK980" s="450"/>
    </row>
    <row r="981">
      <c r="A981" s="450"/>
      <c r="B981" s="450"/>
      <c r="C981" s="455"/>
      <c r="D981" s="450"/>
      <c r="E981" s="450"/>
      <c r="F981" s="450"/>
      <c r="G981" s="450"/>
      <c r="H981" s="450"/>
      <c r="I981" s="450"/>
      <c r="J981" s="450"/>
      <c r="K981" s="450"/>
      <c r="L981" s="450"/>
      <c r="M981" s="450"/>
      <c r="N981" s="450"/>
      <c r="O981" s="450"/>
      <c r="P981" s="450"/>
      <c r="Q981" s="450"/>
      <c r="R981" s="450"/>
      <c r="S981" s="450"/>
      <c r="T981" s="450"/>
      <c r="U981" s="450"/>
      <c r="V981" s="450"/>
      <c r="W981" s="450"/>
      <c r="X981" s="450"/>
      <c r="Y981" s="450"/>
      <c r="Z981" s="450"/>
      <c r="AA981" s="450"/>
      <c r="AB981" s="450"/>
      <c r="AC981" s="450"/>
      <c r="AD981" s="450"/>
      <c r="AE981" s="450"/>
      <c r="AF981" s="450"/>
      <c r="AG981" s="450"/>
      <c r="AH981" s="450"/>
      <c r="AI981" s="450"/>
      <c r="AJ981" s="450"/>
      <c r="AK981" s="450"/>
    </row>
    <row r="982">
      <c r="A982" s="450"/>
      <c r="B982" s="450"/>
      <c r="C982" s="455"/>
      <c r="D982" s="450"/>
      <c r="E982" s="450"/>
      <c r="F982" s="450"/>
      <c r="G982" s="450"/>
      <c r="H982" s="450"/>
      <c r="I982" s="450"/>
      <c r="J982" s="450"/>
      <c r="K982" s="450"/>
      <c r="L982" s="450"/>
      <c r="M982" s="450"/>
      <c r="N982" s="450"/>
      <c r="O982" s="450"/>
      <c r="P982" s="450"/>
      <c r="Q982" s="450"/>
      <c r="R982" s="450"/>
      <c r="S982" s="450"/>
      <c r="T982" s="450"/>
      <c r="U982" s="450"/>
      <c r="V982" s="450"/>
      <c r="W982" s="450"/>
      <c r="X982" s="450"/>
      <c r="Y982" s="450"/>
      <c r="Z982" s="450"/>
      <c r="AA982" s="450"/>
      <c r="AB982" s="450"/>
      <c r="AC982" s="450"/>
      <c r="AD982" s="450"/>
      <c r="AE982" s="450"/>
      <c r="AF982" s="450"/>
      <c r="AG982" s="450"/>
      <c r="AH982" s="450"/>
      <c r="AI982" s="450"/>
      <c r="AJ982" s="450"/>
      <c r="AK982" s="450"/>
    </row>
    <row r="983">
      <c r="A983" s="450"/>
      <c r="B983" s="450"/>
      <c r="C983" s="455"/>
      <c r="D983" s="450"/>
      <c r="E983" s="450"/>
      <c r="F983" s="450"/>
      <c r="G983" s="450"/>
      <c r="H983" s="450"/>
      <c r="I983" s="450"/>
      <c r="J983" s="450"/>
      <c r="K983" s="450"/>
      <c r="L983" s="450"/>
      <c r="M983" s="450"/>
      <c r="N983" s="450"/>
      <c r="O983" s="450"/>
      <c r="P983" s="450"/>
      <c r="Q983" s="450"/>
      <c r="R983" s="450"/>
      <c r="S983" s="450"/>
      <c r="T983" s="450"/>
      <c r="U983" s="450"/>
      <c r="V983" s="450"/>
      <c r="W983" s="450"/>
      <c r="X983" s="450"/>
      <c r="Y983" s="450"/>
      <c r="Z983" s="450"/>
      <c r="AA983" s="450"/>
      <c r="AB983" s="450"/>
      <c r="AC983" s="450"/>
      <c r="AD983" s="450"/>
      <c r="AE983" s="450"/>
      <c r="AF983" s="450"/>
      <c r="AG983" s="450"/>
      <c r="AH983" s="450"/>
      <c r="AI983" s="450"/>
      <c r="AJ983" s="450"/>
      <c r="AK983" s="450"/>
    </row>
    <row r="984">
      <c r="A984" s="450"/>
      <c r="B984" s="450"/>
      <c r="C984" s="455"/>
      <c r="D984" s="450"/>
      <c r="E984" s="450"/>
      <c r="F984" s="450"/>
      <c r="G984" s="450"/>
      <c r="H984" s="450"/>
      <c r="I984" s="450"/>
      <c r="J984" s="450"/>
      <c r="K984" s="450"/>
      <c r="L984" s="450"/>
      <c r="M984" s="450"/>
      <c r="N984" s="450"/>
      <c r="O984" s="450"/>
      <c r="P984" s="450"/>
      <c r="Q984" s="450"/>
      <c r="R984" s="450"/>
      <c r="S984" s="450"/>
      <c r="T984" s="450"/>
      <c r="U984" s="450"/>
      <c r="V984" s="450"/>
      <c r="W984" s="450"/>
      <c r="X984" s="450"/>
      <c r="Y984" s="450"/>
      <c r="Z984" s="450"/>
      <c r="AA984" s="450"/>
      <c r="AB984" s="450"/>
      <c r="AC984" s="450"/>
      <c r="AD984" s="450"/>
      <c r="AE984" s="450"/>
      <c r="AF984" s="450"/>
      <c r="AG984" s="450"/>
      <c r="AH984" s="450"/>
      <c r="AI984" s="450"/>
      <c r="AJ984" s="450"/>
      <c r="AK984" s="450"/>
    </row>
    <row r="985">
      <c r="A985" s="450"/>
      <c r="B985" s="450"/>
      <c r="C985" s="455"/>
      <c r="D985" s="450"/>
      <c r="E985" s="450"/>
      <c r="F985" s="450"/>
      <c r="G985" s="450"/>
      <c r="H985" s="450"/>
      <c r="I985" s="450"/>
      <c r="J985" s="450"/>
      <c r="K985" s="450"/>
      <c r="L985" s="450"/>
      <c r="M985" s="450"/>
      <c r="N985" s="450"/>
      <c r="O985" s="450"/>
      <c r="P985" s="450"/>
      <c r="Q985" s="450"/>
      <c r="R985" s="450"/>
      <c r="S985" s="450"/>
      <c r="T985" s="450"/>
      <c r="U985" s="450"/>
      <c r="V985" s="450"/>
      <c r="W985" s="450"/>
      <c r="X985" s="450"/>
      <c r="Y985" s="450"/>
      <c r="Z985" s="450"/>
      <c r="AA985" s="450"/>
      <c r="AB985" s="450"/>
      <c r="AC985" s="450"/>
      <c r="AD985" s="450"/>
      <c r="AE985" s="450"/>
      <c r="AF985" s="450"/>
      <c r="AG985" s="450"/>
      <c r="AH985" s="450"/>
      <c r="AI985" s="450"/>
      <c r="AJ985" s="450"/>
      <c r="AK985" s="450"/>
    </row>
    <row r="986">
      <c r="A986" s="450"/>
      <c r="B986" s="450"/>
      <c r="C986" s="455"/>
      <c r="D986" s="450"/>
      <c r="E986" s="450"/>
      <c r="F986" s="450"/>
      <c r="G986" s="450"/>
      <c r="H986" s="450"/>
      <c r="I986" s="450"/>
      <c r="J986" s="450"/>
      <c r="K986" s="450"/>
      <c r="L986" s="450"/>
      <c r="M986" s="450"/>
      <c r="N986" s="450"/>
      <c r="O986" s="450"/>
      <c r="P986" s="450"/>
      <c r="Q986" s="450"/>
      <c r="R986" s="450"/>
      <c r="S986" s="450"/>
      <c r="T986" s="450"/>
      <c r="U986" s="450"/>
      <c r="V986" s="450"/>
      <c r="W986" s="450"/>
      <c r="X986" s="450"/>
      <c r="Y986" s="450"/>
      <c r="Z986" s="450"/>
      <c r="AA986" s="450"/>
      <c r="AB986" s="450"/>
      <c r="AC986" s="450"/>
      <c r="AD986" s="450"/>
      <c r="AE986" s="450"/>
      <c r="AF986" s="450"/>
      <c r="AG986" s="450"/>
      <c r="AH986" s="450"/>
      <c r="AI986" s="450"/>
      <c r="AJ986" s="450"/>
      <c r="AK986" s="450"/>
    </row>
    <row r="987">
      <c r="A987" s="450"/>
      <c r="B987" s="450"/>
      <c r="C987" s="455"/>
      <c r="D987" s="450"/>
      <c r="E987" s="450"/>
      <c r="F987" s="450"/>
      <c r="G987" s="450"/>
      <c r="H987" s="450"/>
      <c r="I987" s="450"/>
      <c r="J987" s="450"/>
      <c r="K987" s="450"/>
      <c r="L987" s="450"/>
      <c r="M987" s="450"/>
      <c r="N987" s="450"/>
      <c r="O987" s="450"/>
      <c r="P987" s="450"/>
      <c r="Q987" s="450"/>
      <c r="R987" s="450"/>
      <c r="S987" s="450"/>
      <c r="T987" s="450"/>
      <c r="U987" s="450"/>
      <c r="V987" s="450"/>
      <c r="W987" s="450"/>
      <c r="X987" s="450"/>
      <c r="Y987" s="450"/>
      <c r="Z987" s="450"/>
      <c r="AA987" s="450"/>
      <c r="AB987" s="450"/>
      <c r="AC987" s="450"/>
      <c r="AD987" s="450"/>
      <c r="AE987" s="450"/>
      <c r="AF987" s="450"/>
      <c r="AG987" s="450"/>
      <c r="AH987" s="450"/>
      <c r="AI987" s="450"/>
      <c r="AJ987" s="450"/>
      <c r="AK987" s="450"/>
    </row>
    <row r="988">
      <c r="A988" s="450"/>
      <c r="B988" s="450"/>
      <c r="C988" s="455"/>
      <c r="D988" s="450"/>
      <c r="E988" s="450"/>
      <c r="F988" s="450"/>
      <c r="G988" s="450"/>
      <c r="H988" s="450"/>
      <c r="I988" s="450"/>
      <c r="J988" s="450"/>
      <c r="K988" s="450"/>
      <c r="L988" s="450"/>
      <c r="M988" s="450"/>
      <c r="N988" s="450"/>
      <c r="O988" s="450"/>
      <c r="P988" s="450"/>
      <c r="Q988" s="450"/>
      <c r="R988" s="450"/>
      <c r="S988" s="450"/>
      <c r="T988" s="450"/>
      <c r="U988" s="450"/>
      <c r="V988" s="450"/>
      <c r="W988" s="450"/>
      <c r="X988" s="450"/>
      <c r="Y988" s="450"/>
      <c r="Z988" s="450"/>
      <c r="AA988" s="450"/>
      <c r="AB988" s="450"/>
      <c r="AC988" s="450"/>
      <c r="AD988" s="450"/>
      <c r="AE988" s="450"/>
      <c r="AF988" s="450"/>
      <c r="AG988" s="450"/>
      <c r="AH988" s="450"/>
      <c r="AI988" s="450"/>
      <c r="AJ988" s="450"/>
      <c r="AK988" s="450"/>
    </row>
    <row r="989">
      <c r="A989" s="450"/>
      <c r="B989" s="450"/>
      <c r="C989" s="455"/>
      <c r="D989" s="450"/>
      <c r="E989" s="450"/>
      <c r="F989" s="450"/>
      <c r="G989" s="450"/>
      <c r="H989" s="450"/>
      <c r="I989" s="450"/>
      <c r="J989" s="450"/>
      <c r="K989" s="450"/>
      <c r="L989" s="450"/>
      <c r="M989" s="450"/>
      <c r="N989" s="450"/>
      <c r="O989" s="450"/>
      <c r="P989" s="450"/>
      <c r="Q989" s="450"/>
      <c r="R989" s="450"/>
      <c r="S989" s="450"/>
      <c r="T989" s="450"/>
      <c r="U989" s="450"/>
      <c r="V989" s="450"/>
      <c r="W989" s="450"/>
      <c r="X989" s="450"/>
      <c r="Y989" s="450"/>
      <c r="Z989" s="450"/>
      <c r="AA989" s="450"/>
      <c r="AB989" s="450"/>
      <c r="AC989" s="450"/>
      <c r="AD989" s="450"/>
      <c r="AE989" s="450"/>
      <c r="AF989" s="450"/>
      <c r="AG989" s="450"/>
      <c r="AH989" s="450"/>
      <c r="AI989" s="450"/>
      <c r="AJ989" s="450"/>
      <c r="AK989" s="450"/>
    </row>
    <row r="990">
      <c r="A990" s="450"/>
      <c r="B990" s="450"/>
      <c r="C990" s="455"/>
      <c r="D990" s="450"/>
      <c r="E990" s="450"/>
      <c r="F990" s="450"/>
      <c r="G990" s="450"/>
      <c r="H990" s="450"/>
      <c r="I990" s="450"/>
      <c r="J990" s="450"/>
      <c r="K990" s="450"/>
      <c r="L990" s="450"/>
      <c r="M990" s="450"/>
      <c r="N990" s="450"/>
      <c r="O990" s="450"/>
      <c r="P990" s="450"/>
      <c r="Q990" s="450"/>
      <c r="R990" s="450"/>
      <c r="S990" s="450"/>
      <c r="T990" s="450"/>
      <c r="U990" s="450"/>
      <c r="V990" s="450"/>
      <c r="W990" s="450"/>
      <c r="X990" s="450"/>
      <c r="Y990" s="450"/>
      <c r="Z990" s="450"/>
      <c r="AA990" s="450"/>
      <c r="AB990" s="450"/>
      <c r="AC990" s="450"/>
      <c r="AD990" s="450"/>
      <c r="AE990" s="450"/>
      <c r="AF990" s="450"/>
      <c r="AG990" s="450"/>
      <c r="AH990" s="450"/>
      <c r="AI990" s="450"/>
      <c r="AJ990" s="450"/>
      <c r="AK990" s="450"/>
    </row>
    <row r="991">
      <c r="A991" s="450"/>
      <c r="B991" s="450"/>
      <c r="C991" s="455"/>
      <c r="D991" s="450"/>
      <c r="E991" s="450"/>
      <c r="F991" s="450"/>
      <c r="G991" s="450"/>
      <c r="H991" s="450"/>
      <c r="I991" s="450"/>
      <c r="J991" s="450"/>
      <c r="K991" s="450"/>
      <c r="L991" s="450"/>
      <c r="M991" s="450"/>
      <c r="N991" s="450"/>
      <c r="O991" s="450"/>
      <c r="P991" s="450"/>
      <c r="Q991" s="450"/>
      <c r="R991" s="450"/>
      <c r="S991" s="450"/>
      <c r="T991" s="450"/>
      <c r="U991" s="450"/>
      <c r="V991" s="450"/>
      <c r="W991" s="450"/>
      <c r="X991" s="450"/>
      <c r="Y991" s="450"/>
      <c r="Z991" s="450"/>
      <c r="AA991" s="450"/>
      <c r="AB991" s="450"/>
      <c r="AC991" s="450"/>
      <c r="AD991" s="450"/>
      <c r="AE991" s="450"/>
      <c r="AF991" s="450"/>
      <c r="AG991" s="450"/>
      <c r="AH991" s="450"/>
      <c r="AI991" s="450"/>
      <c r="AJ991" s="450"/>
      <c r="AK991" s="450"/>
    </row>
    <row r="992">
      <c r="A992" s="450"/>
      <c r="B992" s="450"/>
      <c r="C992" s="455"/>
      <c r="D992" s="450"/>
      <c r="E992" s="450"/>
      <c r="F992" s="450"/>
      <c r="G992" s="450"/>
      <c r="H992" s="450"/>
      <c r="I992" s="450"/>
      <c r="J992" s="450"/>
      <c r="K992" s="450"/>
      <c r="L992" s="450"/>
      <c r="M992" s="450"/>
      <c r="N992" s="450"/>
      <c r="O992" s="450"/>
      <c r="P992" s="450"/>
      <c r="Q992" s="450"/>
      <c r="R992" s="450"/>
      <c r="S992" s="450"/>
      <c r="T992" s="450"/>
      <c r="U992" s="450"/>
      <c r="V992" s="450"/>
      <c r="W992" s="450"/>
      <c r="X992" s="450"/>
      <c r="Y992" s="450"/>
      <c r="Z992" s="450"/>
      <c r="AA992" s="450"/>
      <c r="AB992" s="450"/>
      <c r="AC992" s="450"/>
      <c r="AD992" s="450"/>
      <c r="AE992" s="450"/>
      <c r="AF992" s="450"/>
      <c r="AG992" s="450"/>
      <c r="AH992" s="450"/>
      <c r="AI992" s="450"/>
      <c r="AJ992" s="450"/>
      <c r="AK992" s="450"/>
    </row>
    <row r="993">
      <c r="A993" s="450"/>
      <c r="B993" s="450"/>
      <c r="C993" s="455"/>
      <c r="D993" s="450"/>
      <c r="E993" s="450"/>
      <c r="F993" s="450"/>
      <c r="G993" s="450"/>
      <c r="H993" s="450"/>
      <c r="I993" s="450"/>
      <c r="J993" s="450"/>
      <c r="K993" s="450"/>
      <c r="L993" s="450"/>
      <c r="M993" s="450"/>
      <c r="N993" s="450"/>
      <c r="O993" s="450"/>
      <c r="P993" s="450"/>
      <c r="Q993" s="450"/>
      <c r="R993" s="450"/>
      <c r="S993" s="450"/>
      <c r="T993" s="450"/>
      <c r="U993" s="450"/>
      <c r="V993" s="450"/>
      <c r="W993" s="450"/>
      <c r="X993" s="450"/>
      <c r="Y993" s="450"/>
      <c r="Z993" s="450"/>
      <c r="AA993" s="450"/>
      <c r="AB993" s="450"/>
      <c r="AC993" s="450"/>
      <c r="AD993" s="450"/>
      <c r="AE993" s="450"/>
      <c r="AF993" s="450"/>
      <c r="AG993" s="450"/>
      <c r="AH993" s="450"/>
      <c r="AI993" s="450"/>
      <c r="AJ993" s="450"/>
      <c r="AK993" s="450"/>
    </row>
    <row r="994">
      <c r="A994" s="450"/>
      <c r="B994" s="450"/>
      <c r="C994" s="455"/>
      <c r="D994" s="450"/>
      <c r="E994" s="450"/>
      <c r="F994" s="450"/>
      <c r="G994" s="450"/>
      <c r="H994" s="450"/>
      <c r="I994" s="450"/>
      <c r="J994" s="450"/>
      <c r="K994" s="450"/>
      <c r="L994" s="450"/>
      <c r="M994" s="450"/>
      <c r="N994" s="450"/>
      <c r="O994" s="450"/>
      <c r="P994" s="450"/>
      <c r="Q994" s="450"/>
      <c r="R994" s="450"/>
      <c r="S994" s="450"/>
      <c r="T994" s="450"/>
      <c r="U994" s="450"/>
      <c r="V994" s="450"/>
      <c r="W994" s="450"/>
      <c r="X994" s="450"/>
      <c r="Y994" s="450"/>
      <c r="Z994" s="450"/>
      <c r="AA994" s="450"/>
      <c r="AB994" s="450"/>
      <c r="AC994" s="450"/>
      <c r="AD994" s="450"/>
      <c r="AE994" s="450"/>
      <c r="AF994" s="450"/>
      <c r="AG994" s="450"/>
      <c r="AH994" s="450"/>
      <c r="AI994" s="450"/>
      <c r="AJ994" s="450"/>
      <c r="AK994" s="450"/>
    </row>
    <row r="995">
      <c r="A995" s="450"/>
      <c r="B995" s="450"/>
      <c r="C995" s="455"/>
      <c r="D995" s="450"/>
      <c r="E995" s="450"/>
      <c r="F995" s="450"/>
      <c r="G995" s="450"/>
      <c r="H995" s="450"/>
      <c r="I995" s="450"/>
      <c r="J995" s="450"/>
      <c r="K995" s="450"/>
      <c r="L995" s="450"/>
      <c r="M995" s="450"/>
      <c r="N995" s="450"/>
      <c r="O995" s="450"/>
      <c r="P995" s="450"/>
      <c r="Q995" s="450"/>
      <c r="R995" s="450"/>
      <c r="S995" s="450"/>
      <c r="T995" s="450"/>
      <c r="U995" s="450"/>
      <c r="V995" s="450"/>
      <c r="W995" s="450"/>
      <c r="X995" s="450"/>
      <c r="Y995" s="450"/>
      <c r="Z995" s="450"/>
      <c r="AA995" s="450"/>
      <c r="AB995" s="450"/>
      <c r="AC995" s="450"/>
      <c r="AD995" s="450"/>
      <c r="AE995" s="450"/>
      <c r="AF995" s="450"/>
      <c r="AG995" s="450"/>
      <c r="AH995" s="450"/>
      <c r="AI995" s="450"/>
      <c r="AJ995" s="450"/>
      <c r="AK995" s="450"/>
    </row>
    <row r="996">
      <c r="A996" s="450"/>
      <c r="B996" s="450"/>
      <c r="C996" s="455"/>
      <c r="D996" s="450"/>
      <c r="E996" s="450"/>
      <c r="F996" s="450"/>
      <c r="G996" s="450"/>
      <c r="H996" s="450"/>
      <c r="I996" s="450"/>
      <c r="J996" s="450"/>
      <c r="K996" s="450"/>
      <c r="L996" s="450"/>
      <c r="M996" s="450"/>
      <c r="N996" s="450"/>
      <c r="O996" s="450"/>
      <c r="P996" s="450"/>
      <c r="Q996" s="450"/>
      <c r="R996" s="450"/>
      <c r="S996" s="450"/>
      <c r="T996" s="450"/>
      <c r="U996" s="450"/>
      <c r="V996" s="450"/>
      <c r="W996" s="450"/>
      <c r="X996" s="450"/>
      <c r="Y996" s="450"/>
      <c r="Z996" s="450"/>
      <c r="AA996" s="450"/>
      <c r="AB996" s="450"/>
      <c r="AC996" s="450"/>
      <c r="AD996" s="450"/>
      <c r="AE996" s="450"/>
      <c r="AF996" s="450"/>
      <c r="AG996" s="450"/>
      <c r="AH996" s="450"/>
      <c r="AI996" s="450"/>
      <c r="AJ996" s="450"/>
      <c r="AK996" s="450"/>
    </row>
    <row r="997">
      <c r="A997" s="450"/>
      <c r="B997" s="450"/>
      <c r="C997" s="455"/>
      <c r="D997" s="450"/>
      <c r="E997" s="450"/>
      <c r="F997" s="450"/>
      <c r="G997" s="450"/>
      <c r="H997" s="450"/>
      <c r="I997" s="450"/>
      <c r="J997" s="450"/>
      <c r="K997" s="450"/>
      <c r="L997" s="450"/>
      <c r="M997" s="450"/>
      <c r="N997" s="450"/>
      <c r="O997" s="450"/>
      <c r="P997" s="450"/>
      <c r="Q997" s="450"/>
      <c r="R997" s="450"/>
      <c r="S997" s="450"/>
      <c r="T997" s="450"/>
      <c r="U997" s="450"/>
      <c r="V997" s="450"/>
      <c r="W997" s="450"/>
      <c r="X997" s="450"/>
      <c r="Y997" s="450"/>
      <c r="Z997" s="450"/>
      <c r="AA997" s="450"/>
      <c r="AB997" s="450"/>
      <c r="AC997" s="450"/>
      <c r="AD997" s="450"/>
      <c r="AE997" s="450"/>
      <c r="AF997" s="450"/>
      <c r="AG997" s="450"/>
      <c r="AH997" s="450"/>
      <c r="AI997" s="450"/>
      <c r="AJ997" s="450"/>
      <c r="AK997" s="450"/>
    </row>
    <row r="998">
      <c r="A998" s="450"/>
      <c r="B998" s="450"/>
      <c r="C998" s="455"/>
      <c r="D998" s="450"/>
      <c r="E998" s="450"/>
      <c r="F998" s="450"/>
      <c r="G998" s="450"/>
      <c r="H998" s="450"/>
      <c r="I998" s="450"/>
      <c r="J998" s="450"/>
      <c r="K998" s="450"/>
      <c r="L998" s="450"/>
      <c r="M998" s="450"/>
      <c r="N998" s="450"/>
      <c r="O998" s="450"/>
      <c r="P998" s="450"/>
      <c r="Q998" s="450"/>
      <c r="R998" s="450"/>
      <c r="S998" s="450"/>
      <c r="T998" s="450"/>
      <c r="U998" s="450"/>
      <c r="V998" s="450"/>
      <c r="W998" s="450"/>
      <c r="X998" s="450"/>
      <c r="Y998" s="450"/>
      <c r="Z998" s="450"/>
      <c r="AA998" s="450"/>
      <c r="AB998" s="450"/>
      <c r="AC998" s="450"/>
      <c r="AD998" s="450"/>
      <c r="AE998" s="450"/>
      <c r="AF998" s="450"/>
      <c r="AG998" s="450"/>
      <c r="AH998" s="450"/>
      <c r="AI998" s="450"/>
      <c r="AJ998" s="450"/>
      <c r="AK998" s="450"/>
    </row>
    <row r="999">
      <c r="A999" s="450"/>
      <c r="B999" s="450"/>
      <c r="C999" s="455"/>
      <c r="D999" s="450"/>
      <c r="E999" s="450"/>
      <c r="F999" s="450"/>
      <c r="G999" s="450"/>
      <c r="H999" s="450"/>
      <c r="I999" s="450"/>
      <c r="J999" s="450"/>
      <c r="K999" s="450"/>
      <c r="L999" s="450"/>
      <c r="M999" s="450"/>
      <c r="N999" s="450"/>
      <c r="O999" s="450"/>
      <c r="P999" s="450"/>
      <c r="Q999" s="450"/>
      <c r="R999" s="450"/>
      <c r="S999" s="450"/>
      <c r="T999" s="450"/>
      <c r="U999" s="450"/>
      <c r="V999" s="450"/>
      <c r="W999" s="450"/>
      <c r="X999" s="450"/>
      <c r="Y999" s="450"/>
      <c r="Z999" s="450"/>
      <c r="AA999" s="450"/>
      <c r="AB999" s="450"/>
      <c r="AC999" s="450"/>
      <c r="AD999" s="450"/>
      <c r="AE999" s="450"/>
      <c r="AF999" s="450"/>
      <c r="AG999" s="450"/>
      <c r="AH999" s="450"/>
      <c r="AI999" s="450"/>
      <c r="AJ999" s="450"/>
      <c r="AK999" s="450"/>
    </row>
    <row r="1000">
      <c r="A1000" s="450"/>
      <c r="B1000" s="450"/>
      <c r="C1000" s="455"/>
      <c r="D1000" s="450"/>
      <c r="E1000" s="450"/>
      <c r="F1000" s="450"/>
      <c r="G1000" s="450"/>
      <c r="H1000" s="450"/>
      <c r="I1000" s="450"/>
      <c r="J1000" s="450"/>
      <c r="K1000" s="450"/>
      <c r="L1000" s="450"/>
      <c r="M1000" s="450"/>
      <c r="N1000" s="450"/>
      <c r="O1000" s="450"/>
      <c r="P1000" s="450"/>
      <c r="Q1000" s="450"/>
      <c r="R1000" s="450"/>
      <c r="S1000" s="450"/>
      <c r="T1000" s="450"/>
      <c r="U1000" s="450"/>
      <c r="V1000" s="450"/>
      <c r="W1000" s="450"/>
      <c r="X1000" s="450"/>
      <c r="Y1000" s="450"/>
      <c r="Z1000" s="450"/>
      <c r="AA1000" s="450"/>
      <c r="AB1000" s="450"/>
      <c r="AC1000" s="450"/>
      <c r="AD1000" s="450"/>
      <c r="AE1000" s="450"/>
      <c r="AF1000" s="450"/>
      <c r="AG1000" s="450"/>
      <c r="AH1000" s="450"/>
      <c r="AI1000" s="450"/>
      <c r="AJ1000" s="450"/>
      <c r="AK1000" s="450"/>
    </row>
    <row r="1001">
      <c r="A1001" s="450"/>
      <c r="B1001" s="450"/>
      <c r="C1001" s="455"/>
      <c r="D1001" s="450"/>
      <c r="E1001" s="450"/>
      <c r="F1001" s="450"/>
      <c r="G1001" s="450"/>
      <c r="H1001" s="450"/>
      <c r="I1001" s="450"/>
      <c r="J1001" s="450"/>
      <c r="K1001" s="450"/>
      <c r="L1001" s="450"/>
      <c r="M1001" s="450"/>
      <c r="N1001" s="450"/>
      <c r="O1001" s="450"/>
      <c r="P1001" s="450"/>
      <c r="Q1001" s="450"/>
      <c r="R1001" s="450"/>
      <c r="S1001" s="450"/>
      <c r="T1001" s="450"/>
      <c r="U1001" s="450"/>
      <c r="V1001" s="450"/>
      <c r="W1001" s="450"/>
      <c r="X1001" s="450"/>
      <c r="Y1001" s="450"/>
      <c r="Z1001" s="450"/>
      <c r="AA1001" s="450"/>
      <c r="AB1001" s="450"/>
      <c r="AC1001" s="450"/>
      <c r="AD1001" s="450"/>
      <c r="AE1001" s="450"/>
      <c r="AF1001" s="450"/>
      <c r="AG1001" s="450"/>
      <c r="AH1001" s="450"/>
      <c r="AI1001" s="450"/>
      <c r="AJ1001" s="450"/>
      <c r="AK1001" s="450"/>
    </row>
    <row r="1002">
      <c r="A1002" s="450"/>
      <c r="B1002" s="450"/>
      <c r="C1002" s="455"/>
      <c r="D1002" s="450"/>
      <c r="E1002" s="450"/>
      <c r="F1002" s="450"/>
      <c r="G1002" s="450"/>
      <c r="H1002" s="450"/>
      <c r="I1002" s="450"/>
      <c r="J1002" s="450"/>
      <c r="K1002" s="450"/>
      <c r="L1002" s="450"/>
      <c r="M1002" s="450"/>
      <c r="N1002" s="450"/>
      <c r="O1002" s="450"/>
      <c r="P1002" s="450"/>
      <c r="Q1002" s="450"/>
      <c r="R1002" s="450"/>
      <c r="S1002" s="450"/>
      <c r="T1002" s="450"/>
      <c r="U1002" s="450"/>
      <c r="V1002" s="450"/>
      <c r="W1002" s="450"/>
      <c r="X1002" s="450"/>
      <c r="Y1002" s="450"/>
      <c r="Z1002" s="450"/>
      <c r="AA1002" s="450"/>
      <c r="AB1002" s="450"/>
      <c r="AC1002" s="450"/>
      <c r="AD1002" s="450"/>
      <c r="AE1002" s="450"/>
      <c r="AF1002" s="450"/>
      <c r="AG1002" s="450"/>
      <c r="AH1002" s="450"/>
      <c r="AI1002" s="450"/>
      <c r="AJ1002" s="450"/>
      <c r="AK1002" s="450"/>
    </row>
    <row r="1003">
      <c r="A1003" s="450"/>
      <c r="B1003" s="450"/>
      <c r="C1003" s="455"/>
      <c r="D1003" s="450"/>
      <c r="E1003" s="450"/>
      <c r="F1003" s="450"/>
      <c r="G1003" s="450"/>
      <c r="H1003" s="450"/>
      <c r="I1003" s="450"/>
      <c r="J1003" s="450"/>
      <c r="K1003" s="450"/>
      <c r="L1003" s="450"/>
      <c r="M1003" s="450"/>
      <c r="N1003" s="450"/>
      <c r="O1003" s="450"/>
      <c r="P1003" s="450"/>
      <c r="Q1003" s="450"/>
      <c r="R1003" s="450"/>
      <c r="S1003" s="450"/>
      <c r="T1003" s="450"/>
      <c r="U1003" s="450"/>
      <c r="V1003" s="450"/>
      <c r="W1003" s="450"/>
      <c r="X1003" s="450"/>
      <c r="Y1003" s="450"/>
      <c r="Z1003" s="450"/>
      <c r="AA1003" s="450"/>
      <c r="AB1003" s="450"/>
      <c r="AC1003" s="450"/>
      <c r="AD1003" s="450"/>
      <c r="AE1003" s="450"/>
      <c r="AF1003" s="450"/>
      <c r="AG1003" s="450"/>
      <c r="AH1003" s="450"/>
      <c r="AI1003" s="450"/>
      <c r="AJ1003" s="450"/>
      <c r="AK1003" s="450"/>
    </row>
    <row r="1004">
      <c r="A1004" s="450"/>
      <c r="B1004" s="450"/>
      <c r="C1004" s="455"/>
      <c r="D1004" s="450"/>
      <c r="E1004" s="450"/>
      <c r="F1004" s="450"/>
      <c r="G1004" s="450"/>
      <c r="H1004" s="450"/>
      <c r="I1004" s="450"/>
      <c r="J1004" s="450"/>
      <c r="K1004" s="450"/>
      <c r="L1004" s="450"/>
      <c r="M1004" s="450"/>
      <c r="N1004" s="450"/>
      <c r="O1004" s="450"/>
      <c r="P1004" s="450"/>
      <c r="Q1004" s="450"/>
      <c r="R1004" s="450"/>
      <c r="S1004" s="450"/>
      <c r="T1004" s="450"/>
      <c r="U1004" s="450"/>
      <c r="V1004" s="450"/>
      <c r="W1004" s="450"/>
      <c r="X1004" s="450"/>
      <c r="Y1004" s="450"/>
      <c r="Z1004" s="450"/>
      <c r="AA1004" s="450"/>
      <c r="AB1004" s="450"/>
      <c r="AC1004" s="450"/>
      <c r="AD1004" s="450"/>
      <c r="AE1004" s="450"/>
      <c r="AF1004" s="450"/>
      <c r="AG1004" s="450"/>
      <c r="AH1004" s="450"/>
      <c r="AI1004" s="450"/>
      <c r="AJ1004" s="450"/>
      <c r="AK1004" s="450"/>
    </row>
    <row r="1005">
      <c r="A1005" s="450"/>
      <c r="B1005" s="450"/>
      <c r="C1005" s="455"/>
      <c r="D1005" s="450"/>
      <c r="E1005" s="450"/>
      <c r="F1005" s="450"/>
      <c r="G1005" s="450"/>
      <c r="H1005" s="450"/>
      <c r="I1005" s="450"/>
      <c r="J1005" s="450"/>
      <c r="K1005" s="450"/>
      <c r="L1005" s="450"/>
      <c r="M1005" s="450"/>
      <c r="N1005" s="450"/>
      <c r="O1005" s="450"/>
      <c r="P1005" s="450"/>
      <c r="Q1005" s="450"/>
      <c r="R1005" s="450"/>
      <c r="S1005" s="450"/>
      <c r="T1005" s="450"/>
      <c r="U1005" s="450"/>
      <c r="V1005" s="450"/>
      <c r="W1005" s="450"/>
      <c r="X1005" s="450"/>
      <c r="Y1005" s="450"/>
      <c r="Z1005" s="450"/>
      <c r="AA1005" s="450"/>
      <c r="AB1005" s="450"/>
      <c r="AC1005" s="450"/>
      <c r="AD1005" s="450"/>
      <c r="AE1005" s="450"/>
      <c r="AF1005" s="450"/>
      <c r="AG1005" s="450"/>
      <c r="AH1005" s="450"/>
      <c r="AI1005" s="450"/>
      <c r="AJ1005" s="450"/>
      <c r="AK1005" s="450"/>
    </row>
    <row r="1006">
      <c r="A1006" s="450"/>
      <c r="B1006" s="450"/>
      <c r="C1006" s="455"/>
      <c r="D1006" s="450"/>
      <c r="E1006" s="450"/>
      <c r="F1006" s="450"/>
      <c r="G1006" s="450"/>
      <c r="H1006" s="450"/>
      <c r="I1006" s="450"/>
      <c r="J1006" s="450"/>
      <c r="K1006" s="450"/>
      <c r="L1006" s="450"/>
      <c r="M1006" s="450"/>
      <c r="N1006" s="450"/>
      <c r="O1006" s="450"/>
      <c r="P1006" s="450"/>
      <c r="Q1006" s="450"/>
      <c r="R1006" s="450"/>
      <c r="S1006" s="450"/>
      <c r="T1006" s="450"/>
      <c r="U1006" s="450"/>
      <c r="V1006" s="450"/>
      <c r="W1006" s="450"/>
      <c r="X1006" s="450"/>
      <c r="Y1006" s="450"/>
      <c r="Z1006" s="450"/>
      <c r="AA1006" s="450"/>
      <c r="AB1006" s="450"/>
      <c r="AC1006" s="450"/>
      <c r="AD1006" s="450"/>
      <c r="AE1006" s="450"/>
      <c r="AF1006" s="450"/>
      <c r="AG1006" s="450"/>
      <c r="AH1006" s="450"/>
      <c r="AI1006" s="450"/>
      <c r="AJ1006" s="450"/>
      <c r="AK1006" s="450"/>
    </row>
    <row r="1007">
      <c r="A1007" s="450"/>
      <c r="B1007" s="450"/>
      <c r="C1007" s="455"/>
      <c r="D1007" s="450"/>
      <c r="E1007" s="450"/>
      <c r="F1007" s="450"/>
      <c r="G1007" s="450"/>
      <c r="H1007" s="450"/>
      <c r="I1007" s="450"/>
      <c r="J1007" s="450"/>
      <c r="K1007" s="450"/>
      <c r="L1007" s="450"/>
      <c r="M1007" s="450"/>
      <c r="N1007" s="450"/>
      <c r="O1007" s="450"/>
      <c r="P1007" s="450"/>
      <c r="Q1007" s="450"/>
      <c r="R1007" s="450"/>
      <c r="S1007" s="450"/>
      <c r="T1007" s="450"/>
      <c r="U1007" s="450"/>
      <c r="V1007" s="450"/>
      <c r="W1007" s="450"/>
      <c r="X1007" s="450"/>
      <c r="Y1007" s="450"/>
      <c r="Z1007" s="450"/>
      <c r="AA1007" s="450"/>
      <c r="AB1007" s="450"/>
      <c r="AC1007" s="450"/>
      <c r="AD1007" s="450"/>
      <c r="AE1007" s="450"/>
      <c r="AF1007" s="450"/>
      <c r="AG1007" s="450"/>
      <c r="AH1007" s="450"/>
      <c r="AI1007" s="450"/>
      <c r="AJ1007" s="450"/>
      <c r="AK1007" s="450"/>
    </row>
    <row r="1008">
      <c r="A1008" s="450"/>
      <c r="B1008" s="450"/>
      <c r="C1008" s="455"/>
      <c r="D1008" s="450"/>
      <c r="E1008" s="450"/>
      <c r="F1008" s="450"/>
      <c r="G1008" s="450"/>
      <c r="H1008" s="450"/>
      <c r="I1008" s="450"/>
      <c r="J1008" s="450"/>
      <c r="K1008" s="450"/>
      <c r="L1008" s="450"/>
      <c r="M1008" s="450"/>
      <c r="N1008" s="450"/>
      <c r="O1008" s="450"/>
      <c r="P1008" s="450"/>
      <c r="Q1008" s="450"/>
      <c r="R1008" s="450"/>
      <c r="S1008" s="450"/>
      <c r="T1008" s="450"/>
      <c r="U1008" s="450"/>
      <c r="V1008" s="450"/>
      <c r="W1008" s="450"/>
      <c r="X1008" s="450"/>
      <c r="Y1008" s="450"/>
      <c r="Z1008" s="450"/>
      <c r="AA1008" s="450"/>
      <c r="AB1008" s="450"/>
      <c r="AC1008" s="450"/>
      <c r="AD1008" s="450"/>
      <c r="AE1008" s="450"/>
      <c r="AF1008" s="450"/>
      <c r="AG1008" s="450"/>
      <c r="AH1008" s="450"/>
      <c r="AI1008" s="450"/>
      <c r="AJ1008" s="450"/>
      <c r="AK1008" s="450"/>
    </row>
    <row r="1009">
      <c r="A1009" s="450"/>
      <c r="B1009" s="450"/>
      <c r="C1009" s="455"/>
      <c r="D1009" s="450"/>
      <c r="E1009" s="450"/>
      <c r="F1009" s="450"/>
      <c r="G1009" s="450"/>
      <c r="H1009" s="450"/>
      <c r="I1009" s="450"/>
      <c r="J1009" s="450"/>
      <c r="K1009" s="450"/>
      <c r="L1009" s="450"/>
      <c r="M1009" s="450"/>
      <c r="N1009" s="450"/>
      <c r="O1009" s="450"/>
      <c r="P1009" s="450"/>
      <c r="Q1009" s="450"/>
      <c r="R1009" s="450"/>
      <c r="S1009" s="450"/>
      <c r="T1009" s="450"/>
      <c r="U1009" s="450"/>
      <c r="V1009" s="450"/>
      <c r="W1009" s="450"/>
      <c r="X1009" s="450"/>
      <c r="Y1009" s="450"/>
      <c r="Z1009" s="450"/>
      <c r="AA1009" s="450"/>
      <c r="AB1009" s="450"/>
      <c r="AC1009" s="450"/>
      <c r="AD1009" s="450"/>
      <c r="AE1009" s="450"/>
      <c r="AF1009" s="450"/>
      <c r="AG1009" s="450"/>
      <c r="AH1009" s="450"/>
      <c r="AI1009" s="450"/>
      <c r="AJ1009" s="450"/>
      <c r="AK1009" s="450"/>
    </row>
    <row r="1010">
      <c r="A1010" s="450"/>
      <c r="B1010" s="450"/>
      <c r="C1010" s="455"/>
      <c r="D1010" s="450"/>
      <c r="E1010" s="450"/>
      <c r="F1010" s="450"/>
      <c r="G1010" s="450"/>
      <c r="H1010" s="450"/>
      <c r="I1010" s="450"/>
      <c r="J1010" s="450"/>
      <c r="K1010" s="450"/>
      <c r="L1010" s="450"/>
      <c r="M1010" s="450"/>
      <c r="N1010" s="450"/>
      <c r="O1010" s="450"/>
      <c r="P1010" s="450"/>
      <c r="Q1010" s="450"/>
      <c r="R1010" s="450"/>
      <c r="S1010" s="450"/>
      <c r="T1010" s="450"/>
      <c r="U1010" s="450"/>
      <c r="V1010" s="450"/>
      <c r="W1010" s="450"/>
      <c r="X1010" s="450"/>
      <c r="Y1010" s="450"/>
      <c r="Z1010" s="450"/>
      <c r="AA1010" s="450"/>
      <c r="AB1010" s="450"/>
      <c r="AC1010" s="450"/>
      <c r="AD1010" s="450"/>
      <c r="AE1010" s="450"/>
      <c r="AF1010" s="450"/>
      <c r="AG1010" s="450"/>
      <c r="AH1010" s="450"/>
      <c r="AI1010" s="450"/>
      <c r="AJ1010" s="450"/>
      <c r="AK1010" s="450"/>
    </row>
    <row r="1011">
      <c r="A1011" s="450"/>
      <c r="B1011" s="450"/>
      <c r="C1011" s="455"/>
      <c r="D1011" s="450"/>
      <c r="E1011" s="450"/>
      <c r="F1011" s="450"/>
      <c r="G1011" s="450"/>
      <c r="H1011" s="450"/>
      <c r="I1011" s="450"/>
      <c r="J1011" s="450"/>
      <c r="K1011" s="450"/>
      <c r="L1011" s="450"/>
      <c r="M1011" s="450"/>
      <c r="N1011" s="450"/>
      <c r="O1011" s="450"/>
      <c r="P1011" s="450"/>
      <c r="Q1011" s="450"/>
      <c r="R1011" s="450"/>
      <c r="S1011" s="450"/>
      <c r="T1011" s="450"/>
      <c r="U1011" s="450"/>
      <c r="V1011" s="450"/>
      <c r="W1011" s="450"/>
      <c r="X1011" s="450"/>
      <c r="Y1011" s="450"/>
      <c r="Z1011" s="450"/>
      <c r="AA1011" s="450"/>
      <c r="AB1011" s="450"/>
      <c r="AC1011" s="450"/>
      <c r="AD1011" s="450"/>
      <c r="AE1011" s="450"/>
      <c r="AF1011" s="450"/>
      <c r="AG1011" s="450"/>
      <c r="AH1011" s="450"/>
      <c r="AI1011" s="450"/>
      <c r="AJ1011" s="450"/>
      <c r="AK1011" s="450"/>
    </row>
    <row r="1012">
      <c r="A1012" s="450"/>
      <c r="B1012" s="450"/>
      <c r="C1012" s="455"/>
      <c r="D1012" s="450"/>
      <c r="E1012" s="450"/>
      <c r="F1012" s="450"/>
      <c r="G1012" s="450"/>
      <c r="H1012" s="450"/>
      <c r="I1012" s="450"/>
      <c r="J1012" s="450"/>
      <c r="K1012" s="450"/>
      <c r="L1012" s="450"/>
      <c r="M1012" s="450"/>
      <c r="N1012" s="450"/>
      <c r="O1012" s="450"/>
      <c r="P1012" s="450"/>
      <c r="Q1012" s="450"/>
      <c r="R1012" s="450"/>
      <c r="S1012" s="450"/>
      <c r="T1012" s="450"/>
      <c r="U1012" s="450"/>
      <c r="V1012" s="450"/>
      <c r="W1012" s="450"/>
      <c r="X1012" s="450"/>
      <c r="Y1012" s="450"/>
      <c r="Z1012" s="450"/>
      <c r="AA1012" s="450"/>
      <c r="AB1012" s="450"/>
      <c r="AC1012" s="450"/>
      <c r="AD1012" s="450"/>
      <c r="AE1012" s="450"/>
      <c r="AF1012" s="450"/>
      <c r="AG1012" s="450"/>
      <c r="AH1012" s="450"/>
      <c r="AI1012" s="450"/>
      <c r="AJ1012" s="450"/>
      <c r="AK1012" s="450"/>
    </row>
    <row r="1013">
      <c r="A1013" s="450"/>
      <c r="B1013" s="450"/>
      <c r="C1013" s="455"/>
      <c r="D1013" s="450"/>
      <c r="E1013" s="450"/>
      <c r="F1013" s="450"/>
      <c r="G1013" s="450"/>
      <c r="H1013" s="450"/>
      <c r="I1013" s="450"/>
      <c r="J1013" s="450"/>
      <c r="K1013" s="450"/>
      <c r="L1013" s="450"/>
      <c r="M1013" s="450"/>
      <c r="N1013" s="450"/>
      <c r="O1013" s="450"/>
      <c r="P1013" s="450"/>
      <c r="Q1013" s="450"/>
      <c r="R1013" s="450"/>
      <c r="S1013" s="450"/>
      <c r="T1013" s="450"/>
      <c r="U1013" s="450"/>
      <c r="V1013" s="450"/>
      <c r="W1013" s="450"/>
      <c r="X1013" s="450"/>
      <c r="Y1013" s="450"/>
      <c r="Z1013" s="450"/>
      <c r="AA1013" s="450"/>
      <c r="AB1013" s="450"/>
      <c r="AC1013" s="450"/>
      <c r="AD1013" s="450"/>
      <c r="AE1013" s="450"/>
      <c r="AF1013" s="450"/>
      <c r="AG1013" s="450"/>
      <c r="AH1013" s="450"/>
      <c r="AI1013" s="450"/>
      <c r="AJ1013" s="450"/>
      <c r="AK1013" s="450"/>
    </row>
    <row r="1014">
      <c r="A1014" s="450"/>
      <c r="B1014" s="450"/>
      <c r="C1014" s="455"/>
      <c r="D1014" s="450"/>
      <c r="E1014" s="450"/>
      <c r="F1014" s="450"/>
      <c r="G1014" s="450"/>
      <c r="H1014" s="450"/>
      <c r="I1014" s="450"/>
      <c r="J1014" s="450"/>
      <c r="K1014" s="450"/>
      <c r="L1014" s="450"/>
      <c r="M1014" s="450"/>
      <c r="N1014" s="450"/>
      <c r="O1014" s="450"/>
      <c r="P1014" s="450"/>
      <c r="Q1014" s="450"/>
      <c r="R1014" s="450"/>
      <c r="S1014" s="450"/>
      <c r="T1014" s="450"/>
      <c r="U1014" s="450"/>
      <c r="V1014" s="450"/>
      <c r="W1014" s="450"/>
      <c r="X1014" s="450"/>
      <c r="Y1014" s="450"/>
      <c r="Z1014" s="450"/>
      <c r="AA1014" s="450"/>
      <c r="AB1014" s="450"/>
      <c r="AC1014" s="450"/>
      <c r="AD1014" s="450"/>
      <c r="AE1014" s="450"/>
      <c r="AF1014" s="450"/>
      <c r="AG1014" s="450"/>
      <c r="AH1014" s="450"/>
      <c r="AI1014" s="450"/>
      <c r="AJ1014" s="450"/>
      <c r="AK1014" s="450"/>
    </row>
    <row r="1015">
      <c r="A1015" s="450"/>
      <c r="B1015" s="450"/>
      <c r="C1015" s="455"/>
      <c r="D1015" s="450"/>
      <c r="E1015" s="450"/>
      <c r="F1015" s="450"/>
      <c r="G1015" s="450"/>
      <c r="H1015" s="450"/>
      <c r="I1015" s="450"/>
      <c r="J1015" s="450"/>
      <c r="K1015" s="450"/>
      <c r="L1015" s="450"/>
      <c r="M1015" s="450"/>
      <c r="N1015" s="450"/>
      <c r="O1015" s="450"/>
      <c r="P1015" s="450"/>
      <c r="Q1015" s="450"/>
      <c r="R1015" s="450"/>
      <c r="S1015" s="450"/>
      <c r="T1015" s="450"/>
      <c r="U1015" s="450"/>
      <c r="V1015" s="450"/>
      <c r="W1015" s="450"/>
      <c r="X1015" s="450"/>
      <c r="Y1015" s="450"/>
      <c r="Z1015" s="450"/>
      <c r="AA1015" s="450"/>
      <c r="AB1015" s="450"/>
      <c r="AC1015" s="450"/>
      <c r="AD1015" s="450"/>
      <c r="AE1015" s="450"/>
      <c r="AF1015" s="450"/>
      <c r="AG1015" s="450"/>
      <c r="AH1015" s="450"/>
      <c r="AI1015" s="450"/>
      <c r="AJ1015" s="450"/>
      <c r="AK1015" s="450"/>
    </row>
    <row r="1016">
      <c r="A1016" s="450"/>
      <c r="B1016" s="450"/>
      <c r="C1016" s="455"/>
      <c r="D1016" s="450"/>
      <c r="E1016" s="450"/>
      <c r="F1016" s="450"/>
      <c r="G1016" s="450"/>
      <c r="H1016" s="450"/>
      <c r="I1016" s="450"/>
      <c r="J1016" s="450"/>
      <c r="K1016" s="450"/>
      <c r="L1016" s="450"/>
      <c r="M1016" s="450"/>
      <c r="N1016" s="450"/>
      <c r="O1016" s="450"/>
      <c r="P1016" s="450"/>
      <c r="Q1016" s="450"/>
      <c r="R1016" s="450"/>
      <c r="S1016" s="450"/>
      <c r="T1016" s="450"/>
      <c r="U1016" s="450"/>
      <c r="V1016" s="450"/>
      <c r="W1016" s="450"/>
      <c r="X1016" s="450"/>
      <c r="Y1016" s="450"/>
      <c r="Z1016" s="450"/>
      <c r="AA1016" s="450"/>
      <c r="AB1016" s="450"/>
      <c r="AC1016" s="450"/>
      <c r="AD1016" s="450"/>
      <c r="AE1016" s="450"/>
      <c r="AF1016" s="450"/>
      <c r="AG1016" s="450"/>
      <c r="AH1016" s="450"/>
      <c r="AI1016" s="450"/>
      <c r="AJ1016" s="450"/>
      <c r="AK1016" s="450"/>
    </row>
    <row r="1017">
      <c r="A1017" s="450"/>
      <c r="B1017" s="450"/>
      <c r="C1017" s="455"/>
      <c r="D1017" s="450"/>
      <c r="E1017" s="450"/>
      <c r="F1017" s="450"/>
      <c r="G1017" s="450"/>
      <c r="H1017" s="450"/>
      <c r="I1017" s="450"/>
      <c r="J1017" s="450"/>
      <c r="K1017" s="450"/>
      <c r="L1017" s="450"/>
      <c r="M1017" s="450"/>
      <c r="N1017" s="450"/>
      <c r="O1017" s="450"/>
      <c r="P1017" s="450"/>
      <c r="Q1017" s="450"/>
      <c r="R1017" s="450"/>
      <c r="S1017" s="450"/>
      <c r="T1017" s="450"/>
      <c r="U1017" s="450"/>
      <c r="V1017" s="450"/>
      <c r="W1017" s="450"/>
      <c r="X1017" s="450"/>
      <c r="Y1017" s="450"/>
      <c r="Z1017" s="450"/>
      <c r="AA1017" s="450"/>
      <c r="AB1017" s="450"/>
      <c r="AC1017" s="450"/>
      <c r="AD1017" s="450"/>
      <c r="AE1017" s="450"/>
      <c r="AF1017" s="450"/>
      <c r="AG1017" s="450"/>
      <c r="AH1017" s="450"/>
      <c r="AI1017" s="450"/>
      <c r="AJ1017" s="450"/>
      <c r="AK1017" s="450"/>
    </row>
    <row r="1018">
      <c r="A1018" s="450"/>
      <c r="B1018" s="450"/>
      <c r="C1018" s="455"/>
      <c r="D1018" s="450"/>
      <c r="E1018" s="450"/>
      <c r="F1018" s="450"/>
      <c r="G1018" s="450"/>
      <c r="H1018" s="450"/>
      <c r="I1018" s="450"/>
      <c r="J1018" s="450"/>
      <c r="K1018" s="450"/>
      <c r="L1018" s="450"/>
      <c r="M1018" s="450"/>
      <c r="N1018" s="450"/>
      <c r="O1018" s="450"/>
      <c r="P1018" s="450"/>
      <c r="Q1018" s="450"/>
      <c r="R1018" s="450"/>
      <c r="S1018" s="450"/>
      <c r="T1018" s="450"/>
      <c r="U1018" s="450"/>
      <c r="V1018" s="450"/>
      <c r="W1018" s="450"/>
      <c r="X1018" s="450"/>
      <c r="Y1018" s="450"/>
      <c r="Z1018" s="450"/>
      <c r="AA1018" s="450"/>
      <c r="AB1018" s="450"/>
      <c r="AC1018" s="450"/>
      <c r="AD1018" s="450"/>
      <c r="AE1018" s="450"/>
      <c r="AF1018" s="450"/>
      <c r="AG1018" s="450"/>
      <c r="AH1018" s="450"/>
      <c r="AI1018" s="450"/>
      <c r="AJ1018" s="450"/>
      <c r="AK1018" s="450"/>
    </row>
    <row r="1019">
      <c r="A1019" s="450"/>
      <c r="B1019" s="450"/>
      <c r="C1019" s="455"/>
      <c r="D1019" s="450"/>
      <c r="E1019" s="450"/>
      <c r="F1019" s="450"/>
      <c r="G1019" s="450"/>
      <c r="H1019" s="450"/>
      <c r="I1019" s="450"/>
      <c r="J1019" s="450"/>
      <c r="K1019" s="450"/>
      <c r="L1019" s="450"/>
      <c r="M1019" s="450"/>
      <c r="N1019" s="450"/>
      <c r="O1019" s="450"/>
      <c r="P1019" s="450"/>
      <c r="Q1019" s="450"/>
      <c r="R1019" s="450"/>
      <c r="S1019" s="450"/>
      <c r="T1019" s="450"/>
      <c r="U1019" s="450"/>
      <c r="V1019" s="450"/>
      <c r="W1019" s="450"/>
      <c r="X1019" s="450"/>
      <c r="Y1019" s="450"/>
      <c r="Z1019" s="450"/>
      <c r="AA1019" s="450"/>
      <c r="AB1019" s="450"/>
      <c r="AC1019" s="450"/>
      <c r="AD1019" s="450"/>
      <c r="AE1019" s="450"/>
      <c r="AF1019" s="450"/>
      <c r="AG1019" s="450"/>
      <c r="AH1019" s="450"/>
      <c r="AI1019" s="450"/>
      <c r="AJ1019" s="450"/>
      <c r="AK1019" s="450"/>
    </row>
    <row r="1020">
      <c r="A1020" s="450"/>
      <c r="B1020" s="450"/>
      <c r="C1020" s="455"/>
      <c r="D1020" s="450"/>
      <c r="E1020" s="450"/>
      <c r="F1020" s="450"/>
      <c r="G1020" s="450"/>
      <c r="H1020" s="450"/>
      <c r="I1020" s="450"/>
      <c r="J1020" s="450"/>
      <c r="K1020" s="450"/>
      <c r="L1020" s="450"/>
      <c r="M1020" s="450"/>
      <c r="N1020" s="450"/>
      <c r="O1020" s="450"/>
      <c r="P1020" s="450"/>
      <c r="Q1020" s="450"/>
      <c r="R1020" s="450"/>
      <c r="S1020" s="450"/>
      <c r="T1020" s="450"/>
      <c r="U1020" s="450"/>
      <c r="V1020" s="450"/>
      <c r="W1020" s="450"/>
      <c r="X1020" s="450"/>
      <c r="Y1020" s="450"/>
      <c r="Z1020" s="450"/>
      <c r="AA1020" s="450"/>
      <c r="AB1020" s="450"/>
      <c r="AC1020" s="450"/>
      <c r="AD1020" s="450"/>
      <c r="AE1020" s="450"/>
      <c r="AF1020" s="450"/>
      <c r="AG1020" s="450"/>
      <c r="AH1020" s="450"/>
      <c r="AI1020" s="450"/>
      <c r="AJ1020" s="450"/>
      <c r="AK1020" s="450"/>
    </row>
    <row r="1021">
      <c r="A1021" s="450"/>
      <c r="B1021" s="450"/>
      <c r="C1021" s="455"/>
      <c r="D1021" s="450"/>
      <c r="E1021" s="450"/>
      <c r="F1021" s="450"/>
      <c r="G1021" s="450"/>
      <c r="H1021" s="450"/>
      <c r="I1021" s="450"/>
      <c r="J1021" s="450"/>
      <c r="K1021" s="450"/>
      <c r="L1021" s="450"/>
      <c r="M1021" s="450"/>
      <c r="N1021" s="450"/>
      <c r="O1021" s="450"/>
      <c r="P1021" s="450"/>
      <c r="Q1021" s="450"/>
      <c r="R1021" s="450"/>
      <c r="S1021" s="450"/>
      <c r="T1021" s="450"/>
      <c r="U1021" s="450"/>
      <c r="V1021" s="450"/>
      <c r="W1021" s="450"/>
      <c r="X1021" s="450"/>
      <c r="Y1021" s="450"/>
      <c r="Z1021" s="450"/>
      <c r="AA1021" s="450"/>
      <c r="AB1021" s="450"/>
      <c r="AC1021" s="450"/>
      <c r="AD1021" s="450"/>
      <c r="AE1021" s="450"/>
      <c r="AF1021" s="450"/>
      <c r="AG1021" s="450"/>
      <c r="AH1021" s="450"/>
      <c r="AI1021" s="450"/>
      <c r="AJ1021" s="450"/>
      <c r="AK1021" s="450"/>
    </row>
    <row r="1022">
      <c r="A1022" s="450"/>
      <c r="B1022" s="450"/>
      <c r="C1022" s="455"/>
      <c r="D1022" s="450"/>
      <c r="E1022" s="450"/>
      <c r="F1022" s="450"/>
      <c r="G1022" s="450"/>
      <c r="H1022" s="450"/>
      <c r="I1022" s="450"/>
      <c r="J1022" s="450"/>
      <c r="K1022" s="450"/>
      <c r="L1022" s="450"/>
      <c r="M1022" s="450"/>
      <c r="N1022" s="450"/>
      <c r="O1022" s="450"/>
      <c r="P1022" s="450"/>
      <c r="Q1022" s="450"/>
      <c r="R1022" s="450"/>
      <c r="S1022" s="450"/>
      <c r="T1022" s="450"/>
      <c r="U1022" s="450"/>
      <c r="V1022" s="450"/>
      <c r="W1022" s="450"/>
      <c r="X1022" s="450"/>
      <c r="Y1022" s="450"/>
      <c r="Z1022" s="450"/>
      <c r="AA1022" s="450"/>
      <c r="AB1022" s="450"/>
      <c r="AC1022" s="450"/>
      <c r="AD1022" s="450"/>
      <c r="AE1022" s="450"/>
      <c r="AF1022" s="450"/>
      <c r="AG1022" s="450"/>
      <c r="AH1022" s="450"/>
      <c r="AI1022" s="450"/>
      <c r="AJ1022" s="450"/>
      <c r="AK1022" s="450"/>
    </row>
    <row r="1023">
      <c r="A1023" s="450"/>
      <c r="B1023" s="450"/>
      <c r="C1023" s="455"/>
      <c r="D1023" s="450"/>
      <c r="E1023" s="450"/>
      <c r="F1023" s="450"/>
      <c r="G1023" s="450"/>
      <c r="H1023" s="450"/>
      <c r="I1023" s="450"/>
      <c r="J1023" s="450"/>
      <c r="K1023" s="450"/>
      <c r="L1023" s="450"/>
      <c r="M1023" s="450"/>
      <c r="N1023" s="450"/>
      <c r="O1023" s="450"/>
      <c r="P1023" s="450"/>
      <c r="Q1023" s="450"/>
      <c r="R1023" s="450"/>
      <c r="S1023" s="450"/>
      <c r="T1023" s="450"/>
      <c r="U1023" s="450"/>
      <c r="V1023" s="450"/>
      <c r="W1023" s="450"/>
      <c r="X1023" s="450"/>
      <c r="Y1023" s="450"/>
      <c r="Z1023" s="450"/>
      <c r="AA1023" s="450"/>
      <c r="AB1023" s="450"/>
      <c r="AC1023" s="450"/>
      <c r="AD1023" s="450"/>
      <c r="AE1023" s="450"/>
      <c r="AF1023" s="450"/>
      <c r="AG1023" s="450"/>
      <c r="AH1023" s="450"/>
      <c r="AI1023" s="450"/>
      <c r="AJ1023" s="450"/>
      <c r="AK1023" s="450"/>
    </row>
    <row r="1024">
      <c r="A1024" s="450"/>
      <c r="B1024" s="450"/>
      <c r="C1024" s="455"/>
      <c r="D1024" s="450"/>
      <c r="E1024" s="450"/>
      <c r="F1024" s="450"/>
      <c r="G1024" s="450"/>
      <c r="H1024" s="450"/>
      <c r="I1024" s="450"/>
      <c r="J1024" s="450"/>
      <c r="K1024" s="450"/>
      <c r="L1024" s="450"/>
      <c r="M1024" s="450"/>
      <c r="N1024" s="450"/>
      <c r="O1024" s="450"/>
      <c r="P1024" s="450"/>
      <c r="Q1024" s="450"/>
      <c r="R1024" s="450"/>
      <c r="S1024" s="450"/>
      <c r="T1024" s="450"/>
      <c r="U1024" s="450"/>
      <c r="V1024" s="450"/>
      <c r="W1024" s="450"/>
      <c r="X1024" s="450"/>
      <c r="Y1024" s="450"/>
      <c r="Z1024" s="450"/>
      <c r="AA1024" s="450"/>
      <c r="AB1024" s="450"/>
      <c r="AC1024" s="450"/>
      <c r="AD1024" s="450"/>
      <c r="AE1024" s="450"/>
      <c r="AF1024" s="450"/>
      <c r="AG1024" s="450"/>
      <c r="AH1024" s="450"/>
      <c r="AI1024" s="450"/>
      <c r="AJ1024" s="450"/>
      <c r="AK1024" s="450"/>
    </row>
    <row r="1025">
      <c r="A1025" s="450"/>
      <c r="B1025" s="450"/>
      <c r="C1025" s="455"/>
      <c r="D1025" s="450"/>
      <c r="E1025" s="450"/>
      <c r="F1025" s="450"/>
      <c r="G1025" s="450"/>
      <c r="H1025" s="450"/>
      <c r="I1025" s="450"/>
      <c r="J1025" s="450"/>
      <c r="K1025" s="450"/>
      <c r="L1025" s="450"/>
      <c r="M1025" s="450"/>
      <c r="N1025" s="450"/>
      <c r="O1025" s="450"/>
      <c r="P1025" s="450"/>
      <c r="Q1025" s="450"/>
      <c r="R1025" s="450"/>
      <c r="S1025" s="450"/>
      <c r="T1025" s="450"/>
      <c r="U1025" s="450"/>
      <c r="V1025" s="450"/>
      <c r="W1025" s="450"/>
      <c r="X1025" s="450"/>
      <c r="Y1025" s="450"/>
      <c r="Z1025" s="450"/>
      <c r="AA1025" s="450"/>
      <c r="AB1025" s="450"/>
      <c r="AC1025" s="450"/>
      <c r="AD1025" s="450"/>
      <c r="AE1025" s="450"/>
      <c r="AF1025" s="450"/>
      <c r="AG1025" s="450"/>
      <c r="AH1025" s="450"/>
      <c r="AI1025" s="450"/>
      <c r="AJ1025" s="450"/>
      <c r="AK1025" s="450"/>
    </row>
    <row r="1026">
      <c r="A1026" s="450"/>
      <c r="B1026" s="450"/>
      <c r="C1026" s="455"/>
      <c r="D1026" s="450"/>
      <c r="E1026" s="450"/>
      <c r="F1026" s="450"/>
      <c r="G1026" s="450"/>
      <c r="H1026" s="450"/>
      <c r="I1026" s="450"/>
      <c r="J1026" s="450"/>
      <c r="K1026" s="450"/>
      <c r="L1026" s="450"/>
      <c r="M1026" s="450"/>
      <c r="N1026" s="450"/>
      <c r="O1026" s="450"/>
      <c r="P1026" s="450"/>
      <c r="Q1026" s="450"/>
      <c r="R1026" s="450"/>
      <c r="S1026" s="450"/>
      <c r="T1026" s="450"/>
      <c r="U1026" s="450"/>
      <c r="V1026" s="450"/>
      <c r="W1026" s="450"/>
      <c r="X1026" s="450"/>
      <c r="Y1026" s="450"/>
      <c r="Z1026" s="450"/>
      <c r="AA1026" s="450"/>
      <c r="AB1026" s="450"/>
      <c r="AC1026" s="450"/>
      <c r="AD1026" s="450"/>
      <c r="AE1026" s="450"/>
      <c r="AF1026" s="450"/>
      <c r="AG1026" s="450"/>
      <c r="AH1026" s="450"/>
      <c r="AI1026" s="450"/>
      <c r="AJ1026" s="450"/>
      <c r="AK1026" s="450"/>
    </row>
    <row r="1027">
      <c r="A1027" s="450"/>
      <c r="B1027" s="450"/>
      <c r="C1027" s="455"/>
      <c r="D1027" s="450"/>
      <c r="E1027" s="450"/>
      <c r="F1027" s="450"/>
      <c r="G1027" s="450"/>
      <c r="H1027" s="450"/>
      <c r="I1027" s="450"/>
      <c r="J1027" s="450"/>
      <c r="K1027" s="450"/>
      <c r="L1027" s="450"/>
      <c r="M1027" s="450"/>
      <c r="N1027" s="450"/>
      <c r="O1027" s="450"/>
      <c r="P1027" s="450"/>
      <c r="Q1027" s="450"/>
      <c r="R1027" s="450"/>
      <c r="S1027" s="450"/>
      <c r="T1027" s="450"/>
      <c r="U1027" s="450"/>
      <c r="V1027" s="450"/>
      <c r="W1027" s="450"/>
      <c r="X1027" s="450"/>
      <c r="Y1027" s="450"/>
      <c r="Z1027" s="450"/>
      <c r="AA1027" s="450"/>
      <c r="AB1027" s="450"/>
      <c r="AC1027" s="450"/>
      <c r="AD1027" s="450"/>
      <c r="AE1027" s="450"/>
      <c r="AF1027" s="450"/>
      <c r="AG1027" s="450"/>
      <c r="AH1027" s="450"/>
      <c r="AI1027" s="450"/>
      <c r="AJ1027" s="450"/>
      <c r="AK1027" s="450"/>
    </row>
    <row r="1028">
      <c r="A1028" s="450"/>
      <c r="B1028" s="450"/>
      <c r="C1028" s="455"/>
      <c r="D1028" s="450"/>
      <c r="E1028" s="450"/>
      <c r="F1028" s="450"/>
      <c r="G1028" s="450"/>
      <c r="H1028" s="450"/>
      <c r="I1028" s="450"/>
      <c r="J1028" s="450"/>
      <c r="K1028" s="450"/>
      <c r="L1028" s="450"/>
      <c r="M1028" s="450"/>
      <c r="N1028" s="450"/>
      <c r="O1028" s="450"/>
      <c r="P1028" s="450"/>
      <c r="Q1028" s="450"/>
      <c r="R1028" s="450"/>
      <c r="S1028" s="450"/>
      <c r="T1028" s="450"/>
      <c r="U1028" s="450"/>
      <c r="V1028" s="450"/>
      <c r="W1028" s="450"/>
      <c r="X1028" s="450"/>
      <c r="Y1028" s="450"/>
      <c r="Z1028" s="450"/>
      <c r="AA1028" s="450"/>
      <c r="AB1028" s="450"/>
      <c r="AC1028" s="450"/>
      <c r="AD1028" s="450"/>
      <c r="AE1028" s="450"/>
      <c r="AF1028" s="450"/>
      <c r="AG1028" s="450"/>
      <c r="AH1028" s="450"/>
      <c r="AI1028" s="450"/>
      <c r="AJ1028" s="450"/>
      <c r="AK1028" s="450"/>
    </row>
    <row r="1029">
      <c r="A1029" s="450"/>
      <c r="B1029" s="450"/>
      <c r="C1029" s="455"/>
      <c r="D1029" s="450"/>
      <c r="E1029" s="450"/>
      <c r="F1029" s="450"/>
      <c r="G1029" s="450"/>
      <c r="H1029" s="450"/>
      <c r="I1029" s="450"/>
      <c r="J1029" s="450"/>
      <c r="K1029" s="450"/>
      <c r="L1029" s="450"/>
      <c r="M1029" s="450"/>
      <c r="N1029" s="450"/>
      <c r="O1029" s="450"/>
      <c r="P1029" s="450"/>
      <c r="Q1029" s="450"/>
      <c r="R1029" s="450"/>
      <c r="S1029" s="450"/>
      <c r="T1029" s="450"/>
      <c r="U1029" s="450"/>
      <c r="V1029" s="450"/>
      <c r="W1029" s="450"/>
      <c r="X1029" s="450"/>
      <c r="Y1029" s="450"/>
      <c r="Z1029" s="450"/>
      <c r="AA1029" s="450"/>
      <c r="AB1029" s="450"/>
      <c r="AC1029" s="450"/>
      <c r="AD1029" s="450"/>
      <c r="AE1029" s="450"/>
      <c r="AF1029" s="450"/>
      <c r="AG1029" s="450"/>
      <c r="AH1029" s="450"/>
      <c r="AI1029" s="450"/>
      <c r="AJ1029" s="450"/>
      <c r="AK1029" s="450"/>
    </row>
  </sheetData>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63.0"/>
    <col customWidth="1" min="2" max="3" width="20.88"/>
    <col customWidth="1" min="4" max="4" width="10.75"/>
    <col customWidth="1" min="5" max="5" width="9.75"/>
    <col customWidth="1" min="6" max="6" width="20.13"/>
  </cols>
  <sheetData>
    <row r="1" ht="106.5" customHeight="1">
      <c r="A1" s="494" t="s">
        <v>1269</v>
      </c>
      <c r="B1" s="450"/>
      <c r="C1" s="455"/>
      <c r="D1" s="450"/>
      <c r="E1" s="450"/>
      <c r="F1" s="450"/>
      <c r="G1" s="450"/>
      <c r="H1" s="450"/>
      <c r="I1" s="450"/>
      <c r="J1" s="450"/>
      <c r="K1" s="450"/>
      <c r="L1" s="450"/>
      <c r="M1" s="450"/>
      <c r="N1" s="450"/>
      <c r="O1" s="450"/>
      <c r="P1" s="450"/>
      <c r="Q1" s="450"/>
      <c r="R1" s="450"/>
      <c r="S1" s="450"/>
      <c r="T1" s="450"/>
      <c r="U1" s="450"/>
      <c r="V1" s="450"/>
      <c r="W1" s="450"/>
      <c r="X1" s="450"/>
      <c r="Y1" s="450"/>
      <c r="Z1" s="450"/>
      <c r="AA1" s="450"/>
      <c r="AB1" s="450"/>
      <c r="AC1" s="450"/>
      <c r="AD1" s="450"/>
      <c r="AE1" s="450"/>
      <c r="AF1" s="450"/>
      <c r="AG1" s="450"/>
      <c r="AH1" s="450"/>
      <c r="AI1" s="450"/>
      <c r="AJ1" s="450"/>
      <c r="AK1" s="450"/>
      <c r="AL1" s="450"/>
      <c r="AM1" s="450"/>
      <c r="AN1" s="450"/>
      <c r="AO1" s="450"/>
      <c r="AP1" s="450"/>
      <c r="AQ1" s="450"/>
      <c r="AR1" s="450"/>
      <c r="AS1" s="450"/>
      <c r="AT1" s="450"/>
      <c r="AU1" s="450"/>
      <c r="AV1" s="450"/>
      <c r="AW1" s="450"/>
      <c r="AX1" s="450"/>
      <c r="AY1" s="450"/>
      <c r="AZ1" s="450"/>
      <c r="BA1" s="450"/>
      <c r="BB1" s="450"/>
      <c r="BC1" s="450"/>
      <c r="BD1" s="450"/>
      <c r="BE1" s="450"/>
      <c r="BF1" s="450"/>
      <c r="BG1" s="450"/>
      <c r="BH1" s="450"/>
      <c r="BI1" s="450"/>
      <c r="BJ1" s="450"/>
      <c r="BK1" s="450"/>
      <c r="BL1" s="450"/>
      <c r="BM1" s="450"/>
      <c r="BN1" s="450"/>
      <c r="BO1" s="450"/>
      <c r="BP1" s="450"/>
      <c r="BQ1" s="450"/>
      <c r="BR1" s="450"/>
      <c r="BS1" s="450"/>
      <c r="BT1" s="450"/>
      <c r="BU1" s="450"/>
      <c r="BV1" s="450"/>
      <c r="BW1" s="450"/>
      <c r="BX1" s="450"/>
      <c r="BY1" s="450"/>
      <c r="BZ1" s="450"/>
      <c r="CA1" s="450"/>
      <c r="CB1" s="450"/>
      <c r="CC1" s="450"/>
      <c r="CD1" s="450"/>
      <c r="CE1" s="450"/>
      <c r="CF1" s="450"/>
      <c r="CG1" s="450"/>
      <c r="CH1" s="450"/>
    </row>
    <row r="2">
      <c r="G2" s="450"/>
      <c r="H2" s="450"/>
      <c r="I2" s="450"/>
      <c r="J2" s="450"/>
      <c r="K2" s="450"/>
      <c r="L2" s="450"/>
      <c r="M2" s="450"/>
      <c r="N2" s="450"/>
      <c r="O2" s="450"/>
      <c r="P2" s="450"/>
      <c r="Q2" s="450"/>
      <c r="R2" s="450"/>
      <c r="S2" s="450"/>
      <c r="T2" s="450"/>
      <c r="U2" s="450"/>
      <c r="V2" s="450"/>
      <c r="W2" s="450"/>
      <c r="X2" s="450"/>
      <c r="Y2" s="450"/>
      <c r="Z2" s="450"/>
      <c r="AA2" s="450"/>
      <c r="AB2" s="450"/>
      <c r="AC2" s="450"/>
      <c r="AD2" s="450"/>
      <c r="AE2" s="450"/>
      <c r="AF2" s="450"/>
      <c r="AG2" s="450"/>
      <c r="AH2" s="450"/>
      <c r="AI2" s="450"/>
      <c r="AJ2" s="450"/>
      <c r="AK2" s="450"/>
      <c r="AL2" s="450"/>
      <c r="AM2" s="450"/>
      <c r="AN2" s="450"/>
      <c r="AO2" s="450"/>
      <c r="AP2" s="450"/>
      <c r="AQ2" s="450"/>
      <c r="AR2" s="450"/>
      <c r="AS2" s="450"/>
      <c r="AT2" s="450"/>
      <c r="AU2" s="450"/>
      <c r="AV2" s="450"/>
      <c r="AW2" s="450"/>
      <c r="AX2" s="450"/>
      <c r="AY2" s="450"/>
      <c r="AZ2" s="450"/>
      <c r="BA2" s="450"/>
      <c r="BB2" s="450"/>
      <c r="BC2" s="450"/>
      <c r="BD2" s="450"/>
      <c r="BE2" s="450"/>
      <c r="BF2" s="450"/>
      <c r="BG2" s="450"/>
      <c r="BH2" s="450"/>
      <c r="BI2" s="450"/>
      <c r="BJ2" s="450"/>
      <c r="BK2" s="450"/>
      <c r="BL2" s="450"/>
      <c r="BM2" s="450"/>
      <c r="BN2" s="450"/>
      <c r="BO2" s="450"/>
      <c r="BP2" s="450"/>
      <c r="BQ2" s="450"/>
      <c r="BR2" s="450"/>
      <c r="BS2" s="450"/>
      <c r="BT2" s="450"/>
      <c r="BU2" s="450"/>
      <c r="BV2" s="450"/>
      <c r="BW2" s="450"/>
      <c r="BX2" s="450"/>
      <c r="BY2" s="450"/>
      <c r="BZ2" s="450"/>
      <c r="CA2" s="450"/>
      <c r="CB2" s="450"/>
      <c r="CC2" s="450"/>
      <c r="CD2" s="450"/>
      <c r="CE2" s="450"/>
      <c r="CF2" s="450"/>
      <c r="CG2" s="450"/>
      <c r="CH2" s="450"/>
    </row>
    <row r="3">
      <c r="G3" s="455"/>
      <c r="H3" s="497"/>
      <c r="I3" s="498"/>
      <c r="J3" s="502"/>
      <c r="K3" s="450"/>
      <c r="L3" s="450"/>
      <c r="M3" s="450"/>
      <c r="N3" s="450"/>
      <c r="O3" s="450"/>
      <c r="P3" s="450"/>
      <c r="Q3" s="450"/>
      <c r="R3" s="450"/>
      <c r="S3" s="450"/>
      <c r="T3" s="450"/>
      <c r="U3" s="450"/>
      <c r="V3" s="450"/>
      <c r="W3" s="450"/>
      <c r="X3" s="450"/>
      <c r="Y3" s="450"/>
      <c r="Z3" s="450"/>
      <c r="AA3" s="450"/>
      <c r="AB3" s="450"/>
      <c r="AC3" s="450"/>
      <c r="AD3" s="450"/>
      <c r="AE3" s="450"/>
      <c r="AF3" s="450"/>
      <c r="AG3" s="450"/>
      <c r="AH3" s="450"/>
      <c r="AI3" s="450"/>
      <c r="AJ3" s="450"/>
      <c r="AK3" s="450"/>
      <c r="AL3" s="450"/>
      <c r="AM3" s="450"/>
      <c r="AN3" s="450"/>
      <c r="AO3" s="450"/>
      <c r="AP3" s="450"/>
      <c r="AQ3" s="450"/>
      <c r="AR3" s="450"/>
      <c r="AS3" s="450"/>
      <c r="AT3" s="450"/>
      <c r="AU3" s="450"/>
      <c r="AV3" s="450"/>
      <c r="AW3" s="450"/>
      <c r="AX3" s="450"/>
      <c r="AY3" s="450"/>
      <c r="AZ3" s="450"/>
      <c r="BA3" s="450"/>
      <c r="BB3" s="450"/>
      <c r="BC3" s="450"/>
      <c r="BD3" s="450"/>
      <c r="BE3" s="450"/>
      <c r="BF3" s="450"/>
      <c r="BG3" s="450"/>
      <c r="BH3" s="450"/>
      <c r="BI3" s="450"/>
      <c r="BJ3" s="450"/>
      <c r="BK3" s="450"/>
      <c r="BL3" s="450"/>
      <c r="BM3" s="450"/>
      <c r="BN3" s="450"/>
      <c r="BO3" s="450"/>
      <c r="BP3" s="450"/>
      <c r="BQ3" s="450"/>
      <c r="BR3" s="450"/>
      <c r="BS3" s="450"/>
      <c r="BT3" s="450"/>
      <c r="BU3" s="450"/>
      <c r="BV3" s="450"/>
      <c r="BW3" s="450"/>
      <c r="BX3" s="450"/>
      <c r="BY3" s="450"/>
      <c r="BZ3" s="450"/>
      <c r="CA3" s="450"/>
      <c r="CB3" s="450"/>
      <c r="CC3" s="450"/>
      <c r="CD3" s="450"/>
      <c r="CE3" s="450"/>
      <c r="CF3" s="450"/>
      <c r="CG3" s="450"/>
      <c r="CH3" s="450"/>
    </row>
    <row r="4">
      <c r="G4" s="450"/>
      <c r="H4" s="450"/>
      <c r="I4" s="450"/>
      <c r="J4" s="450"/>
      <c r="K4" s="450"/>
      <c r="L4" s="450"/>
      <c r="M4" s="450"/>
      <c r="N4" s="450"/>
      <c r="O4" s="450"/>
      <c r="P4" s="450"/>
      <c r="Q4" s="450"/>
      <c r="R4" s="450"/>
      <c r="S4" s="450"/>
      <c r="T4" s="450"/>
      <c r="U4" s="450"/>
      <c r="V4" s="450"/>
      <c r="W4" s="450"/>
      <c r="X4" s="450"/>
      <c r="Y4" s="450"/>
      <c r="Z4" s="450"/>
      <c r="AA4" s="450"/>
      <c r="AB4" s="450"/>
      <c r="AC4" s="450"/>
      <c r="AD4" s="450"/>
      <c r="AE4" s="450"/>
      <c r="AF4" s="450"/>
      <c r="AG4" s="450"/>
      <c r="AH4" s="450"/>
      <c r="AI4" s="450"/>
      <c r="AJ4" s="450"/>
      <c r="AK4" s="450"/>
      <c r="AL4" s="450"/>
      <c r="AM4" s="450"/>
      <c r="AN4" s="450"/>
      <c r="AO4" s="450"/>
      <c r="AP4" s="450"/>
      <c r="AQ4" s="450"/>
      <c r="AR4" s="450"/>
      <c r="AS4" s="450"/>
      <c r="AT4" s="450"/>
      <c r="AU4" s="450"/>
      <c r="AV4" s="450"/>
      <c r="AW4" s="450"/>
      <c r="AX4" s="450"/>
      <c r="AY4" s="450"/>
      <c r="AZ4" s="450"/>
      <c r="BA4" s="450"/>
      <c r="BB4" s="450"/>
      <c r="BC4" s="450"/>
      <c r="BD4" s="450"/>
      <c r="BE4" s="450"/>
      <c r="BF4" s="450"/>
      <c r="BG4" s="450"/>
      <c r="BH4" s="450"/>
      <c r="BI4" s="450"/>
      <c r="BJ4" s="450"/>
      <c r="BK4" s="450"/>
      <c r="BL4" s="450"/>
      <c r="BM4" s="450"/>
      <c r="BN4" s="450"/>
      <c r="BO4" s="450"/>
      <c r="BP4" s="450"/>
      <c r="BQ4" s="450"/>
      <c r="BR4" s="450"/>
      <c r="BS4" s="450"/>
      <c r="BT4" s="450"/>
      <c r="BU4" s="450"/>
      <c r="BV4" s="450"/>
      <c r="BW4" s="450"/>
      <c r="BX4" s="450"/>
      <c r="BY4" s="450"/>
      <c r="BZ4" s="450"/>
      <c r="CA4" s="450"/>
      <c r="CB4" s="450"/>
      <c r="CC4" s="450"/>
      <c r="CD4" s="450"/>
      <c r="CE4" s="450"/>
      <c r="CF4" s="450"/>
      <c r="CG4" s="450"/>
      <c r="CH4" s="450"/>
    </row>
    <row r="5">
      <c r="G5" s="450"/>
      <c r="H5" s="450"/>
      <c r="I5" s="450"/>
      <c r="J5" s="450"/>
      <c r="K5" s="450"/>
      <c r="L5" s="450"/>
      <c r="M5" s="450"/>
      <c r="N5" s="450"/>
      <c r="O5" s="450"/>
      <c r="P5" s="450"/>
      <c r="Q5" s="450"/>
      <c r="R5" s="450"/>
      <c r="S5" s="450"/>
      <c r="T5" s="450"/>
      <c r="U5" s="450"/>
      <c r="V5" s="450"/>
      <c r="W5" s="450"/>
      <c r="X5" s="450"/>
      <c r="Y5" s="450"/>
      <c r="Z5" s="450"/>
      <c r="AA5" s="450"/>
      <c r="AB5" s="450"/>
      <c r="AC5" s="450"/>
      <c r="AD5" s="450"/>
      <c r="AE5" s="450"/>
      <c r="AF5" s="450"/>
      <c r="AG5" s="450"/>
      <c r="AH5" s="450"/>
      <c r="AI5" s="450"/>
      <c r="AJ5" s="450"/>
      <c r="AK5" s="450"/>
      <c r="AL5" s="450"/>
      <c r="AM5" s="450"/>
      <c r="AN5" s="450"/>
      <c r="AO5" s="450"/>
      <c r="AP5" s="450"/>
      <c r="AQ5" s="450"/>
      <c r="AR5" s="450"/>
      <c r="AS5" s="450"/>
      <c r="AT5" s="450"/>
      <c r="AU5" s="450"/>
      <c r="AV5" s="450"/>
      <c r="AW5" s="450"/>
      <c r="AX5" s="450"/>
      <c r="AY5" s="450"/>
      <c r="AZ5" s="450"/>
      <c r="BA5" s="450"/>
      <c r="BB5" s="450"/>
      <c r="BC5" s="450"/>
      <c r="BD5" s="450"/>
      <c r="BE5" s="450"/>
      <c r="BF5" s="450"/>
      <c r="BG5" s="450"/>
      <c r="BH5" s="450"/>
      <c r="BI5" s="450"/>
      <c r="BJ5" s="450"/>
      <c r="BK5" s="450"/>
      <c r="BL5" s="450"/>
      <c r="BM5" s="450"/>
      <c r="BN5" s="450"/>
      <c r="BO5" s="450"/>
      <c r="BP5" s="450"/>
      <c r="BQ5" s="450"/>
      <c r="BR5" s="450"/>
      <c r="BS5" s="450"/>
      <c r="BT5" s="450"/>
      <c r="BU5" s="450"/>
      <c r="BV5" s="450"/>
      <c r="BW5" s="450"/>
      <c r="BX5" s="450"/>
      <c r="BY5" s="450"/>
      <c r="BZ5" s="450"/>
      <c r="CA5" s="450"/>
      <c r="CB5" s="450"/>
      <c r="CC5" s="450"/>
      <c r="CD5" s="450"/>
      <c r="CE5" s="450"/>
      <c r="CF5" s="450"/>
      <c r="CG5" s="450"/>
      <c r="CH5" s="450"/>
    </row>
    <row r="6">
      <c r="G6" s="450"/>
      <c r="H6" s="450"/>
      <c r="I6" s="450"/>
      <c r="J6" s="450"/>
      <c r="K6" s="450"/>
      <c r="L6" s="450"/>
      <c r="M6" s="450"/>
      <c r="N6" s="450"/>
      <c r="O6" s="450"/>
      <c r="P6" s="450"/>
      <c r="Q6" s="450"/>
      <c r="R6" s="450"/>
      <c r="S6" s="450"/>
      <c r="T6" s="450"/>
      <c r="U6" s="450"/>
      <c r="V6" s="450"/>
      <c r="W6" s="450"/>
      <c r="X6" s="450"/>
      <c r="Y6" s="450"/>
      <c r="Z6" s="450"/>
      <c r="AA6" s="450"/>
      <c r="AB6" s="450"/>
      <c r="AC6" s="450"/>
      <c r="AD6" s="450"/>
      <c r="AE6" s="450"/>
      <c r="AF6" s="450"/>
      <c r="AG6" s="450"/>
      <c r="AH6" s="450"/>
      <c r="AI6" s="450"/>
      <c r="AJ6" s="450"/>
      <c r="AK6" s="450"/>
      <c r="AL6" s="450"/>
      <c r="AM6" s="450"/>
      <c r="AN6" s="450"/>
      <c r="AO6" s="450"/>
      <c r="AP6" s="450"/>
      <c r="AQ6" s="450"/>
      <c r="AR6" s="450"/>
      <c r="AS6" s="450"/>
      <c r="AT6" s="450"/>
      <c r="AU6" s="450"/>
      <c r="AV6" s="450"/>
      <c r="AW6" s="450"/>
      <c r="AX6" s="450"/>
      <c r="AY6" s="450"/>
      <c r="AZ6" s="450"/>
      <c r="BA6" s="450"/>
      <c r="BB6" s="450"/>
      <c r="BC6" s="450"/>
      <c r="BD6" s="450"/>
      <c r="BE6" s="450"/>
      <c r="BF6" s="450"/>
      <c r="BG6" s="450"/>
      <c r="BH6" s="450"/>
      <c r="BI6" s="450"/>
      <c r="BJ6" s="450"/>
      <c r="BK6" s="450"/>
      <c r="BL6" s="450"/>
      <c r="BM6" s="450"/>
      <c r="BN6" s="450"/>
      <c r="BO6" s="450"/>
      <c r="BP6" s="450"/>
      <c r="BQ6" s="450"/>
      <c r="BR6" s="450"/>
      <c r="BS6" s="450"/>
      <c r="BT6" s="450"/>
      <c r="BU6" s="450"/>
      <c r="BV6" s="450"/>
      <c r="BW6" s="450"/>
      <c r="BX6" s="450"/>
      <c r="BY6" s="450"/>
      <c r="BZ6" s="450"/>
      <c r="CA6" s="450"/>
      <c r="CB6" s="450"/>
      <c r="CC6" s="450"/>
      <c r="CD6" s="450"/>
      <c r="CE6" s="450"/>
      <c r="CF6" s="450"/>
      <c r="CG6" s="450"/>
      <c r="CH6" s="450"/>
    </row>
    <row r="7">
      <c r="G7" s="450"/>
      <c r="H7" s="450"/>
      <c r="I7" s="450"/>
      <c r="J7" s="450"/>
      <c r="K7" s="450"/>
      <c r="L7" s="450"/>
      <c r="M7" s="450"/>
      <c r="N7" s="450"/>
      <c r="O7" s="450"/>
      <c r="P7" s="450"/>
      <c r="Q7" s="450"/>
      <c r="R7" s="450"/>
      <c r="S7" s="450"/>
      <c r="T7" s="450"/>
      <c r="U7" s="450"/>
      <c r="V7" s="450"/>
      <c r="W7" s="450"/>
      <c r="X7" s="450"/>
      <c r="Y7" s="450"/>
      <c r="Z7" s="450"/>
      <c r="AA7" s="450"/>
      <c r="AB7" s="450"/>
      <c r="AC7" s="450"/>
      <c r="AD7" s="450"/>
      <c r="AE7" s="450"/>
      <c r="AF7" s="450"/>
      <c r="AG7" s="450"/>
      <c r="AH7" s="450"/>
      <c r="AI7" s="450"/>
      <c r="AJ7" s="450"/>
      <c r="AK7" s="450"/>
      <c r="AL7" s="450"/>
      <c r="AM7" s="450"/>
      <c r="AN7" s="450"/>
      <c r="AO7" s="450"/>
      <c r="AP7" s="450"/>
      <c r="AQ7" s="450"/>
      <c r="AR7" s="450"/>
      <c r="AS7" s="450"/>
      <c r="AT7" s="450"/>
      <c r="AU7" s="450"/>
      <c r="AV7" s="450"/>
      <c r="AW7" s="450"/>
      <c r="AX7" s="450"/>
      <c r="AY7" s="450"/>
      <c r="AZ7" s="450"/>
      <c r="BA7" s="450"/>
      <c r="BB7" s="450"/>
      <c r="BC7" s="450"/>
      <c r="BD7" s="450"/>
      <c r="BE7" s="450"/>
      <c r="BF7" s="450"/>
      <c r="BG7" s="450"/>
      <c r="BH7" s="450"/>
      <c r="BI7" s="450"/>
      <c r="BJ7" s="450"/>
      <c r="BK7" s="450"/>
      <c r="BL7" s="450"/>
      <c r="BM7" s="450"/>
      <c r="BN7" s="450"/>
      <c r="BO7" s="450"/>
      <c r="BP7" s="450"/>
      <c r="BQ7" s="450"/>
      <c r="BR7" s="450"/>
      <c r="BS7" s="450"/>
      <c r="BT7" s="450"/>
      <c r="BU7" s="450"/>
      <c r="BV7" s="450"/>
      <c r="BW7" s="450"/>
      <c r="BX7" s="450"/>
      <c r="BY7" s="450"/>
      <c r="BZ7" s="450"/>
      <c r="CA7" s="450"/>
      <c r="CB7" s="450"/>
      <c r="CC7" s="450"/>
      <c r="CD7" s="450"/>
      <c r="CE7" s="450"/>
      <c r="CF7" s="450"/>
      <c r="CG7" s="450"/>
      <c r="CH7" s="450"/>
    </row>
    <row r="8">
      <c r="G8" s="450"/>
      <c r="H8" s="450"/>
      <c r="I8" s="450"/>
      <c r="J8" s="450"/>
      <c r="K8" s="450"/>
      <c r="L8" s="450"/>
      <c r="M8" s="450"/>
      <c r="N8" s="450"/>
      <c r="O8" s="450"/>
      <c r="P8" s="450"/>
      <c r="Q8" s="450"/>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0"/>
      <c r="AZ8" s="450"/>
      <c r="BA8" s="450"/>
      <c r="BB8" s="450"/>
      <c r="BC8" s="450"/>
      <c r="BD8" s="450"/>
      <c r="BE8" s="450"/>
      <c r="BF8" s="450"/>
      <c r="BG8" s="450"/>
      <c r="BH8" s="450"/>
      <c r="BI8" s="450"/>
      <c r="BJ8" s="450"/>
      <c r="BK8" s="450"/>
      <c r="BL8" s="450"/>
      <c r="BM8" s="450"/>
      <c r="BN8" s="450"/>
      <c r="BO8" s="450"/>
      <c r="BP8" s="450"/>
      <c r="BQ8" s="450"/>
      <c r="BR8" s="450"/>
      <c r="BS8" s="450"/>
      <c r="BT8" s="450"/>
      <c r="BU8" s="450"/>
      <c r="BV8" s="450"/>
      <c r="BW8" s="450"/>
      <c r="BX8" s="450"/>
      <c r="BY8" s="450"/>
      <c r="BZ8" s="450"/>
      <c r="CA8" s="450"/>
      <c r="CB8" s="450"/>
      <c r="CC8" s="450"/>
      <c r="CD8" s="450"/>
      <c r="CE8" s="450"/>
      <c r="CF8" s="450"/>
      <c r="CG8" s="450"/>
      <c r="CH8" s="450"/>
    </row>
    <row r="9">
      <c r="G9" s="450"/>
      <c r="H9" s="450"/>
      <c r="I9" s="450"/>
      <c r="J9" s="450"/>
      <c r="K9" s="450"/>
      <c r="L9" s="450"/>
      <c r="M9" s="450"/>
      <c r="N9" s="450"/>
      <c r="O9" s="450"/>
      <c r="P9" s="450"/>
      <c r="Q9" s="450"/>
      <c r="R9" s="450"/>
      <c r="S9" s="450"/>
      <c r="T9" s="450"/>
      <c r="U9" s="450"/>
      <c r="V9" s="450"/>
      <c r="W9" s="450"/>
      <c r="X9" s="450"/>
      <c r="Y9" s="450"/>
      <c r="Z9" s="450"/>
      <c r="AA9" s="450"/>
      <c r="AB9" s="450"/>
      <c r="AC9" s="450"/>
      <c r="AD9" s="450"/>
      <c r="AE9" s="450"/>
      <c r="AF9" s="450"/>
      <c r="AG9" s="450"/>
      <c r="AH9" s="450"/>
      <c r="AI9" s="450"/>
      <c r="AJ9" s="450"/>
      <c r="AK9" s="450"/>
      <c r="AL9" s="450"/>
      <c r="AM9" s="450"/>
      <c r="AN9" s="450"/>
      <c r="AO9" s="450"/>
      <c r="AP9" s="450"/>
      <c r="AQ9" s="450"/>
      <c r="AR9" s="450"/>
      <c r="AS9" s="450"/>
      <c r="AT9" s="450"/>
      <c r="AU9" s="450"/>
      <c r="AV9" s="450"/>
      <c r="AW9" s="450"/>
      <c r="AX9" s="450"/>
      <c r="AY9" s="450"/>
      <c r="AZ9" s="450"/>
      <c r="BA9" s="450"/>
      <c r="BB9" s="450"/>
      <c r="BC9" s="450"/>
      <c r="BD9" s="450"/>
      <c r="BE9" s="450"/>
      <c r="BF9" s="450"/>
      <c r="BG9" s="450"/>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row>
    <row r="10">
      <c r="A10" s="450"/>
      <c r="B10" s="450"/>
      <c r="C10" s="455"/>
      <c r="D10" s="450"/>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50"/>
      <c r="AY10" s="450"/>
      <c r="AZ10" s="450"/>
      <c r="BA10" s="450"/>
      <c r="BB10" s="450"/>
      <c r="BC10" s="450"/>
      <c r="BD10" s="450"/>
      <c r="BE10" s="450"/>
      <c r="BF10" s="450"/>
      <c r="BG10" s="450"/>
      <c r="BH10" s="450"/>
      <c r="BI10" s="450"/>
      <c r="BJ10" s="450"/>
      <c r="BK10" s="450"/>
      <c r="BL10" s="450"/>
      <c r="BM10" s="450"/>
      <c r="BN10" s="450"/>
      <c r="BO10" s="450"/>
      <c r="BP10" s="450"/>
      <c r="BQ10" s="450"/>
      <c r="BR10" s="450"/>
      <c r="BS10" s="450"/>
      <c r="BT10" s="450"/>
      <c r="BU10" s="450"/>
      <c r="BV10" s="450"/>
      <c r="BW10" s="450"/>
      <c r="BX10" s="450"/>
      <c r="BY10" s="450"/>
      <c r="BZ10" s="450"/>
      <c r="CA10" s="450"/>
      <c r="CB10" s="450"/>
      <c r="CC10" s="450"/>
      <c r="CD10" s="450"/>
      <c r="CE10" s="450"/>
      <c r="CF10" s="450"/>
      <c r="CG10" s="450"/>
      <c r="CH10" s="450"/>
    </row>
    <row r="11">
      <c r="A11" s="450"/>
      <c r="B11" s="450"/>
      <c r="C11" s="455"/>
      <c r="D11" s="450"/>
      <c r="E11" s="450"/>
      <c r="F11" s="450"/>
      <c r="G11" s="450"/>
      <c r="H11" s="450"/>
      <c r="I11" s="450"/>
      <c r="J11" s="450"/>
      <c r="K11" s="450"/>
      <c r="L11" s="450"/>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50"/>
      <c r="BV11" s="450"/>
      <c r="BW11" s="450"/>
      <c r="BX11" s="450"/>
      <c r="BY11" s="450"/>
      <c r="BZ11" s="450"/>
      <c r="CA11" s="450"/>
      <c r="CB11" s="450"/>
      <c r="CC11" s="450"/>
      <c r="CD11" s="450"/>
      <c r="CE11" s="450"/>
      <c r="CF11" s="450"/>
      <c r="CG11" s="450"/>
      <c r="CH11" s="450"/>
    </row>
    <row r="12">
      <c r="A12" s="450"/>
      <c r="B12" s="450"/>
      <c r="C12" s="455"/>
      <c r="D12" s="450"/>
      <c r="E12" s="450"/>
      <c r="F12" s="450"/>
      <c r="G12" s="450"/>
      <c r="H12" s="450"/>
      <c r="I12" s="450"/>
      <c r="J12" s="450"/>
      <c r="K12" s="450"/>
      <c r="L12" s="450"/>
      <c r="M12" s="450"/>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c r="AL12" s="450"/>
      <c r="AM12" s="450"/>
      <c r="AN12" s="450"/>
      <c r="AO12" s="450"/>
      <c r="AP12" s="450"/>
      <c r="AQ12" s="450"/>
      <c r="AR12" s="450"/>
      <c r="AS12" s="450"/>
      <c r="AT12" s="450"/>
      <c r="AU12" s="450"/>
      <c r="AV12" s="450"/>
      <c r="AW12" s="450"/>
      <c r="AX12" s="450"/>
      <c r="AY12" s="450"/>
      <c r="AZ12" s="450"/>
      <c r="BA12" s="450"/>
      <c r="BB12" s="450"/>
      <c r="BC12" s="450"/>
      <c r="BD12" s="450"/>
      <c r="BE12" s="450"/>
      <c r="BF12" s="450"/>
      <c r="BG12" s="450"/>
      <c r="BH12" s="450"/>
      <c r="BI12" s="450"/>
      <c r="BJ12" s="450"/>
      <c r="BK12" s="450"/>
      <c r="BL12" s="450"/>
      <c r="BM12" s="450"/>
      <c r="BN12" s="450"/>
      <c r="BO12" s="450"/>
      <c r="BP12" s="450"/>
      <c r="BQ12" s="450"/>
      <c r="BR12" s="450"/>
      <c r="BS12" s="450"/>
      <c r="BT12" s="450"/>
      <c r="BU12" s="450"/>
      <c r="BV12" s="450"/>
      <c r="BW12" s="450"/>
      <c r="BX12" s="450"/>
      <c r="BY12" s="450"/>
      <c r="BZ12" s="450"/>
      <c r="CA12" s="450"/>
      <c r="CB12" s="450"/>
      <c r="CC12" s="450"/>
      <c r="CD12" s="450"/>
      <c r="CE12" s="450"/>
      <c r="CF12" s="450"/>
      <c r="CG12" s="450"/>
      <c r="CH12" s="450"/>
    </row>
    <row r="13">
      <c r="A13" s="450"/>
      <c r="B13" s="450"/>
      <c r="C13" s="455"/>
      <c r="D13" s="450"/>
      <c r="E13" s="450"/>
      <c r="F13" s="450"/>
      <c r="G13" s="450"/>
      <c r="H13" s="450"/>
      <c r="I13" s="450"/>
      <c r="J13" s="450"/>
      <c r="K13" s="450"/>
      <c r="L13" s="450"/>
      <c r="M13" s="450"/>
      <c r="N13" s="450"/>
      <c r="O13" s="450"/>
      <c r="P13" s="450"/>
      <c r="Q13" s="450"/>
      <c r="R13" s="450"/>
      <c r="S13" s="450"/>
      <c r="T13" s="450"/>
      <c r="U13" s="450"/>
      <c r="V13" s="450"/>
      <c r="W13" s="450"/>
      <c r="X13" s="450"/>
      <c r="Y13" s="450"/>
      <c r="Z13" s="450"/>
      <c r="AA13" s="450"/>
      <c r="AB13" s="450"/>
      <c r="AC13" s="450"/>
      <c r="AD13" s="450"/>
      <c r="AE13" s="450"/>
      <c r="AF13" s="450"/>
      <c r="AG13" s="450"/>
      <c r="AH13" s="450"/>
      <c r="AI13" s="450"/>
      <c r="AJ13" s="450"/>
      <c r="AK13" s="450"/>
      <c r="AL13" s="450"/>
      <c r="AM13" s="450"/>
      <c r="AN13" s="450"/>
      <c r="AO13" s="450"/>
      <c r="AP13" s="450"/>
      <c r="AQ13" s="450"/>
      <c r="AR13" s="450"/>
      <c r="AS13" s="450"/>
      <c r="AT13" s="450"/>
      <c r="AU13" s="450"/>
      <c r="AV13" s="450"/>
      <c r="AW13" s="450"/>
      <c r="AX13" s="450"/>
      <c r="AY13" s="450"/>
      <c r="AZ13" s="450"/>
      <c r="BA13" s="450"/>
      <c r="BB13" s="450"/>
      <c r="BC13" s="450"/>
      <c r="BD13" s="450"/>
      <c r="BE13" s="450"/>
      <c r="BF13" s="450"/>
      <c r="BG13" s="450"/>
      <c r="BH13" s="450"/>
      <c r="BI13" s="450"/>
      <c r="BJ13" s="450"/>
      <c r="BK13" s="450"/>
      <c r="BL13" s="450"/>
      <c r="BM13" s="450"/>
      <c r="BN13" s="450"/>
      <c r="BO13" s="450"/>
      <c r="BP13" s="450"/>
      <c r="BQ13" s="450"/>
      <c r="BR13" s="450"/>
      <c r="BS13" s="450"/>
      <c r="BT13" s="450"/>
      <c r="BU13" s="450"/>
      <c r="BV13" s="450"/>
      <c r="BW13" s="450"/>
      <c r="BX13" s="450"/>
      <c r="BY13" s="450"/>
      <c r="BZ13" s="450"/>
      <c r="CA13" s="450"/>
      <c r="CB13" s="450"/>
      <c r="CC13" s="450"/>
      <c r="CD13" s="450"/>
      <c r="CE13" s="450"/>
      <c r="CF13" s="450"/>
      <c r="CG13" s="450"/>
      <c r="CH13" s="450"/>
    </row>
    <row r="14">
      <c r="A14" s="450"/>
      <c r="B14" s="450"/>
      <c r="C14" s="455"/>
      <c r="D14" s="450"/>
      <c r="E14" s="450"/>
      <c r="F14" s="450"/>
      <c r="G14" s="450"/>
      <c r="H14" s="450"/>
      <c r="I14" s="450"/>
      <c r="J14" s="450"/>
      <c r="K14" s="450"/>
      <c r="L14" s="450"/>
      <c r="M14" s="450"/>
      <c r="N14" s="450"/>
      <c r="O14" s="450"/>
      <c r="P14" s="450"/>
      <c r="Q14" s="450"/>
      <c r="R14" s="450"/>
      <c r="S14" s="450"/>
      <c r="T14" s="450"/>
      <c r="U14" s="450"/>
      <c r="V14" s="450"/>
      <c r="W14" s="450"/>
      <c r="X14" s="450"/>
      <c r="Y14" s="450"/>
      <c r="Z14" s="450"/>
      <c r="AA14" s="450"/>
      <c r="AB14" s="450"/>
      <c r="AC14" s="450"/>
      <c r="AD14" s="450"/>
      <c r="AE14" s="450"/>
      <c r="AF14" s="450"/>
      <c r="AG14" s="450"/>
      <c r="AH14" s="450"/>
      <c r="AI14" s="450"/>
      <c r="AJ14" s="450"/>
      <c r="AK14" s="450"/>
      <c r="AL14" s="450"/>
      <c r="AM14" s="450"/>
      <c r="AN14" s="450"/>
      <c r="AO14" s="450"/>
      <c r="AP14" s="450"/>
      <c r="AQ14" s="450"/>
      <c r="AR14" s="450"/>
      <c r="AS14" s="450"/>
      <c r="AT14" s="450"/>
      <c r="AU14" s="450"/>
      <c r="AV14" s="450"/>
      <c r="AW14" s="450"/>
      <c r="AX14" s="450"/>
      <c r="AY14" s="450"/>
      <c r="AZ14" s="450"/>
      <c r="BA14" s="450"/>
      <c r="BB14" s="450"/>
      <c r="BC14" s="450"/>
      <c r="BD14" s="450"/>
      <c r="BE14" s="450"/>
      <c r="BF14" s="450"/>
      <c r="BG14" s="450"/>
      <c r="BH14" s="450"/>
      <c r="BI14" s="450"/>
      <c r="BJ14" s="450"/>
      <c r="BK14" s="450"/>
      <c r="BL14" s="450"/>
      <c r="BM14" s="450"/>
      <c r="BN14" s="450"/>
      <c r="BO14" s="450"/>
      <c r="BP14" s="450"/>
      <c r="BQ14" s="450"/>
      <c r="BR14" s="450"/>
      <c r="BS14" s="450"/>
      <c r="BT14" s="450"/>
      <c r="BU14" s="450"/>
      <c r="BV14" s="450"/>
      <c r="BW14" s="450"/>
      <c r="BX14" s="450"/>
      <c r="BY14" s="450"/>
      <c r="BZ14" s="450"/>
      <c r="CA14" s="450"/>
      <c r="CB14" s="450"/>
      <c r="CC14" s="450"/>
      <c r="CD14" s="450"/>
      <c r="CE14" s="450"/>
      <c r="CF14" s="450"/>
      <c r="CG14" s="450"/>
      <c r="CH14" s="450"/>
    </row>
    <row r="15">
      <c r="A15" s="450"/>
      <c r="B15" s="450"/>
      <c r="C15" s="455"/>
      <c r="D15" s="450"/>
      <c r="E15" s="450"/>
      <c r="F15" s="450"/>
      <c r="G15" s="450"/>
      <c r="H15" s="450"/>
      <c r="I15" s="450"/>
      <c r="J15" s="450"/>
      <c r="K15" s="450"/>
      <c r="L15" s="450"/>
      <c r="M15" s="450"/>
      <c r="N15" s="450"/>
      <c r="O15" s="450"/>
      <c r="P15" s="450"/>
      <c r="Q15" s="450"/>
      <c r="R15" s="450"/>
      <c r="S15" s="450"/>
      <c r="T15" s="450"/>
      <c r="U15" s="450"/>
      <c r="V15" s="450"/>
      <c r="W15" s="450"/>
      <c r="X15" s="450"/>
      <c r="Y15" s="450"/>
      <c r="Z15" s="450"/>
      <c r="AA15" s="450"/>
      <c r="AB15" s="450"/>
      <c r="AC15" s="450"/>
      <c r="AD15" s="450"/>
      <c r="AE15" s="450"/>
      <c r="AF15" s="450"/>
      <c r="AG15" s="450"/>
      <c r="AH15" s="450"/>
      <c r="AI15" s="450"/>
      <c r="AJ15" s="450"/>
      <c r="AK15" s="450"/>
      <c r="AL15" s="450"/>
      <c r="AM15" s="450"/>
      <c r="AN15" s="450"/>
      <c r="AO15" s="450"/>
      <c r="AP15" s="450"/>
      <c r="AQ15" s="450"/>
      <c r="AR15" s="450"/>
      <c r="AS15" s="450"/>
      <c r="AT15" s="450"/>
      <c r="AU15" s="450"/>
      <c r="AV15" s="450"/>
      <c r="AW15" s="450"/>
      <c r="AX15" s="450"/>
      <c r="AY15" s="450"/>
      <c r="AZ15" s="450"/>
      <c r="BA15" s="450"/>
      <c r="BB15" s="450"/>
      <c r="BC15" s="450"/>
      <c r="BD15" s="450"/>
      <c r="BE15" s="450"/>
      <c r="BF15" s="450"/>
      <c r="BG15" s="450"/>
      <c r="BH15" s="450"/>
      <c r="BI15" s="450"/>
      <c r="BJ15" s="450"/>
      <c r="BK15" s="450"/>
      <c r="BL15" s="450"/>
      <c r="BM15" s="450"/>
      <c r="BN15" s="450"/>
      <c r="BO15" s="450"/>
      <c r="BP15" s="450"/>
      <c r="BQ15" s="450"/>
      <c r="BR15" s="450"/>
      <c r="BS15" s="450"/>
      <c r="BT15" s="450"/>
      <c r="BU15" s="450"/>
      <c r="BV15" s="450"/>
      <c r="BW15" s="450"/>
      <c r="BX15" s="450"/>
      <c r="BY15" s="450"/>
      <c r="BZ15" s="450"/>
      <c r="CA15" s="450"/>
      <c r="CB15" s="450"/>
      <c r="CC15" s="450"/>
      <c r="CD15" s="450"/>
      <c r="CE15" s="450"/>
      <c r="CF15" s="450"/>
      <c r="CG15" s="450"/>
      <c r="CH15" s="450"/>
    </row>
    <row r="16">
      <c r="A16" s="450"/>
      <c r="B16" s="450"/>
      <c r="C16" s="455"/>
      <c r="D16" s="450"/>
      <c r="E16" s="450"/>
      <c r="F16" s="450"/>
      <c r="G16" s="450"/>
      <c r="H16" s="450"/>
      <c r="I16" s="450"/>
      <c r="J16" s="450"/>
      <c r="K16" s="450"/>
      <c r="L16" s="450"/>
      <c r="M16" s="450"/>
      <c r="N16" s="450"/>
      <c r="O16" s="450"/>
      <c r="P16" s="450"/>
      <c r="Q16" s="450"/>
      <c r="R16" s="450"/>
      <c r="S16" s="450"/>
      <c r="T16" s="450"/>
      <c r="U16" s="450"/>
      <c r="V16" s="450"/>
      <c r="W16" s="450"/>
      <c r="X16" s="450"/>
      <c r="Y16" s="450"/>
      <c r="Z16" s="450"/>
      <c r="AA16" s="450"/>
      <c r="AB16" s="450"/>
      <c r="AC16" s="450"/>
      <c r="AD16" s="450"/>
      <c r="AE16" s="450"/>
      <c r="AF16" s="450"/>
      <c r="AG16" s="450"/>
      <c r="AH16" s="450"/>
      <c r="AI16" s="450"/>
      <c r="AJ16" s="450"/>
      <c r="AK16" s="450"/>
      <c r="AL16" s="450"/>
      <c r="AM16" s="450"/>
      <c r="AN16" s="450"/>
      <c r="AO16" s="450"/>
      <c r="AP16" s="450"/>
      <c r="AQ16" s="450"/>
      <c r="AR16" s="450"/>
      <c r="AS16" s="450"/>
      <c r="AT16" s="450"/>
      <c r="AU16" s="450"/>
      <c r="AV16" s="450"/>
      <c r="AW16" s="450"/>
      <c r="AX16" s="450"/>
      <c r="AY16" s="450"/>
      <c r="AZ16" s="450"/>
      <c r="BA16" s="450"/>
      <c r="BB16" s="450"/>
      <c r="BC16" s="450"/>
      <c r="BD16" s="450"/>
      <c r="BE16" s="450"/>
      <c r="BF16" s="450"/>
      <c r="BG16" s="450"/>
      <c r="BH16" s="450"/>
      <c r="BI16" s="450"/>
      <c r="BJ16" s="450"/>
      <c r="BK16" s="450"/>
      <c r="BL16" s="450"/>
      <c r="BM16" s="450"/>
      <c r="BN16" s="450"/>
      <c r="BO16" s="450"/>
      <c r="BP16" s="450"/>
      <c r="BQ16" s="450"/>
      <c r="BR16" s="450"/>
      <c r="BS16" s="450"/>
      <c r="BT16" s="450"/>
      <c r="BU16" s="450"/>
      <c r="BV16" s="450"/>
      <c r="BW16" s="450"/>
      <c r="BX16" s="450"/>
      <c r="BY16" s="450"/>
      <c r="BZ16" s="450"/>
      <c r="CA16" s="450"/>
      <c r="CB16" s="450"/>
      <c r="CC16" s="450"/>
      <c r="CD16" s="450"/>
      <c r="CE16" s="450"/>
      <c r="CF16" s="450"/>
      <c r="CG16" s="450"/>
      <c r="CH16" s="450"/>
    </row>
    <row r="17">
      <c r="A17" s="450"/>
      <c r="B17" s="450"/>
      <c r="C17" s="455"/>
      <c r="D17" s="450"/>
      <c r="E17" s="450"/>
      <c r="F17" s="450"/>
      <c r="G17" s="450"/>
      <c r="H17" s="450"/>
      <c r="I17" s="450"/>
      <c r="J17" s="450"/>
      <c r="K17" s="450"/>
      <c r="L17" s="450"/>
      <c r="M17" s="450"/>
      <c r="N17" s="450"/>
      <c r="O17" s="450"/>
      <c r="P17" s="450"/>
      <c r="Q17" s="450"/>
      <c r="R17" s="450"/>
      <c r="S17" s="450"/>
      <c r="T17" s="450"/>
      <c r="U17" s="450"/>
      <c r="V17" s="450"/>
      <c r="W17" s="450"/>
      <c r="X17" s="450"/>
      <c r="Y17" s="450"/>
      <c r="Z17" s="450"/>
      <c r="AA17" s="450"/>
      <c r="AB17" s="450"/>
      <c r="AC17" s="450"/>
      <c r="AD17" s="450"/>
      <c r="AE17" s="450"/>
      <c r="AF17" s="450"/>
      <c r="AG17" s="450"/>
      <c r="AH17" s="450"/>
      <c r="AI17" s="450"/>
      <c r="AJ17" s="450"/>
      <c r="AK17" s="450"/>
      <c r="AL17" s="450"/>
      <c r="AM17" s="450"/>
      <c r="AN17" s="450"/>
      <c r="AO17" s="450"/>
      <c r="AP17" s="450"/>
      <c r="AQ17" s="450"/>
      <c r="AR17" s="450"/>
      <c r="AS17" s="450"/>
      <c r="AT17" s="450"/>
      <c r="AU17" s="450"/>
      <c r="AV17" s="450"/>
      <c r="AW17" s="450"/>
      <c r="AX17" s="450"/>
      <c r="AY17" s="450"/>
      <c r="AZ17" s="450"/>
      <c r="BA17" s="450"/>
      <c r="BB17" s="450"/>
      <c r="BC17" s="450"/>
      <c r="BD17" s="450"/>
      <c r="BE17" s="450"/>
      <c r="BF17" s="450"/>
      <c r="BG17" s="450"/>
      <c r="BH17" s="450"/>
      <c r="BI17" s="450"/>
      <c r="BJ17" s="450"/>
      <c r="BK17" s="450"/>
      <c r="BL17" s="450"/>
      <c r="BM17" s="450"/>
      <c r="BN17" s="450"/>
      <c r="BO17" s="450"/>
      <c r="BP17" s="450"/>
      <c r="BQ17" s="450"/>
      <c r="BR17" s="450"/>
      <c r="BS17" s="450"/>
      <c r="BT17" s="450"/>
      <c r="BU17" s="450"/>
      <c r="BV17" s="450"/>
      <c r="BW17" s="450"/>
      <c r="BX17" s="450"/>
      <c r="BY17" s="450"/>
      <c r="BZ17" s="450"/>
      <c r="CA17" s="450"/>
      <c r="CB17" s="450"/>
      <c r="CC17" s="450"/>
      <c r="CD17" s="450"/>
      <c r="CE17" s="450"/>
      <c r="CF17" s="450"/>
      <c r="CG17" s="450"/>
      <c r="CH17" s="450"/>
    </row>
    <row r="18">
      <c r="A18" s="450"/>
      <c r="B18" s="450"/>
      <c r="C18" s="455"/>
      <c r="D18" s="450"/>
      <c r="E18" s="450"/>
      <c r="F18" s="450"/>
      <c r="G18" s="450"/>
      <c r="H18" s="450"/>
      <c r="I18" s="450"/>
      <c r="J18" s="450"/>
      <c r="K18" s="450"/>
      <c r="L18" s="450"/>
      <c r="M18" s="450"/>
      <c r="N18" s="450"/>
      <c r="O18" s="450"/>
      <c r="P18" s="450"/>
      <c r="Q18" s="450"/>
      <c r="R18" s="450"/>
      <c r="S18" s="450"/>
      <c r="T18" s="450"/>
      <c r="U18" s="450"/>
      <c r="V18" s="450"/>
      <c r="W18" s="450"/>
      <c r="X18" s="450"/>
      <c r="Y18" s="450"/>
      <c r="Z18" s="450"/>
      <c r="AA18" s="450"/>
      <c r="AB18" s="450"/>
      <c r="AC18" s="450"/>
      <c r="AD18" s="450"/>
      <c r="AE18" s="450"/>
      <c r="AF18" s="450"/>
      <c r="AG18" s="450"/>
      <c r="AH18" s="450"/>
      <c r="AI18" s="450"/>
      <c r="AJ18" s="450"/>
      <c r="AK18" s="450"/>
      <c r="AL18" s="450"/>
      <c r="AM18" s="450"/>
      <c r="AN18" s="450"/>
      <c r="AO18" s="450"/>
      <c r="AP18" s="450"/>
      <c r="AQ18" s="450"/>
      <c r="AR18" s="450"/>
      <c r="AS18" s="450"/>
      <c r="AT18" s="450"/>
      <c r="AU18" s="450"/>
      <c r="AV18" s="450"/>
      <c r="AW18" s="450"/>
      <c r="AX18" s="450"/>
      <c r="AY18" s="450"/>
      <c r="AZ18" s="450"/>
      <c r="BA18" s="450"/>
      <c r="BB18" s="450"/>
      <c r="BC18" s="450"/>
      <c r="BD18" s="450"/>
      <c r="BE18" s="450"/>
      <c r="BF18" s="450"/>
      <c r="BG18" s="450"/>
      <c r="BH18" s="450"/>
      <c r="BI18" s="450"/>
      <c r="BJ18" s="450"/>
      <c r="BK18" s="450"/>
      <c r="BL18" s="450"/>
      <c r="BM18" s="450"/>
      <c r="BN18" s="450"/>
      <c r="BO18" s="450"/>
      <c r="BP18" s="450"/>
      <c r="BQ18" s="450"/>
      <c r="BR18" s="450"/>
      <c r="BS18" s="450"/>
      <c r="BT18" s="450"/>
      <c r="BU18" s="450"/>
      <c r="BV18" s="450"/>
      <c r="BW18" s="450"/>
      <c r="BX18" s="450"/>
      <c r="BY18" s="450"/>
      <c r="BZ18" s="450"/>
      <c r="CA18" s="450"/>
      <c r="CB18" s="450"/>
      <c r="CC18" s="450"/>
      <c r="CD18" s="450"/>
      <c r="CE18" s="450"/>
      <c r="CF18" s="450"/>
      <c r="CG18" s="450"/>
      <c r="CH18" s="450"/>
    </row>
    <row r="19">
      <c r="A19" s="503" t="s">
        <v>1271</v>
      </c>
      <c r="B19" s="450"/>
      <c r="C19" s="455"/>
      <c r="D19" s="450"/>
      <c r="E19" s="450"/>
      <c r="F19" s="450"/>
      <c r="G19" s="450"/>
      <c r="H19" s="450"/>
      <c r="I19" s="450"/>
      <c r="J19" s="450"/>
      <c r="K19" s="450"/>
      <c r="L19" s="450"/>
      <c r="M19" s="450"/>
      <c r="N19" s="450"/>
      <c r="O19" s="450"/>
      <c r="P19" s="450"/>
      <c r="Q19" s="450"/>
      <c r="R19" s="450"/>
      <c r="S19" s="450"/>
      <c r="T19" s="450"/>
      <c r="U19" s="450"/>
      <c r="V19" s="450"/>
      <c r="W19" s="450"/>
      <c r="X19" s="450"/>
      <c r="Y19" s="450"/>
      <c r="Z19" s="450"/>
      <c r="AA19" s="450"/>
      <c r="AB19" s="450"/>
      <c r="AC19" s="450"/>
      <c r="AD19" s="450"/>
      <c r="AE19" s="450"/>
      <c r="AF19" s="450"/>
      <c r="AG19" s="450"/>
      <c r="AH19" s="450"/>
      <c r="AI19" s="450"/>
      <c r="AJ19" s="450"/>
      <c r="AK19" s="450"/>
      <c r="AL19" s="450"/>
      <c r="AM19" s="450"/>
      <c r="AN19" s="450"/>
      <c r="AO19" s="450"/>
      <c r="AP19" s="450"/>
      <c r="AQ19" s="450"/>
      <c r="AR19" s="450"/>
      <c r="AS19" s="450"/>
      <c r="AT19" s="450"/>
      <c r="AU19" s="450"/>
      <c r="AV19" s="450"/>
      <c r="AW19" s="450"/>
      <c r="AX19" s="450"/>
      <c r="AY19" s="450"/>
      <c r="AZ19" s="450"/>
      <c r="BA19" s="450"/>
      <c r="BB19" s="450"/>
      <c r="BC19" s="450"/>
      <c r="BD19" s="450"/>
      <c r="BE19" s="450"/>
      <c r="BF19" s="450"/>
      <c r="BG19" s="450"/>
      <c r="BH19" s="450"/>
      <c r="BI19" s="450"/>
      <c r="BJ19" s="450"/>
      <c r="BK19" s="450"/>
      <c r="BL19" s="450"/>
      <c r="BM19" s="450"/>
      <c r="BN19" s="450"/>
      <c r="BO19" s="450"/>
      <c r="BP19" s="450"/>
      <c r="BQ19" s="450"/>
      <c r="BR19" s="450"/>
      <c r="BS19" s="450"/>
      <c r="BT19" s="450"/>
      <c r="BU19" s="450"/>
      <c r="BV19" s="450"/>
      <c r="BW19" s="450"/>
      <c r="BX19" s="450"/>
      <c r="BY19" s="450"/>
      <c r="BZ19" s="450"/>
      <c r="CA19" s="450"/>
      <c r="CB19" s="450"/>
      <c r="CC19" s="450"/>
      <c r="CD19" s="450"/>
      <c r="CE19" s="450"/>
      <c r="CF19" s="450"/>
      <c r="CG19" s="450"/>
      <c r="CH19" s="450"/>
    </row>
    <row r="20">
      <c r="A20" s="450"/>
      <c r="B20" s="450"/>
      <c r="C20" s="455"/>
      <c r="D20" s="450"/>
      <c r="E20" s="450"/>
      <c r="F20" s="450"/>
      <c r="G20" s="450"/>
      <c r="H20" s="450"/>
      <c r="I20" s="450"/>
      <c r="J20" s="450"/>
      <c r="K20" s="450"/>
      <c r="L20" s="450"/>
      <c r="M20" s="450"/>
      <c r="N20" s="450"/>
      <c r="O20" s="450"/>
      <c r="P20" s="450"/>
      <c r="Q20" s="450"/>
      <c r="R20" s="450"/>
      <c r="S20" s="450"/>
      <c r="T20" s="450"/>
      <c r="U20" s="450"/>
      <c r="V20" s="450"/>
      <c r="W20" s="450"/>
      <c r="X20" s="450"/>
      <c r="Y20" s="450"/>
      <c r="Z20" s="450"/>
      <c r="AA20" s="450"/>
      <c r="AB20" s="450"/>
      <c r="AC20" s="450"/>
      <c r="AD20" s="450"/>
      <c r="AE20" s="450"/>
      <c r="AF20" s="450"/>
      <c r="AG20" s="450"/>
      <c r="AH20" s="450"/>
      <c r="AI20" s="450"/>
      <c r="AJ20" s="450"/>
      <c r="AK20" s="450"/>
      <c r="AL20" s="450"/>
      <c r="AM20" s="450"/>
      <c r="AN20" s="450"/>
      <c r="AO20" s="450"/>
      <c r="AP20" s="450"/>
      <c r="AQ20" s="450"/>
      <c r="AR20" s="450"/>
      <c r="AS20" s="450"/>
      <c r="AT20" s="450"/>
      <c r="AU20" s="450"/>
      <c r="AV20" s="450"/>
      <c r="AW20" s="450"/>
      <c r="AX20" s="450"/>
      <c r="AY20" s="450"/>
      <c r="AZ20" s="450"/>
      <c r="BA20" s="450"/>
      <c r="BB20" s="450"/>
      <c r="BC20" s="450"/>
      <c r="BD20" s="450"/>
      <c r="BE20" s="450"/>
      <c r="BF20" s="450"/>
      <c r="BG20" s="450"/>
      <c r="BH20" s="450"/>
      <c r="BI20" s="450"/>
      <c r="BJ20" s="450"/>
      <c r="BK20" s="450"/>
      <c r="BL20" s="450"/>
      <c r="BM20" s="450"/>
      <c r="BN20" s="450"/>
      <c r="BO20" s="450"/>
      <c r="BP20" s="450"/>
      <c r="BQ20" s="450"/>
      <c r="BR20" s="450"/>
      <c r="BS20" s="450"/>
      <c r="BT20" s="450"/>
      <c r="BU20" s="450"/>
      <c r="BV20" s="450"/>
      <c r="BW20" s="450"/>
      <c r="BX20" s="450"/>
      <c r="BY20" s="450"/>
      <c r="BZ20" s="450"/>
      <c r="CA20" s="450"/>
      <c r="CB20" s="450"/>
      <c r="CC20" s="450"/>
      <c r="CD20" s="450"/>
      <c r="CE20" s="450"/>
      <c r="CF20" s="450"/>
      <c r="CG20" s="450"/>
      <c r="CH20" s="450"/>
    </row>
    <row r="21">
      <c r="D21" s="450"/>
      <c r="E21" s="450"/>
      <c r="F21" s="450"/>
      <c r="G21" s="450"/>
      <c r="H21" s="450"/>
      <c r="I21" s="450"/>
      <c r="J21" s="450"/>
      <c r="K21" s="450"/>
      <c r="L21" s="450"/>
      <c r="M21" s="450"/>
      <c r="N21" s="450"/>
      <c r="O21" s="450"/>
      <c r="P21" s="450"/>
      <c r="Q21" s="450"/>
      <c r="R21" s="450"/>
      <c r="S21" s="450"/>
      <c r="T21" s="450"/>
      <c r="U21" s="450"/>
      <c r="V21" s="450"/>
      <c r="W21" s="450"/>
      <c r="X21" s="450"/>
      <c r="Y21" s="450"/>
      <c r="Z21" s="450"/>
      <c r="AA21" s="450"/>
      <c r="AB21" s="450"/>
      <c r="AC21" s="450"/>
      <c r="AD21" s="450"/>
      <c r="AE21" s="450"/>
      <c r="AF21" s="450"/>
      <c r="AG21" s="450"/>
      <c r="AH21" s="450"/>
      <c r="AI21" s="450"/>
      <c r="AJ21" s="450"/>
      <c r="AK21" s="450"/>
      <c r="AL21" s="450"/>
      <c r="AM21" s="450"/>
      <c r="AN21" s="450"/>
      <c r="AO21" s="450"/>
      <c r="AP21" s="450"/>
      <c r="AQ21" s="450"/>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0"/>
      <c r="BS21" s="450"/>
      <c r="BT21" s="450"/>
      <c r="BU21" s="450"/>
      <c r="BV21" s="450"/>
      <c r="BW21" s="450"/>
      <c r="BX21" s="450"/>
      <c r="BY21" s="450"/>
      <c r="BZ21" s="450"/>
      <c r="CA21" s="450"/>
      <c r="CB21" s="450"/>
      <c r="CC21" s="450"/>
      <c r="CD21" s="450"/>
      <c r="CE21" s="450"/>
      <c r="CF21" s="450"/>
      <c r="CG21" s="450"/>
      <c r="CH21" s="450"/>
    </row>
    <row r="22">
      <c r="D22" s="455"/>
      <c r="E22" s="450"/>
      <c r="F22" s="504"/>
      <c r="G22" s="491"/>
      <c r="H22" s="450"/>
      <c r="I22" s="450"/>
      <c r="J22" s="450"/>
      <c r="K22" s="450"/>
      <c r="L22" s="450"/>
      <c r="M22" s="450"/>
      <c r="N22" s="450"/>
      <c r="O22" s="450"/>
      <c r="P22" s="450"/>
      <c r="Q22" s="450"/>
      <c r="R22" s="450"/>
      <c r="S22" s="450"/>
      <c r="T22" s="450"/>
      <c r="U22" s="450"/>
      <c r="V22" s="450"/>
      <c r="W22" s="450"/>
      <c r="X22" s="450"/>
      <c r="Y22" s="450"/>
      <c r="Z22" s="450"/>
      <c r="AA22" s="450"/>
      <c r="AB22" s="450"/>
      <c r="AC22" s="450"/>
      <c r="AD22" s="450"/>
      <c r="AE22" s="450"/>
      <c r="AF22" s="450"/>
      <c r="AG22" s="450"/>
      <c r="AH22" s="450"/>
      <c r="AI22" s="450"/>
      <c r="AJ22" s="450"/>
      <c r="AK22" s="450"/>
      <c r="AL22" s="450"/>
      <c r="AM22" s="450"/>
      <c r="AN22" s="450"/>
      <c r="AO22" s="450"/>
      <c r="AP22" s="450"/>
      <c r="AQ22" s="450"/>
      <c r="AR22" s="450"/>
      <c r="AS22" s="450"/>
      <c r="AT22" s="450"/>
      <c r="AU22" s="450"/>
      <c r="AV22" s="450"/>
      <c r="AW22" s="450"/>
      <c r="AX22" s="450"/>
      <c r="AY22" s="450"/>
      <c r="AZ22" s="450"/>
      <c r="BA22" s="450"/>
      <c r="BB22" s="450"/>
      <c r="BC22" s="450"/>
      <c r="BD22" s="450"/>
      <c r="BE22" s="450"/>
      <c r="BF22" s="450"/>
      <c r="BG22" s="450"/>
      <c r="BH22" s="450"/>
      <c r="BI22" s="450"/>
      <c r="BJ22" s="450"/>
      <c r="BK22" s="450"/>
      <c r="BL22" s="450"/>
      <c r="BM22" s="450"/>
      <c r="BN22" s="450"/>
      <c r="BO22" s="450"/>
      <c r="BP22" s="450"/>
      <c r="BQ22" s="450"/>
      <c r="BR22" s="450"/>
      <c r="BS22" s="450"/>
      <c r="BT22" s="450"/>
      <c r="BU22" s="450"/>
      <c r="BV22" s="450"/>
      <c r="BW22" s="450"/>
      <c r="BX22" s="450"/>
      <c r="BY22" s="450"/>
      <c r="BZ22" s="450"/>
      <c r="CA22" s="450"/>
      <c r="CB22" s="450"/>
      <c r="CC22" s="450"/>
      <c r="CD22" s="450"/>
      <c r="CE22" s="450"/>
      <c r="CF22" s="450"/>
      <c r="CG22" s="450"/>
      <c r="CH22" s="450"/>
    </row>
    <row r="23">
      <c r="D23" s="450"/>
      <c r="E23" s="504"/>
      <c r="F23" s="491"/>
      <c r="G23" s="491"/>
      <c r="H23" s="450"/>
      <c r="I23" s="450"/>
      <c r="J23" s="450"/>
      <c r="K23" s="450"/>
      <c r="L23" s="450"/>
      <c r="M23" s="450"/>
      <c r="N23" s="450"/>
      <c r="O23" s="450"/>
      <c r="P23" s="450"/>
      <c r="Q23" s="450"/>
      <c r="R23" s="450"/>
      <c r="S23" s="450"/>
      <c r="T23" s="450"/>
      <c r="U23" s="450"/>
      <c r="V23" s="450"/>
      <c r="W23" s="450"/>
      <c r="X23" s="450"/>
      <c r="Y23" s="450"/>
      <c r="Z23" s="450"/>
      <c r="AA23" s="450"/>
      <c r="AB23" s="450"/>
      <c r="AC23" s="450"/>
      <c r="AD23" s="450"/>
      <c r="AE23" s="450"/>
      <c r="AF23" s="450"/>
      <c r="AG23" s="450"/>
      <c r="AH23" s="450"/>
      <c r="AI23" s="450"/>
      <c r="AJ23" s="450"/>
      <c r="AK23" s="450"/>
      <c r="AL23" s="450"/>
      <c r="AM23" s="450"/>
      <c r="AN23" s="450"/>
      <c r="AO23" s="450"/>
      <c r="AP23" s="450"/>
      <c r="AQ23" s="450"/>
      <c r="AR23" s="450"/>
      <c r="AS23" s="450"/>
      <c r="AT23" s="450"/>
      <c r="AU23" s="450"/>
      <c r="AV23" s="450"/>
      <c r="AW23" s="450"/>
      <c r="AX23" s="450"/>
      <c r="AY23" s="450"/>
      <c r="AZ23" s="450"/>
      <c r="BA23" s="450"/>
      <c r="BB23" s="450"/>
      <c r="BC23" s="450"/>
      <c r="BD23" s="450"/>
      <c r="BE23" s="450"/>
      <c r="BF23" s="450"/>
      <c r="BG23" s="450"/>
      <c r="BH23" s="450"/>
      <c r="BI23" s="450"/>
      <c r="BJ23" s="450"/>
      <c r="BK23" s="450"/>
      <c r="BL23" s="450"/>
      <c r="BM23" s="450"/>
      <c r="BN23" s="450"/>
      <c r="BO23" s="450"/>
      <c r="BP23" s="450"/>
      <c r="BQ23" s="450"/>
      <c r="BR23" s="450"/>
      <c r="BS23" s="450"/>
      <c r="BT23" s="450"/>
      <c r="BU23" s="450"/>
      <c r="BV23" s="450"/>
      <c r="BW23" s="450"/>
      <c r="BX23" s="450"/>
      <c r="BY23" s="450"/>
      <c r="BZ23" s="450"/>
      <c r="CA23" s="450"/>
      <c r="CB23" s="450"/>
      <c r="CC23" s="450"/>
      <c r="CD23" s="450"/>
      <c r="CE23" s="450"/>
      <c r="CF23" s="450"/>
      <c r="CG23" s="450"/>
      <c r="CH23" s="450"/>
    </row>
    <row r="24">
      <c r="D24" s="450"/>
      <c r="E24" s="504"/>
      <c r="F24" s="491"/>
      <c r="G24" s="491"/>
      <c r="H24" s="450"/>
      <c r="I24" s="450"/>
      <c r="J24" s="450"/>
      <c r="K24" s="450"/>
      <c r="L24" s="450"/>
      <c r="M24" s="450"/>
      <c r="N24" s="450"/>
      <c r="O24" s="450"/>
      <c r="P24" s="450"/>
      <c r="Q24" s="450"/>
      <c r="R24" s="450"/>
      <c r="S24" s="450"/>
      <c r="T24" s="450"/>
      <c r="U24" s="450"/>
      <c r="V24" s="450"/>
      <c r="W24" s="450"/>
      <c r="X24" s="450"/>
      <c r="Y24" s="450"/>
      <c r="Z24" s="450"/>
      <c r="AA24" s="450"/>
      <c r="AB24" s="450"/>
      <c r="AC24" s="450"/>
      <c r="AD24" s="450"/>
      <c r="AE24" s="450"/>
      <c r="AF24" s="450"/>
      <c r="AG24" s="450"/>
      <c r="AH24" s="450"/>
      <c r="AI24" s="450"/>
      <c r="AJ24" s="450"/>
      <c r="AK24" s="450"/>
      <c r="AL24" s="450"/>
      <c r="AM24" s="450"/>
      <c r="AN24" s="450"/>
      <c r="AO24" s="450"/>
      <c r="AP24" s="450"/>
      <c r="AQ24" s="450"/>
      <c r="AR24" s="450"/>
      <c r="AS24" s="450"/>
      <c r="AT24" s="450"/>
      <c r="AU24" s="450"/>
      <c r="AV24" s="450"/>
      <c r="AW24" s="450"/>
      <c r="AX24" s="450"/>
      <c r="AY24" s="450"/>
      <c r="AZ24" s="450"/>
      <c r="BA24" s="450"/>
      <c r="BB24" s="450"/>
      <c r="BC24" s="450"/>
      <c r="BD24" s="450"/>
      <c r="BE24" s="450"/>
      <c r="BF24" s="450"/>
      <c r="BG24" s="450"/>
      <c r="BH24" s="450"/>
      <c r="BI24" s="450"/>
      <c r="BJ24" s="450"/>
      <c r="BK24" s="450"/>
      <c r="BL24" s="450"/>
      <c r="BM24" s="450"/>
      <c r="BN24" s="450"/>
      <c r="BO24" s="450"/>
      <c r="BP24" s="450"/>
      <c r="BQ24" s="450"/>
      <c r="BR24" s="450"/>
      <c r="BS24" s="450"/>
      <c r="BT24" s="450"/>
      <c r="BU24" s="450"/>
      <c r="BV24" s="450"/>
      <c r="BW24" s="450"/>
      <c r="BX24" s="450"/>
      <c r="BY24" s="450"/>
      <c r="BZ24" s="450"/>
      <c r="CA24" s="450"/>
      <c r="CB24" s="450"/>
      <c r="CC24" s="450"/>
      <c r="CD24" s="450"/>
      <c r="CE24" s="450"/>
      <c r="CF24" s="450"/>
      <c r="CG24" s="450"/>
      <c r="CH24" s="450"/>
    </row>
    <row r="25">
      <c r="D25" s="450"/>
      <c r="E25" s="504"/>
      <c r="F25" s="491"/>
      <c r="G25" s="491"/>
      <c r="H25" s="450"/>
      <c r="I25" s="450"/>
      <c r="J25" s="450"/>
      <c r="K25" s="450"/>
      <c r="L25" s="450"/>
      <c r="M25" s="450"/>
      <c r="N25" s="450"/>
      <c r="O25" s="450"/>
      <c r="P25" s="450"/>
      <c r="Q25" s="450"/>
      <c r="R25" s="450"/>
      <c r="S25" s="450"/>
      <c r="T25" s="450"/>
      <c r="U25" s="450"/>
      <c r="V25" s="450"/>
      <c r="W25" s="450"/>
      <c r="X25" s="450"/>
      <c r="Y25" s="450"/>
      <c r="Z25" s="450"/>
      <c r="AA25" s="450"/>
      <c r="AB25" s="450"/>
      <c r="AC25" s="450"/>
      <c r="AD25" s="450"/>
      <c r="AE25" s="450"/>
      <c r="AF25" s="450"/>
      <c r="AG25" s="450"/>
      <c r="AH25" s="450"/>
      <c r="AI25" s="450"/>
      <c r="AJ25" s="450"/>
      <c r="AK25" s="450"/>
      <c r="AL25" s="450"/>
      <c r="AM25" s="450"/>
      <c r="AN25" s="450"/>
      <c r="AO25" s="450"/>
      <c r="AP25" s="450"/>
      <c r="AQ25" s="450"/>
      <c r="AR25" s="450"/>
      <c r="AS25" s="450"/>
      <c r="AT25" s="450"/>
      <c r="AU25" s="450"/>
      <c r="AV25" s="450"/>
      <c r="AW25" s="450"/>
      <c r="AX25" s="450"/>
      <c r="AY25" s="450"/>
      <c r="AZ25" s="450"/>
      <c r="BA25" s="450"/>
      <c r="BB25" s="450"/>
      <c r="BC25" s="450"/>
      <c r="BD25" s="450"/>
      <c r="BE25" s="450"/>
      <c r="BF25" s="450"/>
      <c r="BG25" s="450"/>
      <c r="BH25" s="450"/>
      <c r="BI25" s="450"/>
      <c r="BJ25" s="450"/>
      <c r="BK25" s="450"/>
      <c r="BL25" s="450"/>
      <c r="BM25" s="450"/>
      <c r="BN25" s="450"/>
      <c r="BO25" s="450"/>
      <c r="BP25" s="450"/>
      <c r="BQ25" s="450"/>
      <c r="BR25" s="450"/>
      <c r="BS25" s="450"/>
      <c r="BT25" s="450"/>
      <c r="BU25" s="450"/>
      <c r="BV25" s="450"/>
      <c r="BW25" s="450"/>
      <c r="BX25" s="450"/>
      <c r="BY25" s="450"/>
      <c r="BZ25" s="450"/>
      <c r="CA25" s="450"/>
      <c r="CB25" s="450"/>
      <c r="CC25" s="450"/>
      <c r="CD25" s="450"/>
      <c r="CE25" s="450"/>
      <c r="CF25" s="450"/>
      <c r="CG25" s="450"/>
      <c r="CH25" s="450"/>
    </row>
    <row r="26">
      <c r="D26" s="450"/>
      <c r="E26" s="504"/>
      <c r="F26" s="491"/>
      <c r="G26" s="491"/>
      <c r="H26" s="450"/>
      <c r="I26" s="450"/>
      <c r="J26" s="450"/>
      <c r="K26" s="450"/>
      <c r="L26" s="450"/>
      <c r="M26" s="450"/>
      <c r="N26" s="450"/>
      <c r="O26" s="450"/>
      <c r="P26" s="450"/>
      <c r="Q26" s="450"/>
      <c r="R26" s="450"/>
      <c r="S26" s="450"/>
      <c r="T26" s="450"/>
      <c r="U26" s="450"/>
      <c r="V26" s="450"/>
      <c r="W26" s="450"/>
      <c r="X26" s="450"/>
      <c r="Y26" s="450"/>
      <c r="Z26" s="450"/>
      <c r="AA26" s="450"/>
      <c r="AB26" s="450"/>
      <c r="AC26" s="450"/>
      <c r="AD26" s="450"/>
      <c r="AE26" s="450"/>
      <c r="AF26" s="450"/>
      <c r="AG26" s="450"/>
      <c r="AH26" s="450"/>
      <c r="AI26" s="450"/>
      <c r="AJ26" s="450"/>
      <c r="AK26" s="450"/>
      <c r="AL26" s="450"/>
      <c r="AM26" s="450"/>
      <c r="AN26" s="450"/>
      <c r="AO26" s="450"/>
      <c r="AP26" s="450"/>
      <c r="AQ26" s="450"/>
      <c r="AR26" s="450"/>
      <c r="AS26" s="450"/>
      <c r="AT26" s="450"/>
      <c r="AU26" s="450"/>
      <c r="AV26" s="450"/>
      <c r="AW26" s="450"/>
      <c r="AX26" s="450"/>
      <c r="AY26" s="450"/>
      <c r="AZ26" s="450"/>
      <c r="BA26" s="450"/>
      <c r="BB26" s="450"/>
      <c r="BC26" s="450"/>
      <c r="BD26" s="450"/>
      <c r="BE26" s="450"/>
      <c r="BF26" s="450"/>
      <c r="BG26" s="450"/>
      <c r="BH26" s="450"/>
      <c r="BI26" s="450"/>
      <c r="BJ26" s="450"/>
      <c r="BK26" s="450"/>
      <c r="BL26" s="450"/>
      <c r="BM26" s="450"/>
      <c r="BN26" s="450"/>
      <c r="BO26" s="450"/>
      <c r="BP26" s="450"/>
      <c r="BQ26" s="450"/>
      <c r="BR26" s="450"/>
      <c r="BS26" s="450"/>
      <c r="BT26" s="450"/>
      <c r="BU26" s="450"/>
      <c r="BV26" s="450"/>
      <c r="BW26" s="450"/>
      <c r="BX26" s="450"/>
      <c r="BY26" s="450"/>
      <c r="BZ26" s="450"/>
      <c r="CA26" s="450"/>
      <c r="CB26" s="450"/>
      <c r="CC26" s="450"/>
      <c r="CD26" s="450"/>
      <c r="CE26" s="450"/>
      <c r="CF26" s="450"/>
      <c r="CG26" s="450"/>
      <c r="CH26" s="450"/>
    </row>
    <row r="27">
      <c r="D27" s="450"/>
      <c r="E27" s="504"/>
      <c r="F27" s="491"/>
      <c r="G27" s="491"/>
      <c r="H27" s="450"/>
      <c r="I27" s="450"/>
      <c r="J27" s="450"/>
      <c r="K27" s="450"/>
      <c r="L27" s="450"/>
      <c r="M27" s="450"/>
      <c r="N27" s="450"/>
      <c r="O27" s="450"/>
      <c r="P27" s="450"/>
      <c r="Q27" s="450"/>
      <c r="R27" s="450"/>
      <c r="S27" s="450"/>
      <c r="T27" s="450"/>
      <c r="U27" s="450"/>
      <c r="V27" s="450"/>
      <c r="W27" s="450"/>
      <c r="X27" s="450"/>
      <c r="Y27" s="450"/>
      <c r="Z27" s="450"/>
      <c r="AA27" s="450"/>
      <c r="AB27" s="450"/>
      <c r="AC27" s="450"/>
      <c r="AD27" s="450"/>
      <c r="AE27" s="450"/>
      <c r="AF27" s="450"/>
      <c r="AG27" s="450"/>
      <c r="AH27" s="450"/>
      <c r="AI27" s="450"/>
      <c r="AJ27" s="450"/>
      <c r="AK27" s="450"/>
      <c r="AL27" s="450"/>
      <c r="AM27" s="450"/>
      <c r="AN27" s="450"/>
      <c r="AO27" s="450"/>
      <c r="AP27" s="450"/>
      <c r="AQ27" s="450"/>
      <c r="AR27" s="450"/>
      <c r="AS27" s="450"/>
      <c r="AT27" s="450"/>
      <c r="AU27" s="450"/>
      <c r="AV27" s="450"/>
      <c r="AW27" s="450"/>
      <c r="AX27" s="450"/>
      <c r="AY27" s="450"/>
      <c r="AZ27" s="450"/>
      <c r="BA27" s="450"/>
      <c r="BB27" s="450"/>
      <c r="BC27" s="450"/>
      <c r="BD27" s="450"/>
      <c r="BE27" s="450"/>
      <c r="BF27" s="450"/>
      <c r="BG27" s="450"/>
      <c r="BH27" s="450"/>
      <c r="BI27" s="450"/>
      <c r="BJ27" s="450"/>
      <c r="BK27" s="450"/>
      <c r="BL27" s="450"/>
      <c r="BM27" s="450"/>
      <c r="BN27" s="450"/>
      <c r="BO27" s="450"/>
      <c r="BP27" s="450"/>
      <c r="BQ27" s="450"/>
      <c r="BR27" s="450"/>
      <c r="BS27" s="450"/>
      <c r="BT27" s="450"/>
      <c r="BU27" s="450"/>
      <c r="BV27" s="450"/>
      <c r="BW27" s="450"/>
      <c r="BX27" s="450"/>
      <c r="BY27" s="450"/>
      <c r="BZ27" s="450"/>
      <c r="CA27" s="450"/>
      <c r="CB27" s="450"/>
      <c r="CC27" s="450"/>
      <c r="CD27" s="450"/>
      <c r="CE27" s="450"/>
      <c r="CF27" s="450"/>
      <c r="CG27" s="450"/>
      <c r="CH27" s="450"/>
    </row>
    <row r="28">
      <c r="D28" s="450"/>
      <c r="E28" s="504"/>
      <c r="F28" s="491"/>
      <c r="G28" s="491"/>
      <c r="H28" s="450"/>
      <c r="I28" s="450"/>
      <c r="J28" s="450"/>
      <c r="K28" s="450"/>
      <c r="L28" s="450"/>
      <c r="M28" s="450"/>
      <c r="N28" s="450"/>
      <c r="O28" s="450"/>
      <c r="P28" s="450"/>
      <c r="Q28" s="450"/>
      <c r="R28" s="450"/>
      <c r="S28" s="450"/>
      <c r="T28" s="450"/>
      <c r="U28" s="450"/>
      <c r="V28" s="450"/>
      <c r="W28" s="450"/>
      <c r="X28" s="450"/>
      <c r="Y28" s="450"/>
      <c r="Z28" s="450"/>
      <c r="AA28" s="450"/>
      <c r="AB28" s="450"/>
      <c r="AC28" s="450"/>
      <c r="AD28" s="450"/>
      <c r="AE28" s="450"/>
      <c r="AF28" s="450"/>
      <c r="AG28" s="450"/>
      <c r="AH28" s="450"/>
      <c r="AI28" s="450"/>
      <c r="AJ28" s="450"/>
      <c r="AK28" s="450"/>
      <c r="AL28" s="450"/>
      <c r="AM28" s="450"/>
      <c r="AN28" s="450"/>
      <c r="AO28" s="450"/>
      <c r="AP28" s="450"/>
      <c r="AQ28" s="450"/>
      <c r="AR28" s="450"/>
      <c r="AS28" s="450"/>
      <c r="AT28" s="450"/>
      <c r="AU28" s="450"/>
      <c r="AV28" s="450"/>
      <c r="AW28" s="450"/>
      <c r="AX28" s="450"/>
      <c r="AY28" s="450"/>
      <c r="AZ28" s="450"/>
      <c r="BA28" s="450"/>
      <c r="BB28" s="450"/>
      <c r="BC28" s="450"/>
      <c r="BD28" s="450"/>
      <c r="BE28" s="450"/>
      <c r="BF28" s="450"/>
      <c r="BG28" s="450"/>
      <c r="BH28" s="450"/>
      <c r="BI28" s="450"/>
      <c r="BJ28" s="450"/>
      <c r="BK28" s="450"/>
      <c r="BL28" s="450"/>
      <c r="BM28" s="450"/>
      <c r="BN28" s="450"/>
      <c r="BO28" s="450"/>
      <c r="BP28" s="450"/>
      <c r="BQ28" s="450"/>
      <c r="BR28" s="450"/>
      <c r="BS28" s="450"/>
      <c r="BT28" s="450"/>
      <c r="BU28" s="450"/>
      <c r="BV28" s="450"/>
      <c r="BW28" s="450"/>
      <c r="BX28" s="450"/>
      <c r="BY28" s="450"/>
      <c r="BZ28" s="450"/>
      <c r="CA28" s="450"/>
      <c r="CB28" s="450"/>
      <c r="CC28" s="450"/>
      <c r="CD28" s="450"/>
      <c r="CE28" s="450"/>
      <c r="CF28" s="450"/>
      <c r="CG28" s="450"/>
      <c r="CH28" s="450"/>
    </row>
    <row r="29">
      <c r="D29" s="450"/>
      <c r="E29" s="504"/>
      <c r="F29" s="491"/>
      <c r="G29" s="491"/>
      <c r="H29" s="450"/>
      <c r="I29" s="450"/>
      <c r="J29" s="450"/>
      <c r="K29" s="450"/>
      <c r="L29" s="450"/>
      <c r="M29" s="450"/>
      <c r="N29" s="450"/>
      <c r="O29" s="450"/>
      <c r="P29" s="450"/>
      <c r="Q29" s="450"/>
      <c r="R29" s="450"/>
      <c r="S29" s="450"/>
      <c r="T29" s="450"/>
      <c r="U29" s="450"/>
      <c r="V29" s="450"/>
      <c r="W29" s="450"/>
      <c r="X29" s="450"/>
      <c r="Y29" s="450"/>
      <c r="Z29" s="450"/>
      <c r="AA29" s="450"/>
      <c r="AB29" s="450"/>
      <c r="AC29" s="450"/>
      <c r="AD29" s="450"/>
      <c r="AE29" s="450"/>
      <c r="AF29" s="450"/>
      <c r="AG29" s="450"/>
      <c r="AH29" s="450"/>
      <c r="AI29" s="450"/>
      <c r="AJ29" s="450"/>
      <c r="AK29" s="450"/>
      <c r="AL29" s="450"/>
      <c r="AM29" s="450"/>
      <c r="AN29" s="450"/>
      <c r="AO29" s="450"/>
      <c r="AP29" s="450"/>
      <c r="AQ29" s="450"/>
      <c r="AR29" s="450"/>
      <c r="AS29" s="450"/>
      <c r="AT29" s="450"/>
      <c r="AU29" s="450"/>
      <c r="AV29" s="450"/>
      <c r="AW29" s="450"/>
      <c r="AX29" s="450"/>
      <c r="AY29" s="450"/>
      <c r="AZ29" s="450"/>
      <c r="BA29" s="450"/>
      <c r="BB29" s="450"/>
      <c r="BC29" s="450"/>
      <c r="BD29" s="450"/>
      <c r="BE29" s="450"/>
      <c r="BF29" s="450"/>
      <c r="BG29" s="450"/>
      <c r="BH29" s="450"/>
      <c r="BI29" s="450"/>
      <c r="BJ29" s="450"/>
      <c r="BK29" s="450"/>
      <c r="BL29" s="450"/>
      <c r="BM29" s="450"/>
      <c r="BN29" s="450"/>
      <c r="BO29" s="450"/>
      <c r="BP29" s="450"/>
      <c r="BQ29" s="450"/>
      <c r="BR29" s="450"/>
      <c r="BS29" s="450"/>
      <c r="BT29" s="450"/>
      <c r="BU29" s="450"/>
      <c r="BV29" s="450"/>
      <c r="BW29" s="450"/>
      <c r="BX29" s="450"/>
      <c r="BY29" s="450"/>
      <c r="BZ29" s="450"/>
      <c r="CA29" s="450"/>
      <c r="CB29" s="450"/>
      <c r="CC29" s="450"/>
      <c r="CD29" s="450"/>
      <c r="CE29" s="450"/>
      <c r="CF29" s="450"/>
      <c r="CG29" s="450"/>
      <c r="CH29" s="450"/>
    </row>
    <row r="30">
      <c r="D30" s="450"/>
      <c r="E30" s="504"/>
      <c r="F30" s="491"/>
      <c r="G30" s="491"/>
      <c r="H30" s="450"/>
      <c r="I30" s="450"/>
      <c r="J30" s="450"/>
      <c r="K30" s="450"/>
      <c r="L30" s="450"/>
      <c r="M30" s="450"/>
      <c r="N30" s="450"/>
      <c r="O30" s="450"/>
      <c r="P30" s="450"/>
      <c r="Q30" s="450"/>
      <c r="R30" s="450"/>
      <c r="S30" s="450"/>
      <c r="T30" s="450"/>
      <c r="U30" s="450"/>
      <c r="V30" s="450"/>
      <c r="W30" s="450"/>
      <c r="X30" s="450"/>
      <c r="Y30" s="450"/>
      <c r="Z30" s="450"/>
      <c r="AA30" s="450"/>
      <c r="AB30" s="450"/>
      <c r="AC30" s="450"/>
      <c r="AD30" s="450"/>
      <c r="AE30" s="450"/>
      <c r="AF30" s="450"/>
      <c r="AG30" s="450"/>
      <c r="AH30" s="450"/>
      <c r="AI30" s="450"/>
      <c r="AJ30" s="450"/>
      <c r="AK30" s="450"/>
      <c r="AL30" s="450"/>
      <c r="AM30" s="450"/>
      <c r="AN30" s="450"/>
      <c r="AO30" s="450"/>
      <c r="AP30" s="450"/>
      <c r="AQ30" s="450"/>
      <c r="AR30" s="450"/>
      <c r="AS30" s="450"/>
      <c r="AT30" s="450"/>
      <c r="AU30" s="450"/>
      <c r="AV30" s="450"/>
      <c r="AW30" s="450"/>
      <c r="AX30" s="450"/>
      <c r="AY30" s="450"/>
      <c r="AZ30" s="450"/>
      <c r="BA30" s="450"/>
      <c r="BB30" s="450"/>
      <c r="BC30" s="450"/>
      <c r="BD30" s="450"/>
      <c r="BE30" s="450"/>
      <c r="BF30" s="450"/>
      <c r="BG30" s="450"/>
      <c r="BH30" s="450"/>
      <c r="BI30" s="450"/>
      <c r="BJ30" s="450"/>
      <c r="BK30" s="450"/>
      <c r="BL30" s="450"/>
      <c r="BM30" s="450"/>
      <c r="BN30" s="450"/>
      <c r="BO30" s="450"/>
      <c r="BP30" s="450"/>
      <c r="BQ30" s="450"/>
      <c r="BR30" s="450"/>
      <c r="BS30" s="450"/>
      <c r="BT30" s="450"/>
      <c r="BU30" s="450"/>
      <c r="BV30" s="450"/>
      <c r="BW30" s="450"/>
      <c r="BX30" s="450"/>
      <c r="BY30" s="450"/>
      <c r="BZ30" s="450"/>
      <c r="CA30" s="450"/>
      <c r="CB30" s="450"/>
      <c r="CC30" s="450"/>
      <c r="CD30" s="450"/>
      <c r="CE30" s="450"/>
      <c r="CF30" s="450"/>
      <c r="CG30" s="450"/>
      <c r="CH30" s="450"/>
    </row>
    <row r="31">
      <c r="D31" s="450"/>
      <c r="E31" s="504"/>
      <c r="F31" s="491"/>
      <c r="G31" s="491"/>
      <c r="H31" s="450"/>
      <c r="I31" s="450"/>
      <c r="J31" s="450"/>
      <c r="K31" s="450"/>
      <c r="L31" s="450"/>
      <c r="M31" s="450"/>
      <c r="N31" s="450"/>
      <c r="O31" s="450"/>
      <c r="P31" s="450"/>
      <c r="Q31" s="450"/>
      <c r="R31" s="450"/>
      <c r="S31" s="450"/>
      <c r="T31" s="450"/>
      <c r="U31" s="450"/>
      <c r="V31" s="450"/>
      <c r="W31" s="450"/>
      <c r="X31" s="450"/>
      <c r="Y31" s="450"/>
      <c r="Z31" s="450"/>
      <c r="AA31" s="450"/>
      <c r="AB31" s="450"/>
      <c r="AC31" s="450"/>
      <c r="AD31" s="450"/>
      <c r="AE31" s="450"/>
      <c r="AF31" s="450"/>
      <c r="AG31" s="450"/>
      <c r="AH31" s="450"/>
      <c r="AI31" s="450"/>
      <c r="AJ31" s="450"/>
      <c r="AK31" s="450"/>
      <c r="AL31" s="450"/>
      <c r="AM31" s="450"/>
      <c r="AN31" s="450"/>
      <c r="AO31" s="450"/>
      <c r="AP31" s="450"/>
      <c r="AQ31" s="450"/>
      <c r="AR31" s="450"/>
      <c r="AS31" s="450"/>
      <c r="AT31" s="450"/>
      <c r="AU31" s="450"/>
      <c r="AV31" s="450"/>
      <c r="AW31" s="450"/>
      <c r="AX31" s="450"/>
      <c r="AY31" s="450"/>
      <c r="AZ31" s="450"/>
      <c r="BA31" s="450"/>
      <c r="BB31" s="450"/>
      <c r="BC31" s="450"/>
      <c r="BD31" s="450"/>
      <c r="BE31" s="450"/>
      <c r="BF31" s="450"/>
      <c r="BG31" s="450"/>
      <c r="BH31" s="450"/>
      <c r="BI31" s="450"/>
      <c r="BJ31" s="450"/>
      <c r="BK31" s="450"/>
      <c r="BL31" s="450"/>
      <c r="BM31" s="450"/>
      <c r="BN31" s="450"/>
      <c r="BO31" s="450"/>
      <c r="BP31" s="450"/>
      <c r="BQ31" s="450"/>
      <c r="BR31" s="450"/>
      <c r="BS31" s="450"/>
      <c r="BT31" s="450"/>
      <c r="BU31" s="450"/>
      <c r="BV31" s="450"/>
      <c r="BW31" s="450"/>
      <c r="BX31" s="450"/>
      <c r="BY31" s="450"/>
      <c r="BZ31" s="450"/>
      <c r="CA31" s="450"/>
      <c r="CB31" s="450"/>
      <c r="CC31" s="450"/>
      <c r="CD31" s="450"/>
      <c r="CE31" s="450"/>
      <c r="CF31" s="450"/>
      <c r="CG31" s="450"/>
      <c r="CH31" s="450"/>
    </row>
    <row r="32">
      <c r="D32" s="450"/>
      <c r="E32" s="504"/>
      <c r="F32" s="491"/>
      <c r="G32" s="491"/>
      <c r="H32" s="450"/>
      <c r="I32" s="450"/>
      <c r="J32" s="450"/>
      <c r="K32" s="450"/>
      <c r="L32" s="450"/>
      <c r="M32" s="450"/>
      <c r="N32" s="450"/>
      <c r="O32" s="450"/>
      <c r="P32" s="450"/>
      <c r="Q32" s="450"/>
      <c r="R32" s="450"/>
      <c r="S32" s="450"/>
      <c r="T32" s="450"/>
      <c r="U32" s="450"/>
      <c r="V32" s="450"/>
      <c r="W32" s="450"/>
      <c r="X32" s="450"/>
      <c r="Y32" s="450"/>
      <c r="Z32" s="450"/>
      <c r="AA32" s="450"/>
      <c r="AB32" s="450"/>
      <c r="AC32" s="450"/>
      <c r="AD32" s="450"/>
      <c r="AE32" s="450"/>
      <c r="AF32" s="450"/>
      <c r="AG32" s="450"/>
      <c r="AH32" s="450"/>
      <c r="AI32" s="450"/>
      <c r="AJ32" s="450"/>
      <c r="AK32" s="450"/>
      <c r="AL32" s="450"/>
      <c r="AM32" s="450"/>
      <c r="AN32" s="450"/>
      <c r="AO32" s="450"/>
      <c r="AP32" s="450"/>
      <c r="AQ32" s="450"/>
      <c r="AR32" s="450"/>
      <c r="AS32" s="450"/>
      <c r="AT32" s="450"/>
      <c r="AU32" s="450"/>
      <c r="AV32" s="450"/>
      <c r="AW32" s="450"/>
      <c r="AX32" s="450"/>
      <c r="AY32" s="450"/>
      <c r="AZ32" s="450"/>
      <c r="BA32" s="450"/>
      <c r="BB32" s="450"/>
      <c r="BC32" s="450"/>
      <c r="BD32" s="450"/>
      <c r="BE32" s="450"/>
      <c r="BF32" s="450"/>
      <c r="BG32" s="450"/>
      <c r="BH32" s="450"/>
      <c r="BI32" s="450"/>
      <c r="BJ32" s="450"/>
      <c r="BK32" s="450"/>
      <c r="BL32" s="450"/>
      <c r="BM32" s="450"/>
      <c r="BN32" s="450"/>
      <c r="BO32" s="450"/>
      <c r="BP32" s="450"/>
      <c r="BQ32" s="450"/>
      <c r="BR32" s="450"/>
      <c r="BS32" s="450"/>
      <c r="BT32" s="450"/>
      <c r="BU32" s="450"/>
      <c r="BV32" s="450"/>
      <c r="BW32" s="450"/>
      <c r="BX32" s="450"/>
      <c r="BY32" s="450"/>
      <c r="BZ32" s="450"/>
      <c r="CA32" s="450"/>
      <c r="CB32" s="450"/>
      <c r="CC32" s="450"/>
      <c r="CD32" s="450"/>
      <c r="CE32" s="450"/>
      <c r="CF32" s="450"/>
      <c r="CG32" s="450"/>
      <c r="CH32" s="450"/>
    </row>
    <row r="33">
      <c r="D33" s="450"/>
      <c r="E33" s="504"/>
      <c r="F33" s="491"/>
      <c r="G33" s="491"/>
      <c r="H33" s="450"/>
      <c r="I33" s="450"/>
      <c r="J33" s="450"/>
      <c r="K33" s="450"/>
      <c r="L33" s="450"/>
      <c r="M33" s="450"/>
      <c r="N33" s="450"/>
      <c r="O33" s="450"/>
      <c r="P33" s="450"/>
      <c r="Q33" s="450"/>
      <c r="R33" s="450"/>
      <c r="S33" s="450"/>
      <c r="T33" s="450"/>
      <c r="U33" s="450"/>
      <c r="V33" s="450"/>
      <c r="W33" s="450"/>
      <c r="X33" s="450"/>
      <c r="Y33" s="450"/>
      <c r="Z33" s="450"/>
      <c r="AA33" s="450"/>
      <c r="AB33" s="450"/>
      <c r="AC33" s="450"/>
      <c r="AD33" s="450"/>
      <c r="AE33" s="450"/>
      <c r="AF33" s="450"/>
      <c r="AG33" s="450"/>
      <c r="AH33" s="450"/>
      <c r="AI33" s="450"/>
      <c r="AJ33" s="450"/>
      <c r="AK33" s="450"/>
      <c r="AL33" s="450"/>
      <c r="AM33" s="450"/>
      <c r="AN33" s="450"/>
      <c r="AO33" s="450"/>
      <c r="AP33" s="450"/>
      <c r="AQ33" s="450"/>
      <c r="AR33" s="450"/>
      <c r="AS33" s="450"/>
      <c r="AT33" s="450"/>
      <c r="AU33" s="450"/>
      <c r="AV33" s="450"/>
      <c r="AW33" s="450"/>
      <c r="AX33" s="450"/>
      <c r="AY33" s="450"/>
      <c r="AZ33" s="450"/>
      <c r="BA33" s="450"/>
      <c r="BB33" s="450"/>
      <c r="BC33" s="450"/>
      <c r="BD33" s="450"/>
      <c r="BE33" s="450"/>
      <c r="BF33" s="450"/>
      <c r="BG33" s="450"/>
      <c r="BH33" s="450"/>
      <c r="BI33" s="450"/>
      <c r="BJ33" s="450"/>
      <c r="BK33" s="450"/>
      <c r="BL33" s="450"/>
      <c r="BM33" s="450"/>
      <c r="BN33" s="450"/>
      <c r="BO33" s="450"/>
      <c r="BP33" s="450"/>
      <c r="BQ33" s="450"/>
      <c r="BR33" s="450"/>
      <c r="BS33" s="450"/>
      <c r="BT33" s="450"/>
      <c r="BU33" s="450"/>
      <c r="BV33" s="450"/>
      <c r="BW33" s="450"/>
      <c r="BX33" s="450"/>
      <c r="BY33" s="450"/>
      <c r="BZ33" s="450"/>
      <c r="CA33" s="450"/>
      <c r="CB33" s="450"/>
      <c r="CC33" s="450"/>
      <c r="CD33" s="450"/>
      <c r="CE33" s="450"/>
      <c r="CF33" s="450"/>
      <c r="CG33" s="450"/>
      <c r="CH33" s="450"/>
    </row>
    <row r="34">
      <c r="D34" s="450"/>
      <c r="E34" s="504"/>
      <c r="F34" s="491"/>
      <c r="G34" s="491"/>
      <c r="H34" s="450"/>
      <c r="I34" s="450"/>
      <c r="J34" s="450"/>
      <c r="K34" s="450"/>
      <c r="L34" s="450"/>
      <c r="M34" s="450"/>
      <c r="N34" s="450"/>
      <c r="O34" s="450"/>
      <c r="P34" s="450"/>
      <c r="Q34" s="450"/>
      <c r="R34" s="450"/>
      <c r="S34" s="450"/>
      <c r="T34" s="450"/>
      <c r="U34" s="450"/>
      <c r="V34" s="450"/>
      <c r="W34" s="450"/>
      <c r="X34" s="450"/>
      <c r="Y34" s="450"/>
      <c r="Z34" s="450"/>
      <c r="AA34" s="450"/>
      <c r="AB34" s="450"/>
      <c r="AC34" s="450"/>
      <c r="AD34" s="450"/>
      <c r="AE34" s="450"/>
      <c r="AF34" s="450"/>
      <c r="AG34" s="450"/>
      <c r="AH34" s="450"/>
      <c r="AI34" s="450"/>
      <c r="AJ34" s="450"/>
      <c r="AK34" s="450"/>
      <c r="AL34" s="450"/>
      <c r="AM34" s="450"/>
      <c r="AN34" s="450"/>
      <c r="AO34" s="450"/>
      <c r="AP34" s="450"/>
      <c r="AQ34" s="450"/>
      <c r="AR34" s="450"/>
      <c r="AS34" s="450"/>
      <c r="AT34" s="450"/>
      <c r="AU34" s="450"/>
      <c r="AV34" s="450"/>
      <c r="AW34" s="450"/>
      <c r="AX34" s="450"/>
      <c r="AY34" s="450"/>
      <c r="AZ34" s="450"/>
      <c r="BA34" s="450"/>
      <c r="BB34" s="450"/>
      <c r="BC34" s="450"/>
      <c r="BD34" s="450"/>
      <c r="BE34" s="450"/>
      <c r="BF34" s="450"/>
      <c r="BG34" s="450"/>
      <c r="BH34" s="450"/>
      <c r="BI34" s="450"/>
      <c r="BJ34" s="450"/>
      <c r="BK34" s="450"/>
      <c r="BL34" s="450"/>
      <c r="BM34" s="450"/>
      <c r="BN34" s="450"/>
      <c r="BO34" s="450"/>
      <c r="BP34" s="450"/>
      <c r="BQ34" s="450"/>
      <c r="BR34" s="450"/>
      <c r="BS34" s="450"/>
      <c r="BT34" s="450"/>
      <c r="BU34" s="450"/>
      <c r="BV34" s="450"/>
      <c r="BW34" s="450"/>
      <c r="BX34" s="450"/>
      <c r="BY34" s="450"/>
      <c r="BZ34" s="450"/>
      <c r="CA34" s="450"/>
      <c r="CB34" s="450"/>
      <c r="CC34" s="450"/>
      <c r="CD34" s="450"/>
      <c r="CE34" s="450"/>
      <c r="CF34" s="450"/>
      <c r="CG34" s="450"/>
      <c r="CH34" s="450"/>
    </row>
    <row r="35">
      <c r="D35" s="450"/>
      <c r="E35" s="504"/>
      <c r="F35" s="491"/>
      <c r="G35" s="491"/>
      <c r="H35" s="450"/>
      <c r="I35" s="450"/>
      <c r="J35" s="450"/>
      <c r="K35" s="450"/>
      <c r="L35" s="450"/>
      <c r="M35" s="450"/>
      <c r="N35" s="450"/>
      <c r="O35" s="450"/>
      <c r="P35" s="450"/>
      <c r="Q35" s="450"/>
      <c r="R35" s="450"/>
      <c r="S35" s="450"/>
      <c r="T35" s="450"/>
      <c r="U35" s="450"/>
      <c r="V35" s="450"/>
      <c r="W35" s="450"/>
      <c r="X35" s="450"/>
      <c r="Y35" s="450"/>
      <c r="Z35" s="450"/>
      <c r="AA35" s="450"/>
      <c r="AB35" s="450"/>
      <c r="AC35" s="450"/>
      <c r="AD35" s="450"/>
      <c r="AE35" s="450"/>
      <c r="AF35" s="450"/>
      <c r="AG35" s="450"/>
      <c r="AH35" s="450"/>
      <c r="AI35" s="450"/>
      <c r="AJ35" s="450"/>
      <c r="AK35" s="450"/>
      <c r="AL35" s="450"/>
      <c r="AM35" s="450"/>
      <c r="AN35" s="450"/>
      <c r="AO35" s="450"/>
      <c r="AP35" s="450"/>
      <c r="AQ35" s="450"/>
      <c r="AR35" s="450"/>
      <c r="AS35" s="450"/>
      <c r="AT35" s="450"/>
      <c r="AU35" s="450"/>
      <c r="AV35" s="450"/>
      <c r="AW35" s="450"/>
      <c r="AX35" s="450"/>
      <c r="AY35" s="450"/>
      <c r="AZ35" s="450"/>
      <c r="BA35" s="450"/>
      <c r="BB35" s="450"/>
      <c r="BC35" s="450"/>
      <c r="BD35" s="450"/>
      <c r="BE35" s="450"/>
      <c r="BF35" s="450"/>
      <c r="BG35" s="450"/>
      <c r="BH35" s="450"/>
      <c r="BI35" s="450"/>
      <c r="BJ35" s="450"/>
      <c r="BK35" s="450"/>
      <c r="BL35" s="450"/>
      <c r="BM35" s="450"/>
      <c r="BN35" s="450"/>
      <c r="BO35" s="450"/>
      <c r="BP35" s="450"/>
      <c r="BQ35" s="450"/>
      <c r="BR35" s="450"/>
      <c r="BS35" s="450"/>
      <c r="BT35" s="450"/>
      <c r="BU35" s="450"/>
      <c r="BV35" s="450"/>
      <c r="BW35" s="450"/>
      <c r="BX35" s="450"/>
      <c r="BY35" s="450"/>
      <c r="BZ35" s="450"/>
      <c r="CA35" s="450"/>
      <c r="CB35" s="450"/>
      <c r="CC35" s="450"/>
      <c r="CD35" s="450"/>
      <c r="CE35" s="450"/>
      <c r="CF35" s="450"/>
      <c r="CG35" s="450"/>
      <c r="CH35" s="450"/>
    </row>
    <row r="36">
      <c r="D36" s="450"/>
      <c r="E36" s="504"/>
      <c r="F36" s="491"/>
      <c r="G36" s="491"/>
      <c r="H36" s="450"/>
      <c r="I36" s="450"/>
      <c r="J36" s="450"/>
      <c r="K36" s="450"/>
      <c r="L36" s="450"/>
      <c r="M36" s="450"/>
      <c r="N36" s="450"/>
      <c r="O36" s="450"/>
      <c r="P36" s="450"/>
      <c r="Q36" s="450"/>
      <c r="R36" s="450"/>
      <c r="S36" s="450"/>
      <c r="T36" s="450"/>
      <c r="U36" s="450"/>
      <c r="V36" s="450"/>
      <c r="W36" s="450"/>
      <c r="X36" s="450"/>
      <c r="Y36" s="450"/>
      <c r="Z36" s="450"/>
      <c r="AA36" s="450"/>
      <c r="AB36" s="450"/>
      <c r="AC36" s="450"/>
      <c r="AD36" s="450"/>
      <c r="AE36" s="450"/>
      <c r="AF36" s="450"/>
      <c r="AG36" s="450"/>
      <c r="AH36" s="450"/>
      <c r="AI36" s="450"/>
      <c r="AJ36" s="450"/>
      <c r="AK36" s="450"/>
      <c r="AL36" s="450"/>
      <c r="AM36" s="450"/>
      <c r="AN36" s="450"/>
      <c r="AO36" s="450"/>
      <c r="AP36" s="450"/>
      <c r="AQ36" s="450"/>
      <c r="AR36" s="450"/>
      <c r="AS36" s="450"/>
      <c r="AT36" s="450"/>
      <c r="AU36" s="450"/>
      <c r="AV36" s="450"/>
      <c r="AW36" s="450"/>
      <c r="AX36" s="450"/>
      <c r="AY36" s="450"/>
      <c r="AZ36" s="450"/>
      <c r="BA36" s="450"/>
      <c r="BB36" s="450"/>
      <c r="BC36" s="450"/>
      <c r="BD36" s="450"/>
      <c r="BE36" s="450"/>
      <c r="BF36" s="450"/>
      <c r="BG36" s="450"/>
      <c r="BH36" s="450"/>
      <c r="BI36" s="450"/>
      <c r="BJ36" s="450"/>
      <c r="BK36" s="450"/>
      <c r="BL36" s="450"/>
      <c r="BM36" s="450"/>
      <c r="BN36" s="450"/>
      <c r="BO36" s="450"/>
      <c r="BP36" s="450"/>
      <c r="BQ36" s="450"/>
      <c r="BR36" s="450"/>
      <c r="BS36" s="450"/>
      <c r="BT36" s="450"/>
      <c r="BU36" s="450"/>
      <c r="BV36" s="450"/>
      <c r="BW36" s="450"/>
      <c r="BX36" s="450"/>
      <c r="BY36" s="450"/>
      <c r="BZ36" s="450"/>
      <c r="CA36" s="450"/>
      <c r="CB36" s="450"/>
      <c r="CC36" s="450"/>
      <c r="CD36" s="450"/>
      <c r="CE36" s="450"/>
      <c r="CF36" s="450"/>
      <c r="CG36" s="450"/>
      <c r="CH36" s="450"/>
    </row>
    <row r="37">
      <c r="D37" s="450"/>
      <c r="E37" s="504"/>
      <c r="F37" s="491"/>
      <c r="G37" s="491"/>
      <c r="H37" s="450"/>
      <c r="I37" s="450"/>
      <c r="J37" s="506"/>
      <c r="K37" s="443"/>
      <c r="L37" s="450"/>
      <c r="M37" s="450"/>
      <c r="N37" s="450"/>
      <c r="O37" s="450"/>
      <c r="P37" s="450"/>
      <c r="Q37" s="450"/>
      <c r="R37" s="450"/>
      <c r="S37" s="450"/>
      <c r="T37" s="450"/>
      <c r="U37" s="450"/>
      <c r="V37" s="450"/>
      <c r="W37" s="450"/>
      <c r="X37" s="450"/>
      <c r="Y37" s="450"/>
      <c r="Z37" s="450"/>
      <c r="AA37" s="450"/>
      <c r="AB37" s="450"/>
      <c r="AC37" s="450"/>
      <c r="AD37" s="450"/>
      <c r="AE37" s="450"/>
      <c r="AF37" s="450"/>
      <c r="AG37" s="450"/>
      <c r="AH37" s="450"/>
      <c r="AI37" s="450"/>
      <c r="AJ37" s="450"/>
      <c r="AK37" s="450"/>
      <c r="AL37" s="450"/>
      <c r="AM37" s="450"/>
      <c r="AN37" s="450"/>
      <c r="AO37" s="450"/>
      <c r="AP37" s="450"/>
      <c r="AQ37" s="450"/>
      <c r="AR37" s="450"/>
      <c r="AS37" s="450"/>
      <c r="AT37" s="450"/>
      <c r="AU37" s="450"/>
      <c r="AV37" s="450"/>
      <c r="AW37" s="450"/>
      <c r="AX37" s="450"/>
      <c r="AY37" s="450"/>
      <c r="AZ37" s="450"/>
      <c r="BA37" s="450"/>
      <c r="BB37" s="450"/>
      <c r="BC37" s="450"/>
      <c r="BD37" s="450"/>
      <c r="BE37" s="450"/>
      <c r="BF37" s="450"/>
      <c r="BG37" s="450"/>
      <c r="BH37" s="450"/>
      <c r="BI37" s="450"/>
      <c r="BJ37" s="450"/>
      <c r="BK37" s="450"/>
      <c r="BL37" s="450"/>
      <c r="BM37" s="450"/>
      <c r="BN37" s="450"/>
      <c r="BO37" s="450"/>
      <c r="BP37" s="450"/>
      <c r="BQ37" s="450"/>
      <c r="BR37" s="450"/>
      <c r="BS37" s="450"/>
      <c r="BT37" s="450"/>
      <c r="BU37" s="450"/>
      <c r="BV37" s="450"/>
      <c r="BW37" s="450"/>
      <c r="BX37" s="450"/>
      <c r="BY37" s="450"/>
      <c r="BZ37" s="450"/>
      <c r="CA37" s="450"/>
      <c r="CB37" s="450"/>
      <c r="CC37" s="450"/>
      <c r="CD37" s="450"/>
      <c r="CE37" s="450"/>
      <c r="CF37" s="450"/>
      <c r="CG37" s="450"/>
      <c r="CH37" s="450"/>
    </row>
    <row r="38">
      <c r="D38" s="450"/>
      <c r="E38" s="504"/>
      <c r="F38" s="491"/>
      <c r="G38" s="491"/>
      <c r="H38" s="450"/>
      <c r="I38" s="450"/>
      <c r="J38" s="450"/>
      <c r="K38" s="450"/>
      <c r="L38" s="450"/>
      <c r="M38" s="450"/>
      <c r="N38" s="450"/>
      <c r="O38" s="450"/>
      <c r="P38" s="450"/>
      <c r="Q38" s="450"/>
      <c r="R38" s="450"/>
      <c r="S38" s="450"/>
      <c r="T38" s="450"/>
      <c r="U38" s="450"/>
      <c r="V38" s="450"/>
      <c r="W38" s="450"/>
      <c r="X38" s="450"/>
      <c r="Y38" s="450"/>
      <c r="Z38" s="450"/>
      <c r="AA38" s="450"/>
      <c r="AB38" s="450"/>
      <c r="AC38" s="450"/>
      <c r="AD38" s="450"/>
      <c r="AE38" s="450"/>
      <c r="AF38" s="450"/>
      <c r="AG38" s="450"/>
      <c r="AH38" s="450"/>
      <c r="AI38" s="450"/>
      <c r="AJ38" s="450"/>
      <c r="AK38" s="450"/>
      <c r="AL38" s="450"/>
      <c r="AM38" s="450"/>
      <c r="AN38" s="450"/>
      <c r="AO38" s="450"/>
      <c r="AP38" s="450"/>
      <c r="AQ38" s="450"/>
      <c r="AR38" s="450"/>
      <c r="AS38" s="450"/>
      <c r="AT38" s="450"/>
      <c r="AU38" s="450"/>
      <c r="AV38" s="450"/>
      <c r="AW38" s="450"/>
      <c r="AX38" s="450"/>
      <c r="AY38" s="450"/>
      <c r="AZ38" s="450"/>
      <c r="BA38" s="450"/>
      <c r="BB38" s="450"/>
      <c r="BC38" s="450"/>
      <c r="BD38" s="450"/>
      <c r="BE38" s="450"/>
      <c r="BF38" s="450"/>
      <c r="BG38" s="450"/>
      <c r="BH38" s="450"/>
      <c r="BI38" s="450"/>
      <c r="BJ38" s="450"/>
      <c r="BK38" s="450"/>
      <c r="BL38" s="450"/>
      <c r="BM38" s="450"/>
      <c r="BN38" s="450"/>
      <c r="BO38" s="450"/>
      <c r="BP38" s="450"/>
      <c r="BQ38" s="450"/>
      <c r="BR38" s="450"/>
      <c r="BS38" s="450"/>
      <c r="BT38" s="450"/>
      <c r="BU38" s="450"/>
      <c r="BV38" s="450"/>
      <c r="BW38" s="450"/>
      <c r="BX38" s="450"/>
      <c r="BY38" s="450"/>
      <c r="BZ38" s="450"/>
      <c r="CA38" s="450"/>
      <c r="CB38" s="450"/>
      <c r="CC38" s="450"/>
      <c r="CD38" s="450"/>
      <c r="CE38" s="450"/>
      <c r="CF38" s="450"/>
      <c r="CG38" s="450"/>
      <c r="CH38" s="450"/>
    </row>
    <row r="39">
      <c r="D39" s="450"/>
      <c r="E39" s="504"/>
      <c r="F39" s="491"/>
      <c r="G39" s="491"/>
      <c r="H39" s="450"/>
      <c r="I39" s="450"/>
      <c r="J39" s="450"/>
      <c r="K39" s="450"/>
      <c r="L39" s="450"/>
      <c r="M39" s="450"/>
      <c r="N39" s="450"/>
      <c r="O39" s="450"/>
      <c r="P39" s="450"/>
      <c r="Q39" s="450"/>
      <c r="R39" s="450"/>
      <c r="S39" s="450"/>
      <c r="T39" s="450"/>
      <c r="U39" s="450"/>
      <c r="V39" s="450"/>
      <c r="W39" s="450"/>
      <c r="X39" s="450"/>
      <c r="Y39" s="450"/>
      <c r="Z39" s="450"/>
      <c r="AA39" s="450"/>
      <c r="AB39" s="450"/>
      <c r="AC39" s="450"/>
      <c r="AD39" s="450"/>
      <c r="AE39" s="450"/>
      <c r="AF39" s="450"/>
      <c r="AG39" s="450"/>
      <c r="AH39" s="450"/>
      <c r="AI39" s="450"/>
      <c r="AJ39" s="450"/>
      <c r="AK39" s="450"/>
      <c r="AL39" s="450"/>
      <c r="AM39" s="450"/>
      <c r="AN39" s="450"/>
      <c r="AO39" s="450"/>
      <c r="AP39" s="450"/>
      <c r="AQ39" s="450"/>
      <c r="AR39" s="450"/>
      <c r="AS39" s="450"/>
      <c r="AT39" s="450"/>
      <c r="AU39" s="450"/>
      <c r="AV39" s="450"/>
      <c r="AW39" s="450"/>
      <c r="AX39" s="450"/>
      <c r="AY39" s="450"/>
      <c r="AZ39" s="450"/>
      <c r="BA39" s="450"/>
      <c r="BB39" s="450"/>
      <c r="BC39" s="450"/>
      <c r="BD39" s="450"/>
      <c r="BE39" s="450"/>
      <c r="BF39" s="450"/>
      <c r="BG39" s="450"/>
      <c r="BH39" s="450"/>
      <c r="BI39" s="450"/>
      <c r="BJ39" s="450"/>
      <c r="BK39" s="450"/>
      <c r="BL39" s="450"/>
      <c r="BM39" s="450"/>
      <c r="BN39" s="450"/>
      <c r="BO39" s="450"/>
      <c r="BP39" s="450"/>
      <c r="BQ39" s="450"/>
      <c r="BR39" s="450"/>
      <c r="BS39" s="450"/>
      <c r="BT39" s="450"/>
      <c r="BU39" s="450"/>
      <c r="BV39" s="450"/>
      <c r="BW39" s="450"/>
      <c r="BX39" s="450"/>
      <c r="BY39" s="450"/>
      <c r="BZ39" s="450"/>
      <c r="CA39" s="450"/>
      <c r="CB39" s="450"/>
      <c r="CC39" s="450"/>
      <c r="CD39" s="450"/>
      <c r="CE39" s="450"/>
      <c r="CF39" s="450"/>
      <c r="CG39" s="450"/>
      <c r="CH39" s="450"/>
    </row>
    <row r="40">
      <c r="D40" s="450"/>
      <c r="E40" s="504"/>
      <c r="F40" s="491"/>
      <c r="G40" s="491"/>
      <c r="H40" s="450"/>
      <c r="I40" s="450"/>
      <c r="J40" s="450"/>
      <c r="K40" s="450"/>
      <c r="L40" s="450"/>
      <c r="M40" s="450"/>
      <c r="N40" s="450"/>
      <c r="O40" s="450"/>
      <c r="P40" s="450"/>
      <c r="Q40" s="450"/>
      <c r="R40" s="450"/>
      <c r="S40" s="450"/>
      <c r="T40" s="450"/>
      <c r="U40" s="450"/>
      <c r="V40" s="450"/>
      <c r="W40" s="450"/>
      <c r="X40" s="450"/>
      <c r="Y40" s="450"/>
      <c r="Z40" s="450"/>
      <c r="AA40" s="450"/>
      <c r="AB40" s="450"/>
      <c r="AC40" s="450"/>
      <c r="AD40" s="450"/>
      <c r="AE40" s="450"/>
      <c r="AF40" s="450"/>
      <c r="AG40" s="450"/>
      <c r="AH40" s="450"/>
      <c r="AI40" s="450"/>
      <c r="AJ40" s="450"/>
      <c r="AK40" s="450"/>
      <c r="AL40" s="450"/>
      <c r="AM40" s="450"/>
      <c r="AN40" s="450"/>
      <c r="AO40" s="450"/>
      <c r="AP40" s="450"/>
      <c r="AQ40" s="450"/>
      <c r="AR40" s="450"/>
      <c r="AS40" s="450"/>
      <c r="AT40" s="450"/>
      <c r="AU40" s="450"/>
      <c r="AV40" s="450"/>
      <c r="AW40" s="450"/>
      <c r="AX40" s="450"/>
      <c r="AY40" s="450"/>
      <c r="AZ40" s="450"/>
      <c r="BA40" s="450"/>
      <c r="BB40" s="450"/>
      <c r="BC40" s="450"/>
      <c r="BD40" s="450"/>
      <c r="BE40" s="450"/>
      <c r="BF40" s="450"/>
      <c r="BG40" s="450"/>
      <c r="BH40" s="450"/>
      <c r="BI40" s="450"/>
      <c r="BJ40" s="450"/>
      <c r="BK40" s="450"/>
      <c r="BL40" s="450"/>
      <c r="BM40" s="450"/>
      <c r="BN40" s="450"/>
      <c r="BO40" s="450"/>
      <c r="BP40" s="450"/>
      <c r="BQ40" s="450"/>
      <c r="BR40" s="450"/>
      <c r="BS40" s="450"/>
      <c r="BT40" s="450"/>
      <c r="BU40" s="450"/>
      <c r="BV40" s="450"/>
      <c r="BW40" s="450"/>
      <c r="BX40" s="450"/>
      <c r="BY40" s="450"/>
      <c r="BZ40" s="450"/>
      <c r="CA40" s="450"/>
      <c r="CB40" s="450"/>
      <c r="CC40" s="450"/>
      <c r="CD40" s="450"/>
      <c r="CE40" s="450"/>
      <c r="CF40" s="450"/>
      <c r="CG40" s="450"/>
      <c r="CH40" s="450"/>
    </row>
    <row r="41">
      <c r="D41" s="450"/>
      <c r="E41" s="504"/>
      <c r="F41" s="491"/>
      <c r="G41" s="491"/>
      <c r="H41" s="450"/>
      <c r="I41" s="450"/>
      <c r="J41" s="450"/>
      <c r="K41" s="450"/>
      <c r="L41" s="450"/>
      <c r="M41" s="450"/>
      <c r="N41" s="450"/>
      <c r="O41" s="450"/>
      <c r="P41" s="450"/>
      <c r="Q41" s="450"/>
      <c r="R41" s="450"/>
      <c r="S41" s="450"/>
      <c r="T41" s="450"/>
      <c r="U41" s="450"/>
      <c r="V41" s="450"/>
      <c r="W41" s="450"/>
      <c r="X41" s="450"/>
      <c r="Y41" s="450"/>
      <c r="Z41" s="450"/>
      <c r="AA41" s="450"/>
      <c r="AB41" s="450"/>
      <c r="AC41" s="450"/>
      <c r="AD41" s="450"/>
      <c r="AE41" s="450"/>
      <c r="AF41" s="450"/>
      <c r="AG41" s="450"/>
      <c r="AH41" s="450"/>
      <c r="AI41" s="450"/>
      <c r="AJ41" s="450"/>
      <c r="AK41" s="450"/>
      <c r="AL41" s="450"/>
      <c r="AM41" s="450"/>
      <c r="AN41" s="450"/>
      <c r="AO41" s="450"/>
      <c r="AP41" s="450"/>
      <c r="AQ41" s="450"/>
      <c r="AR41" s="450"/>
      <c r="AS41" s="450"/>
      <c r="AT41" s="450"/>
      <c r="AU41" s="450"/>
      <c r="AV41" s="450"/>
      <c r="AW41" s="450"/>
      <c r="AX41" s="450"/>
      <c r="AY41" s="450"/>
      <c r="AZ41" s="450"/>
      <c r="BA41" s="450"/>
      <c r="BB41" s="450"/>
      <c r="BC41" s="450"/>
      <c r="BD41" s="450"/>
      <c r="BE41" s="450"/>
      <c r="BF41" s="450"/>
      <c r="BG41" s="450"/>
      <c r="BH41" s="450"/>
      <c r="BI41" s="450"/>
      <c r="BJ41" s="450"/>
      <c r="BK41" s="450"/>
      <c r="BL41" s="450"/>
      <c r="BM41" s="450"/>
      <c r="BN41" s="450"/>
      <c r="BO41" s="450"/>
      <c r="BP41" s="450"/>
      <c r="BQ41" s="450"/>
      <c r="BR41" s="450"/>
      <c r="BS41" s="450"/>
      <c r="BT41" s="450"/>
      <c r="BU41" s="450"/>
      <c r="BV41" s="450"/>
      <c r="BW41" s="450"/>
      <c r="BX41" s="450"/>
      <c r="BY41" s="450"/>
      <c r="BZ41" s="450"/>
      <c r="CA41" s="450"/>
      <c r="CB41" s="450"/>
      <c r="CC41" s="450"/>
      <c r="CD41" s="450"/>
      <c r="CE41" s="450"/>
      <c r="CF41" s="450"/>
      <c r="CG41" s="450"/>
      <c r="CH41" s="450"/>
    </row>
    <row r="42">
      <c r="D42" s="450"/>
      <c r="E42" s="504"/>
      <c r="F42" s="491"/>
      <c r="G42" s="491"/>
      <c r="H42" s="450"/>
      <c r="I42" s="450"/>
      <c r="J42" s="450"/>
      <c r="K42" s="450"/>
      <c r="L42" s="450"/>
      <c r="M42" s="450"/>
      <c r="N42" s="450"/>
      <c r="O42" s="450"/>
      <c r="P42" s="450"/>
      <c r="Q42" s="450"/>
      <c r="R42" s="450"/>
      <c r="S42" s="450"/>
      <c r="T42" s="450"/>
      <c r="U42" s="450"/>
      <c r="V42" s="450"/>
      <c r="W42" s="450"/>
      <c r="X42" s="450"/>
      <c r="Y42" s="450"/>
      <c r="Z42" s="450"/>
      <c r="AA42" s="450"/>
      <c r="AB42" s="450"/>
      <c r="AC42" s="450"/>
      <c r="AD42" s="450"/>
      <c r="AE42" s="450"/>
      <c r="AF42" s="450"/>
      <c r="AG42" s="450"/>
      <c r="AH42" s="450"/>
      <c r="AI42" s="450"/>
      <c r="AJ42" s="450"/>
      <c r="AK42" s="450"/>
      <c r="AL42" s="450"/>
      <c r="AM42" s="450"/>
      <c r="AN42" s="450"/>
      <c r="AO42" s="450"/>
      <c r="AP42" s="450"/>
      <c r="AQ42" s="450"/>
      <c r="AR42" s="450"/>
      <c r="AS42" s="450"/>
      <c r="AT42" s="450"/>
      <c r="AU42" s="450"/>
      <c r="AV42" s="450"/>
      <c r="AW42" s="450"/>
      <c r="AX42" s="450"/>
      <c r="AY42" s="450"/>
      <c r="AZ42" s="450"/>
      <c r="BA42" s="450"/>
      <c r="BB42" s="450"/>
      <c r="BC42" s="450"/>
      <c r="BD42" s="450"/>
      <c r="BE42" s="450"/>
      <c r="BF42" s="450"/>
      <c r="BG42" s="450"/>
      <c r="BH42" s="450"/>
      <c r="BI42" s="450"/>
      <c r="BJ42" s="450"/>
      <c r="BK42" s="450"/>
      <c r="BL42" s="450"/>
      <c r="BM42" s="450"/>
      <c r="BN42" s="450"/>
      <c r="BO42" s="450"/>
      <c r="BP42" s="450"/>
      <c r="BQ42" s="450"/>
      <c r="BR42" s="450"/>
      <c r="BS42" s="450"/>
      <c r="BT42" s="450"/>
      <c r="BU42" s="450"/>
      <c r="BV42" s="450"/>
      <c r="BW42" s="450"/>
      <c r="BX42" s="450"/>
      <c r="BY42" s="450"/>
      <c r="BZ42" s="450"/>
      <c r="CA42" s="450"/>
      <c r="CB42" s="450"/>
      <c r="CC42" s="450"/>
      <c r="CD42" s="450"/>
      <c r="CE42" s="450"/>
      <c r="CF42" s="450"/>
      <c r="CG42" s="450"/>
      <c r="CH42" s="450"/>
    </row>
    <row r="43">
      <c r="D43" s="450"/>
      <c r="E43" s="504"/>
      <c r="F43" s="491"/>
      <c r="G43" s="491"/>
      <c r="H43" s="450"/>
      <c r="I43" s="450"/>
      <c r="J43" s="450"/>
      <c r="K43" s="450"/>
      <c r="L43" s="450"/>
      <c r="M43" s="450"/>
      <c r="N43" s="450"/>
      <c r="O43" s="450"/>
      <c r="P43" s="450"/>
      <c r="Q43" s="450"/>
      <c r="R43" s="450"/>
      <c r="S43" s="450"/>
      <c r="T43" s="450"/>
      <c r="U43" s="450"/>
      <c r="V43" s="450"/>
      <c r="W43" s="450"/>
      <c r="X43" s="450"/>
      <c r="Y43" s="450"/>
      <c r="Z43" s="450"/>
      <c r="AA43" s="450"/>
      <c r="AB43" s="450"/>
      <c r="AC43" s="450"/>
      <c r="AD43" s="450"/>
      <c r="AE43" s="450"/>
      <c r="AF43" s="450"/>
      <c r="AG43" s="450"/>
      <c r="AH43" s="450"/>
      <c r="AI43" s="450"/>
      <c r="AJ43" s="450"/>
      <c r="AK43" s="450"/>
      <c r="AL43" s="450"/>
      <c r="AM43" s="450"/>
      <c r="AN43" s="450"/>
      <c r="AO43" s="450"/>
      <c r="AP43" s="450"/>
      <c r="AQ43" s="450"/>
      <c r="AR43" s="450"/>
      <c r="AS43" s="450"/>
      <c r="AT43" s="450"/>
      <c r="AU43" s="450"/>
      <c r="AV43" s="450"/>
      <c r="AW43" s="450"/>
      <c r="AX43" s="450"/>
      <c r="AY43" s="450"/>
      <c r="AZ43" s="450"/>
      <c r="BA43" s="450"/>
      <c r="BB43" s="450"/>
      <c r="BC43" s="450"/>
      <c r="BD43" s="450"/>
      <c r="BE43" s="450"/>
      <c r="BF43" s="450"/>
      <c r="BG43" s="450"/>
      <c r="BH43" s="450"/>
      <c r="BI43" s="450"/>
      <c r="BJ43" s="450"/>
      <c r="BK43" s="450"/>
      <c r="BL43" s="450"/>
      <c r="BM43" s="450"/>
      <c r="BN43" s="450"/>
      <c r="BO43" s="450"/>
      <c r="BP43" s="450"/>
      <c r="BQ43" s="450"/>
      <c r="BR43" s="450"/>
      <c r="BS43" s="450"/>
      <c r="BT43" s="450"/>
      <c r="BU43" s="450"/>
      <c r="BV43" s="450"/>
      <c r="BW43" s="450"/>
      <c r="BX43" s="450"/>
      <c r="BY43" s="450"/>
      <c r="BZ43" s="450"/>
      <c r="CA43" s="450"/>
      <c r="CB43" s="450"/>
      <c r="CC43" s="450"/>
      <c r="CD43" s="450"/>
      <c r="CE43" s="450"/>
      <c r="CF43" s="450"/>
      <c r="CG43" s="450"/>
      <c r="CH43" s="450"/>
    </row>
    <row r="44">
      <c r="D44" s="450"/>
      <c r="E44" s="504"/>
      <c r="F44" s="491"/>
      <c r="G44" s="491"/>
      <c r="H44" s="450"/>
      <c r="I44" s="450"/>
      <c r="J44" s="450"/>
      <c r="K44" s="450"/>
      <c r="L44" s="450"/>
      <c r="M44" s="450"/>
      <c r="N44" s="450"/>
      <c r="O44" s="450"/>
      <c r="P44" s="450"/>
      <c r="Q44" s="450"/>
      <c r="R44" s="450"/>
      <c r="S44" s="450"/>
      <c r="T44" s="450"/>
      <c r="U44" s="450"/>
      <c r="V44" s="450"/>
      <c r="W44" s="450"/>
      <c r="X44" s="450"/>
      <c r="Y44" s="450"/>
      <c r="Z44" s="450"/>
      <c r="AA44" s="450"/>
      <c r="AB44" s="450"/>
      <c r="AC44" s="450"/>
      <c r="AD44" s="450"/>
      <c r="AE44" s="450"/>
      <c r="AF44" s="450"/>
      <c r="AG44" s="450"/>
      <c r="AH44" s="450"/>
      <c r="AI44" s="450"/>
      <c r="AJ44" s="450"/>
      <c r="AK44" s="450"/>
      <c r="AL44" s="450"/>
      <c r="AM44" s="450"/>
      <c r="AN44" s="450"/>
      <c r="AO44" s="450"/>
      <c r="AP44" s="450"/>
      <c r="AQ44" s="450"/>
      <c r="AR44" s="450"/>
      <c r="AS44" s="450"/>
      <c r="AT44" s="450"/>
      <c r="AU44" s="450"/>
      <c r="AV44" s="450"/>
      <c r="AW44" s="450"/>
      <c r="AX44" s="450"/>
      <c r="AY44" s="450"/>
      <c r="AZ44" s="450"/>
      <c r="BA44" s="450"/>
      <c r="BB44" s="450"/>
      <c r="BC44" s="450"/>
      <c r="BD44" s="450"/>
      <c r="BE44" s="450"/>
      <c r="BF44" s="450"/>
      <c r="BG44" s="450"/>
      <c r="BH44" s="450"/>
      <c r="BI44" s="450"/>
      <c r="BJ44" s="450"/>
      <c r="BK44" s="450"/>
      <c r="BL44" s="450"/>
      <c r="BM44" s="450"/>
      <c r="BN44" s="450"/>
      <c r="BO44" s="450"/>
      <c r="BP44" s="450"/>
      <c r="BQ44" s="450"/>
      <c r="BR44" s="450"/>
      <c r="BS44" s="450"/>
      <c r="BT44" s="450"/>
      <c r="BU44" s="450"/>
      <c r="BV44" s="450"/>
      <c r="BW44" s="450"/>
      <c r="BX44" s="450"/>
      <c r="BY44" s="450"/>
      <c r="BZ44" s="450"/>
      <c r="CA44" s="450"/>
      <c r="CB44" s="450"/>
      <c r="CC44" s="450"/>
      <c r="CD44" s="450"/>
      <c r="CE44" s="450"/>
      <c r="CF44" s="450"/>
      <c r="CG44" s="450"/>
      <c r="CH44" s="450"/>
    </row>
    <row r="45">
      <c r="D45" s="450"/>
      <c r="E45" s="504"/>
      <c r="F45" s="491"/>
      <c r="G45" s="491"/>
      <c r="H45" s="450"/>
      <c r="I45" s="450"/>
      <c r="J45" s="450"/>
      <c r="K45" s="450"/>
      <c r="L45" s="450"/>
      <c r="M45" s="450"/>
      <c r="N45" s="450"/>
      <c r="O45" s="450"/>
      <c r="P45" s="450"/>
      <c r="Q45" s="450"/>
      <c r="R45" s="450"/>
      <c r="S45" s="450"/>
      <c r="T45" s="450"/>
      <c r="U45" s="450"/>
      <c r="V45" s="450"/>
      <c r="W45" s="450"/>
      <c r="X45" s="450"/>
      <c r="Y45" s="450"/>
      <c r="Z45" s="450"/>
      <c r="AA45" s="450"/>
      <c r="AB45" s="450"/>
      <c r="AC45" s="450"/>
      <c r="AD45" s="450"/>
      <c r="AE45" s="450"/>
      <c r="AF45" s="450"/>
      <c r="AG45" s="450"/>
      <c r="AH45" s="450"/>
      <c r="AI45" s="450"/>
      <c r="AJ45" s="450"/>
      <c r="AK45" s="450"/>
      <c r="AL45" s="450"/>
      <c r="AM45" s="450"/>
      <c r="AN45" s="450"/>
      <c r="AO45" s="450"/>
      <c r="AP45" s="450"/>
      <c r="AQ45" s="450"/>
      <c r="AR45" s="450"/>
      <c r="AS45" s="450"/>
      <c r="AT45" s="450"/>
      <c r="AU45" s="450"/>
      <c r="AV45" s="450"/>
      <c r="AW45" s="450"/>
      <c r="AX45" s="450"/>
      <c r="AY45" s="450"/>
      <c r="AZ45" s="450"/>
      <c r="BA45" s="450"/>
      <c r="BB45" s="450"/>
      <c r="BC45" s="450"/>
      <c r="BD45" s="450"/>
      <c r="BE45" s="450"/>
      <c r="BF45" s="450"/>
      <c r="BG45" s="450"/>
      <c r="BH45" s="450"/>
      <c r="BI45" s="450"/>
      <c r="BJ45" s="450"/>
      <c r="BK45" s="450"/>
      <c r="BL45" s="450"/>
      <c r="BM45" s="450"/>
      <c r="BN45" s="450"/>
      <c r="BO45" s="450"/>
      <c r="BP45" s="450"/>
      <c r="BQ45" s="450"/>
      <c r="BR45" s="450"/>
      <c r="BS45" s="450"/>
      <c r="BT45" s="450"/>
      <c r="BU45" s="450"/>
      <c r="BV45" s="450"/>
      <c r="BW45" s="450"/>
      <c r="BX45" s="450"/>
      <c r="BY45" s="450"/>
      <c r="BZ45" s="450"/>
      <c r="CA45" s="450"/>
      <c r="CB45" s="450"/>
      <c r="CC45" s="450"/>
      <c r="CD45" s="450"/>
      <c r="CE45" s="450"/>
      <c r="CF45" s="450"/>
      <c r="CG45" s="450"/>
      <c r="CH45" s="450"/>
    </row>
    <row r="46">
      <c r="D46" s="450"/>
      <c r="E46" s="504"/>
      <c r="F46" s="491"/>
      <c r="G46" s="491"/>
      <c r="H46" s="450"/>
      <c r="I46" s="450"/>
      <c r="J46" s="450"/>
      <c r="K46" s="450"/>
      <c r="L46" s="450"/>
      <c r="M46" s="450"/>
      <c r="N46" s="450"/>
      <c r="O46" s="450"/>
      <c r="P46" s="450"/>
      <c r="Q46" s="450"/>
      <c r="R46" s="450"/>
      <c r="S46" s="450"/>
      <c r="T46" s="450"/>
      <c r="U46" s="450"/>
      <c r="V46" s="450"/>
      <c r="W46" s="450"/>
      <c r="X46" s="450"/>
      <c r="Y46" s="450"/>
      <c r="Z46" s="450"/>
      <c r="AA46" s="450"/>
      <c r="AB46" s="450"/>
      <c r="AC46" s="450"/>
      <c r="AD46" s="450"/>
      <c r="AE46" s="450"/>
      <c r="AF46" s="450"/>
      <c r="AG46" s="450"/>
      <c r="AH46" s="450"/>
      <c r="AI46" s="450"/>
      <c r="AJ46" s="450"/>
      <c r="AK46" s="450"/>
      <c r="AL46" s="450"/>
      <c r="AM46" s="450"/>
      <c r="AN46" s="450"/>
      <c r="AO46" s="450"/>
      <c r="AP46" s="450"/>
      <c r="AQ46" s="450"/>
      <c r="AR46" s="450"/>
      <c r="AS46" s="450"/>
      <c r="AT46" s="450"/>
      <c r="AU46" s="450"/>
      <c r="AV46" s="450"/>
      <c r="AW46" s="450"/>
      <c r="AX46" s="450"/>
      <c r="AY46" s="450"/>
      <c r="AZ46" s="450"/>
      <c r="BA46" s="450"/>
      <c r="BB46" s="450"/>
      <c r="BC46" s="450"/>
      <c r="BD46" s="450"/>
      <c r="BE46" s="450"/>
      <c r="BF46" s="450"/>
      <c r="BG46" s="450"/>
      <c r="BH46" s="450"/>
      <c r="BI46" s="450"/>
      <c r="BJ46" s="450"/>
      <c r="BK46" s="450"/>
      <c r="BL46" s="450"/>
      <c r="BM46" s="450"/>
      <c r="BN46" s="450"/>
      <c r="BO46" s="450"/>
      <c r="BP46" s="450"/>
      <c r="BQ46" s="450"/>
      <c r="BR46" s="450"/>
      <c r="BS46" s="450"/>
      <c r="BT46" s="450"/>
      <c r="BU46" s="450"/>
      <c r="BV46" s="450"/>
      <c r="BW46" s="450"/>
      <c r="BX46" s="450"/>
      <c r="BY46" s="450"/>
      <c r="BZ46" s="450"/>
      <c r="CA46" s="450"/>
      <c r="CB46" s="450"/>
      <c r="CC46" s="450"/>
      <c r="CD46" s="450"/>
      <c r="CE46" s="450"/>
      <c r="CF46" s="450"/>
      <c r="CG46" s="450"/>
      <c r="CH46" s="450"/>
    </row>
    <row r="47">
      <c r="D47" s="450"/>
      <c r="E47" s="504"/>
      <c r="F47" s="491"/>
      <c r="G47" s="491"/>
      <c r="H47" s="450"/>
      <c r="I47" s="450"/>
      <c r="J47" s="450"/>
      <c r="K47" s="450"/>
      <c r="L47" s="450"/>
      <c r="M47" s="450"/>
      <c r="N47" s="450"/>
      <c r="O47" s="450"/>
      <c r="P47" s="450"/>
      <c r="Q47" s="450"/>
      <c r="R47" s="450"/>
      <c r="S47" s="450"/>
      <c r="T47" s="450"/>
      <c r="U47" s="450"/>
      <c r="V47" s="450"/>
      <c r="W47" s="450"/>
      <c r="X47" s="450"/>
      <c r="Y47" s="450"/>
      <c r="Z47" s="450"/>
      <c r="AA47" s="450"/>
      <c r="AB47" s="450"/>
      <c r="AC47" s="450"/>
      <c r="AD47" s="450"/>
      <c r="AE47" s="450"/>
      <c r="AF47" s="450"/>
      <c r="AG47" s="450"/>
      <c r="AH47" s="450"/>
      <c r="AI47" s="450"/>
      <c r="AJ47" s="450"/>
      <c r="AK47" s="450"/>
      <c r="AL47" s="450"/>
      <c r="AM47" s="450"/>
      <c r="AN47" s="450"/>
      <c r="AO47" s="450"/>
      <c r="AP47" s="450"/>
      <c r="AQ47" s="450"/>
      <c r="AR47" s="450"/>
      <c r="AS47" s="450"/>
      <c r="AT47" s="450"/>
      <c r="AU47" s="450"/>
      <c r="AV47" s="450"/>
      <c r="AW47" s="450"/>
      <c r="AX47" s="450"/>
      <c r="AY47" s="450"/>
      <c r="AZ47" s="450"/>
      <c r="BA47" s="450"/>
      <c r="BB47" s="450"/>
      <c r="BC47" s="450"/>
      <c r="BD47" s="450"/>
      <c r="BE47" s="450"/>
      <c r="BF47" s="450"/>
      <c r="BG47" s="450"/>
      <c r="BH47" s="450"/>
      <c r="BI47" s="450"/>
      <c r="BJ47" s="450"/>
      <c r="BK47" s="450"/>
      <c r="BL47" s="450"/>
      <c r="BM47" s="450"/>
      <c r="BN47" s="450"/>
      <c r="BO47" s="450"/>
      <c r="BP47" s="450"/>
      <c r="BQ47" s="450"/>
      <c r="BR47" s="450"/>
      <c r="BS47" s="450"/>
      <c r="BT47" s="450"/>
      <c r="BU47" s="450"/>
      <c r="BV47" s="450"/>
      <c r="BW47" s="450"/>
      <c r="BX47" s="450"/>
      <c r="BY47" s="450"/>
      <c r="BZ47" s="450"/>
      <c r="CA47" s="450"/>
      <c r="CB47" s="450"/>
      <c r="CC47" s="450"/>
      <c r="CD47" s="450"/>
      <c r="CE47" s="450"/>
      <c r="CF47" s="450"/>
      <c r="CG47" s="450"/>
      <c r="CH47" s="450"/>
    </row>
    <row r="48">
      <c r="D48" s="450"/>
      <c r="E48" s="504"/>
      <c r="F48" s="491"/>
      <c r="G48" s="491"/>
      <c r="H48" s="450"/>
      <c r="I48" s="450"/>
      <c r="J48" s="450"/>
      <c r="K48" s="450"/>
      <c r="L48" s="450"/>
      <c r="M48" s="450"/>
      <c r="N48" s="450"/>
      <c r="O48" s="450"/>
      <c r="P48" s="450"/>
      <c r="Q48" s="450"/>
      <c r="R48" s="450"/>
      <c r="S48" s="450"/>
      <c r="T48" s="450"/>
      <c r="U48" s="450"/>
      <c r="V48" s="450"/>
      <c r="W48" s="450"/>
      <c r="X48" s="450"/>
      <c r="Y48" s="450"/>
      <c r="Z48" s="450"/>
      <c r="AA48" s="450"/>
      <c r="AB48" s="450"/>
      <c r="AC48" s="450"/>
      <c r="AD48" s="450"/>
      <c r="AE48" s="450"/>
      <c r="AF48" s="450"/>
      <c r="AG48" s="450"/>
      <c r="AH48" s="450"/>
      <c r="AI48" s="450"/>
      <c r="AJ48" s="450"/>
      <c r="AK48" s="450"/>
      <c r="AL48" s="450"/>
      <c r="AM48" s="450"/>
      <c r="AN48" s="450"/>
      <c r="AO48" s="450"/>
      <c r="AP48" s="450"/>
      <c r="AQ48" s="450"/>
      <c r="AR48" s="450"/>
      <c r="AS48" s="450"/>
      <c r="AT48" s="450"/>
      <c r="AU48" s="450"/>
      <c r="AV48" s="450"/>
      <c r="AW48" s="450"/>
      <c r="AX48" s="450"/>
      <c r="AY48" s="450"/>
      <c r="AZ48" s="450"/>
      <c r="BA48" s="450"/>
      <c r="BB48" s="450"/>
      <c r="BC48" s="450"/>
      <c r="BD48" s="450"/>
      <c r="BE48" s="450"/>
      <c r="BF48" s="450"/>
      <c r="BG48" s="450"/>
      <c r="BH48" s="450"/>
      <c r="BI48" s="450"/>
      <c r="BJ48" s="450"/>
      <c r="BK48" s="450"/>
      <c r="BL48" s="450"/>
      <c r="BM48" s="450"/>
      <c r="BN48" s="450"/>
      <c r="BO48" s="450"/>
      <c r="BP48" s="450"/>
      <c r="BQ48" s="450"/>
      <c r="BR48" s="450"/>
      <c r="BS48" s="450"/>
      <c r="BT48" s="450"/>
      <c r="BU48" s="450"/>
      <c r="BV48" s="450"/>
      <c r="BW48" s="450"/>
      <c r="BX48" s="450"/>
      <c r="BY48" s="450"/>
      <c r="BZ48" s="450"/>
      <c r="CA48" s="450"/>
      <c r="CB48" s="450"/>
      <c r="CC48" s="450"/>
      <c r="CD48" s="450"/>
      <c r="CE48" s="450"/>
      <c r="CF48" s="450"/>
      <c r="CG48" s="450"/>
      <c r="CH48" s="450"/>
    </row>
    <row r="49">
      <c r="D49" s="450"/>
      <c r="E49" s="504"/>
      <c r="F49" s="491"/>
      <c r="G49" s="491"/>
      <c r="H49" s="450"/>
      <c r="I49" s="450"/>
      <c r="J49" s="450"/>
      <c r="K49" s="450"/>
      <c r="L49" s="450"/>
      <c r="M49" s="450"/>
      <c r="N49" s="450"/>
      <c r="O49" s="450"/>
      <c r="P49" s="450"/>
      <c r="Q49" s="450"/>
      <c r="R49" s="450"/>
      <c r="S49" s="450"/>
      <c r="T49" s="450"/>
      <c r="U49" s="450"/>
      <c r="V49" s="450"/>
      <c r="W49" s="450"/>
      <c r="X49" s="450"/>
      <c r="Y49" s="450"/>
      <c r="Z49" s="450"/>
      <c r="AA49" s="450"/>
      <c r="AB49" s="450"/>
      <c r="AC49" s="450"/>
      <c r="AD49" s="450"/>
      <c r="AE49" s="450"/>
      <c r="AF49" s="450"/>
      <c r="AG49" s="450"/>
      <c r="AH49" s="450"/>
      <c r="AI49" s="450"/>
      <c r="AJ49" s="450"/>
      <c r="AK49" s="450"/>
      <c r="AL49" s="450"/>
      <c r="AM49" s="450"/>
      <c r="AN49" s="450"/>
      <c r="AO49" s="450"/>
      <c r="AP49" s="450"/>
      <c r="AQ49" s="450"/>
      <c r="AR49" s="450"/>
      <c r="AS49" s="450"/>
      <c r="AT49" s="450"/>
      <c r="AU49" s="450"/>
      <c r="AV49" s="450"/>
      <c r="AW49" s="450"/>
      <c r="AX49" s="450"/>
      <c r="AY49" s="450"/>
      <c r="AZ49" s="450"/>
      <c r="BA49" s="450"/>
      <c r="BB49" s="450"/>
      <c r="BC49" s="450"/>
      <c r="BD49" s="450"/>
      <c r="BE49" s="450"/>
      <c r="BF49" s="450"/>
      <c r="BG49" s="450"/>
      <c r="BH49" s="450"/>
      <c r="BI49" s="450"/>
      <c r="BJ49" s="450"/>
      <c r="BK49" s="450"/>
      <c r="BL49" s="450"/>
      <c r="BM49" s="450"/>
      <c r="BN49" s="450"/>
      <c r="BO49" s="450"/>
      <c r="BP49" s="450"/>
      <c r="BQ49" s="450"/>
      <c r="BR49" s="450"/>
      <c r="BS49" s="450"/>
      <c r="BT49" s="450"/>
      <c r="BU49" s="450"/>
      <c r="BV49" s="450"/>
      <c r="BW49" s="450"/>
      <c r="BX49" s="450"/>
      <c r="BY49" s="450"/>
      <c r="BZ49" s="450"/>
      <c r="CA49" s="450"/>
      <c r="CB49" s="450"/>
      <c r="CC49" s="450"/>
      <c r="CD49" s="450"/>
      <c r="CE49" s="450"/>
      <c r="CF49" s="450"/>
      <c r="CG49" s="450"/>
      <c r="CH49" s="450"/>
    </row>
    <row r="50">
      <c r="D50" s="450"/>
      <c r="E50" s="504"/>
      <c r="F50" s="491"/>
      <c r="G50" s="491"/>
      <c r="H50" s="450"/>
      <c r="I50" s="450"/>
      <c r="J50" s="450"/>
      <c r="K50" s="450"/>
      <c r="L50" s="450"/>
      <c r="M50" s="450"/>
      <c r="N50" s="450"/>
      <c r="O50" s="450"/>
      <c r="P50" s="450"/>
      <c r="Q50" s="450"/>
      <c r="R50" s="450"/>
      <c r="S50" s="450"/>
      <c r="T50" s="450"/>
      <c r="U50" s="450"/>
      <c r="V50" s="450"/>
      <c r="W50" s="450"/>
      <c r="X50" s="450"/>
      <c r="Y50" s="450"/>
      <c r="Z50" s="450"/>
      <c r="AA50" s="450"/>
      <c r="AB50" s="450"/>
      <c r="AC50" s="450"/>
      <c r="AD50" s="450"/>
      <c r="AE50" s="450"/>
      <c r="AF50" s="450"/>
      <c r="AG50" s="450"/>
      <c r="AH50" s="450"/>
      <c r="AI50" s="450"/>
      <c r="AJ50" s="450"/>
      <c r="AK50" s="450"/>
      <c r="AL50" s="450"/>
      <c r="AM50" s="450"/>
      <c r="AN50" s="450"/>
      <c r="AO50" s="450"/>
      <c r="AP50" s="450"/>
      <c r="AQ50" s="450"/>
      <c r="AR50" s="450"/>
      <c r="AS50" s="450"/>
      <c r="AT50" s="450"/>
      <c r="AU50" s="450"/>
      <c r="AV50" s="450"/>
      <c r="AW50" s="450"/>
      <c r="AX50" s="450"/>
      <c r="AY50" s="450"/>
      <c r="AZ50" s="450"/>
      <c r="BA50" s="450"/>
      <c r="BB50" s="450"/>
      <c r="BC50" s="450"/>
      <c r="BD50" s="450"/>
      <c r="BE50" s="450"/>
      <c r="BF50" s="450"/>
      <c r="BG50" s="450"/>
      <c r="BH50" s="450"/>
      <c r="BI50" s="450"/>
      <c r="BJ50" s="450"/>
      <c r="BK50" s="450"/>
      <c r="BL50" s="450"/>
      <c r="BM50" s="450"/>
      <c r="BN50" s="450"/>
      <c r="BO50" s="450"/>
      <c r="BP50" s="450"/>
      <c r="BQ50" s="450"/>
      <c r="BR50" s="450"/>
      <c r="BS50" s="450"/>
      <c r="BT50" s="450"/>
      <c r="BU50" s="450"/>
      <c r="BV50" s="450"/>
      <c r="BW50" s="450"/>
      <c r="BX50" s="450"/>
      <c r="BY50" s="450"/>
      <c r="BZ50" s="450"/>
      <c r="CA50" s="450"/>
      <c r="CB50" s="450"/>
      <c r="CC50" s="450"/>
      <c r="CD50" s="450"/>
      <c r="CE50" s="450"/>
      <c r="CF50" s="450"/>
      <c r="CG50" s="450"/>
      <c r="CH50" s="450"/>
    </row>
    <row r="51">
      <c r="D51" s="450"/>
      <c r="E51" s="504"/>
      <c r="F51" s="491"/>
      <c r="G51" s="491"/>
      <c r="H51" s="450"/>
      <c r="I51" s="450"/>
      <c r="J51" s="450"/>
      <c r="K51" s="450"/>
      <c r="L51" s="450"/>
      <c r="M51" s="450"/>
      <c r="N51" s="450"/>
      <c r="O51" s="450"/>
      <c r="P51" s="450"/>
      <c r="Q51" s="450"/>
      <c r="R51" s="450"/>
      <c r="S51" s="450"/>
      <c r="T51" s="450"/>
      <c r="U51" s="450"/>
      <c r="V51" s="450"/>
      <c r="W51" s="450"/>
      <c r="X51" s="450"/>
      <c r="Y51" s="450"/>
      <c r="Z51" s="450"/>
      <c r="AA51" s="450"/>
      <c r="AB51" s="450"/>
      <c r="AC51" s="450"/>
      <c r="AD51" s="450"/>
      <c r="AE51" s="450"/>
      <c r="AF51" s="450"/>
      <c r="AG51" s="450"/>
      <c r="AH51" s="450"/>
      <c r="AI51" s="450"/>
      <c r="AJ51" s="450"/>
      <c r="AK51" s="450"/>
      <c r="AL51" s="450"/>
      <c r="AM51" s="450"/>
      <c r="AN51" s="450"/>
      <c r="AO51" s="450"/>
      <c r="AP51" s="450"/>
      <c r="AQ51" s="450"/>
      <c r="AR51" s="450"/>
      <c r="AS51" s="450"/>
      <c r="AT51" s="450"/>
      <c r="AU51" s="450"/>
      <c r="AV51" s="450"/>
      <c r="AW51" s="450"/>
      <c r="AX51" s="450"/>
      <c r="AY51" s="450"/>
      <c r="AZ51" s="450"/>
      <c r="BA51" s="450"/>
      <c r="BB51" s="450"/>
      <c r="BC51" s="450"/>
      <c r="BD51" s="450"/>
      <c r="BE51" s="450"/>
      <c r="BF51" s="450"/>
      <c r="BG51" s="450"/>
      <c r="BH51" s="450"/>
      <c r="BI51" s="450"/>
      <c r="BJ51" s="450"/>
      <c r="BK51" s="450"/>
      <c r="BL51" s="450"/>
      <c r="BM51" s="450"/>
      <c r="BN51" s="450"/>
      <c r="BO51" s="450"/>
      <c r="BP51" s="450"/>
      <c r="BQ51" s="450"/>
      <c r="BR51" s="450"/>
      <c r="BS51" s="450"/>
      <c r="BT51" s="450"/>
      <c r="BU51" s="450"/>
      <c r="BV51" s="450"/>
      <c r="BW51" s="450"/>
      <c r="BX51" s="450"/>
      <c r="BY51" s="450"/>
      <c r="BZ51" s="450"/>
      <c r="CA51" s="450"/>
      <c r="CB51" s="450"/>
      <c r="CC51" s="450"/>
      <c r="CD51" s="450"/>
      <c r="CE51" s="450"/>
      <c r="CF51" s="450"/>
      <c r="CG51" s="450"/>
      <c r="CH51" s="450"/>
    </row>
    <row r="52">
      <c r="E52" s="504"/>
      <c r="F52" s="491"/>
      <c r="G52" s="491"/>
      <c r="H52" s="450"/>
      <c r="I52" s="450"/>
      <c r="J52" s="450"/>
      <c r="K52" s="450"/>
      <c r="L52" s="450"/>
      <c r="M52" s="450"/>
      <c r="N52" s="450"/>
      <c r="O52" s="450"/>
      <c r="P52" s="450"/>
      <c r="Q52" s="450"/>
      <c r="R52" s="450"/>
      <c r="S52" s="450"/>
      <c r="T52" s="450"/>
      <c r="U52" s="450"/>
      <c r="V52" s="450"/>
      <c r="W52" s="450"/>
      <c r="X52" s="450"/>
      <c r="Y52" s="450"/>
      <c r="Z52" s="450"/>
      <c r="AA52" s="450"/>
      <c r="AB52" s="450"/>
      <c r="AC52" s="450"/>
      <c r="AD52" s="450"/>
      <c r="AE52" s="450"/>
      <c r="AF52" s="450"/>
      <c r="AG52" s="450"/>
      <c r="AH52" s="450"/>
      <c r="AI52" s="450"/>
      <c r="AJ52" s="450"/>
      <c r="AK52" s="450"/>
      <c r="AL52" s="450"/>
      <c r="AM52" s="450"/>
      <c r="AN52" s="450"/>
      <c r="AO52" s="450"/>
      <c r="AP52" s="450"/>
      <c r="AQ52" s="450"/>
      <c r="AR52" s="450"/>
      <c r="AS52" s="450"/>
      <c r="AT52" s="450"/>
      <c r="AU52" s="450"/>
      <c r="AV52" s="450"/>
      <c r="AW52" s="450"/>
      <c r="AX52" s="450"/>
      <c r="AY52" s="450"/>
      <c r="AZ52" s="450"/>
      <c r="BA52" s="450"/>
      <c r="BB52" s="450"/>
      <c r="BC52" s="450"/>
      <c r="BD52" s="450"/>
      <c r="BE52" s="450"/>
      <c r="BF52" s="450"/>
      <c r="BG52" s="450"/>
      <c r="BH52" s="450"/>
      <c r="BI52" s="450"/>
      <c r="BJ52" s="450"/>
      <c r="BK52" s="450"/>
      <c r="BL52" s="450"/>
      <c r="BM52" s="450"/>
      <c r="BN52" s="450"/>
      <c r="BO52" s="450"/>
      <c r="BP52" s="450"/>
      <c r="BQ52" s="450"/>
      <c r="BR52" s="450"/>
      <c r="BS52" s="450"/>
      <c r="BT52" s="450"/>
      <c r="BU52" s="450"/>
      <c r="BV52" s="450"/>
      <c r="BW52" s="450"/>
      <c r="BX52" s="450"/>
      <c r="BY52" s="450"/>
      <c r="BZ52" s="450"/>
      <c r="CA52" s="450"/>
      <c r="CB52" s="450"/>
      <c r="CC52" s="450"/>
      <c r="CD52" s="450"/>
      <c r="CE52" s="450"/>
      <c r="CF52" s="450"/>
      <c r="CG52" s="450"/>
      <c r="CH52" s="450"/>
    </row>
    <row r="53">
      <c r="E53" s="504"/>
      <c r="F53" s="491"/>
      <c r="G53" s="491"/>
      <c r="H53" s="450"/>
      <c r="I53" s="450"/>
      <c r="J53" s="450"/>
      <c r="K53" s="450"/>
      <c r="L53" s="450"/>
      <c r="M53" s="450"/>
      <c r="N53" s="450"/>
      <c r="O53" s="450"/>
      <c r="P53" s="450"/>
      <c r="Q53" s="450"/>
      <c r="R53" s="450"/>
      <c r="S53" s="450"/>
      <c r="T53" s="450"/>
      <c r="U53" s="450"/>
      <c r="V53" s="450"/>
      <c r="W53" s="450"/>
      <c r="X53" s="450"/>
      <c r="Y53" s="450"/>
      <c r="Z53" s="450"/>
      <c r="AA53" s="450"/>
      <c r="AB53" s="450"/>
      <c r="AC53" s="450"/>
      <c r="AD53" s="450"/>
      <c r="AE53" s="450"/>
      <c r="AF53" s="450"/>
      <c r="AG53" s="450"/>
      <c r="AH53" s="450"/>
      <c r="AI53" s="450"/>
      <c r="AJ53" s="450"/>
      <c r="AK53" s="450"/>
      <c r="AL53" s="450"/>
      <c r="AM53" s="450"/>
      <c r="AN53" s="450"/>
      <c r="AO53" s="450"/>
      <c r="AP53" s="450"/>
      <c r="AQ53" s="450"/>
      <c r="AR53" s="450"/>
      <c r="AS53" s="450"/>
      <c r="AT53" s="450"/>
      <c r="AU53" s="450"/>
      <c r="AV53" s="450"/>
      <c r="AW53" s="450"/>
      <c r="AX53" s="450"/>
      <c r="AY53" s="450"/>
      <c r="AZ53" s="450"/>
      <c r="BA53" s="450"/>
      <c r="BB53" s="450"/>
      <c r="BC53" s="450"/>
      <c r="BD53" s="450"/>
      <c r="BE53" s="450"/>
      <c r="BF53" s="450"/>
      <c r="BG53" s="450"/>
      <c r="BH53" s="450"/>
      <c r="BI53" s="450"/>
      <c r="BJ53" s="450"/>
      <c r="BK53" s="450"/>
      <c r="BL53" s="450"/>
      <c r="BM53" s="450"/>
      <c r="BN53" s="450"/>
      <c r="BO53" s="450"/>
      <c r="BP53" s="450"/>
      <c r="BQ53" s="450"/>
      <c r="BR53" s="450"/>
      <c r="BS53" s="450"/>
      <c r="BT53" s="450"/>
      <c r="BU53" s="450"/>
      <c r="BV53" s="450"/>
      <c r="BW53" s="450"/>
      <c r="BX53" s="450"/>
      <c r="BY53" s="450"/>
      <c r="BZ53" s="450"/>
      <c r="CA53" s="450"/>
      <c r="CB53" s="450"/>
      <c r="CC53" s="450"/>
      <c r="CD53" s="450"/>
      <c r="CE53" s="450"/>
      <c r="CF53" s="450"/>
      <c r="CG53" s="450"/>
      <c r="CH53" s="450"/>
    </row>
    <row r="54">
      <c r="E54" s="504"/>
      <c r="F54" s="491"/>
      <c r="G54" s="491"/>
      <c r="H54" s="450"/>
      <c r="I54" s="450"/>
      <c r="J54" s="450"/>
      <c r="K54" s="450"/>
      <c r="L54" s="450"/>
      <c r="M54" s="450"/>
      <c r="N54" s="450"/>
      <c r="O54" s="450"/>
      <c r="P54" s="450"/>
      <c r="Q54" s="450"/>
      <c r="R54" s="450"/>
      <c r="S54" s="450"/>
      <c r="T54" s="450"/>
      <c r="U54" s="450"/>
      <c r="V54" s="450"/>
      <c r="W54" s="450"/>
      <c r="X54" s="450"/>
      <c r="Y54" s="450"/>
      <c r="Z54" s="450"/>
      <c r="AA54" s="450"/>
      <c r="AB54" s="450"/>
      <c r="AC54" s="450"/>
      <c r="AD54" s="450"/>
      <c r="AE54" s="450"/>
      <c r="AF54" s="450"/>
      <c r="AG54" s="450"/>
      <c r="AH54" s="450"/>
      <c r="AI54" s="450"/>
      <c r="AJ54" s="450"/>
      <c r="AK54" s="450"/>
      <c r="AL54" s="450"/>
      <c r="AM54" s="450"/>
      <c r="AN54" s="450"/>
      <c r="AO54" s="450"/>
      <c r="AP54" s="450"/>
      <c r="AQ54" s="450"/>
      <c r="AR54" s="450"/>
      <c r="AS54" s="450"/>
      <c r="AT54" s="450"/>
      <c r="AU54" s="450"/>
      <c r="AV54" s="450"/>
      <c r="AW54" s="450"/>
      <c r="AX54" s="450"/>
      <c r="AY54" s="450"/>
      <c r="AZ54" s="450"/>
      <c r="BA54" s="450"/>
      <c r="BB54" s="450"/>
      <c r="BC54" s="450"/>
      <c r="BD54" s="450"/>
      <c r="BE54" s="450"/>
      <c r="BF54" s="450"/>
      <c r="BG54" s="450"/>
      <c r="BH54" s="450"/>
      <c r="BI54" s="450"/>
      <c r="BJ54" s="450"/>
      <c r="BK54" s="450"/>
      <c r="BL54" s="450"/>
      <c r="BM54" s="450"/>
      <c r="BN54" s="450"/>
      <c r="BO54" s="450"/>
      <c r="BP54" s="450"/>
      <c r="BQ54" s="450"/>
      <c r="BR54" s="450"/>
      <c r="BS54" s="450"/>
      <c r="BT54" s="450"/>
      <c r="BU54" s="450"/>
      <c r="BV54" s="450"/>
      <c r="BW54" s="450"/>
      <c r="BX54" s="450"/>
      <c r="BY54" s="450"/>
      <c r="BZ54" s="450"/>
      <c r="CA54" s="450"/>
      <c r="CB54" s="450"/>
      <c r="CC54" s="450"/>
      <c r="CD54" s="450"/>
      <c r="CE54" s="450"/>
      <c r="CF54" s="450"/>
      <c r="CG54" s="450"/>
      <c r="CH54" s="450"/>
    </row>
    <row r="55">
      <c r="H55" s="450"/>
      <c r="I55" s="450"/>
      <c r="J55" s="450"/>
      <c r="K55" s="450"/>
      <c r="L55" s="450"/>
      <c r="M55" s="450"/>
      <c r="N55" s="450"/>
      <c r="O55" s="450"/>
      <c r="P55" s="450"/>
      <c r="Q55" s="450"/>
      <c r="R55" s="450"/>
      <c r="S55" s="450"/>
      <c r="T55" s="450"/>
      <c r="U55" s="450"/>
      <c r="V55" s="450"/>
      <c r="W55" s="450"/>
      <c r="X55" s="450"/>
      <c r="Y55" s="450"/>
      <c r="Z55" s="450"/>
      <c r="AA55" s="450"/>
      <c r="AB55" s="450"/>
      <c r="AC55" s="450"/>
      <c r="AD55" s="450"/>
      <c r="AE55" s="450"/>
      <c r="AF55" s="450"/>
      <c r="AG55" s="450"/>
      <c r="AH55" s="450"/>
      <c r="AI55" s="450"/>
      <c r="AJ55" s="450"/>
      <c r="AK55" s="450"/>
      <c r="AL55" s="450"/>
      <c r="AM55" s="450"/>
      <c r="AN55" s="450"/>
      <c r="AO55" s="450"/>
      <c r="AP55" s="450"/>
      <c r="AQ55" s="450"/>
      <c r="AR55" s="450"/>
      <c r="AS55" s="450"/>
      <c r="AT55" s="450"/>
      <c r="AU55" s="450"/>
      <c r="AV55" s="450"/>
      <c r="AW55" s="450"/>
      <c r="AX55" s="450"/>
      <c r="AY55" s="450"/>
      <c r="AZ55" s="450"/>
      <c r="BA55" s="450"/>
      <c r="BB55" s="450"/>
      <c r="BC55" s="450"/>
      <c r="BD55" s="450"/>
      <c r="BE55" s="450"/>
      <c r="BF55" s="450"/>
      <c r="BG55" s="450"/>
      <c r="BH55" s="450"/>
      <c r="BI55" s="450"/>
      <c r="BJ55" s="450"/>
      <c r="BK55" s="450"/>
      <c r="BL55" s="450"/>
      <c r="BM55" s="450"/>
      <c r="BN55" s="450"/>
      <c r="BO55" s="450"/>
      <c r="BP55" s="450"/>
      <c r="BQ55" s="450"/>
      <c r="BR55" s="450"/>
      <c r="BS55" s="450"/>
      <c r="BT55" s="450"/>
      <c r="BU55" s="450"/>
      <c r="BV55" s="450"/>
      <c r="BW55" s="450"/>
      <c r="BX55" s="450"/>
      <c r="BY55" s="450"/>
      <c r="BZ55" s="450"/>
      <c r="CA55" s="450"/>
      <c r="CB55" s="450"/>
      <c r="CC55" s="450"/>
      <c r="CD55" s="450"/>
      <c r="CE55" s="450"/>
      <c r="CF55" s="450"/>
      <c r="CG55" s="450"/>
      <c r="CH55" s="450"/>
    </row>
    <row r="56">
      <c r="E56" s="450"/>
      <c r="F56" s="504"/>
      <c r="G56" s="491"/>
      <c r="H56" s="450"/>
      <c r="I56" s="450"/>
      <c r="J56" s="450"/>
      <c r="K56" s="450"/>
      <c r="L56" s="450"/>
      <c r="M56" s="450"/>
      <c r="N56" s="450"/>
      <c r="O56" s="450"/>
      <c r="P56" s="450"/>
      <c r="Q56" s="450"/>
      <c r="R56" s="450"/>
      <c r="S56" s="450"/>
      <c r="T56" s="450"/>
      <c r="U56" s="450"/>
      <c r="V56" s="450"/>
      <c r="W56" s="450"/>
      <c r="X56" s="450"/>
      <c r="Y56" s="450"/>
      <c r="Z56" s="450"/>
      <c r="AA56" s="450"/>
      <c r="AB56" s="450"/>
      <c r="AC56" s="450"/>
      <c r="AD56" s="450"/>
      <c r="AE56" s="450"/>
      <c r="AF56" s="450"/>
      <c r="AG56" s="450"/>
      <c r="AH56" s="450"/>
      <c r="AI56" s="450"/>
      <c r="AJ56" s="450"/>
      <c r="AK56" s="450"/>
      <c r="AL56" s="450"/>
      <c r="AM56" s="450"/>
      <c r="AN56" s="450"/>
      <c r="AO56" s="450"/>
      <c r="AP56" s="450"/>
      <c r="AQ56" s="450"/>
      <c r="AR56" s="450"/>
      <c r="AS56" s="450"/>
      <c r="AT56" s="450"/>
      <c r="AU56" s="450"/>
      <c r="AV56" s="450"/>
      <c r="AW56" s="450"/>
      <c r="AX56" s="450"/>
      <c r="AY56" s="450"/>
      <c r="AZ56" s="450"/>
      <c r="BA56" s="450"/>
      <c r="BB56" s="450"/>
      <c r="BC56" s="450"/>
      <c r="BD56" s="450"/>
      <c r="BE56" s="450"/>
      <c r="BF56" s="450"/>
      <c r="BG56" s="450"/>
      <c r="BH56" s="450"/>
      <c r="BI56" s="450"/>
      <c r="BJ56" s="450"/>
      <c r="BK56" s="450"/>
      <c r="BL56" s="450"/>
      <c r="BM56" s="450"/>
      <c r="BN56" s="450"/>
      <c r="BO56" s="450"/>
      <c r="BP56" s="450"/>
      <c r="BQ56" s="450"/>
      <c r="BR56" s="450"/>
      <c r="BS56" s="450"/>
      <c r="BT56" s="450"/>
      <c r="BU56" s="450"/>
      <c r="BV56" s="450"/>
      <c r="BW56" s="450"/>
      <c r="BX56" s="450"/>
      <c r="BY56" s="450"/>
      <c r="BZ56" s="450"/>
      <c r="CA56" s="450"/>
      <c r="CB56" s="450"/>
      <c r="CC56" s="450"/>
      <c r="CD56" s="450"/>
      <c r="CE56" s="450"/>
      <c r="CF56" s="450"/>
      <c r="CG56" s="450"/>
      <c r="CH56" s="450"/>
    </row>
    <row r="57">
      <c r="E57" s="504"/>
      <c r="F57" s="491"/>
      <c r="G57" s="491"/>
      <c r="H57" s="450"/>
      <c r="I57" s="450"/>
      <c r="J57" s="450"/>
      <c r="K57" s="450"/>
      <c r="L57" s="450"/>
      <c r="M57" s="450"/>
      <c r="N57" s="450"/>
      <c r="O57" s="450"/>
      <c r="P57" s="450"/>
      <c r="Q57" s="450"/>
      <c r="R57" s="450"/>
      <c r="S57" s="450"/>
      <c r="T57" s="450"/>
      <c r="U57" s="450"/>
      <c r="V57" s="450"/>
      <c r="W57" s="450"/>
      <c r="X57" s="450"/>
      <c r="Y57" s="450"/>
      <c r="Z57" s="450"/>
      <c r="AA57" s="450"/>
      <c r="AB57" s="450"/>
      <c r="AC57" s="450"/>
      <c r="AD57" s="450"/>
      <c r="AE57" s="450"/>
      <c r="AF57" s="450"/>
      <c r="AG57" s="450"/>
      <c r="AH57" s="450"/>
      <c r="AI57" s="450"/>
      <c r="AJ57" s="450"/>
      <c r="AK57" s="450"/>
      <c r="AL57" s="450"/>
      <c r="AM57" s="450"/>
      <c r="AN57" s="450"/>
      <c r="AO57" s="450"/>
      <c r="AP57" s="450"/>
      <c r="AQ57" s="450"/>
      <c r="AR57" s="450"/>
      <c r="AS57" s="450"/>
      <c r="AT57" s="450"/>
      <c r="AU57" s="450"/>
      <c r="AV57" s="450"/>
      <c r="AW57" s="450"/>
      <c r="AX57" s="450"/>
      <c r="AY57" s="450"/>
      <c r="AZ57" s="450"/>
      <c r="BA57" s="450"/>
      <c r="BB57" s="450"/>
      <c r="BC57" s="450"/>
      <c r="BD57" s="450"/>
      <c r="BE57" s="450"/>
      <c r="BF57" s="450"/>
      <c r="BG57" s="450"/>
      <c r="BH57" s="450"/>
      <c r="BI57" s="450"/>
      <c r="BJ57" s="450"/>
      <c r="BK57" s="450"/>
      <c r="BL57" s="450"/>
      <c r="BM57" s="450"/>
      <c r="BN57" s="450"/>
      <c r="BO57" s="450"/>
      <c r="BP57" s="450"/>
      <c r="BQ57" s="450"/>
      <c r="BR57" s="450"/>
      <c r="BS57" s="450"/>
      <c r="BT57" s="450"/>
      <c r="BU57" s="450"/>
      <c r="BV57" s="450"/>
      <c r="BW57" s="450"/>
      <c r="BX57" s="450"/>
      <c r="BY57" s="450"/>
      <c r="BZ57" s="450"/>
      <c r="CA57" s="450"/>
      <c r="CB57" s="450"/>
      <c r="CC57" s="450"/>
      <c r="CD57" s="450"/>
      <c r="CE57" s="450"/>
      <c r="CF57" s="450"/>
      <c r="CG57" s="450"/>
      <c r="CH57" s="450"/>
    </row>
    <row r="58">
      <c r="E58" s="450"/>
      <c r="F58" s="504"/>
      <c r="G58" s="491"/>
      <c r="H58" s="450"/>
      <c r="I58" s="450"/>
      <c r="J58" s="450"/>
      <c r="K58" s="450"/>
      <c r="L58" s="450"/>
      <c r="M58" s="450"/>
      <c r="N58" s="450"/>
      <c r="O58" s="450"/>
      <c r="P58" s="450"/>
      <c r="Q58" s="450"/>
      <c r="R58" s="450"/>
      <c r="S58" s="450"/>
      <c r="T58" s="450"/>
      <c r="U58" s="450"/>
      <c r="V58" s="450"/>
      <c r="W58" s="450"/>
      <c r="X58" s="450"/>
      <c r="Y58" s="450"/>
      <c r="Z58" s="450"/>
      <c r="AA58" s="450"/>
      <c r="AB58" s="450"/>
      <c r="AC58" s="450"/>
      <c r="AD58" s="450"/>
      <c r="AE58" s="450"/>
      <c r="AF58" s="450"/>
      <c r="AG58" s="450"/>
      <c r="AH58" s="450"/>
      <c r="AI58" s="450"/>
      <c r="AJ58" s="450"/>
      <c r="AK58" s="450"/>
      <c r="AL58" s="450"/>
      <c r="AM58" s="450"/>
      <c r="AN58" s="450"/>
      <c r="AO58" s="450"/>
      <c r="AP58" s="450"/>
      <c r="AQ58" s="450"/>
      <c r="AR58" s="450"/>
      <c r="AS58" s="450"/>
      <c r="AT58" s="450"/>
      <c r="AU58" s="450"/>
      <c r="AV58" s="450"/>
      <c r="AW58" s="450"/>
      <c r="AX58" s="450"/>
      <c r="AY58" s="450"/>
      <c r="AZ58" s="450"/>
      <c r="BA58" s="450"/>
      <c r="BB58" s="450"/>
      <c r="BC58" s="450"/>
      <c r="BD58" s="450"/>
      <c r="BE58" s="450"/>
      <c r="BF58" s="450"/>
      <c r="BG58" s="450"/>
      <c r="BH58" s="450"/>
      <c r="BI58" s="450"/>
      <c r="BJ58" s="450"/>
      <c r="BK58" s="450"/>
      <c r="BL58" s="450"/>
      <c r="BM58" s="450"/>
      <c r="BN58" s="450"/>
      <c r="BO58" s="450"/>
      <c r="BP58" s="450"/>
      <c r="BQ58" s="450"/>
      <c r="BR58" s="450"/>
      <c r="BS58" s="450"/>
      <c r="BT58" s="450"/>
      <c r="BU58" s="450"/>
      <c r="BV58" s="450"/>
      <c r="BW58" s="450"/>
      <c r="BX58" s="450"/>
      <c r="BY58" s="450"/>
      <c r="BZ58" s="450"/>
      <c r="CA58" s="450"/>
      <c r="CB58" s="450"/>
      <c r="CC58" s="450"/>
      <c r="CD58" s="450"/>
      <c r="CE58" s="450"/>
      <c r="CF58" s="450"/>
      <c r="CG58" s="450"/>
      <c r="CH58" s="450"/>
    </row>
    <row r="59">
      <c r="A59" s="505"/>
      <c r="E59" s="450"/>
      <c r="F59" s="504"/>
      <c r="G59" s="491"/>
      <c r="H59" s="450"/>
      <c r="I59" s="450"/>
      <c r="J59" s="450"/>
      <c r="K59" s="450"/>
      <c r="L59" s="450"/>
      <c r="M59" s="450"/>
      <c r="N59" s="450"/>
      <c r="O59" s="450"/>
      <c r="P59" s="450"/>
      <c r="Q59" s="450"/>
      <c r="R59" s="450"/>
      <c r="S59" s="450"/>
      <c r="T59" s="450"/>
      <c r="U59" s="450"/>
      <c r="V59" s="450"/>
      <c r="W59" s="450"/>
      <c r="X59" s="450"/>
      <c r="Y59" s="450"/>
      <c r="Z59" s="450"/>
      <c r="AA59" s="450"/>
      <c r="AB59" s="450"/>
      <c r="AC59" s="450"/>
      <c r="AD59" s="450"/>
      <c r="AE59" s="450"/>
      <c r="AF59" s="450"/>
      <c r="AG59" s="450"/>
      <c r="AH59" s="450"/>
      <c r="AI59" s="450"/>
      <c r="AJ59" s="450"/>
      <c r="AK59" s="450"/>
      <c r="AL59" s="450"/>
      <c r="AM59" s="450"/>
      <c r="AN59" s="450"/>
      <c r="AO59" s="450"/>
      <c r="AP59" s="450"/>
      <c r="AQ59" s="450"/>
      <c r="AR59" s="450"/>
      <c r="AS59" s="450"/>
      <c r="AT59" s="450"/>
      <c r="AU59" s="450"/>
      <c r="AV59" s="450"/>
      <c r="AW59" s="450"/>
      <c r="AX59" s="450"/>
      <c r="AY59" s="450"/>
      <c r="AZ59" s="450"/>
      <c r="BA59" s="450"/>
      <c r="BB59" s="450"/>
      <c r="BC59" s="450"/>
      <c r="BD59" s="450"/>
      <c r="BE59" s="450"/>
      <c r="BF59" s="450"/>
      <c r="BG59" s="450"/>
      <c r="BH59" s="450"/>
      <c r="BI59" s="450"/>
      <c r="BJ59" s="450"/>
      <c r="BK59" s="450"/>
      <c r="BL59" s="450"/>
      <c r="BM59" s="450"/>
      <c r="BN59" s="450"/>
      <c r="BO59" s="450"/>
      <c r="BP59" s="450"/>
      <c r="BQ59" s="450"/>
      <c r="BR59" s="450"/>
      <c r="BS59" s="450"/>
      <c r="BT59" s="450"/>
      <c r="BU59" s="450"/>
      <c r="BV59" s="450"/>
      <c r="BW59" s="450"/>
      <c r="BX59" s="450"/>
      <c r="BY59" s="450"/>
      <c r="BZ59" s="450"/>
      <c r="CA59" s="450"/>
      <c r="CB59" s="450"/>
      <c r="CC59" s="450"/>
      <c r="CD59" s="450"/>
      <c r="CE59" s="450"/>
      <c r="CF59" s="450"/>
      <c r="CG59" s="450"/>
      <c r="CH59" s="450"/>
    </row>
    <row r="60">
      <c r="A60" s="505"/>
      <c r="B60" s="450"/>
      <c r="C60" s="455"/>
      <c r="D60" s="450"/>
      <c r="E60" s="450"/>
      <c r="F60" s="504"/>
      <c r="G60" s="491"/>
      <c r="H60" s="450"/>
      <c r="I60" s="450"/>
      <c r="J60" s="450"/>
      <c r="K60" s="450"/>
      <c r="L60" s="450"/>
      <c r="M60" s="450"/>
      <c r="N60" s="450"/>
      <c r="O60" s="450"/>
      <c r="P60" s="450"/>
      <c r="Q60" s="450"/>
      <c r="R60" s="450"/>
      <c r="S60" s="450"/>
      <c r="T60" s="450"/>
      <c r="U60" s="450"/>
      <c r="V60" s="450"/>
      <c r="W60" s="450"/>
      <c r="X60" s="450"/>
      <c r="Y60" s="450"/>
      <c r="Z60" s="450"/>
      <c r="AA60" s="450"/>
      <c r="AB60" s="450"/>
      <c r="AC60" s="450"/>
      <c r="AD60" s="450"/>
      <c r="AE60" s="450"/>
      <c r="AF60" s="450"/>
      <c r="AG60" s="450"/>
      <c r="AH60" s="450"/>
      <c r="AI60" s="450"/>
      <c r="AJ60" s="450"/>
      <c r="AK60" s="450"/>
      <c r="AL60" s="450"/>
      <c r="AM60" s="450"/>
      <c r="AN60" s="450"/>
      <c r="AO60" s="450"/>
      <c r="AP60" s="450"/>
      <c r="AQ60" s="450"/>
      <c r="AR60" s="450"/>
      <c r="AS60" s="450"/>
      <c r="AT60" s="450"/>
      <c r="AU60" s="450"/>
      <c r="AV60" s="450"/>
      <c r="AW60" s="450"/>
      <c r="AX60" s="450"/>
      <c r="AY60" s="450"/>
      <c r="AZ60" s="450"/>
      <c r="BA60" s="450"/>
      <c r="BB60" s="450"/>
      <c r="BC60" s="450"/>
      <c r="BD60" s="450"/>
      <c r="BE60" s="450"/>
      <c r="BF60" s="450"/>
      <c r="BG60" s="450"/>
      <c r="BH60" s="450"/>
      <c r="BI60" s="450"/>
      <c r="BJ60" s="450"/>
      <c r="BK60" s="450"/>
      <c r="BL60" s="450"/>
      <c r="BM60" s="450"/>
      <c r="BN60" s="450"/>
      <c r="BO60" s="450"/>
      <c r="BP60" s="450"/>
      <c r="BQ60" s="450"/>
      <c r="BR60" s="450"/>
      <c r="BS60" s="450"/>
      <c r="BT60" s="450"/>
      <c r="BU60" s="450"/>
      <c r="BV60" s="450"/>
      <c r="BW60" s="450"/>
      <c r="BX60" s="450"/>
      <c r="BY60" s="450"/>
      <c r="BZ60" s="450"/>
      <c r="CA60" s="450"/>
      <c r="CB60" s="450"/>
      <c r="CC60" s="450"/>
      <c r="CD60" s="450"/>
      <c r="CE60" s="450"/>
      <c r="CF60" s="450"/>
      <c r="CG60" s="450"/>
      <c r="CH60" s="450"/>
    </row>
    <row r="61">
      <c r="A61" s="505"/>
      <c r="B61" s="450"/>
      <c r="C61" s="455"/>
      <c r="D61" s="450"/>
      <c r="E61" s="450"/>
      <c r="F61" s="504"/>
      <c r="G61" s="491"/>
      <c r="H61" s="450"/>
      <c r="I61" s="450"/>
      <c r="J61" s="450"/>
      <c r="K61" s="450"/>
      <c r="L61" s="450"/>
      <c r="M61" s="450"/>
      <c r="N61" s="450"/>
      <c r="O61" s="450"/>
      <c r="P61" s="450"/>
      <c r="Q61" s="450"/>
      <c r="R61" s="450"/>
      <c r="S61" s="450"/>
      <c r="T61" s="450"/>
      <c r="U61" s="450"/>
      <c r="V61" s="450"/>
      <c r="W61" s="450"/>
      <c r="X61" s="450"/>
      <c r="Y61" s="450"/>
      <c r="Z61" s="450"/>
      <c r="AA61" s="450"/>
      <c r="AB61" s="450"/>
      <c r="AC61" s="450"/>
      <c r="AD61" s="450"/>
      <c r="AE61" s="450"/>
      <c r="AF61" s="450"/>
      <c r="AG61" s="450"/>
      <c r="AH61" s="450"/>
      <c r="AI61" s="450"/>
      <c r="AJ61" s="450"/>
      <c r="AK61" s="450"/>
      <c r="AL61" s="450"/>
      <c r="AM61" s="450"/>
      <c r="AN61" s="450"/>
      <c r="AO61" s="450"/>
      <c r="AP61" s="450"/>
      <c r="AQ61" s="450"/>
      <c r="AR61" s="450"/>
      <c r="AS61" s="450"/>
      <c r="AT61" s="450"/>
      <c r="AU61" s="450"/>
      <c r="AV61" s="450"/>
      <c r="AW61" s="450"/>
      <c r="AX61" s="450"/>
      <c r="AY61" s="450"/>
      <c r="AZ61" s="450"/>
      <c r="BA61" s="450"/>
      <c r="BB61" s="450"/>
      <c r="BC61" s="450"/>
      <c r="BD61" s="450"/>
      <c r="BE61" s="450"/>
      <c r="BF61" s="450"/>
      <c r="BG61" s="450"/>
      <c r="BH61" s="450"/>
      <c r="BI61" s="450"/>
      <c r="BJ61" s="450"/>
      <c r="BK61" s="450"/>
      <c r="BL61" s="450"/>
      <c r="BM61" s="450"/>
      <c r="BN61" s="450"/>
      <c r="BO61" s="450"/>
      <c r="BP61" s="450"/>
      <c r="BQ61" s="450"/>
      <c r="BR61" s="450"/>
      <c r="BS61" s="450"/>
      <c r="BT61" s="450"/>
      <c r="BU61" s="450"/>
      <c r="BV61" s="450"/>
      <c r="BW61" s="450"/>
      <c r="BX61" s="450"/>
      <c r="BY61" s="450"/>
      <c r="BZ61" s="450"/>
      <c r="CA61" s="450"/>
      <c r="CB61" s="450"/>
      <c r="CC61" s="450"/>
      <c r="CD61" s="450"/>
      <c r="CE61" s="450"/>
      <c r="CF61" s="450"/>
      <c r="CG61" s="450"/>
      <c r="CH61" s="450"/>
    </row>
    <row r="62">
      <c r="A62" s="505"/>
      <c r="B62" s="450"/>
      <c r="C62" s="455"/>
      <c r="D62" s="450"/>
      <c r="E62" s="450"/>
      <c r="H62" s="450"/>
      <c r="I62" s="450"/>
      <c r="J62" s="450"/>
      <c r="K62" s="450"/>
      <c r="L62" s="450"/>
      <c r="M62" s="450"/>
      <c r="N62" s="450"/>
      <c r="O62" s="450"/>
      <c r="P62" s="450"/>
      <c r="Q62" s="450"/>
      <c r="R62" s="450"/>
      <c r="S62" s="450"/>
      <c r="T62" s="450"/>
      <c r="U62" s="450"/>
      <c r="V62" s="450"/>
      <c r="W62" s="450"/>
      <c r="X62" s="450"/>
      <c r="Y62" s="450"/>
      <c r="Z62" s="450"/>
      <c r="AA62" s="450"/>
      <c r="AB62" s="450"/>
      <c r="AC62" s="450"/>
      <c r="AD62" s="450"/>
      <c r="AE62" s="450"/>
      <c r="AF62" s="450"/>
      <c r="AG62" s="450"/>
      <c r="AH62" s="450"/>
      <c r="AI62" s="450"/>
      <c r="AJ62" s="450"/>
      <c r="AK62" s="450"/>
      <c r="AL62" s="450"/>
      <c r="AM62" s="450"/>
      <c r="AN62" s="450"/>
      <c r="AO62" s="450"/>
      <c r="AP62" s="450"/>
      <c r="AQ62" s="450"/>
      <c r="AR62" s="450"/>
      <c r="AS62" s="450"/>
      <c r="AT62" s="450"/>
      <c r="AU62" s="450"/>
      <c r="AV62" s="450"/>
      <c r="AW62" s="450"/>
      <c r="AX62" s="450"/>
      <c r="AY62" s="450"/>
      <c r="AZ62" s="450"/>
      <c r="BA62" s="450"/>
      <c r="BB62" s="450"/>
      <c r="BC62" s="450"/>
      <c r="BD62" s="450"/>
      <c r="BE62" s="450"/>
      <c r="BF62" s="450"/>
      <c r="BG62" s="450"/>
      <c r="BH62" s="450"/>
      <c r="BI62" s="450"/>
      <c r="BJ62" s="450"/>
      <c r="BK62" s="450"/>
      <c r="BL62" s="450"/>
      <c r="BM62" s="450"/>
      <c r="BN62" s="450"/>
      <c r="BO62" s="450"/>
      <c r="BP62" s="450"/>
      <c r="BQ62" s="450"/>
      <c r="BR62" s="450"/>
      <c r="BS62" s="450"/>
      <c r="BT62" s="450"/>
      <c r="BU62" s="450"/>
      <c r="BV62" s="450"/>
      <c r="BW62" s="450"/>
      <c r="BX62" s="450"/>
      <c r="BY62" s="450"/>
      <c r="BZ62" s="450"/>
      <c r="CA62" s="450"/>
      <c r="CB62" s="450"/>
      <c r="CC62" s="450"/>
      <c r="CD62" s="450"/>
      <c r="CE62" s="450"/>
      <c r="CF62" s="450"/>
      <c r="CG62" s="450"/>
      <c r="CH62" s="450"/>
    </row>
    <row r="63">
      <c r="A63" s="507"/>
      <c r="B63" s="450"/>
      <c r="C63" s="455"/>
      <c r="D63" s="450"/>
      <c r="E63" s="450"/>
      <c r="I63" s="450"/>
      <c r="J63" s="450"/>
      <c r="K63" s="450"/>
      <c r="L63" s="450"/>
      <c r="M63" s="450"/>
      <c r="N63" s="450"/>
      <c r="O63" s="450"/>
      <c r="P63" s="450"/>
      <c r="Q63" s="450"/>
      <c r="R63" s="450"/>
      <c r="S63" s="450"/>
      <c r="T63" s="450"/>
      <c r="U63" s="450"/>
      <c r="V63" s="450"/>
      <c r="W63" s="450"/>
      <c r="X63" s="450"/>
      <c r="Y63" s="450"/>
      <c r="Z63" s="450"/>
      <c r="AA63" s="450"/>
      <c r="AB63" s="450"/>
      <c r="AC63" s="450"/>
      <c r="AD63" s="450"/>
      <c r="AE63" s="450"/>
      <c r="AF63" s="450"/>
      <c r="AG63" s="450"/>
      <c r="AH63" s="450"/>
      <c r="AI63" s="450"/>
      <c r="AJ63" s="450"/>
      <c r="AK63" s="450"/>
      <c r="AL63" s="450"/>
      <c r="AM63" s="450"/>
      <c r="AN63" s="450"/>
      <c r="AO63" s="450"/>
      <c r="AP63" s="450"/>
      <c r="AQ63" s="450"/>
      <c r="AR63" s="450"/>
      <c r="AS63" s="450"/>
      <c r="AT63" s="450"/>
      <c r="AU63" s="450"/>
      <c r="AV63" s="450"/>
      <c r="AW63" s="450"/>
      <c r="AX63" s="450"/>
      <c r="AY63" s="450"/>
      <c r="AZ63" s="450"/>
      <c r="BA63" s="450"/>
      <c r="BB63" s="450"/>
      <c r="BC63" s="450"/>
      <c r="BD63" s="450"/>
      <c r="BE63" s="450"/>
      <c r="BF63" s="450"/>
      <c r="BG63" s="450"/>
      <c r="BH63" s="450"/>
      <c r="BI63" s="450"/>
      <c r="BJ63" s="450"/>
      <c r="BK63" s="450"/>
      <c r="BL63" s="450"/>
      <c r="BM63" s="450"/>
      <c r="BN63" s="450"/>
      <c r="BO63" s="450"/>
      <c r="BP63" s="450"/>
      <c r="BQ63" s="450"/>
      <c r="BR63" s="450"/>
      <c r="BS63" s="450"/>
      <c r="BT63" s="450"/>
      <c r="BU63" s="450"/>
      <c r="BV63" s="450"/>
      <c r="BW63" s="450"/>
      <c r="BX63" s="450"/>
      <c r="BY63" s="450"/>
      <c r="BZ63" s="450"/>
      <c r="CA63" s="450"/>
      <c r="CB63" s="450"/>
      <c r="CC63" s="450"/>
      <c r="CD63" s="450"/>
      <c r="CE63" s="450"/>
      <c r="CF63" s="450"/>
      <c r="CG63" s="450"/>
      <c r="CH63" s="450"/>
    </row>
    <row r="64">
      <c r="A64" s="507"/>
      <c r="B64" s="450"/>
      <c r="C64" s="455"/>
      <c r="D64" s="450"/>
      <c r="E64" s="450"/>
      <c r="I64" s="450"/>
      <c r="J64" s="450"/>
      <c r="K64" s="450"/>
      <c r="L64" s="450"/>
      <c r="M64" s="450"/>
      <c r="N64" s="450"/>
      <c r="O64" s="450"/>
      <c r="P64" s="450"/>
      <c r="Q64" s="450"/>
      <c r="R64" s="450"/>
      <c r="S64" s="450"/>
      <c r="T64" s="450"/>
      <c r="U64" s="450"/>
      <c r="V64" s="450"/>
      <c r="W64" s="450"/>
      <c r="X64" s="450"/>
      <c r="Y64" s="450"/>
      <c r="Z64" s="450"/>
      <c r="AA64" s="450"/>
      <c r="AB64" s="450"/>
      <c r="AC64" s="450"/>
      <c r="AD64" s="450"/>
      <c r="AE64" s="450"/>
      <c r="AF64" s="450"/>
      <c r="AG64" s="450"/>
      <c r="AH64" s="450"/>
      <c r="AI64" s="450"/>
      <c r="AJ64" s="450"/>
      <c r="AK64" s="450"/>
      <c r="AL64" s="450"/>
      <c r="AM64" s="450"/>
      <c r="AN64" s="450"/>
      <c r="AO64" s="450"/>
      <c r="AP64" s="450"/>
      <c r="AQ64" s="450"/>
      <c r="AR64" s="450"/>
      <c r="AS64" s="450"/>
      <c r="AT64" s="450"/>
      <c r="AU64" s="450"/>
      <c r="AV64" s="450"/>
      <c r="AW64" s="450"/>
      <c r="AX64" s="450"/>
      <c r="AY64" s="450"/>
      <c r="AZ64" s="450"/>
      <c r="BA64" s="450"/>
      <c r="BB64" s="450"/>
      <c r="BC64" s="450"/>
      <c r="BD64" s="450"/>
      <c r="BE64" s="450"/>
      <c r="BF64" s="450"/>
      <c r="BG64" s="450"/>
      <c r="BH64" s="450"/>
      <c r="BI64" s="450"/>
      <c r="BJ64" s="450"/>
      <c r="BK64" s="450"/>
      <c r="BL64" s="450"/>
      <c r="BM64" s="450"/>
      <c r="BN64" s="450"/>
      <c r="BO64" s="450"/>
      <c r="BP64" s="450"/>
      <c r="BQ64" s="450"/>
      <c r="BR64" s="450"/>
      <c r="BS64" s="450"/>
      <c r="BT64" s="450"/>
      <c r="BU64" s="450"/>
      <c r="BV64" s="450"/>
      <c r="BW64" s="450"/>
      <c r="BX64" s="450"/>
      <c r="BY64" s="450"/>
      <c r="BZ64" s="450"/>
      <c r="CA64" s="450"/>
      <c r="CB64" s="450"/>
      <c r="CC64" s="450"/>
      <c r="CD64" s="450"/>
      <c r="CE64" s="450"/>
      <c r="CF64" s="450"/>
      <c r="CG64" s="450"/>
      <c r="CH64" s="450"/>
    </row>
    <row r="65">
      <c r="A65" s="507"/>
      <c r="B65" s="450"/>
      <c r="C65" s="455"/>
      <c r="D65" s="450"/>
      <c r="E65" s="450"/>
      <c r="I65" s="450"/>
      <c r="J65" s="450"/>
      <c r="K65" s="450"/>
      <c r="L65" s="450"/>
      <c r="M65" s="450"/>
      <c r="N65" s="450"/>
      <c r="O65" s="450"/>
      <c r="P65" s="450"/>
      <c r="Q65" s="450"/>
      <c r="R65" s="450"/>
      <c r="S65" s="450"/>
      <c r="T65" s="450"/>
      <c r="U65" s="450"/>
      <c r="V65" s="450"/>
      <c r="W65" s="450"/>
      <c r="X65" s="450"/>
      <c r="Y65" s="450"/>
      <c r="Z65" s="450"/>
      <c r="AA65" s="450"/>
      <c r="AB65" s="450"/>
      <c r="AC65" s="450"/>
      <c r="AD65" s="450"/>
      <c r="AE65" s="450"/>
      <c r="AF65" s="450"/>
      <c r="AG65" s="450"/>
      <c r="AH65" s="450"/>
      <c r="AI65" s="450"/>
      <c r="AJ65" s="450"/>
      <c r="AK65" s="450"/>
      <c r="AL65" s="450"/>
      <c r="AM65" s="450"/>
      <c r="AN65" s="450"/>
      <c r="AO65" s="450"/>
      <c r="AP65" s="450"/>
      <c r="AQ65" s="450"/>
      <c r="AR65" s="450"/>
      <c r="AS65" s="450"/>
      <c r="AT65" s="450"/>
      <c r="AU65" s="450"/>
      <c r="AV65" s="450"/>
      <c r="AW65" s="450"/>
      <c r="AX65" s="450"/>
      <c r="AY65" s="450"/>
      <c r="AZ65" s="450"/>
      <c r="BA65" s="450"/>
      <c r="BB65" s="450"/>
      <c r="BC65" s="450"/>
      <c r="BD65" s="450"/>
      <c r="BE65" s="450"/>
      <c r="BF65" s="450"/>
      <c r="BG65" s="450"/>
      <c r="BH65" s="450"/>
      <c r="BI65" s="450"/>
      <c r="BJ65" s="450"/>
      <c r="BK65" s="450"/>
      <c r="BL65" s="450"/>
      <c r="BM65" s="450"/>
      <c r="BN65" s="450"/>
      <c r="BO65" s="450"/>
      <c r="BP65" s="450"/>
      <c r="BQ65" s="450"/>
      <c r="BR65" s="450"/>
      <c r="BS65" s="450"/>
      <c r="BT65" s="450"/>
      <c r="BU65" s="450"/>
      <c r="BV65" s="450"/>
      <c r="BW65" s="450"/>
      <c r="BX65" s="450"/>
      <c r="BY65" s="450"/>
      <c r="BZ65" s="450"/>
      <c r="CA65" s="450"/>
      <c r="CB65" s="450"/>
      <c r="CC65" s="450"/>
      <c r="CD65" s="450"/>
      <c r="CE65" s="450"/>
      <c r="CF65" s="450"/>
      <c r="CG65" s="450"/>
      <c r="CH65" s="450"/>
    </row>
    <row r="66">
      <c r="A66" s="507"/>
      <c r="B66" s="450"/>
      <c r="C66" s="455"/>
      <c r="D66" s="450"/>
      <c r="E66" s="450"/>
      <c r="I66" s="450"/>
      <c r="J66" s="450"/>
      <c r="K66" s="450"/>
      <c r="L66" s="450"/>
      <c r="M66" s="450"/>
      <c r="N66" s="450"/>
      <c r="O66" s="450"/>
      <c r="P66" s="450"/>
      <c r="Q66" s="450"/>
      <c r="R66" s="450"/>
      <c r="S66" s="450"/>
      <c r="T66" s="450"/>
      <c r="U66" s="450"/>
      <c r="V66" s="450"/>
      <c r="W66" s="450"/>
      <c r="X66" s="450"/>
      <c r="Y66" s="450"/>
      <c r="Z66" s="450"/>
      <c r="AA66" s="450"/>
      <c r="AB66" s="450"/>
      <c r="AC66" s="450"/>
      <c r="AD66" s="450"/>
      <c r="AE66" s="450"/>
      <c r="AF66" s="450"/>
      <c r="AG66" s="450"/>
      <c r="AH66" s="450"/>
      <c r="AI66" s="450"/>
      <c r="AJ66" s="450"/>
      <c r="AK66" s="450"/>
      <c r="AL66" s="450"/>
      <c r="AM66" s="450"/>
      <c r="AN66" s="450"/>
      <c r="AO66" s="450"/>
      <c r="AP66" s="450"/>
      <c r="AQ66" s="450"/>
      <c r="AR66" s="450"/>
      <c r="AS66" s="450"/>
      <c r="AT66" s="450"/>
      <c r="AU66" s="450"/>
      <c r="AV66" s="450"/>
      <c r="AW66" s="450"/>
      <c r="AX66" s="450"/>
      <c r="AY66" s="450"/>
      <c r="AZ66" s="450"/>
      <c r="BA66" s="450"/>
      <c r="BB66" s="450"/>
      <c r="BC66" s="450"/>
      <c r="BD66" s="450"/>
      <c r="BE66" s="450"/>
      <c r="BF66" s="450"/>
      <c r="BG66" s="450"/>
      <c r="BH66" s="450"/>
      <c r="BI66" s="450"/>
      <c r="BJ66" s="450"/>
      <c r="BK66" s="450"/>
      <c r="BL66" s="450"/>
      <c r="BM66" s="450"/>
      <c r="BN66" s="450"/>
      <c r="BO66" s="450"/>
      <c r="BP66" s="450"/>
      <c r="BQ66" s="450"/>
      <c r="BR66" s="450"/>
      <c r="BS66" s="450"/>
      <c r="BT66" s="450"/>
      <c r="BU66" s="450"/>
      <c r="BV66" s="450"/>
      <c r="BW66" s="450"/>
      <c r="BX66" s="450"/>
      <c r="BY66" s="450"/>
      <c r="BZ66" s="450"/>
      <c r="CA66" s="450"/>
      <c r="CB66" s="450"/>
      <c r="CC66" s="450"/>
      <c r="CD66" s="450"/>
      <c r="CE66" s="450"/>
      <c r="CF66" s="450"/>
      <c r="CG66" s="450"/>
      <c r="CH66" s="450"/>
    </row>
    <row r="67">
      <c r="A67" s="507"/>
      <c r="B67" s="450"/>
      <c r="C67" s="455"/>
      <c r="D67" s="450"/>
      <c r="E67" s="450"/>
      <c r="I67" s="450"/>
      <c r="J67" s="450"/>
      <c r="K67" s="450"/>
      <c r="L67" s="450"/>
      <c r="M67" s="450"/>
      <c r="N67" s="450"/>
      <c r="O67" s="450"/>
      <c r="P67" s="450"/>
      <c r="Q67" s="450"/>
      <c r="R67" s="450"/>
      <c r="S67" s="450"/>
      <c r="T67" s="450"/>
      <c r="U67" s="450"/>
      <c r="V67" s="450"/>
      <c r="W67" s="450"/>
      <c r="X67" s="450"/>
      <c r="Y67" s="450"/>
      <c r="Z67" s="450"/>
      <c r="AA67" s="450"/>
      <c r="AB67" s="450"/>
      <c r="AC67" s="450"/>
      <c r="AD67" s="450"/>
      <c r="AE67" s="450"/>
      <c r="AF67" s="450"/>
      <c r="AG67" s="450"/>
      <c r="AH67" s="450"/>
      <c r="AI67" s="450"/>
      <c r="AJ67" s="450"/>
      <c r="AK67" s="450"/>
      <c r="AL67" s="450"/>
      <c r="AM67" s="450"/>
      <c r="AN67" s="450"/>
      <c r="AO67" s="450"/>
      <c r="AP67" s="450"/>
      <c r="AQ67" s="450"/>
      <c r="AR67" s="450"/>
      <c r="AS67" s="450"/>
      <c r="AT67" s="450"/>
      <c r="AU67" s="450"/>
      <c r="AV67" s="450"/>
      <c r="AW67" s="450"/>
      <c r="AX67" s="450"/>
      <c r="AY67" s="450"/>
      <c r="AZ67" s="450"/>
      <c r="BA67" s="450"/>
      <c r="BB67" s="450"/>
      <c r="BC67" s="450"/>
      <c r="BD67" s="450"/>
      <c r="BE67" s="450"/>
      <c r="BF67" s="450"/>
      <c r="BG67" s="450"/>
      <c r="BH67" s="450"/>
      <c r="BI67" s="450"/>
      <c r="BJ67" s="450"/>
      <c r="BK67" s="450"/>
      <c r="BL67" s="450"/>
      <c r="BM67" s="450"/>
      <c r="BN67" s="450"/>
      <c r="BO67" s="450"/>
      <c r="BP67" s="450"/>
      <c r="BQ67" s="450"/>
      <c r="BR67" s="450"/>
      <c r="BS67" s="450"/>
      <c r="BT67" s="450"/>
      <c r="BU67" s="450"/>
      <c r="BV67" s="450"/>
      <c r="BW67" s="450"/>
      <c r="BX67" s="450"/>
      <c r="BY67" s="450"/>
      <c r="BZ67" s="450"/>
      <c r="CA67" s="450"/>
      <c r="CB67" s="450"/>
      <c r="CC67" s="450"/>
      <c r="CD67" s="450"/>
      <c r="CE67" s="450"/>
      <c r="CF67" s="450"/>
      <c r="CG67" s="450"/>
      <c r="CH67" s="450"/>
    </row>
    <row r="68">
      <c r="A68" s="507"/>
      <c r="B68" s="450"/>
      <c r="C68" s="455"/>
      <c r="D68" s="450"/>
      <c r="E68" s="450"/>
      <c r="I68" s="450"/>
      <c r="J68" s="450"/>
      <c r="K68" s="450"/>
      <c r="L68" s="450"/>
      <c r="M68" s="450"/>
      <c r="N68" s="450"/>
      <c r="O68" s="450"/>
      <c r="P68" s="450"/>
      <c r="Q68" s="450"/>
      <c r="R68" s="450"/>
      <c r="S68" s="450"/>
      <c r="T68" s="450"/>
      <c r="U68" s="450"/>
      <c r="V68" s="450"/>
      <c r="W68" s="450"/>
      <c r="X68" s="450"/>
      <c r="Y68" s="450"/>
      <c r="Z68" s="450"/>
      <c r="AA68" s="450"/>
      <c r="AB68" s="450"/>
      <c r="AC68" s="450"/>
      <c r="AD68" s="450"/>
      <c r="AE68" s="450"/>
      <c r="AF68" s="450"/>
      <c r="AG68" s="450"/>
      <c r="AH68" s="450"/>
      <c r="AI68" s="450"/>
      <c r="AJ68" s="450"/>
      <c r="AK68" s="450"/>
      <c r="AL68" s="450"/>
      <c r="AM68" s="450"/>
      <c r="AN68" s="450"/>
      <c r="AO68" s="450"/>
      <c r="AP68" s="450"/>
      <c r="AQ68" s="450"/>
      <c r="AR68" s="450"/>
      <c r="AS68" s="450"/>
      <c r="AT68" s="450"/>
      <c r="AU68" s="450"/>
      <c r="AV68" s="450"/>
      <c r="AW68" s="450"/>
      <c r="AX68" s="450"/>
      <c r="AY68" s="450"/>
      <c r="AZ68" s="450"/>
      <c r="BA68" s="450"/>
      <c r="BB68" s="450"/>
      <c r="BC68" s="450"/>
      <c r="BD68" s="450"/>
      <c r="BE68" s="450"/>
      <c r="BF68" s="450"/>
      <c r="BG68" s="450"/>
      <c r="BH68" s="450"/>
      <c r="BI68" s="450"/>
      <c r="BJ68" s="450"/>
      <c r="BK68" s="450"/>
      <c r="BL68" s="450"/>
      <c r="BM68" s="450"/>
      <c r="BN68" s="450"/>
      <c r="BO68" s="450"/>
      <c r="BP68" s="450"/>
      <c r="BQ68" s="450"/>
      <c r="BR68" s="450"/>
      <c r="BS68" s="450"/>
      <c r="BT68" s="450"/>
      <c r="BU68" s="450"/>
      <c r="BV68" s="450"/>
      <c r="BW68" s="450"/>
      <c r="BX68" s="450"/>
      <c r="BY68" s="450"/>
      <c r="BZ68" s="450"/>
      <c r="CA68" s="450"/>
      <c r="CB68" s="450"/>
      <c r="CC68" s="450"/>
      <c r="CD68" s="450"/>
      <c r="CE68" s="450"/>
      <c r="CF68" s="450"/>
      <c r="CG68" s="450"/>
      <c r="CH68" s="450"/>
    </row>
    <row r="69">
      <c r="A69" s="507"/>
      <c r="B69" s="450"/>
      <c r="C69" s="455"/>
      <c r="D69" s="450"/>
      <c r="E69" s="450"/>
      <c r="I69" s="450"/>
      <c r="J69" s="450"/>
      <c r="K69" s="450"/>
      <c r="L69" s="450"/>
      <c r="M69" s="450"/>
      <c r="N69" s="450"/>
      <c r="O69" s="450"/>
      <c r="P69" s="450"/>
      <c r="Q69" s="450"/>
      <c r="R69" s="450"/>
      <c r="S69" s="450"/>
      <c r="T69" s="450"/>
      <c r="U69" s="450"/>
      <c r="V69" s="450"/>
      <c r="W69" s="450"/>
      <c r="X69" s="450"/>
      <c r="Y69" s="450"/>
      <c r="Z69" s="450"/>
      <c r="AA69" s="450"/>
      <c r="AB69" s="450"/>
      <c r="AC69" s="450"/>
      <c r="AD69" s="450"/>
      <c r="AE69" s="450"/>
      <c r="AF69" s="450"/>
      <c r="AG69" s="450"/>
      <c r="AH69" s="450"/>
      <c r="AI69" s="450"/>
      <c r="AJ69" s="450"/>
      <c r="AK69" s="450"/>
      <c r="AL69" s="450"/>
      <c r="AM69" s="450"/>
      <c r="AN69" s="450"/>
      <c r="AO69" s="450"/>
      <c r="AP69" s="450"/>
      <c r="AQ69" s="450"/>
      <c r="AR69" s="450"/>
      <c r="AS69" s="450"/>
      <c r="AT69" s="450"/>
      <c r="AU69" s="450"/>
      <c r="AV69" s="450"/>
      <c r="AW69" s="450"/>
      <c r="AX69" s="450"/>
      <c r="AY69" s="450"/>
      <c r="AZ69" s="450"/>
      <c r="BA69" s="450"/>
      <c r="BB69" s="450"/>
      <c r="BC69" s="450"/>
      <c r="BD69" s="450"/>
      <c r="BE69" s="450"/>
      <c r="BF69" s="450"/>
      <c r="BG69" s="450"/>
      <c r="BH69" s="450"/>
      <c r="BI69" s="450"/>
      <c r="BJ69" s="450"/>
      <c r="BK69" s="450"/>
      <c r="BL69" s="450"/>
      <c r="BM69" s="450"/>
      <c r="BN69" s="450"/>
      <c r="BO69" s="450"/>
      <c r="BP69" s="450"/>
      <c r="BQ69" s="450"/>
      <c r="BR69" s="450"/>
      <c r="BS69" s="450"/>
      <c r="BT69" s="450"/>
      <c r="BU69" s="450"/>
      <c r="BV69" s="450"/>
      <c r="BW69" s="450"/>
      <c r="BX69" s="450"/>
      <c r="BY69" s="450"/>
      <c r="BZ69" s="450"/>
      <c r="CA69" s="450"/>
      <c r="CB69" s="450"/>
      <c r="CC69" s="450"/>
      <c r="CD69" s="450"/>
      <c r="CE69" s="450"/>
      <c r="CF69" s="450"/>
      <c r="CG69" s="450"/>
      <c r="CH69" s="450"/>
    </row>
    <row r="70">
      <c r="A70" s="507"/>
      <c r="B70" s="450"/>
      <c r="C70" s="455"/>
      <c r="D70" s="450"/>
      <c r="E70" s="450"/>
      <c r="I70" s="450"/>
      <c r="J70" s="450"/>
      <c r="K70" s="450"/>
      <c r="L70" s="450"/>
      <c r="M70" s="450"/>
      <c r="N70" s="450"/>
      <c r="O70" s="450"/>
      <c r="P70" s="450"/>
      <c r="Q70" s="450"/>
      <c r="R70" s="450"/>
      <c r="S70" s="450"/>
      <c r="T70" s="450"/>
      <c r="U70" s="450"/>
      <c r="V70" s="450"/>
      <c r="W70" s="450"/>
      <c r="X70" s="450"/>
      <c r="Y70" s="450"/>
      <c r="Z70" s="450"/>
      <c r="AA70" s="450"/>
      <c r="AB70" s="450"/>
      <c r="AC70" s="450"/>
      <c r="AD70" s="450"/>
      <c r="AE70" s="450"/>
      <c r="AF70" s="450"/>
      <c r="AG70" s="450"/>
      <c r="AH70" s="450"/>
      <c r="AI70" s="450"/>
      <c r="AJ70" s="450"/>
      <c r="AK70" s="450"/>
      <c r="AL70" s="450"/>
      <c r="AM70" s="450"/>
      <c r="AN70" s="450"/>
      <c r="AO70" s="450"/>
      <c r="AP70" s="450"/>
      <c r="AQ70" s="450"/>
      <c r="AR70" s="450"/>
      <c r="AS70" s="450"/>
      <c r="AT70" s="450"/>
      <c r="AU70" s="450"/>
      <c r="AV70" s="450"/>
      <c r="AW70" s="450"/>
      <c r="AX70" s="450"/>
      <c r="AY70" s="450"/>
      <c r="AZ70" s="450"/>
      <c r="BA70" s="450"/>
      <c r="BB70" s="450"/>
      <c r="BC70" s="450"/>
      <c r="BD70" s="450"/>
      <c r="BE70" s="450"/>
      <c r="BF70" s="450"/>
      <c r="BG70" s="450"/>
      <c r="BH70" s="450"/>
      <c r="BI70" s="450"/>
      <c r="BJ70" s="450"/>
      <c r="BK70" s="450"/>
      <c r="BL70" s="450"/>
      <c r="BM70" s="450"/>
      <c r="BN70" s="450"/>
      <c r="BO70" s="450"/>
      <c r="BP70" s="450"/>
      <c r="BQ70" s="450"/>
      <c r="BR70" s="450"/>
      <c r="BS70" s="450"/>
      <c r="BT70" s="450"/>
      <c r="BU70" s="450"/>
      <c r="BV70" s="450"/>
      <c r="BW70" s="450"/>
      <c r="BX70" s="450"/>
      <c r="BY70" s="450"/>
      <c r="BZ70" s="450"/>
      <c r="CA70" s="450"/>
      <c r="CB70" s="450"/>
      <c r="CC70" s="450"/>
      <c r="CD70" s="450"/>
      <c r="CE70" s="450"/>
      <c r="CF70" s="450"/>
      <c r="CG70" s="450"/>
      <c r="CH70" s="450"/>
    </row>
    <row r="71">
      <c r="A71" s="494" t="s">
        <v>1272</v>
      </c>
      <c r="B71" s="450"/>
      <c r="C71" s="455"/>
      <c r="D71" s="450"/>
      <c r="E71" s="450"/>
      <c r="I71" s="450"/>
      <c r="J71" s="450"/>
      <c r="K71" s="450"/>
      <c r="L71" s="450"/>
      <c r="M71" s="450"/>
      <c r="N71" s="450"/>
      <c r="O71" s="450"/>
      <c r="P71" s="450"/>
      <c r="Q71" s="450"/>
      <c r="R71" s="450"/>
      <c r="S71" s="450"/>
      <c r="T71" s="450"/>
      <c r="U71" s="450"/>
      <c r="V71" s="450"/>
      <c r="W71" s="450"/>
      <c r="X71" s="450"/>
      <c r="Y71" s="450"/>
      <c r="Z71" s="450"/>
      <c r="AA71" s="450"/>
      <c r="AB71" s="450"/>
      <c r="AC71" s="450"/>
      <c r="AD71" s="450"/>
      <c r="AE71" s="450"/>
      <c r="AF71" s="450"/>
      <c r="AG71" s="450"/>
      <c r="AH71" s="450"/>
      <c r="AI71" s="450"/>
      <c r="AJ71" s="450"/>
      <c r="AK71" s="450"/>
      <c r="AL71" s="450"/>
      <c r="AM71" s="450"/>
      <c r="AN71" s="450"/>
      <c r="AO71" s="450"/>
      <c r="AP71" s="450"/>
      <c r="AQ71" s="450"/>
      <c r="AR71" s="450"/>
      <c r="AS71" s="450"/>
      <c r="AT71" s="450"/>
      <c r="AU71" s="450"/>
      <c r="AV71" s="450"/>
      <c r="AW71" s="450"/>
      <c r="AX71" s="450"/>
      <c r="AY71" s="450"/>
      <c r="AZ71" s="450"/>
      <c r="BA71" s="450"/>
      <c r="BB71" s="450"/>
      <c r="BC71" s="450"/>
      <c r="BD71" s="450"/>
      <c r="BE71" s="450"/>
      <c r="BF71" s="450"/>
      <c r="BG71" s="450"/>
      <c r="BH71" s="450"/>
      <c r="BI71" s="450"/>
      <c r="BJ71" s="450"/>
      <c r="BK71" s="450"/>
      <c r="BL71" s="450"/>
      <c r="BM71" s="450"/>
      <c r="BN71" s="450"/>
      <c r="BO71" s="450"/>
      <c r="BP71" s="450"/>
      <c r="BQ71" s="450"/>
      <c r="BR71" s="450"/>
      <c r="BS71" s="450"/>
      <c r="BT71" s="450"/>
      <c r="BU71" s="450"/>
      <c r="BV71" s="450"/>
      <c r="BW71" s="450"/>
      <c r="BX71" s="450"/>
      <c r="BY71" s="450"/>
      <c r="BZ71" s="450"/>
      <c r="CA71" s="450"/>
      <c r="CB71" s="450"/>
      <c r="CC71" s="450"/>
      <c r="CD71" s="450"/>
      <c r="CE71" s="450"/>
      <c r="CF71" s="450"/>
      <c r="CG71" s="450"/>
      <c r="CH71" s="450"/>
    </row>
    <row r="72">
      <c r="A72" s="478" t="s">
        <v>1273</v>
      </c>
      <c r="B72" s="450"/>
      <c r="C72" s="455"/>
      <c r="D72" s="450"/>
      <c r="E72" s="478" t="s">
        <v>1274</v>
      </c>
      <c r="I72" s="450"/>
      <c r="J72" s="450"/>
      <c r="K72" s="450"/>
      <c r="L72" s="450"/>
      <c r="M72" s="450"/>
      <c r="N72" s="450"/>
      <c r="O72" s="450"/>
      <c r="P72" s="450"/>
      <c r="Q72" s="450"/>
      <c r="R72" s="450"/>
      <c r="S72" s="450"/>
      <c r="T72" s="450"/>
      <c r="U72" s="450"/>
      <c r="V72" s="450"/>
      <c r="W72" s="450"/>
      <c r="X72" s="450"/>
      <c r="Y72" s="450"/>
      <c r="Z72" s="450"/>
      <c r="AA72" s="450"/>
      <c r="AB72" s="450"/>
      <c r="AC72" s="450"/>
      <c r="AD72" s="450"/>
      <c r="AE72" s="450"/>
      <c r="AF72" s="450"/>
      <c r="AG72" s="450"/>
      <c r="AH72" s="450"/>
      <c r="AI72" s="450"/>
      <c r="AJ72" s="450"/>
      <c r="AK72" s="450"/>
      <c r="AL72" s="450"/>
      <c r="AM72" s="450"/>
      <c r="AN72" s="450"/>
      <c r="AO72" s="450"/>
      <c r="AP72" s="450"/>
      <c r="AQ72" s="450"/>
      <c r="AR72" s="450"/>
      <c r="AS72" s="450"/>
      <c r="AT72" s="450"/>
      <c r="AU72" s="450"/>
      <c r="AV72" s="450"/>
      <c r="AW72" s="450"/>
      <c r="AX72" s="450"/>
      <c r="AY72" s="450"/>
      <c r="AZ72" s="450"/>
      <c r="BA72" s="450"/>
      <c r="BB72" s="450"/>
      <c r="BC72" s="450"/>
      <c r="BD72" s="450"/>
      <c r="BE72" s="450"/>
      <c r="BF72" s="450"/>
      <c r="BG72" s="450"/>
      <c r="BH72" s="450"/>
      <c r="BI72" s="450"/>
      <c r="BJ72" s="450"/>
      <c r="BK72" s="450"/>
      <c r="BL72" s="450"/>
      <c r="BM72" s="450"/>
      <c r="BN72" s="450"/>
      <c r="BO72" s="450"/>
      <c r="BP72" s="450"/>
      <c r="BQ72" s="450"/>
      <c r="BR72" s="450"/>
      <c r="BS72" s="450"/>
      <c r="BT72" s="450"/>
      <c r="BU72" s="450"/>
      <c r="BV72" s="450"/>
      <c r="BW72" s="450"/>
      <c r="BX72" s="450"/>
      <c r="BY72" s="450"/>
      <c r="BZ72" s="450"/>
      <c r="CA72" s="450"/>
      <c r="CB72" s="450"/>
      <c r="CC72" s="450"/>
      <c r="CD72" s="450"/>
      <c r="CE72" s="450"/>
      <c r="CF72" s="450"/>
      <c r="CG72" s="450"/>
      <c r="CH72" s="450"/>
    </row>
    <row r="73">
      <c r="D73" s="450"/>
      <c r="J73" s="450"/>
      <c r="K73" s="450"/>
      <c r="L73" s="450"/>
      <c r="M73" s="450"/>
      <c r="N73" s="450"/>
      <c r="O73" s="450"/>
      <c r="P73" s="450"/>
      <c r="Q73" s="450"/>
      <c r="R73" s="450"/>
      <c r="S73" s="450"/>
      <c r="T73" s="450"/>
      <c r="U73" s="450"/>
      <c r="V73" s="450"/>
      <c r="W73" s="450"/>
      <c r="X73" s="450"/>
      <c r="Y73" s="450"/>
      <c r="Z73" s="450"/>
      <c r="AA73" s="450"/>
      <c r="AB73" s="450"/>
      <c r="AC73" s="450"/>
      <c r="AD73" s="450"/>
      <c r="AE73" s="450"/>
      <c r="AF73" s="450"/>
      <c r="AG73" s="450"/>
      <c r="AH73" s="450"/>
      <c r="AI73" s="450"/>
      <c r="AJ73" s="450"/>
      <c r="AK73" s="450"/>
      <c r="AL73" s="450"/>
      <c r="AM73" s="450"/>
      <c r="AN73" s="450"/>
      <c r="AO73" s="450"/>
      <c r="AP73" s="450"/>
      <c r="AQ73" s="450"/>
      <c r="AR73" s="450"/>
      <c r="AS73" s="450"/>
      <c r="AT73" s="450"/>
      <c r="AU73" s="450"/>
      <c r="AV73" s="450"/>
      <c r="AW73" s="450"/>
      <c r="AX73" s="450"/>
      <c r="AY73" s="450"/>
      <c r="AZ73" s="450"/>
      <c r="BA73" s="450"/>
      <c r="BB73" s="450"/>
      <c r="BC73" s="450"/>
      <c r="BD73" s="450"/>
      <c r="BE73" s="450"/>
      <c r="BF73" s="450"/>
      <c r="BG73" s="450"/>
      <c r="BH73" s="450"/>
      <c r="BI73" s="450"/>
      <c r="BJ73" s="450"/>
      <c r="BK73" s="450"/>
      <c r="BL73" s="450"/>
      <c r="BM73" s="450"/>
      <c r="BN73" s="450"/>
      <c r="BO73" s="450"/>
      <c r="BP73" s="450"/>
      <c r="BQ73" s="450"/>
      <c r="BR73" s="450"/>
      <c r="BS73" s="450"/>
      <c r="BT73" s="450"/>
      <c r="BU73" s="450"/>
      <c r="BV73" s="450"/>
      <c r="BW73" s="450"/>
      <c r="BX73" s="450"/>
      <c r="BY73" s="450"/>
      <c r="BZ73" s="450"/>
      <c r="CA73" s="450"/>
      <c r="CB73" s="450"/>
      <c r="CC73" s="450"/>
      <c r="CD73" s="450"/>
      <c r="CE73" s="450"/>
      <c r="CF73" s="450"/>
      <c r="CG73" s="450"/>
      <c r="CH73" s="450"/>
    </row>
    <row r="74">
      <c r="D74" s="450"/>
      <c r="J74" s="450"/>
      <c r="K74" s="450"/>
      <c r="L74" s="450"/>
      <c r="M74" s="450"/>
      <c r="N74" s="450"/>
      <c r="O74" s="450"/>
      <c r="P74" s="450"/>
      <c r="Q74" s="450"/>
      <c r="R74" s="450"/>
      <c r="S74" s="450"/>
      <c r="T74" s="450"/>
      <c r="U74" s="450"/>
      <c r="V74" s="450"/>
      <c r="W74" s="450"/>
      <c r="X74" s="450"/>
      <c r="Y74" s="450"/>
      <c r="Z74" s="450"/>
      <c r="AA74" s="450"/>
      <c r="AB74" s="450"/>
      <c r="AC74" s="450"/>
      <c r="AD74" s="450"/>
      <c r="AE74" s="450"/>
      <c r="AF74" s="450"/>
      <c r="AG74" s="450"/>
      <c r="AH74" s="450"/>
      <c r="AI74" s="450"/>
      <c r="AJ74" s="450"/>
      <c r="AK74" s="450"/>
      <c r="AL74" s="450"/>
      <c r="AM74" s="450"/>
      <c r="AN74" s="450"/>
      <c r="AO74" s="450"/>
      <c r="AP74" s="450"/>
      <c r="AQ74" s="450"/>
      <c r="AR74" s="450"/>
      <c r="AS74" s="450"/>
      <c r="AT74" s="450"/>
      <c r="AU74" s="450"/>
      <c r="AV74" s="450"/>
      <c r="AW74" s="450"/>
      <c r="AX74" s="450"/>
      <c r="AY74" s="450"/>
      <c r="AZ74" s="450"/>
      <c r="BA74" s="450"/>
      <c r="BB74" s="450"/>
      <c r="BC74" s="450"/>
      <c r="BD74" s="450"/>
      <c r="BE74" s="450"/>
      <c r="BF74" s="450"/>
      <c r="BG74" s="450"/>
      <c r="BH74" s="450"/>
      <c r="BI74" s="450"/>
      <c r="BJ74" s="450"/>
      <c r="BK74" s="450"/>
      <c r="BL74" s="450"/>
      <c r="BM74" s="450"/>
      <c r="BN74" s="450"/>
      <c r="BO74" s="450"/>
      <c r="BP74" s="450"/>
      <c r="BQ74" s="450"/>
      <c r="BR74" s="450"/>
      <c r="BS74" s="450"/>
      <c r="BT74" s="450"/>
      <c r="BU74" s="450"/>
      <c r="BV74" s="450"/>
      <c r="BW74" s="450"/>
      <c r="BX74" s="450"/>
      <c r="BY74" s="450"/>
      <c r="BZ74" s="450"/>
      <c r="CA74" s="450"/>
      <c r="CB74" s="450"/>
      <c r="CC74" s="450"/>
      <c r="CD74" s="450"/>
      <c r="CE74" s="450"/>
      <c r="CF74" s="450"/>
      <c r="CG74" s="450"/>
      <c r="CH74" s="450"/>
    </row>
    <row r="75">
      <c r="D75" s="450"/>
      <c r="H75" s="114">
        <f t="shared" ref="H75:H86" si="1">G75-C75</f>
        <v>0</v>
      </c>
      <c r="J75" s="450"/>
      <c r="K75" s="450"/>
      <c r="L75" s="450"/>
      <c r="M75" s="450"/>
      <c r="N75" s="450"/>
      <c r="O75" s="450"/>
      <c r="P75" s="450"/>
      <c r="Q75" s="450"/>
      <c r="R75" s="450"/>
      <c r="S75" s="450"/>
      <c r="T75" s="450"/>
      <c r="U75" s="450"/>
      <c r="V75" s="450"/>
      <c r="W75" s="450"/>
      <c r="X75" s="450"/>
      <c r="Y75" s="450"/>
      <c r="Z75" s="450"/>
      <c r="AA75" s="450"/>
      <c r="AB75" s="450"/>
      <c r="AC75" s="450"/>
      <c r="AD75" s="450"/>
      <c r="AE75" s="450"/>
      <c r="AF75" s="450"/>
      <c r="AG75" s="450"/>
      <c r="AH75" s="450"/>
      <c r="AI75" s="450"/>
      <c r="AJ75" s="450"/>
      <c r="AK75" s="450"/>
      <c r="AL75" s="450"/>
      <c r="AM75" s="450"/>
      <c r="AN75" s="450"/>
      <c r="AO75" s="450"/>
      <c r="AP75" s="450"/>
      <c r="AQ75" s="450"/>
      <c r="AR75" s="450"/>
      <c r="AS75" s="450"/>
      <c r="AT75" s="450"/>
      <c r="AU75" s="450"/>
      <c r="AV75" s="450"/>
      <c r="AW75" s="450"/>
      <c r="AX75" s="450"/>
      <c r="AY75" s="450"/>
      <c r="AZ75" s="450"/>
      <c r="BA75" s="450"/>
      <c r="BB75" s="450"/>
      <c r="BC75" s="450"/>
      <c r="BD75" s="450"/>
      <c r="BE75" s="450"/>
      <c r="BF75" s="450"/>
      <c r="BG75" s="450"/>
      <c r="BH75" s="450"/>
      <c r="BI75" s="450"/>
      <c r="BJ75" s="450"/>
      <c r="BK75" s="450"/>
      <c r="BL75" s="450"/>
      <c r="BM75" s="450"/>
      <c r="BN75" s="450"/>
      <c r="BO75" s="450"/>
      <c r="BP75" s="450"/>
      <c r="BQ75" s="450"/>
      <c r="BR75" s="450"/>
      <c r="BS75" s="450"/>
      <c r="BT75" s="450"/>
      <c r="BU75" s="450"/>
      <c r="BV75" s="450"/>
      <c r="BW75" s="450"/>
      <c r="BX75" s="450"/>
      <c r="BY75" s="450"/>
      <c r="BZ75" s="450"/>
      <c r="CA75" s="450"/>
      <c r="CB75" s="450"/>
      <c r="CC75" s="450"/>
      <c r="CD75" s="450"/>
      <c r="CE75" s="450"/>
      <c r="CF75" s="450"/>
      <c r="CG75" s="450"/>
      <c r="CH75" s="450"/>
    </row>
    <row r="76">
      <c r="D76" s="450"/>
      <c r="H76" s="114">
        <f t="shared" si="1"/>
        <v>498.0502422</v>
      </c>
      <c r="J76" s="450"/>
      <c r="K76" s="450"/>
      <c r="L76" s="450"/>
      <c r="M76" s="450"/>
      <c r="N76" s="450"/>
      <c r="O76" s="450"/>
      <c r="P76" s="450"/>
      <c r="Q76" s="450"/>
      <c r="R76" s="450"/>
      <c r="S76" s="450"/>
      <c r="T76" s="450"/>
      <c r="U76" s="450"/>
      <c r="V76" s="450"/>
      <c r="W76" s="450"/>
      <c r="X76" s="450"/>
      <c r="Y76" s="450"/>
      <c r="Z76" s="450"/>
      <c r="AA76" s="450"/>
      <c r="AB76" s="450"/>
      <c r="AC76" s="450"/>
      <c r="AD76" s="450"/>
      <c r="AE76" s="450"/>
      <c r="AF76" s="450"/>
      <c r="AG76" s="450"/>
      <c r="AH76" s="450"/>
      <c r="AI76" s="450"/>
      <c r="AJ76" s="450"/>
      <c r="AK76" s="450"/>
      <c r="AL76" s="450"/>
      <c r="AM76" s="450"/>
      <c r="AN76" s="450"/>
      <c r="AO76" s="450"/>
      <c r="AP76" s="450"/>
      <c r="AQ76" s="450"/>
      <c r="AR76" s="450"/>
      <c r="AS76" s="450"/>
      <c r="AT76" s="450"/>
      <c r="AU76" s="450"/>
      <c r="AV76" s="450"/>
      <c r="AW76" s="450"/>
      <c r="AX76" s="450"/>
      <c r="AY76" s="450"/>
      <c r="AZ76" s="450"/>
      <c r="BA76" s="450"/>
      <c r="BB76" s="450"/>
      <c r="BC76" s="450"/>
      <c r="BD76" s="450"/>
      <c r="BE76" s="450"/>
      <c r="BF76" s="450"/>
      <c r="BG76" s="450"/>
      <c r="BH76" s="450"/>
      <c r="BI76" s="450"/>
      <c r="BJ76" s="450"/>
      <c r="BK76" s="450"/>
      <c r="BL76" s="450"/>
      <c r="BM76" s="450"/>
      <c r="BN76" s="450"/>
      <c r="BO76" s="450"/>
      <c r="BP76" s="450"/>
      <c r="BQ76" s="450"/>
      <c r="BR76" s="450"/>
      <c r="BS76" s="450"/>
      <c r="BT76" s="450"/>
      <c r="BU76" s="450"/>
      <c r="BV76" s="450"/>
      <c r="BW76" s="450"/>
      <c r="BX76" s="450"/>
      <c r="BY76" s="450"/>
      <c r="BZ76" s="450"/>
      <c r="CA76" s="450"/>
      <c r="CB76" s="450"/>
      <c r="CC76" s="450"/>
      <c r="CD76" s="450"/>
      <c r="CE76" s="450"/>
      <c r="CF76" s="450"/>
      <c r="CG76" s="450"/>
      <c r="CH76" s="450"/>
    </row>
    <row r="77">
      <c r="D77" s="450"/>
      <c r="H77" s="114">
        <f t="shared" si="1"/>
        <v>0</v>
      </c>
      <c r="J77" s="450"/>
      <c r="K77" s="450"/>
      <c r="L77" s="450"/>
      <c r="M77" s="450"/>
      <c r="N77" s="450"/>
      <c r="O77" s="450"/>
      <c r="P77" s="450"/>
      <c r="Q77" s="450"/>
      <c r="R77" s="450"/>
      <c r="S77" s="450"/>
      <c r="T77" s="450"/>
      <c r="U77" s="450"/>
      <c r="V77" s="450"/>
      <c r="W77" s="450"/>
      <c r="X77" s="450"/>
      <c r="Y77" s="450"/>
      <c r="Z77" s="450"/>
      <c r="AA77" s="450"/>
      <c r="AB77" s="450"/>
      <c r="AC77" s="450"/>
      <c r="AD77" s="450"/>
      <c r="AE77" s="450"/>
      <c r="AF77" s="450"/>
      <c r="AG77" s="450"/>
      <c r="AH77" s="450"/>
      <c r="AI77" s="450"/>
      <c r="AJ77" s="450"/>
      <c r="AK77" s="450"/>
      <c r="AL77" s="450"/>
      <c r="AM77" s="450"/>
      <c r="AN77" s="450"/>
      <c r="AO77" s="450"/>
      <c r="AP77" s="450"/>
      <c r="AQ77" s="450"/>
      <c r="AR77" s="450"/>
      <c r="AS77" s="450"/>
      <c r="AT77" s="450"/>
      <c r="AU77" s="450"/>
      <c r="AV77" s="450"/>
      <c r="AW77" s="450"/>
      <c r="AX77" s="450"/>
      <c r="AY77" s="450"/>
      <c r="AZ77" s="450"/>
      <c r="BA77" s="450"/>
      <c r="BB77" s="450"/>
      <c r="BC77" s="450"/>
      <c r="BD77" s="450"/>
      <c r="BE77" s="450"/>
      <c r="BF77" s="450"/>
      <c r="BG77" s="450"/>
      <c r="BH77" s="450"/>
      <c r="BI77" s="450"/>
      <c r="BJ77" s="450"/>
      <c r="BK77" s="450"/>
      <c r="BL77" s="450"/>
      <c r="BM77" s="450"/>
      <c r="BN77" s="450"/>
      <c r="BO77" s="450"/>
      <c r="BP77" s="450"/>
      <c r="BQ77" s="450"/>
      <c r="BR77" s="450"/>
      <c r="BS77" s="450"/>
      <c r="BT77" s="450"/>
      <c r="BU77" s="450"/>
      <c r="BV77" s="450"/>
      <c r="BW77" s="450"/>
      <c r="BX77" s="450"/>
      <c r="BY77" s="450"/>
      <c r="BZ77" s="450"/>
      <c r="CA77" s="450"/>
      <c r="CB77" s="450"/>
      <c r="CC77" s="450"/>
      <c r="CD77" s="450"/>
      <c r="CE77" s="450"/>
      <c r="CF77" s="450"/>
      <c r="CG77" s="450"/>
      <c r="CH77" s="450"/>
    </row>
    <row r="78">
      <c r="D78" s="450"/>
      <c r="H78" s="114">
        <f t="shared" si="1"/>
        <v>1365.677822</v>
      </c>
      <c r="J78" s="450"/>
      <c r="K78" s="450"/>
      <c r="L78" s="450"/>
      <c r="M78" s="450"/>
      <c r="N78" s="450"/>
      <c r="O78" s="450"/>
      <c r="P78" s="450"/>
      <c r="Q78" s="450"/>
      <c r="R78" s="450"/>
      <c r="S78" s="450"/>
      <c r="T78" s="450"/>
      <c r="U78" s="450"/>
      <c r="V78" s="450"/>
      <c r="W78" s="450"/>
      <c r="X78" s="450"/>
      <c r="Y78" s="450"/>
      <c r="Z78" s="450"/>
      <c r="AA78" s="450"/>
      <c r="AB78" s="450"/>
      <c r="AC78" s="450"/>
      <c r="AD78" s="450"/>
      <c r="AE78" s="450"/>
      <c r="AF78" s="450"/>
      <c r="AG78" s="450"/>
      <c r="AH78" s="450"/>
      <c r="AI78" s="450"/>
      <c r="AJ78" s="450"/>
      <c r="AK78" s="450"/>
      <c r="AL78" s="450"/>
      <c r="AM78" s="450"/>
      <c r="AN78" s="450"/>
      <c r="AO78" s="450"/>
      <c r="AP78" s="450"/>
      <c r="AQ78" s="450"/>
      <c r="AR78" s="450"/>
      <c r="AS78" s="450"/>
      <c r="AT78" s="450"/>
      <c r="AU78" s="450"/>
      <c r="AV78" s="450"/>
      <c r="AW78" s="450"/>
      <c r="AX78" s="450"/>
      <c r="AY78" s="450"/>
      <c r="AZ78" s="450"/>
      <c r="BA78" s="450"/>
      <c r="BB78" s="450"/>
      <c r="BC78" s="450"/>
      <c r="BD78" s="450"/>
      <c r="BE78" s="450"/>
      <c r="BF78" s="450"/>
      <c r="BG78" s="450"/>
      <c r="BH78" s="450"/>
      <c r="BI78" s="450"/>
      <c r="BJ78" s="450"/>
      <c r="BK78" s="450"/>
      <c r="BL78" s="450"/>
      <c r="BM78" s="450"/>
      <c r="BN78" s="450"/>
      <c r="BO78" s="450"/>
      <c r="BP78" s="450"/>
      <c r="BQ78" s="450"/>
      <c r="BR78" s="450"/>
      <c r="BS78" s="450"/>
      <c r="BT78" s="450"/>
      <c r="BU78" s="450"/>
      <c r="BV78" s="450"/>
      <c r="BW78" s="450"/>
      <c r="BX78" s="450"/>
      <c r="BY78" s="450"/>
      <c r="BZ78" s="450"/>
      <c r="CA78" s="450"/>
      <c r="CB78" s="450"/>
      <c r="CC78" s="450"/>
      <c r="CD78" s="450"/>
      <c r="CE78" s="450"/>
      <c r="CF78" s="450"/>
      <c r="CG78" s="450"/>
      <c r="CH78" s="450"/>
    </row>
    <row r="79">
      <c r="D79" s="450"/>
      <c r="H79" s="114">
        <f t="shared" si="1"/>
        <v>0</v>
      </c>
      <c r="J79" s="450"/>
      <c r="K79" s="450"/>
      <c r="L79" s="450"/>
      <c r="M79" s="450"/>
      <c r="N79" s="450"/>
      <c r="O79" s="450"/>
      <c r="P79" s="450"/>
      <c r="Q79" s="450"/>
      <c r="R79" s="450"/>
      <c r="S79" s="450"/>
      <c r="T79" s="450"/>
      <c r="U79" s="450"/>
      <c r="V79" s="450"/>
      <c r="W79" s="450"/>
      <c r="X79" s="450"/>
      <c r="Y79" s="450"/>
      <c r="Z79" s="450"/>
      <c r="AA79" s="450"/>
      <c r="AB79" s="450"/>
      <c r="AC79" s="450"/>
      <c r="AD79" s="450"/>
      <c r="AE79" s="450"/>
      <c r="AF79" s="450"/>
      <c r="AG79" s="450"/>
      <c r="AH79" s="450"/>
      <c r="AI79" s="450"/>
      <c r="AJ79" s="450"/>
      <c r="AK79" s="450"/>
      <c r="AL79" s="450"/>
      <c r="AM79" s="450"/>
      <c r="AN79" s="450"/>
      <c r="AO79" s="450"/>
      <c r="AP79" s="450"/>
      <c r="AQ79" s="450"/>
      <c r="AR79" s="450"/>
      <c r="AS79" s="450"/>
      <c r="AT79" s="450"/>
      <c r="AU79" s="450"/>
      <c r="AV79" s="450"/>
      <c r="AW79" s="450"/>
      <c r="AX79" s="450"/>
      <c r="AY79" s="450"/>
      <c r="AZ79" s="450"/>
      <c r="BA79" s="450"/>
      <c r="BB79" s="450"/>
      <c r="BC79" s="450"/>
      <c r="BD79" s="450"/>
      <c r="BE79" s="450"/>
      <c r="BF79" s="450"/>
      <c r="BG79" s="450"/>
      <c r="BH79" s="450"/>
      <c r="BI79" s="450"/>
      <c r="BJ79" s="450"/>
      <c r="BK79" s="450"/>
      <c r="BL79" s="450"/>
      <c r="BM79" s="450"/>
      <c r="BN79" s="450"/>
      <c r="BO79" s="450"/>
      <c r="BP79" s="450"/>
      <c r="BQ79" s="450"/>
      <c r="BR79" s="450"/>
      <c r="BS79" s="450"/>
      <c r="BT79" s="450"/>
      <c r="BU79" s="450"/>
      <c r="BV79" s="450"/>
      <c r="BW79" s="450"/>
      <c r="BX79" s="450"/>
      <c r="BY79" s="450"/>
      <c r="BZ79" s="450"/>
      <c r="CA79" s="450"/>
      <c r="CB79" s="450"/>
      <c r="CC79" s="450"/>
      <c r="CD79" s="450"/>
      <c r="CE79" s="450"/>
      <c r="CF79" s="450"/>
      <c r="CG79" s="450"/>
      <c r="CH79" s="450"/>
    </row>
    <row r="80">
      <c r="D80" s="450"/>
      <c r="H80" s="114">
        <f t="shared" si="1"/>
        <v>0</v>
      </c>
      <c r="J80" s="450"/>
      <c r="K80" s="450"/>
      <c r="L80" s="450"/>
      <c r="M80" s="450"/>
      <c r="N80" s="450"/>
      <c r="O80" s="450"/>
      <c r="P80" s="450"/>
      <c r="Q80" s="450"/>
      <c r="R80" s="450"/>
      <c r="S80" s="450"/>
      <c r="T80" s="450"/>
      <c r="U80" s="450"/>
      <c r="V80" s="450"/>
      <c r="W80" s="450"/>
      <c r="X80" s="450"/>
      <c r="Y80" s="450"/>
      <c r="Z80" s="450"/>
      <c r="AA80" s="450"/>
      <c r="AB80" s="450"/>
      <c r="AC80" s="450"/>
      <c r="AD80" s="450"/>
      <c r="AE80" s="450"/>
      <c r="AF80" s="450"/>
      <c r="AG80" s="450"/>
      <c r="AH80" s="450"/>
      <c r="AI80" s="450"/>
      <c r="AJ80" s="450"/>
      <c r="AK80" s="450"/>
      <c r="AL80" s="450"/>
      <c r="AM80" s="450"/>
      <c r="AN80" s="450"/>
      <c r="AO80" s="450"/>
      <c r="AP80" s="450"/>
      <c r="AQ80" s="450"/>
      <c r="AR80" s="450"/>
      <c r="AS80" s="450"/>
      <c r="AT80" s="450"/>
      <c r="AU80" s="450"/>
      <c r="AV80" s="450"/>
      <c r="AW80" s="450"/>
      <c r="AX80" s="450"/>
      <c r="AY80" s="450"/>
      <c r="AZ80" s="450"/>
      <c r="BA80" s="450"/>
      <c r="BB80" s="450"/>
      <c r="BC80" s="450"/>
      <c r="BD80" s="450"/>
      <c r="BE80" s="450"/>
      <c r="BF80" s="450"/>
      <c r="BG80" s="450"/>
      <c r="BH80" s="450"/>
      <c r="BI80" s="450"/>
      <c r="BJ80" s="450"/>
      <c r="BK80" s="450"/>
      <c r="BL80" s="450"/>
      <c r="BM80" s="450"/>
      <c r="BN80" s="450"/>
      <c r="BO80" s="450"/>
      <c r="BP80" s="450"/>
      <c r="BQ80" s="450"/>
      <c r="BR80" s="450"/>
      <c r="BS80" s="450"/>
      <c r="BT80" s="450"/>
      <c r="BU80" s="450"/>
      <c r="BV80" s="450"/>
      <c r="BW80" s="450"/>
      <c r="BX80" s="450"/>
      <c r="BY80" s="450"/>
      <c r="BZ80" s="450"/>
      <c r="CA80" s="450"/>
      <c r="CB80" s="450"/>
      <c r="CC80" s="450"/>
      <c r="CD80" s="450"/>
      <c r="CE80" s="450"/>
      <c r="CF80" s="450"/>
      <c r="CG80" s="450"/>
      <c r="CH80" s="450"/>
    </row>
    <row r="81">
      <c r="D81" s="450"/>
      <c r="H81" s="114">
        <f t="shared" si="1"/>
        <v>0</v>
      </c>
      <c r="J81" s="450"/>
      <c r="K81" s="450"/>
      <c r="L81" s="450"/>
      <c r="M81" s="450"/>
      <c r="N81" s="450"/>
      <c r="O81" s="450"/>
      <c r="P81" s="450"/>
      <c r="Q81" s="450"/>
      <c r="R81" s="450"/>
      <c r="S81" s="450"/>
      <c r="T81" s="450"/>
      <c r="U81" s="450"/>
      <c r="V81" s="450"/>
      <c r="W81" s="450"/>
      <c r="X81" s="450"/>
      <c r="Y81" s="450"/>
      <c r="Z81" s="450"/>
      <c r="AA81" s="450"/>
      <c r="AB81" s="450"/>
      <c r="AC81" s="450"/>
      <c r="AD81" s="450"/>
      <c r="AE81" s="450"/>
      <c r="AF81" s="450"/>
      <c r="AG81" s="450"/>
      <c r="AH81" s="450"/>
      <c r="AI81" s="450"/>
      <c r="AJ81" s="450"/>
      <c r="AK81" s="450"/>
      <c r="AL81" s="450"/>
      <c r="AM81" s="450"/>
      <c r="AN81" s="450"/>
      <c r="AO81" s="450"/>
      <c r="AP81" s="450"/>
      <c r="AQ81" s="450"/>
      <c r="AR81" s="450"/>
      <c r="AS81" s="450"/>
      <c r="AT81" s="450"/>
      <c r="AU81" s="450"/>
      <c r="AV81" s="450"/>
      <c r="AW81" s="450"/>
      <c r="AX81" s="450"/>
      <c r="AY81" s="450"/>
      <c r="AZ81" s="450"/>
      <c r="BA81" s="450"/>
      <c r="BB81" s="450"/>
      <c r="BC81" s="450"/>
      <c r="BD81" s="450"/>
      <c r="BE81" s="450"/>
      <c r="BF81" s="450"/>
      <c r="BG81" s="450"/>
      <c r="BH81" s="450"/>
      <c r="BI81" s="450"/>
      <c r="BJ81" s="450"/>
      <c r="BK81" s="450"/>
      <c r="BL81" s="450"/>
      <c r="BM81" s="450"/>
      <c r="BN81" s="450"/>
      <c r="BO81" s="450"/>
      <c r="BP81" s="450"/>
      <c r="BQ81" s="450"/>
      <c r="BR81" s="450"/>
      <c r="BS81" s="450"/>
      <c r="BT81" s="450"/>
      <c r="BU81" s="450"/>
      <c r="BV81" s="450"/>
      <c r="BW81" s="450"/>
      <c r="BX81" s="450"/>
      <c r="BY81" s="450"/>
      <c r="BZ81" s="450"/>
      <c r="CA81" s="450"/>
      <c r="CB81" s="450"/>
      <c r="CC81" s="450"/>
      <c r="CD81" s="450"/>
      <c r="CE81" s="450"/>
      <c r="CF81" s="450"/>
      <c r="CG81" s="450"/>
      <c r="CH81" s="450"/>
    </row>
    <row r="82">
      <c r="D82" s="450"/>
      <c r="H82" s="114">
        <f t="shared" si="1"/>
        <v>0</v>
      </c>
      <c r="J82" s="450"/>
      <c r="K82" s="450"/>
      <c r="L82" s="450"/>
      <c r="M82" s="450"/>
      <c r="N82" s="450"/>
      <c r="O82" s="450"/>
      <c r="P82" s="450"/>
      <c r="Q82" s="450"/>
      <c r="R82" s="450"/>
      <c r="S82" s="450"/>
      <c r="T82" s="450"/>
      <c r="U82" s="450"/>
      <c r="V82" s="450"/>
      <c r="W82" s="450"/>
      <c r="X82" s="450"/>
      <c r="Y82" s="450"/>
      <c r="Z82" s="450"/>
      <c r="AA82" s="450"/>
      <c r="AB82" s="450"/>
      <c r="AC82" s="450"/>
      <c r="AD82" s="450"/>
      <c r="AE82" s="450"/>
      <c r="AF82" s="450"/>
      <c r="AG82" s="450"/>
      <c r="AH82" s="450"/>
      <c r="AI82" s="450"/>
      <c r="AJ82" s="450"/>
      <c r="AK82" s="450"/>
      <c r="AL82" s="450"/>
      <c r="AM82" s="450"/>
      <c r="AN82" s="450"/>
      <c r="AO82" s="450"/>
      <c r="AP82" s="450"/>
      <c r="AQ82" s="450"/>
      <c r="AR82" s="450"/>
      <c r="AS82" s="450"/>
      <c r="AT82" s="450"/>
      <c r="AU82" s="450"/>
      <c r="AV82" s="450"/>
      <c r="AW82" s="450"/>
      <c r="AX82" s="450"/>
      <c r="AY82" s="450"/>
      <c r="AZ82" s="450"/>
      <c r="BA82" s="450"/>
      <c r="BB82" s="450"/>
      <c r="BC82" s="450"/>
      <c r="BD82" s="450"/>
      <c r="BE82" s="450"/>
      <c r="BF82" s="450"/>
      <c r="BG82" s="450"/>
      <c r="BH82" s="450"/>
      <c r="BI82" s="450"/>
      <c r="BJ82" s="450"/>
      <c r="BK82" s="450"/>
      <c r="BL82" s="450"/>
      <c r="BM82" s="450"/>
      <c r="BN82" s="450"/>
      <c r="BO82" s="450"/>
      <c r="BP82" s="450"/>
      <c r="BQ82" s="450"/>
      <c r="BR82" s="450"/>
      <c r="BS82" s="450"/>
      <c r="BT82" s="450"/>
      <c r="BU82" s="450"/>
      <c r="BV82" s="450"/>
      <c r="BW82" s="450"/>
      <c r="BX82" s="450"/>
      <c r="BY82" s="450"/>
      <c r="BZ82" s="450"/>
      <c r="CA82" s="450"/>
      <c r="CB82" s="450"/>
      <c r="CC82" s="450"/>
      <c r="CD82" s="450"/>
      <c r="CE82" s="450"/>
      <c r="CF82" s="450"/>
      <c r="CG82" s="450"/>
      <c r="CH82" s="450"/>
    </row>
    <row r="83">
      <c r="D83" s="450"/>
      <c r="H83" s="114">
        <f t="shared" si="1"/>
        <v>0</v>
      </c>
      <c r="J83" s="450"/>
      <c r="K83" s="450"/>
      <c r="L83" s="450"/>
      <c r="M83" s="450"/>
      <c r="N83" s="450"/>
      <c r="O83" s="450"/>
      <c r="P83" s="450"/>
      <c r="Q83" s="450"/>
      <c r="R83" s="450"/>
      <c r="S83" s="450"/>
      <c r="T83" s="450"/>
      <c r="U83" s="450"/>
      <c r="V83" s="450"/>
      <c r="W83" s="450"/>
      <c r="X83" s="450"/>
      <c r="Y83" s="450"/>
      <c r="Z83" s="450"/>
      <c r="AA83" s="450"/>
      <c r="AB83" s="450"/>
      <c r="AC83" s="450"/>
      <c r="AD83" s="450"/>
      <c r="AE83" s="450"/>
      <c r="AF83" s="450"/>
      <c r="AG83" s="450"/>
      <c r="AH83" s="450"/>
      <c r="AI83" s="450"/>
      <c r="AJ83" s="450"/>
      <c r="AK83" s="450"/>
      <c r="AL83" s="450"/>
      <c r="AM83" s="450"/>
      <c r="AN83" s="450"/>
      <c r="AO83" s="450"/>
      <c r="AP83" s="450"/>
      <c r="AQ83" s="450"/>
      <c r="AR83" s="450"/>
      <c r="AS83" s="450"/>
      <c r="AT83" s="450"/>
      <c r="AU83" s="450"/>
      <c r="AV83" s="450"/>
      <c r="AW83" s="450"/>
      <c r="AX83" s="450"/>
      <c r="AY83" s="450"/>
      <c r="AZ83" s="450"/>
      <c r="BA83" s="450"/>
      <c r="BB83" s="450"/>
      <c r="BC83" s="450"/>
      <c r="BD83" s="450"/>
      <c r="BE83" s="450"/>
      <c r="BF83" s="450"/>
      <c r="BG83" s="450"/>
      <c r="BH83" s="450"/>
      <c r="BI83" s="450"/>
      <c r="BJ83" s="450"/>
      <c r="BK83" s="450"/>
      <c r="BL83" s="450"/>
      <c r="BM83" s="450"/>
      <c r="BN83" s="450"/>
      <c r="BO83" s="450"/>
      <c r="BP83" s="450"/>
      <c r="BQ83" s="450"/>
      <c r="BR83" s="450"/>
      <c r="BS83" s="450"/>
      <c r="BT83" s="450"/>
      <c r="BU83" s="450"/>
      <c r="BV83" s="450"/>
      <c r="BW83" s="450"/>
      <c r="BX83" s="450"/>
      <c r="BY83" s="450"/>
      <c r="BZ83" s="450"/>
      <c r="CA83" s="450"/>
      <c r="CB83" s="450"/>
      <c r="CC83" s="450"/>
      <c r="CD83" s="450"/>
      <c r="CE83" s="450"/>
      <c r="CF83" s="450"/>
      <c r="CG83" s="450"/>
      <c r="CH83" s="450"/>
    </row>
    <row r="84">
      <c r="D84" s="450"/>
      <c r="H84" s="114">
        <f t="shared" si="1"/>
        <v>17.29411765</v>
      </c>
      <c r="J84" s="450"/>
      <c r="K84" s="450"/>
      <c r="L84" s="450"/>
      <c r="M84" s="450"/>
      <c r="N84" s="450"/>
      <c r="O84" s="450"/>
      <c r="P84" s="450"/>
      <c r="Q84" s="450"/>
      <c r="R84" s="450"/>
      <c r="S84" s="450"/>
      <c r="T84" s="450"/>
      <c r="U84" s="450"/>
      <c r="V84" s="450"/>
      <c r="W84" s="450"/>
      <c r="X84" s="450"/>
      <c r="Y84" s="450"/>
      <c r="Z84" s="450"/>
      <c r="AA84" s="450"/>
      <c r="AB84" s="450"/>
      <c r="AC84" s="450"/>
      <c r="AD84" s="450"/>
      <c r="AE84" s="450"/>
      <c r="AF84" s="450"/>
      <c r="AG84" s="450"/>
      <c r="AH84" s="450"/>
      <c r="AI84" s="450"/>
      <c r="AJ84" s="450"/>
      <c r="AK84" s="450"/>
      <c r="AL84" s="450"/>
      <c r="AM84" s="450"/>
      <c r="AN84" s="450"/>
      <c r="AO84" s="450"/>
      <c r="AP84" s="450"/>
      <c r="AQ84" s="450"/>
      <c r="AR84" s="450"/>
      <c r="AS84" s="450"/>
      <c r="AT84" s="450"/>
      <c r="AU84" s="450"/>
      <c r="AV84" s="450"/>
      <c r="AW84" s="450"/>
      <c r="AX84" s="450"/>
      <c r="AY84" s="450"/>
      <c r="AZ84" s="450"/>
      <c r="BA84" s="450"/>
      <c r="BB84" s="450"/>
      <c r="BC84" s="450"/>
      <c r="BD84" s="450"/>
      <c r="BE84" s="450"/>
      <c r="BF84" s="450"/>
      <c r="BG84" s="450"/>
      <c r="BH84" s="450"/>
      <c r="BI84" s="450"/>
      <c r="BJ84" s="450"/>
      <c r="BK84" s="450"/>
      <c r="BL84" s="450"/>
      <c r="BM84" s="450"/>
      <c r="BN84" s="450"/>
      <c r="BO84" s="450"/>
      <c r="BP84" s="450"/>
      <c r="BQ84" s="450"/>
      <c r="BR84" s="450"/>
      <c r="BS84" s="450"/>
      <c r="BT84" s="450"/>
      <c r="BU84" s="450"/>
      <c r="BV84" s="450"/>
      <c r="BW84" s="450"/>
      <c r="BX84" s="450"/>
      <c r="BY84" s="450"/>
      <c r="BZ84" s="450"/>
      <c r="CA84" s="450"/>
      <c r="CB84" s="450"/>
      <c r="CC84" s="450"/>
      <c r="CD84" s="450"/>
      <c r="CE84" s="450"/>
      <c r="CF84" s="450"/>
      <c r="CG84" s="450"/>
      <c r="CH84" s="450"/>
    </row>
    <row r="85">
      <c r="D85" s="450"/>
      <c r="H85" s="114">
        <f t="shared" si="1"/>
        <v>-0.0002768166091</v>
      </c>
      <c r="J85" s="450"/>
      <c r="K85" s="450"/>
      <c r="L85" s="450"/>
      <c r="M85" s="450"/>
      <c r="N85" s="450"/>
      <c r="O85" s="450"/>
      <c r="P85" s="450"/>
      <c r="Q85" s="450"/>
      <c r="R85" s="450"/>
      <c r="S85" s="450"/>
      <c r="T85" s="450"/>
      <c r="U85" s="450"/>
      <c r="V85" s="450"/>
      <c r="W85" s="450"/>
      <c r="X85" s="450"/>
      <c r="Y85" s="450"/>
      <c r="Z85" s="450"/>
      <c r="AA85" s="450"/>
      <c r="AB85" s="450"/>
      <c r="AC85" s="450"/>
      <c r="AD85" s="450"/>
      <c r="AE85" s="450"/>
      <c r="AF85" s="450"/>
      <c r="AG85" s="450"/>
      <c r="AH85" s="450"/>
      <c r="AI85" s="450"/>
      <c r="AJ85" s="450"/>
      <c r="AK85" s="450"/>
      <c r="AL85" s="450"/>
      <c r="AM85" s="450"/>
      <c r="AN85" s="450"/>
      <c r="AO85" s="450"/>
      <c r="AP85" s="450"/>
      <c r="AQ85" s="450"/>
      <c r="AR85" s="450"/>
      <c r="AS85" s="450"/>
      <c r="AT85" s="450"/>
      <c r="AU85" s="450"/>
      <c r="AV85" s="450"/>
      <c r="AW85" s="450"/>
      <c r="AX85" s="450"/>
      <c r="AY85" s="450"/>
      <c r="AZ85" s="450"/>
      <c r="BA85" s="450"/>
      <c r="BB85" s="450"/>
      <c r="BC85" s="450"/>
      <c r="BD85" s="450"/>
      <c r="BE85" s="450"/>
      <c r="BF85" s="450"/>
      <c r="BG85" s="450"/>
      <c r="BH85" s="450"/>
      <c r="BI85" s="450"/>
      <c r="BJ85" s="450"/>
      <c r="BK85" s="450"/>
      <c r="BL85" s="450"/>
      <c r="BM85" s="450"/>
      <c r="BN85" s="450"/>
      <c r="BO85" s="450"/>
      <c r="BP85" s="450"/>
      <c r="BQ85" s="450"/>
      <c r="BR85" s="450"/>
      <c r="BS85" s="450"/>
      <c r="BT85" s="450"/>
      <c r="BU85" s="450"/>
      <c r="BV85" s="450"/>
      <c r="BW85" s="450"/>
      <c r="BX85" s="450"/>
      <c r="BY85" s="450"/>
      <c r="BZ85" s="450"/>
      <c r="CA85" s="450"/>
      <c r="CB85" s="450"/>
      <c r="CC85" s="450"/>
      <c r="CD85" s="450"/>
      <c r="CE85" s="450"/>
      <c r="CF85" s="450"/>
      <c r="CG85" s="450"/>
      <c r="CH85" s="450"/>
    </row>
    <row r="86">
      <c r="D86" s="450"/>
      <c r="H86" s="114">
        <f t="shared" si="1"/>
        <v>0</v>
      </c>
      <c r="J86" s="450"/>
      <c r="K86" s="450"/>
      <c r="L86" s="450"/>
      <c r="M86" s="450"/>
      <c r="N86" s="450"/>
      <c r="O86" s="450"/>
      <c r="P86" s="450"/>
      <c r="Q86" s="450"/>
      <c r="R86" s="450"/>
      <c r="S86" s="450"/>
      <c r="T86" s="450"/>
      <c r="U86" s="450"/>
      <c r="V86" s="450"/>
      <c r="W86" s="450"/>
      <c r="X86" s="450"/>
      <c r="Y86" s="450"/>
      <c r="Z86" s="450"/>
      <c r="AA86" s="450"/>
      <c r="AB86" s="450"/>
      <c r="AC86" s="450"/>
      <c r="AD86" s="450"/>
      <c r="AE86" s="450"/>
      <c r="AF86" s="450"/>
      <c r="AG86" s="450"/>
      <c r="AH86" s="450"/>
      <c r="AI86" s="450"/>
      <c r="AJ86" s="450"/>
      <c r="AK86" s="450"/>
      <c r="AL86" s="450"/>
      <c r="AM86" s="450"/>
      <c r="AN86" s="450"/>
      <c r="AO86" s="450"/>
      <c r="AP86" s="450"/>
      <c r="AQ86" s="450"/>
      <c r="AR86" s="450"/>
      <c r="AS86" s="450"/>
      <c r="AT86" s="450"/>
      <c r="AU86" s="450"/>
      <c r="AV86" s="450"/>
      <c r="AW86" s="450"/>
      <c r="AX86" s="450"/>
      <c r="AY86" s="450"/>
      <c r="AZ86" s="450"/>
      <c r="BA86" s="450"/>
      <c r="BB86" s="450"/>
      <c r="BC86" s="450"/>
      <c r="BD86" s="450"/>
      <c r="BE86" s="450"/>
      <c r="BF86" s="450"/>
      <c r="BG86" s="450"/>
      <c r="BH86" s="450"/>
      <c r="BI86" s="450"/>
      <c r="BJ86" s="450"/>
      <c r="BK86" s="450"/>
      <c r="BL86" s="450"/>
      <c r="BM86" s="450"/>
      <c r="BN86" s="450"/>
      <c r="BO86" s="450"/>
      <c r="BP86" s="450"/>
      <c r="BQ86" s="450"/>
      <c r="BR86" s="450"/>
      <c r="BS86" s="450"/>
      <c r="BT86" s="450"/>
      <c r="BU86" s="450"/>
      <c r="BV86" s="450"/>
      <c r="BW86" s="450"/>
      <c r="BX86" s="450"/>
      <c r="BY86" s="450"/>
      <c r="BZ86" s="450"/>
      <c r="CA86" s="450"/>
      <c r="CB86" s="450"/>
      <c r="CC86" s="450"/>
      <c r="CD86" s="450"/>
      <c r="CE86" s="450"/>
      <c r="CF86" s="450"/>
      <c r="CG86" s="450"/>
      <c r="CH86" s="450"/>
    </row>
    <row r="87">
      <c r="D87" s="450"/>
      <c r="H87" s="114">
        <f t="shared" ref="H87:H88" si="2">G88-C87</f>
        <v>46311.24595</v>
      </c>
      <c r="J87" s="450"/>
      <c r="K87" s="450"/>
      <c r="L87" s="450"/>
      <c r="M87" s="450"/>
      <c r="N87" s="450"/>
      <c r="O87" s="450"/>
      <c r="P87" s="450"/>
      <c r="Q87" s="450"/>
      <c r="R87" s="450"/>
      <c r="S87" s="450"/>
      <c r="T87" s="450"/>
      <c r="U87" s="450"/>
      <c r="V87" s="450"/>
      <c r="W87" s="450"/>
      <c r="X87" s="450"/>
      <c r="Y87" s="450"/>
      <c r="Z87" s="450"/>
      <c r="AA87" s="450"/>
      <c r="AB87" s="450"/>
      <c r="AC87" s="450"/>
      <c r="AD87" s="450"/>
      <c r="AE87" s="450"/>
      <c r="AF87" s="450"/>
      <c r="AG87" s="450"/>
      <c r="AH87" s="450"/>
      <c r="AI87" s="450"/>
      <c r="AJ87" s="450"/>
      <c r="AK87" s="450"/>
      <c r="AL87" s="450"/>
      <c r="AM87" s="450"/>
      <c r="AN87" s="450"/>
      <c r="AO87" s="450"/>
      <c r="AP87" s="450"/>
      <c r="AQ87" s="450"/>
      <c r="AR87" s="450"/>
      <c r="AS87" s="450"/>
      <c r="AT87" s="450"/>
      <c r="AU87" s="450"/>
      <c r="AV87" s="450"/>
      <c r="AW87" s="450"/>
      <c r="AX87" s="450"/>
      <c r="AY87" s="450"/>
      <c r="AZ87" s="450"/>
      <c r="BA87" s="450"/>
      <c r="BB87" s="450"/>
      <c r="BC87" s="450"/>
      <c r="BD87" s="450"/>
      <c r="BE87" s="450"/>
      <c r="BF87" s="450"/>
      <c r="BG87" s="450"/>
      <c r="BH87" s="450"/>
      <c r="BI87" s="450"/>
      <c r="BJ87" s="450"/>
      <c r="BK87" s="450"/>
      <c r="BL87" s="450"/>
      <c r="BM87" s="450"/>
      <c r="BN87" s="450"/>
      <c r="BO87" s="450"/>
      <c r="BP87" s="450"/>
      <c r="BQ87" s="450"/>
      <c r="BR87" s="450"/>
      <c r="BS87" s="450"/>
      <c r="BT87" s="450"/>
      <c r="BU87" s="450"/>
      <c r="BV87" s="450"/>
      <c r="BW87" s="450"/>
      <c r="BX87" s="450"/>
      <c r="BY87" s="450"/>
      <c r="BZ87" s="450"/>
      <c r="CA87" s="450"/>
      <c r="CB87" s="450"/>
      <c r="CC87" s="450"/>
      <c r="CD87" s="450"/>
      <c r="CE87" s="450"/>
      <c r="CF87" s="450"/>
      <c r="CG87" s="450"/>
      <c r="CH87" s="450"/>
    </row>
    <row r="88">
      <c r="D88" s="450"/>
      <c r="H88" s="371">
        <f t="shared" si="2"/>
        <v>-3647.915329</v>
      </c>
      <c r="J88" s="450"/>
      <c r="K88" s="450"/>
      <c r="L88" s="450"/>
      <c r="M88" s="450"/>
      <c r="N88" s="450"/>
      <c r="O88" s="450"/>
      <c r="P88" s="450"/>
      <c r="Q88" s="450"/>
      <c r="R88" s="450"/>
      <c r="S88" s="450"/>
      <c r="T88" s="450"/>
      <c r="U88" s="450"/>
      <c r="V88" s="450"/>
      <c r="W88" s="450"/>
      <c r="X88" s="450"/>
      <c r="Y88" s="450"/>
      <c r="Z88" s="450"/>
      <c r="AA88" s="450"/>
      <c r="AB88" s="450"/>
      <c r="AC88" s="450"/>
      <c r="AD88" s="450"/>
      <c r="AE88" s="450"/>
      <c r="AF88" s="450"/>
      <c r="AG88" s="450"/>
      <c r="AH88" s="450"/>
      <c r="AI88" s="450"/>
      <c r="AJ88" s="450"/>
      <c r="AK88" s="450"/>
      <c r="AL88" s="450"/>
      <c r="AM88" s="450"/>
      <c r="AN88" s="450"/>
      <c r="AO88" s="450"/>
      <c r="AP88" s="450"/>
      <c r="AQ88" s="450"/>
      <c r="AR88" s="450"/>
      <c r="AS88" s="450"/>
      <c r="AT88" s="450"/>
      <c r="AU88" s="450"/>
      <c r="AV88" s="450"/>
      <c r="AW88" s="450"/>
      <c r="AX88" s="450"/>
      <c r="AY88" s="450"/>
      <c r="AZ88" s="450"/>
      <c r="BA88" s="450"/>
      <c r="BB88" s="450"/>
      <c r="BC88" s="450"/>
      <c r="BD88" s="450"/>
      <c r="BE88" s="450"/>
      <c r="BF88" s="450"/>
      <c r="BG88" s="450"/>
      <c r="BH88" s="450"/>
      <c r="BI88" s="450"/>
      <c r="BJ88" s="450"/>
      <c r="BK88" s="450"/>
      <c r="BL88" s="450"/>
      <c r="BM88" s="450"/>
      <c r="BN88" s="450"/>
      <c r="BO88" s="450"/>
      <c r="BP88" s="450"/>
      <c r="BQ88" s="450"/>
      <c r="BR88" s="450"/>
      <c r="BS88" s="450"/>
      <c r="BT88" s="450"/>
      <c r="BU88" s="450"/>
      <c r="BV88" s="450"/>
      <c r="BW88" s="450"/>
      <c r="BX88" s="450"/>
      <c r="BY88" s="450"/>
      <c r="BZ88" s="450"/>
      <c r="CA88" s="450"/>
      <c r="CB88" s="450"/>
      <c r="CC88" s="450"/>
      <c r="CD88" s="450"/>
      <c r="CE88" s="450"/>
      <c r="CF88" s="450"/>
      <c r="CG88" s="450"/>
      <c r="CH88" s="450"/>
    </row>
    <row r="89">
      <c r="D89" s="450"/>
      <c r="E89" s="450"/>
      <c r="F89" s="450"/>
      <c r="G89" s="450"/>
      <c r="H89" s="43" t="str">
        <f>#REF!-C89</f>
        <v>#REF!</v>
      </c>
      <c r="J89" s="450"/>
      <c r="K89" s="450"/>
      <c r="L89" s="450"/>
      <c r="M89" s="450"/>
      <c r="N89" s="450"/>
      <c r="O89" s="450"/>
      <c r="P89" s="450"/>
      <c r="Q89" s="450"/>
      <c r="R89" s="450"/>
      <c r="S89" s="450"/>
      <c r="T89" s="450"/>
      <c r="U89" s="450"/>
      <c r="V89" s="450"/>
      <c r="W89" s="450"/>
      <c r="X89" s="450"/>
      <c r="Y89" s="450"/>
      <c r="Z89" s="450"/>
      <c r="AA89" s="450"/>
      <c r="AB89" s="450"/>
      <c r="AC89" s="450"/>
      <c r="AD89" s="450"/>
      <c r="AE89" s="450"/>
      <c r="AF89" s="450"/>
      <c r="AG89" s="450"/>
      <c r="AH89" s="450"/>
      <c r="AI89" s="450"/>
      <c r="AJ89" s="450"/>
      <c r="AK89" s="450"/>
      <c r="AL89" s="450"/>
      <c r="AM89" s="450"/>
      <c r="AN89" s="450"/>
      <c r="AO89" s="450"/>
      <c r="AP89" s="450"/>
      <c r="AQ89" s="450"/>
      <c r="AR89" s="450"/>
      <c r="AS89" s="450"/>
      <c r="AT89" s="450"/>
      <c r="AU89" s="450"/>
      <c r="AV89" s="450"/>
      <c r="AW89" s="450"/>
      <c r="AX89" s="450"/>
      <c r="AY89" s="450"/>
      <c r="AZ89" s="450"/>
      <c r="BA89" s="450"/>
      <c r="BB89" s="450"/>
      <c r="BC89" s="450"/>
      <c r="BD89" s="450"/>
      <c r="BE89" s="450"/>
      <c r="BF89" s="450"/>
      <c r="BG89" s="450"/>
      <c r="BH89" s="450"/>
      <c r="BI89" s="450"/>
      <c r="BJ89" s="450"/>
      <c r="BK89" s="450"/>
      <c r="BL89" s="450"/>
      <c r="BM89" s="450"/>
      <c r="BN89" s="450"/>
      <c r="BO89" s="450"/>
      <c r="BP89" s="450"/>
      <c r="BQ89" s="450"/>
      <c r="BR89" s="450"/>
      <c r="BS89" s="450"/>
      <c r="BT89" s="450"/>
      <c r="BU89" s="450"/>
      <c r="BV89" s="450"/>
      <c r="BW89" s="450"/>
      <c r="BX89" s="450"/>
      <c r="BY89" s="450"/>
      <c r="BZ89" s="450"/>
      <c r="CA89" s="450"/>
      <c r="CB89" s="450"/>
      <c r="CC89" s="450"/>
      <c r="CD89" s="450"/>
      <c r="CE89" s="450"/>
      <c r="CF89" s="450"/>
      <c r="CG89" s="450"/>
      <c r="CH89" s="450"/>
    </row>
    <row r="90">
      <c r="A90" s="505"/>
      <c r="B90" s="450"/>
      <c r="C90" s="455"/>
      <c r="D90" s="450"/>
      <c r="E90" s="450"/>
      <c r="F90" s="450"/>
      <c r="G90" s="450"/>
      <c r="H90" s="450"/>
      <c r="I90" s="450"/>
      <c r="J90" s="450"/>
      <c r="K90" s="450"/>
      <c r="L90" s="450"/>
      <c r="M90" s="450"/>
      <c r="N90" s="450"/>
      <c r="O90" s="450"/>
      <c r="P90" s="450"/>
      <c r="Q90" s="450"/>
      <c r="R90" s="450"/>
      <c r="S90" s="450"/>
      <c r="T90" s="450"/>
      <c r="U90" s="450"/>
      <c r="V90" s="450"/>
      <c r="W90" s="450"/>
      <c r="X90" s="450"/>
      <c r="Y90" s="450"/>
      <c r="Z90" s="450"/>
      <c r="AA90" s="450"/>
      <c r="AB90" s="450"/>
      <c r="AC90" s="450"/>
      <c r="AD90" s="450"/>
      <c r="AE90" s="450"/>
      <c r="AF90" s="450"/>
      <c r="AG90" s="450"/>
      <c r="AH90" s="450"/>
      <c r="AI90" s="450"/>
      <c r="AJ90" s="450"/>
      <c r="AK90" s="450"/>
      <c r="AL90" s="450"/>
      <c r="AM90" s="450"/>
      <c r="AN90" s="450"/>
      <c r="AO90" s="450"/>
      <c r="AP90" s="450"/>
      <c r="AQ90" s="450"/>
      <c r="AR90" s="450"/>
      <c r="AS90" s="450"/>
      <c r="AT90" s="450"/>
      <c r="AU90" s="450"/>
      <c r="AV90" s="450"/>
      <c r="AW90" s="450"/>
      <c r="AX90" s="450"/>
      <c r="AY90" s="450"/>
      <c r="AZ90" s="450"/>
      <c r="BA90" s="450"/>
      <c r="BB90" s="450"/>
      <c r="BC90" s="450"/>
      <c r="BD90" s="450"/>
      <c r="BE90" s="450"/>
      <c r="BF90" s="450"/>
      <c r="BG90" s="450"/>
      <c r="BH90" s="450"/>
      <c r="BI90" s="450"/>
      <c r="BJ90" s="450"/>
      <c r="BK90" s="450"/>
      <c r="BL90" s="450"/>
      <c r="BM90" s="450"/>
      <c r="BN90" s="450"/>
      <c r="BO90" s="450"/>
      <c r="BP90" s="450"/>
      <c r="BQ90" s="450"/>
      <c r="BR90" s="450"/>
      <c r="BS90" s="450"/>
      <c r="BT90" s="450"/>
      <c r="BU90" s="450"/>
      <c r="BV90" s="450"/>
      <c r="BW90" s="450"/>
      <c r="BX90" s="450"/>
      <c r="BY90" s="450"/>
      <c r="BZ90" s="450"/>
      <c r="CA90" s="450"/>
      <c r="CB90" s="450"/>
      <c r="CC90" s="450"/>
      <c r="CD90" s="450"/>
      <c r="CE90" s="450"/>
      <c r="CF90" s="450"/>
      <c r="CG90" s="450"/>
      <c r="CH90" s="450"/>
    </row>
    <row r="91">
      <c r="A91" s="505"/>
      <c r="B91" s="450"/>
      <c r="C91" s="455"/>
      <c r="D91" s="450"/>
      <c r="E91" s="450"/>
      <c r="F91" s="450"/>
      <c r="G91" s="450"/>
      <c r="H91" s="450"/>
      <c r="I91" s="450"/>
      <c r="J91" s="450"/>
      <c r="K91" s="450"/>
      <c r="L91" s="450"/>
      <c r="M91" s="450"/>
      <c r="N91" s="450"/>
      <c r="O91" s="450"/>
      <c r="P91" s="450"/>
      <c r="Q91" s="450"/>
      <c r="R91" s="450"/>
      <c r="S91" s="450"/>
      <c r="T91" s="450"/>
      <c r="U91" s="450"/>
      <c r="V91" s="450"/>
      <c r="W91" s="450"/>
      <c r="X91" s="450"/>
      <c r="Y91" s="450"/>
      <c r="Z91" s="450"/>
      <c r="AA91" s="450"/>
      <c r="AB91" s="450"/>
      <c r="AC91" s="450"/>
      <c r="AD91" s="450"/>
      <c r="AE91" s="450"/>
      <c r="AF91" s="450"/>
      <c r="AG91" s="450"/>
      <c r="AH91" s="450"/>
      <c r="AI91" s="450"/>
      <c r="AJ91" s="450"/>
      <c r="AK91" s="450"/>
      <c r="AL91" s="450"/>
      <c r="AM91" s="450"/>
      <c r="AN91" s="450"/>
      <c r="AO91" s="450"/>
      <c r="AP91" s="450"/>
      <c r="AQ91" s="450"/>
      <c r="AR91" s="450"/>
      <c r="AS91" s="450"/>
      <c r="AT91" s="450"/>
      <c r="AU91" s="450"/>
      <c r="AV91" s="450"/>
      <c r="AW91" s="450"/>
      <c r="AX91" s="450"/>
      <c r="AY91" s="450"/>
      <c r="AZ91" s="450"/>
      <c r="BA91" s="450"/>
      <c r="BB91" s="450"/>
      <c r="BC91" s="450"/>
      <c r="BD91" s="450"/>
      <c r="BE91" s="450"/>
      <c r="BF91" s="450"/>
      <c r="BG91" s="450"/>
      <c r="BH91" s="450"/>
      <c r="BI91" s="450"/>
      <c r="BJ91" s="450"/>
      <c r="BK91" s="450"/>
      <c r="BL91" s="450"/>
      <c r="BM91" s="450"/>
      <c r="BN91" s="450"/>
      <c r="BO91" s="450"/>
      <c r="BP91" s="450"/>
      <c r="BQ91" s="450"/>
      <c r="BR91" s="450"/>
      <c r="BS91" s="450"/>
      <c r="BT91" s="450"/>
      <c r="BU91" s="450"/>
      <c r="BV91" s="450"/>
      <c r="BW91" s="450"/>
      <c r="BX91" s="450"/>
      <c r="BY91" s="450"/>
      <c r="BZ91" s="450"/>
      <c r="CA91" s="450"/>
      <c r="CB91" s="450"/>
      <c r="CC91" s="450"/>
      <c r="CD91" s="450"/>
      <c r="CE91" s="450"/>
      <c r="CF91" s="450"/>
      <c r="CG91" s="450"/>
      <c r="CH91" s="450"/>
    </row>
    <row r="92">
      <c r="A92" s="450"/>
      <c r="B92" s="450"/>
      <c r="C92" s="455"/>
      <c r="D92" s="450"/>
      <c r="E92" s="450"/>
      <c r="F92" s="450"/>
      <c r="G92" s="450"/>
      <c r="H92" s="450"/>
      <c r="I92" s="450"/>
      <c r="J92" s="450"/>
      <c r="K92" s="450"/>
      <c r="L92" s="450"/>
      <c r="M92" s="450"/>
      <c r="N92" s="450"/>
      <c r="O92" s="450"/>
      <c r="P92" s="450"/>
      <c r="Q92" s="450"/>
      <c r="R92" s="450"/>
      <c r="S92" s="450"/>
      <c r="T92" s="450"/>
      <c r="U92" s="450"/>
      <c r="V92" s="450"/>
      <c r="W92" s="450"/>
      <c r="X92" s="450"/>
      <c r="Y92" s="450"/>
      <c r="Z92" s="450"/>
      <c r="AA92" s="450"/>
      <c r="AB92" s="450"/>
      <c r="AC92" s="450"/>
      <c r="AD92" s="450"/>
      <c r="AE92" s="450"/>
      <c r="AF92" s="450"/>
      <c r="AG92" s="450"/>
      <c r="AH92" s="450"/>
      <c r="AI92" s="450"/>
      <c r="AJ92" s="450"/>
      <c r="AK92" s="450"/>
      <c r="AL92" s="450"/>
      <c r="AM92" s="450"/>
      <c r="AN92" s="450"/>
      <c r="AO92" s="450"/>
      <c r="AP92" s="450"/>
      <c r="AQ92" s="450"/>
      <c r="AR92" s="450"/>
      <c r="AS92" s="450"/>
      <c r="AT92" s="450"/>
      <c r="AU92" s="450"/>
      <c r="AV92" s="450"/>
      <c r="AW92" s="450"/>
      <c r="AX92" s="450"/>
      <c r="AY92" s="450"/>
      <c r="AZ92" s="450"/>
      <c r="BA92" s="450"/>
      <c r="BB92" s="450"/>
      <c r="BC92" s="450"/>
      <c r="BD92" s="450"/>
      <c r="BE92" s="450"/>
      <c r="BF92" s="450"/>
      <c r="BG92" s="450"/>
      <c r="BH92" s="450"/>
      <c r="BI92" s="450"/>
      <c r="BJ92" s="450"/>
      <c r="BK92" s="450"/>
      <c r="BL92" s="450"/>
      <c r="BM92" s="450"/>
      <c r="BN92" s="450"/>
      <c r="BO92" s="450"/>
      <c r="BP92" s="450"/>
      <c r="BQ92" s="450"/>
      <c r="BR92" s="450"/>
      <c r="BS92" s="450"/>
      <c r="BT92" s="450"/>
      <c r="BU92" s="450"/>
      <c r="BV92" s="450"/>
      <c r="BW92" s="450"/>
      <c r="BX92" s="450"/>
      <c r="BY92" s="450"/>
      <c r="BZ92" s="450"/>
      <c r="CA92" s="450"/>
      <c r="CB92" s="450"/>
      <c r="CC92" s="450"/>
      <c r="CD92" s="450"/>
      <c r="CE92" s="450"/>
      <c r="CF92" s="450"/>
      <c r="CG92" s="450"/>
      <c r="CH92" s="450"/>
    </row>
    <row r="93">
      <c r="A93" s="450"/>
      <c r="B93" s="450"/>
      <c r="C93" s="455"/>
      <c r="D93" s="450"/>
      <c r="E93" s="450"/>
      <c r="F93" s="450"/>
      <c r="G93" s="450"/>
      <c r="H93" s="450"/>
      <c r="I93" s="450"/>
      <c r="J93" s="450"/>
      <c r="K93" s="450"/>
      <c r="L93" s="450"/>
      <c r="M93" s="450"/>
      <c r="N93" s="450"/>
      <c r="O93" s="450"/>
      <c r="P93" s="450"/>
      <c r="Q93" s="450"/>
      <c r="R93" s="450"/>
      <c r="S93" s="450"/>
      <c r="T93" s="450"/>
      <c r="U93" s="450"/>
      <c r="V93" s="450"/>
      <c r="W93" s="450"/>
      <c r="X93" s="450"/>
      <c r="Y93" s="450"/>
      <c r="Z93" s="450"/>
      <c r="AA93" s="450"/>
      <c r="AB93" s="450"/>
      <c r="AC93" s="450"/>
      <c r="AD93" s="450"/>
      <c r="AE93" s="450"/>
      <c r="AF93" s="450"/>
      <c r="AG93" s="450"/>
      <c r="AH93" s="450"/>
      <c r="AI93" s="450"/>
      <c r="AJ93" s="450"/>
      <c r="AK93" s="450"/>
      <c r="AL93" s="450"/>
      <c r="AM93" s="450"/>
      <c r="AN93" s="450"/>
      <c r="AO93" s="450"/>
      <c r="AP93" s="450"/>
      <c r="AQ93" s="450"/>
      <c r="AR93" s="450"/>
      <c r="AS93" s="450"/>
      <c r="AT93" s="450"/>
      <c r="AU93" s="450"/>
      <c r="AV93" s="450"/>
      <c r="AW93" s="450"/>
      <c r="AX93" s="450"/>
      <c r="AY93" s="450"/>
      <c r="AZ93" s="450"/>
      <c r="BA93" s="450"/>
      <c r="BB93" s="450"/>
      <c r="BC93" s="450"/>
      <c r="BD93" s="450"/>
      <c r="BE93" s="450"/>
      <c r="BF93" s="450"/>
      <c r="BG93" s="450"/>
      <c r="BH93" s="450"/>
      <c r="BI93" s="450"/>
      <c r="BJ93" s="450"/>
      <c r="BK93" s="450"/>
      <c r="BL93" s="450"/>
      <c r="BM93" s="450"/>
      <c r="BN93" s="450"/>
      <c r="BO93" s="450"/>
      <c r="BP93" s="450"/>
      <c r="BQ93" s="450"/>
      <c r="BR93" s="450"/>
      <c r="BS93" s="450"/>
      <c r="BT93" s="450"/>
      <c r="BU93" s="450"/>
      <c r="BV93" s="450"/>
      <c r="BW93" s="450"/>
      <c r="BX93" s="450"/>
      <c r="BY93" s="450"/>
      <c r="BZ93" s="450"/>
      <c r="CA93" s="450"/>
      <c r="CB93" s="450"/>
      <c r="CC93" s="450"/>
      <c r="CD93" s="450"/>
      <c r="CE93" s="450"/>
      <c r="CF93" s="450"/>
      <c r="CG93" s="450"/>
      <c r="CH93" s="450"/>
    </row>
    <row r="94">
      <c r="A94" s="450"/>
      <c r="B94" s="450"/>
      <c r="C94" s="455"/>
      <c r="D94" s="450"/>
      <c r="E94" s="450"/>
      <c r="F94" s="450"/>
      <c r="G94" s="450"/>
      <c r="H94" s="450"/>
      <c r="I94" s="450"/>
      <c r="J94" s="450"/>
      <c r="K94" s="450"/>
      <c r="L94" s="450"/>
      <c r="M94" s="450"/>
      <c r="N94" s="450"/>
      <c r="O94" s="450"/>
      <c r="P94" s="450"/>
      <c r="Q94" s="450"/>
      <c r="R94" s="450"/>
      <c r="S94" s="450"/>
      <c r="T94" s="450"/>
      <c r="U94" s="450"/>
      <c r="V94" s="450"/>
      <c r="W94" s="450"/>
      <c r="X94" s="450"/>
      <c r="Y94" s="450"/>
      <c r="Z94" s="450"/>
      <c r="AA94" s="450"/>
      <c r="AB94" s="450"/>
      <c r="AC94" s="450"/>
      <c r="AD94" s="450"/>
      <c r="AE94" s="450"/>
      <c r="AF94" s="450"/>
      <c r="AG94" s="450"/>
      <c r="AH94" s="450"/>
      <c r="AI94" s="450"/>
      <c r="AJ94" s="450"/>
      <c r="AK94" s="450"/>
      <c r="AL94" s="450"/>
      <c r="AM94" s="450"/>
      <c r="AN94" s="450"/>
      <c r="AO94" s="450"/>
      <c r="AP94" s="450"/>
      <c r="AQ94" s="450"/>
      <c r="AR94" s="450"/>
      <c r="AS94" s="450"/>
      <c r="AT94" s="450"/>
      <c r="AU94" s="450"/>
      <c r="AV94" s="450"/>
      <c r="AW94" s="450"/>
      <c r="AX94" s="450"/>
      <c r="AY94" s="450"/>
      <c r="AZ94" s="450"/>
      <c r="BA94" s="450"/>
      <c r="BB94" s="450"/>
      <c r="BC94" s="450"/>
      <c r="BD94" s="450"/>
      <c r="BE94" s="450"/>
      <c r="BF94" s="450"/>
      <c r="BG94" s="450"/>
      <c r="BH94" s="450"/>
      <c r="BI94" s="450"/>
      <c r="BJ94" s="450"/>
      <c r="BK94" s="450"/>
      <c r="BL94" s="450"/>
      <c r="BM94" s="450"/>
      <c r="BN94" s="450"/>
      <c r="BO94" s="450"/>
      <c r="BP94" s="450"/>
      <c r="BQ94" s="450"/>
      <c r="BR94" s="450"/>
      <c r="BS94" s="450"/>
      <c r="BT94" s="450"/>
      <c r="BU94" s="450"/>
      <c r="BV94" s="450"/>
      <c r="BW94" s="450"/>
      <c r="BX94" s="450"/>
      <c r="BY94" s="450"/>
      <c r="BZ94" s="450"/>
      <c r="CA94" s="450"/>
      <c r="CB94" s="450"/>
      <c r="CC94" s="450"/>
      <c r="CD94" s="450"/>
      <c r="CE94" s="450"/>
      <c r="CF94" s="450"/>
      <c r="CG94" s="450"/>
      <c r="CH94" s="450"/>
    </row>
    <row r="95">
      <c r="A95" s="508" t="s">
        <v>1276</v>
      </c>
      <c r="B95" s="450"/>
      <c r="C95" s="455"/>
      <c r="D95" s="450"/>
      <c r="E95" s="450"/>
      <c r="F95" s="450"/>
      <c r="G95" s="450"/>
      <c r="H95" s="450"/>
      <c r="I95" s="450"/>
      <c r="J95" s="450"/>
      <c r="K95" s="450"/>
      <c r="L95" s="450"/>
      <c r="M95" s="450"/>
      <c r="N95" s="450"/>
      <c r="O95" s="450"/>
      <c r="P95" s="450"/>
      <c r="Q95" s="450"/>
      <c r="R95" s="450"/>
      <c r="S95" s="450"/>
      <c r="T95" s="450"/>
      <c r="U95" s="450"/>
      <c r="V95" s="450"/>
      <c r="W95" s="450"/>
      <c r="X95" s="450"/>
      <c r="Y95" s="450"/>
      <c r="Z95" s="450"/>
      <c r="AA95" s="450"/>
      <c r="AB95" s="450"/>
      <c r="AC95" s="450"/>
      <c r="AD95" s="450"/>
      <c r="AE95" s="450"/>
      <c r="AF95" s="450"/>
      <c r="AG95" s="450"/>
      <c r="AH95" s="450"/>
      <c r="AI95" s="450"/>
      <c r="AJ95" s="450"/>
      <c r="AK95" s="450"/>
      <c r="AL95" s="450"/>
      <c r="AM95" s="450"/>
      <c r="AN95" s="450"/>
      <c r="AO95" s="450"/>
      <c r="AP95" s="450"/>
      <c r="AQ95" s="450"/>
      <c r="AR95" s="450"/>
      <c r="AS95" s="450"/>
      <c r="AT95" s="450"/>
      <c r="AU95" s="450"/>
      <c r="AV95" s="450"/>
      <c r="AW95" s="450"/>
      <c r="AX95" s="450"/>
      <c r="AY95" s="450"/>
      <c r="AZ95" s="450"/>
      <c r="BA95" s="450"/>
      <c r="BB95" s="450"/>
      <c r="BC95" s="450"/>
      <c r="BD95" s="450"/>
      <c r="BE95" s="450"/>
      <c r="BF95" s="450"/>
      <c r="BG95" s="450"/>
      <c r="BH95" s="450"/>
      <c r="BI95" s="450"/>
      <c r="BJ95" s="450"/>
      <c r="BK95" s="450"/>
      <c r="BL95" s="450"/>
      <c r="BM95" s="450"/>
      <c r="BN95" s="450"/>
      <c r="BO95" s="450"/>
      <c r="BP95" s="450"/>
      <c r="BQ95" s="450"/>
      <c r="BR95" s="450"/>
      <c r="BS95" s="450"/>
      <c r="BT95" s="450"/>
      <c r="BU95" s="450"/>
      <c r="BV95" s="450"/>
      <c r="BW95" s="450"/>
      <c r="BX95" s="450"/>
      <c r="BY95" s="450"/>
      <c r="BZ95" s="450"/>
      <c r="CA95" s="450"/>
      <c r="CB95" s="450"/>
      <c r="CC95" s="450"/>
      <c r="CD95" s="450"/>
      <c r="CE95" s="450"/>
      <c r="CF95" s="450"/>
      <c r="CG95" s="450"/>
      <c r="CH95" s="450"/>
    </row>
    <row r="96">
      <c r="L96" s="450"/>
      <c r="M96" s="450"/>
      <c r="N96" s="450"/>
      <c r="O96" s="450"/>
      <c r="P96" s="450"/>
      <c r="Q96" s="450"/>
      <c r="R96" s="450"/>
      <c r="S96" s="450"/>
      <c r="T96" s="450"/>
      <c r="U96" s="450"/>
      <c r="V96" s="450"/>
      <c r="W96" s="450"/>
      <c r="X96" s="450"/>
      <c r="Y96" s="450"/>
      <c r="Z96" s="450"/>
      <c r="AA96" s="450"/>
      <c r="AB96" s="450"/>
      <c r="AC96" s="450"/>
      <c r="AD96" s="450"/>
      <c r="AE96" s="450"/>
      <c r="AF96" s="450"/>
      <c r="AG96" s="450"/>
      <c r="AH96" s="450"/>
      <c r="AI96" s="450"/>
      <c r="AJ96" s="450"/>
      <c r="AK96" s="450"/>
      <c r="AL96" s="450"/>
      <c r="AM96" s="450"/>
      <c r="AN96" s="450"/>
      <c r="AO96" s="450"/>
      <c r="AP96" s="450"/>
      <c r="AQ96" s="450"/>
      <c r="AR96" s="450"/>
      <c r="AS96" s="450"/>
      <c r="AT96" s="450"/>
      <c r="AU96" s="450"/>
      <c r="AV96" s="450"/>
      <c r="AW96" s="450"/>
      <c r="AX96" s="450"/>
      <c r="AY96" s="450"/>
      <c r="AZ96" s="450"/>
      <c r="BA96" s="450"/>
      <c r="BB96" s="450"/>
      <c r="BC96" s="450"/>
      <c r="BD96" s="450"/>
      <c r="BE96" s="450"/>
      <c r="BF96" s="450"/>
      <c r="BG96" s="450"/>
      <c r="BH96" s="450"/>
      <c r="BI96" s="450"/>
      <c r="BJ96" s="450"/>
      <c r="BK96" s="450"/>
      <c r="BL96" s="450"/>
      <c r="BM96" s="450"/>
      <c r="BN96" s="450"/>
      <c r="BO96" s="450"/>
      <c r="BP96" s="450"/>
      <c r="BQ96" s="450"/>
      <c r="BR96" s="450"/>
      <c r="BS96" s="450"/>
      <c r="BT96" s="450"/>
      <c r="BU96" s="450"/>
      <c r="BV96" s="450"/>
      <c r="BW96" s="450"/>
      <c r="BX96" s="450"/>
      <c r="BY96" s="450"/>
      <c r="BZ96" s="450"/>
      <c r="CA96" s="450"/>
      <c r="CB96" s="450"/>
      <c r="CC96" s="450"/>
      <c r="CD96" s="450"/>
      <c r="CE96" s="450"/>
      <c r="CF96" s="450"/>
      <c r="CG96" s="450"/>
      <c r="CH96" s="450"/>
    </row>
    <row r="97">
      <c r="L97" s="450"/>
      <c r="M97" s="450"/>
      <c r="N97" s="450"/>
      <c r="O97" s="450"/>
      <c r="P97" s="450"/>
      <c r="Q97" s="450"/>
      <c r="R97" s="450"/>
      <c r="S97" s="450"/>
      <c r="T97" s="450"/>
      <c r="U97" s="450"/>
      <c r="V97" s="450"/>
      <c r="W97" s="450"/>
      <c r="X97" s="450"/>
      <c r="Y97" s="450"/>
      <c r="Z97" s="450"/>
      <c r="AA97" s="450"/>
      <c r="AB97" s="450"/>
      <c r="AC97" s="450"/>
      <c r="AD97" s="450"/>
      <c r="AE97" s="450"/>
      <c r="AF97" s="450"/>
      <c r="AG97" s="450"/>
      <c r="AH97" s="450"/>
      <c r="AI97" s="450"/>
      <c r="AJ97" s="450"/>
      <c r="AK97" s="450"/>
      <c r="AL97" s="450"/>
      <c r="AM97" s="450"/>
      <c r="AN97" s="450"/>
      <c r="AO97" s="450"/>
      <c r="AP97" s="450"/>
      <c r="AQ97" s="450"/>
      <c r="AR97" s="450"/>
      <c r="AS97" s="450"/>
      <c r="AT97" s="450"/>
      <c r="AU97" s="450"/>
      <c r="AV97" s="450"/>
      <c r="AW97" s="450"/>
      <c r="AX97" s="450"/>
      <c r="AY97" s="450"/>
      <c r="AZ97" s="450"/>
      <c r="BA97" s="450"/>
      <c r="BB97" s="450"/>
      <c r="BC97" s="450"/>
      <c r="BD97" s="450"/>
      <c r="BE97" s="450"/>
      <c r="BF97" s="450"/>
      <c r="BG97" s="450"/>
      <c r="BH97" s="450"/>
      <c r="BI97" s="450"/>
      <c r="BJ97" s="450"/>
      <c r="BK97" s="450"/>
      <c r="BL97" s="450"/>
      <c r="BM97" s="450"/>
      <c r="BN97" s="450"/>
      <c r="BO97" s="450"/>
      <c r="BP97" s="450"/>
      <c r="BQ97" s="450"/>
      <c r="BR97" s="450"/>
      <c r="BS97" s="450"/>
      <c r="BT97" s="450"/>
      <c r="BU97" s="450"/>
      <c r="BV97" s="450"/>
      <c r="BW97" s="450"/>
      <c r="BX97" s="450"/>
      <c r="BY97" s="450"/>
      <c r="BZ97" s="450"/>
      <c r="CA97" s="450"/>
      <c r="CB97" s="450"/>
      <c r="CC97" s="450"/>
      <c r="CD97" s="450"/>
      <c r="CE97" s="450"/>
      <c r="CF97" s="450"/>
      <c r="CG97" s="450"/>
      <c r="CH97" s="450"/>
    </row>
    <row r="98">
      <c r="L98" s="450"/>
      <c r="M98" s="450"/>
      <c r="N98" s="450"/>
      <c r="O98" s="450"/>
      <c r="P98" s="450"/>
      <c r="Q98" s="450"/>
      <c r="R98" s="450"/>
      <c r="S98" s="450"/>
      <c r="T98" s="450"/>
      <c r="U98" s="450"/>
      <c r="V98" s="450"/>
      <c r="W98" s="450"/>
      <c r="X98" s="450"/>
      <c r="Y98" s="450"/>
      <c r="Z98" s="450"/>
      <c r="AA98" s="450"/>
      <c r="AB98" s="450"/>
      <c r="AC98" s="450"/>
      <c r="AD98" s="450"/>
      <c r="AE98" s="450"/>
      <c r="AF98" s="450"/>
      <c r="AG98" s="450"/>
      <c r="AH98" s="450"/>
      <c r="AI98" s="450"/>
      <c r="AJ98" s="450"/>
      <c r="AK98" s="450"/>
      <c r="AL98" s="450"/>
      <c r="AM98" s="450"/>
      <c r="AN98" s="450"/>
      <c r="AO98" s="450"/>
      <c r="AP98" s="450"/>
      <c r="AQ98" s="450"/>
      <c r="AR98" s="450"/>
      <c r="AS98" s="450"/>
      <c r="AT98" s="450"/>
      <c r="AU98" s="450"/>
      <c r="AV98" s="450"/>
      <c r="AW98" s="450"/>
      <c r="AX98" s="450"/>
      <c r="AY98" s="450"/>
      <c r="AZ98" s="450"/>
      <c r="BA98" s="450"/>
      <c r="BB98" s="450"/>
      <c r="BC98" s="450"/>
      <c r="BD98" s="450"/>
      <c r="BE98" s="450"/>
      <c r="BF98" s="450"/>
      <c r="BG98" s="450"/>
      <c r="BH98" s="450"/>
      <c r="BI98" s="450"/>
      <c r="BJ98" s="450"/>
      <c r="BK98" s="450"/>
      <c r="BL98" s="450"/>
      <c r="BM98" s="450"/>
      <c r="BN98" s="450"/>
      <c r="BO98" s="450"/>
      <c r="BP98" s="450"/>
      <c r="BQ98" s="450"/>
      <c r="BR98" s="450"/>
      <c r="BS98" s="450"/>
      <c r="BT98" s="450"/>
      <c r="BU98" s="450"/>
      <c r="BV98" s="450"/>
      <c r="BW98" s="450"/>
      <c r="BX98" s="450"/>
      <c r="BY98" s="450"/>
      <c r="BZ98" s="450"/>
      <c r="CA98" s="450"/>
      <c r="CB98" s="450"/>
      <c r="CC98" s="450"/>
      <c r="CD98" s="450"/>
      <c r="CE98" s="450"/>
      <c r="CF98" s="450"/>
      <c r="CG98" s="450"/>
      <c r="CH98" s="450"/>
    </row>
    <row r="99">
      <c r="L99" s="450"/>
      <c r="M99" s="450"/>
      <c r="N99" s="450"/>
      <c r="O99" s="450"/>
      <c r="P99" s="450"/>
      <c r="Q99" s="450"/>
      <c r="R99" s="450"/>
      <c r="S99" s="450"/>
      <c r="T99" s="450"/>
      <c r="U99" s="450"/>
      <c r="V99" s="450"/>
      <c r="W99" s="450"/>
      <c r="X99" s="450"/>
      <c r="Y99" s="450"/>
      <c r="Z99" s="450"/>
      <c r="AA99" s="450"/>
      <c r="AB99" s="450"/>
      <c r="AC99" s="450"/>
      <c r="AD99" s="450"/>
      <c r="AE99" s="450"/>
      <c r="AF99" s="450"/>
      <c r="AG99" s="450"/>
      <c r="AH99" s="450"/>
      <c r="AI99" s="450"/>
      <c r="AJ99" s="450"/>
      <c r="AK99" s="450"/>
      <c r="AL99" s="450"/>
      <c r="AM99" s="450"/>
      <c r="AN99" s="450"/>
      <c r="AO99" s="450"/>
      <c r="AP99" s="450"/>
      <c r="AQ99" s="450"/>
      <c r="AR99" s="450"/>
      <c r="AS99" s="450"/>
      <c r="AT99" s="450"/>
      <c r="AU99" s="450"/>
      <c r="AV99" s="450"/>
      <c r="AW99" s="450"/>
      <c r="AX99" s="450"/>
      <c r="AY99" s="450"/>
      <c r="AZ99" s="450"/>
      <c r="BA99" s="450"/>
      <c r="BB99" s="450"/>
      <c r="BC99" s="450"/>
      <c r="BD99" s="450"/>
      <c r="BE99" s="450"/>
      <c r="BF99" s="450"/>
      <c r="BG99" s="450"/>
      <c r="BH99" s="450"/>
      <c r="BI99" s="450"/>
      <c r="BJ99" s="450"/>
      <c r="BK99" s="450"/>
      <c r="BL99" s="450"/>
      <c r="BM99" s="450"/>
      <c r="BN99" s="450"/>
      <c r="BO99" s="450"/>
      <c r="BP99" s="450"/>
      <c r="BQ99" s="450"/>
      <c r="BR99" s="450"/>
      <c r="BS99" s="450"/>
      <c r="BT99" s="450"/>
      <c r="BU99" s="450"/>
      <c r="BV99" s="450"/>
      <c r="BW99" s="450"/>
      <c r="BX99" s="450"/>
      <c r="BY99" s="450"/>
      <c r="BZ99" s="450"/>
      <c r="CA99" s="450"/>
      <c r="CB99" s="450"/>
      <c r="CC99" s="450"/>
      <c r="CD99" s="450"/>
      <c r="CE99" s="450"/>
      <c r="CF99" s="450"/>
      <c r="CG99" s="450"/>
      <c r="CH99" s="450"/>
    </row>
    <row r="100">
      <c r="L100" s="450"/>
      <c r="M100" s="450"/>
      <c r="N100" s="450"/>
      <c r="O100" s="450"/>
      <c r="P100" s="450"/>
      <c r="Q100" s="450"/>
      <c r="R100" s="450"/>
      <c r="S100" s="450"/>
      <c r="T100" s="450"/>
      <c r="U100" s="450"/>
      <c r="V100" s="450"/>
      <c r="W100" s="450"/>
      <c r="X100" s="450"/>
      <c r="Y100" s="450"/>
      <c r="Z100" s="450"/>
      <c r="AA100" s="450"/>
      <c r="AB100" s="450"/>
      <c r="AC100" s="450"/>
      <c r="AD100" s="450"/>
      <c r="AE100" s="450"/>
      <c r="AF100" s="450"/>
      <c r="AG100" s="450"/>
      <c r="AH100" s="450"/>
      <c r="AI100" s="450"/>
      <c r="AJ100" s="450"/>
      <c r="AK100" s="450"/>
      <c r="AL100" s="450"/>
      <c r="AM100" s="450"/>
      <c r="AN100" s="450"/>
      <c r="AO100" s="450"/>
      <c r="AP100" s="450"/>
      <c r="AQ100" s="450"/>
      <c r="AR100" s="450"/>
      <c r="AS100" s="450"/>
      <c r="AT100" s="450"/>
      <c r="AU100" s="450"/>
      <c r="AV100" s="450"/>
      <c r="AW100" s="450"/>
      <c r="AX100" s="450"/>
      <c r="AY100" s="450"/>
      <c r="AZ100" s="450"/>
      <c r="BA100" s="450"/>
      <c r="BB100" s="450"/>
      <c r="BC100" s="450"/>
      <c r="BD100" s="450"/>
      <c r="BE100" s="450"/>
      <c r="BF100" s="450"/>
      <c r="BG100" s="450"/>
      <c r="BH100" s="450"/>
      <c r="BI100" s="450"/>
      <c r="BJ100" s="450"/>
      <c r="BK100" s="450"/>
      <c r="BL100" s="450"/>
      <c r="BM100" s="450"/>
      <c r="BN100" s="450"/>
      <c r="BO100" s="450"/>
      <c r="BP100" s="450"/>
      <c r="BQ100" s="450"/>
      <c r="BR100" s="450"/>
      <c r="BS100" s="450"/>
      <c r="BT100" s="450"/>
      <c r="BU100" s="450"/>
      <c r="BV100" s="450"/>
      <c r="BW100" s="450"/>
      <c r="BX100" s="450"/>
      <c r="BY100" s="450"/>
      <c r="BZ100" s="450"/>
      <c r="CA100" s="450"/>
      <c r="CB100" s="450"/>
      <c r="CC100" s="450"/>
      <c r="CD100" s="450"/>
      <c r="CE100" s="450"/>
      <c r="CF100" s="450"/>
      <c r="CG100" s="450"/>
      <c r="CH100" s="450"/>
    </row>
    <row r="101">
      <c r="L101" s="450"/>
      <c r="M101" s="450"/>
      <c r="N101" s="450"/>
      <c r="O101" s="450"/>
      <c r="P101" s="450"/>
      <c r="Q101" s="450"/>
      <c r="R101" s="450"/>
      <c r="S101" s="450"/>
      <c r="T101" s="450"/>
      <c r="U101" s="450"/>
      <c r="V101" s="450"/>
      <c r="W101" s="450"/>
      <c r="X101" s="450"/>
      <c r="Y101" s="450"/>
      <c r="Z101" s="450"/>
      <c r="AA101" s="450"/>
      <c r="AB101" s="450"/>
      <c r="AC101" s="450"/>
      <c r="AD101" s="450"/>
      <c r="AE101" s="450"/>
      <c r="AF101" s="450"/>
      <c r="AG101" s="450"/>
      <c r="AH101" s="450"/>
      <c r="AI101" s="450"/>
      <c r="AJ101" s="450"/>
      <c r="AK101" s="450"/>
      <c r="AL101" s="450"/>
      <c r="AM101" s="450"/>
      <c r="AN101" s="450"/>
      <c r="AO101" s="450"/>
      <c r="AP101" s="450"/>
      <c r="AQ101" s="450"/>
      <c r="AR101" s="450"/>
      <c r="AS101" s="450"/>
      <c r="AT101" s="450"/>
      <c r="AU101" s="450"/>
      <c r="AV101" s="450"/>
      <c r="AW101" s="450"/>
      <c r="AX101" s="450"/>
      <c r="AY101" s="450"/>
      <c r="AZ101" s="450"/>
      <c r="BA101" s="450"/>
      <c r="BB101" s="450"/>
      <c r="BC101" s="450"/>
      <c r="BD101" s="450"/>
      <c r="BE101" s="450"/>
      <c r="BF101" s="450"/>
      <c r="BG101" s="450"/>
      <c r="BH101" s="450"/>
      <c r="BI101" s="450"/>
      <c r="BJ101" s="450"/>
      <c r="BK101" s="450"/>
      <c r="BL101" s="450"/>
      <c r="BM101" s="450"/>
      <c r="BN101" s="450"/>
      <c r="BO101" s="450"/>
      <c r="BP101" s="450"/>
      <c r="BQ101" s="450"/>
      <c r="BR101" s="450"/>
      <c r="BS101" s="450"/>
      <c r="BT101" s="450"/>
      <c r="BU101" s="450"/>
      <c r="BV101" s="450"/>
      <c r="BW101" s="450"/>
      <c r="BX101" s="450"/>
      <c r="BY101" s="450"/>
      <c r="BZ101" s="450"/>
      <c r="CA101" s="450"/>
      <c r="CB101" s="450"/>
      <c r="CC101" s="450"/>
      <c r="CD101" s="450"/>
      <c r="CE101" s="450"/>
      <c r="CF101" s="450"/>
      <c r="CG101" s="450"/>
      <c r="CH101" s="450"/>
    </row>
    <row r="102">
      <c r="L102" s="450"/>
      <c r="M102" s="450"/>
      <c r="N102" s="450"/>
      <c r="O102" s="450"/>
      <c r="P102" s="450"/>
      <c r="Q102" s="450"/>
      <c r="R102" s="450"/>
      <c r="S102" s="450"/>
      <c r="T102" s="450"/>
      <c r="U102" s="450"/>
      <c r="V102" s="450"/>
      <c r="W102" s="450"/>
      <c r="X102" s="450"/>
      <c r="Y102" s="450"/>
      <c r="Z102" s="450"/>
      <c r="AA102" s="450"/>
      <c r="AB102" s="450"/>
      <c r="AC102" s="450"/>
      <c r="AD102" s="450"/>
      <c r="AE102" s="450"/>
      <c r="AF102" s="450"/>
      <c r="AG102" s="450"/>
      <c r="AH102" s="450"/>
      <c r="AI102" s="450"/>
      <c r="AJ102" s="450"/>
      <c r="AK102" s="450"/>
      <c r="AL102" s="450"/>
      <c r="AM102" s="450"/>
      <c r="AN102" s="450"/>
      <c r="AO102" s="450"/>
      <c r="AP102" s="450"/>
      <c r="AQ102" s="450"/>
      <c r="AR102" s="450"/>
      <c r="AS102" s="450"/>
      <c r="AT102" s="450"/>
      <c r="AU102" s="450"/>
      <c r="AV102" s="450"/>
      <c r="AW102" s="450"/>
      <c r="AX102" s="450"/>
      <c r="AY102" s="450"/>
      <c r="AZ102" s="450"/>
      <c r="BA102" s="450"/>
      <c r="BB102" s="450"/>
      <c r="BC102" s="450"/>
      <c r="BD102" s="450"/>
      <c r="BE102" s="450"/>
      <c r="BF102" s="450"/>
      <c r="BG102" s="450"/>
      <c r="BH102" s="450"/>
      <c r="BI102" s="450"/>
      <c r="BJ102" s="450"/>
      <c r="BK102" s="450"/>
      <c r="BL102" s="450"/>
      <c r="BM102" s="450"/>
      <c r="BN102" s="450"/>
      <c r="BO102" s="450"/>
      <c r="BP102" s="450"/>
      <c r="BQ102" s="450"/>
      <c r="BR102" s="450"/>
      <c r="BS102" s="450"/>
      <c r="BT102" s="450"/>
      <c r="BU102" s="450"/>
      <c r="BV102" s="450"/>
      <c r="BW102" s="450"/>
      <c r="BX102" s="450"/>
      <c r="BY102" s="450"/>
      <c r="BZ102" s="450"/>
      <c r="CA102" s="450"/>
      <c r="CB102" s="450"/>
      <c r="CC102" s="450"/>
      <c r="CD102" s="450"/>
      <c r="CE102" s="450"/>
      <c r="CF102" s="450"/>
      <c r="CG102" s="450"/>
      <c r="CH102" s="450"/>
    </row>
    <row r="103">
      <c r="L103" s="450"/>
      <c r="M103" s="450"/>
      <c r="N103" s="450"/>
      <c r="O103" s="450"/>
      <c r="P103" s="450"/>
      <c r="Q103" s="450"/>
      <c r="R103" s="450"/>
      <c r="S103" s="450"/>
      <c r="T103" s="450"/>
      <c r="U103" s="450"/>
      <c r="V103" s="450"/>
      <c r="W103" s="450"/>
      <c r="X103" s="450"/>
      <c r="Y103" s="450"/>
      <c r="Z103" s="450"/>
      <c r="AA103" s="450"/>
      <c r="AB103" s="450"/>
      <c r="AC103" s="450"/>
      <c r="AD103" s="450"/>
      <c r="AE103" s="450"/>
      <c r="AF103" s="450"/>
      <c r="AG103" s="450"/>
      <c r="AH103" s="450"/>
      <c r="AI103" s="450"/>
      <c r="AJ103" s="450"/>
      <c r="AK103" s="450"/>
      <c r="AL103" s="450"/>
      <c r="AM103" s="450"/>
      <c r="AN103" s="450"/>
      <c r="AO103" s="450"/>
      <c r="AP103" s="450"/>
      <c r="AQ103" s="450"/>
      <c r="AR103" s="450"/>
      <c r="AS103" s="450"/>
      <c r="AT103" s="450"/>
      <c r="AU103" s="450"/>
      <c r="AV103" s="450"/>
      <c r="AW103" s="450"/>
      <c r="AX103" s="450"/>
      <c r="AY103" s="450"/>
      <c r="AZ103" s="450"/>
      <c r="BA103" s="450"/>
      <c r="BB103" s="450"/>
      <c r="BC103" s="450"/>
      <c r="BD103" s="450"/>
      <c r="BE103" s="450"/>
      <c r="BF103" s="450"/>
      <c r="BG103" s="450"/>
      <c r="BH103" s="450"/>
      <c r="BI103" s="450"/>
      <c r="BJ103" s="450"/>
      <c r="BK103" s="450"/>
      <c r="BL103" s="450"/>
      <c r="BM103" s="450"/>
      <c r="BN103" s="450"/>
      <c r="BO103" s="450"/>
      <c r="BP103" s="450"/>
      <c r="BQ103" s="450"/>
      <c r="BR103" s="450"/>
      <c r="BS103" s="450"/>
      <c r="BT103" s="450"/>
      <c r="BU103" s="450"/>
      <c r="BV103" s="450"/>
      <c r="BW103" s="450"/>
      <c r="BX103" s="450"/>
      <c r="BY103" s="450"/>
      <c r="BZ103" s="450"/>
      <c r="CA103" s="450"/>
      <c r="CB103" s="450"/>
      <c r="CC103" s="450"/>
      <c r="CD103" s="450"/>
      <c r="CE103" s="450"/>
      <c r="CF103" s="450"/>
      <c r="CG103" s="450"/>
      <c r="CH103" s="450"/>
    </row>
    <row r="104">
      <c r="L104" s="450"/>
      <c r="M104" s="450"/>
      <c r="N104" s="450"/>
      <c r="O104" s="450"/>
      <c r="P104" s="450"/>
      <c r="Q104" s="450"/>
      <c r="R104" s="450"/>
      <c r="S104" s="450"/>
      <c r="T104" s="450"/>
      <c r="U104" s="450"/>
      <c r="V104" s="450"/>
      <c r="W104" s="450"/>
      <c r="X104" s="450"/>
      <c r="Y104" s="450"/>
      <c r="Z104" s="450"/>
      <c r="AA104" s="450"/>
      <c r="AB104" s="450"/>
      <c r="AC104" s="450"/>
      <c r="AD104" s="450"/>
      <c r="AE104" s="450"/>
      <c r="AF104" s="450"/>
      <c r="AG104" s="450"/>
      <c r="AH104" s="450"/>
      <c r="AI104" s="450"/>
      <c r="AJ104" s="450"/>
      <c r="AK104" s="450"/>
      <c r="AL104" s="450"/>
      <c r="AM104" s="450"/>
      <c r="AN104" s="450"/>
      <c r="AO104" s="450"/>
      <c r="AP104" s="450"/>
      <c r="AQ104" s="450"/>
      <c r="AR104" s="450"/>
      <c r="AS104" s="450"/>
      <c r="AT104" s="450"/>
      <c r="AU104" s="450"/>
      <c r="AV104" s="450"/>
      <c r="AW104" s="450"/>
      <c r="AX104" s="450"/>
      <c r="AY104" s="450"/>
      <c r="AZ104" s="450"/>
      <c r="BA104" s="450"/>
      <c r="BB104" s="450"/>
      <c r="BC104" s="450"/>
      <c r="BD104" s="450"/>
      <c r="BE104" s="450"/>
      <c r="BF104" s="450"/>
      <c r="BG104" s="450"/>
      <c r="BH104" s="450"/>
      <c r="BI104" s="450"/>
      <c r="BJ104" s="450"/>
      <c r="BK104" s="450"/>
      <c r="BL104" s="450"/>
      <c r="BM104" s="450"/>
      <c r="BN104" s="450"/>
      <c r="BO104" s="450"/>
      <c r="BP104" s="450"/>
      <c r="BQ104" s="450"/>
      <c r="BR104" s="450"/>
      <c r="BS104" s="450"/>
      <c r="BT104" s="450"/>
      <c r="BU104" s="450"/>
      <c r="BV104" s="450"/>
      <c r="BW104" s="450"/>
      <c r="BX104" s="450"/>
      <c r="BY104" s="450"/>
      <c r="BZ104" s="450"/>
      <c r="CA104" s="450"/>
      <c r="CB104" s="450"/>
      <c r="CC104" s="450"/>
      <c r="CD104" s="450"/>
      <c r="CE104" s="450"/>
      <c r="CF104" s="450"/>
      <c r="CG104" s="450"/>
      <c r="CH104" s="450"/>
    </row>
    <row r="105">
      <c r="L105" s="450"/>
      <c r="M105" s="450"/>
      <c r="N105" s="450"/>
      <c r="O105" s="450"/>
      <c r="P105" s="450"/>
      <c r="Q105" s="450"/>
      <c r="R105" s="450"/>
      <c r="S105" s="450"/>
      <c r="T105" s="450"/>
      <c r="U105" s="450"/>
      <c r="V105" s="450"/>
      <c r="W105" s="450"/>
      <c r="X105" s="450"/>
      <c r="Y105" s="450"/>
      <c r="Z105" s="450"/>
      <c r="AA105" s="450"/>
      <c r="AB105" s="450"/>
      <c r="AC105" s="450"/>
      <c r="AD105" s="450"/>
      <c r="AE105" s="450"/>
      <c r="AF105" s="450"/>
      <c r="AG105" s="450"/>
      <c r="AH105" s="450"/>
      <c r="AI105" s="450"/>
      <c r="AJ105" s="450"/>
      <c r="AK105" s="450"/>
      <c r="AL105" s="450"/>
      <c r="AM105" s="450"/>
      <c r="AN105" s="450"/>
      <c r="AO105" s="450"/>
      <c r="AP105" s="450"/>
      <c r="AQ105" s="450"/>
      <c r="AR105" s="450"/>
      <c r="AS105" s="450"/>
      <c r="AT105" s="450"/>
      <c r="AU105" s="450"/>
      <c r="AV105" s="450"/>
      <c r="AW105" s="450"/>
      <c r="AX105" s="450"/>
      <c r="AY105" s="450"/>
      <c r="AZ105" s="450"/>
      <c r="BA105" s="450"/>
      <c r="BB105" s="450"/>
      <c r="BC105" s="450"/>
      <c r="BD105" s="450"/>
      <c r="BE105" s="450"/>
      <c r="BF105" s="450"/>
      <c r="BG105" s="450"/>
      <c r="BH105" s="450"/>
      <c r="BI105" s="450"/>
      <c r="BJ105" s="450"/>
      <c r="BK105" s="450"/>
      <c r="BL105" s="450"/>
      <c r="BM105" s="450"/>
      <c r="BN105" s="450"/>
      <c r="BO105" s="450"/>
      <c r="BP105" s="450"/>
      <c r="BQ105" s="450"/>
      <c r="BR105" s="450"/>
      <c r="BS105" s="450"/>
      <c r="BT105" s="450"/>
      <c r="BU105" s="450"/>
      <c r="BV105" s="450"/>
      <c r="BW105" s="450"/>
      <c r="BX105" s="450"/>
      <c r="BY105" s="450"/>
      <c r="BZ105" s="450"/>
      <c r="CA105" s="450"/>
      <c r="CB105" s="450"/>
      <c r="CC105" s="450"/>
      <c r="CD105" s="450"/>
      <c r="CE105" s="450"/>
      <c r="CF105" s="450"/>
      <c r="CG105" s="450"/>
      <c r="CH105" s="450"/>
    </row>
    <row r="106">
      <c r="L106" s="450"/>
      <c r="M106" s="450"/>
      <c r="N106" s="450"/>
      <c r="O106" s="450"/>
      <c r="P106" s="450"/>
      <c r="Q106" s="450"/>
      <c r="R106" s="450"/>
      <c r="S106" s="450"/>
      <c r="T106" s="450"/>
      <c r="U106" s="450"/>
      <c r="V106" s="450"/>
      <c r="W106" s="450"/>
      <c r="X106" s="450"/>
      <c r="Y106" s="450"/>
      <c r="Z106" s="450"/>
      <c r="AA106" s="450"/>
      <c r="AB106" s="450"/>
      <c r="AC106" s="450"/>
      <c r="AD106" s="450"/>
      <c r="AE106" s="450"/>
      <c r="AF106" s="450"/>
      <c r="AG106" s="450"/>
      <c r="AH106" s="450"/>
      <c r="AI106" s="450"/>
      <c r="AJ106" s="450"/>
      <c r="AK106" s="450"/>
      <c r="AL106" s="450"/>
      <c r="AM106" s="450"/>
      <c r="AN106" s="450"/>
      <c r="AO106" s="450"/>
      <c r="AP106" s="450"/>
      <c r="AQ106" s="450"/>
      <c r="AR106" s="450"/>
      <c r="AS106" s="450"/>
      <c r="AT106" s="450"/>
      <c r="AU106" s="450"/>
      <c r="AV106" s="450"/>
      <c r="AW106" s="450"/>
      <c r="AX106" s="450"/>
      <c r="AY106" s="450"/>
      <c r="AZ106" s="450"/>
      <c r="BA106" s="450"/>
      <c r="BB106" s="450"/>
      <c r="BC106" s="450"/>
      <c r="BD106" s="450"/>
      <c r="BE106" s="450"/>
      <c r="BF106" s="450"/>
      <c r="BG106" s="450"/>
      <c r="BH106" s="450"/>
      <c r="BI106" s="450"/>
      <c r="BJ106" s="450"/>
      <c r="BK106" s="450"/>
      <c r="BL106" s="450"/>
      <c r="BM106" s="450"/>
      <c r="BN106" s="450"/>
      <c r="BO106" s="450"/>
      <c r="BP106" s="450"/>
      <c r="BQ106" s="450"/>
      <c r="BR106" s="450"/>
      <c r="BS106" s="450"/>
      <c r="BT106" s="450"/>
      <c r="BU106" s="450"/>
      <c r="BV106" s="450"/>
      <c r="BW106" s="450"/>
      <c r="BX106" s="450"/>
      <c r="BY106" s="450"/>
      <c r="BZ106" s="450"/>
      <c r="CA106" s="450"/>
      <c r="CB106" s="450"/>
      <c r="CC106" s="450"/>
      <c r="CD106" s="450"/>
      <c r="CE106" s="450"/>
      <c r="CF106" s="450"/>
      <c r="CG106" s="450"/>
      <c r="CH106" s="450"/>
    </row>
    <row r="107">
      <c r="L107" s="450"/>
      <c r="M107" s="450"/>
      <c r="N107" s="450"/>
      <c r="O107" s="450"/>
      <c r="P107" s="450"/>
      <c r="Q107" s="450"/>
      <c r="R107" s="450"/>
      <c r="S107" s="450"/>
      <c r="T107" s="450"/>
      <c r="U107" s="450"/>
      <c r="V107" s="450"/>
      <c r="W107" s="450"/>
      <c r="X107" s="450"/>
      <c r="Y107" s="450"/>
      <c r="Z107" s="450"/>
      <c r="AA107" s="450"/>
      <c r="AB107" s="450"/>
      <c r="AC107" s="450"/>
      <c r="AD107" s="450"/>
      <c r="AE107" s="450"/>
      <c r="AF107" s="450"/>
      <c r="AG107" s="450"/>
      <c r="AH107" s="450"/>
      <c r="AI107" s="450"/>
      <c r="AJ107" s="450"/>
      <c r="AK107" s="450"/>
      <c r="AL107" s="450"/>
      <c r="AM107" s="450"/>
      <c r="AN107" s="450"/>
      <c r="AO107" s="450"/>
      <c r="AP107" s="450"/>
      <c r="AQ107" s="450"/>
      <c r="AR107" s="450"/>
      <c r="AS107" s="450"/>
      <c r="AT107" s="450"/>
      <c r="AU107" s="450"/>
      <c r="AV107" s="450"/>
      <c r="AW107" s="450"/>
      <c r="AX107" s="450"/>
      <c r="AY107" s="450"/>
      <c r="AZ107" s="450"/>
      <c r="BA107" s="450"/>
      <c r="BB107" s="450"/>
      <c r="BC107" s="450"/>
      <c r="BD107" s="450"/>
      <c r="BE107" s="450"/>
      <c r="BF107" s="450"/>
      <c r="BG107" s="450"/>
      <c r="BH107" s="450"/>
      <c r="BI107" s="450"/>
      <c r="BJ107" s="450"/>
      <c r="BK107" s="450"/>
      <c r="BL107" s="450"/>
      <c r="BM107" s="450"/>
      <c r="BN107" s="450"/>
      <c r="BO107" s="450"/>
      <c r="BP107" s="450"/>
      <c r="BQ107" s="450"/>
      <c r="BR107" s="450"/>
      <c r="BS107" s="450"/>
      <c r="BT107" s="450"/>
      <c r="BU107" s="450"/>
      <c r="BV107" s="450"/>
      <c r="BW107" s="450"/>
      <c r="BX107" s="450"/>
      <c r="BY107" s="450"/>
      <c r="BZ107" s="450"/>
      <c r="CA107" s="450"/>
      <c r="CB107" s="450"/>
      <c r="CC107" s="450"/>
      <c r="CD107" s="450"/>
      <c r="CE107" s="450"/>
      <c r="CF107" s="450"/>
      <c r="CG107" s="450"/>
      <c r="CH107" s="450"/>
    </row>
    <row r="108">
      <c r="L108" s="450"/>
      <c r="M108" s="450"/>
      <c r="N108" s="450"/>
      <c r="O108" s="450"/>
      <c r="P108" s="450"/>
      <c r="Q108" s="450"/>
      <c r="R108" s="450"/>
      <c r="S108" s="450"/>
      <c r="T108" s="450"/>
      <c r="U108" s="450"/>
      <c r="V108" s="450"/>
      <c r="W108" s="450"/>
      <c r="X108" s="450"/>
      <c r="Y108" s="450"/>
      <c r="Z108" s="450"/>
      <c r="AA108" s="450"/>
      <c r="AB108" s="450"/>
      <c r="AC108" s="450"/>
      <c r="AD108" s="450"/>
      <c r="AE108" s="450"/>
      <c r="AF108" s="450"/>
      <c r="AG108" s="450"/>
      <c r="AH108" s="450"/>
      <c r="AI108" s="450"/>
      <c r="AJ108" s="450"/>
      <c r="AK108" s="450"/>
      <c r="AL108" s="450"/>
      <c r="AM108" s="450"/>
      <c r="AN108" s="450"/>
      <c r="AO108" s="450"/>
      <c r="AP108" s="450"/>
      <c r="AQ108" s="450"/>
      <c r="AR108" s="450"/>
      <c r="AS108" s="450"/>
      <c r="AT108" s="450"/>
      <c r="AU108" s="450"/>
      <c r="AV108" s="450"/>
      <c r="AW108" s="450"/>
      <c r="AX108" s="450"/>
      <c r="AY108" s="450"/>
      <c r="AZ108" s="450"/>
      <c r="BA108" s="450"/>
      <c r="BB108" s="450"/>
      <c r="BC108" s="450"/>
      <c r="BD108" s="450"/>
      <c r="BE108" s="450"/>
      <c r="BF108" s="450"/>
      <c r="BG108" s="450"/>
      <c r="BH108" s="450"/>
      <c r="BI108" s="450"/>
      <c r="BJ108" s="450"/>
      <c r="BK108" s="450"/>
      <c r="BL108" s="450"/>
      <c r="BM108" s="450"/>
      <c r="BN108" s="450"/>
      <c r="BO108" s="450"/>
      <c r="BP108" s="450"/>
      <c r="BQ108" s="450"/>
      <c r="BR108" s="450"/>
      <c r="BS108" s="450"/>
      <c r="BT108" s="450"/>
      <c r="BU108" s="450"/>
      <c r="BV108" s="450"/>
      <c r="BW108" s="450"/>
      <c r="BX108" s="450"/>
      <c r="BY108" s="450"/>
      <c r="BZ108" s="450"/>
      <c r="CA108" s="450"/>
      <c r="CB108" s="450"/>
      <c r="CC108" s="450"/>
      <c r="CD108" s="450"/>
      <c r="CE108" s="450"/>
      <c r="CF108" s="450"/>
      <c r="CG108" s="450"/>
      <c r="CH108" s="450"/>
    </row>
    <row r="109">
      <c r="L109" s="450"/>
      <c r="M109" s="450"/>
      <c r="N109" s="450"/>
      <c r="O109" s="450"/>
      <c r="P109" s="450"/>
      <c r="Q109" s="450"/>
      <c r="R109" s="450"/>
      <c r="S109" s="450"/>
      <c r="T109" s="450"/>
      <c r="U109" s="450"/>
      <c r="V109" s="450"/>
      <c r="W109" s="450"/>
      <c r="X109" s="450"/>
      <c r="Y109" s="450"/>
      <c r="Z109" s="450"/>
      <c r="AA109" s="450"/>
      <c r="AB109" s="450"/>
      <c r="AC109" s="450"/>
      <c r="AD109" s="450"/>
      <c r="AE109" s="450"/>
      <c r="AF109" s="450"/>
      <c r="AG109" s="450"/>
      <c r="AH109" s="450"/>
      <c r="AI109" s="450"/>
      <c r="AJ109" s="450"/>
      <c r="AK109" s="450"/>
      <c r="AL109" s="450"/>
      <c r="AM109" s="450"/>
      <c r="AN109" s="450"/>
      <c r="AO109" s="450"/>
      <c r="AP109" s="450"/>
      <c r="AQ109" s="450"/>
      <c r="AR109" s="450"/>
      <c r="AS109" s="450"/>
      <c r="AT109" s="450"/>
      <c r="AU109" s="450"/>
      <c r="AV109" s="450"/>
      <c r="AW109" s="450"/>
      <c r="AX109" s="450"/>
      <c r="AY109" s="450"/>
      <c r="AZ109" s="450"/>
      <c r="BA109" s="450"/>
      <c r="BB109" s="450"/>
      <c r="BC109" s="450"/>
      <c r="BD109" s="450"/>
      <c r="BE109" s="450"/>
      <c r="BF109" s="450"/>
      <c r="BG109" s="450"/>
      <c r="BH109" s="450"/>
      <c r="BI109" s="450"/>
      <c r="BJ109" s="450"/>
      <c r="BK109" s="450"/>
      <c r="BL109" s="450"/>
      <c r="BM109" s="450"/>
      <c r="BN109" s="450"/>
      <c r="BO109" s="450"/>
      <c r="BP109" s="450"/>
      <c r="BQ109" s="450"/>
      <c r="BR109" s="450"/>
      <c r="BS109" s="450"/>
      <c r="BT109" s="450"/>
      <c r="BU109" s="450"/>
      <c r="BV109" s="450"/>
      <c r="BW109" s="450"/>
      <c r="BX109" s="450"/>
      <c r="BY109" s="450"/>
      <c r="BZ109" s="450"/>
      <c r="CA109" s="450"/>
      <c r="CB109" s="450"/>
      <c r="CC109" s="450"/>
      <c r="CD109" s="450"/>
      <c r="CE109" s="450"/>
      <c r="CF109" s="450"/>
      <c r="CG109" s="450"/>
      <c r="CH109" s="450"/>
    </row>
    <row r="110">
      <c r="L110" s="450"/>
      <c r="M110" s="450"/>
      <c r="N110" s="450"/>
      <c r="O110" s="450"/>
      <c r="P110" s="450"/>
      <c r="Q110" s="450"/>
      <c r="R110" s="450"/>
      <c r="S110" s="450"/>
      <c r="T110" s="450"/>
      <c r="U110" s="450"/>
      <c r="V110" s="450"/>
      <c r="W110" s="450"/>
      <c r="X110" s="450"/>
      <c r="Y110" s="450"/>
      <c r="Z110" s="450"/>
      <c r="AA110" s="450"/>
      <c r="AB110" s="450"/>
      <c r="AC110" s="450"/>
      <c r="AD110" s="450"/>
      <c r="AE110" s="450"/>
      <c r="AF110" s="450"/>
      <c r="AG110" s="450"/>
      <c r="AH110" s="450"/>
      <c r="AI110" s="450"/>
      <c r="AJ110" s="450"/>
      <c r="AK110" s="450"/>
      <c r="AL110" s="450"/>
      <c r="AM110" s="450"/>
      <c r="AN110" s="450"/>
      <c r="AO110" s="450"/>
      <c r="AP110" s="450"/>
      <c r="AQ110" s="450"/>
      <c r="AR110" s="450"/>
      <c r="AS110" s="450"/>
      <c r="AT110" s="450"/>
      <c r="AU110" s="450"/>
      <c r="AV110" s="450"/>
      <c r="AW110" s="450"/>
      <c r="AX110" s="450"/>
      <c r="AY110" s="450"/>
      <c r="AZ110" s="450"/>
      <c r="BA110" s="450"/>
      <c r="BB110" s="450"/>
      <c r="BC110" s="450"/>
      <c r="BD110" s="450"/>
      <c r="BE110" s="450"/>
      <c r="BF110" s="450"/>
      <c r="BG110" s="450"/>
      <c r="BH110" s="450"/>
      <c r="BI110" s="450"/>
      <c r="BJ110" s="450"/>
      <c r="BK110" s="450"/>
      <c r="BL110" s="450"/>
      <c r="BM110" s="450"/>
      <c r="BN110" s="450"/>
      <c r="BO110" s="450"/>
      <c r="BP110" s="450"/>
      <c r="BQ110" s="450"/>
      <c r="BR110" s="450"/>
      <c r="BS110" s="450"/>
      <c r="BT110" s="450"/>
      <c r="BU110" s="450"/>
      <c r="BV110" s="450"/>
      <c r="BW110" s="450"/>
      <c r="BX110" s="450"/>
      <c r="BY110" s="450"/>
      <c r="BZ110" s="450"/>
      <c r="CA110" s="450"/>
      <c r="CB110" s="450"/>
      <c r="CC110" s="450"/>
      <c r="CD110" s="450"/>
      <c r="CE110" s="450"/>
      <c r="CF110" s="450"/>
      <c r="CG110" s="450"/>
      <c r="CH110" s="450"/>
    </row>
    <row r="111">
      <c r="L111" s="450"/>
      <c r="M111" s="450"/>
      <c r="N111" s="450"/>
      <c r="O111" s="450"/>
      <c r="P111" s="450"/>
      <c r="Q111" s="450"/>
      <c r="R111" s="450"/>
      <c r="S111" s="450"/>
      <c r="T111" s="450"/>
      <c r="U111" s="450"/>
      <c r="V111" s="450"/>
      <c r="W111" s="450"/>
      <c r="X111" s="450"/>
      <c r="Y111" s="450"/>
      <c r="Z111" s="450"/>
      <c r="AA111" s="450"/>
      <c r="AB111" s="450"/>
      <c r="AC111" s="450"/>
      <c r="AD111" s="450"/>
      <c r="AE111" s="450"/>
      <c r="AF111" s="450"/>
      <c r="AG111" s="450"/>
      <c r="AH111" s="450"/>
      <c r="AI111" s="450"/>
      <c r="AJ111" s="450"/>
      <c r="AK111" s="450"/>
      <c r="AL111" s="450"/>
      <c r="AM111" s="450"/>
      <c r="AN111" s="450"/>
      <c r="AO111" s="450"/>
      <c r="AP111" s="450"/>
      <c r="AQ111" s="450"/>
      <c r="AR111" s="450"/>
      <c r="AS111" s="450"/>
      <c r="AT111" s="450"/>
      <c r="AU111" s="450"/>
      <c r="AV111" s="450"/>
      <c r="AW111" s="450"/>
      <c r="AX111" s="450"/>
      <c r="AY111" s="450"/>
      <c r="AZ111" s="450"/>
      <c r="BA111" s="450"/>
      <c r="BB111" s="450"/>
      <c r="BC111" s="450"/>
      <c r="BD111" s="450"/>
      <c r="BE111" s="450"/>
      <c r="BF111" s="450"/>
      <c r="BG111" s="450"/>
      <c r="BH111" s="450"/>
      <c r="BI111" s="450"/>
      <c r="BJ111" s="450"/>
      <c r="BK111" s="450"/>
      <c r="BL111" s="450"/>
      <c r="BM111" s="450"/>
      <c r="BN111" s="450"/>
      <c r="BO111" s="450"/>
      <c r="BP111" s="450"/>
      <c r="BQ111" s="450"/>
      <c r="BR111" s="450"/>
      <c r="BS111" s="450"/>
      <c r="BT111" s="450"/>
      <c r="BU111" s="450"/>
      <c r="BV111" s="450"/>
      <c r="BW111" s="450"/>
      <c r="BX111" s="450"/>
      <c r="BY111" s="450"/>
      <c r="BZ111" s="450"/>
      <c r="CA111" s="450"/>
      <c r="CB111" s="450"/>
      <c r="CC111" s="450"/>
      <c r="CD111" s="450"/>
      <c r="CE111" s="450"/>
      <c r="CF111" s="450"/>
      <c r="CG111" s="450"/>
      <c r="CH111" s="450"/>
    </row>
    <row r="112">
      <c r="L112" s="450"/>
      <c r="M112" s="450"/>
      <c r="N112" s="450"/>
      <c r="O112" s="450"/>
      <c r="P112" s="450"/>
      <c r="Q112" s="450"/>
      <c r="R112" s="450"/>
      <c r="S112" s="450"/>
      <c r="T112" s="450"/>
      <c r="U112" s="450"/>
      <c r="V112" s="450"/>
      <c r="W112" s="450"/>
      <c r="X112" s="450"/>
      <c r="Y112" s="450"/>
      <c r="Z112" s="450"/>
      <c r="AA112" s="450"/>
      <c r="AB112" s="450"/>
      <c r="AC112" s="450"/>
      <c r="AD112" s="450"/>
      <c r="AE112" s="450"/>
      <c r="AF112" s="450"/>
      <c r="AG112" s="450"/>
      <c r="AH112" s="450"/>
      <c r="AI112" s="450"/>
      <c r="AJ112" s="450"/>
      <c r="AK112" s="450"/>
      <c r="AL112" s="450"/>
      <c r="AM112" s="450"/>
      <c r="AN112" s="450"/>
      <c r="AO112" s="450"/>
      <c r="AP112" s="450"/>
      <c r="AQ112" s="450"/>
      <c r="AR112" s="450"/>
      <c r="AS112" s="450"/>
      <c r="AT112" s="450"/>
      <c r="AU112" s="450"/>
      <c r="AV112" s="450"/>
      <c r="AW112" s="450"/>
      <c r="AX112" s="450"/>
      <c r="AY112" s="450"/>
      <c r="AZ112" s="450"/>
      <c r="BA112" s="450"/>
      <c r="BB112" s="450"/>
      <c r="BC112" s="450"/>
      <c r="BD112" s="450"/>
      <c r="BE112" s="450"/>
      <c r="BF112" s="450"/>
      <c r="BG112" s="450"/>
      <c r="BH112" s="450"/>
      <c r="BI112" s="450"/>
      <c r="BJ112" s="450"/>
      <c r="BK112" s="450"/>
      <c r="BL112" s="450"/>
      <c r="BM112" s="450"/>
      <c r="BN112" s="450"/>
      <c r="BO112" s="450"/>
      <c r="BP112" s="450"/>
      <c r="BQ112" s="450"/>
      <c r="BR112" s="450"/>
      <c r="BS112" s="450"/>
      <c r="BT112" s="450"/>
      <c r="BU112" s="450"/>
      <c r="BV112" s="450"/>
      <c r="BW112" s="450"/>
      <c r="BX112" s="450"/>
      <c r="BY112" s="450"/>
      <c r="BZ112" s="450"/>
      <c r="CA112" s="450"/>
      <c r="CB112" s="450"/>
      <c r="CC112" s="450"/>
      <c r="CD112" s="450"/>
      <c r="CE112" s="450"/>
      <c r="CF112" s="450"/>
      <c r="CG112" s="450"/>
      <c r="CH112" s="450"/>
    </row>
    <row r="113">
      <c r="L113" s="450"/>
      <c r="M113" s="450"/>
      <c r="N113" s="450"/>
      <c r="O113" s="450"/>
      <c r="P113" s="450"/>
      <c r="Q113" s="450"/>
      <c r="R113" s="450"/>
      <c r="S113" s="450"/>
      <c r="T113" s="450"/>
      <c r="U113" s="450"/>
      <c r="V113" s="450"/>
      <c r="W113" s="450"/>
      <c r="X113" s="450"/>
      <c r="Y113" s="450"/>
      <c r="Z113" s="450"/>
      <c r="AA113" s="450"/>
      <c r="AB113" s="450"/>
      <c r="AC113" s="450"/>
      <c r="AD113" s="450"/>
      <c r="AE113" s="450"/>
      <c r="AF113" s="450"/>
      <c r="AG113" s="450"/>
      <c r="AH113" s="450"/>
      <c r="AI113" s="450"/>
      <c r="AJ113" s="450"/>
      <c r="AK113" s="450"/>
      <c r="AL113" s="450"/>
      <c r="AM113" s="450"/>
      <c r="AN113" s="450"/>
      <c r="AO113" s="450"/>
      <c r="AP113" s="450"/>
      <c r="AQ113" s="450"/>
      <c r="AR113" s="450"/>
      <c r="AS113" s="450"/>
      <c r="AT113" s="450"/>
      <c r="AU113" s="450"/>
      <c r="AV113" s="450"/>
      <c r="AW113" s="450"/>
      <c r="AX113" s="450"/>
      <c r="AY113" s="450"/>
      <c r="AZ113" s="450"/>
      <c r="BA113" s="450"/>
      <c r="BB113" s="450"/>
      <c r="BC113" s="450"/>
      <c r="BD113" s="450"/>
      <c r="BE113" s="450"/>
      <c r="BF113" s="450"/>
      <c r="BG113" s="450"/>
      <c r="BH113" s="450"/>
      <c r="BI113" s="450"/>
      <c r="BJ113" s="450"/>
      <c r="BK113" s="450"/>
      <c r="BL113" s="450"/>
      <c r="BM113" s="450"/>
      <c r="BN113" s="450"/>
      <c r="BO113" s="450"/>
      <c r="BP113" s="450"/>
      <c r="BQ113" s="450"/>
      <c r="BR113" s="450"/>
      <c r="BS113" s="450"/>
      <c r="BT113" s="450"/>
      <c r="BU113" s="450"/>
      <c r="BV113" s="450"/>
      <c r="BW113" s="450"/>
      <c r="BX113" s="450"/>
      <c r="BY113" s="450"/>
      <c r="BZ113" s="450"/>
      <c r="CA113" s="450"/>
      <c r="CB113" s="450"/>
      <c r="CC113" s="450"/>
      <c r="CD113" s="450"/>
      <c r="CE113" s="450"/>
      <c r="CF113" s="450"/>
      <c r="CG113" s="450"/>
      <c r="CH113" s="450"/>
    </row>
    <row r="114">
      <c r="L114" s="450"/>
      <c r="M114" s="450"/>
      <c r="N114" s="450"/>
      <c r="O114" s="450"/>
      <c r="P114" s="450"/>
      <c r="Q114" s="450"/>
      <c r="R114" s="450"/>
      <c r="S114" s="450"/>
      <c r="T114" s="450"/>
      <c r="U114" s="450"/>
      <c r="V114" s="450"/>
      <c r="W114" s="450"/>
      <c r="X114" s="450"/>
      <c r="Y114" s="450"/>
      <c r="Z114" s="450"/>
      <c r="AA114" s="450"/>
      <c r="AB114" s="450"/>
      <c r="AC114" s="450"/>
      <c r="AD114" s="450"/>
      <c r="AE114" s="450"/>
      <c r="AF114" s="450"/>
      <c r="AG114" s="450"/>
      <c r="AH114" s="450"/>
      <c r="AI114" s="450"/>
      <c r="AJ114" s="450"/>
      <c r="AK114" s="450"/>
      <c r="AL114" s="450"/>
      <c r="AM114" s="450"/>
      <c r="AN114" s="450"/>
      <c r="AO114" s="450"/>
      <c r="AP114" s="450"/>
      <c r="AQ114" s="450"/>
      <c r="AR114" s="450"/>
      <c r="AS114" s="450"/>
      <c r="AT114" s="450"/>
      <c r="AU114" s="450"/>
      <c r="AV114" s="450"/>
      <c r="AW114" s="450"/>
      <c r="AX114" s="450"/>
      <c r="AY114" s="450"/>
      <c r="AZ114" s="450"/>
      <c r="BA114" s="450"/>
      <c r="BB114" s="450"/>
      <c r="BC114" s="450"/>
      <c r="BD114" s="450"/>
      <c r="BE114" s="450"/>
      <c r="BF114" s="450"/>
      <c r="BG114" s="450"/>
      <c r="BH114" s="450"/>
      <c r="BI114" s="450"/>
      <c r="BJ114" s="450"/>
      <c r="BK114" s="450"/>
      <c r="BL114" s="450"/>
      <c r="BM114" s="450"/>
      <c r="BN114" s="450"/>
      <c r="BO114" s="450"/>
      <c r="BP114" s="450"/>
      <c r="BQ114" s="450"/>
      <c r="BR114" s="450"/>
      <c r="BS114" s="450"/>
      <c r="BT114" s="450"/>
      <c r="BU114" s="450"/>
      <c r="BV114" s="450"/>
      <c r="BW114" s="450"/>
      <c r="BX114" s="450"/>
      <c r="BY114" s="450"/>
      <c r="BZ114" s="450"/>
      <c r="CA114" s="450"/>
      <c r="CB114" s="450"/>
      <c r="CC114" s="450"/>
      <c r="CD114" s="450"/>
      <c r="CE114" s="450"/>
      <c r="CF114" s="450"/>
      <c r="CG114" s="450"/>
      <c r="CH114" s="450"/>
    </row>
    <row r="115">
      <c r="L115" s="450"/>
      <c r="M115" s="450"/>
      <c r="N115" s="450"/>
      <c r="O115" s="450"/>
      <c r="P115" s="450"/>
      <c r="Q115" s="450"/>
      <c r="R115" s="450"/>
      <c r="S115" s="450"/>
      <c r="T115" s="450"/>
      <c r="U115" s="450"/>
      <c r="V115" s="450"/>
      <c r="W115" s="450"/>
      <c r="X115" s="450"/>
      <c r="Y115" s="450"/>
      <c r="Z115" s="450"/>
      <c r="AA115" s="450"/>
      <c r="AB115" s="450"/>
      <c r="AC115" s="450"/>
      <c r="AD115" s="450"/>
      <c r="AE115" s="450"/>
      <c r="AF115" s="450"/>
      <c r="AG115" s="450"/>
      <c r="AH115" s="450"/>
      <c r="AI115" s="450"/>
      <c r="AJ115" s="450"/>
      <c r="AK115" s="450"/>
      <c r="AL115" s="450"/>
      <c r="AM115" s="450"/>
      <c r="AN115" s="450"/>
      <c r="AO115" s="450"/>
      <c r="AP115" s="450"/>
      <c r="AQ115" s="450"/>
      <c r="AR115" s="450"/>
      <c r="AS115" s="450"/>
      <c r="AT115" s="450"/>
      <c r="AU115" s="450"/>
      <c r="AV115" s="450"/>
      <c r="AW115" s="450"/>
      <c r="AX115" s="450"/>
      <c r="AY115" s="450"/>
      <c r="AZ115" s="450"/>
      <c r="BA115" s="450"/>
      <c r="BB115" s="450"/>
      <c r="BC115" s="450"/>
      <c r="BD115" s="450"/>
      <c r="BE115" s="450"/>
      <c r="BF115" s="450"/>
      <c r="BG115" s="450"/>
      <c r="BH115" s="450"/>
      <c r="BI115" s="450"/>
      <c r="BJ115" s="450"/>
      <c r="BK115" s="450"/>
      <c r="BL115" s="450"/>
      <c r="BM115" s="450"/>
      <c r="BN115" s="450"/>
      <c r="BO115" s="450"/>
      <c r="BP115" s="450"/>
      <c r="BQ115" s="450"/>
      <c r="BR115" s="450"/>
      <c r="BS115" s="450"/>
      <c r="BT115" s="450"/>
      <c r="BU115" s="450"/>
      <c r="BV115" s="450"/>
      <c r="BW115" s="450"/>
      <c r="BX115" s="450"/>
      <c r="BY115" s="450"/>
      <c r="BZ115" s="450"/>
      <c r="CA115" s="450"/>
      <c r="CB115" s="450"/>
      <c r="CC115" s="450"/>
      <c r="CD115" s="450"/>
      <c r="CE115" s="450"/>
      <c r="CF115" s="450"/>
      <c r="CG115" s="450"/>
      <c r="CH115" s="450"/>
    </row>
    <row r="116">
      <c r="L116" s="450"/>
      <c r="M116" s="450"/>
      <c r="N116" s="450"/>
      <c r="O116" s="450"/>
      <c r="P116" s="450"/>
      <c r="Q116" s="450"/>
      <c r="R116" s="450"/>
      <c r="S116" s="450"/>
      <c r="T116" s="450"/>
      <c r="U116" s="450"/>
      <c r="V116" s="450"/>
      <c r="W116" s="450"/>
      <c r="X116" s="450"/>
      <c r="Y116" s="450"/>
      <c r="Z116" s="450"/>
      <c r="AA116" s="450"/>
      <c r="AB116" s="450"/>
      <c r="AC116" s="450"/>
      <c r="AD116" s="450"/>
      <c r="AE116" s="450"/>
      <c r="AF116" s="450"/>
      <c r="AG116" s="450"/>
      <c r="AH116" s="450"/>
      <c r="AI116" s="450"/>
      <c r="AJ116" s="450"/>
      <c r="AK116" s="450"/>
      <c r="AL116" s="450"/>
      <c r="AM116" s="450"/>
      <c r="AN116" s="450"/>
      <c r="AO116" s="450"/>
      <c r="AP116" s="450"/>
      <c r="AQ116" s="450"/>
      <c r="AR116" s="450"/>
      <c r="AS116" s="450"/>
      <c r="AT116" s="450"/>
      <c r="AU116" s="450"/>
      <c r="AV116" s="450"/>
      <c r="AW116" s="450"/>
      <c r="AX116" s="450"/>
      <c r="AY116" s="450"/>
      <c r="AZ116" s="450"/>
      <c r="BA116" s="450"/>
      <c r="BB116" s="450"/>
      <c r="BC116" s="450"/>
      <c r="BD116" s="450"/>
      <c r="BE116" s="450"/>
      <c r="BF116" s="450"/>
      <c r="BG116" s="450"/>
      <c r="BH116" s="450"/>
      <c r="BI116" s="450"/>
      <c r="BJ116" s="450"/>
      <c r="BK116" s="450"/>
      <c r="BL116" s="450"/>
      <c r="BM116" s="450"/>
      <c r="BN116" s="450"/>
      <c r="BO116" s="450"/>
      <c r="BP116" s="450"/>
      <c r="BQ116" s="450"/>
      <c r="BR116" s="450"/>
      <c r="BS116" s="450"/>
      <c r="BT116" s="450"/>
      <c r="BU116" s="450"/>
      <c r="BV116" s="450"/>
      <c r="BW116" s="450"/>
      <c r="BX116" s="450"/>
      <c r="BY116" s="450"/>
      <c r="BZ116" s="450"/>
      <c r="CA116" s="450"/>
      <c r="CB116" s="450"/>
      <c r="CC116" s="450"/>
      <c r="CD116" s="450"/>
      <c r="CE116" s="450"/>
      <c r="CF116" s="450"/>
      <c r="CG116" s="450"/>
      <c r="CH116" s="450"/>
    </row>
    <row r="117">
      <c r="L117" s="450"/>
      <c r="M117" s="450"/>
      <c r="N117" s="450"/>
      <c r="O117" s="450"/>
      <c r="P117" s="450"/>
      <c r="Q117" s="450"/>
      <c r="R117" s="450"/>
      <c r="S117" s="450"/>
      <c r="T117" s="450"/>
      <c r="U117" s="450"/>
      <c r="V117" s="450"/>
      <c r="W117" s="450"/>
      <c r="X117" s="450"/>
      <c r="Y117" s="450"/>
      <c r="Z117" s="450"/>
      <c r="AA117" s="450"/>
      <c r="AB117" s="450"/>
      <c r="AC117" s="450"/>
      <c r="AD117" s="450"/>
      <c r="AE117" s="450"/>
      <c r="AF117" s="450"/>
      <c r="AG117" s="450"/>
      <c r="AH117" s="450"/>
      <c r="AI117" s="450"/>
      <c r="AJ117" s="450"/>
      <c r="AK117" s="450"/>
      <c r="AL117" s="450"/>
      <c r="AM117" s="450"/>
      <c r="AN117" s="450"/>
      <c r="AO117" s="450"/>
      <c r="AP117" s="450"/>
      <c r="AQ117" s="450"/>
      <c r="AR117" s="450"/>
      <c r="AS117" s="450"/>
      <c r="AT117" s="450"/>
      <c r="AU117" s="450"/>
      <c r="AV117" s="450"/>
      <c r="AW117" s="450"/>
      <c r="AX117" s="450"/>
      <c r="AY117" s="450"/>
      <c r="AZ117" s="450"/>
      <c r="BA117" s="450"/>
      <c r="BB117" s="450"/>
      <c r="BC117" s="450"/>
      <c r="BD117" s="450"/>
      <c r="BE117" s="450"/>
      <c r="BF117" s="450"/>
      <c r="BG117" s="450"/>
      <c r="BH117" s="450"/>
      <c r="BI117" s="450"/>
      <c r="BJ117" s="450"/>
      <c r="BK117" s="450"/>
      <c r="BL117" s="450"/>
      <c r="BM117" s="450"/>
      <c r="BN117" s="450"/>
      <c r="BO117" s="450"/>
      <c r="BP117" s="450"/>
      <c r="BQ117" s="450"/>
      <c r="BR117" s="450"/>
      <c r="BS117" s="450"/>
      <c r="BT117" s="450"/>
      <c r="BU117" s="450"/>
      <c r="BV117" s="450"/>
      <c r="BW117" s="450"/>
      <c r="BX117" s="450"/>
      <c r="BY117" s="450"/>
      <c r="BZ117" s="450"/>
      <c r="CA117" s="450"/>
      <c r="CB117" s="450"/>
      <c r="CC117" s="450"/>
      <c r="CD117" s="450"/>
      <c r="CE117" s="450"/>
      <c r="CF117" s="450"/>
      <c r="CG117" s="450"/>
      <c r="CH117" s="450"/>
    </row>
    <row r="118">
      <c r="L118" s="450"/>
      <c r="M118" s="450"/>
      <c r="N118" s="450"/>
      <c r="O118" s="450"/>
      <c r="P118" s="450"/>
      <c r="Q118" s="450"/>
      <c r="R118" s="450"/>
      <c r="S118" s="450"/>
      <c r="T118" s="450"/>
      <c r="U118" s="450"/>
      <c r="V118" s="450"/>
      <c r="W118" s="450"/>
      <c r="X118" s="450"/>
      <c r="Y118" s="450"/>
      <c r="Z118" s="450"/>
      <c r="AA118" s="450"/>
      <c r="AB118" s="450"/>
      <c r="AC118" s="450"/>
      <c r="AD118" s="450"/>
      <c r="AE118" s="450"/>
      <c r="AF118" s="450"/>
      <c r="AG118" s="450"/>
      <c r="AH118" s="450"/>
      <c r="AI118" s="450"/>
      <c r="AJ118" s="450"/>
      <c r="AK118" s="450"/>
      <c r="AL118" s="450"/>
      <c r="AM118" s="450"/>
      <c r="AN118" s="450"/>
      <c r="AO118" s="450"/>
      <c r="AP118" s="450"/>
      <c r="AQ118" s="450"/>
      <c r="AR118" s="450"/>
      <c r="AS118" s="450"/>
      <c r="AT118" s="450"/>
      <c r="AU118" s="450"/>
      <c r="AV118" s="450"/>
      <c r="AW118" s="450"/>
      <c r="AX118" s="450"/>
      <c r="AY118" s="450"/>
      <c r="AZ118" s="450"/>
      <c r="BA118" s="450"/>
      <c r="BB118" s="450"/>
      <c r="BC118" s="450"/>
      <c r="BD118" s="450"/>
      <c r="BE118" s="450"/>
      <c r="BF118" s="450"/>
      <c r="BG118" s="450"/>
      <c r="BH118" s="450"/>
      <c r="BI118" s="450"/>
      <c r="BJ118" s="450"/>
      <c r="BK118" s="450"/>
      <c r="BL118" s="450"/>
      <c r="BM118" s="450"/>
      <c r="BN118" s="450"/>
      <c r="BO118" s="450"/>
      <c r="BP118" s="450"/>
      <c r="BQ118" s="450"/>
      <c r="BR118" s="450"/>
      <c r="BS118" s="450"/>
      <c r="BT118" s="450"/>
      <c r="BU118" s="450"/>
      <c r="BV118" s="450"/>
      <c r="BW118" s="450"/>
      <c r="BX118" s="450"/>
      <c r="BY118" s="450"/>
      <c r="BZ118" s="450"/>
      <c r="CA118" s="450"/>
      <c r="CB118" s="450"/>
      <c r="CC118" s="450"/>
      <c r="CD118" s="450"/>
      <c r="CE118" s="450"/>
      <c r="CF118" s="450"/>
      <c r="CG118" s="450"/>
      <c r="CH118" s="450"/>
    </row>
    <row r="119">
      <c r="L119" s="450"/>
      <c r="M119" s="450"/>
      <c r="N119" s="450"/>
      <c r="O119" s="450"/>
      <c r="P119" s="450"/>
      <c r="Q119" s="450"/>
      <c r="R119" s="450"/>
      <c r="S119" s="450"/>
      <c r="T119" s="450"/>
      <c r="U119" s="450"/>
      <c r="V119" s="450"/>
      <c r="W119" s="450"/>
      <c r="X119" s="450"/>
      <c r="Y119" s="450"/>
      <c r="Z119" s="450"/>
      <c r="AA119" s="450"/>
      <c r="AB119" s="450"/>
      <c r="AC119" s="450"/>
      <c r="AD119" s="450"/>
      <c r="AE119" s="450"/>
      <c r="AF119" s="450"/>
      <c r="AG119" s="450"/>
      <c r="AH119" s="450"/>
      <c r="AI119" s="450"/>
      <c r="AJ119" s="450"/>
      <c r="AK119" s="450"/>
      <c r="AL119" s="450"/>
      <c r="AM119" s="450"/>
      <c r="AN119" s="450"/>
      <c r="AO119" s="450"/>
      <c r="AP119" s="450"/>
      <c r="AQ119" s="450"/>
      <c r="AR119" s="450"/>
      <c r="AS119" s="450"/>
      <c r="AT119" s="450"/>
      <c r="AU119" s="450"/>
      <c r="AV119" s="450"/>
      <c r="AW119" s="450"/>
      <c r="AX119" s="450"/>
      <c r="AY119" s="450"/>
      <c r="AZ119" s="450"/>
      <c r="BA119" s="450"/>
      <c r="BB119" s="450"/>
      <c r="BC119" s="450"/>
      <c r="BD119" s="450"/>
      <c r="BE119" s="450"/>
      <c r="BF119" s="450"/>
      <c r="BG119" s="450"/>
      <c r="BH119" s="450"/>
      <c r="BI119" s="450"/>
      <c r="BJ119" s="450"/>
      <c r="BK119" s="450"/>
      <c r="BL119" s="450"/>
      <c r="BM119" s="450"/>
      <c r="BN119" s="450"/>
      <c r="BO119" s="450"/>
      <c r="BP119" s="450"/>
      <c r="BQ119" s="450"/>
      <c r="BR119" s="450"/>
      <c r="BS119" s="450"/>
      <c r="BT119" s="450"/>
      <c r="BU119" s="450"/>
      <c r="BV119" s="450"/>
      <c r="BW119" s="450"/>
      <c r="BX119" s="450"/>
      <c r="BY119" s="450"/>
      <c r="BZ119" s="450"/>
      <c r="CA119" s="450"/>
      <c r="CB119" s="450"/>
      <c r="CC119" s="450"/>
      <c r="CD119" s="450"/>
      <c r="CE119" s="450"/>
      <c r="CF119" s="450"/>
      <c r="CG119" s="450"/>
      <c r="CH119" s="450"/>
    </row>
    <row r="120">
      <c r="L120" s="450"/>
      <c r="M120" s="450"/>
      <c r="N120" s="450"/>
      <c r="O120" s="450"/>
      <c r="P120" s="450"/>
      <c r="Q120" s="450"/>
      <c r="R120" s="450"/>
      <c r="S120" s="450"/>
      <c r="T120" s="450"/>
      <c r="U120" s="450"/>
      <c r="V120" s="450"/>
      <c r="W120" s="450"/>
      <c r="X120" s="450"/>
      <c r="Y120" s="450"/>
      <c r="Z120" s="450"/>
      <c r="AA120" s="450"/>
      <c r="AB120" s="450"/>
      <c r="AC120" s="450"/>
      <c r="AD120" s="450"/>
      <c r="AE120" s="450"/>
      <c r="AF120" s="450"/>
      <c r="AG120" s="450"/>
      <c r="AH120" s="450"/>
      <c r="AI120" s="450"/>
      <c r="AJ120" s="450"/>
      <c r="AK120" s="450"/>
      <c r="AL120" s="450"/>
      <c r="AM120" s="450"/>
      <c r="AN120" s="450"/>
      <c r="AO120" s="450"/>
      <c r="AP120" s="450"/>
      <c r="AQ120" s="450"/>
      <c r="AR120" s="450"/>
      <c r="AS120" s="450"/>
      <c r="AT120" s="450"/>
      <c r="AU120" s="450"/>
      <c r="AV120" s="450"/>
      <c r="AW120" s="450"/>
      <c r="AX120" s="450"/>
      <c r="AY120" s="450"/>
      <c r="AZ120" s="450"/>
      <c r="BA120" s="450"/>
      <c r="BB120" s="450"/>
      <c r="BC120" s="450"/>
      <c r="BD120" s="450"/>
      <c r="BE120" s="450"/>
      <c r="BF120" s="450"/>
      <c r="BG120" s="450"/>
      <c r="BH120" s="450"/>
      <c r="BI120" s="450"/>
      <c r="BJ120" s="450"/>
      <c r="BK120" s="450"/>
      <c r="BL120" s="450"/>
      <c r="BM120" s="450"/>
      <c r="BN120" s="450"/>
      <c r="BO120" s="450"/>
      <c r="BP120" s="450"/>
      <c r="BQ120" s="450"/>
      <c r="BR120" s="450"/>
      <c r="BS120" s="450"/>
      <c r="BT120" s="450"/>
      <c r="BU120" s="450"/>
      <c r="BV120" s="450"/>
      <c r="BW120" s="450"/>
      <c r="BX120" s="450"/>
      <c r="BY120" s="450"/>
      <c r="BZ120" s="450"/>
      <c r="CA120" s="450"/>
      <c r="CB120" s="450"/>
      <c r="CC120" s="450"/>
      <c r="CD120" s="450"/>
      <c r="CE120" s="450"/>
      <c r="CF120" s="450"/>
      <c r="CG120" s="450"/>
      <c r="CH120" s="450"/>
    </row>
    <row r="121">
      <c r="L121" s="450"/>
      <c r="M121" s="450"/>
      <c r="N121" s="450"/>
      <c r="O121" s="450"/>
      <c r="P121" s="450"/>
      <c r="Q121" s="450"/>
      <c r="R121" s="450"/>
      <c r="S121" s="450"/>
      <c r="T121" s="450"/>
      <c r="U121" s="450"/>
      <c r="V121" s="450"/>
      <c r="W121" s="450"/>
      <c r="X121" s="450"/>
      <c r="Y121" s="450"/>
      <c r="Z121" s="450"/>
      <c r="AA121" s="450"/>
      <c r="AB121" s="450"/>
      <c r="AC121" s="450"/>
      <c r="AD121" s="450"/>
      <c r="AE121" s="450"/>
      <c r="AF121" s="450"/>
      <c r="AG121" s="450"/>
      <c r="AH121" s="450"/>
      <c r="AI121" s="450"/>
      <c r="AJ121" s="450"/>
      <c r="AK121" s="450"/>
      <c r="AL121" s="450"/>
      <c r="AM121" s="450"/>
      <c r="AN121" s="450"/>
      <c r="AO121" s="450"/>
      <c r="AP121" s="450"/>
      <c r="AQ121" s="450"/>
      <c r="AR121" s="450"/>
      <c r="AS121" s="450"/>
      <c r="AT121" s="450"/>
      <c r="AU121" s="450"/>
      <c r="AV121" s="450"/>
      <c r="AW121" s="450"/>
      <c r="AX121" s="450"/>
      <c r="AY121" s="450"/>
      <c r="AZ121" s="450"/>
      <c r="BA121" s="450"/>
      <c r="BB121" s="450"/>
      <c r="BC121" s="450"/>
      <c r="BD121" s="450"/>
      <c r="BE121" s="450"/>
      <c r="BF121" s="450"/>
      <c r="BG121" s="450"/>
      <c r="BH121" s="450"/>
      <c r="BI121" s="450"/>
      <c r="BJ121" s="450"/>
      <c r="BK121" s="450"/>
      <c r="BL121" s="450"/>
      <c r="BM121" s="450"/>
      <c r="BN121" s="450"/>
      <c r="BO121" s="450"/>
      <c r="BP121" s="450"/>
      <c r="BQ121" s="450"/>
      <c r="BR121" s="450"/>
      <c r="BS121" s="450"/>
      <c r="BT121" s="450"/>
      <c r="BU121" s="450"/>
      <c r="BV121" s="450"/>
      <c r="BW121" s="450"/>
      <c r="BX121" s="450"/>
      <c r="BY121" s="450"/>
      <c r="BZ121" s="450"/>
      <c r="CA121" s="450"/>
      <c r="CB121" s="450"/>
      <c r="CC121" s="450"/>
      <c r="CD121" s="450"/>
      <c r="CE121" s="450"/>
      <c r="CF121" s="450"/>
      <c r="CG121" s="450"/>
      <c r="CH121" s="450"/>
    </row>
    <row r="122">
      <c r="L122" s="450"/>
      <c r="M122" s="450"/>
      <c r="N122" s="450"/>
      <c r="O122" s="450"/>
      <c r="P122" s="450"/>
      <c r="Q122" s="450"/>
      <c r="R122" s="450"/>
      <c r="S122" s="450"/>
      <c r="T122" s="450"/>
      <c r="U122" s="450"/>
      <c r="V122" s="450"/>
      <c r="W122" s="450"/>
      <c r="X122" s="450"/>
      <c r="Y122" s="450"/>
      <c r="Z122" s="450"/>
      <c r="AA122" s="450"/>
      <c r="AB122" s="450"/>
      <c r="AC122" s="450"/>
      <c r="AD122" s="450"/>
      <c r="AE122" s="450"/>
      <c r="AF122" s="450"/>
      <c r="AG122" s="450"/>
      <c r="AH122" s="450"/>
      <c r="AI122" s="450"/>
      <c r="AJ122" s="450"/>
      <c r="AK122" s="450"/>
      <c r="AL122" s="450"/>
      <c r="AM122" s="450"/>
      <c r="AN122" s="450"/>
      <c r="AO122" s="450"/>
      <c r="AP122" s="450"/>
      <c r="AQ122" s="450"/>
      <c r="AR122" s="450"/>
      <c r="AS122" s="450"/>
      <c r="AT122" s="450"/>
      <c r="AU122" s="450"/>
      <c r="AV122" s="450"/>
      <c r="AW122" s="450"/>
      <c r="AX122" s="450"/>
      <c r="AY122" s="450"/>
      <c r="AZ122" s="450"/>
      <c r="BA122" s="450"/>
      <c r="BB122" s="450"/>
      <c r="BC122" s="450"/>
      <c r="BD122" s="450"/>
      <c r="BE122" s="450"/>
      <c r="BF122" s="450"/>
      <c r="BG122" s="450"/>
      <c r="BH122" s="450"/>
      <c r="BI122" s="450"/>
      <c r="BJ122" s="450"/>
      <c r="BK122" s="450"/>
      <c r="BL122" s="450"/>
      <c r="BM122" s="450"/>
      <c r="BN122" s="450"/>
      <c r="BO122" s="450"/>
      <c r="BP122" s="450"/>
      <c r="BQ122" s="450"/>
      <c r="BR122" s="450"/>
      <c r="BS122" s="450"/>
      <c r="BT122" s="450"/>
      <c r="BU122" s="450"/>
      <c r="BV122" s="450"/>
      <c r="BW122" s="450"/>
      <c r="BX122" s="450"/>
      <c r="BY122" s="450"/>
      <c r="BZ122" s="450"/>
      <c r="CA122" s="450"/>
      <c r="CB122" s="450"/>
      <c r="CC122" s="450"/>
      <c r="CD122" s="450"/>
      <c r="CE122" s="450"/>
      <c r="CF122" s="450"/>
      <c r="CG122" s="450"/>
      <c r="CH122" s="450"/>
    </row>
    <row r="123">
      <c r="L123" s="450"/>
      <c r="M123" s="450"/>
      <c r="N123" s="450"/>
      <c r="O123" s="450"/>
      <c r="P123" s="450"/>
      <c r="Q123" s="450"/>
      <c r="R123" s="450"/>
      <c r="S123" s="450"/>
      <c r="T123" s="450"/>
      <c r="U123" s="450"/>
      <c r="V123" s="450"/>
      <c r="W123" s="450"/>
      <c r="X123" s="450"/>
      <c r="Y123" s="450"/>
      <c r="Z123" s="450"/>
      <c r="AA123" s="450"/>
      <c r="AB123" s="450"/>
      <c r="AC123" s="450"/>
      <c r="AD123" s="450"/>
      <c r="AE123" s="450"/>
      <c r="AF123" s="450"/>
      <c r="AG123" s="450"/>
      <c r="AH123" s="450"/>
      <c r="AI123" s="450"/>
      <c r="AJ123" s="450"/>
      <c r="AK123" s="450"/>
      <c r="AL123" s="450"/>
      <c r="AM123" s="450"/>
      <c r="AN123" s="450"/>
      <c r="AO123" s="450"/>
      <c r="AP123" s="450"/>
      <c r="AQ123" s="450"/>
      <c r="AR123" s="450"/>
      <c r="AS123" s="450"/>
      <c r="AT123" s="450"/>
      <c r="AU123" s="450"/>
      <c r="AV123" s="450"/>
      <c r="AW123" s="450"/>
      <c r="AX123" s="450"/>
      <c r="AY123" s="450"/>
      <c r="AZ123" s="450"/>
      <c r="BA123" s="450"/>
      <c r="BB123" s="450"/>
      <c r="BC123" s="450"/>
      <c r="BD123" s="450"/>
      <c r="BE123" s="450"/>
      <c r="BF123" s="450"/>
      <c r="BG123" s="450"/>
      <c r="BH123" s="450"/>
      <c r="BI123" s="450"/>
      <c r="BJ123" s="450"/>
      <c r="BK123" s="450"/>
      <c r="BL123" s="450"/>
      <c r="BM123" s="450"/>
      <c r="BN123" s="450"/>
      <c r="BO123" s="450"/>
      <c r="BP123" s="450"/>
      <c r="BQ123" s="450"/>
      <c r="BR123" s="450"/>
      <c r="BS123" s="450"/>
      <c r="BT123" s="450"/>
      <c r="BU123" s="450"/>
      <c r="BV123" s="450"/>
      <c r="BW123" s="450"/>
      <c r="BX123" s="450"/>
      <c r="BY123" s="450"/>
      <c r="BZ123" s="450"/>
      <c r="CA123" s="450"/>
      <c r="CB123" s="450"/>
      <c r="CC123" s="450"/>
      <c r="CD123" s="450"/>
      <c r="CE123" s="450"/>
      <c r="CF123" s="450"/>
      <c r="CG123" s="450"/>
      <c r="CH123" s="450"/>
    </row>
    <row r="124">
      <c r="L124" s="450"/>
      <c r="M124" s="450"/>
      <c r="N124" s="450"/>
      <c r="O124" s="450"/>
      <c r="P124" s="450"/>
      <c r="Q124" s="450"/>
      <c r="R124" s="450"/>
      <c r="S124" s="450"/>
      <c r="T124" s="450"/>
      <c r="U124" s="450"/>
      <c r="V124" s="450"/>
      <c r="W124" s="450"/>
      <c r="X124" s="450"/>
      <c r="Y124" s="450"/>
      <c r="Z124" s="450"/>
      <c r="AA124" s="450"/>
      <c r="AB124" s="450"/>
      <c r="AC124" s="450"/>
      <c r="AD124" s="450"/>
      <c r="AE124" s="450"/>
      <c r="AF124" s="450"/>
      <c r="AG124" s="450"/>
      <c r="AH124" s="450"/>
      <c r="AI124" s="450"/>
      <c r="AJ124" s="450"/>
      <c r="AK124" s="450"/>
      <c r="AL124" s="450"/>
      <c r="AM124" s="450"/>
      <c r="AN124" s="450"/>
      <c r="AO124" s="450"/>
      <c r="AP124" s="450"/>
      <c r="AQ124" s="450"/>
      <c r="AR124" s="450"/>
      <c r="AS124" s="450"/>
      <c r="AT124" s="450"/>
      <c r="AU124" s="450"/>
      <c r="AV124" s="450"/>
      <c r="AW124" s="450"/>
      <c r="AX124" s="450"/>
      <c r="AY124" s="450"/>
      <c r="AZ124" s="450"/>
      <c r="BA124" s="450"/>
      <c r="BB124" s="450"/>
      <c r="BC124" s="450"/>
      <c r="BD124" s="450"/>
      <c r="BE124" s="450"/>
      <c r="BF124" s="450"/>
      <c r="BG124" s="450"/>
      <c r="BH124" s="450"/>
      <c r="BI124" s="450"/>
      <c r="BJ124" s="450"/>
      <c r="BK124" s="450"/>
      <c r="BL124" s="450"/>
      <c r="BM124" s="450"/>
      <c r="BN124" s="450"/>
      <c r="BO124" s="450"/>
      <c r="BP124" s="450"/>
      <c r="BQ124" s="450"/>
      <c r="BR124" s="450"/>
      <c r="BS124" s="450"/>
      <c r="BT124" s="450"/>
      <c r="BU124" s="450"/>
      <c r="BV124" s="450"/>
      <c r="BW124" s="450"/>
      <c r="BX124" s="450"/>
      <c r="BY124" s="450"/>
      <c r="BZ124" s="450"/>
      <c r="CA124" s="450"/>
      <c r="CB124" s="450"/>
      <c r="CC124" s="450"/>
      <c r="CD124" s="450"/>
      <c r="CE124" s="450"/>
      <c r="CF124" s="450"/>
      <c r="CG124" s="450"/>
      <c r="CH124" s="450"/>
    </row>
    <row r="125">
      <c r="L125" s="450"/>
      <c r="M125" s="450"/>
      <c r="N125" s="450"/>
      <c r="O125" s="450"/>
      <c r="P125" s="450"/>
      <c r="Q125" s="450"/>
      <c r="R125" s="450"/>
      <c r="S125" s="450"/>
      <c r="T125" s="450"/>
      <c r="U125" s="450"/>
      <c r="V125" s="450"/>
      <c r="W125" s="450"/>
      <c r="X125" s="450"/>
      <c r="Y125" s="450"/>
      <c r="Z125" s="450"/>
      <c r="AA125" s="450"/>
      <c r="AB125" s="450"/>
      <c r="AC125" s="450"/>
      <c r="AD125" s="450"/>
      <c r="AE125" s="450"/>
      <c r="AF125" s="450"/>
      <c r="AG125" s="450"/>
      <c r="AH125" s="450"/>
      <c r="AI125" s="450"/>
      <c r="AJ125" s="450"/>
      <c r="AK125" s="450"/>
      <c r="AL125" s="450"/>
      <c r="AM125" s="450"/>
      <c r="AN125" s="450"/>
      <c r="AO125" s="450"/>
      <c r="AP125" s="450"/>
      <c r="AQ125" s="450"/>
      <c r="AR125" s="450"/>
      <c r="AS125" s="450"/>
      <c r="AT125" s="450"/>
      <c r="AU125" s="450"/>
      <c r="AV125" s="450"/>
      <c r="AW125" s="450"/>
      <c r="AX125" s="450"/>
      <c r="AY125" s="450"/>
      <c r="AZ125" s="450"/>
      <c r="BA125" s="450"/>
      <c r="BB125" s="450"/>
      <c r="BC125" s="450"/>
      <c r="BD125" s="450"/>
      <c r="BE125" s="450"/>
      <c r="BF125" s="450"/>
      <c r="BG125" s="450"/>
      <c r="BH125" s="450"/>
      <c r="BI125" s="450"/>
      <c r="BJ125" s="450"/>
      <c r="BK125" s="450"/>
      <c r="BL125" s="450"/>
      <c r="BM125" s="450"/>
      <c r="BN125" s="450"/>
      <c r="BO125" s="450"/>
      <c r="BP125" s="450"/>
      <c r="BQ125" s="450"/>
      <c r="BR125" s="450"/>
      <c r="BS125" s="450"/>
      <c r="BT125" s="450"/>
      <c r="BU125" s="450"/>
      <c r="BV125" s="450"/>
      <c r="BW125" s="450"/>
      <c r="BX125" s="450"/>
      <c r="BY125" s="450"/>
      <c r="BZ125" s="450"/>
      <c r="CA125" s="450"/>
      <c r="CB125" s="450"/>
      <c r="CC125" s="450"/>
      <c r="CD125" s="450"/>
      <c r="CE125" s="450"/>
      <c r="CF125" s="450"/>
      <c r="CG125" s="450"/>
      <c r="CH125" s="450"/>
    </row>
    <row r="126">
      <c r="L126" s="450"/>
      <c r="M126" s="450"/>
      <c r="N126" s="450"/>
      <c r="O126" s="450"/>
      <c r="P126" s="450"/>
      <c r="Q126" s="450"/>
      <c r="R126" s="450"/>
      <c r="S126" s="450"/>
      <c r="T126" s="450"/>
      <c r="U126" s="450"/>
      <c r="V126" s="450"/>
      <c r="W126" s="450"/>
      <c r="X126" s="450"/>
      <c r="Y126" s="450"/>
      <c r="Z126" s="450"/>
      <c r="AA126" s="450"/>
      <c r="AB126" s="450"/>
      <c r="AC126" s="450"/>
      <c r="AD126" s="450"/>
      <c r="AE126" s="450"/>
      <c r="AF126" s="450"/>
      <c r="AG126" s="450"/>
      <c r="AH126" s="450"/>
      <c r="AI126" s="450"/>
      <c r="AJ126" s="450"/>
      <c r="AK126" s="450"/>
      <c r="AL126" s="450"/>
      <c r="AM126" s="450"/>
      <c r="AN126" s="450"/>
      <c r="AO126" s="450"/>
      <c r="AP126" s="450"/>
      <c r="AQ126" s="450"/>
      <c r="AR126" s="450"/>
      <c r="AS126" s="450"/>
      <c r="AT126" s="450"/>
      <c r="AU126" s="450"/>
      <c r="AV126" s="450"/>
      <c r="AW126" s="450"/>
      <c r="AX126" s="450"/>
      <c r="AY126" s="450"/>
      <c r="AZ126" s="450"/>
      <c r="BA126" s="450"/>
      <c r="BB126" s="450"/>
      <c r="BC126" s="450"/>
      <c r="BD126" s="450"/>
      <c r="BE126" s="450"/>
      <c r="BF126" s="450"/>
      <c r="BG126" s="450"/>
      <c r="BH126" s="450"/>
      <c r="BI126" s="450"/>
      <c r="BJ126" s="450"/>
      <c r="BK126" s="450"/>
      <c r="BL126" s="450"/>
      <c r="BM126" s="450"/>
      <c r="BN126" s="450"/>
      <c r="BO126" s="450"/>
      <c r="BP126" s="450"/>
      <c r="BQ126" s="450"/>
      <c r="BR126" s="450"/>
      <c r="BS126" s="450"/>
      <c r="BT126" s="450"/>
      <c r="BU126" s="450"/>
      <c r="BV126" s="450"/>
      <c r="BW126" s="450"/>
      <c r="BX126" s="450"/>
      <c r="BY126" s="450"/>
      <c r="BZ126" s="450"/>
      <c r="CA126" s="450"/>
      <c r="CB126" s="450"/>
      <c r="CC126" s="450"/>
      <c r="CD126" s="450"/>
      <c r="CE126" s="450"/>
      <c r="CF126" s="450"/>
      <c r="CG126" s="450"/>
      <c r="CH126" s="450"/>
    </row>
    <row r="127">
      <c r="L127" s="450"/>
      <c r="M127" s="450"/>
      <c r="N127" s="450"/>
      <c r="O127" s="450"/>
      <c r="P127" s="450"/>
      <c r="Q127" s="450"/>
      <c r="R127" s="450"/>
      <c r="S127" s="450"/>
      <c r="T127" s="450"/>
      <c r="U127" s="450"/>
      <c r="V127" s="450"/>
      <c r="W127" s="450"/>
      <c r="X127" s="450"/>
      <c r="Y127" s="450"/>
      <c r="Z127" s="450"/>
      <c r="AA127" s="450"/>
      <c r="AB127" s="450"/>
      <c r="AC127" s="450"/>
      <c r="AD127" s="450"/>
      <c r="AE127" s="450"/>
      <c r="AF127" s="450"/>
      <c r="AG127" s="450"/>
      <c r="AH127" s="450"/>
      <c r="AI127" s="450"/>
      <c r="AJ127" s="450"/>
      <c r="AK127" s="450"/>
      <c r="AL127" s="450"/>
      <c r="AM127" s="450"/>
      <c r="AN127" s="450"/>
      <c r="AO127" s="450"/>
      <c r="AP127" s="450"/>
      <c r="AQ127" s="450"/>
      <c r="AR127" s="450"/>
      <c r="AS127" s="450"/>
      <c r="AT127" s="450"/>
      <c r="AU127" s="450"/>
      <c r="AV127" s="450"/>
      <c r="AW127" s="450"/>
      <c r="AX127" s="450"/>
      <c r="AY127" s="450"/>
      <c r="AZ127" s="450"/>
      <c r="BA127" s="450"/>
      <c r="BB127" s="450"/>
      <c r="BC127" s="450"/>
      <c r="BD127" s="450"/>
      <c r="BE127" s="450"/>
      <c r="BF127" s="450"/>
      <c r="BG127" s="450"/>
      <c r="BH127" s="450"/>
      <c r="BI127" s="450"/>
      <c r="BJ127" s="450"/>
      <c r="BK127" s="450"/>
      <c r="BL127" s="450"/>
      <c r="BM127" s="450"/>
      <c r="BN127" s="450"/>
      <c r="BO127" s="450"/>
      <c r="BP127" s="450"/>
      <c r="BQ127" s="450"/>
      <c r="BR127" s="450"/>
      <c r="BS127" s="450"/>
      <c r="BT127" s="450"/>
      <c r="BU127" s="450"/>
      <c r="BV127" s="450"/>
      <c r="BW127" s="450"/>
      <c r="BX127" s="450"/>
      <c r="BY127" s="450"/>
      <c r="BZ127" s="450"/>
      <c r="CA127" s="450"/>
      <c r="CB127" s="450"/>
      <c r="CC127" s="450"/>
      <c r="CD127" s="450"/>
      <c r="CE127" s="450"/>
      <c r="CF127" s="450"/>
      <c r="CG127" s="450"/>
      <c r="CH127" s="450"/>
    </row>
    <row r="128">
      <c r="L128" s="450"/>
      <c r="M128" s="450"/>
      <c r="N128" s="450"/>
      <c r="O128" s="450"/>
      <c r="P128" s="450"/>
      <c r="Q128" s="450"/>
      <c r="R128" s="450"/>
      <c r="S128" s="450"/>
      <c r="T128" s="450"/>
      <c r="U128" s="450"/>
      <c r="V128" s="450"/>
      <c r="W128" s="450"/>
      <c r="X128" s="450"/>
      <c r="Y128" s="450"/>
      <c r="Z128" s="450"/>
      <c r="AA128" s="450"/>
      <c r="AB128" s="450"/>
      <c r="AC128" s="450"/>
      <c r="AD128" s="450"/>
      <c r="AE128" s="450"/>
      <c r="AF128" s="450"/>
      <c r="AG128" s="450"/>
      <c r="AH128" s="450"/>
      <c r="AI128" s="450"/>
      <c r="AJ128" s="450"/>
      <c r="AK128" s="450"/>
      <c r="AL128" s="450"/>
      <c r="AM128" s="450"/>
      <c r="AN128" s="450"/>
      <c r="AO128" s="450"/>
      <c r="AP128" s="450"/>
      <c r="AQ128" s="450"/>
      <c r="AR128" s="450"/>
      <c r="AS128" s="450"/>
      <c r="AT128" s="450"/>
      <c r="AU128" s="450"/>
      <c r="AV128" s="450"/>
      <c r="AW128" s="450"/>
      <c r="AX128" s="450"/>
      <c r="AY128" s="450"/>
      <c r="AZ128" s="450"/>
      <c r="BA128" s="450"/>
      <c r="BB128" s="450"/>
      <c r="BC128" s="450"/>
      <c r="BD128" s="450"/>
      <c r="BE128" s="450"/>
      <c r="BF128" s="450"/>
      <c r="BG128" s="450"/>
      <c r="BH128" s="450"/>
      <c r="BI128" s="450"/>
      <c r="BJ128" s="450"/>
      <c r="BK128" s="450"/>
      <c r="BL128" s="450"/>
      <c r="BM128" s="450"/>
      <c r="BN128" s="450"/>
      <c r="BO128" s="450"/>
      <c r="BP128" s="450"/>
      <c r="BQ128" s="450"/>
      <c r="BR128" s="450"/>
      <c r="BS128" s="450"/>
      <c r="BT128" s="450"/>
      <c r="BU128" s="450"/>
      <c r="BV128" s="450"/>
      <c r="BW128" s="450"/>
      <c r="BX128" s="450"/>
      <c r="BY128" s="450"/>
      <c r="BZ128" s="450"/>
      <c r="CA128" s="450"/>
      <c r="CB128" s="450"/>
      <c r="CC128" s="450"/>
      <c r="CD128" s="450"/>
      <c r="CE128" s="450"/>
      <c r="CF128" s="450"/>
      <c r="CG128" s="450"/>
      <c r="CH128" s="450"/>
    </row>
    <row r="129">
      <c r="L129" s="450"/>
      <c r="M129" s="450"/>
      <c r="N129" s="450"/>
      <c r="O129" s="450"/>
      <c r="P129" s="450"/>
      <c r="Q129" s="450"/>
      <c r="R129" s="450"/>
      <c r="S129" s="450"/>
      <c r="T129" s="450"/>
      <c r="U129" s="450"/>
      <c r="V129" s="450"/>
      <c r="W129" s="450"/>
      <c r="X129" s="450"/>
      <c r="Y129" s="450"/>
      <c r="Z129" s="450"/>
      <c r="AA129" s="450"/>
      <c r="AB129" s="450"/>
      <c r="AC129" s="450"/>
      <c r="AD129" s="450"/>
      <c r="AE129" s="450"/>
      <c r="AF129" s="450"/>
      <c r="AG129" s="450"/>
      <c r="AH129" s="450"/>
      <c r="AI129" s="450"/>
      <c r="AJ129" s="450"/>
      <c r="AK129" s="450"/>
      <c r="AL129" s="450"/>
      <c r="AM129" s="450"/>
      <c r="AN129" s="450"/>
      <c r="AO129" s="450"/>
      <c r="AP129" s="450"/>
      <c r="AQ129" s="450"/>
      <c r="AR129" s="450"/>
      <c r="AS129" s="450"/>
      <c r="AT129" s="450"/>
      <c r="AU129" s="450"/>
      <c r="AV129" s="450"/>
      <c r="AW129" s="450"/>
      <c r="AX129" s="450"/>
      <c r="AY129" s="450"/>
      <c r="AZ129" s="450"/>
      <c r="BA129" s="450"/>
      <c r="BB129" s="450"/>
      <c r="BC129" s="450"/>
      <c r="BD129" s="450"/>
      <c r="BE129" s="450"/>
      <c r="BF129" s="450"/>
      <c r="BG129" s="450"/>
      <c r="BH129" s="450"/>
      <c r="BI129" s="450"/>
      <c r="BJ129" s="450"/>
      <c r="BK129" s="450"/>
      <c r="BL129" s="450"/>
      <c r="BM129" s="450"/>
      <c r="BN129" s="450"/>
      <c r="BO129" s="450"/>
      <c r="BP129" s="450"/>
      <c r="BQ129" s="450"/>
      <c r="BR129" s="450"/>
      <c r="BS129" s="450"/>
      <c r="BT129" s="450"/>
      <c r="BU129" s="450"/>
      <c r="BV129" s="450"/>
      <c r="BW129" s="450"/>
      <c r="BX129" s="450"/>
      <c r="BY129" s="450"/>
      <c r="BZ129" s="450"/>
      <c r="CA129" s="450"/>
      <c r="CB129" s="450"/>
      <c r="CC129" s="450"/>
      <c r="CD129" s="450"/>
      <c r="CE129" s="450"/>
      <c r="CF129" s="450"/>
      <c r="CG129" s="450"/>
      <c r="CH129" s="450"/>
    </row>
    <row r="130">
      <c r="L130" s="450"/>
      <c r="M130" s="450"/>
      <c r="N130" s="450"/>
      <c r="O130" s="450"/>
      <c r="P130" s="450"/>
      <c r="Q130" s="450"/>
      <c r="R130" s="450"/>
      <c r="S130" s="450"/>
      <c r="T130" s="450"/>
      <c r="U130" s="450"/>
      <c r="V130" s="450"/>
      <c r="W130" s="450"/>
      <c r="X130" s="450"/>
      <c r="Y130" s="450"/>
      <c r="Z130" s="450"/>
      <c r="AA130" s="450"/>
      <c r="AB130" s="450"/>
      <c r="AC130" s="450"/>
      <c r="AD130" s="450"/>
      <c r="AE130" s="450"/>
      <c r="AF130" s="450"/>
      <c r="AG130" s="450"/>
      <c r="AH130" s="450"/>
      <c r="AI130" s="450"/>
      <c r="AJ130" s="450"/>
      <c r="AK130" s="450"/>
      <c r="AL130" s="450"/>
      <c r="AM130" s="450"/>
      <c r="AN130" s="450"/>
      <c r="AO130" s="450"/>
      <c r="AP130" s="450"/>
      <c r="AQ130" s="450"/>
      <c r="AR130" s="450"/>
      <c r="AS130" s="450"/>
      <c r="AT130" s="450"/>
      <c r="AU130" s="450"/>
      <c r="AV130" s="450"/>
      <c r="AW130" s="450"/>
      <c r="AX130" s="450"/>
      <c r="AY130" s="450"/>
      <c r="AZ130" s="450"/>
      <c r="BA130" s="450"/>
      <c r="BB130" s="450"/>
      <c r="BC130" s="450"/>
      <c r="BD130" s="450"/>
      <c r="BE130" s="450"/>
      <c r="BF130" s="450"/>
      <c r="BG130" s="450"/>
      <c r="BH130" s="450"/>
      <c r="BI130" s="450"/>
      <c r="BJ130" s="450"/>
      <c r="BK130" s="450"/>
      <c r="BL130" s="450"/>
      <c r="BM130" s="450"/>
      <c r="BN130" s="450"/>
      <c r="BO130" s="450"/>
      <c r="BP130" s="450"/>
      <c r="BQ130" s="450"/>
      <c r="BR130" s="450"/>
      <c r="BS130" s="450"/>
      <c r="BT130" s="450"/>
      <c r="BU130" s="450"/>
      <c r="BV130" s="450"/>
      <c r="BW130" s="450"/>
      <c r="BX130" s="450"/>
      <c r="BY130" s="450"/>
      <c r="BZ130" s="450"/>
      <c r="CA130" s="450"/>
      <c r="CB130" s="450"/>
      <c r="CC130" s="450"/>
      <c r="CD130" s="450"/>
      <c r="CE130" s="450"/>
      <c r="CF130" s="450"/>
      <c r="CG130" s="450"/>
      <c r="CH130" s="450"/>
    </row>
    <row r="131">
      <c r="L131" s="450"/>
      <c r="M131" s="450"/>
      <c r="N131" s="450"/>
      <c r="O131" s="450"/>
      <c r="P131" s="450"/>
      <c r="Q131" s="450"/>
      <c r="R131" s="450"/>
      <c r="S131" s="450"/>
      <c r="T131" s="450"/>
      <c r="U131" s="450"/>
      <c r="V131" s="450"/>
      <c r="W131" s="450"/>
      <c r="X131" s="450"/>
      <c r="Y131" s="450"/>
      <c r="Z131" s="450"/>
      <c r="AA131" s="450"/>
      <c r="AB131" s="450"/>
      <c r="AC131" s="450"/>
      <c r="AD131" s="450"/>
      <c r="AE131" s="450"/>
      <c r="AF131" s="450"/>
      <c r="AG131" s="450"/>
      <c r="AH131" s="450"/>
      <c r="AI131" s="450"/>
      <c r="AJ131" s="450"/>
      <c r="AK131" s="450"/>
      <c r="AL131" s="450"/>
      <c r="AM131" s="450"/>
      <c r="AN131" s="450"/>
      <c r="AO131" s="450"/>
      <c r="AP131" s="450"/>
      <c r="AQ131" s="450"/>
      <c r="AR131" s="450"/>
      <c r="AS131" s="450"/>
      <c r="AT131" s="450"/>
      <c r="AU131" s="450"/>
      <c r="AV131" s="450"/>
      <c r="AW131" s="450"/>
      <c r="AX131" s="450"/>
      <c r="AY131" s="450"/>
      <c r="AZ131" s="450"/>
      <c r="BA131" s="450"/>
      <c r="BB131" s="450"/>
      <c r="BC131" s="450"/>
      <c r="BD131" s="450"/>
      <c r="BE131" s="450"/>
      <c r="BF131" s="450"/>
      <c r="BG131" s="450"/>
      <c r="BH131" s="450"/>
      <c r="BI131" s="450"/>
      <c r="BJ131" s="450"/>
      <c r="BK131" s="450"/>
      <c r="BL131" s="450"/>
      <c r="BM131" s="450"/>
      <c r="BN131" s="450"/>
      <c r="BO131" s="450"/>
      <c r="BP131" s="450"/>
      <c r="BQ131" s="450"/>
      <c r="BR131" s="450"/>
      <c r="BS131" s="450"/>
      <c r="BT131" s="450"/>
      <c r="BU131" s="450"/>
      <c r="BV131" s="450"/>
      <c r="BW131" s="450"/>
      <c r="BX131" s="450"/>
      <c r="BY131" s="450"/>
      <c r="BZ131" s="450"/>
      <c r="CA131" s="450"/>
      <c r="CB131" s="450"/>
      <c r="CC131" s="450"/>
      <c r="CD131" s="450"/>
      <c r="CE131" s="450"/>
      <c r="CF131" s="450"/>
      <c r="CG131" s="450"/>
      <c r="CH131" s="450"/>
    </row>
    <row r="132">
      <c r="L132" s="450"/>
      <c r="M132" s="450"/>
      <c r="N132" s="450"/>
      <c r="O132" s="450"/>
      <c r="P132" s="450"/>
      <c r="Q132" s="450"/>
      <c r="R132" s="450"/>
      <c r="S132" s="450"/>
      <c r="T132" s="450"/>
      <c r="U132" s="450"/>
      <c r="V132" s="450"/>
      <c r="W132" s="450"/>
      <c r="X132" s="450"/>
      <c r="Y132" s="450"/>
      <c r="Z132" s="450"/>
      <c r="AA132" s="450"/>
      <c r="AB132" s="450"/>
      <c r="AC132" s="450"/>
      <c r="AD132" s="450"/>
      <c r="AE132" s="450"/>
      <c r="AF132" s="450"/>
      <c r="AG132" s="450"/>
      <c r="AH132" s="450"/>
      <c r="AI132" s="450"/>
      <c r="AJ132" s="450"/>
      <c r="AK132" s="450"/>
      <c r="AL132" s="450"/>
      <c r="AM132" s="450"/>
      <c r="AN132" s="450"/>
      <c r="AO132" s="450"/>
      <c r="AP132" s="450"/>
      <c r="AQ132" s="450"/>
      <c r="AR132" s="450"/>
      <c r="AS132" s="450"/>
      <c r="AT132" s="450"/>
      <c r="AU132" s="450"/>
      <c r="AV132" s="450"/>
      <c r="AW132" s="450"/>
      <c r="AX132" s="450"/>
      <c r="AY132" s="450"/>
      <c r="AZ132" s="450"/>
      <c r="BA132" s="450"/>
      <c r="BB132" s="450"/>
      <c r="BC132" s="450"/>
      <c r="BD132" s="450"/>
      <c r="BE132" s="450"/>
      <c r="BF132" s="450"/>
      <c r="BG132" s="450"/>
      <c r="BH132" s="450"/>
      <c r="BI132" s="450"/>
      <c r="BJ132" s="450"/>
      <c r="BK132" s="450"/>
      <c r="BL132" s="450"/>
      <c r="BM132" s="450"/>
      <c r="BN132" s="450"/>
      <c r="BO132" s="450"/>
      <c r="BP132" s="450"/>
      <c r="BQ132" s="450"/>
      <c r="BR132" s="450"/>
      <c r="BS132" s="450"/>
      <c r="BT132" s="450"/>
      <c r="BU132" s="450"/>
      <c r="BV132" s="450"/>
      <c r="BW132" s="450"/>
      <c r="BX132" s="450"/>
      <c r="BY132" s="450"/>
      <c r="BZ132" s="450"/>
      <c r="CA132" s="450"/>
      <c r="CB132" s="450"/>
      <c r="CC132" s="450"/>
      <c r="CD132" s="450"/>
      <c r="CE132" s="450"/>
      <c r="CF132" s="450"/>
      <c r="CG132" s="450"/>
      <c r="CH132" s="450"/>
    </row>
    <row r="133">
      <c r="L133" s="450"/>
      <c r="M133" s="450"/>
      <c r="N133" s="450"/>
      <c r="O133" s="450"/>
      <c r="P133" s="450"/>
      <c r="Q133" s="450"/>
      <c r="R133" s="450"/>
      <c r="S133" s="450"/>
      <c r="T133" s="450"/>
      <c r="U133" s="450"/>
      <c r="V133" s="450"/>
      <c r="W133" s="450"/>
      <c r="X133" s="450"/>
      <c r="Y133" s="450"/>
      <c r="Z133" s="450"/>
      <c r="AA133" s="450"/>
      <c r="AB133" s="450"/>
      <c r="AC133" s="450"/>
      <c r="AD133" s="450"/>
      <c r="AE133" s="450"/>
      <c r="AF133" s="450"/>
      <c r="AG133" s="450"/>
      <c r="AH133" s="450"/>
      <c r="AI133" s="450"/>
      <c r="AJ133" s="450"/>
      <c r="AK133" s="450"/>
      <c r="AL133" s="450"/>
      <c r="AM133" s="450"/>
      <c r="AN133" s="450"/>
      <c r="AO133" s="450"/>
      <c r="AP133" s="450"/>
      <c r="AQ133" s="450"/>
      <c r="AR133" s="450"/>
      <c r="AS133" s="450"/>
      <c r="AT133" s="450"/>
      <c r="AU133" s="450"/>
      <c r="AV133" s="450"/>
      <c r="AW133" s="450"/>
      <c r="AX133" s="450"/>
      <c r="AY133" s="450"/>
      <c r="AZ133" s="450"/>
      <c r="BA133" s="450"/>
      <c r="BB133" s="450"/>
      <c r="BC133" s="450"/>
      <c r="BD133" s="450"/>
      <c r="BE133" s="450"/>
      <c r="BF133" s="450"/>
      <c r="BG133" s="450"/>
      <c r="BH133" s="450"/>
      <c r="BI133" s="450"/>
      <c r="BJ133" s="450"/>
      <c r="BK133" s="450"/>
      <c r="BL133" s="450"/>
      <c r="BM133" s="450"/>
      <c r="BN133" s="450"/>
      <c r="BO133" s="450"/>
      <c r="BP133" s="450"/>
      <c r="BQ133" s="450"/>
      <c r="BR133" s="450"/>
      <c r="BS133" s="450"/>
      <c r="BT133" s="450"/>
      <c r="BU133" s="450"/>
      <c r="BV133" s="450"/>
      <c r="BW133" s="450"/>
      <c r="BX133" s="450"/>
      <c r="BY133" s="450"/>
      <c r="BZ133" s="450"/>
      <c r="CA133" s="450"/>
      <c r="CB133" s="450"/>
      <c r="CC133" s="450"/>
      <c r="CD133" s="450"/>
      <c r="CE133" s="450"/>
      <c r="CF133" s="450"/>
      <c r="CG133" s="450"/>
      <c r="CH133" s="450"/>
    </row>
    <row r="134">
      <c r="L134" s="450"/>
      <c r="M134" s="450"/>
      <c r="N134" s="450"/>
      <c r="O134" s="450"/>
      <c r="P134" s="450"/>
      <c r="Q134" s="450"/>
      <c r="R134" s="450"/>
      <c r="S134" s="450"/>
      <c r="T134" s="450"/>
      <c r="U134" s="450"/>
      <c r="V134" s="450"/>
      <c r="W134" s="450"/>
      <c r="X134" s="450"/>
      <c r="Y134" s="450"/>
      <c r="Z134" s="450"/>
      <c r="AA134" s="450"/>
      <c r="AB134" s="450"/>
      <c r="AC134" s="450"/>
      <c r="AD134" s="450"/>
      <c r="AE134" s="450"/>
      <c r="AF134" s="450"/>
      <c r="AG134" s="450"/>
      <c r="AH134" s="450"/>
      <c r="AI134" s="450"/>
      <c r="AJ134" s="450"/>
      <c r="AK134" s="450"/>
      <c r="AL134" s="450"/>
      <c r="AM134" s="450"/>
      <c r="AN134" s="450"/>
      <c r="AO134" s="450"/>
      <c r="AP134" s="450"/>
      <c r="AQ134" s="450"/>
      <c r="AR134" s="450"/>
      <c r="AS134" s="450"/>
      <c r="AT134" s="450"/>
      <c r="AU134" s="450"/>
      <c r="AV134" s="450"/>
      <c r="AW134" s="450"/>
      <c r="AX134" s="450"/>
      <c r="AY134" s="450"/>
      <c r="AZ134" s="450"/>
      <c r="BA134" s="450"/>
      <c r="BB134" s="450"/>
      <c r="BC134" s="450"/>
      <c r="BD134" s="450"/>
      <c r="BE134" s="450"/>
      <c r="BF134" s="450"/>
      <c r="BG134" s="450"/>
      <c r="BH134" s="450"/>
      <c r="BI134" s="450"/>
      <c r="BJ134" s="450"/>
      <c r="BK134" s="450"/>
      <c r="BL134" s="450"/>
      <c r="BM134" s="450"/>
      <c r="BN134" s="450"/>
      <c r="BO134" s="450"/>
      <c r="BP134" s="450"/>
      <c r="BQ134" s="450"/>
      <c r="BR134" s="450"/>
      <c r="BS134" s="450"/>
      <c r="BT134" s="450"/>
      <c r="BU134" s="450"/>
      <c r="BV134" s="450"/>
      <c r="BW134" s="450"/>
      <c r="BX134" s="450"/>
      <c r="BY134" s="450"/>
      <c r="BZ134" s="450"/>
      <c r="CA134" s="450"/>
      <c r="CB134" s="450"/>
      <c r="CC134" s="450"/>
      <c r="CD134" s="450"/>
      <c r="CE134" s="450"/>
      <c r="CF134" s="450"/>
      <c r="CG134" s="450"/>
      <c r="CH134" s="450"/>
    </row>
    <row r="135">
      <c r="L135" s="450"/>
      <c r="M135" s="450"/>
      <c r="N135" s="450"/>
      <c r="O135" s="450"/>
      <c r="P135" s="450"/>
      <c r="Q135" s="450"/>
      <c r="R135" s="450"/>
      <c r="S135" s="450"/>
      <c r="T135" s="450"/>
      <c r="U135" s="450"/>
      <c r="V135" s="450"/>
      <c r="W135" s="450"/>
      <c r="X135" s="450"/>
      <c r="Y135" s="450"/>
      <c r="Z135" s="450"/>
      <c r="AA135" s="450"/>
      <c r="AB135" s="450"/>
      <c r="AC135" s="450"/>
      <c r="AD135" s="450"/>
      <c r="AE135" s="450"/>
      <c r="AF135" s="450"/>
      <c r="AG135" s="450"/>
      <c r="AH135" s="450"/>
      <c r="AI135" s="450"/>
      <c r="AJ135" s="450"/>
      <c r="AK135" s="450"/>
      <c r="AL135" s="450"/>
      <c r="AM135" s="450"/>
      <c r="AN135" s="450"/>
      <c r="AO135" s="450"/>
      <c r="AP135" s="450"/>
      <c r="AQ135" s="450"/>
      <c r="AR135" s="450"/>
      <c r="AS135" s="450"/>
      <c r="AT135" s="450"/>
      <c r="AU135" s="450"/>
      <c r="AV135" s="450"/>
      <c r="AW135" s="450"/>
      <c r="AX135" s="450"/>
      <c r="AY135" s="450"/>
      <c r="AZ135" s="450"/>
      <c r="BA135" s="450"/>
      <c r="BB135" s="450"/>
      <c r="BC135" s="450"/>
      <c r="BD135" s="450"/>
      <c r="BE135" s="450"/>
      <c r="BF135" s="450"/>
      <c r="BG135" s="450"/>
      <c r="BH135" s="450"/>
      <c r="BI135" s="450"/>
      <c r="BJ135" s="450"/>
      <c r="BK135" s="450"/>
      <c r="BL135" s="450"/>
      <c r="BM135" s="450"/>
      <c r="BN135" s="450"/>
      <c r="BO135" s="450"/>
      <c r="BP135" s="450"/>
      <c r="BQ135" s="450"/>
      <c r="BR135" s="450"/>
      <c r="BS135" s="450"/>
      <c r="BT135" s="450"/>
      <c r="BU135" s="450"/>
      <c r="BV135" s="450"/>
      <c r="BW135" s="450"/>
      <c r="BX135" s="450"/>
      <c r="BY135" s="450"/>
      <c r="BZ135" s="450"/>
      <c r="CA135" s="450"/>
      <c r="CB135" s="450"/>
      <c r="CC135" s="450"/>
      <c r="CD135" s="450"/>
      <c r="CE135" s="450"/>
      <c r="CF135" s="450"/>
      <c r="CG135" s="450"/>
      <c r="CH135" s="450"/>
    </row>
    <row r="136">
      <c r="L136" s="450"/>
      <c r="M136" s="450"/>
      <c r="N136" s="450"/>
      <c r="O136" s="450"/>
      <c r="P136" s="450"/>
      <c r="Q136" s="450"/>
      <c r="R136" s="450"/>
      <c r="S136" s="450"/>
      <c r="T136" s="450"/>
      <c r="U136" s="450"/>
      <c r="V136" s="450"/>
      <c r="W136" s="450"/>
      <c r="X136" s="450"/>
      <c r="Y136" s="450"/>
      <c r="Z136" s="450"/>
      <c r="AA136" s="450"/>
      <c r="AB136" s="450"/>
      <c r="AC136" s="450"/>
      <c r="AD136" s="450"/>
      <c r="AE136" s="450"/>
      <c r="AF136" s="450"/>
      <c r="AG136" s="450"/>
      <c r="AH136" s="450"/>
      <c r="AI136" s="450"/>
      <c r="AJ136" s="450"/>
      <c r="AK136" s="450"/>
      <c r="AL136" s="450"/>
      <c r="AM136" s="450"/>
      <c r="AN136" s="450"/>
      <c r="AO136" s="450"/>
      <c r="AP136" s="450"/>
      <c r="AQ136" s="450"/>
      <c r="AR136" s="450"/>
      <c r="AS136" s="450"/>
      <c r="AT136" s="450"/>
      <c r="AU136" s="450"/>
      <c r="AV136" s="450"/>
      <c r="AW136" s="450"/>
      <c r="AX136" s="450"/>
      <c r="AY136" s="450"/>
      <c r="AZ136" s="450"/>
      <c r="BA136" s="450"/>
      <c r="BB136" s="450"/>
      <c r="BC136" s="450"/>
      <c r="BD136" s="450"/>
      <c r="BE136" s="450"/>
      <c r="BF136" s="450"/>
      <c r="BG136" s="450"/>
      <c r="BH136" s="450"/>
      <c r="BI136" s="450"/>
      <c r="BJ136" s="450"/>
      <c r="BK136" s="450"/>
      <c r="BL136" s="450"/>
      <c r="BM136" s="450"/>
      <c r="BN136" s="450"/>
      <c r="BO136" s="450"/>
      <c r="BP136" s="450"/>
      <c r="BQ136" s="450"/>
      <c r="BR136" s="450"/>
      <c r="BS136" s="450"/>
      <c r="BT136" s="450"/>
      <c r="BU136" s="450"/>
      <c r="BV136" s="450"/>
      <c r="BW136" s="450"/>
      <c r="BX136" s="450"/>
      <c r="BY136" s="450"/>
      <c r="BZ136" s="450"/>
      <c r="CA136" s="450"/>
      <c r="CB136" s="450"/>
      <c r="CC136" s="450"/>
      <c r="CD136" s="450"/>
      <c r="CE136" s="450"/>
      <c r="CF136" s="450"/>
      <c r="CG136" s="450"/>
      <c r="CH136" s="450"/>
    </row>
    <row r="137">
      <c r="L137" s="450"/>
      <c r="M137" s="450"/>
      <c r="N137" s="450"/>
      <c r="O137" s="450"/>
      <c r="P137" s="450"/>
      <c r="Q137" s="450"/>
      <c r="R137" s="450"/>
      <c r="S137" s="450"/>
      <c r="T137" s="450"/>
      <c r="U137" s="450"/>
      <c r="V137" s="450"/>
      <c r="W137" s="450"/>
      <c r="X137" s="450"/>
      <c r="Y137" s="450"/>
      <c r="Z137" s="450"/>
      <c r="AA137" s="450"/>
      <c r="AB137" s="450"/>
      <c r="AC137" s="450"/>
      <c r="AD137" s="450"/>
      <c r="AE137" s="450"/>
      <c r="AF137" s="450"/>
      <c r="AG137" s="450"/>
      <c r="AH137" s="450"/>
      <c r="AI137" s="450"/>
      <c r="AJ137" s="450"/>
      <c r="AK137" s="450"/>
      <c r="AL137" s="450"/>
      <c r="AM137" s="450"/>
      <c r="AN137" s="450"/>
      <c r="AO137" s="450"/>
      <c r="AP137" s="450"/>
      <c r="AQ137" s="450"/>
      <c r="AR137" s="450"/>
      <c r="AS137" s="450"/>
      <c r="AT137" s="450"/>
      <c r="AU137" s="450"/>
      <c r="AV137" s="450"/>
      <c r="AW137" s="450"/>
      <c r="AX137" s="450"/>
      <c r="AY137" s="450"/>
      <c r="AZ137" s="450"/>
      <c r="BA137" s="450"/>
      <c r="BB137" s="450"/>
      <c r="BC137" s="450"/>
      <c r="BD137" s="450"/>
      <c r="BE137" s="450"/>
      <c r="BF137" s="450"/>
      <c r="BG137" s="450"/>
      <c r="BH137" s="450"/>
      <c r="BI137" s="450"/>
      <c r="BJ137" s="450"/>
      <c r="BK137" s="450"/>
      <c r="BL137" s="450"/>
      <c r="BM137" s="450"/>
      <c r="BN137" s="450"/>
      <c r="BO137" s="450"/>
      <c r="BP137" s="450"/>
      <c r="BQ137" s="450"/>
      <c r="BR137" s="450"/>
      <c r="BS137" s="450"/>
      <c r="BT137" s="450"/>
      <c r="BU137" s="450"/>
      <c r="BV137" s="450"/>
      <c r="BW137" s="450"/>
      <c r="BX137" s="450"/>
      <c r="BY137" s="450"/>
      <c r="BZ137" s="450"/>
      <c r="CA137" s="450"/>
      <c r="CB137" s="450"/>
      <c r="CC137" s="450"/>
      <c r="CD137" s="450"/>
      <c r="CE137" s="450"/>
      <c r="CF137" s="450"/>
      <c r="CG137" s="450"/>
      <c r="CH137" s="450"/>
    </row>
    <row r="138">
      <c r="L138" s="450"/>
      <c r="M138" s="450"/>
      <c r="N138" s="450"/>
      <c r="O138" s="450"/>
      <c r="P138" s="450"/>
      <c r="Q138" s="450"/>
      <c r="R138" s="450"/>
      <c r="S138" s="450"/>
      <c r="T138" s="450"/>
      <c r="U138" s="450"/>
      <c r="V138" s="450"/>
      <c r="W138" s="450"/>
      <c r="X138" s="450"/>
      <c r="Y138" s="450"/>
      <c r="Z138" s="450"/>
      <c r="AA138" s="450"/>
      <c r="AB138" s="450"/>
      <c r="AC138" s="450"/>
      <c r="AD138" s="450"/>
      <c r="AE138" s="450"/>
      <c r="AF138" s="450"/>
      <c r="AG138" s="450"/>
      <c r="AH138" s="450"/>
      <c r="AI138" s="450"/>
      <c r="AJ138" s="450"/>
      <c r="AK138" s="450"/>
      <c r="AL138" s="450"/>
      <c r="AM138" s="450"/>
      <c r="AN138" s="450"/>
      <c r="AO138" s="450"/>
      <c r="AP138" s="450"/>
      <c r="AQ138" s="450"/>
      <c r="AR138" s="450"/>
      <c r="AS138" s="450"/>
      <c r="AT138" s="450"/>
      <c r="AU138" s="450"/>
      <c r="AV138" s="450"/>
      <c r="AW138" s="450"/>
      <c r="AX138" s="450"/>
      <c r="AY138" s="450"/>
      <c r="AZ138" s="450"/>
      <c r="BA138" s="450"/>
      <c r="BB138" s="450"/>
      <c r="BC138" s="450"/>
      <c r="BD138" s="450"/>
      <c r="BE138" s="450"/>
      <c r="BF138" s="450"/>
      <c r="BG138" s="450"/>
      <c r="BH138" s="450"/>
      <c r="BI138" s="450"/>
      <c r="BJ138" s="450"/>
      <c r="BK138" s="450"/>
      <c r="BL138" s="450"/>
      <c r="BM138" s="450"/>
      <c r="BN138" s="450"/>
      <c r="BO138" s="450"/>
      <c r="BP138" s="450"/>
      <c r="BQ138" s="450"/>
      <c r="BR138" s="450"/>
      <c r="BS138" s="450"/>
      <c r="BT138" s="450"/>
      <c r="BU138" s="450"/>
      <c r="BV138" s="450"/>
      <c r="BW138" s="450"/>
      <c r="BX138" s="450"/>
      <c r="BY138" s="450"/>
      <c r="BZ138" s="450"/>
      <c r="CA138" s="450"/>
      <c r="CB138" s="450"/>
      <c r="CC138" s="450"/>
      <c r="CD138" s="450"/>
      <c r="CE138" s="450"/>
      <c r="CF138" s="450"/>
      <c r="CG138" s="450"/>
      <c r="CH138" s="450"/>
    </row>
    <row r="139">
      <c r="A139" s="450"/>
      <c r="B139" s="450"/>
      <c r="C139" s="455"/>
      <c r="D139" s="450"/>
      <c r="E139" s="450"/>
      <c r="F139" s="450"/>
      <c r="G139" s="450"/>
      <c r="H139" s="450"/>
      <c r="I139" s="450"/>
      <c r="J139" s="450"/>
      <c r="K139" s="450"/>
      <c r="L139" s="450"/>
      <c r="M139" s="450"/>
      <c r="N139" s="450"/>
      <c r="O139" s="450"/>
      <c r="P139" s="450"/>
      <c r="Q139" s="450"/>
      <c r="R139" s="450"/>
      <c r="S139" s="450"/>
      <c r="T139" s="450"/>
      <c r="U139" s="450"/>
      <c r="V139" s="450"/>
      <c r="W139" s="450"/>
      <c r="X139" s="450"/>
      <c r="Y139" s="450"/>
      <c r="Z139" s="450"/>
      <c r="AA139" s="450"/>
      <c r="AB139" s="450"/>
      <c r="AC139" s="450"/>
      <c r="AD139" s="450"/>
      <c r="AE139" s="450"/>
      <c r="AF139" s="450"/>
      <c r="AG139" s="450"/>
      <c r="AH139" s="450"/>
      <c r="AI139" s="450"/>
      <c r="AJ139" s="450"/>
      <c r="AK139" s="450"/>
      <c r="AL139" s="450"/>
      <c r="AM139" s="450"/>
      <c r="AN139" s="450"/>
      <c r="AO139" s="450"/>
      <c r="AP139" s="450"/>
      <c r="AQ139" s="450"/>
      <c r="AR139" s="450"/>
      <c r="AS139" s="450"/>
      <c r="AT139" s="450"/>
      <c r="AU139" s="450"/>
      <c r="AV139" s="450"/>
      <c r="AW139" s="450"/>
      <c r="AX139" s="450"/>
      <c r="AY139" s="450"/>
      <c r="AZ139" s="450"/>
      <c r="BA139" s="450"/>
      <c r="BB139" s="450"/>
      <c r="BC139" s="450"/>
      <c r="BD139" s="450"/>
      <c r="BE139" s="450"/>
      <c r="BF139" s="450"/>
      <c r="BG139" s="450"/>
      <c r="BH139" s="450"/>
      <c r="BI139" s="450"/>
      <c r="BJ139" s="450"/>
      <c r="BK139" s="450"/>
      <c r="BL139" s="450"/>
      <c r="BM139" s="450"/>
      <c r="BN139" s="450"/>
      <c r="BO139" s="450"/>
      <c r="BP139" s="450"/>
      <c r="BQ139" s="450"/>
      <c r="BR139" s="450"/>
      <c r="BS139" s="450"/>
      <c r="BT139" s="450"/>
      <c r="BU139" s="450"/>
      <c r="BV139" s="450"/>
      <c r="BW139" s="450"/>
      <c r="BX139" s="450"/>
      <c r="BY139" s="450"/>
      <c r="BZ139" s="450"/>
      <c r="CA139" s="450"/>
      <c r="CB139" s="450"/>
      <c r="CC139" s="450"/>
      <c r="CD139" s="450"/>
      <c r="CE139" s="450"/>
      <c r="CF139" s="450"/>
      <c r="CG139" s="450"/>
      <c r="CH139" s="450"/>
    </row>
    <row r="140">
      <c r="A140" s="450"/>
      <c r="B140" s="450"/>
      <c r="C140" s="455"/>
      <c r="D140" s="450"/>
      <c r="E140" s="450"/>
      <c r="F140" s="450"/>
      <c r="G140" s="450"/>
      <c r="H140" s="450"/>
      <c r="I140" s="450"/>
      <c r="J140" s="450"/>
      <c r="K140" s="450"/>
      <c r="L140" s="450"/>
      <c r="M140" s="450"/>
      <c r="N140" s="450"/>
      <c r="O140" s="450"/>
      <c r="P140" s="450"/>
      <c r="Q140" s="450"/>
      <c r="R140" s="450"/>
      <c r="S140" s="450"/>
      <c r="T140" s="450"/>
      <c r="U140" s="450"/>
      <c r="V140" s="450"/>
      <c r="W140" s="450"/>
      <c r="X140" s="450"/>
      <c r="Y140" s="450"/>
      <c r="Z140" s="450"/>
      <c r="AA140" s="450"/>
      <c r="AB140" s="450"/>
      <c r="AC140" s="450"/>
      <c r="AD140" s="450"/>
      <c r="AE140" s="450"/>
      <c r="AF140" s="450"/>
      <c r="AG140" s="450"/>
      <c r="AH140" s="450"/>
      <c r="AI140" s="450"/>
      <c r="AJ140" s="450"/>
      <c r="AK140" s="450"/>
      <c r="AL140" s="450"/>
      <c r="AM140" s="450"/>
      <c r="AN140" s="450"/>
      <c r="AO140" s="450"/>
      <c r="AP140" s="450"/>
      <c r="AQ140" s="450"/>
      <c r="AR140" s="450"/>
      <c r="AS140" s="450"/>
      <c r="AT140" s="450"/>
      <c r="AU140" s="450"/>
      <c r="AV140" s="450"/>
      <c r="AW140" s="450"/>
      <c r="AX140" s="450"/>
      <c r="AY140" s="450"/>
      <c r="AZ140" s="450"/>
      <c r="BA140" s="450"/>
      <c r="BB140" s="450"/>
      <c r="BC140" s="450"/>
      <c r="BD140" s="450"/>
      <c r="BE140" s="450"/>
      <c r="BF140" s="450"/>
      <c r="BG140" s="450"/>
      <c r="BH140" s="450"/>
      <c r="BI140" s="450"/>
      <c r="BJ140" s="450"/>
      <c r="BK140" s="450"/>
      <c r="BL140" s="450"/>
      <c r="BM140" s="450"/>
      <c r="BN140" s="450"/>
      <c r="BO140" s="450"/>
      <c r="BP140" s="450"/>
      <c r="BQ140" s="450"/>
      <c r="BR140" s="450"/>
      <c r="BS140" s="450"/>
      <c r="BT140" s="450"/>
      <c r="BU140" s="450"/>
      <c r="BV140" s="450"/>
      <c r="BW140" s="450"/>
      <c r="BX140" s="450"/>
      <c r="BY140" s="450"/>
      <c r="BZ140" s="450"/>
      <c r="CA140" s="450"/>
      <c r="CB140" s="450"/>
      <c r="CC140" s="450"/>
      <c r="CD140" s="450"/>
      <c r="CE140" s="450"/>
      <c r="CF140" s="450"/>
      <c r="CG140" s="450"/>
      <c r="CH140" s="450"/>
    </row>
    <row r="141">
      <c r="A141" s="450"/>
      <c r="B141" s="450"/>
      <c r="C141" s="455"/>
      <c r="D141" s="450"/>
      <c r="E141" s="450"/>
      <c r="F141" s="450"/>
      <c r="G141" s="450"/>
      <c r="H141" s="450"/>
      <c r="I141" s="450"/>
      <c r="J141" s="450"/>
      <c r="K141" s="450"/>
      <c r="L141" s="450"/>
      <c r="M141" s="450"/>
      <c r="N141" s="450"/>
      <c r="O141" s="450"/>
      <c r="P141" s="450"/>
      <c r="Q141" s="450"/>
      <c r="R141" s="450"/>
      <c r="S141" s="450"/>
      <c r="T141" s="450"/>
      <c r="U141" s="450"/>
      <c r="V141" s="450"/>
      <c r="W141" s="450"/>
      <c r="X141" s="450"/>
      <c r="Y141" s="450"/>
      <c r="Z141" s="450"/>
      <c r="AA141" s="450"/>
      <c r="AB141" s="450"/>
      <c r="AC141" s="450"/>
      <c r="AD141" s="450"/>
      <c r="AE141" s="450"/>
      <c r="AF141" s="450"/>
      <c r="AG141" s="450"/>
      <c r="AH141" s="450"/>
      <c r="AI141" s="450"/>
      <c r="AJ141" s="450"/>
      <c r="AK141" s="450"/>
      <c r="AL141" s="450"/>
      <c r="AM141" s="450"/>
      <c r="AN141" s="450"/>
      <c r="AO141" s="450"/>
      <c r="AP141" s="450"/>
      <c r="AQ141" s="450"/>
      <c r="AR141" s="450"/>
      <c r="AS141" s="450"/>
      <c r="AT141" s="450"/>
      <c r="AU141" s="450"/>
      <c r="AV141" s="450"/>
      <c r="AW141" s="450"/>
      <c r="AX141" s="450"/>
      <c r="AY141" s="450"/>
      <c r="AZ141" s="450"/>
      <c r="BA141" s="450"/>
      <c r="BB141" s="450"/>
      <c r="BC141" s="450"/>
      <c r="BD141" s="450"/>
      <c r="BE141" s="450"/>
      <c r="BF141" s="450"/>
      <c r="BG141" s="450"/>
      <c r="BH141" s="450"/>
      <c r="BI141" s="450"/>
      <c r="BJ141" s="450"/>
      <c r="BK141" s="450"/>
      <c r="BL141" s="450"/>
      <c r="BM141" s="450"/>
      <c r="BN141" s="450"/>
      <c r="BO141" s="450"/>
      <c r="BP141" s="450"/>
      <c r="BQ141" s="450"/>
      <c r="BR141" s="450"/>
      <c r="BS141" s="450"/>
      <c r="BT141" s="450"/>
      <c r="BU141" s="450"/>
      <c r="BV141" s="450"/>
      <c r="BW141" s="450"/>
      <c r="BX141" s="450"/>
      <c r="BY141" s="450"/>
      <c r="BZ141" s="450"/>
      <c r="CA141" s="450"/>
      <c r="CB141" s="450"/>
      <c r="CC141" s="450"/>
      <c r="CD141" s="450"/>
      <c r="CE141" s="450"/>
      <c r="CF141" s="450"/>
      <c r="CG141" s="450"/>
      <c r="CH141" s="450"/>
    </row>
    <row r="142">
      <c r="A142" s="450"/>
      <c r="B142" s="450"/>
      <c r="C142" s="455"/>
      <c r="D142" s="450"/>
      <c r="E142" s="450"/>
      <c r="F142" s="450"/>
      <c r="G142" s="450"/>
      <c r="H142" s="450"/>
      <c r="I142" s="450"/>
      <c r="J142" s="450"/>
      <c r="K142" s="450"/>
      <c r="L142" s="450"/>
      <c r="M142" s="450"/>
      <c r="N142" s="450"/>
      <c r="O142" s="450"/>
      <c r="P142" s="450"/>
      <c r="Q142" s="450"/>
      <c r="R142" s="450"/>
      <c r="S142" s="450"/>
      <c r="T142" s="450"/>
      <c r="U142" s="450"/>
      <c r="V142" s="450"/>
      <c r="W142" s="450"/>
      <c r="X142" s="450"/>
      <c r="Y142" s="450"/>
      <c r="Z142" s="450"/>
      <c r="AA142" s="450"/>
      <c r="AB142" s="450"/>
      <c r="AC142" s="450"/>
      <c r="AD142" s="450"/>
      <c r="AE142" s="450"/>
      <c r="AF142" s="450"/>
      <c r="AG142" s="450"/>
      <c r="AH142" s="450"/>
      <c r="AI142" s="450"/>
      <c r="AJ142" s="450"/>
      <c r="AK142" s="450"/>
      <c r="AL142" s="450"/>
      <c r="AM142" s="450"/>
      <c r="AN142" s="450"/>
      <c r="AO142" s="450"/>
      <c r="AP142" s="450"/>
      <c r="AQ142" s="450"/>
      <c r="AR142" s="450"/>
      <c r="AS142" s="450"/>
      <c r="AT142" s="450"/>
      <c r="AU142" s="450"/>
      <c r="AV142" s="450"/>
      <c r="AW142" s="450"/>
      <c r="AX142" s="450"/>
      <c r="AY142" s="450"/>
      <c r="AZ142" s="450"/>
      <c r="BA142" s="450"/>
      <c r="BB142" s="450"/>
      <c r="BC142" s="450"/>
      <c r="BD142" s="450"/>
      <c r="BE142" s="450"/>
      <c r="BF142" s="450"/>
      <c r="BG142" s="450"/>
      <c r="BH142" s="450"/>
      <c r="BI142" s="450"/>
      <c r="BJ142" s="450"/>
      <c r="BK142" s="450"/>
      <c r="BL142" s="450"/>
      <c r="BM142" s="450"/>
      <c r="BN142" s="450"/>
      <c r="BO142" s="450"/>
      <c r="BP142" s="450"/>
      <c r="BQ142" s="450"/>
      <c r="BR142" s="450"/>
      <c r="BS142" s="450"/>
      <c r="BT142" s="450"/>
      <c r="BU142" s="450"/>
      <c r="BV142" s="450"/>
      <c r="BW142" s="450"/>
      <c r="BX142" s="450"/>
      <c r="BY142" s="450"/>
      <c r="BZ142" s="450"/>
      <c r="CA142" s="450"/>
      <c r="CB142" s="450"/>
      <c r="CC142" s="450"/>
      <c r="CD142" s="450"/>
      <c r="CE142" s="450"/>
      <c r="CF142" s="450"/>
      <c r="CG142" s="450"/>
      <c r="CH142" s="450"/>
    </row>
    <row r="143">
      <c r="A143" s="450"/>
      <c r="B143" s="450"/>
      <c r="C143" s="455"/>
      <c r="D143" s="450"/>
      <c r="E143" s="450"/>
      <c r="F143" s="450"/>
      <c r="G143" s="450"/>
      <c r="H143" s="450"/>
      <c r="I143" s="450"/>
      <c r="J143" s="450"/>
      <c r="K143" s="450"/>
      <c r="L143" s="450"/>
      <c r="M143" s="450"/>
      <c r="N143" s="450"/>
      <c r="O143" s="450"/>
      <c r="P143" s="450"/>
      <c r="Q143" s="450"/>
      <c r="R143" s="450"/>
      <c r="S143" s="450"/>
      <c r="T143" s="450"/>
      <c r="U143" s="450"/>
      <c r="V143" s="450"/>
      <c r="W143" s="450"/>
      <c r="X143" s="450"/>
      <c r="Y143" s="450"/>
      <c r="Z143" s="450"/>
      <c r="AA143" s="450"/>
      <c r="AB143" s="450"/>
      <c r="AC143" s="450"/>
      <c r="AD143" s="450"/>
      <c r="AE143" s="450"/>
      <c r="AF143" s="450"/>
      <c r="AG143" s="450"/>
      <c r="AH143" s="450"/>
      <c r="AI143" s="450"/>
      <c r="AJ143" s="450"/>
      <c r="AK143" s="450"/>
      <c r="AL143" s="450"/>
      <c r="AM143" s="450"/>
      <c r="AN143" s="450"/>
      <c r="AO143" s="450"/>
      <c r="AP143" s="450"/>
      <c r="AQ143" s="450"/>
      <c r="AR143" s="450"/>
      <c r="AS143" s="450"/>
      <c r="AT143" s="450"/>
      <c r="AU143" s="450"/>
      <c r="AV143" s="450"/>
      <c r="AW143" s="450"/>
      <c r="AX143" s="450"/>
      <c r="AY143" s="450"/>
      <c r="AZ143" s="450"/>
      <c r="BA143" s="450"/>
      <c r="BB143" s="450"/>
      <c r="BC143" s="450"/>
      <c r="BD143" s="450"/>
      <c r="BE143" s="450"/>
      <c r="BF143" s="450"/>
      <c r="BG143" s="450"/>
      <c r="BH143" s="450"/>
      <c r="BI143" s="450"/>
      <c r="BJ143" s="450"/>
      <c r="BK143" s="450"/>
      <c r="BL143" s="450"/>
      <c r="BM143" s="450"/>
      <c r="BN143" s="450"/>
      <c r="BO143" s="450"/>
      <c r="BP143" s="450"/>
      <c r="BQ143" s="450"/>
      <c r="BR143" s="450"/>
      <c r="BS143" s="450"/>
      <c r="BT143" s="450"/>
      <c r="BU143" s="450"/>
      <c r="BV143" s="450"/>
      <c r="BW143" s="450"/>
      <c r="BX143" s="450"/>
      <c r="BY143" s="450"/>
      <c r="BZ143" s="450"/>
      <c r="CA143" s="450"/>
      <c r="CB143" s="450"/>
      <c r="CC143" s="450"/>
      <c r="CD143" s="450"/>
      <c r="CE143" s="450"/>
      <c r="CF143" s="450"/>
      <c r="CG143" s="450"/>
      <c r="CH143" s="450"/>
    </row>
    <row r="144">
      <c r="A144" s="450"/>
      <c r="B144" s="450"/>
      <c r="C144" s="455"/>
      <c r="D144" s="450"/>
      <c r="E144" s="450"/>
      <c r="F144" s="450"/>
      <c r="G144" s="450"/>
      <c r="H144" s="450"/>
      <c r="I144" s="450"/>
      <c r="J144" s="450"/>
      <c r="K144" s="450"/>
      <c r="L144" s="450"/>
      <c r="M144" s="450"/>
      <c r="N144" s="450"/>
      <c r="O144" s="450"/>
      <c r="P144" s="450"/>
      <c r="Q144" s="450"/>
      <c r="R144" s="450"/>
      <c r="S144" s="450"/>
      <c r="T144" s="450"/>
      <c r="U144" s="450"/>
      <c r="V144" s="450"/>
      <c r="W144" s="450"/>
      <c r="X144" s="450"/>
      <c r="Y144" s="450"/>
      <c r="Z144" s="450"/>
      <c r="AA144" s="450"/>
      <c r="AB144" s="450"/>
      <c r="AC144" s="450"/>
      <c r="AD144" s="450"/>
      <c r="AE144" s="450"/>
      <c r="AF144" s="450"/>
      <c r="AG144" s="450"/>
      <c r="AH144" s="450"/>
      <c r="AI144" s="450"/>
      <c r="AJ144" s="450"/>
      <c r="AK144" s="450"/>
      <c r="AL144" s="450"/>
      <c r="AM144" s="450"/>
      <c r="AN144" s="450"/>
      <c r="AO144" s="450"/>
      <c r="AP144" s="450"/>
      <c r="AQ144" s="450"/>
      <c r="AR144" s="450"/>
      <c r="AS144" s="450"/>
      <c r="AT144" s="450"/>
      <c r="AU144" s="450"/>
      <c r="AV144" s="450"/>
      <c r="AW144" s="450"/>
      <c r="AX144" s="450"/>
      <c r="AY144" s="450"/>
      <c r="AZ144" s="450"/>
      <c r="BA144" s="450"/>
      <c r="BB144" s="450"/>
      <c r="BC144" s="450"/>
      <c r="BD144" s="450"/>
      <c r="BE144" s="450"/>
      <c r="BF144" s="450"/>
      <c r="BG144" s="450"/>
      <c r="BH144" s="450"/>
      <c r="BI144" s="450"/>
      <c r="BJ144" s="450"/>
      <c r="BK144" s="450"/>
      <c r="BL144" s="450"/>
      <c r="BM144" s="450"/>
      <c r="BN144" s="450"/>
      <c r="BO144" s="450"/>
      <c r="BP144" s="450"/>
      <c r="BQ144" s="450"/>
      <c r="BR144" s="450"/>
      <c r="BS144" s="450"/>
      <c r="BT144" s="450"/>
      <c r="BU144" s="450"/>
      <c r="BV144" s="450"/>
      <c r="BW144" s="450"/>
      <c r="BX144" s="450"/>
      <c r="BY144" s="450"/>
      <c r="BZ144" s="450"/>
      <c r="CA144" s="450"/>
      <c r="CB144" s="450"/>
      <c r="CC144" s="450"/>
      <c r="CD144" s="450"/>
      <c r="CE144" s="450"/>
      <c r="CF144" s="450"/>
      <c r="CG144" s="450"/>
      <c r="CH144" s="450"/>
    </row>
    <row r="145">
      <c r="A145" s="450"/>
      <c r="B145" s="450"/>
      <c r="C145" s="455"/>
      <c r="D145" s="450"/>
      <c r="E145" s="450"/>
      <c r="F145" s="450"/>
      <c r="G145" s="450"/>
      <c r="H145" s="450"/>
      <c r="I145" s="450"/>
      <c r="J145" s="450"/>
      <c r="K145" s="450"/>
      <c r="L145" s="450"/>
      <c r="M145" s="450"/>
      <c r="N145" s="450"/>
      <c r="O145" s="450"/>
      <c r="P145" s="450"/>
      <c r="Q145" s="450"/>
      <c r="R145" s="450"/>
      <c r="S145" s="450"/>
      <c r="T145" s="450"/>
      <c r="U145" s="450"/>
      <c r="V145" s="450"/>
      <c r="W145" s="450"/>
      <c r="X145" s="450"/>
      <c r="Y145" s="450"/>
      <c r="Z145" s="450"/>
      <c r="AA145" s="450"/>
      <c r="AB145" s="450"/>
      <c r="AC145" s="450"/>
      <c r="AD145" s="450"/>
      <c r="AE145" s="450"/>
      <c r="AF145" s="450"/>
      <c r="AG145" s="450"/>
      <c r="AH145" s="450"/>
      <c r="AI145" s="450"/>
      <c r="AJ145" s="450"/>
      <c r="AK145" s="450"/>
      <c r="AL145" s="450"/>
      <c r="AM145" s="450"/>
      <c r="AN145" s="450"/>
      <c r="AO145" s="450"/>
      <c r="AP145" s="450"/>
      <c r="AQ145" s="450"/>
      <c r="AR145" s="450"/>
      <c r="AS145" s="450"/>
      <c r="AT145" s="450"/>
      <c r="AU145" s="450"/>
      <c r="AV145" s="450"/>
      <c r="AW145" s="450"/>
      <c r="AX145" s="450"/>
      <c r="AY145" s="450"/>
      <c r="AZ145" s="450"/>
      <c r="BA145" s="450"/>
      <c r="BB145" s="450"/>
      <c r="BC145" s="450"/>
      <c r="BD145" s="450"/>
      <c r="BE145" s="450"/>
      <c r="BF145" s="450"/>
      <c r="BG145" s="450"/>
      <c r="BH145" s="450"/>
      <c r="BI145" s="450"/>
      <c r="BJ145" s="450"/>
      <c r="BK145" s="450"/>
      <c r="BL145" s="450"/>
      <c r="BM145" s="450"/>
      <c r="BN145" s="450"/>
      <c r="BO145" s="450"/>
      <c r="BP145" s="450"/>
      <c r="BQ145" s="450"/>
      <c r="BR145" s="450"/>
      <c r="BS145" s="450"/>
      <c r="BT145" s="450"/>
      <c r="BU145" s="450"/>
      <c r="BV145" s="450"/>
      <c r="BW145" s="450"/>
      <c r="BX145" s="450"/>
      <c r="BY145" s="450"/>
      <c r="BZ145" s="450"/>
      <c r="CA145" s="450"/>
      <c r="CB145" s="450"/>
      <c r="CC145" s="450"/>
      <c r="CD145" s="450"/>
      <c r="CE145" s="450"/>
      <c r="CF145" s="450"/>
      <c r="CG145" s="450"/>
      <c r="CH145" s="450"/>
    </row>
    <row r="146">
      <c r="A146" s="450"/>
      <c r="B146" s="450"/>
      <c r="C146" s="455"/>
      <c r="D146" s="450"/>
      <c r="E146" s="450"/>
      <c r="F146" s="450"/>
      <c r="G146" s="450"/>
      <c r="H146" s="450"/>
      <c r="I146" s="450"/>
      <c r="J146" s="450"/>
      <c r="K146" s="450"/>
      <c r="L146" s="450"/>
      <c r="M146" s="450"/>
      <c r="N146" s="450"/>
      <c r="O146" s="450"/>
      <c r="P146" s="450"/>
      <c r="Q146" s="450"/>
      <c r="R146" s="450"/>
      <c r="S146" s="450"/>
      <c r="T146" s="450"/>
      <c r="U146" s="450"/>
      <c r="V146" s="450"/>
      <c r="W146" s="450"/>
      <c r="X146" s="450"/>
      <c r="Y146" s="450"/>
      <c r="Z146" s="450"/>
      <c r="AA146" s="450"/>
      <c r="AB146" s="450"/>
      <c r="AC146" s="450"/>
      <c r="AD146" s="450"/>
      <c r="AE146" s="450"/>
      <c r="AF146" s="450"/>
      <c r="AG146" s="450"/>
      <c r="AH146" s="450"/>
      <c r="AI146" s="450"/>
      <c r="AJ146" s="450"/>
      <c r="AK146" s="450"/>
      <c r="AL146" s="450"/>
      <c r="AM146" s="450"/>
      <c r="AN146" s="450"/>
      <c r="AO146" s="450"/>
      <c r="AP146" s="450"/>
      <c r="AQ146" s="450"/>
      <c r="AR146" s="450"/>
      <c r="AS146" s="450"/>
      <c r="AT146" s="450"/>
      <c r="AU146" s="450"/>
      <c r="AV146" s="450"/>
      <c r="AW146" s="450"/>
      <c r="AX146" s="450"/>
      <c r="AY146" s="450"/>
      <c r="AZ146" s="450"/>
      <c r="BA146" s="450"/>
      <c r="BB146" s="450"/>
      <c r="BC146" s="450"/>
      <c r="BD146" s="450"/>
      <c r="BE146" s="450"/>
      <c r="BF146" s="450"/>
      <c r="BG146" s="450"/>
      <c r="BH146" s="450"/>
      <c r="BI146" s="450"/>
      <c r="BJ146" s="450"/>
      <c r="BK146" s="450"/>
      <c r="BL146" s="450"/>
      <c r="BM146" s="450"/>
      <c r="BN146" s="450"/>
      <c r="BO146" s="450"/>
      <c r="BP146" s="450"/>
      <c r="BQ146" s="450"/>
      <c r="BR146" s="450"/>
      <c r="BS146" s="450"/>
      <c r="BT146" s="450"/>
      <c r="BU146" s="450"/>
      <c r="BV146" s="450"/>
      <c r="BW146" s="450"/>
      <c r="BX146" s="450"/>
      <c r="BY146" s="450"/>
      <c r="BZ146" s="450"/>
      <c r="CA146" s="450"/>
      <c r="CB146" s="450"/>
      <c r="CC146" s="450"/>
      <c r="CD146" s="450"/>
      <c r="CE146" s="450"/>
      <c r="CF146" s="450"/>
      <c r="CG146" s="450"/>
      <c r="CH146" s="450"/>
    </row>
    <row r="147">
      <c r="A147" s="450"/>
      <c r="B147" s="450"/>
      <c r="C147" s="455"/>
      <c r="D147" s="450"/>
      <c r="E147" s="450"/>
      <c r="F147" s="450"/>
      <c r="G147" s="450"/>
      <c r="H147" s="450"/>
      <c r="I147" s="450"/>
      <c r="J147" s="450"/>
      <c r="K147" s="450"/>
      <c r="L147" s="450"/>
      <c r="M147" s="450"/>
      <c r="N147" s="450"/>
      <c r="O147" s="450"/>
      <c r="P147" s="450"/>
      <c r="Q147" s="450"/>
      <c r="R147" s="450"/>
      <c r="S147" s="450"/>
      <c r="T147" s="450"/>
      <c r="U147" s="450"/>
      <c r="V147" s="450"/>
      <c r="W147" s="450"/>
      <c r="X147" s="450"/>
      <c r="Y147" s="450"/>
      <c r="Z147" s="450"/>
      <c r="AA147" s="450"/>
      <c r="AB147" s="450"/>
      <c r="AC147" s="450"/>
      <c r="AD147" s="450"/>
      <c r="AE147" s="450"/>
      <c r="AF147" s="450"/>
      <c r="AG147" s="450"/>
      <c r="AH147" s="450"/>
      <c r="AI147" s="450"/>
      <c r="AJ147" s="450"/>
      <c r="AK147" s="450"/>
      <c r="AL147" s="450"/>
      <c r="AM147" s="450"/>
      <c r="AN147" s="450"/>
      <c r="AO147" s="450"/>
      <c r="AP147" s="450"/>
      <c r="AQ147" s="450"/>
      <c r="AR147" s="450"/>
      <c r="AS147" s="450"/>
      <c r="AT147" s="450"/>
      <c r="AU147" s="450"/>
      <c r="AV147" s="450"/>
      <c r="AW147" s="450"/>
      <c r="AX147" s="450"/>
      <c r="AY147" s="450"/>
      <c r="AZ147" s="450"/>
      <c r="BA147" s="450"/>
      <c r="BB147" s="450"/>
      <c r="BC147" s="450"/>
      <c r="BD147" s="450"/>
      <c r="BE147" s="450"/>
      <c r="BF147" s="450"/>
      <c r="BG147" s="450"/>
      <c r="BH147" s="450"/>
      <c r="BI147" s="450"/>
      <c r="BJ147" s="450"/>
      <c r="BK147" s="450"/>
      <c r="BL147" s="450"/>
      <c r="BM147" s="450"/>
      <c r="BN147" s="450"/>
      <c r="BO147" s="450"/>
      <c r="BP147" s="450"/>
      <c r="BQ147" s="450"/>
      <c r="BR147" s="450"/>
      <c r="BS147" s="450"/>
      <c r="BT147" s="450"/>
      <c r="BU147" s="450"/>
      <c r="BV147" s="450"/>
      <c r="BW147" s="450"/>
      <c r="BX147" s="450"/>
      <c r="BY147" s="450"/>
      <c r="BZ147" s="450"/>
      <c r="CA147" s="450"/>
      <c r="CB147" s="450"/>
      <c r="CC147" s="450"/>
      <c r="CD147" s="450"/>
      <c r="CE147" s="450"/>
      <c r="CF147" s="450"/>
      <c r="CG147" s="450"/>
      <c r="CH147" s="450"/>
    </row>
    <row r="148">
      <c r="A148" s="450"/>
      <c r="B148" s="450"/>
      <c r="C148" s="455"/>
      <c r="D148" s="450"/>
      <c r="E148" s="450"/>
      <c r="F148" s="450"/>
      <c r="G148" s="450"/>
      <c r="H148" s="450"/>
      <c r="I148" s="450"/>
      <c r="J148" s="450"/>
      <c r="K148" s="450"/>
      <c r="L148" s="450"/>
      <c r="M148" s="450"/>
      <c r="N148" s="450"/>
      <c r="O148" s="450"/>
      <c r="P148" s="450"/>
      <c r="Q148" s="450"/>
      <c r="R148" s="450"/>
      <c r="S148" s="450"/>
      <c r="T148" s="450"/>
      <c r="U148" s="450"/>
      <c r="V148" s="450"/>
      <c r="W148" s="450"/>
      <c r="X148" s="450"/>
      <c r="Y148" s="450"/>
      <c r="Z148" s="450"/>
      <c r="AA148" s="450"/>
      <c r="AB148" s="450"/>
      <c r="AC148" s="450"/>
      <c r="AD148" s="450"/>
      <c r="AE148" s="450"/>
      <c r="AF148" s="450"/>
      <c r="AG148" s="450"/>
      <c r="AH148" s="450"/>
      <c r="AI148" s="450"/>
      <c r="AJ148" s="450"/>
      <c r="AK148" s="450"/>
      <c r="AL148" s="450"/>
      <c r="AM148" s="450"/>
      <c r="AN148" s="450"/>
      <c r="AO148" s="450"/>
      <c r="AP148" s="450"/>
      <c r="AQ148" s="450"/>
      <c r="AR148" s="450"/>
      <c r="AS148" s="450"/>
      <c r="AT148" s="450"/>
      <c r="AU148" s="450"/>
      <c r="AV148" s="450"/>
      <c r="AW148" s="450"/>
      <c r="AX148" s="450"/>
      <c r="AY148" s="450"/>
      <c r="AZ148" s="450"/>
      <c r="BA148" s="450"/>
      <c r="BB148" s="450"/>
      <c r="BC148" s="450"/>
      <c r="BD148" s="450"/>
      <c r="BE148" s="450"/>
      <c r="BF148" s="450"/>
      <c r="BG148" s="450"/>
      <c r="BH148" s="450"/>
      <c r="BI148" s="450"/>
      <c r="BJ148" s="450"/>
      <c r="BK148" s="450"/>
      <c r="BL148" s="450"/>
      <c r="BM148" s="450"/>
      <c r="BN148" s="450"/>
      <c r="BO148" s="450"/>
      <c r="BP148" s="450"/>
      <c r="BQ148" s="450"/>
      <c r="BR148" s="450"/>
      <c r="BS148" s="450"/>
      <c r="BT148" s="450"/>
      <c r="BU148" s="450"/>
      <c r="BV148" s="450"/>
      <c r="BW148" s="450"/>
      <c r="BX148" s="450"/>
      <c r="BY148" s="450"/>
      <c r="BZ148" s="450"/>
      <c r="CA148" s="450"/>
      <c r="CB148" s="450"/>
      <c r="CC148" s="450"/>
      <c r="CD148" s="450"/>
      <c r="CE148" s="450"/>
      <c r="CF148" s="450"/>
      <c r="CG148" s="450"/>
      <c r="CH148" s="450"/>
    </row>
    <row r="149">
      <c r="A149" s="450"/>
      <c r="B149" s="450"/>
      <c r="C149" s="455"/>
      <c r="D149" s="450"/>
      <c r="E149" s="450"/>
      <c r="F149" s="450"/>
      <c r="G149" s="450"/>
      <c r="H149" s="450"/>
      <c r="I149" s="450"/>
      <c r="J149" s="450"/>
      <c r="K149" s="450"/>
      <c r="L149" s="450"/>
      <c r="M149" s="450"/>
      <c r="N149" s="450"/>
      <c r="O149" s="450"/>
      <c r="P149" s="450"/>
      <c r="Q149" s="450"/>
      <c r="R149" s="450"/>
      <c r="S149" s="450"/>
      <c r="T149" s="450"/>
      <c r="U149" s="450"/>
      <c r="V149" s="450"/>
      <c r="W149" s="450"/>
      <c r="X149" s="450"/>
      <c r="Y149" s="450"/>
      <c r="Z149" s="450"/>
      <c r="AA149" s="450"/>
      <c r="AB149" s="450"/>
      <c r="AC149" s="450"/>
      <c r="AD149" s="450"/>
      <c r="AE149" s="450"/>
      <c r="AF149" s="450"/>
      <c r="AG149" s="450"/>
      <c r="AH149" s="450"/>
      <c r="AI149" s="450"/>
      <c r="AJ149" s="450"/>
      <c r="AK149" s="450"/>
      <c r="AL149" s="450"/>
      <c r="AM149" s="450"/>
      <c r="AN149" s="450"/>
      <c r="AO149" s="450"/>
      <c r="AP149" s="450"/>
      <c r="AQ149" s="450"/>
      <c r="AR149" s="450"/>
      <c r="AS149" s="450"/>
      <c r="AT149" s="450"/>
      <c r="AU149" s="450"/>
      <c r="AV149" s="450"/>
      <c r="AW149" s="450"/>
      <c r="AX149" s="450"/>
      <c r="AY149" s="450"/>
      <c r="AZ149" s="450"/>
      <c r="BA149" s="450"/>
      <c r="BB149" s="450"/>
      <c r="BC149" s="450"/>
      <c r="BD149" s="450"/>
      <c r="BE149" s="450"/>
      <c r="BF149" s="450"/>
      <c r="BG149" s="450"/>
      <c r="BH149" s="450"/>
      <c r="BI149" s="450"/>
      <c r="BJ149" s="450"/>
      <c r="BK149" s="450"/>
      <c r="BL149" s="450"/>
      <c r="BM149" s="450"/>
      <c r="BN149" s="450"/>
      <c r="BO149" s="450"/>
      <c r="BP149" s="450"/>
      <c r="BQ149" s="450"/>
      <c r="BR149" s="450"/>
      <c r="BS149" s="450"/>
      <c r="BT149" s="450"/>
      <c r="BU149" s="450"/>
      <c r="BV149" s="450"/>
      <c r="BW149" s="450"/>
      <c r="BX149" s="450"/>
      <c r="BY149" s="450"/>
      <c r="BZ149" s="450"/>
      <c r="CA149" s="450"/>
      <c r="CB149" s="450"/>
      <c r="CC149" s="450"/>
      <c r="CD149" s="450"/>
      <c r="CE149" s="450"/>
      <c r="CF149" s="450"/>
      <c r="CG149" s="450"/>
      <c r="CH149" s="450"/>
    </row>
    <row r="150">
      <c r="A150" s="450"/>
      <c r="B150" s="450"/>
      <c r="C150" s="455"/>
      <c r="D150" s="450"/>
      <c r="E150" s="450"/>
      <c r="F150" s="450"/>
      <c r="G150" s="450"/>
      <c r="H150" s="450"/>
      <c r="I150" s="450"/>
      <c r="J150" s="450"/>
      <c r="K150" s="450"/>
      <c r="L150" s="450"/>
      <c r="M150" s="450"/>
      <c r="N150" s="450"/>
      <c r="O150" s="450"/>
      <c r="P150" s="450"/>
      <c r="Q150" s="450"/>
      <c r="R150" s="450"/>
      <c r="S150" s="450"/>
      <c r="T150" s="450"/>
      <c r="U150" s="450"/>
      <c r="V150" s="450"/>
      <c r="W150" s="450"/>
      <c r="X150" s="450"/>
      <c r="Y150" s="450"/>
      <c r="Z150" s="450"/>
      <c r="AA150" s="450"/>
      <c r="AB150" s="450"/>
      <c r="AC150" s="450"/>
      <c r="AD150" s="450"/>
      <c r="AE150" s="450"/>
      <c r="AF150" s="450"/>
      <c r="AG150" s="450"/>
      <c r="AH150" s="450"/>
      <c r="AI150" s="450"/>
      <c r="AJ150" s="450"/>
      <c r="AK150" s="450"/>
      <c r="AL150" s="450"/>
      <c r="AM150" s="450"/>
      <c r="AN150" s="450"/>
      <c r="AO150" s="450"/>
      <c r="AP150" s="450"/>
      <c r="AQ150" s="450"/>
      <c r="AR150" s="450"/>
      <c r="AS150" s="450"/>
      <c r="AT150" s="450"/>
      <c r="AU150" s="450"/>
      <c r="AV150" s="450"/>
      <c r="AW150" s="450"/>
      <c r="AX150" s="450"/>
      <c r="AY150" s="450"/>
      <c r="AZ150" s="450"/>
      <c r="BA150" s="450"/>
      <c r="BB150" s="450"/>
      <c r="BC150" s="450"/>
      <c r="BD150" s="450"/>
      <c r="BE150" s="450"/>
      <c r="BF150" s="450"/>
      <c r="BG150" s="450"/>
      <c r="BH150" s="450"/>
      <c r="BI150" s="450"/>
      <c r="BJ150" s="450"/>
      <c r="BK150" s="450"/>
      <c r="BL150" s="450"/>
      <c r="BM150" s="450"/>
      <c r="BN150" s="450"/>
      <c r="BO150" s="450"/>
      <c r="BP150" s="450"/>
      <c r="BQ150" s="450"/>
      <c r="BR150" s="450"/>
      <c r="BS150" s="450"/>
      <c r="BT150" s="450"/>
      <c r="BU150" s="450"/>
      <c r="BV150" s="450"/>
      <c r="BW150" s="450"/>
      <c r="BX150" s="450"/>
      <c r="BY150" s="450"/>
      <c r="BZ150" s="450"/>
      <c r="CA150" s="450"/>
      <c r="CB150" s="450"/>
      <c r="CC150" s="450"/>
      <c r="CD150" s="450"/>
      <c r="CE150" s="450"/>
      <c r="CF150" s="450"/>
      <c r="CG150" s="450"/>
      <c r="CH150" s="450"/>
    </row>
    <row r="151">
      <c r="A151" s="450"/>
      <c r="B151" s="498"/>
      <c r="C151" s="455"/>
      <c r="D151" s="450"/>
      <c r="E151" s="450"/>
      <c r="F151" s="450"/>
      <c r="G151" s="450"/>
      <c r="H151" s="450"/>
      <c r="I151" s="450"/>
      <c r="J151" s="450"/>
      <c r="K151" s="450"/>
      <c r="L151" s="450"/>
      <c r="M151" s="450"/>
      <c r="N151" s="450"/>
      <c r="O151" s="450"/>
      <c r="P151" s="450"/>
      <c r="Q151" s="450"/>
      <c r="R151" s="450"/>
      <c r="S151" s="450"/>
      <c r="T151" s="450"/>
      <c r="U151" s="450"/>
      <c r="V151" s="450"/>
      <c r="W151" s="450"/>
      <c r="X151" s="450"/>
      <c r="Y151" s="450"/>
      <c r="Z151" s="450"/>
      <c r="AA151" s="450"/>
      <c r="AB151" s="450"/>
      <c r="AC151" s="450"/>
      <c r="AD151" s="450"/>
      <c r="AE151" s="450"/>
      <c r="AF151" s="450"/>
      <c r="AG151" s="450"/>
      <c r="AH151" s="450"/>
      <c r="AI151" s="450"/>
      <c r="AJ151" s="450"/>
      <c r="AK151" s="450"/>
      <c r="AL151" s="450"/>
      <c r="AM151" s="450"/>
      <c r="AN151" s="450"/>
      <c r="AO151" s="450"/>
      <c r="AP151" s="450"/>
      <c r="AQ151" s="450"/>
      <c r="AR151" s="450"/>
      <c r="AS151" s="450"/>
      <c r="AT151" s="450"/>
      <c r="AU151" s="450"/>
      <c r="AV151" s="450"/>
      <c r="AW151" s="450"/>
      <c r="AX151" s="450"/>
      <c r="AY151" s="450"/>
      <c r="AZ151" s="450"/>
      <c r="BA151" s="450"/>
      <c r="BB151" s="450"/>
      <c r="BC151" s="450"/>
      <c r="BD151" s="450"/>
      <c r="BE151" s="450"/>
      <c r="BF151" s="450"/>
      <c r="BG151" s="450"/>
      <c r="BH151" s="450"/>
      <c r="BI151" s="450"/>
      <c r="BJ151" s="450"/>
      <c r="BK151" s="450"/>
      <c r="BL151" s="450"/>
      <c r="BM151" s="450"/>
      <c r="BN151" s="450"/>
      <c r="BO151" s="450"/>
      <c r="BP151" s="450"/>
      <c r="BQ151" s="450"/>
      <c r="BR151" s="450"/>
      <c r="BS151" s="450"/>
      <c r="BT151" s="450"/>
      <c r="BU151" s="450"/>
      <c r="BV151" s="450"/>
      <c r="BW151" s="450"/>
      <c r="BX151" s="450"/>
      <c r="BY151" s="450"/>
      <c r="BZ151" s="450"/>
      <c r="CA151" s="450"/>
      <c r="CB151" s="450"/>
      <c r="CC151" s="450"/>
      <c r="CD151" s="450"/>
      <c r="CE151" s="450"/>
      <c r="CF151" s="450"/>
      <c r="CG151" s="450"/>
      <c r="CH151" s="450"/>
    </row>
    <row r="152">
      <c r="A152" s="450"/>
      <c r="B152" s="498"/>
      <c r="C152" s="455"/>
      <c r="D152" s="450"/>
      <c r="E152" s="450"/>
      <c r="F152" s="450"/>
      <c r="G152" s="450"/>
      <c r="H152" s="450"/>
      <c r="I152" s="450"/>
      <c r="J152" s="450"/>
      <c r="K152" s="450"/>
      <c r="L152" s="450"/>
      <c r="M152" s="450"/>
      <c r="N152" s="450"/>
      <c r="O152" s="450"/>
      <c r="P152" s="450"/>
      <c r="Q152" s="450"/>
      <c r="R152" s="450"/>
      <c r="S152" s="450"/>
      <c r="T152" s="450"/>
      <c r="U152" s="450"/>
      <c r="V152" s="450"/>
      <c r="W152" s="450"/>
      <c r="X152" s="450"/>
      <c r="Y152" s="450"/>
      <c r="Z152" s="450"/>
      <c r="AA152" s="450"/>
      <c r="AB152" s="450"/>
      <c r="AC152" s="450"/>
      <c r="AD152" s="450"/>
      <c r="AE152" s="450"/>
      <c r="AF152" s="450"/>
      <c r="AG152" s="450"/>
      <c r="AH152" s="450"/>
      <c r="AI152" s="450"/>
      <c r="AJ152" s="450"/>
      <c r="AK152" s="450"/>
      <c r="AL152" s="450"/>
      <c r="AM152" s="450"/>
      <c r="AN152" s="450"/>
      <c r="AO152" s="450"/>
      <c r="AP152" s="450"/>
      <c r="AQ152" s="450"/>
      <c r="AR152" s="450"/>
      <c r="AS152" s="450"/>
      <c r="AT152" s="450"/>
      <c r="AU152" s="450"/>
      <c r="AV152" s="450"/>
      <c r="AW152" s="450"/>
      <c r="AX152" s="450"/>
      <c r="AY152" s="450"/>
      <c r="AZ152" s="450"/>
      <c r="BA152" s="450"/>
      <c r="BB152" s="450"/>
      <c r="BC152" s="450"/>
      <c r="BD152" s="450"/>
      <c r="BE152" s="450"/>
      <c r="BF152" s="450"/>
      <c r="BG152" s="450"/>
      <c r="BH152" s="450"/>
      <c r="BI152" s="450"/>
      <c r="BJ152" s="450"/>
      <c r="BK152" s="450"/>
      <c r="BL152" s="450"/>
      <c r="BM152" s="450"/>
      <c r="BN152" s="450"/>
      <c r="BO152" s="450"/>
      <c r="BP152" s="450"/>
      <c r="BQ152" s="450"/>
      <c r="BR152" s="450"/>
      <c r="BS152" s="450"/>
      <c r="BT152" s="450"/>
      <c r="BU152" s="450"/>
      <c r="BV152" s="450"/>
      <c r="BW152" s="450"/>
      <c r="BX152" s="450"/>
      <c r="BY152" s="450"/>
      <c r="BZ152" s="450"/>
      <c r="CA152" s="450"/>
      <c r="CB152" s="450"/>
      <c r="CC152" s="450"/>
      <c r="CD152" s="450"/>
      <c r="CE152" s="450"/>
      <c r="CF152" s="450"/>
      <c r="CG152" s="450"/>
      <c r="CH152" s="450"/>
    </row>
    <row r="153">
      <c r="A153" s="450"/>
      <c r="B153" s="498"/>
      <c r="C153" s="455"/>
      <c r="D153" s="450"/>
      <c r="E153" s="450"/>
      <c r="F153" s="450"/>
      <c r="G153" s="450"/>
      <c r="H153" s="450"/>
      <c r="I153" s="450"/>
      <c r="J153" s="450"/>
      <c r="K153" s="450"/>
      <c r="L153" s="450"/>
      <c r="M153" s="450"/>
      <c r="N153" s="450"/>
      <c r="O153" s="450"/>
      <c r="P153" s="450"/>
      <c r="Q153" s="450"/>
      <c r="R153" s="450"/>
      <c r="S153" s="450"/>
      <c r="T153" s="450"/>
      <c r="U153" s="450"/>
      <c r="V153" s="450"/>
      <c r="W153" s="450"/>
      <c r="X153" s="450"/>
      <c r="Y153" s="450"/>
      <c r="Z153" s="450"/>
      <c r="AA153" s="450"/>
      <c r="AB153" s="450"/>
      <c r="AC153" s="450"/>
      <c r="AD153" s="450"/>
      <c r="AE153" s="450"/>
      <c r="AF153" s="450"/>
      <c r="AG153" s="450"/>
      <c r="AH153" s="450"/>
      <c r="AI153" s="450"/>
      <c r="AJ153" s="450"/>
      <c r="AK153" s="450"/>
      <c r="AL153" s="450"/>
      <c r="AM153" s="450"/>
      <c r="AN153" s="450"/>
      <c r="AO153" s="450"/>
      <c r="AP153" s="450"/>
      <c r="AQ153" s="450"/>
      <c r="AR153" s="450"/>
      <c r="AS153" s="450"/>
      <c r="AT153" s="450"/>
      <c r="AU153" s="450"/>
      <c r="AV153" s="450"/>
      <c r="AW153" s="450"/>
      <c r="AX153" s="450"/>
      <c r="AY153" s="450"/>
      <c r="AZ153" s="450"/>
      <c r="BA153" s="450"/>
      <c r="BB153" s="450"/>
      <c r="BC153" s="450"/>
      <c r="BD153" s="450"/>
      <c r="BE153" s="450"/>
      <c r="BF153" s="450"/>
      <c r="BG153" s="450"/>
      <c r="BH153" s="450"/>
      <c r="BI153" s="450"/>
      <c r="BJ153" s="450"/>
      <c r="BK153" s="450"/>
      <c r="BL153" s="450"/>
      <c r="BM153" s="450"/>
      <c r="BN153" s="450"/>
      <c r="BO153" s="450"/>
      <c r="BP153" s="450"/>
      <c r="BQ153" s="450"/>
      <c r="BR153" s="450"/>
      <c r="BS153" s="450"/>
      <c r="BT153" s="450"/>
      <c r="BU153" s="450"/>
      <c r="BV153" s="450"/>
      <c r="BW153" s="450"/>
      <c r="BX153" s="450"/>
      <c r="BY153" s="450"/>
      <c r="BZ153" s="450"/>
      <c r="CA153" s="450"/>
      <c r="CB153" s="450"/>
      <c r="CC153" s="450"/>
      <c r="CD153" s="450"/>
      <c r="CE153" s="450"/>
      <c r="CF153" s="450"/>
      <c r="CG153" s="450"/>
      <c r="CH153" s="450"/>
    </row>
    <row r="154">
      <c r="A154" s="450"/>
      <c r="B154" s="498"/>
      <c r="C154" s="455"/>
      <c r="D154" s="450"/>
      <c r="E154" s="450"/>
      <c r="F154" s="450"/>
      <c r="G154" s="450"/>
      <c r="H154" s="450"/>
      <c r="I154" s="450"/>
      <c r="J154" s="450"/>
      <c r="K154" s="450"/>
      <c r="L154" s="450"/>
      <c r="M154" s="450"/>
      <c r="N154" s="450"/>
      <c r="O154" s="450"/>
      <c r="P154" s="450"/>
      <c r="Q154" s="450"/>
      <c r="R154" s="450"/>
      <c r="S154" s="450"/>
      <c r="T154" s="450"/>
      <c r="U154" s="450"/>
      <c r="V154" s="450"/>
      <c r="W154" s="450"/>
      <c r="X154" s="450"/>
      <c r="Y154" s="450"/>
      <c r="Z154" s="450"/>
      <c r="AA154" s="450"/>
      <c r="AB154" s="450"/>
      <c r="AC154" s="450"/>
      <c r="AD154" s="450"/>
      <c r="AE154" s="450"/>
      <c r="AF154" s="450"/>
      <c r="AG154" s="450"/>
      <c r="AH154" s="450"/>
      <c r="AI154" s="450"/>
      <c r="AJ154" s="450"/>
      <c r="AK154" s="450"/>
      <c r="AL154" s="450"/>
      <c r="AM154" s="450"/>
      <c r="AN154" s="450"/>
      <c r="AO154" s="450"/>
      <c r="AP154" s="450"/>
      <c r="AQ154" s="450"/>
      <c r="AR154" s="450"/>
      <c r="AS154" s="450"/>
      <c r="AT154" s="450"/>
      <c r="AU154" s="450"/>
      <c r="AV154" s="450"/>
      <c r="AW154" s="450"/>
      <c r="AX154" s="450"/>
      <c r="AY154" s="450"/>
      <c r="AZ154" s="450"/>
      <c r="BA154" s="450"/>
      <c r="BB154" s="450"/>
      <c r="BC154" s="450"/>
      <c r="BD154" s="450"/>
      <c r="BE154" s="450"/>
      <c r="BF154" s="450"/>
      <c r="BG154" s="450"/>
      <c r="BH154" s="450"/>
      <c r="BI154" s="450"/>
      <c r="BJ154" s="450"/>
      <c r="BK154" s="450"/>
      <c r="BL154" s="450"/>
      <c r="BM154" s="450"/>
      <c r="BN154" s="450"/>
      <c r="BO154" s="450"/>
      <c r="BP154" s="450"/>
      <c r="BQ154" s="450"/>
      <c r="BR154" s="450"/>
      <c r="BS154" s="450"/>
      <c r="BT154" s="450"/>
      <c r="BU154" s="450"/>
      <c r="BV154" s="450"/>
      <c r="BW154" s="450"/>
      <c r="BX154" s="450"/>
      <c r="BY154" s="450"/>
      <c r="BZ154" s="450"/>
      <c r="CA154" s="450"/>
      <c r="CB154" s="450"/>
      <c r="CC154" s="450"/>
      <c r="CD154" s="450"/>
      <c r="CE154" s="450"/>
      <c r="CF154" s="450"/>
      <c r="CG154" s="450"/>
      <c r="CH154" s="450"/>
    </row>
    <row r="155">
      <c r="A155" s="450"/>
      <c r="B155" s="498"/>
      <c r="C155" s="455"/>
      <c r="D155" s="450"/>
      <c r="E155" s="450"/>
      <c r="F155" s="450"/>
      <c r="G155" s="450"/>
      <c r="H155" s="450"/>
      <c r="I155" s="450"/>
      <c r="J155" s="450"/>
      <c r="K155" s="450"/>
      <c r="L155" s="450"/>
      <c r="M155" s="450"/>
      <c r="N155" s="450"/>
      <c r="O155" s="450"/>
      <c r="P155" s="450"/>
      <c r="Q155" s="450"/>
      <c r="R155" s="450"/>
      <c r="S155" s="450"/>
      <c r="T155" s="450"/>
      <c r="U155" s="450"/>
      <c r="V155" s="450"/>
      <c r="W155" s="450"/>
      <c r="X155" s="450"/>
      <c r="Y155" s="450"/>
      <c r="Z155" s="450"/>
      <c r="AA155" s="450"/>
      <c r="AB155" s="450"/>
      <c r="AC155" s="450"/>
      <c r="AD155" s="450"/>
      <c r="AE155" s="450"/>
      <c r="AF155" s="450"/>
      <c r="AG155" s="450"/>
      <c r="AH155" s="450"/>
      <c r="AI155" s="450"/>
      <c r="AJ155" s="450"/>
      <c r="AK155" s="450"/>
      <c r="AL155" s="450"/>
      <c r="AM155" s="450"/>
      <c r="AN155" s="450"/>
      <c r="AO155" s="450"/>
      <c r="AP155" s="450"/>
      <c r="AQ155" s="450"/>
      <c r="AR155" s="450"/>
      <c r="AS155" s="450"/>
      <c r="AT155" s="450"/>
      <c r="AU155" s="450"/>
      <c r="AV155" s="450"/>
      <c r="AW155" s="450"/>
      <c r="AX155" s="450"/>
      <c r="AY155" s="450"/>
      <c r="AZ155" s="450"/>
      <c r="BA155" s="450"/>
      <c r="BB155" s="450"/>
      <c r="BC155" s="450"/>
      <c r="BD155" s="450"/>
      <c r="BE155" s="450"/>
      <c r="BF155" s="450"/>
      <c r="BG155" s="450"/>
      <c r="BH155" s="450"/>
      <c r="BI155" s="450"/>
      <c r="BJ155" s="450"/>
      <c r="BK155" s="450"/>
      <c r="BL155" s="450"/>
      <c r="BM155" s="450"/>
      <c r="BN155" s="450"/>
      <c r="BO155" s="450"/>
      <c r="BP155" s="450"/>
      <c r="BQ155" s="450"/>
      <c r="BR155" s="450"/>
      <c r="BS155" s="450"/>
      <c r="BT155" s="450"/>
      <c r="BU155" s="450"/>
      <c r="BV155" s="450"/>
      <c r="BW155" s="450"/>
      <c r="BX155" s="450"/>
      <c r="BY155" s="450"/>
      <c r="BZ155" s="450"/>
      <c r="CA155" s="450"/>
      <c r="CB155" s="450"/>
      <c r="CC155" s="450"/>
      <c r="CD155" s="450"/>
      <c r="CE155" s="450"/>
      <c r="CF155" s="450"/>
      <c r="CG155" s="450"/>
      <c r="CH155" s="450"/>
    </row>
    <row r="156">
      <c r="A156" s="450"/>
      <c r="B156" s="498"/>
      <c r="C156" s="455"/>
      <c r="D156" s="450"/>
      <c r="E156" s="450"/>
      <c r="F156" s="450"/>
      <c r="G156" s="450"/>
      <c r="H156" s="450"/>
      <c r="I156" s="450"/>
      <c r="J156" s="450"/>
      <c r="K156" s="450"/>
      <c r="L156" s="450"/>
      <c r="M156" s="450"/>
      <c r="N156" s="450"/>
      <c r="O156" s="450"/>
      <c r="P156" s="450"/>
      <c r="Q156" s="450"/>
      <c r="R156" s="450"/>
      <c r="S156" s="450"/>
      <c r="T156" s="450"/>
      <c r="U156" s="450"/>
      <c r="V156" s="450"/>
      <c r="W156" s="450"/>
      <c r="X156" s="450"/>
      <c r="Y156" s="450"/>
      <c r="Z156" s="450"/>
      <c r="AA156" s="450"/>
      <c r="AB156" s="450"/>
      <c r="AC156" s="450"/>
      <c r="AD156" s="450"/>
      <c r="AE156" s="450"/>
      <c r="AF156" s="450"/>
      <c r="AG156" s="450"/>
      <c r="AH156" s="450"/>
      <c r="AI156" s="450"/>
      <c r="AJ156" s="450"/>
      <c r="AK156" s="450"/>
      <c r="AL156" s="450"/>
      <c r="AM156" s="450"/>
      <c r="AN156" s="450"/>
      <c r="AO156" s="450"/>
      <c r="AP156" s="450"/>
      <c r="AQ156" s="450"/>
      <c r="AR156" s="450"/>
      <c r="AS156" s="450"/>
      <c r="AT156" s="450"/>
      <c r="AU156" s="450"/>
      <c r="AV156" s="450"/>
      <c r="AW156" s="450"/>
      <c r="AX156" s="450"/>
      <c r="AY156" s="450"/>
      <c r="AZ156" s="450"/>
      <c r="BA156" s="450"/>
      <c r="BB156" s="450"/>
      <c r="BC156" s="450"/>
      <c r="BD156" s="450"/>
      <c r="BE156" s="450"/>
      <c r="BF156" s="450"/>
      <c r="BG156" s="450"/>
      <c r="BH156" s="450"/>
      <c r="BI156" s="450"/>
      <c r="BJ156" s="450"/>
      <c r="BK156" s="450"/>
      <c r="BL156" s="450"/>
      <c r="BM156" s="450"/>
      <c r="BN156" s="450"/>
      <c r="BO156" s="450"/>
      <c r="BP156" s="450"/>
      <c r="BQ156" s="450"/>
      <c r="BR156" s="450"/>
      <c r="BS156" s="450"/>
      <c r="BT156" s="450"/>
      <c r="BU156" s="450"/>
      <c r="BV156" s="450"/>
      <c r="BW156" s="450"/>
      <c r="BX156" s="450"/>
      <c r="BY156" s="450"/>
      <c r="BZ156" s="450"/>
      <c r="CA156" s="450"/>
      <c r="CB156" s="450"/>
      <c r="CC156" s="450"/>
      <c r="CD156" s="450"/>
      <c r="CE156" s="450"/>
      <c r="CF156" s="450"/>
      <c r="CG156" s="450"/>
      <c r="CH156" s="450"/>
    </row>
    <row r="157">
      <c r="A157" s="450"/>
      <c r="B157" s="498"/>
      <c r="C157" s="455"/>
      <c r="D157" s="450"/>
      <c r="E157" s="450"/>
      <c r="F157" s="450"/>
      <c r="G157" s="450"/>
      <c r="H157" s="450"/>
      <c r="I157" s="450"/>
      <c r="J157" s="450"/>
      <c r="K157" s="450"/>
      <c r="L157" s="450"/>
      <c r="M157" s="450"/>
      <c r="N157" s="450"/>
      <c r="O157" s="450"/>
      <c r="P157" s="450"/>
      <c r="Q157" s="450"/>
      <c r="R157" s="450"/>
      <c r="S157" s="450"/>
      <c r="T157" s="450"/>
      <c r="U157" s="450"/>
      <c r="V157" s="450"/>
      <c r="W157" s="450"/>
      <c r="X157" s="450"/>
      <c r="Y157" s="450"/>
      <c r="Z157" s="450"/>
      <c r="AA157" s="450"/>
      <c r="AB157" s="450"/>
      <c r="AC157" s="450"/>
      <c r="AD157" s="450"/>
      <c r="AE157" s="450"/>
      <c r="AF157" s="450"/>
      <c r="AG157" s="450"/>
      <c r="AH157" s="450"/>
      <c r="AI157" s="450"/>
      <c r="AJ157" s="450"/>
      <c r="AK157" s="450"/>
      <c r="AL157" s="450"/>
      <c r="AM157" s="450"/>
      <c r="AN157" s="450"/>
      <c r="AO157" s="450"/>
      <c r="AP157" s="450"/>
      <c r="AQ157" s="450"/>
      <c r="AR157" s="450"/>
      <c r="AS157" s="450"/>
      <c r="AT157" s="450"/>
      <c r="AU157" s="450"/>
      <c r="AV157" s="450"/>
      <c r="AW157" s="450"/>
      <c r="AX157" s="450"/>
      <c r="AY157" s="450"/>
      <c r="AZ157" s="450"/>
      <c r="BA157" s="450"/>
      <c r="BB157" s="450"/>
      <c r="BC157" s="450"/>
      <c r="BD157" s="450"/>
      <c r="BE157" s="450"/>
      <c r="BF157" s="450"/>
      <c r="BG157" s="450"/>
      <c r="BH157" s="450"/>
      <c r="BI157" s="450"/>
      <c r="BJ157" s="450"/>
      <c r="BK157" s="450"/>
      <c r="BL157" s="450"/>
      <c r="BM157" s="450"/>
      <c r="BN157" s="450"/>
      <c r="BO157" s="450"/>
      <c r="BP157" s="450"/>
      <c r="BQ157" s="450"/>
      <c r="BR157" s="450"/>
      <c r="BS157" s="450"/>
      <c r="BT157" s="450"/>
      <c r="BU157" s="450"/>
      <c r="BV157" s="450"/>
      <c r="BW157" s="450"/>
      <c r="BX157" s="450"/>
      <c r="BY157" s="450"/>
      <c r="BZ157" s="450"/>
      <c r="CA157" s="450"/>
      <c r="CB157" s="450"/>
      <c r="CC157" s="450"/>
      <c r="CD157" s="450"/>
      <c r="CE157" s="450"/>
      <c r="CF157" s="450"/>
      <c r="CG157" s="450"/>
      <c r="CH157" s="450"/>
    </row>
    <row r="158">
      <c r="A158" s="450"/>
      <c r="B158" s="498"/>
      <c r="C158" s="455"/>
      <c r="D158" s="450"/>
      <c r="E158" s="450"/>
      <c r="F158" s="450"/>
      <c r="G158" s="450"/>
      <c r="H158" s="450"/>
      <c r="I158" s="450"/>
      <c r="J158" s="450"/>
      <c r="K158" s="450"/>
      <c r="L158" s="450"/>
      <c r="M158" s="450"/>
      <c r="N158" s="450"/>
      <c r="O158" s="450"/>
      <c r="P158" s="450"/>
      <c r="Q158" s="450"/>
      <c r="R158" s="450"/>
      <c r="S158" s="450"/>
      <c r="T158" s="450"/>
      <c r="U158" s="450"/>
      <c r="V158" s="450"/>
      <c r="W158" s="450"/>
      <c r="X158" s="450"/>
      <c r="Y158" s="450"/>
      <c r="Z158" s="450"/>
      <c r="AA158" s="450"/>
      <c r="AB158" s="450"/>
      <c r="AC158" s="450"/>
      <c r="AD158" s="450"/>
      <c r="AE158" s="450"/>
      <c r="AF158" s="450"/>
      <c r="AG158" s="450"/>
      <c r="AH158" s="450"/>
      <c r="AI158" s="450"/>
      <c r="AJ158" s="450"/>
      <c r="AK158" s="450"/>
      <c r="AL158" s="450"/>
      <c r="AM158" s="450"/>
      <c r="AN158" s="450"/>
      <c r="AO158" s="450"/>
      <c r="AP158" s="450"/>
      <c r="AQ158" s="450"/>
      <c r="AR158" s="450"/>
      <c r="AS158" s="450"/>
      <c r="AT158" s="450"/>
      <c r="AU158" s="450"/>
      <c r="AV158" s="450"/>
      <c r="AW158" s="450"/>
      <c r="AX158" s="450"/>
      <c r="AY158" s="450"/>
      <c r="AZ158" s="450"/>
      <c r="BA158" s="450"/>
      <c r="BB158" s="450"/>
      <c r="BC158" s="450"/>
      <c r="BD158" s="450"/>
      <c r="BE158" s="450"/>
      <c r="BF158" s="450"/>
      <c r="BG158" s="450"/>
      <c r="BH158" s="450"/>
      <c r="BI158" s="450"/>
      <c r="BJ158" s="450"/>
      <c r="BK158" s="450"/>
      <c r="BL158" s="450"/>
      <c r="BM158" s="450"/>
      <c r="BN158" s="450"/>
      <c r="BO158" s="450"/>
      <c r="BP158" s="450"/>
      <c r="BQ158" s="450"/>
      <c r="BR158" s="450"/>
      <c r="BS158" s="450"/>
      <c r="BT158" s="450"/>
      <c r="BU158" s="450"/>
      <c r="BV158" s="450"/>
      <c r="BW158" s="450"/>
      <c r="BX158" s="450"/>
      <c r="BY158" s="450"/>
      <c r="BZ158" s="450"/>
      <c r="CA158" s="450"/>
      <c r="CB158" s="450"/>
      <c r="CC158" s="450"/>
      <c r="CD158" s="450"/>
      <c r="CE158" s="450"/>
      <c r="CF158" s="450"/>
      <c r="CG158" s="450"/>
      <c r="CH158" s="450"/>
    </row>
    <row r="159">
      <c r="A159" s="450"/>
      <c r="B159" s="498"/>
      <c r="C159" s="455"/>
      <c r="D159" s="450"/>
      <c r="E159" s="450"/>
      <c r="F159" s="450"/>
      <c r="G159" s="450"/>
      <c r="H159" s="450"/>
      <c r="I159" s="450"/>
      <c r="J159" s="450"/>
      <c r="K159" s="450"/>
      <c r="L159" s="450"/>
      <c r="M159" s="450"/>
      <c r="N159" s="450"/>
      <c r="O159" s="450"/>
      <c r="P159" s="450"/>
      <c r="Q159" s="450"/>
      <c r="R159" s="450"/>
      <c r="S159" s="450"/>
      <c r="T159" s="450"/>
      <c r="U159" s="450"/>
      <c r="V159" s="450"/>
      <c r="W159" s="450"/>
      <c r="X159" s="450"/>
      <c r="Y159" s="450"/>
      <c r="Z159" s="450"/>
      <c r="AA159" s="450"/>
      <c r="AB159" s="450"/>
      <c r="AC159" s="450"/>
      <c r="AD159" s="450"/>
      <c r="AE159" s="450"/>
      <c r="AF159" s="450"/>
      <c r="AG159" s="450"/>
      <c r="AH159" s="450"/>
      <c r="AI159" s="450"/>
      <c r="AJ159" s="450"/>
      <c r="AK159" s="450"/>
      <c r="AL159" s="450"/>
      <c r="AM159" s="450"/>
      <c r="AN159" s="450"/>
      <c r="AO159" s="450"/>
      <c r="AP159" s="450"/>
      <c r="AQ159" s="450"/>
      <c r="AR159" s="450"/>
      <c r="AS159" s="450"/>
      <c r="AT159" s="450"/>
      <c r="AU159" s="450"/>
      <c r="AV159" s="450"/>
      <c r="AW159" s="450"/>
      <c r="AX159" s="450"/>
      <c r="AY159" s="450"/>
      <c r="AZ159" s="450"/>
      <c r="BA159" s="450"/>
      <c r="BB159" s="450"/>
      <c r="BC159" s="450"/>
      <c r="BD159" s="450"/>
      <c r="BE159" s="450"/>
      <c r="BF159" s="450"/>
      <c r="BG159" s="450"/>
      <c r="BH159" s="450"/>
      <c r="BI159" s="450"/>
      <c r="BJ159" s="450"/>
      <c r="BK159" s="450"/>
      <c r="BL159" s="450"/>
      <c r="BM159" s="450"/>
      <c r="BN159" s="450"/>
      <c r="BO159" s="450"/>
      <c r="BP159" s="450"/>
      <c r="BQ159" s="450"/>
      <c r="BR159" s="450"/>
      <c r="BS159" s="450"/>
      <c r="BT159" s="450"/>
      <c r="BU159" s="450"/>
      <c r="BV159" s="450"/>
      <c r="BW159" s="450"/>
      <c r="BX159" s="450"/>
      <c r="BY159" s="450"/>
      <c r="BZ159" s="450"/>
      <c r="CA159" s="450"/>
      <c r="CB159" s="450"/>
      <c r="CC159" s="450"/>
      <c r="CD159" s="450"/>
      <c r="CE159" s="450"/>
      <c r="CF159" s="450"/>
      <c r="CG159" s="450"/>
      <c r="CH159" s="450"/>
    </row>
    <row r="160">
      <c r="A160" s="450"/>
      <c r="B160" s="498"/>
      <c r="C160" s="455"/>
      <c r="D160" s="450"/>
      <c r="E160" s="450"/>
      <c r="F160" s="450"/>
      <c r="G160" s="450"/>
      <c r="H160" s="450"/>
      <c r="I160" s="450"/>
      <c r="J160" s="450"/>
      <c r="K160" s="450"/>
      <c r="L160" s="450"/>
      <c r="M160" s="450"/>
      <c r="N160" s="450"/>
      <c r="O160" s="450"/>
      <c r="P160" s="450"/>
      <c r="Q160" s="450"/>
      <c r="R160" s="450"/>
      <c r="S160" s="450"/>
      <c r="T160" s="450"/>
      <c r="U160" s="450"/>
      <c r="V160" s="450"/>
      <c r="W160" s="450"/>
      <c r="X160" s="450"/>
      <c r="Y160" s="450"/>
      <c r="Z160" s="450"/>
      <c r="AA160" s="450"/>
      <c r="AB160" s="450"/>
      <c r="AC160" s="450"/>
      <c r="AD160" s="450"/>
      <c r="AE160" s="450"/>
      <c r="AF160" s="450"/>
      <c r="AG160" s="450"/>
      <c r="AH160" s="450"/>
      <c r="AI160" s="450"/>
      <c r="AJ160" s="450"/>
      <c r="AK160" s="450"/>
      <c r="AL160" s="450"/>
      <c r="AM160" s="450"/>
      <c r="AN160" s="450"/>
      <c r="AO160" s="450"/>
      <c r="AP160" s="450"/>
      <c r="AQ160" s="450"/>
      <c r="AR160" s="450"/>
      <c r="AS160" s="450"/>
      <c r="AT160" s="450"/>
      <c r="AU160" s="450"/>
      <c r="AV160" s="450"/>
      <c r="AW160" s="450"/>
      <c r="AX160" s="450"/>
      <c r="AY160" s="450"/>
      <c r="AZ160" s="450"/>
      <c r="BA160" s="450"/>
      <c r="BB160" s="450"/>
      <c r="BC160" s="450"/>
      <c r="BD160" s="450"/>
      <c r="BE160" s="450"/>
      <c r="BF160" s="450"/>
      <c r="BG160" s="450"/>
      <c r="BH160" s="450"/>
      <c r="BI160" s="450"/>
      <c r="BJ160" s="450"/>
      <c r="BK160" s="450"/>
      <c r="BL160" s="450"/>
      <c r="BM160" s="450"/>
      <c r="BN160" s="450"/>
      <c r="BO160" s="450"/>
      <c r="BP160" s="450"/>
      <c r="BQ160" s="450"/>
      <c r="BR160" s="450"/>
      <c r="BS160" s="450"/>
      <c r="BT160" s="450"/>
      <c r="BU160" s="450"/>
      <c r="BV160" s="450"/>
      <c r="BW160" s="450"/>
      <c r="BX160" s="450"/>
      <c r="BY160" s="450"/>
      <c r="BZ160" s="450"/>
      <c r="CA160" s="450"/>
      <c r="CB160" s="450"/>
      <c r="CC160" s="450"/>
      <c r="CD160" s="450"/>
      <c r="CE160" s="450"/>
      <c r="CF160" s="450"/>
      <c r="CG160" s="450"/>
      <c r="CH160" s="450"/>
    </row>
    <row r="161">
      <c r="A161" s="450"/>
      <c r="B161" s="498"/>
      <c r="C161" s="455"/>
      <c r="D161" s="450"/>
      <c r="E161" s="450"/>
      <c r="F161" s="450"/>
      <c r="G161" s="450"/>
      <c r="H161" s="450"/>
      <c r="I161" s="450"/>
      <c r="J161" s="450"/>
      <c r="K161" s="450"/>
      <c r="L161" s="450"/>
      <c r="M161" s="450"/>
      <c r="N161" s="450"/>
      <c r="O161" s="450"/>
      <c r="P161" s="450"/>
      <c r="Q161" s="450"/>
      <c r="R161" s="450"/>
      <c r="S161" s="450"/>
      <c r="T161" s="450"/>
      <c r="U161" s="450"/>
      <c r="V161" s="450"/>
      <c r="W161" s="450"/>
      <c r="X161" s="450"/>
      <c r="Y161" s="450"/>
      <c r="Z161" s="450"/>
      <c r="AA161" s="450"/>
      <c r="AB161" s="450"/>
      <c r="AC161" s="450"/>
      <c r="AD161" s="450"/>
      <c r="AE161" s="450"/>
      <c r="AF161" s="450"/>
      <c r="AG161" s="450"/>
      <c r="AH161" s="450"/>
      <c r="AI161" s="450"/>
      <c r="AJ161" s="450"/>
      <c r="AK161" s="450"/>
      <c r="AL161" s="450"/>
      <c r="AM161" s="450"/>
      <c r="AN161" s="450"/>
      <c r="AO161" s="450"/>
      <c r="AP161" s="450"/>
      <c r="AQ161" s="450"/>
      <c r="AR161" s="450"/>
      <c r="AS161" s="450"/>
      <c r="AT161" s="450"/>
      <c r="AU161" s="450"/>
      <c r="AV161" s="450"/>
      <c r="AW161" s="450"/>
      <c r="AX161" s="450"/>
      <c r="AY161" s="450"/>
      <c r="AZ161" s="450"/>
      <c r="BA161" s="450"/>
      <c r="BB161" s="450"/>
      <c r="BC161" s="450"/>
      <c r="BD161" s="450"/>
      <c r="BE161" s="450"/>
      <c r="BF161" s="450"/>
      <c r="BG161" s="450"/>
      <c r="BH161" s="450"/>
      <c r="BI161" s="450"/>
      <c r="BJ161" s="450"/>
      <c r="BK161" s="450"/>
      <c r="BL161" s="450"/>
      <c r="BM161" s="450"/>
      <c r="BN161" s="450"/>
      <c r="BO161" s="450"/>
      <c r="BP161" s="450"/>
      <c r="BQ161" s="450"/>
      <c r="BR161" s="450"/>
      <c r="BS161" s="450"/>
      <c r="BT161" s="450"/>
      <c r="BU161" s="450"/>
      <c r="BV161" s="450"/>
      <c r="BW161" s="450"/>
      <c r="BX161" s="450"/>
      <c r="BY161" s="450"/>
      <c r="BZ161" s="450"/>
      <c r="CA161" s="450"/>
      <c r="CB161" s="450"/>
      <c r="CC161" s="450"/>
      <c r="CD161" s="450"/>
      <c r="CE161" s="450"/>
      <c r="CF161" s="450"/>
      <c r="CG161" s="450"/>
      <c r="CH161" s="450"/>
    </row>
    <row r="162">
      <c r="A162" s="450"/>
      <c r="B162" s="498"/>
      <c r="C162" s="455"/>
      <c r="D162" s="450"/>
      <c r="E162" s="450"/>
      <c r="F162" s="450"/>
      <c r="G162" s="450"/>
      <c r="H162" s="450"/>
      <c r="I162" s="450"/>
      <c r="J162" s="450"/>
      <c r="K162" s="450"/>
      <c r="L162" s="450"/>
      <c r="M162" s="450"/>
      <c r="N162" s="450"/>
      <c r="O162" s="450"/>
      <c r="P162" s="450"/>
      <c r="Q162" s="450"/>
      <c r="R162" s="450"/>
      <c r="S162" s="450"/>
      <c r="T162" s="450"/>
      <c r="U162" s="450"/>
      <c r="V162" s="450"/>
      <c r="W162" s="450"/>
      <c r="X162" s="450"/>
      <c r="Y162" s="450"/>
      <c r="Z162" s="450"/>
      <c r="AA162" s="450"/>
      <c r="AB162" s="450"/>
      <c r="AC162" s="450"/>
      <c r="AD162" s="450"/>
      <c r="AE162" s="450"/>
      <c r="AF162" s="450"/>
      <c r="AG162" s="450"/>
      <c r="AH162" s="450"/>
      <c r="AI162" s="450"/>
      <c r="AJ162" s="450"/>
      <c r="AK162" s="450"/>
      <c r="AL162" s="450"/>
      <c r="AM162" s="450"/>
      <c r="AN162" s="450"/>
      <c r="AO162" s="450"/>
      <c r="AP162" s="450"/>
      <c r="AQ162" s="450"/>
      <c r="AR162" s="450"/>
      <c r="AS162" s="450"/>
      <c r="AT162" s="450"/>
      <c r="AU162" s="450"/>
      <c r="AV162" s="450"/>
      <c r="AW162" s="450"/>
      <c r="AX162" s="450"/>
      <c r="AY162" s="450"/>
      <c r="AZ162" s="450"/>
      <c r="BA162" s="450"/>
      <c r="BB162" s="450"/>
      <c r="BC162" s="450"/>
      <c r="BD162" s="450"/>
      <c r="BE162" s="450"/>
      <c r="BF162" s="450"/>
      <c r="BG162" s="450"/>
      <c r="BH162" s="450"/>
      <c r="BI162" s="450"/>
      <c r="BJ162" s="450"/>
      <c r="BK162" s="450"/>
      <c r="BL162" s="450"/>
      <c r="BM162" s="450"/>
      <c r="BN162" s="450"/>
      <c r="BO162" s="450"/>
      <c r="BP162" s="450"/>
      <c r="BQ162" s="450"/>
      <c r="BR162" s="450"/>
      <c r="BS162" s="450"/>
      <c r="BT162" s="450"/>
      <c r="BU162" s="450"/>
      <c r="BV162" s="450"/>
      <c r="BW162" s="450"/>
      <c r="BX162" s="450"/>
      <c r="BY162" s="450"/>
      <c r="BZ162" s="450"/>
      <c r="CA162" s="450"/>
      <c r="CB162" s="450"/>
      <c r="CC162" s="450"/>
      <c r="CD162" s="450"/>
      <c r="CE162" s="450"/>
      <c r="CF162" s="450"/>
      <c r="CG162" s="450"/>
      <c r="CH162" s="450"/>
    </row>
    <row r="163">
      <c r="A163" s="450"/>
      <c r="B163" s="498"/>
      <c r="C163" s="455"/>
      <c r="D163" s="450"/>
      <c r="E163" s="450"/>
      <c r="F163" s="450"/>
      <c r="G163" s="450"/>
      <c r="H163" s="450"/>
      <c r="I163" s="450"/>
      <c r="J163" s="450"/>
      <c r="K163" s="450"/>
      <c r="L163" s="450"/>
      <c r="M163" s="450"/>
      <c r="N163" s="450"/>
      <c r="O163" s="450"/>
      <c r="P163" s="450"/>
      <c r="Q163" s="450"/>
      <c r="R163" s="450"/>
      <c r="S163" s="450"/>
      <c r="T163" s="450"/>
      <c r="U163" s="450"/>
      <c r="V163" s="450"/>
      <c r="W163" s="450"/>
      <c r="X163" s="450"/>
      <c r="Y163" s="450"/>
      <c r="Z163" s="450"/>
      <c r="AA163" s="450"/>
      <c r="AB163" s="450"/>
      <c r="AC163" s="450"/>
      <c r="AD163" s="450"/>
      <c r="AE163" s="450"/>
      <c r="AF163" s="450"/>
      <c r="AG163" s="450"/>
      <c r="AH163" s="450"/>
      <c r="AI163" s="450"/>
      <c r="AJ163" s="450"/>
      <c r="AK163" s="450"/>
      <c r="AL163" s="450"/>
      <c r="AM163" s="450"/>
      <c r="AN163" s="450"/>
      <c r="AO163" s="450"/>
      <c r="AP163" s="450"/>
      <c r="AQ163" s="450"/>
      <c r="AR163" s="450"/>
      <c r="AS163" s="450"/>
      <c r="AT163" s="450"/>
      <c r="AU163" s="450"/>
      <c r="AV163" s="450"/>
      <c r="AW163" s="450"/>
      <c r="AX163" s="450"/>
      <c r="AY163" s="450"/>
      <c r="AZ163" s="450"/>
      <c r="BA163" s="450"/>
      <c r="BB163" s="450"/>
      <c r="BC163" s="450"/>
      <c r="BD163" s="450"/>
      <c r="BE163" s="450"/>
      <c r="BF163" s="450"/>
      <c r="BG163" s="450"/>
      <c r="BH163" s="450"/>
      <c r="BI163" s="450"/>
      <c r="BJ163" s="450"/>
      <c r="BK163" s="450"/>
      <c r="BL163" s="450"/>
      <c r="BM163" s="450"/>
      <c r="BN163" s="450"/>
      <c r="BO163" s="450"/>
      <c r="BP163" s="450"/>
      <c r="BQ163" s="450"/>
      <c r="BR163" s="450"/>
      <c r="BS163" s="450"/>
      <c r="BT163" s="450"/>
      <c r="BU163" s="450"/>
      <c r="BV163" s="450"/>
      <c r="BW163" s="450"/>
      <c r="BX163" s="450"/>
      <c r="BY163" s="450"/>
      <c r="BZ163" s="450"/>
      <c r="CA163" s="450"/>
      <c r="CB163" s="450"/>
      <c r="CC163" s="450"/>
      <c r="CD163" s="450"/>
      <c r="CE163" s="450"/>
      <c r="CF163" s="450"/>
      <c r="CG163" s="450"/>
      <c r="CH163" s="450"/>
    </row>
    <row r="164">
      <c r="A164" s="450"/>
      <c r="B164" s="498"/>
      <c r="C164" s="455"/>
      <c r="D164" s="450"/>
      <c r="E164" s="450"/>
      <c r="F164" s="450"/>
      <c r="G164" s="450"/>
      <c r="H164" s="450"/>
      <c r="I164" s="450"/>
      <c r="J164" s="450"/>
      <c r="K164" s="450"/>
      <c r="L164" s="450"/>
      <c r="M164" s="450"/>
      <c r="N164" s="450"/>
      <c r="O164" s="450"/>
      <c r="P164" s="450"/>
      <c r="Q164" s="450"/>
      <c r="R164" s="450"/>
      <c r="S164" s="450"/>
      <c r="T164" s="450"/>
      <c r="U164" s="450"/>
      <c r="V164" s="450"/>
      <c r="W164" s="450"/>
      <c r="X164" s="450"/>
      <c r="Y164" s="450"/>
      <c r="Z164" s="450"/>
      <c r="AA164" s="450"/>
      <c r="AB164" s="450"/>
      <c r="AC164" s="450"/>
      <c r="AD164" s="450"/>
      <c r="AE164" s="450"/>
      <c r="AF164" s="450"/>
      <c r="AG164" s="450"/>
      <c r="AH164" s="450"/>
      <c r="AI164" s="450"/>
      <c r="AJ164" s="450"/>
      <c r="AK164" s="450"/>
      <c r="AL164" s="450"/>
      <c r="AM164" s="450"/>
      <c r="AN164" s="450"/>
      <c r="AO164" s="450"/>
      <c r="AP164" s="450"/>
      <c r="AQ164" s="450"/>
      <c r="AR164" s="450"/>
      <c r="AS164" s="450"/>
      <c r="AT164" s="450"/>
      <c r="AU164" s="450"/>
      <c r="AV164" s="450"/>
      <c r="AW164" s="450"/>
      <c r="AX164" s="450"/>
      <c r="AY164" s="450"/>
      <c r="AZ164" s="450"/>
      <c r="BA164" s="450"/>
      <c r="BB164" s="450"/>
      <c r="BC164" s="450"/>
      <c r="BD164" s="450"/>
      <c r="BE164" s="450"/>
      <c r="BF164" s="450"/>
      <c r="BG164" s="450"/>
      <c r="BH164" s="450"/>
      <c r="BI164" s="450"/>
      <c r="BJ164" s="450"/>
      <c r="BK164" s="450"/>
      <c r="BL164" s="450"/>
      <c r="BM164" s="450"/>
      <c r="BN164" s="450"/>
      <c r="BO164" s="450"/>
      <c r="BP164" s="450"/>
      <c r="BQ164" s="450"/>
      <c r="BR164" s="450"/>
      <c r="BS164" s="450"/>
      <c r="BT164" s="450"/>
      <c r="BU164" s="450"/>
      <c r="BV164" s="450"/>
      <c r="BW164" s="450"/>
      <c r="BX164" s="450"/>
      <c r="BY164" s="450"/>
      <c r="BZ164" s="450"/>
      <c r="CA164" s="450"/>
      <c r="CB164" s="450"/>
      <c r="CC164" s="450"/>
      <c r="CD164" s="450"/>
      <c r="CE164" s="450"/>
      <c r="CF164" s="450"/>
      <c r="CG164" s="450"/>
      <c r="CH164" s="450"/>
    </row>
    <row r="165">
      <c r="A165" s="450"/>
      <c r="B165" s="498"/>
      <c r="C165" s="455"/>
      <c r="D165" s="450"/>
      <c r="E165" s="450"/>
      <c r="F165" s="450"/>
      <c r="G165" s="450"/>
      <c r="H165" s="450"/>
      <c r="I165" s="450"/>
      <c r="J165" s="450"/>
      <c r="K165" s="450"/>
      <c r="L165" s="450"/>
      <c r="M165" s="450"/>
      <c r="N165" s="450"/>
      <c r="O165" s="450"/>
      <c r="P165" s="450"/>
      <c r="Q165" s="450"/>
      <c r="R165" s="450"/>
      <c r="S165" s="450"/>
      <c r="T165" s="450"/>
      <c r="U165" s="450"/>
      <c r="V165" s="450"/>
      <c r="W165" s="450"/>
      <c r="X165" s="450"/>
      <c r="Y165" s="450"/>
      <c r="Z165" s="450"/>
      <c r="AA165" s="450"/>
      <c r="AB165" s="450"/>
      <c r="AC165" s="450"/>
      <c r="AD165" s="450"/>
      <c r="AE165" s="450"/>
      <c r="AF165" s="450"/>
      <c r="AG165" s="450"/>
      <c r="AH165" s="450"/>
      <c r="AI165" s="450"/>
      <c r="AJ165" s="450"/>
      <c r="AK165" s="450"/>
      <c r="AL165" s="450"/>
      <c r="AM165" s="450"/>
      <c r="AN165" s="450"/>
      <c r="AO165" s="450"/>
      <c r="AP165" s="450"/>
      <c r="AQ165" s="450"/>
      <c r="AR165" s="450"/>
      <c r="AS165" s="450"/>
      <c r="AT165" s="450"/>
      <c r="AU165" s="450"/>
      <c r="AV165" s="450"/>
      <c r="AW165" s="450"/>
      <c r="AX165" s="450"/>
      <c r="AY165" s="450"/>
      <c r="AZ165" s="450"/>
      <c r="BA165" s="450"/>
      <c r="BB165" s="450"/>
      <c r="BC165" s="450"/>
      <c r="BD165" s="450"/>
      <c r="BE165" s="450"/>
      <c r="BF165" s="450"/>
      <c r="BG165" s="450"/>
      <c r="BH165" s="450"/>
      <c r="BI165" s="450"/>
      <c r="BJ165" s="450"/>
      <c r="BK165" s="450"/>
      <c r="BL165" s="450"/>
      <c r="BM165" s="450"/>
      <c r="BN165" s="450"/>
      <c r="BO165" s="450"/>
      <c r="BP165" s="450"/>
      <c r="BQ165" s="450"/>
      <c r="BR165" s="450"/>
      <c r="BS165" s="450"/>
      <c r="BT165" s="450"/>
      <c r="BU165" s="450"/>
      <c r="BV165" s="450"/>
      <c r="BW165" s="450"/>
      <c r="BX165" s="450"/>
      <c r="BY165" s="450"/>
      <c r="BZ165" s="450"/>
      <c r="CA165" s="450"/>
      <c r="CB165" s="450"/>
      <c r="CC165" s="450"/>
      <c r="CD165" s="450"/>
      <c r="CE165" s="450"/>
      <c r="CF165" s="450"/>
      <c r="CG165" s="450"/>
      <c r="CH165" s="450"/>
    </row>
    <row r="166">
      <c r="A166" s="450"/>
      <c r="B166" s="498"/>
      <c r="C166" s="455"/>
      <c r="D166" s="450"/>
      <c r="E166" s="450"/>
      <c r="F166" s="450"/>
      <c r="G166" s="450"/>
      <c r="H166" s="450"/>
      <c r="I166" s="450"/>
      <c r="J166" s="450"/>
      <c r="K166" s="450"/>
      <c r="L166" s="450"/>
      <c r="M166" s="450"/>
      <c r="N166" s="450"/>
      <c r="O166" s="450"/>
      <c r="P166" s="450"/>
      <c r="Q166" s="450"/>
      <c r="R166" s="450"/>
      <c r="S166" s="450"/>
      <c r="T166" s="450"/>
      <c r="U166" s="450"/>
      <c r="V166" s="450"/>
      <c r="W166" s="450"/>
      <c r="X166" s="450"/>
      <c r="Y166" s="450"/>
      <c r="Z166" s="450"/>
      <c r="AA166" s="450"/>
      <c r="AB166" s="450"/>
      <c r="AC166" s="450"/>
      <c r="AD166" s="450"/>
      <c r="AE166" s="450"/>
      <c r="AF166" s="450"/>
      <c r="AG166" s="450"/>
      <c r="AH166" s="450"/>
      <c r="AI166" s="450"/>
      <c r="AJ166" s="450"/>
      <c r="AK166" s="450"/>
      <c r="AL166" s="450"/>
      <c r="AM166" s="450"/>
      <c r="AN166" s="450"/>
      <c r="AO166" s="450"/>
      <c r="AP166" s="450"/>
      <c r="AQ166" s="450"/>
      <c r="AR166" s="450"/>
      <c r="AS166" s="450"/>
      <c r="AT166" s="450"/>
      <c r="AU166" s="450"/>
      <c r="AV166" s="450"/>
      <c r="AW166" s="450"/>
      <c r="AX166" s="450"/>
      <c r="AY166" s="450"/>
      <c r="AZ166" s="450"/>
      <c r="BA166" s="450"/>
      <c r="BB166" s="450"/>
      <c r="BC166" s="450"/>
      <c r="BD166" s="450"/>
      <c r="BE166" s="450"/>
      <c r="BF166" s="450"/>
      <c r="BG166" s="450"/>
      <c r="BH166" s="450"/>
      <c r="BI166" s="450"/>
      <c r="BJ166" s="450"/>
      <c r="BK166" s="450"/>
      <c r="BL166" s="450"/>
      <c r="BM166" s="450"/>
      <c r="BN166" s="450"/>
      <c r="BO166" s="450"/>
      <c r="BP166" s="450"/>
      <c r="BQ166" s="450"/>
      <c r="BR166" s="450"/>
      <c r="BS166" s="450"/>
      <c r="BT166" s="450"/>
      <c r="BU166" s="450"/>
      <c r="BV166" s="450"/>
      <c r="BW166" s="450"/>
      <c r="BX166" s="450"/>
      <c r="BY166" s="450"/>
      <c r="BZ166" s="450"/>
      <c r="CA166" s="450"/>
      <c r="CB166" s="450"/>
      <c r="CC166" s="450"/>
      <c r="CD166" s="450"/>
      <c r="CE166" s="450"/>
      <c r="CF166" s="450"/>
      <c r="CG166" s="450"/>
      <c r="CH166" s="450"/>
    </row>
    <row r="167">
      <c r="A167" s="450"/>
      <c r="B167" s="498"/>
      <c r="C167" s="455"/>
      <c r="D167" s="450"/>
      <c r="E167" s="450"/>
      <c r="F167" s="450"/>
      <c r="G167" s="450"/>
      <c r="H167" s="450"/>
      <c r="I167" s="450"/>
      <c r="J167" s="450"/>
      <c r="K167" s="450"/>
      <c r="L167" s="450"/>
      <c r="M167" s="450"/>
      <c r="N167" s="450"/>
      <c r="O167" s="450"/>
      <c r="P167" s="450"/>
      <c r="Q167" s="450"/>
      <c r="R167" s="450"/>
      <c r="S167" s="450"/>
      <c r="T167" s="450"/>
      <c r="U167" s="450"/>
      <c r="V167" s="450"/>
      <c r="W167" s="450"/>
      <c r="X167" s="450"/>
      <c r="Y167" s="450"/>
      <c r="Z167" s="450"/>
      <c r="AA167" s="450"/>
      <c r="AB167" s="450"/>
      <c r="AC167" s="450"/>
      <c r="AD167" s="450"/>
      <c r="AE167" s="450"/>
      <c r="AF167" s="450"/>
      <c r="AG167" s="450"/>
      <c r="AH167" s="450"/>
      <c r="AI167" s="450"/>
      <c r="AJ167" s="450"/>
      <c r="AK167" s="450"/>
      <c r="AL167" s="450"/>
      <c r="AM167" s="450"/>
      <c r="AN167" s="450"/>
      <c r="AO167" s="450"/>
      <c r="AP167" s="450"/>
      <c r="AQ167" s="450"/>
      <c r="AR167" s="450"/>
      <c r="AS167" s="450"/>
      <c r="AT167" s="450"/>
      <c r="AU167" s="450"/>
      <c r="AV167" s="450"/>
      <c r="AW167" s="450"/>
      <c r="AX167" s="450"/>
      <c r="AY167" s="450"/>
      <c r="AZ167" s="450"/>
      <c r="BA167" s="450"/>
      <c r="BB167" s="450"/>
      <c r="BC167" s="450"/>
      <c r="BD167" s="450"/>
      <c r="BE167" s="450"/>
      <c r="BF167" s="450"/>
      <c r="BG167" s="450"/>
      <c r="BH167" s="450"/>
      <c r="BI167" s="450"/>
      <c r="BJ167" s="450"/>
      <c r="BK167" s="450"/>
      <c r="BL167" s="450"/>
      <c r="BM167" s="450"/>
      <c r="BN167" s="450"/>
      <c r="BO167" s="450"/>
      <c r="BP167" s="450"/>
      <c r="BQ167" s="450"/>
      <c r="BR167" s="450"/>
      <c r="BS167" s="450"/>
      <c r="BT167" s="450"/>
      <c r="BU167" s="450"/>
      <c r="BV167" s="450"/>
      <c r="BW167" s="450"/>
      <c r="BX167" s="450"/>
      <c r="BY167" s="450"/>
      <c r="BZ167" s="450"/>
      <c r="CA167" s="450"/>
      <c r="CB167" s="450"/>
      <c r="CC167" s="450"/>
      <c r="CD167" s="450"/>
      <c r="CE167" s="450"/>
      <c r="CF167" s="450"/>
      <c r="CG167" s="450"/>
      <c r="CH167" s="450"/>
    </row>
    <row r="168">
      <c r="A168" s="450"/>
      <c r="B168" s="498"/>
      <c r="C168" s="455"/>
      <c r="D168" s="450"/>
      <c r="E168" s="450"/>
      <c r="F168" s="450"/>
      <c r="G168" s="450"/>
      <c r="H168" s="450"/>
      <c r="I168" s="450"/>
      <c r="J168" s="450"/>
      <c r="K168" s="450"/>
      <c r="L168" s="450"/>
      <c r="M168" s="450"/>
      <c r="N168" s="450"/>
      <c r="O168" s="450"/>
      <c r="P168" s="450"/>
      <c r="Q168" s="450"/>
      <c r="R168" s="450"/>
      <c r="S168" s="450"/>
      <c r="T168" s="450"/>
      <c r="U168" s="450"/>
      <c r="V168" s="450"/>
      <c r="W168" s="450"/>
      <c r="X168" s="450"/>
      <c r="Y168" s="450"/>
      <c r="Z168" s="450"/>
      <c r="AA168" s="450"/>
      <c r="AB168" s="450"/>
      <c r="AC168" s="450"/>
      <c r="AD168" s="450"/>
      <c r="AE168" s="450"/>
      <c r="AF168" s="450"/>
      <c r="AG168" s="450"/>
      <c r="AH168" s="450"/>
      <c r="AI168" s="450"/>
      <c r="AJ168" s="450"/>
      <c r="AK168" s="450"/>
      <c r="AL168" s="450"/>
      <c r="AM168" s="450"/>
      <c r="AN168" s="450"/>
      <c r="AO168" s="450"/>
      <c r="AP168" s="450"/>
      <c r="AQ168" s="450"/>
      <c r="AR168" s="450"/>
      <c r="AS168" s="450"/>
      <c r="AT168" s="450"/>
      <c r="AU168" s="450"/>
      <c r="AV168" s="450"/>
      <c r="AW168" s="450"/>
      <c r="AX168" s="450"/>
      <c r="AY168" s="450"/>
      <c r="AZ168" s="450"/>
      <c r="BA168" s="450"/>
      <c r="BB168" s="450"/>
      <c r="BC168" s="450"/>
      <c r="BD168" s="450"/>
      <c r="BE168" s="450"/>
      <c r="BF168" s="450"/>
      <c r="BG168" s="450"/>
      <c r="BH168" s="450"/>
      <c r="BI168" s="450"/>
      <c r="BJ168" s="450"/>
      <c r="BK168" s="450"/>
      <c r="BL168" s="450"/>
      <c r="BM168" s="450"/>
      <c r="BN168" s="450"/>
      <c r="BO168" s="450"/>
      <c r="BP168" s="450"/>
      <c r="BQ168" s="450"/>
      <c r="BR168" s="450"/>
      <c r="BS168" s="450"/>
      <c r="BT168" s="450"/>
      <c r="BU168" s="450"/>
      <c r="BV168" s="450"/>
      <c r="BW168" s="450"/>
      <c r="BX168" s="450"/>
      <c r="BY168" s="450"/>
      <c r="BZ168" s="450"/>
      <c r="CA168" s="450"/>
      <c r="CB168" s="450"/>
      <c r="CC168" s="450"/>
      <c r="CD168" s="450"/>
      <c r="CE168" s="450"/>
      <c r="CF168" s="450"/>
      <c r="CG168" s="450"/>
      <c r="CH168" s="450"/>
    </row>
    <row r="169">
      <c r="A169" s="450"/>
      <c r="B169" s="498"/>
      <c r="C169" s="455"/>
      <c r="D169" s="450"/>
      <c r="E169" s="450"/>
      <c r="F169" s="450"/>
      <c r="G169" s="450"/>
      <c r="H169" s="450"/>
      <c r="I169" s="450"/>
      <c r="J169" s="450"/>
      <c r="K169" s="450"/>
      <c r="L169" s="450"/>
      <c r="M169" s="450"/>
      <c r="N169" s="450"/>
      <c r="O169" s="450"/>
      <c r="P169" s="450"/>
      <c r="Q169" s="450"/>
      <c r="R169" s="450"/>
      <c r="S169" s="450"/>
      <c r="T169" s="450"/>
      <c r="U169" s="450"/>
      <c r="V169" s="450"/>
      <c r="W169" s="450"/>
      <c r="X169" s="450"/>
      <c r="Y169" s="450"/>
      <c r="Z169" s="450"/>
      <c r="AA169" s="450"/>
      <c r="AB169" s="450"/>
      <c r="AC169" s="450"/>
      <c r="AD169" s="450"/>
      <c r="AE169" s="450"/>
      <c r="AF169" s="450"/>
      <c r="AG169" s="450"/>
      <c r="AH169" s="450"/>
      <c r="AI169" s="450"/>
      <c r="AJ169" s="450"/>
      <c r="AK169" s="450"/>
      <c r="AL169" s="450"/>
      <c r="AM169" s="450"/>
      <c r="AN169" s="450"/>
      <c r="AO169" s="450"/>
      <c r="AP169" s="450"/>
      <c r="AQ169" s="450"/>
      <c r="AR169" s="450"/>
      <c r="AS169" s="450"/>
      <c r="AT169" s="450"/>
      <c r="AU169" s="450"/>
      <c r="AV169" s="450"/>
      <c r="AW169" s="450"/>
      <c r="AX169" s="450"/>
      <c r="AY169" s="450"/>
      <c r="AZ169" s="450"/>
      <c r="BA169" s="450"/>
      <c r="BB169" s="450"/>
      <c r="BC169" s="450"/>
      <c r="BD169" s="450"/>
      <c r="BE169" s="450"/>
      <c r="BF169" s="450"/>
      <c r="BG169" s="450"/>
      <c r="BH169" s="450"/>
      <c r="BI169" s="450"/>
      <c r="BJ169" s="450"/>
      <c r="BK169" s="450"/>
      <c r="BL169" s="450"/>
      <c r="BM169" s="450"/>
      <c r="BN169" s="450"/>
      <c r="BO169" s="450"/>
      <c r="BP169" s="450"/>
      <c r="BQ169" s="450"/>
      <c r="BR169" s="450"/>
      <c r="BS169" s="450"/>
      <c r="BT169" s="450"/>
      <c r="BU169" s="450"/>
      <c r="BV169" s="450"/>
      <c r="BW169" s="450"/>
      <c r="BX169" s="450"/>
      <c r="BY169" s="450"/>
      <c r="BZ169" s="450"/>
      <c r="CA169" s="450"/>
      <c r="CB169" s="450"/>
      <c r="CC169" s="450"/>
      <c r="CD169" s="450"/>
      <c r="CE169" s="450"/>
      <c r="CF169" s="450"/>
      <c r="CG169" s="450"/>
      <c r="CH169" s="450"/>
    </row>
    <row r="170">
      <c r="A170" s="450"/>
      <c r="B170" s="498"/>
      <c r="C170" s="455"/>
      <c r="D170" s="450"/>
      <c r="E170" s="450"/>
      <c r="F170" s="450"/>
      <c r="G170" s="450"/>
      <c r="H170" s="450"/>
      <c r="I170" s="450"/>
      <c r="J170" s="450"/>
      <c r="K170" s="450"/>
      <c r="L170" s="450"/>
      <c r="M170" s="450"/>
      <c r="N170" s="450"/>
      <c r="O170" s="450"/>
      <c r="P170" s="450"/>
      <c r="Q170" s="450"/>
      <c r="R170" s="450"/>
      <c r="S170" s="450"/>
      <c r="T170" s="450"/>
      <c r="U170" s="450"/>
      <c r="V170" s="450"/>
      <c r="W170" s="450"/>
      <c r="X170" s="450"/>
      <c r="Y170" s="450"/>
      <c r="Z170" s="450"/>
      <c r="AA170" s="450"/>
      <c r="AB170" s="450"/>
      <c r="AC170" s="450"/>
      <c r="AD170" s="450"/>
      <c r="AE170" s="450"/>
      <c r="AF170" s="450"/>
      <c r="AG170" s="450"/>
      <c r="AH170" s="450"/>
      <c r="AI170" s="450"/>
      <c r="AJ170" s="450"/>
      <c r="AK170" s="450"/>
      <c r="AL170" s="450"/>
      <c r="AM170" s="450"/>
      <c r="AN170" s="450"/>
      <c r="AO170" s="450"/>
      <c r="AP170" s="450"/>
      <c r="AQ170" s="450"/>
      <c r="AR170" s="450"/>
      <c r="AS170" s="450"/>
      <c r="AT170" s="450"/>
      <c r="AU170" s="450"/>
      <c r="AV170" s="450"/>
      <c r="AW170" s="450"/>
      <c r="AX170" s="450"/>
      <c r="AY170" s="450"/>
      <c r="AZ170" s="450"/>
      <c r="BA170" s="450"/>
      <c r="BB170" s="450"/>
      <c r="BC170" s="450"/>
      <c r="BD170" s="450"/>
      <c r="BE170" s="450"/>
      <c r="BF170" s="450"/>
      <c r="BG170" s="450"/>
      <c r="BH170" s="450"/>
      <c r="BI170" s="450"/>
      <c r="BJ170" s="450"/>
      <c r="BK170" s="450"/>
      <c r="BL170" s="450"/>
      <c r="BM170" s="450"/>
      <c r="BN170" s="450"/>
      <c r="BO170" s="450"/>
      <c r="BP170" s="450"/>
      <c r="BQ170" s="450"/>
      <c r="BR170" s="450"/>
      <c r="BS170" s="450"/>
      <c r="BT170" s="450"/>
      <c r="BU170" s="450"/>
      <c r="BV170" s="450"/>
      <c r="BW170" s="450"/>
      <c r="BX170" s="450"/>
      <c r="BY170" s="450"/>
      <c r="BZ170" s="450"/>
      <c r="CA170" s="450"/>
      <c r="CB170" s="450"/>
      <c r="CC170" s="450"/>
      <c r="CD170" s="450"/>
      <c r="CE170" s="450"/>
      <c r="CF170" s="450"/>
      <c r="CG170" s="450"/>
      <c r="CH170" s="450"/>
    </row>
    <row r="171">
      <c r="A171" s="450"/>
      <c r="B171" s="498"/>
      <c r="C171" s="455"/>
      <c r="D171" s="450"/>
      <c r="E171" s="450"/>
      <c r="F171" s="450"/>
      <c r="G171" s="450"/>
      <c r="H171" s="450"/>
      <c r="I171" s="450"/>
      <c r="J171" s="450"/>
      <c r="K171" s="450"/>
      <c r="L171" s="450"/>
      <c r="M171" s="450"/>
      <c r="N171" s="450"/>
      <c r="O171" s="450"/>
      <c r="P171" s="450"/>
      <c r="Q171" s="450"/>
      <c r="R171" s="450"/>
      <c r="S171" s="450"/>
      <c r="T171" s="450"/>
      <c r="U171" s="450"/>
      <c r="V171" s="450"/>
      <c r="W171" s="450"/>
      <c r="X171" s="450"/>
      <c r="Y171" s="450"/>
      <c r="Z171" s="450"/>
      <c r="AA171" s="450"/>
      <c r="AB171" s="450"/>
      <c r="AC171" s="450"/>
      <c r="AD171" s="450"/>
      <c r="AE171" s="450"/>
      <c r="AF171" s="450"/>
      <c r="AG171" s="450"/>
      <c r="AH171" s="450"/>
      <c r="AI171" s="450"/>
      <c r="AJ171" s="450"/>
      <c r="AK171" s="450"/>
      <c r="AL171" s="450"/>
      <c r="AM171" s="450"/>
      <c r="AN171" s="450"/>
      <c r="AO171" s="450"/>
      <c r="AP171" s="450"/>
      <c r="AQ171" s="450"/>
      <c r="AR171" s="450"/>
      <c r="AS171" s="450"/>
      <c r="AT171" s="450"/>
      <c r="AU171" s="450"/>
      <c r="AV171" s="450"/>
      <c r="AW171" s="450"/>
      <c r="AX171" s="450"/>
      <c r="AY171" s="450"/>
      <c r="AZ171" s="450"/>
      <c r="BA171" s="450"/>
      <c r="BB171" s="450"/>
      <c r="BC171" s="450"/>
      <c r="BD171" s="450"/>
      <c r="BE171" s="450"/>
      <c r="BF171" s="450"/>
      <c r="BG171" s="450"/>
      <c r="BH171" s="450"/>
      <c r="BI171" s="450"/>
      <c r="BJ171" s="450"/>
      <c r="BK171" s="450"/>
      <c r="BL171" s="450"/>
      <c r="BM171" s="450"/>
      <c r="BN171" s="450"/>
      <c r="BO171" s="450"/>
      <c r="BP171" s="450"/>
      <c r="BQ171" s="450"/>
      <c r="BR171" s="450"/>
      <c r="BS171" s="450"/>
      <c r="BT171" s="450"/>
      <c r="BU171" s="450"/>
      <c r="BV171" s="450"/>
      <c r="BW171" s="450"/>
      <c r="BX171" s="450"/>
      <c r="BY171" s="450"/>
      <c r="BZ171" s="450"/>
      <c r="CA171" s="450"/>
      <c r="CB171" s="450"/>
      <c r="CC171" s="450"/>
      <c r="CD171" s="450"/>
      <c r="CE171" s="450"/>
      <c r="CF171" s="450"/>
      <c r="CG171" s="450"/>
      <c r="CH171" s="450"/>
    </row>
    <row r="172">
      <c r="A172" s="450"/>
      <c r="B172" s="498"/>
      <c r="C172" s="455"/>
      <c r="D172" s="450"/>
      <c r="E172" s="450"/>
      <c r="F172" s="450"/>
      <c r="G172" s="450"/>
      <c r="H172" s="450"/>
      <c r="I172" s="450"/>
      <c r="J172" s="450"/>
      <c r="K172" s="450"/>
      <c r="L172" s="450"/>
      <c r="M172" s="450"/>
      <c r="N172" s="450"/>
      <c r="O172" s="450"/>
      <c r="P172" s="450"/>
      <c r="Q172" s="450"/>
      <c r="R172" s="450"/>
      <c r="S172" s="450"/>
      <c r="T172" s="450"/>
      <c r="U172" s="450"/>
      <c r="V172" s="450"/>
      <c r="W172" s="450"/>
      <c r="X172" s="450"/>
      <c r="Y172" s="450"/>
      <c r="Z172" s="450"/>
      <c r="AA172" s="450"/>
      <c r="AB172" s="450"/>
      <c r="AC172" s="450"/>
      <c r="AD172" s="450"/>
      <c r="AE172" s="450"/>
      <c r="AF172" s="450"/>
      <c r="AG172" s="450"/>
      <c r="AH172" s="450"/>
      <c r="AI172" s="450"/>
      <c r="AJ172" s="450"/>
      <c r="AK172" s="450"/>
      <c r="AL172" s="450"/>
      <c r="AM172" s="450"/>
      <c r="AN172" s="450"/>
      <c r="AO172" s="450"/>
      <c r="AP172" s="450"/>
      <c r="AQ172" s="450"/>
      <c r="AR172" s="450"/>
      <c r="AS172" s="450"/>
      <c r="AT172" s="450"/>
      <c r="AU172" s="450"/>
      <c r="AV172" s="450"/>
      <c r="AW172" s="450"/>
      <c r="AX172" s="450"/>
      <c r="AY172" s="450"/>
      <c r="AZ172" s="450"/>
      <c r="BA172" s="450"/>
      <c r="BB172" s="450"/>
      <c r="BC172" s="450"/>
      <c r="BD172" s="450"/>
      <c r="BE172" s="450"/>
      <c r="BF172" s="450"/>
      <c r="BG172" s="450"/>
      <c r="BH172" s="450"/>
      <c r="BI172" s="450"/>
      <c r="BJ172" s="450"/>
      <c r="BK172" s="450"/>
      <c r="BL172" s="450"/>
      <c r="BM172" s="450"/>
      <c r="BN172" s="450"/>
      <c r="BO172" s="450"/>
      <c r="BP172" s="450"/>
      <c r="BQ172" s="450"/>
      <c r="BR172" s="450"/>
      <c r="BS172" s="450"/>
      <c r="BT172" s="450"/>
      <c r="BU172" s="450"/>
      <c r="BV172" s="450"/>
      <c r="BW172" s="450"/>
      <c r="BX172" s="450"/>
      <c r="BY172" s="450"/>
      <c r="BZ172" s="450"/>
      <c r="CA172" s="450"/>
      <c r="CB172" s="450"/>
      <c r="CC172" s="450"/>
      <c r="CD172" s="450"/>
      <c r="CE172" s="450"/>
      <c r="CF172" s="450"/>
      <c r="CG172" s="450"/>
      <c r="CH172" s="450"/>
    </row>
    <row r="173">
      <c r="A173" s="450"/>
      <c r="B173" s="498"/>
      <c r="C173" s="455"/>
      <c r="D173" s="450"/>
      <c r="E173" s="450"/>
      <c r="F173" s="450"/>
      <c r="G173" s="450"/>
      <c r="H173" s="450"/>
      <c r="I173" s="450"/>
      <c r="J173" s="450"/>
      <c r="K173" s="450"/>
      <c r="L173" s="450"/>
      <c r="M173" s="450"/>
      <c r="N173" s="450"/>
      <c r="O173" s="450"/>
      <c r="P173" s="450"/>
      <c r="Q173" s="450"/>
      <c r="R173" s="450"/>
      <c r="S173" s="450"/>
      <c r="T173" s="450"/>
      <c r="U173" s="450"/>
      <c r="V173" s="450"/>
      <c r="W173" s="450"/>
      <c r="X173" s="450"/>
      <c r="Y173" s="450"/>
      <c r="Z173" s="450"/>
      <c r="AA173" s="450"/>
      <c r="AB173" s="450"/>
      <c r="AC173" s="450"/>
      <c r="AD173" s="450"/>
      <c r="AE173" s="450"/>
      <c r="AF173" s="450"/>
      <c r="AG173" s="450"/>
      <c r="AH173" s="450"/>
      <c r="AI173" s="450"/>
      <c r="AJ173" s="450"/>
      <c r="AK173" s="450"/>
      <c r="AL173" s="450"/>
      <c r="AM173" s="450"/>
      <c r="AN173" s="450"/>
      <c r="AO173" s="450"/>
      <c r="AP173" s="450"/>
      <c r="AQ173" s="450"/>
      <c r="AR173" s="450"/>
      <c r="AS173" s="450"/>
      <c r="AT173" s="450"/>
      <c r="AU173" s="450"/>
      <c r="AV173" s="450"/>
      <c r="AW173" s="450"/>
      <c r="AX173" s="450"/>
      <c r="AY173" s="450"/>
      <c r="AZ173" s="450"/>
      <c r="BA173" s="450"/>
      <c r="BB173" s="450"/>
      <c r="BC173" s="450"/>
      <c r="BD173" s="450"/>
      <c r="BE173" s="450"/>
      <c r="BF173" s="450"/>
      <c r="BG173" s="450"/>
      <c r="BH173" s="450"/>
      <c r="BI173" s="450"/>
      <c r="BJ173" s="450"/>
      <c r="BK173" s="450"/>
      <c r="BL173" s="450"/>
      <c r="BM173" s="450"/>
      <c r="BN173" s="450"/>
      <c r="BO173" s="450"/>
      <c r="BP173" s="450"/>
      <c r="BQ173" s="450"/>
      <c r="BR173" s="450"/>
      <c r="BS173" s="450"/>
      <c r="BT173" s="450"/>
      <c r="BU173" s="450"/>
      <c r="BV173" s="450"/>
      <c r="BW173" s="450"/>
      <c r="BX173" s="450"/>
      <c r="BY173" s="450"/>
      <c r="BZ173" s="450"/>
      <c r="CA173" s="450"/>
      <c r="CB173" s="450"/>
      <c r="CC173" s="450"/>
      <c r="CD173" s="450"/>
      <c r="CE173" s="450"/>
      <c r="CF173" s="450"/>
      <c r="CG173" s="450"/>
      <c r="CH173" s="450"/>
    </row>
    <row r="174">
      <c r="A174" s="450"/>
      <c r="B174" s="498"/>
      <c r="C174" s="455"/>
      <c r="D174" s="450"/>
      <c r="E174" s="450"/>
      <c r="F174" s="450"/>
      <c r="G174" s="450"/>
      <c r="H174" s="450"/>
      <c r="I174" s="450"/>
      <c r="J174" s="450"/>
      <c r="K174" s="450"/>
      <c r="L174" s="450"/>
      <c r="M174" s="450"/>
      <c r="N174" s="450"/>
      <c r="O174" s="450"/>
      <c r="P174" s="450"/>
      <c r="Q174" s="450"/>
      <c r="R174" s="450"/>
      <c r="S174" s="450"/>
      <c r="T174" s="450"/>
      <c r="U174" s="450"/>
      <c r="V174" s="450"/>
      <c r="W174" s="450"/>
      <c r="X174" s="450"/>
      <c r="Y174" s="450"/>
      <c r="Z174" s="450"/>
      <c r="AA174" s="450"/>
      <c r="AB174" s="450"/>
      <c r="AC174" s="450"/>
      <c r="AD174" s="450"/>
      <c r="AE174" s="450"/>
      <c r="AF174" s="450"/>
      <c r="AG174" s="450"/>
      <c r="AH174" s="450"/>
      <c r="AI174" s="450"/>
      <c r="AJ174" s="450"/>
      <c r="AK174" s="450"/>
      <c r="AL174" s="450"/>
      <c r="AM174" s="450"/>
      <c r="AN174" s="450"/>
      <c r="AO174" s="450"/>
      <c r="AP174" s="450"/>
      <c r="AQ174" s="450"/>
      <c r="AR174" s="450"/>
      <c r="AS174" s="450"/>
      <c r="AT174" s="450"/>
      <c r="AU174" s="450"/>
      <c r="AV174" s="450"/>
      <c r="AW174" s="450"/>
      <c r="AX174" s="450"/>
      <c r="AY174" s="450"/>
      <c r="AZ174" s="450"/>
      <c r="BA174" s="450"/>
      <c r="BB174" s="450"/>
      <c r="BC174" s="450"/>
      <c r="BD174" s="450"/>
      <c r="BE174" s="450"/>
      <c r="BF174" s="450"/>
      <c r="BG174" s="450"/>
      <c r="BH174" s="450"/>
      <c r="BI174" s="450"/>
      <c r="BJ174" s="450"/>
      <c r="BK174" s="450"/>
      <c r="BL174" s="450"/>
      <c r="BM174" s="450"/>
      <c r="BN174" s="450"/>
      <c r="BO174" s="450"/>
      <c r="BP174" s="450"/>
      <c r="BQ174" s="450"/>
      <c r="BR174" s="450"/>
      <c r="BS174" s="450"/>
      <c r="BT174" s="450"/>
      <c r="BU174" s="450"/>
      <c r="BV174" s="450"/>
      <c r="BW174" s="450"/>
      <c r="BX174" s="450"/>
      <c r="BY174" s="450"/>
      <c r="BZ174" s="450"/>
      <c r="CA174" s="450"/>
      <c r="CB174" s="450"/>
      <c r="CC174" s="450"/>
      <c r="CD174" s="450"/>
      <c r="CE174" s="450"/>
      <c r="CF174" s="450"/>
      <c r="CG174" s="450"/>
      <c r="CH174" s="450"/>
    </row>
    <row r="175">
      <c r="A175" s="450"/>
      <c r="B175" s="498"/>
      <c r="C175" s="455"/>
      <c r="D175" s="450"/>
      <c r="E175" s="450"/>
      <c r="F175" s="450"/>
      <c r="G175" s="450"/>
      <c r="H175" s="450"/>
      <c r="I175" s="450"/>
      <c r="J175" s="450"/>
      <c r="K175" s="450"/>
      <c r="L175" s="450"/>
      <c r="M175" s="450"/>
      <c r="N175" s="450"/>
      <c r="O175" s="450"/>
      <c r="P175" s="450"/>
      <c r="Q175" s="450"/>
      <c r="R175" s="450"/>
      <c r="S175" s="450"/>
      <c r="T175" s="450"/>
      <c r="U175" s="450"/>
      <c r="V175" s="450"/>
      <c r="W175" s="450"/>
      <c r="X175" s="450"/>
      <c r="Y175" s="450"/>
      <c r="Z175" s="450"/>
      <c r="AA175" s="450"/>
      <c r="AB175" s="450"/>
      <c r="AC175" s="450"/>
      <c r="AD175" s="450"/>
      <c r="AE175" s="450"/>
      <c r="AF175" s="450"/>
      <c r="AG175" s="450"/>
      <c r="AH175" s="450"/>
      <c r="AI175" s="450"/>
      <c r="AJ175" s="450"/>
      <c r="AK175" s="450"/>
      <c r="AL175" s="450"/>
      <c r="AM175" s="450"/>
      <c r="AN175" s="450"/>
      <c r="AO175" s="450"/>
      <c r="AP175" s="450"/>
      <c r="AQ175" s="450"/>
      <c r="AR175" s="450"/>
      <c r="AS175" s="450"/>
      <c r="AT175" s="450"/>
      <c r="AU175" s="450"/>
      <c r="AV175" s="450"/>
      <c r="AW175" s="450"/>
      <c r="AX175" s="450"/>
      <c r="AY175" s="450"/>
      <c r="AZ175" s="450"/>
      <c r="BA175" s="450"/>
      <c r="BB175" s="450"/>
      <c r="BC175" s="450"/>
      <c r="BD175" s="450"/>
      <c r="BE175" s="450"/>
      <c r="BF175" s="450"/>
      <c r="BG175" s="450"/>
      <c r="BH175" s="450"/>
      <c r="BI175" s="450"/>
      <c r="BJ175" s="450"/>
      <c r="BK175" s="450"/>
      <c r="BL175" s="450"/>
      <c r="BM175" s="450"/>
      <c r="BN175" s="450"/>
      <c r="BO175" s="450"/>
      <c r="BP175" s="450"/>
      <c r="BQ175" s="450"/>
      <c r="BR175" s="450"/>
      <c r="BS175" s="450"/>
      <c r="BT175" s="450"/>
      <c r="BU175" s="450"/>
      <c r="BV175" s="450"/>
      <c r="BW175" s="450"/>
      <c r="BX175" s="450"/>
      <c r="BY175" s="450"/>
      <c r="BZ175" s="450"/>
      <c r="CA175" s="450"/>
      <c r="CB175" s="450"/>
      <c r="CC175" s="450"/>
      <c r="CD175" s="450"/>
      <c r="CE175" s="450"/>
      <c r="CF175" s="450"/>
      <c r="CG175" s="450"/>
      <c r="CH175" s="450"/>
    </row>
    <row r="176">
      <c r="A176" s="450"/>
      <c r="B176" s="498"/>
      <c r="C176" s="455"/>
      <c r="D176" s="450"/>
      <c r="E176" s="450"/>
      <c r="F176" s="450"/>
      <c r="G176" s="450"/>
      <c r="H176" s="450"/>
      <c r="I176" s="450"/>
      <c r="J176" s="450"/>
      <c r="K176" s="450"/>
      <c r="L176" s="450"/>
      <c r="M176" s="450"/>
      <c r="N176" s="450"/>
      <c r="O176" s="450"/>
      <c r="P176" s="450"/>
      <c r="Q176" s="450"/>
      <c r="R176" s="450"/>
      <c r="S176" s="450"/>
      <c r="T176" s="450"/>
      <c r="U176" s="450"/>
      <c r="V176" s="450"/>
      <c r="W176" s="450"/>
      <c r="X176" s="450"/>
      <c r="Y176" s="450"/>
      <c r="Z176" s="450"/>
      <c r="AA176" s="450"/>
      <c r="AB176" s="450"/>
      <c r="AC176" s="450"/>
      <c r="AD176" s="450"/>
      <c r="AE176" s="450"/>
      <c r="AF176" s="450"/>
      <c r="AG176" s="450"/>
      <c r="AH176" s="450"/>
      <c r="AI176" s="450"/>
      <c r="AJ176" s="450"/>
      <c r="AK176" s="450"/>
      <c r="AL176" s="450"/>
      <c r="AM176" s="450"/>
      <c r="AN176" s="450"/>
      <c r="AO176" s="450"/>
      <c r="AP176" s="450"/>
      <c r="AQ176" s="450"/>
      <c r="AR176" s="450"/>
      <c r="AS176" s="450"/>
      <c r="AT176" s="450"/>
      <c r="AU176" s="450"/>
      <c r="AV176" s="450"/>
      <c r="AW176" s="450"/>
      <c r="AX176" s="450"/>
      <c r="AY176" s="450"/>
      <c r="AZ176" s="450"/>
      <c r="BA176" s="450"/>
      <c r="BB176" s="450"/>
      <c r="BC176" s="450"/>
      <c r="BD176" s="450"/>
      <c r="BE176" s="450"/>
      <c r="BF176" s="450"/>
      <c r="BG176" s="450"/>
      <c r="BH176" s="450"/>
      <c r="BI176" s="450"/>
      <c r="BJ176" s="450"/>
      <c r="BK176" s="450"/>
      <c r="BL176" s="450"/>
      <c r="BM176" s="450"/>
      <c r="BN176" s="450"/>
      <c r="BO176" s="450"/>
      <c r="BP176" s="450"/>
      <c r="BQ176" s="450"/>
      <c r="BR176" s="450"/>
      <c r="BS176" s="450"/>
      <c r="BT176" s="450"/>
      <c r="BU176" s="450"/>
      <c r="BV176" s="450"/>
      <c r="BW176" s="450"/>
      <c r="BX176" s="450"/>
      <c r="BY176" s="450"/>
      <c r="BZ176" s="450"/>
      <c r="CA176" s="450"/>
      <c r="CB176" s="450"/>
      <c r="CC176" s="450"/>
      <c r="CD176" s="450"/>
      <c r="CE176" s="450"/>
      <c r="CF176" s="450"/>
      <c r="CG176" s="450"/>
      <c r="CH176" s="450"/>
    </row>
    <row r="177">
      <c r="A177" s="450"/>
      <c r="B177" s="498"/>
      <c r="C177" s="455"/>
      <c r="D177" s="450"/>
      <c r="E177" s="450"/>
      <c r="F177" s="450"/>
      <c r="G177" s="450"/>
      <c r="H177" s="450"/>
      <c r="I177" s="450"/>
      <c r="J177" s="450"/>
      <c r="K177" s="450"/>
      <c r="L177" s="450"/>
      <c r="M177" s="450"/>
      <c r="N177" s="450"/>
      <c r="O177" s="450"/>
      <c r="P177" s="450"/>
      <c r="Q177" s="450"/>
      <c r="R177" s="450"/>
      <c r="S177" s="450"/>
      <c r="T177" s="450"/>
      <c r="U177" s="450"/>
      <c r="V177" s="450"/>
      <c r="W177" s="450"/>
      <c r="X177" s="450"/>
      <c r="Y177" s="450"/>
      <c r="Z177" s="450"/>
      <c r="AA177" s="450"/>
      <c r="AB177" s="450"/>
      <c r="AC177" s="450"/>
      <c r="AD177" s="450"/>
      <c r="AE177" s="450"/>
      <c r="AF177" s="450"/>
      <c r="AG177" s="450"/>
      <c r="AH177" s="450"/>
      <c r="AI177" s="450"/>
      <c r="AJ177" s="450"/>
      <c r="AK177" s="450"/>
      <c r="AL177" s="450"/>
      <c r="AM177" s="450"/>
      <c r="AN177" s="450"/>
      <c r="AO177" s="450"/>
      <c r="AP177" s="450"/>
      <c r="AQ177" s="450"/>
      <c r="AR177" s="450"/>
      <c r="AS177" s="450"/>
      <c r="AT177" s="450"/>
      <c r="AU177" s="450"/>
      <c r="AV177" s="450"/>
      <c r="AW177" s="450"/>
      <c r="AX177" s="450"/>
      <c r="AY177" s="450"/>
      <c r="AZ177" s="450"/>
      <c r="BA177" s="450"/>
      <c r="BB177" s="450"/>
      <c r="BC177" s="450"/>
      <c r="BD177" s="450"/>
      <c r="BE177" s="450"/>
      <c r="BF177" s="450"/>
      <c r="BG177" s="450"/>
      <c r="BH177" s="450"/>
      <c r="BI177" s="450"/>
      <c r="BJ177" s="450"/>
      <c r="BK177" s="450"/>
      <c r="BL177" s="450"/>
      <c r="BM177" s="450"/>
      <c r="BN177" s="450"/>
      <c r="BO177" s="450"/>
      <c r="BP177" s="450"/>
      <c r="BQ177" s="450"/>
      <c r="BR177" s="450"/>
      <c r="BS177" s="450"/>
      <c r="BT177" s="450"/>
      <c r="BU177" s="450"/>
      <c r="BV177" s="450"/>
      <c r="BW177" s="450"/>
      <c r="BX177" s="450"/>
      <c r="BY177" s="450"/>
      <c r="BZ177" s="450"/>
      <c r="CA177" s="450"/>
      <c r="CB177" s="450"/>
      <c r="CC177" s="450"/>
      <c r="CD177" s="450"/>
      <c r="CE177" s="450"/>
      <c r="CF177" s="450"/>
      <c r="CG177" s="450"/>
      <c r="CH177" s="450"/>
    </row>
    <row r="178">
      <c r="A178" s="450"/>
      <c r="B178" s="498"/>
      <c r="C178" s="455"/>
      <c r="D178" s="450"/>
      <c r="E178" s="450"/>
      <c r="F178" s="450"/>
      <c r="G178" s="450"/>
      <c r="H178" s="450"/>
      <c r="I178" s="450"/>
      <c r="J178" s="450"/>
      <c r="K178" s="450"/>
      <c r="L178" s="450"/>
      <c r="M178" s="450"/>
      <c r="N178" s="450"/>
      <c r="O178" s="450"/>
      <c r="P178" s="450"/>
      <c r="Q178" s="450"/>
      <c r="R178" s="450"/>
      <c r="S178" s="450"/>
      <c r="T178" s="450"/>
      <c r="U178" s="450"/>
      <c r="V178" s="450"/>
      <c r="W178" s="450"/>
      <c r="X178" s="450"/>
      <c r="Y178" s="450"/>
      <c r="Z178" s="450"/>
      <c r="AA178" s="450"/>
      <c r="AB178" s="450"/>
      <c r="AC178" s="450"/>
      <c r="AD178" s="450"/>
      <c r="AE178" s="450"/>
      <c r="AF178" s="450"/>
      <c r="AG178" s="450"/>
      <c r="AH178" s="450"/>
      <c r="AI178" s="450"/>
      <c r="AJ178" s="450"/>
      <c r="AK178" s="450"/>
      <c r="AL178" s="450"/>
      <c r="AM178" s="450"/>
      <c r="AN178" s="450"/>
      <c r="AO178" s="450"/>
      <c r="AP178" s="450"/>
      <c r="AQ178" s="450"/>
      <c r="AR178" s="450"/>
      <c r="AS178" s="450"/>
      <c r="AT178" s="450"/>
      <c r="AU178" s="450"/>
      <c r="AV178" s="450"/>
      <c r="AW178" s="450"/>
      <c r="AX178" s="450"/>
      <c r="AY178" s="450"/>
      <c r="AZ178" s="450"/>
      <c r="BA178" s="450"/>
      <c r="BB178" s="450"/>
      <c r="BC178" s="450"/>
      <c r="BD178" s="450"/>
      <c r="BE178" s="450"/>
      <c r="BF178" s="450"/>
      <c r="BG178" s="450"/>
      <c r="BH178" s="450"/>
      <c r="BI178" s="450"/>
      <c r="BJ178" s="450"/>
      <c r="BK178" s="450"/>
      <c r="BL178" s="450"/>
      <c r="BM178" s="450"/>
      <c r="BN178" s="450"/>
      <c r="BO178" s="450"/>
      <c r="BP178" s="450"/>
      <c r="BQ178" s="450"/>
      <c r="BR178" s="450"/>
      <c r="BS178" s="450"/>
      <c r="BT178" s="450"/>
      <c r="BU178" s="450"/>
      <c r="BV178" s="450"/>
      <c r="BW178" s="450"/>
      <c r="BX178" s="450"/>
      <c r="BY178" s="450"/>
      <c r="BZ178" s="450"/>
      <c r="CA178" s="450"/>
      <c r="CB178" s="450"/>
      <c r="CC178" s="450"/>
      <c r="CD178" s="450"/>
      <c r="CE178" s="450"/>
      <c r="CF178" s="450"/>
      <c r="CG178" s="450"/>
      <c r="CH178" s="450"/>
    </row>
    <row r="179">
      <c r="A179" s="450"/>
      <c r="B179" s="498"/>
      <c r="C179" s="455"/>
      <c r="D179" s="450"/>
      <c r="E179" s="450"/>
      <c r="F179" s="450"/>
      <c r="G179" s="450"/>
      <c r="H179" s="450"/>
      <c r="I179" s="450"/>
      <c r="J179" s="450"/>
      <c r="K179" s="450"/>
      <c r="L179" s="450"/>
      <c r="M179" s="450"/>
      <c r="N179" s="450"/>
      <c r="O179" s="450"/>
      <c r="P179" s="450"/>
      <c r="Q179" s="450"/>
      <c r="R179" s="450"/>
      <c r="S179" s="450"/>
      <c r="T179" s="450"/>
      <c r="U179" s="450"/>
      <c r="V179" s="450"/>
      <c r="W179" s="450"/>
      <c r="X179" s="450"/>
      <c r="Y179" s="450"/>
      <c r="Z179" s="450"/>
      <c r="AA179" s="450"/>
      <c r="AB179" s="450"/>
      <c r="AC179" s="450"/>
      <c r="AD179" s="450"/>
      <c r="AE179" s="450"/>
      <c r="AF179" s="450"/>
      <c r="AG179" s="450"/>
      <c r="AH179" s="450"/>
      <c r="AI179" s="450"/>
      <c r="AJ179" s="450"/>
      <c r="AK179" s="450"/>
      <c r="AL179" s="450"/>
      <c r="AM179" s="450"/>
      <c r="AN179" s="450"/>
      <c r="AO179" s="450"/>
      <c r="AP179" s="450"/>
      <c r="AQ179" s="450"/>
      <c r="AR179" s="450"/>
      <c r="AS179" s="450"/>
      <c r="AT179" s="450"/>
      <c r="AU179" s="450"/>
      <c r="AV179" s="450"/>
      <c r="AW179" s="450"/>
      <c r="AX179" s="450"/>
      <c r="AY179" s="450"/>
      <c r="AZ179" s="450"/>
      <c r="BA179" s="450"/>
      <c r="BB179" s="450"/>
      <c r="BC179" s="450"/>
      <c r="BD179" s="450"/>
      <c r="BE179" s="450"/>
      <c r="BF179" s="450"/>
      <c r="BG179" s="450"/>
      <c r="BH179" s="450"/>
      <c r="BI179" s="450"/>
      <c r="BJ179" s="450"/>
      <c r="BK179" s="450"/>
      <c r="BL179" s="450"/>
      <c r="BM179" s="450"/>
      <c r="BN179" s="450"/>
      <c r="BO179" s="450"/>
      <c r="BP179" s="450"/>
      <c r="BQ179" s="450"/>
      <c r="BR179" s="450"/>
      <c r="BS179" s="450"/>
      <c r="BT179" s="450"/>
      <c r="BU179" s="450"/>
      <c r="BV179" s="450"/>
      <c r="BW179" s="450"/>
      <c r="BX179" s="450"/>
      <c r="BY179" s="450"/>
      <c r="BZ179" s="450"/>
      <c r="CA179" s="450"/>
      <c r="CB179" s="450"/>
      <c r="CC179" s="450"/>
      <c r="CD179" s="450"/>
      <c r="CE179" s="450"/>
      <c r="CF179" s="450"/>
      <c r="CG179" s="450"/>
      <c r="CH179" s="450"/>
    </row>
    <row r="180">
      <c r="A180" s="450"/>
      <c r="B180" s="498"/>
      <c r="C180" s="455"/>
      <c r="D180" s="450"/>
      <c r="E180" s="450"/>
      <c r="F180" s="450"/>
      <c r="G180" s="450"/>
      <c r="H180" s="450"/>
      <c r="I180" s="450"/>
      <c r="J180" s="450"/>
      <c r="K180" s="450"/>
      <c r="L180" s="450"/>
      <c r="M180" s="450"/>
      <c r="N180" s="450"/>
      <c r="O180" s="450"/>
      <c r="P180" s="450"/>
      <c r="Q180" s="450"/>
      <c r="R180" s="450"/>
      <c r="S180" s="450"/>
      <c r="T180" s="450"/>
      <c r="U180" s="450"/>
      <c r="V180" s="450"/>
      <c r="W180" s="450"/>
      <c r="X180" s="450"/>
      <c r="Y180" s="450"/>
      <c r="Z180" s="450"/>
      <c r="AA180" s="450"/>
      <c r="AB180" s="450"/>
      <c r="AC180" s="450"/>
      <c r="AD180" s="450"/>
      <c r="AE180" s="450"/>
      <c r="AF180" s="450"/>
      <c r="AG180" s="450"/>
      <c r="AH180" s="450"/>
      <c r="AI180" s="450"/>
      <c r="AJ180" s="450"/>
      <c r="AK180" s="450"/>
      <c r="AL180" s="450"/>
      <c r="AM180" s="450"/>
      <c r="AN180" s="450"/>
      <c r="AO180" s="450"/>
      <c r="AP180" s="450"/>
      <c r="AQ180" s="450"/>
      <c r="AR180" s="450"/>
      <c r="AS180" s="450"/>
      <c r="AT180" s="450"/>
      <c r="AU180" s="450"/>
      <c r="AV180" s="450"/>
      <c r="AW180" s="450"/>
      <c r="AX180" s="450"/>
      <c r="AY180" s="450"/>
      <c r="AZ180" s="450"/>
      <c r="BA180" s="450"/>
      <c r="BB180" s="450"/>
      <c r="BC180" s="450"/>
      <c r="BD180" s="450"/>
      <c r="BE180" s="450"/>
      <c r="BF180" s="450"/>
      <c r="BG180" s="450"/>
      <c r="BH180" s="450"/>
      <c r="BI180" s="450"/>
      <c r="BJ180" s="450"/>
      <c r="BK180" s="450"/>
      <c r="BL180" s="450"/>
      <c r="BM180" s="450"/>
      <c r="BN180" s="450"/>
      <c r="BO180" s="450"/>
      <c r="BP180" s="450"/>
      <c r="BQ180" s="450"/>
      <c r="BR180" s="450"/>
      <c r="BS180" s="450"/>
      <c r="BT180" s="450"/>
      <c r="BU180" s="450"/>
      <c r="BV180" s="450"/>
      <c r="BW180" s="450"/>
      <c r="BX180" s="450"/>
      <c r="BY180" s="450"/>
      <c r="BZ180" s="450"/>
      <c r="CA180" s="450"/>
      <c r="CB180" s="450"/>
      <c r="CC180" s="450"/>
      <c r="CD180" s="450"/>
      <c r="CE180" s="450"/>
      <c r="CF180" s="450"/>
      <c r="CG180" s="450"/>
      <c r="CH180" s="450"/>
    </row>
    <row r="181">
      <c r="A181" s="450"/>
      <c r="B181" s="498"/>
      <c r="C181" s="455"/>
      <c r="D181" s="450"/>
      <c r="E181" s="450"/>
      <c r="F181" s="450"/>
      <c r="G181" s="450"/>
      <c r="H181" s="450"/>
      <c r="I181" s="450"/>
      <c r="J181" s="450"/>
      <c r="K181" s="450"/>
      <c r="L181" s="450"/>
      <c r="M181" s="450"/>
      <c r="N181" s="450"/>
      <c r="O181" s="450"/>
      <c r="P181" s="450"/>
      <c r="Q181" s="450"/>
      <c r="R181" s="450"/>
      <c r="S181" s="450"/>
      <c r="T181" s="450"/>
      <c r="U181" s="450"/>
      <c r="V181" s="450"/>
      <c r="W181" s="450"/>
      <c r="X181" s="450"/>
      <c r="Y181" s="450"/>
      <c r="Z181" s="450"/>
      <c r="AA181" s="450"/>
      <c r="AB181" s="450"/>
      <c r="AC181" s="450"/>
      <c r="AD181" s="450"/>
      <c r="AE181" s="450"/>
      <c r="AF181" s="450"/>
      <c r="AG181" s="450"/>
      <c r="AH181" s="450"/>
      <c r="AI181" s="450"/>
      <c r="AJ181" s="450"/>
      <c r="AK181" s="450"/>
      <c r="AL181" s="450"/>
      <c r="AM181" s="450"/>
      <c r="AN181" s="450"/>
      <c r="AO181" s="450"/>
      <c r="AP181" s="450"/>
      <c r="AQ181" s="450"/>
      <c r="AR181" s="450"/>
      <c r="AS181" s="450"/>
      <c r="AT181" s="450"/>
      <c r="AU181" s="450"/>
      <c r="AV181" s="450"/>
      <c r="AW181" s="450"/>
      <c r="AX181" s="450"/>
      <c r="AY181" s="450"/>
      <c r="AZ181" s="450"/>
      <c r="BA181" s="450"/>
      <c r="BB181" s="450"/>
      <c r="BC181" s="450"/>
      <c r="BD181" s="450"/>
      <c r="BE181" s="450"/>
      <c r="BF181" s="450"/>
      <c r="BG181" s="450"/>
      <c r="BH181" s="450"/>
      <c r="BI181" s="450"/>
      <c r="BJ181" s="450"/>
      <c r="BK181" s="450"/>
      <c r="BL181" s="450"/>
      <c r="BM181" s="450"/>
      <c r="BN181" s="450"/>
      <c r="BO181" s="450"/>
      <c r="BP181" s="450"/>
      <c r="BQ181" s="450"/>
      <c r="BR181" s="450"/>
      <c r="BS181" s="450"/>
      <c r="BT181" s="450"/>
      <c r="BU181" s="450"/>
      <c r="BV181" s="450"/>
      <c r="BW181" s="450"/>
      <c r="BX181" s="450"/>
      <c r="BY181" s="450"/>
      <c r="BZ181" s="450"/>
      <c r="CA181" s="450"/>
      <c r="CB181" s="450"/>
      <c r="CC181" s="450"/>
      <c r="CD181" s="450"/>
      <c r="CE181" s="450"/>
      <c r="CF181" s="450"/>
      <c r="CG181" s="450"/>
      <c r="CH181" s="450"/>
    </row>
    <row r="182">
      <c r="A182" s="450"/>
      <c r="B182" s="498"/>
      <c r="C182" s="455"/>
      <c r="D182" s="450"/>
      <c r="E182" s="450"/>
      <c r="F182" s="450"/>
      <c r="G182" s="450"/>
      <c r="H182" s="450"/>
      <c r="I182" s="450"/>
      <c r="J182" s="450"/>
      <c r="K182" s="450"/>
      <c r="L182" s="450"/>
      <c r="M182" s="450"/>
      <c r="N182" s="450"/>
      <c r="O182" s="450"/>
      <c r="P182" s="450"/>
      <c r="Q182" s="450"/>
      <c r="R182" s="450"/>
      <c r="S182" s="450"/>
      <c r="T182" s="450"/>
      <c r="U182" s="450"/>
      <c r="V182" s="450"/>
      <c r="W182" s="450"/>
      <c r="X182" s="450"/>
      <c r="Y182" s="450"/>
      <c r="Z182" s="450"/>
      <c r="AA182" s="450"/>
      <c r="AB182" s="450"/>
      <c r="AC182" s="450"/>
      <c r="AD182" s="450"/>
      <c r="AE182" s="450"/>
      <c r="AF182" s="450"/>
      <c r="AG182" s="450"/>
      <c r="AH182" s="450"/>
      <c r="AI182" s="450"/>
      <c r="AJ182" s="450"/>
      <c r="AK182" s="450"/>
      <c r="AL182" s="450"/>
      <c r="AM182" s="450"/>
      <c r="AN182" s="450"/>
      <c r="AO182" s="450"/>
      <c r="AP182" s="450"/>
      <c r="AQ182" s="450"/>
      <c r="AR182" s="450"/>
      <c r="AS182" s="450"/>
      <c r="AT182" s="450"/>
      <c r="AU182" s="450"/>
      <c r="AV182" s="450"/>
      <c r="AW182" s="450"/>
      <c r="AX182" s="450"/>
      <c r="AY182" s="450"/>
      <c r="AZ182" s="450"/>
      <c r="BA182" s="450"/>
      <c r="BB182" s="450"/>
      <c r="BC182" s="450"/>
      <c r="BD182" s="450"/>
      <c r="BE182" s="450"/>
      <c r="BF182" s="450"/>
      <c r="BG182" s="450"/>
      <c r="BH182" s="450"/>
      <c r="BI182" s="450"/>
      <c r="BJ182" s="450"/>
      <c r="BK182" s="450"/>
      <c r="BL182" s="450"/>
      <c r="BM182" s="450"/>
      <c r="BN182" s="450"/>
      <c r="BO182" s="450"/>
      <c r="BP182" s="450"/>
      <c r="BQ182" s="450"/>
      <c r="BR182" s="450"/>
      <c r="BS182" s="450"/>
      <c r="BT182" s="450"/>
      <c r="BU182" s="450"/>
      <c r="BV182" s="450"/>
      <c r="BW182" s="450"/>
      <c r="BX182" s="450"/>
      <c r="BY182" s="450"/>
      <c r="BZ182" s="450"/>
      <c r="CA182" s="450"/>
      <c r="CB182" s="450"/>
      <c r="CC182" s="450"/>
      <c r="CD182" s="450"/>
      <c r="CE182" s="450"/>
      <c r="CF182" s="450"/>
      <c r="CG182" s="450"/>
      <c r="CH182" s="450"/>
    </row>
    <row r="183">
      <c r="A183" s="450"/>
      <c r="B183" s="498"/>
      <c r="C183" s="455"/>
      <c r="D183" s="450"/>
      <c r="E183" s="450"/>
      <c r="F183" s="450"/>
      <c r="G183" s="450"/>
      <c r="H183" s="450"/>
      <c r="I183" s="450"/>
      <c r="J183" s="450"/>
      <c r="K183" s="450"/>
      <c r="L183" s="450"/>
      <c r="M183" s="450"/>
      <c r="N183" s="450"/>
      <c r="O183" s="450"/>
      <c r="P183" s="450"/>
      <c r="Q183" s="450"/>
      <c r="R183" s="450"/>
      <c r="S183" s="450"/>
      <c r="T183" s="450"/>
      <c r="U183" s="450"/>
      <c r="V183" s="450"/>
      <c r="W183" s="450"/>
      <c r="X183" s="450"/>
      <c r="Y183" s="450"/>
      <c r="Z183" s="450"/>
      <c r="AA183" s="450"/>
      <c r="AB183" s="450"/>
      <c r="AC183" s="450"/>
      <c r="AD183" s="450"/>
      <c r="AE183" s="450"/>
      <c r="AF183" s="450"/>
      <c r="AG183" s="450"/>
      <c r="AH183" s="450"/>
      <c r="AI183" s="450"/>
      <c r="AJ183" s="450"/>
      <c r="AK183" s="450"/>
      <c r="AL183" s="450"/>
      <c r="AM183" s="450"/>
      <c r="AN183" s="450"/>
      <c r="AO183" s="450"/>
      <c r="AP183" s="450"/>
      <c r="AQ183" s="450"/>
      <c r="AR183" s="450"/>
      <c r="AS183" s="450"/>
      <c r="AT183" s="450"/>
      <c r="AU183" s="450"/>
      <c r="AV183" s="450"/>
      <c r="AW183" s="450"/>
      <c r="AX183" s="450"/>
      <c r="AY183" s="450"/>
      <c r="AZ183" s="450"/>
      <c r="BA183" s="450"/>
      <c r="BB183" s="450"/>
      <c r="BC183" s="450"/>
      <c r="BD183" s="450"/>
      <c r="BE183" s="450"/>
      <c r="BF183" s="450"/>
      <c r="BG183" s="450"/>
      <c r="BH183" s="450"/>
      <c r="BI183" s="450"/>
      <c r="BJ183" s="450"/>
      <c r="BK183" s="450"/>
      <c r="BL183" s="450"/>
      <c r="BM183" s="450"/>
      <c r="BN183" s="450"/>
      <c r="BO183" s="450"/>
      <c r="BP183" s="450"/>
      <c r="BQ183" s="450"/>
      <c r="BR183" s="450"/>
      <c r="BS183" s="450"/>
      <c r="BT183" s="450"/>
      <c r="BU183" s="450"/>
      <c r="BV183" s="450"/>
      <c r="BW183" s="450"/>
      <c r="BX183" s="450"/>
      <c r="BY183" s="450"/>
      <c r="BZ183" s="450"/>
      <c r="CA183" s="450"/>
      <c r="CB183" s="450"/>
      <c r="CC183" s="450"/>
      <c r="CD183" s="450"/>
      <c r="CE183" s="450"/>
      <c r="CF183" s="450"/>
      <c r="CG183" s="450"/>
      <c r="CH183" s="450"/>
    </row>
    <row r="184">
      <c r="A184" s="450"/>
      <c r="B184" s="498"/>
      <c r="C184" s="455"/>
      <c r="D184" s="450"/>
      <c r="E184" s="450"/>
      <c r="F184" s="450"/>
      <c r="G184" s="450"/>
      <c r="H184" s="450"/>
      <c r="I184" s="450"/>
      <c r="J184" s="450"/>
      <c r="K184" s="450"/>
      <c r="L184" s="450"/>
      <c r="M184" s="450"/>
      <c r="N184" s="450"/>
      <c r="O184" s="450"/>
      <c r="P184" s="450"/>
      <c r="Q184" s="450"/>
      <c r="R184" s="450"/>
      <c r="S184" s="450"/>
      <c r="T184" s="450"/>
      <c r="U184" s="450"/>
      <c r="V184" s="450"/>
      <c r="W184" s="450"/>
      <c r="X184" s="450"/>
      <c r="Y184" s="450"/>
      <c r="Z184" s="450"/>
      <c r="AA184" s="450"/>
      <c r="AB184" s="450"/>
      <c r="AC184" s="450"/>
      <c r="AD184" s="450"/>
      <c r="AE184" s="450"/>
      <c r="AF184" s="450"/>
      <c r="AG184" s="450"/>
      <c r="AH184" s="450"/>
      <c r="AI184" s="450"/>
      <c r="AJ184" s="450"/>
      <c r="AK184" s="450"/>
      <c r="AL184" s="450"/>
      <c r="AM184" s="450"/>
      <c r="AN184" s="450"/>
      <c r="AO184" s="450"/>
      <c r="AP184" s="450"/>
      <c r="AQ184" s="450"/>
      <c r="AR184" s="450"/>
      <c r="AS184" s="450"/>
      <c r="AT184" s="450"/>
      <c r="AU184" s="450"/>
      <c r="AV184" s="450"/>
      <c r="AW184" s="450"/>
      <c r="AX184" s="450"/>
      <c r="AY184" s="450"/>
      <c r="AZ184" s="450"/>
      <c r="BA184" s="450"/>
      <c r="BB184" s="450"/>
      <c r="BC184" s="450"/>
      <c r="BD184" s="450"/>
      <c r="BE184" s="450"/>
      <c r="BF184" s="450"/>
      <c r="BG184" s="450"/>
      <c r="BH184" s="450"/>
      <c r="BI184" s="450"/>
      <c r="BJ184" s="450"/>
      <c r="BK184" s="450"/>
      <c r="BL184" s="450"/>
      <c r="BM184" s="450"/>
      <c r="BN184" s="450"/>
      <c r="BO184" s="450"/>
      <c r="BP184" s="450"/>
      <c r="BQ184" s="450"/>
      <c r="BR184" s="450"/>
      <c r="BS184" s="450"/>
      <c r="BT184" s="450"/>
      <c r="BU184" s="450"/>
      <c r="BV184" s="450"/>
      <c r="BW184" s="450"/>
      <c r="BX184" s="450"/>
      <c r="BY184" s="450"/>
      <c r="BZ184" s="450"/>
      <c r="CA184" s="450"/>
      <c r="CB184" s="450"/>
      <c r="CC184" s="450"/>
      <c r="CD184" s="450"/>
      <c r="CE184" s="450"/>
      <c r="CF184" s="450"/>
      <c r="CG184" s="450"/>
      <c r="CH184" s="450"/>
    </row>
    <row r="185">
      <c r="A185" s="450"/>
      <c r="B185" s="498"/>
      <c r="C185" s="455"/>
      <c r="D185" s="450"/>
      <c r="E185" s="450"/>
      <c r="F185" s="450"/>
      <c r="G185" s="450"/>
      <c r="H185" s="450"/>
      <c r="I185" s="450"/>
      <c r="J185" s="450"/>
      <c r="K185" s="450"/>
      <c r="L185" s="450"/>
      <c r="M185" s="450"/>
      <c r="N185" s="450"/>
      <c r="O185" s="450"/>
      <c r="P185" s="450"/>
      <c r="Q185" s="450"/>
      <c r="R185" s="450"/>
      <c r="S185" s="450"/>
      <c r="T185" s="450"/>
      <c r="U185" s="450"/>
      <c r="V185" s="450"/>
      <c r="W185" s="450"/>
      <c r="X185" s="450"/>
      <c r="Y185" s="450"/>
      <c r="Z185" s="450"/>
      <c r="AA185" s="450"/>
      <c r="AB185" s="450"/>
      <c r="AC185" s="450"/>
      <c r="AD185" s="450"/>
      <c r="AE185" s="450"/>
      <c r="AF185" s="450"/>
      <c r="AG185" s="450"/>
      <c r="AH185" s="450"/>
      <c r="AI185" s="450"/>
      <c r="AJ185" s="450"/>
      <c r="AK185" s="450"/>
      <c r="AL185" s="450"/>
      <c r="AM185" s="450"/>
      <c r="AN185" s="450"/>
      <c r="AO185" s="450"/>
      <c r="AP185" s="450"/>
      <c r="AQ185" s="450"/>
      <c r="AR185" s="450"/>
      <c r="AS185" s="450"/>
      <c r="AT185" s="450"/>
      <c r="AU185" s="450"/>
      <c r="AV185" s="450"/>
      <c r="AW185" s="450"/>
      <c r="AX185" s="450"/>
      <c r="AY185" s="450"/>
      <c r="AZ185" s="450"/>
      <c r="BA185" s="450"/>
      <c r="BB185" s="450"/>
      <c r="BC185" s="450"/>
      <c r="BD185" s="450"/>
      <c r="BE185" s="450"/>
      <c r="BF185" s="450"/>
      <c r="BG185" s="450"/>
      <c r="BH185" s="450"/>
      <c r="BI185" s="450"/>
      <c r="BJ185" s="450"/>
      <c r="BK185" s="450"/>
      <c r="BL185" s="450"/>
      <c r="BM185" s="450"/>
      <c r="BN185" s="450"/>
      <c r="BO185" s="450"/>
      <c r="BP185" s="450"/>
      <c r="BQ185" s="450"/>
      <c r="BR185" s="450"/>
      <c r="BS185" s="450"/>
      <c r="BT185" s="450"/>
      <c r="BU185" s="450"/>
      <c r="BV185" s="450"/>
      <c r="BW185" s="450"/>
      <c r="BX185" s="450"/>
      <c r="BY185" s="450"/>
      <c r="BZ185" s="450"/>
      <c r="CA185" s="450"/>
      <c r="CB185" s="450"/>
      <c r="CC185" s="450"/>
      <c r="CD185" s="450"/>
      <c r="CE185" s="450"/>
      <c r="CF185" s="450"/>
      <c r="CG185" s="450"/>
      <c r="CH185" s="450"/>
    </row>
    <row r="186">
      <c r="A186" s="450"/>
      <c r="B186" s="498"/>
      <c r="C186" s="455"/>
      <c r="D186" s="450"/>
      <c r="E186" s="450"/>
      <c r="F186" s="450"/>
      <c r="G186" s="450"/>
      <c r="H186" s="450"/>
      <c r="I186" s="450"/>
      <c r="J186" s="450"/>
      <c r="K186" s="450"/>
      <c r="L186" s="450"/>
      <c r="M186" s="450"/>
      <c r="N186" s="450"/>
      <c r="O186" s="450"/>
      <c r="P186" s="450"/>
      <c r="Q186" s="450"/>
      <c r="R186" s="450"/>
      <c r="S186" s="450"/>
      <c r="T186" s="450"/>
      <c r="U186" s="450"/>
      <c r="V186" s="450"/>
      <c r="W186" s="450"/>
      <c r="X186" s="450"/>
      <c r="Y186" s="450"/>
      <c r="Z186" s="450"/>
      <c r="AA186" s="450"/>
      <c r="AB186" s="450"/>
      <c r="AC186" s="450"/>
      <c r="AD186" s="450"/>
      <c r="AE186" s="450"/>
      <c r="AF186" s="450"/>
      <c r="AG186" s="450"/>
      <c r="AH186" s="450"/>
      <c r="AI186" s="450"/>
      <c r="AJ186" s="450"/>
      <c r="AK186" s="450"/>
      <c r="AL186" s="450"/>
      <c r="AM186" s="450"/>
      <c r="AN186" s="450"/>
      <c r="AO186" s="450"/>
      <c r="AP186" s="450"/>
      <c r="AQ186" s="450"/>
      <c r="AR186" s="450"/>
      <c r="AS186" s="450"/>
      <c r="AT186" s="450"/>
      <c r="AU186" s="450"/>
      <c r="AV186" s="450"/>
      <c r="AW186" s="450"/>
      <c r="AX186" s="450"/>
      <c r="AY186" s="450"/>
      <c r="AZ186" s="450"/>
      <c r="BA186" s="450"/>
      <c r="BB186" s="450"/>
      <c r="BC186" s="450"/>
      <c r="BD186" s="450"/>
      <c r="BE186" s="450"/>
      <c r="BF186" s="450"/>
      <c r="BG186" s="450"/>
      <c r="BH186" s="450"/>
      <c r="BI186" s="450"/>
      <c r="BJ186" s="450"/>
      <c r="BK186" s="450"/>
      <c r="BL186" s="450"/>
      <c r="BM186" s="450"/>
      <c r="BN186" s="450"/>
      <c r="BO186" s="450"/>
      <c r="BP186" s="450"/>
      <c r="BQ186" s="450"/>
      <c r="BR186" s="450"/>
      <c r="BS186" s="450"/>
      <c r="BT186" s="450"/>
      <c r="BU186" s="450"/>
      <c r="BV186" s="450"/>
      <c r="BW186" s="450"/>
      <c r="BX186" s="450"/>
      <c r="BY186" s="450"/>
      <c r="BZ186" s="450"/>
      <c r="CA186" s="450"/>
      <c r="CB186" s="450"/>
      <c r="CC186" s="450"/>
      <c r="CD186" s="450"/>
      <c r="CE186" s="450"/>
      <c r="CF186" s="450"/>
      <c r="CG186" s="450"/>
      <c r="CH186" s="450"/>
    </row>
    <row r="187">
      <c r="A187" s="450"/>
      <c r="B187" s="498"/>
      <c r="C187" s="455"/>
      <c r="D187" s="450"/>
      <c r="E187" s="450"/>
      <c r="F187" s="450"/>
      <c r="G187" s="450"/>
      <c r="H187" s="450"/>
      <c r="I187" s="450"/>
      <c r="J187" s="450"/>
      <c r="K187" s="450"/>
      <c r="L187" s="450"/>
      <c r="M187" s="450"/>
      <c r="N187" s="450"/>
      <c r="O187" s="450"/>
      <c r="P187" s="450"/>
      <c r="Q187" s="450"/>
      <c r="R187" s="450"/>
      <c r="S187" s="450"/>
      <c r="T187" s="450"/>
      <c r="U187" s="450"/>
      <c r="V187" s="450"/>
      <c r="W187" s="450"/>
      <c r="X187" s="450"/>
      <c r="Y187" s="450"/>
      <c r="Z187" s="450"/>
      <c r="AA187" s="450"/>
      <c r="AB187" s="450"/>
      <c r="AC187" s="450"/>
      <c r="AD187" s="450"/>
      <c r="AE187" s="450"/>
      <c r="AF187" s="450"/>
      <c r="AG187" s="450"/>
      <c r="AH187" s="450"/>
      <c r="AI187" s="450"/>
      <c r="AJ187" s="450"/>
      <c r="AK187" s="450"/>
      <c r="AL187" s="450"/>
      <c r="AM187" s="450"/>
      <c r="AN187" s="450"/>
      <c r="AO187" s="450"/>
      <c r="AP187" s="450"/>
      <c r="AQ187" s="450"/>
      <c r="AR187" s="450"/>
      <c r="AS187" s="450"/>
      <c r="AT187" s="450"/>
      <c r="AU187" s="450"/>
      <c r="AV187" s="450"/>
      <c r="AW187" s="450"/>
      <c r="AX187" s="450"/>
      <c r="AY187" s="450"/>
      <c r="AZ187" s="450"/>
      <c r="BA187" s="450"/>
      <c r="BB187" s="450"/>
      <c r="BC187" s="450"/>
      <c r="BD187" s="450"/>
      <c r="BE187" s="450"/>
      <c r="BF187" s="450"/>
      <c r="BG187" s="450"/>
      <c r="BH187" s="450"/>
      <c r="BI187" s="450"/>
      <c r="BJ187" s="450"/>
      <c r="BK187" s="450"/>
      <c r="BL187" s="450"/>
      <c r="BM187" s="450"/>
      <c r="BN187" s="450"/>
      <c r="BO187" s="450"/>
      <c r="BP187" s="450"/>
      <c r="BQ187" s="450"/>
      <c r="BR187" s="450"/>
      <c r="BS187" s="450"/>
      <c r="BT187" s="450"/>
      <c r="BU187" s="450"/>
      <c r="BV187" s="450"/>
      <c r="BW187" s="450"/>
      <c r="BX187" s="450"/>
      <c r="BY187" s="450"/>
      <c r="BZ187" s="450"/>
      <c r="CA187" s="450"/>
      <c r="CB187" s="450"/>
      <c r="CC187" s="450"/>
      <c r="CD187" s="450"/>
      <c r="CE187" s="450"/>
      <c r="CF187" s="450"/>
      <c r="CG187" s="450"/>
      <c r="CH187" s="450"/>
    </row>
    <row r="188">
      <c r="A188" s="450"/>
      <c r="B188" s="498"/>
      <c r="C188" s="455"/>
      <c r="D188" s="450"/>
      <c r="E188" s="450"/>
      <c r="F188" s="450"/>
      <c r="G188" s="450"/>
      <c r="H188" s="450"/>
      <c r="I188" s="450"/>
      <c r="J188" s="450"/>
      <c r="K188" s="450"/>
      <c r="L188" s="450"/>
      <c r="M188" s="450"/>
      <c r="N188" s="450"/>
      <c r="O188" s="450"/>
      <c r="P188" s="450"/>
      <c r="Q188" s="450"/>
      <c r="R188" s="450"/>
      <c r="S188" s="450"/>
      <c r="T188" s="450"/>
      <c r="U188" s="450"/>
      <c r="V188" s="450"/>
      <c r="W188" s="450"/>
      <c r="X188" s="450"/>
      <c r="Y188" s="450"/>
      <c r="Z188" s="450"/>
      <c r="AA188" s="450"/>
      <c r="AB188" s="450"/>
      <c r="AC188" s="450"/>
      <c r="AD188" s="450"/>
      <c r="AE188" s="450"/>
      <c r="AF188" s="450"/>
      <c r="AG188" s="450"/>
      <c r="AH188" s="450"/>
      <c r="AI188" s="450"/>
      <c r="AJ188" s="450"/>
      <c r="AK188" s="450"/>
      <c r="AL188" s="450"/>
      <c r="AM188" s="450"/>
      <c r="AN188" s="450"/>
      <c r="AO188" s="450"/>
      <c r="AP188" s="450"/>
      <c r="AQ188" s="450"/>
      <c r="AR188" s="450"/>
      <c r="AS188" s="450"/>
      <c r="AT188" s="450"/>
      <c r="AU188" s="450"/>
      <c r="AV188" s="450"/>
      <c r="AW188" s="450"/>
      <c r="AX188" s="450"/>
      <c r="AY188" s="450"/>
      <c r="AZ188" s="450"/>
      <c r="BA188" s="450"/>
      <c r="BB188" s="450"/>
      <c r="BC188" s="450"/>
      <c r="BD188" s="450"/>
      <c r="BE188" s="450"/>
      <c r="BF188" s="450"/>
      <c r="BG188" s="450"/>
      <c r="BH188" s="450"/>
      <c r="BI188" s="450"/>
      <c r="BJ188" s="450"/>
      <c r="BK188" s="450"/>
      <c r="BL188" s="450"/>
      <c r="BM188" s="450"/>
      <c r="BN188" s="450"/>
      <c r="BO188" s="450"/>
      <c r="BP188" s="450"/>
      <c r="BQ188" s="450"/>
      <c r="BR188" s="450"/>
      <c r="BS188" s="450"/>
      <c r="BT188" s="450"/>
      <c r="BU188" s="450"/>
      <c r="BV188" s="450"/>
      <c r="BW188" s="450"/>
      <c r="BX188" s="450"/>
      <c r="BY188" s="450"/>
      <c r="BZ188" s="450"/>
      <c r="CA188" s="450"/>
      <c r="CB188" s="450"/>
      <c r="CC188" s="450"/>
      <c r="CD188" s="450"/>
      <c r="CE188" s="450"/>
      <c r="CF188" s="450"/>
      <c r="CG188" s="450"/>
      <c r="CH188" s="450"/>
    </row>
    <row r="189">
      <c r="A189" s="450"/>
      <c r="B189" s="498"/>
      <c r="C189" s="455"/>
      <c r="D189" s="450"/>
      <c r="E189" s="450"/>
      <c r="F189" s="450"/>
      <c r="G189" s="450"/>
      <c r="H189" s="450"/>
      <c r="I189" s="450"/>
      <c r="J189" s="450"/>
      <c r="K189" s="450"/>
      <c r="L189" s="450"/>
      <c r="M189" s="450"/>
      <c r="N189" s="450"/>
      <c r="O189" s="450"/>
      <c r="P189" s="450"/>
      <c r="Q189" s="450"/>
      <c r="R189" s="450"/>
      <c r="S189" s="450"/>
      <c r="T189" s="450"/>
      <c r="U189" s="450"/>
      <c r="V189" s="450"/>
      <c r="W189" s="450"/>
      <c r="X189" s="450"/>
      <c r="Y189" s="450"/>
      <c r="Z189" s="450"/>
      <c r="AA189" s="450"/>
      <c r="AB189" s="450"/>
      <c r="AC189" s="450"/>
      <c r="AD189" s="450"/>
      <c r="AE189" s="450"/>
      <c r="AF189" s="450"/>
      <c r="AG189" s="450"/>
      <c r="AH189" s="450"/>
      <c r="AI189" s="450"/>
      <c r="AJ189" s="450"/>
      <c r="AK189" s="450"/>
      <c r="AL189" s="450"/>
      <c r="AM189" s="450"/>
      <c r="AN189" s="450"/>
      <c r="AO189" s="450"/>
      <c r="AP189" s="450"/>
      <c r="AQ189" s="450"/>
      <c r="AR189" s="450"/>
      <c r="AS189" s="450"/>
      <c r="AT189" s="450"/>
      <c r="AU189" s="450"/>
      <c r="AV189" s="450"/>
      <c r="AW189" s="450"/>
      <c r="AX189" s="450"/>
      <c r="AY189" s="450"/>
      <c r="AZ189" s="450"/>
      <c r="BA189" s="450"/>
      <c r="BB189" s="450"/>
      <c r="BC189" s="450"/>
      <c r="BD189" s="450"/>
      <c r="BE189" s="450"/>
      <c r="BF189" s="450"/>
      <c r="BG189" s="450"/>
      <c r="BH189" s="450"/>
      <c r="BI189" s="450"/>
      <c r="BJ189" s="450"/>
      <c r="BK189" s="450"/>
      <c r="BL189" s="450"/>
      <c r="BM189" s="450"/>
      <c r="BN189" s="450"/>
      <c r="BO189" s="450"/>
      <c r="BP189" s="450"/>
      <c r="BQ189" s="450"/>
      <c r="BR189" s="450"/>
      <c r="BS189" s="450"/>
      <c r="BT189" s="450"/>
      <c r="BU189" s="450"/>
      <c r="BV189" s="450"/>
      <c r="BW189" s="450"/>
      <c r="BX189" s="450"/>
      <c r="BY189" s="450"/>
      <c r="BZ189" s="450"/>
      <c r="CA189" s="450"/>
      <c r="CB189" s="450"/>
      <c r="CC189" s="450"/>
      <c r="CD189" s="450"/>
      <c r="CE189" s="450"/>
      <c r="CF189" s="450"/>
      <c r="CG189" s="450"/>
      <c r="CH189" s="450"/>
    </row>
    <row r="190">
      <c r="A190" s="450"/>
      <c r="B190" s="498"/>
      <c r="C190" s="455"/>
      <c r="D190" s="450"/>
      <c r="E190" s="450"/>
      <c r="F190" s="450"/>
      <c r="G190" s="450"/>
      <c r="H190" s="450"/>
      <c r="I190" s="450"/>
      <c r="J190" s="450"/>
      <c r="K190" s="450"/>
      <c r="L190" s="450"/>
      <c r="M190" s="450"/>
      <c r="N190" s="450"/>
      <c r="O190" s="450"/>
      <c r="P190" s="450"/>
      <c r="Q190" s="450"/>
      <c r="R190" s="450"/>
      <c r="S190" s="450"/>
      <c r="T190" s="450"/>
      <c r="U190" s="450"/>
      <c r="V190" s="450"/>
      <c r="W190" s="450"/>
      <c r="X190" s="450"/>
      <c r="Y190" s="450"/>
      <c r="Z190" s="450"/>
      <c r="AA190" s="450"/>
      <c r="AB190" s="450"/>
      <c r="AC190" s="450"/>
      <c r="AD190" s="450"/>
      <c r="AE190" s="450"/>
      <c r="AF190" s="450"/>
      <c r="AG190" s="450"/>
      <c r="AH190" s="450"/>
      <c r="AI190" s="450"/>
      <c r="AJ190" s="450"/>
      <c r="AK190" s="450"/>
      <c r="AL190" s="450"/>
      <c r="AM190" s="450"/>
      <c r="AN190" s="450"/>
      <c r="AO190" s="450"/>
      <c r="AP190" s="450"/>
      <c r="AQ190" s="450"/>
      <c r="AR190" s="450"/>
      <c r="AS190" s="450"/>
      <c r="AT190" s="450"/>
      <c r="AU190" s="450"/>
      <c r="AV190" s="450"/>
      <c r="AW190" s="450"/>
      <c r="AX190" s="450"/>
      <c r="AY190" s="450"/>
      <c r="AZ190" s="450"/>
      <c r="BA190" s="450"/>
      <c r="BB190" s="450"/>
      <c r="BC190" s="450"/>
      <c r="BD190" s="450"/>
      <c r="BE190" s="450"/>
      <c r="BF190" s="450"/>
      <c r="BG190" s="450"/>
      <c r="BH190" s="450"/>
      <c r="BI190" s="450"/>
      <c r="BJ190" s="450"/>
      <c r="BK190" s="450"/>
      <c r="BL190" s="450"/>
      <c r="BM190" s="450"/>
      <c r="BN190" s="450"/>
      <c r="BO190" s="450"/>
      <c r="BP190" s="450"/>
      <c r="BQ190" s="450"/>
      <c r="BR190" s="450"/>
      <c r="BS190" s="450"/>
      <c r="BT190" s="450"/>
      <c r="BU190" s="450"/>
      <c r="BV190" s="450"/>
      <c r="BW190" s="450"/>
      <c r="BX190" s="450"/>
      <c r="BY190" s="450"/>
      <c r="BZ190" s="450"/>
      <c r="CA190" s="450"/>
      <c r="CB190" s="450"/>
      <c r="CC190" s="450"/>
      <c r="CD190" s="450"/>
      <c r="CE190" s="450"/>
      <c r="CF190" s="450"/>
      <c r="CG190" s="450"/>
      <c r="CH190" s="450"/>
    </row>
    <row r="191">
      <c r="A191" s="450"/>
      <c r="B191" s="498"/>
      <c r="C191" s="455"/>
      <c r="D191" s="450"/>
      <c r="E191" s="450"/>
      <c r="F191" s="450"/>
      <c r="G191" s="450"/>
      <c r="H191" s="450"/>
      <c r="I191" s="450"/>
      <c r="J191" s="450"/>
      <c r="K191" s="450"/>
      <c r="L191" s="450"/>
      <c r="M191" s="450"/>
      <c r="N191" s="450"/>
      <c r="O191" s="450"/>
      <c r="P191" s="450"/>
      <c r="Q191" s="450"/>
      <c r="R191" s="450"/>
      <c r="S191" s="450"/>
      <c r="T191" s="450"/>
      <c r="U191" s="450"/>
      <c r="V191" s="450"/>
      <c r="W191" s="450"/>
      <c r="X191" s="450"/>
      <c r="Y191" s="450"/>
      <c r="Z191" s="450"/>
      <c r="AA191" s="450"/>
      <c r="AB191" s="450"/>
      <c r="AC191" s="450"/>
      <c r="AD191" s="450"/>
      <c r="AE191" s="450"/>
      <c r="AF191" s="450"/>
      <c r="AG191" s="450"/>
      <c r="AH191" s="450"/>
      <c r="AI191" s="450"/>
      <c r="AJ191" s="450"/>
      <c r="AK191" s="450"/>
      <c r="AL191" s="450"/>
      <c r="AM191" s="450"/>
      <c r="AN191" s="450"/>
      <c r="AO191" s="450"/>
      <c r="AP191" s="450"/>
      <c r="AQ191" s="450"/>
      <c r="AR191" s="450"/>
      <c r="AS191" s="450"/>
      <c r="AT191" s="450"/>
      <c r="AU191" s="450"/>
      <c r="AV191" s="450"/>
      <c r="AW191" s="450"/>
      <c r="AX191" s="450"/>
      <c r="AY191" s="450"/>
      <c r="AZ191" s="450"/>
      <c r="BA191" s="450"/>
      <c r="BB191" s="450"/>
      <c r="BC191" s="450"/>
      <c r="BD191" s="450"/>
      <c r="BE191" s="450"/>
      <c r="BF191" s="450"/>
      <c r="BG191" s="450"/>
      <c r="BH191" s="450"/>
      <c r="BI191" s="450"/>
      <c r="BJ191" s="450"/>
      <c r="BK191" s="450"/>
      <c r="BL191" s="450"/>
      <c r="BM191" s="450"/>
      <c r="BN191" s="450"/>
      <c r="BO191" s="450"/>
      <c r="BP191" s="450"/>
      <c r="BQ191" s="450"/>
      <c r="BR191" s="450"/>
      <c r="BS191" s="450"/>
      <c r="BT191" s="450"/>
      <c r="BU191" s="450"/>
      <c r="BV191" s="450"/>
      <c r="BW191" s="450"/>
      <c r="BX191" s="450"/>
      <c r="BY191" s="450"/>
      <c r="BZ191" s="450"/>
      <c r="CA191" s="450"/>
      <c r="CB191" s="450"/>
      <c r="CC191" s="450"/>
      <c r="CD191" s="450"/>
      <c r="CE191" s="450"/>
      <c r="CF191" s="450"/>
      <c r="CG191" s="450"/>
      <c r="CH191" s="450"/>
    </row>
    <row r="192">
      <c r="A192" s="450"/>
      <c r="B192" s="498"/>
      <c r="C192" s="455"/>
      <c r="D192" s="450"/>
      <c r="E192" s="450"/>
      <c r="F192" s="450"/>
      <c r="G192" s="450"/>
      <c r="H192" s="450"/>
      <c r="I192" s="450"/>
      <c r="J192" s="450"/>
      <c r="K192" s="450"/>
      <c r="L192" s="450"/>
      <c r="M192" s="450"/>
      <c r="N192" s="450"/>
      <c r="O192" s="450"/>
      <c r="P192" s="450"/>
      <c r="Q192" s="450"/>
      <c r="R192" s="450"/>
      <c r="S192" s="450"/>
      <c r="T192" s="450"/>
      <c r="U192" s="450"/>
      <c r="V192" s="450"/>
      <c r="W192" s="450"/>
      <c r="X192" s="450"/>
      <c r="Y192" s="450"/>
      <c r="Z192" s="450"/>
      <c r="AA192" s="450"/>
      <c r="AB192" s="450"/>
      <c r="AC192" s="450"/>
      <c r="AD192" s="450"/>
      <c r="AE192" s="450"/>
      <c r="AF192" s="450"/>
      <c r="AG192" s="450"/>
      <c r="AH192" s="450"/>
      <c r="AI192" s="450"/>
      <c r="AJ192" s="450"/>
      <c r="AK192" s="450"/>
      <c r="AL192" s="450"/>
      <c r="AM192" s="450"/>
      <c r="AN192" s="450"/>
      <c r="AO192" s="450"/>
      <c r="AP192" s="450"/>
      <c r="AQ192" s="450"/>
      <c r="AR192" s="450"/>
      <c r="AS192" s="450"/>
      <c r="AT192" s="450"/>
      <c r="AU192" s="450"/>
      <c r="AV192" s="450"/>
      <c r="AW192" s="450"/>
      <c r="AX192" s="450"/>
      <c r="AY192" s="450"/>
      <c r="AZ192" s="450"/>
      <c r="BA192" s="450"/>
      <c r="BB192" s="450"/>
      <c r="BC192" s="450"/>
      <c r="BD192" s="450"/>
      <c r="BE192" s="450"/>
      <c r="BF192" s="450"/>
      <c r="BG192" s="450"/>
      <c r="BH192" s="450"/>
      <c r="BI192" s="450"/>
      <c r="BJ192" s="450"/>
      <c r="BK192" s="450"/>
      <c r="BL192" s="450"/>
      <c r="BM192" s="450"/>
      <c r="BN192" s="450"/>
      <c r="BO192" s="450"/>
      <c r="BP192" s="450"/>
      <c r="BQ192" s="450"/>
      <c r="BR192" s="450"/>
      <c r="BS192" s="450"/>
      <c r="BT192" s="450"/>
      <c r="BU192" s="450"/>
      <c r="BV192" s="450"/>
      <c r="BW192" s="450"/>
      <c r="BX192" s="450"/>
      <c r="BY192" s="450"/>
      <c r="BZ192" s="450"/>
      <c r="CA192" s="450"/>
      <c r="CB192" s="450"/>
      <c r="CC192" s="450"/>
      <c r="CD192" s="450"/>
      <c r="CE192" s="450"/>
      <c r="CF192" s="450"/>
      <c r="CG192" s="450"/>
      <c r="CH192" s="450"/>
    </row>
    <row r="193">
      <c r="A193" s="450"/>
      <c r="B193" s="498"/>
      <c r="C193" s="455"/>
      <c r="D193" s="450"/>
      <c r="E193" s="450"/>
      <c r="F193" s="450"/>
      <c r="G193" s="450"/>
      <c r="H193" s="450"/>
      <c r="I193" s="450"/>
      <c r="J193" s="450"/>
      <c r="K193" s="450"/>
      <c r="L193" s="450"/>
      <c r="M193" s="450"/>
      <c r="N193" s="450"/>
      <c r="O193" s="450"/>
      <c r="P193" s="450"/>
      <c r="Q193" s="450"/>
      <c r="R193" s="450"/>
      <c r="S193" s="450"/>
      <c r="T193" s="450"/>
      <c r="U193" s="450"/>
      <c r="V193" s="450"/>
      <c r="W193" s="450"/>
      <c r="X193" s="450"/>
      <c r="Y193" s="450"/>
      <c r="Z193" s="450"/>
      <c r="AA193" s="450"/>
      <c r="AB193" s="450"/>
      <c r="AC193" s="450"/>
      <c r="AD193" s="450"/>
      <c r="AE193" s="450"/>
      <c r="AF193" s="450"/>
      <c r="AG193" s="450"/>
      <c r="AH193" s="450"/>
      <c r="AI193" s="450"/>
      <c r="AJ193" s="450"/>
      <c r="AK193" s="450"/>
      <c r="AL193" s="450"/>
      <c r="AM193" s="450"/>
      <c r="AN193" s="450"/>
      <c r="AO193" s="450"/>
      <c r="AP193" s="450"/>
      <c r="AQ193" s="450"/>
      <c r="AR193" s="450"/>
      <c r="AS193" s="450"/>
      <c r="AT193" s="450"/>
      <c r="AU193" s="450"/>
      <c r="AV193" s="450"/>
      <c r="AW193" s="450"/>
      <c r="AX193" s="450"/>
      <c r="AY193" s="450"/>
      <c r="AZ193" s="450"/>
      <c r="BA193" s="450"/>
      <c r="BB193" s="450"/>
      <c r="BC193" s="450"/>
      <c r="BD193" s="450"/>
      <c r="BE193" s="450"/>
      <c r="BF193" s="450"/>
      <c r="BG193" s="450"/>
      <c r="BH193" s="450"/>
      <c r="BI193" s="450"/>
      <c r="BJ193" s="450"/>
      <c r="BK193" s="450"/>
      <c r="BL193" s="450"/>
      <c r="BM193" s="450"/>
      <c r="BN193" s="450"/>
      <c r="BO193" s="450"/>
      <c r="BP193" s="450"/>
      <c r="BQ193" s="450"/>
      <c r="BR193" s="450"/>
      <c r="BS193" s="450"/>
      <c r="BT193" s="450"/>
      <c r="BU193" s="450"/>
      <c r="BV193" s="450"/>
      <c r="BW193" s="450"/>
      <c r="BX193" s="450"/>
      <c r="BY193" s="450"/>
      <c r="BZ193" s="450"/>
      <c r="CA193" s="450"/>
      <c r="CB193" s="450"/>
      <c r="CC193" s="450"/>
      <c r="CD193" s="450"/>
      <c r="CE193" s="450"/>
      <c r="CF193" s="450"/>
      <c r="CG193" s="450"/>
      <c r="CH193" s="450"/>
    </row>
    <row r="194">
      <c r="A194" s="450"/>
      <c r="B194" s="498"/>
      <c r="C194" s="455"/>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c r="AB194" s="450"/>
      <c r="AC194" s="450"/>
      <c r="AD194" s="450"/>
      <c r="AE194" s="450"/>
      <c r="AF194" s="450"/>
      <c r="AG194" s="450"/>
      <c r="AH194" s="450"/>
      <c r="AI194" s="450"/>
      <c r="AJ194" s="450"/>
      <c r="AK194" s="450"/>
      <c r="AL194" s="450"/>
      <c r="AM194" s="450"/>
      <c r="AN194" s="450"/>
      <c r="AO194" s="450"/>
      <c r="AP194" s="450"/>
      <c r="AQ194" s="450"/>
      <c r="AR194" s="450"/>
      <c r="AS194" s="450"/>
      <c r="AT194" s="450"/>
      <c r="AU194" s="450"/>
      <c r="AV194" s="450"/>
      <c r="AW194" s="450"/>
      <c r="AX194" s="450"/>
      <c r="AY194" s="450"/>
      <c r="AZ194" s="450"/>
      <c r="BA194" s="450"/>
      <c r="BB194" s="450"/>
      <c r="BC194" s="450"/>
      <c r="BD194" s="450"/>
      <c r="BE194" s="450"/>
      <c r="BF194" s="450"/>
      <c r="BG194" s="450"/>
      <c r="BH194" s="450"/>
      <c r="BI194" s="450"/>
      <c r="BJ194" s="450"/>
      <c r="BK194" s="450"/>
      <c r="BL194" s="450"/>
      <c r="BM194" s="450"/>
      <c r="BN194" s="450"/>
      <c r="BO194" s="450"/>
      <c r="BP194" s="450"/>
      <c r="BQ194" s="450"/>
      <c r="BR194" s="450"/>
      <c r="BS194" s="450"/>
      <c r="BT194" s="450"/>
      <c r="BU194" s="450"/>
      <c r="BV194" s="450"/>
      <c r="BW194" s="450"/>
      <c r="BX194" s="450"/>
      <c r="BY194" s="450"/>
      <c r="BZ194" s="450"/>
      <c r="CA194" s="450"/>
      <c r="CB194" s="450"/>
      <c r="CC194" s="450"/>
      <c r="CD194" s="450"/>
      <c r="CE194" s="450"/>
      <c r="CF194" s="450"/>
      <c r="CG194" s="450"/>
      <c r="CH194" s="450"/>
    </row>
    <row r="195">
      <c r="A195" s="450"/>
      <c r="B195" s="498"/>
      <c r="C195" s="455"/>
      <c r="D195" s="450"/>
      <c r="E195" s="450"/>
      <c r="F195" s="450"/>
      <c r="G195" s="450"/>
      <c r="H195" s="450"/>
      <c r="I195" s="450"/>
      <c r="J195" s="450"/>
      <c r="K195" s="450"/>
      <c r="L195" s="450"/>
      <c r="M195" s="450"/>
      <c r="N195" s="450"/>
      <c r="O195" s="450"/>
      <c r="P195" s="450"/>
      <c r="Q195" s="450"/>
      <c r="R195" s="450"/>
      <c r="S195" s="450"/>
      <c r="T195" s="450"/>
      <c r="U195" s="450"/>
      <c r="V195" s="450"/>
      <c r="W195" s="450"/>
      <c r="X195" s="450"/>
      <c r="Y195" s="450"/>
      <c r="Z195" s="450"/>
      <c r="AA195" s="450"/>
      <c r="AB195" s="450"/>
      <c r="AC195" s="450"/>
      <c r="AD195" s="450"/>
      <c r="AE195" s="450"/>
      <c r="AF195" s="450"/>
      <c r="AG195" s="450"/>
      <c r="AH195" s="450"/>
      <c r="AI195" s="450"/>
      <c r="AJ195" s="450"/>
      <c r="AK195" s="450"/>
      <c r="AL195" s="450"/>
      <c r="AM195" s="450"/>
      <c r="AN195" s="450"/>
      <c r="AO195" s="450"/>
      <c r="AP195" s="450"/>
      <c r="AQ195" s="450"/>
      <c r="AR195" s="450"/>
      <c r="AS195" s="450"/>
      <c r="AT195" s="450"/>
      <c r="AU195" s="450"/>
      <c r="AV195" s="450"/>
      <c r="AW195" s="450"/>
      <c r="AX195" s="450"/>
      <c r="AY195" s="450"/>
      <c r="AZ195" s="450"/>
      <c r="BA195" s="450"/>
      <c r="BB195" s="450"/>
      <c r="BC195" s="450"/>
      <c r="BD195" s="450"/>
      <c r="BE195" s="450"/>
      <c r="BF195" s="450"/>
      <c r="BG195" s="450"/>
      <c r="BH195" s="450"/>
      <c r="BI195" s="450"/>
      <c r="BJ195" s="450"/>
      <c r="BK195" s="450"/>
      <c r="BL195" s="450"/>
      <c r="BM195" s="450"/>
      <c r="BN195" s="450"/>
      <c r="BO195" s="450"/>
      <c r="BP195" s="450"/>
      <c r="BQ195" s="450"/>
      <c r="BR195" s="450"/>
      <c r="BS195" s="450"/>
      <c r="BT195" s="450"/>
      <c r="BU195" s="450"/>
      <c r="BV195" s="450"/>
      <c r="BW195" s="450"/>
      <c r="BX195" s="450"/>
      <c r="BY195" s="450"/>
      <c r="BZ195" s="450"/>
      <c r="CA195" s="450"/>
      <c r="CB195" s="450"/>
      <c r="CC195" s="450"/>
      <c r="CD195" s="450"/>
      <c r="CE195" s="450"/>
      <c r="CF195" s="450"/>
      <c r="CG195" s="450"/>
      <c r="CH195" s="450"/>
    </row>
    <row r="196">
      <c r="A196" s="450"/>
      <c r="B196" s="498"/>
      <c r="C196" s="455"/>
      <c r="D196" s="450"/>
      <c r="E196" s="450"/>
      <c r="F196" s="450"/>
      <c r="G196" s="450"/>
      <c r="H196" s="450"/>
      <c r="I196" s="450"/>
      <c r="J196" s="450"/>
      <c r="K196" s="450"/>
      <c r="L196" s="450"/>
      <c r="M196" s="450"/>
      <c r="N196" s="450"/>
      <c r="O196" s="450"/>
      <c r="P196" s="450"/>
      <c r="Q196" s="450"/>
      <c r="R196" s="450"/>
      <c r="S196" s="450"/>
      <c r="T196" s="450"/>
      <c r="U196" s="450"/>
      <c r="V196" s="450"/>
      <c r="W196" s="450"/>
      <c r="X196" s="450"/>
      <c r="Y196" s="450"/>
      <c r="Z196" s="450"/>
      <c r="AA196" s="450"/>
      <c r="AB196" s="450"/>
      <c r="AC196" s="450"/>
      <c r="AD196" s="450"/>
      <c r="AE196" s="450"/>
      <c r="AF196" s="450"/>
      <c r="AG196" s="450"/>
      <c r="AH196" s="450"/>
      <c r="AI196" s="450"/>
      <c r="AJ196" s="450"/>
      <c r="AK196" s="450"/>
      <c r="AL196" s="450"/>
      <c r="AM196" s="450"/>
      <c r="AN196" s="450"/>
      <c r="AO196" s="450"/>
      <c r="AP196" s="450"/>
      <c r="AQ196" s="450"/>
      <c r="AR196" s="450"/>
      <c r="AS196" s="450"/>
      <c r="AT196" s="450"/>
      <c r="AU196" s="450"/>
      <c r="AV196" s="450"/>
      <c r="AW196" s="450"/>
      <c r="AX196" s="450"/>
      <c r="AY196" s="450"/>
      <c r="AZ196" s="450"/>
      <c r="BA196" s="450"/>
      <c r="BB196" s="450"/>
      <c r="BC196" s="450"/>
      <c r="BD196" s="450"/>
      <c r="BE196" s="450"/>
      <c r="BF196" s="450"/>
      <c r="BG196" s="450"/>
      <c r="BH196" s="450"/>
      <c r="BI196" s="450"/>
      <c r="BJ196" s="450"/>
      <c r="BK196" s="450"/>
      <c r="BL196" s="450"/>
      <c r="BM196" s="450"/>
      <c r="BN196" s="450"/>
      <c r="BO196" s="450"/>
      <c r="BP196" s="450"/>
      <c r="BQ196" s="450"/>
      <c r="BR196" s="450"/>
      <c r="BS196" s="450"/>
      <c r="BT196" s="450"/>
      <c r="BU196" s="450"/>
      <c r="BV196" s="450"/>
      <c r="BW196" s="450"/>
      <c r="BX196" s="450"/>
      <c r="BY196" s="450"/>
      <c r="BZ196" s="450"/>
      <c r="CA196" s="450"/>
      <c r="CB196" s="450"/>
      <c r="CC196" s="450"/>
      <c r="CD196" s="450"/>
      <c r="CE196" s="450"/>
      <c r="CF196" s="450"/>
      <c r="CG196" s="450"/>
      <c r="CH196" s="450"/>
    </row>
    <row r="197">
      <c r="A197" s="450"/>
      <c r="B197" s="498"/>
      <c r="C197" s="455"/>
      <c r="D197" s="450"/>
      <c r="E197" s="450"/>
      <c r="F197" s="450"/>
      <c r="G197" s="450"/>
      <c r="H197" s="450"/>
      <c r="I197" s="450"/>
      <c r="J197" s="450"/>
      <c r="K197" s="450"/>
      <c r="L197" s="450"/>
      <c r="M197" s="450"/>
      <c r="N197" s="450"/>
      <c r="O197" s="450"/>
      <c r="P197" s="450"/>
      <c r="Q197" s="450"/>
      <c r="R197" s="450"/>
      <c r="S197" s="450"/>
      <c r="T197" s="450"/>
      <c r="U197" s="450"/>
      <c r="V197" s="450"/>
      <c r="W197" s="450"/>
      <c r="X197" s="450"/>
      <c r="Y197" s="450"/>
      <c r="Z197" s="450"/>
      <c r="AA197" s="450"/>
      <c r="AB197" s="450"/>
      <c r="AC197" s="450"/>
      <c r="AD197" s="450"/>
      <c r="AE197" s="450"/>
      <c r="AF197" s="450"/>
      <c r="AG197" s="450"/>
      <c r="AH197" s="450"/>
      <c r="AI197" s="450"/>
      <c r="AJ197" s="450"/>
      <c r="AK197" s="450"/>
      <c r="AL197" s="450"/>
      <c r="AM197" s="450"/>
      <c r="AN197" s="450"/>
      <c r="AO197" s="450"/>
      <c r="AP197" s="450"/>
      <c r="AQ197" s="450"/>
      <c r="AR197" s="450"/>
      <c r="AS197" s="450"/>
      <c r="AT197" s="450"/>
      <c r="AU197" s="450"/>
      <c r="AV197" s="450"/>
      <c r="AW197" s="450"/>
      <c r="AX197" s="450"/>
      <c r="AY197" s="450"/>
      <c r="AZ197" s="450"/>
      <c r="BA197" s="450"/>
      <c r="BB197" s="450"/>
      <c r="BC197" s="450"/>
      <c r="BD197" s="450"/>
      <c r="BE197" s="450"/>
      <c r="BF197" s="450"/>
      <c r="BG197" s="450"/>
      <c r="BH197" s="450"/>
      <c r="BI197" s="450"/>
      <c r="BJ197" s="450"/>
      <c r="BK197" s="450"/>
      <c r="BL197" s="450"/>
      <c r="BM197" s="450"/>
      <c r="BN197" s="450"/>
      <c r="BO197" s="450"/>
      <c r="BP197" s="450"/>
      <c r="BQ197" s="450"/>
      <c r="BR197" s="450"/>
      <c r="BS197" s="450"/>
      <c r="BT197" s="450"/>
      <c r="BU197" s="450"/>
      <c r="BV197" s="450"/>
      <c r="BW197" s="450"/>
      <c r="BX197" s="450"/>
      <c r="BY197" s="450"/>
      <c r="BZ197" s="450"/>
      <c r="CA197" s="450"/>
      <c r="CB197" s="450"/>
      <c r="CC197" s="450"/>
      <c r="CD197" s="450"/>
      <c r="CE197" s="450"/>
      <c r="CF197" s="450"/>
      <c r="CG197" s="450"/>
      <c r="CH197" s="450"/>
    </row>
    <row r="198">
      <c r="A198" s="450"/>
      <c r="B198" s="498"/>
      <c r="C198" s="455"/>
      <c r="D198" s="450"/>
      <c r="E198" s="450"/>
      <c r="F198" s="450"/>
      <c r="G198" s="450"/>
      <c r="H198" s="450"/>
      <c r="I198" s="450"/>
      <c r="J198" s="450"/>
      <c r="K198" s="450"/>
      <c r="L198" s="450"/>
      <c r="M198" s="450"/>
      <c r="N198" s="450"/>
      <c r="O198" s="450"/>
      <c r="P198" s="450"/>
      <c r="Q198" s="450"/>
      <c r="R198" s="450"/>
      <c r="S198" s="450"/>
      <c r="T198" s="450"/>
      <c r="U198" s="450"/>
      <c r="V198" s="450"/>
      <c r="W198" s="450"/>
      <c r="X198" s="450"/>
      <c r="Y198" s="450"/>
      <c r="Z198" s="450"/>
      <c r="AA198" s="450"/>
      <c r="AB198" s="450"/>
      <c r="AC198" s="450"/>
      <c r="AD198" s="450"/>
      <c r="AE198" s="450"/>
      <c r="AF198" s="450"/>
      <c r="AG198" s="450"/>
      <c r="AH198" s="450"/>
      <c r="AI198" s="450"/>
      <c r="AJ198" s="450"/>
      <c r="AK198" s="450"/>
      <c r="AL198" s="450"/>
      <c r="AM198" s="450"/>
      <c r="AN198" s="450"/>
      <c r="AO198" s="450"/>
      <c r="AP198" s="450"/>
      <c r="AQ198" s="450"/>
      <c r="AR198" s="450"/>
      <c r="AS198" s="450"/>
      <c r="AT198" s="450"/>
      <c r="AU198" s="450"/>
      <c r="AV198" s="450"/>
      <c r="AW198" s="450"/>
      <c r="AX198" s="450"/>
      <c r="AY198" s="450"/>
      <c r="AZ198" s="450"/>
      <c r="BA198" s="450"/>
      <c r="BB198" s="450"/>
      <c r="BC198" s="450"/>
      <c r="BD198" s="450"/>
      <c r="BE198" s="450"/>
      <c r="BF198" s="450"/>
      <c r="BG198" s="450"/>
      <c r="BH198" s="450"/>
      <c r="BI198" s="450"/>
      <c r="BJ198" s="450"/>
      <c r="BK198" s="450"/>
      <c r="BL198" s="450"/>
      <c r="BM198" s="450"/>
      <c r="BN198" s="450"/>
      <c r="BO198" s="450"/>
      <c r="BP198" s="450"/>
      <c r="BQ198" s="450"/>
      <c r="BR198" s="450"/>
      <c r="BS198" s="450"/>
      <c r="BT198" s="450"/>
      <c r="BU198" s="450"/>
      <c r="BV198" s="450"/>
      <c r="BW198" s="450"/>
      <c r="BX198" s="450"/>
      <c r="BY198" s="450"/>
      <c r="BZ198" s="450"/>
      <c r="CA198" s="450"/>
      <c r="CB198" s="450"/>
      <c r="CC198" s="450"/>
      <c r="CD198" s="450"/>
      <c r="CE198" s="450"/>
      <c r="CF198" s="450"/>
      <c r="CG198" s="450"/>
      <c r="CH198" s="450"/>
    </row>
    <row r="199">
      <c r="A199" s="450"/>
      <c r="B199" s="498"/>
      <c r="C199" s="455"/>
      <c r="D199" s="450"/>
      <c r="E199" s="450"/>
      <c r="F199" s="450"/>
      <c r="G199" s="450"/>
      <c r="H199" s="450"/>
      <c r="I199" s="450"/>
      <c r="J199" s="450"/>
      <c r="K199" s="450"/>
      <c r="L199" s="450"/>
      <c r="M199" s="450"/>
      <c r="N199" s="450"/>
      <c r="O199" s="450"/>
      <c r="P199" s="450"/>
      <c r="Q199" s="450"/>
      <c r="R199" s="450"/>
      <c r="S199" s="450"/>
      <c r="T199" s="450"/>
      <c r="U199" s="450"/>
      <c r="V199" s="450"/>
      <c r="W199" s="450"/>
      <c r="X199" s="450"/>
      <c r="Y199" s="450"/>
      <c r="Z199" s="450"/>
      <c r="AA199" s="450"/>
      <c r="AB199" s="450"/>
      <c r="AC199" s="450"/>
      <c r="AD199" s="450"/>
      <c r="AE199" s="450"/>
      <c r="AF199" s="450"/>
      <c r="AG199" s="450"/>
      <c r="AH199" s="450"/>
      <c r="AI199" s="450"/>
      <c r="AJ199" s="450"/>
      <c r="AK199" s="450"/>
      <c r="AL199" s="450"/>
      <c r="AM199" s="450"/>
      <c r="AN199" s="450"/>
      <c r="AO199" s="450"/>
      <c r="AP199" s="450"/>
      <c r="AQ199" s="450"/>
      <c r="AR199" s="450"/>
      <c r="AS199" s="450"/>
      <c r="AT199" s="450"/>
      <c r="AU199" s="450"/>
      <c r="AV199" s="450"/>
      <c r="AW199" s="450"/>
      <c r="AX199" s="450"/>
      <c r="AY199" s="450"/>
      <c r="AZ199" s="450"/>
      <c r="BA199" s="450"/>
      <c r="BB199" s="450"/>
      <c r="BC199" s="450"/>
      <c r="BD199" s="450"/>
      <c r="BE199" s="450"/>
      <c r="BF199" s="450"/>
      <c r="BG199" s="450"/>
      <c r="BH199" s="450"/>
      <c r="BI199" s="450"/>
      <c r="BJ199" s="450"/>
      <c r="BK199" s="450"/>
      <c r="BL199" s="450"/>
      <c r="BM199" s="450"/>
      <c r="BN199" s="450"/>
      <c r="BO199" s="450"/>
      <c r="BP199" s="450"/>
      <c r="BQ199" s="450"/>
      <c r="BR199" s="450"/>
      <c r="BS199" s="450"/>
      <c r="BT199" s="450"/>
      <c r="BU199" s="450"/>
      <c r="BV199" s="450"/>
      <c r="BW199" s="450"/>
      <c r="BX199" s="450"/>
      <c r="BY199" s="450"/>
      <c r="BZ199" s="450"/>
      <c r="CA199" s="450"/>
      <c r="CB199" s="450"/>
      <c r="CC199" s="450"/>
      <c r="CD199" s="450"/>
      <c r="CE199" s="450"/>
      <c r="CF199" s="450"/>
      <c r="CG199" s="450"/>
      <c r="CH199" s="450"/>
    </row>
    <row r="200">
      <c r="A200" s="450"/>
      <c r="B200" s="498"/>
      <c r="C200" s="455"/>
      <c r="D200" s="450"/>
      <c r="E200" s="450"/>
      <c r="F200" s="450"/>
      <c r="G200" s="450"/>
      <c r="H200" s="450"/>
      <c r="I200" s="450"/>
      <c r="J200" s="450"/>
      <c r="K200" s="450"/>
      <c r="L200" s="450"/>
      <c r="M200" s="450"/>
      <c r="N200" s="450"/>
      <c r="O200" s="450"/>
      <c r="P200" s="450"/>
      <c r="Q200" s="450"/>
      <c r="R200" s="450"/>
      <c r="S200" s="450"/>
      <c r="T200" s="450"/>
      <c r="U200" s="450"/>
      <c r="V200" s="450"/>
      <c r="W200" s="450"/>
      <c r="X200" s="450"/>
      <c r="Y200" s="450"/>
      <c r="Z200" s="450"/>
      <c r="AA200" s="450"/>
      <c r="AB200" s="450"/>
      <c r="AC200" s="450"/>
      <c r="AD200" s="450"/>
      <c r="AE200" s="450"/>
      <c r="AF200" s="450"/>
      <c r="AG200" s="450"/>
      <c r="AH200" s="450"/>
      <c r="AI200" s="450"/>
      <c r="AJ200" s="450"/>
      <c r="AK200" s="450"/>
      <c r="AL200" s="450"/>
      <c r="AM200" s="450"/>
      <c r="AN200" s="450"/>
      <c r="AO200" s="450"/>
      <c r="AP200" s="450"/>
      <c r="AQ200" s="450"/>
      <c r="AR200" s="450"/>
      <c r="AS200" s="450"/>
      <c r="AT200" s="450"/>
      <c r="AU200" s="450"/>
      <c r="AV200" s="450"/>
      <c r="AW200" s="450"/>
      <c r="AX200" s="450"/>
      <c r="AY200" s="450"/>
      <c r="AZ200" s="450"/>
      <c r="BA200" s="450"/>
      <c r="BB200" s="450"/>
      <c r="BC200" s="450"/>
      <c r="BD200" s="450"/>
      <c r="BE200" s="450"/>
      <c r="BF200" s="450"/>
      <c r="BG200" s="450"/>
      <c r="BH200" s="450"/>
      <c r="BI200" s="450"/>
      <c r="BJ200" s="450"/>
      <c r="BK200" s="450"/>
      <c r="BL200" s="450"/>
      <c r="BM200" s="450"/>
      <c r="BN200" s="450"/>
      <c r="BO200" s="450"/>
      <c r="BP200" s="450"/>
      <c r="BQ200" s="450"/>
      <c r="BR200" s="450"/>
      <c r="BS200" s="450"/>
      <c r="BT200" s="450"/>
      <c r="BU200" s="450"/>
      <c r="BV200" s="450"/>
      <c r="BW200" s="450"/>
      <c r="BX200" s="450"/>
      <c r="BY200" s="450"/>
      <c r="BZ200" s="450"/>
      <c r="CA200" s="450"/>
      <c r="CB200" s="450"/>
      <c r="CC200" s="450"/>
      <c r="CD200" s="450"/>
      <c r="CE200" s="450"/>
      <c r="CF200" s="450"/>
      <c r="CG200" s="450"/>
      <c r="CH200" s="450"/>
    </row>
    <row r="201">
      <c r="A201" s="450"/>
      <c r="B201" s="498"/>
      <c r="C201" s="455"/>
      <c r="D201" s="450"/>
      <c r="E201" s="450"/>
      <c r="F201" s="450"/>
      <c r="G201" s="450"/>
      <c r="H201" s="450"/>
      <c r="I201" s="450"/>
      <c r="J201" s="450"/>
      <c r="K201" s="450"/>
      <c r="L201" s="450"/>
      <c r="M201" s="450"/>
      <c r="N201" s="450"/>
      <c r="O201" s="450"/>
      <c r="P201" s="450"/>
      <c r="Q201" s="450"/>
      <c r="R201" s="450"/>
      <c r="S201" s="450"/>
      <c r="T201" s="450"/>
      <c r="U201" s="450"/>
      <c r="V201" s="450"/>
      <c r="W201" s="450"/>
      <c r="X201" s="450"/>
      <c r="Y201" s="450"/>
      <c r="Z201" s="450"/>
      <c r="AA201" s="450"/>
      <c r="AB201" s="450"/>
      <c r="AC201" s="450"/>
      <c r="AD201" s="450"/>
      <c r="AE201" s="450"/>
      <c r="AF201" s="450"/>
      <c r="AG201" s="450"/>
      <c r="AH201" s="450"/>
      <c r="AI201" s="450"/>
      <c r="AJ201" s="450"/>
      <c r="AK201" s="450"/>
      <c r="AL201" s="450"/>
      <c r="AM201" s="450"/>
      <c r="AN201" s="450"/>
      <c r="AO201" s="450"/>
      <c r="AP201" s="450"/>
      <c r="AQ201" s="450"/>
      <c r="AR201" s="450"/>
      <c r="AS201" s="450"/>
      <c r="AT201" s="450"/>
      <c r="AU201" s="450"/>
      <c r="AV201" s="450"/>
      <c r="AW201" s="450"/>
      <c r="AX201" s="450"/>
      <c r="AY201" s="450"/>
      <c r="AZ201" s="450"/>
      <c r="BA201" s="450"/>
      <c r="BB201" s="450"/>
      <c r="BC201" s="450"/>
      <c r="BD201" s="450"/>
      <c r="BE201" s="450"/>
      <c r="BF201" s="450"/>
      <c r="BG201" s="450"/>
      <c r="BH201" s="450"/>
      <c r="BI201" s="450"/>
      <c r="BJ201" s="450"/>
      <c r="BK201" s="450"/>
      <c r="BL201" s="450"/>
      <c r="BM201" s="450"/>
      <c r="BN201" s="450"/>
      <c r="BO201" s="450"/>
      <c r="BP201" s="450"/>
      <c r="BQ201" s="450"/>
      <c r="BR201" s="450"/>
      <c r="BS201" s="450"/>
      <c r="BT201" s="450"/>
      <c r="BU201" s="450"/>
      <c r="BV201" s="450"/>
      <c r="BW201" s="450"/>
      <c r="BX201" s="450"/>
      <c r="BY201" s="450"/>
      <c r="BZ201" s="450"/>
      <c r="CA201" s="450"/>
      <c r="CB201" s="450"/>
      <c r="CC201" s="450"/>
      <c r="CD201" s="450"/>
      <c r="CE201" s="450"/>
      <c r="CF201" s="450"/>
      <c r="CG201" s="450"/>
      <c r="CH201" s="450"/>
    </row>
    <row r="202">
      <c r="A202" s="450"/>
      <c r="B202" s="498"/>
      <c r="C202" s="455"/>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c r="AB202" s="450"/>
      <c r="AC202" s="450"/>
      <c r="AD202" s="450"/>
      <c r="AE202" s="450"/>
      <c r="AF202" s="450"/>
      <c r="AG202" s="450"/>
      <c r="AH202" s="450"/>
      <c r="AI202" s="450"/>
      <c r="AJ202" s="450"/>
      <c r="AK202" s="450"/>
      <c r="AL202" s="450"/>
      <c r="AM202" s="450"/>
      <c r="AN202" s="450"/>
      <c r="AO202" s="450"/>
      <c r="AP202" s="450"/>
      <c r="AQ202" s="450"/>
      <c r="AR202" s="450"/>
      <c r="AS202" s="450"/>
      <c r="AT202" s="450"/>
      <c r="AU202" s="450"/>
      <c r="AV202" s="450"/>
      <c r="AW202" s="450"/>
      <c r="AX202" s="450"/>
      <c r="AY202" s="450"/>
      <c r="AZ202" s="450"/>
      <c r="BA202" s="450"/>
      <c r="BB202" s="450"/>
      <c r="BC202" s="450"/>
      <c r="BD202" s="450"/>
      <c r="BE202" s="450"/>
      <c r="BF202" s="450"/>
      <c r="BG202" s="450"/>
      <c r="BH202" s="450"/>
      <c r="BI202" s="450"/>
      <c r="BJ202" s="450"/>
      <c r="BK202" s="450"/>
      <c r="BL202" s="450"/>
      <c r="BM202" s="450"/>
      <c r="BN202" s="450"/>
      <c r="BO202" s="450"/>
      <c r="BP202" s="450"/>
      <c r="BQ202" s="450"/>
      <c r="BR202" s="450"/>
      <c r="BS202" s="450"/>
      <c r="BT202" s="450"/>
      <c r="BU202" s="450"/>
      <c r="BV202" s="450"/>
      <c r="BW202" s="450"/>
      <c r="BX202" s="450"/>
      <c r="BY202" s="450"/>
      <c r="BZ202" s="450"/>
      <c r="CA202" s="450"/>
      <c r="CB202" s="450"/>
      <c r="CC202" s="450"/>
      <c r="CD202" s="450"/>
      <c r="CE202" s="450"/>
      <c r="CF202" s="450"/>
      <c r="CG202" s="450"/>
      <c r="CH202" s="450"/>
    </row>
    <row r="203">
      <c r="A203" s="450"/>
      <c r="B203" s="498"/>
      <c r="C203" s="455"/>
      <c r="D203" s="450"/>
      <c r="E203" s="450"/>
      <c r="F203" s="450"/>
      <c r="G203" s="450"/>
      <c r="H203" s="450"/>
      <c r="I203" s="450"/>
      <c r="J203" s="450"/>
      <c r="K203" s="450"/>
      <c r="L203" s="450"/>
      <c r="M203" s="450"/>
      <c r="N203" s="450"/>
      <c r="O203" s="450"/>
      <c r="P203" s="450"/>
      <c r="Q203" s="450"/>
      <c r="R203" s="450"/>
      <c r="S203" s="450"/>
      <c r="T203" s="450"/>
      <c r="U203" s="450"/>
      <c r="V203" s="450"/>
      <c r="W203" s="450"/>
      <c r="X203" s="450"/>
      <c r="Y203" s="450"/>
      <c r="Z203" s="450"/>
      <c r="AA203" s="450"/>
      <c r="AB203" s="450"/>
      <c r="AC203" s="450"/>
      <c r="AD203" s="450"/>
      <c r="AE203" s="450"/>
      <c r="AF203" s="450"/>
      <c r="AG203" s="450"/>
      <c r="AH203" s="450"/>
      <c r="AI203" s="450"/>
      <c r="AJ203" s="450"/>
      <c r="AK203" s="450"/>
      <c r="AL203" s="450"/>
      <c r="AM203" s="450"/>
      <c r="AN203" s="450"/>
      <c r="AO203" s="450"/>
      <c r="AP203" s="450"/>
      <c r="AQ203" s="450"/>
      <c r="AR203" s="450"/>
      <c r="AS203" s="450"/>
      <c r="AT203" s="450"/>
      <c r="AU203" s="450"/>
      <c r="AV203" s="450"/>
      <c r="AW203" s="450"/>
      <c r="AX203" s="450"/>
      <c r="AY203" s="450"/>
      <c r="AZ203" s="450"/>
      <c r="BA203" s="450"/>
      <c r="BB203" s="450"/>
      <c r="BC203" s="450"/>
      <c r="BD203" s="450"/>
      <c r="BE203" s="450"/>
      <c r="BF203" s="450"/>
      <c r="BG203" s="450"/>
      <c r="BH203" s="450"/>
      <c r="BI203" s="450"/>
      <c r="BJ203" s="450"/>
      <c r="BK203" s="450"/>
      <c r="BL203" s="450"/>
      <c r="BM203" s="450"/>
      <c r="BN203" s="450"/>
      <c r="BO203" s="450"/>
      <c r="BP203" s="450"/>
      <c r="BQ203" s="450"/>
      <c r="BR203" s="450"/>
      <c r="BS203" s="450"/>
      <c r="BT203" s="450"/>
      <c r="BU203" s="450"/>
      <c r="BV203" s="450"/>
      <c r="BW203" s="450"/>
      <c r="BX203" s="450"/>
      <c r="BY203" s="450"/>
      <c r="BZ203" s="450"/>
      <c r="CA203" s="450"/>
      <c r="CB203" s="450"/>
      <c r="CC203" s="450"/>
      <c r="CD203" s="450"/>
      <c r="CE203" s="450"/>
      <c r="CF203" s="450"/>
      <c r="CG203" s="450"/>
      <c r="CH203" s="450"/>
    </row>
    <row r="204">
      <c r="A204" s="450"/>
      <c r="B204" s="498"/>
      <c r="C204" s="455"/>
      <c r="D204" s="450"/>
      <c r="E204" s="450"/>
      <c r="F204" s="450"/>
      <c r="G204" s="450"/>
      <c r="H204" s="450"/>
      <c r="I204" s="450"/>
      <c r="J204" s="450"/>
      <c r="K204" s="450"/>
      <c r="L204" s="450"/>
      <c r="M204" s="450"/>
      <c r="N204" s="450"/>
      <c r="O204" s="450"/>
      <c r="P204" s="450"/>
      <c r="Q204" s="450"/>
      <c r="R204" s="450"/>
      <c r="S204" s="450"/>
      <c r="T204" s="450"/>
      <c r="U204" s="450"/>
      <c r="V204" s="450"/>
      <c r="W204" s="450"/>
      <c r="X204" s="450"/>
      <c r="Y204" s="450"/>
      <c r="Z204" s="450"/>
      <c r="AA204" s="450"/>
      <c r="AB204" s="450"/>
      <c r="AC204" s="450"/>
      <c r="AD204" s="450"/>
      <c r="AE204" s="450"/>
      <c r="AF204" s="450"/>
      <c r="AG204" s="450"/>
      <c r="AH204" s="450"/>
      <c r="AI204" s="450"/>
      <c r="AJ204" s="450"/>
      <c r="AK204" s="450"/>
      <c r="AL204" s="450"/>
      <c r="AM204" s="450"/>
      <c r="AN204" s="450"/>
      <c r="AO204" s="450"/>
      <c r="AP204" s="450"/>
      <c r="AQ204" s="450"/>
      <c r="AR204" s="450"/>
      <c r="AS204" s="450"/>
      <c r="AT204" s="450"/>
      <c r="AU204" s="450"/>
      <c r="AV204" s="450"/>
      <c r="AW204" s="450"/>
      <c r="AX204" s="450"/>
      <c r="AY204" s="450"/>
      <c r="AZ204" s="450"/>
      <c r="BA204" s="450"/>
      <c r="BB204" s="450"/>
      <c r="BC204" s="450"/>
      <c r="BD204" s="450"/>
      <c r="BE204" s="450"/>
      <c r="BF204" s="450"/>
      <c r="BG204" s="450"/>
      <c r="BH204" s="450"/>
      <c r="BI204" s="450"/>
      <c r="BJ204" s="450"/>
      <c r="BK204" s="450"/>
      <c r="BL204" s="450"/>
      <c r="BM204" s="450"/>
      <c r="BN204" s="450"/>
      <c r="BO204" s="450"/>
      <c r="BP204" s="450"/>
      <c r="BQ204" s="450"/>
      <c r="BR204" s="450"/>
      <c r="BS204" s="450"/>
      <c r="BT204" s="450"/>
      <c r="BU204" s="450"/>
      <c r="BV204" s="450"/>
      <c r="BW204" s="450"/>
      <c r="BX204" s="450"/>
      <c r="BY204" s="450"/>
      <c r="BZ204" s="450"/>
      <c r="CA204" s="450"/>
      <c r="CB204" s="450"/>
      <c r="CC204" s="450"/>
      <c r="CD204" s="450"/>
      <c r="CE204" s="450"/>
      <c r="CF204" s="450"/>
      <c r="CG204" s="450"/>
      <c r="CH204" s="450"/>
    </row>
    <row r="205">
      <c r="A205" s="450"/>
      <c r="B205" s="498"/>
      <c r="C205" s="455"/>
      <c r="D205" s="450"/>
      <c r="E205" s="450"/>
      <c r="F205" s="450"/>
      <c r="G205" s="450"/>
      <c r="H205" s="450"/>
      <c r="I205" s="450"/>
      <c r="J205" s="450"/>
      <c r="K205" s="450"/>
      <c r="L205" s="450"/>
      <c r="M205" s="450"/>
      <c r="N205" s="450"/>
      <c r="O205" s="450"/>
      <c r="P205" s="450"/>
      <c r="Q205" s="450"/>
      <c r="R205" s="450"/>
      <c r="S205" s="450"/>
      <c r="T205" s="450"/>
      <c r="U205" s="450"/>
      <c r="V205" s="450"/>
      <c r="W205" s="450"/>
      <c r="X205" s="450"/>
      <c r="Y205" s="450"/>
      <c r="Z205" s="450"/>
      <c r="AA205" s="450"/>
      <c r="AB205" s="450"/>
      <c r="AC205" s="450"/>
      <c r="AD205" s="450"/>
      <c r="AE205" s="450"/>
      <c r="AF205" s="450"/>
      <c r="AG205" s="450"/>
      <c r="AH205" s="450"/>
      <c r="AI205" s="450"/>
      <c r="AJ205" s="450"/>
      <c r="AK205" s="450"/>
      <c r="AL205" s="450"/>
      <c r="AM205" s="450"/>
      <c r="AN205" s="450"/>
      <c r="AO205" s="450"/>
      <c r="AP205" s="450"/>
      <c r="AQ205" s="450"/>
      <c r="AR205" s="450"/>
      <c r="AS205" s="450"/>
      <c r="AT205" s="450"/>
      <c r="AU205" s="450"/>
      <c r="AV205" s="450"/>
      <c r="AW205" s="450"/>
      <c r="AX205" s="450"/>
      <c r="AY205" s="450"/>
      <c r="AZ205" s="450"/>
      <c r="BA205" s="450"/>
      <c r="BB205" s="450"/>
      <c r="BC205" s="450"/>
      <c r="BD205" s="450"/>
      <c r="BE205" s="450"/>
      <c r="BF205" s="450"/>
      <c r="BG205" s="450"/>
      <c r="BH205" s="450"/>
      <c r="BI205" s="450"/>
      <c r="BJ205" s="450"/>
      <c r="BK205" s="450"/>
      <c r="BL205" s="450"/>
      <c r="BM205" s="450"/>
      <c r="BN205" s="450"/>
      <c r="BO205" s="450"/>
      <c r="BP205" s="450"/>
      <c r="BQ205" s="450"/>
      <c r="BR205" s="450"/>
      <c r="BS205" s="450"/>
      <c r="BT205" s="450"/>
      <c r="BU205" s="450"/>
      <c r="BV205" s="450"/>
      <c r="BW205" s="450"/>
      <c r="BX205" s="450"/>
      <c r="BY205" s="450"/>
      <c r="BZ205" s="450"/>
      <c r="CA205" s="450"/>
      <c r="CB205" s="450"/>
      <c r="CC205" s="450"/>
      <c r="CD205" s="450"/>
      <c r="CE205" s="450"/>
      <c r="CF205" s="450"/>
      <c r="CG205" s="450"/>
      <c r="CH205" s="450"/>
    </row>
    <row r="206">
      <c r="A206" s="450"/>
      <c r="B206" s="498"/>
      <c r="C206" s="455"/>
      <c r="D206" s="450"/>
      <c r="E206" s="450"/>
      <c r="F206" s="450"/>
      <c r="G206" s="450"/>
      <c r="H206" s="450"/>
      <c r="I206" s="450"/>
      <c r="J206" s="450"/>
      <c r="K206" s="450"/>
      <c r="L206" s="450"/>
      <c r="M206" s="450"/>
      <c r="N206" s="450"/>
      <c r="O206" s="450"/>
      <c r="P206" s="450"/>
      <c r="Q206" s="450"/>
      <c r="R206" s="450"/>
      <c r="S206" s="450"/>
      <c r="T206" s="450"/>
      <c r="U206" s="450"/>
      <c r="V206" s="450"/>
      <c r="W206" s="450"/>
      <c r="X206" s="450"/>
      <c r="Y206" s="450"/>
      <c r="Z206" s="450"/>
      <c r="AA206" s="450"/>
      <c r="AB206" s="450"/>
      <c r="AC206" s="450"/>
      <c r="AD206" s="450"/>
      <c r="AE206" s="450"/>
      <c r="AF206" s="450"/>
      <c r="AG206" s="450"/>
      <c r="AH206" s="450"/>
      <c r="AI206" s="450"/>
      <c r="AJ206" s="450"/>
      <c r="AK206" s="450"/>
      <c r="AL206" s="450"/>
      <c r="AM206" s="450"/>
      <c r="AN206" s="450"/>
      <c r="AO206" s="450"/>
      <c r="AP206" s="450"/>
      <c r="AQ206" s="450"/>
      <c r="AR206" s="450"/>
      <c r="AS206" s="450"/>
      <c r="AT206" s="450"/>
      <c r="AU206" s="450"/>
      <c r="AV206" s="450"/>
      <c r="AW206" s="450"/>
      <c r="AX206" s="450"/>
      <c r="AY206" s="450"/>
      <c r="AZ206" s="450"/>
      <c r="BA206" s="450"/>
      <c r="BB206" s="450"/>
      <c r="BC206" s="450"/>
      <c r="BD206" s="450"/>
      <c r="BE206" s="450"/>
      <c r="BF206" s="450"/>
      <c r="BG206" s="450"/>
      <c r="BH206" s="450"/>
      <c r="BI206" s="450"/>
      <c r="BJ206" s="450"/>
      <c r="BK206" s="450"/>
      <c r="BL206" s="450"/>
      <c r="BM206" s="450"/>
      <c r="BN206" s="450"/>
      <c r="BO206" s="450"/>
      <c r="BP206" s="450"/>
      <c r="BQ206" s="450"/>
      <c r="BR206" s="450"/>
      <c r="BS206" s="450"/>
      <c r="BT206" s="450"/>
      <c r="BU206" s="450"/>
      <c r="BV206" s="450"/>
      <c r="BW206" s="450"/>
      <c r="BX206" s="450"/>
      <c r="BY206" s="450"/>
      <c r="BZ206" s="450"/>
      <c r="CA206" s="450"/>
      <c r="CB206" s="450"/>
      <c r="CC206" s="450"/>
      <c r="CD206" s="450"/>
      <c r="CE206" s="450"/>
      <c r="CF206" s="450"/>
      <c r="CG206" s="450"/>
      <c r="CH206" s="450"/>
    </row>
    <row r="207">
      <c r="A207" s="450"/>
      <c r="B207" s="498"/>
      <c r="C207" s="455"/>
      <c r="D207" s="450"/>
      <c r="E207" s="450"/>
      <c r="F207" s="450"/>
      <c r="G207" s="450"/>
      <c r="H207" s="450"/>
      <c r="I207" s="450"/>
      <c r="J207" s="450"/>
      <c r="K207" s="450"/>
      <c r="L207" s="450"/>
      <c r="M207" s="450"/>
      <c r="N207" s="450"/>
      <c r="O207" s="450"/>
      <c r="P207" s="450"/>
      <c r="Q207" s="450"/>
      <c r="R207" s="450"/>
      <c r="S207" s="450"/>
      <c r="T207" s="450"/>
      <c r="U207" s="450"/>
      <c r="V207" s="450"/>
      <c r="W207" s="450"/>
      <c r="X207" s="450"/>
      <c r="Y207" s="450"/>
      <c r="Z207" s="450"/>
      <c r="AA207" s="450"/>
      <c r="AB207" s="450"/>
      <c r="AC207" s="450"/>
      <c r="AD207" s="450"/>
      <c r="AE207" s="450"/>
      <c r="AF207" s="450"/>
      <c r="AG207" s="450"/>
      <c r="AH207" s="450"/>
      <c r="AI207" s="450"/>
      <c r="AJ207" s="450"/>
      <c r="AK207" s="450"/>
      <c r="AL207" s="450"/>
      <c r="AM207" s="450"/>
      <c r="AN207" s="450"/>
      <c r="AO207" s="450"/>
      <c r="AP207" s="450"/>
      <c r="AQ207" s="450"/>
      <c r="AR207" s="450"/>
      <c r="AS207" s="450"/>
      <c r="AT207" s="450"/>
      <c r="AU207" s="450"/>
      <c r="AV207" s="450"/>
      <c r="AW207" s="450"/>
      <c r="AX207" s="450"/>
      <c r="AY207" s="450"/>
      <c r="AZ207" s="450"/>
      <c r="BA207" s="450"/>
      <c r="BB207" s="450"/>
      <c r="BC207" s="450"/>
      <c r="BD207" s="450"/>
      <c r="BE207" s="450"/>
      <c r="BF207" s="450"/>
      <c r="BG207" s="450"/>
      <c r="BH207" s="450"/>
      <c r="BI207" s="450"/>
      <c r="BJ207" s="450"/>
      <c r="BK207" s="450"/>
      <c r="BL207" s="450"/>
      <c r="BM207" s="450"/>
      <c r="BN207" s="450"/>
      <c r="BO207" s="450"/>
      <c r="BP207" s="450"/>
      <c r="BQ207" s="450"/>
      <c r="BR207" s="450"/>
      <c r="BS207" s="450"/>
      <c r="BT207" s="450"/>
      <c r="BU207" s="450"/>
      <c r="BV207" s="450"/>
      <c r="BW207" s="450"/>
      <c r="BX207" s="450"/>
      <c r="BY207" s="450"/>
      <c r="BZ207" s="450"/>
      <c r="CA207" s="450"/>
      <c r="CB207" s="450"/>
      <c r="CC207" s="450"/>
      <c r="CD207" s="450"/>
      <c r="CE207" s="450"/>
      <c r="CF207" s="450"/>
      <c r="CG207" s="450"/>
      <c r="CH207" s="450"/>
    </row>
    <row r="208">
      <c r="A208" s="450"/>
      <c r="B208" s="498"/>
      <c r="C208" s="455"/>
      <c r="D208" s="450"/>
      <c r="E208" s="450"/>
      <c r="F208" s="450"/>
      <c r="G208" s="450"/>
      <c r="H208" s="450"/>
      <c r="I208" s="450"/>
      <c r="J208" s="450"/>
      <c r="K208" s="450"/>
      <c r="L208" s="450"/>
      <c r="M208" s="450"/>
      <c r="N208" s="450"/>
      <c r="O208" s="450"/>
      <c r="P208" s="450"/>
      <c r="Q208" s="450"/>
      <c r="R208" s="450"/>
      <c r="S208" s="450"/>
      <c r="T208" s="450"/>
      <c r="U208" s="450"/>
      <c r="V208" s="450"/>
      <c r="W208" s="450"/>
      <c r="X208" s="450"/>
      <c r="Y208" s="450"/>
      <c r="Z208" s="450"/>
      <c r="AA208" s="450"/>
      <c r="AB208" s="450"/>
      <c r="AC208" s="450"/>
      <c r="AD208" s="450"/>
      <c r="AE208" s="450"/>
      <c r="AF208" s="450"/>
      <c r="AG208" s="450"/>
      <c r="AH208" s="450"/>
      <c r="AI208" s="450"/>
      <c r="AJ208" s="450"/>
      <c r="AK208" s="450"/>
      <c r="AL208" s="450"/>
      <c r="AM208" s="450"/>
      <c r="AN208" s="450"/>
      <c r="AO208" s="450"/>
      <c r="AP208" s="450"/>
      <c r="AQ208" s="450"/>
      <c r="AR208" s="450"/>
      <c r="AS208" s="450"/>
      <c r="AT208" s="450"/>
      <c r="AU208" s="450"/>
      <c r="AV208" s="450"/>
      <c r="AW208" s="450"/>
      <c r="AX208" s="450"/>
      <c r="AY208" s="450"/>
      <c r="AZ208" s="450"/>
      <c r="BA208" s="450"/>
      <c r="BB208" s="450"/>
      <c r="BC208" s="450"/>
      <c r="BD208" s="450"/>
      <c r="BE208" s="450"/>
      <c r="BF208" s="450"/>
      <c r="BG208" s="450"/>
      <c r="BH208" s="450"/>
      <c r="BI208" s="450"/>
      <c r="BJ208" s="450"/>
      <c r="BK208" s="450"/>
      <c r="BL208" s="450"/>
      <c r="BM208" s="450"/>
      <c r="BN208" s="450"/>
      <c r="BO208" s="450"/>
      <c r="BP208" s="450"/>
      <c r="BQ208" s="450"/>
      <c r="BR208" s="450"/>
      <c r="BS208" s="450"/>
      <c r="BT208" s="450"/>
      <c r="BU208" s="450"/>
      <c r="BV208" s="450"/>
      <c r="BW208" s="450"/>
      <c r="BX208" s="450"/>
      <c r="BY208" s="450"/>
      <c r="BZ208" s="450"/>
      <c r="CA208" s="450"/>
      <c r="CB208" s="450"/>
      <c r="CC208" s="450"/>
      <c r="CD208" s="450"/>
      <c r="CE208" s="450"/>
      <c r="CF208" s="450"/>
      <c r="CG208" s="450"/>
      <c r="CH208" s="450"/>
    </row>
    <row r="209">
      <c r="A209" s="450"/>
      <c r="B209" s="498"/>
      <c r="C209" s="455"/>
      <c r="D209" s="450"/>
      <c r="E209" s="450"/>
      <c r="F209" s="450"/>
      <c r="G209" s="450"/>
      <c r="H209" s="450"/>
      <c r="I209" s="450"/>
      <c r="J209" s="450"/>
      <c r="K209" s="450"/>
      <c r="L209" s="450"/>
      <c r="M209" s="450"/>
      <c r="N209" s="450"/>
      <c r="O209" s="450"/>
      <c r="P209" s="450"/>
      <c r="Q209" s="450"/>
      <c r="R209" s="450"/>
      <c r="S209" s="450"/>
      <c r="T209" s="450"/>
      <c r="U209" s="450"/>
      <c r="V209" s="450"/>
      <c r="W209" s="450"/>
      <c r="X209" s="450"/>
      <c r="Y209" s="450"/>
      <c r="Z209" s="450"/>
      <c r="AA209" s="450"/>
      <c r="AB209" s="450"/>
      <c r="AC209" s="450"/>
      <c r="AD209" s="450"/>
      <c r="AE209" s="450"/>
      <c r="AF209" s="450"/>
      <c r="AG209" s="450"/>
      <c r="AH209" s="450"/>
      <c r="AI209" s="450"/>
      <c r="AJ209" s="450"/>
      <c r="AK209" s="450"/>
      <c r="AL209" s="450"/>
      <c r="AM209" s="450"/>
      <c r="AN209" s="450"/>
      <c r="AO209" s="450"/>
      <c r="AP209" s="450"/>
      <c r="AQ209" s="450"/>
      <c r="AR209" s="450"/>
      <c r="AS209" s="450"/>
      <c r="AT209" s="450"/>
      <c r="AU209" s="450"/>
      <c r="AV209" s="450"/>
      <c r="AW209" s="450"/>
      <c r="AX209" s="450"/>
      <c r="AY209" s="450"/>
      <c r="AZ209" s="450"/>
      <c r="BA209" s="450"/>
      <c r="BB209" s="450"/>
      <c r="BC209" s="450"/>
      <c r="BD209" s="450"/>
      <c r="BE209" s="450"/>
      <c r="BF209" s="450"/>
      <c r="BG209" s="450"/>
      <c r="BH209" s="450"/>
      <c r="BI209" s="450"/>
      <c r="BJ209" s="450"/>
      <c r="BK209" s="450"/>
      <c r="BL209" s="450"/>
      <c r="BM209" s="450"/>
      <c r="BN209" s="450"/>
      <c r="BO209" s="450"/>
      <c r="BP209" s="450"/>
      <c r="BQ209" s="450"/>
      <c r="BR209" s="450"/>
      <c r="BS209" s="450"/>
      <c r="BT209" s="450"/>
      <c r="BU209" s="450"/>
      <c r="BV209" s="450"/>
      <c r="BW209" s="450"/>
      <c r="BX209" s="450"/>
      <c r="BY209" s="450"/>
      <c r="BZ209" s="450"/>
      <c r="CA209" s="450"/>
      <c r="CB209" s="450"/>
      <c r="CC209" s="450"/>
      <c r="CD209" s="450"/>
      <c r="CE209" s="450"/>
      <c r="CF209" s="450"/>
      <c r="CG209" s="450"/>
      <c r="CH209" s="450"/>
    </row>
    <row r="210">
      <c r="A210" s="450"/>
      <c r="B210" s="498"/>
      <c r="C210" s="455"/>
      <c r="D210" s="450"/>
      <c r="E210" s="450"/>
      <c r="F210" s="450"/>
      <c r="G210" s="450"/>
      <c r="H210" s="450"/>
      <c r="I210" s="450"/>
      <c r="J210" s="450"/>
      <c r="K210" s="450"/>
      <c r="L210" s="450"/>
      <c r="M210" s="450"/>
      <c r="N210" s="450"/>
      <c r="O210" s="450"/>
      <c r="P210" s="450"/>
      <c r="Q210" s="450"/>
      <c r="R210" s="450"/>
      <c r="S210" s="450"/>
      <c r="T210" s="450"/>
      <c r="U210" s="450"/>
      <c r="V210" s="450"/>
      <c r="W210" s="450"/>
      <c r="X210" s="450"/>
      <c r="Y210" s="450"/>
      <c r="Z210" s="450"/>
      <c r="AA210" s="450"/>
      <c r="AB210" s="450"/>
      <c r="AC210" s="450"/>
      <c r="AD210" s="450"/>
      <c r="AE210" s="450"/>
      <c r="AF210" s="450"/>
      <c r="AG210" s="450"/>
      <c r="AH210" s="450"/>
      <c r="AI210" s="450"/>
      <c r="AJ210" s="450"/>
      <c r="AK210" s="450"/>
      <c r="AL210" s="450"/>
      <c r="AM210" s="450"/>
      <c r="AN210" s="450"/>
      <c r="AO210" s="450"/>
      <c r="AP210" s="450"/>
      <c r="AQ210" s="450"/>
      <c r="AR210" s="450"/>
      <c r="AS210" s="450"/>
      <c r="AT210" s="450"/>
      <c r="AU210" s="450"/>
      <c r="AV210" s="450"/>
      <c r="AW210" s="450"/>
      <c r="AX210" s="450"/>
      <c r="AY210" s="450"/>
      <c r="AZ210" s="450"/>
      <c r="BA210" s="450"/>
      <c r="BB210" s="450"/>
      <c r="BC210" s="450"/>
      <c r="BD210" s="450"/>
      <c r="BE210" s="450"/>
      <c r="BF210" s="450"/>
      <c r="BG210" s="450"/>
      <c r="BH210" s="450"/>
      <c r="BI210" s="450"/>
      <c r="BJ210" s="450"/>
      <c r="BK210" s="450"/>
      <c r="BL210" s="450"/>
      <c r="BM210" s="450"/>
      <c r="BN210" s="450"/>
      <c r="BO210" s="450"/>
      <c r="BP210" s="450"/>
      <c r="BQ210" s="450"/>
      <c r="BR210" s="450"/>
      <c r="BS210" s="450"/>
      <c r="BT210" s="450"/>
      <c r="BU210" s="450"/>
      <c r="BV210" s="450"/>
      <c r="BW210" s="450"/>
      <c r="BX210" s="450"/>
      <c r="BY210" s="450"/>
      <c r="BZ210" s="450"/>
      <c r="CA210" s="450"/>
      <c r="CB210" s="450"/>
      <c r="CC210" s="450"/>
      <c r="CD210" s="450"/>
      <c r="CE210" s="450"/>
      <c r="CF210" s="450"/>
      <c r="CG210" s="450"/>
      <c r="CH210" s="450"/>
    </row>
    <row r="211">
      <c r="A211" s="450"/>
      <c r="B211" s="498"/>
      <c r="C211" s="455"/>
      <c r="D211" s="450"/>
      <c r="E211" s="450"/>
      <c r="F211" s="450"/>
      <c r="G211" s="450"/>
      <c r="H211" s="450"/>
      <c r="I211" s="450"/>
      <c r="J211" s="450"/>
      <c r="K211" s="450"/>
      <c r="L211" s="450"/>
      <c r="M211" s="450"/>
      <c r="N211" s="450"/>
      <c r="O211" s="450"/>
      <c r="P211" s="450"/>
      <c r="Q211" s="450"/>
      <c r="R211" s="450"/>
      <c r="S211" s="450"/>
      <c r="T211" s="450"/>
      <c r="U211" s="450"/>
      <c r="V211" s="450"/>
      <c r="W211" s="450"/>
      <c r="X211" s="450"/>
      <c r="Y211" s="450"/>
      <c r="Z211" s="450"/>
      <c r="AA211" s="450"/>
      <c r="AB211" s="450"/>
      <c r="AC211" s="450"/>
      <c r="AD211" s="450"/>
      <c r="AE211" s="450"/>
      <c r="AF211" s="450"/>
      <c r="AG211" s="450"/>
      <c r="AH211" s="450"/>
      <c r="AI211" s="450"/>
      <c r="AJ211" s="450"/>
      <c r="AK211" s="450"/>
      <c r="AL211" s="450"/>
      <c r="AM211" s="450"/>
      <c r="AN211" s="450"/>
      <c r="AO211" s="450"/>
      <c r="AP211" s="450"/>
      <c r="AQ211" s="450"/>
      <c r="AR211" s="450"/>
      <c r="AS211" s="450"/>
      <c r="AT211" s="450"/>
      <c r="AU211" s="450"/>
      <c r="AV211" s="450"/>
      <c r="AW211" s="450"/>
      <c r="AX211" s="450"/>
      <c r="AY211" s="450"/>
      <c r="AZ211" s="450"/>
      <c r="BA211" s="450"/>
      <c r="BB211" s="450"/>
      <c r="BC211" s="450"/>
      <c r="BD211" s="450"/>
      <c r="BE211" s="450"/>
      <c r="BF211" s="450"/>
      <c r="BG211" s="450"/>
      <c r="BH211" s="450"/>
      <c r="BI211" s="450"/>
      <c r="BJ211" s="450"/>
      <c r="BK211" s="450"/>
      <c r="BL211" s="450"/>
      <c r="BM211" s="450"/>
      <c r="BN211" s="450"/>
      <c r="BO211" s="450"/>
      <c r="BP211" s="450"/>
      <c r="BQ211" s="450"/>
      <c r="BR211" s="450"/>
      <c r="BS211" s="450"/>
      <c r="BT211" s="450"/>
      <c r="BU211" s="450"/>
      <c r="BV211" s="450"/>
      <c r="BW211" s="450"/>
      <c r="BX211" s="450"/>
      <c r="BY211" s="450"/>
      <c r="BZ211" s="450"/>
      <c r="CA211" s="450"/>
      <c r="CB211" s="450"/>
      <c r="CC211" s="450"/>
      <c r="CD211" s="450"/>
      <c r="CE211" s="450"/>
      <c r="CF211" s="450"/>
      <c r="CG211" s="450"/>
      <c r="CH211" s="450"/>
    </row>
    <row r="212">
      <c r="A212" s="450"/>
      <c r="B212" s="498"/>
      <c r="C212" s="455"/>
      <c r="D212" s="450"/>
      <c r="E212" s="450"/>
      <c r="F212" s="450"/>
      <c r="G212" s="450"/>
      <c r="H212" s="450"/>
      <c r="I212" s="450"/>
      <c r="J212" s="450"/>
      <c r="K212" s="450"/>
      <c r="L212" s="450"/>
      <c r="M212" s="450"/>
      <c r="N212" s="450"/>
      <c r="O212" s="450"/>
      <c r="P212" s="450"/>
      <c r="Q212" s="450"/>
      <c r="R212" s="450"/>
      <c r="S212" s="450"/>
      <c r="T212" s="450"/>
      <c r="U212" s="450"/>
      <c r="V212" s="450"/>
      <c r="W212" s="450"/>
      <c r="X212" s="450"/>
      <c r="Y212" s="450"/>
      <c r="Z212" s="450"/>
      <c r="AA212" s="450"/>
      <c r="AB212" s="450"/>
      <c r="AC212" s="450"/>
      <c r="AD212" s="450"/>
      <c r="AE212" s="450"/>
      <c r="AF212" s="450"/>
      <c r="AG212" s="450"/>
      <c r="AH212" s="450"/>
      <c r="AI212" s="450"/>
      <c r="AJ212" s="450"/>
      <c r="AK212" s="450"/>
      <c r="AL212" s="450"/>
      <c r="AM212" s="450"/>
      <c r="AN212" s="450"/>
      <c r="AO212" s="450"/>
      <c r="AP212" s="450"/>
      <c r="AQ212" s="450"/>
      <c r="AR212" s="450"/>
      <c r="AS212" s="450"/>
      <c r="AT212" s="450"/>
      <c r="AU212" s="450"/>
      <c r="AV212" s="450"/>
      <c r="AW212" s="450"/>
      <c r="AX212" s="450"/>
      <c r="AY212" s="450"/>
      <c r="AZ212" s="450"/>
      <c r="BA212" s="450"/>
      <c r="BB212" s="450"/>
      <c r="BC212" s="450"/>
      <c r="BD212" s="450"/>
      <c r="BE212" s="450"/>
      <c r="BF212" s="450"/>
      <c r="BG212" s="450"/>
      <c r="BH212" s="450"/>
      <c r="BI212" s="450"/>
      <c r="BJ212" s="450"/>
      <c r="BK212" s="450"/>
      <c r="BL212" s="450"/>
      <c r="BM212" s="450"/>
      <c r="BN212" s="450"/>
      <c r="BO212" s="450"/>
      <c r="BP212" s="450"/>
      <c r="BQ212" s="450"/>
      <c r="BR212" s="450"/>
      <c r="BS212" s="450"/>
      <c r="BT212" s="450"/>
      <c r="BU212" s="450"/>
      <c r="BV212" s="450"/>
      <c r="BW212" s="450"/>
      <c r="BX212" s="450"/>
      <c r="BY212" s="450"/>
      <c r="BZ212" s="450"/>
      <c r="CA212" s="450"/>
      <c r="CB212" s="450"/>
      <c r="CC212" s="450"/>
      <c r="CD212" s="450"/>
      <c r="CE212" s="450"/>
      <c r="CF212" s="450"/>
      <c r="CG212" s="450"/>
      <c r="CH212" s="450"/>
    </row>
    <row r="213">
      <c r="A213" s="450"/>
      <c r="B213" s="498"/>
      <c r="C213" s="455"/>
      <c r="D213" s="450"/>
      <c r="E213" s="450"/>
      <c r="F213" s="450"/>
      <c r="G213" s="450"/>
      <c r="H213" s="450"/>
      <c r="I213" s="450"/>
      <c r="J213" s="450"/>
      <c r="K213" s="450"/>
      <c r="L213" s="450"/>
      <c r="M213" s="450"/>
      <c r="N213" s="450"/>
      <c r="O213" s="450"/>
      <c r="P213" s="450"/>
      <c r="Q213" s="450"/>
      <c r="R213" s="450"/>
      <c r="S213" s="450"/>
      <c r="T213" s="450"/>
      <c r="U213" s="450"/>
      <c r="V213" s="450"/>
      <c r="W213" s="450"/>
      <c r="X213" s="450"/>
      <c r="Y213" s="450"/>
      <c r="Z213" s="450"/>
      <c r="AA213" s="450"/>
      <c r="AB213" s="450"/>
      <c r="AC213" s="450"/>
      <c r="AD213" s="450"/>
      <c r="AE213" s="450"/>
      <c r="AF213" s="450"/>
      <c r="AG213" s="450"/>
      <c r="AH213" s="450"/>
      <c r="AI213" s="450"/>
      <c r="AJ213" s="450"/>
      <c r="AK213" s="450"/>
      <c r="AL213" s="450"/>
      <c r="AM213" s="450"/>
      <c r="AN213" s="450"/>
      <c r="AO213" s="450"/>
      <c r="AP213" s="450"/>
      <c r="AQ213" s="450"/>
      <c r="AR213" s="450"/>
      <c r="AS213" s="450"/>
      <c r="AT213" s="450"/>
      <c r="AU213" s="450"/>
      <c r="AV213" s="450"/>
      <c r="AW213" s="450"/>
      <c r="AX213" s="450"/>
      <c r="AY213" s="450"/>
      <c r="AZ213" s="450"/>
      <c r="BA213" s="450"/>
      <c r="BB213" s="450"/>
      <c r="BC213" s="450"/>
      <c r="BD213" s="450"/>
      <c r="BE213" s="450"/>
      <c r="BF213" s="450"/>
      <c r="BG213" s="450"/>
      <c r="BH213" s="450"/>
      <c r="BI213" s="450"/>
      <c r="BJ213" s="450"/>
      <c r="BK213" s="450"/>
      <c r="BL213" s="450"/>
      <c r="BM213" s="450"/>
      <c r="BN213" s="450"/>
      <c r="BO213" s="450"/>
      <c r="BP213" s="450"/>
      <c r="BQ213" s="450"/>
      <c r="BR213" s="450"/>
      <c r="BS213" s="450"/>
      <c r="BT213" s="450"/>
      <c r="BU213" s="450"/>
      <c r="BV213" s="450"/>
      <c r="BW213" s="450"/>
      <c r="BX213" s="450"/>
      <c r="BY213" s="450"/>
      <c r="BZ213" s="450"/>
      <c r="CA213" s="450"/>
      <c r="CB213" s="450"/>
      <c r="CC213" s="450"/>
      <c r="CD213" s="450"/>
      <c r="CE213" s="450"/>
      <c r="CF213" s="450"/>
      <c r="CG213" s="450"/>
      <c r="CH213" s="450"/>
    </row>
    <row r="214">
      <c r="A214" s="450"/>
      <c r="B214" s="498"/>
      <c r="C214" s="455"/>
      <c r="D214" s="450"/>
      <c r="E214" s="450"/>
      <c r="F214" s="450"/>
      <c r="G214" s="450"/>
      <c r="H214" s="450"/>
      <c r="I214" s="450"/>
      <c r="J214" s="450"/>
      <c r="K214" s="450"/>
      <c r="L214" s="450"/>
      <c r="M214" s="450"/>
      <c r="N214" s="450"/>
      <c r="O214" s="450"/>
      <c r="P214" s="450"/>
      <c r="Q214" s="450"/>
      <c r="R214" s="450"/>
      <c r="S214" s="450"/>
      <c r="T214" s="450"/>
      <c r="U214" s="450"/>
      <c r="V214" s="450"/>
      <c r="W214" s="450"/>
      <c r="X214" s="450"/>
      <c r="Y214" s="450"/>
      <c r="Z214" s="450"/>
      <c r="AA214" s="450"/>
      <c r="AB214" s="450"/>
      <c r="AC214" s="450"/>
      <c r="AD214" s="450"/>
      <c r="AE214" s="450"/>
      <c r="AF214" s="450"/>
      <c r="AG214" s="450"/>
      <c r="AH214" s="450"/>
      <c r="AI214" s="450"/>
      <c r="AJ214" s="450"/>
      <c r="AK214" s="450"/>
      <c r="AL214" s="450"/>
      <c r="AM214" s="450"/>
      <c r="AN214" s="450"/>
      <c r="AO214" s="450"/>
      <c r="AP214" s="450"/>
      <c r="AQ214" s="450"/>
      <c r="AR214" s="450"/>
      <c r="AS214" s="450"/>
      <c r="AT214" s="450"/>
      <c r="AU214" s="450"/>
      <c r="AV214" s="450"/>
      <c r="AW214" s="450"/>
      <c r="AX214" s="450"/>
      <c r="AY214" s="450"/>
      <c r="AZ214" s="450"/>
      <c r="BA214" s="450"/>
      <c r="BB214" s="450"/>
      <c r="BC214" s="450"/>
      <c r="BD214" s="450"/>
      <c r="BE214" s="450"/>
      <c r="BF214" s="450"/>
      <c r="BG214" s="450"/>
      <c r="BH214" s="450"/>
      <c r="BI214" s="450"/>
      <c r="BJ214" s="450"/>
      <c r="BK214" s="450"/>
      <c r="BL214" s="450"/>
      <c r="BM214" s="450"/>
      <c r="BN214" s="450"/>
      <c r="BO214" s="450"/>
      <c r="BP214" s="450"/>
      <c r="BQ214" s="450"/>
      <c r="BR214" s="450"/>
      <c r="BS214" s="450"/>
      <c r="BT214" s="450"/>
      <c r="BU214" s="450"/>
      <c r="BV214" s="450"/>
      <c r="BW214" s="450"/>
      <c r="BX214" s="450"/>
      <c r="BY214" s="450"/>
      <c r="BZ214" s="450"/>
      <c r="CA214" s="450"/>
      <c r="CB214" s="450"/>
      <c r="CC214" s="450"/>
      <c r="CD214" s="450"/>
      <c r="CE214" s="450"/>
      <c r="CF214" s="450"/>
      <c r="CG214" s="450"/>
      <c r="CH214" s="450"/>
    </row>
    <row r="215">
      <c r="A215" s="450"/>
      <c r="B215" s="498"/>
      <c r="C215" s="455"/>
      <c r="D215" s="450"/>
      <c r="E215" s="450"/>
      <c r="F215" s="450"/>
      <c r="G215" s="450"/>
      <c r="H215" s="450"/>
      <c r="I215" s="450"/>
      <c r="J215" s="450"/>
      <c r="K215" s="450"/>
      <c r="L215" s="450"/>
      <c r="M215" s="450"/>
      <c r="N215" s="450"/>
      <c r="O215" s="450"/>
      <c r="P215" s="450"/>
      <c r="Q215" s="450"/>
      <c r="R215" s="450"/>
      <c r="S215" s="450"/>
      <c r="T215" s="450"/>
      <c r="U215" s="450"/>
      <c r="V215" s="450"/>
      <c r="W215" s="450"/>
      <c r="X215" s="450"/>
      <c r="Y215" s="450"/>
      <c r="Z215" s="450"/>
      <c r="AA215" s="450"/>
      <c r="AB215" s="450"/>
      <c r="AC215" s="450"/>
      <c r="AD215" s="450"/>
      <c r="AE215" s="450"/>
      <c r="AF215" s="450"/>
      <c r="AG215" s="450"/>
      <c r="AH215" s="450"/>
      <c r="AI215" s="450"/>
      <c r="AJ215" s="450"/>
      <c r="AK215" s="450"/>
      <c r="AL215" s="450"/>
      <c r="AM215" s="450"/>
      <c r="AN215" s="450"/>
      <c r="AO215" s="450"/>
      <c r="AP215" s="450"/>
      <c r="AQ215" s="450"/>
      <c r="AR215" s="450"/>
      <c r="AS215" s="450"/>
      <c r="AT215" s="450"/>
      <c r="AU215" s="450"/>
      <c r="AV215" s="450"/>
      <c r="AW215" s="450"/>
      <c r="AX215" s="450"/>
      <c r="AY215" s="450"/>
      <c r="AZ215" s="450"/>
      <c r="BA215" s="450"/>
      <c r="BB215" s="450"/>
      <c r="BC215" s="450"/>
      <c r="BD215" s="450"/>
      <c r="BE215" s="450"/>
      <c r="BF215" s="450"/>
      <c r="BG215" s="450"/>
      <c r="BH215" s="450"/>
      <c r="BI215" s="450"/>
      <c r="BJ215" s="450"/>
      <c r="BK215" s="450"/>
      <c r="BL215" s="450"/>
      <c r="BM215" s="450"/>
      <c r="BN215" s="450"/>
      <c r="BO215" s="450"/>
      <c r="BP215" s="450"/>
      <c r="BQ215" s="450"/>
      <c r="BR215" s="450"/>
      <c r="BS215" s="450"/>
      <c r="BT215" s="450"/>
      <c r="BU215" s="450"/>
      <c r="BV215" s="450"/>
      <c r="BW215" s="450"/>
      <c r="BX215" s="450"/>
      <c r="BY215" s="450"/>
      <c r="BZ215" s="450"/>
      <c r="CA215" s="450"/>
      <c r="CB215" s="450"/>
      <c r="CC215" s="450"/>
      <c r="CD215" s="450"/>
      <c r="CE215" s="450"/>
      <c r="CF215" s="450"/>
      <c r="CG215" s="450"/>
      <c r="CH215" s="450"/>
    </row>
    <row r="216">
      <c r="A216" s="450"/>
      <c r="B216" s="498"/>
      <c r="C216" s="455"/>
      <c r="D216" s="450"/>
      <c r="E216" s="450"/>
      <c r="F216" s="450"/>
      <c r="G216" s="450"/>
      <c r="H216" s="450"/>
      <c r="I216" s="450"/>
      <c r="J216" s="450"/>
      <c r="K216" s="450"/>
      <c r="L216" s="450"/>
      <c r="M216" s="450"/>
      <c r="N216" s="450"/>
      <c r="O216" s="450"/>
      <c r="P216" s="450"/>
      <c r="Q216" s="450"/>
      <c r="R216" s="450"/>
      <c r="S216" s="450"/>
      <c r="T216" s="450"/>
      <c r="U216" s="450"/>
      <c r="V216" s="450"/>
      <c r="W216" s="450"/>
      <c r="X216" s="450"/>
      <c r="Y216" s="450"/>
      <c r="Z216" s="450"/>
      <c r="AA216" s="450"/>
      <c r="AB216" s="450"/>
      <c r="AC216" s="450"/>
      <c r="AD216" s="450"/>
      <c r="AE216" s="450"/>
      <c r="AF216" s="450"/>
      <c r="AG216" s="450"/>
      <c r="AH216" s="450"/>
      <c r="AI216" s="450"/>
      <c r="AJ216" s="450"/>
      <c r="AK216" s="450"/>
      <c r="AL216" s="450"/>
      <c r="AM216" s="450"/>
      <c r="AN216" s="450"/>
      <c r="AO216" s="450"/>
      <c r="AP216" s="450"/>
      <c r="AQ216" s="450"/>
      <c r="AR216" s="450"/>
      <c r="AS216" s="450"/>
      <c r="AT216" s="450"/>
      <c r="AU216" s="450"/>
      <c r="AV216" s="450"/>
      <c r="AW216" s="450"/>
      <c r="AX216" s="450"/>
      <c r="AY216" s="450"/>
      <c r="AZ216" s="450"/>
      <c r="BA216" s="450"/>
      <c r="BB216" s="450"/>
      <c r="BC216" s="450"/>
      <c r="BD216" s="450"/>
      <c r="BE216" s="450"/>
      <c r="BF216" s="450"/>
      <c r="BG216" s="450"/>
      <c r="BH216" s="450"/>
      <c r="BI216" s="450"/>
      <c r="BJ216" s="450"/>
      <c r="BK216" s="450"/>
      <c r="BL216" s="450"/>
      <c r="BM216" s="450"/>
      <c r="BN216" s="450"/>
      <c r="BO216" s="450"/>
      <c r="BP216" s="450"/>
      <c r="BQ216" s="450"/>
      <c r="BR216" s="450"/>
      <c r="BS216" s="450"/>
      <c r="BT216" s="450"/>
      <c r="BU216" s="450"/>
      <c r="BV216" s="450"/>
      <c r="BW216" s="450"/>
      <c r="BX216" s="450"/>
      <c r="BY216" s="450"/>
      <c r="BZ216" s="450"/>
      <c r="CA216" s="450"/>
      <c r="CB216" s="450"/>
      <c r="CC216" s="450"/>
      <c r="CD216" s="450"/>
      <c r="CE216" s="450"/>
      <c r="CF216" s="450"/>
      <c r="CG216" s="450"/>
      <c r="CH216" s="450"/>
    </row>
    <row r="217">
      <c r="A217" s="450"/>
      <c r="B217" s="498"/>
      <c r="C217" s="455"/>
      <c r="D217" s="450"/>
      <c r="E217" s="450"/>
      <c r="F217" s="450"/>
      <c r="G217" s="450"/>
      <c r="H217" s="450"/>
      <c r="I217" s="450"/>
      <c r="J217" s="450"/>
      <c r="K217" s="450"/>
      <c r="L217" s="450"/>
      <c r="M217" s="450"/>
      <c r="N217" s="450"/>
      <c r="O217" s="450"/>
      <c r="P217" s="450"/>
      <c r="Q217" s="450"/>
      <c r="R217" s="450"/>
      <c r="S217" s="450"/>
      <c r="T217" s="450"/>
      <c r="U217" s="450"/>
      <c r="V217" s="450"/>
      <c r="W217" s="450"/>
      <c r="X217" s="450"/>
      <c r="Y217" s="450"/>
      <c r="Z217" s="450"/>
      <c r="AA217" s="450"/>
      <c r="AB217" s="450"/>
      <c r="AC217" s="450"/>
      <c r="AD217" s="450"/>
      <c r="AE217" s="450"/>
      <c r="AF217" s="450"/>
      <c r="AG217" s="450"/>
      <c r="AH217" s="450"/>
      <c r="AI217" s="450"/>
      <c r="AJ217" s="450"/>
      <c r="AK217" s="450"/>
      <c r="AL217" s="450"/>
      <c r="AM217" s="450"/>
      <c r="AN217" s="450"/>
      <c r="AO217" s="450"/>
      <c r="AP217" s="450"/>
      <c r="AQ217" s="450"/>
      <c r="AR217" s="450"/>
      <c r="AS217" s="450"/>
      <c r="AT217" s="450"/>
      <c r="AU217" s="450"/>
      <c r="AV217" s="450"/>
      <c r="AW217" s="450"/>
      <c r="AX217" s="450"/>
      <c r="AY217" s="450"/>
      <c r="AZ217" s="450"/>
      <c r="BA217" s="450"/>
      <c r="BB217" s="450"/>
      <c r="BC217" s="450"/>
      <c r="BD217" s="450"/>
      <c r="BE217" s="450"/>
      <c r="BF217" s="450"/>
      <c r="BG217" s="450"/>
      <c r="BH217" s="450"/>
      <c r="BI217" s="450"/>
      <c r="BJ217" s="450"/>
      <c r="BK217" s="450"/>
      <c r="BL217" s="450"/>
      <c r="BM217" s="450"/>
      <c r="BN217" s="450"/>
      <c r="BO217" s="450"/>
      <c r="BP217" s="450"/>
      <c r="BQ217" s="450"/>
      <c r="BR217" s="450"/>
      <c r="BS217" s="450"/>
      <c r="BT217" s="450"/>
      <c r="BU217" s="450"/>
      <c r="BV217" s="450"/>
      <c r="BW217" s="450"/>
      <c r="BX217" s="450"/>
      <c r="BY217" s="450"/>
      <c r="BZ217" s="450"/>
      <c r="CA217" s="450"/>
      <c r="CB217" s="450"/>
      <c r="CC217" s="450"/>
      <c r="CD217" s="450"/>
      <c r="CE217" s="450"/>
      <c r="CF217" s="450"/>
      <c r="CG217" s="450"/>
      <c r="CH217" s="450"/>
    </row>
    <row r="218">
      <c r="A218" s="450"/>
      <c r="B218" s="498"/>
      <c r="C218" s="455"/>
      <c r="D218" s="450"/>
      <c r="E218" s="450"/>
      <c r="F218" s="450"/>
      <c r="G218" s="450"/>
      <c r="H218" s="450"/>
      <c r="I218" s="450"/>
      <c r="J218" s="450"/>
      <c r="K218" s="450"/>
      <c r="L218" s="450"/>
      <c r="M218" s="450"/>
      <c r="N218" s="450"/>
      <c r="O218" s="450"/>
      <c r="P218" s="450"/>
      <c r="Q218" s="450"/>
      <c r="R218" s="450"/>
      <c r="S218" s="450"/>
      <c r="T218" s="450"/>
      <c r="U218" s="450"/>
      <c r="V218" s="450"/>
      <c r="W218" s="450"/>
      <c r="X218" s="450"/>
      <c r="Y218" s="450"/>
      <c r="Z218" s="450"/>
      <c r="AA218" s="450"/>
      <c r="AB218" s="450"/>
      <c r="AC218" s="450"/>
      <c r="AD218" s="450"/>
      <c r="AE218" s="450"/>
      <c r="AF218" s="450"/>
      <c r="AG218" s="450"/>
      <c r="AH218" s="450"/>
      <c r="AI218" s="450"/>
      <c r="AJ218" s="450"/>
      <c r="AK218" s="450"/>
      <c r="AL218" s="450"/>
      <c r="AM218" s="450"/>
      <c r="AN218" s="450"/>
      <c r="AO218" s="450"/>
      <c r="AP218" s="450"/>
      <c r="AQ218" s="450"/>
      <c r="AR218" s="450"/>
      <c r="AS218" s="450"/>
      <c r="AT218" s="450"/>
      <c r="AU218" s="450"/>
      <c r="AV218" s="450"/>
      <c r="AW218" s="450"/>
      <c r="AX218" s="450"/>
      <c r="AY218" s="450"/>
      <c r="AZ218" s="450"/>
      <c r="BA218" s="450"/>
      <c r="BB218" s="450"/>
      <c r="BC218" s="450"/>
      <c r="BD218" s="450"/>
      <c r="BE218" s="450"/>
      <c r="BF218" s="450"/>
      <c r="BG218" s="450"/>
      <c r="BH218" s="450"/>
      <c r="BI218" s="450"/>
      <c r="BJ218" s="450"/>
      <c r="BK218" s="450"/>
      <c r="BL218" s="450"/>
      <c r="BM218" s="450"/>
      <c r="BN218" s="450"/>
      <c r="BO218" s="450"/>
      <c r="BP218" s="450"/>
      <c r="BQ218" s="450"/>
      <c r="BR218" s="450"/>
      <c r="BS218" s="450"/>
      <c r="BT218" s="450"/>
      <c r="BU218" s="450"/>
      <c r="BV218" s="450"/>
      <c r="BW218" s="450"/>
      <c r="BX218" s="450"/>
      <c r="BY218" s="450"/>
      <c r="BZ218" s="450"/>
      <c r="CA218" s="450"/>
      <c r="CB218" s="450"/>
      <c r="CC218" s="450"/>
      <c r="CD218" s="450"/>
      <c r="CE218" s="450"/>
      <c r="CF218" s="450"/>
      <c r="CG218" s="450"/>
      <c r="CH218" s="450"/>
    </row>
    <row r="219">
      <c r="A219" s="450"/>
      <c r="B219" s="498"/>
      <c r="C219" s="455"/>
      <c r="D219" s="450"/>
      <c r="E219" s="450"/>
      <c r="F219" s="450"/>
      <c r="G219" s="450"/>
      <c r="H219" s="450"/>
      <c r="I219" s="450"/>
      <c r="J219" s="450"/>
      <c r="K219" s="450"/>
      <c r="L219" s="450"/>
      <c r="M219" s="450"/>
      <c r="N219" s="450"/>
      <c r="O219" s="450"/>
      <c r="P219" s="450"/>
      <c r="Q219" s="450"/>
      <c r="R219" s="450"/>
      <c r="S219" s="450"/>
      <c r="T219" s="450"/>
      <c r="U219" s="450"/>
      <c r="V219" s="450"/>
      <c r="W219" s="450"/>
      <c r="X219" s="450"/>
      <c r="Y219" s="450"/>
      <c r="Z219" s="450"/>
      <c r="AA219" s="450"/>
      <c r="AB219" s="450"/>
      <c r="AC219" s="450"/>
      <c r="AD219" s="450"/>
      <c r="AE219" s="450"/>
      <c r="AF219" s="450"/>
      <c r="AG219" s="450"/>
      <c r="AH219" s="450"/>
      <c r="AI219" s="450"/>
      <c r="AJ219" s="450"/>
      <c r="AK219" s="450"/>
      <c r="AL219" s="450"/>
      <c r="AM219" s="450"/>
      <c r="AN219" s="450"/>
      <c r="AO219" s="450"/>
      <c r="AP219" s="450"/>
      <c r="AQ219" s="450"/>
      <c r="AR219" s="450"/>
      <c r="AS219" s="450"/>
      <c r="AT219" s="450"/>
      <c r="AU219" s="450"/>
      <c r="AV219" s="450"/>
      <c r="AW219" s="450"/>
      <c r="AX219" s="450"/>
      <c r="AY219" s="450"/>
      <c r="AZ219" s="450"/>
      <c r="BA219" s="450"/>
      <c r="BB219" s="450"/>
      <c r="BC219" s="450"/>
      <c r="BD219" s="450"/>
      <c r="BE219" s="450"/>
      <c r="BF219" s="450"/>
      <c r="BG219" s="450"/>
      <c r="BH219" s="450"/>
      <c r="BI219" s="450"/>
      <c r="BJ219" s="450"/>
      <c r="BK219" s="450"/>
      <c r="BL219" s="450"/>
      <c r="BM219" s="450"/>
      <c r="BN219" s="450"/>
      <c r="BO219" s="450"/>
      <c r="BP219" s="450"/>
      <c r="BQ219" s="450"/>
      <c r="BR219" s="450"/>
      <c r="BS219" s="450"/>
      <c r="BT219" s="450"/>
      <c r="BU219" s="450"/>
      <c r="BV219" s="450"/>
      <c r="BW219" s="450"/>
      <c r="BX219" s="450"/>
      <c r="BY219" s="450"/>
      <c r="BZ219" s="450"/>
      <c r="CA219" s="450"/>
      <c r="CB219" s="450"/>
      <c r="CC219" s="450"/>
      <c r="CD219" s="450"/>
      <c r="CE219" s="450"/>
      <c r="CF219" s="450"/>
      <c r="CG219" s="450"/>
      <c r="CH219" s="450"/>
    </row>
    <row r="220">
      <c r="A220" s="450"/>
      <c r="B220" s="498"/>
      <c r="C220" s="455"/>
      <c r="D220" s="450"/>
      <c r="E220" s="450"/>
      <c r="F220" s="450"/>
      <c r="G220" s="450"/>
      <c r="H220" s="450"/>
      <c r="I220" s="450"/>
      <c r="J220" s="450"/>
      <c r="K220" s="450"/>
      <c r="L220" s="450"/>
      <c r="M220" s="450"/>
      <c r="N220" s="450"/>
      <c r="O220" s="450"/>
      <c r="P220" s="450"/>
      <c r="Q220" s="450"/>
      <c r="R220" s="450"/>
      <c r="S220" s="450"/>
      <c r="T220" s="450"/>
      <c r="U220" s="450"/>
      <c r="V220" s="450"/>
      <c r="W220" s="450"/>
      <c r="X220" s="450"/>
      <c r="Y220" s="450"/>
      <c r="Z220" s="450"/>
      <c r="AA220" s="450"/>
      <c r="AB220" s="450"/>
      <c r="AC220" s="450"/>
      <c r="AD220" s="450"/>
      <c r="AE220" s="450"/>
      <c r="AF220" s="450"/>
      <c r="AG220" s="450"/>
      <c r="AH220" s="450"/>
      <c r="AI220" s="450"/>
      <c r="AJ220" s="450"/>
      <c r="AK220" s="450"/>
      <c r="AL220" s="450"/>
      <c r="AM220" s="450"/>
      <c r="AN220" s="450"/>
      <c r="AO220" s="450"/>
      <c r="AP220" s="450"/>
      <c r="AQ220" s="450"/>
      <c r="AR220" s="450"/>
      <c r="AS220" s="450"/>
      <c r="AT220" s="450"/>
      <c r="AU220" s="450"/>
      <c r="AV220" s="450"/>
      <c r="AW220" s="450"/>
      <c r="AX220" s="450"/>
      <c r="AY220" s="450"/>
      <c r="AZ220" s="450"/>
      <c r="BA220" s="450"/>
      <c r="BB220" s="450"/>
      <c r="BC220" s="450"/>
      <c r="BD220" s="450"/>
      <c r="BE220" s="450"/>
      <c r="BF220" s="450"/>
      <c r="BG220" s="450"/>
      <c r="BH220" s="450"/>
      <c r="BI220" s="450"/>
      <c r="BJ220" s="450"/>
      <c r="BK220" s="450"/>
      <c r="BL220" s="450"/>
      <c r="BM220" s="450"/>
      <c r="BN220" s="450"/>
      <c r="BO220" s="450"/>
      <c r="BP220" s="450"/>
      <c r="BQ220" s="450"/>
      <c r="BR220" s="450"/>
      <c r="BS220" s="450"/>
      <c r="BT220" s="450"/>
      <c r="BU220" s="450"/>
      <c r="BV220" s="450"/>
      <c r="BW220" s="450"/>
      <c r="BX220" s="450"/>
      <c r="BY220" s="450"/>
      <c r="BZ220" s="450"/>
      <c r="CA220" s="450"/>
      <c r="CB220" s="450"/>
      <c r="CC220" s="450"/>
      <c r="CD220" s="450"/>
      <c r="CE220" s="450"/>
      <c r="CF220" s="450"/>
      <c r="CG220" s="450"/>
      <c r="CH220" s="450"/>
    </row>
    <row r="221">
      <c r="A221" s="450"/>
      <c r="B221" s="498"/>
      <c r="C221" s="455"/>
      <c r="D221" s="450"/>
      <c r="E221" s="450"/>
      <c r="F221" s="450"/>
      <c r="G221" s="450"/>
      <c r="H221" s="450"/>
      <c r="I221" s="450"/>
      <c r="J221" s="450"/>
      <c r="K221" s="450"/>
      <c r="L221" s="450"/>
      <c r="M221" s="450"/>
      <c r="N221" s="450"/>
      <c r="O221" s="450"/>
      <c r="P221" s="450"/>
      <c r="Q221" s="450"/>
      <c r="R221" s="450"/>
      <c r="S221" s="450"/>
      <c r="T221" s="450"/>
      <c r="U221" s="450"/>
      <c r="V221" s="450"/>
      <c r="W221" s="450"/>
      <c r="X221" s="450"/>
      <c r="Y221" s="450"/>
      <c r="Z221" s="450"/>
      <c r="AA221" s="450"/>
      <c r="AB221" s="450"/>
      <c r="AC221" s="450"/>
      <c r="AD221" s="450"/>
      <c r="AE221" s="450"/>
      <c r="AF221" s="450"/>
      <c r="AG221" s="450"/>
      <c r="AH221" s="450"/>
      <c r="AI221" s="450"/>
      <c r="AJ221" s="450"/>
      <c r="AK221" s="450"/>
      <c r="AL221" s="450"/>
      <c r="AM221" s="450"/>
      <c r="AN221" s="450"/>
      <c r="AO221" s="450"/>
      <c r="AP221" s="450"/>
      <c r="AQ221" s="450"/>
      <c r="AR221" s="450"/>
      <c r="AS221" s="450"/>
      <c r="AT221" s="450"/>
      <c r="AU221" s="450"/>
      <c r="AV221" s="450"/>
      <c r="AW221" s="450"/>
      <c r="AX221" s="450"/>
      <c r="AY221" s="450"/>
      <c r="AZ221" s="450"/>
      <c r="BA221" s="450"/>
      <c r="BB221" s="450"/>
      <c r="BC221" s="450"/>
      <c r="BD221" s="450"/>
      <c r="BE221" s="450"/>
      <c r="BF221" s="450"/>
      <c r="BG221" s="450"/>
      <c r="BH221" s="450"/>
      <c r="BI221" s="450"/>
      <c r="BJ221" s="450"/>
      <c r="BK221" s="450"/>
      <c r="BL221" s="450"/>
      <c r="BM221" s="450"/>
      <c r="BN221" s="450"/>
      <c r="BO221" s="450"/>
      <c r="BP221" s="450"/>
      <c r="BQ221" s="450"/>
      <c r="BR221" s="450"/>
      <c r="BS221" s="450"/>
      <c r="BT221" s="450"/>
      <c r="BU221" s="450"/>
      <c r="BV221" s="450"/>
      <c r="BW221" s="450"/>
      <c r="BX221" s="450"/>
      <c r="BY221" s="450"/>
      <c r="BZ221" s="450"/>
      <c r="CA221" s="450"/>
      <c r="CB221" s="450"/>
      <c r="CC221" s="450"/>
      <c r="CD221" s="450"/>
      <c r="CE221" s="450"/>
      <c r="CF221" s="450"/>
      <c r="CG221" s="450"/>
      <c r="CH221" s="450"/>
    </row>
    <row r="222">
      <c r="A222" s="450"/>
      <c r="B222" s="498"/>
      <c r="C222" s="455"/>
      <c r="D222" s="450"/>
      <c r="E222" s="450"/>
      <c r="F222" s="450"/>
      <c r="G222" s="450"/>
      <c r="H222" s="450"/>
      <c r="I222" s="450"/>
      <c r="J222" s="450"/>
      <c r="K222" s="450"/>
      <c r="L222" s="450"/>
      <c r="M222" s="450"/>
      <c r="N222" s="450"/>
      <c r="O222" s="450"/>
      <c r="P222" s="450"/>
      <c r="Q222" s="450"/>
      <c r="R222" s="450"/>
      <c r="S222" s="450"/>
      <c r="T222" s="450"/>
      <c r="U222" s="450"/>
      <c r="V222" s="450"/>
      <c r="W222" s="450"/>
      <c r="X222" s="450"/>
      <c r="Y222" s="450"/>
      <c r="Z222" s="450"/>
      <c r="AA222" s="450"/>
      <c r="AB222" s="450"/>
      <c r="AC222" s="450"/>
      <c r="AD222" s="450"/>
      <c r="AE222" s="450"/>
      <c r="AF222" s="450"/>
      <c r="AG222" s="450"/>
      <c r="AH222" s="450"/>
      <c r="AI222" s="450"/>
      <c r="AJ222" s="450"/>
      <c r="AK222" s="450"/>
      <c r="AL222" s="450"/>
      <c r="AM222" s="450"/>
      <c r="AN222" s="450"/>
      <c r="AO222" s="450"/>
      <c r="AP222" s="450"/>
      <c r="AQ222" s="450"/>
      <c r="AR222" s="450"/>
      <c r="AS222" s="450"/>
      <c r="AT222" s="450"/>
      <c r="AU222" s="450"/>
      <c r="AV222" s="450"/>
      <c r="AW222" s="450"/>
      <c r="AX222" s="450"/>
      <c r="AY222" s="450"/>
      <c r="AZ222" s="450"/>
      <c r="BA222" s="450"/>
      <c r="BB222" s="450"/>
      <c r="BC222" s="450"/>
      <c r="BD222" s="450"/>
      <c r="BE222" s="450"/>
      <c r="BF222" s="450"/>
      <c r="BG222" s="450"/>
      <c r="BH222" s="450"/>
      <c r="BI222" s="450"/>
      <c r="BJ222" s="450"/>
      <c r="BK222" s="450"/>
      <c r="BL222" s="450"/>
      <c r="BM222" s="450"/>
      <c r="BN222" s="450"/>
      <c r="BO222" s="450"/>
      <c r="BP222" s="450"/>
      <c r="BQ222" s="450"/>
      <c r="BR222" s="450"/>
      <c r="BS222" s="450"/>
      <c r="BT222" s="450"/>
      <c r="BU222" s="450"/>
      <c r="BV222" s="450"/>
      <c r="BW222" s="450"/>
      <c r="BX222" s="450"/>
      <c r="BY222" s="450"/>
      <c r="BZ222" s="450"/>
      <c r="CA222" s="450"/>
      <c r="CB222" s="450"/>
      <c r="CC222" s="450"/>
      <c r="CD222" s="450"/>
      <c r="CE222" s="450"/>
      <c r="CF222" s="450"/>
      <c r="CG222" s="450"/>
      <c r="CH222" s="450"/>
    </row>
    <row r="223">
      <c r="A223" s="450"/>
      <c r="B223" s="498"/>
      <c r="C223" s="455"/>
      <c r="D223" s="450"/>
      <c r="E223" s="450"/>
      <c r="F223" s="450"/>
      <c r="G223" s="450"/>
      <c r="H223" s="450"/>
      <c r="I223" s="450"/>
      <c r="J223" s="450"/>
      <c r="K223" s="450"/>
      <c r="L223" s="450"/>
      <c r="M223" s="450"/>
      <c r="N223" s="450"/>
      <c r="O223" s="450"/>
      <c r="P223" s="450"/>
      <c r="Q223" s="450"/>
      <c r="R223" s="450"/>
      <c r="S223" s="450"/>
      <c r="T223" s="450"/>
      <c r="U223" s="450"/>
      <c r="V223" s="450"/>
      <c r="W223" s="450"/>
      <c r="X223" s="450"/>
      <c r="Y223" s="450"/>
      <c r="Z223" s="450"/>
      <c r="AA223" s="450"/>
      <c r="AB223" s="450"/>
      <c r="AC223" s="450"/>
      <c r="AD223" s="450"/>
      <c r="AE223" s="450"/>
      <c r="AF223" s="450"/>
      <c r="AG223" s="450"/>
      <c r="AH223" s="450"/>
      <c r="AI223" s="450"/>
      <c r="AJ223" s="450"/>
      <c r="AK223" s="450"/>
      <c r="AL223" s="450"/>
      <c r="AM223" s="450"/>
      <c r="AN223" s="450"/>
      <c r="AO223" s="450"/>
      <c r="AP223" s="450"/>
      <c r="AQ223" s="450"/>
      <c r="AR223" s="450"/>
      <c r="AS223" s="450"/>
      <c r="AT223" s="450"/>
      <c r="AU223" s="450"/>
      <c r="AV223" s="450"/>
      <c r="AW223" s="450"/>
      <c r="AX223" s="450"/>
      <c r="AY223" s="450"/>
      <c r="AZ223" s="450"/>
      <c r="BA223" s="450"/>
      <c r="BB223" s="450"/>
      <c r="BC223" s="450"/>
      <c r="BD223" s="450"/>
      <c r="BE223" s="450"/>
      <c r="BF223" s="450"/>
      <c r="BG223" s="450"/>
      <c r="BH223" s="450"/>
      <c r="BI223" s="450"/>
      <c r="BJ223" s="450"/>
      <c r="BK223" s="450"/>
      <c r="BL223" s="450"/>
      <c r="BM223" s="450"/>
      <c r="BN223" s="450"/>
      <c r="BO223" s="450"/>
      <c r="BP223" s="450"/>
      <c r="BQ223" s="450"/>
      <c r="BR223" s="450"/>
      <c r="BS223" s="450"/>
      <c r="BT223" s="450"/>
      <c r="BU223" s="450"/>
      <c r="BV223" s="450"/>
      <c r="BW223" s="450"/>
      <c r="BX223" s="450"/>
      <c r="BY223" s="450"/>
      <c r="BZ223" s="450"/>
      <c r="CA223" s="450"/>
      <c r="CB223" s="450"/>
      <c r="CC223" s="450"/>
      <c r="CD223" s="450"/>
      <c r="CE223" s="450"/>
      <c r="CF223" s="450"/>
      <c r="CG223" s="450"/>
      <c r="CH223" s="450"/>
    </row>
    <row r="224">
      <c r="A224" s="450"/>
      <c r="B224" s="498"/>
      <c r="C224" s="455"/>
      <c r="D224" s="450"/>
      <c r="E224" s="450"/>
      <c r="F224" s="450"/>
      <c r="G224" s="450"/>
      <c r="H224" s="450"/>
      <c r="I224" s="450"/>
      <c r="J224" s="450"/>
      <c r="K224" s="450"/>
      <c r="L224" s="450"/>
      <c r="M224" s="450"/>
      <c r="N224" s="450"/>
      <c r="O224" s="450"/>
      <c r="P224" s="450"/>
      <c r="Q224" s="450"/>
      <c r="R224" s="450"/>
      <c r="S224" s="450"/>
      <c r="T224" s="450"/>
      <c r="U224" s="450"/>
      <c r="V224" s="450"/>
      <c r="W224" s="450"/>
      <c r="X224" s="450"/>
      <c r="Y224" s="450"/>
      <c r="Z224" s="450"/>
      <c r="AA224" s="450"/>
      <c r="AB224" s="450"/>
      <c r="AC224" s="450"/>
      <c r="AD224" s="450"/>
      <c r="AE224" s="450"/>
      <c r="AF224" s="450"/>
      <c r="AG224" s="450"/>
      <c r="AH224" s="450"/>
      <c r="AI224" s="450"/>
      <c r="AJ224" s="450"/>
      <c r="AK224" s="450"/>
      <c r="AL224" s="450"/>
      <c r="AM224" s="450"/>
      <c r="AN224" s="450"/>
      <c r="AO224" s="450"/>
      <c r="AP224" s="450"/>
      <c r="AQ224" s="450"/>
      <c r="AR224" s="450"/>
      <c r="AS224" s="450"/>
      <c r="AT224" s="450"/>
      <c r="AU224" s="450"/>
      <c r="AV224" s="450"/>
      <c r="AW224" s="450"/>
      <c r="AX224" s="450"/>
      <c r="AY224" s="450"/>
      <c r="AZ224" s="450"/>
      <c r="BA224" s="450"/>
      <c r="BB224" s="450"/>
      <c r="BC224" s="450"/>
      <c r="BD224" s="450"/>
      <c r="BE224" s="450"/>
      <c r="BF224" s="450"/>
      <c r="BG224" s="450"/>
      <c r="BH224" s="450"/>
      <c r="BI224" s="450"/>
      <c r="BJ224" s="450"/>
      <c r="BK224" s="450"/>
      <c r="BL224" s="450"/>
      <c r="BM224" s="450"/>
      <c r="BN224" s="450"/>
      <c r="BO224" s="450"/>
      <c r="BP224" s="450"/>
      <c r="BQ224" s="450"/>
      <c r="BR224" s="450"/>
      <c r="BS224" s="450"/>
      <c r="BT224" s="450"/>
      <c r="BU224" s="450"/>
      <c r="BV224" s="450"/>
      <c r="BW224" s="450"/>
      <c r="BX224" s="450"/>
      <c r="BY224" s="450"/>
      <c r="BZ224" s="450"/>
      <c r="CA224" s="450"/>
      <c r="CB224" s="450"/>
      <c r="CC224" s="450"/>
      <c r="CD224" s="450"/>
      <c r="CE224" s="450"/>
      <c r="CF224" s="450"/>
      <c r="CG224" s="450"/>
      <c r="CH224" s="450"/>
    </row>
    <row r="225">
      <c r="A225" s="450"/>
      <c r="B225" s="498"/>
      <c r="C225" s="455"/>
      <c r="D225" s="450"/>
      <c r="E225" s="450"/>
      <c r="F225" s="450"/>
      <c r="G225" s="450"/>
      <c r="H225" s="450"/>
      <c r="I225" s="450"/>
      <c r="J225" s="450"/>
      <c r="K225" s="450"/>
      <c r="L225" s="450"/>
      <c r="M225" s="450"/>
      <c r="N225" s="450"/>
      <c r="O225" s="450"/>
      <c r="P225" s="450"/>
      <c r="Q225" s="450"/>
      <c r="R225" s="450"/>
      <c r="S225" s="450"/>
      <c r="T225" s="450"/>
      <c r="U225" s="450"/>
      <c r="V225" s="450"/>
      <c r="W225" s="450"/>
      <c r="X225" s="450"/>
      <c r="Y225" s="450"/>
      <c r="Z225" s="450"/>
      <c r="AA225" s="450"/>
      <c r="AB225" s="450"/>
      <c r="AC225" s="450"/>
      <c r="AD225" s="450"/>
      <c r="AE225" s="450"/>
      <c r="AF225" s="450"/>
      <c r="AG225" s="450"/>
      <c r="AH225" s="450"/>
      <c r="AI225" s="450"/>
      <c r="AJ225" s="450"/>
      <c r="AK225" s="450"/>
      <c r="AL225" s="450"/>
      <c r="AM225" s="450"/>
      <c r="AN225" s="450"/>
      <c r="AO225" s="450"/>
      <c r="AP225" s="450"/>
      <c r="AQ225" s="450"/>
      <c r="AR225" s="450"/>
      <c r="AS225" s="450"/>
      <c r="AT225" s="450"/>
      <c r="AU225" s="450"/>
      <c r="AV225" s="450"/>
      <c r="AW225" s="450"/>
      <c r="AX225" s="450"/>
      <c r="AY225" s="450"/>
      <c r="AZ225" s="450"/>
      <c r="BA225" s="450"/>
      <c r="BB225" s="450"/>
      <c r="BC225" s="450"/>
      <c r="BD225" s="450"/>
      <c r="BE225" s="450"/>
      <c r="BF225" s="450"/>
      <c r="BG225" s="450"/>
      <c r="BH225" s="450"/>
      <c r="BI225" s="450"/>
      <c r="BJ225" s="450"/>
      <c r="BK225" s="450"/>
      <c r="BL225" s="450"/>
      <c r="BM225" s="450"/>
      <c r="BN225" s="450"/>
      <c r="BO225" s="450"/>
      <c r="BP225" s="450"/>
      <c r="BQ225" s="450"/>
      <c r="BR225" s="450"/>
      <c r="BS225" s="450"/>
      <c r="BT225" s="450"/>
      <c r="BU225" s="450"/>
      <c r="BV225" s="450"/>
      <c r="BW225" s="450"/>
      <c r="BX225" s="450"/>
      <c r="BY225" s="450"/>
      <c r="BZ225" s="450"/>
      <c r="CA225" s="450"/>
      <c r="CB225" s="450"/>
      <c r="CC225" s="450"/>
      <c r="CD225" s="450"/>
      <c r="CE225" s="450"/>
      <c r="CF225" s="450"/>
      <c r="CG225" s="450"/>
      <c r="CH225" s="450"/>
    </row>
    <row r="226">
      <c r="A226" s="450"/>
      <c r="B226" s="498"/>
      <c r="C226" s="455"/>
      <c r="D226" s="450"/>
      <c r="E226" s="450"/>
      <c r="F226" s="450"/>
      <c r="G226" s="450"/>
      <c r="H226" s="450"/>
      <c r="I226" s="450"/>
      <c r="J226" s="450"/>
      <c r="K226" s="450"/>
      <c r="L226" s="450"/>
      <c r="M226" s="450"/>
      <c r="N226" s="450"/>
      <c r="O226" s="450"/>
      <c r="P226" s="450"/>
      <c r="Q226" s="450"/>
      <c r="R226" s="450"/>
      <c r="S226" s="450"/>
      <c r="T226" s="450"/>
      <c r="U226" s="450"/>
      <c r="V226" s="450"/>
      <c r="W226" s="450"/>
      <c r="X226" s="450"/>
      <c r="Y226" s="450"/>
      <c r="Z226" s="450"/>
      <c r="AA226" s="450"/>
      <c r="AB226" s="450"/>
      <c r="AC226" s="450"/>
      <c r="AD226" s="450"/>
      <c r="AE226" s="450"/>
      <c r="AF226" s="450"/>
      <c r="AG226" s="450"/>
      <c r="AH226" s="450"/>
      <c r="AI226" s="450"/>
      <c r="AJ226" s="450"/>
      <c r="AK226" s="450"/>
      <c r="AL226" s="450"/>
      <c r="AM226" s="450"/>
      <c r="AN226" s="450"/>
      <c r="AO226" s="450"/>
      <c r="AP226" s="450"/>
      <c r="AQ226" s="450"/>
      <c r="AR226" s="450"/>
      <c r="AS226" s="450"/>
      <c r="AT226" s="450"/>
      <c r="AU226" s="450"/>
      <c r="AV226" s="450"/>
      <c r="AW226" s="450"/>
      <c r="AX226" s="450"/>
      <c r="AY226" s="450"/>
      <c r="AZ226" s="450"/>
      <c r="BA226" s="450"/>
      <c r="BB226" s="450"/>
      <c r="BC226" s="450"/>
      <c r="BD226" s="450"/>
      <c r="BE226" s="450"/>
      <c r="BF226" s="450"/>
      <c r="BG226" s="450"/>
      <c r="BH226" s="450"/>
      <c r="BI226" s="450"/>
      <c r="BJ226" s="450"/>
      <c r="BK226" s="450"/>
      <c r="BL226" s="450"/>
      <c r="BM226" s="450"/>
      <c r="BN226" s="450"/>
      <c r="BO226" s="450"/>
      <c r="BP226" s="450"/>
      <c r="BQ226" s="450"/>
      <c r="BR226" s="450"/>
      <c r="BS226" s="450"/>
      <c r="BT226" s="450"/>
      <c r="BU226" s="450"/>
      <c r="BV226" s="450"/>
      <c r="BW226" s="450"/>
      <c r="BX226" s="450"/>
      <c r="BY226" s="450"/>
      <c r="BZ226" s="450"/>
      <c r="CA226" s="450"/>
      <c r="CB226" s="450"/>
      <c r="CC226" s="450"/>
      <c r="CD226" s="450"/>
      <c r="CE226" s="450"/>
      <c r="CF226" s="450"/>
      <c r="CG226" s="450"/>
      <c r="CH226" s="450"/>
    </row>
    <row r="227">
      <c r="A227" s="450"/>
      <c r="B227" s="498"/>
      <c r="C227" s="455"/>
      <c r="D227" s="450"/>
      <c r="E227" s="450"/>
      <c r="F227" s="450"/>
      <c r="G227" s="450"/>
      <c r="H227" s="450"/>
      <c r="I227" s="450"/>
      <c r="J227" s="450"/>
      <c r="K227" s="450"/>
      <c r="L227" s="450"/>
      <c r="M227" s="450"/>
      <c r="N227" s="450"/>
      <c r="O227" s="450"/>
      <c r="P227" s="450"/>
      <c r="Q227" s="450"/>
      <c r="R227" s="450"/>
      <c r="S227" s="450"/>
      <c r="T227" s="450"/>
      <c r="U227" s="450"/>
      <c r="V227" s="450"/>
      <c r="W227" s="450"/>
      <c r="X227" s="450"/>
      <c r="Y227" s="450"/>
      <c r="Z227" s="450"/>
      <c r="AA227" s="450"/>
      <c r="AB227" s="450"/>
      <c r="AC227" s="450"/>
      <c r="AD227" s="450"/>
      <c r="AE227" s="450"/>
      <c r="AF227" s="450"/>
      <c r="AG227" s="450"/>
      <c r="AH227" s="450"/>
      <c r="AI227" s="450"/>
      <c r="AJ227" s="450"/>
      <c r="AK227" s="450"/>
      <c r="AL227" s="450"/>
      <c r="AM227" s="450"/>
      <c r="AN227" s="450"/>
      <c r="AO227" s="450"/>
      <c r="AP227" s="450"/>
      <c r="AQ227" s="450"/>
      <c r="AR227" s="450"/>
      <c r="AS227" s="450"/>
      <c r="AT227" s="450"/>
      <c r="AU227" s="450"/>
      <c r="AV227" s="450"/>
      <c r="AW227" s="450"/>
      <c r="AX227" s="450"/>
      <c r="AY227" s="450"/>
      <c r="AZ227" s="450"/>
      <c r="BA227" s="450"/>
      <c r="BB227" s="450"/>
      <c r="BC227" s="450"/>
      <c r="BD227" s="450"/>
      <c r="BE227" s="450"/>
      <c r="BF227" s="450"/>
      <c r="BG227" s="450"/>
      <c r="BH227" s="450"/>
      <c r="BI227" s="450"/>
      <c r="BJ227" s="450"/>
      <c r="BK227" s="450"/>
      <c r="BL227" s="450"/>
      <c r="BM227" s="450"/>
      <c r="BN227" s="450"/>
      <c r="BO227" s="450"/>
      <c r="BP227" s="450"/>
      <c r="BQ227" s="450"/>
      <c r="BR227" s="450"/>
      <c r="BS227" s="450"/>
      <c r="BT227" s="450"/>
      <c r="BU227" s="450"/>
      <c r="BV227" s="450"/>
      <c r="BW227" s="450"/>
      <c r="BX227" s="450"/>
      <c r="BY227" s="450"/>
      <c r="BZ227" s="450"/>
      <c r="CA227" s="450"/>
      <c r="CB227" s="450"/>
      <c r="CC227" s="450"/>
      <c r="CD227" s="450"/>
      <c r="CE227" s="450"/>
      <c r="CF227" s="450"/>
      <c r="CG227" s="450"/>
      <c r="CH227" s="450"/>
    </row>
    <row r="228">
      <c r="A228" s="450"/>
      <c r="B228" s="498"/>
      <c r="C228" s="455"/>
      <c r="D228" s="450"/>
      <c r="E228" s="450"/>
      <c r="F228" s="450"/>
      <c r="G228" s="450"/>
      <c r="H228" s="450"/>
      <c r="I228" s="450"/>
      <c r="J228" s="450"/>
      <c r="K228" s="450"/>
      <c r="L228" s="450"/>
      <c r="M228" s="450"/>
      <c r="N228" s="450"/>
      <c r="O228" s="450"/>
      <c r="P228" s="450"/>
      <c r="Q228" s="450"/>
      <c r="R228" s="450"/>
      <c r="S228" s="450"/>
      <c r="T228" s="450"/>
      <c r="U228" s="450"/>
      <c r="V228" s="450"/>
      <c r="W228" s="450"/>
      <c r="X228" s="450"/>
      <c r="Y228" s="450"/>
      <c r="Z228" s="450"/>
      <c r="AA228" s="450"/>
      <c r="AB228" s="450"/>
      <c r="AC228" s="450"/>
      <c r="AD228" s="450"/>
      <c r="AE228" s="450"/>
      <c r="AF228" s="450"/>
      <c r="AG228" s="450"/>
      <c r="AH228" s="450"/>
      <c r="AI228" s="450"/>
      <c r="AJ228" s="450"/>
      <c r="AK228" s="450"/>
      <c r="AL228" s="450"/>
      <c r="AM228" s="450"/>
      <c r="AN228" s="450"/>
      <c r="AO228" s="450"/>
      <c r="AP228" s="450"/>
      <c r="AQ228" s="450"/>
      <c r="AR228" s="450"/>
      <c r="AS228" s="450"/>
      <c r="AT228" s="450"/>
      <c r="AU228" s="450"/>
      <c r="AV228" s="450"/>
      <c r="AW228" s="450"/>
      <c r="AX228" s="450"/>
      <c r="AY228" s="450"/>
      <c r="AZ228" s="450"/>
      <c r="BA228" s="450"/>
      <c r="BB228" s="450"/>
      <c r="BC228" s="450"/>
      <c r="BD228" s="450"/>
      <c r="BE228" s="450"/>
      <c r="BF228" s="450"/>
      <c r="BG228" s="450"/>
      <c r="BH228" s="450"/>
      <c r="BI228" s="450"/>
      <c r="BJ228" s="450"/>
      <c r="BK228" s="450"/>
      <c r="BL228" s="450"/>
      <c r="BM228" s="450"/>
      <c r="BN228" s="450"/>
      <c r="BO228" s="450"/>
      <c r="BP228" s="450"/>
      <c r="BQ228" s="450"/>
      <c r="BR228" s="450"/>
      <c r="BS228" s="450"/>
      <c r="BT228" s="450"/>
      <c r="BU228" s="450"/>
      <c r="BV228" s="450"/>
      <c r="BW228" s="450"/>
      <c r="BX228" s="450"/>
      <c r="BY228" s="450"/>
      <c r="BZ228" s="450"/>
      <c r="CA228" s="450"/>
      <c r="CB228" s="450"/>
      <c r="CC228" s="450"/>
      <c r="CD228" s="450"/>
      <c r="CE228" s="450"/>
      <c r="CF228" s="450"/>
      <c r="CG228" s="450"/>
      <c r="CH228" s="450"/>
    </row>
    <row r="229">
      <c r="A229" s="450"/>
      <c r="B229" s="498"/>
      <c r="C229" s="455"/>
      <c r="D229" s="450"/>
      <c r="E229" s="450"/>
      <c r="F229" s="450"/>
      <c r="G229" s="450"/>
      <c r="H229" s="450"/>
      <c r="I229" s="450"/>
      <c r="J229" s="450"/>
      <c r="K229" s="450"/>
      <c r="L229" s="450"/>
      <c r="M229" s="450"/>
      <c r="N229" s="450"/>
      <c r="O229" s="450"/>
      <c r="P229" s="450"/>
      <c r="Q229" s="450"/>
      <c r="R229" s="450"/>
      <c r="S229" s="450"/>
      <c r="T229" s="450"/>
      <c r="U229" s="450"/>
      <c r="V229" s="450"/>
      <c r="W229" s="450"/>
      <c r="X229" s="450"/>
      <c r="Y229" s="450"/>
      <c r="Z229" s="450"/>
      <c r="AA229" s="450"/>
      <c r="AB229" s="450"/>
      <c r="AC229" s="450"/>
      <c r="AD229" s="450"/>
      <c r="AE229" s="450"/>
      <c r="AF229" s="450"/>
      <c r="AG229" s="450"/>
      <c r="AH229" s="450"/>
      <c r="AI229" s="450"/>
      <c r="AJ229" s="450"/>
      <c r="AK229" s="450"/>
      <c r="AL229" s="450"/>
      <c r="AM229" s="450"/>
      <c r="AN229" s="450"/>
      <c r="AO229" s="450"/>
      <c r="AP229" s="450"/>
      <c r="AQ229" s="450"/>
      <c r="AR229" s="450"/>
      <c r="AS229" s="450"/>
      <c r="AT229" s="450"/>
      <c r="AU229" s="450"/>
      <c r="AV229" s="450"/>
      <c r="AW229" s="450"/>
      <c r="AX229" s="450"/>
      <c r="AY229" s="450"/>
      <c r="AZ229" s="450"/>
      <c r="BA229" s="450"/>
      <c r="BB229" s="450"/>
      <c r="BC229" s="450"/>
      <c r="BD229" s="450"/>
      <c r="BE229" s="450"/>
      <c r="BF229" s="450"/>
      <c r="BG229" s="450"/>
      <c r="BH229" s="450"/>
      <c r="BI229" s="450"/>
      <c r="BJ229" s="450"/>
      <c r="BK229" s="450"/>
      <c r="BL229" s="450"/>
      <c r="BM229" s="450"/>
      <c r="BN229" s="450"/>
      <c r="BO229" s="450"/>
      <c r="BP229" s="450"/>
      <c r="BQ229" s="450"/>
      <c r="BR229" s="450"/>
      <c r="BS229" s="450"/>
      <c r="BT229" s="450"/>
      <c r="BU229" s="450"/>
      <c r="BV229" s="450"/>
      <c r="BW229" s="450"/>
      <c r="BX229" s="450"/>
      <c r="BY229" s="450"/>
      <c r="BZ229" s="450"/>
      <c r="CA229" s="450"/>
      <c r="CB229" s="450"/>
      <c r="CC229" s="450"/>
      <c r="CD229" s="450"/>
      <c r="CE229" s="450"/>
      <c r="CF229" s="450"/>
      <c r="CG229" s="450"/>
      <c r="CH229" s="450"/>
    </row>
    <row r="230">
      <c r="A230" s="450"/>
      <c r="B230" s="498"/>
      <c r="C230" s="455"/>
      <c r="D230" s="450"/>
      <c r="E230" s="450"/>
      <c r="F230" s="450"/>
      <c r="G230" s="450"/>
      <c r="H230" s="450"/>
      <c r="I230" s="450"/>
      <c r="J230" s="450"/>
      <c r="K230" s="450"/>
      <c r="L230" s="450"/>
      <c r="M230" s="450"/>
      <c r="N230" s="450"/>
      <c r="O230" s="450"/>
      <c r="P230" s="450"/>
      <c r="Q230" s="450"/>
      <c r="R230" s="450"/>
      <c r="S230" s="450"/>
      <c r="T230" s="450"/>
      <c r="U230" s="450"/>
      <c r="V230" s="450"/>
      <c r="W230" s="450"/>
      <c r="X230" s="450"/>
      <c r="Y230" s="450"/>
      <c r="Z230" s="450"/>
      <c r="AA230" s="450"/>
      <c r="AB230" s="450"/>
      <c r="AC230" s="450"/>
      <c r="AD230" s="450"/>
      <c r="AE230" s="450"/>
      <c r="AF230" s="450"/>
      <c r="AG230" s="450"/>
      <c r="AH230" s="450"/>
      <c r="AI230" s="450"/>
      <c r="AJ230" s="450"/>
      <c r="AK230" s="450"/>
      <c r="AL230" s="450"/>
      <c r="AM230" s="450"/>
      <c r="AN230" s="450"/>
      <c r="AO230" s="450"/>
      <c r="AP230" s="450"/>
      <c r="AQ230" s="450"/>
      <c r="AR230" s="450"/>
      <c r="AS230" s="450"/>
      <c r="AT230" s="450"/>
      <c r="AU230" s="450"/>
      <c r="AV230" s="450"/>
      <c r="AW230" s="450"/>
      <c r="AX230" s="450"/>
      <c r="AY230" s="450"/>
      <c r="AZ230" s="450"/>
      <c r="BA230" s="450"/>
      <c r="BB230" s="450"/>
      <c r="BC230" s="450"/>
      <c r="BD230" s="450"/>
      <c r="BE230" s="450"/>
      <c r="BF230" s="450"/>
      <c r="BG230" s="450"/>
      <c r="BH230" s="450"/>
      <c r="BI230" s="450"/>
      <c r="BJ230" s="450"/>
      <c r="BK230" s="450"/>
      <c r="BL230" s="450"/>
      <c r="BM230" s="450"/>
      <c r="BN230" s="450"/>
      <c r="BO230" s="450"/>
      <c r="BP230" s="450"/>
      <c r="BQ230" s="450"/>
      <c r="BR230" s="450"/>
      <c r="BS230" s="450"/>
      <c r="BT230" s="450"/>
      <c r="BU230" s="450"/>
      <c r="BV230" s="450"/>
      <c r="BW230" s="450"/>
      <c r="BX230" s="450"/>
      <c r="BY230" s="450"/>
      <c r="BZ230" s="450"/>
      <c r="CA230" s="450"/>
      <c r="CB230" s="450"/>
      <c r="CC230" s="450"/>
      <c r="CD230" s="450"/>
      <c r="CE230" s="450"/>
      <c r="CF230" s="450"/>
      <c r="CG230" s="450"/>
      <c r="CH230" s="450"/>
    </row>
    <row r="231">
      <c r="A231" s="450"/>
      <c r="B231" s="498"/>
      <c r="C231" s="455"/>
      <c r="D231" s="450"/>
      <c r="E231" s="450"/>
      <c r="F231" s="450"/>
      <c r="G231" s="450"/>
      <c r="H231" s="450"/>
      <c r="I231" s="450"/>
      <c r="J231" s="450"/>
      <c r="K231" s="450"/>
      <c r="L231" s="450"/>
      <c r="M231" s="450"/>
      <c r="N231" s="450"/>
      <c r="O231" s="450"/>
      <c r="P231" s="450"/>
      <c r="Q231" s="450"/>
      <c r="R231" s="450"/>
      <c r="S231" s="450"/>
      <c r="T231" s="450"/>
      <c r="U231" s="450"/>
      <c r="V231" s="450"/>
      <c r="W231" s="450"/>
      <c r="X231" s="450"/>
      <c r="Y231" s="450"/>
      <c r="Z231" s="450"/>
      <c r="AA231" s="450"/>
      <c r="AB231" s="450"/>
      <c r="AC231" s="450"/>
      <c r="AD231" s="450"/>
      <c r="AE231" s="450"/>
      <c r="AF231" s="450"/>
      <c r="AG231" s="450"/>
      <c r="AH231" s="450"/>
      <c r="AI231" s="450"/>
      <c r="AJ231" s="450"/>
      <c r="AK231" s="450"/>
      <c r="AL231" s="450"/>
      <c r="AM231" s="450"/>
      <c r="AN231" s="450"/>
      <c r="AO231" s="450"/>
      <c r="AP231" s="450"/>
      <c r="AQ231" s="450"/>
      <c r="AR231" s="450"/>
      <c r="AS231" s="450"/>
      <c r="AT231" s="450"/>
      <c r="AU231" s="450"/>
      <c r="AV231" s="450"/>
      <c r="AW231" s="450"/>
      <c r="AX231" s="450"/>
      <c r="AY231" s="450"/>
      <c r="AZ231" s="450"/>
      <c r="BA231" s="450"/>
      <c r="BB231" s="450"/>
      <c r="BC231" s="450"/>
      <c r="BD231" s="450"/>
      <c r="BE231" s="450"/>
      <c r="BF231" s="450"/>
      <c r="BG231" s="450"/>
      <c r="BH231" s="450"/>
      <c r="BI231" s="450"/>
      <c r="BJ231" s="450"/>
      <c r="BK231" s="450"/>
      <c r="BL231" s="450"/>
      <c r="BM231" s="450"/>
      <c r="BN231" s="450"/>
      <c r="BO231" s="450"/>
      <c r="BP231" s="450"/>
      <c r="BQ231" s="450"/>
      <c r="BR231" s="450"/>
      <c r="BS231" s="450"/>
      <c r="BT231" s="450"/>
      <c r="BU231" s="450"/>
      <c r="BV231" s="450"/>
      <c r="BW231" s="450"/>
      <c r="BX231" s="450"/>
      <c r="BY231" s="450"/>
      <c r="BZ231" s="450"/>
      <c r="CA231" s="450"/>
      <c r="CB231" s="450"/>
      <c r="CC231" s="450"/>
      <c r="CD231" s="450"/>
      <c r="CE231" s="450"/>
      <c r="CF231" s="450"/>
      <c r="CG231" s="450"/>
      <c r="CH231" s="450"/>
    </row>
    <row r="232">
      <c r="A232" s="450"/>
      <c r="B232" s="498"/>
      <c r="C232" s="455"/>
      <c r="D232" s="450"/>
      <c r="E232" s="450"/>
      <c r="F232" s="450"/>
      <c r="G232" s="450"/>
      <c r="H232" s="450"/>
      <c r="I232" s="450"/>
      <c r="J232" s="450"/>
      <c r="K232" s="450"/>
      <c r="L232" s="450"/>
      <c r="M232" s="450"/>
      <c r="N232" s="450"/>
      <c r="O232" s="450"/>
      <c r="P232" s="450"/>
      <c r="Q232" s="450"/>
      <c r="R232" s="450"/>
      <c r="S232" s="450"/>
      <c r="T232" s="450"/>
      <c r="U232" s="450"/>
      <c r="V232" s="450"/>
      <c r="W232" s="450"/>
      <c r="X232" s="450"/>
      <c r="Y232" s="450"/>
      <c r="Z232" s="450"/>
      <c r="AA232" s="450"/>
      <c r="AB232" s="450"/>
      <c r="AC232" s="450"/>
      <c r="AD232" s="450"/>
      <c r="AE232" s="450"/>
      <c r="AF232" s="450"/>
      <c r="AG232" s="450"/>
      <c r="AH232" s="450"/>
      <c r="AI232" s="450"/>
      <c r="AJ232" s="450"/>
      <c r="AK232" s="450"/>
      <c r="AL232" s="450"/>
      <c r="AM232" s="450"/>
      <c r="AN232" s="450"/>
      <c r="AO232" s="450"/>
      <c r="AP232" s="450"/>
      <c r="AQ232" s="450"/>
      <c r="AR232" s="450"/>
      <c r="AS232" s="450"/>
      <c r="AT232" s="450"/>
      <c r="AU232" s="450"/>
      <c r="AV232" s="450"/>
      <c r="AW232" s="450"/>
      <c r="AX232" s="450"/>
      <c r="AY232" s="450"/>
      <c r="AZ232" s="450"/>
      <c r="BA232" s="450"/>
      <c r="BB232" s="450"/>
      <c r="BC232" s="450"/>
      <c r="BD232" s="450"/>
      <c r="BE232" s="450"/>
      <c r="BF232" s="450"/>
      <c r="BG232" s="450"/>
      <c r="BH232" s="450"/>
      <c r="BI232" s="450"/>
      <c r="BJ232" s="450"/>
      <c r="BK232" s="450"/>
      <c r="BL232" s="450"/>
      <c r="BM232" s="450"/>
      <c r="BN232" s="450"/>
      <c r="BO232" s="450"/>
      <c r="BP232" s="450"/>
      <c r="BQ232" s="450"/>
      <c r="BR232" s="450"/>
      <c r="BS232" s="450"/>
      <c r="BT232" s="450"/>
      <c r="BU232" s="450"/>
      <c r="BV232" s="450"/>
      <c r="BW232" s="450"/>
      <c r="BX232" s="450"/>
      <c r="BY232" s="450"/>
      <c r="BZ232" s="450"/>
      <c r="CA232" s="450"/>
      <c r="CB232" s="450"/>
      <c r="CC232" s="450"/>
      <c r="CD232" s="450"/>
      <c r="CE232" s="450"/>
      <c r="CF232" s="450"/>
      <c r="CG232" s="450"/>
      <c r="CH232" s="450"/>
    </row>
    <row r="233">
      <c r="A233" s="450"/>
      <c r="B233" s="498"/>
      <c r="C233" s="455"/>
      <c r="D233" s="450"/>
      <c r="E233" s="450"/>
      <c r="F233" s="450"/>
      <c r="G233" s="450"/>
      <c r="H233" s="450"/>
      <c r="I233" s="450"/>
      <c r="J233" s="450"/>
      <c r="K233" s="450"/>
      <c r="L233" s="450"/>
      <c r="M233" s="450"/>
      <c r="N233" s="450"/>
      <c r="O233" s="450"/>
      <c r="P233" s="450"/>
      <c r="Q233" s="450"/>
      <c r="R233" s="450"/>
      <c r="S233" s="450"/>
      <c r="T233" s="450"/>
      <c r="U233" s="450"/>
      <c r="V233" s="450"/>
      <c r="W233" s="450"/>
      <c r="X233" s="450"/>
      <c r="Y233" s="450"/>
      <c r="Z233" s="450"/>
      <c r="AA233" s="450"/>
      <c r="AB233" s="450"/>
      <c r="AC233" s="450"/>
      <c r="AD233" s="450"/>
      <c r="AE233" s="450"/>
      <c r="AF233" s="450"/>
      <c r="AG233" s="450"/>
      <c r="AH233" s="450"/>
      <c r="AI233" s="450"/>
      <c r="AJ233" s="450"/>
      <c r="AK233" s="450"/>
      <c r="AL233" s="450"/>
      <c r="AM233" s="450"/>
      <c r="AN233" s="450"/>
      <c r="AO233" s="450"/>
      <c r="AP233" s="450"/>
      <c r="AQ233" s="450"/>
      <c r="AR233" s="450"/>
      <c r="AS233" s="450"/>
      <c r="AT233" s="450"/>
      <c r="AU233" s="450"/>
      <c r="AV233" s="450"/>
      <c r="AW233" s="450"/>
      <c r="AX233" s="450"/>
      <c r="AY233" s="450"/>
      <c r="AZ233" s="450"/>
      <c r="BA233" s="450"/>
      <c r="BB233" s="450"/>
      <c r="BC233" s="450"/>
      <c r="BD233" s="450"/>
      <c r="BE233" s="450"/>
      <c r="BF233" s="450"/>
      <c r="BG233" s="450"/>
      <c r="BH233" s="450"/>
      <c r="BI233" s="450"/>
      <c r="BJ233" s="450"/>
      <c r="BK233" s="450"/>
      <c r="BL233" s="450"/>
      <c r="BM233" s="450"/>
      <c r="BN233" s="450"/>
      <c r="BO233" s="450"/>
      <c r="BP233" s="450"/>
      <c r="BQ233" s="450"/>
      <c r="BR233" s="450"/>
      <c r="BS233" s="450"/>
      <c r="BT233" s="450"/>
      <c r="BU233" s="450"/>
      <c r="BV233" s="450"/>
      <c r="BW233" s="450"/>
      <c r="BX233" s="450"/>
      <c r="BY233" s="450"/>
      <c r="BZ233" s="450"/>
      <c r="CA233" s="450"/>
      <c r="CB233" s="450"/>
      <c r="CC233" s="450"/>
      <c r="CD233" s="450"/>
      <c r="CE233" s="450"/>
      <c r="CF233" s="450"/>
      <c r="CG233" s="450"/>
      <c r="CH233" s="450"/>
    </row>
    <row r="234">
      <c r="A234" s="450"/>
      <c r="B234" s="498"/>
      <c r="C234" s="455"/>
      <c r="D234" s="450"/>
      <c r="E234" s="450"/>
      <c r="F234" s="450"/>
      <c r="G234" s="450"/>
      <c r="H234" s="450"/>
      <c r="I234" s="450"/>
      <c r="J234" s="450"/>
      <c r="K234" s="450"/>
      <c r="L234" s="450"/>
      <c r="M234" s="450"/>
      <c r="N234" s="450"/>
      <c r="O234" s="450"/>
      <c r="P234" s="450"/>
      <c r="Q234" s="450"/>
      <c r="R234" s="450"/>
      <c r="S234" s="450"/>
      <c r="T234" s="450"/>
      <c r="U234" s="450"/>
      <c r="V234" s="450"/>
      <c r="W234" s="450"/>
      <c r="X234" s="450"/>
      <c r="Y234" s="450"/>
      <c r="Z234" s="450"/>
      <c r="AA234" s="450"/>
      <c r="AB234" s="450"/>
      <c r="AC234" s="450"/>
      <c r="AD234" s="450"/>
      <c r="AE234" s="450"/>
      <c r="AF234" s="450"/>
      <c r="AG234" s="450"/>
      <c r="AH234" s="450"/>
      <c r="AI234" s="450"/>
      <c r="AJ234" s="450"/>
      <c r="AK234" s="450"/>
      <c r="AL234" s="450"/>
      <c r="AM234" s="450"/>
      <c r="AN234" s="450"/>
      <c r="AO234" s="450"/>
      <c r="AP234" s="450"/>
      <c r="AQ234" s="450"/>
      <c r="AR234" s="450"/>
      <c r="AS234" s="450"/>
      <c r="AT234" s="450"/>
      <c r="AU234" s="450"/>
      <c r="AV234" s="450"/>
      <c r="AW234" s="450"/>
      <c r="AX234" s="450"/>
      <c r="AY234" s="450"/>
      <c r="AZ234" s="450"/>
      <c r="BA234" s="450"/>
      <c r="BB234" s="450"/>
      <c r="BC234" s="450"/>
      <c r="BD234" s="450"/>
      <c r="BE234" s="450"/>
      <c r="BF234" s="450"/>
      <c r="BG234" s="450"/>
      <c r="BH234" s="450"/>
      <c r="BI234" s="450"/>
      <c r="BJ234" s="450"/>
      <c r="BK234" s="450"/>
      <c r="BL234" s="450"/>
      <c r="BM234" s="450"/>
      <c r="BN234" s="450"/>
      <c r="BO234" s="450"/>
      <c r="BP234" s="450"/>
      <c r="BQ234" s="450"/>
      <c r="BR234" s="450"/>
      <c r="BS234" s="450"/>
      <c r="BT234" s="450"/>
      <c r="BU234" s="450"/>
      <c r="BV234" s="450"/>
      <c r="BW234" s="450"/>
      <c r="BX234" s="450"/>
      <c r="BY234" s="450"/>
      <c r="BZ234" s="450"/>
      <c r="CA234" s="450"/>
      <c r="CB234" s="450"/>
      <c r="CC234" s="450"/>
      <c r="CD234" s="450"/>
      <c r="CE234" s="450"/>
      <c r="CF234" s="450"/>
      <c r="CG234" s="450"/>
      <c r="CH234" s="450"/>
    </row>
    <row r="235">
      <c r="A235" s="450"/>
      <c r="B235" s="498"/>
      <c r="C235" s="455"/>
      <c r="D235" s="450"/>
      <c r="E235" s="450"/>
      <c r="F235" s="450"/>
      <c r="G235" s="450"/>
      <c r="H235" s="450"/>
      <c r="I235" s="450"/>
      <c r="J235" s="450"/>
      <c r="K235" s="450"/>
      <c r="L235" s="450"/>
      <c r="M235" s="450"/>
      <c r="N235" s="450"/>
      <c r="O235" s="450"/>
      <c r="P235" s="450"/>
      <c r="Q235" s="450"/>
      <c r="R235" s="450"/>
      <c r="S235" s="450"/>
      <c r="T235" s="450"/>
      <c r="U235" s="450"/>
      <c r="V235" s="450"/>
      <c r="W235" s="450"/>
      <c r="X235" s="450"/>
      <c r="Y235" s="450"/>
      <c r="Z235" s="450"/>
      <c r="AA235" s="450"/>
      <c r="AB235" s="450"/>
      <c r="AC235" s="450"/>
      <c r="AD235" s="450"/>
      <c r="AE235" s="450"/>
      <c r="AF235" s="450"/>
      <c r="AG235" s="450"/>
      <c r="AH235" s="450"/>
      <c r="AI235" s="450"/>
      <c r="AJ235" s="450"/>
      <c r="AK235" s="450"/>
      <c r="AL235" s="450"/>
      <c r="AM235" s="450"/>
      <c r="AN235" s="450"/>
      <c r="AO235" s="450"/>
      <c r="AP235" s="450"/>
      <c r="AQ235" s="450"/>
      <c r="AR235" s="450"/>
      <c r="AS235" s="450"/>
      <c r="AT235" s="450"/>
      <c r="AU235" s="450"/>
      <c r="AV235" s="450"/>
      <c r="AW235" s="450"/>
      <c r="AX235" s="450"/>
      <c r="AY235" s="450"/>
      <c r="AZ235" s="450"/>
      <c r="BA235" s="450"/>
      <c r="BB235" s="450"/>
      <c r="BC235" s="450"/>
      <c r="BD235" s="450"/>
      <c r="BE235" s="450"/>
      <c r="BF235" s="450"/>
      <c r="BG235" s="450"/>
      <c r="BH235" s="450"/>
      <c r="BI235" s="450"/>
      <c r="BJ235" s="450"/>
      <c r="BK235" s="450"/>
      <c r="BL235" s="450"/>
      <c r="BM235" s="450"/>
      <c r="BN235" s="450"/>
      <c r="BO235" s="450"/>
      <c r="BP235" s="450"/>
      <c r="BQ235" s="450"/>
      <c r="BR235" s="450"/>
      <c r="BS235" s="450"/>
      <c r="BT235" s="450"/>
      <c r="BU235" s="450"/>
      <c r="BV235" s="450"/>
      <c r="BW235" s="450"/>
      <c r="BX235" s="450"/>
      <c r="BY235" s="450"/>
      <c r="BZ235" s="450"/>
      <c r="CA235" s="450"/>
      <c r="CB235" s="450"/>
      <c r="CC235" s="450"/>
      <c r="CD235" s="450"/>
      <c r="CE235" s="450"/>
      <c r="CF235" s="450"/>
      <c r="CG235" s="450"/>
      <c r="CH235" s="450"/>
    </row>
    <row r="236">
      <c r="A236" s="450"/>
      <c r="B236" s="498"/>
      <c r="C236" s="455"/>
      <c r="D236" s="450"/>
      <c r="E236" s="450"/>
      <c r="F236" s="450"/>
      <c r="G236" s="450"/>
      <c r="H236" s="450"/>
      <c r="I236" s="450"/>
      <c r="J236" s="450"/>
      <c r="K236" s="450"/>
      <c r="L236" s="450"/>
      <c r="M236" s="450"/>
      <c r="N236" s="450"/>
      <c r="O236" s="450"/>
      <c r="P236" s="450"/>
      <c r="Q236" s="450"/>
      <c r="R236" s="450"/>
      <c r="S236" s="450"/>
      <c r="T236" s="450"/>
      <c r="U236" s="450"/>
      <c r="V236" s="450"/>
      <c r="W236" s="450"/>
      <c r="X236" s="450"/>
      <c r="Y236" s="450"/>
      <c r="Z236" s="450"/>
      <c r="AA236" s="450"/>
      <c r="AB236" s="450"/>
      <c r="AC236" s="450"/>
      <c r="AD236" s="450"/>
      <c r="AE236" s="450"/>
      <c r="AF236" s="450"/>
      <c r="AG236" s="450"/>
      <c r="AH236" s="450"/>
      <c r="AI236" s="450"/>
      <c r="AJ236" s="450"/>
      <c r="AK236" s="450"/>
      <c r="AL236" s="450"/>
      <c r="AM236" s="450"/>
      <c r="AN236" s="450"/>
      <c r="AO236" s="450"/>
      <c r="AP236" s="450"/>
      <c r="AQ236" s="450"/>
      <c r="AR236" s="450"/>
      <c r="AS236" s="450"/>
      <c r="AT236" s="450"/>
      <c r="AU236" s="450"/>
      <c r="AV236" s="450"/>
      <c r="AW236" s="450"/>
      <c r="AX236" s="450"/>
      <c r="AY236" s="450"/>
      <c r="AZ236" s="450"/>
      <c r="BA236" s="450"/>
      <c r="BB236" s="450"/>
      <c r="BC236" s="450"/>
      <c r="BD236" s="450"/>
      <c r="BE236" s="450"/>
      <c r="BF236" s="450"/>
      <c r="BG236" s="450"/>
      <c r="BH236" s="450"/>
      <c r="BI236" s="450"/>
      <c r="BJ236" s="450"/>
      <c r="BK236" s="450"/>
      <c r="BL236" s="450"/>
      <c r="BM236" s="450"/>
      <c r="BN236" s="450"/>
      <c r="BO236" s="450"/>
      <c r="BP236" s="450"/>
      <c r="BQ236" s="450"/>
      <c r="BR236" s="450"/>
      <c r="BS236" s="450"/>
      <c r="BT236" s="450"/>
      <c r="BU236" s="450"/>
      <c r="BV236" s="450"/>
      <c r="BW236" s="450"/>
      <c r="BX236" s="450"/>
      <c r="BY236" s="450"/>
      <c r="BZ236" s="450"/>
      <c r="CA236" s="450"/>
      <c r="CB236" s="450"/>
      <c r="CC236" s="450"/>
      <c r="CD236" s="450"/>
      <c r="CE236" s="450"/>
      <c r="CF236" s="450"/>
      <c r="CG236" s="450"/>
      <c r="CH236" s="450"/>
    </row>
    <row r="237">
      <c r="A237" s="450"/>
      <c r="B237" s="498"/>
      <c r="C237" s="455"/>
      <c r="D237" s="450"/>
      <c r="E237" s="450"/>
      <c r="F237" s="450"/>
      <c r="G237" s="450"/>
      <c r="H237" s="450"/>
      <c r="I237" s="450"/>
      <c r="J237" s="450"/>
      <c r="K237" s="450"/>
      <c r="L237" s="450"/>
      <c r="M237" s="450"/>
      <c r="N237" s="450"/>
      <c r="O237" s="450"/>
      <c r="P237" s="450"/>
      <c r="Q237" s="450"/>
      <c r="R237" s="450"/>
      <c r="S237" s="450"/>
      <c r="T237" s="450"/>
      <c r="U237" s="450"/>
      <c r="V237" s="450"/>
      <c r="W237" s="450"/>
      <c r="X237" s="450"/>
      <c r="Y237" s="450"/>
      <c r="Z237" s="450"/>
      <c r="AA237" s="450"/>
      <c r="AB237" s="450"/>
      <c r="AC237" s="450"/>
      <c r="AD237" s="450"/>
      <c r="AE237" s="450"/>
      <c r="AF237" s="450"/>
      <c r="AG237" s="450"/>
      <c r="AH237" s="450"/>
      <c r="AI237" s="450"/>
      <c r="AJ237" s="450"/>
      <c r="AK237" s="450"/>
      <c r="AL237" s="450"/>
      <c r="AM237" s="450"/>
      <c r="AN237" s="450"/>
      <c r="AO237" s="450"/>
      <c r="AP237" s="450"/>
      <c r="AQ237" s="450"/>
      <c r="AR237" s="450"/>
      <c r="AS237" s="450"/>
      <c r="AT237" s="450"/>
      <c r="AU237" s="450"/>
      <c r="AV237" s="450"/>
      <c r="AW237" s="450"/>
      <c r="AX237" s="450"/>
      <c r="AY237" s="450"/>
      <c r="AZ237" s="450"/>
      <c r="BA237" s="450"/>
      <c r="BB237" s="450"/>
      <c r="BC237" s="450"/>
      <c r="BD237" s="450"/>
      <c r="BE237" s="450"/>
      <c r="BF237" s="450"/>
      <c r="BG237" s="450"/>
      <c r="BH237" s="450"/>
      <c r="BI237" s="450"/>
      <c r="BJ237" s="450"/>
      <c r="BK237" s="450"/>
      <c r="BL237" s="450"/>
      <c r="BM237" s="450"/>
      <c r="BN237" s="450"/>
      <c r="BO237" s="450"/>
      <c r="BP237" s="450"/>
      <c r="BQ237" s="450"/>
      <c r="BR237" s="450"/>
      <c r="BS237" s="450"/>
      <c r="BT237" s="450"/>
      <c r="BU237" s="450"/>
      <c r="BV237" s="450"/>
      <c r="BW237" s="450"/>
      <c r="BX237" s="450"/>
      <c r="BY237" s="450"/>
      <c r="BZ237" s="450"/>
      <c r="CA237" s="450"/>
      <c r="CB237" s="450"/>
      <c r="CC237" s="450"/>
      <c r="CD237" s="450"/>
      <c r="CE237" s="450"/>
      <c r="CF237" s="450"/>
      <c r="CG237" s="450"/>
      <c r="CH237" s="450"/>
    </row>
    <row r="238">
      <c r="A238" s="450"/>
      <c r="B238" s="498"/>
      <c r="C238" s="455"/>
      <c r="D238" s="450"/>
      <c r="E238" s="450"/>
      <c r="F238" s="450"/>
      <c r="G238" s="450"/>
      <c r="H238" s="450"/>
      <c r="I238" s="450"/>
      <c r="J238" s="450"/>
      <c r="K238" s="450"/>
      <c r="L238" s="450"/>
      <c r="M238" s="450"/>
      <c r="N238" s="450"/>
      <c r="O238" s="450"/>
      <c r="P238" s="450"/>
      <c r="Q238" s="450"/>
      <c r="R238" s="450"/>
      <c r="S238" s="450"/>
      <c r="T238" s="450"/>
      <c r="U238" s="450"/>
      <c r="V238" s="450"/>
      <c r="W238" s="450"/>
      <c r="X238" s="450"/>
      <c r="Y238" s="450"/>
      <c r="Z238" s="450"/>
      <c r="AA238" s="450"/>
      <c r="AB238" s="450"/>
      <c r="AC238" s="450"/>
      <c r="AD238" s="450"/>
      <c r="AE238" s="450"/>
      <c r="AF238" s="450"/>
      <c r="AG238" s="450"/>
      <c r="AH238" s="450"/>
      <c r="AI238" s="450"/>
      <c r="AJ238" s="450"/>
      <c r="AK238" s="450"/>
      <c r="AL238" s="450"/>
      <c r="AM238" s="450"/>
      <c r="AN238" s="450"/>
      <c r="AO238" s="450"/>
      <c r="AP238" s="450"/>
      <c r="AQ238" s="450"/>
      <c r="AR238" s="450"/>
      <c r="AS238" s="450"/>
      <c r="AT238" s="450"/>
      <c r="AU238" s="450"/>
      <c r="AV238" s="450"/>
      <c r="AW238" s="450"/>
      <c r="AX238" s="450"/>
      <c r="AY238" s="450"/>
      <c r="AZ238" s="450"/>
      <c r="BA238" s="450"/>
      <c r="BB238" s="450"/>
      <c r="BC238" s="450"/>
      <c r="BD238" s="450"/>
      <c r="BE238" s="450"/>
      <c r="BF238" s="450"/>
      <c r="BG238" s="450"/>
      <c r="BH238" s="450"/>
      <c r="BI238" s="450"/>
      <c r="BJ238" s="450"/>
      <c r="BK238" s="450"/>
      <c r="BL238" s="450"/>
      <c r="BM238" s="450"/>
      <c r="BN238" s="450"/>
      <c r="BO238" s="450"/>
      <c r="BP238" s="450"/>
      <c r="BQ238" s="450"/>
      <c r="BR238" s="450"/>
      <c r="BS238" s="450"/>
      <c r="BT238" s="450"/>
      <c r="BU238" s="450"/>
      <c r="BV238" s="450"/>
      <c r="BW238" s="450"/>
      <c r="BX238" s="450"/>
      <c r="BY238" s="450"/>
      <c r="BZ238" s="450"/>
      <c r="CA238" s="450"/>
      <c r="CB238" s="450"/>
      <c r="CC238" s="450"/>
      <c r="CD238" s="450"/>
      <c r="CE238" s="450"/>
      <c r="CF238" s="450"/>
      <c r="CG238" s="450"/>
      <c r="CH238" s="450"/>
    </row>
    <row r="239">
      <c r="A239" s="450"/>
      <c r="B239" s="498"/>
      <c r="C239" s="455"/>
      <c r="D239" s="450"/>
      <c r="E239" s="450"/>
      <c r="F239" s="450"/>
      <c r="G239" s="450"/>
      <c r="H239" s="450"/>
      <c r="I239" s="450"/>
      <c r="J239" s="450"/>
      <c r="K239" s="450"/>
      <c r="L239" s="450"/>
      <c r="M239" s="450"/>
      <c r="N239" s="450"/>
      <c r="O239" s="450"/>
      <c r="P239" s="450"/>
      <c r="Q239" s="450"/>
      <c r="R239" s="450"/>
      <c r="S239" s="450"/>
      <c r="T239" s="450"/>
      <c r="U239" s="450"/>
      <c r="V239" s="450"/>
      <c r="W239" s="450"/>
      <c r="X239" s="450"/>
      <c r="Y239" s="450"/>
      <c r="Z239" s="450"/>
      <c r="AA239" s="450"/>
      <c r="AB239" s="450"/>
      <c r="AC239" s="450"/>
      <c r="AD239" s="450"/>
      <c r="AE239" s="450"/>
      <c r="AF239" s="450"/>
      <c r="AG239" s="450"/>
      <c r="AH239" s="450"/>
      <c r="AI239" s="450"/>
      <c r="AJ239" s="450"/>
      <c r="AK239" s="450"/>
      <c r="AL239" s="450"/>
      <c r="AM239" s="450"/>
      <c r="AN239" s="450"/>
      <c r="AO239" s="450"/>
      <c r="AP239" s="450"/>
      <c r="AQ239" s="450"/>
      <c r="AR239" s="450"/>
      <c r="AS239" s="450"/>
      <c r="AT239" s="450"/>
      <c r="AU239" s="450"/>
      <c r="AV239" s="450"/>
      <c r="AW239" s="450"/>
      <c r="AX239" s="450"/>
      <c r="AY239" s="450"/>
      <c r="AZ239" s="450"/>
      <c r="BA239" s="450"/>
      <c r="BB239" s="450"/>
      <c r="BC239" s="450"/>
      <c r="BD239" s="450"/>
      <c r="BE239" s="450"/>
      <c r="BF239" s="450"/>
      <c r="BG239" s="450"/>
      <c r="BH239" s="450"/>
      <c r="BI239" s="450"/>
      <c r="BJ239" s="450"/>
      <c r="BK239" s="450"/>
      <c r="BL239" s="450"/>
      <c r="BM239" s="450"/>
      <c r="BN239" s="450"/>
      <c r="BO239" s="450"/>
      <c r="BP239" s="450"/>
      <c r="BQ239" s="450"/>
      <c r="BR239" s="450"/>
      <c r="BS239" s="450"/>
      <c r="BT239" s="450"/>
      <c r="BU239" s="450"/>
      <c r="BV239" s="450"/>
      <c r="BW239" s="450"/>
      <c r="BX239" s="450"/>
      <c r="BY239" s="450"/>
      <c r="BZ239" s="450"/>
      <c r="CA239" s="450"/>
      <c r="CB239" s="450"/>
      <c r="CC239" s="450"/>
      <c r="CD239" s="450"/>
      <c r="CE239" s="450"/>
      <c r="CF239" s="450"/>
      <c r="CG239" s="450"/>
      <c r="CH239" s="450"/>
    </row>
    <row r="240">
      <c r="A240" s="450"/>
      <c r="B240" s="498"/>
      <c r="C240" s="455"/>
      <c r="D240" s="450"/>
      <c r="E240" s="450"/>
      <c r="F240" s="450"/>
      <c r="G240" s="450"/>
      <c r="H240" s="450"/>
      <c r="I240" s="450"/>
      <c r="J240" s="450"/>
      <c r="K240" s="450"/>
      <c r="L240" s="450"/>
      <c r="M240" s="450"/>
      <c r="N240" s="450"/>
      <c r="O240" s="450"/>
      <c r="P240" s="450"/>
      <c r="Q240" s="450"/>
      <c r="R240" s="450"/>
      <c r="S240" s="450"/>
      <c r="T240" s="450"/>
      <c r="U240" s="450"/>
      <c r="V240" s="450"/>
      <c r="W240" s="450"/>
      <c r="X240" s="450"/>
      <c r="Y240" s="450"/>
      <c r="Z240" s="450"/>
      <c r="AA240" s="450"/>
      <c r="AB240" s="450"/>
      <c r="AC240" s="450"/>
      <c r="AD240" s="450"/>
      <c r="AE240" s="450"/>
      <c r="AF240" s="450"/>
      <c r="AG240" s="450"/>
      <c r="AH240" s="450"/>
      <c r="AI240" s="450"/>
      <c r="AJ240" s="450"/>
      <c r="AK240" s="450"/>
      <c r="AL240" s="450"/>
      <c r="AM240" s="450"/>
      <c r="AN240" s="450"/>
      <c r="AO240" s="450"/>
      <c r="AP240" s="450"/>
      <c r="AQ240" s="450"/>
      <c r="AR240" s="450"/>
      <c r="AS240" s="450"/>
      <c r="AT240" s="450"/>
      <c r="AU240" s="450"/>
      <c r="AV240" s="450"/>
      <c r="AW240" s="450"/>
      <c r="AX240" s="450"/>
      <c r="AY240" s="450"/>
      <c r="AZ240" s="450"/>
      <c r="BA240" s="450"/>
      <c r="BB240" s="450"/>
      <c r="BC240" s="450"/>
      <c r="BD240" s="450"/>
      <c r="BE240" s="450"/>
      <c r="BF240" s="450"/>
      <c r="BG240" s="450"/>
      <c r="BH240" s="450"/>
      <c r="BI240" s="450"/>
      <c r="BJ240" s="450"/>
      <c r="BK240" s="450"/>
      <c r="BL240" s="450"/>
      <c r="BM240" s="450"/>
      <c r="BN240" s="450"/>
      <c r="BO240" s="450"/>
      <c r="BP240" s="450"/>
      <c r="BQ240" s="450"/>
      <c r="BR240" s="450"/>
      <c r="BS240" s="450"/>
      <c r="BT240" s="450"/>
      <c r="BU240" s="450"/>
      <c r="BV240" s="450"/>
      <c r="BW240" s="450"/>
      <c r="BX240" s="450"/>
      <c r="BY240" s="450"/>
      <c r="BZ240" s="450"/>
      <c r="CA240" s="450"/>
      <c r="CB240" s="450"/>
      <c r="CC240" s="450"/>
      <c r="CD240" s="450"/>
      <c r="CE240" s="450"/>
      <c r="CF240" s="450"/>
      <c r="CG240" s="450"/>
      <c r="CH240" s="450"/>
    </row>
    <row r="241">
      <c r="A241" s="450"/>
      <c r="B241" s="498"/>
      <c r="C241" s="455"/>
      <c r="D241" s="450"/>
      <c r="E241" s="450"/>
      <c r="F241" s="450"/>
      <c r="G241" s="450"/>
      <c r="H241" s="450"/>
      <c r="I241" s="450"/>
      <c r="J241" s="450"/>
      <c r="K241" s="450"/>
      <c r="L241" s="450"/>
      <c r="M241" s="450"/>
      <c r="N241" s="450"/>
      <c r="O241" s="450"/>
      <c r="P241" s="450"/>
      <c r="Q241" s="450"/>
      <c r="R241" s="450"/>
      <c r="S241" s="450"/>
      <c r="T241" s="450"/>
      <c r="U241" s="450"/>
      <c r="V241" s="450"/>
      <c r="W241" s="450"/>
      <c r="X241" s="450"/>
      <c r="Y241" s="450"/>
      <c r="Z241" s="450"/>
      <c r="AA241" s="450"/>
      <c r="AB241" s="450"/>
      <c r="AC241" s="450"/>
      <c r="AD241" s="450"/>
      <c r="AE241" s="450"/>
      <c r="AF241" s="450"/>
      <c r="AG241" s="450"/>
      <c r="AH241" s="450"/>
      <c r="AI241" s="450"/>
      <c r="AJ241" s="450"/>
      <c r="AK241" s="450"/>
      <c r="AL241" s="450"/>
      <c r="AM241" s="450"/>
      <c r="AN241" s="450"/>
      <c r="AO241" s="450"/>
      <c r="AP241" s="450"/>
      <c r="AQ241" s="450"/>
      <c r="AR241" s="450"/>
      <c r="AS241" s="450"/>
      <c r="AT241" s="450"/>
      <c r="AU241" s="450"/>
      <c r="AV241" s="450"/>
      <c r="AW241" s="450"/>
      <c r="AX241" s="450"/>
      <c r="AY241" s="450"/>
      <c r="AZ241" s="450"/>
      <c r="BA241" s="450"/>
      <c r="BB241" s="450"/>
      <c r="BC241" s="450"/>
      <c r="BD241" s="450"/>
      <c r="BE241" s="450"/>
      <c r="BF241" s="450"/>
      <c r="BG241" s="450"/>
      <c r="BH241" s="450"/>
      <c r="BI241" s="450"/>
      <c r="BJ241" s="450"/>
      <c r="BK241" s="450"/>
      <c r="BL241" s="450"/>
      <c r="BM241" s="450"/>
      <c r="BN241" s="450"/>
      <c r="BO241" s="450"/>
      <c r="BP241" s="450"/>
      <c r="BQ241" s="450"/>
      <c r="BR241" s="450"/>
      <c r="BS241" s="450"/>
      <c r="BT241" s="450"/>
      <c r="BU241" s="450"/>
      <c r="BV241" s="450"/>
      <c r="BW241" s="450"/>
      <c r="BX241" s="450"/>
      <c r="BY241" s="450"/>
      <c r="BZ241" s="450"/>
      <c r="CA241" s="450"/>
      <c r="CB241" s="450"/>
      <c r="CC241" s="450"/>
      <c r="CD241" s="450"/>
      <c r="CE241" s="450"/>
      <c r="CF241" s="450"/>
      <c r="CG241" s="450"/>
      <c r="CH241" s="450"/>
    </row>
    <row r="242">
      <c r="A242" s="450"/>
      <c r="B242" s="498"/>
      <c r="C242" s="455"/>
      <c r="D242" s="450"/>
      <c r="E242" s="450"/>
      <c r="F242" s="450"/>
      <c r="G242" s="450"/>
      <c r="H242" s="450"/>
      <c r="I242" s="450"/>
      <c r="J242" s="450"/>
      <c r="K242" s="450"/>
      <c r="L242" s="450"/>
      <c r="M242" s="450"/>
      <c r="N242" s="450"/>
      <c r="O242" s="450"/>
      <c r="P242" s="450"/>
      <c r="Q242" s="450"/>
      <c r="R242" s="450"/>
      <c r="S242" s="450"/>
      <c r="T242" s="450"/>
      <c r="U242" s="450"/>
      <c r="V242" s="450"/>
      <c r="W242" s="450"/>
      <c r="X242" s="450"/>
      <c r="Y242" s="450"/>
      <c r="Z242" s="450"/>
      <c r="AA242" s="450"/>
      <c r="AB242" s="450"/>
      <c r="AC242" s="450"/>
      <c r="AD242" s="450"/>
      <c r="AE242" s="450"/>
      <c r="AF242" s="450"/>
      <c r="AG242" s="450"/>
      <c r="AH242" s="450"/>
      <c r="AI242" s="450"/>
      <c r="AJ242" s="450"/>
      <c r="AK242" s="450"/>
      <c r="AL242" s="450"/>
      <c r="AM242" s="450"/>
      <c r="AN242" s="450"/>
      <c r="AO242" s="450"/>
      <c r="AP242" s="450"/>
      <c r="AQ242" s="450"/>
      <c r="AR242" s="450"/>
      <c r="AS242" s="450"/>
      <c r="AT242" s="450"/>
      <c r="AU242" s="450"/>
      <c r="AV242" s="450"/>
      <c r="AW242" s="450"/>
      <c r="AX242" s="450"/>
      <c r="AY242" s="450"/>
      <c r="AZ242" s="450"/>
      <c r="BA242" s="450"/>
      <c r="BB242" s="450"/>
      <c r="BC242" s="450"/>
      <c r="BD242" s="450"/>
      <c r="BE242" s="450"/>
      <c r="BF242" s="450"/>
      <c r="BG242" s="450"/>
      <c r="BH242" s="450"/>
      <c r="BI242" s="450"/>
      <c r="BJ242" s="450"/>
      <c r="BK242" s="450"/>
      <c r="BL242" s="450"/>
      <c r="BM242" s="450"/>
      <c r="BN242" s="450"/>
      <c r="BO242" s="450"/>
      <c r="BP242" s="450"/>
      <c r="BQ242" s="450"/>
      <c r="BR242" s="450"/>
      <c r="BS242" s="450"/>
      <c r="BT242" s="450"/>
      <c r="BU242" s="450"/>
      <c r="BV242" s="450"/>
      <c r="BW242" s="450"/>
      <c r="BX242" s="450"/>
      <c r="BY242" s="450"/>
      <c r="BZ242" s="450"/>
      <c r="CA242" s="450"/>
      <c r="CB242" s="450"/>
      <c r="CC242" s="450"/>
      <c r="CD242" s="450"/>
      <c r="CE242" s="450"/>
      <c r="CF242" s="450"/>
      <c r="CG242" s="450"/>
      <c r="CH242" s="450"/>
    </row>
    <row r="243">
      <c r="A243" s="450"/>
      <c r="B243" s="498"/>
      <c r="C243" s="455"/>
      <c r="D243" s="450"/>
      <c r="E243" s="450"/>
      <c r="F243" s="450"/>
      <c r="G243" s="450"/>
      <c r="H243" s="450"/>
      <c r="I243" s="450"/>
      <c r="J243" s="450"/>
      <c r="K243" s="450"/>
      <c r="L243" s="450"/>
      <c r="M243" s="450"/>
      <c r="N243" s="450"/>
      <c r="O243" s="450"/>
      <c r="P243" s="450"/>
      <c r="Q243" s="450"/>
      <c r="R243" s="450"/>
      <c r="S243" s="450"/>
      <c r="T243" s="450"/>
      <c r="U243" s="450"/>
      <c r="V243" s="450"/>
      <c r="W243" s="450"/>
      <c r="X243" s="450"/>
      <c r="Y243" s="450"/>
      <c r="Z243" s="450"/>
      <c r="AA243" s="450"/>
      <c r="AB243" s="450"/>
      <c r="AC243" s="450"/>
      <c r="AD243" s="450"/>
      <c r="AE243" s="450"/>
      <c r="AF243" s="450"/>
      <c r="AG243" s="450"/>
      <c r="AH243" s="450"/>
      <c r="AI243" s="450"/>
      <c r="AJ243" s="450"/>
      <c r="AK243" s="450"/>
      <c r="AL243" s="450"/>
      <c r="AM243" s="450"/>
      <c r="AN243" s="450"/>
      <c r="AO243" s="450"/>
      <c r="AP243" s="450"/>
      <c r="AQ243" s="450"/>
      <c r="AR243" s="450"/>
      <c r="AS243" s="450"/>
      <c r="AT243" s="450"/>
      <c r="AU243" s="450"/>
      <c r="AV243" s="450"/>
      <c r="AW243" s="450"/>
      <c r="AX243" s="450"/>
      <c r="AY243" s="450"/>
      <c r="AZ243" s="450"/>
      <c r="BA243" s="450"/>
      <c r="BB243" s="450"/>
      <c r="BC243" s="450"/>
      <c r="BD243" s="450"/>
      <c r="BE243" s="450"/>
      <c r="BF243" s="450"/>
      <c r="BG243" s="450"/>
      <c r="BH243" s="450"/>
      <c r="BI243" s="450"/>
      <c r="BJ243" s="450"/>
      <c r="BK243" s="450"/>
      <c r="BL243" s="450"/>
      <c r="BM243" s="450"/>
      <c r="BN243" s="450"/>
      <c r="BO243" s="450"/>
      <c r="BP243" s="450"/>
      <c r="BQ243" s="450"/>
      <c r="BR243" s="450"/>
      <c r="BS243" s="450"/>
      <c r="BT243" s="450"/>
      <c r="BU243" s="450"/>
      <c r="BV243" s="450"/>
      <c r="BW243" s="450"/>
      <c r="BX243" s="450"/>
      <c r="BY243" s="450"/>
      <c r="BZ243" s="450"/>
      <c r="CA243" s="450"/>
      <c r="CB243" s="450"/>
      <c r="CC243" s="450"/>
      <c r="CD243" s="450"/>
      <c r="CE243" s="450"/>
      <c r="CF243" s="450"/>
      <c r="CG243" s="450"/>
      <c r="CH243" s="450"/>
    </row>
    <row r="244">
      <c r="A244" s="450"/>
      <c r="B244" s="498"/>
      <c r="C244" s="455"/>
      <c r="D244" s="450"/>
      <c r="E244" s="450"/>
      <c r="F244" s="450"/>
      <c r="G244" s="450"/>
      <c r="H244" s="450"/>
      <c r="I244" s="450"/>
      <c r="J244" s="450"/>
      <c r="K244" s="450"/>
      <c r="L244" s="450"/>
      <c r="M244" s="450"/>
      <c r="N244" s="450"/>
      <c r="O244" s="450"/>
      <c r="P244" s="450"/>
      <c r="Q244" s="450"/>
      <c r="R244" s="450"/>
      <c r="S244" s="450"/>
      <c r="T244" s="450"/>
      <c r="U244" s="450"/>
      <c r="V244" s="450"/>
      <c r="W244" s="450"/>
      <c r="X244" s="450"/>
      <c r="Y244" s="450"/>
      <c r="Z244" s="450"/>
      <c r="AA244" s="450"/>
      <c r="AB244" s="450"/>
      <c r="AC244" s="450"/>
      <c r="AD244" s="450"/>
      <c r="AE244" s="450"/>
      <c r="AF244" s="450"/>
      <c r="AG244" s="450"/>
      <c r="AH244" s="450"/>
      <c r="AI244" s="450"/>
      <c r="AJ244" s="450"/>
      <c r="AK244" s="450"/>
      <c r="AL244" s="450"/>
      <c r="AM244" s="450"/>
      <c r="AN244" s="450"/>
      <c r="AO244" s="450"/>
      <c r="AP244" s="450"/>
      <c r="AQ244" s="450"/>
      <c r="AR244" s="450"/>
      <c r="AS244" s="450"/>
      <c r="AT244" s="450"/>
      <c r="AU244" s="450"/>
      <c r="AV244" s="450"/>
      <c r="AW244" s="450"/>
      <c r="AX244" s="450"/>
      <c r="AY244" s="450"/>
      <c r="AZ244" s="450"/>
      <c r="BA244" s="450"/>
      <c r="BB244" s="450"/>
      <c r="BC244" s="450"/>
      <c r="BD244" s="450"/>
      <c r="BE244" s="450"/>
      <c r="BF244" s="450"/>
      <c r="BG244" s="450"/>
      <c r="BH244" s="450"/>
      <c r="BI244" s="450"/>
      <c r="BJ244" s="450"/>
      <c r="BK244" s="450"/>
      <c r="BL244" s="450"/>
      <c r="BM244" s="450"/>
      <c r="BN244" s="450"/>
      <c r="BO244" s="450"/>
      <c r="BP244" s="450"/>
      <c r="BQ244" s="450"/>
      <c r="BR244" s="450"/>
      <c r="BS244" s="450"/>
      <c r="BT244" s="450"/>
      <c r="BU244" s="450"/>
      <c r="BV244" s="450"/>
      <c r="BW244" s="450"/>
      <c r="BX244" s="450"/>
      <c r="BY244" s="450"/>
      <c r="BZ244" s="450"/>
      <c r="CA244" s="450"/>
      <c r="CB244" s="450"/>
      <c r="CC244" s="450"/>
      <c r="CD244" s="450"/>
      <c r="CE244" s="450"/>
      <c r="CF244" s="450"/>
      <c r="CG244" s="450"/>
      <c r="CH244" s="450"/>
    </row>
    <row r="245">
      <c r="A245" s="450"/>
      <c r="B245" s="498"/>
      <c r="C245" s="455"/>
      <c r="D245" s="450"/>
      <c r="E245" s="450"/>
      <c r="F245" s="450"/>
      <c r="G245" s="450"/>
      <c r="H245" s="450"/>
      <c r="I245" s="450"/>
      <c r="J245" s="450"/>
      <c r="K245" s="450"/>
      <c r="L245" s="450"/>
      <c r="M245" s="450"/>
      <c r="N245" s="450"/>
      <c r="O245" s="450"/>
      <c r="P245" s="450"/>
      <c r="Q245" s="450"/>
      <c r="R245" s="450"/>
      <c r="S245" s="450"/>
      <c r="T245" s="450"/>
      <c r="U245" s="450"/>
      <c r="V245" s="450"/>
      <c r="W245" s="450"/>
      <c r="X245" s="450"/>
      <c r="Y245" s="450"/>
      <c r="Z245" s="450"/>
      <c r="AA245" s="450"/>
      <c r="AB245" s="450"/>
      <c r="AC245" s="450"/>
      <c r="AD245" s="450"/>
      <c r="AE245" s="450"/>
      <c r="AF245" s="450"/>
      <c r="AG245" s="450"/>
      <c r="AH245" s="450"/>
      <c r="AI245" s="450"/>
      <c r="AJ245" s="450"/>
      <c r="AK245" s="450"/>
      <c r="AL245" s="450"/>
      <c r="AM245" s="450"/>
      <c r="AN245" s="450"/>
      <c r="AO245" s="450"/>
      <c r="AP245" s="450"/>
      <c r="AQ245" s="450"/>
      <c r="AR245" s="450"/>
      <c r="AS245" s="450"/>
      <c r="AT245" s="450"/>
      <c r="AU245" s="450"/>
      <c r="AV245" s="450"/>
      <c r="AW245" s="450"/>
      <c r="AX245" s="450"/>
      <c r="AY245" s="450"/>
      <c r="AZ245" s="450"/>
      <c r="BA245" s="450"/>
      <c r="BB245" s="450"/>
      <c r="BC245" s="450"/>
      <c r="BD245" s="450"/>
      <c r="BE245" s="450"/>
      <c r="BF245" s="450"/>
      <c r="BG245" s="450"/>
      <c r="BH245" s="450"/>
      <c r="BI245" s="450"/>
      <c r="BJ245" s="450"/>
      <c r="BK245" s="450"/>
      <c r="BL245" s="450"/>
      <c r="BM245" s="450"/>
      <c r="BN245" s="450"/>
      <c r="BO245" s="450"/>
      <c r="BP245" s="450"/>
      <c r="BQ245" s="450"/>
      <c r="BR245" s="450"/>
      <c r="BS245" s="450"/>
      <c r="BT245" s="450"/>
      <c r="BU245" s="450"/>
      <c r="BV245" s="450"/>
      <c r="BW245" s="450"/>
      <c r="BX245" s="450"/>
      <c r="BY245" s="450"/>
      <c r="BZ245" s="450"/>
      <c r="CA245" s="450"/>
      <c r="CB245" s="450"/>
      <c r="CC245" s="450"/>
      <c r="CD245" s="450"/>
      <c r="CE245" s="450"/>
      <c r="CF245" s="450"/>
      <c r="CG245" s="450"/>
      <c r="CH245" s="450"/>
    </row>
    <row r="246">
      <c r="A246" s="450"/>
      <c r="B246" s="498"/>
      <c r="C246" s="455"/>
      <c r="D246" s="450"/>
      <c r="E246" s="450"/>
      <c r="F246" s="450"/>
      <c r="G246" s="450"/>
      <c r="H246" s="450"/>
      <c r="I246" s="450"/>
      <c r="J246" s="450"/>
      <c r="K246" s="450"/>
      <c r="L246" s="450"/>
      <c r="M246" s="450"/>
      <c r="N246" s="450"/>
      <c r="O246" s="450"/>
      <c r="P246" s="450"/>
      <c r="Q246" s="450"/>
      <c r="R246" s="450"/>
      <c r="S246" s="450"/>
      <c r="T246" s="450"/>
      <c r="U246" s="450"/>
      <c r="V246" s="450"/>
      <c r="W246" s="450"/>
      <c r="X246" s="450"/>
      <c r="Y246" s="450"/>
      <c r="Z246" s="450"/>
      <c r="AA246" s="450"/>
      <c r="AB246" s="450"/>
      <c r="AC246" s="450"/>
      <c r="AD246" s="450"/>
      <c r="AE246" s="450"/>
      <c r="AF246" s="450"/>
      <c r="AG246" s="450"/>
      <c r="AH246" s="450"/>
      <c r="AI246" s="450"/>
      <c r="AJ246" s="450"/>
      <c r="AK246" s="450"/>
      <c r="AL246" s="450"/>
      <c r="AM246" s="450"/>
      <c r="AN246" s="450"/>
      <c r="AO246" s="450"/>
      <c r="AP246" s="450"/>
      <c r="AQ246" s="450"/>
      <c r="AR246" s="450"/>
      <c r="AS246" s="450"/>
      <c r="AT246" s="450"/>
      <c r="AU246" s="450"/>
      <c r="AV246" s="450"/>
      <c r="AW246" s="450"/>
      <c r="AX246" s="450"/>
      <c r="AY246" s="450"/>
      <c r="AZ246" s="450"/>
      <c r="BA246" s="450"/>
      <c r="BB246" s="450"/>
      <c r="BC246" s="450"/>
      <c r="BD246" s="450"/>
      <c r="BE246" s="450"/>
      <c r="BF246" s="450"/>
      <c r="BG246" s="450"/>
      <c r="BH246" s="450"/>
      <c r="BI246" s="450"/>
      <c r="BJ246" s="450"/>
      <c r="BK246" s="450"/>
      <c r="BL246" s="450"/>
      <c r="BM246" s="450"/>
      <c r="BN246" s="450"/>
      <c r="BO246" s="450"/>
      <c r="BP246" s="450"/>
      <c r="BQ246" s="450"/>
      <c r="BR246" s="450"/>
      <c r="BS246" s="450"/>
      <c r="BT246" s="450"/>
      <c r="BU246" s="450"/>
      <c r="BV246" s="450"/>
      <c r="BW246" s="450"/>
      <c r="BX246" s="450"/>
      <c r="BY246" s="450"/>
      <c r="BZ246" s="450"/>
      <c r="CA246" s="450"/>
      <c r="CB246" s="450"/>
      <c r="CC246" s="450"/>
      <c r="CD246" s="450"/>
      <c r="CE246" s="450"/>
      <c r="CF246" s="450"/>
      <c r="CG246" s="450"/>
      <c r="CH246" s="450"/>
    </row>
    <row r="247">
      <c r="A247" s="450"/>
      <c r="B247" s="498"/>
      <c r="C247" s="455"/>
      <c r="D247" s="450"/>
      <c r="E247" s="450"/>
      <c r="F247" s="450"/>
      <c r="G247" s="450"/>
      <c r="H247" s="450"/>
      <c r="I247" s="450"/>
      <c r="J247" s="450"/>
      <c r="K247" s="450"/>
      <c r="L247" s="450"/>
      <c r="M247" s="450"/>
      <c r="N247" s="450"/>
      <c r="O247" s="450"/>
      <c r="P247" s="450"/>
      <c r="Q247" s="450"/>
      <c r="R247" s="450"/>
      <c r="S247" s="450"/>
      <c r="T247" s="450"/>
      <c r="U247" s="450"/>
      <c r="V247" s="450"/>
      <c r="W247" s="450"/>
      <c r="X247" s="450"/>
      <c r="Y247" s="450"/>
      <c r="Z247" s="450"/>
      <c r="AA247" s="450"/>
      <c r="AB247" s="450"/>
      <c r="AC247" s="450"/>
      <c r="AD247" s="450"/>
      <c r="AE247" s="450"/>
      <c r="AF247" s="450"/>
      <c r="AG247" s="450"/>
      <c r="AH247" s="450"/>
      <c r="AI247" s="450"/>
      <c r="AJ247" s="450"/>
      <c r="AK247" s="450"/>
      <c r="AL247" s="450"/>
      <c r="AM247" s="450"/>
      <c r="AN247" s="450"/>
      <c r="AO247" s="450"/>
      <c r="AP247" s="450"/>
      <c r="AQ247" s="450"/>
      <c r="AR247" s="450"/>
      <c r="AS247" s="450"/>
      <c r="AT247" s="450"/>
      <c r="AU247" s="450"/>
      <c r="AV247" s="450"/>
      <c r="AW247" s="450"/>
      <c r="AX247" s="450"/>
      <c r="AY247" s="450"/>
      <c r="AZ247" s="450"/>
      <c r="BA247" s="450"/>
      <c r="BB247" s="450"/>
      <c r="BC247" s="450"/>
      <c r="BD247" s="450"/>
      <c r="BE247" s="450"/>
      <c r="BF247" s="450"/>
      <c r="BG247" s="450"/>
      <c r="BH247" s="450"/>
      <c r="BI247" s="450"/>
      <c r="BJ247" s="450"/>
      <c r="BK247" s="450"/>
      <c r="BL247" s="450"/>
      <c r="BM247" s="450"/>
      <c r="BN247" s="450"/>
      <c r="BO247" s="450"/>
      <c r="BP247" s="450"/>
      <c r="BQ247" s="450"/>
      <c r="BR247" s="450"/>
      <c r="BS247" s="450"/>
      <c r="BT247" s="450"/>
      <c r="BU247" s="450"/>
      <c r="BV247" s="450"/>
      <c r="BW247" s="450"/>
      <c r="BX247" s="450"/>
      <c r="BY247" s="450"/>
      <c r="BZ247" s="450"/>
      <c r="CA247" s="450"/>
      <c r="CB247" s="450"/>
      <c r="CC247" s="450"/>
      <c r="CD247" s="450"/>
      <c r="CE247" s="450"/>
      <c r="CF247" s="450"/>
      <c r="CG247" s="450"/>
      <c r="CH247" s="450"/>
    </row>
    <row r="248">
      <c r="A248" s="450"/>
      <c r="B248" s="498"/>
      <c r="C248" s="455"/>
      <c r="D248" s="450"/>
      <c r="E248" s="450"/>
      <c r="F248" s="450"/>
      <c r="G248" s="450"/>
      <c r="H248" s="450"/>
      <c r="I248" s="450"/>
      <c r="J248" s="450"/>
      <c r="K248" s="450"/>
      <c r="L248" s="450"/>
      <c r="M248" s="450"/>
      <c r="N248" s="450"/>
      <c r="O248" s="450"/>
      <c r="P248" s="450"/>
      <c r="Q248" s="450"/>
      <c r="R248" s="450"/>
      <c r="S248" s="450"/>
      <c r="T248" s="450"/>
      <c r="U248" s="450"/>
      <c r="V248" s="450"/>
      <c r="W248" s="450"/>
      <c r="X248" s="450"/>
      <c r="Y248" s="450"/>
      <c r="Z248" s="450"/>
      <c r="AA248" s="450"/>
      <c r="AB248" s="450"/>
      <c r="AC248" s="450"/>
      <c r="AD248" s="450"/>
      <c r="AE248" s="450"/>
      <c r="AF248" s="450"/>
      <c r="AG248" s="450"/>
      <c r="AH248" s="450"/>
      <c r="AI248" s="450"/>
      <c r="AJ248" s="450"/>
      <c r="AK248" s="450"/>
      <c r="AL248" s="450"/>
      <c r="AM248" s="450"/>
      <c r="AN248" s="450"/>
      <c r="AO248" s="450"/>
      <c r="AP248" s="450"/>
      <c r="AQ248" s="450"/>
      <c r="AR248" s="450"/>
      <c r="AS248" s="450"/>
      <c r="AT248" s="450"/>
      <c r="AU248" s="450"/>
      <c r="AV248" s="450"/>
      <c r="AW248" s="450"/>
      <c r="AX248" s="450"/>
      <c r="AY248" s="450"/>
      <c r="AZ248" s="450"/>
      <c r="BA248" s="450"/>
      <c r="BB248" s="450"/>
      <c r="BC248" s="450"/>
      <c r="BD248" s="450"/>
      <c r="BE248" s="450"/>
      <c r="BF248" s="450"/>
      <c r="BG248" s="450"/>
      <c r="BH248" s="450"/>
      <c r="BI248" s="450"/>
      <c r="BJ248" s="450"/>
      <c r="BK248" s="450"/>
      <c r="BL248" s="450"/>
      <c r="BM248" s="450"/>
      <c r="BN248" s="450"/>
      <c r="BO248" s="450"/>
      <c r="BP248" s="450"/>
      <c r="BQ248" s="450"/>
      <c r="BR248" s="450"/>
      <c r="BS248" s="450"/>
      <c r="BT248" s="450"/>
      <c r="BU248" s="450"/>
      <c r="BV248" s="450"/>
      <c r="BW248" s="450"/>
      <c r="BX248" s="450"/>
      <c r="BY248" s="450"/>
      <c r="BZ248" s="450"/>
      <c r="CA248" s="450"/>
      <c r="CB248" s="450"/>
      <c r="CC248" s="450"/>
      <c r="CD248" s="450"/>
      <c r="CE248" s="450"/>
      <c r="CF248" s="450"/>
      <c r="CG248" s="450"/>
      <c r="CH248" s="450"/>
    </row>
    <row r="249">
      <c r="A249" s="450"/>
      <c r="B249" s="498"/>
      <c r="C249" s="455"/>
      <c r="D249" s="450"/>
      <c r="E249" s="450"/>
      <c r="F249" s="450"/>
      <c r="G249" s="450"/>
      <c r="H249" s="450"/>
      <c r="I249" s="450"/>
      <c r="J249" s="450"/>
      <c r="K249" s="450"/>
      <c r="L249" s="450"/>
      <c r="M249" s="450"/>
      <c r="N249" s="450"/>
      <c r="O249" s="450"/>
      <c r="P249" s="450"/>
      <c r="Q249" s="450"/>
      <c r="R249" s="450"/>
      <c r="S249" s="450"/>
      <c r="T249" s="450"/>
      <c r="U249" s="450"/>
      <c r="V249" s="450"/>
      <c r="W249" s="450"/>
      <c r="X249" s="450"/>
      <c r="Y249" s="450"/>
      <c r="Z249" s="450"/>
      <c r="AA249" s="450"/>
      <c r="AB249" s="450"/>
      <c r="AC249" s="450"/>
      <c r="AD249" s="450"/>
      <c r="AE249" s="450"/>
      <c r="AF249" s="450"/>
      <c r="AG249" s="450"/>
      <c r="AH249" s="450"/>
      <c r="AI249" s="450"/>
      <c r="AJ249" s="450"/>
      <c r="AK249" s="450"/>
      <c r="AL249" s="450"/>
      <c r="AM249" s="450"/>
      <c r="AN249" s="450"/>
      <c r="AO249" s="450"/>
      <c r="AP249" s="450"/>
      <c r="AQ249" s="450"/>
      <c r="AR249" s="450"/>
      <c r="AS249" s="450"/>
      <c r="AT249" s="450"/>
      <c r="AU249" s="450"/>
      <c r="AV249" s="450"/>
      <c r="AW249" s="450"/>
      <c r="AX249" s="450"/>
      <c r="AY249" s="450"/>
      <c r="AZ249" s="450"/>
      <c r="BA249" s="450"/>
      <c r="BB249" s="450"/>
      <c r="BC249" s="450"/>
      <c r="BD249" s="450"/>
      <c r="BE249" s="450"/>
      <c r="BF249" s="450"/>
      <c r="BG249" s="450"/>
      <c r="BH249" s="450"/>
      <c r="BI249" s="450"/>
      <c r="BJ249" s="450"/>
      <c r="BK249" s="450"/>
      <c r="BL249" s="450"/>
      <c r="BM249" s="450"/>
      <c r="BN249" s="450"/>
      <c r="BO249" s="450"/>
      <c r="BP249" s="450"/>
      <c r="BQ249" s="450"/>
      <c r="BR249" s="450"/>
      <c r="BS249" s="450"/>
      <c r="BT249" s="450"/>
      <c r="BU249" s="450"/>
      <c r="BV249" s="450"/>
      <c r="BW249" s="450"/>
      <c r="BX249" s="450"/>
      <c r="BY249" s="450"/>
      <c r="BZ249" s="450"/>
      <c r="CA249" s="450"/>
      <c r="CB249" s="450"/>
      <c r="CC249" s="450"/>
      <c r="CD249" s="450"/>
      <c r="CE249" s="450"/>
      <c r="CF249" s="450"/>
      <c r="CG249" s="450"/>
      <c r="CH249" s="450"/>
    </row>
    <row r="250">
      <c r="A250" s="450"/>
      <c r="B250" s="498"/>
      <c r="C250" s="455"/>
      <c r="D250" s="450"/>
      <c r="E250" s="450"/>
      <c r="F250" s="450"/>
      <c r="G250" s="450"/>
      <c r="H250" s="450"/>
      <c r="I250" s="450"/>
      <c r="J250" s="450"/>
      <c r="K250" s="450"/>
      <c r="L250" s="450"/>
      <c r="M250" s="450"/>
      <c r="N250" s="450"/>
      <c r="O250" s="450"/>
      <c r="P250" s="450"/>
      <c r="Q250" s="450"/>
      <c r="R250" s="450"/>
      <c r="S250" s="450"/>
      <c r="T250" s="450"/>
      <c r="U250" s="450"/>
      <c r="V250" s="450"/>
      <c r="W250" s="450"/>
      <c r="X250" s="450"/>
      <c r="Y250" s="450"/>
      <c r="Z250" s="450"/>
      <c r="AA250" s="450"/>
      <c r="AB250" s="450"/>
      <c r="AC250" s="450"/>
      <c r="AD250" s="450"/>
      <c r="AE250" s="450"/>
      <c r="AF250" s="450"/>
      <c r="AG250" s="450"/>
      <c r="AH250" s="450"/>
      <c r="AI250" s="450"/>
      <c r="AJ250" s="450"/>
      <c r="AK250" s="450"/>
      <c r="AL250" s="450"/>
      <c r="AM250" s="450"/>
      <c r="AN250" s="450"/>
      <c r="AO250" s="450"/>
      <c r="AP250" s="450"/>
      <c r="AQ250" s="450"/>
      <c r="AR250" s="450"/>
      <c r="AS250" s="450"/>
      <c r="AT250" s="450"/>
      <c r="AU250" s="450"/>
      <c r="AV250" s="450"/>
      <c r="AW250" s="450"/>
      <c r="AX250" s="450"/>
      <c r="AY250" s="450"/>
      <c r="AZ250" s="450"/>
      <c r="BA250" s="450"/>
      <c r="BB250" s="450"/>
      <c r="BC250" s="450"/>
      <c r="BD250" s="450"/>
      <c r="BE250" s="450"/>
      <c r="BF250" s="450"/>
      <c r="BG250" s="450"/>
      <c r="BH250" s="450"/>
      <c r="BI250" s="450"/>
      <c r="BJ250" s="450"/>
      <c r="BK250" s="450"/>
      <c r="BL250" s="450"/>
      <c r="BM250" s="450"/>
      <c r="BN250" s="450"/>
      <c r="BO250" s="450"/>
      <c r="BP250" s="450"/>
      <c r="BQ250" s="450"/>
      <c r="BR250" s="450"/>
      <c r="BS250" s="450"/>
      <c r="BT250" s="450"/>
      <c r="BU250" s="450"/>
      <c r="BV250" s="450"/>
      <c r="BW250" s="450"/>
      <c r="BX250" s="450"/>
      <c r="BY250" s="450"/>
      <c r="BZ250" s="450"/>
      <c r="CA250" s="450"/>
      <c r="CB250" s="450"/>
      <c r="CC250" s="450"/>
      <c r="CD250" s="450"/>
      <c r="CE250" s="450"/>
      <c r="CF250" s="450"/>
      <c r="CG250" s="450"/>
      <c r="CH250" s="450"/>
    </row>
    <row r="251">
      <c r="A251" s="450"/>
      <c r="B251" s="498"/>
      <c r="C251" s="455"/>
      <c r="D251" s="450"/>
      <c r="E251" s="450"/>
      <c r="F251" s="450"/>
      <c r="G251" s="450"/>
      <c r="H251" s="450"/>
      <c r="I251" s="450"/>
      <c r="J251" s="450"/>
      <c r="K251" s="450"/>
      <c r="L251" s="450"/>
      <c r="M251" s="450"/>
      <c r="N251" s="450"/>
      <c r="O251" s="450"/>
      <c r="P251" s="450"/>
      <c r="Q251" s="450"/>
      <c r="R251" s="450"/>
      <c r="S251" s="450"/>
      <c r="T251" s="450"/>
      <c r="U251" s="450"/>
      <c r="V251" s="450"/>
      <c r="W251" s="450"/>
      <c r="X251" s="450"/>
      <c r="Y251" s="450"/>
      <c r="Z251" s="450"/>
      <c r="AA251" s="450"/>
      <c r="AB251" s="450"/>
      <c r="AC251" s="450"/>
      <c r="AD251" s="450"/>
      <c r="AE251" s="450"/>
      <c r="AF251" s="450"/>
      <c r="AG251" s="450"/>
      <c r="AH251" s="450"/>
      <c r="AI251" s="450"/>
      <c r="AJ251" s="450"/>
      <c r="AK251" s="450"/>
      <c r="AL251" s="450"/>
      <c r="AM251" s="450"/>
      <c r="AN251" s="450"/>
      <c r="AO251" s="450"/>
      <c r="AP251" s="450"/>
      <c r="AQ251" s="450"/>
      <c r="AR251" s="450"/>
      <c r="AS251" s="450"/>
      <c r="AT251" s="450"/>
      <c r="AU251" s="450"/>
      <c r="AV251" s="450"/>
      <c r="AW251" s="450"/>
      <c r="AX251" s="450"/>
      <c r="AY251" s="450"/>
      <c r="AZ251" s="450"/>
      <c r="BA251" s="450"/>
      <c r="BB251" s="450"/>
      <c r="BC251" s="450"/>
      <c r="BD251" s="450"/>
      <c r="BE251" s="450"/>
      <c r="BF251" s="450"/>
      <c r="BG251" s="450"/>
      <c r="BH251" s="450"/>
      <c r="BI251" s="450"/>
      <c r="BJ251" s="450"/>
      <c r="BK251" s="450"/>
      <c r="BL251" s="450"/>
      <c r="BM251" s="450"/>
      <c r="BN251" s="450"/>
      <c r="BO251" s="450"/>
      <c r="BP251" s="450"/>
      <c r="BQ251" s="450"/>
      <c r="BR251" s="450"/>
      <c r="BS251" s="450"/>
      <c r="BT251" s="450"/>
      <c r="BU251" s="450"/>
      <c r="BV251" s="450"/>
      <c r="BW251" s="450"/>
      <c r="BX251" s="450"/>
      <c r="BY251" s="450"/>
      <c r="BZ251" s="450"/>
      <c r="CA251" s="450"/>
      <c r="CB251" s="450"/>
      <c r="CC251" s="450"/>
      <c r="CD251" s="450"/>
      <c r="CE251" s="450"/>
      <c r="CF251" s="450"/>
      <c r="CG251" s="450"/>
      <c r="CH251" s="450"/>
    </row>
    <row r="252">
      <c r="A252" s="450"/>
      <c r="B252" s="498"/>
      <c r="C252" s="455"/>
      <c r="D252" s="450"/>
      <c r="E252" s="450"/>
      <c r="F252" s="450"/>
      <c r="G252" s="450"/>
      <c r="H252" s="450"/>
      <c r="I252" s="450"/>
      <c r="J252" s="450"/>
      <c r="K252" s="450"/>
      <c r="L252" s="450"/>
      <c r="M252" s="450"/>
      <c r="N252" s="450"/>
      <c r="O252" s="450"/>
      <c r="P252" s="450"/>
      <c r="Q252" s="450"/>
      <c r="R252" s="450"/>
      <c r="S252" s="450"/>
      <c r="T252" s="450"/>
      <c r="U252" s="450"/>
      <c r="V252" s="450"/>
      <c r="W252" s="450"/>
      <c r="X252" s="450"/>
      <c r="Y252" s="450"/>
      <c r="Z252" s="450"/>
      <c r="AA252" s="450"/>
      <c r="AB252" s="450"/>
      <c r="AC252" s="450"/>
      <c r="AD252" s="450"/>
      <c r="AE252" s="450"/>
      <c r="AF252" s="450"/>
      <c r="AG252" s="450"/>
      <c r="AH252" s="450"/>
      <c r="AI252" s="450"/>
      <c r="AJ252" s="450"/>
      <c r="AK252" s="450"/>
      <c r="AL252" s="450"/>
      <c r="AM252" s="450"/>
      <c r="AN252" s="450"/>
      <c r="AO252" s="450"/>
      <c r="AP252" s="450"/>
      <c r="AQ252" s="450"/>
      <c r="AR252" s="450"/>
      <c r="AS252" s="450"/>
      <c r="AT252" s="450"/>
      <c r="AU252" s="450"/>
      <c r="AV252" s="450"/>
      <c r="AW252" s="450"/>
      <c r="AX252" s="450"/>
      <c r="AY252" s="450"/>
      <c r="AZ252" s="450"/>
      <c r="BA252" s="450"/>
      <c r="BB252" s="450"/>
      <c r="BC252" s="450"/>
      <c r="BD252" s="450"/>
      <c r="BE252" s="450"/>
      <c r="BF252" s="450"/>
      <c r="BG252" s="450"/>
      <c r="BH252" s="450"/>
      <c r="BI252" s="450"/>
      <c r="BJ252" s="450"/>
      <c r="BK252" s="450"/>
      <c r="BL252" s="450"/>
      <c r="BM252" s="450"/>
      <c r="BN252" s="450"/>
      <c r="BO252" s="450"/>
      <c r="BP252" s="450"/>
      <c r="BQ252" s="450"/>
      <c r="BR252" s="450"/>
      <c r="BS252" s="450"/>
      <c r="BT252" s="450"/>
      <c r="BU252" s="450"/>
      <c r="BV252" s="450"/>
      <c r="BW252" s="450"/>
      <c r="BX252" s="450"/>
      <c r="BY252" s="450"/>
      <c r="BZ252" s="450"/>
      <c r="CA252" s="450"/>
      <c r="CB252" s="450"/>
      <c r="CC252" s="450"/>
      <c r="CD252" s="450"/>
      <c r="CE252" s="450"/>
      <c r="CF252" s="450"/>
      <c r="CG252" s="450"/>
      <c r="CH252" s="450"/>
    </row>
    <row r="253">
      <c r="A253" s="450"/>
      <c r="B253" s="498"/>
      <c r="C253" s="455"/>
      <c r="D253" s="450"/>
      <c r="E253" s="450"/>
      <c r="F253" s="450"/>
      <c r="G253" s="450"/>
      <c r="H253" s="450"/>
      <c r="I253" s="450"/>
      <c r="J253" s="450"/>
      <c r="K253" s="450"/>
      <c r="L253" s="450"/>
      <c r="M253" s="450"/>
      <c r="N253" s="450"/>
      <c r="O253" s="450"/>
      <c r="P253" s="450"/>
      <c r="Q253" s="450"/>
      <c r="R253" s="450"/>
      <c r="S253" s="450"/>
      <c r="T253" s="450"/>
      <c r="U253" s="450"/>
      <c r="V253" s="450"/>
      <c r="W253" s="450"/>
      <c r="X253" s="450"/>
      <c r="Y253" s="450"/>
      <c r="Z253" s="450"/>
      <c r="AA253" s="450"/>
      <c r="AB253" s="450"/>
      <c r="AC253" s="450"/>
      <c r="AD253" s="450"/>
      <c r="AE253" s="450"/>
      <c r="AF253" s="450"/>
      <c r="AG253" s="450"/>
      <c r="AH253" s="450"/>
      <c r="AI253" s="450"/>
      <c r="AJ253" s="450"/>
      <c r="AK253" s="450"/>
      <c r="AL253" s="450"/>
      <c r="AM253" s="450"/>
      <c r="AN253" s="450"/>
      <c r="AO253" s="450"/>
      <c r="AP253" s="450"/>
      <c r="AQ253" s="450"/>
      <c r="AR253" s="450"/>
      <c r="AS253" s="450"/>
      <c r="AT253" s="450"/>
      <c r="AU253" s="450"/>
      <c r="AV253" s="450"/>
      <c r="AW253" s="450"/>
      <c r="AX253" s="450"/>
      <c r="AY253" s="450"/>
      <c r="AZ253" s="450"/>
      <c r="BA253" s="450"/>
      <c r="BB253" s="450"/>
      <c r="BC253" s="450"/>
      <c r="BD253" s="450"/>
      <c r="BE253" s="450"/>
      <c r="BF253" s="450"/>
      <c r="BG253" s="450"/>
      <c r="BH253" s="450"/>
      <c r="BI253" s="450"/>
      <c r="BJ253" s="450"/>
      <c r="BK253" s="450"/>
      <c r="BL253" s="450"/>
      <c r="BM253" s="450"/>
      <c r="BN253" s="450"/>
      <c r="BO253" s="450"/>
      <c r="BP253" s="450"/>
      <c r="BQ253" s="450"/>
      <c r="BR253" s="450"/>
      <c r="BS253" s="450"/>
      <c r="BT253" s="450"/>
      <c r="BU253" s="450"/>
      <c r="BV253" s="450"/>
      <c r="BW253" s="450"/>
      <c r="BX253" s="450"/>
      <c r="BY253" s="450"/>
      <c r="BZ253" s="450"/>
      <c r="CA253" s="450"/>
      <c r="CB253" s="450"/>
      <c r="CC253" s="450"/>
      <c r="CD253" s="450"/>
      <c r="CE253" s="450"/>
      <c r="CF253" s="450"/>
      <c r="CG253" s="450"/>
      <c r="CH253" s="450"/>
    </row>
    <row r="254">
      <c r="A254" s="450"/>
      <c r="B254" s="498"/>
      <c r="C254" s="455"/>
      <c r="D254" s="450"/>
      <c r="E254" s="450"/>
      <c r="F254" s="450"/>
      <c r="G254" s="450"/>
      <c r="H254" s="450"/>
      <c r="I254" s="450"/>
      <c r="J254" s="450"/>
      <c r="K254" s="450"/>
      <c r="L254" s="450"/>
      <c r="M254" s="450"/>
      <c r="N254" s="450"/>
      <c r="O254" s="450"/>
      <c r="P254" s="450"/>
      <c r="Q254" s="450"/>
      <c r="R254" s="450"/>
      <c r="S254" s="450"/>
      <c r="T254" s="450"/>
      <c r="U254" s="450"/>
      <c r="V254" s="450"/>
      <c r="W254" s="450"/>
      <c r="X254" s="450"/>
      <c r="Y254" s="450"/>
      <c r="Z254" s="450"/>
      <c r="AA254" s="450"/>
      <c r="AB254" s="450"/>
      <c r="AC254" s="450"/>
      <c r="AD254" s="450"/>
      <c r="AE254" s="450"/>
      <c r="AF254" s="450"/>
      <c r="AG254" s="450"/>
      <c r="AH254" s="450"/>
      <c r="AI254" s="450"/>
      <c r="AJ254" s="450"/>
      <c r="AK254" s="450"/>
      <c r="AL254" s="450"/>
      <c r="AM254" s="450"/>
      <c r="AN254" s="450"/>
      <c r="AO254" s="450"/>
      <c r="AP254" s="450"/>
      <c r="AQ254" s="450"/>
      <c r="AR254" s="450"/>
      <c r="AS254" s="450"/>
      <c r="AT254" s="450"/>
      <c r="AU254" s="450"/>
      <c r="AV254" s="450"/>
      <c r="AW254" s="450"/>
      <c r="AX254" s="450"/>
      <c r="AY254" s="450"/>
      <c r="AZ254" s="450"/>
      <c r="BA254" s="450"/>
      <c r="BB254" s="450"/>
      <c r="BC254" s="450"/>
      <c r="BD254" s="450"/>
      <c r="BE254" s="450"/>
      <c r="BF254" s="450"/>
      <c r="BG254" s="450"/>
      <c r="BH254" s="450"/>
      <c r="BI254" s="450"/>
      <c r="BJ254" s="450"/>
      <c r="BK254" s="450"/>
      <c r="BL254" s="450"/>
      <c r="BM254" s="450"/>
      <c r="BN254" s="450"/>
      <c r="BO254" s="450"/>
      <c r="BP254" s="450"/>
      <c r="BQ254" s="450"/>
      <c r="BR254" s="450"/>
      <c r="BS254" s="450"/>
      <c r="BT254" s="450"/>
      <c r="BU254" s="450"/>
      <c r="BV254" s="450"/>
      <c r="BW254" s="450"/>
      <c r="BX254" s="450"/>
      <c r="BY254" s="450"/>
      <c r="BZ254" s="450"/>
      <c r="CA254" s="450"/>
      <c r="CB254" s="450"/>
      <c r="CC254" s="450"/>
      <c r="CD254" s="450"/>
      <c r="CE254" s="450"/>
      <c r="CF254" s="450"/>
      <c r="CG254" s="450"/>
      <c r="CH254" s="450"/>
    </row>
    <row r="255">
      <c r="A255" s="450"/>
      <c r="B255" s="498"/>
      <c r="C255" s="455"/>
      <c r="D255" s="450"/>
      <c r="E255" s="450"/>
      <c r="F255" s="450"/>
      <c r="G255" s="450"/>
      <c r="H255" s="450"/>
      <c r="I255" s="450"/>
      <c r="J255" s="450"/>
      <c r="K255" s="450"/>
      <c r="L255" s="450"/>
      <c r="M255" s="450"/>
      <c r="N255" s="450"/>
      <c r="O255" s="450"/>
      <c r="P255" s="450"/>
      <c r="Q255" s="450"/>
      <c r="R255" s="450"/>
      <c r="S255" s="450"/>
      <c r="T255" s="450"/>
      <c r="U255" s="450"/>
      <c r="V255" s="450"/>
      <c r="W255" s="450"/>
      <c r="X255" s="450"/>
      <c r="Y255" s="450"/>
      <c r="Z255" s="450"/>
      <c r="AA255" s="450"/>
      <c r="AB255" s="450"/>
      <c r="AC255" s="450"/>
      <c r="AD255" s="450"/>
      <c r="AE255" s="450"/>
      <c r="AF255" s="450"/>
      <c r="AG255" s="450"/>
      <c r="AH255" s="450"/>
      <c r="AI255" s="450"/>
      <c r="AJ255" s="450"/>
      <c r="AK255" s="450"/>
      <c r="AL255" s="450"/>
      <c r="AM255" s="450"/>
      <c r="AN255" s="450"/>
      <c r="AO255" s="450"/>
      <c r="AP255" s="450"/>
      <c r="AQ255" s="450"/>
      <c r="AR255" s="450"/>
      <c r="AS255" s="450"/>
      <c r="AT255" s="450"/>
      <c r="AU255" s="450"/>
      <c r="AV255" s="450"/>
      <c r="AW255" s="450"/>
      <c r="AX255" s="450"/>
      <c r="AY255" s="450"/>
      <c r="AZ255" s="450"/>
      <c r="BA255" s="450"/>
      <c r="BB255" s="450"/>
      <c r="BC255" s="450"/>
      <c r="BD255" s="450"/>
      <c r="BE255" s="450"/>
      <c r="BF255" s="450"/>
      <c r="BG255" s="450"/>
      <c r="BH255" s="450"/>
      <c r="BI255" s="450"/>
      <c r="BJ255" s="450"/>
      <c r="BK255" s="450"/>
      <c r="BL255" s="450"/>
      <c r="BM255" s="450"/>
      <c r="BN255" s="450"/>
      <c r="BO255" s="450"/>
      <c r="BP255" s="450"/>
      <c r="BQ255" s="450"/>
      <c r="BR255" s="450"/>
      <c r="BS255" s="450"/>
      <c r="BT255" s="450"/>
      <c r="BU255" s="450"/>
      <c r="BV255" s="450"/>
      <c r="BW255" s="450"/>
      <c r="BX255" s="450"/>
      <c r="BY255" s="450"/>
      <c r="BZ255" s="450"/>
      <c r="CA255" s="450"/>
      <c r="CB255" s="450"/>
      <c r="CC255" s="450"/>
      <c r="CD255" s="450"/>
      <c r="CE255" s="450"/>
      <c r="CF255" s="450"/>
      <c r="CG255" s="450"/>
      <c r="CH255" s="450"/>
    </row>
    <row r="256">
      <c r="A256" s="450"/>
      <c r="B256" s="498"/>
      <c r="C256" s="455"/>
      <c r="D256" s="450"/>
      <c r="E256" s="450"/>
      <c r="F256" s="450"/>
      <c r="G256" s="450"/>
      <c r="H256" s="450"/>
      <c r="I256" s="450"/>
      <c r="J256" s="450"/>
      <c r="K256" s="450"/>
      <c r="L256" s="450"/>
      <c r="M256" s="450"/>
      <c r="N256" s="450"/>
      <c r="O256" s="450"/>
      <c r="P256" s="450"/>
      <c r="Q256" s="450"/>
      <c r="R256" s="450"/>
      <c r="S256" s="450"/>
      <c r="T256" s="450"/>
      <c r="U256" s="450"/>
      <c r="V256" s="450"/>
      <c r="W256" s="450"/>
      <c r="X256" s="450"/>
      <c r="Y256" s="450"/>
      <c r="Z256" s="450"/>
      <c r="AA256" s="450"/>
      <c r="AB256" s="450"/>
      <c r="AC256" s="450"/>
      <c r="AD256" s="450"/>
      <c r="AE256" s="450"/>
      <c r="AF256" s="450"/>
      <c r="AG256" s="450"/>
      <c r="AH256" s="450"/>
      <c r="AI256" s="450"/>
      <c r="AJ256" s="450"/>
      <c r="AK256" s="450"/>
      <c r="AL256" s="450"/>
      <c r="AM256" s="450"/>
      <c r="AN256" s="450"/>
      <c r="AO256" s="450"/>
      <c r="AP256" s="450"/>
      <c r="AQ256" s="450"/>
      <c r="AR256" s="450"/>
      <c r="AS256" s="450"/>
      <c r="AT256" s="450"/>
      <c r="AU256" s="450"/>
      <c r="AV256" s="450"/>
      <c r="AW256" s="450"/>
      <c r="AX256" s="450"/>
      <c r="AY256" s="450"/>
      <c r="AZ256" s="450"/>
      <c r="BA256" s="450"/>
      <c r="BB256" s="450"/>
      <c r="BC256" s="450"/>
      <c r="BD256" s="450"/>
      <c r="BE256" s="450"/>
      <c r="BF256" s="450"/>
      <c r="BG256" s="450"/>
      <c r="BH256" s="450"/>
      <c r="BI256" s="450"/>
      <c r="BJ256" s="450"/>
      <c r="BK256" s="450"/>
      <c r="BL256" s="450"/>
      <c r="BM256" s="450"/>
      <c r="BN256" s="450"/>
      <c r="BO256" s="450"/>
      <c r="BP256" s="450"/>
      <c r="BQ256" s="450"/>
      <c r="BR256" s="450"/>
      <c r="BS256" s="450"/>
      <c r="BT256" s="450"/>
      <c r="BU256" s="450"/>
      <c r="BV256" s="450"/>
      <c r="BW256" s="450"/>
      <c r="BX256" s="450"/>
      <c r="BY256" s="450"/>
      <c r="BZ256" s="450"/>
      <c r="CA256" s="450"/>
      <c r="CB256" s="450"/>
      <c r="CC256" s="450"/>
      <c r="CD256" s="450"/>
      <c r="CE256" s="450"/>
      <c r="CF256" s="450"/>
      <c r="CG256" s="450"/>
      <c r="CH256" s="450"/>
    </row>
    <row r="257">
      <c r="A257" s="450"/>
      <c r="B257" s="498"/>
      <c r="C257" s="455"/>
      <c r="D257" s="450"/>
      <c r="E257" s="450"/>
      <c r="F257" s="450"/>
      <c r="G257" s="450"/>
      <c r="H257" s="450"/>
      <c r="I257" s="450"/>
      <c r="J257" s="450"/>
      <c r="K257" s="450"/>
      <c r="L257" s="450"/>
      <c r="M257" s="450"/>
      <c r="N257" s="450"/>
      <c r="O257" s="450"/>
      <c r="P257" s="450"/>
      <c r="Q257" s="450"/>
      <c r="R257" s="450"/>
      <c r="S257" s="450"/>
      <c r="T257" s="450"/>
      <c r="U257" s="450"/>
      <c r="V257" s="450"/>
      <c r="W257" s="450"/>
      <c r="X257" s="450"/>
      <c r="Y257" s="450"/>
      <c r="Z257" s="450"/>
      <c r="AA257" s="450"/>
      <c r="AB257" s="450"/>
      <c r="AC257" s="450"/>
      <c r="AD257" s="450"/>
      <c r="AE257" s="450"/>
      <c r="AF257" s="450"/>
      <c r="AG257" s="450"/>
      <c r="AH257" s="450"/>
      <c r="AI257" s="450"/>
      <c r="AJ257" s="450"/>
      <c r="AK257" s="450"/>
      <c r="AL257" s="450"/>
      <c r="AM257" s="450"/>
      <c r="AN257" s="450"/>
      <c r="AO257" s="450"/>
      <c r="AP257" s="450"/>
      <c r="AQ257" s="450"/>
      <c r="AR257" s="450"/>
      <c r="AS257" s="450"/>
      <c r="AT257" s="450"/>
      <c r="AU257" s="450"/>
      <c r="AV257" s="450"/>
      <c r="AW257" s="450"/>
      <c r="AX257" s="450"/>
      <c r="AY257" s="450"/>
      <c r="AZ257" s="450"/>
      <c r="BA257" s="450"/>
      <c r="BB257" s="450"/>
      <c r="BC257" s="450"/>
      <c r="BD257" s="450"/>
      <c r="BE257" s="450"/>
      <c r="BF257" s="450"/>
      <c r="BG257" s="450"/>
      <c r="BH257" s="450"/>
      <c r="BI257" s="450"/>
      <c r="BJ257" s="450"/>
      <c r="BK257" s="450"/>
      <c r="BL257" s="450"/>
      <c r="BM257" s="450"/>
      <c r="BN257" s="450"/>
      <c r="BO257" s="450"/>
      <c r="BP257" s="450"/>
      <c r="BQ257" s="450"/>
      <c r="BR257" s="450"/>
      <c r="BS257" s="450"/>
      <c r="BT257" s="450"/>
      <c r="BU257" s="450"/>
      <c r="BV257" s="450"/>
      <c r="BW257" s="450"/>
      <c r="BX257" s="450"/>
      <c r="BY257" s="450"/>
      <c r="BZ257" s="450"/>
      <c r="CA257" s="450"/>
      <c r="CB257" s="450"/>
      <c r="CC257" s="450"/>
      <c r="CD257" s="450"/>
      <c r="CE257" s="450"/>
      <c r="CF257" s="450"/>
      <c r="CG257" s="450"/>
      <c r="CH257" s="450"/>
    </row>
    <row r="258">
      <c r="A258" s="450"/>
      <c r="B258" s="498"/>
      <c r="C258" s="455"/>
      <c r="D258" s="450"/>
      <c r="E258" s="450"/>
      <c r="F258" s="450"/>
      <c r="G258" s="450"/>
      <c r="H258" s="450"/>
      <c r="I258" s="450"/>
      <c r="J258" s="450"/>
      <c r="K258" s="450"/>
      <c r="L258" s="450"/>
      <c r="M258" s="450"/>
      <c r="N258" s="450"/>
      <c r="O258" s="450"/>
      <c r="P258" s="450"/>
      <c r="Q258" s="450"/>
      <c r="R258" s="450"/>
      <c r="S258" s="450"/>
      <c r="T258" s="450"/>
      <c r="U258" s="450"/>
      <c r="V258" s="450"/>
      <c r="W258" s="450"/>
      <c r="X258" s="450"/>
      <c r="Y258" s="450"/>
      <c r="Z258" s="450"/>
      <c r="AA258" s="450"/>
      <c r="AB258" s="450"/>
      <c r="AC258" s="450"/>
      <c r="AD258" s="450"/>
      <c r="AE258" s="450"/>
      <c r="AF258" s="450"/>
      <c r="AG258" s="450"/>
      <c r="AH258" s="450"/>
      <c r="AI258" s="450"/>
      <c r="AJ258" s="450"/>
      <c r="AK258" s="450"/>
      <c r="AL258" s="450"/>
      <c r="AM258" s="450"/>
      <c r="AN258" s="450"/>
      <c r="AO258" s="450"/>
      <c r="AP258" s="450"/>
      <c r="AQ258" s="450"/>
      <c r="AR258" s="450"/>
      <c r="AS258" s="450"/>
      <c r="AT258" s="450"/>
      <c r="AU258" s="450"/>
      <c r="AV258" s="450"/>
      <c r="AW258" s="450"/>
      <c r="AX258" s="450"/>
      <c r="AY258" s="450"/>
      <c r="AZ258" s="450"/>
      <c r="BA258" s="450"/>
      <c r="BB258" s="450"/>
      <c r="BC258" s="450"/>
      <c r="BD258" s="450"/>
      <c r="BE258" s="450"/>
      <c r="BF258" s="450"/>
      <c r="BG258" s="450"/>
      <c r="BH258" s="450"/>
      <c r="BI258" s="450"/>
      <c r="BJ258" s="450"/>
      <c r="BK258" s="450"/>
      <c r="BL258" s="450"/>
      <c r="BM258" s="450"/>
      <c r="BN258" s="450"/>
      <c r="BO258" s="450"/>
      <c r="BP258" s="450"/>
      <c r="BQ258" s="450"/>
      <c r="BR258" s="450"/>
      <c r="BS258" s="450"/>
      <c r="BT258" s="450"/>
      <c r="BU258" s="450"/>
      <c r="BV258" s="450"/>
      <c r="BW258" s="450"/>
      <c r="BX258" s="450"/>
      <c r="BY258" s="450"/>
      <c r="BZ258" s="450"/>
      <c r="CA258" s="450"/>
      <c r="CB258" s="450"/>
      <c r="CC258" s="450"/>
      <c r="CD258" s="450"/>
      <c r="CE258" s="450"/>
      <c r="CF258" s="450"/>
      <c r="CG258" s="450"/>
      <c r="CH258" s="450"/>
    </row>
    <row r="259">
      <c r="A259" s="450"/>
      <c r="B259" s="498"/>
      <c r="C259" s="455"/>
      <c r="D259" s="450"/>
      <c r="E259" s="450"/>
      <c r="F259" s="450"/>
      <c r="G259" s="450"/>
      <c r="H259" s="450"/>
      <c r="I259" s="450"/>
      <c r="J259" s="450"/>
      <c r="K259" s="450"/>
      <c r="L259" s="450"/>
      <c r="M259" s="450"/>
      <c r="N259" s="450"/>
      <c r="O259" s="450"/>
      <c r="P259" s="450"/>
      <c r="Q259" s="450"/>
      <c r="R259" s="450"/>
      <c r="S259" s="450"/>
      <c r="T259" s="450"/>
      <c r="U259" s="450"/>
      <c r="V259" s="450"/>
      <c r="W259" s="450"/>
      <c r="X259" s="450"/>
      <c r="Y259" s="450"/>
      <c r="Z259" s="450"/>
      <c r="AA259" s="450"/>
      <c r="AB259" s="450"/>
      <c r="AC259" s="450"/>
      <c r="AD259" s="450"/>
      <c r="AE259" s="450"/>
      <c r="AF259" s="450"/>
      <c r="AG259" s="450"/>
      <c r="AH259" s="450"/>
      <c r="AI259" s="450"/>
      <c r="AJ259" s="450"/>
      <c r="AK259" s="450"/>
      <c r="AL259" s="450"/>
      <c r="AM259" s="450"/>
      <c r="AN259" s="450"/>
      <c r="AO259" s="450"/>
      <c r="AP259" s="450"/>
      <c r="AQ259" s="450"/>
      <c r="AR259" s="450"/>
      <c r="AS259" s="450"/>
      <c r="AT259" s="450"/>
      <c r="AU259" s="450"/>
      <c r="AV259" s="450"/>
      <c r="AW259" s="450"/>
      <c r="AX259" s="450"/>
      <c r="AY259" s="450"/>
      <c r="AZ259" s="450"/>
      <c r="BA259" s="450"/>
      <c r="BB259" s="450"/>
      <c r="BC259" s="450"/>
      <c r="BD259" s="450"/>
      <c r="BE259" s="450"/>
      <c r="BF259" s="450"/>
      <c r="BG259" s="450"/>
      <c r="BH259" s="450"/>
      <c r="BI259" s="450"/>
      <c r="BJ259" s="450"/>
      <c r="BK259" s="450"/>
      <c r="BL259" s="450"/>
      <c r="BM259" s="450"/>
      <c r="BN259" s="450"/>
      <c r="BO259" s="450"/>
      <c r="BP259" s="450"/>
      <c r="BQ259" s="450"/>
      <c r="BR259" s="450"/>
      <c r="BS259" s="450"/>
      <c r="BT259" s="450"/>
      <c r="BU259" s="450"/>
      <c r="BV259" s="450"/>
      <c r="BW259" s="450"/>
      <c r="BX259" s="450"/>
      <c r="BY259" s="450"/>
      <c r="BZ259" s="450"/>
      <c r="CA259" s="450"/>
      <c r="CB259" s="450"/>
      <c r="CC259" s="450"/>
      <c r="CD259" s="450"/>
      <c r="CE259" s="450"/>
      <c r="CF259" s="450"/>
      <c r="CG259" s="450"/>
      <c r="CH259" s="450"/>
    </row>
    <row r="260">
      <c r="A260" s="450"/>
      <c r="B260" s="498"/>
      <c r="C260" s="455"/>
      <c r="D260" s="450"/>
      <c r="E260" s="450"/>
      <c r="F260" s="450"/>
      <c r="G260" s="450"/>
      <c r="H260" s="450"/>
      <c r="I260" s="450"/>
      <c r="J260" s="450"/>
      <c r="K260" s="450"/>
      <c r="L260" s="450"/>
      <c r="M260" s="450"/>
      <c r="N260" s="450"/>
      <c r="O260" s="450"/>
      <c r="P260" s="450"/>
      <c r="Q260" s="450"/>
      <c r="R260" s="450"/>
      <c r="S260" s="450"/>
      <c r="T260" s="450"/>
      <c r="U260" s="450"/>
      <c r="V260" s="450"/>
      <c r="W260" s="450"/>
      <c r="X260" s="450"/>
      <c r="Y260" s="450"/>
      <c r="Z260" s="450"/>
      <c r="AA260" s="450"/>
      <c r="AB260" s="450"/>
      <c r="AC260" s="450"/>
      <c r="AD260" s="450"/>
      <c r="AE260" s="450"/>
      <c r="AF260" s="450"/>
      <c r="AG260" s="450"/>
      <c r="AH260" s="450"/>
      <c r="AI260" s="450"/>
      <c r="AJ260" s="450"/>
      <c r="AK260" s="450"/>
      <c r="AL260" s="450"/>
      <c r="AM260" s="450"/>
      <c r="AN260" s="450"/>
      <c r="AO260" s="450"/>
      <c r="AP260" s="450"/>
      <c r="AQ260" s="450"/>
      <c r="AR260" s="450"/>
      <c r="AS260" s="450"/>
      <c r="AT260" s="450"/>
      <c r="AU260" s="450"/>
      <c r="AV260" s="450"/>
      <c r="AW260" s="450"/>
      <c r="AX260" s="450"/>
      <c r="AY260" s="450"/>
      <c r="AZ260" s="450"/>
      <c r="BA260" s="450"/>
      <c r="BB260" s="450"/>
      <c r="BC260" s="450"/>
      <c r="BD260" s="450"/>
      <c r="BE260" s="450"/>
      <c r="BF260" s="450"/>
      <c r="BG260" s="450"/>
      <c r="BH260" s="450"/>
      <c r="BI260" s="450"/>
      <c r="BJ260" s="450"/>
      <c r="BK260" s="450"/>
      <c r="BL260" s="450"/>
      <c r="BM260" s="450"/>
      <c r="BN260" s="450"/>
      <c r="BO260" s="450"/>
      <c r="BP260" s="450"/>
      <c r="BQ260" s="450"/>
      <c r="BR260" s="450"/>
      <c r="BS260" s="450"/>
      <c r="BT260" s="450"/>
      <c r="BU260" s="450"/>
      <c r="BV260" s="450"/>
      <c r="BW260" s="450"/>
      <c r="BX260" s="450"/>
      <c r="BY260" s="450"/>
      <c r="BZ260" s="450"/>
      <c r="CA260" s="450"/>
      <c r="CB260" s="450"/>
      <c r="CC260" s="450"/>
      <c r="CD260" s="450"/>
      <c r="CE260" s="450"/>
      <c r="CF260" s="450"/>
      <c r="CG260" s="450"/>
      <c r="CH260" s="450"/>
    </row>
    <row r="261">
      <c r="A261" s="450"/>
      <c r="B261" s="498"/>
      <c r="C261" s="455"/>
      <c r="D261" s="450"/>
      <c r="E261" s="450"/>
      <c r="F261" s="450"/>
      <c r="G261" s="450"/>
      <c r="H261" s="450"/>
      <c r="I261" s="450"/>
      <c r="J261" s="450"/>
      <c r="K261" s="450"/>
      <c r="L261" s="450"/>
      <c r="M261" s="450"/>
      <c r="N261" s="450"/>
      <c r="O261" s="450"/>
      <c r="P261" s="450"/>
      <c r="Q261" s="450"/>
      <c r="R261" s="450"/>
      <c r="S261" s="450"/>
      <c r="T261" s="450"/>
      <c r="U261" s="450"/>
      <c r="V261" s="450"/>
      <c r="W261" s="450"/>
      <c r="X261" s="450"/>
      <c r="Y261" s="450"/>
      <c r="Z261" s="450"/>
      <c r="AA261" s="450"/>
      <c r="AB261" s="450"/>
      <c r="AC261" s="450"/>
      <c r="AD261" s="450"/>
      <c r="AE261" s="450"/>
      <c r="AF261" s="450"/>
      <c r="AG261" s="450"/>
      <c r="AH261" s="450"/>
      <c r="AI261" s="450"/>
      <c r="AJ261" s="450"/>
      <c r="AK261" s="450"/>
      <c r="AL261" s="450"/>
      <c r="AM261" s="450"/>
      <c r="AN261" s="450"/>
      <c r="AO261" s="450"/>
      <c r="AP261" s="450"/>
      <c r="AQ261" s="450"/>
      <c r="AR261" s="450"/>
      <c r="AS261" s="450"/>
      <c r="AT261" s="450"/>
      <c r="AU261" s="450"/>
      <c r="AV261" s="450"/>
      <c r="AW261" s="450"/>
      <c r="AX261" s="450"/>
      <c r="AY261" s="450"/>
      <c r="AZ261" s="450"/>
      <c r="BA261" s="450"/>
      <c r="BB261" s="450"/>
      <c r="BC261" s="450"/>
      <c r="BD261" s="450"/>
      <c r="BE261" s="450"/>
      <c r="BF261" s="450"/>
      <c r="BG261" s="450"/>
      <c r="BH261" s="450"/>
      <c r="BI261" s="450"/>
      <c r="BJ261" s="450"/>
      <c r="BK261" s="450"/>
      <c r="BL261" s="450"/>
      <c r="BM261" s="450"/>
      <c r="BN261" s="450"/>
      <c r="BO261" s="450"/>
      <c r="BP261" s="450"/>
      <c r="BQ261" s="450"/>
      <c r="BR261" s="450"/>
      <c r="BS261" s="450"/>
      <c r="BT261" s="450"/>
      <c r="BU261" s="450"/>
      <c r="BV261" s="450"/>
      <c r="BW261" s="450"/>
      <c r="BX261" s="450"/>
      <c r="BY261" s="450"/>
      <c r="BZ261" s="450"/>
      <c r="CA261" s="450"/>
      <c r="CB261" s="450"/>
      <c r="CC261" s="450"/>
      <c r="CD261" s="450"/>
      <c r="CE261" s="450"/>
      <c r="CF261" s="450"/>
      <c r="CG261" s="450"/>
      <c r="CH261" s="450"/>
    </row>
    <row r="262">
      <c r="A262" s="450"/>
      <c r="B262" s="498"/>
      <c r="C262" s="455"/>
      <c r="D262" s="450"/>
      <c r="E262" s="450"/>
      <c r="F262" s="450"/>
      <c r="G262" s="450"/>
      <c r="H262" s="450"/>
      <c r="I262" s="450"/>
      <c r="J262" s="450"/>
      <c r="K262" s="450"/>
      <c r="L262" s="450"/>
      <c r="M262" s="450"/>
      <c r="N262" s="450"/>
      <c r="O262" s="450"/>
      <c r="P262" s="450"/>
      <c r="Q262" s="450"/>
      <c r="R262" s="450"/>
      <c r="S262" s="450"/>
      <c r="T262" s="450"/>
      <c r="U262" s="450"/>
      <c r="V262" s="450"/>
      <c r="W262" s="450"/>
      <c r="X262" s="450"/>
      <c r="Y262" s="450"/>
      <c r="Z262" s="450"/>
      <c r="AA262" s="450"/>
      <c r="AB262" s="450"/>
      <c r="AC262" s="450"/>
      <c r="AD262" s="450"/>
      <c r="AE262" s="450"/>
      <c r="AF262" s="450"/>
      <c r="AG262" s="450"/>
      <c r="AH262" s="450"/>
      <c r="AI262" s="450"/>
      <c r="AJ262" s="450"/>
      <c r="AK262" s="450"/>
      <c r="AL262" s="450"/>
      <c r="AM262" s="450"/>
      <c r="AN262" s="450"/>
      <c r="AO262" s="450"/>
      <c r="AP262" s="450"/>
      <c r="AQ262" s="450"/>
      <c r="AR262" s="450"/>
      <c r="AS262" s="450"/>
      <c r="AT262" s="450"/>
      <c r="AU262" s="450"/>
      <c r="AV262" s="450"/>
      <c r="AW262" s="450"/>
      <c r="AX262" s="450"/>
      <c r="AY262" s="450"/>
      <c r="AZ262" s="450"/>
      <c r="BA262" s="450"/>
      <c r="BB262" s="450"/>
      <c r="BC262" s="450"/>
      <c r="BD262" s="450"/>
      <c r="BE262" s="450"/>
      <c r="BF262" s="450"/>
      <c r="BG262" s="450"/>
      <c r="BH262" s="450"/>
      <c r="BI262" s="450"/>
      <c r="BJ262" s="450"/>
      <c r="BK262" s="450"/>
      <c r="BL262" s="450"/>
      <c r="BM262" s="450"/>
      <c r="BN262" s="450"/>
      <c r="BO262" s="450"/>
      <c r="BP262" s="450"/>
      <c r="BQ262" s="450"/>
      <c r="BR262" s="450"/>
      <c r="BS262" s="450"/>
      <c r="BT262" s="450"/>
      <c r="BU262" s="450"/>
      <c r="BV262" s="450"/>
      <c r="BW262" s="450"/>
      <c r="BX262" s="450"/>
      <c r="BY262" s="450"/>
      <c r="BZ262" s="450"/>
      <c r="CA262" s="450"/>
      <c r="CB262" s="450"/>
      <c r="CC262" s="450"/>
      <c r="CD262" s="450"/>
      <c r="CE262" s="450"/>
      <c r="CF262" s="450"/>
      <c r="CG262" s="450"/>
      <c r="CH262" s="450"/>
    </row>
    <row r="263">
      <c r="A263" s="450"/>
      <c r="B263" s="498"/>
      <c r="C263" s="455"/>
      <c r="D263" s="450"/>
      <c r="E263" s="450"/>
      <c r="F263" s="450"/>
      <c r="G263" s="450"/>
      <c r="H263" s="450"/>
      <c r="I263" s="450"/>
      <c r="J263" s="450"/>
      <c r="K263" s="450"/>
      <c r="L263" s="450"/>
      <c r="M263" s="450"/>
      <c r="N263" s="450"/>
      <c r="O263" s="450"/>
      <c r="P263" s="450"/>
      <c r="Q263" s="450"/>
      <c r="R263" s="450"/>
      <c r="S263" s="450"/>
      <c r="T263" s="450"/>
      <c r="U263" s="450"/>
      <c r="V263" s="450"/>
      <c r="W263" s="450"/>
      <c r="X263" s="450"/>
      <c r="Y263" s="450"/>
      <c r="Z263" s="450"/>
      <c r="AA263" s="450"/>
      <c r="AB263" s="450"/>
      <c r="AC263" s="450"/>
      <c r="AD263" s="450"/>
      <c r="AE263" s="450"/>
      <c r="AF263" s="450"/>
      <c r="AG263" s="450"/>
      <c r="AH263" s="450"/>
      <c r="AI263" s="450"/>
      <c r="AJ263" s="450"/>
      <c r="AK263" s="450"/>
      <c r="AL263" s="450"/>
      <c r="AM263" s="450"/>
      <c r="AN263" s="450"/>
      <c r="AO263" s="450"/>
      <c r="AP263" s="450"/>
      <c r="AQ263" s="450"/>
      <c r="AR263" s="450"/>
      <c r="AS263" s="450"/>
      <c r="AT263" s="450"/>
      <c r="AU263" s="450"/>
      <c r="AV263" s="450"/>
      <c r="AW263" s="450"/>
      <c r="AX263" s="450"/>
      <c r="AY263" s="450"/>
      <c r="AZ263" s="450"/>
      <c r="BA263" s="450"/>
      <c r="BB263" s="450"/>
      <c r="BC263" s="450"/>
      <c r="BD263" s="450"/>
      <c r="BE263" s="450"/>
      <c r="BF263" s="450"/>
      <c r="BG263" s="450"/>
      <c r="BH263" s="450"/>
      <c r="BI263" s="450"/>
      <c r="BJ263" s="450"/>
      <c r="BK263" s="450"/>
      <c r="BL263" s="450"/>
      <c r="BM263" s="450"/>
      <c r="BN263" s="450"/>
      <c r="BO263" s="450"/>
      <c r="BP263" s="450"/>
      <c r="BQ263" s="450"/>
      <c r="BR263" s="450"/>
      <c r="BS263" s="450"/>
      <c r="BT263" s="450"/>
      <c r="BU263" s="450"/>
      <c r="BV263" s="450"/>
      <c r="BW263" s="450"/>
      <c r="BX263" s="450"/>
      <c r="BY263" s="450"/>
      <c r="BZ263" s="450"/>
      <c r="CA263" s="450"/>
      <c r="CB263" s="450"/>
      <c r="CC263" s="450"/>
      <c r="CD263" s="450"/>
      <c r="CE263" s="450"/>
      <c r="CF263" s="450"/>
      <c r="CG263" s="450"/>
      <c r="CH263" s="450"/>
    </row>
    <row r="264">
      <c r="A264" s="450"/>
      <c r="B264" s="498"/>
      <c r="C264" s="455"/>
      <c r="D264" s="450"/>
      <c r="E264" s="450"/>
      <c r="F264" s="450"/>
      <c r="G264" s="450"/>
      <c r="H264" s="450"/>
      <c r="I264" s="450"/>
      <c r="J264" s="450"/>
      <c r="K264" s="450"/>
      <c r="L264" s="450"/>
      <c r="M264" s="450"/>
      <c r="N264" s="450"/>
      <c r="O264" s="450"/>
      <c r="P264" s="450"/>
      <c r="Q264" s="450"/>
      <c r="R264" s="450"/>
      <c r="S264" s="450"/>
      <c r="T264" s="450"/>
      <c r="U264" s="450"/>
      <c r="V264" s="450"/>
      <c r="W264" s="450"/>
      <c r="X264" s="450"/>
      <c r="Y264" s="450"/>
      <c r="Z264" s="450"/>
      <c r="AA264" s="450"/>
      <c r="AB264" s="450"/>
      <c r="AC264" s="450"/>
      <c r="AD264" s="450"/>
      <c r="AE264" s="450"/>
      <c r="AF264" s="450"/>
      <c r="AG264" s="450"/>
      <c r="AH264" s="450"/>
      <c r="AI264" s="450"/>
      <c r="AJ264" s="450"/>
      <c r="AK264" s="450"/>
      <c r="AL264" s="450"/>
      <c r="AM264" s="450"/>
      <c r="AN264" s="450"/>
      <c r="AO264" s="450"/>
      <c r="AP264" s="450"/>
      <c r="AQ264" s="450"/>
      <c r="AR264" s="450"/>
      <c r="AS264" s="450"/>
      <c r="AT264" s="450"/>
      <c r="AU264" s="450"/>
      <c r="AV264" s="450"/>
      <c r="AW264" s="450"/>
      <c r="AX264" s="450"/>
      <c r="AY264" s="450"/>
      <c r="AZ264" s="450"/>
      <c r="BA264" s="450"/>
      <c r="BB264" s="450"/>
      <c r="BC264" s="450"/>
      <c r="BD264" s="450"/>
      <c r="BE264" s="450"/>
      <c r="BF264" s="450"/>
      <c r="BG264" s="450"/>
      <c r="BH264" s="450"/>
      <c r="BI264" s="450"/>
      <c r="BJ264" s="450"/>
      <c r="BK264" s="450"/>
      <c r="BL264" s="450"/>
      <c r="BM264" s="450"/>
      <c r="BN264" s="450"/>
      <c r="BO264" s="450"/>
      <c r="BP264" s="450"/>
      <c r="BQ264" s="450"/>
      <c r="BR264" s="450"/>
      <c r="BS264" s="450"/>
      <c r="BT264" s="450"/>
      <c r="BU264" s="450"/>
      <c r="BV264" s="450"/>
      <c r="BW264" s="450"/>
      <c r="BX264" s="450"/>
      <c r="BY264" s="450"/>
      <c r="BZ264" s="450"/>
      <c r="CA264" s="450"/>
      <c r="CB264" s="450"/>
      <c r="CC264" s="450"/>
      <c r="CD264" s="450"/>
      <c r="CE264" s="450"/>
      <c r="CF264" s="450"/>
      <c r="CG264" s="450"/>
      <c r="CH264" s="450"/>
    </row>
    <row r="265">
      <c r="A265" s="450"/>
      <c r="B265" s="498"/>
      <c r="C265" s="455"/>
      <c r="D265" s="450"/>
      <c r="E265" s="450"/>
      <c r="F265" s="450"/>
      <c r="G265" s="450"/>
      <c r="H265" s="450"/>
      <c r="I265" s="450"/>
      <c r="J265" s="450"/>
      <c r="K265" s="450"/>
      <c r="L265" s="450"/>
      <c r="M265" s="450"/>
      <c r="N265" s="450"/>
      <c r="O265" s="450"/>
      <c r="P265" s="450"/>
      <c r="Q265" s="450"/>
      <c r="R265" s="450"/>
      <c r="S265" s="450"/>
      <c r="T265" s="450"/>
      <c r="U265" s="450"/>
      <c r="V265" s="450"/>
      <c r="W265" s="450"/>
      <c r="X265" s="450"/>
      <c r="Y265" s="450"/>
      <c r="Z265" s="450"/>
      <c r="AA265" s="450"/>
      <c r="AB265" s="450"/>
      <c r="AC265" s="450"/>
      <c r="AD265" s="450"/>
      <c r="AE265" s="450"/>
      <c r="AF265" s="450"/>
      <c r="AG265" s="450"/>
      <c r="AH265" s="450"/>
      <c r="AI265" s="450"/>
      <c r="AJ265" s="450"/>
      <c r="AK265" s="450"/>
      <c r="AL265" s="450"/>
      <c r="AM265" s="450"/>
      <c r="AN265" s="450"/>
      <c r="AO265" s="450"/>
      <c r="AP265" s="450"/>
      <c r="AQ265" s="450"/>
      <c r="AR265" s="450"/>
      <c r="AS265" s="450"/>
      <c r="AT265" s="450"/>
      <c r="AU265" s="450"/>
      <c r="AV265" s="450"/>
      <c r="AW265" s="450"/>
      <c r="AX265" s="450"/>
      <c r="AY265" s="450"/>
      <c r="AZ265" s="450"/>
      <c r="BA265" s="450"/>
      <c r="BB265" s="450"/>
      <c r="BC265" s="450"/>
      <c r="BD265" s="450"/>
      <c r="BE265" s="450"/>
      <c r="BF265" s="450"/>
      <c r="BG265" s="450"/>
      <c r="BH265" s="450"/>
      <c r="BI265" s="450"/>
      <c r="BJ265" s="450"/>
      <c r="BK265" s="450"/>
      <c r="BL265" s="450"/>
      <c r="BM265" s="450"/>
      <c r="BN265" s="450"/>
      <c r="BO265" s="450"/>
      <c r="BP265" s="450"/>
      <c r="BQ265" s="450"/>
      <c r="BR265" s="450"/>
      <c r="BS265" s="450"/>
      <c r="BT265" s="450"/>
      <c r="BU265" s="450"/>
      <c r="BV265" s="450"/>
      <c r="BW265" s="450"/>
      <c r="BX265" s="450"/>
      <c r="BY265" s="450"/>
      <c r="BZ265" s="450"/>
      <c r="CA265" s="450"/>
      <c r="CB265" s="450"/>
      <c r="CC265" s="450"/>
      <c r="CD265" s="450"/>
      <c r="CE265" s="450"/>
      <c r="CF265" s="450"/>
      <c r="CG265" s="450"/>
      <c r="CH265" s="450"/>
    </row>
    <row r="266">
      <c r="A266" s="450"/>
      <c r="B266" s="498"/>
      <c r="C266" s="455"/>
      <c r="D266" s="450"/>
      <c r="E266" s="450"/>
      <c r="F266" s="450"/>
      <c r="G266" s="450"/>
      <c r="H266" s="450"/>
      <c r="I266" s="450"/>
      <c r="J266" s="450"/>
      <c r="K266" s="450"/>
      <c r="L266" s="450"/>
      <c r="M266" s="450"/>
      <c r="N266" s="450"/>
      <c r="O266" s="450"/>
      <c r="P266" s="450"/>
      <c r="Q266" s="450"/>
      <c r="R266" s="450"/>
      <c r="S266" s="450"/>
      <c r="T266" s="450"/>
      <c r="U266" s="450"/>
      <c r="V266" s="450"/>
      <c r="W266" s="450"/>
      <c r="X266" s="450"/>
      <c r="Y266" s="450"/>
      <c r="Z266" s="450"/>
      <c r="AA266" s="450"/>
      <c r="AB266" s="450"/>
      <c r="AC266" s="450"/>
      <c r="AD266" s="450"/>
      <c r="AE266" s="450"/>
      <c r="AF266" s="450"/>
      <c r="AG266" s="450"/>
      <c r="AH266" s="450"/>
      <c r="AI266" s="450"/>
      <c r="AJ266" s="450"/>
      <c r="AK266" s="450"/>
      <c r="AL266" s="450"/>
      <c r="AM266" s="450"/>
      <c r="AN266" s="450"/>
      <c r="AO266" s="450"/>
      <c r="AP266" s="450"/>
      <c r="AQ266" s="450"/>
      <c r="AR266" s="450"/>
      <c r="AS266" s="450"/>
      <c r="AT266" s="450"/>
      <c r="AU266" s="450"/>
      <c r="AV266" s="450"/>
      <c r="AW266" s="450"/>
      <c r="AX266" s="450"/>
      <c r="AY266" s="450"/>
      <c r="AZ266" s="450"/>
      <c r="BA266" s="450"/>
      <c r="BB266" s="450"/>
      <c r="BC266" s="450"/>
      <c r="BD266" s="450"/>
      <c r="BE266" s="450"/>
      <c r="BF266" s="450"/>
      <c r="BG266" s="450"/>
      <c r="BH266" s="450"/>
      <c r="BI266" s="450"/>
      <c r="BJ266" s="450"/>
      <c r="BK266" s="450"/>
      <c r="BL266" s="450"/>
      <c r="BM266" s="450"/>
      <c r="BN266" s="450"/>
      <c r="BO266" s="450"/>
      <c r="BP266" s="450"/>
      <c r="BQ266" s="450"/>
      <c r="BR266" s="450"/>
      <c r="BS266" s="450"/>
      <c r="BT266" s="450"/>
      <c r="BU266" s="450"/>
      <c r="BV266" s="450"/>
      <c r="BW266" s="450"/>
      <c r="BX266" s="450"/>
      <c r="BY266" s="450"/>
      <c r="BZ266" s="450"/>
      <c r="CA266" s="450"/>
      <c r="CB266" s="450"/>
      <c r="CC266" s="450"/>
      <c r="CD266" s="450"/>
      <c r="CE266" s="450"/>
      <c r="CF266" s="450"/>
      <c r="CG266" s="450"/>
      <c r="CH266" s="450"/>
    </row>
    <row r="267">
      <c r="A267" s="450"/>
      <c r="B267" s="498"/>
      <c r="C267" s="455"/>
      <c r="D267" s="450"/>
      <c r="E267" s="450"/>
      <c r="F267" s="450"/>
      <c r="G267" s="450"/>
      <c r="H267" s="450"/>
      <c r="I267" s="450"/>
      <c r="J267" s="450"/>
      <c r="K267" s="450"/>
      <c r="L267" s="450"/>
      <c r="M267" s="450"/>
      <c r="N267" s="450"/>
      <c r="O267" s="450"/>
      <c r="P267" s="450"/>
      <c r="Q267" s="450"/>
      <c r="R267" s="450"/>
      <c r="S267" s="450"/>
      <c r="T267" s="450"/>
      <c r="U267" s="450"/>
      <c r="V267" s="450"/>
      <c r="W267" s="450"/>
      <c r="X267" s="450"/>
      <c r="Y267" s="450"/>
      <c r="Z267" s="450"/>
      <c r="AA267" s="450"/>
      <c r="AB267" s="450"/>
      <c r="AC267" s="450"/>
      <c r="AD267" s="450"/>
      <c r="AE267" s="450"/>
      <c r="AF267" s="450"/>
      <c r="AG267" s="450"/>
      <c r="AH267" s="450"/>
      <c r="AI267" s="450"/>
      <c r="AJ267" s="450"/>
      <c r="AK267" s="450"/>
      <c r="AL267" s="450"/>
      <c r="AM267" s="450"/>
      <c r="AN267" s="450"/>
      <c r="AO267" s="450"/>
      <c r="AP267" s="450"/>
      <c r="AQ267" s="450"/>
      <c r="AR267" s="450"/>
      <c r="AS267" s="450"/>
      <c r="AT267" s="450"/>
      <c r="AU267" s="450"/>
      <c r="AV267" s="450"/>
      <c r="AW267" s="450"/>
      <c r="AX267" s="450"/>
      <c r="AY267" s="450"/>
      <c r="AZ267" s="450"/>
      <c r="BA267" s="450"/>
      <c r="BB267" s="450"/>
      <c r="BC267" s="450"/>
      <c r="BD267" s="450"/>
      <c r="BE267" s="450"/>
      <c r="BF267" s="450"/>
      <c r="BG267" s="450"/>
      <c r="BH267" s="450"/>
      <c r="BI267" s="450"/>
      <c r="BJ267" s="450"/>
      <c r="BK267" s="450"/>
      <c r="BL267" s="450"/>
      <c r="BM267" s="450"/>
      <c r="BN267" s="450"/>
      <c r="BO267" s="450"/>
      <c r="BP267" s="450"/>
      <c r="BQ267" s="450"/>
      <c r="BR267" s="450"/>
      <c r="BS267" s="450"/>
      <c r="BT267" s="450"/>
      <c r="BU267" s="450"/>
      <c r="BV267" s="450"/>
      <c r="BW267" s="450"/>
      <c r="BX267" s="450"/>
      <c r="BY267" s="450"/>
      <c r="BZ267" s="450"/>
      <c r="CA267" s="450"/>
      <c r="CB267" s="450"/>
      <c r="CC267" s="450"/>
      <c r="CD267" s="450"/>
      <c r="CE267" s="450"/>
      <c r="CF267" s="450"/>
      <c r="CG267" s="450"/>
      <c r="CH267" s="450"/>
    </row>
    <row r="268">
      <c r="A268" s="450"/>
      <c r="B268" s="498"/>
      <c r="C268" s="455"/>
      <c r="D268" s="450"/>
      <c r="E268" s="450"/>
      <c r="F268" s="450"/>
      <c r="G268" s="450"/>
      <c r="H268" s="450"/>
      <c r="I268" s="450"/>
      <c r="J268" s="450"/>
      <c r="K268" s="450"/>
      <c r="L268" s="450"/>
      <c r="M268" s="450"/>
      <c r="N268" s="450"/>
      <c r="O268" s="450"/>
      <c r="P268" s="450"/>
      <c r="Q268" s="450"/>
      <c r="R268" s="450"/>
      <c r="S268" s="450"/>
      <c r="T268" s="450"/>
      <c r="U268" s="450"/>
      <c r="V268" s="450"/>
      <c r="W268" s="450"/>
      <c r="X268" s="450"/>
      <c r="Y268" s="450"/>
      <c r="Z268" s="450"/>
      <c r="AA268" s="450"/>
      <c r="AB268" s="450"/>
      <c r="AC268" s="450"/>
      <c r="AD268" s="450"/>
      <c r="AE268" s="450"/>
      <c r="AF268" s="450"/>
      <c r="AG268" s="450"/>
      <c r="AH268" s="450"/>
      <c r="AI268" s="450"/>
      <c r="AJ268" s="450"/>
      <c r="AK268" s="450"/>
      <c r="AL268" s="450"/>
      <c r="AM268" s="450"/>
      <c r="AN268" s="450"/>
      <c r="AO268" s="450"/>
      <c r="AP268" s="450"/>
      <c r="AQ268" s="450"/>
      <c r="AR268" s="450"/>
      <c r="AS268" s="450"/>
      <c r="AT268" s="450"/>
      <c r="AU268" s="450"/>
      <c r="AV268" s="450"/>
      <c r="AW268" s="450"/>
      <c r="AX268" s="450"/>
      <c r="AY268" s="450"/>
      <c r="AZ268" s="450"/>
      <c r="BA268" s="450"/>
      <c r="BB268" s="450"/>
      <c r="BC268" s="450"/>
      <c r="BD268" s="450"/>
      <c r="BE268" s="450"/>
      <c r="BF268" s="450"/>
      <c r="BG268" s="450"/>
      <c r="BH268" s="450"/>
      <c r="BI268" s="450"/>
      <c r="BJ268" s="450"/>
      <c r="BK268" s="450"/>
      <c r="BL268" s="450"/>
      <c r="BM268" s="450"/>
      <c r="BN268" s="450"/>
      <c r="BO268" s="450"/>
      <c r="BP268" s="450"/>
      <c r="BQ268" s="450"/>
      <c r="BR268" s="450"/>
      <c r="BS268" s="450"/>
      <c r="BT268" s="450"/>
      <c r="BU268" s="450"/>
      <c r="BV268" s="450"/>
      <c r="BW268" s="450"/>
      <c r="BX268" s="450"/>
      <c r="BY268" s="450"/>
      <c r="BZ268" s="450"/>
      <c r="CA268" s="450"/>
      <c r="CB268" s="450"/>
      <c r="CC268" s="450"/>
      <c r="CD268" s="450"/>
      <c r="CE268" s="450"/>
      <c r="CF268" s="450"/>
      <c r="CG268" s="450"/>
      <c r="CH268" s="450"/>
    </row>
    <row r="269">
      <c r="A269" s="450"/>
      <c r="B269" s="498"/>
      <c r="C269" s="455"/>
      <c r="D269" s="450"/>
      <c r="E269" s="450"/>
      <c r="F269" s="450"/>
      <c r="G269" s="450"/>
      <c r="H269" s="450"/>
      <c r="I269" s="450"/>
      <c r="J269" s="450"/>
      <c r="K269" s="450"/>
      <c r="L269" s="450"/>
      <c r="M269" s="450"/>
      <c r="N269" s="450"/>
      <c r="O269" s="450"/>
      <c r="P269" s="450"/>
      <c r="Q269" s="450"/>
      <c r="R269" s="450"/>
      <c r="S269" s="450"/>
      <c r="T269" s="450"/>
      <c r="U269" s="450"/>
      <c r="V269" s="450"/>
      <c r="W269" s="450"/>
      <c r="X269" s="450"/>
      <c r="Y269" s="450"/>
      <c r="Z269" s="450"/>
      <c r="AA269" s="450"/>
      <c r="AB269" s="450"/>
      <c r="AC269" s="450"/>
      <c r="AD269" s="450"/>
      <c r="AE269" s="450"/>
      <c r="AF269" s="450"/>
      <c r="AG269" s="450"/>
      <c r="AH269" s="450"/>
      <c r="AI269" s="450"/>
      <c r="AJ269" s="450"/>
      <c r="AK269" s="450"/>
      <c r="AL269" s="450"/>
      <c r="AM269" s="450"/>
      <c r="AN269" s="450"/>
      <c r="AO269" s="450"/>
      <c r="AP269" s="450"/>
      <c r="AQ269" s="450"/>
      <c r="AR269" s="450"/>
      <c r="AS269" s="450"/>
      <c r="AT269" s="450"/>
      <c r="AU269" s="450"/>
      <c r="AV269" s="450"/>
      <c r="AW269" s="450"/>
      <c r="AX269" s="450"/>
      <c r="AY269" s="450"/>
      <c r="AZ269" s="450"/>
      <c r="BA269" s="450"/>
      <c r="BB269" s="450"/>
      <c r="BC269" s="450"/>
      <c r="BD269" s="450"/>
      <c r="BE269" s="450"/>
      <c r="BF269" s="450"/>
      <c r="BG269" s="450"/>
      <c r="BH269" s="450"/>
      <c r="BI269" s="450"/>
      <c r="BJ269" s="450"/>
      <c r="BK269" s="450"/>
      <c r="BL269" s="450"/>
      <c r="BM269" s="450"/>
      <c r="BN269" s="450"/>
      <c r="BO269" s="450"/>
      <c r="BP269" s="450"/>
      <c r="BQ269" s="450"/>
      <c r="BR269" s="450"/>
      <c r="BS269" s="450"/>
      <c r="BT269" s="450"/>
      <c r="BU269" s="450"/>
      <c r="BV269" s="450"/>
      <c r="BW269" s="450"/>
      <c r="BX269" s="450"/>
      <c r="BY269" s="450"/>
      <c r="BZ269" s="450"/>
      <c r="CA269" s="450"/>
      <c r="CB269" s="450"/>
      <c r="CC269" s="450"/>
      <c r="CD269" s="450"/>
      <c r="CE269" s="450"/>
      <c r="CF269" s="450"/>
      <c r="CG269" s="450"/>
      <c r="CH269" s="450"/>
    </row>
    <row r="270">
      <c r="A270" s="450"/>
      <c r="B270" s="498"/>
      <c r="C270" s="455"/>
      <c r="D270" s="450"/>
      <c r="E270" s="450"/>
      <c r="F270" s="450"/>
      <c r="G270" s="450"/>
      <c r="H270" s="450"/>
      <c r="I270" s="450"/>
      <c r="J270" s="450"/>
      <c r="K270" s="450"/>
      <c r="L270" s="450"/>
      <c r="M270" s="450"/>
      <c r="N270" s="450"/>
      <c r="O270" s="450"/>
      <c r="P270" s="450"/>
      <c r="Q270" s="450"/>
      <c r="R270" s="450"/>
      <c r="S270" s="450"/>
      <c r="T270" s="450"/>
      <c r="U270" s="450"/>
      <c r="V270" s="450"/>
      <c r="W270" s="450"/>
      <c r="X270" s="450"/>
      <c r="Y270" s="450"/>
      <c r="Z270" s="450"/>
      <c r="AA270" s="450"/>
      <c r="AB270" s="450"/>
      <c r="AC270" s="450"/>
      <c r="AD270" s="450"/>
      <c r="AE270" s="450"/>
      <c r="AF270" s="450"/>
      <c r="AG270" s="450"/>
      <c r="AH270" s="450"/>
      <c r="AI270" s="450"/>
      <c r="AJ270" s="450"/>
      <c r="AK270" s="450"/>
      <c r="AL270" s="450"/>
      <c r="AM270" s="450"/>
      <c r="AN270" s="450"/>
      <c r="AO270" s="450"/>
      <c r="AP270" s="450"/>
      <c r="AQ270" s="450"/>
      <c r="AR270" s="450"/>
      <c r="AS270" s="450"/>
      <c r="AT270" s="450"/>
      <c r="AU270" s="450"/>
      <c r="AV270" s="450"/>
      <c r="AW270" s="450"/>
      <c r="AX270" s="450"/>
      <c r="AY270" s="450"/>
      <c r="AZ270" s="450"/>
      <c r="BA270" s="450"/>
      <c r="BB270" s="450"/>
      <c r="BC270" s="450"/>
      <c r="BD270" s="450"/>
      <c r="BE270" s="450"/>
      <c r="BF270" s="450"/>
      <c r="BG270" s="450"/>
      <c r="BH270" s="450"/>
      <c r="BI270" s="450"/>
      <c r="BJ270" s="450"/>
      <c r="BK270" s="450"/>
      <c r="BL270" s="450"/>
      <c r="BM270" s="450"/>
      <c r="BN270" s="450"/>
      <c r="BO270" s="450"/>
      <c r="BP270" s="450"/>
      <c r="BQ270" s="450"/>
      <c r="BR270" s="450"/>
      <c r="BS270" s="450"/>
      <c r="BT270" s="450"/>
      <c r="BU270" s="450"/>
      <c r="BV270" s="450"/>
      <c r="BW270" s="450"/>
      <c r="BX270" s="450"/>
      <c r="BY270" s="450"/>
      <c r="BZ270" s="450"/>
      <c r="CA270" s="450"/>
      <c r="CB270" s="450"/>
      <c r="CC270" s="450"/>
      <c r="CD270" s="450"/>
      <c r="CE270" s="450"/>
      <c r="CF270" s="450"/>
      <c r="CG270" s="450"/>
      <c r="CH270" s="450"/>
    </row>
    <row r="271">
      <c r="A271" s="450"/>
      <c r="B271" s="498"/>
      <c r="C271" s="455"/>
      <c r="D271" s="450"/>
      <c r="E271" s="450"/>
      <c r="F271" s="450"/>
      <c r="G271" s="450"/>
      <c r="H271" s="450"/>
      <c r="I271" s="450"/>
      <c r="J271" s="450"/>
      <c r="K271" s="450"/>
      <c r="L271" s="450"/>
      <c r="M271" s="450"/>
      <c r="N271" s="450"/>
      <c r="O271" s="450"/>
      <c r="P271" s="450"/>
      <c r="Q271" s="450"/>
      <c r="R271" s="450"/>
      <c r="S271" s="450"/>
      <c r="T271" s="450"/>
      <c r="U271" s="450"/>
      <c r="V271" s="450"/>
      <c r="W271" s="450"/>
      <c r="X271" s="450"/>
      <c r="Y271" s="450"/>
      <c r="Z271" s="450"/>
      <c r="AA271" s="450"/>
      <c r="AB271" s="450"/>
      <c r="AC271" s="450"/>
      <c r="AD271" s="450"/>
      <c r="AE271" s="450"/>
      <c r="AF271" s="450"/>
      <c r="AG271" s="450"/>
      <c r="AH271" s="450"/>
      <c r="AI271" s="450"/>
      <c r="AJ271" s="450"/>
      <c r="AK271" s="450"/>
      <c r="AL271" s="450"/>
      <c r="AM271" s="450"/>
      <c r="AN271" s="450"/>
      <c r="AO271" s="450"/>
      <c r="AP271" s="450"/>
      <c r="AQ271" s="450"/>
      <c r="AR271" s="450"/>
      <c r="AS271" s="450"/>
      <c r="AT271" s="450"/>
      <c r="AU271" s="450"/>
      <c r="AV271" s="450"/>
      <c r="AW271" s="450"/>
      <c r="AX271" s="450"/>
      <c r="AY271" s="450"/>
      <c r="AZ271" s="450"/>
      <c r="BA271" s="450"/>
      <c r="BB271" s="450"/>
      <c r="BC271" s="450"/>
      <c r="BD271" s="450"/>
      <c r="BE271" s="450"/>
      <c r="BF271" s="450"/>
      <c r="BG271" s="450"/>
      <c r="BH271" s="450"/>
      <c r="BI271" s="450"/>
      <c r="BJ271" s="450"/>
      <c r="BK271" s="450"/>
      <c r="BL271" s="450"/>
      <c r="BM271" s="450"/>
      <c r="BN271" s="450"/>
      <c r="BO271" s="450"/>
      <c r="BP271" s="450"/>
      <c r="BQ271" s="450"/>
      <c r="BR271" s="450"/>
      <c r="BS271" s="450"/>
      <c r="BT271" s="450"/>
      <c r="BU271" s="450"/>
      <c r="BV271" s="450"/>
      <c r="BW271" s="450"/>
      <c r="BX271" s="450"/>
      <c r="BY271" s="450"/>
      <c r="BZ271" s="450"/>
      <c r="CA271" s="450"/>
      <c r="CB271" s="450"/>
      <c r="CC271" s="450"/>
      <c r="CD271" s="450"/>
      <c r="CE271" s="450"/>
      <c r="CF271" s="450"/>
      <c r="CG271" s="450"/>
      <c r="CH271" s="450"/>
    </row>
    <row r="272">
      <c r="A272" s="450"/>
      <c r="B272" s="498"/>
      <c r="C272" s="455"/>
      <c r="D272" s="450"/>
      <c r="E272" s="450"/>
      <c r="F272" s="450"/>
      <c r="G272" s="450"/>
      <c r="H272" s="450"/>
      <c r="I272" s="450"/>
      <c r="J272" s="450"/>
      <c r="K272" s="450"/>
      <c r="L272" s="450"/>
      <c r="M272" s="450"/>
      <c r="N272" s="450"/>
      <c r="O272" s="450"/>
      <c r="P272" s="450"/>
      <c r="Q272" s="450"/>
      <c r="R272" s="450"/>
      <c r="S272" s="450"/>
      <c r="T272" s="450"/>
      <c r="U272" s="450"/>
      <c r="V272" s="450"/>
      <c r="W272" s="450"/>
      <c r="X272" s="450"/>
      <c r="Y272" s="450"/>
      <c r="Z272" s="450"/>
      <c r="AA272" s="450"/>
      <c r="AB272" s="450"/>
      <c r="AC272" s="450"/>
      <c r="AD272" s="450"/>
      <c r="AE272" s="450"/>
      <c r="AF272" s="450"/>
      <c r="AG272" s="450"/>
      <c r="AH272" s="450"/>
      <c r="AI272" s="450"/>
      <c r="AJ272" s="450"/>
      <c r="AK272" s="450"/>
      <c r="AL272" s="450"/>
      <c r="AM272" s="450"/>
      <c r="AN272" s="450"/>
      <c r="AO272" s="450"/>
      <c r="AP272" s="450"/>
      <c r="AQ272" s="450"/>
      <c r="AR272" s="450"/>
      <c r="AS272" s="450"/>
      <c r="AT272" s="450"/>
      <c r="AU272" s="450"/>
      <c r="AV272" s="450"/>
      <c r="AW272" s="450"/>
      <c r="AX272" s="450"/>
      <c r="AY272" s="450"/>
      <c r="AZ272" s="450"/>
      <c r="BA272" s="450"/>
      <c r="BB272" s="450"/>
      <c r="BC272" s="450"/>
      <c r="BD272" s="450"/>
      <c r="BE272" s="450"/>
      <c r="BF272" s="450"/>
      <c r="BG272" s="450"/>
      <c r="BH272" s="450"/>
      <c r="BI272" s="450"/>
      <c r="BJ272" s="450"/>
      <c r="BK272" s="450"/>
      <c r="BL272" s="450"/>
      <c r="BM272" s="450"/>
      <c r="BN272" s="450"/>
      <c r="BO272" s="450"/>
      <c r="BP272" s="450"/>
      <c r="BQ272" s="450"/>
      <c r="BR272" s="450"/>
      <c r="BS272" s="450"/>
      <c r="BT272" s="450"/>
      <c r="BU272" s="450"/>
      <c r="BV272" s="450"/>
      <c r="BW272" s="450"/>
      <c r="BX272" s="450"/>
      <c r="BY272" s="450"/>
      <c r="BZ272" s="450"/>
      <c r="CA272" s="450"/>
      <c r="CB272" s="450"/>
      <c r="CC272" s="450"/>
      <c r="CD272" s="450"/>
      <c r="CE272" s="450"/>
      <c r="CF272" s="450"/>
      <c r="CG272" s="450"/>
      <c r="CH272" s="450"/>
    </row>
    <row r="273">
      <c r="A273" s="450"/>
      <c r="B273" s="498"/>
      <c r="C273" s="455"/>
      <c r="D273" s="450"/>
      <c r="E273" s="450"/>
      <c r="F273" s="450"/>
      <c r="G273" s="450"/>
      <c r="H273" s="450"/>
      <c r="I273" s="450"/>
      <c r="J273" s="450"/>
      <c r="K273" s="450"/>
      <c r="L273" s="450"/>
      <c r="M273" s="450"/>
      <c r="N273" s="450"/>
      <c r="O273" s="450"/>
      <c r="P273" s="450"/>
      <c r="Q273" s="450"/>
      <c r="R273" s="450"/>
      <c r="S273" s="450"/>
      <c r="T273" s="450"/>
      <c r="U273" s="450"/>
      <c r="V273" s="450"/>
      <c r="W273" s="450"/>
      <c r="X273" s="450"/>
      <c r="Y273" s="450"/>
      <c r="Z273" s="450"/>
      <c r="AA273" s="450"/>
      <c r="AB273" s="450"/>
      <c r="AC273" s="450"/>
      <c r="AD273" s="450"/>
      <c r="AE273" s="450"/>
      <c r="AF273" s="450"/>
      <c r="AG273" s="450"/>
      <c r="AH273" s="450"/>
      <c r="AI273" s="450"/>
      <c r="AJ273" s="450"/>
      <c r="AK273" s="450"/>
      <c r="AL273" s="450"/>
      <c r="AM273" s="450"/>
      <c r="AN273" s="450"/>
      <c r="AO273" s="450"/>
      <c r="AP273" s="450"/>
      <c r="AQ273" s="450"/>
      <c r="AR273" s="450"/>
      <c r="AS273" s="450"/>
      <c r="AT273" s="450"/>
      <c r="AU273" s="450"/>
      <c r="AV273" s="450"/>
      <c r="AW273" s="450"/>
      <c r="AX273" s="450"/>
      <c r="AY273" s="450"/>
      <c r="AZ273" s="450"/>
      <c r="BA273" s="450"/>
      <c r="BB273" s="450"/>
      <c r="BC273" s="450"/>
      <c r="BD273" s="450"/>
      <c r="BE273" s="450"/>
      <c r="BF273" s="450"/>
      <c r="BG273" s="450"/>
      <c r="BH273" s="450"/>
      <c r="BI273" s="450"/>
      <c r="BJ273" s="450"/>
      <c r="BK273" s="450"/>
      <c r="BL273" s="450"/>
      <c r="BM273" s="450"/>
      <c r="BN273" s="450"/>
      <c r="BO273" s="450"/>
      <c r="BP273" s="450"/>
      <c r="BQ273" s="450"/>
      <c r="BR273" s="450"/>
      <c r="BS273" s="450"/>
      <c r="BT273" s="450"/>
      <c r="BU273" s="450"/>
      <c r="BV273" s="450"/>
      <c r="BW273" s="450"/>
      <c r="BX273" s="450"/>
      <c r="BY273" s="450"/>
      <c r="BZ273" s="450"/>
      <c r="CA273" s="450"/>
      <c r="CB273" s="450"/>
      <c r="CC273" s="450"/>
      <c r="CD273" s="450"/>
      <c r="CE273" s="450"/>
      <c r="CF273" s="450"/>
      <c r="CG273" s="450"/>
      <c r="CH273" s="450"/>
    </row>
    <row r="274">
      <c r="A274" s="450"/>
      <c r="B274" s="498"/>
      <c r="C274" s="455"/>
      <c r="D274" s="450"/>
      <c r="E274" s="450"/>
      <c r="F274" s="450"/>
      <c r="G274" s="450"/>
      <c r="H274" s="450"/>
      <c r="I274" s="450"/>
      <c r="J274" s="450"/>
      <c r="K274" s="450"/>
      <c r="L274" s="450"/>
      <c r="M274" s="450"/>
      <c r="N274" s="450"/>
      <c r="O274" s="450"/>
      <c r="P274" s="450"/>
      <c r="Q274" s="450"/>
      <c r="R274" s="450"/>
      <c r="S274" s="450"/>
      <c r="T274" s="450"/>
      <c r="U274" s="450"/>
      <c r="V274" s="450"/>
      <c r="W274" s="450"/>
      <c r="X274" s="450"/>
      <c r="Y274" s="450"/>
      <c r="Z274" s="450"/>
      <c r="AA274" s="450"/>
      <c r="AB274" s="450"/>
      <c r="AC274" s="450"/>
      <c r="AD274" s="450"/>
      <c r="AE274" s="450"/>
      <c r="AF274" s="450"/>
      <c r="AG274" s="450"/>
      <c r="AH274" s="450"/>
      <c r="AI274" s="450"/>
      <c r="AJ274" s="450"/>
      <c r="AK274" s="450"/>
      <c r="AL274" s="450"/>
      <c r="AM274" s="450"/>
      <c r="AN274" s="450"/>
      <c r="AO274" s="450"/>
      <c r="AP274" s="450"/>
      <c r="AQ274" s="450"/>
      <c r="AR274" s="450"/>
      <c r="AS274" s="450"/>
      <c r="AT274" s="450"/>
      <c r="AU274" s="450"/>
      <c r="AV274" s="450"/>
      <c r="AW274" s="450"/>
      <c r="AX274" s="450"/>
      <c r="AY274" s="450"/>
      <c r="AZ274" s="450"/>
      <c r="BA274" s="450"/>
      <c r="BB274" s="450"/>
      <c r="BC274" s="450"/>
      <c r="BD274" s="450"/>
      <c r="BE274" s="450"/>
      <c r="BF274" s="450"/>
      <c r="BG274" s="450"/>
      <c r="BH274" s="450"/>
      <c r="BI274" s="450"/>
      <c r="BJ274" s="450"/>
      <c r="BK274" s="450"/>
      <c r="BL274" s="450"/>
      <c r="BM274" s="450"/>
      <c r="BN274" s="450"/>
      <c r="BO274" s="450"/>
      <c r="BP274" s="450"/>
      <c r="BQ274" s="450"/>
      <c r="BR274" s="450"/>
      <c r="BS274" s="450"/>
      <c r="BT274" s="450"/>
      <c r="BU274" s="450"/>
      <c r="BV274" s="450"/>
      <c r="BW274" s="450"/>
      <c r="BX274" s="450"/>
      <c r="BY274" s="450"/>
      <c r="BZ274" s="450"/>
      <c r="CA274" s="450"/>
      <c r="CB274" s="450"/>
      <c r="CC274" s="450"/>
      <c r="CD274" s="450"/>
      <c r="CE274" s="450"/>
      <c r="CF274" s="450"/>
      <c r="CG274" s="450"/>
      <c r="CH274" s="450"/>
    </row>
    <row r="275">
      <c r="A275" s="450"/>
      <c r="B275" s="498"/>
      <c r="C275" s="455"/>
      <c r="D275" s="450"/>
      <c r="E275" s="450"/>
      <c r="F275" s="450"/>
      <c r="G275" s="450"/>
      <c r="H275" s="450"/>
      <c r="I275" s="450"/>
      <c r="J275" s="450"/>
      <c r="K275" s="450"/>
      <c r="L275" s="450"/>
      <c r="M275" s="450"/>
      <c r="N275" s="450"/>
      <c r="O275" s="450"/>
      <c r="P275" s="450"/>
      <c r="Q275" s="450"/>
      <c r="R275" s="450"/>
      <c r="S275" s="450"/>
      <c r="T275" s="450"/>
      <c r="U275" s="450"/>
      <c r="V275" s="450"/>
      <c r="W275" s="450"/>
      <c r="X275" s="450"/>
      <c r="Y275" s="450"/>
      <c r="Z275" s="450"/>
      <c r="AA275" s="450"/>
      <c r="AB275" s="450"/>
      <c r="AC275" s="450"/>
      <c r="AD275" s="450"/>
      <c r="AE275" s="450"/>
      <c r="AF275" s="450"/>
      <c r="AG275" s="450"/>
      <c r="AH275" s="450"/>
      <c r="AI275" s="450"/>
      <c r="AJ275" s="450"/>
      <c r="AK275" s="450"/>
      <c r="AL275" s="450"/>
      <c r="AM275" s="450"/>
      <c r="AN275" s="450"/>
      <c r="AO275" s="450"/>
      <c r="AP275" s="450"/>
      <c r="AQ275" s="450"/>
      <c r="AR275" s="450"/>
      <c r="AS275" s="450"/>
      <c r="AT275" s="450"/>
      <c r="AU275" s="450"/>
      <c r="AV275" s="450"/>
      <c r="AW275" s="450"/>
      <c r="AX275" s="450"/>
      <c r="AY275" s="450"/>
      <c r="AZ275" s="450"/>
      <c r="BA275" s="450"/>
      <c r="BB275" s="450"/>
      <c r="BC275" s="450"/>
      <c r="BD275" s="450"/>
      <c r="BE275" s="450"/>
      <c r="BF275" s="450"/>
      <c r="BG275" s="450"/>
      <c r="BH275" s="450"/>
      <c r="BI275" s="450"/>
      <c r="BJ275" s="450"/>
      <c r="BK275" s="450"/>
      <c r="BL275" s="450"/>
      <c r="BM275" s="450"/>
      <c r="BN275" s="450"/>
      <c r="BO275" s="450"/>
      <c r="BP275" s="450"/>
      <c r="BQ275" s="450"/>
      <c r="BR275" s="450"/>
      <c r="BS275" s="450"/>
      <c r="BT275" s="450"/>
      <c r="BU275" s="450"/>
      <c r="BV275" s="450"/>
      <c r="BW275" s="450"/>
      <c r="BX275" s="450"/>
      <c r="BY275" s="450"/>
      <c r="BZ275" s="450"/>
      <c r="CA275" s="450"/>
      <c r="CB275" s="450"/>
      <c r="CC275" s="450"/>
      <c r="CD275" s="450"/>
      <c r="CE275" s="450"/>
      <c r="CF275" s="450"/>
      <c r="CG275" s="450"/>
      <c r="CH275" s="450"/>
    </row>
    <row r="276">
      <c r="A276" s="450"/>
      <c r="B276" s="498"/>
      <c r="C276" s="455"/>
      <c r="D276" s="450"/>
      <c r="E276" s="450"/>
      <c r="F276" s="450"/>
      <c r="G276" s="450"/>
      <c r="H276" s="450"/>
      <c r="I276" s="450"/>
      <c r="J276" s="450"/>
      <c r="K276" s="450"/>
      <c r="L276" s="450"/>
      <c r="M276" s="450"/>
      <c r="N276" s="450"/>
      <c r="O276" s="450"/>
      <c r="P276" s="450"/>
      <c r="Q276" s="450"/>
      <c r="R276" s="450"/>
      <c r="S276" s="450"/>
      <c r="T276" s="450"/>
      <c r="U276" s="450"/>
      <c r="V276" s="450"/>
      <c r="W276" s="450"/>
      <c r="X276" s="450"/>
      <c r="Y276" s="450"/>
      <c r="Z276" s="450"/>
      <c r="AA276" s="450"/>
      <c r="AB276" s="450"/>
      <c r="AC276" s="450"/>
      <c r="AD276" s="450"/>
      <c r="AE276" s="450"/>
      <c r="AF276" s="450"/>
      <c r="AG276" s="450"/>
      <c r="AH276" s="450"/>
      <c r="AI276" s="450"/>
      <c r="AJ276" s="450"/>
      <c r="AK276" s="450"/>
      <c r="AL276" s="450"/>
      <c r="AM276" s="450"/>
      <c r="AN276" s="450"/>
      <c r="AO276" s="450"/>
      <c r="AP276" s="450"/>
      <c r="AQ276" s="450"/>
      <c r="AR276" s="450"/>
      <c r="AS276" s="450"/>
      <c r="AT276" s="450"/>
      <c r="AU276" s="450"/>
      <c r="AV276" s="450"/>
      <c r="AW276" s="450"/>
      <c r="AX276" s="450"/>
      <c r="AY276" s="450"/>
      <c r="AZ276" s="450"/>
      <c r="BA276" s="450"/>
      <c r="BB276" s="450"/>
      <c r="BC276" s="450"/>
      <c r="BD276" s="450"/>
      <c r="BE276" s="450"/>
      <c r="BF276" s="450"/>
      <c r="BG276" s="450"/>
      <c r="BH276" s="450"/>
      <c r="BI276" s="450"/>
      <c r="BJ276" s="450"/>
      <c r="BK276" s="450"/>
      <c r="BL276" s="450"/>
      <c r="BM276" s="450"/>
      <c r="BN276" s="450"/>
      <c r="BO276" s="450"/>
      <c r="BP276" s="450"/>
      <c r="BQ276" s="450"/>
      <c r="BR276" s="450"/>
      <c r="BS276" s="450"/>
      <c r="BT276" s="450"/>
      <c r="BU276" s="450"/>
      <c r="BV276" s="450"/>
      <c r="BW276" s="450"/>
      <c r="BX276" s="450"/>
      <c r="BY276" s="450"/>
      <c r="BZ276" s="450"/>
      <c r="CA276" s="450"/>
      <c r="CB276" s="450"/>
      <c r="CC276" s="450"/>
      <c r="CD276" s="450"/>
      <c r="CE276" s="450"/>
      <c r="CF276" s="450"/>
      <c r="CG276" s="450"/>
      <c r="CH276" s="450"/>
    </row>
    <row r="277">
      <c r="A277" s="450"/>
      <c r="B277" s="498"/>
      <c r="C277" s="455"/>
      <c r="D277" s="450"/>
      <c r="E277" s="450"/>
      <c r="F277" s="450"/>
      <c r="G277" s="450"/>
      <c r="H277" s="450"/>
      <c r="I277" s="450"/>
      <c r="J277" s="450"/>
      <c r="K277" s="450"/>
      <c r="L277" s="450"/>
      <c r="M277" s="450"/>
      <c r="N277" s="450"/>
      <c r="O277" s="450"/>
      <c r="P277" s="450"/>
      <c r="Q277" s="450"/>
      <c r="R277" s="450"/>
      <c r="S277" s="450"/>
      <c r="T277" s="450"/>
      <c r="U277" s="450"/>
      <c r="V277" s="450"/>
      <c r="W277" s="450"/>
      <c r="X277" s="450"/>
      <c r="Y277" s="450"/>
      <c r="Z277" s="450"/>
      <c r="AA277" s="450"/>
      <c r="AB277" s="450"/>
      <c r="AC277" s="450"/>
      <c r="AD277" s="450"/>
      <c r="AE277" s="450"/>
      <c r="AF277" s="450"/>
      <c r="AG277" s="450"/>
      <c r="AH277" s="450"/>
      <c r="AI277" s="450"/>
      <c r="AJ277" s="450"/>
      <c r="AK277" s="450"/>
      <c r="AL277" s="450"/>
      <c r="AM277" s="450"/>
      <c r="AN277" s="450"/>
      <c r="AO277" s="450"/>
      <c r="AP277" s="450"/>
      <c r="AQ277" s="450"/>
      <c r="AR277" s="450"/>
      <c r="AS277" s="450"/>
      <c r="AT277" s="450"/>
      <c r="AU277" s="450"/>
      <c r="AV277" s="450"/>
      <c r="AW277" s="450"/>
      <c r="AX277" s="450"/>
      <c r="AY277" s="450"/>
      <c r="AZ277" s="450"/>
      <c r="BA277" s="450"/>
      <c r="BB277" s="450"/>
      <c r="BC277" s="450"/>
      <c r="BD277" s="450"/>
      <c r="BE277" s="450"/>
      <c r="BF277" s="450"/>
      <c r="BG277" s="450"/>
      <c r="BH277" s="450"/>
      <c r="BI277" s="450"/>
      <c r="BJ277" s="450"/>
      <c r="BK277" s="450"/>
      <c r="BL277" s="450"/>
      <c r="BM277" s="450"/>
      <c r="BN277" s="450"/>
      <c r="BO277" s="450"/>
      <c r="BP277" s="450"/>
      <c r="BQ277" s="450"/>
      <c r="BR277" s="450"/>
      <c r="BS277" s="450"/>
      <c r="BT277" s="450"/>
      <c r="BU277" s="450"/>
      <c r="BV277" s="450"/>
      <c r="BW277" s="450"/>
      <c r="BX277" s="450"/>
      <c r="BY277" s="450"/>
      <c r="BZ277" s="450"/>
      <c r="CA277" s="450"/>
      <c r="CB277" s="450"/>
      <c r="CC277" s="450"/>
      <c r="CD277" s="450"/>
      <c r="CE277" s="450"/>
      <c r="CF277" s="450"/>
      <c r="CG277" s="450"/>
      <c r="CH277" s="450"/>
    </row>
    <row r="278">
      <c r="A278" s="450"/>
      <c r="B278" s="498"/>
      <c r="C278" s="455"/>
      <c r="D278" s="450"/>
      <c r="E278" s="450"/>
      <c r="F278" s="450"/>
      <c r="G278" s="450"/>
      <c r="H278" s="450"/>
      <c r="I278" s="450"/>
      <c r="J278" s="450"/>
      <c r="K278" s="450"/>
      <c r="L278" s="450"/>
      <c r="M278" s="450"/>
      <c r="N278" s="450"/>
      <c r="O278" s="450"/>
      <c r="P278" s="450"/>
      <c r="Q278" s="450"/>
      <c r="R278" s="450"/>
      <c r="S278" s="450"/>
      <c r="T278" s="450"/>
      <c r="U278" s="450"/>
      <c r="V278" s="450"/>
      <c r="W278" s="450"/>
      <c r="X278" s="450"/>
      <c r="Y278" s="450"/>
      <c r="Z278" s="450"/>
      <c r="AA278" s="450"/>
      <c r="AB278" s="450"/>
      <c r="AC278" s="450"/>
      <c r="AD278" s="450"/>
      <c r="AE278" s="450"/>
      <c r="AF278" s="450"/>
      <c r="AG278" s="450"/>
      <c r="AH278" s="450"/>
      <c r="AI278" s="450"/>
      <c r="AJ278" s="450"/>
      <c r="AK278" s="450"/>
      <c r="AL278" s="450"/>
      <c r="AM278" s="450"/>
      <c r="AN278" s="450"/>
      <c r="AO278" s="450"/>
      <c r="AP278" s="450"/>
      <c r="AQ278" s="450"/>
      <c r="AR278" s="450"/>
      <c r="AS278" s="450"/>
      <c r="AT278" s="450"/>
      <c r="AU278" s="450"/>
      <c r="AV278" s="450"/>
      <c r="AW278" s="450"/>
      <c r="AX278" s="450"/>
      <c r="AY278" s="450"/>
      <c r="AZ278" s="450"/>
      <c r="BA278" s="450"/>
      <c r="BB278" s="450"/>
      <c r="BC278" s="450"/>
      <c r="BD278" s="450"/>
      <c r="BE278" s="450"/>
      <c r="BF278" s="450"/>
      <c r="BG278" s="450"/>
      <c r="BH278" s="450"/>
      <c r="BI278" s="450"/>
      <c r="BJ278" s="450"/>
      <c r="BK278" s="450"/>
      <c r="BL278" s="450"/>
      <c r="BM278" s="450"/>
      <c r="BN278" s="450"/>
      <c r="BO278" s="450"/>
      <c r="BP278" s="450"/>
      <c r="BQ278" s="450"/>
      <c r="BR278" s="450"/>
      <c r="BS278" s="450"/>
      <c r="BT278" s="450"/>
      <c r="BU278" s="450"/>
      <c r="BV278" s="450"/>
      <c r="BW278" s="450"/>
      <c r="BX278" s="450"/>
      <c r="BY278" s="450"/>
      <c r="BZ278" s="450"/>
      <c r="CA278" s="450"/>
      <c r="CB278" s="450"/>
      <c r="CC278" s="450"/>
      <c r="CD278" s="450"/>
      <c r="CE278" s="450"/>
      <c r="CF278" s="450"/>
      <c r="CG278" s="450"/>
      <c r="CH278" s="450"/>
    </row>
    <row r="279">
      <c r="A279" s="450"/>
      <c r="B279" s="498"/>
      <c r="C279" s="455"/>
      <c r="D279" s="450"/>
      <c r="E279" s="450"/>
      <c r="F279" s="450"/>
      <c r="G279" s="450"/>
      <c r="H279" s="450"/>
      <c r="I279" s="450"/>
      <c r="J279" s="450"/>
      <c r="K279" s="450"/>
      <c r="L279" s="450"/>
      <c r="M279" s="450"/>
      <c r="N279" s="450"/>
      <c r="O279" s="450"/>
      <c r="P279" s="450"/>
      <c r="Q279" s="450"/>
      <c r="R279" s="450"/>
      <c r="S279" s="450"/>
      <c r="T279" s="450"/>
      <c r="U279" s="450"/>
      <c r="V279" s="450"/>
      <c r="W279" s="450"/>
      <c r="X279" s="450"/>
      <c r="Y279" s="450"/>
      <c r="Z279" s="450"/>
      <c r="AA279" s="450"/>
      <c r="AB279" s="450"/>
      <c r="AC279" s="450"/>
      <c r="AD279" s="450"/>
      <c r="AE279" s="450"/>
      <c r="AF279" s="450"/>
      <c r="AG279" s="450"/>
      <c r="AH279" s="450"/>
      <c r="AI279" s="450"/>
      <c r="AJ279" s="450"/>
      <c r="AK279" s="450"/>
      <c r="AL279" s="450"/>
      <c r="AM279" s="450"/>
      <c r="AN279" s="450"/>
      <c r="AO279" s="450"/>
      <c r="AP279" s="450"/>
      <c r="AQ279" s="450"/>
      <c r="AR279" s="450"/>
      <c r="AS279" s="450"/>
      <c r="AT279" s="450"/>
      <c r="AU279" s="450"/>
      <c r="AV279" s="450"/>
      <c r="AW279" s="450"/>
      <c r="AX279" s="450"/>
      <c r="AY279" s="450"/>
      <c r="AZ279" s="450"/>
      <c r="BA279" s="450"/>
      <c r="BB279" s="450"/>
      <c r="BC279" s="450"/>
      <c r="BD279" s="450"/>
      <c r="BE279" s="450"/>
      <c r="BF279" s="450"/>
      <c r="BG279" s="450"/>
      <c r="BH279" s="450"/>
      <c r="BI279" s="450"/>
      <c r="BJ279" s="450"/>
      <c r="BK279" s="450"/>
      <c r="BL279" s="450"/>
      <c r="BM279" s="450"/>
      <c r="BN279" s="450"/>
      <c r="BO279" s="450"/>
      <c r="BP279" s="450"/>
      <c r="BQ279" s="450"/>
      <c r="BR279" s="450"/>
      <c r="BS279" s="450"/>
      <c r="BT279" s="450"/>
      <c r="BU279" s="450"/>
      <c r="BV279" s="450"/>
      <c r="BW279" s="450"/>
      <c r="BX279" s="450"/>
      <c r="BY279" s="450"/>
      <c r="BZ279" s="450"/>
      <c r="CA279" s="450"/>
      <c r="CB279" s="450"/>
      <c r="CC279" s="450"/>
      <c r="CD279" s="450"/>
      <c r="CE279" s="450"/>
      <c r="CF279" s="450"/>
      <c r="CG279" s="450"/>
      <c r="CH279" s="450"/>
    </row>
    <row r="280">
      <c r="A280" s="450"/>
      <c r="B280" s="498"/>
      <c r="C280" s="455"/>
      <c r="D280" s="450"/>
      <c r="E280" s="450"/>
      <c r="F280" s="450"/>
      <c r="G280" s="450"/>
      <c r="H280" s="450"/>
      <c r="I280" s="450"/>
      <c r="J280" s="450"/>
      <c r="K280" s="450"/>
      <c r="L280" s="450"/>
      <c r="M280" s="450"/>
      <c r="N280" s="450"/>
      <c r="O280" s="450"/>
      <c r="P280" s="450"/>
      <c r="Q280" s="450"/>
      <c r="R280" s="450"/>
      <c r="S280" s="450"/>
      <c r="T280" s="450"/>
      <c r="U280" s="450"/>
      <c r="V280" s="450"/>
      <c r="W280" s="450"/>
      <c r="X280" s="450"/>
      <c r="Y280" s="450"/>
      <c r="Z280" s="450"/>
      <c r="AA280" s="450"/>
      <c r="AB280" s="450"/>
      <c r="AC280" s="450"/>
      <c r="AD280" s="450"/>
      <c r="AE280" s="450"/>
      <c r="AF280" s="450"/>
      <c r="AG280" s="450"/>
      <c r="AH280" s="450"/>
      <c r="AI280" s="450"/>
      <c r="AJ280" s="450"/>
      <c r="AK280" s="450"/>
      <c r="AL280" s="450"/>
      <c r="AM280" s="450"/>
      <c r="AN280" s="450"/>
      <c r="AO280" s="450"/>
      <c r="AP280" s="450"/>
      <c r="AQ280" s="450"/>
      <c r="AR280" s="450"/>
      <c r="AS280" s="450"/>
      <c r="AT280" s="450"/>
      <c r="AU280" s="450"/>
      <c r="AV280" s="450"/>
      <c r="AW280" s="450"/>
      <c r="AX280" s="450"/>
      <c r="AY280" s="450"/>
      <c r="AZ280" s="450"/>
      <c r="BA280" s="450"/>
      <c r="BB280" s="450"/>
      <c r="BC280" s="450"/>
      <c r="BD280" s="450"/>
      <c r="BE280" s="450"/>
      <c r="BF280" s="450"/>
      <c r="BG280" s="450"/>
      <c r="BH280" s="450"/>
      <c r="BI280" s="450"/>
      <c r="BJ280" s="450"/>
      <c r="BK280" s="450"/>
      <c r="BL280" s="450"/>
      <c r="BM280" s="450"/>
      <c r="BN280" s="450"/>
      <c r="BO280" s="450"/>
      <c r="BP280" s="450"/>
      <c r="BQ280" s="450"/>
      <c r="BR280" s="450"/>
      <c r="BS280" s="450"/>
      <c r="BT280" s="450"/>
      <c r="BU280" s="450"/>
      <c r="BV280" s="450"/>
      <c r="BW280" s="450"/>
      <c r="BX280" s="450"/>
      <c r="BY280" s="450"/>
      <c r="BZ280" s="450"/>
      <c r="CA280" s="450"/>
      <c r="CB280" s="450"/>
      <c r="CC280" s="450"/>
      <c r="CD280" s="450"/>
      <c r="CE280" s="450"/>
      <c r="CF280" s="450"/>
      <c r="CG280" s="450"/>
      <c r="CH280" s="450"/>
    </row>
    <row r="281">
      <c r="A281" s="450"/>
      <c r="B281" s="498"/>
      <c r="C281" s="455"/>
      <c r="D281" s="450"/>
      <c r="E281" s="450"/>
      <c r="F281" s="450"/>
      <c r="G281" s="450"/>
      <c r="H281" s="450"/>
      <c r="I281" s="450"/>
      <c r="J281" s="450"/>
      <c r="K281" s="450"/>
      <c r="L281" s="450"/>
      <c r="M281" s="450"/>
      <c r="N281" s="450"/>
      <c r="O281" s="450"/>
      <c r="P281" s="450"/>
      <c r="Q281" s="450"/>
      <c r="R281" s="450"/>
      <c r="S281" s="450"/>
      <c r="T281" s="450"/>
      <c r="U281" s="450"/>
      <c r="V281" s="450"/>
      <c r="W281" s="450"/>
      <c r="X281" s="450"/>
      <c r="Y281" s="450"/>
      <c r="Z281" s="450"/>
      <c r="AA281" s="450"/>
      <c r="AB281" s="450"/>
      <c r="AC281" s="450"/>
      <c r="AD281" s="450"/>
      <c r="AE281" s="450"/>
      <c r="AF281" s="450"/>
      <c r="AG281" s="450"/>
      <c r="AH281" s="450"/>
      <c r="AI281" s="450"/>
      <c r="AJ281" s="450"/>
      <c r="AK281" s="450"/>
      <c r="AL281" s="450"/>
      <c r="AM281" s="450"/>
      <c r="AN281" s="450"/>
      <c r="AO281" s="450"/>
      <c r="AP281" s="450"/>
      <c r="AQ281" s="450"/>
      <c r="AR281" s="450"/>
      <c r="AS281" s="450"/>
      <c r="AT281" s="450"/>
      <c r="AU281" s="450"/>
      <c r="AV281" s="450"/>
      <c r="AW281" s="450"/>
      <c r="AX281" s="450"/>
      <c r="AY281" s="450"/>
      <c r="AZ281" s="450"/>
      <c r="BA281" s="450"/>
      <c r="BB281" s="450"/>
      <c r="BC281" s="450"/>
      <c r="BD281" s="450"/>
      <c r="BE281" s="450"/>
      <c r="BF281" s="450"/>
      <c r="BG281" s="450"/>
      <c r="BH281" s="450"/>
      <c r="BI281" s="450"/>
      <c r="BJ281" s="450"/>
      <c r="BK281" s="450"/>
      <c r="BL281" s="450"/>
      <c r="BM281" s="450"/>
      <c r="BN281" s="450"/>
      <c r="BO281" s="450"/>
      <c r="BP281" s="450"/>
      <c r="BQ281" s="450"/>
      <c r="BR281" s="450"/>
      <c r="BS281" s="450"/>
      <c r="BT281" s="450"/>
      <c r="BU281" s="450"/>
      <c r="BV281" s="450"/>
      <c r="BW281" s="450"/>
      <c r="BX281" s="450"/>
      <c r="BY281" s="450"/>
      <c r="BZ281" s="450"/>
      <c r="CA281" s="450"/>
      <c r="CB281" s="450"/>
      <c r="CC281" s="450"/>
      <c r="CD281" s="450"/>
      <c r="CE281" s="450"/>
      <c r="CF281" s="450"/>
      <c r="CG281" s="450"/>
      <c r="CH281" s="450"/>
    </row>
    <row r="282">
      <c r="A282" s="450"/>
      <c r="B282" s="498"/>
      <c r="C282" s="455"/>
      <c r="D282" s="450"/>
      <c r="E282" s="450"/>
      <c r="F282" s="450"/>
      <c r="G282" s="450"/>
      <c r="H282" s="450"/>
      <c r="I282" s="450"/>
      <c r="J282" s="450"/>
      <c r="K282" s="450"/>
      <c r="L282" s="450"/>
      <c r="M282" s="450"/>
      <c r="N282" s="450"/>
      <c r="O282" s="450"/>
      <c r="P282" s="450"/>
      <c r="Q282" s="450"/>
      <c r="R282" s="450"/>
      <c r="S282" s="450"/>
      <c r="T282" s="450"/>
      <c r="U282" s="450"/>
      <c r="V282" s="450"/>
      <c r="W282" s="450"/>
      <c r="X282" s="450"/>
      <c r="Y282" s="450"/>
      <c r="Z282" s="450"/>
      <c r="AA282" s="450"/>
      <c r="AB282" s="450"/>
      <c r="AC282" s="450"/>
      <c r="AD282" s="450"/>
      <c r="AE282" s="450"/>
      <c r="AF282" s="450"/>
      <c r="AG282" s="450"/>
      <c r="AH282" s="450"/>
      <c r="AI282" s="450"/>
      <c r="AJ282" s="450"/>
      <c r="AK282" s="450"/>
      <c r="AL282" s="450"/>
      <c r="AM282" s="450"/>
      <c r="AN282" s="450"/>
      <c r="AO282" s="450"/>
      <c r="AP282" s="450"/>
      <c r="AQ282" s="450"/>
      <c r="AR282" s="450"/>
      <c r="AS282" s="450"/>
      <c r="AT282" s="450"/>
      <c r="AU282" s="450"/>
      <c r="AV282" s="450"/>
      <c r="AW282" s="450"/>
      <c r="AX282" s="450"/>
      <c r="AY282" s="450"/>
      <c r="AZ282" s="450"/>
      <c r="BA282" s="450"/>
      <c r="BB282" s="450"/>
      <c r="BC282" s="450"/>
      <c r="BD282" s="450"/>
      <c r="BE282" s="450"/>
      <c r="BF282" s="450"/>
      <c r="BG282" s="450"/>
      <c r="BH282" s="450"/>
      <c r="BI282" s="450"/>
      <c r="BJ282" s="450"/>
      <c r="BK282" s="450"/>
      <c r="BL282" s="450"/>
      <c r="BM282" s="450"/>
      <c r="BN282" s="450"/>
      <c r="BO282" s="450"/>
      <c r="BP282" s="450"/>
      <c r="BQ282" s="450"/>
      <c r="BR282" s="450"/>
      <c r="BS282" s="450"/>
      <c r="BT282" s="450"/>
      <c r="BU282" s="450"/>
      <c r="BV282" s="450"/>
      <c r="BW282" s="450"/>
      <c r="BX282" s="450"/>
      <c r="BY282" s="450"/>
      <c r="BZ282" s="450"/>
      <c r="CA282" s="450"/>
      <c r="CB282" s="450"/>
      <c r="CC282" s="450"/>
      <c r="CD282" s="450"/>
      <c r="CE282" s="450"/>
      <c r="CF282" s="450"/>
      <c r="CG282" s="450"/>
      <c r="CH282" s="450"/>
    </row>
    <row r="283">
      <c r="A283" s="450"/>
      <c r="B283" s="498"/>
      <c r="C283" s="455"/>
      <c r="D283" s="450"/>
      <c r="E283" s="450"/>
      <c r="F283" s="450"/>
      <c r="G283" s="450"/>
      <c r="H283" s="450"/>
      <c r="I283" s="450"/>
      <c r="J283" s="450"/>
      <c r="K283" s="450"/>
      <c r="L283" s="450"/>
      <c r="M283" s="450"/>
      <c r="N283" s="450"/>
      <c r="O283" s="450"/>
      <c r="P283" s="450"/>
      <c r="Q283" s="450"/>
      <c r="R283" s="450"/>
      <c r="S283" s="450"/>
      <c r="T283" s="450"/>
      <c r="U283" s="450"/>
      <c r="V283" s="450"/>
      <c r="W283" s="450"/>
      <c r="X283" s="450"/>
      <c r="Y283" s="450"/>
      <c r="Z283" s="450"/>
      <c r="AA283" s="450"/>
      <c r="AB283" s="450"/>
      <c r="AC283" s="450"/>
      <c r="AD283" s="450"/>
      <c r="AE283" s="450"/>
      <c r="AF283" s="450"/>
      <c r="AG283" s="450"/>
      <c r="AH283" s="450"/>
      <c r="AI283" s="450"/>
      <c r="AJ283" s="450"/>
      <c r="AK283" s="450"/>
      <c r="AL283" s="450"/>
      <c r="AM283" s="450"/>
      <c r="AN283" s="450"/>
      <c r="AO283" s="450"/>
      <c r="AP283" s="450"/>
      <c r="AQ283" s="450"/>
      <c r="AR283" s="450"/>
      <c r="AS283" s="450"/>
      <c r="AT283" s="450"/>
      <c r="AU283" s="450"/>
      <c r="AV283" s="450"/>
      <c r="AW283" s="450"/>
      <c r="AX283" s="450"/>
      <c r="AY283" s="450"/>
      <c r="AZ283" s="450"/>
      <c r="BA283" s="450"/>
      <c r="BB283" s="450"/>
      <c r="BC283" s="450"/>
      <c r="BD283" s="450"/>
      <c r="BE283" s="450"/>
      <c r="BF283" s="450"/>
      <c r="BG283" s="450"/>
      <c r="BH283" s="450"/>
      <c r="BI283" s="450"/>
      <c r="BJ283" s="450"/>
      <c r="BK283" s="450"/>
      <c r="BL283" s="450"/>
      <c r="BM283" s="450"/>
      <c r="BN283" s="450"/>
      <c r="BO283" s="450"/>
      <c r="BP283" s="450"/>
      <c r="BQ283" s="450"/>
      <c r="BR283" s="450"/>
      <c r="BS283" s="450"/>
      <c r="BT283" s="450"/>
      <c r="BU283" s="450"/>
      <c r="BV283" s="450"/>
      <c r="BW283" s="450"/>
      <c r="BX283" s="450"/>
      <c r="BY283" s="450"/>
      <c r="BZ283" s="450"/>
      <c r="CA283" s="450"/>
      <c r="CB283" s="450"/>
      <c r="CC283" s="450"/>
      <c r="CD283" s="450"/>
      <c r="CE283" s="450"/>
      <c r="CF283" s="450"/>
      <c r="CG283" s="450"/>
      <c r="CH283" s="450"/>
    </row>
    <row r="284">
      <c r="A284" s="450"/>
      <c r="B284" s="498"/>
      <c r="C284" s="455"/>
      <c r="D284" s="450"/>
      <c r="E284" s="450"/>
      <c r="F284" s="450"/>
      <c r="G284" s="450"/>
      <c r="H284" s="450"/>
      <c r="I284" s="450"/>
      <c r="J284" s="450"/>
      <c r="K284" s="450"/>
      <c r="L284" s="450"/>
      <c r="M284" s="450"/>
      <c r="N284" s="450"/>
      <c r="O284" s="450"/>
      <c r="P284" s="450"/>
      <c r="Q284" s="450"/>
      <c r="R284" s="450"/>
      <c r="S284" s="450"/>
      <c r="T284" s="450"/>
      <c r="U284" s="450"/>
      <c r="V284" s="450"/>
      <c r="W284" s="450"/>
      <c r="X284" s="450"/>
      <c r="Y284" s="450"/>
      <c r="Z284" s="450"/>
      <c r="AA284" s="450"/>
      <c r="AB284" s="450"/>
      <c r="AC284" s="450"/>
      <c r="AD284" s="450"/>
      <c r="AE284" s="450"/>
      <c r="AF284" s="450"/>
      <c r="AG284" s="450"/>
      <c r="AH284" s="450"/>
      <c r="AI284" s="450"/>
      <c r="AJ284" s="450"/>
      <c r="AK284" s="450"/>
      <c r="AL284" s="450"/>
      <c r="AM284" s="450"/>
      <c r="AN284" s="450"/>
      <c r="AO284" s="450"/>
      <c r="AP284" s="450"/>
      <c r="AQ284" s="450"/>
      <c r="AR284" s="450"/>
      <c r="AS284" s="450"/>
      <c r="AT284" s="450"/>
      <c r="AU284" s="450"/>
      <c r="AV284" s="450"/>
      <c r="AW284" s="450"/>
      <c r="AX284" s="450"/>
      <c r="AY284" s="450"/>
      <c r="AZ284" s="450"/>
      <c r="BA284" s="450"/>
      <c r="BB284" s="450"/>
      <c r="BC284" s="450"/>
      <c r="BD284" s="450"/>
      <c r="BE284" s="450"/>
      <c r="BF284" s="450"/>
      <c r="BG284" s="450"/>
      <c r="BH284" s="450"/>
      <c r="BI284" s="450"/>
      <c r="BJ284" s="450"/>
      <c r="BK284" s="450"/>
      <c r="BL284" s="450"/>
      <c r="BM284" s="450"/>
      <c r="BN284" s="450"/>
      <c r="BO284" s="450"/>
      <c r="BP284" s="450"/>
      <c r="BQ284" s="450"/>
      <c r="BR284" s="450"/>
      <c r="BS284" s="450"/>
      <c r="BT284" s="450"/>
      <c r="BU284" s="450"/>
      <c r="BV284" s="450"/>
      <c r="BW284" s="450"/>
      <c r="BX284" s="450"/>
      <c r="BY284" s="450"/>
      <c r="BZ284" s="450"/>
      <c r="CA284" s="450"/>
      <c r="CB284" s="450"/>
      <c r="CC284" s="450"/>
      <c r="CD284" s="450"/>
      <c r="CE284" s="450"/>
      <c r="CF284" s="450"/>
      <c r="CG284" s="450"/>
      <c r="CH284" s="450"/>
    </row>
    <row r="285">
      <c r="A285" s="450"/>
      <c r="B285" s="498"/>
      <c r="C285" s="455"/>
      <c r="D285" s="450"/>
      <c r="E285" s="450"/>
      <c r="F285" s="450"/>
      <c r="G285" s="450"/>
      <c r="H285" s="450"/>
      <c r="I285" s="450"/>
      <c r="J285" s="450"/>
      <c r="K285" s="450"/>
      <c r="L285" s="450"/>
      <c r="M285" s="450"/>
      <c r="N285" s="450"/>
      <c r="O285" s="450"/>
      <c r="P285" s="450"/>
      <c r="Q285" s="450"/>
      <c r="R285" s="450"/>
      <c r="S285" s="450"/>
      <c r="T285" s="450"/>
      <c r="U285" s="450"/>
      <c r="V285" s="450"/>
      <c r="W285" s="450"/>
      <c r="X285" s="450"/>
      <c r="Y285" s="450"/>
      <c r="Z285" s="450"/>
      <c r="AA285" s="450"/>
      <c r="AB285" s="450"/>
      <c r="AC285" s="450"/>
      <c r="AD285" s="450"/>
      <c r="AE285" s="450"/>
      <c r="AF285" s="450"/>
      <c r="AG285" s="450"/>
      <c r="AH285" s="450"/>
      <c r="AI285" s="450"/>
      <c r="AJ285" s="450"/>
      <c r="AK285" s="450"/>
      <c r="AL285" s="450"/>
      <c r="AM285" s="450"/>
      <c r="AN285" s="450"/>
      <c r="AO285" s="450"/>
      <c r="AP285" s="450"/>
      <c r="AQ285" s="450"/>
      <c r="AR285" s="450"/>
      <c r="AS285" s="450"/>
      <c r="AT285" s="450"/>
      <c r="AU285" s="450"/>
      <c r="AV285" s="450"/>
      <c r="AW285" s="450"/>
      <c r="AX285" s="450"/>
      <c r="AY285" s="450"/>
      <c r="AZ285" s="450"/>
      <c r="BA285" s="450"/>
      <c r="BB285" s="450"/>
      <c r="BC285" s="450"/>
      <c r="BD285" s="450"/>
      <c r="BE285" s="450"/>
      <c r="BF285" s="450"/>
      <c r="BG285" s="450"/>
      <c r="BH285" s="450"/>
      <c r="BI285" s="450"/>
      <c r="BJ285" s="450"/>
      <c r="BK285" s="450"/>
      <c r="BL285" s="450"/>
      <c r="BM285" s="450"/>
      <c r="BN285" s="450"/>
      <c r="BO285" s="450"/>
      <c r="BP285" s="450"/>
      <c r="BQ285" s="450"/>
      <c r="BR285" s="450"/>
      <c r="BS285" s="450"/>
      <c r="BT285" s="450"/>
      <c r="BU285" s="450"/>
      <c r="BV285" s="450"/>
      <c r="BW285" s="450"/>
      <c r="BX285" s="450"/>
      <c r="BY285" s="450"/>
      <c r="BZ285" s="450"/>
      <c r="CA285" s="450"/>
      <c r="CB285" s="450"/>
      <c r="CC285" s="450"/>
      <c r="CD285" s="450"/>
      <c r="CE285" s="450"/>
      <c r="CF285" s="450"/>
      <c r="CG285" s="450"/>
      <c r="CH285" s="450"/>
    </row>
    <row r="286">
      <c r="A286" s="450"/>
      <c r="B286" s="498"/>
      <c r="C286" s="455"/>
      <c r="D286" s="450"/>
      <c r="E286" s="450"/>
      <c r="F286" s="450"/>
      <c r="G286" s="450"/>
      <c r="H286" s="450"/>
      <c r="I286" s="450"/>
      <c r="J286" s="450"/>
      <c r="K286" s="450"/>
      <c r="L286" s="450"/>
      <c r="M286" s="450"/>
      <c r="N286" s="450"/>
      <c r="O286" s="450"/>
      <c r="P286" s="450"/>
      <c r="Q286" s="450"/>
      <c r="R286" s="450"/>
      <c r="S286" s="450"/>
      <c r="T286" s="450"/>
      <c r="U286" s="450"/>
      <c r="V286" s="450"/>
      <c r="W286" s="450"/>
      <c r="X286" s="450"/>
      <c r="Y286" s="450"/>
      <c r="Z286" s="450"/>
      <c r="AA286" s="450"/>
      <c r="AB286" s="450"/>
      <c r="AC286" s="450"/>
      <c r="AD286" s="450"/>
      <c r="AE286" s="450"/>
      <c r="AF286" s="450"/>
      <c r="AG286" s="450"/>
      <c r="AH286" s="450"/>
      <c r="AI286" s="450"/>
      <c r="AJ286" s="450"/>
      <c r="AK286" s="450"/>
      <c r="AL286" s="450"/>
      <c r="AM286" s="450"/>
      <c r="AN286" s="450"/>
      <c r="AO286" s="450"/>
      <c r="AP286" s="450"/>
      <c r="AQ286" s="450"/>
      <c r="AR286" s="450"/>
      <c r="AS286" s="450"/>
      <c r="AT286" s="450"/>
      <c r="AU286" s="450"/>
      <c r="AV286" s="450"/>
      <c r="AW286" s="450"/>
      <c r="AX286" s="450"/>
      <c r="AY286" s="450"/>
      <c r="AZ286" s="450"/>
      <c r="BA286" s="450"/>
      <c r="BB286" s="450"/>
      <c r="BC286" s="450"/>
      <c r="BD286" s="450"/>
      <c r="BE286" s="450"/>
      <c r="BF286" s="450"/>
      <c r="BG286" s="450"/>
      <c r="BH286" s="450"/>
      <c r="BI286" s="450"/>
      <c r="BJ286" s="450"/>
      <c r="BK286" s="450"/>
      <c r="BL286" s="450"/>
      <c r="BM286" s="450"/>
      <c r="BN286" s="450"/>
      <c r="BO286" s="450"/>
      <c r="BP286" s="450"/>
      <c r="BQ286" s="450"/>
      <c r="BR286" s="450"/>
      <c r="BS286" s="450"/>
      <c r="BT286" s="450"/>
      <c r="BU286" s="450"/>
      <c r="BV286" s="450"/>
      <c r="BW286" s="450"/>
      <c r="BX286" s="450"/>
      <c r="BY286" s="450"/>
      <c r="BZ286" s="450"/>
      <c r="CA286" s="450"/>
      <c r="CB286" s="450"/>
      <c r="CC286" s="450"/>
      <c r="CD286" s="450"/>
      <c r="CE286" s="450"/>
      <c r="CF286" s="450"/>
      <c r="CG286" s="450"/>
      <c r="CH286" s="450"/>
    </row>
    <row r="287">
      <c r="A287" s="450"/>
      <c r="B287" s="498"/>
      <c r="C287" s="455"/>
      <c r="D287" s="450"/>
      <c r="E287" s="450"/>
      <c r="F287" s="450"/>
      <c r="G287" s="450"/>
      <c r="H287" s="450"/>
      <c r="I287" s="450"/>
      <c r="J287" s="450"/>
      <c r="K287" s="450"/>
      <c r="L287" s="450"/>
      <c r="M287" s="450"/>
      <c r="N287" s="450"/>
      <c r="O287" s="450"/>
      <c r="P287" s="450"/>
      <c r="Q287" s="450"/>
      <c r="R287" s="450"/>
      <c r="S287" s="450"/>
      <c r="T287" s="450"/>
      <c r="U287" s="450"/>
      <c r="V287" s="450"/>
      <c r="W287" s="450"/>
      <c r="X287" s="450"/>
      <c r="Y287" s="450"/>
      <c r="Z287" s="450"/>
      <c r="AA287" s="450"/>
      <c r="AB287" s="450"/>
      <c r="AC287" s="450"/>
      <c r="AD287" s="450"/>
      <c r="AE287" s="450"/>
      <c r="AF287" s="450"/>
      <c r="AG287" s="450"/>
      <c r="AH287" s="450"/>
      <c r="AI287" s="450"/>
      <c r="AJ287" s="450"/>
      <c r="AK287" s="450"/>
      <c r="AL287" s="450"/>
      <c r="AM287" s="450"/>
      <c r="AN287" s="450"/>
      <c r="AO287" s="450"/>
      <c r="AP287" s="450"/>
      <c r="AQ287" s="450"/>
      <c r="AR287" s="450"/>
      <c r="AS287" s="450"/>
      <c r="AT287" s="450"/>
      <c r="AU287" s="450"/>
      <c r="AV287" s="450"/>
      <c r="AW287" s="450"/>
      <c r="AX287" s="450"/>
      <c r="AY287" s="450"/>
      <c r="AZ287" s="450"/>
      <c r="BA287" s="450"/>
      <c r="BB287" s="450"/>
      <c r="BC287" s="450"/>
      <c r="BD287" s="450"/>
      <c r="BE287" s="450"/>
      <c r="BF287" s="450"/>
      <c r="BG287" s="450"/>
      <c r="BH287" s="450"/>
      <c r="BI287" s="450"/>
      <c r="BJ287" s="450"/>
      <c r="BK287" s="450"/>
      <c r="BL287" s="450"/>
      <c r="BM287" s="450"/>
      <c r="BN287" s="450"/>
      <c r="BO287" s="450"/>
      <c r="BP287" s="450"/>
      <c r="BQ287" s="450"/>
      <c r="BR287" s="450"/>
      <c r="BS287" s="450"/>
      <c r="BT287" s="450"/>
      <c r="BU287" s="450"/>
      <c r="BV287" s="450"/>
      <c r="BW287" s="450"/>
      <c r="BX287" s="450"/>
      <c r="BY287" s="450"/>
      <c r="BZ287" s="450"/>
      <c r="CA287" s="450"/>
      <c r="CB287" s="450"/>
      <c r="CC287" s="450"/>
      <c r="CD287" s="450"/>
      <c r="CE287" s="450"/>
      <c r="CF287" s="450"/>
      <c r="CG287" s="450"/>
      <c r="CH287" s="450"/>
    </row>
    <row r="288">
      <c r="A288" s="450"/>
      <c r="B288" s="498"/>
      <c r="C288" s="455"/>
      <c r="D288" s="450"/>
      <c r="E288" s="450"/>
      <c r="F288" s="450"/>
      <c r="G288" s="450"/>
      <c r="H288" s="450"/>
      <c r="I288" s="450"/>
      <c r="J288" s="450"/>
      <c r="K288" s="450"/>
      <c r="L288" s="450"/>
      <c r="M288" s="450"/>
      <c r="N288" s="450"/>
      <c r="O288" s="450"/>
      <c r="P288" s="450"/>
      <c r="Q288" s="450"/>
      <c r="R288" s="450"/>
      <c r="S288" s="450"/>
      <c r="T288" s="450"/>
      <c r="U288" s="450"/>
      <c r="V288" s="450"/>
      <c r="W288" s="450"/>
      <c r="X288" s="450"/>
      <c r="Y288" s="450"/>
      <c r="Z288" s="450"/>
      <c r="AA288" s="450"/>
      <c r="AB288" s="450"/>
      <c r="AC288" s="450"/>
      <c r="AD288" s="450"/>
      <c r="AE288" s="450"/>
      <c r="AF288" s="450"/>
      <c r="AG288" s="450"/>
      <c r="AH288" s="450"/>
      <c r="AI288" s="450"/>
      <c r="AJ288" s="450"/>
      <c r="AK288" s="450"/>
      <c r="AL288" s="450"/>
      <c r="AM288" s="450"/>
      <c r="AN288" s="450"/>
      <c r="AO288" s="450"/>
      <c r="AP288" s="450"/>
      <c r="AQ288" s="450"/>
      <c r="AR288" s="450"/>
      <c r="AS288" s="450"/>
      <c r="AT288" s="450"/>
      <c r="AU288" s="450"/>
      <c r="AV288" s="450"/>
      <c r="AW288" s="450"/>
      <c r="AX288" s="450"/>
      <c r="AY288" s="450"/>
      <c r="AZ288" s="450"/>
      <c r="BA288" s="450"/>
      <c r="BB288" s="450"/>
      <c r="BC288" s="450"/>
      <c r="BD288" s="450"/>
      <c r="BE288" s="450"/>
      <c r="BF288" s="450"/>
      <c r="BG288" s="450"/>
      <c r="BH288" s="450"/>
      <c r="BI288" s="450"/>
      <c r="BJ288" s="450"/>
      <c r="BK288" s="450"/>
      <c r="BL288" s="450"/>
      <c r="BM288" s="450"/>
      <c r="BN288" s="450"/>
      <c r="BO288" s="450"/>
      <c r="BP288" s="450"/>
      <c r="BQ288" s="450"/>
      <c r="BR288" s="450"/>
      <c r="BS288" s="450"/>
      <c r="BT288" s="450"/>
      <c r="BU288" s="450"/>
      <c r="BV288" s="450"/>
      <c r="BW288" s="450"/>
      <c r="BX288" s="450"/>
      <c r="BY288" s="450"/>
      <c r="BZ288" s="450"/>
      <c r="CA288" s="450"/>
      <c r="CB288" s="450"/>
      <c r="CC288" s="450"/>
      <c r="CD288" s="450"/>
      <c r="CE288" s="450"/>
      <c r="CF288" s="450"/>
      <c r="CG288" s="450"/>
      <c r="CH288" s="450"/>
    </row>
    <row r="289">
      <c r="A289" s="450"/>
      <c r="B289" s="498"/>
      <c r="C289" s="455"/>
      <c r="D289" s="450"/>
      <c r="E289" s="450"/>
      <c r="F289" s="450"/>
      <c r="G289" s="450"/>
      <c r="H289" s="450"/>
      <c r="I289" s="450"/>
      <c r="J289" s="450"/>
      <c r="K289" s="450"/>
      <c r="L289" s="450"/>
      <c r="M289" s="450"/>
      <c r="N289" s="450"/>
      <c r="O289" s="450"/>
      <c r="P289" s="450"/>
      <c r="Q289" s="450"/>
      <c r="R289" s="450"/>
      <c r="S289" s="450"/>
      <c r="T289" s="450"/>
      <c r="U289" s="450"/>
      <c r="V289" s="450"/>
      <c r="W289" s="450"/>
      <c r="X289" s="450"/>
      <c r="Y289" s="450"/>
      <c r="Z289" s="450"/>
      <c r="AA289" s="450"/>
      <c r="AB289" s="450"/>
      <c r="AC289" s="450"/>
      <c r="AD289" s="450"/>
      <c r="AE289" s="450"/>
      <c r="AF289" s="450"/>
      <c r="AG289" s="450"/>
      <c r="AH289" s="450"/>
      <c r="AI289" s="450"/>
      <c r="AJ289" s="450"/>
      <c r="AK289" s="450"/>
      <c r="AL289" s="450"/>
      <c r="AM289" s="450"/>
      <c r="AN289" s="450"/>
      <c r="AO289" s="450"/>
      <c r="AP289" s="450"/>
      <c r="AQ289" s="450"/>
      <c r="AR289" s="450"/>
      <c r="AS289" s="450"/>
      <c r="AT289" s="450"/>
      <c r="AU289" s="450"/>
      <c r="AV289" s="450"/>
      <c r="AW289" s="450"/>
      <c r="AX289" s="450"/>
      <c r="AY289" s="450"/>
      <c r="AZ289" s="450"/>
      <c r="BA289" s="450"/>
      <c r="BB289" s="450"/>
      <c r="BC289" s="450"/>
      <c r="BD289" s="450"/>
      <c r="BE289" s="450"/>
      <c r="BF289" s="450"/>
      <c r="BG289" s="450"/>
      <c r="BH289" s="450"/>
      <c r="BI289" s="450"/>
      <c r="BJ289" s="450"/>
      <c r="BK289" s="450"/>
      <c r="BL289" s="450"/>
      <c r="BM289" s="450"/>
      <c r="BN289" s="450"/>
      <c r="BO289" s="450"/>
      <c r="BP289" s="450"/>
      <c r="BQ289" s="450"/>
      <c r="BR289" s="450"/>
      <c r="BS289" s="450"/>
      <c r="BT289" s="450"/>
      <c r="BU289" s="450"/>
      <c r="BV289" s="450"/>
      <c r="BW289" s="450"/>
      <c r="BX289" s="450"/>
      <c r="BY289" s="450"/>
      <c r="BZ289" s="450"/>
      <c r="CA289" s="450"/>
      <c r="CB289" s="450"/>
      <c r="CC289" s="450"/>
      <c r="CD289" s="450"/>
      <c r="CE289" s="450"/>
      <c r="CF289" s="450"/>
      <c r="CG289" s="450"/>
      <c r="CH289" s="450"/>
    </row>
    <row r="290">
      <c r="A290" s="450"/>
      <c r="B290" s="498"/>
      <c r="C290" s="455"/>
      <c r="D290" s="450"/>
      <c r="E290" s="450"/>
      <c r="F290" s="450"/>
      <c r="G290" s="450"/>
      <c r="H290" s="450"/>
      <c r="I290" s="450"/>
      <c r="J290" s="450"/>
      <c r="K290" s="450"/>
      <c r="L290" s="450"/>
      <c r="M290" s="450"/>
      <c r="N290" s="450"/>
      <c r="O290" s="450"/>
      <c r="P290" s="450"/>
      <c r="Q290" s="450"/>
      <c r="R290" s="450"/>
      <c r="S290" s="450"/>
      <c r="T290" s="450"/>
      <c r="U290" s="450"/>
      <c r="V290" s="450"/>
      <c r="W290" s="450"/>
      <c r="X290" s="450"/>
      <c r="Y290" s="450"/>
      <c r="Z290" s="450"/>
      <c r="AA290" s="450"/>
      <c r="AB290" s="450"/>
      <c r="AC290" s="450"/>
      <c r="AD290" s="450"/>
      <c r="AE290" s="450"/>
      <c r="AF290" s="450"/>
      <c r="AG290" s="450"/>
      <c r="AH290" s="450"/>
      <c r="AI290" s="450"/>
      <c r="AJ290" s="450"/>
      <c r="AK290" s="450"/>
      <c r="AL290" s="450"/>
      <c r="AM290" s="450"/>
      <c r="AN290" s="450"/>
      <c r="AO290" s="450"/>
      <c r="AP290" s="450"/>
      <c r="AQ290" s="450"/>
      <c r="AR290" s="450"/>
      <c r="AS290" s="450"/>
      <c r="AT290" s="450"/>
      <c r="AU290" s="450"/>
      <c r="AV290" s="450"/>
      <c r="AW290" s="450"/>
      <c r="AX290" s="450"/>
      <c r="AY290" s="450"/>
      <c r="AZ290" s="450"/>
      <c r="BA290" s="450"/>
      <c r="BB290" s="450"/>
      <c r="BC290" s="450"/>
      <c r="BD290" s="450"/>
      <c r="BE290" s="450"/>
      <c r="BF290" s="450"/>
      <c r="BG290" s="450"/>
      <c r="BH290" s="450"/>
      <c r="BI290" s="450"/>
      <c r="BJ290" s="450"/>
      <c r="BK290" s="450"/>
      <c r="BL290" s="450"/>
      <c r="BM290" s="450"/>
      <c r="BN290" s="450"/>
      <c r="BO290" s="450"/>
      <c r="BP290" s="450"/>
      <c r="BQ290" s="450"/>
      <c r="BR290" s="450"/>
      <c r="BS290" s="450"/>
      <c r="BT290" s="450"/>
      <c r="BU290" s="450"/>
      <c r="BV290" s="450"/>
      <c r="BW290" s="450"/>
      <c r="BX290" s="450"/>
      <c r="BY290" s="450"/>
      <c r="BZ290" s="450"/>
      <c r="CA290" s="450"/>
      <c r="CB290" s="450"/>
      <c r="CC290" s="450"/>
      <c r="CD290" s="450"/>
      <c r="CE290" s="450"/>
      <c r="CF290" s="450"/>
      <c r="CG290" s="450"/>
      <c r="CH290" s="450"/>
    </row>
    <row r="291">
      <c r="A291" s="450"/>
      <c r="B291" s="498"/>
      <c r="C291" s="455"/>
      <c r="D291" s="450"/>
      <c r="E291" s="450"/>
      <c r="F291" s="450"/>
      <c r="G291" s="450"/>
      <c r="H291" s="450"/>
      <c r="I291" s="450"/>
      <c r="J291" s="450"/>
      <c r="K291" s="450"/>
      <c r="L291" s="450"/>
      <c r="M291" s="450"/>
      <c r="N291" s="450"/>
      <c r="O291" s="450"/>
      <c r="P291" s="450"/>
      <c r="Q291" s="450"/>
      <c r="R291" s="450"/>
      <c r="S291" s="450"/>
      <c r="T291" s="450"/>
      <c r="U291" s="450"/>
      <c r="V291" s="450"/>
      <c r="W291" s="450"/>
      <c r="X291" s="450"/>
      <c r="Y291" s="450"/>
      <c r="Z291" s="450"/>
      <c r="AA291" s="450"/>
      <c r="AB291" s="450"/>
      <c r="AC291" s="450"/>
      <c r="AD291" s="450"/>
      <c r="AE291" s="450"/>
      <c r="AF291" s="450"/>
      <c r="AG291" s="450"/>
      <c r="AH291" s="450"/>
      <c r="AI291" s="450"/>
      <c r="AJ291" s="450"/>
      <c r="AK291" s="450"/>
      <c r="AL291" s="450"/>
      <c r="AM291" s="450"/>
      <c r="AN291" s="450"/>
      <c r="AO291" s="450"/>
      <c r="AP291" s="450"/>
      <c r="AQ291" s="450"/>
      <c r="AR291" s="450"/>
      <c r="AS291" s="450"/>
      <c r="AT291" s="450"/>
      <c r="AU291" s="450"/>
      <c r="AV291" s="450"/>
      <c r="AW291" s="450"/>
      <c r="AX291" s="450"/>
      <c r="AY291" s="450"/>
      <c r="AZ291" s="450"/>
      <c r="BA291" s="450"/>
      <c r="BB291" s="450"/>
      <c r="BC291" s="450"/>
      <c r="BD291" s="450"/>
      <c r="BE291" s="450"/>
      <c r="BF291" s="450"/>
      <c r="BG291" s="450"/>
      <c r="BH291" s="450"/>
      <c r="BI291" s="450"/>
      <c r="BJ291" s="450"/>
      <c r="BK291" s="450"/>
      <c r="BL291" s="450"/>
      <c r="BM291" s="450"/>
      <c r="BN291" s="450"/>
      <c r="BO291" s="450"/>
      <c r="BP291" s="450"/>
      <c r="BQ291" s="450"/>
      <c r="BR291" s="450"/>
      <c r="BS291" s="450"/>
      <c r="BT291" s="450"/>
      <c r="BU291" s="450"/>
      <c r="BV291" s="450"/>
      <c r="BW291" s="450"/>
      <c r="BX291" s="450"/>
      <c r="BY291" s="450"/>
      <c r="BZ291" s="450"/>
      <c r="CA291" s="450"/>
      <c r="CB291" s="450"/>
      <c r="CC291" s="450"/>
      <c r="CD291" s="450"/>
      <c r="CE291" s="450"/>
      <c r="CF291" s="450"/>
      <c r="CG291" s="450"/>
      <c r="CH291" s="450"/>
    </row>
    <row r="292">
      <c r="A292" s="450"/>
      <c r="B292" s="498"/>
      <c r="C292" s="455"/>
      <c r="D292" s="450"/>
      <c r="E292" s="450"/>
      <c r="F292" s="450"/>
      <c r="G292" s="450"/>
      <c r="H292" s="450"/>
      <c r="I292" s="450"/>
      <c r="J292" s="450"/>
      <c r="K292" s="450"/>
      <c r="L292" s="450"/>
      <c r="M292" s="450"/>
      <c r="N292" s="450"/>
      <c r="O292" s="450"/>
      <c r="P292" s="450"/>
      <c r="Q292" s="450"/>
      <c r="R292" s="450"/>
      <c r="S292" s="450"/>
      <c r="T292" s="450"/>
      <c r="U292" s="450"/>
      <c r="V292" s="450"/>
      <c r="W292" s="450"/>
      <c r="X292" s="450"/>
      <c r="Y292" s="450"/>
      <c r="Z292" s="450"/>
      <c r="AA292" s="450"/>
      <c r="AB292" s="450"/>
      <c r="AC292" s="450"/>
      <c r="AD292" s="450"/>
      <c r="AE292" s="450"/>
      <c r="AF292" s="450"/>
      <c r="AG292" s="450"/>
      <c r="AH292" s="450"/>
      <c r="AI292" s="450"/>
      <c r="AJ292" s="450"/>
      <c r="AK292" s="450"/>
      <c r="AL292" s="450"/>
      <c r="AM292" s="450"/>
      <c r="AN292" s="450"/>
      <c r="AO292" s="450"/>
      <c r="AP292" s="450"/>
      <c r="AQ292" s="450"/>
      <c r="AR292" s="450"/>
      <c r="AS292" s="450"/>
      <c r="AT292" s="450"/>
      <c r="AU292" s="450"/>
      <c r="AV292" s="450"/>
      <c r="AW292" s="450"/>
      <c r="AX292" s="450"/>
      <c r="AY292" s="450"/>
      <c r="AZ292" s="450"/>
      <c r="BA292" s="450"/>
      <c r="BB292" s="450"/>
      <c r="BC292" s="450"/>
      <c r="BD292" s="450"/>
      <c r="BE292" s="450"/>
      <c r="BF292" s="450"/>
      <c r="BG292" s="450"/>
      <c r="BH292" s="450"/>
      <c r="BI292" s="450"/>
      <c r="BJ292" s="450"/>
      <c r="BK292" s="450"/>
      <c r="BL292" s="450"/>
      <c r="BM292" s="450"/>
      <c r="BN292" s="450"/>
      <c r="BO292" s="450"/>
      <c r="BP292" s="450"/>
      <c r="BQ292" s="450"/>
      <c r="BR292" s="450"/>
      <c r="BS292" s="450"/>
      <c r="BT292" s="450"/>
      <c r="BU292" s="450"/>
      <c r="BV292" s="450"/>
      <c r="BW292" s="450"/>
      <c r="BX292" s="450"/>
      <c r="BY292" s="450"/>
      <c r="BZ292" s="450"/>
      <c r="CA292" s="450"/>
      <c r="CB292" s="450"/>
      <c r="CC292" s="450"/>
      <c r="CD292" s="450"/>
      <c r="CE292" s="450"/>
      <c r="CF292" s="450"/>
      <c r="CG292" s="450"/>
      <c r="CH292" s="450"/>
    </row>
    <row r="293">
      <c r="A293" s="450"/>
      <c r="B293" s="498"/>
      <c r="C293" s="455"/>
      <c r="D293" s="450"/>
      <c r="E293" s="450"/>
      <c r="F293" s="450"/>
      <c r="G293" s="450"/>
      <c r="H293" s="450"/>
      <c r="I293" s="450"/>
      <c r="J293" s="450"/>
      <c r="K293" s="450"/>
      <c r="L293" s="450"/>
      <c r="M293" s="450"/>
      <c r="N293" s="450"/>
      <c r="O293" s="450"/>
      <c r="P293" s="450"/>
      <c r="Q293" s="450"/>
      <c r="R293" s="450"/>
      <c r="S293" s="450"/>
      <c r="T293" s="450"/>
      <c r="U293" s="450"/>
      <c r="V293" s="450"/>
      <c r="W293" s="450"/>
      <c r="X293" s="450"/>
      <c r="Y293" s="450"/>
      <c r="Z293" s="450"/>
      <c r="AA293" s="450"/>
      <c r="AB293" s="450"/>
      <c r="AC293" s="450"/>
      <c r="AD293" s="450"/>
      <c r="AE293" s="450"/>
      <c r="AF293" s="450"/>
      <c r="AG293" s="450"/>
      <c r="AH293" s="450"/>
      <c r="AI293" s="450"/>
      <c r="AJ293" s="450"/>
      <c r="AK293" s="450"/>
      <c r="AL293" s="450"/>
      <c r="AM293" s="450"/>
      <c r="AN293" s="450"/>
      <c r="AO293" s="450"/>
      <c r="AP293" s="450"/>
      <c r="AQ293" s="450"/>
      <c r="AR293" s="450"/>
      <c r="AS293" s="450"/>
      <c r="AT293" s="450"/>
      <c r="AU293" s="450"/>
      <c r="AV293" s="450"/>
      <c r="AW293" s="450"/>
      <c r="AX293" s="450"/>
      <c r="AY293" s="450"/>
      <c r="AZ293" s="450"/>
      <c r="BA293" s="450"/>
      <c r="BB293" s="450"/>
      <c r="BC293" s="450"/>
      <c r="BD293" s="450"/>
      <c r="BE293" s="450"/>
      <c r="BF293" s="450"/>
      <c r="BG293" s="450"/>
      <c r="BH293" s="450"/>
      <c r="BI293" s="450"/>
      <c r="BJ293" s="450"/>
      <c r="BK293" s="450"/>
      <c r="BL293" s="450"/>
      <c r="BM293" s="450"/>
      <c r="BN293" s="450"/>
      <c r="BO293" s="450"/>
      <c r="BP293" s="450"/>
      <c r="BQ293" s="450"/>
      <c r="BR293" s="450"/>
      <c r="BS293" s="450"/>
      <c r="BT293" s="450"/>
      <c r="BU293" s="450"/>
      <c r="BV293" s="450"/>
      <c r="BW293" s="450"/>
      <c r="BX293" s="450"/>
      <c r="BY293" s="450"/>
      <c r="BZ293" s="450"/>
      <c r="CA293" s="450"/>
      <c r="CB293" s="450"/>
      <c r="CC293" s="450"/>
      <c r="CD293" s="450"/>
      <c r="CE293" s="450"/>
      <c r="CF293" s="450"/>
      <c r="CG293" s="450"/>
      <c r="CH293" s="450"/>
    </row>
    <row r="294">
      <c r="A294" s="450"/>
      <c r="B294" s="498"/>
      <c r="C294" s="455"/>
      <c r="D294" s="450"/>
      <c r="E294" s="450"/>
      <c r="F294" s="450"/>
      <c r="G294" s="450"/>
      <c r="H294" s="450"/>
      <c r="I294" s="450"/>
      <c r="J294" s="450"/>
      <c r="K294" s="450"/>
      <c r="L294" s="450"/>
      <c r="M294" s="450"/>
      <c r="N294" s="450"/>
      <c r="O294" s="450"/>
      <c r="P294" s="450"/>
      <c r="Q294" s="450"/>
      <c r="R294" s="450"/>
      <c r="S294" s="450"/>
      <c r="T294" s="450"/>
      <c r="U294" s="450"/>
      <c r="V294" s="450"/>
      <c r="W294" s="450"/>
      <c r="X294" s="450"/>
      <c r="Y294" s="450"/>
      <c r="Z294" s="450"/>
      <c r="AA294" s="450"/>
      <c r="AB294" s="450"/>
      <c r="AC294" s="450"/>
      <c r="AD294" s="450"/>
      <c r="AE294" s="450"/>
      <c r="AF294" s="450"/>
      <c r="AG294" s="450"/>
      <c r="AH294" s="450"/>
      <c r="AI294" s="450"/>
      <c r="AJ294" s="450"/>
      <c r="AK294" s="450"/>
      <c r="AL294" s="450"/>
      <c r="AM294" s="450"/>
      <c r="AN294" s="450"/>
      <c r="AO294" s="450"/>
      <c r="AP294" s="450"/>
      <c r="AQ294" s="450"/>
      <c r="AR294" s="450"/>
      <c r="AS294" s="450"/>
      <c r="AT294" s="450"/>
      <c r="AU294" s="450"/>
      <c r="AV294" s="450"/>
      <c r="AW294" s="450"/>
      <c r="AX294" s="450"/>
      <c r="AY294" s="450"/>
      <c r="AZ294" s="450"/>
      <c r="BA294" s="450"/>
      <c r="BB294" s="450"/>
      <c r="BC294" s="450"/>
      <c r="BD294" s="450"/>
      <c r="BE294" s="450"/>
      <c r="BF294" s="450"/>
      <c r="BG294" s="450"/>
      <c r="BH294" s="450"/>
      <c r="BI294" s="450"/>
      <c r="BJ294" s="450"/>
      <c r="BK294" s="450"/>
      <c r="BL294" s="450"/>
      <c r="BM294" s="450"/>
      <c r="BN294" s="450"/>
      <c r="BO294" s="450"/>
      <c r="BP294" s="450"/>
      <c r="BQ294" s="450"/>
      <c r="BR294" s="450"/>
      <c r="BS294" s="450"/>
      <c r="BT294" s="450"/>
      <c r="BU294" s="450"/>
      <c r="BV294" s="450"/>
      <c r="BW294" s="450"/>
      <c r="BX294" s="450"/>
      <c r="BY294" s="450"/>
      <c r="BZ294" s="450"/>
      <c r="CA294" s="450"/>
      <c r="CB294" s="450"/>
      <c r="CC294" s="450"/>
      <c r="CD294" s="450"/>
      <c r="CE294" s="450"/>
      <c r="CF294" s="450"/>
      <c r="CG294" s="450"/>
      <c r="CH294" s="450"/>
    </row>
    <row r="295">
      <c r="A295" s="450"/>
      <c r="B295" s="498"/>
      <c r="C295" s="455"/>
      <c r="D295" s="450"/>
      <c r="E295" s="450"/>
      <c r="F295" s="450"/>
      <c r="G295" s="450"/>
      <c r="H295" s="450"/>
      <c r="I295" s="450"/>
      <c r="J295" s="450"/>
      <c r="K295" s="450"/>
      <c r="L295" s="450"/>
      <c r="M295" s="450"/>
      <c r="N295" s="450"/>
      <c r="O295" s="450"/>
      <c r="P295" s="450"/>
      <c r="Q295" s="450"/>
      <c r="R295" s="450"/>
      <c r="S295" s="450"/>
      <c r="T295" s="450"/>
      <c r="U295" s="450"/>
      <c r="V295" s="450"/>
      <c r="W295" s="450"/>
      <c r="X295" s="450"/>
      <c r="Y295" s="450"/>
      <c r="Z295" s="450"/>
      <c r="AA295" s="450"/>
      <c r="AB295" s="450"/>
      <c r="AC295" s="450"/>
      <c r="AD295" s="450"/>
      <c r="AE295" s="450"/>
      <c r="AF295" s="450"/>
      <c r="AG295" s="450"/>
      <c r="AH295" s="450"/>
      <c r="AI295" s="450"/>
      <c r="AJ295" s="450"/>
      <c r="AK295" s="450"/>
      <c r="AL295" s="450"/>
      <c r="AM295" s="450"/>
      <c r="AN295" s="450"/>
      <c r="AO295" s="450"/>
      <c r="AP295" s="450"/>
      <c r="AQ295" s="450"/>
      <c r="AR295" s="450"/>
      <c r="AS295" s="450"/>
      <c r="AT295" s="450"/>
      <c r="AU295" s="450"/>
      <c r="AV295" s="450"/>
      <c r="AW295" s="450"/>
      <c r="AX295" s="450"/>
      <c r="AY295" s="450"/>
      <c r="AZ295" s="450"/>
      <c r="BA295" s="450"/>
      <c r="BB295" s="450"/>
      <c r="BC295" s="450"/>
      <c r="BD295" s="450"/>
      <c r="BE295" s="450"/>
      <c r="BF295" s="450"/>
      <c r="BG295" s="450"/>
      <c r="BH295" s="450"/>
      <c r="BI295" s="450"/>
      <c r="BJ295" s="450"/>
      <c r="BK295" s="450"/>
      <c r="BL295" s="450"/>
      <c r="BM295" s="450"/>
      <c r="BN295" s="450"/>
      <c r="BO295" s="450"/>
      <c r="BP295" s="450"/>
      <c r="BQ295" s="450"/>
      <c r="BR295" s="450"/>
      <c r="BS295" s="450"/>
      <c r="BT295" s="450"/>
      <c r="BU295" s="450"/>
      <c r="BV295" s="450"/>
      <c r="BW295" s="450"/>
      <c r="BX295" s="450"/>
      <c r="BY295" s="450"/>
      <c r="BZ295" s="450"/>
      <c r="CA295" s="450"/>
      <c r="CB295" s="450"/>
      <c r="CC295" s="450"/>
      <c r="CD295" s="450"/>
      <c r="CE295" s="450"/>
      <c r="CF295" s="450"/>
      <c r="CG295" s="450"/>
      <c r="CH295" s="450"/>
    </row>
    <row r="296">
      <c r="A296" s="450"/>
      <c r="B296" s="498"/>
      <c r="C296" s="455"/>
      <c r="D296" s="450"/>
      <c r="E296" s="450"/>
      <c r="F296" s="450"/>
      <c r="G296" s="450"/>
      <c r="H296" s="450"/>
      <c r="I296" s="450"/>
      <c r="J296" s="450"/>
      <c r="K296" s="450"/>
      <c r="L296" s="450"/>
      <c r="M296" s="450"/>
      <c r="N296" s="450"/>
      <c r="O296" s="450"/>
      <c r="P296" s="450"/>
      <c r="Q296" s="450"/>
      <c r="R296" s="450"/>
      <c r="S296" s="450"/>
      <c r="T296" s="450"/>
      <c r="U296" s="450"/>
      <c r="V296" s="450"/>
      <c r="W296" s="450"/>
      <c r="X296" s="450"/>
      <c r="Y296" s="450"/>
      <c r="Z296" s="450"/>
      <c r="AA296" s="450"/>
      <c r="AB296" s="450"/>
      <c r="AC296" s="450"/>
      <c r="AD296" s="450"/>
      <c r="AE296" s="450"/>
      <c r="AF296" s="450"/>
      <c r="AG296" s="450"/>
      <c r="AH296" s="450"/>
      <c r="AI296" s="450"/>
      <c r="AJ296" s="450"/>
      <c r="AK296" s="450"/>
      <c r="AL296" s="450"/>
      <c r="AM296" s="450"/>
      <c r="AN296" s="450"/>
      <c r="AO296" s="450"/>
      <c r="AP296" s="450"/>
      <c r="AQ296" s="450"/>
      <c r="AR296" s="450"/>
      <c r="AS296" s="450"/>
      <c r="AT296" s="450"/>
      <c r="AU296" s="450"/>
      <c r="AV296" s="450"/>
      <c r="AW296" s="450"/>
      <c r="AX296" s="450"/>
      <c r="AY296" s="450"/>
      <c r="AZ296" s="450"/>
      <c r="BA296" s="450"/>
      <c r="BB296" s="450"/>
      <c r="BC296" s="450"/>
      <c r="BD296" s="450"/>
      <c r="BE296" s="450"/>
      <c r="BF296" s="450"/>
      <c r="BG296" s="450"/>
      <c r="BH296" s="450"/>
      <c r="BI296" s="450"/>
      <c r="BJ296" s="450"/>
      <c r="BK296" s="450"/>
      <c r="BL296" s="450"/>
      <c r="BM296" s="450"/>
      <c r="BN296" s="450"/>
      <c r="BO296" s="450"/>
      <c r="BP296" s="450"/>
      <c r="BQ296" s="450"/>
      <c r="BR296" s="450"/>
      <c r="BS296" s="450"/>
      <c r="BT296" s="450"/>
      <c r="BU296" s="450"/>
      <c r="BV296" s="450"/>
      <c r="BW296" s="450"/>
      <c r="BX296" s="450"/>
      <c r="BY296" s="450"/>
      <c r="BZ296" s="450"/>
      <c r="CA296" s="450"/>
      <c r="CB296" s="450"/>
      <c r="CC296" s="450"/>
      <c r="CD296" s="450"/>
      <c r="CE296" s="450"/>
      <c r="CF296" s="450"/>
      <c r="CG296" s="450"/>
      <c r="CH296" s="450"/>
    </row>
    <row r="297">
      <c r="A297" s="450"/>
      <c r="B297" s="498"/>
      <c r="C297" s="455"/>
      <c r="D297" s="450"/>
      <c r="E297" s="450"/>
      <c r="F297" s="450"/>
      <c r="G297" s="450"/>
      <c r="H297" s="450"/>
      <c r="I297" s="450"/>
      <c r="J297" s="450"/>
      <c r="K297" s="450"/>
      <c r="L297" s="450"/>
      <c r="M297" s="450"/>
      <c r="N297" s="450"/>
      <c r="O297" s="450"/>
      <c r="P297" s="450"/>
      <c r="Q297" s="450"/>
      <c r="R297" s="450"/>
      <c r="S297" s="450"/>
      <c r="T297" s="450"/>
      <c r="U297" s="450"/>
      <c r="V297" s="450"/>
      <c r="W297" s="450"/>
      <c r="X297" s="450"/>
      <c r="Y297" s="450"/>
      <c r="Z297" s="450"/>
      <c r="AA297" s="450"/>
      <c r="AB297" s="450"/>
      <c r="AC297" s="450"/>
      <c r="AD297" s="450"/>
      <c r="AE297" s="450"/>
      <c r="AF297" s="450"/>
      <c r="AG297" s="450"/>
      <c r="AH297" s="450"/>
      <c r="AI297" s="450"/>
      <c r="AJ297" s="450"/>
      <c r="AK297" s="450"/>
      <c r="AL297" s="450"/>
      <c r="AM297" s="450"/>
      <c r="AN297" s="450"/>
      <c r="AO297" s="450"/>
      <c r="AP297" s="450"/>
      <c r="AQ297" s="450"/>
      <c r="AR297" s="450"/>
      <c r="AS297" s="450"/>
      <c r="AT297" s="450"/>
      <c r="AU297" s="450"/>
      <c r="AV297" s="450"/>
      <c r="AW297" s="450"/>
      <c r="AX297" s="450"/>
      <c r="AY297" s="450"/>
      <c r="AZ297" s="450"/>
      <c r="BA297" s="450"/>
      <c r="BB297" s="450"/>
      <c r="BC297" s="450"/>
      <c r="BD297" s="450"/>
      <c r="BE297" s="450"/>
      <c r="BF297" s="450"/>
      <c r="BG297" s="450"/>
      <c r="BH297" s="450"/>
      <c r="BI297" s="450"/>
      <c r="BJ297" s="450"/>
      <c r="BK297" s="450"/>
      <c r="BL297" s="450"/>
      <c r="BM297" s="450"/>
      <c r="BN297" s="450"/>
      <c r="BO297" s="450"/>
      <c r="BP297" s="450"/>
      <c r="BQ297" s="450"/>
      <c r="BR297" s="450"/>
      <c r="BS297" s="450"/>
      <c r="BT297" s="450"/>
      <c r="BU297" s="450"/>
      <c r="BV297" s="450"/>
      <c r="BW297" s="450"/>
      <c r="BX297" s="450"/>
      <c r="BY297" s="450"/>
      <c r="BZ297" s="450"/>
      <c r="CA297" s="450"/>
      <c r="CB297" s="450"/>
      <c r="CC297" s="450"/>
      <c r="CD297" s="450"/>
      <c r="CE297" s="450"/>
      <c r="CF297" s="450"/>
      <c r="CG297" s="450"/>
      <c r="CH297" s="450"/>
    </row>
    <row r="298">
      <c r="A298" s="450"/>
      <c r="B298" s="498"/>
      <c r="C298" s="455"/>
      <c r="D298" s="450"/>
      <c r="E298" s="450"/>
      <c r="F298" s="450"/>
      <c r="G298" s="450"/>
      <c r="H298" s="450"/>
      <c r="I298" s="450"/>
      <c r="J298" s="450"/>
      <c r="K298" s="450"/>
      <c r="L298" s="450"/>
      <c r="M298" s="450"/>
      <c r="N298" s="450"/>
      <c r="O298" s="450"/>
      <c r="P298" s="450"/>
      <c r="Q298" s="450"/>
      <c r="R298" s="450"/>
      <c r="S298" s="450"/>
      <c r="T298" s="450"/>
      <c r="U298" s="450"/>
      <c r="V298" s="450"/>
      <c r="W298" s="450"/>
      <c r="X298" s="450"/>
      <c r="Y298" s="450"/>
      <c r="Z298" s="450"/>
      <c r="AA298" s="450"/>
      <c r="AB298" s="450"/>
      <c r="AC298" s="450"/>
      <c r="AD298" s="450"/>
      <c r="AE298" s="450"/>
      <c r="AF298" s="450"/>
      <c r="AG298" s="450"/>
      <c r="AH298" s="450"/>
      <c r="AI298" s="450"/>
      <c r="AJ298" s="450"/>
      <c r="AK298" s="450"/>
      <c r="AL298" s="450"/>
      <c r="AM298" s="450"/>
      <c r="AN298" s="450"/>
      <c r="AO298" s="450"/>
      <c r="AP298" s="450"/>
      <c r="AQ298" s="450"/>
      <c r="AR298" s="450"/>
      <c r="AS298" s="450"/>
      <c r="AT298" s="450"/>
      <c r="AU298" s="450"/>
      <c r="AV298" s="450"/>
      <c r="AW298" s="450"/>
      <c r="AX298" s="450"/>
      <c r="AY298" s="450"/>
      <c r="AZ298" s="450"/>
      <c r="BA298" s="450"/>
      <c r="BB298" s="450"/>
      <c r="BC298" s="450"/>
      <c r="BD298" s="450"/>
      <c r="BE298" s="450"/>
      <c r="BF298" s="450"/>
      <c r="BG298" s="450"/>
      <c r="BH298" s="450"/>
      <c r="BI298" s="450"/>
      <c r="BJ298" s="450"/>
      <c r="BK298" s="450"/>
      <c r="BL298" s="450"/>
      <c r="BM298" s="450"/>
      <c r="BN298" s="450"/>
      <c r="BO298" s="450"/>
      <c r="BP298" s="450"/>
      <c r="BQ298" s="450"/>
      <c r="BR298" s="450"/>
      <c r="BS298" s="450"/>
      <c r="BT298" s="450"/>
      <c r="BU298" s="450"/>
      <c r="BV298" s="450"/>
      <c r="BW298" s="450"/>
      <c r="BX298" s="450"/>
      <c r="BY298" s="450"/>
      <c r="BZ298" s="450"/>
      <c r="CA298" s="450"/>
      <c r="CB298" s="450"/>
      <c r="CC298" s="450"/>
      <c r="CD298" s="450"/>
      <c r="CE298" s="450"/>
      <c r="CF298" s="450"/>
      <c r="CG298" s="450"/>
      <c r="CH298" s="450"/>
    </row>
    <row r="299">
      <c r="A299" s="450"/>
      <c r="B299" s="498"/>
      <c r="C299" s="455"/>
      <c r="D299" s="450"/>
      <c r="E299" s="450"/>
      <c r="F299" s="450"/>
      <c r="G299" s="450"/>
      <c r="H299" s="450"/>
      <c r="I299" s="450"/>
      <c r="J299" s="450"/>
      <c r="K299" s="450"/>
      <c r="L299" s="450"/>
      <c r="M299" s="450"/>
      <c r="N299" s="450"/>
      <c r="O299" s="450"/>
      <c r="P299" s="450"/>
      <c r="Q299" s="450"/>
      <c r="R299" s="450"/>
      <c r="S299" s="450"/>
      <c r="T299" s="450"/>
      <c r="U299" s="450"/>
      <c r="V299" s="450"/>
      <c r="W299" s="450"/>
      <c r="X299" s="450"/>
      <c r="Y299" s="450"/>
      <c r="Z299" s="450"/>
      <c r="AA299" s="450"/>
      <c r="AB299" s="450"/>
      <c r="AC299" s="450"/>
      <c r="AD299" s="450"/>
      <c r="AE299" s="450"/>
      <c r="AF299" s="450"/>
      <c r="AG299" s="450"/>
      <c r="AH299" s="450"/>
      <c r="AI299" s="450"/>
      <c r="AJ299" s="450"/>
      <c r="AK299" s="450"/>
      <c r="AL299" s="450"/>
      <c r="AM299" s="450"/>
      <c r="AN299" s="450"/>
      <c r="AO299" s="450"/>
      <c r="AP299" s="450"/>
      <c r="AQ299" s="450"/>
      <c r="AR299" s="450"/>
      <c r="AS299" s="450"/>
      <c r="AT299" s="450"/>
      <c r="AU299" s="450"/>
      <c r="AV299" s="450"/>
      <c r="AW299" s="450"/>
      <c r="AX299" s="450"/>
      <c r="AY299" s="450"/>
      <c r="AZ299" s="450"/>
      <c r="BA299" s="450"/>
      <c r="BB299" s="450"/>
      <c r="BC299" s="450"/>
      <c r="BD299" s="450"/>
      <c r="BE299" s="450"/>
      <c r="BF299" s="450"/>
      <c r="BG299" s="450"/>
      <c r="BH299" s="450"/>
      <c r="BI299" s="450"/>
      <c r="BJ299" s="450"/>
      <c r="BK299" s="450"/>
      <c r="BL299" s="450"/>
      <c r="BM299" s="450"/>
      <c r="BN299" s="450"/>
      <c r="BO299" s="450"/>
      <c r="BP299" s="450"/>
      <c r="BQ299" s="450"/>
      <c r="BR299" s="450"/>
      <c r="BS299" s="450"/>
      <c r="BT299" s="450"/>
      <c r="BU299" s="450"/>
      <c r="BV299" s="450"/>
      <c r="BW299" s="450"/>
      <c r="BX299" s="450"/>
      <c r="BY299" s="450"/>
      <c r="BZ299" s="450"/>
      <c r="CA299" s="450"/>
      <c r="CB299" s="450"/>
      <c r="CC299" s="450"/>
      <c r="CD299" s="450"/>
      <c r="CE299" s="450"/>
      <c r="CF299" s="450"/>
      <c r="CG299" s="450"/>
      <c r="CH299" s="450"/>
    </row>
    <row r="300">
      <c r="A300" s="450"/>
      <c r="B300" s="498"/>
      <c r="C300" s="455"/>
      <c r="D300" s="450"/>
      <c r="E300" s="450"/>
      <c r="F300" s="450"/>
      <c r="G300" s="450"/>
      <c r="H300" s="450"/>
      <c r="I300" s="450"/>
      <c r="J300" s="450"/>
      <c r="K300" s="450"/>
      <c r="L300" s="450"/>
      <c r="M300" s="450"/>
      <c r="N300" s="450"/>
      <c r="O300" s="450"/>
      <c r="P300" s="450"/>
      <c r="Q300" s="450"/>
      <c r="R300" s="450"/>
      <c r="S300" s="450"/>
      <c r="T300" s="450"/>
      <c r="U300" s="450"/>
      <c r="V300" s="450"/>
      <c r="W300" s="450"/>
      <c r="X300" s="450"/>
      <c r="Y300" s="450"/>
      <c r="Z300" s="450"/>
      <c r="AA300" s="450"/>
      <c r="AB300" s="450"/>
      <c r="AC300" s="450"/>
      <c r="AD300" s="450"/>
      <c r="AE300" s="450"/>
      <c r="AF300" s="450"/>
      <c r="AG300" s="450"/>
      <c r="AH300" s="450"/>
      <c r="AI300" s="450"/>
      <c r="AJ300" s="450"/>
      <c r="AK300" s="450"/>
      <c r="AL300" s="450"/>
      <c r="AM300" s="450"/>
      <c r="AN300" s="450"/>
      <c r="AO300" s="450"/>
      <c r="AP300" s="450"/>
      <c r="AQ300" s="450"/>
      <c r="AR300" s="450"/>
      <c r="AS300" s="450"/>
      <c r="AT300" s="450"/>
      <c r="AU300" s="450"/>
      <c r="AV300" s="450"/>
      <c r="AW300" s="450"/>
      <c r="AX300" s="450"/>
      <c r="AY300" s="450"/>
      <c r="AZ300" s="450"/>
      <c r="BA300" s="450"/>
      <c r="BB300" s="450"/>
      <c r="BC300" s="450"/>
      <c r="BD300" s="450"/>
      <c r="BE300" s="450"/>
      <c r="BF300" s="450"/>
      <c r="BG300" s="450"/>
      <c r="BH300" s="450"/>
      <c r="BI300" s="450"/>
      <c r="BJ300" s="450"/>
      <c r="BK300" s="450"/>
      <c r="BL300" s="450"/>
      <c r="BM300" s="450"/>
      <c r="BN300" s="450"/>
      <c r="BO300" s="450"/>
      <c r="BP300" s="450"/>
      <c r="BQ300" s="450"/>
      <c r="BR300" s="450"/>
      <c r="BS300" s="450"/>
      <c r="BT300" s="450"/>
      <c r="BU300" s="450"/>
      <c r="BV300" s="450"/>
      <c r="BW300" s="450"/>
      <c r="BX300" s="450"/>
      <c r="BY300" s="450"/>
      <c r="BZ300" s="450"/>
      <c r="CA300" s="450"/>
      <c r="CB300" s="450"/>
      <c r="CC300" s="450"/>
      <c r="CD300" s="450"/>
      <c r="CE300" s="450"/>
      <c r="CF300" s="450"/>
      <c r="CG300" s="450"/>
      <c r="CH300" s="450"/>
    </row>
    <row r="301">
      <c r="A301" s="450"/>
      <c r="B301" s="498"/>
      <c r="C301" s="455"/>
      <c r="D301" s="450"/>
      <c r="E301" s="450"/>
      <c r="F301" s="450"/>
      <c r="G301" s="450"/>
      <c r="H301" s="450"/>
      <c r="I301" s="450"/>
      <c r="J301" s="450"/>
      <c r="K301" s="450"/>
      <c r="L301" s="450"/>
      <c r="M301" s="450"/>
      <c r="N301" s="450"/>
      <c r="O301" s="450"/>
      <c r="P301" s="450"/>
      <c r="Q301" s="450"/>
      <c r="R301" s="450"/>
      <c r="S301" s="450"/>
      <c r="T301" s="450"/>
      <c r="U301" s="450"/>
      <c r="V301" s="450"/>
      <c r="W301" s="450"/>
      <c r="X301" s="450"/>
      <c r="Y301" s="450"/>
      <c r="Z301" s="450"/>
      <c r="AA301" s="450"/>
      <c r="AB301" s="450"/>
      <c r="AC301" s="450"/>
      <c r="AD301" s="450"/>
      <c r="AE301" s="450"/>
      <c r="AF301" s="450"/>
      <c r="AG301" s="450"/>
      <c r="AH301" s="450"/>
      <c r="AI301" s="450"/>
      <c r="AJ301" s="450"/>
      <c r="AK301" s="450"/>
      <c r="AL301" s="450"/>
      <c r="AM301" s="450"/>
      <c r="AN301" s="450"/>
      <c r="AO301" s="450"/>
      <c r="AP301" s="450"/>
      <c r="AQ301" s="450"/>
      <c r="AR301" s="450"/>
      <c r="AS301" s="450"/>
      <c r="AT301" s="450"/>
      <c r="AU301" s="450"/>
      <c r="AV301" s="450"/>
      <c r="AW301" s="450"/>
      <c r="AX301" s="450"/>
      <c r="AY301" s="450"/>
      <c r="AZ301" s="450"/>
      <c r="BA301" s="450"/>
      <c r="BB301" s="450"/>
      <c r="BC301" s="450"/>
      <c r="BD301" s="450"/>
      <c r="BE301" s="450"/>
      <c r="BF301" s="450"/>
      <c r="BG301" s="450"/>
      <c r="BH301" s="450"/>
      <c r="BI301" s="450"/>
      <c r="BJ301" s="450"/>
      <c r="BK301" s="450"/>
      <c r="BL301" s="450"/>
      <c r="BM301" s="450"/>
      <c r="BN301" s="450"/>
      <c r="BO301" s="450"/>
      <c r="BP301" s="450"/>
      <c r="BQ301" s="450"/>
      <c r="BR301" s="450"/>
      <c r="BS301" s="450"/>
      <c r="BT301" s="450"/>
      <c r="BU301" s="450"/>
      <c r="BV301" s="450"/>
      <c r="BW301" s="450"/>
      <c r="BX301" s="450"/>
      <c r="BY301" s="450"/>
      <c r="BZ301" s="450"/>
      <c r="CA301" s="450"/>
      <c r="CB301" s="450"/>
      <c r="CC301" s="450"/>
      <c r="CD301" s="450"/>
      <c r="CE301" s="450"/>
      <c r="CF301" s="450"/>
      <c r="CG301" s="450"/>
      <c r="CH301" s="450"/>
    </row>
    <row r="302">
      <c r="A302" s="450"/>
      <c r="B302" s="498"/>
      <c r="C302" s="455"/>
      <c r="D302" s="450"/>
      <c r="E302" s="450"/>
      <c r="F302" s="450"/>
      <c r="G302" s="450"/>
      <c r="H302" s="450"/>
      <c r="I302" s="450"/>
      <c r="J302" s="450"/>
      <c r="K302" s="450"/>
      <c r="L302" s="450"/>
      <c r="M302" s="450"/>
      <c r="N302" s="450"/>
      <c r="O302" s="450"/>
      <c r="P302" s="450"/>
      <c r="Q302" s="450"/>
      <c r="R302" s="450"/>
      <c r="S302" s="450"/>
      <c r="T302" s="450"/>
      <c r="U302" s="450"/>
      <c r="V302" s="450"/>
      <c r="W302" s="450"/>
      <c r="X302" s="450"/>
      <c r="Y302" s="450"/>
      <c r="Z302" s="450"/>
      <c r="AA302" s="450"/>
      <c r="AB302" s="450"/>
      <c r="AC302" s="450"/>
      <c r="AD302" s="450"/>
      <c r="AE302" s="450"/>
      <c r="AF302" s="450"/>
      <c r="AG302" s="450"/>
      <c r="AH302" s="450"/>
      <c r="AI302" s="450"/>
      <c r="AJ302" s="450"/>
      <c r="AK302" s="450"/>
      <c r="AL302" s="450"/>
      <c r="AM302" s="450"/>
      <c r="AN302" s="450"/>
      <c r="AO302" s="450"/>
      <c r="AP302" s="450"/>
      <c r="AQ302" s="450"/>
      <c r="AR302" s="450"/>
      <c r="AS302" s="450"/>
      <c r="AT302" s="450"/>
      <c r="AU302" s="450"/>
      <c r="AV302" s="450"/>
      <c r="AW302" s="450"/>
      <c r="AX302" s="450"/>
      <c r="AY302" s="450"/>
      <c r="AZ302" s="450"/>
      <c r="BA302" s="450"/>
      <c r="BB302" s="450"/>
      <c r="BC302" s="450"/>
      <c r="BD302" s="450"/>
      <c r="BE302" s="450"/>
      <c r="BF302" s="450"/>
      <c r="BG302" s="450"/>
      <c r="BH302" s="450"/>
      <c r="BI302" s="450"/>
      <c r="BJ302" s="450"/>
      <c r="BK302" s="450"/>
      <c r="BL302" s="450"/>
      <c r="BM302" s="450"/>
      <c r="BN302" s="450"/>
      <c r="BO302" s="450"/>
      <c r="BP302" s="450"/>
      <c r="BQ302" s="450"/>
      <c r="BR302" s="450"/>
      <c r="BS302" s="450"/>
      <c r="BT302" s="450"/>
      <c r="BU302" s="450"/>
      <c r="BV302" s="450"/>
      <c r="BW302" s="450"/>
      <c r="BX302" s="450"/>
      <c r="BY302" s="450"/>
      <c r="BZ302" s="450"/>
      <c r="CA302" s="450"/>
      <c r="CB302" s="450"/>
      <c r="CC302" s="450"/>
      <c r="CD302" s="450"/>
      <c r="CE302" s="450"/>
      <c r="CF302" s="450"/>
      <c r="CG302" s="450"/>
      <c r="CH302" s="450"/>
    </row>
    <row r="303">
      <c r="A303" s="450"/>
      <c r="B303" s="498"/>
      <c r="C303" s="455"/>
      <c r="D303" s="450"/>
      <c r="E303" s="450"/>
      <c r="F303" s="450"/>
      <c r="G303" s="450"/>
      <c r="H303" s="450"/>
      <c r="I303" s="450"/>
      <c r="J303" s="450"/>
      <c r="K303" s="450"/>
      <c r="L303" s="450"/>
      <c r="M303" s="450"/>
      <c r="N303" s="450"/>
      <c r="O303" s="450"/>
      <c r="P303" s="450"/>
      <c r="Q303" s="450"/>
      <c r="R303" s="450"/>
      <c r="S303" s="450"/>
      <c r="T303" s="450"/>
      <c r="U303" s="450"/>
      <c r="V303" s="450"/>
      <c r="W303" s="450"/>
      <c r="X303" s="450"/>
      <c r="Y303" s="450"/>
      <c r="Z303" s="450"/>
      <c r="AA303" s="450"/>
      <c r="AB303" s="450"/>
      <c r="AC303" s="450"/>
      <c r="AD303" s="450"/>
      <c r="AE303" s="450"/>
      <c r="AF303" s="450"/>
      <c r="AG303" s="450"/>
      <c r="AH303" s="450"/>
      <c r="AI303" s="450"/>
      <c r="AJ303" s="450"/>
      <c r="AK303" s="450"/>
      <c r="AL303" s="450"/>
      <c r="AM303" s="450"/>
      <c r="AN303" s="450"/>
      <c r="AO303" s="450"/>
      <c r="AP303" s="450"/>
      <c r="AQ303" s="450"/>
      <c r="AR303" s="450"/>
      <c r="AS303" s="450"/>
      <c r="AT303" s="450"/>
      <c r="AU303" s="450"/>
      <c r="AV303" s="450"/>
      <c r="AW303" s="450"/>
      <c r="AX303" s="450"/>
      <c r="AY303" s="450"/>
      <c r="AZ303" s="450"/>
      <c r="BA303" s="450"/>
      <c r="BB303" s="450"/>
      <c r="BC303" s="450"/>
      <c r="BD303" s="450"/>
      <c r="BE303" s="450"/>
      <c r="BF303" s="450"/>
      <c r="BG303" s="450"/>
      <c r="BH303" s="450"/>
      <c r="BI303" s="450"/>
      <c r="BJ303" s="450"/>
      <c r="BK303" s="450"/>
      <c r="BL303" s="450"/>
      <c r="BM303" s="450"/>
      <c r="BN303" s="450"/>
      <c r="BO303" s="450"/>
      <c r="BP303" s="450"/>
      <c r="BQ303" s="450"/>
      <c r="BR303" s="450"/>
      <c r="BS303" s="450"/>
      <c r="BT303" s="450"/>
      <c r="BU303" s="450"/>
      <c r="BV303" s="450"/>
      <c r="BW303" s="450"/>
      <c r="BX303" s="450"/>
      <c r="BY303" s="450"/>
      <c r="BZ303" s="450"/>
      <c r="CA303" s="450"/>
      <c r="CB303" s="450"/>
      <c r="CC303" s="450"/>
      <c r="CD303" s="450"/>
      <c r="CE303" s="450"/>
      <c r="CF303" s="450"/>
      <c r="CG303" s="450"/>
      <c r="CH303" s="450"/>
    </row>
    <row r="304">
      <c r="A304" s="450"/>
      <c r="B304" s="498"/>
      <c r="C304" s="455"/>
      <c r="D304" s="450"/>
      <c r="E304" s="450"/>
      <c r="F304" s="450"/>
      <c r="G304" s="450"/>
      <c r="H304" s="450"/>
      <c r="I304" s="450"/>
      <c r="J304" s="450"/>
      <c r="K304" s="450"/>
      <c r="L304" s="450"/>
      <c r="M304" s="450"/>
      <c r="N304" s="450"/>
      <c r="O304" s="450"/>
      <c r="P304" s="450"/>
      <c r="Q304" s="450"/>
      <c r="R304" s="450"/>
      <c r="S304" s="450"/>
      <c r="T304" s="450"/>
      <c r="U304" s="450"/>
      <c r="V304" s="450"/>
      <c r="W304" s="450"/>
      <c r="X304" s="450"/>
      <c r="Y304" s="450"/>
      <c r="Z304" s="450"/>
      <c r="AA304" s="450"/>
      <c r="AB304" s="450"/>
      <c r="AC304" s="450"/>
      <c r="AD304" s="450"/>
      <c r="AE304" s="450"/>
      <c r="AF304" s="450"/>
      <c r="AG304" s="450"/>
      <c r="AH304" s="450"/>
      <c r="AI304" s="450"/>
      <c r="AJ304" s="450"/>
      <c r="AK304" s="450"/>
      <c r="AL304" s="450"/>
      <c r="AM304" s="450"/>
      <c r="AN304" s="450"/>
      <c r="AO304" s="450"/>
      <c r="AP304" s="450"/>
      <c r="AQ304" s="450"/>
      <c r="AR304" s="450"/>
      <c r="AS304" s="450"/>
      <c r="AT304" s="450"/>
      <c r="AU304" s="450"/>
      <c r="AV304" s="450"/>
      <c r="AW304" s="450"/>
      <c r="AX304" s="450"/>
      <c r="AY304" s="450"/>
      <c r="AZ304" s="450"/>
      <c r="BA304" s="450"/>
      <c r="BB304" s="450"/>
      <c r="BC304" s="450"/>
      <c r="BD304" s="450"/>
      <c r="BE304" s="450"/>
      <c r="BF304" s="450"/>
      <c r="BG304" s="450"/>
      <c r="BH304" s="450"/>
      <c r="BI304" s="450"/>
      <c r="BJ304" s="450"/>
      <c r="BK304" s="450"/>
      <c r="BL304" s="450"/>
      <c r="BM304" s="450"/>
      <c r="BN304" s="450"/>
      <c r="BO304" s="450"/>
      <c r="BP304" s="450"/>
      <c r="BQ304" s="450"/>
      <c r="BR304" s="450"/>
      <c r="BS304" s="450"/>
      <c r="BT304" s="450"/>
      <c r="BU304" s="450"/>
      <c r="BV304" s="450"/>
      <c r="BW304" s="450"/>
      <c r="BX304" s="450"/>
      <c r="BY304" s="450"/>
      <c r="BZ304" s="450"/>
      <c r="CA304" s="450"/>
      <c r="CB304" s="450"/>
      <c r="CC304" s="450"/>
      <c r="CD304" s="450"/>
      <c r="CE304" s="450"/>
      <c r="CF304" s="450"/>
      <c r="CG304" s="450"/>
      <c r="CH304" s="450"/>
    </row>
    <row r="305">
      <c r="A305" s="450"/>
      <c r="B305" s="498"/>
      <c r="C305" s="455"/>
      <c r="D305" s="450"/>
      <c r="E305" s="450"/>
      <c r="F305" s="450"/>
      <c r="G305" s="450"/>
      <c r="H305" s="450"/>
      <c r="I305" s="450"/>
      <c r="J305" s="450"/>
      <c r="K305" s="450"/>
      <c r="L305" s="450"/>
      <c r="M305" s="450"/>
      <c r="N305" s="450"/>
      <c r="O305" s="450"/>
      <c r="P305" s="450"/>
      <c r="Q305" s="450"/>
      <c r="R305" s="450"/>
      <c r="S305" s="450"/>
      <c r="T305" s="450"/>
      <c r="U305" s="450"/>
      <c r="V305" s="450"/>
      <c r="W305" s="450"/>
      <c r="X305" s="450"/>
      <c r="Y305" s="450"/>
      <c r="Z305" s="450"/>
      <c r="AA305" s="450"/>
      <c r="AB305" s="450"/>
      <c r="AC305" s="450"/>
      <c r="AD305" s="450"/>
      <c r="AE305" s="450"/>
      <c r="AF305" s="450"/>
      <c r="AG305" s="450"/>
      <c r="AH305" s="450"/>
      <c r="AI305" s="450"/>
      <c r="AJ305" s="450"/>
      <c r="AK305" s="450"/>
      <c r="AL305" s="450"/>
      <c r="AM305" s="450"/>
      <c r="AN305" s="450"/>
      <c r="AO305" s="450"/>
      <c r="AP305" s="450"/>
      <c r="AQ305" s="450"/>
      <c r="AR305" s="450"/>
      <c r="AS305" s="450"/>
      <c r="AT305" s="450"/>
      <c r="AU305" s="450"/>
      <c r="AV305" s="450"/>
      <c r="AW305" s="450"/>
      <c r="AX305" s="450"/>
      <c r="AY305" s="450"/>
      <c r="AZ305" s="450"/>
      <c r="BA305" s="450"/>
      <c r="BB305" s="450"/>
      <c r="BC305" s="450"/>
      <c r="BD305" s="450"/>
      <c r="BE305" s="450"/>
      <c r="BF305" s="450"/>
      <c r="BG305" s="450"/>
      <c r="BH305" s="450"/>
      <c r="BI305" s="450"/>
      <c r="BJ305" s="450"/>
      <c r="BK305" s="450"/>
      <c r="BL305" s="450"/>
      <c r="BM305" s="450"/>
      <c r="BN305" s="450"/>
      <c r="BO305" s="450"/>
      <c r="BP305" s="450"/>
      <c r="BQ305" s="450"/>
      <c r="BR305" s="450"/>
      <c r="BS305" s="450"/>
      <c r="BT305" s="450"/>
      <c r="BU305" s="450"/>
      <c r="BV305" s="450"/>
      <c r="BW305" s="450"/>
      <c r="BX305" s="450"/>
      <c r="BY305" s="450"/>
      <c r="BZ305" s="450"/>
      <c r="CA305" s="450"/>
      <c r="CB305" s="450"/>
      <c r="CC305" s="450"/>
      <c r="CD305" s="450"/>
      <c r="CE305" s="450"/>
      <c r="CF305" s="450"/>
      <c r="CG305" s="450"/>
      <c r="CH305" s="450"/>
    </row>
    <row r="306">
      <c r="A306" s="450"/>
      <c r="B306" s="498"/>
      <c r="C306" s="455"/>
      <c r="D306" s="450"/>
      <c r="E306" s="450"/>
      <c r="F306" s="450"/>
      <c r="G306" s="450"/>
      <c r="H306" s="450"/>
      <c r="I306" s="450"/>
      <c r="J306" s="450"/>
      <c r="K306" s="450"/>
      <c r="L306" s="450"/>
      <c r="M306" s="450"/>
      <c r="N306" s="450"/>
      <c r="O306" s="450"/>
      <c r="P306" s="450"/>
      <c r="Q306" s="450"/>
      <c r="R306" s="450"/>
      <c r="S306" s="450"/>
      <c r="T306" s="450"/>
      <c r="U306" s="450"/>
      <c r="V306" s="450"/>
      <c r="W306" s="450"/>
      <c r="X306" s="450"/>
      <c r="Y306" s="450"/>
      <c r="Z306" s="450"/>
      <c r="AA306" s="450"/>
      <c r="AB306" s="450"/>
      <c r="AC306" s="450"/>
      <c r="AD306" s="450"/>
      <c r="AE306" s="450"/>
      <c r="AF306" s="450"/>
      <c r="AG306" s="450"/>
      <c r="AH306" s="450"/>
      <c r="AI306" s="450"/>
      <c r="AJ306" s="450"/>
      <c r="AK306" s="450"/>
      <c r="AL306" s="450"/>
      <c r="AM306" s="450"/>
      <c r="AN306" s="450"/>
      <c r="AO306" s="450"/>
      <c r="AP306" s="450"/>
      <c r="AQ306" s="450"/>
      <c r="AR306" s="450"/>
      <c r="AS306" s="450"/>
      <c r="AT306" s="450"/>
      <c r="AU306" s="450"/>
      <c r="AV306" s="450"/>
      <c r="AW306" s="450"/>
      <c r="AX306" s="450"/>
      <c r="AY306" s="450"/>
      <c r="AZ306" s="450"/>
      <c r="BA306" s="450"/>
      <c r="BB306" s="450"/>
      <c r="BC306" s="450"/>
      <c r="BD306" s="450"/>
      <c r="BE306" s="450"/>
      <c r="BF306" s="450"/>
      <c r="BG306" s="450"/>
      <c r="BH306" s="450"/>
      <c r="BI306" s="450"/>
      <c r="BJ306" s="450"/>
      <c r="BK306" s="450"/>
      <c r="BL306" s="450"/>
      <c r="BM306" s="450"/>
      <c r="BN306" s="450"/>
      <c r="BO306" s="450"/>
      <c r="BP306" s="450"/>
      <c r="BQ306" s="450"/>
      <c r="BR306" s="450"/>
      <c r="BS306" s="450"/>
      <c r="BT306" s="450"/>
      <c r="BU306" s="450"/>
      <c r="BV306" s="450"/>
      <c r="BW306" s="450"/>
      <c r="BX306" s="450"/>
      <c r="BY306" s="450"/>
      <c r="BZ306" s="450"/>
      <c r="CA306" s="450"/>
      <c r="CB306" s="450"/>
      <c r="CC306" s="450"/>
      <c r="CD306" s="450"/>
      <c r="CE306" s="450"/>
      <c r="CF306" s="450"/>
      <c r="CG306" s="450"/>
      <c r="CH306" s="450"/>
    </row>
    <row r="307">
      <c r="A307" s="450"/>
      <c r="B307" s="498"/>
      <c r="C307" s="455"/>
      <c r="D307" s="450"/>
      <c r="E307" s="450"/>
      <c r="F307" s="450"/>
      <c r="G307" s="450"/>
      <c r="H307" s="450"/>
      <c r="I307" s="450"/>
      <c r="J307" s="450"/>
      <c r="K307" s="450"/>
      <c r="L307" s="450"/>
      <c r="M307" s="450"/>
      <c r="N307" s="450"/>
      <c r="O307" s="450"/>
      <c r="P307" s="450"/>
      <c r="Q307" s="450"/>
      <c r="R307" s="450"/>
      <c r="S307" s="450"/>
      <c r="T307" s="450"/>
      <c r="U307" s="450"/>
      <c r="V307" s="450"/>
      <c r="W307" s="450"/>
      <c r="X307" s="450"/>
      <c r="Y307" s="450"/>
      <c r="Z307" s="450"/>
      <c r="AA307" s="450"/>
      <c r="AB307" s="450"/>
      <c r="AC307" s="450"/>
      <c r="AD307" s="450"/>
      <c r="AE307" s="450"/>
      <c r="AF307" s="450"/>
      <c r="AG307" s="450"/>
      <c r="AH307" s="450"/>
      <c r="AI307" s="450"/>
      <c r="AJ307" s="450"/>
      <c r="AK307" s="450"/>
      <c r="AL307" s="450"/>
      <c r="AM307" s="450"/>
      <c r="AN307" s="450"/>
      <c r="AO307" s="450"/>
      <c r="AP307" s="450"/>
      <c r="AQ307" s="450"/>
      <c r="AR307" s="450"/>
      <c r="AS307" s="450"/>
      <c r="AT307" s="450"/>
      <c r="AU307" s="450"/>
      <c r="AV307" s="450"/>
      <c r="AW307" s="450"/>
      <c r="AX307" s="450"/>
      <c r="AY307" s="450"/>
      <c r="AZ307" s="450"/>
      <c r="BA307" s="450"/>
      <c r="BB307" s="450"/>
      <c r="BC307" s="450"/>
      <c r="BD307" s="450"/>
      <c r="BE307" s="450"/>
      <c r="BF307" s="450"/>
      <c r="BG307" s="450"/>
      <c r="BH307" s="450"/>
      <c r="BI307" s="450"/>
      <c r="BJ307" s="450"/>
      <c r="BK307" s="450"/>
      <c r="BL307" s="450"/>
      <c r="BM307" s="450"/>
      <c r="BN307" s="450"/>
      <c r="BO307" s="450"/>
      <c r="BP307" s="450"/>
      <c r="BQ307" s="450"/>
      <c r="BR307" s="450"/>
      <c r="BS307" s="450"/>
      <c r="BT307" s="450"/>
      <c r="BU307" s="450"/>
      <c r="BV307" s="450"/>
      <c r="BW307" s="450"/>
      <c r="BX307" s="450"/>
      <c r="BY307" s="450"/>
      <c r="BZ307" s="450"/>
      <c r="CA307" s="450"/>
      <c r="CB307" s="450"/>
      <c r="CC307" s="450"/>
      <c r="CD307" s="450"/>
      <c r="CE307" s="450"/>
      <c r="CF307" s="450"/>
      <c r="CG307" s="450"/>
      <c r="CH307" s="450"/>
    </row>
    <row r="308">
      <c r="A308" s="450"/>
      <c r="B308" s="498"/>
      <c r="C308" s="455"/>
      <c r="D308" s="450"/>
      <c r="E308" s="450"/>
      <c r="F308" s="450"/>
      <c r="G308" s="450"/>
      <c r="H308" s="450"/>
      <c r="I308" s="450"/>
      <c r="J308" s="450"/>
      <c r="K308" s="450"/>
      <c r="L308" s="450"/>
      <c r="M308" s="450"/>
      <c r="N308" s="450"/>
      <c r="O308" s="450"/>
      <c r="P308" s="450"/>
      <c r="Q308" s="450"/>
      <c r="R308" s="450"/>
      <c r="S308" s="450"/>
      <c r="T308" s="450"/>
      <c r="U308" s="450"/>
      <c r="V308" s="450"/>
      <c r="W308" s="450"/>
      <c r="X308" s="450"/>
      <c r="Y308" s="450"/>
      <c r="Z308" s="450"/>
      <c r="AA308" s="450"/>
      <c r="AB308" s="450"/>
      <c r="AC308" s="450"/>
      <c r="AD308" s="450"/>
      <c r="AE308" s="450"/>
      <c r="AF308" s="450"/>
      <c r="AG308" s="450"/>
      <c r="AH308" s="450"/>
      <c r="AI308" s="450"/>
      <c r="AJ308" s="450"/>
      <c r="AK308" s="450"/>
      <c r="AL308" s="450"/>
      <c r="AM308" s="450"/>
      <c r="AN308" s="450"/>
      <c r="AO308" s="450"/>
      <c r="AP308" s="450"/>
      <c r="AQ308" s="450"/>
      <c r="AR308" s="450"/>
      <c r="AS308" s="450"/>
      <c r="AT308" s="450"/>
      <c r="AU308" s="450"/>
      <c r="AV308" s="450"/>
      <c r="AW308" s="450"/>
      <c r="AX308" s="450"/>
      <c r="AY308" s="450"/>
      <c r="AZ308" s="450"/>
      <c r="BA308" s="450"/>
      <c r="BB308" s="450"/>
      <c r="BC308" s="450"/>
      <c r="BD308" s="450"/>
      <c r="BE308" s="450"/>
      <c r="BF308" s="450"/>
      <c r="BG308" s="450"/>
      <c r="BH308" s="450"/>
      <c r="BI308" s="450"/>
      <c r="BJ308" s="450"/>
      <c r="BK308" s="450"/>
      <c r="BL308" s="450"/>
      <c r="BM308" s="450"/>
      <c r="BN308" s="450"/>
      <c r="BO308" s="450"/>
      <c r="BP308" s="450"/>
      <c r="BQ308" s="450"/>
      <c r="BR308" s="450"/>
      <c r="BS308" s="450"/>
      <c r="BT308" s="450"/>
      <c r="BU308" s="450"/>
      <c r="BV308" s="450"/>
      <c r="BW308" s="450"/>
      <c r="BX308" s="450"/>
      <c r="BY308" s="450"/>
      <c r="BZ308" s="450"/>
      <c r="CA308" s="450"/>
      <c r="CB308" s="450"/>
      <c r="CC308" s="450"/>
      <c r="CD308" s="450"/>
      <c r="CE308" s="450"/>
      <c r="CF308" s="450"/>
      <c r="CG308" s="450"/>
      <c r="CH308" s="450"/>
    </row>
    <row r="309">
      <c r="A309" s="450"/>
      <c r="B309" s="498"/>
      <c r="C309" s="455"/>
      <c r="D309" s="450"/>
      <c r="E309" s="450"/>
      <c r="F309" s="450"/>
      <c r="G309" s="450"/>
      <c r="H309" s="450"/>
      <c r="I309" s="450"/>
      <c r="J309" s="450"/>
      <c r="K309" s="450"/>
      <c r="L309" s="450"/>
      <c r="M309" s="450"/>
      <c r="N309" s="450"/>
      <c r="O309" s="450"/>
      <c r="P309" s="450"/>
      <c r="Q309" s="450"/>
      <c r="R309" s="450"/>
      <c r="S309" s="450"/>
      <c r="T309" s="450"/>
      <c r="U309" s="450"/>
      <c r="V309" s="450"/>
      <c r="W309" s="450"/>
      <c r="X309" s="450"/>
      <c r="Y309" s="450"/>
      <c r="Z309" s="450"/>
      <c r="AA309" s="450"/>
      <c r="AB309" s="450"/>
      <c r="AC309" s="450"/>
      <c r="AD309" s="450"/>
      <c r="AE309" s="450"/>
      <c r="AF309" s="450"/>
      <c r="AG309" s="450"/>
      <c r="AH309" s="450"/>
      <c r="AI309" s="450"/>
      <c r="AJ309" s="450"/>
      <c r="AK309" s="450"/>
      <c r="AL309" s="450"/>
      <c r="AM309" s="450"/>
      <c r="AN309" s="450"/>
      <c r="AO309" s="450"/>
      <c r="AP309" s="450"/>
      <c r="AQ309" s="450"/>
      <c r="AR309" s="450"/>
      <c r="AS309" s="450"/>
      <c r="AT309" s="450"/>
      <c r="AU309" s="450"/>
      <c r="AV309" s="450"/>
      <c r="AW309" s="450"/>
      <c r="AX309" s="450"/>
      <c r="AY309" s="450"/>
      <c r="AZ309" s="450"/>
      <c r="BA309" s="450"/>
      <c r="BB309" s="450"/>
      <c r="BC309" s="450"/>
      <c r="BD309" s="450"/>
      <c r="BE309" s="450"/>
      <c r="BF309" s="450"/>
      <c r="BG309" s="450"/>
      <c r="BH309" s="450"/>
      <c r="BI309" s="450"/>
      <c r="BJ309" s="450"/>
      <c r="BK309" s="450"/>
      <c r="BL309" s="450"/>
      <c r="BM309" s="450"/>
      <c r="BN309" s="450"/>
      <c r="BO309" s="450"/>
      <c r="BP309" s="450"/>
      <c r="BQ309" s="450"/>
      <c r="BR309" s="450"/>
      <c r="BS309" s="450"/>
      <c r="BT309" s="450"/>
      <c r="BU309" s="450"/>
      <c r="BV309" s="450"/>
      <c r="BW309" s="450"/>
      <c r="BX309" s="450"/>
      <c r="BY309" s="450"/>
      <c r="BZ309" s="450"/>
      <c r="CA309" s="450"/>
      <c r="CB309" s="450"/>
      <c r="CC309" s="450"/>
      <c r="CD309" s="450"/>
      <c r="CE309" s="450"/>
      <c r="CF309" s="450"/>
      <c r="CG309" s="450"/>
      <c r="CH309" s="450"/>
    </row>
    <row r="310">
      <c r="A310" s="450"/>
      <c r="B310" s="498"/>
      <c r="C310" s="455"/>
      <c r="D310" s="450"/>
      <c r="E310" s="450"/>
      <c r="F310" s="450"/>
      <c r="G310" s="450"/>
      <c r="H310" s="450"/>
      <c r="I310" s="450"/>
      <c r="J310" s="450"/>
      <c r="K310" s="450"/>
      <c r="L310" s="450"/>
      <c r="M310" s="450"/>
      <c r="N310" s="450"/>
      <c r="O310" s="450"/>
      <c r="P310" s="450"/>
      <c r="Q310" s="450"/>
      <c r="R310" s="450"/>
      <c r="S310" s="450"/>
      <c r="T310" s="450"/>
      <c r="U310" s="450"/>
      <c r="V310" s="450"/>
      <c r="W310" s="450"/>
      <c r="X310" s="450"/>
      <c r="Y310" s="450"/>
      <c r="Z310" s="450"/>
      <c r="AA310" s="450"/>
      <c r="AB310" s="450"/>
      <c r="AC310" s="450"/>
      <c r="AD310" s="450"/>
      <c r="AE310" s="450"/>
      <c r="AF310" s="450"/>
      <c r="AG310" s="450"/>
      <c r="AH310" s="450"/>
      <c r="AI310" s="450"/>
      <c r="AJ310" s="450"/>
      <c r="AK310" s="450"/>
      <c r="AL310" s="450"/>
      <c r="AM310" s="450"/>
      <c r="AN310" s="450"/>
      <c r="AO310" s="450"/>
      <c r="AP310" s="450"/>
      <c r="AQ310" s="450"/>
      <c r="AR310" s="450"/>
      <c r="AS310" s="450"/>
      <c r="AT310" s="450"/>
      <c r="AU310" s="450"/>
      <c r="AV310" s="450"/>
      <c r="AW310" s="450"/>
      <c r="AX310" s="450"/>
      <c r="AY310" s="450"/>
      <c r="AZ310" s="450"/>
      <c r="BA310" s="450"/>
      <c r="BB310" s="450"/>
      <c r="BC310" s="450"/>
      <c r="BD310" s="450"/>
      <c r="BE310" s="450"/>
      <c r="BF310" s="450"/>
      <c r="BG310" s="450"/>
      <c r="BH310" s="450"/>
      <c r="BI310" s="450"/>
      <c r="BJ310" s="450"/>
      <c r="BK310" s="450"/>
      <c r="BL310" s="450"/>
      <c r="BM310" s="450"/>
      <c r="BN310" s="450"/>
      <c r="BO310" s="450"/>
      <c r="BP310" s="450"/>
      <c r="BQ310" s="450"/>
      <c r="BR310" s="450"/>
      <c r="BS310" s="450"/>
      <c r="BT310" s="450"/>
      <c r="BU310" s="450"/>
      <c r="BV310" s="450"/>
      <c r="BW310" s="450"/>
      <c r="BX310" s="450"/>
      <c r="BY310" s="450"/>
      <c r="BZ310" s="450"/>
      <c r="CA310" s="450"/>
      <c r="CB310" s="450"/>
      <c r="CC310" s="450"/>
      <c r="CD310" s="450"/>
      <c r="CE310" s="450"/>
      <c r="CF310" s="450"/>
      <c r="CG310" s="450"/>
      <c r="CH310" s="450"/>
    </row>
    <row r="311">
      <c r="A311" s="450"/>
      <c r="B311" s="498"/>
      <c r="C311" s="455"/>
      <c r="D311" s="450"/>
      <c r="E311" s="450"/>
      <c r="F311" s="450"/>
      <c r="G311" s="450"/>
      <c r="H311" s="450"/>
      <c r="I311" s="450"/>
      <c r="J311" s="450"/>
      <c r="K311" s="450"/>
      <c r="L311" s="450"/>
      <c r="M311" s="450"/>
      <c r="N311" s="450"/>
      <c r="O311" s="450"/>
      <c r="P311" s="450"/>
      <c r="Q311" s="450"/>
      <c r="R311" s="450"/>
      <c r="S311" s="450"/>
      <c r="T311" s="450"/>
      <c r="U311" s="450"/>
      <c r="V311" s="450"/>
      <c r="W311" s="450"/>
      <c r="X311" s="450"/>
      <c r="Y311" s="450"/>
      <c r="Z311" s="450"/>
      <c r="AA311" s="450"/>
      <c r="AB311" s="450"/>
      <c r="AC311" s="450"/>
      <c r="AD311" s="450"/>
      <c r="AE311" s="450"/>
      <c r="AF311" s="450"/>
      <c r="AG311" s="450"/>
      <c r="AH311" s="450"/>
      <c r="AI311" s="450"/>
      <c r="AJ311" s="450"/>
      <c r="AK311" s="450"/>
      <c r="AL311" s="450"/>
      <c r="AM311" s="450"/>
      <c r="AN311" s="450"/>
      <c r="AO311" s="450"/>
      <c r="AP311" s="450"/>
      <c r="AQ311" s="450"/>
      <c r="AR311" s="450"/>
      <c r="AS311" s="450"/>
      <c r="AT311" s="450"/>
      <c r="AU311" s="450"/>
      <c r="AV311" s="450"/>
      <c r="AW311" s="450"/>
      <c r="AX311" s="450"/>
      <c r="AY311" s="450"/>
      <c r="AZ311" s="450"/>
      <c r="BA311" s="450"/>
      <c r="BB311" s="450"/>
      <c r="BC311" s="450"/>
      <c r="BD311" s="450"/>
      <c r="BE311" s="450"/>
      <c r="BF311" s="450"/>
      <c r="BG311" s="450"/>
      <c r="BH311" s="450"/>
      <c r="BI311" s="450"/>
      <c r="BJ311" s="450"/>
      <c r="BK311" s="450"/>
      <c r="BL311" s="450"/>
      <c r="BM311" s="450"/>
      <c r="BN311" s="450"/>
      <c r="BO311" s="450"/>
      <c r="BP311" s="450"/>
      <c r="BQ311" s="450"/>
      <c r="BR311" s="450"/>
      <c r="BS311" s="450"/>
      <c r="BT311" s="450"/>
      <c r="BU311" s="450"/>
      <c r="BV311" s="450"/>
      <c r="BW311" s="450"/>
      <c r="BX311" s="450"/>
      <c r="BY311" s="450"/>
      <c r="BZ311" s="450"/>
      <c r="CA311" s="450"/>
      <c r="CB311" s="450"/>
      <c r="CC311" s="450"/>
      <c r="CD311" s="450"/>
      <c r="CE311" s="450"/>
      <c r="CF311" s="450"/>
      <c r="CG311" s="450"/>
      <c r="CH311" s="450"/>
    </row>
    <row r="312">
      <c r="A312" s="450"/>
      <c r="B312" s="498"/>
      <c r="C312" s="455"/>
      <c r="D312" s="450"/>
      <c r="E312" s="450"/>
      <c r="F312" s="450"/>
      <c r="G312" s="450"/>
      <c r="H312" s="450"/>
      <c r="I312" s="450"/>
      <c r="J312" s="450"/>
      <c r="K312" s="450"/>
      <c r="L312" s="450"/>
      <c r="M312" s="450"/>
      <c r="N312" s="450"/>
      <c r="O312" s="450"/>
      <c r="P312" s="450"/>
      <c r="Q312" s="450"/>
      <c r="R312" s="450"/>
      <c r="S312" s="450"/>
      <c r="T312" s="450"/>
      <c r="U312" s="450"/>
      <c r="V312" s="450"/>
      <c r="W312" s="450"/>
      <c r="X312" s="450"/>
      <c r="Y312" s="450"/>
      <c r="Z312" s="450"/>
      <c r="AA312" s="450"/>
      <c r="AB312" s="450"/>
      <c r="AC312" s="450"/>
      <c r="AD312" s="450"/>
      <c r="AE312" s="450"/>
      <c r="AF312" s="450"/>
      <c r="AG312" s="450"/>
      <c r="AH312" s="450"/>
      <c r="AI312" s="450"/>
      <c r="AJ312" s="450"/>
      <c r="AK312" s="450"/>
      <c r="AL312" s="450"/>
      <c r="AM312" s="450"/>
      <c r="AN312" s="450"/>
      <c r="AO312" s="450"/>
      <c r="AP312" s="450"/>
      <c r="AQ312" s="450"/>
      <c r="AR312" s="450"/>
      <c r="AS312" s="450"/>
      <c r="AT312" s="450"/>
      <c r="AU312" s="450"/>
      <c r="AV312" s="450"/>
      <c r="AW312" s="450"/>
      <c r="AX312" s="450"/>
      <c r="AY312" s="450"/>
      <c r="AZ312" s="450"/>
      <c r="BA312" s="450"/>
      <c r="BB312" s="450"/>
      <c r="BC312" s="450"/>
      <c r="BD312" s="450"/>
      <c r="BE312" s="450"/>
      <c r="BF312" s="450"/>
      <c r="BG312" s="450"/>
      <c r="BH312" s="450"/>
      <c r="BI312" s="450"/>
      <c r="BJ312" s="450"/>
      <c r="BK312" s="450"/>
      <c r="BL312" s="450"/>
      <c r="BM312" s="450"/>
      <c r="BN312" s="450"/>
      <c r="BO312" s="450"/>
      <c r="BP312" s="450"/>
      <c r="BQ312" s="450"/>
      <c r="BR312" s="450"/>
      <c r="BS312" s="450"/>
      <c r="BT312" s="450"/>
      <c r="BU312" s="450"/>
      <c r="BV312" s="450"/>
      <c r="BW312" s="450"/>
      <c r="BX312" s="450"/>
      <c r="BY312" s="450"/>
      <c r="BZ312" s="450"/>
      <c r="CA312" s="450"/>
      <c r="CB312" s="450"/>
      <c r="CC312" s="450"/>
      <c r="CD312" s="450"/>
      <c r="CE312" s="450"/>
      <c r="CF312" s="450"/>
      <c r="CG312" s="450"/>
      <c r="CH312" s="450"/>
    </row>
    <row r="313">
      <c r="A313" s="450"/>
      <c r="B313" s="498"/>
      <c r="C313" s="455"/>
      <c r="D313" s="450"/>
      <c r="E313" s="450"/>
      <c r="F313" s="450"/>
      <c r="G313" s="450"/>
      <c r="H313" s="450"/>
      <c r="I313" s="450"/>
      <c r="J313" s="450"/>
      <c r="K313" s="450"/>
      <c r="L313" s="450"/>
      <c r="M313" s="450"/>
      <c r="N313" s="450"/>
      <c r="O313" s="450"/>
      <c r="P313" s="450"/>
      <c r="Q313" s="450"/>
      <c r="R313" s="450"/>
      <c r="S313" s="450"/>
      <c r="T313" s="450"/>
      <c r="U313" s="450"/>
      <c r="V313" s="450"/>
      <c r="W313" s="450"/>
      <c r="X313" s="450"/>
      <c r="Y313" s="450"/>
      <c r="Z313" s="450"/>
      <c r="AA313" s="450"/>
      <c r="AB313" s="450"/>
      <c r="AC313" s="450"/>
      <c r="AD313" s="450"/>
      <c r="AE313" s="450"/>
      <c r="AF313" s="450"/>
      <c r="AG313" s="450"/>
      <c r="AH313" s="450"/>
      <c r="AI313" s="450"/>
      <c r="AJ313" s="450"/>
      <c r="AK313" s="450"/>
      <c r="AL313" s="450"/>
      <c r="AM313" s="450"/>
      <c r="AN313" s="450"/>
      <c r="AO313" s="450"/>
      <c r="AP313" s="450"/>
      <c r="AQ313" s="450"/>
      <c r="AR313" s="450"/>
      <c r="AS313" s="450"/>
      <c r="AT313" s="450"/>
      <c r="AU313" s="450"/>
      <c r="AV313" s="450"/>
      <c r="AW313" s="450"/>
      <c r="AX313" s="450"/>
      <c r="AY313" s="450"/>
      <c r="AZ313" s="450"/>
      <c r="BA313" s="450"/>
      <c r="BB313" s="450"/>
      <c r="BC313" s="450"/>
      <c r="BD313" s="450"/>
      <c r="BE313" s="450"/>
      <c r="BF313" s="450"/>
      <c r="BG313" s="450"/>
      <c r="BH313" s="450"/>
      <c r="BI313" s="450"/>
      <c r="BJ313" s="450"/>
      <c r="BK313" s="450"/>
      <c r="BL313" s="450"/>
      <c r="BM313" s="450"/>
      <c r="BN313" s="450"/>
      <c r="BO313" s="450"/>
      <c r="BP313" s="450"/>
      <c r="BQ313" s="450"/>
      <c r="BR313" s="450"/>
      <c r="BS313" s="450"/>
      <c r="BT313" s="450"/>
      <c r="BU313" s="450"/>
      <c r="BV313" s="450"/>
      <c r="BW313" s="450"/>
      <c r="BX313" s="450"/>
      <c r="BY313" s="450"/>
      <c r="BZ313" s="450"/>
      <c r="CA313" s="450"/>
      <c r="CB313" s="450"/>
      <c r="CC313" s="450"/>
      <c r="CD313" s="450"/>
      <c r="CE313" s="450"/>
      <c r="CF313" s="450"/>
      <c r="CG313" s="450"/>
      <c r="CH313" s="450"/>
    </row>
    <row r="314">
      <c r="A314" s="450"/>
      <c r="B314" s="498"/>
      <c r="C314" s="455"/>
      <c r="D314" s="450"/>
      <c r="E314" s="450"/>
      <c r="F314" s="450"/>
      <c r="G314" s="450"/>
      <c r="H314" s="450"/>
      <c r="I314" s="450"/>
      <c r="J314" s="450"/>
      <c r="K314" s="450"/>
      <c r="L314" s="450"/>
      <c r="M314" s="450"/>
      <c r="N314" s="450"/>
      <c r="O314" s="450"/>
      <c r="P314" s="450"/>
      <c r="Q314" s="450"/>
      <c r="R314" s="450"/>
      <c r="S314" s="450"/>
      <c r="T314" s="450"/>
      <c r="U314" s="450"/>
      <c r="V314" s="450"/>
      <c r="W314" s="450"/>
      <c r="X314" s="450"/>
      <c r="Y314" s="450"/>
      <c r="Z314" s="450"/>
      <c r="AA314" s="450"/>
      <c r="AB314" s="450"/>
      <c r="AC314" s="450"/>
      <c r="AD314" s="450"/>
      <c r="AE314" s="450"/>
      <c r="AF314" s="450"/>
      <c r="AG314" s="450"/>
      <c r="AH314" s="450"/>
      <c r="AI314" s="450"/>
      <c r="AJ314" s="450"/>
      <c r="AK314" s="450"/>
      <c r="AL314" s="450"/>
      <c r="AM314" s="450"/>
      <c r="AN314" s="450"/>
      <c r="AO314" s="450"/>
      <c r="AP314" s="450"/>
      <c r="AQ314" s="450"/>
      <c r="AR314" s="450"/>
      <c r="AS314" s="450"/>
      <c r="AT314" s="450"/>
      <c r="AU314" s="450"/>
      <c r="AV314" s="450"/>
      <c r="AW314" s="450"/>
      <c r="AX314" s="450"/>
      <c r="AY314" s="450"/>
      <c r="AZ314" s="450"/>
      <c r="BA314" s="450"/>
      <c r="BB314" s="450"/>
      <c r="BC314" s="450"/>
      <c r="BD314" s="450"/>
      <c r="BE314" s="450"/>
      <c r="BF314" s="450"/>
      <c r="BG314" s="450"/>
      <c r="BH314" s="450"/>
      <c r="BI314" s="450"/>
      <c r="BJ314" s="450"/>
      <c r="BK314" s="450"/>
      <c r="BL314" s="450"/>
      <c r="BM314" s="450"/>
      <c r="BN314" s="450"/>
      <c r="BO314" s="450"/>
      <c r="BP314" s="450"/>
      <c r="BQ314" s="450"/>
      <c r="BR314" s="450"/>
      <c r="BS314" s="450"/>
      <c r="BT314" s="450"/>
      <c r="BU314" s="450"/>
      <c r="BV314" s="450"/>
      <c r="BW314" s="450"/>
      <c r="BX314" s="450"/>
      <c r="BY314" s="450"/>
      <c r="BZ314" s="450"/>
      <c r="CA314" s="450"/>
      <c r="CB314" s="450"/>
      <c r="CC314" s="450"/>
      <c r="CD314" s="450"/>
      <c r="CE314" s="450"/>
      <c r="CF314" s="450"/>
      <c r="CG314" s="450"/>
      <c r="CH314" s="450"/>
    </row>
    <row r="315">
      <c r="A315" s="450"/>
      <c r="B315" s="498"/>
      <c r="C315" s="455"/>
      <c r="D315" s="450"/>
      <c r="E315" s="450"/>
      <c r="F315" s="450"/>
      <c r="G315" s="450"/>
      <c r="H315" s="450"/>
      <c r="I315" s="450"/>
      <c r="J315" s="450"/>
      <c r="K315" s="450"/>
      <c r="L315" s="450"/>
      <c r="M315" s="450"/>
      <c r="N315" s="450"/>
      <c r="O315" s="450"/>
      <c r="P315" s="450"/>
      <c r="Q315" s="450"/>
      <c r="R315" s="450"/>
      <c r="S315" s="450"/>
      <c r="T315" s="450"/>
      <c r="U315" s="450"/>
      <c r="V315" s="450"/>
      <c r="W315" s="450"/>
      <c r="X315" s="450"/>
      <c r="Y315" s="450"/>
      <c r="Z315" s="450"/>
      <c r="AA315" s="450"/>
      <c r="AB315" s="450"/>
      <c r="AC315" s="450"/>
      <c r="AD315" s="450"/>
      <c r="AE315" s="450"/>
      <c r="AF315" s="450"/>
      <c r="AG315" s="450"/>
      <c r="AH315" s="450"/>
      <c r="AI315" s="450"/>
      <c r="AJ315" s="450"/>
      <c r="AK315" s="450"/>
      <c r="AL315" s="450"/>
      <c r="AM315" s="450"/>
      <c r="AN315" s="450"/>
      <c r="AO315" s="450"/>
      <c r="AP315" s="450"/>
      <c r="AQ315" s="450"/>
      <c r="AR315" s="450"/>
      <c r="AS315" s="450"/>
      <c r="AT315" s="450"/>
      <c r="AU315" s="450"/>
      <c r="AV315" s="450"/>
      <c r="AW315" s="450"/>
      <c r="AX315" s="450"/>
      <c r="AY315" s="450"/>
      <c r="AZ315" s="450"/>
      <c r="BA315" s="450"/>
      <c r="BB315" s="450"/>
      <c r="BC315" s="450"/>
      <c r="BD315" s="450"/>
      <c r="BE315" s="450"/>
      <c r="BF315" s="450"/>
      <c r="BG315" s="450"/>
      <c r="BH315" s="450"/>
      <c r="BI315" s="450"/>
      <c r="BJ315" s="450"/>
      <c r="BK315" s="450"/>
      <c r="BL315" s="450"/>
      <c r="BM315" s="450"/>
      <c r="BN315" s="450"/>
      <c r="BO315" s="450"/>
      <c r="BP315" s="450"/>
      <c r="BQ315" s="450"/>
      <c r="BR315" s="450"/>
      <c r="BS315" s="450"/>
      <c r="BT315" s="450"/>
      <c r="BU315" s="450"/>
      <c r="BV315" s="450"/>
      <c r="BW315" s="450"/>
      <c r="BX315" s="450"/>
      <c r="BY315" s="450"/>
      <c r="BZ315" s="450"/>
      <c r="CA315" s="450"/>
      <c r="CB315" s="450"/>
      <c r="CC315" s="450"/>
      <c r="CD315" s="450"/>
      <c r="CE315" s="450"/>
      <c r="CF315" s="450"/>
      <c r="CG315" s="450"/>
      <c r="CH315" s="450"/>
    </row>
    <row r="316">
      <c r="A316" s="450"/>
      <c r="B316" s="498"/>
      <c r="C316" s="455"/>
      <c r="D316" s="450"/>
      <c r="E316" s="450"/>
      <c r="F316" s="450"/>
      <c r="G316" s="450"/>
      <c r="H316" s="450"/>
      <c r="I316" s="450"/>
      <c r="J316" s="450"/>
      <c r="K316" s="450"/>
      <c r="L316" s="450"/>
      <c r="M316" s="450"/>
      <c r="N316" s="450"/>
      <c r="O316" s="450"/>
      <c r="P316" s="450"/>
      <c r="Q316" s="450"/>
      <c r="R316" s="450"/>
      <c r="S316" s="450"/>
      <c r="T316" s="450"/>
      <c r="U316" s="450"/>
      <c r="V316" s="450"/>
      <c r="W316" s="450"/>
      <c r="X316" s="450"/>
      <c r="Y316" s="450"/>
      <c r="Z316" s="450"/>
      <c r="AA316" s="450"/>
      <c r="AB316" s="450"/>
      <c r="AC316" s="450"/>
      <c r="AD316" s="450"/>
      <c r="AE316" s="450"/>
      <c r="AF316" s="450"/>
      <c r="AG316" s="450"/>
      <c r="AH316" s="450"/>
      <c r="AI316" s="450"/>
      <c r="AJ316" s="450"/>
      <c r="AK316" s="450"/>
      <c r="AL316" s="450"/>
      <c r="AM316" s="450"/>
      <c r="AN316" s="450"/>
      <c r="AO316" s="450"/>
      <c r="AP316" s="450"/>
      <c r="AQ316" s="450"/>
      <c r="AR316" s="450"/>
      <c r="AS316" s="450"/>
      <c r="AT316" s="450"/>
      <c r="AU316" s="450"/>
      <c r="AV316" s="450"/>
      <c r="AW316" s="450"/>
      <c r="AX316" s="450"/>
      <c r="AY316" s="450"/>
      <c r="AZ316" s="450"/>
      <c r="BA316" s="450"/>
      <c r="BB316" s="450"/>
      <c r="BC316" s="450"/>
      <c r="BD316" s="450"/>
      <c r="BE316" s="450"/>
      <c r="BF316" s="450"/>
      <c r="BG316" s="450"/>
      <c r="BH316" s="450"/>
      <c r="BI316" s="450"/>
      <c r="BJ316" s="450"/>
      <c r="BK316" s="450"/>
      <c r="BL316" s="450"/>
      <c r="BM316" s="450"/>
      <c r="BN316" s="450"/>
      <c r="BO316" s="450"/>
      <c r="BP316" s="450"/>
      <c r="BQ316" s="450"/>
      <c r="BR316" s="450"/>
      <c r="BS316" s="450"/>
      <c r="BT316" s="450"/>
      <c r="BU316" s="450"/>
      <c r="BV316" s="450"/>
      <c r="BW316" s="450"/>
      <c r="BX316" s="450"/>
      <c r="BY316" s="450"/>
      <c r="BZ316" s="450"/>
      <c r="CA316" s="450"/>
      <c r="CB316" s="450"/>
      <c r="CC316" s="450"/>
      <c r="CD316" s="450"/>
      <c r="CE316" s="450"/>
      <c r="CF316" s="450"/>
      <c r="CG316" s="450"/>
      <c r="CH316" s="450"/>
    </row>
    <row r="317">
      <c r="A317" s="450"/>
      <c r="B317" s="498"/>
      <c r="C317" s="455"/>
      <c r="D317" s="450"/>
      <c r="E317" s="450"/>
      <c r="F317" s="450"/>
      <c r="G317" s="450"/>
      <c r="H317" s="450"/>
      <c r="I317" s="450"/>
      <c r="J317" s="450"/>
      <c r="K317" s="450"/>
      <c r="L317" s="450"/>
      <c r="M317" s="450"/>
      <c r="N317" s="450"/>
      <c r="O317" s="450"/>
      <c r="P317" s="450"/>
      <c r="Q317" s="450"/>
      <c r="R317" s="450"/>
      <c r="S317" s="450"/>
      <c r="T317" s="450"/>
      <c r="U317" s="450"/>
      <c r="V317" s="450"/>
      <c r="W317" s="450"/>
      <c r="X317" s="450"/>
      <c r="Y317" s="450"/>
      <c r="Z317" s="450"/>
      <c r="AA317" s="450"/>
      <c r="AB317" s="450"/>
      <c r="AC317" s="450"/>
      <c r="AD317" s="450"/>
      <c r="AE317" s="450"/>
      <c r="AF317" s="450"/>
      <c r="AG317" s="450"/>
      <c r="AH317" s="450"/>
      <c r="AI317" s="450"/>
      <c r="AJ317" s="450"/>
      <c r="AK317" s="450"/>
      <c r="AL317" s="450"/>
      <c r="AM317" s="450"/>
      <c r="AN317" s="450"/>
      <c r="AO317" s="450"/>
      <c r="AP317" s="450"/>
      <c r="AQ317" s="450"/>
      <c r="AR317" s="450"/>
      <c r="AS317" s="450"/>
      <c r="AT317" s="450"/>
      <c r="AU317" s="450"/>
      <c r="AV317" s="450"/>
      <c r="AW317" s="450"/>
      <c r="AX317" s="450"/>
      <c r="AY317" s="450"/>
      <c r="AZ317" s="450"/>
      <c r="BA317" s="450"/>
      <c r="BB317" s="450"/>
      <c r="BC317" s="450"/>
      <c r="BD317" s="450"/>
      <c r="BE317" s="450"/>
      <c r="BF317" s="450"/>
      <c r="BG317" s="450"/>
      <c r="BH317" s="450"/>
      <c r="BI317" s="450"/>
      <c r="BJ317" s="450"/>
      <c r="BK317" s="450"/>
      <c r="BL317" s="450"/>
      <c r="BM317" s="450"/>
      <c r="BN317" s="450"/>
      <c r="BO317" s="450"/>
      <c r="BP317" s="450"/>
      <c r="BQ317" s="450"/>
      <c r="BR317" s="450"/>
      <c r="BS317" s="450"/>
      <c r="BT317" s="450"/>
      <c r="BU317" s="450"/>
      <c r="BV317" s="450"/>
      <c r="BW317" s="450"/>
      <c r="BX317" s="450"/>
      <c r="BY317" s="450"/>
      <c r="BZ317" s="450"/>
      <c r="CA317" s="450"/>
      <c r="CB317" s="450"/>
      <c r="CC317" s="450"/>
      <c r="CD317" s="450"/>
      <c r="CE317" s="450"/>
      <c r="CF317" s="450"/>
      <c r="CG317" s="450"/>
      <c r="CH317" s="450"/>
    </row>
    <row r="318">
      <c r="A318" s="450"/>
      <c r="B318" s="498"/>
      <c r="C318" s="455"/>
      <c r="D318" s="450"/>
      <c r="E318" s="450"/>
      <c r="F318" s="450"/>
      <c r="G318" s="450"/>
      <c r="H318" s="450"/>
      <c r="I318" s="450"/>
      <c r="J318" s="450"/>
      <c r="K318" s="450"/>
      <c r="L318" s="450"/>
      <c r="M318" s="450"/>
      <c r="N318" s="450"/>
      <c r="O318" s="450"/>
      <c r="P318" s="450"/>
      <c r="Q318" s="450"/>
      <c r="R318" s="450"/>
      <c r="S318" s="450"/>
      <c r="T318" s="450"/>
      <c r="U318" s="450"/>
      <c r="V318" s="450"/>
      <c r="W318" s="450"/>
      <c r="X318" s="450"/>
      <c r="Y318" s="450"/>
      <c r="Z318" s="450"/>
      <c r="AA318" s="450"/>
      <c r="AB318" s="450"/>
      <c r="AC318" s="450"/>
      <c r="AD318" s="450"/>
      <c r="AE318" s="450"/>
      <c r="AF318" s="450"/>
      <c r="AG318" s="450"/>
      <c r="AH318" s="450"/>
      <c r="AI318" s="450"/>
      <c r="AJ318" s="450"/>
      <c r="AK318" s="450"/>
      <c r="AL318" s="450"/>
      <c r="AM318" s="450"/>
      <c r="AN318" s="450"/>
      <c r="AO318" s="450"/>
      <c r="AP318" s="450"/>
      <c r="AQ318" s="450"/>
      <c r="AR318" s="450"/>
      <c r="AS318" s="450"/>
      <c r="AT318" s="450"/>
      <c r="AU318" s="450"/>
      <c r="AV318" s="450"/>
      <c r="AW318" s="450"/>
      <c r="AX318" s="450"/>
      <c r="AY318" s="450"/>
      <c r="AZ318" s="450"/>
      <c r="BA318" s="450"/>
      <c r="BB318" s="450"/>
      <c r="BC318" s="450"/>
      <c r="BD318" s="450"/>
      <c r="BE318" s="450"/>
      <c r="BF318" s="450"/>
      <c r="BG318" s="450"/>
      <c r="BH318" s="450"/>
      <c r="BI318" s="450"/>
      <c r="BJ318" s="450"/>
      <c r="BK318" s="450"/>
      <c r="BL318" s="450"/>
      <c r="BM318" s="450"/>
      <c r="BN318" s="450"/>
      <c r="BO318" s="450"/>
      <c r="BP318" s="450"/>
      <c r="BQ318" s="450"/>
      <c r="BR318" s="450"/>
      <c r="BS318" s="450"/>
      <c r="BT318" s="450"/>
      <c r="BU318" s="450"/>
      <c r="BV318" s="450"/>
      <c r="BW318" s="450"/>
      <c r="BX318" s="450"/>
      <c r="BY318" s="450"/>
      <c r="BZ318" s="450"/>
      <c r="CA318" s="450"/>
      <c r="CB318" s="450"/>
      <c r="CC318" s="450"/>
      <c r="CD318" s="450"/>
      <c r="CE318" s="450"/>
      <c r="CF318" s="450"/>
      <c r="CG318" s="450"/>
      <c r="CH318" s="450"/>
    </row>
    <row r="319">
      <c r="A319" s="450"/>
      <c r="B319" s="498"/>
      <c r="C319" s="455"/>
      <c r="D319" s="450"/>
      <c r="E319" s="450"/>
      <c r="F319" s="450"/>
      <c r="G319" s="450"/>
      <c r="H319" s="450"/>
      <c r="I319" s="450"/>
      <c r="J319" s="450"/>
      <c r="K319" s="450"/>
      <c r="L319" s="450"/>
      <c r="M319" s="450"/>
      <c r="N319" s="450"/>
      <c r="O319" s="450"/>
      <c r="P319" s="450"/>
      <c r="Q319" s="450"/>
      <c r="R319" s="450"/>
      <c r="S319" s="450"/>
      <c r="T319" s="450"/>
      <c r="U319" s="450"/>
      <c r="V319" s="450"/>
      <c r="W319" s="450"/>
      <c r="X319" s="450"/>
      <c r="Y319" s="450"/>
      <c r="Z319" s="450"/>
      <c r="AA319" s="450"/>
      <c r="AB319" s="450"/>
      <c r="AC319" s="450"/>
      <c r="AD319" s="450"/>
      <c r="AE319" s="450"/>
      <c r="AF319" s="450"/>
      <c r="AG319" s="450"/>
      <c r="AH319" s="450"/>
      <c r="AI319" s="450"/>
      <c r="AJ319" s="450"/>
      <c r="AK319" s="450"/>
      <c r="AL319" s="450"/>
      <c r="AM319" s="450"/>
      <c r="AN319" s="450"/>
      <c r="AO319" s="450"/>
      <c r="AP319" s="450"/>
      <c r="AQ319" s="450"/>
      <c r="AR319" s="450"/>
      <c r="AS319" s="450"/>
      <c r="AT319" s="450"/>
      <c r="AU319" s="450"/>
      <c r="AV319" s="450"/>
      <c r="AW319" s="450"/>
      <c r="AX319" s="450"/>
      <c r="AY319" s="450"/>
      <c r="AZ319" s="450"/>
      <c r="BA319" s="450"/>
      <c r="BB319" s="450"/>
      <c r="BC319" s="450"/>
      <c r="BD319" s="450"/>
      <c r="BE319" s="450"/>
      <c r="BF319" s="450"/>
      <c r="BG319" s="450"/>
      <c r="BH319" s="450"/>
      <c r="BI319" s="450"/>
      <c r="BJ319" s="450"/>
      <c r="BK319" s="450"/>
      <c r="BL319" s="450"/>
      <c r="BM319" s="450"/>
      <c r="BN319" s="450"/>
      <c r="BO319" s="450"/>
      <c r="BP319" s="450"/>
      <c r="BQ319" s="450"/>
      <c r="BR319" s="450"/>
      <c r="BS319" s="450"/>
      <c r="BT319" s="450"/>
      <c r="BU319" s="450"/>
      <c r="BV319" s="450"/>
      <c r="BW319" s="450"/>
      <c r="BX319" s="450"/>
      <c r="BY319" s="450"/>
      <c r="BZ319" s="450"/>
      <c r="CA319" s="450"/>
      <c r="CB319" s="450"/>
      <c r="CC319" s="450"/>
      <c r="CD319" s="450"/>
      <c r="CE319" s="450"/>
      <c r="CF319" s="450"/>
      <c r="CG319" s="450"/>
      <c r="CH319" s="450"/>
    </row>
    <row r="320">
      <c r="A320" s="450"/>
      <c r="B320" s="498"/>
      <c r="C320" s="455"/>
      <c r="D320" s="450"/>
      <c r="E320" s="450"/>
      <c r="F320" s="450"/>
      <c r="G320" s="450"/>
      <c r="H320" s="450"/>
      <c r="I320" s="450"/>
      <c r="J320" s="450"/>
      <c r="K320" s="450"/>
      <c r="L320" s="450"/>
      <c r="M320" s="450"/>
      <c r="N320" s="450"/>
      <c r="O320" s="450"/>
      <c r="P320" s="450"/>
      <c r="Q320" s="450"/>
      <c r="R320" s="450"/>
      <c r="S320" s="450"/>
      <c r="T320" s="450"/>
      <c r="U320" s="450"/>
      <c r="V320" s="450"/>
      <c r="W320" s="450"/>
      <c r="X320" s="450"/>
      <c r="Y320" s="450"/>
      <c r="Z320" s="450"/>
      <c r="AA320" s="450"/>
      <c r="AB320" s="450"/>
      <c r="AC320" s="450"/>
      <c r="AD320" s="450"/>
      <c r="AE320" s="450"/>
      <c r="AF320" s="450"/>
      <c r="AG320" s="450"/>
      <c r="AH320" s="450"/>
      <c r="AI320" s="450"/>
      <c r="AJ320" s="450"/>
      <c r="AK320" s="450"/>
      <c r="AL320" s="450"/>
      <c r="AM320" s="450"/>
      <c r="AN320" s="450"/>
      <c r="AO320" s="450"/>
      <c r="AP320" s="450"/>
      <c r="AQ320" s="450"/>
      <c r="AR320" s="450"/>
      <c r="AS320" s="450"/>
      <c r="AT320" s="450"/>
      <c r="AU320" s="450"/>
      <c r="AV320" s="450"/>
      <c r="AW320" s="450"/>
      <c r="AX320" s="450"/>
      <c r="AY320" s="450"/>
      <c r="AZ320" s="450"/>
      <c r="BA320" s="450"/>
      <c r="BB320" s="450"/>
      <c r="BC320" s="450"/>
      <c r="BD320" s="450"/>
      <c r="BE320" s="450"/>
      <c r="BF320" s="450"/>
      <c r="BG320" s="450"/>
      <c r="BH320" s="450"/>
      <c r="BI320" s="450"/>
      <c r="BJ320" s="450"/>
      <c r="BK320" s="450"/>
      <c r="BL320" s="450"/>
      <c r="BM320" s="450"/>
      <c r="BN320" s="450"/>
      <c r="BO320" s="450"/>
      <c r="BP320" s="450"/>
      <c r="BQ320" s="450"/>
      <c r="BR320" s="450"/>
      <c r="BS320" s="450"/>
      <c r="BT320" s="450"/>
      <c r="BU320" s="450"/>
      <c r="BV320" s="450"/>
      <c r="BW320" s="450"/>
      <c r="BX320" s="450"/>
      <c r="BY320" s="450"/>
      <c r="BZ320" s="450"/>
      <c r="CA320" s="450"/>
      <c r="CB320" s="450"/>
      <c r="CC320" s="450"/>
      <c r="CD320" s="450"/>
      <c r="CE320" s="450"/>
      <c r="CF320" s="450"/>
      <c r="CG320" s="450"/>
      <c r="CH320" s="450"/>
    </row>
    <row r="321">
      <c r="A321" s="450"/>
      <c r="B321" s="498"/>
      <c r="C321" s="455"/>
      <c r="D321" s="450"/>
      <c r="E321" s="450"/>
      <c r="F321" s="450"/>
      <c r="G321" s="450"/>
      <c r="H321" s="450"/>
      <c r="I321" s="450"/>
      <c r="J321" s="450"/>
      <c r="K321" s="450"/>
      <c r="L321" s="450"/>
      <c r="M321" s="450"/>
      <c r="N321" s="450"/>
      <c r="O321" s="450"/>
      <c r="P321" s="450"/>
      <c r="Q321" s="450"/>
      <c r="R321" s="450"/>
      <c r="S321" s="450"/>
      <c r="T321" s="450"/>
      <c r="U321" s="450"/>
      <c r="V321" s="450"/>
      <c r="W321" s="450"/>
      <c r="X321" s="450"/>
      <c r="Y321" s="450"/>
      <c r="Z321" s="450"/>
      <c r="AA321" s="450"/>
      <c r="AB321" s="450"/>
      <c r="AC321" s="450"/>
      <c r="AD321" s="450"/>
      <c r="AE321" s="450"/>
      <c r="AF321" s="450"/>
      <c r="AG321" s="450"/>
      <c r="AH321" s="450"/>
      <c r="AI321" s="450"/>
      <c r="AJ321" s="450"/>
      <c r="AK321" s="450"/>
      <c r="AL321" s="450"/>
      <c r="AM321" s="450"/>
      <c r="AN321" s="450"/>
      <c r="AO321" s="450"/>
      <c r="AP321" s="450"/>
      <c r="AQ321" s="450"/>
      <c r="AR321" s="450"/>
      <c r="AS321" s="450"/>
      <c r="AT321" s="450"/>
      <c r="AU321" s="450"/>
      <c r="AV321" s="450"/>
      <c r="AW321" s="450"/>
      <c r="AX321" s="450"/>
      <c r="AY321" s="450"/>
      <c r="AZ321" s="450"/>
      <c r="BA321" s="450"/>
      <c r="BB321" s="450"/>
      <c r="BC321" s="450"/>
      <c r="BD321" s="450"/>
      <c r="BE321" s="450"/>
      <c r="BF321" s="450"/>
      <c r="BG321" s="450"/>
      <c r="BH321" s="450"/>
      <c r="BI321" s="450"/>
      <c r="BJ321" s="450"/>
      <c r="BK321" s="450"/>
      <c r="BL321" s="450"/>
      <c r="BM321" s="450"/>
      <c r="BN321" s="450"/>
      <c r="BO321" s="450"/>
      <c r="BP321" s="450"/>
      <c r="BQ321" s="450"/>
      <c r="BR321" s="450"/>
      <c r="BS321" s="450"/>
      <c r="BT321" s="450"/>
      <c r="BU321" s="450"/>
      <c r="BV321" s="450"/>
      <c r="BW321" s="450"/>
      <c r="BX321" s="450"/>
      <c r="BY321" s="450"/>
      <c r="BZ321" s="450"/>
      <c r="CA321" s="450"/>
      <c r="CB321" s="450"/>
      <c r="CC321" s="450"/>
      <c r="CD321" s="450"/>
      <c r="CE321" s="450"/>
      <c r="CF321" s="450"/>
      <c r="CG321" s="450"/>
      <c r="CH321" s="450"/>
    </row>
    <row r="322">
      <c r="A322" s="450"/>
      <c r="B322" s="498"/>
      <c r="C322" s="455"/>
      <c r="D322" s="450"/>
      <c r="E322" s="450"/>
      <c r="F322" s="450"/>
      <c r="G322" s="450"/>
      <c r="H322" s="450"/>
      <c r="I322" s="450"/>
      <c r="J322" s="450"/>
      <c r="K322" s="450"/>
      <c r="L322" s="450"/>
      <c r="M322" s="450"/>
      <c r="N322" s="450"/>
      <c r="O322" s="450"/>
      <c r="P322" s="450"/>
      <c r="Q322" s="450"/>
      <c r="R322" s="450"/>
      <c r="S322" s="450"/>
      <c r="T322" s="450"/>
      <c r="U322" s="450"/>
      <c r="V322" s="450"/>
      <c r="W322" s="450"/>
      <c r="X322" s="450"/>
      <c r="Y322" s="450"/>
      <c r="Z322" s="450"/>
      <c r="AA322" s="450"/>
      <c r="AB322" s="450"/>
      <c r="AC322" s="450"/>
      <c r="AD322" s="450"/>
      <c r="AE322" s="450"/>
      <c r="AF322" s="450"/>
      <c r="AG322" s="450"/>
      <c r="AH322" s="450"/>
      <c r="AI322" s="450"/>
      <c r="AJ322" s="450"/>
      <c r="AK322" s="450"/>
      <c r="AL322" s="450"/>
      <c r="AM322" s="450"/>
      <c r="AN322" s="450"/>
      <c r="AO322" s="450"/>
      <c r="AP322" s="450"/>
      <c r="AQ322" s="450"/>
      <c r="AR322" s="450"/>
      <c r="AS322" s="450"/>
      <c r="AT322" s="450"/>
      <c r="AU322" s="450"/>
      <c r="AV322" s="450"/>
      <c r="AW322" s="450"/>
      <c r="AX322" s="450"/>
      <c r="AY322" s="450"/>
      <c r="AZ322" s="450"/>
      <c r="BA322" s="450"/>
      <c r="BB322" s="450"/>
      <c r="BC322" s="450"/>
      <c r="BD322" s="450"/>
      <c r="BE322" s="450"/>
      <c r="BF322" s="450"/>
      <c r="BG322" s="450"/>
      <c r="BH322" s="450"/>
      <c r="BI322" s="450"/>
      <c r="BJ322" s="450"/>
      <c r="BK322" s="450"/>
      <c r="BL322" s="450"/>
      <c r="BM322" s="450"/>
      <c r="BN322" s="450"/>
      <c r="BO322" s="450"/>
      <c r="BP322" s="450"/>
      <c r="BQ322" s="450"/>
      <c r="BR322" s="450"/>
      <c r="BS322" s="450"/>
      <c r="BT322" s="450"/>
      <c r="BU322" s="450"/>
      <c r="BV322" s="450"/>
      <c r="BW322" s="450"/>
      <c r="BX322" s="450"/>
      <c r="BY322" s="450"/>
      <c r="BZ322" s="450"/>
      <c r="CA322" s="450"/>
      <c r="CB322" s="450"/>
      <c r="CC322" s="450"/>
      <c r="CD322" s="450"/>
      <c r="CE322" s="450"/>
      <c r="CF322" s="450"/>
      <c r="CG322" s="450"/>
      <c r="CH322" s="450"/>
    </row>
    <row r="323">
      <c r="A323" s="450"/>
      <c r="B323" s="498"/>
      <c r="C323" s="455"/>
      <c r="D323" s="450"/>
      <c r="E323" s="450"/>
      <c r="F323" s="450"/>
      <c r="G323" s="450"/>
      <c r="H323" s="450"/>
      <c r="I323" s="450"/>
      <c r="J323" s="450"/>
      <c r="K323" s="450"/>
      <c r="L323" s="450"/>
      <c r="M323" s="450"/>
      <c r="N323" s="450"/>
      <c r="O323" s="450"/>
      <c r="P323" s="450"/>
      <c r="Q323" s="450"/>
      <c r="R323" s="450"/>
      <c r="S323" s="450"/>
      <c r="T323" s="450"/>
      <c r="U323" s="450"/>
      <c r="V323" s="450"/>
      <c r="W323" s="450"/>
      <c r="X323" s="450"/>
      <c r="Y323" s="450"/>
      <c r="Z323" s="450"/>
      <c r="AA323" s="450"/>
      <c r="AB323" s="450"/>
      <c r="AC323" s="450"/>
      <c r="AD323" s="450"/>
      <c r="AE323" s="450"/>
      <c r="AF323" s="450"/>
      <c r="AG323" s="450"/>
      <c r="AH323" s="450"/>
      <c r="AI323" s="450"/>
      <c r="AJ323" s="450"/>
      <c r="AK323" s="450"/>
      <c r="AL323" s="450"/>
      <c r="AM323" s="450"/>
      <c r="AN323" s="450"/>
      <c r="AO323" s="450"/>
      <c r="AP323" s="450"/>
      <c r="AQ323" s="450"/>
      <c r="AR323" s="450"/>
      <c r="AS323" s="450"/>
      <c r="AT323" s="450"/>
      <c r="AU323" s="450"/>
      <c r="AV323" s="450"/>
      <c r="AW323" s="450"/>
      <c r="AX323" s="450"/>
      <c r="AY323" s="450"/>
      <c r="AZ323" s="450"/>
      <c r="BA323" s="450"/>
      <c r="BB323" s="450"/>
      <c r="BC323" s="450"/>
      <c r="BD323" s="450"/>
      <c r="BE323" s="450"/>
      <c r="BF323" s="450"/>
      <c r="BG323" s="450"/>
      <c r="BH323" s="450"/>
      <c r="BI323" s="450"/>
      <c r="BJ323" s="450"/>
      <c r="BK323" s="450"/>
      <c r="BL323" s="450"/>
      <c r="BM323" s="450"/>
      <c r="BN323" s="450"/>
      <c r="BO323" s="450"/>
      <c r="BP323" s="450"/>
      <c r="BQ323" s="450"/>
      <c r="BR323" s="450"/>
      <c r="BS323" s="450"/>
      <c r="BT323" s="450"/>
      <c r="BU323" s="450"/>
      <c r="BV323" s="450"/>
      <c r="BW323" s="450"/>
      <c r="BX323" s="450"/>
      <c r="BY323" s="450"/>
      <c r="BZ323" s="450"/>
      <c r="CA323" s="450"/>
      <c r="CB323" s="450"/>
      <c r="CC323" s="450"/>
      <c r="CD323" s="450"/>
      <c r="CE323" s="450"/>
      <c r="CF323" s="450"/>
      <c r="CG323" s="450"/>
      <c r="CH323" s="450"/>
    </row>
    <row r="324">
      <c r="A324" s="450"/>
      <c r="B324" s="498"/>
      <c r="C324" s="455"/>
      <c r="D324" s="450"/>
      <c r="E324" s="450"/>
      <c r="F324" s="450"/>
      <c r="G324" s="450"/>
      <c r="H324" s="450"/>
      <c r="I324" s="450"/>
      <c r="J324" s="450"/>
      <c r="K324" s="450"/>
      <c r="L324" s="450"/>
      <c r="M324" s="450"/>
      <c r="N324" s="450"/>
      <c r="O324" s="450"/>
      <c r="P324" s="450"/>
      <c r="Q324" s="450"/>
      <c r="R324" s="450"/>
      <c r="S324" s="450"/>
      <c r="T324" s="450"/>
      <c r="U324" s="450"/>
      <c r="V324" s="450"/>
      <c r="W324" s="450"/>
      <c r="X324" s="450"/>
      <c r="Y324" s="450"/>
      <c r="Z324" s="450"/>
      <c r="AA324" s="450"/>
      <c r="AB324" s="450"/>
      <c r="AC324" s="450"/>
      <c r="AD324" s="450"/>
      <c r="AE324" s="450"/>
      <c r="AF324" s="450"/>
      <c r="AG324" s="450"/>
      <c r="AH324" s="450"/>
      <c r="AI324" s="450"/>
      <c r="AJ324" s="450"/>
      <c r="AK324" s="450"/>
      <c r="AL324" s="450"/>
      <c r="AM324" s="450"/>
      <c r="AN324" s="450"/>
      <c r="AO324" s="450"/>
      <c r="AP324" s="450"/>
      <c r="AQ324" s="450"/>
      <c r="AR324" s="450"/>
      <c r="AS324" s="450"/>
      <c r="AT324" s="450"/>
      <c r="AU324" s="450"/>
      <c r="AV324" s="450"/>
      <c r="AW324" s="450"/>
      <c r="AX324" s="450"/>
      <c r="AY324" s="450"/>
      <c r="AZ324" s="450"/>
      <c r="BA324" s="450"/>
      <c r="BB324" s="450"/>
      <c r="BC324" s="450"/>
      <c r="BD324" s="450"/>
      <c r="BE324" s="450"/>
      <c r="BF324" s="450"/>
      <c r="BG324" s="450"/>
      <c r="BH324" s="450"/>
      <c r="BI324" s="450"/>
      <c r="BJ324" s="450"/>
      <c r="BK324" s="450"/>
      <c r="BL324" s="450"/>
      <c r="BM324" s="450"/>
      <c r="BN324" s="450"/>
      <c r="BO324" s="450"/>
      <c r="BP324" s="450"/>
      <c r="BQ324" s="450"/>
      <c r="BR324" s="450"/>
      <c r="BS324" s="450"/>
      <c r="BT324" s="450"/>
      <c r="BU324" s="450"/>
      <c r="BV324" s="450"/>
      <c r="BW324" s="450"/>
      <c r="BX324" s="450"/>
      <c r="BY324" s="450"/>
      <c r="BZ324" s="450"/>
      <c r="CA324" s="450"/>
      <c r="CB324" s="450"/>
      <c r="CC324" s="450"/>
      <c r="CD324" s="450"/>
      <c r="CE324" s="450"/>
      <c r="CF324" s="450"/>
      <c r="CG324" s="450"/>
      <c r="CH324" s="450"/>
    </row>
    <row r="325">
      <c r="A325" s="450"/>
      <c r="B325" s="498"/>
      <c r="C325" s="455"/>
      <c r="D325" s="450"/>
      <c r="E325" s="450"/>
      <c r="F325" s="450"/>
      <c r="G325" s="450"/>
      <c r="H325" s="450"/>
      <c r="I325" s="450"/>
      <c r="J325" s="450"/>
      <c r="K325" s="450"/>
      <c r="L325" s="450"/>
      <c r="M325" s="450"/>
      <c r="N325" s="450"/>
      <c r="O325" s="450"/>
      <c r="P325" s="450"/>
      <c r="Q325" s="450"/>
      <c r="R325" s="450"/>
      <c r="S325" s="450"/>
      <c r="T325" s="450"/>
      <c r="U325" s="450"/>
      <c r="V325" s="450"/>
      <c r="W325" s="450"/>
      <c r="X325" s="450"/>
      <c r="Y325" s="450"/>
      <c r="Z325" s="450"/>
      <c r="AA325" s="450"/>
      <c r="AB325" s="450"/>
      <c r="AC325" s="450"/>
      <c r="AD325" s="450"/>
      <c r="AE325" s="450"/>
      <c r="AF325" s="450"/>
      <c r="AG325" s="450"/>
      <c r="AH325" s="450"/>
      <c r="AI325" s="450"/>
      <c r="AJ325" s="450"/>
      <c r="AK325" s="450"/>
      <c r="AL325" s="450"/>
      <c r="AM325" s="450"/>
      <c r="AN325" s="450"/>
      <c r="AO325" s="450"/>
      <c r="AP325" s="450"/>
      <c r="AQ325" s="450"/>
      <c r="AR325" s="450"/>
      <c r="AS325" s="450"/>
      <c r="AT325" s="450"/>
      <c r="AU325" s="450"/>
      <c r="AV325" s="450"/>
      <c r="AW325" s="450"/>
      <c r="AX325" s="450"/>
      <c r="AY325" s="450"/>
      <c r="AZ325" s="450"/>
      <c r="BA325" s="450"/>
      <c r="BB325" s="450"/>
      <c r="BC325" s="450"/>
      <c r="BD325" s="450"/>
      <c r="BE325" s="450"/>
      <c r="BF325" s="450"/>
      <c r="BG325" s="450"/>
      <c r="BH325" s="450"/>
      <c r="BI325" s="450"/>
      <c r="BJ325" s="450"/>
      <c r="BK325" s="450"/>
      <c r="BL325" s="450"/>
      <c r="BM325" s="450"/>
      <c r="BN325" s="450"/>
      <c r="BO325" s="450"/>
      <c r="BP325" s="450"/>
      <c r="BQ325" s="450"/>
      <c r="BR325" s="450"/>
      <c r="BS325" s="450"/>
      <c r="BT325" s="450"/>
      <c r="BU325" s="450"/>
      <c r="BV325" s="450"/>
      <c r="BW325" s="450"/>
      <c r="BX325" s="450"/>
      <c r="BY325" s="450"/>
      <c r="BZ325" s="450"/>
      <c r="CA325" s="450"/>
      <c r="CB325" s="450"/>
      <c r="CC325" s="450"/>
      <c r="CD325" s="450"/>
      <c r="CE325" s="450"/>
      <c r="CF325" s="450"/>
      <c r="CG325" s="450"/>
      <c r="CH325" s="450"/>
    </row>
    <row r="326">
      <c r="A326" s="450"/>
      <c r="B326" s="498"/>
      <c r="C326" s="455"/>
      <c r="D326" s="450"/>
      <c r="E326" s="450"/>
      <c r="F326" s="450"/>
      <c r="G326" s="450"/>
      <c r="H326" s="450"/>
      <c r="I326" s="450"/>
      <c r="J326" s="450"/>
      <c r="K326" s="450"/>
      <c r="L326" s="450"/>
      <c r="M326" s="450"/>
      <c r="N326" s="450"/>
      <c r="O326" s="450"/>
      <c r="P326" s="450"/>
      <c r="Q326" s="450"/>
      <c r="R326" s="450"/>
      <c r="S326" s="450"/>
      <c r="T326" s="450"/>
      <c r="U326" s="450"/>
      <c r="V326" s="450"/>
      <c r="W326" s="450"/>
      <c r="X326" s="450"/>
      <c r="Y326" s="450"/>
      <c r="Z326" s="450"/>
      <c r="AA326" s="450"/>
      <c r="AB326" s="450"/>
      <c r="AC326" s="450"/>
      <c r="AD326" s="450"/>
      <c r="AE326" s="450"/>
      <c r="AF326" s="450"/>
      <c r="AG326" s="450"/>
      <c r="AH326" s="450"/>
      <c r="AI326" s="450"/>
      <c r="AJ326" s="450"/>
      <c r="AK326" s="450"/>
      <c r="AL326" s="450"/>
      <c r="AM326" s="450"/>
      <c r="AN326" s="450"/>
      <c r="AO326" s="450"/>
      <c r="AP326" s="450"/>
      <c r="AQ326" s="450"/>
      <c r="AR326" s="450"/>
      <c r="AS326" s="450"/>
      <c r="AT326" s="450"/>
      <c r="AU326" s="450"/>
      <c r="AV326" s="450"/>
      <c r="AW326" s="450"/>
      <c r="AX326" s="450"/>
      <c r="AY326" s="450"/>
      <c r="AZ326" s="450"/>
      <c r="BA326" s="450"/>
      <c r="BB326" s="450"/>
      <c r="BC326" s="450"/>
      <c r="BD326" s="450"/>
      <c r="BE326" s="450"/>
      <c r="BF326" s="450"/>
      <c r="BG326" s="450"/>
      <c r="BH326" s="450"/>
      <c r="BI326" s="450"/>
      <c r="BJ326" s="450"/>
      <c r="BK326" s="450"/>
      <c r="BL326" s="450"/>
      <c r="BM326" s="450"/>
      <c r="BN326" s="450"/>
      <c r="BO326" s="450"/>
      <c r="BP326" s="450"/>
      <c r="BQ326" s="450"/>
      <c r="BR326" s="450"/>
      <c r="BS326" s="450"/>
      <c r="BT326" s="450"/>
      <c r="BU326" s="450"/>
      <c r="BV326" s="450"/>
      <c r="BW326" s="450"/>
      <c r="BX326" s="450"/>
      <c r="BY326" s="450"/>
      <c r="BZ326" s="450"/>
      <c r="CA326" s="450"/>
      <c r="CB326" s="450"/>
      <c r="CC326" s="450"/>
      <c r="CD326" s="450"/>
      <c r="CE326" s="450"/>
      <c r="CF326" s="450"/>
      <c r="CG326" s="450"/>
      <c r="CH326" s="450"/>
    </row>
    <row r="327">
      <c r="A327" s="450"/>
      <c r="B327" s="498"/>
      <c r="C327" s="455"/>
      <c r="D327" s="450"/>
      <c r="E327" s="450"/>
      <c r="F327" s="450"/>
      <c r="G327" s="450"/>
      <c r="H327" s="450"/>
      <c r="I327" s="450"/>
      <c r="J327" s="450"/>
      <c r="K327" s="450"/>
      <c r="L327" s="450"/>
      <c r="M327" s="450"/>
      <c r="N327" s="450"/>
      <c r="O327" s="450"/>
      <c r="P327" s="450"/>
      <c r="Q327" s="450"/>
      <c r="R327" s="450"/>
      <c r="S327" s="450"/>
      <c r="T327" s="450"/>
      <c r="U327" s="450"/>
      <c r="V327" s="450"/>
      <c r="W327" s="450"/>
      <c r="X327" s="450"/>
      <c r="Y327" s="450"/>
      <c r="Z327" s="450"/>
      <c r="AA327" s="450"/>
      <c r="AB327" s="450"/>
      <c r="AC327" s="450"/>
      <c r="AD327" s="450"/>
      <c r="AE327" s="450"/>
      <c r="AF327" s="450"/>
      <c r="AG327" s="450"/>
      <c r="AH327" s="450"/>
      <c r="AI327" s="450"/>
      <c r="AJ327" s="450"/>
      <c r="AK327" s="450"/>
      <c r="AL327" s="450"/>
      <c r="AM327" s="450"/>
      <c r="AN327" s="450"/>
      <c r="AO327" s="450"/>
      <c r="AP327" s="450"/>
      <c r="AQ327" s="450"/>
      <c r="AR327" s="450"/>
      <c r="AS327" s="450"/>
      <c r="AT327" s="450"/>
      <c r="AU327" s="450"/>
      <c r="AV327" s="450"/>
      <c r="AW327" s="450"/>
      <c r="AX327" s="450"/>
      <c r="AY327" s="450"/>
      <c r="AZ327" s="450"/>
      <c r="BA327" s="450"/>
      <c r="BB327" s="450"/>
      <c r="BC327" s="450"/>
      <c r="BD327" s="450"/>
      <c r="BE327" s="450"/>
      <c r="BF327" s="450"/>
      <c r="BG327" s="450"/>
      <c r="BH327" s="450"/>
      <c r="BI327" s="450"/>
      <c r="BJ327" s="450"/>
      <c r="BK327" s="450"/>
      <c r="BL327" s="450"/>
      <c r="BM327" s="450"/>
      <c r="BN327" s="450"/>
      <c r="BO327" s="450"/>
      <c r="BP327" s="450"/>
      <c r="BQ327" s="450"/>
      <c r="BR327" s="450"/>
      <c r="BS327" s="450"/>
      <c r="BT327" s="450"/>
      <c r="BU327" s="450"/>
      <c r="BV327" s="450"/>
      <c r="BW327" s="450"/>
      <c r="BX327" s="450"/>
      <c r="BY327" s="450"/>
      <c r="BZ327" s="450"/>
      <c r="CA327" s="450"/>
      <c r="CB327" s="450"/>
      <c r="CC327" s="450"/>
      <c r="CD327" s="450"/>
      <c r="CE327" s="450"/>
      <c r="CF327" s="450"/>
      <c r="CG327" s="450"/>
      <c r="CH327" s="450"/>
    </row>
    <row r="328">
      <c r="A328" s="450"/>
      <c r="B328" s="498"/>
      <c r="C328" s="455"/>
      <c r="D328" s="450"/>
      <c r="E328" s="450"/>
      <c r="F328" s="450"/>
      <c r="G328" s="450"/>
      <c r="H328" s="450"/>
      <c r="I328" s="450"/>
      <c r="J328" s="450"/>
      <c r="K328" s="450"/>
      <c r="L328" s="450"/>
      <c r="M328" s="450"/>
      <c r="N328" s="450"/>
      <c r="O328" s="450"/>
      <c r="P328" s="450"/>
      <c r="Q328" s="450"/>
      <c r="R328" s="450"/>
      <c r="S328" s="450"/>
      <c r="T328" s="450"/>
      <c r="U328" s="450"/>
      <c r="V328" s="450"/>
      <c r="W328" s="450"/>
      <c r="X328" s="450"/>
      <c r="Y328" s="450"/>
      <c r="Z328" s="450"/>
      <c r="AA328" s="450"/>
      <c r="AB328" s="450"/>
      <c r="AC328" s="450"/>
      <c r="AD328" s="450"/>
      <c r="AE328" s="450"/>
      <c r="AF328" s="450"/>
      <c r="AG328" s="450"/>
      <c r="AH328" s="450"/>
      <c r="AI328" s="450"/>
      <c r="AJ328" s="450"/>
      <c r="AK328" s="450"/>
      <c r="AL328" s="450"/>
      <c r="AM328" s="450"/>
      <c r="AN328" s="450"/>
      <c r="AO328" s="450"/>
      <c r="AP328" s="450"/>
      <c r="AQ328" s="450"/>
      <c r="AR328" s="450"/>
      <c r="AS328" s="450"/>
      <c r="AT328" s="450"/>
      <c r="AU328" s="450"/>
      <c r="AV328" s="450"/>
      <c r="AW328" s="450"/>
      <c r="AX328" s="450"/>
      <c r="AY328" s="450"/>
      <c r="AZ328" s="450"/>
      <c r="BA328" s="450"/>
      <c r="BB328" s="450"/>
      <c r="BC328" s="450"/>
      <c r="BD328" s="450"/>
      <c r="BE328" s="450"/>
      <c r="BF328" s="450"/>
      <c r="BG328" s="450"/>
      <c r="BH328" s="450"/>
      <c r="BI328" s="450"/>
      <c r="BJ328" s="450"/>
      <c r="BK328" s="450"/>
      <c r="BL328" s="450"/>
      <c r="BM328" s="450"/>
      <c r="BN328" s="450"/>
      <c r="BO328" s="450"/>
      <c r="BP328" s="450"/>
      <c r="BQ328" s="450"/>
      <c r="BR328" s="450"/>
      <c r="BS328" s="450"/>
      <c r="BT328" s="450"/>
      <c r="BU328" s="450"/>
      <c r="BV328" s="450"/>
      <c r="BW328" s="450"/>
      <c r="BX328" s="450"/>
      <c r="BY328" s="450"/>
      <c r="BZ328" s="450"/>
      <c r="CA328" s="450"/>
      <c r="CB328" s="450"/>
      <c r="CC328" s="450"/>
      <c r="CD328" s="450"/>
      <c r="CE328" s="450"/>
      <c r="CF328" s="450"/>
      <c r="CG328" s="450"/>
      <c r="CH328" s="450"/>
    </row>
    <row r="329">
      <c r="A329" s="450"/>
      <c r="B329" s="498"/>
      <c r="C329" s="455"/>
      <c r="D329" s="450"/>
      <c r="E329" s="450"/>
      <c r="F329" s="450"/>
      <c r="G329" s="450"/>
      <c r="H329" s="450"/>
      <c r="I329" s="450"/>
      <c r="J329" s="450"/>
      <c r="K329" s="450"/>
      <c r="L329" s="450"/>
      <c r="M329" s="450"/>
      <c r="N329" s="450"/>
      <c r="O329" s="450"/>
      <c r="P329" s="450"/>
      <c r="Q329" s="450"/>
      <c r="R329" s="450"/>
      <c r="S329" s="450"/>
      <c r="T329" s="450"/>
      <c r="U329" s="450"/>
      <c r="V329" s="450"/>
      <c r="W329" s="450"/>
      <c r="X329" s="450"/>
      <c r="Y329" s="450"/>
      <c r="Z329" s="450"/>
      <c r="AA329" s="450"/>
      <c r="AB329" s="450"/>
      <c r="AC329" s="450"/>
      <c r="AD329" s="450"/>
      <c r="AE329" s="450"/>
      <c r="AF329" s="450"/>
      <c r="AG329" s="450"/>
      <c r="AH329" s="450"/>
      <c r="AI329" s="450"/>
      <c r="AJ329" s="450"/>
      <c r="AK329" s="450"/>
      <c r="AL329" s="450"/>
      <c r="AM329" s="450"/>
      <c r="AN329" s="450"/>
      <c r="AO329" s="450"/>
      <c r="AP329" s="450"/>
      <c r="AQ329" s="450"/>
      <c r="AR329" s="450"/>
      <c r="AS329" s="450"/>
      <c r="AT329" s="450"/>
      <c r="AU329" s="450"/>
      <c r="AV329" s="450"/>
      <c r="AW329" s="450"/>
      <c r="AX329" s="450"/>
      <c r="AY329" s="450"/>
      <c r="AZ329" s="450"/>
      <c r="BA329" s="450"/>
      <c r="BB329" s="450"/>
      <c r="BC329" s="450"/>
      <c r="BD329" s="450"/>
      <c r="BE329" s="450"/>
      <c r="BF329" s="450"/>
      <c r="BG329" s="450"/>
      <c r="BH329" s="450"/>
      <c r="BI329" s="450"/>
      <c r="BJ329" s="450"/>
      <c r="BK329" s="450"/>
      <c r="BL329" s="450"/>
      <c r="BM329" s="450"/>
      <c r="BN329" s="450"/>
      <c r="BO329" s="450"/>
      <c r="BP329" s="450"/>
      <c r="BQ329" s="450"/>
      <c r="BR329" s="450"/>
      <c r="BS329" s="450"/>
      <c r="BT329" s="450"/>
      <c r="BU329" s="450"/>
      <c r="BV329" s="450"/>
      <c r="BW329" s="450"/>
      <c r="BX329" s="450"/>
      <c r="BY329" s="450"/>
      <c r="BZ329" s="450"/>
      <c r="CA329" s="450"/>
      <c r="CB329" s="450"/>
      <c r="CC329" s="450"/>
      <c r="CD329" s="450"/>
      <c r="CE329" s="450"/>
      <c r="CF329" s="450"/>
      <c r="CG329" s="450"/>
      <c r="CH329" s="450"/>
    </row>
    <row r="330">
      <c r="A330" s="450"/>
      <c r="B330" s="498"/>
      <c r="C330" s="455"/>
      <c r="D330" s="450"/>
      <c r="E330" s="450"/>
      <c r="F330" s="450"/>
      <c r="G330" s="450"/>
      <c r="H330" s="450"/>
      <c r="I330" s="450"/>
      <c r="J330" s="450"/>
      <c r="K330" s="450"/>
      <c r="L330" s="450"/>
      <c r="M330" s="450"/>
      <c r="N330" s="450"/>
      <c r="O330" s="450"/>
      <c r="P330" s="450"/>
      <c r="Q330" s="450"/>
      <c r="R330" s="450"/>
      <c r="S330" s="450"/>
      <c r="T330" s="450"/>
      <c r="U330" s="450"/>
      <c r="V330" s="450"/>
      <c r="W330" s="450"/>
      <c r="X330" s="450"/>
      <c r="Y330" s="450"/>
      <c r="Z330" s="450"/>
      <c r="AA330" s="450"/>
      <c r="AB330" s="450"/>
      <c r="AC330" s="450"/>
      <c r="AD330" s="450"/>
      <c r="AE330" s="450"/>
      <c r="AF330" s="450"/>
      <c r="AG330" s="450"/>
      <c r="AH330" s="450"/>
      <c r="AI330" s="450"/>
      <c r="AJ330" s="450"/>
      <c r="AK330" s="450"/>
      <c r="AL330" s="450"/>
      <c r="AM330" s="450"/>
      <c r="AN330" s="450"/>
      <c r="AO330" s="450"/>
      <c r="AP330" s="450"/>
      <c r="AQ330" s="450"/>
      <c r="AR330" s="450"/>
      <c r="AS330" s="450"/>
      <c r="AT330" s="450"/>
      <c r="AU330" s="450"/>
      <c r="AV330" s="450"/>
      <c r="AW330" s="450"/>
      <c r="AX330" s="450"/>
      <c r="AY330" s="450"/>
      <c r="AZ330" s="450"/>
      <c r="BA330" s="450"/>
      <c r="BB330" s="450"/>
      <c r="BC330" s="450"/>
      <c r="BD330" s="450"/>
      <c r="BE330" s="450"/>
      <c r="BF330" s="450"/>
      <c r="BG330" s="450"/>
      <c r="BH330" s="450"/>
      <c r="BI330" s="450"/>
      <c r="BJ330" s="450"/>
      <c r="BK330" s="450"/>
      <c r="BL330" s="450"/>
      <c r="BM330" s="450"/>
      <c r="BN330" s="450"/>
      <c r="BO330" s="450"/>
      <c r="BP330" s="450"/>
      <c r="BQ330" s="450"/>
      <c r="BR330" s="450"/>
      <c r="BS330" s="450"/>
      <c r="BT330" s="450"/>
      <c r="BU330" s="450"/>
      <c r="BV330" s="450"/>
      <c r="BW330" s="450"/>
      <c r="BX330" s="450"/>
      <c r="BY330" s="450"/>
      <c r="BZ330" s="450"/>
      <c r="CA330" s="450"/>
      <c r="CB330" s="450"/>
      <c r="CC330" s="450"/>
      <c r="CD330" s="450"/>
      <c r="CE330" s="450"/>
      <c r="CF330" s="450"/>
      <c r="CG330" s="450"/>
      <c r="CH330" s="450"/>
    </row>
    <row r="331">
      <c r="A331" s="450"/>
      <c r="B331" s="498"/>
      <c r="C331" s="455"/>
      <c r="D331" s="450"/>
      <c r="E331" s="450"/>
      <c r="F331" s="450"/>
      <c r="G331" s="450"/>
      <c r="H331" s="450"/>
      <c r="I331" s="450"/>
      <c r="J331" s="450"/>
      <c r="K331" s="450"/>
      <c r="L331" s="450"/>
      <c r="M331" s="450"/>
      <c r="N331" s="450"/>
      <c r="O331" s="450"/>
      <c r="P331" s="450"/>
      <c r="Q331" s="450"/>
      <c r="R331" s="450"/>
      <c r="S331" s="450"/>
      <c r="T331" s="450"/>
      <c r="U331" s="450"/>
      <c r="V331" s="450"/>
      <c r="W331" s="450"/>
      <c r="X331" s="450"/>
      <c r="Y331" s="450"/>
      <c r="Z331" s="450"/>
      <c r="AA331" s="450"/>
      <c r="AB331" s="450"/>
      <c r="AC331" s="450"/>
      <c r="AD331" s="450"/>
      <c r="AE331" s="450"/>
      <c r="AF331" s="450"/>
      <c r="AG331" s="450"/>
      <c r="AH331" s="450"/>
      <c r="AI331" s="450"/>
      <c r="AJ331" s="450"/>
      <c r="AK331" s="450"/>
      <c r="AL331" s="450"/>
      <c r="AM331" s="450"/>
      <c r="AN331" s="450"/>
      <c r="AO331" s="450"/>
      <c r="AP331" s="450"/>
      <c r="AQ331" s="450"/>
      <c r="AR331" s="450"/>
      <c r="AS331" s="450"/>
      <c r="AT331" s="450"/>
      <c r="AU331" s="450"/>
      <c r="AV331" s="450"/>
      <c r="AW331" s="450"/>
      <c r="AX331" s="450"/>
      <c r="AY331" s="450"/>
      <c r="AZ331" s="450"/>
      <c r="BA331" s="450"/>
      <c r="BB331" s="450"/>
      <c r="BC331" s="450"/>
      <c r="BD331" s="450"/>
      <c r="BE331" s="450"/>
      <c r="BF331" s="450"/>
      <c r="BG331" s="450"/>
      <c r="BH331" s="450"/>
      <c r="BI331" s="450"/>
      <c r="BJ331" s="450"/>
      <c r="BK331" s="450"/>
      <c r="BL331" s="450"/>
      <c r="BM331" s="450"/>
      <c r="BN331" s="450"/>
      <c r="BO331" s="450"/>
      <c r="BP331" s="450"/>
      <c r="BQ331" s="450"/>
      <c r="BR331" s="450"/>
      <c r="BS331" s="450"/>
      <c r="BT331" s="450"/>
      <c r="BU331" s="450"/>
      <c r="BV331" s="450"/>
      <c r="BW331" s="450"/>
      <c r="BX331" s="450"/>
      <c r="BY331" s="450"/>
      <c r="BZ331" s="450"/>
      <c r="CA331" s="450"/>
      <c r="CB331" s="450"/>
      <c r="CC331" s="450"/>
      <c r="CD331" s="450"/>
      <c r="CE331" s="450"/>
      <c r="CF331" s="450"/>
      <c r="CG331" s="450"/>
      <c r="CH331" s="450"/>
    </row>
    <row r="332">
      <c r="A332" s="450"/>
      <c r="B332" s="498"/>
      <c r="C332" s="455"/>
      <c r="D332" s="450"/>
      <c r="E332" s="450"/>
      <c r="F332" s="450"/>
      <c r="G332" s="450"/>
      <c r="H332" s="450"/>
      <c r="I332" s="450"/>
      <c r="J332" s="450"/>
      <c r="K332" s="450"/>
      <c r="L332" s="450"/>
      <c r="M332" s="450"/>
      <c r="N332" s="450"/>
      <c r="O332" s="450"/>
      <c r="P332" s="450"/>
      <c r="Q332" s="450"/>
      <c r="R332" s="450"/>
      <c r="S332" s="450"/>
      <c r="T332" s="450"/>
      <c r="U332" s="450"/>
      <c r="V332" s="450"/>
      <c r="W332" s="450"/>
      <c r="X332" s="450"/>
      <c r="Y332" s="450"/>
      <c r="Z332" s="450"/>
      <c r="AA332" s="450"/>
      <c r="AB332" s="450"/>
      <c r="AC332" s="450"/>
      <c r="AD332" s="450"/>
      <c r="AE332" s="450"/>
      <c r="AF332" s="450"/>
      <c r="AG332" s="450"/>
      <c r="AH332" s="450"/>
      <c r="AI332" s="450"/>
      <c r="AJ332" s="450"/>
      <c r="AK332" s="450"/>
      <c r="AL332" s="450"/>
      <c r="AM332" s="450"/>
      <c r="AN332" s="450"/>
      <c r="AO332" s="450"/>
      <c r="AP332" s="450"/>
      <c r="AQ332" s="450"/>
      <c r="AR332" s="450"/>
      <c r="AS332" s="450"/>
      <c r="AT332" s="450"/>
      <c r="AU332" s="450"/>
      <c r="AV332" s="450"/>
      <c r="AW332" s="450"/>
      <c r="AX332" s="450"/>
      <c r="AY332" s="450"/>
      <c r="AZ332" s="450"/>
      <c r="BA332" s="450"/>
      <c r="BB332" s="450"/>
      <c r="BC332" s="450"/>
      <c r="BD332" s="450"/>
      <c r="BE332" s="450"/>
      <c r="BF332" s="450"/>
      <c r="BG332" s="450"/>
      <c r="BH332" s="450"/>
      <c r="BI332" s="450"/>
      <c r="BJ332" s="450"/>
      <c r="BK332" s="450"/>
      <c r="BL332" s="450"/>
      <c r="BM332" s="450"/>
      <c r="BN332" s="450"/>
      <c r="BO332" s="450"/>
      <c r="BP332" s="450"/>
      <c r="BQ332" s="450"/>
      <c r="BR332" s="450"/>
      <c r="BS332" s="450"/>
      <c r="BT332" s="450"/>
      <c r="BU332" s="450"/>
      <c r="BV332" s="450"/>
      <c r="BW332" s="450"/>
      <c r="BX332" s="450"/>
      <c r="BY332" s="450"/>
      <c r="BZ332" s="450"/>
      <c r="CA332" s="450"/>
      <c r="CB332" s="450"/>
      <c r="CC332" s="450"/>
      <c r="CD332" s="450"/>
      <c r="CE332" s="450"/>
      <c r="CF332" s="450"/>
      <c r="CG332" s="450"/>
      <c r="CH332" s="450"/>
    </row>
    <row r="333">
      <c r="A333" s="450"/>
      <c r="B333" s="498"/>
      <c r="C333" s="455"/>
      <c r="D333" s="450"/>
      <c r="E333" s="450"/>
      <c r="F333" s="450"/>
      <c r="G333" s="450"/>
      <c r="H333" s="450"/>
      <c r="I333" s="450"/>
      <c r="J333" s="450"/>
      <c r="K333" s="450"/>
      <c r="L333" s="450"/>
      <c r="M333" s="450"/>
      <c r="N333" s="450"/>
      <c r="O333" s="450"/>
      <c r="P333" s="450"/>
      <c r="Q333" s="450"/>
      <c r="R333" s="450"/>
      <c r="S333" s="450"/>
      <c r="T333" s="450"/>
      <c r="U333" s="450"/>
      <c r="V333" s="450"/>
      <c r="W333" s="450"/>
      <c r="X333" s="450"/>
      <c r="Y333" s="450"/>
      <c r="Z333" s="450"/>
      <c r="AA333" s="450"/>
      <c r="AB333" s="450"/>
      <c r="AC333" s="450"/>
      <c r="AD333" s="450"/>
      <c r="AE333" s="450"/>
      <c r="AF333" s="450"/>
      <c r="AG333" s="450"/>
      <c r="AH333" s="450"/>
      <c r="AI333" s="450"/>
      <c r="AJ333" s="450"/>
      <c r="AK333" s="450"/>
      <c r="AL333" s="450"/>
      <c r="AM333" s="450"/>
      <c r="AN333" s="450"/>
      <c r="AO333" s="450"/>
      <c r="AP333" s="450"/>
      <c r="AQ333" s="450"/>
      <c r="AR333" s="450"/>
      <c r="AS333" s="450"/>
      <c r="AT333" s="450"/>
      <c r="AU333" s="450"/>
      <c r="AV333" s="450"/>
      <c r="AW333" s="450"/>
      <c r="AX333" s="450"/>
      <c r="AY333" s="450"/>
      <c r="AZ333" s="450"/>
      <c r="BA333" s="450"/>
      <c r="BB333" s="450"/>
      <c r="BC333" s="450"/>
      <c r="BD333" s="450"/>
      <c r="BE333" s="450"/>
      <c r="BF333" s="450"/>
      <c r="BG333" s="450"/>
      <c r="BH333" s="450"/>
      <c r="BI333" s="450"/>
      <c r="BJ333" s="450"/>
      <c r="BK333" s="450"/>
      <c r="BL333" s="450"/>
      <c r="BM333" s="450"/>
      <c r="BN333" s="450"/>
      <c r="BO333" s="450"/>
      <c r="BP333" s="450"/>
      <c r="BQ333" s="450"/>
      <c r="BR333" s="450"/>
      <c r="BS333" s="450"/>
      <c r="BT333" s="450"/>
      <c r="BU333" s="450"/>
      <c r="BV333" s="450"/>
      <c r="BW333" s="450"/>
      <c r="BX333" s="450"/>
      <c r="BY333" s="450"/>
      <c r="BZ333" s="450"/>
      <c r="CA333" s="450"/>
      <c r="CB333" s="450"/>
      <c r="CC333" s="450"/>
      <c r="CD333" s="450"/>
      <c r="CE333" s="450"/>
      <c r="CF333" s="450"/>
      <c r="CG333" s="450"/>
      <c r="CH333" s="450"/>
    </row>
    <row r="334">
      <c r="A334" s="450"/>
      <c r="B334" s="498"/>
      <c r="C334" s="455"/>
      <c r="D334" s="450"/>
      <c r="E334" s="450"/>
      <c r="F334" s="450"/>
      <c r="G334" s="450"/>
      <c r="H334" s="450"/>
      <c r="I334" s="450"/>
      <c r="J334" s="450"/>
      <c r="K334" s="450"/>
      <c r="L334" s="450"/>
      <c r="M334" s="450"/>
      <c r="N334" s="450"/>
      <c r="O334" s="450"/>
      <c r="P334" s="450"/>
      <c r="Q334" s="450"/>
      <c r="R334" s="450"/>
      <c r="S334" s="450"/>
      <c r="T334" s="450"/>
      <c r="U334" s="450"/>
      <c r="V334" s="450"/>
      <c r="W334" s="450"/>
      <c r="X334" s="450"/>
      <c r="Y334" s="450"/>
      <c r="Z334" s="450"/>
      <c r="AA334" s="450"/>
      <c r="AB334" s="450"/>
      <c r="AC334" s="450"/>
      <c r="AD334" s="450"/>
      <c r="AE334" s="450"/>
      <c r="AF334" s="450"/>
      <c r="AG334" s="450"/>
      <c r="AH334" s="450"/>
      <c r="AI334" s="450"/>
      <c r="AJ334" s="450"/>
      <c r="AK334" s="450"/>
      <c r="AL334" s="450"/>
      <c r="AM334" s="450"/>
      <c r="AN334" s="450"/>
      <c r="AO334" s="450"/>
      <c r="AP334" s="450"/>
      <c r="AQ334" s="450"/>
      <c r="AR334" s="450"/>
      <c r="AS334" s="450"/>
      <c r="AT334" s="450"/>
      <c r="AU334" s="450"/>
      <c r="AV334" s="450"/>
      <c r="AW334" s="450"/>
      <c r="AX334" s="450"/>
      <c r="AY334" s="450"/>
      <c r="AZ334" s="450"/>
      <c r="BA334" s="450"/>
      <c r="BB334" s="450"/>
      <c r="BC334" s="450"/>
      <c r="BD334" s="450"/>
      <c r="BE334" s="450"/>
      <c r="BF334" s="450"/>
      <c r="BG334" s="450"/>
      <c r="BH334" s="450"/>
      <c r="BI334" s="450"/>
      <c r="BJ334" s="450"/>
      <c r="BK334" s="450"/>
      <c r="BL334" s="450"/>
      <c r="BM334" s="450"/>
      <c r="BN334" s="450"/>
      <c r="BO334" s="450"/>
      <c r="BP334" s="450"/>
      <c r="BQ334" s="450"/>
      <c r="BR334" s="450"/>
      <c r="BS334" s="450"/>
      <c r="BT334" s="450"/>
      <c r="BU334" s="450"/>
      <c r="BV334" s="450"/>
      <c r="BW334" s="450"/>
      <c r="BX334" s="450"/>
      <c r="BY334" s="450"/>
      <c r="BZ334" s="450"/>
      <c r="CA334" s="450"/>
      <c r="CB334" s="450"/>
      <c r="CC334" s="450"/>
      <c r="CD334" s="450"/>
      <c r="CE334" s="450"/>
      <c r="CF334" s="450"/>
      <c r="CG334" s="450"/>
      <c r="CH334" s="450"/>
    </row>
    <row r="335">
      <c r="A335" s="450"/>
      <c r="B335" s="498"/>
      <c r="C335" s="455"/>
      <c r="D335" s="450"/>
      <c r="E335" s="450"/>
      <c r="F335" s="450"/>
      <c r="G335" s="450"/>
      <c r="H335" s="450"/>
      <c r="I335" s="450"/>
      <c r="J335" s="450"/>
      <c r="K335" s="450"/>
      <c r="L335" s="450"/>
      <c r="M335" s="450"/>
      <c r="N335" s="450"/>
      <c r="O335" s="450"/>
      <c r="P335" s="450"/>
      <c r="Q335" s="450"/>
      <c r="R335" s="450"/>
      <c r="S335" s="450"/>
      <c r="T335" s="450"/>
      <c r="U335" s="450"/>
      <c r="V335" s="450"/>
      <c r="W335" s="450"/>
      <c r="X335" s="450"/>
      <c r="Y335" s="450"/>
      <c r="Z335" s="450"/>
      <c r="AA335" s="450"/>
      <c r="AB335" s="450"/>
      <c r="AC335" s="450"/>
      <c r="AD335" s="450"/>
      <c r="AE335" s="450"/>
      <c r="AF335" s="450"/>
      <c r="AG335" s="450"/>
      <c r="AH335" s="450"/>
      <c r="AI335" s="450"/>
      <c r="AJ335" s="450"/>
      <c r="AK335" s="450"/>
      <c r="AL335" s="450"/>
      <c r="AM335" s="450"/>
      <c r="AN335" s="450"/>
      <c r="AO335" s="450"/>
      <c r="AP335" s="450"/>
      <c r="AQ335" s="450"/>
      <c r="AR335" s="450"/>
      <c r="AS335" s="450"/>
      <c r="AT335" s="450"/>
      <c r="AU335" s="450"/>
      <c r="AV335" s="450"/>
      <c r="AW335" s="450"/>
      <c r="AX335" s="450"/>
      <c r="AY335" s="450"/>
      <c r="AZ335" s="450"/>
      <c r="BA335" s="450"/>
      <c r="BB335" s="450"/>
      <c r="BC335" s="450"/>
      <c r="BD335" s="450"/>
      <c r="BE335" s="450"/>
      <c r="BF335" s="450"/>
      <c r="BG335" s="450"/>
      <c r="BH335" s="450"/>
      <c r="BI335" s="450"/>
      <c r="BJ335" s="450"/>
      <c r="BK335" s="450"/>
      <c r="BL335" s="450"/>
      <c r="BM335" s="450"/>
      <c r="BN335" s="450"/>
      <c r="BO335" s="450"/>
      <c r="BP335" s="450"/>
      <c r="BQ335" s="450"/>
      <c r="BR335" s="450"/>
      <c r="BS335" s="450"/>
      <c r="BT335" s="450"/>
      <c r="BU335" s="450"/>
      <c r="BV335" s="450"/>
      <c r="BW335" s="450"/>
      <c r="BX335" s="450"/>
      <c r="BY335" s="450"/>
      <c r="BZ335" s="450"/>
      <c r="CA335" s="450"/>
      <c r="CB335" s="450"/>
      <c r="CC335" s="450"/>
      <c r="CD335" s="450"/>
      <c r="CE335" s="450"/>
      <c r="CF335" s="450"/>
      <c r="CG335" s="450"/>
      <c r="CH335" s="450"/>
    </row>
    <row r="336">
      <c r="A336" s="450"/>
      <c r="B336" s="498"/>
      <c r="C336" s="455"/>
      <c r="D336" s="450"/>
      <c r="E336" s="450"/>
      <c r="F336" s="450"/>
      <c r="G336" s="450"/>
      <c r="H336" s="450"/>
      <c r="I336" s="450"/>
      <c r="J336" s="450"/>
      <c r="K336" s="450"/>
      <c r="L336" s="450"/>
      <c r="M336" s="450"/>
      <c r="N336" s="450"/>
      <c r="O336" s="450"/>
      <c r="P336" s="450"/>
      <c r="Q336" s="450"/>
      <c r="R336" s="450"/>
      <c r="S336" s="450"/>
      <c r="T336" s="450"/>
      <c r="U336" s="450"/>
      <c r="V336" s="450"/>
      <c r="W336" s="450"/>
      <c r="X336" s="450"/>
      <c r="Y336" s="450"/>
      <c r="Z336" s="450"/>
      <c r="AA336" s="450"/>
      <c r="AB336" s="450"/>
      <c r="AC336" s="450"/>
      <c r="AD336" s="450"/>
      <c r="AE336" s="450"/>
      <c r="AF336" s="450"/>
      <c r="AG336" s="450"/>
      <c r="AH336" s="450"/>
      <c r="AI336" s="450"/>
      <c r="AJ336" s="450"/>
      <c r="AK336" s="450"/>
      <c r="AL336" s="450"/>
      <c r="AM336" s="450"/>
      <c r="AN336" s="450"/>
      <c r="AO336" s="450"/>
      <c r="AP336" s="450"/>
      <c r="AQ336" s="450"/>
      <c r="AR336" s="450"/>
      <c r="AS336" s="450"/>
      <c r="AT336" s="450"/>
      <c r="AU336" s="450"/>
      <c r="AV336" s="450"/>
      <c r="AW336" s="450"/>
      <c r="AX336" s="450"/>
      <c r="AY336" s="450"/>
      <c r="AZ336" s="450"/>
      <c r="BA336" s="450"/>
      <c r="BB336" s="450"/>
      <c r="BC336" s="450"/>
      <c r="BD336" s="450"/>
      <c r="BE336" s="450"/>
      <c r="BF336" s="450"/>
      <c r="BG336" s="450"/>
      <c r="BH336" s="450"/>
      <c r="BI336" s="450"/>
      <c r="BJ336" s="450"/>
      <c r="BK336" s="450"/>
      <c r="BL336" s="450"/>
      <c r="BM336" s="450"/>
      <c r="BN336" s="450"/>
      <c r="BO336" s="450"/>
      <c r="BP336" s="450"/>
      <c r="BQ336" s="450"/>
      <c r="BR336" s="450"/>
      <c r="BS336" s="450"/>
      <c r="BT336" s="450"/>
      <c r="BU336" s="450"/>
      <c r="BV336" s="450"/>
      <c r="BW336" s="450"/>
      <c r="BX336" s="450"/>
      <c r="BY336" s="450"/>
      <c r="BZ336" s="450"/>
      <c r="CA336" s="450"/>
      <c r="CB336" s="450"/>
      <c r="CC336" s="450"/>
      <c r="CD336" s="450"/>
      <c r="CE336" s="450"/>
      <c r="CF336" s="450"/>
      <c r="CG336" s="450"/>
      <c r="CH336" s="450"/>
    </row>
    <row r="337">
      <c r="A337" s="450"/>
      <c r="B337" s="498"/>
      <c r="C337" s="455"/>
      <c r="D337" s="450"/>
      <c r="E337" s="450"/>
      <c r="F337" s="450"/>
      <c r="G337" s="450"/>
      <c r="H337" s="450"/>
      <c r="I337" s="450"/>
      <c r="J337" s="450"/>
      <c r="K337" s="450"/>
      <c r="L337" s="450"/>
      <c r="M337" s="450"/>
      <c r="N337" s="450"/>
      <c r="O337" s="450"/>
      <c r="P337" s="450"/>
      <c r="Q337" s="450"/>
      <c r="R337" s="450"/>
      <c r="S337" s="450"/>
      <c r="T337" s="450"/>
      <c r="U337" s="450"/>
      <c r="V337" s="450"/>
      <c r="W337" s="450"/>
      <c r="X337" s="450"/>
      <c r="Y337" s="450"/>
      <c r="Z337" s="450"/>
      <c r="AA337" s="450"/>
      <c r="AB337" s="450"/>
      <c r="AC337" s="450"/>
      <c r="AD337" s="450"/>
      <c r="AE337" s="450"/>
      <c r="AF337" s="450"/>
      <c r="AG337" s="450"/>
      <c r="AH337" s="450"/>
      <c r="AI337" s="450"/>
      <c r="AJ337" s="450"/>
      <c r="AK337" s="450"/>
      <c r="AL337" s="450"/>
      <c r="AM337" s="450"/>
      <c r="AN337" s="450"/>
      <c r="AO337" s="450"/>
      <c r="AP337" s="450"/>
      <c r="AQ337" s="450"/>
      <c r="AR337" s="450"/>
      <c r="AS337" s="450"/>
      <c r="AT337" s="450"/>
      <c r="AU337" s="450"/>
      <c r="AV337" s="450"/>
      <c r="AW337" s="450"/>
      <c r="AX337" s="450"/>
      <c r="AY337" s="450"/>
      <c r="AZ337" s="450"/>
      <c r="BA337" s="450"/>
      <c r="BB337" s="450"/>
      <c r="BC337" s="450"/>
      <c r="BD337" s="450"/>
      <c r="BE337" s="450"/>
      <c r="BF337" s="450"/>
      <c r="BG337" s="450"/>
      <c r="BH337" s="450"/>
      <c r="BI337" s="450"/>
      <c r="BJ337" s="450"/>
      <c r="BK337" s="450"/>
      <c r="BL337" s="450"/>
      <c r="BM337" s="450"/>
      <c r="BN337" s="450"/>
      <c r="BO337" s="450"/>
      <c r="BP337" s="450"/>
      <c r="BQ337" s="450"/>
      <c r="BR337" s="450"/>
      <c r="BS337" s="450"/>
      <c r="BT337" s="450"/>
      <c r="BU337" s="450"/>
      <c r="BV337" s="450"/>
      <c r="BW337" s="450"/>
      <c r="BX337" s="450"/>
      <c r="BY337" s="450"/>
      <c r="BZ337" s="450"/>
      <c r="CA337" s="450"/>
      <c r="CB337" s="450"/>
      <c r="CC337" s="450"/>
      <c r="CD337" s="450"/>
      <c r="CE337" s="450"/>
      <c r="CF337" s="450"/>
      <c r="CG337" s="450"/>
      <c r="CH337" s="450"/>
    </row>
    <row r="338">
      <c r="A338" s="450"/>
      <c r="B338" s="498"/>
      <c r="C338" s="455"/>
      <c r="D338" s="450"/>
      <c r="E338" s="450"/>
      <c r="F338" s="450"/>
      <c r="G338" s="450"/>
      <c r="H338" s="450"/>
      <c r="I338" s="450"/>
      <c r="J338" s="450"/>
      <c r="K338" s="450"/>
      <c r="L338" s="450"/>
      <c r="M338" s="450"/>
      <c r="N338" s="450"/>
      <c r="O338" s="450"/>
      <c r="P338" s="450"/>
      <c r="Q338" s="450"/>
      <c r="R338" s="450"/>
      <c r="S338" s="450"/>
      <c r="T338" s="450"/>
      <c r="U338" s="450"/>
      <c r="V338" s="450"/>
      <c r="W338" s="450"/>
      <c r="X338" s="450"/>
      <c r="Y338" s="450"/>
      <c r="Z338" s="450"/>
      <c r="AA338" s="450"/>
      <c r="AB338" s="450"/>
      <c r="AC338" s="450"/>
      <c r="AD338" s="450"/>
      <c r="AE338" s="450"/>
      <c r="AF338" s="450"/>
      <c r="AG338" s="450"/>
      <c r="AH338" s="450"/>
      <c r="AI338" s="450"/>
      <c r="AJ338" s="450"/>
      <c r="AK338" s="450"/>
      <c r="AL338" s="450"/>
      <c r="AM338" s="450"/>
      <c r="AN338" s="450"/>
      <c r="AO338" s="450"/>
      <c r="AP338" s="450"/>
      <c r="AQ338" s="450"/>
      <c r="AR338" s="450"/>
      <c r="AS338" s="450"/>
      <c r="AT338" s="450"/>
      <c r="AU338" s="450"/>
      <c r="AV338" s="450"/>
      <c r="AW338" s="450"/>
      <c r="AX338" s="450"/>
      <c r="AY338" s="450"/>
      <c r="AZ338" s="450"/>
      <c r="BA338" s="450"/>
      <c r="BB338" s="450"/>
      <c r="BC338" s="450"/>
      <c r="BD338" s="450"/>
      <c r="BE338" s="450"/>
      <c r="BF338" s="450"/>
      <c r="BG338" s="450"/>
      <c r="BH338" s="450"/>
      <c r="BI338" s="450"/>
      <c r="BJ338" s="450"/>
      <c r="BK338" s="450"/>
      <c r="BL338" s="450"/>
      <c r="BM338" s="450"/>
      <c r="BN338" s="450"/>
      <c r="BO338" s="450"/>
      <c r="BP338" s="450"/>
      <c r="BQ338" s="450"/>
      <c r="BR338" s="450"/>
      <c r="BS338" s="450"/>
      <c r="BT338" s="450"/>
      <c r="BU338" s="450"/>
      <c r="BV338" s="450"/>
      <c r="BW338" s="450"/>
      <c r="BX338" s="450"/>
      <c r="BY338" s="450"/>
      <c r="BZ338" s="450"/>
      <c r="CA338" s="450"/>
      <c r="CB338" s="450"/>
      <c r="CC338" s="450"/>
      <c r="CD338" s="450"/>
      <c r="CE338" s="450"/>
      <c r="CF338" s="450"/>
      <c r="CG338" s="450"/>
      <c r="CH338" s="450"/>
    </row>
    <row r="339">
      <c r="A339" s="450"/>
      <c r="B339" s="498"/>
      <c r="C339" s="455"/>
      <c r="D339" s="450"/>
      <c r="E339" s="450"/>
      <c r="F339" s="450"/>
      <c r="G339" s="450"/>
      <c r="H339" s="450"/>
      <c r="I339" s="450"/>
      <c r="J339" s="450"/>
      <c r="K339" s="450"/>
      <c r="L339" s="450"/>
      <c r="M339" s="450"/>
      <c r="N339" s="450"/>
      <c r="O339" s="450"/>
      <c r="P339" s="450"/>
      <c r="Q339" s="450"/>
      <c r="R339" s="450"/>
      <c r="S339" s="450"/>
      <c r="T339" s="450"/>
      <c r="U339" s="450"/>
      <c r="V339" s="450"/>
      <c r="W339" s="450"/>
      <c r="X339" s="450"/>
      <c r="Y339" s="450"/>
      <c r="Z339" s="450"/>
      <c r="AA339" s="450"/>
      <c r="AB339" s="450"/>
      <c r="AC339" s="450"/>
      <c r="AD339" s="450"/>
      <c r="AE339" s="450"/>
      <c r="AF339" s="450"/>
      <c r="AG339" s="450"/>
      <c r="AH339" s="450"/>
      <c r="AI339" s="450"/>
      <c r="AJ339" s="450"/>
      <c r="AK339" s="450"/>
      <c r="AL339" s="450"/>
      <c r="AM339" s="450"/>
      <c r="AN339" s="450"/>
      <c r="AO339" s="450"/>
      <c r="AP339" s="450"/>
      <c r="AQ339" s="450"/>
      <c r="AR339" s="450"/>
      <c r="AS339" s="450"/>
      <c r="AT339" s="450"/>
      <c r="AU339" s="450"/>
      <c r="AV339" s="450"/>
      <c r="AW339" s="450"/>
      <c r="AX339" s="450"/>
      <c r="AY339" s="450"/>
      <c r="AZ339" s="450"/>
      <c r="BA339" s="450"/>
      <c r="BB339" s="450"/>
      <c r="BC339" s="450"/>
      <c r="BD339" s="450"/>
      <c r="BE339" s="450"/>
      <c r="BF339" s="450"/>
      <c r="BG339" s="450"/>
      <c r="BH339" s="450"/>
      <c r="BI339" s="450"/>
      <c r="BJ339" s="450"/>
      <c r="BK339" s="450"/>
      <c r="BL339" s="450"/>
      <c r="BM339" s="450"/>
      <c r="BN339" s="450"/>
      <c r="BO339" s="450"/>
      <c r="BP339" s="450"/>
      <c r="BQ339" s="450"/>
      <c r="BR339" s="450"/>
      <c r="BS339" s="450"/>
      <c r="BT339" s="450"/>
      <c r="BU339" s="450"/>
      <c r="BV339" s="450"/>
      <c r="BW339" s="450"/>
      <c r="BX339" s="450"/>
      <c r="BY339" s="450"/>
      <c r="BZ339" s="450"/>
      <c r="CA339" s="450"/>
      <c r="CB339" s="450"/>
      <c r="CC339" s="450"/>
      <c r="CD339" s="450"/>
      <c r="CE339" s="450"/>
      <c r="CF339" s="450"/>
      <c r="CG339" s="450"/>
      <c r="CH339" s="450"/>
    </row>
    <row r="340">
      <c r="A340" s="450"/>
      <c r="B340" s="498"/>
      <c r="C340" s="455"/>
      <c r="D340" s="450"/>
      <c r="E340" s="450"/>
      <c r="F340" s="450"/>
      <c r="G340" s="450"/>
      <c r="H340" s="450"/>
      <c r="I340" s="450"/>
      <c r="J340" s="450"/>
      <c r="K340" s="450"/>
      <c r="L340" s="450"/>
      <c r="M340" s="450"/>
      <c r="N340" s="450"/>
      <c r="O340" s="450"/>
      <c r="P340" s="450"/>
      <c r="Q340" s="450"/>
      <c r="R340" s="450"/>
      <c r="S340" s="450"/>
      <c r="T340" s="450"/>
      <c r="U340" s="450"/>
      <c r="V340" s="450"/>
      <c r="W340" s="450"/>
      <c r="X340" s="450"/>
      <c r="Y340" s="450"/>
      <c r="Z340" s="450"/>
      <c r="AA340" s="450"/>
      <c r="AB340" s="450"/>
      <c r="AC340" s="450"/>
      <c r="AD340" s="450"/>
      <c r="AE340" s="450"/>
      <c r="AF340" s="450"/>
      <c r="AG340" s="450"/>
      <c r="AH340" s="450"/>
      <c r="AI340" s="450"/>
      <c r="AJ340" s="450"/>
      <c r="AK340" s="450"/>
      <c r="AL340" s="450"/>
      <c r="AM340" s="450"/>
      <c r="AN340" s="450"/>
      <c r="AO340" s="450"/>
      <c r="AP340" s="450"/>
      <c r="AQ340" s="450"/>
      <c r="AR340" s="450"/>
      <c r="AS340" s="450"/>
      <c r="AT340" s="450"/>
      <c r="AU340" s="450"/>
      <c r="AV340" s="450"/>
      <c r="AW340" s="450"/>
      <c r="AX340" s="450"/>
      <c r="AY340" s="450"/>
      <c r="AZ340" s="450"/>
      <c r="BA340" s="450"/>
      <c r="BB340" s="450"/>
      <c r="BC340" s="450"/>
      <c r="BD340" s="450"/>
      <c r="BE340" s="450"/>
      <c r="BF340" s="450"/>
      <c r="BG340" s="450"/>
      <c r="BH340" s="450"/>
      <c r="BI340" s="450"/>
      <c r="BJ340" s="450"/>
      <c r="BK340" s="450"/>
      <c r="BL340" s="450"/>
      <c r="BM340" s="450"/>
      <c r="BN340" s="450"/>
      <c r="BO340" s="450"/>
      <c r="BP340" s="450"/>
      <c r="BQ340" s="450"/>
      <c r="BR340" s="450"/>
      <c r="BS340" s="450"/>
      <c r="BT340" s="450"/>
      <c r="BU340" s="450"/>
      <c r="BV340" s="450"/>
      <c r="BW340" s="450"/>
      <c r="BX340" s="450"/>
      <c r="BY340" s="450"/>
      <c r="BZ340" s="450"/>
      <c r="CA340" s="450"/>
      <c r="CB340" s="450"/>
      <c r="CC340" s="450"/>
      <c r="CD340" s="450"/>
      <c r="CE340" s="450"/>
      <c r="CF340" s="450"/>
      <c r="CG340" s="450"/>
      <c r="CH340" s="450"/>
    </row>
    <row r="341">
      <c r="A341" s="450"/>
      <c r="B341" s="498"/>
      <c r="C341" s="455"/>
      <c r="D341" s="450"/>
      <c r="E341" s="450"/>
      <c r="F341" s="450"/>
      <c r="G341" s="450"/>
      <c r="H341" s="450"/>
      <c r="I341" s="450"/>
      <c r="J341" s="450"/>
      <c r="K341" s="450"/>
      <c r="L341" s="450"/>
      <c r="M341" s="450"/>
      <c r="N341" s="450"/>
      <c r="O341" s="450"/>
      <c r="P341" s="450"/>
      <c r="Q341" s="450"/>
      <c r="R341" s="450"/>
      <c r="S341" s="450"/>
      <c r="T341" s="450"/>
      <c r="U341" s="450"/>
      <c r="V341" s="450"/>
      <c r="W341" s="450"/>
      <c r="X341" s="450"/>
      <c r="Y341" s="450"/>
      <c r="Z341" s="450"/>
      <c r="AA341" s="450"/>
      <c r="AB341" s="450"/>
      <c r="AC341" s="450"/>
      <c r="AD341" s="450"/>
      <c r="AE341" s="450"/>
      <c r="AF341" s="450"/>
      <c r="AG341" s="450"/>
      <c r="AH341" s="450"/>
      <c r="AI341" s="450"/>
      <c r="AJ341" s="450"/>
      <c r="AK341" s="450"/>
      <c r="AL341" s="450"/>
      <c r="AM341" s="450"/>
      <c r="AN341" s="450"/>
      <c r="AO341" s="450"/>
      <c r="AP341" s="450"/>
      <c r="AQ341" s="450"/>
      <c r="AR341" s="450"/>
      <c r="AS341" s="450"/>
      <c r="AT341" s="450"/>
      <c r="AU341" s="450"/>
      <c r="AV341" s="450"/>
      <c r="AW341" s="450"/>
      <c r="AX341" s="450"/>
      <c r="AY341" s="450"/>
      <c r="AZ341" s="450"/>
      <c r="BA341" s="450"/>
      <c r="BB341" s="450"/>
      <c r="BC341" s="450"/>
      <c r="BD341" s="450"/>
      <c r="BE341" s="450"/>
      <c r="BF341" s="450"/>
      <c r="BG341" s="450"/>
      <c r="BH341" s="450"/>
      <c r="BI341" s="450"/>
      <c r="BJ341" s="450"/>
      <c r="BK341" s="450"/>
      <c r="BL341" s="450"/>
      <c r="BM341" s="450"/>
      <c r="BN341" s="450"/>
      <c r="BO341" s="450"/>
      <c r="BP341" s="450"/>
      <c r="BQ341" s="450"/>
      <c r="BR341" s="450"/>
      <c r="BS341" s="450"/>
      <c r="BT341" s="450"/>
      <c r="BU341" s="450"/>
      <c r="BV341" s="450"/>
      <c r="BW341" s="450"/>
      <c r="BX341" s="450"/>
      <c r="BY341" s="450"/>
      <c r="BZ341" s="450"/>
      <c r="CA341" s="450"/>
      <c r="CB341" s="450"/>
      <c r="CC341" s="450"/>
      <c r="CD341" s="450"/>
      <c r="CE341" s="450"/>
      <c r="CF341" s="450"/>
      <c r="CG341" s="450"/>
      <c r="CH341" s="450"/>
    </row>
    <row r="342">
      <c r="A342" s="450"/>
      <c r="B342" s="498"/>
      <c r="C342" s="455"/>
      <c r="D342" s="450"/>
      <c r="E342" s="450"/>
      <c r="F342" s="450"/>
      <c r="G342" s="450"/>
      <c r="H342" s="450"/>
      <c r="I342" s="450"/>
      <c r="J342" s="450"/>
      <c r="K342" s="450"/>
      <c r="L342" s="450"/>
      <c r="M342" s="450"/>
      <c r="N342" s="450"/>
      <c r="O342" s="450"/>
      <c r="P342" s="450"/>
      <c r="Q342" s="450"/>
      <c r="R342" s="450"/>
      <c r="S342" s="450"/>
      <c r="T342" s="450"/>
      <c r="U342" s="450"/>
      <c r="V342" s="450"/>
      <c r="W342" s="450"/>
      <c r="X342" s="450"/>
      <c r="Y342" s="450"/>
      <c r="Z342" s="450"/>
      <c r="AA342" s="450"/>
      <c r="AB342" s="450"/>
      <c r="AC342" s="450"/>
      <c r="AD342" s="450"/>
      <c r="AE342" s="450"/>
      <c r="AF342" s="450"/>
      <c r="AG342" s="450"/>
      <c r="AH342" s="450"/>
      <c r="AI342" s="450"/>
      <c r="AJ342" s="450"/>
      <c r="AK342" s="450"/>
      <c r="AL342" s="450"/>
      <c r="AM342" s="450"/>
      <c r="AN342" s="450"/>
      <c r="AO342" s="450"/>
      <c r="AP342" s="450"/>
      <c r="AQ342" s="450"/>
      <c r="AR342" s="450"/>
      <c r="AS342" s="450"/>
      <c r="AT342" s="450"/>
      <c r="AU342" s="450"/>
      <c r="AV342" s="450"/>
      <c r="AW342" s="450"/>
      <c r="AX342" s="450"/>
      <c r="AY342" s="450"/>
      <c r="AZ342" s="450"/>
      <c r="BA342" s="450"/>
      <c r="BB342" s="450"/>
      <c r="BC342" s="450"/>
      <c r="BD342" s="450"/>
      <c r="BE342" s="450"/>
      <c r="BF342" s="450"/>
      <c r="BG342" s="450"/>
      <c r="BH342" s="450"/>
      <c r="BI342" s="450"/>
      <c r="BJ342" s="450"/>
      <c r="BK342" s="450"/>
      <c r="BL342" s="450"/>
      <c r="BM342" s="450"/>
      <c r="BN342" s="450"/>
      <c r="BO342" s="450"/>
      <c r="BP342" s="450"/>
      <c r="BQ342" s="450"/>
      <c r="BR342" s="450"/>
      <c r="BS342" s="450"/>
      <c r="BT342" s="450"/>
      <c r="BU342" s="450"/>
      <c r="BV342" s="450"/>
      <c r="BW342" s="450"/>
      <c r="BX342" s="450"/>
      <c r="BY342" s="450"/>
      <c r="BZ342" s="450"/>
      <c r="CA342" s="450"/>
      <c r="CB342" s="450"/>
      <c r="CC342" s="450"/>
      <c r="CD342" s="450"/>
      <c r="CE342" s="450"/>
      <c r="CF342" s="450"/>
      <c r="CG342" s="450"/>
      <c r="CH342" s="450"/>
    </row>
    <row r="343">
      <c r="A343" s="450"/>
      <c r="B343" s="498"/>
      <c r="C343" s="455"/>
      <c r="D343" s="450"/>
      <c r="E343" s="450"/>
      <c r="F343" s="450"/>
      <c r="G343" s="450"/>
      <c r="H343" s="450"/>
      <c r="I343" s="450"/>
      <c r="J343" s="450"/>
      <c r="K343" s="450"/>
      <c r="L343" s="450"/>
      <c r="M343" s="450"/>
      <c r="N343" s="450"/>
      <c r="O343" s="450"/>
      <c r="P343" s="450"/>
      <c r="Q343" s="450"/>
      <c r="R343" s="450"/>
      <c r="S343" s="450"/>
      <c r="T343" s="450"/>
      <c r="U343" s="450"/>
      <c r="V343" s="450"/>
      <c r="W343" s="450"/>
      <c r="X343" s="450"/>
      <c r="Y343" s="450"/>
      <c r="Z343" s="450"/>
      <c r="AA343" s="450"/>
      <c r="AB343" s="450"/>
      <c r="AC343" s="450"/>
      <c r="AD343" s="450"/>
      <c r="AE343" s="450"/>
      <c r="AF343" s="450"/>
      <c r="AG343" s="450"/>
      <c r="AH343" s="450"/>
      <c r="AI343" s="450"/>
      <c r="AJ343" s="450"/>
      <c r="AK343" s="450"/>
      <c r="AL343" s="450"/>
      <c r="AM343" s="450"/>
      <c r="AN343" s="450"/>
      <c r="AO343" s="450"/>
      <c r="AP343" s="450"/>
      <c r="AQ343" s="450"/>
      <c r="AR343" s="450"/>
      <c r="AS343" s="450"/>
      <c r="AT343" s="450"/>
      <c r="AU343" s="450"/>
      <c r="AV343" s="450"/>
      <c r="AW343" s="450"/>
      <c r="AX343" s="450"/>
      <c r="AY343" s="450"/>
      <c r="AZ343" s="450"/>
      <c r="BA343" s="450"/>
      <c r="BB343" s="450"/>
      <c r="BC343" s="450"/>
      <c r="BD343" s="450"/>
      <c r="BE343" s="450"/>
      <c r="BF343" s="450"/>
      <c r="BG343" s="450"/>
      <c r="BH343" s="450"/>
      <c r="BI343" s="450"/>
      <c r="BJ343" s="450"/>
      <c r="BK343" s="450"/>
      <c r="BL343" s="450"/>
      <c r="BM343" s="450"/>
      <c r="BN343" s="450"/>
      <c r="BO343" s="450"/>
      <c r="BP343" s="450"/>
      <c r="BQ343" s="450"/>
      <c r="BR343" s="450"/>
      <c r="BS343" s="450"/>
      <c r="BT343" s="450"/>
      <c r="BU343" s="450"/>
      <c r="BV343" s="450"/>
      <c r="BW343" s="450"/>
      <c r="BX343" s="450"/>
      <c r="BY343" s="450"/>
      <c r="BZ343" s="450"/>
      <c r="CA343" s="450"/>
      <c r="CB343" s="450"/>
      <c r="CC343" s="450"/>
      <c r="CD343" s="450"/>
      <c r="CE343" s="450"/>
      <c r="CF343" s="450"/>
      <c r="CG343" s="450"/>
      <c r="CH343" s="450"/>
    </row>
    <row r="344">
      <c r="A344" s="450"/>
      <c r="B344" s="498"/>
      <c r="C344" s="455"/>
      <c r="D344" s="450"/>
      <c r="E344" s="450"/>
      <c r="F344" s="450"/>
      <c r="G344" s="450"/>
      <c r="H344" s="450"/>
      <c r="I344" s="450"/>
      <c r="J344" s="450"/>
      <c r="K344" s="450"/>
      <c r="L344" s="450"/>
      <c r="M344" s="450"/>
      <c r="N344" s="450"/>
      <c r="O344" s="450"/>
      <c r="P344" s="450"/>
      <c r="Q344" s="450"/>
      <c r="R344" s="450"/>
      <c r="S344" s="450"/>
      <c r="T344" s="450"/>
      <c r="U344" s="450"/>
      <c r="V344" s="450"/>
      <c r="W344" s="450"/>
      <c r="X344" s="450"/>
      <c r="Y344" s="450"/>
      <c r="Z344" s="450"/>
      <c r="AA344" s="450"/>
      <c r="AB344" s="450"/>
      <c r="AC344" s="450"/>
      <c r="AD344" s="450"/>
      <c r="AE344" s="450"/>
      <c r="AF344" s="450"/>
      <c r="AG344" s="450"/>
      <c r="AH344" s="450"/>
      <c r="AI344" s="450"/>
      <c r="AJ344" s="450"/>
      <c r="AK344" s="450"/>
      <c r="AL344" s="450"/>
      <c r="AM344" s="450"/>
      <c r="AN344" s="450"/>
      <c r="AO344" s="450"/>
      <c r="AP344" s="450"/>
      <c r="AQ344" s="450"/>
      <c r="AR344" s="450"/>
      <c r="AS344" s="450"/>
      <c r="AT344" s="450"/>
      <c r="AU344" s="450"/>
      <c r="AV344" s="450"/>
      <c r="AW344" s="450"/>
      <c r="AX344" s="450"/>
      <c r="AY344" s="450"/>
      <c r="AZ344" s="450"/>
      <c r="BA344" s="450"/>
      <c r="BB344" s="450"/>
      <c r="BC344" s="450"/>
      <c r="BD344" s="450"/>
      <c r="BE344" s="450"/>
      <c r="BF344" s="450"/>
      <c r="BG344" s="450"/>
      <c r="BH344" s="450"/>
      <c r="BI344" s="450"/>
      <c r="BJ344" s="450"/>
      <c r="BK344" s="450"/>
      <c r="BL344" s="450"/>
      <c r="BM344" s="450"/>
      <c r="BN344" s="450"/>
      <c r="BO344" s="450"/>
      <c r="BP344" s="450"/>
      <c r="BQ344" s="450"/>
      <c r="BR344" s="450"/>
      <c r="BS344" s="450"/>
      <c r="BT344" s="450"/>
      <c r="BU344" s="450"/>
      <c r="BV344" s="450"/>
      <c r="BW344" s="450"/>
      <c r="BX344" s="450"/>
      <c r="BY344" s="450"/>
      <c r="BZ344" s="450"/>
      <c r="CA344" s="450"/>
      <c r="CB344" s="450"/>
      <c r="CC344" s="450"/>
      <c r="CD344" s="450"/>
      <c r="CE344" s="450"/>
      <c r="CF344" s="450"/>
      <c r="CG344" s="450"/>
      <c r="CH344" s="450"/>
    </row>
    <row r="345">
      <c r="A345" s="450"/>
      <c r="B345" s="498"/>
      <c r="C345" s="455"/>
      <c r="D345" s="450"/>
      <c r="E345" s="450"/>
      <c r="F345" s="450"/>
      <c r="G345" s="450"/>
      <c r="H345" s="450"/>
      <c r="I345" s="450"/>
      <c r="J345" s="450"/>
      <c r="K345" s="450"/>
      <c r="L345" s="450"/>
      <c r="M345" s="450"/>
      <c r="N345" s="450"/>
      <c r="O345" s="450"/>
      <c r="P345" s="450"/>
      <c r="Q345" s="450"/>
      <c r="R345" s="450"/>
      <c r="S345" s="450"/>
      <c r="T345" s="450"/>
      <c r="U345" s="450"/>
      <c r="V345" s="450"/>
      <c r="W345" s="450"/>
      <c r="X345" s="450"/>
      <c r="Y345" s="450"/>
      <c r="Z345" s="450"/>
      <c r="AA345" s="450"/>
      <c r="AB345" s="450"/>
      <c r="AC345" s="450"/>
      <c r="AD345" s="450"/>
      <c r="AE345" s="450"/>
      <c r="AF345" s="450"/>
      <c r="AG345" s="450"/>
      <c r="AH345" s="450"/>
      <c r="AI345" s="450"/>
      <c r="AJ345" s="450"/>
      <c r="AK345" s="450"/>
      <c r="AL345" s="450"/>
      <c r="AM345" s="450"/>
      <c r="AN345" s="450"/>
      <c r="AO345" s="450"/>
      <c r="AP345" s="450"/>
      <c r="AQ345" s="450"/>
      <c r="AR345" s="450"/>
      <c r="AS345" s="450"/>
      <c r="AT345" s="450"/>
      <c r="AU345" s="450"/>
      <c r="AV345" s="450"/>
      <c r="AW345" s="450"/>
      <c r="AX345" s="450"/>
      <c r="AY345" s="450"/>
      <c r="AZ345" s="450"/>
      <c r="BA345" s="450"/>
      <c r="BB345" s="450"/>
      <c r="BC345" s="450"/>
      <c r="BD345" s="450"/>
      <c r="BE345" s="450"/>
      <c r="BF345" s="450"/>
      <c r="BG345" s="450"/>
      <c r="BH345" s="450"/>
      <c r="BI345" s="450"/>
      <c r="BJ345" s="450"/>
      <c r="BK345" s="450"/>
      <c r="BL345" s="450"/>
      <c r="BM345" s="450"/>
      <c r="BN345" s="450"/>
      <c r="BO345" s="450"/>
      <c r="BP345" s="450"/>
      <c r="BQ345" s="450"/>
      <c r="BR345" s="450"/>
      <c r="BS345" s="450"/>
      <c r="BT345" s="450"/>
      <c r="BU345" s="450"/>
      <c r="BV345" s="450"/>
      <c r="BW345" s="450"/>
      <c r="BX345" s="450"/>
      <c r="BY345" s="450"/>
      <c r="BZ345" s="450"/>
      <c r="CA345" s="450"/>
      <c r="CB345" s="450"/>
      <c r="CC345" s="450"/>
      <c r="CD345" s="450"/>
      <c r="CE345" s="450"/>
      <c r="CF345" s="450"/>
      <c r="CG345" s="450"/>
      <c r="CH345" s="450"/>
    </row>
    <row r="346">
      <c r="A346" s="450"/>
      <c r="B346" s="498"/>
      <c r="C346" s="455"/>
      <c r="D346" s="450"/>
      <c r="E346" s="450"/>
      <c r="F346" s="450"/>
      <c r="G346" s="450"/>
      <c r="H346" s="450"/>
      <c r="I346" s="450"/>
      <c r="J346" s="450"/>
      <c r="K346" s="450"/>
      <c r="L346" s="450"/>
      <c r="M346" s="450"/>
      <c r="N346" s="450"/>
      <c r="O346" s="450"/>
      <c r="P346" s="450"/>
      <c r="Q346" s="450"/>
      <c r="R346" s="450"/>
      <c r="S346" s="450"/>
      <c r="T346" s="450"/>
      <c r="U346" s="450"/>
      <c r="V346" s="450"/>
      <c r="W346" s="450"/>
      <c r="X346" s="450"/>
      <c r="Y346" s="450"/>
      <c r="Z346" s="450"/>
      <c r="AA346" s="450"/>
      <c r="AB346" s="450"/>
      <c r="AC346" s="450"/>
      <c r="AD346" s="450"/>
      <c r="AE346" s="450"/>
      <c r="AF346" s="450"/>
      <c r="AG346" s="450"/>
      <c r="AH346" s="450"/>
      <c r="AI346" s="450"/>
      <c r="AJ346" s="450"/>
      <c r="AK346" s="450"/>
      <c r="AL346" s="450"/>
      <c r="AM346" s="450"/>
      <c r="AN346" s="450"/>
      <c r="AO346" s="450"/>
      <c r="AP346" s="450"/>
      <c r="AQ346" s="450"/>
      <c r="AR346" s="450"/>
      <c r="AS346" s="450"/>
      <c r="AT346" s="450"/>
      <c r="AU346" s="450"/>
      <c r="AV346" s="450"/>
      <c r="AW346" s="450"/>
      <c r="AX346" s="450"/>
      <c r="AY346" s="450"/>
      <c r="AZ346" s="450"/>
      <c r="BA346" s="450"/>
      <c r="BB346" s="450"/>
      <c r="BC346" s="450"/>
      <c r="BD346" s="450"/>
      <c r="BE346" s="450"/>
      <c r="BF346" s="450"/>
      <c r="BG346" s="450"/>
      <c r="BH346" s="450"/>
      <c r="BI346" s="450"/>
      <c r="BJ346" s="450"/>
      <c r="BK346" s="450"/>
      <c r="BL346" s="450"/>
      <c r="BM346" s="450"/>
      <c r="BN346" s="450"/>
      <c r="BO346" s="450"/>
      <c r="BP346" s="450"/>
      <c r="BQ346" s="450"/>
      <c r="BR346" s="450"/>
      <c r="BS346" s="450"/>
      <c r="BT346" s="450"/>
      <c r="BU346" s="450"/>
      <c r="BV346" s="450"/>
      <c r="BW346" s="450"/>
      <c r="BX346" s="450"/>
      <c r="BY346" s="450"/>
      <c r="BZ346" s="450"/>
      <c r="CA346" s="450"/>
      <c r="CB346" s="450"/>
      <c r="CC346" s="450"/>
      <c r="CD346" s="450"/>
      <c r="CE346" s="450"/>
      <c r="CF346" s="450"/>
      <c r="CG346" s="450"/>
      <c r="CH346" s="450"/>
    </row>
    <row r="347">
      <c r="A347" s="450"/>
      <c r="B347" s="498"/>
      <c r="C347" s="455"/>
      <c r="D347" s="450"/>
      <c r="E347" s="450"/>
      <c r="F347" s="450"/>
      <c r="G347" s="450"/>
      <c r="H347" s="450"/>
      <c r="I347" s="450"/>
      <c r="J347" s="450"/>
      <c r="K347" s="450"/>
      <c r="L347" s="450"/>
      <c r="M347" s="450"/>
      <c r="N347" s="450"/>
      <c r="O347" s="450"/>
      <c r="P347" s="450"/>
      <c r="Q347" s="450"/>
      <c r="R347" s="450"/>
      <c r="S347" s="450"/>
      <c r="T347" s="450"/>
      <c r="U347" s="450"/>
      <c r="V347" s="450"/>
      <c r="W347" s="450"/>
      <c r="X347" s="450"/>
      <c r="Y347" s="450"/>
      <c r="Z347" s="450"/>
      <c r="AA347" s="450"/>
      <c r="AB347" s="450"/>
      <c r="AC347" s="450"/>
      <c r="AD347" s="450"/>
      <c r="AE347" s="450"/>
      <c r="AF347" s="450"/>
      <c r="AG347" s="450"/>
      <c r="AH347" s="450"/>
      <c r="AI347" s="450"/>
      <c r="AJ347" s="450"/>
      <c r="AK347" s="450"/>
      <c r="AL347" s="450"/>
      <c r="AM347" s="450"/>
      <c r="AN347" s="450"/>
      <c r="AO347" s="450"/>
      <c r="AP347" s="450"/>
      <c r="AQ347" s="450"/>
      <c r="AR347" s="450"/>
      <c r="AS347" s="450"/>
      <c r="AT347" s="450"/>
      <c r="AU347" s="450"/>
      <c r="AV347" s="450"/>
      <c r="AW347" s="450"/>
      <c r="AX347" s="450"/>
      <c r="AY347" s="450"/>
      <c r="AZ347" s="450"/>
      <c r="BA347" s="450"/>
      <c r="BB347" s="450"/>
      <c r="BC347" s="450"/>
      <c r="BD347" s="450"/>
      <c r="BE347" s="450"/>
      <c r="BF347" s="450"/>
      <c r="BG347" s="450"/>
      <c r="BH347" s="450"/>
      <c r="BI347" s="450"/>
      <c r="BJ347" s="450"/>
      <c r="BK347" s="450"/>
      <c r="BL347" s="450"/>
      <c r="BM347" s="450"/>
      <c r="BN347" s="450"/>
      <c r="BO347" s="450"/>
      <c r="BP347" s="450"/>
      <c r="BQ347" s="450"/>
      <c r="BR347" s="450"/>
      <c r="BS347" s="450"/>
      <c r="BT347" s="450"/>
      <c r="BU347" s="450"/>
      <c r="BV347" s="450"/>
      <c r="BW347" s="450"/>
      <c r="BX347" s="450"/>
      <c r="BY347" s="450"/>
      <c r="BZ347" s="450"/>
      <c r="CA347" s="450"/>
      <c r="CB347" s="450"/>
      <c r="CC347" s="450"/>
      <c r="CD347" s="450"/>
      <c r="CE347" s="450"/>
      <c r="CF347" s="450"/>
      <c r="CG347" s="450"/>
      <c r="CH347" s="450"/>
    </row>
    <row r="348">
      <c r="A348" s="450"/>
      <c r="B348" s="498"/>
      <c r="C348" s="455"/>
      <c r="D348" s="450"/>
      <c r="E348" s="450"/>
      <c r="F348" s="450"/>
      <c r="G348" s="450"/>
      <c r="H348" s="450"/>
      <c r="I348" s="450"/>
      <c r="J348" s="450"/>
      <c r="K348" s="450"/>
      <c r="L348" s="450"/>
      <c r="M348" s="450"/>
      <c r="N348" s="450"/>
      <c r="O348" s="450"/>
      <c r="P348" s="450"/>
      <c r="Q348" s="450"/>
      <c r="R348" s="450"/>
      <c r="S348" s="450"/>
      <c r="T348" s="450"/>
      <c r="U348" s="450"/>
      <c r="V348" s="450"/>
      <c r="W348" s="450"/>
      <c r="X348" s="450"/>
      <c r="Y348" s="450"/>
      <c r="Z348" s="450"/>
      <c r="AA348" s="450"/>
      <c r="AB348" s="450"/>
      <c r="AC348" s="450"/>
      <c r="AD348" s="450"/>
      <c r="AE348" s="450"/>
      <c r="AF348" s="450"/>
      <c r="AG348" s="450"/>
      <c r="AH348" s="450"/>
      <c r="AI348" s="450"/>
      <c r="AJ348" s="450"/>
      <c r="AK348" s="450"/>
      <c r="AL348" s="450"/>
      <c r="AM348" s="450"/>
      <c r="AN348" s="450"/>
      <c r="AO348" s="450"/>
      <c r="AP348" s="450"/>
      <c r="AQ348" s="450"/>
      <c r="AR348" s="450"/>
      <c r="AS348" s="450"/>
      <c r="AT348" s="450"/>
      <c r="AU348" s="450"/>
      <c r="AV348" s="450"/>
      <c r="AW348" s="450"/>
      <c r="AX348" s="450"/>
      <c r="AY348" s="450"/>
      <c r="AZ348" s="450"/>
      <c r="BA348" s="450"/>
      <c r="BB348" s="450"/>
      <c r="BC348" s="450"/>
      <c r="BD348" s="450"/>
      <c r="BE348" s="450"/>
      <c r="BF348" s="450"/>
      <c r="BG348" s="450"/>
      <c r="BH348" s="450"/>
      <c r="BI348" s="450"/>
      <c r="BJ348" s="450"/>
      <c r="BK348" s="450"/>
      <c r="BL348" s="450"/>
      <c r="BM348" s="450"/>
      <c r="BN348" s="450"/>
      <c r="BO348" s="450"/>
      <c r="BP348" s="450"/>
      <c r="BQ348" s="450"/>
      <c r="BR348" s="450"/>
      <c r="BS348" s="450"/>
      <c r="BT348" s="450"/>
      <c r="BU348" s="450"/>
      <c r="BV348" s="450"/>
      <c r="BW348" s="450"/>
      <c r="BX348" s="450"/>
      <c r="BY348" s="450"/>
      <c r="BZ348" s="450"/>
      <c r="CA348" s="450"/>
      <c r="CB348" s="450"/>
      <c r="CC348" s="450"/>
      <c r="CD348" s="450"/>
      <c r="CE348" s="450"/>
      <c r="CF348" s="450"/>
      <c r="CG348" s="450"/>
      <c r="CH348" s="450"/>
    </row>
    <row r="349">
      <c r="A349" s="450"/>
      <c r="B349" s="498"/>
      <c r="C349" s="455"/>
      <c r="D349" s="450"/>
      <c r="E349" s="450"/>
      <c r="F349" s="450"/>
      <c r="G349" s="450"/>
      <c r="H349" s="450"/>
      <c r="I349" s="450"/>
      <c r="J349" s="450"/>
      <c r="K349" s="450"/>
      <c r="L349" s="450"/>
      <c r="M349" s="450"/>
      <c r="N349" s="450"/>
      <c r="O349" s="450"/>
      <c r="P349" s="450"/>
      <c r="Q349" s="450"/>
      <c r="R349" s="450"/>
      <c r="S349" s="450"/>
      <c r="T349" s="450"/>
      <c r="U349" s="450"/>
      <c r="V349" s="450"/>
      <c r="W349" s="450"/>
      <c r="X349" s="450"/>
      <c r="Y349" s="450"/>
      <c r="Z349" s="450"/>
      <c r="AA349" s="450"/>
      <c r="AB349" s="450"/>
      <c r="AC349" s="450"/>
      <c r="AD349" s="450"/>
      <c r="AE349" s="450"/>
      <c r="AF349" s="450"/>
      <c r="AG349" s="450"/>
      <c r="AH349" s="450"/>
      <c r="AI349" s="450"/>
      <c r="AJ349" s="450"/>
      <c r="AK349" s="450"/>
      <c r="AL349" s="450"/>
      <c r="AM349" s="450"/>
      <c r="AN349" s="450"/>
      <c r="AO349" s="450"/>
      <c r="AP349" s="450"/>
      <c r="AQ349" s="450"/>
      <c r="AR349" s="450"/>
      <c r="AS349" s="450"/>
      <c r="AT349" s="450"/>
      <c r="AU349" s="450"/>
      <c r="AV349" s="450"/>
      <c r="AW349" s="450"/>
      <c r="AX349" s="450"/>
      <c r="AY349" s="450"/>
      <c r="AZ349" s="450"/>
      <c r="BA349" s="450"/>
      <c r="BB349" s="450"/>
      <c r="BC349" s="450"/>
      <c r="BD349" s="450"/>
      <c r="BE349" s="450"/>
      <c r="BF349" s="450"/>
      <c r="BG349" s="450"/>
      <c r="BH349" s="450"/>
      <c r="BI349" s="450"/>
      <c r="BJ349" s="450"/>
      <c r="BK349" s="450"/>
      <c r="BL349" s="450"/>
      <c r="BM349" s="450"/>
      <c r="BN349" s="450"/>
      <c r="BO349" s="450"/>
      <c r="BP349" s="450"/>
      <c r="BQ349" s="450"/>
      <c r="BR349" s="450"/>
      <c r="BS349" s="450"/>
      <c r="BT349" s="450"/>
      <c r="BU349" s="450"/>
      <c r="BV349" s="450"/>
      <c r="BW349" s="450"/>
      <c r="BX349" s="450"/>
      <c r="BY349" s="450"/>
      <c r="BZ349" s="450"/>
      <c r="CA349" s="450"/>
      <c r="CB349" s="450"/>
      <c r="CC349" s="450"/>
      <c r="CD349" s="450"/>
      <c r="CE349" s="450"/>
      <c r="CF349" s="450"/>
      <c r="CG349" s="450"/>
      <c r="CH349" s="450"/>
    </row>
    <row r="350">
      <c r="A350" s="450"/>
      <c r="B350" s="498"/>
      <c r="C350" s="455"/>
      <c r="D350" s="450"/>
      <c r="E350" s="450"/>
      <c r="F350" s="450"/>
      <c r="G350" s="450"/>
      <c r="H350" s="450"/>
      <c r="I350" s="450"/>
      <c r="J350" s="450"/>
      <c r="K350" s="450"/>
      <c r="L350" s="450"/>
      <c r="M350" s="450"/>
      <c r="N350" s="450"/>
      <c r="O350" s="450"/>
      <c r="P350" s="450"/>
      <c r="Q350" s="450"/>
      <c r="R350" s="450"/>
      <c r="S350" s="450"/>
      <c r="T350" s="450"/>
      <c r="U350" s="450"/>
      <c r="V350" s="450"/>
      <c r="W350" s="450"/>
      <c r="X350" s="450"/>
      <c r="Y350" s="450"/>
      <c r="Z350" s="450"/>
      <c r="AA350" s="450"/>
      <c r="AB350" s="450"/>
      <c r="AC350" s="450"/>
      <c r="AD350" s="450"/>
      <c r="AE350" s="450"/>
      <c r="AF350" s="450"/>
      <c r="AG350" s="450"/>
      <c r="AH350" s="450"/>
      <c r="AI350" s="450"/>
      <c r="AJ350" s="450"/>
      <c r="AK350" s="450"/>
      <c r="AL350" s="450"/>
      <c r="AM350" s="450"/>
      <c r="AN350" s="450"/>
      <c r="AO350" s="450"/>
      <c r="AP350" s="450"/>
      <c r="AQ350" s="450"/>
      <c r="AR350" s="450"/>
      <c r="AS350" s="450"/>
      <c r="AT350" s="450"/>
      <c r="AU350" s="450"/>
      <c r="AV350" s="450"/>
      <c r="AW350" s="450"/>
      <c r="AX350" s="450"/>
      <c r="AY350" s="450"/>
      <c r="AZ350" s="450"/>
      <c r="BA350" s="450"/>
      <c r="BB350" s="450"/>
      <c r="BC350" s="450"/>
      <c r="BD350" s="450"/>
      <c r="BE350" s="450"/>
      <c r="BF350" s="450"/>
      <c r="BG350" s="450"/>
      <c r="BH350" s="450"/>
      <c r="BI350" s="450"/>
      <c r="BJ350" s="450"/>
      <c r="BK350" s="450"/>
      <c r="BL350" s="450"/>
      <c r="BM350" s="450"/>
      <c r="BN350" s="450"/>
      <c r="BO350" s="450"/>
      <c r="BP350" s="450"/>
      <c r="BQ350" s="450"/>
      <c r="BR350" s="450"/>
      <c r="BS350" s="450"/>
      <c r="BT350" s="450"/>
      <c r="BU350" s="450"/>
      <c r="BV350" s="450"/>
      <c r="BW350" s="450"/>
      <c r="BX350" s="450"/>
      <c r="BY350" s="450"/>
      <c r="BZ350" s="450"/>
      <c r="CA350" s="450"/>
      <c r="CB350" s="450"/>
      <c r="CC350" s="450"/>
      <c r="CD350" s="450"/>
      <c r="CE350" s="450"/>
      <c r="CF350" s="450"/>
      <c r="CG350" s="450"/>
      <c r="CH350" s="450"/>
    </row>
    <row r="351">
      <c r="A351" s="450"/>
      <c r="B351" s="498"/>
      <c r="C351" s="455"/>
      <c r="D351" s="450"/>
      <c r="E351" s="450"/>
      <c r="F351" s="450"/>
      <c r="G351" s="450"/>
      <c r="H351" s="450"/>
      <c r="I351" s="450"/>
      <c r="J351" s="450"/>
      <c r="K351" s="450"/>
      <c r="L351" s="450"/>
      <c r="M351" s="450"/>
      <c r="N351" s="450"/>
      <c r="O351" s="450"/>
      <c r="P351" s="450"/>
      <c r="Q351" s="450"/>
      <c r="R351" s="450"/>
      <c r="S351" s="450"/>
      <c r="T351" s="450"/>
      <c r="U351" s="450"/>
      <c r="V351" s="450"/>
      <c r="W351" s="450"/>
      <c r="X351" s="450"/>
      <c r="Y351" s="450"/>
      <c r="Z351" s="450"/>
      <c r="AA351" s="450"/>
      <c r="AB351" s="450"/>
      <c r="AC351" s="450"/>
      <c r="AD351" s="450"/>
      <c r="AE351" s="450"/>
      <c r="AF351" s="450"/>
      <c r="AG351" s="450"/>
      <c r="AH351" s="450"/>
      <c r="AI351" s="450"/>
      <c r="AJ351" s="450"/>
      <c r="AK351" s="450"/>
      <c r="AL351" s="450"/>
      <c r="AM351" s="450"/>
      <c r="AN351" s="450"/>
      <c r="AO351" s="450"/>
      <c r="AP351" s="450"/>
      <c r="AQ351" s="450"/>
      <c r="AR351" s="450"/>
      <c r="AS351" s="450"/>
      <c r="AT351" s="450"/>
      <c r="AU351" s="450"/>
      <c r="AV351" s="450"/>
      <c r="AW351" s="450"/>
      <c r="AX351" s="450"/>
      <c r="AY351" s="450"/>
      <c r="AZ351" s="450"/>
      <c r="BA351" s="450"/>
      <c r="BB351" s="450"/>
      <c r="BC351" s="450"/>
      <c r="BD351" s="450"/>
      <c r="BE351" s="450"/>
      <c r="BF351" s="450"/>
      <c r="BG351" s="450"/>
      <c r="BH351" s="450"/>
      <c r="BI351" s="450"/>
      <c r="BJ351" s="450"/>
      <c r="BK351" s="450"/>
      <c r="BL351" s="450"/>
      <c r="BM351" s="450"/>
      <c r="BN351" s="450"/>
      <c r="BO351" s="450"/>
      <c r="BP351" s="450"/>
      <c r="BQ351" s="450"/>
      <c r="BR351" s="450"/>
      <c r="BS351" s="450"/>
      <c r="BT351" s="450"/>
      <c r="BU351" s="450"/>
      <c r="BV351" s="450"/>
      <c r="BW351" s="450"/>
      <c r="BX351" s="450"/>
      <c r="BY351" s="450"/>
      <c r="BZ351" s="450"/>
      <c r="CA351" s="450"/>
      <c r="CB351" s="450"/>
      <c r="CC351" s="450"/>
      <c r="CD351" s="450"/>
      <c r="CE351" s="450"/>
      <c r="CF351" s="450"/>
      <c r="CG351" s="450"/>
      <c r="CH351" s="450"/>
    </row>
    <row r="352">
      <c r="A352" s="450"/>
      <c r="B352" s="498"/>
      <c r="C352" s="455"/>
      <c r="D352" s="450"/>
      <c r="E352" s="450"/>
      <c r="F352" s="450"/>
      <c r="G352" s="450"/>
      <c r="H352" s="450"/>
      <c r="I352" s="450"/>
      <c r="J352" s="450"/>
      <c r="K352" s="450"/>
      <c r="L352" s="450"/>
      <c r="M352" s="450"/>
      <c r="N352" s="450"/>
      <c r="O352" s="450"/>
      <c r="P352" s="450"/>
      <c r="Q352" s="450"/>
      <c r="R352" s="450"/>
      <c r="S352" s="450"/>
      <c r="T352" s="450"/>
      <c r="U352" s="450"/>
      <c r="V352" s="450"/>
      <c r="W352" s="450"/>
      <c r="X352" s="450"/>
      <c r="Y352" s="450"/>
      <c r="Z352" s="450"/>
      <c r="AA352" s="450"/>
      <c r="AB352" s="450"/>
      <c r="AC352" s="450"/>
      <c r="AD352" s="450"/>
      <c r="AE352" s="450"/>
      <c r="AF352" s="450"/>
      <c r="AG352" s="450"/>
      <c r="AH352" s="450"/>
      <c r="AI352" s="450"/>
      <c r="AJ352" s="450"/>
      <c r="AK352" s="450"/>
      <c r="AL352" s="450"/>
      <c r="AM352" s="450"/>
      <c r="AN352" s="450"/>
      <c r="AO352" s="450"/>
      <c r="AP352" s="450"/>
      <c r="AQ352" s="450"/>
      <c r="AR352" s="450"/>
      <c r="AS352" s="450"/>
      <c r="AT352" s="450"/>
      <c r="AU352" s="450"/>
      <c r="AV352" s="450"/>
      <c r="AW352" s="450"/>
      <c r="AX352" s="450"/>
      <c r="AY352" s="450"/>
      <c r="AZ352" s="450"/>
      <c r="BA352" s="450"/>
      <c r="BB352" s="450"/>
      <c r="BC352" s="450"/>
      <c r="BD352" s="450"/>
      <c r="BE352" s="450"/>
      <c r="BF352" s="450"/>
      <c r="BG352" s="450"/>
      <c r="BH352" s="450"/>
      <c r="BI352" s="450"/>
      <c r="BJ352" s="450"/>
      <c r="BK352" s="450"/>
      <c r="BL352" s="450"/>
      <c r="BM352" s="450"/>
      <c r="BN352" s="450"/>
      <c r="BO352" s="450"/>
      <c r="BP352" s="450"/>
      <c r="BQ352" s="450"/>
      <c r="BR352" s="450"/>
      <c r="BS352" s="450"/>
      <c r="BT352" s="450"/>
      <c r="BU352" s="450"/>
      <c r="BV352" s="450"/>
      <c r="BW352" s="450"/>
      <c r="BX352" s="450"/>
      <c r="BY352" s="450"/>
      <c r="BZ352" s="450"/>
      <c r="CA352" s="450"/>
      <c r="CB352" s="450"/>
      <c r="CC352" s="450"/>
      <c r="CD352" s="450"/>
      <c r="CE352" s="450"/>
      <c r="CF352" s="450"/>
      <c r="CG352" s="450"/>
      <c r="CH352" s="450"/>
    </row>
    <row r="353">
      <c r="A353" s="450"/>
      <c r="B353" s="498"/>
      <c r="C353" s="455"/>
      <c r="D353" s="450"/>
      <c r="E353" s="450"/>
      <c r="F353" s="450"/>
      <c r="G353" s="450"/>
      <c r="H353" s="450"/>
      <c r="I353" s="450"/>
      <c r="J353" s="450"/>
      <c r="K353" s="450"/>
      <c r="L353" s="450"/>
      <c r="M353" s="450"/>
      <c r="N353" s="450"/>
      <c r="O353" s="450"/>
      <c r="P353" s="450"/>
      <c r="Q353" s="450"/>
      <c r="R353" s="450"/>
      <c r="S353" s="450"/>
      <c r="T353" s="450"/>
      <c r="U353" s="450"/>
      <c r="V353" s="450"/>
      <c r="W353" s="450"/>
      <c r="X353" s="450"/>
      <c r="Y353" s="450"/>
      <c r="Z353" s="450"/>
      <c r="AA353" s="450"/>
      <c r="AB353" s="450"/>
      <c r="AC353" s="450"/>
      <c r="AD353" s="450"/>
      <c r="AE353" s="450"/>
      <c r="AF353" s="450"/>
      <c r="AG353" s="450"/>
      <c r="AH353" s="450"/>
      <c r="AI353" s="450"/>
      <c r="AJ353" s="450"/>
      <c r="AK353" s="450"/>
      <c r="AL353" s="450"/>
      <c r="AM353" s="450"/>
      <c r="AN353" s="450"/>
      <c r="AO353" s="450"/>
      <c r="AP353" s="450"/>
      <c r="AQ353" s="450"/>
      <c r="AR353" s="450"/>
      <c r="AS353" s="450"/>
      <c r="AT353" s="450"/>
      <c r="AU353" s="450"/>
      <c r="AV353" s="450"/>
      <c r="AW353" s="450"/>
      <c r="AX353" s="450"/>
      <c r="AY353" s="450"/>
      <c r="AZ353" s="450"/>
      <c r="BA353" s="450"/>
      <c r="BB353" s="450"/>
      <c r="BC353" s="450"/>
      <c r="BD353" s="450"/>
      <c r="BE353" s="450"/>
      <c r="BF353" s="450"/>
      <c r="BG353" s="450"/>
      <c r="BH353" s="450"/>
      <c r="BI353" s="450"/>
      <c r="BJ353" s="450"/>
      <c r="BK353" s="450"/>
      <c r="BL353" s="450"/>
      <c r="BM353" s="450"/>
      <c r="BN353" s="450"/>
      <c r="BO353" s="450"/>
      <c r="BP353" s="450"/>
      <c r="BQ353" s="450"/>
      <c r="BR353" s="450"/>
      <c r="BS353" s="450"/>
      <c r="BT353" s="450"/>
      <c r="BU353" s="450"/>
      <c r="BV353" s="450"/>
      <c r="BW353" s="450"/>
      <c r="BX353" s="450"/>
      <c r="BY353" s="450"/>
      <c r="BZ353" s="450"/>
      <c r="CA353" s="450"/>
      <c r="CB353" s="450"/>
      <c r="CC353" s="450"/>
      <c r="CD353" s="450"/>
      <c r="CE353" s="450"/>
      <c r="CF353" s="450"/>
      <c r="CG353" s="450"/>
      <c r="CH353" s="450"/>
    </row>
    <row r="354">
      <c r="A354" s="450"/>
      <c r="B354" s="498"/>
      <c r="C354" s="455"/>
      <c r="D354" s="450"/>
      <c r="E354" s="450"/>
      <c r="F354" s="450"/>
      <c r="G354" s="450"/>
      <c r="H354" s="450"/>
      <c r="I354" s="450"/>
      <c r="J354" s="450"/>
      <c r="K354" s="450"/>
      <c r="L354" s="450"/>
      <c r="M354" s="450"/>
      <c r="N354" s="450"/>
      <c r="O354" s="450"/>
      <c r="P354" s="450"/>
      <c r="Q354" s="450"/>
      <c r="R354" s="450"/>
      <c r="S354" s="450"/>
      <c r="T354" s="450"/>
      <c r="U354" s="450"/>
      <c r="V354" s="450"/>
      <c r="W354" s="450"/>
      <c r="X354" s="450"/>
      <c r="Y354" s="450"/>
      <c r="Z354" s="450"/>
      <c r="AA354" s="450"/>
      <c r="AB354" s="450"/>
      <c r="AC354" s="450"/>
      <c r="AD354" s="450"/>
      <c r="AE354" s="450"/>
      <c r="AF354" s="450"/>
      <c r="AG354" s="450"/>
      <c r="AH354" s="450"/>
      <c r="AI354" s="450"/>
      <c r="AJ354" s="450"/>
      <c r="AK354" s="450"/>
      <c r="AL354" s="450"/>
      <c r="AM354" s="450"/>
      <c r="AN354" s="450"/>
      <c r="AO354" s="450"/>
      <c r="AP354" s="450"/>
      <c r="AQ354" s="450"/>
      <c r="AR354" s="450"/>
      <c r="AS354" s="450"/>
      <c r="AT354" s="450"/>
      <c r="AU354" s="450"/>
      <c r="AV354" s="450"/>
      <c r="AW354" s="450"/>
      <c r="AX354" s="450"/>
      <c r="AY354" s="450"/>
      <c r="AZ354" s="450"/>
      <c r="BA354" s="450"/>
      <c r="BB354" s="450"/>
      <c r="BC354" s="450"/>
      <c r="BD354" s="450"/>
      <c r="BE354" s="450"/>
      <c r="BF354" s="450"/>
      <c r="BG354" s="450"/>
      <c r="BH354" s="450"/>
      <c r="BI354" s="450"/>
      <c r="BJ354" s="450"/>
      <c r="BK354" s="450"/>
      <c r="BL354" s="450"/>
      <c r="BM354" s="450"/>
      <c r="BN354" s="450"/>
      <c r="BO354" s="450"/>
      <c r="BP354" s="450"/>
      <c r="BQ354" s="450"/>
      <c r="BR354" s="450"/>
      <c r="BS354" s="450"/>
      <c r="BT354" s="450"/>
      <c r="BU354" s="450"/>
      <c r="BV354" s="450"/>
      <c r="BW354" s="450"/>
      <c r="BX354" s="450"/>
      <c r="BY354" s="450"/>
      <c r="BZ354" s="450"/>
      <c r="CA354" s="450"/>
      <c r="CB354" s="450"/>
      <c r="CC354" s="450"/>
      <c r="CD354" s="450"/>
      <c r="CE354" s="450"/>
      <c r="CF354" s="450"/>
      <c r="CG354" s="450"/>
      <c r="CH354" s="450"/>
    </row>
    <row r="355">
      <c r="A355" s="450"/>
      <c r="B355" s="498"/>
      <c r="C355" s="455"/>
      <c r="D355" s="450"/>
      <c r="E355" s="450"/>
      <c r="F355" s="450"/>
      <c r="G355" s="450"/>
      <c r="H355" s="450"/>
      <c r="I355" s="450"/>
      <c r="J355" s="450"/>
      <c r="K355" s="450"/>
      <c r="L355" s="450"/>
      <c r="M355" s="450"/>
      <c r="N355" s="450"/>
      <c r="O355" s="450"/>
      <c r="P355" s="450"/>
      <c r="Q355" s="450"/>
      <c r="R355" s="450"/>
      <c r="S355" s="450"/>
      <c r="T355" s="450"/>
      <c r="U355" s="450"/>
      <c r="V355" s="450"/>
      <c r="W355" s="450"/>
      <c r="X355" s="450"/>
      <c r="Y355" s="450"/>
      <c r="Z355" s="450"/>
      <c r="AA355" s="450"/>
      <c r="AB355" s="450"/>
      <c r="AC355" s="450"/>
      <c r="AD355" s="450"/>
      <c r="AE355" s="450"/>
      <c r="AF355" s="450"/>
      <c r="AG355" s="450"/>
      <c r="AH355" s="450"/>
      <c r="AI355" s="450"/>
      <c r="AJ355" s="450"/>
      <c r="AK355" s="450"/>
      <c r="AL355" s="450"/>
      <c r="AM355" s="450"/>
      <c r="AN355" s="450"/>
      <c r="AO355" s="450"/>
      <c r="AP355" s="450"/>
      <c r="AQ355" s="450"/>
      <c r="AR355" s="450"/>
      <c r="AS355" s="450"/>
      <c r="AT355" s="450"/>
      <c r="AU355" s="450"/>
      <c r="AV355" s="450"/>
      <c r="AW355" s="450"/>
      <c r="AX355" s="450"/>
      <c r="AY355" s="450"/>
      <c r="AZ355" s="450"/>
      <c r="BA355" s="450"/>
      <c r="BB355" s="450"/>
      <c r="BC355" s="450"/>
      <c r="BD355" s="450"/>
      <c r="BE355" s="450"/>
      <c r="BF355" s="450"/>
      <c r="BG355" s="450"/>
      <c r="BH355" s="450"/>
      <c r="BI355" s="450"/>
      <c r="BJ355" s="450"/>
      <c r="BK355" s="450"/>
      <c r="BL355" s="450"/>
      <c r="BM355" s="450"/>
      <c r="BN355" s="450"/>
      <c r="BO355" s="450"/>
      <c r="BP355" s="450"/>
      <c r="BQ355" s="450"/>
      <c r="BR355" s="450"/>
      <c r="BS355" s="450"/>
      <c r="BT355" s="450"/>
      <c r="BU355" s="450"/>
      <c r="BV355" s="450"/>
      <c r="BW355" s="450"/>
      <c r="BX355" s="450"/>
      <c r="BY355" s="450"/>
      <c r="BZ355" s="450"/>
      <c r="CA355" s="450"/>
      <c r="CB355" s="450"/>
      <c r="CC355" s="450"/>
      <c r="CD355" s="450"/>
      <c r="CE355" s="450"/>
      <c r="CF355" s="450"/>
      <c r="CG355" s="450"/>
      <c r="CH355" s="450"/>
    </row>
    <row r="356">
      <c r="A356" s="450"/>
      <c r="B356" s="498"/>
      <c r="C356" s="455"/>
      <c r="D356" s="450"/>
      <c r="E356" s="450"/>
      <c r="F356" s="450"/>
      <c r="G356" s="450"/>
      <c r="H356" s="450"/>
      <c r="I356" s="450"/>
      <c r="J356" s="450"/>
      <c r="K356" s="450"/>
      <c r="L356" s="450"/>
      <c r="M356" s="450"/>
      <c r="N356" s="450"/>
      <c r="O356" s="450"/>
      <c r="P356" s="450"/>
      <c r="Q356" s="450"/>
      <c r="R356" s="450"/>
      <c r="S356" s="450"/>
      <c r="T356" s="450"/>
      <c r="U356" s="450"/>
      <c r="V356" s="450"/>
      <c r="W356" s="450"/>
      <c r="X356" s="450"/>
      <c r="Y356" s="450"/>
      <c r="Z356" s="450"/>
      <c r="AA356" s="450"/>
      <c r="AB356" s="450"/>
      <c r="AC356" s="450"/>
      <c r="AD356" s="450"/>
      <c r="AE356" s="450"/>
      <c r="AF356" s="450"/>
      <c r="AG356" s="450"/>
      <c r="AH356" s="450"/>
      <c r="AI356" s="450"/>
      <c r="AJ356" s="450"/>
      <c r="AK356" s="450"/>
      <c r="AL356" s="450"/>
      <c r="AM356" s="450"/>
      <c r="AN356" s="450"/>
      <c r="AO356" s="450"/>
      <c r="AP356" s="450"/>
      <c r="AQ356" s="450"/>
      <c r="AR356" s="450"/>
      <c r="AS356" s="450"/>
      <c r="AT356" s="450"/>
      <c r="AU356" s="450"/>
      <c r="AV356" s="450"/>
      <c r="AW356" s="450"/>
      <c r="AX356" s="450"/>
      <c r="AY356" s="450"/>
      <c r="AZ356" s="450"/>
      <c r="BA356" s="450"/>
      <c r="BB356" s="450"/>
      <c r="BC356" s="450"/>
      <c r="BD356" s="450"/>
      <c r="BE356" s="450"/>
      <c r="BF356" s="450"/>
      <c r="BG356" s="450"/>
      <c r="BH356" s="450"/>
      <c r="BI356" s="450"/>
      <c r="BJ356" s="450"/>
      <c r="BK356" s="450"/>
      <c r="BL356" s="450"/>
      <c r="BM356" s="450"/>
      <c r="BN356" s="450"/>
      <c r="BO356" s="450"/>
      <c r="BP356" s="450"/>
      <c r="BQ356" s="450"/>
      <c r="BR356" s="450"/>
      <c r="BS356" s="450"/>
      <c r="BT356" s="450"/>
      <c r="BU356" s="450"/>
      <c r="BV356" s="450"/>
      <c r="BW356" s="450"/>
      <c r="BX356" s="450"/>
      <c r="BY356" s="450"/>
      <c r="BZ356" s="450"/>
      <c r="CA356" s="450"/>
      <c r="CB356" s="450"/>
      <c r="CC356" s="450"/>
      <c r="CD356" s="450"/>
      <c r="CE356" s="450"/>
      <c r="CF356" s="450"/>
      <c r="CG356" s="450"/>
      <c r="CH356" s="450"/>
    </row>
    <row r="357">
      <c r="A357" s="450"/>
      <c r="B357" s="498"/>
      <c r="C357" s="455"/>
      <c r="D357" s="450"/>
      <c r="E357" s="450"/>
      <c r="F357" s="450"/>
      <c r="G357" s="450"/>
      <c r="H357" s="450"/>
      <c r="I357" s="450"/>
      <c r="J357" s="450"/>
      <c r="K357" s="450"/>
      <c r="L357" s="450"/>
      <c r="M357" s="450"/>
      <c r="N357" s="450"/>
      <c r="O357" s="450"/>
      <c r="P357" s="450"/>
      <c r="Q357" s="450"/>
      <c r="R357" s="450"/>
      <c r="S357" s="450"/>
      <c r="T357" s="450"/>
      <c r="U357" s="450"/>
      <c r="V357" s="450"/>
      <c r="W357" s="450"/>
      <c r="X357" s="450"/>
      <c r="Y357" s="450"/>
      <c r="Z357" s="450"/>
      <c r="AA357" s="450"/>
      <c r="AB357" s="450"/>
      <c r="AC357" s="450"/>
      <c r="AD357" s="450"/>
      <c r="AE357" s="450"/>
      <c r="AF357" s="450"/>
      <c r="AG357" s="450"/>
      <c r="AH357" s="450"/>
      <c r="AI357" s="450"/>
      <c r="AJ357" s="450"/>
      <c r="AK357" s="450"/>
      <c r="AL357" s="450"/>
      <c r="AM357" s="450"/>
      <c r="AN357" s="450"/>
      <c r="AO357" s="450"/>
      <c r="AP357" s="450"/>
      <c r="AQ357" s="450"/>
      <c r="AR357" s="450"/>
      <c r="AS357" s="450"/>
      <c r="AT357" s="450"/>
      <c r="AU357" s="450"/>
      <c r="AV357" s="450"/>
      <c r="AW357" s="450"/>
      <c r="AX357" s="450"/>
      <c r="AY357" s="450"/>
      <c r="AZ357" s="450"/>
      <c r="BA357" s="450"/>
      <c r="BB357" s="450"/>
      <c r="BC357" s="450"/>
      <c r="BD357" s="450"/>
      <c r="BE357" s="450"/>
      <c r="BF357" s="450"/>
      <c r="BG357" s="450"/>
      <c r="BH357" s="450"/>
      <c r="BI357" s="450"/>
      <c r="BJ357" s="450"/>
      <c r="BK357" s="450"/>
      <c r="BL357" s="450"/>
      <c r="BM357" s="450"/>
      <c r="BN357" s="450"/>
      <c r="BO357" s="450"/>
      <c r="BP357" s="450"/>
      <c r="BQ357" s="450"/>
      <c r="BR357" s="450"/>
      <c r="BS357" s="450"/>
      <c r="BT357" s="450"/>
      <c r="BU357" s="450"/>
      <c r="BV357" s="450"/>
      <c r="BW357" s="450"/>
      <c r="BX357" s="450"/>
      <c r="BY357" s="450"/>
      <c r="BZ357" s="450"/>
      <c r="CA357" s="450"/>
      <c r="CB357" s="450"/>
      <c r="CC357" s="450"/>
      <c r="CD357" s="450"/>
      <c r="CE357" s="450"/>
      <c r="CF357" s="450"/>
      <c r="CG357" s="450"/>
      <c r="CH357" s="450"/>
    </row>
    <row r="358">
      <c r="A358" s="450"/>
      <c r="B358" s="498"/>
      <c r="C358" s="455"/>
      <c r="D358" s="450"/>
      <c r="E358" s="450"/>
      <c r="F358" s="450"/>
      <c r="G358" s="450"/>
      <c r="H358" s="450"/>
      <c r="I358" s="450"/>
      <c r="J358" s="450"/>
      <c r="K358" s="450"/>
      <c r="L358" s="450"/>
      <c r="M358" s="450"/>
      <c r="N358" s="450"/>
      <c r="O358" s="450"/>
      <c r="P358" s="450"/>
      <c r="Q358" s="450"/>
      <c r="R358" s="450"/>
      <c r="S358" s="450"/>
      <c r="T358" s="450"/>
      <c r="U358" s="450"/>
      <c r="V358" s="450"/>
      <c r="W358" s="450"/>
      <c r="X358" s="450"/>
      <c r="Y358" s="450"/>
      <c r="Z358" s="450"/>
      <c r="AA358" s="450"/>
      <c r="AB358" s="450"/>
      <c r="AC358" s="450"/>
      <c r="AD358" s="450"/>
      <c r="AE358" s="450"/>
      <c r="AF358" s="450"/>
      <c r="AG358" s="450"/>
      <c r="AH358" s="450"/>
      <c r="AI358" s="450"/>
      <c r="AJ358" s="450"/>
      <c r="AK358" s="450"/>
      <c r="AL358" s="450"/>
      <c r="AM358" s="450"/>
      <c r="AN358" s="450"/>
      <c r="AO358" s="450"/>
      <c r="AP358" s="450"/>
      <c r="AQ358" s="450"/>
      <c r="AR358" s="450"/>
      <c r="AS358" s="450"/>
      <c r="AT358" s="450"/>
      <c r="AU358" s="450"/>
      <c r="AV358" s="450"/>
      <c r="AW358" s="450"/>
      <c r="AX358" s="450"/>
      <c r="AY358" s="450"/>
      <c r="AZ358" s="450"/>
      <c r="BA358" s="450"/>
      <c r="BB358" s="450"/>
      <c r="BC358" s="450"/>
      <c r="BD358" s="450"/>
      <c r="BE358" s="450"/>
      <c r="BF358" s="450"/>
      <c r="BG358" s="450"/>
      <c r="BH358" s="450"/>
      <c r="BI358" s="450"/>
      <c r="BJ358" s="450"/>
      <c r="BK358" s="450"/>
      <c r="BL358" s="450"/>
      <c r="BM358" s="450"/>
      <c r="BN358" s="450"/>
      <c r="BO358" s="450"/>
      <c r="BP358" s="450"/>
      <c r="BQ358" s="450"/>
      <c r="BR358" s="450"/>
      <c r="BS358" s="450"/>
      <c r="BT358" s="450"/>
      <c r="BU358" s="450"/>
      <c r="BV358" s="450"/>
      <c r="BW358" s="450"/>
      <c r="BX358" s="450"/>
      <c r="BY358" s="450"/>
      <c r="BZ358" s="450"/>
      <c r="CA358" s="450"/>
      <c r="CB358" s="450"/>
      <c r="CC358" s="450"/>
      <c r="CD358" s="450"/>
      <c r="CE358" s="450"/>
      <c r="CF358" s="450"/>
      <c r="CG358" s="450"/>
      <c r="CH358" s="450"/>
    </row>
    <row r="359">
      <c r="A359" s="450"/>
      <c r="B359" s="498"/>
      <c r="C359" s="455"/>
      <c r="D359" s="450"/>
      <c r="E359" s="450"/>
      <c r="F359" s="450"/>
      <c r="G359" s="450"/>
      <c r="H359" s="450"/>
      <c r="I359" s="450"/>
      <c r="J359" s="450"/>
      <c r="K359" s="450"/>
      <c r="L359" s="450"/>
      <c r="M359" s="450"/>
      <c r="N359" s="450"/>
      <c r="O359" s="450"/>
      <c r="P359" s="450"/>
      <c r="Q359" s="450"/>
      <c r="R359" s="450"/>
      <c r="S359" s="450"/>
      <c r="T359" s="450"/>
      <c r="U359" s="450"/>
      <c r="V359" s="450"/>
      <c r="W359" s="450"/>
      <c r="X359" s="450"/>
      <c r="Y359" s="450"/>
      <c r="Z359" s="450"/>
      <c r="AA359" s="450"/>
      <c r="AB359" s="450"/>
      <c r="AC359" s="450"/>
      <c r="AD359" s="450"/>
      <c r="AE359" s="450"/>
      <c r="AF359" s="450"/>
      <c r="AG359" s="450"/>
      <c r="AH359" s="450"/>
      <c r="AI359" s="450"/>
      <c r="AJ359" s="450"/>
      <c r="AK359" s="450"/>
      <c r="AL359" s="450"/>
      <c r="AM359" s="450"/>
      <c r="AN359" s="450"/>
      <c r="AO359" s="450"/>
      <c r="AP359" s="450"/>
      <c r="AQ359" s="450"/>
      <c r="AR359" s="450"/>
      <c r="AS359" s="450"/>
      <c r="AT359" s="450"/>
      <c r="AU359" s="450"/>
      <c r="AV359" s="450"/>
      <c r="AW359" s="450"/>
      <c r="AX359" s="450"/>
      <c r="AY359" s="450"/>
      <c r="AZ359" s="450"/>
      <c r="BA359" s="450"/>
      <c r="BB359" s="450"/>
      <c r="BC359" s="450"/>
      <c r="BD359" s="450"/>
      <c r="BE359" s="450"/>
      <c r="BF359" s="450"/>
      <c r="BG359" s="450"/>
      <c r="BH359" s="450"/>
      <c r="BI359" s="450"/>
      <c r="BJ359" s="450"/>
      <c r="BK359" s="450"/>
      <c r="BL359" s="450"/>
      <c r="BM359" s="450"/>
      <c r="BN359" s="450"/>
      <c r="BO359" s="450"/>
      <c r="BP359" s="450"/>
      <c r="BQ359" s="450"/>
      <c r="BR359" s="450"/>
      <c r="BS359" s="450"/>
      <c r="BT359" s="450"/>
      <c r="BU359" s="450"/>
      <c r="BV359" s="450"/>
      <c r="BW359" s="450"/>
      <c r="BX359" s="450"/>
      <c r="BY359" s="450"/>
      <c r="BZ359" s="450"/>
      <c r="CA359" s="450"/>
      <c r="CB359" s="450"/>
      <c r="CC359" s="450"/>
      <c r="CD359" s="450"/>
      <c r="CE359" s="450"/>
      <c r="CF359" s="450"/>
      <c r="CG359" s="450"/>
      <c r="CH359" s="450"/>
    </row>
    <row r="360">
      <c r="A360" s="450"/>
      <c r="B360" s="498"/>
      <c r="C360" s="455"/>
      <c r="D360" s="450"/>
      <c r="E360" s="450"/>
      <c r="F360" s="450"/>
      <c r="G360" s="450"/>
      <c r="H360" s="450"/>
      <c r="I360" s="450"/>
      <c r="J360" s="450"/>
      <c r="K360" s="450"/>
      <c r="L360" s="450"/>
      <c r="M360" s="450"/>
      <c r="N360" s="450"/>
      <c r="O360" s="450"/>
      <c r="P360" s="450"/>
      <c r="Q360" s="450"/>
      <c r="R360" s="450"/>
      <c r="S360" s="450"/>
      <c r="T360" s="450"/>
      <c r="U360" s="450"/>
      <c r="V360" s="450"/>
      <c r="W360" s="450"/>
      <c r="X360" s="450"/>
      <c r="Y360" s="450"/>
      <c r="Z360" s="450"/>
      <c r="AA360" s="450"/>
      <c r="AB360" s="450"/>
      <c r="AC360" s="450"/>
      <c r="AD360" s="450"/>
      <c r="AE360" s="450"/>
      <c r="AF360" s="450"/>
      <c r="AG360" s="450"/>
      <c r="AH360" s="450"/>
      <c r="AI360" s="450"/>
      <c r="AJ360" s="450"/>
      <c r="AK360" s="450"/>
      <c r="AL360" s="450"/>
      <c r="AM360" s="450"/>
      <c r="AN360" s="450"/>
      <c r="AO360" s="450"/>
      <c r="AP360" s="450"/>
      <c r="AQ360" s="450"/>
      <c r="AR360" s="450"/>
      <c r="AS360" s="450"/>
      <c r="AT360" s="450"/>
      <c r="AU360" s="450"/>
      <c r="AV360" s="450"/>
      <c r="AW360" s="450"/>
      <c r="AX360" s="450"/>
      <c r="AY360" s="450"/>
      <c r="AZ360" s="450"/>
      <c r="BA360" s="450"/>
      <c r="BB360" s="450"/>
      <c r="BC360" s="450"/>
      <c r="BD360" s="450"/>
      <c r="BE360" s="450"/>
      <c r="BF360" s="450"/>
      <c r="BG360" s="450"/>
      <c r="BH360" s="450"/>
      <c r="BI360" s="450"/>
      <c r="BJ360" s="450"/>
      <c r="BK360" s="450"/>
      <c r="BL360" s="450"/>
      <c r="BM360" s="450"/>
      <c r="BN360" s="450"/>
      <c r="BO360" s="450"/>
      <c r="BP360" s="450"/>
      <c r="BQ360" s="450"/>
      <c r="BR360" s="450"/>
      <c r="BS360" s="450"/>
      <c r="BT360" s="450"/>
      <c r="BU360" s="450"/>
      <c r="BV360" s="450"/>
      <c r="BW360" s="450"/>
      <c r="BX360" s="450"/>
      <c r="BY360" s="450"/>
      <c r="BZ360" s="450"/>
      <c r="CA360" s="450"/>
      <c r="CB360" s="450"/>
      <c r="CC360" s="450"/>
      <c r="CD360" s="450"/>
      <c r="CE360" s="450"/>
      <c r="CF360" s="450"/>
      <c r="CG360" s="450"/>
      <c r="CH360" s="450"/>
    </row>
    <row r="361">
      <c r="A361" s="450"/>
      <c r="B361" s="498"/>
      <c r="C361" s="455"/>
      <c r="D361" s="450"/>
      <c r="E361" s="450"/>
      <c r="F361" s="450"/>
      <c r="G361" s="450"/>
      <c r="H361" s="450"/>
      <c r="I361" s="450"/>
      <c r="J361" s="450"/>
      <c r="K361" s="450"/>
      <c r="L361" s="450"/>
      <c r="M361" s="450"/>
      <c r="N361" s="450"/>
      <c r="O361" s="450"/>
      <c r="P361" s="450"/>
      <c r="Q361" s="450"/>
      <c r="R361" s="450"/>
      <c r="S361" s="450"/>
      <c r="T361" s="450"/>
      <c r="U361" s="450"/>
      <c r="V361" s="450"/>
      <c r="W361" s="450"/>
      <c r="X361" s="450"/>
      <c r="Y361" s="450"/>
      <c r="Z361" s="450"/>
      <c r="AA361" s="450"/>
      <c r="AB361" s="450"/>
      <c r="AC361" s="450"/>
      <c r="AD361" s="450"/>
      <c r="AE361" s="450"/>
      <c r="AF361" s="450"/>
      <c r="AG361" s="450"/>
      <c r="AH361" s="450"/>
      <c r="AI361" s="450"/>
      <c r="AJ361" s="450"/>
      <c r="AK361" s="450"/>
      <c r="AL361" s="450"/>
      <c r="AM361" s="450"/>
      <c r="AN361" s="450"/>
      <c r="AO361" s="450"/>
      <c r="AP361" s="450"/>
      <c r="AQ361" s="450"/>
      <c r="AR361" s="450"/>
      <c r="AS361" s="450"/>
      <c r="AT361" s="450"/>
      <c r="AU361" s="450"/>
      <c r="AV361" s="450"/>
      <c r="AW361" s="450"/>
      <c r="AX361" s="450"/>
      <c r="AY361" s="450"/>
      <c r="AZ361" s="450"/>
      <c r="BA361" s="450"/>
      <c r="BB361" s="450"/>
      <c r="BC361" s="450"/>
      <c r="BD361" s="450"/>
      <c r="BE361" s="450"/>
      <c r="BF361" s="450"/>
      <c r="BG361" s="450"/>
      <c r="BH361" s="450"/>
      <c r="BI361" s="450"/>
      <c r="BJ361" s="450"/>
      <c r="BK361" s="450"/>
      <c r="BL361" s="450"/>
      <c r="BM361" s="450"/>
      <c r="BN361" s="450"/>
      <c r="BO361" s="450"/>
      <c r="BP361" s="450"/>
      <c r="BQ361" s="450"/>
      <c r="BR361" s="450"/>
      <c r="BS361" s="450"/>
      <c r="BT361" s="450"/>
      <c r="BU361" s="450"/>
      <c r="BV361" s="450"/>
      <c r="BW361" s="450"/>
      <c r="BX361" s="450"/>
      <c r="BY361" s="450"/>
      <c r="BZ361" s="450"/>
      <c r="CA361" s="450"/>
      <c r="CB361" s="450"/>
      <c r="CC361" s="450"/>
      <c r="CD361" s="450"/>
      <c r="CE361" s="450"/>
      <c r="CF361" s="450"/>
      <c r="CG361" s="450"/>
      <c r="CH361" s="450"/>
    </row>
    <row r="362">
      <c r="A362" s="450"/>
      <c r="B362" s="498"/>
      <c r="C362" s="455"/>
      <c r="D362" s="450"/>
      <c r="E362" s="450"/>
      <c r="F362" s="450"/>
      <c r="G362" s="450"/>
      <c r="H362" s="450"/>
      <c r="I362" s="450"/>
      <c r="J362" s="450"/>
      <c r="K362" s="450"/>
      <c r="L362" s="450"/>
      <c r="M362" s="450"/>
      <c r="N362" s="450"/>
      <c r="O362" s="450"/>
      <c r="P362" s="450"/>
      <c r="Q362" s="450"/>
      <c r="R362" s="450"/>
      <c r="S362" s="450"/>
      <c r="T362" s="450"/>
      <c r="U362" s="450"/>
      <c r="V362" s="450"/>
      <c r="W362" s="450"/>
      <c r="X362" s="450"/>
      <c r="Y362" s="450"/>
      <c r="Z362" s="450"/>
      <c r="AA362" s="450"/>
      <c r="AB362" s="450"/>
      <c r="AC362" s="450"/>
      <c r="AD362" s="450"/>
      <c r="AE362" s="450"/>
      <c r="AF362" s="450"/>
      <c r="AG362" s="450"/>
      <c r="AH362" s="450"/>
      <c r="AI362" s="450"/>
      <c r="AJ362" s="450"/>
      <c r="AK362" s="450"/>
      <c r="AL362" s="450"/>
      <c r="AM362" s="450"/>
      <c r="AN362" s="450"/>
      <c r="AO362" s="450"/>
      <c r="AP362" s="450"/>
      <c r="AQ362" s="450"/>
      <c r="AR362" s="450"/>
      <c r="AS362" s="450"/>
      <c r="AT362" s="450"/>
      <c r="AU362" s="450"/>
      <c r="AV362" s="450"/>
      <c r="AW362" s="450"/>
      <c r="AX362" s="450"/>
      <c r="AY362" s="450"/>
      <c r="AZ362" s="450"/>
      <c r="BA362" s="450"/>
      <c r="BB362" s="450"/>
      <c r="BC362" s="450"/>
      <c r="BD362" s="450"/>
      <c r="BE362" s="450"/>
      <c r="BF362" s="450"/>
      <c r="BG362" s="450"/>
      <c r="BH362" s="450"/>
      <c r="BI362" s="450"/>
      <c r="BJ362" s="450"/>
      <c r="BK362" s="450"/>
      <c r="BL362" s="450"/>
      <c r="BM362" s="450"/>
      <c r="BN362" s="450"/>
      <c r="BO362" s="450"/>
      <c r="BP362" s="450"/>
      <c r="BQ362" s="450"/>
      <c r="BR362" s="450"/>
      <c r="BS362" s="450"/>
      <c r="BT362" s="450"/>
      <c r="BU362" s="450"/>
      <c r="BV362" s="450"/>
      <c r="BW362" s="450"/>
      <c r="BX362" s="450"/>
      <c r="BY362" s="450"/>
      <c r="BZ362" s="450"/>
      <c r="CA362" s="450"/>
      <c r="CB362" s="450"/>
      <c r="CC362" s="450"/>
      <c r="CD362" s="450"/>
      <c r="CE362" s="450"/>
      <c r="CF362" s="450"/>
      <c r="CG362" s="450"/>
      <c r="CH362" s="450"/>
    </row>
    <row r="363">
      <c r="A363" s="450"/>
      <c r="B363" s="498"/>
      <c r="C363" s="455"/>
      <c r="D363" s="450"/>
      <c r="E363" s="450"/>
      <c r="F363" s="450"/>
      <c r="G363" s="450"/>
      <c r="H363" s="450"/>
      <c r="I363" s="450"/>
      <c r="J363" s="450"/>
      <c r="K363" s="450"/>
      <c r="L363" s="450"/>
      <c r="M363" s="450"/>
      <c r="N363" s="450"/>
      <c r="O363" s="450"/>
      <c r="P363" s="450"/>
      <c r="Q363" s="450"/>
      <c r="R363" s="450"/>
      <c r="S363" s="450"/>
      <c r="T363" s="450"/>
      <c r="U363" s="450"/>
      <c r="V363" s="450"/>
      <c r="W363" s="450"/>
      <c r="X363" s="450"/>
      <c r="Y363" s="450"/>
      <c r="Z363" s="450"/>
      <c r="AA363" s="450"/>
      <c r="AB363" s="450"/>
      <c r="AC363" s="450"/>
      <c r="AD363" s="450"/>
      <c r="AE363" s="450"/>
      <c r="AF363" s="450"/>
      <c r="AG363" s="450"/>
      <c r="AH363" s="450"/>
      <c r="AI363" s="450"/>
      <c r="AJ363" s="450"/>
      <c r="AK363" s="450"/>
      <c r="AL363" s="450"/>
      <c r="AM363" s="450"/>
      <c r="AN363" s="450"/>
      <c r="AO363" s="450"/>
      <c r="AP363" s="450"/>
      <c r="AQ363" s="450"/>
      <c r="AR363" s="450"/>
      <c r="AS363" s="450"/>
      <c r="AT363" s="450"/>
      <c r="AU363" s="450"/>
      <c r="AV363" s="450"/>
      <c r="AW363" s="450"/>
      <c r="AX363" s="450"/>
      <c r="AY363" s="450"/>
      <c r="AZ363" s="450"/>
      <c r="BA363" s="450"/>
      <c r="BB363" s="450"/>
      <c r="BC363" s="450"/>
      <c r="BD363" s="450"/>
      <c r="BE363" s="450"/>
      <c r="BF363" s="450"/>
      <c r="BG363" s="450"/>
      <c r="BH363" s="450"/>
      <c r="BI363" s="450"/>
      <c r="BJ363" s="450"/>
      <c r="BK363" s="450"/>
      <c r="BL363" s="450"/>
      <c r="BM363" s="450"/>
      <c r="BN363" s="450"/>
      <c r="BO363" s="450"/>
      <c r="BP363" s="450"/>
      <c r="BQ363" s="450"/>
      <c r="BR363" s="450"/>
      <c r="BS363" s="450"/>
      <c r="BT363" s="450"/>
      <c r="BU363" s="450"/>
      <c r="BV363" s="450"/>
      <c r="BW363" s="450"/>
      <c r="BX363" s="450"/>
      <c r="BY363" s="450"/>
      <c r="BZ363" s="450"/>
      <c r="CA363" s="450"/>
      <c r="CB363" s="450"/>
      <c r="CC363" s="450"/>
      <c r="CD363" s="450"/>
      <c r="CE363" s="450"/>
      <c r="CF363" s="450"/>
      <c r="CG363" s="450"/>
      <c r="CH363" s="450"/>
    </row>
    <row r="364">
      <c r="A364" s="450"/>
      <c r="B364" s="498"/>
      <c r="C364" s="455"/>
      <c r="D364" s="450"/>
      <c r="E364" s="450"/>
      <c r="F364" s="450"/>
      <c r="G364" s="450"/>
      <c r="H364" s="450"/>
      <c r="I364" s="450"/>
      <c r="J364" s="450"/>
      <c r="K364" s="450"/>
      <c r="L364" s="450"/>
      <c r="M364" s="450"/>
      <c r="N364" s="450"/>
      <c r="O364" s="450"/>
      <c r="P364" s="450"/>
      <c r="Q364" s="450"/>
      <c r="R364" s="450"/>
      <c r="S364" s="450"/>
      <c r="T364" s="450"/>
      <c r="U364" s="450"/>
      <c r="V364" s="450"/>
      <c r="W364" s="450"/>
      <c r="X364" s="450"/>
      <c r="Y364" s="450"/>
      <c r="Z364" s="450"/>
      <c r="AA364" s="450"/>
      <c r="AB364" s="450"/>
      <c r="AC364" s="450"/>
      <c r="AD364" s="450"/>
      <c r="AE364" s="450"/>
      <c r="AF364" s="450"/>
      <c r="AG364" s="450"/>
      <c r="AH364" s="450"/>
      <c r="AI364" s="450"/>
      <c r="AJ364" s="450"/>
      <c r="AK364" s="450"/>
      <c r="AL364" s="450"/>
      <c r="AM364" s="450"/>
      <c r="AN364" s="450"/>
      <c r="AO364" s="450"/>
      <c r="AP364" s="450"/>
      <c r="AQ364" s="450"/>
      <c r="AR364" s="450"/>
      <c r="AS364" s="450"/>
      <c r="AT364" s="450"/>
      <c r="AU364" s="450"/>
      <c r="AV364" s="450"/>
      <c r="AW364" s="450"/>
      <c r="AX364" s="450"/>
      <c r="AY364" s="450"/>
      <c r="AZ364" s="450"/>
      <c r="BA364" s="450"/>
      <c r="BB364" s="450"/>
      <c r="BC364" s="450"/>
      <c r="BD364" s="450"/>
      <c r="BE364" s="450"/>
      <c r="BF364" s="450"/>
      <c r="BG364" s="450"/>
      <c r="BH364" s="450"/>
      <c r="BI364" s="450"/>
      <c r="BJ364" s="450"/>
      <c r="BK364" s="450"/>
      <c r="BL364" s="450"/>
      <c r="BM364" s="450"/>
      <c r="BN364" s="450"/>
      <c r="BO364" s="450"/>
      <c r="BP364" s="450"/>
      <c r="BQ364" s="450"/>
      <c r="BR364" s="450"/>
      <c r="BS364" s="450"/>
      <c r="BT364" s="450"/>
      <c r="BU364" s="450"/>
      <c r="BV364" s="450"/>
      <c r="BW364" s="450"/>
      <c r="BX364" s="450"/>
      <c r="BY364" s="450"/>
      <c r="BZ364" s="450"/>
      <c r="CA364" s="450"/>
      <c r="CB364" s="450"/>
      <c r="CC364" s="450"/>
      <c r="CD364" s="450"/>
      <c r="CE364" s="450"/>
      <c r="CF364" s="450"/>
      <c r="CG364" s="450"/>
      <c r="CH364" s="450"/>
    </row>
    <row r="365">
      <c r="A365" s="450"/>
      <c r="B365" s="498"/>
      <c r="C365" s="455"/>
      <c r="D365" s="450"/>
      <c r="E365" s="450"/>
      <c r="F365" s="450"/>
      <c r="G365" s="450"/>
      <c r="H365" s="450"/>
      <c r="I365" s="450"/>
      <c r="J365" s="450"/>
      <c r="K365" s="450"/>
      <c r="L365" s="450"/>
      <c r="M365" s="450"/>
      <c r="N365" s="450"/>
      <c r="O365" s="450"/>
      <c r="P365" s="450"/>
      <c r="Q365" s="450"/>
      <c r="R365" s="450"/>
      <c r="S365" s="450"/>
      <c r="T365" s="450"/>
      <c r="U365" s="450"/>
      <c r="V365" s="450"/>
      <c r="W365" s="450"/>
      <c r="X365" s="450"/>
      <c r="Y365" s="450"/>
      <c r="Z365" s="450"/>
      <c r="AA365" s="450"/>
      <c r="AB365" s="450"/>
      <c r="AC365" s="450"/>
      <c r="AD365" s="450"/>
      <c r="AE365" s="450"/>
      <c r="AF365" s="450"/>
      <c r="AG365" s="450"/>
      <c r="AH365" s="450"/>
      <c r="AI365" s="450"/>
      <c r="AJ365" s="450"/>
      <c r="AK365" s="450"/>
      <c r="AL365" s="450"/>
      <c r="AM365" s="450"/>
      <c r="AN365" s="450"/>
      <c r="AO365" s="450"/>
      <c r="AP365" s="450"/>
      <c r="AQ365" s="450"/>
      <c r="AR365" s="450"/>
      <c r="AS365" s="450"/>
      <c r="AT365" s="450"/>
      <c r="AU365" s="450"/>
      <c r="AV365" s="450"/>
      <c r="AW365" s="450"/>
      <c r="AX365" s="450"/>
      <c r="AY365" s="450"/>
      <c r="AZ365" s="450"/>
      <c r="BA365" s="450"/>
      <c r="BB365" s="450"/>
      <c r="BC365" s="450"/>
      <c r="BD365" s="450"/>
      <c r="BE365" s="450"/>
      <c r="BF365" s="450"/>
      <c r="BG365" s="450"/>
      <c r="BH365" s="450"/>
      <c r="BI365" s="450"/>
      <c r="BJ365" s="450"/>
      <c r="BK365" s="450"/>
      <c r="BL365" s="450"/>
      <c r="BM365" s="450"/>
      <c r="BN365" s="450"/>
      <c r="BO365" s="450"/>
      <c r="BP365" s="450"/>
      <c r="BQ365" s="450"/>
      <c r="BR365" s="450"/>
      <c r="BS365" s="450"/>
      <c r="BT365" s="450"/>
      <c r="BU365" s="450"/>
      <c r="BV365" s="450"/>
      <c r="BW365" s="450"/>
      <c r="BX365" s="450"/>
      <c r="BY365" s="450"/>
      <c r="BZ365" s="450"/>
      <c r="CA365" s="450"/>
      <c r="CB365" s="450"/>
      <c r="CC365" s="450"/>
      <c r="CD365" s="450"/>
      <c r="CE365" s="450"/>
      <c r="CF365" s="450"/>
      <c r="CG365" s="450"/>
      <c r="CH365" s="450"/>
    </row>
    <row r="366">
      <c r="A366" s="450"/>
      <c r="B366" s="498"/>
      <c r="C366" s="455"/>
      <c r="D366" s="450"/>
      <c r="E366" s="450"/>
      <c r="F366" s="450"/>
      <c r="G366" s="450"/>
      <c r="H366" s="450"/>
      <c r="I366" s="450"/>
      <c r="J366" s="450"/>
      <c r="K366" s="450"/>
      <c r="L366" s="450"/>
      <c r="M366" s="450"/>
      <c r="N366" s="450"/>
      <c r="O366" s="450"/>
      <c r="P366" s="450"/>
      <c r="Q366" s="450"/>
      <c r="R366" s="450"/>
      <c r="S366" s="450"/>
      <c r="T366" s="450"/>
      <c r="U366" s="450"/>
      <c r="V366" s="450"/>
      <c r="W366" s="450"/>
      <c r="X366" s="450"/>
      <c r="Y366" s="450"/>
      <c r="Z366" s="450"/>
      <c r="AA366" s="450"/>
      <c r="AB366" s="450"/>
      <c r="AC366" s="450"/>
      <c r="AD366" s="450"/>
      <c r="AE366" s="450"/>
      <c r="AF366" s="450"/>
      <c r="AG366" s="450"/>
      <c r="AH366" s="450"/>
      <c r="AI366" s="450"/>
      <c r="AJ366" s="450"/>
      <c r="AK366" s="450"/>
      <c r="AL366" s="450"/>
      <c r="AM366" s="450"/>
      <c r="AN366" s="450"/>
      <c r="AO366" s="450"/>
      <c r="AP366" s="450"/>
      <c r="AQ366" s="450"/>
      <c r="AR366" s="450"/>
      <c r="AS366" s="450"/>
      <c r="AT366" s="450"/>
      <c r="AU366" s="450"/>
      <c r="AV366" s="450"/>
      <c r="AW366" s="450"/>
      <c r="AX366" s="450"/>
      <c r="AY366" s="450"/>
      <c r="AZ366" s="450"/>
      <c r="BA366" s="450"/>
      <c r="BB366" s="450"/>
      <c r="BC366" s="450"/>
      <c r="BD366" s="450"/>
      <c r="BE366" s="450"/>
      <c r="BF366" s="450"/>
      <c r="BG366" s="450"/>
      <c r="BH366" s="450"/>
      <c r="BI366" s="450"/>
      <c r="BJ366" s="450"/>
      <c r="BK366" s="450"/>
      <c r="BL366" s="450"/>
      <c r="BM366" s="450"/>
      <c r="BN366" s="450"/>
      <c r="BO366" s="450"/>
      <c r="BP366" s="450"/>
      <c r="BQ366" s="450"/>
      <c r="BR366" s="450"/>
      <c r="BS366" s="450"/>
      <c r="BT366" s="450"/>
      <c r="BU366" s="450"/>
      <c r="BV366" s="450"/>
      <c r="BW366" s="450"/>
      <c r="BX366" s="450"/>
      <c r="BY366" s="450"/>
      <c r="BZ366" s="450"/>
      <c r="CA366" s="450"/>
      <c r="CB366" s="450"/>
      <c r="CC366" s="450"/>
      <c r="CD366" s="450"/>
      <c r="CE366" s="450"/>
      <c r="CF366" s="450"/>
      <c r="CG366" s="450"/>
      <c r="CH366" s="450"/>
    </row>
    <row r="367">
      <c r="A367" s="450"/>
      <c r="B367" s="498"/>
      <c r="C367" s="455"/>
      <c r="D367" s="450"/>
      <c r="E367" s="450"/>
      <c r="F367" s="450"/>
      <c r="G367" s="450"/>
      <c r="H367" s="450"/>
      <c r="I367" s="450"/>
      <c r="J367" s="450"/>
      <c r="K367" s="450"/>
      <c r="L367" s="450"/>
      <c r="M367" s="450"/>
      <c r="N367" s="450"/>
      <c r="O367" s="450"/>
      <c r="P367" s="450"/>
      <c r="Q367" s="450"/>
      <c r="R367" s="450"/>
      <c r="S367" s="450"/>
      <c r="T367" s="450"/>
      <c r="U367" s="450"/>
      <c r="V367" s="450"/>
      <c r="W367" s="450"/>
      <c r="X367" s="450"/>
      <c r="Y367" s="450"/>
      <c r="Z367" s="450"/>
      <c r="AA367" s="450"/>
      <c r="AB367" s="450"/>
      <c r="AC367" s="450"/>
      <c r="AD367" s="450"/>
      <c r="AE367" s="450"/>
      <c r="AF367" s="450"/>
      <c r="AG367" s="450"/>
      <c r="AH367" s="450"/>
      <c r="AI367" s="450"/>
      <c r="AJ367" s="450"/>
      <c r="AK367" s="450"/>
      <c r="AL367" s="450"/>
      <c r="AM367" s="450"/>
      <c r="AN367" s="450"/>
      <c r="AO367" s="450"/>
      <c r="AP367" s="450"/>
      <c r="AQ367" s="450"/>
      <c r="AR367" s="450"/>
      <c r="AS367" s="450"/>
      <c r="AT367" s="450"/>
      <c r="AU367" s="450"/>
      <c r="AV367" s="450"/>
      <c r="AW367" s="450"/>
      <c r="AX367" s="450"/>
      <c r="AY367" s="450"/>
      <c r="AZ367" s="450"/>
      <c r="BA367" s="450"/>
      <c r="BB367" s="450"/>
      <c r="BC367" s="450"/>
      <c r="BD367" s="450"/>
      <c r="BE367" s="450"/>
      <c r="BF367" s="450"/>
      <c r="BG367" s="450"/>
      <c r="BH367" s="450"/>
      <c r="BI367" s="450"/>
      <c r="BJ367" s="450"/>
      <c r="BK367" s="450"/>
      <c r="BL367" s="450"/>
      <c r="BM367" s="450"/>
      <c r="BN367" s="450"/>
      <c r="BO367" s="450"/>
      <c r="BP367" s="450"/>
      <c r="BQ367" s="450"/>
      <c r="BR367" s="450"/>
      <c r="BS367" s="450"/>
      <c r="BT367" s="450"/>
      <c r="BU367" s="450"/>
      <c r="BV367" s="450"/>
      <c r="BW367" s="450"/>
      <c r="BX367" s="450"/>
      <c r="BY367" s="450"/>
      <c r="BZ367" s="450"/>
      <c r="CA367" s="450"/>
      <c r="CB367" s="450"/>
      <c r="CC367" s="450"/>
      <c r="CD367" s="450"/>
      <c r="CE367" s="450"/>
      <c r="CF367" s="450"/>
      <c r="CG367" s="450"/>
      <c r="CH367" s="450"/>
    </row>
    <row r="368">
      <c r="A368" s="450"/>
      <c r="B368" s="498"/>
      <c r="C368" s="455"/>
      <c r="D368" s="450"/>
      <c r="E368" s="450"/>
      <c r="F368" s="450"/>
      <c r="G368" s="450"/>
      <c r="H368" s="450"/>
      <c r="I368" s="450"/>
      <c r="J368" s="450"/>
      <c r="K368" s="450"/>
      <c r="L368" s="450"/>
      <c r="M368" s="450"/>
      <c r="N368" s="450"/>
      <c r="O368" s="450"/>
      <c r="P368" s="450"/>
      <c r="Q368" s="450"/>
      <c r="R368" s="450"/>
      <c r="S368" s="450"/>
      <c r="T368" s="450"/>
      <c r="U368" s="450"/>
      <c r="V368" s="450"/>
      <c r="W368" s="450"/>
      <c r="X368" s="450"/>
      <c r="Y368" s="450"/>
      <c r="Z368" s="450"/>
      <c r="AA368" s="450"/>
      <c r="AB368" s="450"/>
      <c r="AC368" s="450"/>
      <c r="AD368" s="450"/>
      <c r="AE368" s="450"/>
      <c r="AF368" s="450"/>
      <c r="AG368" s="450"/>
      <c r="AH368" s="450"/>
      <c r="AI368" s="450"/>
      <c r="AJ368" s="450"/>
      <c r="AK368" s="450"/>
      <c r="AL368" s="450"/>
      <c r="AM368" s="450"/>
      <c r="AN368" s="450"/>
      <c r="AO368" s="450"/>
      <c r="AP368" s="450"/>
      <c r="AQ368" s="450"/>
      <c r="AR368" s="450"/>
      <c r="AS368" s="450"/>
      <c r="AT368" s="450"/>
      <c r="AU368" s="450"/>
      <c r="AV368" s="450"/>
      <c r="AW368" s="450"/>
      <c r="AX368" s="450"/>
      <c r="AY368" s="450"/>
      <c r="AZ368" s="450"/>
      <c r="BA368" s="450"/>
      <c r="BB368" s="450"/>
      <c r="BC368" s="450"/>
      <c r="BD368" s="450"/>
      <c r="BE368" s="450"/>
      <c r="BF368" s="450"/>
      <c r="BG368" s="450"/>
      <c r="BH368" s="450"/>
      <c r="BI368" s="450"/>
      <c r="BJ368" s="450"/>
      <c r="BK368" s="450"/>
      <c r="BL368" s="450"/>
      <c r="BM368" s="450"/>
      <c r="BN368" s="450"/>
      <c r="BO368" s="450"/>
      <c r="BP368" s="450"/>
      <c r="BQ368" s="450"/>
      <c r="BR368" s="450"/>
      <c r="BS368" s="450"/>
      <c r="BT368" s="450"/>
      <c r="BU368" s="450"/>
      <c r="BV368" s="450"/>
      <c r="BW368" s="450"/>
      <c r="BX368" s="450"/>
      <c r="BY368" s="450"/>
      <c r="BZ368" s="450"/>
      <c r="CA368" s="450"/>
      <c r="CB368" s="450"/>
      <c r="CC368" s="450"/>
      <c r="CD368" s="450"/>
      <c r="CE368" s="450"/>
      <c r="CF368" s="450"/>
      <c r="CG368" s="450"/>
      <c r="CH368" s="450"/>
    </row>
    <row r="369">
      <c r="A369" s="450"/>
      <c r="B369" s="498"/>
      <c r="C369" s="455"/>
      <c r="D369" s="450"/>
      <c r="E369" s="450"/>
      <c r="F369" s="450"/>
      <c r="G369" s="450"/>
      <c r="H369" s="450"/>
      <c r="I369" s="450"/>
      <c r="J369" s="450"/>
      <c r="K369" s="450"/>
      <c r="L369" s="450"/>
      <c r="M369" s="450"/>
      <c r="N369" s="450"/>
      <c r="O369" s="450"/>
      <c r="P369" s="450"/>
      <c r="Q369" s="450"/>
      <c r="R369" s="450"/>
      <c r="S369" s="450"/>
      <c r="T369" s="450"/>
      <c r="U369" s="450"/>
      <c r="V369" s="450"/>
      <c r="W369" s="450"/>
      <c r="X369" s="450"/>
      <c r="Y369" s="450"/>
      <c r="Z369" s="450"/>
      <c r="AA369" s="450"/>
      <c r="AB369" s="450"/>
      <c r="AC369" s="450"/>
      <c r="AD369" s="450"/>
      <c r="AE369" s="450"/>
      <c r="AF369" s="450"/>
      <c r="AG369" s="450"/>
      <c r="AH369" s="450"/>
      <c r="AI369" s="450"/>
      <c r="AJ369" s="450"/>
      <c r="AK369" s="450"/>
      <c r="AL369" s="450"/>
      <c r="AM369" s="450"/>
      <c r="AN369" s="450"/>
      <c r="AO369" s="450"/>
      <c r="AP369" s="450"/>
      <c r="AQ369" s="450"/>
      <c r="AR369" s="450"/>
      <c r="AS369" s="450"/>
      <c r="AT369" s="450"/>
      <c r="AU369" s="450"/>
      <c r="AV369" s="450"/>
      <c r="AW369" s="450"/>
      <c r="AX369" s="450"/>
      <c r="AY369" s="450"/>
      <c r="AZ369" s="450"/>
      <c r="BA369" s="450"/>
      <c r="BB369" s="450"/>
      <c r="BC369" s="450"/>
      <c r="BD369" s="450"/>
      <c r="BE369" s="450"/>
      <c r="BF369" s="450"/>
      <c r="BG369" s="450"/>
      <c r="BH369" s="450"/>
      <c r="BI369" s="450"/>
      <c r="BJ369" s="450"/>
      <c r="BK369" s="450"/>
      <c r="BL369" s="450"/>
      <c r="BM369" s="450"/>
      <c r="BN369" s="450"/>
      <c r="BO369" s="450"/>
      <c r="BP369" s="450"/>
      <c r="BQ369" s="450"/>
      <c r="BR369" s="450"/>
      <c r="BS369" s="450"/>
      <c r="BT369" s="450"/>
      <c r="BU369" s="450"/>
      <c r="BV369" s="450"/>
      <c r="BW369" s="450"/>
      <c r="BX369" s="450"/>
      <c r="BY369" s="450"/>
      <c r="BZ369" s="450"/>
      <c r="CA369" s="450"/>
      <c r="CB369" s="450"/>
      <c r="CC369" s="450"/>
      <c r="CD369" s="450"/>
      <c r="CE369" s="450"/>
      <c r="CF369" s="450"/>
      <c r="CG369" s="450"/>
      <c r="CH369" s="450"/>
    </row>
    <row r="370">
      <c r="A370" s="450"/>
      <c r="B370" s="498"/>
      <c r="C370" s="455"/>
      <c r="D370" s="450"/>
      <c r="E370" s="450"/>
      <c r="F370" s="450"/>
      <c r="G370" s="450"/>
      <c r="H370" s="450"/>
      <c r="I370" s="450"/>
      <c r="J370" s="450"/>
      <c r="K370" s="450"/>
      <c r="L370" s="450"/>
      <c r="M370" s="450"/>
      <c r="N370" s="450"/>
      <c r="O370" s="450"/>
      <c r="P370" s="450"/>
      <c r="Q370" s="450"/>
      <c r="R370" s="450"/>
      <c r="S370" s="450"/>
      <c r="T370" s="450"/>
      <c r="U370" s="450"/>
      <c r="V370" s="450"/>
      <c r="W370" s="450"/>
      <c r="X370" s="450"/>
      <c r="Y370" s="450"/>
      <c r="Z370" s="450"/>
      <c r="AA370" s="450"/>
      <c r="AB370" s="450"/>
      <c r="AC370" s="450"/>
      <c r="AD370" s="450"/>
      <c r="AE370" s="450"/>
      <c r="AF370" s="450"/>
      <c r="AG370" s="450"/>
      <c r="AH370" s="450"/>
      <c r="AI370" s="450"/>
      <c r="AJ370" s="450"/>
      <c r="AK370" s="450"/>
      <c r="AL370" s="450"/>
      <c r="AM370" s="450"/>
      <c r="AN370" s="450"/>
      <c r="AO370" s="450"/>
      <c r="AP370" s="450"/>
      <c r="AQ370" s="450"/>
      <c r="AR370" s="450"/>
      <c r="AS370" s="450"/>
      <c r="AT370" s="450"/>
      <c r="AU370" s="450"/>
      <c r="AV370" s="450"/>
      <c r="AW370" s="450"/>
      <c r="AX370" s="450"/>
      <c r="AY370" s="450"/>
      <c r="AZ370" s="450"/>
      <c r="BA370" s="450"/>
      <c r="BB370" s="450"/>
      <c r="BC370" s="450"/>
      <c r="BD370" s="450"/>
      <c r="BE370" s="450"/>
      <c r="BF370" s="450"/>
      <c r="BG370" s="450"/>
      <c r="BH370" s="450"/>
      <c r="BI370" s="450"/>
      <c r="BJ370" s="450"/>
      <c r="BK370" s="450"/>
      <c r="BL370" s="450"/>
      <c r="BM370" s="450"/>
      <c r="BN370" s="450"/>
      <c r="BO370" s="450"/>
      <c r="BP370" s="450"/>
      <c r="BQ370" s="450"/>
      <c r="BR370" s="450"/>
      <c r="BS370" s="450"/>
      <c r="BT370" s="450"/>
      <c r="BU370" s="450"/>
      <c r="BV370" s="450"/>
      <c r="BW370" s="450"/>
      <c r="BX370" s="450"/>
      <c r="BY370" s="450"/>
      <c r="BZ370" s="450"/>
      <c r="CA370" s="450"/>
      <c r="CB370" s="450"/>
      <c r="CC370" s="450"/>
      <c r="CD370" s="450"/>
      <c r="CE370" s="450"/>
      <c r="CF370" s="450"/>
      <c r="CG370" s="450"/>
      <c r="CH370" s="450"/>
    </row>
    <row r="371">
      <c r="A371" s="450"/>
      <c r="B371" s="498"/>
      <c r="C371" s="455"/>
      <c r="D371" s="450"/>
      <c r="E371" s="450"/>
      <c r="F371" s="450"/>
      <c r="G371" s="450"/>
      <c r="H371" s="450"/>
      <c r="I371" s="450"/>
      <c r="J371" s="450"/>
      <c r="K371" s="450"/>
      <c r="L371" s="450"/>
      <c r="M371" s="450"/>
      <c r="N371" s="450"/>
      <c r="O371" s="450"/>
      <c r="P371" s="450"/>
      <c r="Q371" s="450"/>
      <c r="R371" s="450"/>
      <c r="S371" s="450"/>
      <c r="T371" s="450"/>
      <c r="U371" s="450"/>
      <c r="V371" s="450"/>
      <c r="W371" s="450"/>
      <c r="X371" s="450"/>
      <c r="Y371" s="450"/>
      <c r="Z371" s="450"/>
      <c r="AA371" s="450"/>
      <c r="AB371" s="450"/>
      <c r="AC371" s="450"/>
      <c r="AD371" s="450"/>
      <c r="AE371" s="450"/>
      <c r="AF371" s="450"/>
      <c r="AG371" s="450"/>
      <c r="AH371" s="450"/>
      <c r="AI371" s="450"/>
      <c r="AJ371" s="450"/>
      <c r="AK371" s="450"/>
      <c r="AL371" s="450"/>
      <c r="AM371" s="450"/>
      <c r="AN371" s="450"/>
      <c r="AO371" s="450"/>
      <c r="AP371" s="450"/>
      <c r="AQ371" s="450"/>
      <c r="AR371" s="450"/>
      <c r="AS371" s="450"/>
      <c r="AT371" s="450"/>
      <c r="AU371" s="450"/>
      <c r="AV371" s="450"/>
      <c r="AW371" s="450"/>
      <c r="AX371" s="450"/>
      <c r="AY371" s="450"/>
      <c r="AZ371" s="450"/>
      <c r="BA371" s="450"/>
      <c r="BB371" s="450"/>
      <c r="BC371" s="450"/>
      <c r="BD371" s="450"/>
      <c r="BE371" s="450"/>
      <c r="BF371" s="450"/>
      <c r="BG371" s="450"/>
      <c r="BH371" s="450"/>
      <c r="BI371" s="450"/>
      <c r="BJ371" s="450"/>
      <c r="BK371" s="450"/>
      <c r="BL371" s="450"/>
      <c r="BM371" s="450"/>
      <c r="BN371" s="450"/>
      <c r="BO371" s="450"/>
      <c r="BP371" s="450"/>
      <c r="BQ371" s="450"/>
      <c r="BR371" s="450"/>
      <c r="BS371" s="450"/>
      <c r="BT371" s="450"/>
      <c r="BU371" s="450"/>
      <c r="BV371" s="450"/>
      <c r="BW371" s="450"/>
      <c r="BX371" s="450"/>
      <c r="BY371" s="450"/>
      <c r="BZ371" s="450"/>
      <c r="CA371" s="450"/>
      <c r="CB371" s="450"/>
      <c r="CC371" s="450"/>
      <c r="CD371" s="450"/>
      <c r="CE371" s="450"/>
      <c r="CF371" s="450"/>
      <c r="CG371" s="450"/>
      <c r="CH371" s="450"/>
    </row>
    <row r="372">
      <c r="A372" s="450"/>
      <c r="B372" s="498"/>
      <c r="C372" s="455"/>
      <c r="D372" s="450"/>
      <c r="E372" s="450"/>
      <c r="F372" s="450"/>
      <c r="G372" s="450"/>
      <c r="H372" s="450"/>
      <c r="I372" s="450"/>
      <c r="J372" s="450"/>
      <c r="K372" s="450"/>
      <c r="L372" s="450"/>
      <c r="M372" s="450"/>
      <c r="N372" s="450"/>
      <c r="O372" s="450"/>
      <c r="P372" s="450"/>
      <c r="Q372" s="450"/>
      <c r="R372" s="450"/>
      <c r="S372" s="450"/>
      <c r="T372" s="450"/>
      <c r="U372" s="450"/>
      <c r="V372" s="450"/>
      <c r="W372" s="450"/>
      <c r="X372" s="450"/>
      <c r="Y372" s="450"/>
      <c r="Z372" s="450"/>
      <c r="AA372" s="450"/>
      <c r="AB372" s="450"/>
      <c r="AC372" s="450"/>
      <c r="AD372" s="450"/>
      <c r="AE372" s="450"/>
      <c r="AF372" s="450"/>
      <c r="AG372" s="450"/>
      <c r="AH372" s="450"/>
      <c r="AI372" s="450"/>
      <c r="AJ372" s="450"/>
      <c r="AK372" s="450"/>
      <c r="AL372" s="450"/>
      <c r="AM372" s="450"/>
      <c r="AN372" s="450"/>
      <c r="AO372" s="450"/>
      <c r="AP372" s="450"/>
      <c r="AQ372" s="450"/>
      <c r="AR372" s="450"/>
      <c r="AS372" s="450"/>
      <c r="AT372" s="450"/>
      <c r="AU372" s="450"/>
      <c r="AV372" s="450"/>
      <c r="AW372" s="450"/>
      <c r="AX372" s="450"/>
      <c r="AY372" s="450"/>
      <c r="AZ372" s="450"/>
      <c r="BA372" s="450"/>
      <c r="BB372" s="450"/>
      <c r="BC372" s="450"/>
      <c r="BD372" s="450"/>
      <c r="BE372" s="450"/>
      <c r="BF372" s="450"/>
      <c r="BG372" s="450"/>
      <c r="BH372" s="450"/>
      <c r="BI372" s="450"/>
      <c r="BJ372" s="450"/>
      <c r="BK372" s="450"/>
      <c r="BL372" s="450"/>
      <c r="BM372" s="450"/>
      <c r="BN372" s="450"/>
      <c r="BO372" s="450"/>
      <c r="BP372" s="450"/>
      <c r="BQ372" s="450"/>
      <c r="BR372" s="450"/>
      <c r="BS372" s="450"/>
      <c r="BT372" s="450"/>
      <c r="BU372" s="450"/>
      <c r="BV372" s="450"/>
      <c r="BW372" s="450"/>
      <c r="BX372" s="450"/>
      <c r="BY372" s="450"/>
      <c r="BZ372" s="450"/>
      <c r="CA372" s="450"/>
      <c r="CB372" s="450"/>
      <c r="CC372" s="450"/>
      <c r="CD372" s="450"/>
      <c r="CE372" s="450"/>
      <c r="CF372" s="450"/>
      <c r="CG372" s="450"/>
      <c r="CH372" s="450"/>
    </row>
    <row r="373">
      <c r="A373" s="450"/>
      <c r="B373" s="498"/>
      <c r="C373" s="455"/>
      <c r="D373" s="450"/>
      <c r="E373" s="450"/>
      <c r="F373" s="450"/>
      <c r="G373" s="450"/>
      <c r="H373" s="450"/>
      <c r="I373" s="450"/>
      <c r="J373" s="450"/>
      <c r="K373" s="450"/>
      <c r="L373" s="450"/>
      <c r="M373" s="450"/>
      <c r="N373" s="450"/>
      <c r="O373" s="450"/>
      <c r="P373" s="450"/>
      <c r="Q373" s="450"/>
      <c r="R373" s="450"/>
      <c r="S373" s="450"/>
      <c r="T373" s="450"/>
      <c r="U373" s="450"/>
      <c r="V373" s="450"/>
      <c r="W373" s="450"/>
      <c r="X373" s="450"/>
      <c r="Y373" s="450"/>
      <c r="Z373" s="450"/>
      <c r="AA373" s="450"/>
      <c r="AB373" s="450"/>
      <c r="AC373" s="450"/>
      <c r="AD373" s="450"/>
      <c r="AE373" s="450"/>
      <c r="AF373" s="450"/>
      <c r="AG373" s="450"/>
      <c r="AH373" s="450"/>
      <c r="AI373" s="450"/>
      <c r="AJ373" s="450"/>
      <c r="AK373" s="450"/>
      <c r="AL373" s="450"/>
      <c r="AM373" s="450"/>
      <c r="AN373" s="450"/>
      <c r="AO373" s="450"/>
      <c r="AP373" s="450"/>
      <c r="AQ373" s="450"/>
      <c r="AR373" s="450"/>
      <c r="AS373" s="450"/>
      <c r="AT373" s="450"/>
      <c r="AU373" s="450"/>
      <c r="AV373" s="450"/>
      <c r="AW373" s="450"/>
      <c r="AX373" s="450"/>
      <c r="AY373" s="450"/>
      <c r="AZ373" s="450"/>
      <c r="BA373" s="450"/>
      <c r="BB373" s="450"/>
      <c r="BC373" s="450"/>
      <c r="BD373" s="450"/>
      <c r="BE373" s="450"/>
      <c r="BF373" s="450"/>
      <c r="BG373" s="450"/>
      <c r="BH373" s="450"/>
      <c r="BI373" s="450"/>
      <c r="BJ373" s="450"/>
      <c r="BK373" s="450"/>
      <c r="BL373" s="450"/>
      <c r="BM373" s="450"/>
      <c r="BN373" s="450"/>
      <c r="BO373" s="450"/>
      <c r="BP373" s="450"/>
      <c r="BQ373" s="450"/>
      <c r="BR373" s="450"/>
      <c r="BS373" s="450"/>
      <c r="BT373" s="450"/>
      <c r="BU373" s="450"/>
      <c r="BV373" s="450"/>
      <c r="BW373" s="450"/>
      <c r="BX373" s="450"/>
      <c r="BY373" s="450"/>
      <c r="BZ373" s="450"/>
      <c r="CA373" s="450"/>
      <c r="CB373" s="450"/>
      <c r="CC373" s="450"/>
      <c r="CD373" s="450"/>
      <c r="CE373" s="450"/>
      <c r="CF373" s="450"/>
      <c r="CG373" s="450"/>
      <c r="CH373" s="450"/>
    </row>
    <row r="374">
      <c r="A374" s="450"/>
      <c r="B374" s="498"/>
      <c r="C374" s="455"/>
      <c r="D374" s="450"/>
      <c r="E374" s="450"/>
      <c r="F374" s="450"/>
      <c r="G374" s="450"/>
      <c r="H374" s="450"/>
      <c r="I374" s="450"/>
      <c r="J374" s="450"/>
      <c r="K374" s="450"/>
      <c r="L374" s="450"/>
      <c r="M374" s="450"/>
      <c r="N374" s="450"/>
      <c r="O374" s="450"/>
      <c r="P374" s="450"/>
      <c r="Q374" s="450"/>
      <c r="R374" s="450"/>
      <c r="S374" s="450"/>
      <c r="T374" s="450"/>
      <c r="U374" s="450"/>
      <c r="V374" s="450"/>
      <c r="W374" s="450"/>
      <c r="X374" s="450"/>
      <c r="Y374" s="450"/>
      <c r="Z374" s="450"/>
      <c r="AA374" s="450"/>
      <c r="AB374" s="450"/>
      <c r="AC374" s="450"/>
      <c r="AD374" s="450"/>
      <c r="AE374" s="450"/>
      <c r="AF374" s="450"/>
      <c r="AG374" s="450"/>
      <c r="AH374" s="450"/>
      <c r="AI374" s="450"/>
      <c r="AJ374" s="450"/>
      <c r="AK374" s="450"/>
      <c r="AL374" s="450"/>
      <c r="AM374" s="450"/>
      <c r="AN374" s="450"/>
      <c r="AO374" s="450"/>
      <c r="AP374" s="450"/>
      <c r="AQ374" s="450"/>
      <c r="AR374" s="450"/>
      <c r="AS374" s="450"/>
      <c r="AT374" s="450"/>
      <c r="AU374" s="450"/>
      <c r="AV374" s="450"/>
      <c r="AW374" s="450"/>
      <c r="AX374" s="450"/>
      <c r="AY374" s="450"/>
      <c r="AZ374" s="450"/>
      <c r="BA374" s="450"/>
      <c r="BB374" s="450"/>
      <c r="BC374" s="450"/>
      <c r="BD374" s="450"/>
      <c r="BE374" s="450"/>
      <c r="BF374" s="450"/>
      <c r="BG374" s="450"/>
      <c r="BH374" s="450"/>
      <c r="BI374" s="450"/>
      <c r="BJ374" s="450"/>
      <c r="BK374" s="450"/>
      <c r="BL374" s="450"/>
      <c r="BM374" s="450"/>
      <c r="BN374" s="450"/>
      <c r="BO374" s="450"/>
      <c r="BP374" s="450"/>
      <c r="BQ374" s="450"/>
      <c r="BR374" s="450"/>
      <c r="BS374" s="450"/>
      <c r="BT374" s="450"/>
      <c r="BU374" s="450"/>
      <c r="BV374" s="450"/>
      <c r="BW374" s="450"/>
      <c r="BX374" s="450"/>
      <c r="BY374" s="450"/>
      <c r="BZ374" s="450"/>
      <c r="CA374" s="450"/>
      <c r="CB374" s="450"/>
      <c r="CC374" s="450"/>
      <c r="CD374" s="450"/>
      <c r="CE374" s="450"/>
      <c r="CF374" s="450"/>
      <c r="CG374" s="450"/>
      <c r="CH374" s="450"/>
    </row>
    <row r="375">
      <c r="A375" s="450"/>
      <c r="B375" s="498"/>
      <c r="C375" s="455"/>
      <c r="D375" s="450"/>
      <c r="E375" s="450"/>
      <c r="F375" s="450"/>
      <c r="G375" s="450"/>
      <c r="H375" s="450"/>
      <c r="I375" s="450"/>
      <c r="J375" s="450"/>
      <c r="K375" s="450"/>
      <c r="L375" s="450"/>
      <c r="M375" s="450"/>
      <c r="N375" s="450"/>
      <c r="O375" s="450"/>
      <c r="P375" s="450"/>
      <c r="Q375" s="450"/>
      <c r="R375" s="450"/>
      <c r="S375" s="450"/>
      <c r="T375" s="450"/>
      <c r="U375" s="450"/>
      <c r="V375" s="450"/>
      <c r="W375" s="450"/>
      <c r="X375" s="450"/>
      <c r="Y375" s="450"/>
      <c r="Z375" s="450"/>
      <c r="AA375" s="450"/>
      <c r="AB375" s="450"/>
      <c r="AC375" s="450"/>
      <c r="AD375" s="450"/>
      <c r="AE375" s="450"/>
      <c r="AF375" s="450"/>
      <c r="AG375" s="450"/>
      <c r="AH375" s="450"/>
      <c r="AI375" s="450"/>
      <c r="AJ375" s="450"/>
      <c r="AK375" s="450"/>
      <c r="AL375" s="450"/>
      <c r="AM375" s="450"/>
      <c r="AN375" s="450"/>
      <c r="AO375" s="450"/>
      <c r="AP375" s="450"/>
      <c r="AQ375" s="450"/>
      <c r="AR375" s="450"/>
      <c r="AS375" s="450"/>
      <c r="AT375" s="450"/>
      <c r="AU375" s="450"/>
      <c r="AV375" s="450"/>
      <c r="AW375" s="450"/>
      <c r="AX375" s="450"/>
      <c r="AY375" s="450"/>
      <c r="AZ375" s="450"/>
      <c r="BA375" s="450"/>
      <c r="BB375" s="450"/>
      <c r="BC375" s="450"/>
      <c r="BD375" s="450"/>
      <c r="BE375" s="450"/>
      <c r="BF375" s="450"/>
      <c r="BG375" s="450"/>
      <c r="BH375" s="450"/>
      <c r="BI375" s="450"/>
      <c r="BJ375" s="450"/>
      <c r="BK375" s="450"/>
      <c r="BL375" s="450"/>
      <c r="BM375" s="450"/>
      <c r="BN375" s="450"/>
      <c r="BO375" s="450"/>
      <c r="BP375" s="450"/>
      <c r="BQ375" s="450"/>
      <c r="BR375" s="450"/>
      <c r="BS375" s="450"/>
      <c r="BT375" s="450"/>
      <c r="BU375" s="450"/>
      <c r="BV375" s="450"/>
      <c r="BW375" s="450"/>
      <c r="BX375" s="450"/>
      <c r="BY375" s="450"/>
      <c r="BZ375" s="450"/>
      <c r="CA375" s="450"/>
      <c r="CB375" s="450"/>
      <c r="CC375" s="450"/>
      <c r="CD375" s="450"/>
      <c r="CE375" s="450"/>
      <c r="CF375" s="450"/>
      <c r="CG375" s="450"/>
      <c r="CH375" s="450"/>
    </row>
    <row r="376">
      <c r="A376" s="450"/>
      <c r="B376" s="498"/>
      <c r="C376" s="455"/>
      <c r="D376" s="450"/>
      <c r="E376" s="450"/>
      <c r="F376" s="450"/>
      <c r="G376" s="450"/>
      <c r="H376" s="450"/>
      <c r="I376" s="450"/>
      <c r="J376" s="450"/>
      <c r="K376" s="450"/>
      <c r="L376" s="450"/>
      <c r="M376" s="450"/>
      <c r="N376" s="450"/>
      <c r="O376" s="450"/>
      <c r="P376" s="450"/>
      <c r="Q376" s="450"/>
      <c r="R376" s="450"/>
      <c r="S376" s="450"/>
      <c r="T376" s="450"/>
      <c r="U376" s="450"/>
      <c r="V376" s="450"/>
      <c r="W376" s="450"/>
      <c r="X376" s="450"/>
      <c r="Y376" s="450"/>
      <c r="Z376" s="450"/>
      <c r="AA376" s="450"/>
      <c r="AB376" s="450"/>
      <c r="AC376" s="450"/>
      <c r="AD376" s="450"/>
      <c r="AE376" s="450"/>
      <c r="AF376" s="450"/>
      <c r="AG376" s="450"/>
      <c r="AH376" s="450"/>
      <c r="AI376" s="450"/>
      <c r="AJ376" s="450"/>
      <c r="AK376" s="450"/>
      <c r="AL376" s="450"/>
      <c r="AM376" s="450"/>
      <c r="AN376" s="450"/>
      <c r="AO376" s="450"/>
      <c r="AP376" s="450"/>
      <c r="AQ376" s="450"/>
      <c r="AR376" s="450"/>
      <c r="AS376" s="450"/>
      <c r="AT376" s="450"/>
      <c r="AU376" s="450"/>
      <c r="AV376" s="450"/>
      <c r="AW376" s="450"/>
      <c r="AX376" s="450"/>
      <c r="AY376" s="450"/>
      <c r="AZ376" s="450"/>
      <c r="BA376" s="450"/>
      <c r="BB376" s="450"/>
      <c r="BC376" s="450"/>
      <c r="BD376" s="450"/>
      <c r="BE376" s="450"/>
      <c r="BF376" s="450"/>
      <c r="BG376" s="450"/>
      <c r="BH376" s="450"/>
      <c r="BI376" s="450"/>
      <c r="BJ376" s="450"/>
      <c r="BK376" s="450"/>
      <c r="BL376" s="450"/>
      <c r="BM376" s="450"/>
      <c r="BN376" s="450"/>
      <c r="BO376" s="450"/>
      <c r="BP376" s="450"/>
      <c r="BQ376" s="450"/>
      <c r="BR376" s="450"/>
      <c r="BS376" s="450"/>
      <c r="BT376" s="450"/>
      <c r="BU376" s="450"/>
      <c r="BV376" s="450"/>
      <c r="BW376" s="450"/>
      <c r="BX376" s="450"/>
      <c r="BY376" s="450"/>
      <c r="BZ376" s="450"/>
      <c r="CA376" s="450"/>
      <c r="CB376" s="450"/>
      <c r="CC376" s="450"/>
      <c r="CD376" s="450"/>
      <c r="CE376" s="450"/>
      <c r="CF376" s="450"/>
      <c r="CG376" s="450"/>
      <c r="CH376" s="450"/>
    </row>
    <row r="377">
      <c r="A377" s="450"/>
      <c r="B377" s="498"/>
      <c r="C377" s="455"/>
      <c r="D377" s="450"/>
      <c r="E377" s="450"/>
      <c r="F377" s="450"/>
      <c r="G377" s="450"/>
      <c r="H377" s="450"/>
      <c r="I377" s="450"/>
      <c r="J377" s="450"/>
      <c r="K377" s="450"/>
      <c r="L377" s="450"/>
      <c r="M377" s="450"/>
      <c r="N377" s="450"/>
      <c r="O377" s="450"/>
      <c r="P377" s="450"/>
      <c r="Q377" s="450"/>
      <c r="R377" s="450"/>
      <c r="S377" s="450"/>
      <c r="T377" s="450"/>
      <c r="U377" s="450"/>
      <c r="V377" s="450"/>
      <c r="W377" s="450"/>
      <c r="X377" s="450"/>
      <c r="Y377" s="450"/>
      <c r="Z377" s="450"/>
      <c r="AA377" s="450"/>
      <c r="AB377" s="450"/>
      <c r="AC377" s="450"/>
      <c r="AD377" s="450"/>
      <c r="AE377" s="450"/>
      <c r="AF377" s="450"/>
      <c r="AG377" s="450"/>
      <c r="AH377" s="450"/>
      <c r="AI377" s="450"/>
      <c r="AJ377" s="450"/>
      <c r="AK377" s="450"/>
      <c r="AL377" s="450"/>
      <c r="AM377" s="450"/>
      <c r="AN377" s="450"/>
      <c r="AO377" s="450"/>
      <c r="AP377" s="450"/>
      <c r="AQ377" s="450"/>
      <c r="AR377" s="450"/>
      <c r="AS377" s="450"/>
      <c r="AT377" s="450"/>
      <c r="AU377" s="450"/>
      <c r="AV377" s="450"/>
      <c r="AW377" s="450"/>
      <c r="AX377" s="450"/>
      <c r="AY377" s="450"/>
      <c r="AZ377" s="450"/>
      <c r="BA377" s="450"/>
      <c r="BB377" s="450"/>
      <c r="BC377" s="450"/>
      <c r="BD377" s="450"/>
      <c r="BE377" s="450"/>
      <c r="BF377" s="450"/>
      <c r="BG377" s="450"/>
      <c r="BH377" s="450"/>
      <c r="BI377" s="450"/>
      <c r="BJ377" s="450"/>
      <c r="BK377" s="450"/>
      <c r="BL377" s="450"/>
      <c r="BM377" s="450"/>
      <c r="BN377" s="450"/>
      <c r="BO377" s="450"/>
      <c r="BP377" s="450"/>
      <c r="BQ377" s="450"/>
      <c r="BR377" s="450"/>
      <c r="BS377" s="450"/>
      <c r="BT377" s="450"/>
      <c r="BU377" s="450"/>
      <c r="BV377" s="450"/>
      <c r="BW377" s="450"/>
      <c r="BX377" s="450"/>
      <c r="BY377" s="450"/>
      <c r="BZ377" s="450"/>
      <c r="CA377" s="450"/>
      <c r="CB377" s="450"/>
      <c r="CC377" s="450"/>
      <c r="CD377" s="450"/>
      <c r="CE377" s="450"/>
      <c r="CF377" s="450"/>
      <c r="CG377" s="450"/>
      <c r="CH377" s="450"/>
    </row>
    <row r="378">
      <c r="A378" s="450"/>
      <c r="B378" s="498"/>
      <c r="C378" s="455"/>
      <c r="D378" s="450"/>
      <c r="E378" s="450"/>
      <c r="F378" s="450"/>
      <c r="G378" s="450"/>
      <c r="H378" s="450"/>
      <c r="I378" s="450"/>
      <c r="J378" s="450"/>
      <c r="K378" s="450"/>
      <c r="L378" s="450"/>
      <c r="M378" s="450"/>
      <c r="N378" s="450"/>
      <c r="O378" s="450"/>
      <c r="P378" s="450"/>
      <c r="Q378" s="450"/>
      <c r="R378" s="450"/>
      <c r="S378" s="450"/>
      <c r="T378" s="450"/>
      <c r="U378" s="450"/>
      <c r="V378" s="450"/>
      <c r="W378" s="450"/>
      <c r="X378" s="450"/>
      <c r="Y378" s="450"/>
      <c r="Z378" s="450"/>
      <c r="AA378" s="450"/>
      <c r="AB378" s="450"/>
      <c r="AC378" s="450"/>
      <c r="AD378" s="450"/>
      <c r="AE378" s="450"/>
      <c r="AF378" s="450"/>
      <c r="AG378" s="450"/>
      <c r="AH378" s="450"/>
      <c r="AI378" s="450"/>
      <c r="AJ378" s="450"/>
      <c r="AK378" s="450"/>
      <c r="AL378" s="450"/>
      <c r="AM378" s="450"/>
      <c r="AN378" s="450"/>
      <c r="AO378" s="450"/>
      <c r="AP378" s="450"/>
      <c r="AQ378" s="450"/>
      <c r="AR378" s="450"/>
      <c r="AS378" s="450"/>
      <c r="AT378" s="450"/>
      <c r="AU378" s="450"/>
      <c r="AV378" s="450"/>
      <c r="AW378" s="450"/>
      <c r="AX378" s="450"/>
      <c r="AY378" s="450"/>
      <c r="AZ378" s="450"/>
      <c r="BA378" s="450"/>
      <c r="BB378" s="450"/>
      <c r="BC378" s="450"/>
      <c r="BD378" s="450"/>
      <c r="BE378" s="450"/>
      <c r="BF378" s="450"/>
      <c r="BG378" s="450"/>
      <c r="BH378" s="450"/>
      <c r="BI378" s="450"/>
      <c r="BJ378" s="450"/>
      <c r="BK378" s="450"/>
      <c r="BL378" s="450"/>
      <c r="BM378" s="450"/>
      <c r="BN378" s="450"/>
      <c r="BO378" s="450"/>
      <c r="BP378" s="450"/>
      <c r="BQ378" s="450"/>
      <c r="BR378" s="450"/>
      <c r="BS378" s="450"/>
      <c r="BT378" s="450"/>
      <c r="BU378" s="450"/>
      <c r="BV378" s="450"/>
      <c r="BW378" s="450"/>
      <c r="BX378" s="450"/>
      <c r="BY378" s="450"/>
      <c r="BZ378" s="450"/>
      <c r="CA378" s="450"/>
      <c r="CB378" s="450"/>
      <c r="CC378" s="450"/>
      <c r="CD378" s="450"/>
      <c r="CE378" s="450"/>
      <c r="CF378" s="450"/>
      <c r="CG378" s="450"/>
      <c r="CH378" s="450"/>
    </row>
    <row r="379">
      <c r="A379" s="450"/>
      <c r="B379" s="498"/>
      <c r="C379" s="455"/>
      <c r="D379" s="450"/>
      <c r="E379" s="450"/>
      <c r="F379" s="450"/>
      <c r="G379" s="450"/>
      <c r="H379" s="450"/>
      <c r="I379" s="450"/>
      <c r="J379" s="450"/>
      <c r="K379" s="450"/>
      <c r="L379" s="450"/>
      <c r="M379" s="450"/>
      <c r="N379" s="450"/>
      <c r="O379" s="450"/>
      <c r="P379" s="450"/>
      <c r="Q379" s="450"/>
      <c r="R379" s="450"/>
      <c r="S379" s="450"/>
      <c r="T379" s="450"/>
      <c r="U379" s="450"/>
      <c r="V379" s="450"/>
      <c r="W379" s="450"/>
      <c r="X379" s="450"/>
      <c r="Y379" s="450"/>
      <c r="Z379" s="450"/>
      <c r="AA379" s="450"/>
      <c r="AB379" s="450"/>
      <c r="AC379" s="450"/>
      <c r="AD379" s="450"/>
      <c r="AE379" s="450"/>
      <c r="AF379" s="450"/>
      <c r="AG379" s="450"/>
      <c r="AH379" s="450"/>
      <c r="AI379" s="450"/>
      <c r="AJ379" s="450"/>
      <c r="AK379" s="450"/>
      <c r="AL379" s="450"/>
      <c r="AM379" s="450"/>
      <c r="AN379" s="450"/>
      <c r="AO379" s="450"/>
      <c r="AP379" s="450"/>
      <c r="AQ379" s="450"/>
      <c r="AR379" s="450"/>
      <c r="AS379" s="450"/>
      <c r="AT379" s="450"/>
      <c r="AU379" s="450"/>
      <c r="AV379" s="450"/>
      <c r="AW379" s="450"/>
      <c r="AX379" s="450"/>
      <c r="AY379" s="450"/>
      <c r="AZ379" s="450"/>
      <c r="BA379" s="450"/>
      <c r="BB379" s="450"/>
      <c r="BC379" s="450"/>
      <c r="BD379" s="450"/>
      <c r="BE379" s="450"/>
      <c r="BF379" s="450"/>
      <c r="BG379" s="450"/>
      <c r="BH379" s="450"/>
      <c r="BI379" s="450"/>
      <c r="BJ379" s="450"/>
      <c r="BK379" s="450"/>
      <c r="BL379" s="450"/>
      <c r="BM379" s="450"/>
      <c r="BN379" s="450"/>
      <c r="BO379" s="450"/>
      <c r="BP379" s="450"/>
      <c r="BQ379" s="450"/>
      <c r="BR379" s="450"/>
      <c r="BS379" s="450"/>
      <c r="BT379" s="450"/>
      <c r="BU379" s="450"/>
      <c r="BV379" s="450"/>
      <c r="BW379" s="450"/>
      <c r="BX379" s="450"/>
      <c r="BY379" s="450"/>
      <c r="BZ379" s="450"/>
      <c r="CA379" s="450"/>
      <c r="CB379" s="450"/>
      <c r="CC379" s="450"/>
      <c r="CD379" s="450"/>
      <c r="CE379" s="450"/>
      <c r="CF379" s="450"/>
      <c r="CG379" s="450"/>
      <c r="CH379" s="450"/>
    </row>
    <row r="380">
      <c r="A380" s="450"/>
      <c r="B380" s="498"/>
      <c r="C380" s="455"/>
      <c r="D380" s="450"/>
      <c r="E380" s="450"/>
      <c r="F380" s="450"/>
      <c r="G380" s="450"/>
      <c r="H380" s="450"/>
      <c r="I380" s="450"/>
      <c r="J380" s="450"/>
      <c r="K380" s="450"/>
      <c r="L380" s="450"/>
      <c r="M380" s="450"/>
      <c r="N380" s="450"/>
      <c r="O380" s="450"/>
      <c r="P380" s="450"/>
      <c r="Q380" s="450"/>
      <c r="R380" s="450"/>
      <c r="S380" s="450"/>
      <c r="T380" s="450"/>
      <c r="U380" s="450"/>
      <c r="V380" s="450"/>
      <c r="W380" s="450"/>
      <c r="X380" s="450"/>
      <c r="Y380" s="450"/>
      <c r="Z380" s="450"/>
      <c r="AA380" s="450"/>
      <c r="AB380" s="450"/>
      <c r="AC380" s="450"/>
      <c r="AD380" s="450"/>
      <c r="AE380" s="450"/>
      <c r="AF380" s="450"/>
      <c r="AG380" s="450"/>
      <c r="AH380" s="450"/>
      <c r="AI380" s="450"/>
      <c r="AJ380" s="450"/>
      <c r="AK380" s="450"/>
      <c r="AL380" s="450"/>
      <c r="AM380" s="450"/>
      <c r="AN380" s="450"/>
      <c r="AO380" s="450"/>
      <c r="AP380" s="450"/>
      <c r="AQ380" s="450"/>
      <c r="AR380" s="450"/>
      <c r="AS380" s="450"/>
      <c r="AT380" s="450"/>
      <c r="AU380" s="450"/>
      <c r="AV380" s="450"/>
      <c r="AW380" s="450"/>
      <c r="AX380" s="450"/>
      <c r="AY380" s="450"/>
      <c r="AZ380" s="450"/>
      <c r="BA380" s="450"/>
      <c r="BB380" s="450"/>
      <c r="BC380" s="450"/>
      <c r="BD380" s="450"/>
      <c r="BE380" s="450"/>
      <c r="BF380" s="450"/>
      <c r="BG380" s="450"/>
      <c r="BH380" s="450"/>
      <c r="BI380" s="450"/>
      <c r="BJ380" s="450"/>
      <c r="BK380" s="450"/>
      <c r="BL380" s="450"/>
      <c r="BM380" s="450"/>
      <c r="BN380" s="450"/>
      <c r="BO380" s="450"/>
      <c r="BP380" s="450"/>
      <c r="BQ380" s="450"/>
      <c r="BR380" s="450"/>
      <c r="BS380" s="450"/>
      <c r="BT380" s="450"/>
      <c r="BU380" s="450"/>
      <c r="BV380" s="450"/>
      <c r="BW380" s="450"/>
      <c r="BX380" s="450"/>
      <c r="BY380" s="450"/>
      <c r="BZ380" s="450"/>
      <c r="CA380" s="450"/>
      <c r="CB380" s="450"/>
      <c r="CC380" s="450"/>
      <c r="CD380" s="450"/>
      <c r="CE380" s="450"/>
      <c r="CF380" s="450"/>
      <c r="CG380" s="450"/>
      <c r="CH380" s="450"/>
    </row>
    <row r="381">
      <c r="A381" s="450"/>
      <c r="B381" s="498"/>
      <c r="C381" s="455"/>
      <c r="D381" s="450"/>
      <c r="E381" s="450"/>
      <c r="F381" s="450"/>
      <c r="G381" s="450"/>
      <c r="H381" s="450"/>
      <c r="I381" s="450"/>
      <c r="J381" s="450"/>
      <c r="K381" s="450"/>
      <c r="L381" s="450"/>
      <c r="M381" s="450"/>
      <c r="N381" s="450"/>
      <c r="O381" s="450"/>
      <c r="P381" s="450"/>
      <c r="Q381" s="450"/>
      <c r="R381" s="450"/>
      <c r="S381" s="450"/>
      <c r="T381" s="450"/>
      <c r="U381" s="450"/>
      <c r="V381" s="450"/>
      <c r="W381" s="450"/>
      <c r="X381" s="450"/>
      <c r="Y381" s="450"/>
      <c r="Z381" s="450"/>
      <c r="AA381" s="450"/>
      <c r="AB381" s="450"/>
      <c r="AC381" s="450"/>
      <c r="AD381" s="450"/>
      <c r="AE381" s="450"/>
      <c r="AF381" s="450"/>
      <c r="AG381" s="450"/>
      <c r="AH381" s="450"/>
      <c r="AI381" s="450"/>
      <c r="AJ381" s="450"/>
      <c r="AK381" s="450"/>
      <c r="AL381" s="450"/>
      <c r="AM381" s="450"/>
      <c r="AN381" s="450"/>
      <c r="AO381" s="450"/>
      <c r="AP381" s="450"/>
      <c r="AQ381" s="450"/>
      <c r="AR381" s="450"/>
      <c r="AS381" s="450"/>
      <c r="AT381" s="450"/>
      <c r="AU381" s="450"/>
      <c r="AV381" s="450"/>
      <c r="AW381" s="450"/>
      <c r="AX381" s="450"/>
      <c r="AY381" s="450"/>
      <c r="AZ381" s="450"/>
      <c r="BA381" s="450"/>
      <c r="BB381" s="450"/>
      <c r="BC381" s="450"/>
      <c r="BD381" s="450"/>
      <c r="BE381" s="450"/>
      <c r="BF381" s="450"/>
      <c r="BG381" s="450"/>
      <c r="BH381" s="450"/>
      <c r="BI381" s="450"/>
      <c r="BJ381" s="450"/>
      <c r="BK381" s="450"/>
      <c r="BL381" s="450"/>
      <c r="BM381" s="450"/>
      <c r="BN381" s="450"/>
      <c r="BO381" s="450"/>
      <c r="BP381" s="450"/>
      <c r="BQ381" s="450"/>
      <c r="BR381" s="450"/>
      <c r="BS381" s="450"/>
      <c r="BT381" s="450"/>
      <c r="BU381" s="450"/>
      <c r="BV381" s="450"/>
      <c r="BW381" s="450"/>
      <c r="BX381" s="450"/>
      <c r="BY381" s="450"/>
      <c r="BZ381" s="450"/>
      <c r="CA381" s="450"/>
      <c r="CB381" s="450"/>
      <c r="CC381" s="450"/>
      <c r="CD381" s="450"/>
      <c r="CE381" s="450"/>
      <c r="CF381" s="450"/>
      <c r="CG381" s="450"/>
      <c r="CH381" s="450"/>
    </row>
    <row r="382">
      <c r="A382" s="450"/>
      <c r="B382" s="498"/>
      <c r="C382" s="455"/>
      <c r="D382" s="450"/>
      <c r="E382" s="450"/>
      <c r="F382" s="450"/>
      <c r="G382" s="450"/>
      <c r="H382" s="450"/>
      <c r="I382" s="450"/>
      <c r="J382" s="450"/>
      <c r="K382" s="450"/>
      <c r="L382" s="450"/>
      <c r="M382" s="450"/>
      <c r="N382" s="450"/>
      <c r="O382" s="450"/>
      <c r="P382" s="450"/>
      <c r="Q382" s="450"/>
      <c r="R382" s="450"/>
      <c r="S382" s="450"/>
      <c r="T382" s="450"/>
      <c r="U382" s="450"/>
      <c r="V382" s="450"/>
      <c r="W382" s="450"/>
      <c r="X382" s="450"/>
      <c r="Y382" s="450"/>
      <c r="Z382" s="450"/>
      <c r="AA382" s="450"/>
      <c r="AB382" s="450"/>
      <c r="AC382" s="450"/>
      <c r="AD382" s="450"/>
      <c r="AE382" s="450"/>
      <c r="AF382" s="450"/>
      <c r="AG382" s="450"/>
      <c r="AH382" s="450"/>
      <c r="AI382" s="450"/>
      <c r="AJ382" s="450"/>
      <c r="AK382" s="450"/>
      <c r="AL382" s="450"/>
      <c r="AM382" s="450"/>
      <c r="AN382" s="450"/>
      <c r="AO382" s="450"/>
      <c r="AP382" s="450"/>
      <c r="AQ382" s="450"/>
      <c r="AR382" s="450"/>
      <c r="AS382" s="450"/>
      <c r="AT382" s="450"/>
      <c r="AU382" s="450"/>
      <c r="AV382" s="450"/>
      <c r="AW382" s="450"/>
      <c r="AX382" s="450"/>
      <c r="AY382" s="450"/>
      <c r="AZ382" s="450"/>
      <c r="BA382" s="450"/>
      <c r="BB382" s="450"/>
      <c r="BC382" s="450"/>
      <c r="BD382" s="450"/>
      <c r="BE382" s="450"/>
      <c r="BF382" s="450"/>
      <c r="BG382" s="450"/>
      <c r="BH382" s="450"/>
      <c r="BI382" s="450"/>
      <c r="BJ382" s="450"/>
      <c r="BK382" s="450"/>
      <c r="BL382" s="450"/>
      <c r="BM382" s="450"/>
      <c r="BN382" s="450"/>
      <c r="BO382" s="450"/>
      <c r="BP382" s="450"/>
      <c r="BQ382" s="450"/>
      <c r="BR382" s="450"/>
      <c r="BS382" s="450"/>
      <c r="BT382" s="450"/>
      <c r="BU382" s="450"/>
      <c r="BV382" s="450"/>
      <c r="BW382" s="450"/>
      <c r="BX382" s="450"/>
      <c r="BY382" s="450"/>
      <c r="BZ382" s="450"/>
      <c r="CA382" s="450"/>
      <c r="CB382" s="450"/>
      <c r="CC382" s="450"/>
      <c r="CD382" s="450"/>
      <c r="CE382" s="450"/>
      <c r="CF382" s="450"/>
      <c r="CG382" s="450"/>
      <c r="CH382" s="450"/>
    </row>
    <row r="383">
      <c r="A383" s="450"/>
      <c r="B383" s="498"/>
      <c r="C383" s="455"/>
      <c r="D383" s="450"/>
      <c r="E383" s="450"/>
      <c r="F383" s="450"/>
      <c r="G383" s="450"/>
      <c r="H383" s="450"/>
      <c r="I383" s="450"/>
      <c r="J383" s="450"/>
      <c r="K383" s="450"/>
      <c r="L383" s="450"/>
      <c r="M383" s="450"/>
      <c r="N383" s="450"/>
      <c r="O383" s="450"/>
      <c r="P383" s="450"/>
      <c r="Q383" s="450"/>
      <c r="R383" s="450"/>
      <c r="S383" s="450"/>
      <c r="T383" s="450"/>
      <c r="U383" s="450"/>
      <c r="V383" s="450"/>
      <c r="W383" s="450"/>
      <c r="X383" s="450"/>
      <c r="Y383" s="450"/>
      <c r="Z383" s="450"/>
      <c r="AA383" s="450"/>
      <c r="AB383" s="450"/>
      <c r="AC383" s="450"/>
      <c r="AD383" s="450"/>
      <c r="AE383" s="450"/>
      <c r="AF383" s="450"/>
      <c r="AG383" s="450"/>
      <c r="AH383" s="450"/>
      <c r="AI383" s="450"/>
      <c r="AJ383" s="450"/>
      <c r="AK383" s="450"/>
      <c r="AL383" s="450"/>
      <c r="AM383" s="450"/>
      <c r="AN383" s="450"/>
      <c r="AO383" s="450"/>
      <c r="AP383" s="450"/>
      <c r="AQ383" s="450"/>
      <c r="AR383" s="450"/>
      <c r="AS383" s="450"/>
      <c r="AT383" s="450"/>
      <c r="AU383" s="450"/>
      <c r="AV383" s="450"/>
      <c r="AW383" s="450"/>
      <c r="AX383" s="450"/>
      <c r="AY383" s="450"/>
      <c r="AZ383" s="450"/>
      <c r="BA383" s="450"/>
      <c r="BB383" s="450"/>
      <c r="BC383" s="450"/>
      <c r="BD383" s="450"/>
      <c r="BE383" s="450"/>
      <c r="BF383" s="450"/>
      <c r="BG383" s="450"/>
      <c r="BH383" s="450"/>
      <c r="BI383" s="450"/>
      <c r="BJ383" s="450"/>
      <c r="BK383" s="450"/>
      <c r="BL383" s="450"/>
      <c r="BM383" s="450"/>
      <c r="BN383" s="450"/>
      <c r="BO383" s="450"/>
      <c r="BP383" s="450"/>
      <c r="BQ383" s="450"/>
      <c r="BR383" s="450"/>
      <c r="BS383" s="450"/>
      <c r="BT383" s="450"/>
      <c r="BU383" s="450"/>
      <c r="BV383" s="450"/>
      <c r="BW383" s="450"/>
      <c r="BX383" s="450"/>
      <c r="BY383" s="450"/>
      <c r="BZ383" s="450"/>
      <c r="CA383" s="450"/>
      <c r="CB383" s="450"/>
      <c r="CC383" s="450"/>
      <c r="CD383" s="450"/>
      <c r="CE383" s="450"/>
      <c r="CF383" s="450"/>
      <c r="CG383" s="450"/>
      <c r="CH383" s="450"/>
    </row>
    <row r="384">
      <c r="A384" s="450"/>
      <c r="B384" s="498"/>
      <c r="C384" s="455"/>
      <c r="D384" s="450"/>
      <c r="E384" s="450"/>
      <c r="F384" s="450"/>
      <c r="G384" s="450"/>
      <c r="H384" s="450"/>
      <c r="I384" s="450"/>
      <c r="J384" s="450"/>
      <c r="K384" s="450"/>
      <c r="L384" s="450"/>
      <c r="M384" s="450"/>
      <c r="N384" s="450"/>
      <c r="O384" s="450"/>
      <c r="P384" s="450"/>
      <c r="Q384" s="450"/>
      <c r="R384" s="450"/>
      <c r="S384" s="450"/>
      <c r="T384" s="450"/>
      <c r="U384" s="450"/>
      <c r="V384" s="450"/>
      <c r="W384" s="450"/>
      <c r="X384" s="450"/>
      <c r="Y384" s="450"/>
      <c r="Z384" s="450"/>
      <c r="AA384" s="450"/>
      <c r="AB384" s="450"/>
      <c r="AC384" s="450"/>
      <c r="AD384" s="450"/>
      <c r="AE384" s="450"/>
      <c r="AF384" s="450"/>
      <c r="AG384" s="450"/>
      <c r="AH384" s="450"/>
      <c r="AI384" s="450"/>
      <c r="AJ384" s="450"/>
      <c r="AK384" s="450"/>
      <c r="AL384" s="450"/>
      <c r="AM384" s="450"/>
      <c r="AN384" s="450"/>
      <c r="AO384" s="450"/>
      <c r="AP384" s="450"/>
      <c r="AQ384" s="450"/>
      <c r="AR384" s="450"/>
      <c r="AS384" s="450"/>
      <c r="AT384" s="450"/>
      <c r="AU384" s="450"/>
      <c r="AV384" s="450"/>
      <c r="AW384" s="450"/>
      <c r="AX384" s="450"/>
      <c r="AY384" s="450"/>
      <c r="AZ384" s="450"/>
      <c r="BA384" s="450"/>
      <c r="BB384" s="450"/>
      <c r="BC384" s="450"/>
      <c r="BD384" s="450"/>
      <c r="BE384" s="450"/>
      <c r="BF384" s="450"/>
      <c r="BG384" s="450"/>
      <c r="BH384" s="450"/>
      <c r="BI384" s="450"/>
      <c r="BJ384" s="450"/>
      <c r="BK384" s="450"/>
      <c r="BL384" s="450"/>
      <c r="BM384" s="450"/>
      <c r="BN384" s="450"/>
      <c r="BO384" s="450"/>
      <c r="BP384" s="450"/>
      <c r="BQ384" s="450"/>
      <c r="BR384" s="450"/>
      <c r="BS384" s="450"/>
      <c r="BT384" s="450"/>
      <c r="BU384" s="450"/>
      <c r="BV384" s="450"/>
      <c r="BW384" s="450"/>
      <c r="BX384" s="450"/>
      <c r="BY384" s="450"/>
      <c r="BZ384" s="450"/>
      <c r="CA384" s="450"/>
      <c r="CB384" s="450"/>
      <c r="CC384" s="450"/>
      <c r="CD384" s="450"/>
      <c r="CE384" s="450"/>
      <c r="CF384" s="450"/>
      <c r="CG384" s="450"/>
      <c r="CH384" s="450"/>
    </row>
    <row r="385">
      <c r="A385" s="450"/>
      <c r="B385" s="498"/>
      <c r="C385" s="455"/>
      <c r="D385" s="450"/>
      <c r="E385" s="450"/>
      <c r="F385" s="450"/>
      <c r="G385" s="450"/>
      <c r="H385" s="450"/>
      <c r="I385" s="450"/>
      <c r="J385" s="450"/>
      <c r="K385" s="450"/>
      <c r="L385" s="450"/>
      <c r="M385" s="450"/>
      <c r="N385" s="450"/>
      <c r="O385" s="450"/>
      <c r="P385" s="450"/>
      <c r="Q385" s="450"/>
      <c r="R385" s="450"/>
      <c r="S385" s="450"/>
      <c r="T385" s="450"/>
      <c r="U385" s="450"/>
      <c r="V385" s="450"/>
      <c r="W385" s="450"/>
      <c r="X385" s="450"/>
      <c r="Y385" s="450"/>
      <c r="Z385" s="450"/>
      <c r="AA385" s="450"/>
      <c r="AB385" s="450"/>
      <c r="AC385" s="450"/>
      <c r="AD385" s="450"/>
      <c r="AE385" s="450"/>
      <c r="AF385" s="450"/>
      <c r="AG385" s="450"/>
      <c r="AH385" s="450"/>
      <c r="AI385" s="450"/>
      <c r="AJ385" s="450"/>
      <c r="AK385" s="450"/>
      <c r="AL385" s="450"/>
      <c r="AM385" s="450"/>
      <c r="AN385" s="450"/>
      <c r="AO385" s="450"/>
      <c r="AP385" s="450"/>
      <c r="AQ385" s="450"/>
      <c r="AR385" s="450"/>
      <c r="AS385" s="450"/>
      <c r="AT385" s="450"/>
      <c r="AU385" s="450"/>
      <c r="AV385" s="450"/>
      <c r="AW385" s="450"/>
      <c r="AX385" s="450"/>
      <c r="AY385" s="450"/>
      <c r="AZ385" s="450"/>
      <c r="BA385" s="450"/>
      <c r="BB385" s="450"/>
      <c r="BC385" s="450"/>
      <c r="BD385" s="450"/>
      <c r="BE385" s="450"/>
      <c r="BF385" s="450"/>
      <c r="BG385" s="450"/>
      <c r="BH385" s="450"/>
      <c r="BI385" s="450"/>
      <c r="BJ385" s="450"/>
      <c r="BK385" s="450"/>
      <c r="BL385" s="450"/>
      <c r="BM385" s="450"/>
      <c r="BN385" s="450"/>
      <c r="BO385" s="450"/>
      <c r="BP385" s="450"/>
      <c r="BQ385" s="450"/>
      <c r="BR385" s="450"/>
      <c r="BS385" s="450"/>
      <c r="BT385" s="450"/>
      <c r="BU385" s="450"/>
      <c r="BV385" s="450"/>
      <c r="BW385" s="450"/>
      <c r="BX385" s="450"/>
      <c r="BY385" s="450"/>
      <c r="BZ385" s="450"/>
      <c r="CA385" s="450"/>
      <c r="CB385" s="450"/>
      <c r="CC385" s="450"/>
      <c r="CD385" s="450"/>
      <c r="CE385" s="450"/>
      <c r="CF385" s="450"/>
      <c r="CG385" s="450"/>
      <c r="CH385" s="450"/>
    </row>
    <row r="386">
      <c r="A386" s="450"/>
      <c r="B386" s="498"/>
      <c r="C386" s="455"/>
      <c r="D386" s="450"/>
      <c r="E386" s="450"/>
      <c r="F386" s="450"/>
      <c r="G386" s="450"/>
      <c r="H386" s="450"/>
      <c r="I386" s="450"/>
      <c r="J386" s="450"/>
      <c r="K386" s="450"/>
      <c r="L386" s="450"/>
      <c r="M386" s="450"/>
      <c r="N386" s="450"/>
      <c r="O386" s="450"/>
      <c r="P386" s="450"/>
      <c r="Q386" s="450"/>
      <c r="R386" s="450"/>
      <c r="S386" s="450"/>
      <c r="T386" s="450"/>
      <c r="U386" s="450"/>
      <c r="V386" s="450"/>
      <c r="W386" s="450"/>
      <c r="X386" s="450"/>
      <c r="Y386" s="450"/>
      <c r="Z386" s="450"/>
      <c r="AA386" s="450"/>
      <c r="AB386" s="450"/>
      <c r="AC386" s="450"/>
      <c r="AD386" s="450"/>
      <c r="AE386" s="450"/>
      <c r="AF386" s="450"/>
      <c r="AG386" s="450"/>
      <c r="AH386" s="450"/>
      <c r="AI386" s="450"/>
      <c r="AJ386" s="450"/>
      <c r="AK386" s="450"/>
      <c r="AL386" s="450"/>
      <c r="AM386" s="450"/>
      <c r="AN386" s="450"/>
      <c r="AO386" s="450"/>
      <c r="AP386" s="450"/>
      <c r="AQ386" s="450"/>
      <c r="AR386" s="450"/>
      <c r="AS386" s="450"/>
      <c r="AT386" s="450"/>
      <c r="AU386" s="450"/>
      <c r="AV386" s="450"/>
      <c r="AW386" s="450"/>
      <c r="AX386" s="450"/>
      <c r="AY386" s="450"/>
      <c r="AZ386" s="450"/>
      <c r="BA386" s="450"/>
      <c r="BB386" s="450"/>
      <c r="BC386" s="450"/>
      <c r="BD386" s="450"/>
      <c r="BE386" s="450"/>
      <c r="BF386" s="450"/>
      <c r="BG386" s="450"/>
      <c r="BH386" s="450"/>
      <c r="BI386" s="450"/>
      <c r="BJ386" s="450"/>
      <c r="BK386" s="450"/>
      <c r="BL386" s="450"/>
      <c r="BM386" s="450"/>
      <c r="BN386" s="450"/>
      <c r="BO386" s="450"/>
      <c r="BP386" s="450"/>
      <c r="BQ386" s="450"/>
      <c r="BR386" s="450"/>
      <c r="BS386" s="450"/>
      <c r="BT386" s="450"/>
      <c r="BU386" s="450"/>
      <c r="BV386" s="450"/>
      <c r="BW386" s="450"/>
      <c r="BX386" s="450"/>
      <c r="BY386" s="450"/>
      <c r="BZ386" s="450"/>
      <c r="CA386" s="450"/>
      <c r="CB386" s="450"/>
      <c r="CC386" s="450"/>
      <c r="CD386" s="450"/>
      <c r="CE386" s="450"/>
      <c r="CF386" s="450"/>
      <c r="CG386" s="450"/>
      <c r="CH386" s="450"/>
    </row>
    <row r="387">
      <c r="A387" s="450"/>
      <c r="B387" s="498"/>
      <c r="C387" s="455"/>
      <c r="D387" s="450"/>
      <c r="E387" s="450"/>
      <c r="F387" s="450"/>
      <c r="G387" s="450"/>
      <c r="H387" s="450"/>
      <c r="I387" s="450"/>
      <c r="J387" s="450"/>
      <c r="K387" s="450"/>
      <c r="L387" s="450"/>
      <c r="M387" s="450"/>
      <c r="N387" s="450"/>
      <c r="O387" s="450"/>
      <c r="P387" s="450"/>
      <c r="Q387" s="450"/>
      <c r="R387" s="450"/>
      <c r="S387" s="450"/>
      <c r="T387" s="450"/>
      <c r="U387" s="450"/>
      <c r="V387" s="450"/>
      <c r="W387" s="450"/>
      <c r="X387" s="450"/>
      <c r="Y387" s="450"/>
      <c r="Z387" s="450"/>
      <c r="AA387" s="450"/>
      <c r="AB387" s="450"/>
      <c r="AC387" s="450"/>
      <c r="AD387" s="450"/>
      <c r="AE387" s="450"/>
      <c r="AF387" s="450"/>
      <c r="AG387" s="450"/>
      <c r="AH387" s="450"/>
      <c r="AI387" s="450"/>
      <c r="AJ387" s="450"/>
      <c r="AK387" s="450"/>
      <c r="AL387" s="450"/>
      <c r="AM387" s="450"/>
      <c r="AN387" s="450"/>
      <c r="AO387" s="450"/>
      <c r="AP387" s="450"/>
      <c r="AQ387" s="450"/>
      <c r="AR387" s="450"/>
      <c r="AS387" s="450"/>
      <c r="AT387" s="450"/>
      <c r="AU387" s="450"/>
      <c r="AV387" s="450"/>
      <c r="AW387" s="450"/>
      <c r="AX387" s="450"/>
      <c r="AY387" s="450"/>
      <c r="AZ387" s="450"/>
      <c r="BA387" s="450"/>
      <c r="BB387" s="450"/>
      <c r="BC387" s="450"/>
      <c r="BD387" s="450"/>
      <c r="BE387" s="450"/>
      <c r="BF387" s="450"/>
      <c r="BG387" s="450"/>
      <c r="BH387" s="450"/>
      <c r="BI387" s="450"/>
      <c r="BJ387" s="450"/>
      <c r="BK387" s="450"/>
      <c r="BL387" s="450"/>
      <c r="BM387" s="450"/>
      <c r="BN387" s="450"/>
      <c r="BO387" s="450"/>
      <c r="BP387" s="450"/>
      <c r="BQ387" s="450"/>
      <c r="BR387" s="450"/>
      <c r="BS387" s="450"/>
      <c r="BT387" s="450"/>
      <c r="BU387" s="450"/>
      <c r="BV387" s="450"/>
      <c r="BW387" s="450"/>
      <c r="BX387" s="450"/>
      <c r="BY387" s="450"/>
      <c r="BZ387" s="450"/>
      <c r="CA387" s="450"/>
      <c r="CB387" s="450"/>
      <c r="CC387" s="450"/>
      <c r="CD387" s="450"/>
      <c r="CE387" s="450"/>
      <c r="CF387" s="450"/>
      <c r="CG387" s="450"/>
      <c r="CH387" s="450"/>
    </row>
    <row r="388">
      <c r="A388" s="450"/>
      <c r="B388" s="498"/>
      <c r="C388" s="455"/>
      <c r="D388" s="450"/>
      <c r="E388" s="450"/>
      <c r="F388" s="450"/>
      <c r="G388" s="450"/>
      <c r="H388" s="450"/>
      <c r="I388" s="450"/>
      <c r="J388" s="450"/>
      <c r="K388" s="450"/>
      <c r="L388" s="450"/>
      <c r="M388" s="450"/>
      <c r="N388" s="450"/>
      <c r="O388" s="450"/>
      <c r="P388" s="450"/>
      <c r="Q388" s="450"/>
      <c r="R388" s="450"/>
      <c r="S388" s="450"/>
      <c r="T388" s="450"/>
      <c r="U388" s="450"/>
      <c r="V388" s="450"/>
      <c r="W388" s="450"/>
      <c r="X388" s="450"/>
      <c r="Y388" s="450"/>
      <c r="Z388" s="450"/>
      <c r="AA388" s="450"/>
      <c r="AB388" s="450"/>
      <c r="AC388" s="450"/>
      <c r="AD388" s="450"/>
      <c r="AE388" s="450"/>
      <c r="AF388" s="450"/>
      <c r="AG388" s="450"/>
      <c r="AH388" s="450"/>
      <c r="AI388" s="450"/>
      <c r="AJ388" s="450"/>
      <c r="AK388" s="450"/>
      <c r="AL388" s="450"/>
      <c r="AM388" s="450"/>
      <c r="AN388" s="450"/>
      <c r="AO388" s="450"/>
      <c r="AP388" s="450"/>
      <c r="AQ388" s="450"/>
      <c r="AR388" s="450"/>
      <c r="AS388" s="450"/>
      <c r="AT388" s="450"/>
      <c r="AU388" s="450"/>
      <c r="AV388" s="450"/>
      <c r="AW388" s="450"/>
      <c r="AX388" s="450"/>
      <c r="AY388" s="450"/>
      <c r="AZ388" s="450"/>
      <c r="BA388" s="450"/>
      <c r="BB388" s="450"/>
      <c r="BC388" s="450"/>
      <c r="BD388" s="450"/>
      <c r="BE388" s="450"/>
      <c r="BF388" s="450"/>
      <c r="BG388" s="450"/>
      <c r="BH388" s="450"/>
      <c r="BI388" s="450"/>
      <c r="BJ388" s="450"/>
      <c r="BK388" s="450"/>
      <c r="BL388" s="450"/>
      <c r="BM388" s="450"/>
      <c r="BN388" s="450"/>
      <c r="BO388" s="450"/>
      <c r="BP388" s="450"/>
      <c r="BQ388" s="450"/>
      <c r="BR388" s="450"/>
      <c r="BS388" s="450"/>
      <c r="BT388" s="450"/>
      <c r="BU388" s="450"/>
      <c r="BV388" s="450"/>
      <c r="BW388" s="450"/>
      <c r="BX388" s="450"/>
      <c r="BY388" s="450"/>
      <c r="BZ388" s="450"/>
      <c r="CA388" s="450"/>
      <c r="CB388" s="450"/>
      <c r="CC388" s="450"/>
      <c r="CD388" s="450"/>
      <c r="CE388" s="450"/>
      <c r="CF388" s="450"/>
      <c r="CG388" s="450"/>
      <c r="CH388" s="450"/>
    </row>
    <row r="389">
      <c r="A389" s="450"/>
      <c r="B389" s="498"/>
      <c r="C389" s="455"/>
      <c r="D389" s="450"/>
      <c r="E389" s="450"/>
      <c r="F389" s="450"/>
      <c r="G389" s="450"/>
      <c r="H389" s="450"/>
      <c r="I389" s="450"/>
      <c r="J389" s="450"/>
      <c r="K389" s="450"/>
      <c r="L389" s="450"/>
      <c r="M389" s="450"/>
      <c r="N389" s="450"/>
      <c r="O389" s="450"/>
      <c r="P389" s="450"/>
      <c r="Q389" s="450"/>
      <c r="R389" s="450"/>
      <c r="S389" s="450"/>
      <c r="T389" s="450"/>
      <c r="U389" s="450"/>
      <c r="V389" s="450"/>
      <c r="W389" s="450"/>
      <c r="X389" s="450"/>
      <c r="Y389" s="450"/>
      <c r="Z389" s="450"/>
      <c r="AA389" s="450"/>
      <c r="AB389" s="450"/>
      <c r="AC389" s="450"/>
      <c r="AD389" s="450"/>
      <c r="AE389" s="450"/>
      <c r="AF389" s="450"/>
      <c r="AG389" s="450"/>
      <c r="AH389" s="450"/>
      <c r="AI389" s="450"/>
      <c r="AJ389" s="450"/>
      <c r="AK389" s="450"/>
      <c r="AL389" s="450"/>
      <c r="AM389" s="450"/>
      <c r="AN389" s="450"/>
      <c r="AO389" s="450"/>
      <c r="AP389" s="450"/>
      <c r="AQ389" s="450"/>
      <c r="AR389" s="450"/>
      <c r="AS389" s="450"/>
      <c r="AT389" s="450"/>
      <c r="AU389" s="450"/>
      <c r="AV389" s="450"/>
      <c r="AW389" s="450"/>
      <c r="AX389" s="450"/>
      <c r="AY389" s="450"/>
      <c r="AZ389" s="450"/>
      <c r="BA389" s="450"/>
      <c r="BB389" s="450"/>
      <c r="BC389" s="450"/>
      <c r="BD389" s="450"/>
      <c r="BE389" s="450"/>
      <c r="BF389" s="450"/>
      <c r="BG389" s="450"/>
      <c r="BH389" s="450"/>
      <c r="BI389" s="450"/>
      <c r="BJ389" s="450"/>
      <c r="BK389" s="450"/>
      <c r="BL389" s="450"/>
      <c r="BM389" s="450"/>
      <c r="BN389" s="450"/>
      <c r="BO389" s="450"/>
      <c r="BP389" s="450"/>
      <c r="BQ389" s="450"/>
      <c r="BR389" s="450"/>
      <c r="BS389" s="450"/>
      <c r="BT389" s="450"/>
      <c r="BU389" s="450"/>
      <c r="BV389" s="450"/>
      <c r="BW389" s="450"/>
      <c r="BX389" s="450"/>
      <c r="BY389" s="450"/>
      <c r="BZ389" s="450"/>
      <c r="CA389" s="450"/>
      <c r="CB389" s="450"/>
      <c r="CC389" s="450"/>
      <c r="CD389" s="450"/>
      <c r="CE389" s="450"/>
      <c r="CF389" s="450"/>
      <c r="CG389" s="450"/>
      <c r="CH389" s="450"/>
    </row>
    <row r="390">
      <c r="A390" s="450"/>
      <c r="B390" s="498"/>
      <c r="C390" s="455"/>
      <c r="D390" s="450"/>
      <c r="E390" s="450"/>
      <c r="F390" s="450"/>
      <c r="G390" s="450"/>
      <c r="H390" s="450"/>
      <c r="I390" s="450"/>
      <c r="J390" s="450"/>
      <c r="K390" s="450"/>
      <c r="L390" s="450"/>
      <c r="M390" s="450"/>
      <c r="N390" s="450"/>
      <c r="O390" s="450"/>
      <c r="P390" s="450"/>
      <c r="Q390" s="450"/>
      <c r="R390" s="450"/>
      <c r="S390" s="450"/>
      <c r="T390" s="450"/>
      <c r="U390" s="450"/>
      <c r="V390" s="450"/>
      <c r="W390" s="450"/>
      <c r="X390" s="450"/>
      <c r="Y390" s="450"/>
      <c r="Z390" s="450"/>
      <c r="AA390" s="450"/>
      <c r="AB390" s="450"/>
      <c r="AC390" s="450"/>
      <c r="AD390" s="450"/>
      <c r="AE390" s="450"/>
      <c r="AF390" s="450"/>
      <c r="AG390" s="450"/>
      <c r="AH390" s="450"/>
      <c r="AI390" s="450"/>
      <c r="AJ390" s="450"/>
      <c r="AK390" s="450"/>
      <c r="AL390" s="450"/>
      <c r="AM390" s="450"/>
      <c r="AN390" s="450"/>
      <c r="AO390" s="450"/>
      <c r="AP390" s="450"/>
      <c r="AQ390" s="450"/>
      <c r="AR390" s="450"/>
      <c r="AS390" s="450"/>
      <c r="AT390" s="450"/>
      <c r="AU390" s="450"/>
      <c r="AV390" s="450"/>
      <c r="AW390" s="450"/>
      <c r="AX390" s="450"/>
      <c r="AY390" s="450"/>
      <c r="AZ390" s="450"/>
      <c r="BA390" s="450"/>
      <c r="BB390" s="450"/>
      <c r="BC390" s="450"/>
      <c r="BD390" s="450"/>
      <c r="BE390" s="450"/>
      <c r="BF390" s="450"/>
      <c r="BG390" s="450"/>
      <c r="BH390" s="450"/>
      <c r="BI390" s="450"/>
      <c r="BJ390" s="450"/>
      <c r="BK390" s="450"/>
      <c r="BL390" s="450"/>
      <c r="BM390" s="450"/>
      <c r="BN390" s="450"/>
      <c r="BO390" s="450"/>
      <c r="BP390" s="450"/>
      <c r="BQ390" s="450"/>
      <c r="BR390" s="450"/>
      <c r="BS390" s="450"/>
      <c r="BT390" s="450"/>
      <c r="BU390" s="450"/>
      <c r="BV390" s="450"/>
      <c r="BW390" s="450"/>
      <c r="BX390" s="450"/>
      <c r="BY390" s="450"/>
      <c r="BZ390" s="450"/>
      <c r="CA390" s="450"/>
      <c r="CB390" s="450"/>
      <c r="CC390" s="450"/>
      <c r="CD390" s="450"/>
      <c r="CE390" s="450"/>
      <c r="CF390" s="450"/>
      <c r="CG390" s="450"/>
      <c r="CH390" s="450"/>
    </row>
    <row r="391">
      <c r="A391" s="450"/>
      <c r="B391" s="498"/>
      <c r="C391" s="455"/>
      <c r="D391" s="450"/>
      <c r="E391" s="450"/>
      <c r="F391" s="450"/>
      <c r="G391" s="450"/>
      <c r="H391" s="450"/>
      <c r="I391" s="450"/>
      <c r="J391" s="450"/>
      <c r="K391" s="450"/>
      <c r="L391" s="450"/>
      <c r="M391" s="450"/>
      <c r="N391" s="450"/>
      <c r="O391" s="450"/>
      <c r="P391" s="450"/>
      <c r="Q391" s="450"/>
      <c r="R391" s="450"/>
      <c r="S391" s="450"/>
      <c r="T391" s="450"/>
      <c r="U391" s="450"/>
      <c r="V391" s="450"/>
      <c r="W391" s="450"/>
      <c r="X391" s="450"/>
      <c r="Y391" s="450"/>
      <c r="Z391" s="450"/>
      <c r="AA391" s="450"/>
      <c r="AB391" s="450"/>
      <c r="AC391" s="450"/>
      <c r="AD391" s="450"/>
      <c r="AE391" s="450"/>
      <c r="AF391" s="450"/>
      <c r="AG391" s="450"/>
      <c r="AH391" s="450"/>
      <c r="AI391" s="450"/>
      <c r="AJ391" s="450"/>
      <c r="AK391" s="450"/>
      <c r="AL391" s="450"/>
      <c r="AM391" s="450"/>
      <c r="AN391" s="450"/>
      <c r="AO391" s="450"/>
      <c r="AP391" s="450"/>
      <c r="AQ391" s="450"/>
      <c r="AR391" s="450"/>
      <c r="AS391" s="450"/>
      <c r="AT391" s="450"/>
      <c r="AU391" s="450"/>
      <c r="AV391" s="450"/>
      <c r="AW391" s="450"/>
      <c r="AX391" s="450"/>
      <c r="AY391" s="450"/>
      <c r="AZ391" s="450"/>
      <c r="BA391" s="450"/>
      <c r="BB391" s="450"/>
      <c r="BC391" s="450"/>
      <c r="BD391" s="450"/>
      <c r="BE391" s="450"/>
      <c r="BF391" s="450"/>
      <c r="BG391" s="450"/>
      <c r="BH391" s="450"/>
      <c r="BI391" s="450"/>
      <c r="BJ391" s="450"/>
      <c r="BK391" s="450"/>
      <c r="BL391" s="450"/>
      <c r="BM391" s="450"/>
      <c r="BN391" s="450"/>
      <c r="BO391" s="450"/>
      <c r="BP391" s="450"/>
      <c r="BQ391" s="450"/>
      <c r="BR391" s="450"/>
      <c r="BS391" s="450"/>
      <c r="BT391" s="450"/>
      <c r="BU391" s="450"/>
      <c r="BV391" s="450"/>
      <c r="BW391" s="450"/>
      <c r="BX391" s="450"/>
      <c r="BY391" s="450"/>
      <c r="BZ391" s="450"/>
      <c r="CA391" s="450"/>
      <c r="CB391" s="450"/>
      <c r="CC391" s="450"/>
      <c r="CD391" s="450"/>
      <c r="CE391" s="450"/>
      <c r="CF391" s="450"/>
      <c r="CG391" s="450"/>
      <c r="CH391" s="450"/>
    </row>
    <row r="392">
      <c r="A392" s="450"/>
      <c r="B392" s="498"/>
      <c r="C392" s="455"/>
      <c r="D392" s="450"/>
      <c r="E392" s="450"/>
      <c r="F392" s="450"/>
      <c r="G392" s="450"/>
      <c r="H392" s="450"/>
      <c r="I392" s="450"/>
      <c r="J392" s="450"/>
      <c r="K392" s="450"/>
      <c r="L392" s="450"/>
      <c r="M392" s="450"/>
      <c r="N392" s="450"/>
      <c r="O392" s="450"/>
      <c r="P392" s="450"/>
      <c r="Q392" s="450"/>
      <c r="R392" s="450"/>
      <c r="S392" s="450"/>
      <c r="T392" s="450"/>
      <c r="U392" s="450"/>
      <c r="V392" s="450"/>
      <c r="W392" s="450"/>
      <c r="X392" s="450"/>
      <c r="Y392" s="450"/>
      <c r="Z392" s="450"/>
      <c r="AA392" s="450"/>
      <c r="AB392" s="450"/>
      <c r="AC392" s="450"/>
      <c r="AD392" s="450"/>
      <c r="AE392" s="450"/>
      <c r="AF392" s="450"/>
      <c r="AG392" s="450"/>
      <c r="AH392" s="450"/>
      <c r="AI392" s="450"/>
      <c r="AJ392" s="450"/>
      <c r="AK392" s="450"/>
      <c r="AL392" s="450"/>
      <c r="AM392" s="450"/>
      <c r="AN392" s="450"/>
      <c r="AO392" s="450"/>
      <c r="AP392" s="450"/>
      <c r="AQ392" s="450"/>
      <c r="AR392" s="450"/>
      <c r="AS392" s="450"/>
      <c r="AT392" s="450"/>
      <c r="AU392" s="450"/>
      <c r="AV392" s="450"/>
      <c r="AW392" s="450"/>
      <c r="AX392" s="450"/>
      <c r="AY392" s="450"/>
      <c r="AZ392" s="450"/>
      <c r="BA392" s="450"/>
      <c r="BB392" s="450"/>
      <c r="BC392" s="450"/>
      <c r="BD392" s="450"/>
      <c r="BE392" s="450"/>
      <c r="BF392" s="450"/>
      <c r="BG392" s="450"/>
      <c r="BH392" s="450"/>
      <c r="BI392" s="450"/>
      <c r="BJ392" s="450"/>
      <c r="BK392" s="450"/>
      <c r="BL392" s="450"/>
      <c r="BM392" s="450"/>
      <c r="BN392" s="450"/>
      <c r="BO392" s="450"/>
      <c r="BP392" s="450"/>
      <c r="BQ392" s="450"/>
      <c r="BR392" s="450"/>
      <c r="BS392" s="450"/>
      <c r="BT392" s="450"/>
      <c r="BU392" s="450"/>
      <c r="BV392" s="450"/>
      <c r="BW392" s="450"/>
      <c r="BX392" s="450"/>
      <c r="BY392" s="450"/>
      <c r="BZ392" s="450"/>
      <c r="CA392" s="450"/>
      <c r="CB392" s="450"/>
      <c r="CC392" s="450"/>
      <c r="CD392" s="450"/>
      <c r="CE392" s="450"/>
      <c r="CF392" s="450"/>
      <c r="CG392" s="450"/>
      <c r="CH392" s="450"/>
    </row>
    <row r="393">
      <c r="A393" s="450"/>
      <c r="B393" s="498"/>
      <c r="C393" s="455"/>
      <c r="D393" s="450"/>
      <c r="E393" s="450"/>
      <c r="F393" s="450"/>
      <c r="G393" s="450"/>
      <c r="H393" s="450"/>
      <c r="I393" s="450"/>
      <c r="J393" s="450"/>
      <c r="K393" s="450"/>
      <c r="L393" s="450"/>
      <c r="M393" s="450"/>
      <c r="N393" s="450"/>
      <c r="O393" s="450"/>
      <c r="P393" s="450"/>
      <c r="Q393" s="450"/>
      <c r="R393" s="450"/>
      <c r="S393" s="450"/>
      <c r="T393" s="450"/>
      <c r="U393" s="450"/>
      <c r="V393" s="450"/>
      <c r="W393" s="450"/>
      <c r="X393" s="450"/>
      <c r="Y393" s="450"/>
      <c r="Z393" s="450"/>
      <c r="AA393" s="450"/>
      <c r="AB393" s="450"/>
      <c r="AC393" s="450"/>
      <c r="AD393" s="450"/>
      <c r="AE393" s="450"/>
      <c r="AF393" s="450"/>
      <c r="AG393" s="450"/>
      <c r="AH393" s="450"/>
      <c r="AI393" s="450"/>
      <c r="AJ393" s="450"/>
      <c r="AK393" s="450"/>
      <c r="AL393" s="450"/>
      <c r="AM393" s="450"/>
      <c r="AN393" s="450"/>
      <c r="AO393" s="450"/>
      <c r="AP393" s="450"/>
      <c r="AQ393" s="450"/>
      <c r="AR393" s="450"/>
      <c r="AS393" s="450"/>
      <c r="AT393" s="450"/>
      <c r="AU393" s="450"/>
      <c r="AV393" s="450"/>
      <c r="AW393" s="450"/>
      <c r="AX393" s="450"/>
      <c r="AY393" s="450"/>
      <c r="AZ393" s="450"/>
      <c r="BA393" s="450"/>
      <c r="BB393" s="450"/>
      <c r="BC393" s="450"/>
      <c r="BD393" s="450"/>
      <c r="BE393" s="450"/>
      <c r="BF393" s="450"/>
      <c r="BG393" s="450"/>
      <c r="BH393" s="450"/>
      <c r="BI393" s="450"/>
      <c r="BJ393" s="450"/>
      <c r="BK393" s="450"/>
      <c r="BL393" s="450"/>
      <c r="BM393" s="450"/>
      <c r="BN393" s="450"/>
      <c r="BO393" s="450"/>
      <c r="BP393" s="450"/>
      <c r="BQ393" s="450"/>
      <c r="BR393" s="450"/>
      <c r="BS393" s="450"/>
      <c r="BT393" s="450"/>
      <c r="BU393" s="450"/>
      <c r="BV393" s="450"/>
      <c r="BW393" s="450"/>
      <c r="BX393" s="450"/>
      <c r="BY393" s="450"/>
      <c r="BZ393" s="450"/>
      <c r="CA393" s="450"/>
      <c r="CB393" s="450"/>
      <c r="CC393" s="450"/>
      <c r="CD393" s="450"/>
      <c r="CE393" s="450"/>
      <c r="CF393" s="450"/>
      <c r="CG393" s="450"/>
      <c r="CH393" s="450"/>
    </row>
    <row r="394">
      <c r="A394" s="450"/>
      <c r="B394" s="498"/>
      <c r="C394" s="455"/>
      <c r="D394" s="450"/>
      <c r="E394" s="450"/>
      <c r="F394" s="450"/>
      <c r="G394" s="450"/>
      <c r="H394" s="450"/>
      <c r="I394" s="450"/>
      <c r="J394" s="450"/>
      <c r="K394" s="450"/>
      <c r="L394" s="450"/>
      <c r="M394" s="450"/>
      <c r="N394" s="450"/>
      <c r="O394" s="450"/>
      <c r="P394" s="450"/>
      <c r="Q394" s="450"/>
      <c r="R394" s="450"/>
      <c r="S394" s="450"/>
      <c r="T394" s="450"/>
      <c r="U394" s="450"/>
      <c r="V394" s="450"/>
      <c r="W394" s="450"/>
      <c r="X394" s="450"/>
      <c r="Y394" s="450"/>
      <c r="Z394" s="450"/>
      <c r="AA394" s="450"/>
      <c r="AB394" s="450"/>
      <c r="AC394" s="450"/>
      <c r="AD394" s="450"/>
      <c r="AE394" s="450"/>
      <c r="AF394" s="450"/>
      <c r="AG394" s="450"/>
      <c r="AH394" s="450"/>
      <c r="AI394" s="450"/>
      <c r="AJ394" s="450"/>
      <c r="AK394" s="450"/>
      <c r="AL394" s="450"/>
      <c r="AM394" s="450"/>
      <c r="AN394" s="450"/>
      <c r="AO394" s="450"/>
      <c r="AP394" s="450"/>
      <c r="AQ394" s="450"/>
      <c r="AR394" s="450"/>
      <c r="AS394" s="450"/>
      <c r="AT394" s="450"/>
      <c r="AU394" s="450"/>
      <c r="AV394" s="450"/>
      <c r="AW394" s="450"/>
      <c r="AX394" s="450"/>
      <c r="AY394" s="450"/>
      <c r="AZ394" s="450"/>
      <c r="BA394" s="450"/>
      <c r="BB394" s="450"/>
      <c r="BC394" s="450"/>
      <c r="BD394" s="450"/>
      <c r="BE394" s="450"/>
      <c r="BF394" s="450"/>
      <c r="BG394" s="450"/>
      <c r="BH394" s="450"/>
      <c r="BI394" s="450"/>
      <c r="BJ394" s="450"/>
      <c r="BK394" s="450"/>
      <c r="BL394" s="450"/>
      <c r="BM394" s="450"/>
      <c r="BN394" s="450"/>
      <c r="BO394" s="450"/>
      <c r="BP394" s="450"/>
      <c r="BQ394" s="450"/>
      <c r="BR394" s="450"/>
      <c r="BS394" s="450"/>
      <c r="BT394" s="450"/>
      <c r="BU394" s="450"/>
      <c r="BV394" s="450"/>
      <c r="BW394" s="450"/>
      <c r="BX394" s="450"/>
      <c r="BY394" s="450"/>
      <c r="BZ394" s="450"/>
      <c r="CA394" s="450"/>
      <c r="CB394" s="450"/>
      <c r="CC394" s="450"/>
      <c r="CD394" s="450"/>
      <c r="CE394" s="450"/>
      <c r="CF394" s="450"/>
      <c r="CG394" s="450"/>
      <c r="CH394" s="450"/>
    </row>
    <row r="395">
      <c r="A395" s="450"/>
      <c r="B395" s="498"/>
      <c r="C395" s="455"/>
      <c r="D395" s="450"/>
      <c r="E395" s="450"/>
      <c r="F395" s="450"/>
      <c r="G395" s="450"/>
      <c r="H395" s="450"/>
      <c r="I395" s="450"/>
      <c r="J395" s="450"/>
      <c r="K395" s="450"/>
      <c r="L395" s="450"/>
      <c r="M395" s="450"/>
      <c r="N395" s="450"/>
      <c r="O395" s="450"/>
      <c r="P395" s="450"/>
      <c r="Q395" s="450"/>
      <c r="R395" s="450"/>
      <c r="S395" s="450"/>
      <c r="T395" s="450"/>
      <c r="U395" s="450"/>
      <c r="V395" s="450"/>
      <c r="W395" s="450"/>
      <c r="X395" s="450"/>
      <c r="Y395" s="450"/>
      <c r="Z395" s="450"/>
      <c r="AA395" s="450"/>
      <c r="AB395" s="450"/>
      <c r="AC395" s="450"/>
      <c r="AD395" s="450"/>
      <c r="AE395" s="450"/>
      <c r="AF395" s="450"/>
      <c r="AG395" s="450"/>
      <c r="AH395" s="450"/>
      <c r="AI395" s="450"/>
      <c r="AJ395" s="450"/>
      <c r="AK395" s="450"/>
      <c r="AL395" s="450"/>
      <c r="AM395" s="450"/>
      <c r="AN395" s="450"/>
      <c r="AO395" s="450"/>
      <c r="AP395" s="450"/>
      <c r="AQ395" s="450"/>
      <c r="AR395" s="450"/>
      <c r="AS395" s="450"/>
      <c r="AT395" s="450"/>
      <c r="AU395" s="450"/>
      <c r="AV395" s="450"/>
      <c r="AW395" s="450"/>
      <c r="AX395" s="450"/>
      <c r="AY395" s="450"/>
      <c r="AZ395" s="450"/>
      <c r="BA395" s="450"/>
      <c r="BB395" s="450"/>
      <c r="BC395" s="450"/>
      <c r="BD395" s="450"/>
      <c r="BE395" s="450"/>
      <c r="BF395" s="450"/>
      <c r="BG395" s="450"/>
      <c r="BH395" s="450"/>
      <c r="BI395" s="450"/>
      <c r="BJ395" s="450"/>
      <c r="BK395" s="450"/>
      <c r="BL395" s="450"/>
      <c r="BM395" s="450"/>
      <c r="BN395" s="450"/>
      <c r="BO395" s="450"/>
      <c r="BP395" s="450"/>
      <c r="BQ395" s="450"/>
      <c r="BR395" s="450"/>
      <c r="BS395" s="450"/>
      <c r="BT395" s="450"/>
      <c r="BU395" s="450"/>
      <c r="BV395" s="450"/>
      <c r="BW395" s="450"/>
      <c r="BX395" s="450"/>
      <c r="BY395" s="450"/>
      <c r="BZ395" s="450"/>
      <c r="CA395" s="450"/>
      <c r="CB395" s="450"/>
      <c r="CC395" s="450"/>
      <c r="CD395" s="450"/>
      <c r="CE395" s="450"/>
      <c r="CF395" s="450"/>
      <c r="CG395" s="450"/>
      <c r="CH395" s="450"/>
    </row>
    <row r="396">
      <c r="A396" s="450"/>
      <c r="B396" s="498"/>
      <c r="C396" s="455"/>
      <c r="D396" s="450"/>
      <c r="E396" s="450"/>
      <c r="F396" s="450"/>
      <c r="G396" s="450"/>
      <c r="H396" s="450"/>
      <c r="I396" s="450"/>
      <c r="J396" s="450"/>
      <c r="K396" s="450"/>
      <c r="L396" s="450"/>
      <c r="M396" s="450"/>
      <c r="N396" s="450"/>
      <c r="O396" s="450"/>
      <c r="P396" s="450"/>
      <c r="Q396" s="450"/>
      <c r="R396" s="450"/>
      <c r="S396" s="450"/>
      <c r="T396" s="450"/>
      <c r="U396" s="450"/>
      <c r="V396" s="450"/>
      <c r="W396" s="450"/>
      <c r="X396" s="450"/>
      <c r="Y396" s="450"/>
      <c r="Z396" s="450"/>
      <c r="AA396" s="450"/>
      <c r="AB396" s="450"/>
      <c r="AC396" s="450"/>
      <c r="AD396" s="450"/>
      <c r="AE396" s="450"/>
      <c r="AF396" s="450"/>
      <c r="AG396" s="450"/>
      <c r="AH396" s="450"/>
      <c r="AI396" s="450"/>
      <c r="AJ396" s="450"/>
      <c r="AK396" s="450"/>
      <c r="AL396" s="450"/>
      <c r="AM396" s="450"/>
      <c r="AN396" s="450"/>
      <c r="AO396" s="450"/>
      <c r="AP396" s="450"/>
      <c r="AQ396" s="450"/>
      <c r="AR396" s="450"/>
      <c r="AS396" s="450"/>
      <c r="AT396" s="450"/>
      <c r="AU396" s="450"/>
      <c r="AV396" s="450"/>
      <c r="AW396" s="450"/>
      <c r="AX396" s="450"/>
      <c r="AY396" s="450"/>
      <c r="AZ396" s="450"/>
      <c r="BA396" s="450"/>
      <c r="BB396" s="450"/>
      <c r="BC396" s="450"/>
      <c r="BD396" s="450"/>
      <c r="BE396" s="450"/>
      <c r="BF396" s="450"/>
      <c r="BG396" s="450"/>
      <c r="BH396" s="450"/>
      <c r="BI396" s="450"/>
      <c r="BJ396" s="450"/>
      <c r="BK396" s="450"/>
      <c r="BL396" s="450"/>
      <c r="BM396" s="450"/>
      <c r="BN396" s="450"/>
      <c r="BO396" s="450"/>
      <c r="BP396" s="450"/>
      <c r="BQ396" s="450"/>
      <c r="BR396" s="450"/>
      <c r="BS396" s="450"/>
      <c r="BT396" s="450"/>
      <c r="BU396" s="450"/>
      <c r="BV396" s="450"/>
      <c r="BW396" s="450"/>
      <c r="BX396" s="450"/>
      <c r="BY396" s="450"/>
      <c r="BZ396" s="450"/>
      <c r="CA396" s="450"/>
      <c r="CB396" s="450"/>
      <c r="CC396" s="450"/>
      <c r="CD396" s="450"/>
      <c r="CE396" s="450"/>
      <c r="CF396" s="450"/>
      <c r="CG396" s="450"/>
      <c r="CH396" s="450"/>
    </row>
    <row r="397">
      <c r="A397" s="450"/>
      <c r="B397" s="498"/>
      <c r="C397" s="455"/>
      <c r="D397" s="450"/>
      <c r="E397" s="450"/>
      <c r="F397" s="450"/>
      <c r="G397" s="450"/>
      <c r="H397" s="450"/>
      <c r="I397" s="450"/>
      <c r="J397" s="450"/>
      <c r="K397" s="450"/>
      <c r="L397" s="450"/>
      <c r="M397" s="450"/>
      <c r="N397" s="450"/>
      <c r="O397" s="450"/>
      <c r="P397" s="450"/>
      <c r="Q397" s="450"/>
      <c r="R397" s="450"/>
      <c r="S397" s="450"/>
      <c r="T397" s="450"/>
      <c r="U397" s="450"/>
      <c r="V397" s="450"/>
      <c r="W397" s="450"/>
      <c r="X397" s="450"/>
      <c r="Y397" s="450"/>
      <c r="Z397" s="450"/>
      <c r="AA397" s="450"/>
      <c r="AB397" s="450"/>
      <c r="AC397" s="450"/>
      <c r="AD397" s="450"/>
      <c r="AE397" s="450"/>
      <c r="AF397" s="450"/>
      <c r="AG397" s="450"/>
      <c r="AH397" s="450"/>
      <c r="AI397" s="450"/>
      <c r="AJ397" s="450"/>
      <c r="AK397" s="450"/>
      <c r="AL397" s="450"/>
      <c r="AM397" s="450"/>
      <c r="AN397" s="450"/>
      <c r="AO397" s="450"/>
      <c r="AP397" s="450"/>
      <c r="AQ397" s="450"/>
      <c r="AR397" s="450"/>
      <c r="AS397" s="450"/>
      <c r="AT397" s="450"/>
      <c r="AU397" s="450"/>
      <c r="AV397" s="450"/>
      <c r="AW397" s="450"/>
      <c r="AX397" s="450"/>
      <c r="AY397" s="450"/>
      <c r="AZ397" s="450"/>
      <c r="BA397" s="450"/>
      <c r="BB397" s="450"/>
      <c r="BC397" s="450"/>
      <c r="BD397" s="450"/>
      <c r="BE397" s="450"/>
      <c r="BF397" s="450"/>
      <c r="BG397" s="450"/>
      <c r="BH397" s="450"/>
      <c r="BI397" s="450"/>
      <c r="BJ397" s="450"/>
      <c r="BK397" s="450"/>
      <c r="BL397" s="450"/>
      <c r="BM397" s="450"/>
      <c r="BN397" s="450"/>
      <c r="BO397" s="450"/>
      <c r="BP397" s="450"/>
      <c r="BQ397" s="450"/>
      <c r="BR397" s="450"/>
      <c r="BS397" s="450"/>
      <c r="BT397" s="450"/>
      <c r="BU397" s="450"/>
      <c r="BV397" s="450"/>
      <c r="BW397" s="450"/>
      <c r="BX397" s="450"/>
      <c r="BY397" s="450"/>
      <c r="BZ397" s="450"/>
      <c r="CA397" s="450"/>
      <c r="CB397" s="450"/>
      <c r="CC397" s="450"/>
      <c r="CD397" s="450"/>
      <c r="CE397" s="450"/>
      <c r="CF397" s="450"/>
      <c r="CG397" s="450"/>
      <c r="CH397" s="450"/>
    </row>
    <row r="398">
      <c r="A398" s="450"/>
      <c r="B398" s="498"/>
      <c r="C398" s="455"/>
      <c r="D398" s="450"/>
      <c r="E398" s="450"/>
      <c r="F398" s="450"/>
      <c r="G398" s="450"/>
      <c r="H398" s="450"/>
      <c r="I398" s="450"/>
      <c r="J398" s="450"/>
      <c r="K398" s="450"/>
      <c r="L398" s="450"/>
      <c r="M398" s="450"/>
      <c r="N398" s="450"/>
      <c r="O398" s="450"/>
      <c r="P398" s="450"/>
      <c r="Q398" s="450"/>
      <c r="R398" s="450"/>
      <c r="S398" s="450"/>
      <c r="T398" s="450"/>
      <c r="U398" s="450"/>
      <c r="V398" s="450"/>
      <c r="W398" s="450"/>
      <c r="X398" s="450"/>
      <c r="Y398" s="450"/>
      <c r="Z398" s="450"/>
      <c r="AA398" s="450"/>
      <c r="AB398" s="450"/>
      <c r="AC398" s="450"/>
      <c r="AD398" s="450"/>
      <c r="AE398" s="450"/>
      <c r="AF398" s="450"/>
      <c r="AG398" s="450"/>
      <c r="AH398" s="450"/>
      <c r="AI398" s="450"/>
      <c r="AJ398" s="450"/>
      <c r="AK398" s="450"/>
      <c r="AL398" s="450"/>
      <c r="AM398" s="450"/>
      <c r="AN398" s="450"/>
      <c r="AO398" s="450"/>
      <c r="AP398" s="450"/>
      <c r="AQ398" s="450"/>
      <c r="AR398" s="450"/>
      <c r="AS398" s="450"/>
      <c r="AT398" s="450"/>
      <c r="AU398" s="450"/>
      <c r="AV398" s="450"/>
      <c r="AW398" s="450"/>
      <c r="AX398" s="450"/>
      <c r="AY398" s="450"/>
      <c r="AZ398" s="450"/>
      <c r="BA398" s="450"/>
      <c r="BB398" s="450"/>
      <c r="BC398" s="450"/>
      <c r="BD398" s="450"/>
      <c r="BE398" s="450"/>
      <c r="BF398" s="450"/>
      <c r="BG398" s="450"/>
      <c r="BH398" s="450"/>
      <c r="BI398" s="450"/>
      <c r="BJ398" s="450"/>
      <c r="BK398" s="450"/>
      <c r="BL398" s="450"/>
      <c r="BM398" s="450"/>
      <c r="BN398" s="450"/>
      <c r="BO398" s="450"/>
      <c r="BP398" s="450"/>
      <c r="BQ398" s="450"/>
      <c r="BR398" s="450"/>
      <c r="BS398" s="450"/>
      <c r="BT398" s="450"/>
      <c r="BU398" s="450"/>
      <c r="BV398" s="450"/>
      <c r="BW398" s="450"/>
      <c r="BX398" s="450"/>
      <c r="BY398" s="450"/>
      <c r="BZ398" s="450"/>
      <c r="CA398" s="450"/>
      <c r="CB398" s="450"/>
      <c r="CC398" s="450"/>
      <c r="CD398" s="450"/>
      <c r="CE398" s="450"/>
      <c r="CF398" s="450"/>
      <c r="CG398" s="450"/>
      <c r="CH398" s="450"/>
    </row>
    <row r="399">
      <c r="A399" s="450"/>
      <c r="B399" s="498"/>
      <c r="C399" s="455"/>
      <c r="D399" s="450"/>
      <c r="E399" s="450"/>
      <c r="F399" s="450"/>
      <c r="G399" s="450"/>
      <c r="H399" s="450"/>
      <c r="I399" s="450"/>
      <c r="J399" s="450"/>
      <c r="K399" s="450"/>
      <c r="L399" s="450"/>
      <c r="M399" s="450"/>
      <c r="N399" s="450"/>
      <c r="O399" s="450"/>
      <c r="P399" s="450"/>
      <c r="Q399" s="450"/>
      <c r="R399" s="450"/>
      <c r="S399" s="450"/>
      <c r="T399" s="450"/>
      <c r="U399" s="450"/>
      <c r="V399" s="450"/>
      <c r="W399" s="450"/>
      <c r="X399" s="450"/>
      <c r="Y399" s="450"/>
      <c r="Z399" s="450"/>
      <c r="AA399" s="450"/>
      <c r="AB399" s="450"/>
      <c r="AC399" s="450"/>
      <c r="AD399" s="450"/>
      <c r="AE399" s="450"/>
      <c r="AF399" s="450"/>
      <c r="AG399" s="450"/>
      <c r="AH399" s="450"/>
      <c r="AI399" s="450"/>
      <c r="AJ399" s="450"/>
      <c r="AK399" s="450"/>
      <c r="AL399" s="450"/>
      <c r="AM399" s="450"/>
      <c r="AN399" s="450"/>
      <c r="AO399" s="450"/>
      <c r="AP399" s="450"/>
      <c r="AQ399" s="450"/>
      <c r="AR399" s="450"/>
      <c r="AS399" s="450"/>
      <c r="AT399" s="450"/>
      <c r="AU399" s="450"/>
      <c r="AV399" s="450"/>
      <c r="AW399" s="450"/>
      <c r="AX399" s="450"/>
      <c r="AY399" s="450"/>
      <c r="AZ399" s="450"/>
      <c r="BA399" s="450"/>
      <c r="BB399" s="450"/>
      <c r="BC399" s="450"/>
      <c r="BD399" s="450"/>
      <c r="BE399" s="450"/>
      <c r="BF399" s="450"/>
      <c r="BG399" s="450"/>
      <c r="BH399" s="450"/>
      <c r="BI399" s="450"/>
      <c r="BJ399" s="450"/>
      <c r="BK399" s="450"/>
      <c r="BL399" s="450"/>
      <c r="BM399" s="450"/>
      <c r="BN399" s="450"/>
      <c r="BO399" s="450"/>
      <c r="BP399" s="450"/>
      <c r="BQ399" s="450"/>
      <c r="BR399" s="450"/>
      <c r="BS399" s="450"/>
      <c r="BT399" s="450"/>
      <c r="BU399" s="450"/>
      <c r="BV399" s="450"/>
      <c r="BW399" s="450"/>
      <c r="BX399" s="450"/>
      <c r="BY399" s="450"/>
      <c r="BZ399" s="450"/>
      <c r="CA399" s="450"/>
      <c r="CB399" s="450"/>
      <c r="CC399" s="450"/>
      <c r="CD399" s="450"/>
      <c r="CE399" s="450"/>
      <c r="CF399" s="450"/>
      <c r="CG399" s="450"/>
      <c r="CH399" s="450"/>
    </row>
    <row r="400">
      <c r="A400" s="450"/>
      <c r="B400" s="498"/>
      <c r="C400" s="455"/>
      <c r="D400" s="450"/>
      <c r="E400" s="450"/>
      <c r="F400" s="450"/>
      <c r="G400" s="450"/>
      <c r="H400" s="450"/>
      <c r="I400" s="450"/>
      <c r="J400" s="450"/>
      <c r="K400" s="450"/>
      <c r="L400" s="450"/>
      <c r="M400" s="450"/>
      <c r="N400" s="450"/>
      <c r="O400" s="450"/>
      <c r="P400" s="450"/>
      <c r="Q400" s="450"/>
      <c r="R400" s="450"/>
      <c r="S400" s="450"/>
      <c r="T400" s="450"/>
      <c r="U400" s="450"/>
      <c r="V400" s="450"/>
      <c r="W400" s="450"/>
      <c r="X400" s="450"/>
      <c r="Y400" s="450"/>
      <c r="Z400" s="450"/>
      <c r="AA400" s="450"/>
      <c r="AB400" s="450"/>
      <c r="AC400" s="450"/>
      <c r="AD400" s="450"/>
      <c r="AE400" s="450"/>
      <c r="AF400" s="450"/>
      <c r="AG400" s="450"/>
      <c r="AH400" s="450"/>
      <c r="AI400" s="450"/>
      <c r="AJ400" s="450"/>
      <c r="AK400" s="450"/>
      <c r="AL400" s="450"/>
      <c r="AM400" s="450"/>
      <c r="AN400" s="450"/>
      <c r="AO400" s="450"/>
      <c r="AP400" s="450"/>
      <c r="AQ400" s="450"/>
      <c r="AR400" s="450"/>
      <c r="AS400" s="450"/>
      <c r="AT400" s="450"/>
      <c r="AU400" s="450"/>
      <c r="AV400" s="450"/>
      <c r="AW400" s="450"/>
      <c r="AX400" s="450"/>
      <c r="AY400" s="450"/>
      <c r="AZ400" s="450"/>
      <c r="BA400" s="450"/>
      <c r="BB400" s="450"/>
      <c r="BC400" s="450"/>
      <c r="BD400" s="450"/>
      <c r="BE400" s="450"/>
      <c r="BF400" s="450"/>
      <c r="BG400" s="450"/>
      <c r="BH400" s="450"/>
      <c r="BI400" s="450"/>
      <c r="BJ400" s="450"/>
      <c r="BK400" s="450"/>
      <c r="BL400" s="450"/>
      <c r="BM400" s="450"/>
      <c r="BN400" s="450"/>
      <c r="BO400" s="450"/>
      <c r="BP400" s="450"/>
      <c r="BQ400" s="450"/>
      <c r="BR400" s="450"/>
      <c r="BS400" s="450"/>
      <c r="BT400" s="450"/>
      <c r="BU400" s="450"/>
      <c r="BV400" s="450"/>
      <c r="BW400" s="450"/>
      <c r="BX400" s="450"/>
      <c r="BY400" s="450"/>
      <c r="BZ400" s="450"/>
      <c r="CA400" s="450"/>
      <c r="CB400" s="450"/>
      <c r="CC400" s="450"/>
      <c r="CD400" s="450"/>
      <c r="CE400" s="450"/>
      <c r="CF400" s="450"/>
      <c r="CG400" s="450"/>
      <c r="CH400" s="450"/>
    </row>
    <row r="401">
      <c r="A401" s="450"/>
      <c r="B401" s="498"/>
      <c r="C401" s="455"/>
      <c r="D401" s="450"/>
      <c r="E401" s="450"/>
      <c r="F401" s="450"/>
      <c r="G401" s="450"/>
      <c r="H401" s="450"/>
      <c r="I401" s="450"/>
      <c r="J401" s="450"/>
      <c r="K401" s="450"/>
      <c r="L401" s="450"/>
      <c r="M401" s="450"/>
      <c r="N401" s="450"/>
      <c r="O401" s="450"/>
      <c r="P401" s="450"/>
      <c r="Q401" s="450"/>
      <c r="R401" s="450"/>
      <c r="S401" s="450"/>
      <c r="T401" s="450"/>
      <c r="U401" s="450"/>
      <c r="V401" s="450"/>
      <c r="W401" s="450"/>
      <c r="X401" s="450"/>
      <c r="Y401" s="450"/>
      <c r="Z401" s="450"/>
      <c r="AA401" s="450"/>
      <c r="AB401" s="450"/>
      <c r="AC401" s="450"/>
      <c r="AD401" s="450"/>
      <c r="AE401" s="450"/>
      <c r="AF401" s="450"/>
      <c r="AG401" s="450"/>
      <c r="AH401" s="450"/>
      <c r="AI401" s="450"/>
      <c r="AJ401" s="450"/>
      <c r="AK401" s="450"/>
      <c r="AL401" s="450"/>
      <c r="AM401" s="450"/>
      <c r="AN401" s="450"/>
      <c r="AO401" s="450"/>
      <c r="AP401" s="450"/>
      <c r="AQ401" s="450"/>
      <c r="AR401" s="450"/>
      <c r="AS401" s="450"/>
      <c r="AT401" s="450"/>
      <c r="AU401" s="450"/>
      <c r="AV401" s="450"/>
      <c r="AW401" s="450"/>
      <c r="AX401" s="450"/>
      <c r="AY401" s="450"/>
      <c r="AZ401" s="450"/>
      <c r="BA401" s="450"/>
      <c r="BB401" s="450"/>
      <c r="BC401" s="450"/>
      <c r="BD401" s="450"/>
      <c r="BE401" s="450"/>
      <c r="BF401" s="450"/>
      <c r="BG401" s="450"/>
      <c r="BH401" s="450"/>
      <c r="BI401" s="450"/>
      <c r="BJ401" s="450"/>
      <c r="BK401" s="450"/>
      <c r="BL401" s="450"/>
      <c r="BM401" s="450"/>
      <c r="BN401" s="450"/>
      <c r="BO401" s="450"/>
      <c r="BP401" s="450"/>
      <c r="BQ401" s="450"/>
      <c r="BR401" s="450"/>
      <c r="BS401" s="450"/>
      <c r="BT401" s="450"/>
      <c r="BU401" s="450"/>
      <c r="BV401" s="450"/>
      <c r="BW401" s="450"/>
      <c r="BX401" s="450"/>
      <c r="BY401" s="450"/>
      <c r="BZ401" s="450"/>
      <c r="CA401" s="450"/>
      <c r="CB401" s="450"/>
      <c r="CC401" s="450"/>
      <c r="CD401" s="450"/>
      <c r="CE401" s="450"/>
      <c r="CF401" s="450"/>
      <c r="CG401" s="450"/>
      <c r="CH401" s="450"/>
    </row>
    <row r="402">
      <c r="A402" s="450"/>
      <c r="B402" s="498"/>
      <c r="C402" s="455"/>
      <c r="D402" s="450"/>
      <c r="E402" s="450"/>
      <c r="F402" s="450"/>
      <c r="G402" s="450"/>
      <c r="H402" s="450"/>
      <c r="I402" s="450"/>
      <c r="J402" s="450"/>
      <c r="K402" s="450"/>
      <c r="L402" s="450"/>
      <c r="M402" s="450"/>
      <c r="N402" s="450"/>
      <c r="O402" s="450"/>
      <c r="P402" s="450"/>
      <c r="Q402" s="450"/>
      <c r="R402" s="450"/>
      <c r="S402" s="450"/>
      <c r="T402" s="450"/>
      <c r="U402" s="450"/>
      <c r="V402" s="450"/>
      <c r="W402" s="450"/>
      <c r="X402" s="450"/>
      <c r="Y402" s="450"/>
      <c r="Z402" s="450"/>
      <c r="AA402" s="450"/>
      <c r="AB402" s="450"/>
      <c r="AC402" s="450"/>
      <c r="AD402" s="450"/>
      <c r="AE402" s="450"/>
      <c r="AF402" s="450"/>
      <c r="AG402" s="450"/>
      <c r="AH402" s="450"/>
      <c r="AI402" s="450"/>
      <c r="AJ402" s="450"/>
      <c r="AK402" s="450"/>
      <c r="AL402" s="450"/>
      <c r="AM402" s="450"/>
      <c r="AN402" s="450"/>
      <c r="AO402" s="450"/>
      <c r="AP402" s="450"/>
      <c r="AQ402" s="450"/>
      <c r="AR402" s="450"/>
      <c r="AS402" s="450"/>
      <c r="AT402" s="450"/>
      <c r="AU402" s="450"/>
      <c r="AV402" s="450"/>
      <c r="AW402" s="450"/>
      <c r="AX402" s="450"/>
      <c r="AY402" s="450"/>
      <c r="AZ402" s="450"/>
      <c r="BA402" s="450"/>
      <c r="BB402" s="450"/>
      <c r="BC402" s="450"/>
      <c r="BD402" s="450"/>
      <c r="BE402" s="450"/>
      <c r="BF402" s="450"/>
      <c r="BG402" s="450"/>
      <c r="BH402" s="450"/>
      <c r="BI402" s="450"/>
      <c r="BJ402" s="450"/>
      <c r="BK402" s="450"/>
      <c r="BL402" s="450"/>
      <c r="BM402" s="450"/>
      <c r="BN402" s="450"/>
      <c r="BO402" s="450"/>
      <c r="BP402" s="450"/>
      <c r="BQ402" s="450"/>
      <c r="BR402" s="450"/>
      <c r="BS402" s="450"/>
      <c r="BT402" s="450"/>
      <c r="BU402" s="450"/>
      <c r="BV402" s="450"/>
      <c r="BW402" s="450"/>
      <c r="BX402" s="450"/>
      <c r="BY402" s="450"/>
      <c r="BZ402" s="450"/>
      <c r="CA402" s="450"/>
      <c r="CB402" s="450"/>
      <c r="CC402" s="450"/>
      <c r="CD402" s="450"/>
      <c r="CE402" s="450"/>
      <c r="CF402" s="450"/>
      <c r="CG402" s="450"/>
      <c r="CH402" s="450"/>
    </row>
    <row r="403">
      <c r="A403" s="450"/>
      <c r="B403" s="498"/>
      <c r="C403" s="455"/>
      <c r="D403" s="450"/>
      <c r="E403" s="450"/>
      <c r="F403" s="450"/>
      <c r="G403" s="450"/>
      <c r="H403" s="450"/>
      <c r="I403" s="450"/>
      <c r="J403" s="450"/>
      <c r="K403" s="450"/>
      <c r="L403" s="450"/>
      <c r="M403" s="450"/>
      <c r="N403" s="450"/>
      <c r="O403" s="450"/>
      <c r="P403" s="450"/>
      <c r="Q403" s="450"/>
      <c r="R403" s="450"/>
      <c r="S403" s="450"/>
      <c r="T403" s="450"/>
      <c r="U403" s="450"/>
      <c r="V403" s="450"/>
      <c r="W403" s="450"/>
      <c r="X403" s="450"/>
      <c r="Y403" s="450"/>
      <c r="Z403" s="450"/>
      <c r="AA403" s="450"/>
      <c r="AB403" s="450"/>
      <c r="AC403" s="450"/>
      <c r="AD403" s="450"/>
      <c r="AE403" s="450"/>
      <c r="AF403" s="450"/>
      <c r="AG403" s="450"/>
      <c r="AH403" s="450"/>
      <c r="AI403" s="450"/>
      <c r="AJ403" s="450"/>
      <c r="AK403" s="450"/>
      <c r="AL403" s="450"/>
      <c r="AM403" s="450"/>
      <c r="AN403" s="450"/>
      <c r="AO403" s="450"/>
      <c r="AP403" s="450"/>
      <c r="AQ403" s="450"/>
      <c r="AR403" s="450"/>
      <c r="AS403" s="450"/>
      <c r="AT403" s="450"/>
      <c r="AU403" s="450"/>
      <c r="AV403" s="450"/>
      <c r="AW403" s="450"/>
      <c r="AX403" s="450"/>
      <c r="AY403" s="450"/>
      <c r="AZ403" s="450"/>
      <c r="BA403" s="450"/>
      <c r="BB403" s="450"/>
      <c r="BC403" s="450"/>
      <c r="BD403" s="450"/>
      <c r="BE403" s="450"/>
      <c r="BF403" s="450"/>
      <c r="BG403" s="450"/>
      <c r="BH403" s="450"/>
      <c r="BI403" s="450"/>
      <c r="BJ403" s="450"/>
      <c r="BK403" s="450"/>
      <c r="BL403" s="450"/>
      <c r="BM403" s="450"/>
      <c r="BN403" s="450"/>
      <c r="BO403" s="450"/>
      <c r="BP403" s="450"/>
      <c r="BQ403" s="450"/>
      <c r="BR403" s="450"/>
      <c r="BS403" s="450"/>
      <c r="BT403" s="450"/>
      <c r="BU403" s="450"/>
      <c r="BV403" s="450"/>
      <c r="BW403" s="450"/>
      <c r="BX403" s="450"/>
      <c r="BY403" s="450"/>
      <c r="BZ403" s="450"/>
      <c r="CA403" s="450"/>
      <c r="CB403" s="450"/>
      <c r="CC403" s="450"/>
      <c r="CD403" s="450"/>
      <c r="CE403" s="450"/>
      <c r="CF403" s="450"/>
      <c r="CG403" s="450"/>
      <c r="CH403" s="450"/>
    </row>
    <row r="404">
      <c r="A404" s="450"/>
      <c r="B404" s="498"/>
      <c r="C404" s="455"/>
      <c r="D404" s="450"/>
      <c r="E404" s="450"/>
      <c r="F404" s="450"/>
      <c r="G404" s="450"/>
      <c r="H404" s="450"/>
      <c r="I404" s="450"/>
      <c r="J404" s="450"/>
      <c r="K404" s="450"/>
      <c r="L404" s="450"/>
      <c r="M404" s="450"/>
      <c r="N404" s="450"/>
      <c r="O404" s="450"/>
      <c r="P404" s="450"/>
      <c r="Q404" s="450"/>
      <c r="R404" s="450"/>
      <c r="S404" s="450"/>
      <c r="T404" s="450"/>
      <c r="U404" s="450"/>
      <c r="V404" s="450"/>
      <c r="W404" s="450"/>
      <c r="X404" s="450"/>
      <c r="Y404" s="450"/>
      <c r="Z404" s="450"/>
      <c r="AA404" s="450"/>
      <c r="AB404" s="450"/>
      <c r="AC404" s="450"/>
      <c r="AD404" s="450"/>
      <c r="AE404" s="450"/>
      <c r="AF404" s="450"/>
      <c r="AG404" s="450"/>
      <c r="AH404" s="450"/>
      <c r="AI404" s="450"/>
      <c r="AJ404" s="450"/>
      <c r="AK404" s="450"/>
      <c r="AL404" s="450"/>
      <c r="AM404" s="450"/>
      <c r="AN404" s="450"/>
      <c r="AO404" s="450"/>
      <c r="AP404" s="450"/>
      <c r="AQ404" s="450"/>
      <c r="AR404" s="450"/>
      <c r="AS404" s="450"/>
      <c r="AT404" s="450"/>
      <c r="AU404" s="450"/>
      <c r="AV404" s="450"/>
      <c r="AW404" s="450"/>
      <c r="AX404" s="450"/>
      <c r="AY404" s="450"/>
      <c r="AZ404" s="450"/>
      <c r="BA404" s="450"/>
      <c r="BB404" s="450"/>
      <c r="BC404" s="450"/>
      <c r="BD404" s="450"/>
      <c r="BE404" s="450"/>
      <c r="BF404" s="450"/>
      <c r="BG404" s="450"/>
      <c r="BH404" s="450"/>
      <c r="BI404" s="450"/>
      <c r="BJ404" s="450"/>
      <c r="BK404" s="450"/>
      <c r="BL404" s="450"/>
      <c r="BM404" s="450"/>
      <c r="BN404" s="450"/>
      <c r="BO404" s="450"/>
      <c r="BP404" s="450"/>
      <c r="BQ404" s="450"/>
      <c r="BR404" s="450"/>
      <c r="BS404" s="450"/>
      <c r="BT404" s="450"/>
      <c r="BU404" s="450"/>
      <c r="BV404" s="450"/>
      <c r="BW404" s="450"/>
      <c r="BX404" s="450"/>
      <c r="BY404" s="450"/>
      <c r="BZ404" s="450"/>
      <c r="CA404" s="450"/>
      <c r="CB404" s="450"/>
      <c r="CC404" s="450"/>
      <c r="CD404" s="450"/>
      <c r="CE404" s="450"/>
      <c r="CF404" s="450"/>
      <c r="CG404" s="450"/>
      <c r="CH404" s="450"/>
    </row>
    <row r="405">
      <c r="A405" s="450"/>
      <c r="B405" s="498"/>
      <c r="C405" s="455"/>
      <c r="D405" s="450"/>
      <c r="E405" s="450"/>
      <c r="F405" s="450"/>
      <c r="G405" s="450"/>
      <c r="H405" s="450"/>
      <c r="I405" s="450"/>
      <c r="J405" s="450"/>
      <c r="K405" s="450"/>
      <c r="L405" s="450"/>
      <c r="M405" s="450"/>
      <c r="N405" s="450"/>
      <c r="O405" s="450"/>
      <c r="P405" s="450"/>
      <c r="Q405" s="450"/>
      <c r="R405" s="450"/>
      <c r="S405" s="450"/>
      <c r="T405" s="450"/>
      <c r="U405" s="450"/>
      <c r="V405" s="450"/>
      <c r="W405" s="450"/>
      <c r="X405" s="450"/>
      <c r="Y405" s="450"/>
      <c r="Z405" s="450"/>
      <c r="AA405" s="450"/>
      <c r="AB405" s="450"/>
      <c r="AC405" s="450"/>
      <c r="AD405" s="450"/>
      <c r="AE405" s="450"/>
      <c r="AF405" s="450"/>
      <c r="AG405" s="450"/>
      <c r="AH405" s="450"/>
      <c r="AI405" s="450"/>
      <c r="AJ405" s="450"/>
      <c r="AK405" s="450"/>
      <c r="AL405" s="450"/>
      <c r="AM405" s="450"/>
      <c r="AN405" s="450"/>
      <c r="AO405" s="450"/>
      <c r="AP405" s="450"/>
      <c r="AQ405" s="450"/>
      <c r="AR405" s="450"/>
      <c r="AS405" s="450"/>
      <c r="AT405" s="450"/>
      <c r="AU405" s="450"/>
      <c r="AV405" s="450"/>
      <c r="AW405" s="450"/>
      <c r="AX405" s="450"/>
      <c r="AY405" s="450"/>
      <c r="AZ405" s="450"/>
      <c r="BA405" s="450"/>
      <c r="BB405" s="450"/>
      <c r="BC405" s="450"/>
      <c r="BD405" s="450"/>
      <c r="BE405" s="450"/>
      <c r="BF405" s="450"/>
      <c r="BG405" s="450"/>
      <c r="BH405" s="450"/>
      <c r="BI405" s="450"/>
      <c r="BJ405" s="450"/>
      <c r="BK405" s="450"/>
      <c r="BL405" s="450"/>
      <c r="BM405" s="450"/>
      <c r="BN405" s="450"/>
      <c r="BO405" s="450"/>
      <c r="BP405" s="450"/>
      <c r="BQ405" s="450"/>
      <c r="BR405" s="450"/>
      <c r="BS405" s="450"/>
      <c r="BT405" s="450"/>
      <c r="BU405" s="450"/>
      <c r="BV405" s="450"/>
      <c r="BW405" s="450"/>
      <c r="BX405" s="450"/>
      <c r="BY405" s="450"/>
      <c r="BZ405" s="450"/>
      <c r="CA405" s="450"/>
      <c r="CB405" s="450"/>
      <c r="CC405" s="450"/>
      <c r="CD405" s="450"/>
      <c r="CE405" s="450"/>
      <c r="CF405" s="450"/>
      <c r="CG405" s="450"/>
      <c r="CH405" s="450"/>
    </row>
    <row r="406">
      <c r="A406" s="450"/>
      <c r="B406" s="498"/>
      <c r="C406" s="455"/>
      <c r="D406" s="450"/>
      <c r="E406" s="450"/>
      <c r="F406" s="450"/>
      <c r="G406" s="450"/>
      <c r="H406" s="450"/>
      <c r="I406" s="450"/>
      <c r="J406" s="450"/>
      <c r="K406" s="450"/>
      <c r="L406" s="450"/>
      <c r="M406" s="450"/>
      <c r="N406" s="450"/>
      <c r="O406" s="450"/>
      <c r="P406" s="450"/>
      <c r="Q406" s="450"/>
      <c r="R406" s="450"/>
      <c r="S406" s="450"/>
      <c r="T406" s="450"/>
      <c r="U406" s="450"/>
      <c r="V406" s="450"/>
      <c r="W406" s="450"/>
      <c r="X406" s="450"/>
      <c r="Y406" s="450"/>
      <c r="Z406" s="450"/>
      <c r="AA406" s="450"/>
      <c r="AB406" s="450"/>
      <c r="AC406" s="450"/>
      <c r="AD406" s="450"/>
      <c r="AE406" s="450"/>
      <c r="AF406" s="450"/>
      <c r="AG406" s="450"/>
      <c r="AH406" s="450"/>
      <c r="AI406" s="450"/>
      <c r="AJ406" s="450"/>
      <c r="AK406" s="450"/>
      <c r="AL406" s="450"/>
      <c r="AM406" s="450"/>
      <c r="AN406" s="450"/>
      <c r="AO406" s="450"/>
      <c r="AP406" s="450"/>
      <c r="AQ406" s="450"/>
      <c r="AR406" s="450"/>
      <c r="AS406" s="450"/>
      <c r="AT406" s="450"/>
      <c r="AU406" s="450"/>
      <c r="AV406" s="450"/>
      <c r="AW406" s="450"/>
      <c r="AX406" s="450"/>
      <c r="AY406" s="450"/>
      <c r="AZ406" s="450"/>
      <c r="BA406" s="450"/>
      <c r="BB406" s="450"/>
      <c r="BC406" s="450"/>
      <c r="BD406" s="450"/>
      <c r="BE406" s="450"/>
      <c r="BF406" s="450"/>
      <c r="BG406" s="450"/>
      <c r="BH406" s="450"/>
      <c r="BI406" s="450"/>
      <c r="BJ406" s="450"/>
      <c r="BK406" s="450"/>
      <c r="BL406" s="450"/>
      <c r="BM406" s="450"/>
      <c r="BN406" s="450"/>
      <c r="BO406" s="450"/>
      <c r="BP406" s="450"/>
      <c r="BQ406" s="450"/>
      <c r="BR406" s="450"/>
      <c r="BS406" s="450"/>
      <c r="BT406" s="450"/>
      <c r="BU406" s="450"/>
      <c r="BV406" s="450"/>
      <c r="BW406" s="450"/>
      <c r="BX406" s="450"/>
      <c r="BY406" s="450"/>
      <c r="BZ406" s="450"/>
      <c r="CA406" s="450"/>
      <c r="CB406" s="450"/>
      <c r="CC406" s="450"/>
      <c r="CD406" s="450"/>
      <c r="CE406" s="450"/>
      <c r="CF406" s="450"/>
      <c r="CG406" s="450"/>
      <c r="CH406" s="450"/>
    </row>
    <row r="407">
      <c r="A407" s="450"/>
      <c r="B407" s="498"/>
      <c r="C407" s="455"/>
      <c r="D407" s="450"/>
      <c r="E407" s="450"/>
      <c r="F407" s="450"/>
      <c r="G407" s="450"/>
      <c r="H407" s="450"/>
      <c r="I407" s="450"/>
      <c r="J407" s="450"/>
      <c r="K407" s="450"/>
      <c r="L407" s="450"/>
      <c r="M407" s="450"/>
      <c r="N407" s="450"/>
      <c r="O407" s="450"/>
      <c r="P407" s="450"/>
      <c r="Q407" s="450"/>
      <c r="R407" s="450"/>
      <c r="S407" s="450"/>
      <c r="T407" s="450"/>
      <c r="U407" s="450"/>
      <c r="V407" s="450"/>
      <c r="W407" s="450"/>
      <c r="X407" s="450"/>
      <c r="Y407" s="450"/>
      <c r="Z407" s="450"/>
      <c r="AA407" s="450"/>
      <c r="AB407" s="450"/>
      <c r="AC407" s="450"/>
      <c r="AD407" s="450"/>
      <c r="AE407" s="450"/>
      <c r="AF407" s="450"/>
      <c r="AG407" s="450"/>
      <c r="AH407" s="450"/>
      <c r="AI407" s="450"/>
      <c r="AJ407" s="450"/>
      <c r="AK407" s="450"/>
      <c r="AL407" s="450"/>
      <c r="AM407" s="450"/>
      <c r="AN407" s="450"/>
      <c r="AO407" s="450"/>
      <c r="AP407" s="450"/>
      <c r="AQ407" s="450"/>
      <c r="AR407" s="450"/>
      <c r="AS407" s="450"/>
      <c r="AT407" s="450"/>
      <c r="AU407" s="450"/>
      <c r="AV407" s="450"/>
      <c r="AW407" s="450"/>
      <c r="AX407" s="450"/>
      <c r="AY407" s="450"/>
      <c r="AZ407" s="450"/>
      <c r="BA407" s="450"/>
      <c r="BB407" s="450"/>
      <c r="BC407" s="450"/>
      <c r="BD407" s="450"/>
      <c r="BE407" s="450"/>
      <c r="BF407" s="450"/>
      <c r="BG407" s="450"/>
      <c r="BH407" s="450"/>
      <c r="BI407" s="450"/>
      <c r="BJ407" s="450"/>
      <c r="BK407" s="450"/>
      <c r="BL407" s="450"/>
      <c r="BM407" s="450"/>
      <c r="BN407" s="450"/>
      <c r="BO407" s="450"/>
      <c r="BP407" s="450"/>
      <c r="BQ407" s="450"/>
      <c r="BR407" s="450"/>
      <c r="BS407" s="450"/>
      <c r="BT407" s="450"/>
      <c r="BU407" s="450"/>
      <c r="BV407" s="450"/>
      <c r="BW407" s="450"/>
      <c r="BX407" s="450"/>
      <c r="BY407" s="450"/>
      <c r="BZ407" s="450"/>
      <c r="CA407" s="450"/>
      <c r="CB407" s="450"/>
      <c r="CC407" s="450"/>
      <c r="CD407" s="450"/>
      <c r="CE407" s="450"/>
      <c r="CF407" s="450"/>
      <c r="CG407" s="450"/>
      <c r="CH407" s="450"/>
    </row>
    <row r="408">
      <c r="A408" s="450"/>
      <c r="B408" s="498"/>
      <c r="C408" s="455"/>
      <c r="D408" s="450"/>
      <c r="E408" s="450"/>
      <c r="F408" s="450"/>
      <c r="G408" s="450"/>
      <c r="H408" s="450"/>
      <c r="I408" s="450"/>
      <c r="J408" s="450"/>
      <c r="K408" s="450"/>
      <c r="L408" s="450"/>
      <c r="M408" s="450"/>
      <c r="N408" s="450"/>
      <c r="O408" s="450"/>
      <c r="P408" s="450"/>
      <c r="Q408" s="450"/>
      <c r="R408" s="450"/>
      <c r="S408" s="450"/>
      <c r="T408" s="450"/>
      <c r="U408" s="450"/>
      <c r="V408" s="450"/>
      <c r="W408" s="450"/>
      <c r="X408" s="450"/>
      <c r="Y408" s="450"/>
      <c r="Z408" s="450"/>
      <c r="AA408" s="450"/>
      <c r="AB408" s="450"/>
      <c r="AC408" s="450"/>
      <c r="AD408" s="450"/>
      <c r="AE408" s="450"/>
      <c r="AF408" s="450"/>
      <c r="AG408" s="450"/>
      <c r="AH408" s="450"/>
      <c r="AI408" s="450"/>
      <c r="AJ408" s="450"/>
      <c r="AK408" s="450"/>
      <c r="AL408" s="450"/>
      <c r="AM408" s="450"/>
      <c r="AN408" s="450"/>
      <c r="AO408" s="450"/>
      <c r="AP408" s="450"/>
      <c r="AQ408" s="450"/>
      <c r="AR408" s="450"/>
      <c r="AS408" s="450"/>
      <c r="AT408" s="450"/>
      <c r="AU408" s="450"/>
      <c r="AV408" s="450"/>
      <c r="AW408" s="450"/>
      <c r="AX408" s="450"/>
      <c r="AY408" s="450"/>
      <c r="AZ408" s="450"/>
      <c r="BA408" s="450"/>
      <c r="BB408" s="450"/>
      <c r="BC408" s="450"/>
      <c r="BD408" s="450"/>
      <c r="BE408" s="450"/>
      <c r="BF408" s="450"/>
      <c r="BG408" s="450"/>
      <c r="BH408" s="450"/>
      <c r="BI408" s="450"/>
      <c r="BJ408" s="450"/>
      <c r="BK408" s="450"/>
      <c r="BL408" s="450"/>
      <c r="BM408" s="450"/>
      <c r="BN408" s="450"/>
      <c r="BO408" s="450"/>
      <c r="BP408" s="450"/>
      <c r="BQ408" s="450"/>
      <c r="BR408" s="450"/>
      <c r="BS408" s="450"/>
      <c r="BT408" s="450"/>
      <c r="BU408" s="450"/>
      <c r="BV408" s="450"/>
      <c r="BW408" s="450"/>
      <c r="BX408" s="450"/>
      <c r="BY408" s="450"/>
      <c r="BZ408" s="450"/>
      <c r="CA408" s="450"/>
      <c r="CB408" s="450"/>
      <c r="CC408" s="450"/>
      <c r="CD408" s="450"/>
      <c r="CE408" s="450"/>
      <c r="CF408" s="450"/>
      <c r="CG408" s="450"/>
      <c r="CH408" s="450"/>
    </row>
    <row r="409">
      <c r="A409" s="450"/>
      <c r="B409" s="498"/>
      <c r="C409" s="455"/>
      <c r="D409" s="450"/>
      <c r="E409" s="450"/>
      <c r="F409" s="450"/>
      <c r="G409" s="450"/>
      <c r="H409" s="450"/>
      <c r="I409" s="450"/>
      <c r="J409" s="450"/>
      <c r="K409" s="450"/>
      <c r="L409" s="450"/>
      <c r="M409" s="450"/>
      <c r="N409" s="450"/>
      <c r="O409" s="450"/>
      <c r="P409" s="450"/>
      <c r="Q409" s="450"/>
      <c r="R409" s="450"/>
      <c r="S409" s="450"/>
      <c r="T409" s="450"/>
      <c r="U409" s="450"/>
      <c r="V409" s="450"/>
      <c r="W409" s="450"/>
      <c r="X409" s="450"/>
      <c r="Y409" s="450"/>
      <c r="Z409" s="450"/>
      <c r="AA409" s="450"/>
      <c r="AB409" s="450"/>
      <c r="AC409" s="450"/>
      <c r="AD409" s="450"/>
      <c r="AE409" s="450"/>
      <c r="AF409" s="450"/>
      <c r="AG409" s="450"/>
      <c r="AH409" s="450"/>
      <c r="AI409" s="450"/>
      <c r="AJ409" s="450"/>
      <c r="AK409" s="450"/>
      <c r="AL409" s="450"/>
      <c r="AM409" s="450"/>
      <c r="AN409" s="450"/>
      <c r="AO409" s="450"/>
      <c r="AP409" s="450"/>
      <c r="AQ409" s="450"/>
      <c r="AR409" s="450"/>
      <c r="AS409" s="450"/>
      <c r="AT409" s="450"/>
      <c r="AU409" s="450"/>
      <c r="AV409" s="450"/>
      <c r="AW409" s="450"/>
      <c r="AX409" s="450"/>
      <c r="AY409" s="450"/>
      <c r="AZ409" s="450"/>
      <c r="BA409" s="450"/>
      <c r="BB409" s="450"/>
      <c r="BC409" s="450"/>
      <c r="BD409" s="450"/>
      <c r="BE409" s="450"/>
      <c r="BF409" s="450"/>
      <c r="BG409" s="450"/>
      <c r="BH409" s="450"/>
      <c r="BI409" s="450"/>
      <c r="BJ409" s="450"/>
      <c r="BK409" s="450"/>
      <c r="BL409" s="450"/>
      <c r="BM409" s="450"/>
      <c r="BN409" s="450"/>
      <c r="BO409" s="450"/>
      <c r="BP409" s="450"/>
      <c r="BQ409" s="450"/>
      <c r="BR409" s="450"/>
      <c r="BS409" s="450"/>
      <c r="BT409" s="450"/>
      <c r="BU409" s="450"/>
      <c r="BV409" s="450"/>
      <c r="BW409" s="450"/>
      <c r="BX409" s="450"/>
      <c r="BY409" s="450"/>
      <c r="BZ409" s="450"/>
      <c r="CA409" s="450"/>
      <c r="CB409" s="450"/>
      <c r="CC409" s="450"/>
      <c r="CD409" s="450"/>
      <c r="CE409" s="450"/>
      <c r="CF409" s="450"/>
      <c r="CG409" s="450"/>
      <c r="CH409" s="450"/>
    </row>
    <row r="410">
      <c r="A410" s="450"/>
      <c r="B410" s="498"/>
      <c r="C410" s="455"/>
      <c r="D410" s="450"/>
      <c r="E410" s="450"/>
      <c r="F410" s="450"/>
      <c r="G410" s="450"/>
      <c r="H410" s="450"/>
      <c r="I410" s="450"/>
      <c r="J410" s="450"/>
      <c r="K410" s="450"/>
      <c r="L410" s="450"/>
      <c r="M410" s="450"/>
      <c r="N410" s="450"/>
      <c r="O410" s="450"/>
      <c r="P410" s="450"/>
      <c r="Q410" s="450"/>
      <c r="R410" s="450"/>
      <c r="S410" s="450"/>
      <c r="T410" s="450"/>
      <c r="U410" s="450"/>
      <c r="V410" s="450"/>
      <c r="W410" s="450"/>
      <c r="X410" s="450"/>
      <c r="Y410" s="450"/>
      <c r="Z410" s="450"/>
      <c r="AA410" s="450"/>
      <c r="AB410" s="450"/>
      <c r="AC410" s="450"/>
      <c r="AD410" s="450"/>
      <c r="AE410" s="450"/>
      <c r="AF410" s="450"/>
      <c r="AG410" s="450"/>
      <c r="AH410" s="450"/>
      <c r="AI410" s="450"/>
      <c r="AJ410" s="450"/>
      <c r="AK410" s="450"/>
      <c r="AL410" s="450"/>
      <c r="AM410" s="450"/>
      <c r="AN410" s="450"/>
      <c r="AO410" s="450"/>
      <c r="AP410" s="450"/>
      <c r="AQ410" s="450"/>
      <c r="AR410" s="450"/>
      <c r="AS410" s="450"/>
      <c r="AT410" s="450"/>
      <c r="AU410" s="450"/>
      <c r="AV410" s="450"/>
      <c r="AW410" s="450"/>
      <c r="AX410" s="450"/>
      <c r="AY410" s="450"/>
      <c r="AZ410" s="450"/>
      <c r="BA410" s="450"/>
      <c r="BB410" s="450"/>
      <c r="BC410" s="450"/>
      <c r="BD410" s="450"/>
      <c r="BE410" s="450"/>
      <c r="BF410" s="450"/>
      <c r="BG410" s="450"/>
      <c r="BH410" s="450"/>
      <c r="BI410" s="450"/>
      <c r="BJ410" s="450"/>
      <c r="BK410" s="450"/>
      <c r="BL410" s="450"/>
      <c r="BM410" s="450"/>
      <c r="BN410" s="450"/>
      <c r="BO410" s="450"/>
      <c r="BP410" s="450"/>
      <c r="BQ410" s="450"/>
      <c r="BR410" s="450"/>
      <c r="BS410" s="450"/>
      <c r="BT410" s="450"/>
      <c r="BU410" s="450"/>
      <c r="BV410" s="450"/>
      <c r="BW410" s="450"/>
      <c r="BX410" s="450"/>
      <c r="BY410" s="450"/>
      <c r="BZ410" s="450"/>
      <c r="CA410" s="450"/>
      <c r="CB410" s="450"/>
      <c r="CC410" s="450"/>
      <c r="CD410" s="450"/>
      <c r="CE410" s="450"/>
      <c r="CF410" s="450"/>
      <c r="CG410" s="450"/>
      <c r="CH410" s="450"/>
    </row>
    <row r="411">
      <c r="A411" s="450"/>
      <c r="B411" s="498"/>
      <c r="C411" s="455"/>
      <c r="D411" s="450"/>
      <c r="E411" s="450"/>
      <c r="F411" s="450"/>
      <c r="G411" s="450"/>
      <c r="H411" s="450"/>
      <c r="I411" s="450"/>
      <c r="J411" s="450"/>
      <c r="K411" s="450"/>
      <c r="L411" s="450"/>
      <c r="M411" s="450"/>
      <c r="N411" s="450"/>
      <c r="O411" s="450"/>
      <c r="P411" s="450"/>
      <c r="Q411" s="450"/>
      <c r="R411" s="450"/>
      <c r="S411" s="450"/>
      <c r="T411" s="450"/>
      <c r="U411" s="450"/>
      <c r="V411" s="450"/>
      <c r="W411" s="450"/>
      <c r="X411" s="450"/>
      <c r="Y411" s="450"/>
      <c r="Z411" s="450"/>
      <c r="AA411" s="450"/>
      <c r="AB411" s="450"/>
      <c r="AC411" s="450"/>
      <c r="AD411" s="450"/>
      <c r="AE411" s="450"/>
      <c r="AF411" s="450"/>
      <c r="AG411" s="450"/>
      <c r="AH411" s="450"/>
      <c r="AI411" s="450"/>
      <c r="AJ411" s="450"/>
      <c r="AK411" s="450"/>
      <c r="AL411" s="450"/>
      <c r="AM411" s="450"/>
      <c r="AN411" s="450"/>
      <c r="AO411" s="450"/>
      <c r="AP411" s="450"/>
      <c r="AQ411" s="450"/>
      <c r="AR411" s="450"/>
      <c r="AS411" s="450"/>
      <c r="AT411" s="450"/>
      <c r="AU411" s="450"/>
      <c r="AV411" s="450"/>
      <c r="AW411" s="450"/>
      <c r="AX411" s="450"/>
      <c r="AY411" s="450"/>
      <c r="AZ411" s="450"/>
      <c r="BA411" s="450"/>
      <c r="BB411" s="450"/>
      <c r="BC411" s="450"/>
      <c r="BD411" s="450"/>
      <c r="BE411" s="450"/>
      <c r="BF411" s="450"/>
      <c r="BG411" s="450"/>
      <c r="BH411" s="450"/>
      <c r="BI411" s="450"/>
      <c r="BJ411" s="450"/>
      <c r="BK411" s="450"/>
      <c r="BL411" s="450"/>
      <c r="BM411" s="450"/>
      <c r="BN411" s="450"/>
      <c r="BO411" s="450"/>
      <c r="BP411" s="450"/>
      <c r="BQ411" s="450"/>
      <c r="BR411" s="450"/>
      <c r="BS411" s="450"/>
      <c r="BT411" s="450"/>
      <c r="BU411" s="450"/>
      <c r="BV411" s="450"/>
      <c r="BW411" s="450"/>
      <c r="BX411" s="450"/>
      <c r="BY411" s="450"/>
      <c r="BZ411" s="450"/>
      <c r="CA411" s="450"/>
      <c r="CB411" s="450"/>
      <c r="CC411" s="450"/>
      <c r="CD411" s="450"/>
      <c r="CE411" s="450"/>
      <c r="CF411" s="450"/>
      <c r="CG411" s="450"/>
      <c r="CH411" s="450"/>
    </row>
    <row r="412">
      <c r="A412" s="450"/>
      <c r="B412" s="498"/>
      <c r="C412" s="455"/>
      <c r="D412" s="450"/>
      <c r="E412" s="450"/>
      <c r="F412" s="450"/>
      <c r="G412" s="450"/>
      <c r="H412" s="450"/>
      <c r="I412" s="450"/>
      <c r="J412" s="450"/>
      <c r="K412" s="450"/>
      <c r="L412" s="450"/>
      <c r="M412" s="450"/>
      <c r="N412" s="450"/>
      <c r="O412" s="450"/>
      <c r="P412" s="450"/>
      <c r="Q412" s="450"/>
      <c r="R412" s="450"/>
      <c r="S412" s="450"/>
      <c r="T412" s="450"/>
      <c r="U412" s="450"/>
      <c r="V412" s="450"/>
      <c r="W412" s="450"/>
      <c r="X412" s="450"/>
      <c r="Y412" s="450"/>
      <c r="Z412" s="450"/>
      <c r="AA412" s="450"/>
      <c r="AB412" s="450"/>
      <c r="AC412" s="450"/>
      <c r="AD412" s="450"/>
      <c r="AE412" s="450"/>
      <c r="AF412" s="450"/>
      <c r="AG412" s="450"/>
      <c r="AH412" s="450"/>
      <c r="AI412" s="450"/>
      <c r="AJ412" s="450"/>
      <c r="AK412" s="450"/>
      <c r="AL412" s="450"/>
      <c r="AM412" s="450"/>
      <c r="AN412" s="450"/>
      <c r="AO412" s="450"/>
      <c r="AP412" s="450"/>
      <c r="AQ412" s="450"/>
      <c r="AR412" s="450"/>
      <c r="AS412" s="450"/>
      <c r="AT412" s="450"/>
      <c r="AU412" s="450"/>
      <c r="AV412" s="450"/>
      <c r="AW412" s="450"/>
      <c r="AX412" s="450"/>
      <c r="AY412" s="450"/>
      <c r="AZ412" s="450"/>
      <c r="BA412" s="450"/>
      <c r="BB412" s="450"/>
      <c r="BC412" s="450"/>
      <c r="BD412" s="450"/>
      <c r="BE412" s="450"/>
      <c r="BF412" s="450"/>
      <c r="BG412" s="450"/>
      <c r="BH412" s="450"/>
      <c r="BI412" s="450"/>
      <c r="BJ412" s="450"/>
      <c r="BK412" s="450"/>
      <c r="BL412" s="450"/>
      <c r="BM412" s="450"/>
      <c r="BN412" s="450"/>
      <c r="BO412" s="450"/>
      <c r="BP412" s="450"/>
      <c r="BQ412" s="450"/>
      <c r="BR412" s="450"/>
      <c r="BS412" s="450"/>
      <c r="BT412" s="450"/>
      <c r="BU412" s="450"/>
      <c r="BV412" s="450"/>
      <c r="BW412" s="450"/>
      <c r="BX412" s="450"/>
      <c r="BY412" s="450"/>
      <c r="BZ412" s="450"/>
      <c r="CA412" s="450"/>
      <c r="CB412" s="450"/>
      <c r="CC412" s="450"/>
      <c r="CD412" s="450"/>
      <c r="CE412" s="450"/>
      <c r="CF412" s="450"/>
      <c r="CG412" s="450"/>
      <c r="CH412" s="450"/>
    </row>
    <row r="413">
      <c r="A413" s="450"/>
      <c r="B413" s="498"/>
      <c r="C413" s="455"/>
      <c r="D413" s="450"/>
      <c r="E413" s="450"/>
      <c r="F413" s="450"/>
      <c r="G413" s="450"/>
      <c r="H413" s="450"/>
      <c r="I413" s="450"/>
      <c r="J413" s="450"/>
      <c r="K413" s="450"/>
      <c r="L413" s="450"/>
      <c r="M413" s="450"/>
      <c r="N413" s="450"/>
      <c r="O413" s="450"/>
      <c r="P413" s="450"/>
      <c r="Q413" s="450"/>
      <c r="R413" s="450"/>
      <c r="S413" s="450"/>
      <c r="T413" s="450"/>
      <c r="U413" s="450"/>
      <c r="V413" s="450"/>
      <c r="W413" s="450"/>
      <c r="X413" s="450"/>
      <c r="Y413" s="450"/>
      <c r="Z413" s="450"/>
      <c r="AA413" s="450"/>
      <c r="AB413" s="450"/>
      <c r="AC413" s="450"/>
      <c r="AD413" s="450"/>
      <c r="AE413" s="450"/>
      <c r="AF413" s="450"/>
      <c r="AG413" s="450"/>
      <c r="AH413" s="450"/>
      <c r="AI413" s="450"/>
      <c r="AJ413" s="450"/>
      <c r="AK413" s="450"/>
      <c r="AL413" s="450"/>
      <c r="AM413" s="450"/>
      <c r="AN413" s="450"/>
      <c r="AO413" s="450"/>
      <c r="AP413" s="450"/>
      <c r="AQ413" s="450"/>
      <c r="AR413" s="450"/>
      <c r="AS413" s="450"/>
      <c r="AT413" s="450"/>
      <c r="AU413" s="450"/>
      <c r="AV413" s="450"/>
      <c r="AW413" s="450"/>
      <c r="AX413" s="450"/>
      <c r="AY413" s="450"/>
      <c r="AZ413" s="450"/>
      <c r="BA413" s="450"/>
      <c r="BB413" s="450"/>
      <c r="BC413" s="450"/>
      <c r="BD413" s="450"/>
      <c r="BE413" s="450"/>
      <c r="BF413" s="450"/>
      <c r="BG413" s="450"/>
      <c r="BH413" s="450"/>
      <c r="BI413" s="450"/>
      <c r="BJ413" s="450"/>
      <c r="BK413" s="450"/>
      <c r="BL413" s="450"/>
      <c r="BM413" s="450"/>
      <c r="BN413" s="450"/>
      <c r="BO413" s="450"/>
      <c r="BP413" s="450"/>
      <c r="BQ413" s="450"/>
      <c r="BR413" s="450"/>
      <c r="BS413" s="450"/>
      <c r="BT413" s="450"/>
      <c r="BU413" s="450"/>
      <c r="BV413" s="450"/>
      <c r="BW413" s="450"/>
      <c r="BX413" s="450"/>
      <c r="BY413" s="450"/>
      <c r="BZ413" s="450"/>
      <c r="CA413" s="450"/>
      <c r="CB413" s="450"/>
      <c r="CC413" s="450"/>
      <c r="CD413" s="450"/>
      <c r="CE413" s="450"/>
      <c r="CF413" s="450"/>
      <c r="CG413" s="450"/>
      <c r="CH413" s="450"/>
    </row>
    <row r="414">
      <c r="A414" s="450"/>
      <c r="B414" s="498"/>
      <c r="C414" s="455"/>
      <c r="D414" s="450"/>
      <c r="E414" s="450"/>
      <c r="F414" s="450"/>
      <c r="G414" s="450"/>
      <c r="H414" s="450"/>
      <c r="I414" s="450"/>
      <c r="J414" s="450"/>
      <c r="K414" s="450"/>
      <c r="L414" s="450"/>
      <c r="M414" s="450"/>
      <c r="N414" s="450"/>
      <c r="O414" s="450"/>
      <c r="P414" s="450"/>
      <c r="Q414" s="450"/>
      <c r="R414" s="450"/>
      <c r="S414" s="450"/>
      <c r="T414" s="450"/>
      <c r="U414" s="450"/>
      <c r="V414" s="450"/>
      <c r="W414" s="450"/>
      <c r="X414" s="450"/>
      <c r="Y414" s="450"/>
      <c r="Z414" s="450"/>
      <c r="AA414" s="450"/>
      <c r="AB414" s="450"/>
      <c r="AC414" s="450"/>
      <c r="AD414" s="450"/>
      <c r="AE414" s="450"/>
      <c r="AF414" s="450"/>
      <c r="AG414" s="450"/>
      <c r="AH414" s="450"/>
      <c r="AI414" s="450"/>
      <c r="AJ414" s="450"/>
      <c r="AK414" s="450"/>
      <c r="AL414" s="450"/>
      <c r="AM414" s="450"/>
      <c r="AN414" s="450"/>
      <c r="AO414" s="450"/>
      <c r="AP414" s="450"/>
      <c r="AQ414" s="450"/>
      <c r="AR414" s="450"/>
      <c r="AS414" s="450"/>
      <c r="AT414" s="450"/>
      <c r="AU414" s="450"/>
      <c r="AV414" s="450"/>
      <c r="AW414" s="450"/>
      <c r="AX414" s="450"/>
      <c r="AY414" s="450"/>
      <c r="AZ414" s="450"/>
      <c r="BA414" s="450"/>
      <c r="BB414" s="450"/>
      <c r="BC414" s="450"/>
      <c r="BD414" s="450"/>
      <c r="BE414" s="450"/>
      <c r="BF414" s="450"/>
      <c r="BG414" s="450"/>
      <c r="BH414" s="450"/>
      <c r="BI414" s="450"/>
      <c r="BJ414" s="450"/>
      <c r="BK414" s="450"/>
      <c r="BL414" s="450"/>
      <c r="BM414" s="450"/>
      <c r="BN414" s="450"/>
      <c r="BO414" s="450"/>
      <c r="BP414" s="450"/>
      <c r="BQ414" s="450"/>
      <c r="BR414" s="450"/>
      <c r="BS414" s="450"/>
      <c r="BT414" s="450"/>
      <c r="BU414" s="450"/>
      <c r="BV414" s="450"/>
      <c r="BW414" s="450"/>
      <c r="BX414" s="450"/>
      <c r="BY414" s="450"/>
      <c r="BZ414" s="450"/>
      <c r="CA414" s="450"/>
      <c r="CB414" s="450"/>
      <c r="CC414" s="450"/>
      <c r="CD414" s="450"/>
      <c r="CE414" s="450"/>
      <c r="CF414" s="450"/>
      <c r="CG414" s="450"/>
      <c r="CH414" s="450"/>
    </row>
    <row r="415">
      <c r="A415" s="450"/>
      <c r="B415" s="498"/>
      <c r="C415" s="455"/>
      <c r="D415" s="450"/>
      <c r="E415" s="450"/>
      <c r="F415" s="450"/>
      <c r="G415" s="450"/>
      <c r="H415" s="450"/>
      <c r="I415" s="450"/>
      <c r="J415" s="450"/>
      <c r="K415" s="450"/>
      <c r="L415" s="450"/>
      <c r="M415" s="450"/>
      <c r="N415" s="450"/>
      <c r="O415" s="450"/>
      <c r="P415" s="450"/>
      <c r="Q415" s="450"/>
      <c r="R415" s="450"/>
      <c r="S415" s="450"/>
      <c r="T415" s="450"/>
      <c r="U415" s="450"/>
      <c r="V415" s="450"/>
      <c r="W415" s="450"/>
      <c r="X415" s="450"/>
      <c r="Y415" s="450"/>
      <c r="Z415" s="450"/>
      <c r="AA415" s="450"/>
      <c r="AB415" s="450"/>
      <c r="AC415" s="450"/>
      <c r="AD415" s="450"/>
      <c r="AE415" s="450"/>
      <c r="AF415" s="450"/>
      <c r="AG415" s="450"/>
      <c r="AH415" s="450"/>
      <c r="AI415" s="450"/>
      <c r="AJ415" s="450"/>
      <c r="AK415" s="450"/>
      <c r="AL415" s="450"/>
      <c r="AM415" s="450"/>
      <c r="AN415" s="450"/>
      <c r="AO415" s="450"/>
      <c r="AP415" s="450"/>
      <c r="AQ415" s="450"/>
      <c r="AR415" s="450"/>
      <c r="AS415" s="450"/>
      <c r="AT415" s="450"/>
      <c r="AU415" s="450"/>
      <c r="AV415" s="450"/>
      <c r="AW415" s="450"/>
      <c r="AX415" s="450"/>
      <c r="AY415" s="450"/>
      <c r="AZ415" s="450"/>
      <c r="BA415" s="450"/>
      <c r="BB415" s="450"/>
      <c r="BC415" s="450"/>
      <c r="BD415" s="450"/>
      <c r="BE415" s="450"/>
      <c r="BF415" s="450"/>
      <c r="BG415" s="450"/>
      <c r="BH415" s="450"/>
      <c r="BI415" s="450"/>
      <c r="BJ415" s="450"/>
      <c r="BK415" s="450"/>
      <c r="BL415" s="450"/>
      <c r="BM415" s="450"/>
      <c r="BN415" s="450"/>
      <c r="BO415" s="450"/>
      <c r="BP415" s="450"/>
      <c r="BQ415" s="450"/>
      <c r="BR415" s="450"/>
      <c r="BS415" s="450"/>
      <c r="BT415" s="450"/>
      <c r="BU415" s="450"/>
      <c r="BV415" s="450"/>
      <c r="BW415" s="450"/>
      <c r="BX415" s="450"/>
      <c r="BY415" s="450"/>
      <c r="BZ415" s="450"/>
      <c r="CA415" s="450"/>
      <c r="CB415" s="450"/>
      <c r="CC415" s="450"/>
      <c r="CD415" s="450"/>
      <c r="CE415" s="450"/>
      <c r="CF415" s="450"/>
      <c r="CG415" s="450"/>
      <c r="CH415" s="450"/>
    </row>
    <row r="416">
      <c r="A416" s="450"/>
      <c r="B416" s="498"/>
      <c r="C416" s="455"/>
      <c r="D416" s="450"/>
      <c r="E416" s="450"/>
      <c r="F416" s="450"/>
      <c r="G416" s="450"/>
      <c r="H416" s="450"/>
      <c r="I416" s="450"/>
      <c r="J416" s="450"/>
      <c r="K416" s="450"/>
      <c r="L416" s="450"/>
      <c r="M416" s="450"/>
      <c r="N416" s="450"/>
      <c r="O416" s="450"/>
      <c r="P416" s="450"/>
      <c r="Q416" s="450"/>
      <c r="R416" s="450"/>
      <c r="S416" s="450"/>
      <c r="T416" s="450"/>
      <c r="U416" s="450"/>
      <c r="V416" s="450"/>
      <c r="W416" s="450"/>
      <c r="X416" s="450"/>
      <c r="Y416" s="450"/>
      <c r="Z416" s="450"/>
      <c r="AA416" s="450"/>
      <c r="AB416" s="450"/>
      <c r="AC416" s="450"/>
      <c r="AD416" s="450"/>
      <c r="AE416" s="450"/>
      <c r="AF416" s="450"/>
      <c r="AG416" s="450"/>
      <c r="AH416" s="450"/>
      <c r="AI416" s="450"/>
      <c r="AJ416" s="450"/>
      <c r="AK416" s="450"/>
      <c r="AL416" s="450"/>
      <c r="AM416" s="450"/>
      <c r="AN416" s="450"/>
      <c r="AO416" s="450"/>
      <c r="AP416" s="450"/>
      <c r="AQ416" s="450"/>
      <c r="AR416" s="450"/>
      <c r="AS416" s="450"/>
      <c r="AT416" s="450"/>
      <c r="AU416" s="450"/>
      <c r="AV416" s="450"/>
      <c r="AW416" s="450"/>
      <c r="AX416" s="450"/>
      <c r="AY416" s="450"/>
      <c r="AZ416" s="450"/>
      <c r="BA416" s="450"/>
      <c r="BB416" s="450"/>
      <c r="BC416" s="450"/>
      <c r="BD416" s="450"/>
      <c r="BE416" s="450"/>
      <c r="BF416" s="450"/>
      <c r="BG416" s="450"/>
      <c r="BH416" s="450"/>
      <c r="BI416" s="450"/>
      <c r="BJ416" s="450"/>
      <c r="BK416" s="450"/>
      <c r="BL416" s="450"/>
      <c r="BM416" s="450"/>
      <c r="BN416" s="450"/>
      <c r="BO416" s="450"/>
      <c r="BP416" s="450"/>
      <c r="BQ416" s="450"/>
      <c r="BR416" s="450"/>
      <c r="BS416" s="450"/>
      <c r="BT416" s="450"/>
      <c r="BU416" s="450"/>
      <c r="BV416" s="450"/>
      <c r="BW416" s="450"/>
      <c r="BX416" s="450"/>
      <c r="BY416" s="450"/>
      <c r="BZ416" s="450"/>
      <c r="CA416" s="450"/>
      <c r="CB416" s="450"/>
      <c r="CC416" s="450"/>
      <c r="CD416" s="450"/>
      <c r="CE416" s="450"/>
      <c r="CF416" s="450"/>
      <c r="CG416" s="450"/>
      <c r="CH416" s="450"/>
    </row>
    <row r="417">
      <c r="A417" s="450"/>
      <c r="B417" s="498"/>
      <c r="C417" s="455"/>
      <c r="D417" s="450"/>
      <c r="E417" s="450"/>
      <c r="F417" s="450"/>
      <c r="G417" s="450"/>
      <c r="H417" s="450"/>
      <c r="I417" s="450"/>
      <c r="J417" s="450"/>
      <c r="K417" s="450"/>
      <c r="L417" s="450"/>
      <c r="M417" s="450"/>
      <c r="N417" s="450"/>
      <c r="O417" s="450"/>
      <c r="P417" s="450"/>
      <c r="Q417" s="450"/>
      <c r="R417" s="450"/>
      <c r="S417" s="450"/>
      <c r="T417" s="450"/>
      <c r="U417" s="450"/>
      <c r="V417" s="450"/>
      <c r="W417" s="450"/>
      <c r="X417" s="450"/>
      <c r="Y417" s="450"/>
      <c r="Z417" s="450"/>
      <c r="AA417" s="450"/>
      <c r="AB417" s="450"/>
      <c r="AC417" s="450"/>
      <c r="AD417" s="450"/>
      <c r="AE417" s="450"/>
      <c r="AF417" s="450"/>
      <c r="AG417" s="450"/>
      <c r="AH417" s="450"/>
      <c r="AI417" s="450"/>
      <c r="AJ417" s="450"/>
      <c r="AK417" s="450"/>
      <c r="AL417" s="450"/>
      <c r="AM417" s="450"/>
      <c r="AN417" s="450"/>
      <c r="AO417" s="450"/>
      <c r="AP417" s="450"/>
      <c r="AQ417" s="450"/>
      <c r="AR417" s="450"/>
      <c r="AS417" s="450"/>
      <c r="AT417" s="450"/>
      <c r="AU417" s="450"/>
      <c r="AV417" s="450"/>
      <c r="AW417" s="450"/>
      <c r="AX417" s="450"/>
      <c r="AY417" s="450"/>
      <c r="AZ417" s="450"/>
      <c r="BA417" s="450"/>
      <c r="BB417" s="450"/>
      <c r="BC417" s="450"/>
      <c r="BD417" s="450"/>
      <c r="BE417" s="450"/>
      <c r="BF417" s="450"/>
      <c r="BG417" s="450"/>
      <c r="BH417" s="450"/>
      <c r="BI417" s="450"/>
      <c r="BJ417" s="450"/>
      <c r="BK417" s="450"/>
      <c r="BL417" s="450"/>
      <c r="BM417" s="450"/>
      <c r="BN417" s="450"/>
      <c r="BO417" s="450"/>
      <c r="BP417" s="450"/>
      <c r="BQ417" s="450"/>
      <c r="BR417" s="450"/>
      <c r="BS417" s="450"/>
      <c r="BT417" s="450"/>
      <c r="BU417" s="450"/>
      <c r="BV417" s="450"/>
      <c r="BW417" s="450"/>
      <c r="BX417" s="450"/>
      <c r="BY417" s="450"/>
      <c r="BZ417" s="450"/>
      <c r="CA417" s="450"/>
      <c r="CB417" s="450"/>
      <c r="CC417" s="450"/>
      <c r="CD417" s="450"/>
      <c r="CE417" s="450"/>
      <c r="CF417" s="450"/>
      <c r="CG417" s="450"/>
      <c r="CH417" s="450"/>
    </row>
    <row r="418">
      <c r="A418" s="450"/>
      <c r="B418" s="498"/>
      <c r="C418" s="455"/>
      <c r="D418" s="450"/>
      <c r="E418" s="450"/>
      <c r="F418" s="450"/>
      <c r="G418" s="450"/>
      <c r="H418" s="450"/>
      <c r="I418" s="450"/>
      <c r="J418" s="450"/>
      <c r="K418" s="450"/>
      <c r="L418" s="450"/>
      <c r="M418" s="450"/>
      <c r="N418" s="450"/>
      <c r="O418" s="450"/>
      <c r="P418" s="450"/>
      <c r="Q418" s="450"/>
      <c r="R418" s="450"/>
      <c r="S418" s="450"/>
      <c r="T418" s="450"/>
      <c r="U418" s="450"/>
      <c r="V418" s="450"/>
      <c r="W418" s="450"/>
      <c r="X418" s="450"/>
      <c r="Y418" s="450"/>
      <c r="Z418" s="450"/>
      <c r="AA418" s="450"/>
      <c r="AB418" s="450"/>
      <c r="AC418" s="450"/>
      <c r="AD418" s="450"/>
      <c r="AE418" s="450"/>
      <c r="AF418" s="450"/>
      <c r="AG418" s="450"/>
      <c r="AH418" s="450"/>
      <c r="AI418" s="450"/>
      <c r="AJ418" s="450"/>
      <c r="AK418" s="450"/>
      <c r="AL418" s="450"/>
      <c r="AM418" s="450"/>
      <c r="AN418" s="450"/>
      <c r="AO418" s="450"/>
      <c r="AP418" s="450"/>
      <c r="AQ418" s="450"/>
      <c r="AR418" s="450"/>
      <c r="AS418" s="450"/>
      <c r="AT418" s="450"/>
      <c r="AU418" s="450"/>
      <c r="AV418" s="450"/>
      <c r="AW418" s="450"/>
      <c r="AX418" s="450"/>
      <c r="AY418" s="450"/>
      <c r="AZ418" s="450"/>
      <c r="BA418" s="450"/>
      <c r="BB418" s="450"/>
      <c r="BC418" s="450"/>
      <c r="BD418" s="450"/>
      <c r="BE418" s="450"/>
      <c r="BF418" s="450"/>
      <c r="BG418" s="450"/>
      <c r="BH418" s="450"/>
      <c r="BI418" s="450"/>
      <c r="BJ418" s="450"/>
      <c r="BK418" s="450"/>
      <c r="BL418" s="450"/>
      <c r="BM418" s="450"/>
      <c r="BN418" s="450"/>
      <c r="BO418" s="450"/>
      <c r="BP418" s="450"/>
      <c r="BQ418" s="450"/>
      <c r="BR418" s="450"/>
      <c r="BS418" s="450"/>
      <c r="BT418" s="450"/>
      <c r="BU418" s="450"/>
      <c r="BV418" s="450"/>
      <c r="BW418" s="450"/>
      <c r="BX418" s="450"/>
      <c r="BY418" s="450"/>
      <c r="BZ418" s="450"/>
      <c r="CA418" s="450"/>
      <c r="CB418" s="450"/>
      <c r="CC418" s="450"/>
      <c r="CD418" s="450"/>
      <c r="CE418" s="450"/>
      <c r="CF418" s="450"/>
      <c r="CG418" s="450"/>
      <c r="CH418" s="450"/>
    </row>
    <row r="419">
      <c r="A419" s="450"/>
      <c r="B419" s="498"/>
      <c r="C419" s="455"/>
      <c r="D419" s="450"/>
      <c r="E419" s="450"/>
      <c r="F419" s="450"/>
      <c r="G419" s="450"/>
      <c r="H419" s="450"/>
      <c r="I419" s="450"/>
      <c r="J419" s="450"/>
      <c r="K419" s="450"/>
      <c r="L419" s="450"/>
      <c r="M419" s="450"/>
      <c r="N419" s="450"/>
      <c r="O419" s="450"/>
      <c r="P419" s="450"/>
      <c r="Q419" s="450"/>
      <c r="R419" s="450"/>
      <c r="S419" s="450"/>
      <c r="T419" s="450"/>
      <c r="U419" s="450"/>
      <c r="V419" s="450"/>
      <c r="W419" s="450"/>
      <c r="X419" s="450"/>
      <c r="Y419" s="450"/>
      <c r="Z419" s="450"/>
      <c r="AA419" s="450"/>
      <c r="AB419" s="450"/>
      <c r="AC419" s="450"/>
      <c r="AD419" s="450"/>
      <c r="AE419" s="450"/>
      <c r="AF419" s="450"/>
      <c r="AG419" s="450"/>
      <c r="AH419" s="450"/>
      <c r="AI419" s="450"/>
      <c r="AJ419" s="450"/>
      <c r="AK419" s="450"/>
      <c r="AL419" s="450"/>
      <c r="AM419" s="450"/>
      <c r="AN419" s="450"/>
      <c r="AO419" s="450"/>
      <c r="AP419" s="450"/>
      <c r="AQ419" s="450"/>
      <c r="AR419" s="450"/>
      <c r="AS419" s="450"/>
      <c r="AT419" s="450"/>
      <c r="AU419" s="450"/>
      <c r="AV419" s="450"/>
      <c r="AW419" s="450"/>
      <c r="AX419" s="450"/>
      <c r="AY419" s="450"/>
      <c r="AZ419" s="450"/>
      <c r="BA419" s="450"/>
      <c r="BB419" s="450"/>
      <c r="BC419" s="450"/>
      <c r="BD419" s="450"/>
      <c r="BE419" s="450"/>
      <c r="BF419" s="450"/>
      <c r="BG419" s="450"/>
      <c r="BH419" s="450"/>
      <c r="BI419" s="450"/>
      <c r="BJ419" s="450"/>
      <c r="BK419" s="450"/>
      <c r="BL419" s="450"/>
      <c r="BM419" s="450"/>
      <c r="BN419" s="450"/>
      <c r="BO419" s="450"/>
      <c r="BP419" s="450"/>
      <c r="BQ419" s="450"/>
      <c r="BR419" s="450"/>
      <c r="BS419" s="450"/>
      <c r="BT419" s="450"/>
      <c r="BU419" s="450"/>
      <c r="BV419" s="450"/>
      <c r="BW419" s="450"/>
      <c r="BX419" s="450"/>
      <c r="BY419" s="450"/>
      <c r="BZ419" s="450"/>
      <c r="CA419" s="450"/>
      <c r="CB419" s="450"/>
      <c r="CC419" s="450"/>
      <c r="CD419" s="450"/>
      <c r="CE419" s="450"/>
      <c r="CF419" s="450"/>
      <c r="CG419" s="450"/>
      <c r="CH419" s="450"/>
    </row>
    <row r="420">
      <c r="A420" s="450"/>
      <c r="B420" s="498"/>
      <c r="C420" s="455"/>
      <c r="D420" s="450"/>
      <c r="E420" s="450"/>
      <c r="F420" s="450"/>
      <c r="G420" s="450"/>
      <c r="H420" s="450"/>
      <c r="I420" s="450"/>
      <c r="J420" s="450"/>
      <c r="K420" s="450"/>
      <c r="L420" s="450"/>
      <c r="M420" s="450"/>
      <c r="N420" s="450"/>
      <c r="O420" s="450"/>
      <c r="P420" s="450"/>
      <c r="Q420" s="450"/>
      <c r="R420" s="450"/>
      <c r="S420" s="450"/>
      <c r="T420" s="450"/>
      <c r="U420" s="450"/>
      <c r="V420" s="450"/>
      <c r="W420" s="450"/>
      <c r="X420" s="450"/>
      <c r="Y420" s="450"/>
      <c r="Z420" s="450"/>
      <c r="AA420" s="450"/>
      <c r="AB420" s="450"/>
      <c r="AC420" s="450"/>
      <c r="AD420" s="450"/>
      <c r="AE420" s="450"/>
      <c r="AF420" s="450"/>
      <c r="AG420" s="450"/>
      <c r="AH420" s="450"/>
      <c r="AI420" s="450"/>
      <c r="AJ420" s="450"/>
      <c r="AK420" s="450"/>
      <c r="AL420" s="450"/>
      <c r="AM420" s="450"/>
      <c r="AN420" s="450"/>
      <c r="AO420" s="450"/>
      <c r="AP420" s="450"/>
      <c r="AQ420" s="450"/>
      <c r="AR420" s="450"/>
      <c r="AS420" s="450"/>
      <c r="AT420" s="450"/>
      <c r="AU420" s="450"/>
      <c r="AV420" s="450"/>
      <c r="AW420" s="450"/>
      <c r="AX420" s="450"/>
      <c r="AY420" s="450"/>
      <c r="AZ420" s="450"/>
      <c r="BA420" s="450"/>
      <c r="BB420" s="450"/>
      <c r="BC420" s="450"/>
      <c r="BD420" s="450"/>
      <c r="BE420" s="450"/>
      <c r="BF420" s="450"/>
      <c r="BG420" s="450"/>
      <c r="BH420" s="450"/>
      <c r="BI420" s="450"/>
      <c r="BJ420" s="450"/>
      <c r="BK420" s="450"/>
      <c r="BL420" s="450"/>
      <c r="BM420" s="450"/>
      <c r="BN420" s="450"/>
      <c r="BO420" s="450"/>
      <c r="BP420" s="450"/>
      <c r="BQ420" s="450"/>
      <c r="BR420" s="450"/>
      <c r="BS420" s="450"/>
      <c r="BT420" s="450"/>
      <c r="BU420" s="450"/>
      <c r="BV420" s="450"/>
      <c r="BW420" s="450"/>
      <c r="BX420" s="450"/>
      <c r="BY420" s="450"/>
      <c r="BZ420" s="450"/>
      <c r="CA420" s="450"/>
      <c r="CB420" s="450"/>
      <c r="CC420" s="450"/>
      <c r="CD420" s="450"/>
      <c r="CE420" s="450"/>
      <c r="CF420" s="450"/>
      <c r="CG420" s="450"/>
      <c r="CH420" s="450"/>
    </row>
    <row r="421">
      <c r="A421" s="450"/>
      <c r="B421" s="498"/>
      <c r="C421" s="455"/>
      <c r="D421" s="450"/>
      <c r="E421" s="450"/>
      <c r="F421" s="450"/>
      <c r="G421" s="450"/>
      <c r="H421" s="450"/>
      <c r="I421" s="450"/>
      <c r="J421" s="450"/>
      <c r="K421" s="450"/>
      <c r="L421" s="450"/>
      <c r="M421" s="450"/>
      <c r="N421" s="450"/>
      <c r="O421" s="450"/>
      <c r="P421" s="450"/>
      <c r="Q421" s="450"/>
      <c r="R421" s="450"/>
      <c r="S421" s="450"/>
      <c r="T421" s="450"/>
      <c r="U421" s="450"/>
      <c r="V421" s="450"/>
      <c r="W421" s="450"/>
      <c r="X421" s="450"/>
      <c r="Y421" s="450"/>
      <c r="Z421" s="450"/>
      <c r="AA421" s="450"/>
      <c r="AB421" s="450"/>
      <c r="AC421" s="450"/>
      <c r="AD421" s="450"/>
      <c r="AE421" s="450"/>
      <c r="AF421" s="450"/>
      <c r="AG421" s="450"/>
      <c r="AH421" s="450"/>
      <c r="AI421" s="450"/>
      <c r="AJ421" s="450"/>
      <c r="AK421" s="450"/>
      <c r="AL421" s="450"/>
      <c r="AM421" s="450"/>
      <c r="AN421" s="450"/>
      <c r="AO421" s="450"/>
      <c r="AP421" s="450"/>
      <c r="AQ421" s="450"/>
      <c r="AR421" s="450"/>
      <c r="AS421" s="450"/>
      <c r="AT421" s="450"/>
      <c r="AU421" s="450"/>
      <c r="AV421" s="450"/>
      <c r="AW421" s="450"/>
      <c r="AX421" s="450"/>
      <c r="AY421" s="450"/>
      <c r="AZ421" s="450"/>
      <c r="BA421" s="450"/>
      <c r="BB421" s="450"/>
      <c r="BC421" s="450"/>
      <c r="BD421" s="450"/>
      <c r="BE421" s="450"/>
      <c r="BF421" s="450"/>
      <c r="BG421" s="450"/>
      <c r="BH421" s="450"/>
      <c r="BI421" s="450"/>
      <c r="BJ421" s="450"/>
      <c r="BK421" s="450"/>
      <c r="BL421" s="450"/>
      <c r="BM421" s="450"/>
      <c r="BN421" s="450"/>
      <c r="BO421" s="450"/>
      <c r="BP421" s="450"/>
      <c r="BQ421" s="450"/>
      <c r="BR421" s="450"/>
      <c r="BS421" s="450"/>
      <c r="BT421" s="450"/>
      <c r="BU421" s="450"/>
      <c r="BV421" s="450"/>
      <c r="BW421" s="450"/>
      <c r="BX421" s="450"/>
      <c r="BY421" s="450"/>
      <c r="BZ421" s="450"/>
      <c r="CA421" s="450"/>
      <c r="CB421" s="450"/>
      <c r="CC421" s="450"/>
      <c r="CD421" s="450"/>
      <c r="CE421" s="450"/>
      <c r="CF421" s="450"/>
      <c r="CG421" s="450"/>
      <c r="CH421" s="450"/>
    </row>
    <row r="422">
      <c r="A422" s="450"/>
      <c r="B422" s="498"/>
      <c r="C422" s="455"/>
      <c r="D422" s="450"/>
      <c r="E422" s="450"/>
      <c r="F422" s="450"/>
      <c r="G422" s="450"/>
      <c r="H422" s="450"/>
      <c r="I422" s="450"/>
      <c r="J422" s="450"/>
      <c r="K422" s="450"/>
      <c r="L422" s="450"/>
      <c r="M422" s="450"/>
      <c r="N422" s="450"/>
      <c r="O422" s="450"/>
      <c r="P422" s="450"/>
      <c r="Q422" s="450"/>
      <c r="R422" s="450"/>
      <c r="S422" s="450"/>
      <c r="T422" s="450"/>
      <c r="U422" s="450"/>
      <c r="V422" s="450"/>
      <c r="W422" s="450"/>
      <c r="X422" s="450"/>
      <c r="Y422" s="450"/>
      <c r="Z422" s="450"/>
      <c r="AA422" s="450"/>
      <c r="AB422" s="450"/>
      <c r="AC422" s="450"/>
      <c r="AD422" s="450"/>
      <c r="AE422" s="450"/>
      <c r="AF422" s="450"/>
      <c r="AG422" s="450"/>
      <c r="AH422" s="450"/>
      <c r="AI422" s="450"/>
      <c r="AJ422" s="450"/>
      <c r="AK422" s="450"/>
      <c r="AL422" s="450"/>
      <c r="AM422" s="450"/>
      <c r="AN422" s="450"/>
      <c r="AO422" s="450"/>
      <c r="AP422" s="450"/>
      <c r="AQ422" s="450"/>
      <c r="AR422" s="450"/>
      <c r="AS422" s="450"/>
      <c r="AT422" s="450"/>
      <c r="AU422" s="450"/>
      <c r="AV422" s="450"/>
      <c r="AW422" s="450"/>
      <c r="AX422" s="450"/>
      <c r="AY422" s="450"/>
      <c r="AZ422" s="450"/>
      <c r="BA422" s="450"/>
      <c r="BB422" s="450"/>
      <c r="BC422" s="450"/>
      <c r="BD422" s="450"/>
      <c r="BE422" s="450"/>
      <c r="BF422" s="450"/>
      <c r="BG422" s="450"/>
      <c r="BH422" s="450"/>
      <c r="BI422" s="450"/>
      <c r="BJ422" s="450"/>
      <c r="BK422" s="450"/>
      <c r="BL422" s="450"/>
      <c r="BM422" s="450"/>
      <c r="BN422" s="450"/>
      <c r="BO422" s="450"/>
      <c r="BP422" s="450"/>
      <c r="BQ422" s="450"/>
      <c r="BR422" s="450"/>
      <c r="BS422" s="450"/>
      <c r="BT422" s="450"/>
      <c r="BU422" s="450"/>
      <c r="BV422" s="450"/>
      <c r="BW422" s="450"/>
      <c r="BX422" s="450"/>
      <c r="BY422" s="450"/>
      <c r="BZ422" s="450"/>
      <c r="CA422" s="450"/>
      <c r="CB422" s="450"/>
      <c r="CC422" s="450"/>
      <c r="CD422" s="450"/>
      <c r="CE422" s="450"/>
      <c r="CF422" s="450"/>
      <c r="CG422" s="450"/>
      <c r="CH422" s="450"/>
    </row>
    <row r="423">
      <c r="A423" s="450"/>
      <c r="B423" s="498"/>
      <c r="C423" s="455"/>
      <c r="D423" s="450"/>
      <c r="E423" s="450"/>
      <c r="F423" s="450"/>
      <c r="G423" s="450"/>
      <c r="H423" s="450"/>
      <c r="I423" s="450"/>
      <c r="J423" s="450"/>
      <c r="K423" s="450"/>
      <c r="L423" s="450"/>
      <c r="M423" s="450"/>
      <c r="N423" s="450"/>
      <c r="O423" s="450"/>
      <c r="P423" s="450"/>
      <c r="Q423" s="450"/>
      <c r="R423" s="450"/>
      <c r="S423" s="450"/>
      <c r="T423" s="450"/>
      <c r="U423" s="450"/>
      <c r="V423" s="450"/>
      <c r="W423" s="450"/>
      <c r="X423" s="450"/>
      <c r="Y423" s="450"/>
      <c r="Z423" s="450"/>
      <c r="AA423" s="450"/>
      <c r="AB423" s="450"/>
      <c r="AC423" s="450"/>
      <c r="AD423" s="450"/>
      <c r="AE423" s="450"/>
      <c r="AF423" s="450"/>
      <c r="AG423" s="450"/>
      <c r="AH423" s="450"/>
      <c r="AI423" s="450"/>
      <c r="AJ423" s="450"/>
      <c r="AK423" s="450"/>
      <c r="AL423" s="450"/>
      <c r="AM423" s="450"/>
      <c r="AN423" s="450"/>
      <c r="AO423" s="450"/>
      <c r="AP423" s="450"/>
      <c r="AQ423" s="450"/>
      <c r="AR423" s="450"/>
      <c r="AS423" s="450"/>
      <c r="AT423" s="450"/>
      <c r="AU423" s="450"/>
      <c r="AV423" s="450"/>
      <c r="AW423" s="450"/>
      <c r="AX423" s="450"/>
      <c r="AY423" s="450"/>
      <c r="AZ423" s="450"/>
      <c r="BA423" s="450"/>
      <c r="BB423" s="450"/>
      <c r="BC423" s="450"/>
      <c r="BD423" s="450"/>
      <c r="BE423" s="450"/>
      <c r="BF423" s="450"/>
      <c r="BG423" s="450"/>
      <c r="BH423" s="450"/>
      <c r="BI423" s="450"/>
      <c r="BJ423" s="450"/>
      <c r="BK423" s="450"/>
      <c r="BL423" s="450"/>
      <c r="BM423" s="450"/>
      <c r="BN423" s="450"/>
      <c r="BO423" s="450"/>
      <c r="BP423" s="450"/>
      <c r="BQ423" s="450"/>
      <c r="BR423" s="450"/>
      <c r="BS423" s="450"/>
      <c r="BT423" s="450"/>
      <c r="BU423" s="450"/>
      <c r="BV423" s="450"/>
      <c r="BW423" s="450"/>
      <c r="BX423" s="450"/>
      <c r="BY423" s="450"/>
      <c r="BZ423" s="450"/>
      <c r="CA423" s="450"/>
      <c r="CB423" s="450"/>
      <c r="CC423" s="450"/>
      <c r="CD423" s="450"/>
      <c r="CE423" s="450"/>
      <c r="CF423" s="450"/>
      <c r="CG423" s="450"/>
      <c r="CH423" s="450"/>
    </row>
    <row r="424">
      <c r="A424" s="450"/>
      <c r="B424" s="498"/>
      <c r="C424" s="455"/>
      <c r="D424" s="450"/>
      <c r="E424" s="450"/>
      <c r="F424" s="450"/>
      <c r="G424" s="450"/>
      <c r="H424" s="450"/>
      <c r="I424" s="450"/>
      <c r="J424" s="450"/>
      <c r="K424" s="450"/>
      <c r="L424" s="450"/>
      <c r="M424" s="450"/>
      <c r="N424" s="450"/>
      <c r="O424" s="450"/>
      <c r="P424" s="450"/>
      <c r="Q424" s="450"/>
      <c r="R424" s="450"/>
      <c r="S424" s="450"/>
      <c r="T424" s="450"/>
      <c r="U424" s="450"/>
      <c r="V424" s="450"/>
      <c r="W424" s="450"/>
      <c r="X424" s="450"/>
      <c r="Y424" s="450"/>
      <c r="Z424" s="450"/>
      <c r="AA424" s="450"/>
      <c r="AB424" s="450"/>
      <c r="AC424" s="450"/>
      <c r="AD424" s="450"/>
      <c r="AE424" s="450"/>
      <c r="AF424" s="450"/>
      <c r="AG424" s="450"/>
      <c r="AH424" s="450"/>
      <c r="AI424" s="450"/>
      <c r="AJ424" s="450"/>
      <c r="AK424" s="450"/>
      <c r="AL424" s="450"/>
      <c r="AM424" s="450"/>
      <c r="AN424" s="450"/>
      <c r="AO424" s="450"/>
      <c r="AP424" s="450"/>
      <c r="AQ424" s="450"/>
      <c r="AR424" s="450"/>
      <c r="AS424" s="450"/>
      <c r="AT424" s="450"/>
      <c r="AU424" s="450"/>
      <c r="AV424" s="450"/>
      <c r="AW424" s="450"/>
      <c r="AX424" s="450"/>
      <c r="AY424" s="450"/>
      <c r="AZ424" s="450"/>
      <c r="BA424" s="450"/>
      <c r="BB424" s="450"/>
      <c r="BC424" s="450"/>
      <c r="BD424" s="450"/>
      <c r="BE424" s="450"/>
      <c r="BF424" s="450"/>
      <c r="BG424" s="450"/>
      <c r="BH424" s="450"/>
      <c r="BI424" s="450"/>
      <c r="BJ424" s="450"/>
      <c r="BK424" s="450"/>
      <c r="BL424" s="450"/>
      <c r="BM424" s="450"/>
      <c r="BN424" s="450"/>
      <c r="BO424" s="450"/>
      <c r="BP424" s="450"/>
      <c r="BQ424" s="450"/>
      <c r="BR424" s="450"/>
      <c r="BS424" s="450"/>
      <c r="BT424" s="450"/>
      <c r="BU424" s="450"/>
      <c r="BV424" s="450"/>
      <c r="BW424" s="450"/>
      <c r="BX424" s="450"/>
      <c r="BY424" s="450"/>
      <c r="BZ424" s="450"/>
      <c r="CA424" s="450"/>
      <c r="CB424" s="450"/>
      <c r="CC424" s="450"/>
      <c r="CD424" s="450"/>
      <c r="CE424" s="450"/>
      <c r="CF424" s="450"/>
      <c r="CG424" s="450"/>
      <c r="CH424" s="450"/>
    </row>
    <row r="425">
      <c r="A425" s="450"/>
      <c r="B425" s="498"/>
      <c r="C425" s="455"/>
      <c r="D425" s="450"/>
      <c r="E425" s="450"/>
      <c r="F425" s="450"/>
      <c r="G425" s="450"/>
      <c r="H425" s="450"/>
      <c r="I425" s="450"/>
      <c r="J425" s="450"/>
      <c r="K425" s="450"/>
      <c r="L425" s="450"/>
      <c r="M425" s="450"/>
      <c r="N425" s="450"/>
      <c r="O425" s="450"/>
      <c r="P425" s="450"/>
      <c r="Q425" s="450"/>
      <c r="R425" s="450"/>
      <c r="S425" s="450"/>
      <c r="T425" s="450"/>
      <c r="U425" s="450"/>
      <c r="V425" s="450"/>
      <c r="W425" s="450"/>
      <c r="X425" s="450"/>
      <c r="Y425" s="450"/>
      <c r="Z425" s="450"/>
      <c r="AA425" s="450"/>
      <c r="AB425" s="450"/>
      <c r="AC425" s="450"/>
      <c r="AD425" s="450"/>
      <c r="AE425" s="450"/>
      <c r="AF425" s="450"/>
      <c r="AG425" s="450"/>
      <c r="AH425" s="450"/>
      <c r="AI425" s="450"/>
      <c r="AJ425" s="450"/>
      <c r="AK425" s="450"/>
      <c r="AL425" s="450"/>
      <c r="AM425" s="450"/>
      <c r="AN425" s="450"/>
      <c r="AO425" s="450"/>
      <c r="AP425" s="450"/>
      <c r="AQ425" s="450"/>
      <c r="AR425" s="450"/>
      <c r="AS425" s="450"/>
      <c r="AT425" s="450"/>
      <c r="AU425" s="450"/>
      <c r="AV425" s="450"/>
      <c r="AW425" s="450"/>
      <c r="AX425" s="450"/>
      <c r="AY425" s="450"/>
      <c r="AZ425" s="450"/>
      <c r="BA425" s="450"/>
      <c r="BB425" s="450"/>
      <c r="BC425" s="450"/>
      <c r="BD425" s="450"/>
      <c r="BE425" s="450"/>
      <c r="BF425" s="450"/>
      <c r="BG425" s="450"/>
      <c r="BH425" s="450"/>
      <c r="BI425" s="450"/>
      <c r="BJ425" s="450"/>
      <c r="BK425" s="450"/>
      <c r="BL425" s="450"/>
      <c r="BM425" s="450"/>
      <c r="BN425" s="450"/>
      <c r="BO425" s="450"/>
      <c r="BP425" s="450"/>
      <c r="BQ425" s="450"/>
      <c r="BR425" s="450"/>
      <c r="BS425" s="450"/>
      <c r="BT425" s="450"/>
      <c r="BU425" s="450"/>
      <c r="BV425" s="450"/>
      <c r="BW425" s="450"/>
      <c r="BX425" s="450"/>
      <c r="BY425" s="450"/>
      <c r="BZ425" s="450"/>
      <c r="CA425" s="450"/>
      <c r="CB425" s="450"/>
      <c r="CC425" s="450"/>
      <c r="CD425" s="450"/>
      <c r="CE425" s="450"/>
      <c r="CF425" s="450"/>
      <c r="CG425" s="450"/>
      <c r="CH425" s="450"/>
    </row>
    <row r="426">
      <c r="A426" s="450"/>
      <c r="B426" s="498"/>
      <c r="C426" s="455"/>
      <c r="D426" s="450"/>
      <c r="E426" s="450"/>
      <c r="F426" s="450"/>
      <c r="G426" s="450"/>
      <c r="H426" s="450"/>
      <c r="I426" s="450"/>
      <c r="J426" s="450"/>
      <c r="K426" s="450"/>
      <c r="L426" s="450"/>
      <c r="M426" s="450"/>
      <c r="N426" s="450"/>
      <c r="O426" s="450"/>
      <c r="P426" s="450"/>
      <c r="Q426" s="450"/>
      <c r="R426" s="450"/>
      <c r="S426" s="450"/>
      <c r="T426" s="450"/>
      <c r="U426" s="450"/>
      <c r="V426" s="450"/>
      <c r="W426" s="450"/>
      <c r="X426" s="450"/>
      <c r="Y426" s="450"/>
      <c r="Z426" s="450"/>
      <c r="AA426" s="450"/>
      <c r="AB426" s="450"/>
      <c r="AC426" s="450"/>
      <c r="AD426" s="450"/>
      <c r="AE426" s="450"/>
      <c r="AF426" s="450"/>
      <c r="AG426" s="450"/>
      <c r="AH426" s="450"/>
      <c r="AI426" s="450"/>
      <c r="AJ426" s="450"/>
      <c r="AK426" s="450"/>
      <c r="AL426" s="450"/>
      <c r="AM426" s="450"/>
      <c r="AN426" s="450"/>
      <c r="AO426" s="450"/>
      <c r="AP426" s="450"/>
      <c r="AQ426" s="450"/>
      <c r="AR426" s="450"/>
      <c r="AS426" s="450"/>
      <c r="AT426" s="450"/>
      <c r="AU426" s="450"/>
      <c r="AV426" s="450"/>
      <c r="AW426" s="450"/>
      <c r="AX426" s="450"/>
      <c r="AY426" s="450"/>
      <c r="AZ426" s="450"/>
      <c r="BA426" s="450"/>
      <c r="BB426" s="450"/>
      <c r="BC426" s="450"/>
      <c r="BD426" s="450"/>
      <c r="BE426" s="450"/>
      <c r="BF426" s="450"/>
      <c r="BG426" s="450"/>
      <c r="BH426" s="450"/>
      <c r="BI426" s="450"/>
      <c r="BJ426" s="450"/>
      <c r="BK426" s="450"/>
      <c r="BL426" s="450"/>
      <c r="BM426" s="450"/>
      <c r="BN426" s="450"/>
      <c r="BO426" s="450"/>
      <c r="BP426" s="450"/>
      <c r="BQ426" s="450"/>
      <c r="BR426" s="450"/>
      <c r="BS426" s="450"/>
      <c r="BT426" s="450"/>
      <c r="BU426" s="450"/>
      <c r="BV426" s="450"/>
      <c r="BW426" s="450"/>
      <c r="BX426" s="450"/>
      <c r="BY426" s="450"/>
      <c r="BZ426" s="450"/>
      <c r="CA426" s="450"/>
      <c r="CB426" s="450"/>
      <c r="CC426" s="450"/>
      <c r="CD426" s="450"/>
      <c r="CE426" s="450"/>
      <c r="CF426" s="450"/>
      <c r="CG426" s="450"/>
      <c r="CH426" s="450"/>
    </row>
    <row r="427">
      <c r="A427" s="450"/>
      <c r="B427" s="498"/>
      <c r="C427" s="455"/>
      <c r="D427" s="450"/>
      <c r="E427" s="450"/>
      <c r="F427" s="450"/>
      <c r="G427" s="450"/>
      <c r="H427" s="450"/>
      <c r="I427" s="450"/>
      <c r="J427" s="450"/>
      <c r="K427" s="450"/>
      <c r="L427" s="450"/>
      <c r="M427" s="450"/>
      <c r="N427" s="450"/>
      <c r="O427" s="450"/>
      <c r="P427" s="450"/>
      <c r="Q427" s="450"/>
      <c r="R427" s="450"/>
      <c r="S427" s="450"/>
      <c r="T427" s="450"/>
      <c r="U427" s="450"/>
      <c r="V427" s="450"/>
      <c r="W427" s="450"/>
      <c r="X427" s="450"/>
      <c r="Y427" s="450"/>
      <c r="Z427" s="450"/>
      <c r="AA427" s="450"/>
      <c r="AB427" s="450"/>
      <c r="AC427" s="450"/>
      <c r="AD427" s="450"/>
      <c r="AE427" s="450"/>
      <c r="AF427" s="450"/>
      <c r="AG427" s="450"/>
      <c r="AH427" s="450"/>
      <c r="AI427" s="450"/>
      <c r="AJ427" s="450"/>
      <c r="AK427" s="450"/>
      <c r="AL427" s="450"/>
      <c r="AM427" s="450"/>
      <c r="AN427" s="450"/>
      <c r="AO427" s="450"/>
      <c r="AP427" s="450"/>
      <c r="AQ427" s="450"/>
      <c r="AR427" s="450"/>
      <c r="AS427" s="450"/>
      <c r="AT427" s="450"/>
      <c r="AU427" s="450"/>
      <c r="AV427" s="450"/>
      <c r="AW427" s="450"/>
      <c r="AX427" s="450"/>
      <c r="AY427" s="450"/>
      <c r="AZ427" s="450"/>
      <c r="BA427" s="450"/>
      <c r="BB427" s="450"/>
      <c r="BC427" s="450"/>
      <c r="BD427" s="450"/>
      <c r="BE427" s="450"/>
      <c r="BF427" s="450"/>
      <c r="BG427" s="450"/>
      <c r="BH427" s="450"/>
      <c r="BI427" s="450"/>
      <c r="BJ427" s="450"/>
      <c r="BK427" s="450"/>
      <c r="BL427" s="450"/>
      <c r="BM427" s="450"/>
      <c r="BN427" s="450"/>
      <c r="BO427" s="450"/>
      <c r="BP427" s="450"/>
      <c r="BQ427" s="450"/>
      <c r="BR427" s="450"/>
      <c r="BS427" s="450"/>
      <c r="BT427" s="450"/>
      <c r="BU427" s="450"/>
      <c r="BV427" s="450"/>
      <c r="BW427" s="450"/>
      <c r="BX427" s="450"/>
      <c r="BY427" s="450"/>
      <c r="BZ427" s="450"/>
      <c r="CA427" s="450"/>
      <c r="CB427" s="450"/>
      <c r="CC427" s="450"/>
      <c r="CD427" s="450"/>
      <c r="CE427" s="450"/>
      <c r="CF427" s="450"/>
      <c r="CG427" s="450"/>
      <c r="CH427" s="450"/>
    </row>
    <row r="428">
      <c r="A428" s="450"/>
      <c r="B428" s="498"/>
      <c r="C428" s="455"/>
      <c r="D428" s="450"/>
      <c r="E428" s="450"/>
      <c r="F428" s="450"/>
      <c r="G428" s="450"/>
      <c r="H428" s="450"/>
      <c r="I428" s="450"/>
      <c r="J428" s="450"/>
      <c r="K428" s="450"/>
      <c r="L428" s="450"/>
      <c r="M428" s="450"/>
      <c r="N428" s="450"/>
      <c r="O428" s="450"/>
      <c r="P428" s="450"/>
      <c r="Q428" s="450"/>
      <c r="R428" s="450"/>
      <c r="S428" s="450"/>
      <c r="T428" s="450"/>
      <c r="U428" s="450"/>
      <c r="V428" s="450"/>
      <c r="W428" s="450"/>
      <c r="X428" s="450"/>
      <c r="Y428" s="450"/>
      <c r="Z428" s="450"/>
      <c r="AA428" s="450"/>
      <c r="AB428" s="450"/>
      <c r="AC428" s="450"/>
      <c r="AD428" s="450"/>
      <c r="AE428" s="450"/>
      <c r="AF428" s="450"/>
      <c r="AG428" s="450"/>
      <c r="AH428" s="450"/>
      <c r="AI428" s="450"/>
      <c r="AJ428" s="450"/>
      <c r="AK428" s="450"/>
      <c r="AL428" s="450"/>
      <c r="AM428" s="450"/>
      <c r="AN428" s="450"/>
      <c r="AO428" s="450"/>
      <c r="AP428" s="450"/>
      <c r="AQ428" s="450"/>
      <c r="AR428" s="450"/>
      <c r="AS428" s="450"/>
      <c r="AT428" s="450"/>
      <c r="AU428" s="450"/>
      <c r="AV428" s="450"/>
      <c r="AW428" s="450"/>
      <c r="AX428" s="450"/>
      <c r="AY428" s="450"/>
      <c r="AZ428" s="450"/>
      <c r="BA428" s="450"/>
      <c r="BB428" s="450"/>
      <c r="BC428" s="450"/>
      <c r="BD428" s="450"/>
      <c r="BE428" s="450"/>
      <c r="BF428" s="450"/>
      <c r="BG428" s="450"/>
      <c r="BH428" s="450"/>
      <c r="BI428" s="450"/>
      <c r="BJ428" s="450"/>
      <c r="BK428" s="450"/>
      <c r="BL428" s="450"/>
      <c r="BM428" s="450"/>
      <c r="BN428" s="450"/>
      <c r="BO428" s="450"/>
      <c r="BP428" s="450"/>
      <c r="BQ428" s="450"/>
      <c r="BR428" s="450"/>
      <c r="BS428" s="450"/>
      <c r="BT428" s="450"/>
      <c r="BU428" s="450"/>
      <c r="BV428" s="450"/>
      <c r="BW428" s="450"/>
      <c r="BX428" s="450"/>
      <c r="BY428" s="450"/>
      <c r="BZ428" s="450"/>
      <c r="CA428" s="450"/>
      <c r="CB428" s="450"/>
      <c r="CC428" s="450"/>
      <c r="CD428" s="450"/>
      <c r="CE428" s="450"/>
      <c r="CF428" s="450"/>
      <c r="CG428" s="450"/>
      <c r="CH428" s="450"/>
    </row>
    <row r="429">
      <c r="A429" s="450"/>
      <c r="B429" s="498"/>
      <c r="C429" s="455"/>
      <c r="D429" s="450"/>
      <c r="E429" s="450"/>
      <c r="F429" s="450"/>
      <c r="G429" s="450"/>
      <c r="H429" s="450"/>
      <c r="I429" s="450"/>
      <c r="J429" s="450"/>
      <c r="K429" s="450"/>
      <c r="L429" s="450"/>
      <c r="M429" s="450"/>
      <c r="N429" s="450"/>
      <c r="O429" s="450"/>
      <c r="P429" s="450"/>
      <c r="Q429" s="450"/>
      <c r="R429" s="450"/>
      <c r="S429" s="450"/>
      <c r="T429" s="450"/>
      <c r="U429" s="450"/>
      <c r="V429" s="450"/>
      <c r="W429" s="450"/>
      <c r="X429" s="450"/>
      <c r="Y429" s="450"/>
      <c r="Z429" s="450"/>
      <c r="AA429" s="450"/>
      <c r="AB429" s="450"/>
      <c r="AC429" s="450"/>
      <c r="AD429" s="450"/>
      <c r="AE429" s="450"/>
      <c r="AF429" s="450"/>
      <c r="AG429" s="450"/>
      <c r="AH429" s="450"/>
      <c r="AI429" s="450"/>
      <c r="AJ429" s="450"/>
      <c r="AK429" s="450"/>
      <c r="AL429" s="450"/>
      <c r="AM429" s="450"/>
      <c r="AN429" s="450"/>
      <c r="AO429" s="450"/>
      <c r="AP429" s="450"/>
      <c r="AQ429" s="450"/>
      <c r="AR429" s="450"/>
      <c r="AS429" s="450"/>
      <c r="AT429" s="450"/>
      <c r="AU429" s="450"/>
      <c r="AV429" s="450"/>
      <c r="AW429" s="450"/>
      <c r="AX429" s="450"/>
      <c r="AY429" s="450"/>
      <c r="AZ429" s="450"/>
      <c r="BA429" s="450"/>
      <c r="BB429" s="450"/>
      <c r="BC429" s="450"/>
      <c r="BD429" s="450"/>
      <c r="BE429" s="450"/>
      <c r="BF429" s="450"/>
      <c r="BG429" s="450"/>
      <c r="BH429" s="450"/>
      <c r="BI429" s="450"/>
      <c r="BJ429" s="450"/>
      <c r="BK429" s="450"/>
      <c r="BL429" s="450"/>
      <c r="BM429" s="450"/>
      <c r="BN429" s="450"/>
      <c r="BO429" s="450"/>
      <c r="BP429" s="450"/>
      <c r="BQ429" s="450"/>
      <c r="BR429" s="450"/>
      <c r="BS429" s="450"/>
      <c r="BT429" s="450"/>
      <c r="BU429" s="450"/>
      <c r="BV429" s="450"/>
      <c r="BW429" s="450"/>
      <c r="BX429" s="450"/>
      <c r="BY429" s="450"/>
      <c r="BZ429" s="450"/>
      <c r="CA429" s="450"/>
      <c r="CB429" s="450"/>
      <c r="CC429" s="450"/>
      <c r="CD429" s="450"/>
      <c r="CE429" s="450"/>
      <c r="CF429" s="450"/>
      <c r="CG429" s="450"/>
      <c r="CH429" s="450"/>
    </row>
    <row r="430">
      <c r="A430" s="450"/>
      <c r="B430" s="498"/>
      <c r="C430" s="455"/>
      <c r="D430" s="450"/>
      <c r="E430" s="450"/>
      <c r="F430" s="450"/>
      <c r="G430" s="450"/>
      <c r="H430" s="450"/>
      <c r="I430" s="450"/>
      <c r="J430" s="450"/>
      <c r="K430" s="450"/>
      <c r="L430" s="450"/>
      <c r="M430" s="450"/>
      <c r="N430" s="450"/>
      <c r="O430" s="450"/>
      <c r="P430" s="450"/>
      <c r="Q430" s="450"/>
      <c r="R430" s="450"/>
      <c r="S430" s="450"/>
      <c r="T430" s="450"/>
      <c r="U430" s="450"/>
      <c r="V430" s="450"/>
      <c r="W430" s="450"/>
      <c r="X430" s="450"/>
      <c r="Y430" s="450"/>
      <c r="Z430" s="450"/>
      <c r="AA430" s="450"/>
      <c r="AB430" s="450"/>
      <c r="AC430" s="450"/>
      <c r="AD430" s="450"/>
      <c r="AE430" s="450"/>
      <c r="AF430" s="450"/>
      <c r="AG430" s="450"/>
      <c r="AH430" s="450"/>
      <c r="AI430" s="450"/>
      <c r="AJ430" s="450"/>
      <c r="AK430" s="450"/>
      <c r="AL430" s="450"/>
      <c r="AM430" s="450"/>
      <c r="AN430" s="450"/>
      <c r="AO430" s="450"/>
      <c r="AP430" s="450"/>
      <c r="AQ430" s="450"/>
      <c r="AR430" s="450"/>
      <c r="AS430" s="450"/>
      <c r="AT430" s="450"/>
      <c r="AU430" s="450"/>
      <c r="AV430" s="450"/>
      <c r="AW430" s="450"/>
      <c r="AX430" s="450"/>
      <c r="AY430" s="450"/>
      <c r="AZ430" s="450"/>
      <c r="BA430" s="450"/>
      <c r="BB430" s="450"/>
      <c r="BC430" s="450"/>
      <c r="BD430" s="450"/>
      <c r="BE430" s="450"/>
      <c r="BF430" s="450"/>
      <c r="BG430" s="450"/>
      <c r="BH430" s="450"/>
      <c r="BI430" s="450"/>
      <c r="BJ430" s="450"/>
      <c r="BK430" s="450"/>
      <c r="BL430" s="450"/>
      <c r="BM430" s="450"/>
      <c r="BN430" s="450"/>
      <c r="BO430" s="450"/>
      <c r="BP430" s="450"/>
      <c r="BQ430" s="450"/>
      <c r="BR430" s="450"/>
      <c r="BS430" s="450"/>
      <c r="BT430" s="450"/>
      <c r="BU430" s="450"/>
      <c r="BV430" s="450"/>
      <c r="BW430" s="450"/>
      <c r="BX430" s="450"/>
      <c r="BY430" s="450"/>
      <c r="BZ430" s="450"/>
      <c r="CA430" s="450"/>
      <c r="CB430" s="450"/>
      <c r="CC430" s="450"/>
      <c r="CD430" s="450"/>
      <c r="CE430" s="450"/>
      <c r="CF430" s="450"/>
      <c r="CG430" s="450"/>
      <c r="CH430" s="450"/>
    </row>
    <row r="431">
      <c r="A431" s="450"/>
      <c r="B431" s="498"/>
      <c r="C431" s="455"/>
      <c r="D431" s="450"/>
      <c r="E431" s="450"/>
      <c r="F431" s="450"/>
      <c r="G431" s="450"/>
      <c r="H431" s="450"/>
      <c r="I431" s="450"/>
      <c r="J431" s="450"/>
      <c r="K431" s="450"/>
      <c r="L431" s="450"/>
      <c r="M431" s="450"/>
      <c r="N431" s="450"/>
      <c r="O431" s="450"/>
      <c r="P431" s="450"/>
      <c r="Q431" s="450"/>
      <c r="R431" s="450"/>
      <c r="S431" s="450"/>
      <c r="T431" s="450"/>
      <c r="U431" s="450"/>
      <c r="V431" s="450"/>
      <c r="W431" s="450"/>
      <c r="X431" s="450"/>
      <c r="Y431" s="450"/>
      <c r="Z431" s="450"/>
      <c r="AA431" s="450"/>
      <c r="AB431" s="450"/>
      <c r="AC431" s="450"/>
      <c r="AD431" s="450"/>
      <c r="AE431" s="450"/>
      <c r="AF431" s="450"/>
      <c r="AG431" s="450"/>
      <c r="AH431" s="450"/>
      <c r="AI431" s="450"/>
      <c r="AJ431" s="450"/>
      <c r="AK431" s="450"/>
      <c r="AL431" s="450"/>
      <c r="AM431" s="450"/>
      <c r="AN431" s="450"/>
      <c r="AO431" s="450"/>
      <c r="AP431" s="450"/>
      <c r="AQ431" s="450"/>
      <c r="AR431" s="450"/>
      <c r="AS431" s="450"/>
      <c r="AT431" s="450"/>
      <c r="AU431" s="450"/>
      <c r="AV431" s="450"/>
      <c r="AW431" s="450"/>
      <c r="AX431" s="450"/>
      <c r="AY431" s="450"/>
      <c r="AZ431" s="450"/>
      <c r="BA431" s="450"/>
      <c r="BB431" s="450"/>
      <c r="BC431" s="450"/>
      <c r="BD431" s="450"/>
      <c r="BE431" s="450"/>
      <c r="BF431" s="450"/>
      <c r="BG431" s="450"/>
      <c r="BH431" s="450"/>
      <c r="BI431" s="450"/>
      <c r="BJ431" s="450"/>
      <c r="BK431" s="450"/>
      <c r="BL431" s="450"/>
      <c r="BM431" s="450"/>
      <c r="BN431" s="450"/>
      <c r="BO431" s="450"/>
      <c r="BP431" s="450"/>
      <c r="BQ431" s="450"/>
      <c r="BR431" s="450"/>
      <c r="BS431" s="450"/>
      <c r="BT431" s="450"/>
      <c r="BU431" s="450"/>
      <c r="BV431" s="450"/>
      <c r="BW431" s="450"/>
      <c r="BX431" s="450"/>
      <c r="BY431" s="450"/>
      <c r="BZ431" s="450"/>
      <c r="CA431" s="450"/>
      <c r="CB431" s="450"/>
      <c r="CC431" s="450"/>
      <c r="CD431" s="450"/>
      <c r="CE431" s="450"/>
      <c r="CF431" s="450"/>
      <c r="CG431" s="450"/>
      <c r="CH431" s="450"/>
    </row>
    <row r="432">
      <c r="A432" s="450"/>
      <c r="B432" s="498"/>
      <c r="C432" s="455"/>
      <c r="D432" s="450"/>
      <c r="E432" s="450"/>
      <c r="F432" s="450"/>
      <c r="G432" s="450"/>
      <c r="H432" s="450"/>
      <c r="I432" s="450"/>
      <c r="J432" s="450"/>
      <c r="K432" s="450"/>
      <c r="L432" s="450"/>
      <c r="M432" s="450"/>
      <c r="N432" s="450"/>
      <c r="O432" s="450"/>
      <c r="P432" s="450"/>
      <c r="Q432" s="450"/>
      <c r="R432" s="450"/>
      <c r="S432" s="450"/>
      <c r="T432" s="450"/>
      <c r="U432" s="450"/>
      <c r="V432" s="450"/>
      <c r="W432" s="450"/>
      <c r="X432" s="450"/>
      <c r="Y432" s="450"/>
      <c r="Z432" s="450"/>
      <c r="AA432" s="450"/>
      <c r="AB432" s="450"/>
      <c r="AC432" s="450"/>
      <c r="AD432" s="450"/>
      <c r="AE432" s="450"/>
      <c r="AF432" s="450"/>
      <c r="AG432" s="450"/>
      <c r="AH432" s="450"/>
      <c r="AI432" s="450"/>
      <c r="AJ432" s="450"/>
      <c r="AK432" s="450"/>
      <c r="AL432" s="450"/>
      <c r="AM432" s="450"/>
      <c r="AN432" s="450"/>
      <c r="AO432" s="450"/>
      <c r="AP432" s="450"/>
      <c r="AQ432" s="450"/>
      <c r="AR432" s="450"/>
      <c r="AS432" s="450"/>
      <c r="AT432" s="450"/>
      <c r="AU432" s="450"/>
      <c r="AV432" s="450"/>
      <c r="AW432" s="450"/>
      <c r="AX432" s="450"/>
      <c r="AY432" s="450"/>
      <c r="AZ432" s="450"/>
      <c r="BA432" s="450"/>
      <c r="BB432" s="450"/>
      <c r="BC432" s="450"/>
      <c r="BD432" s="450"/>
      <c r="BE432" s="450"/>
      <c r="BF432" s="450"/>
      <c r="BG432" s="450"/>
      <c r="BH432" s="450"/>
      <c r="BI432" s="450"/>
      <c r="BJ432" s="450"/>
      <c r="BK432" s="450"/>
      <c r="BL432" s="450"/>
      <c r="BM432" s="450"/>
      <c r="BN432" s="450"/>
      <c r="BO432" s="450"/>
      <c r="BP432" s="450"/>
      <c r="BQ432" s="450"/>
      <c r="BR432" s="450"/>
      <c r="BS432" s="450"/>
      <c r="BT432" s="450"/>
      <c r="BU432" s="450"/>
      <c r="BV432" s="450"/>
      <c r="BW432" s="450"/>
      <c r="BX432" s="450"/>
      <c r="BY432" s="450"/>
      <c r="BZ432" s="450"/>
      <c r="CA432" s="450"/>
      <c r="CB432" s="450"/>
      <c r="CC432" s="450"/>
      <c r="CD432" s="450"/>
      <c r="CE432" s="450"/>
      <c r="CF432" s="450"/>
      <c r="CG432" s="450"/>
      <c r="CH432" s="450"/>
    </row>
    <row r="433">
      <c r="A433" s="450"/>
      <c r="B433" s="498"/>
      <c r="C433" s="455"/>
      <c r="D433" s="450"/>
      <c r="E433" s="450"/>
      <c r="F433" s="450"/>
      <c r="G433" s="450"/>
      <c r="H433" s="450"/>
      <c r="I433" s="450"/>
      <c r="J433" s="450"/>
      <c r="K433" s="450"/>
      <c r="L433" s="450"/>
      <c r="M433" s="450"/>
      <c r="N433" s="450"/>
      <c r="O433" s="450"/>
      <c r="P433" s="450"/>
      <c r="Q433" s="450"/>
      <c r="R433" s="450"/>
      <c r="S433" s="450"/>
      <c r="T433" s="450"/>
      <c r="U433" s="450"/>
      <c r="V433" s="450"/>
      <c r="W433" s="450"/>
      <c r="X433" s="450"/>
      <c r="Y433" s="450"/>
      <c r="Z433" s="450"/>
      <c r="AA433" s="450"/>
      <c r="AB433" s="450"/>
      <c r="AC433" s="450"/>
      <c r="AD433" s="450"/>
      <c r="AE433" s="450"/>
      <c r="AF433" s="450"/>
      <c r="AG433" s="450"/>
      <c r="AH433" s="450"/>
      <c r="AI433" s="450"/>
      <c r="AJ433" s="450"/>
      <c r="AK433" s="450"/>
      <c r="AL433" s="450"/>
      <c r="AM433" s="450"/>
      <c r="AN433" s="450"/>
      <c r="AO433" s="450"/>
      <c r="AP433" s="450"/>
      <c r="AQ433" s="450"/>
      <c r="AR433" s="450"/>
      <c r="AS433" s="450"/>
      <c r="AT433" s="450"/>
      <c r="AU433" s="450"/>
      <c r="AV433" s="450"/>
      <c r="AW433" s="450"/>
      <c r="AX433" s="450"/>
      <c r="AY433" s="450"/>
      <c r="AZ433" s="450"/>
      <c r="BA433" s="450"/>
      <c r="BB433" s="450"/>
      <c r="BC433" s="450"/>
      <c r="BD433" s="450"/>
      <c r="BE433" s="450"/>
      <c r="BF433" s="450"/>
      <c r="BG433" s="450"/>
      <c r="BH433" s="450"/>
      <c r="BI433" s="450"/>
      <c r="BJ433" s="450"/>
      <c r="BK433" s="450"/>
      <c r="BL433" s="450"/>
      <c r="BM433" s="450"/>
      <c r="BN433" s="450"/>
      <c r="BO433" s="450"/>
      <c r="BP433" s="450"/>
      <c r="BQ433" s="450"/>
      <c r="BR433" s="450"/>
      <c r="BS433" s="450"/>
      <c r="BT433" s="450"/>
      <c r="BU433" s="450"/>
      <c r="BV433" s="450"/>
      <c r="BW433" s="450"/>
      <c r="BX433" s="450"/>
      <c r="BY433" s="450"/>
      <c r="BZ433" s="450"/>
      <c r="CA433" s="450"/>
      <c r="CB433" s="450"/>
      <c r="CC433" s="450"/>
      <c r="CD433" s="450"/>
      <c r="CE433" s="450"/>
      <c r="CF433" s="450"/>
      <c r="CG433" s="450"/>
      <c r="CH433" s="450"/>
    </row>
    <row r="434">
      <c r="A434" s="450"/>
      <c r="B434" s="498"/>
      <c r="C434" s="455"/>
      <c r="D434" s="450"/>
      <c r="E434" s="450"/>
      <c r="F434" s="450"/>
      <c r="G434" s="450"/>
      <c r="H434" s="450"/>
      <c r="I434" s="450"/>
      <c r="J434" s="450"/>
      <c r="K434" s="450"/>
      <c r="L434" s="450"/>
      <c r="M434" s="450"/>
      <c r="N434" s="450"/>
      <c r="O434" s="450"/>
      <c r="P434" s="450"/>
      <c r="Q434" s="450"/>
      <c r="R434" s="450"/>
      <c r="S434" s="450"/>
      <c r="T434" s="450"/>
      <c r="U434" s="450"/>
      <c r="V434" s="450"/>
      <c r="W434" s="450"/>
      <c r="X434" s="450"/>
      <c r="Y434" s="450"/>
      <c r="Z434" s="450"/>
      <c r="AA434" s="450"/>
      <c r="AB434" s="450"/>
      <c r="AC434" s="450"/>
      <c r="AD434" s="450"/>
      <c r="AE434" s="450"/>
      <c r="AF434" s="450"/>
      <c r="AG434" s="450"/>
      <c r="AH434" s="450"/>
      <c r="AI434" s="450"/>
      <c r="AJ434" s="450"/>
      <c r="AK434" s="450"/>
      <c r="AL434" s="450"/>
      <c r="AM434" s="450"/>
      <c r="AN434" s="450"/>
      <c r="AO434" s="450"/>
      <c r="AP434" s="450"/>
      <c r="AQ434" s="450"/>
      <c r="AR434" s="450"/>
      <c r="AS434" s="450"/>
      <c r="AT434" s="450"/>
      <c r="AU434" s="450"/>
      <c r="AV434" s="450"/>
      <c r="AW434" s="450"/>
      <c r="AX434" s="450"/>
      <c r="AY434" s="450"/>
      <c r="AZ434" s="450"/>
      <c r="BA434" s="450"/>
      <c r="BB434" s="450"/>
      <c r="BC434" s="450"/>
      <c r="BD434" s="450"/>
      <c r="BE434" s="450"/>
      <c r="BF434" s="450"/>
      <c r="BG434" s="450"/>
      <c r="BH434" s="450"/>
      <c r="BI434" s="450"/>
      <c r="BJ434" s="450"/>
      <c r="BK434" s="450"/>
      <c r="BL434" s="450"/>
      <c r="BM434" s="450"/>
      <c r="BN434" s="450"/>
      <c r="BO434" s="450"/>
      <c r="BP434" s="450"/>
      <c r="BQ434" s="450"/>
      <c r="BR434" s="450"/>
      <c r="BS434" s="450"/>
      <c r="BT434" s="450"/>
      <c r="BU434" s="450"/>
      <c r="BV434" s="450"/>
      <c r="BW434" s="450"/>
      <c r="BX434" s="450"/>
      <c r="BY434" s="450"/>
      <c r="BZ434" s="450"/>
      <c r="CA434" s="450"/>
      <c r="CB434" s="450"/>
      <c r="CC434" s="450"/>
      <c r="CD434" s="450"/>
      <c r="CE434" s="450"/>
      <c r="CF434" s="450"/>
      <c r="CG434" s="450"/>
      <c r="CH434" s="450"/>
    </row>
    <row r="435">
      <c r="A435" s="450"/>
      <c r="B435" s="498"/>
      <c r="C435" s="455"/>
      <c r="D435" s="450"/>
      <c r="E435" s="450"/>
      <c r="F435" s="450"/>
      <c r="G435" s="450"/>
      <c r="H435" s="450"/>
      <c r="I435" s="450"/>
      <c r="J435" s="450"/>
      <c r="K435" s="450"/>
      <c r="L435" s="450"/>
      <c r="M435" s="450"/>
      <c r="N435" s="450"/>
      <c r="O435" s="450"/>
      <c r="P435" s="450"/>
      <c r="Q435" s="450"/>
      <c r="R435" s="450"/>
      <c r="S435" s="450"/>
      <c r="T435" s="450"/>
      <c r="U435" s="450"/>
      <c r="V435" s="450"/>
      <c r="W435" s="450"/>
      <c r="X435" s="450"/>
      <c r="Y435" s="450"/>
      <c r="Z435" s="450"/>
      <c r="AA435" s="450"/>
      <c r="AB435" s="450"/>
      <c r="AC435" s="450"/>
      <c r="AD435" s="450"/>
      <c r="AE435" s="450"/>
      <c r="AF435" s="450"/>
      <c r="AG435" s="450"/>
      <c r="AH435" s="450"/>
      <c r="AI435" s="450"/>
      <c r="AJ435" s="450"/>
      <c r="AK435" s="450"/>
      <c r="AL435" s="450"/>
      <c r="AM435" s="450"/>
      <c r="AN435" s="450"/>
      <c r="AO435" s="450"/>
      <c r="AP435" s="450"/>
      <c r="AQ435" s="450"/>
      <c r="AR435" s="450"/>
      <c r="AS435" s="450"/>
      <c r="AT435" s="450"/>
      <c r="AU435" s="450"/>
      <c r="AV435" s="450"/>
      <c r="AW435" s="450"/>
      <c r="AX435" s="450"/>
      <c r="AY435" s="450"/>
      <c r="AZ435" s="450"/>
      <c r="BA435" s="450"/>
      <c r="BB435" s="450"/>
      <c r="BC435" s="450"/>
      <c r="BD435" s="450"/>
      <c r="BE435" s="450"/>
      <c r="BF435" s="450"/>
      <c r="BG435" s="450"/>
      <c r="BH435" s="450"/>
      <c r="BI435" s="450"/>
      <c r="BJ435" s="450"/>
      <c r="BK435" s="450"/>
      <c r="BL435" s="450"/>
      <c r="BM435" s="450"/>
      <c r="BN435" s="450"/>
      <c r="BO435" s="450"/>
      <c r="BP435" s="450"/>
      <c r="BQ435" s="450"/>
      <c r="BR435" s="450"/>
      <c r="BS435" s="450"/>
      <c r="BT435" s="450"/>
      <c r="BU435" s="450"/>
      <c r="BV435" s="450"/>
      <c r="BW435" s="450"/>
      <c r="BX435" s="450"/>
      <c r="BY435" s="450"/>
      <c r="BZ435" s="450"/>
      <c r="CA435" s="450"/>
      <c r="CB435" s="450"/>
      <c r="CC435" s="450"/>
      <c r="CD435" s="450"/>
      <c r="CE435" s="450"/>
      <c r="CF435" s="450"/>
      <c r="CG435" s="450"/>
      <c r="CH435" s="450"/>
    </row>
    <row r="436">
      <c r="A436" s="450"/>
      <c r="B436" s="498"/>
      <c r="C436" s="455"/>
      <c r="D436" s="450"/>
      <c r="E436" s="450"/>
      <c r="F436" s="450"/>
      <c r="G436" s="450"/>
      <c r="H436" s="450"/>
      <c r="I436" s="450"/>
      <c r="J436" s="450"/>
      <c r="K436" s="450"/>
      <c r="L436" s="450"/>
      <c r="M436" s="450"/>
      <c r="N436" s="450"/>
      <c r="O436" s="450"/>
      <c r="P436" s="450"/>
      <c r="Q436" s="450"/>
      <c r="R436" s="450"/>
      <c r="S436" s="450"/>
      <c r="T436" s="450"/>
      <c r="U436" s="450"/>
      <c r="V436" s="450"/>
      <c r="W436" s="450"/>
      <c r="X436" s="450"/>
      <c r="Y436" s="450"/>
      <c r="Z436" s="450"/>
      <c r="AA436" s="450"/>
      <c r="AB436" s="450"/>
      <c r="AC436" s="450"/>
      <c r="AD436" s="450"/>
      <c r="AE436" s="450"/>
      <c r="AF436" s="450"/>
      <c r="AG436" s="450"/>
      <c r="AH436" s="450"/>
      <c r="AI436" s="450"/>
      <c r="AJ436" s="450"/>
      <c r="AK436" s="450"/>
      <c r="AL436" s="450"/>
      <c r="AM436" s="450"/>
      <c r="AN436" s="450"/>
      <c r="AO436" s="450"/>
      <c r="AP436" s="450"/>
      <c r="AQ436" s="450"/>
      <c r="AR436" s="450"/>
      <c r="AS436" s="450"/>
      <c r="AT436" s="450"/>
      <c r="AU436" s="450"/>
      <c r="AV436" s="450"/>
      <c r="AW436" s="450"/>
      <c r="AX436" s="450"/>
      <c r="AY436" s="450"/>
      <c r="AZ436" s="450"/>
      <c r="BA436" s="450"/>
      <c r="BB436" s="450"/>
      <c r="BC436" s="450"/>
      <c r="BD436" s="450"/>
      <c r="BE436" s="450"/>
      <c r="BF436" s="450"/>
      <c r="BG436" s="450"/>
      <c r="BH436" s="450"/>
      <c r="BI436" s="450"/>
      <c r="BJ436" s="450"/>
      <c r="BK436" s="450"/>
      <c r="BL436" s="450"/>
      <c r="BM436" s="450"/>
      <c r="BN436" s="450"/>
      <c r="BO436" s="450"/>
      <c r="BP436" s="450"/>
      <c r="BQ436" s="450"/>
      <c r="BR436" s="450"/>
      <c r="BS436" s="450"/>
      <c r="BT436" s="450"/>
      <c r="BU436" s="450"/>
      <c r="BV436" s="450"/>
      <c r="BW436" s="450"/>
      <c r="BX436" s="450"/>
      <c r="BY436" s="450"/>
      <c r="BZ436" s="450"/>
      <c r="CA436" s="450"/>
      <c r="CB436" s="450"/>
      <c r="CC436" s="450"/>
      <c r="CD436" s="450"/>
      <c r="CE436" s="450"/>
      <c r="CF436" s="450"/>
      <c r="CG436" s="450"/>
      <c r="CH436" s="450"/>
    </row>
    <row r="437">
      <c r="A437" s="450"/>
      <c r="B437" s="498"/>
      <c r="C437" s="455"/>
      <c r="D437" s="450"/>
      <c r="E437" s="450"/>
      <c r="F437" s="450"/>
      <c r="G437" s="450"/>
      <c r="H437" s="450"/>
      <c r="I437" s="450"/>
      <c r="J437" s="450"/>
      <c r="K437" s="450"/>
      <c r="L437" s="450"/>
      <c r="M437" s="450"/>
      <c r="N437" s="450"/>
      <c r="O437" s="450"/>
      <c r="P437" s="450"/>
      <c r="Q437" s="450"/>
      <c r="R437" s="450"/>
      <c r="S437" s="450"/>
      <c r="T437" s="450"/>
      <c r="U437" s="450"/>
      <c r="V437" s="450"/>
      <c r="W437" s="450"/>
      <c r="X437" s="450"/>
      <c r="Y437" s="450"/>
      <c r="Z437" s="450"/>
      <c r="AA437" s="450"/>
      <c r="AB437" s="450"/>
      <c r="AC437" s="450"/>
      <c r="AD437" s="450"/>
      <c r="AE437" s="450"/>
      <c r="AF437" s="450"/>
      <c r="AG437" s="450"/>
      <c r="AH437" s="450"/>
      <c r="AI437" s="450"/>
      <c r="AJ437" s="450"/>
      <c r="AK437" s="450"/>
      <c r="AL437" s="450"/>
      <c r="AM437" s="450"/>
      <c r="AN437" s="450"/>
      <c r="AO437" s="450"/>
      <c r="AP437" s="450"/>
      <c r="AQ437" s="450"/>
      <c r="AR437" s="450"/>
      <c r="AS437" s="450"/>
      <c r="AT437" s="450"/>
      <c r="AU437" s="450"/>
      <c r="AV437" s="450"/>
      <c r="AW437" s="450"/>
      <c r="AX437" s="450"/>
      <c r="AY437" s="450"/>
      <c r="AZ437" s="450"/>
      <c r="BA437" s="450"/>
      <c r="BB437" s="450"/>
      <c r="BC437" s="450"/>
      <c r="BD437" s="450"/>
      <c r="BE437" s="450"/>
      <c r="BF437" s="450"/>
      <c r="BG437" s="450"/>
      <c r="BH437" s="450"/>
      <c r="BI437" s="450"/>
      <c r="BJ437" s="450"/>
      <c r="BK437" s="450"/>
      <c r="BL437" s="450"/>
      <c r="BM437" s="450"/>
      <c r="BN437" s="450"/>
      <c r="BO437" s="450"/>
      <c r="BP437" s="450"/>
      <c r="BQ437" s="450"/>
      <c r="BR437" s="450"/>
      <c r="BS437" s="450"/>
      <c r="BT437" s="450"/>
      <c r="BU437" s="450"/>
      <c r="BV437" s="450"/>
      <c r="BW437" s="450"/>
      <c r="BX437" s="450"/>
      <c r="BY437" s="450"/>
      <c r="BZ437" s="450"/>
      <c r="CA437" s="450"/>
      <c r="CB437" s="450"/>
      <c r="CC437" s="450"/>
      <c r="CD437" s="450"/>
      <c r="CE437" s="450"/>
      <c r="CF437" s="450"/>
      <c r="CG437" s="450"/>
      <c r="CH437" s="450"/>
    </row>
    <row r="438">
      <c r="A438" s="450"/>
      <c r="B438" s="498"/>
      <c r="C438" s="455"/>
      <c r="D438" s="450"/>
      <c r="E438" s="450"/>
      <c r="F438" s="450"/>
      <c r="G438" s="450"/>
      <c r="H438" s="450"/>
      <c r="I438" s="450"/>
      <c r="J438" s="450"/>
      <c r="K438" s="450"/>
      <c r="L438" s="450"/>
      <c r="M438" s="450"/>
      <c r="N438" s="450"/>
      <c r="O438" s="450"/>
      <c r="P438" s="450"/>
      <c r="Q438" s="450"/>
      <c r="R438" s="450"/>
      <c r="S438" s="450"/>
      <c r="T438" s="450"/>
      <c r="U438" s="450"/>
      <c r="V438" s="450"/>
      <c r="W438" s="450"/>
      <c r="X438" s="450"/>
      <c r="Y438" s="450"/>
      <c r="Z438" s="450"/>
      <c r="AA438" s="450"/>
      <c r="AB438" s="450"/>
      <c r="AC438" s="450"/>
      <c r="AD438" s="450"/>
      <c r="AE438" s="450"/>
      <c r="AF438" s="450"/>
      <c r="AG438" s="450"/>
      <c r="AH438" s="450"/>
      <c r="AI438" s="450"/>
      <c r="AJ438" s="450"/>
      <c r="AK438" s="450"/>
      <c r="AL438" s="450"/>
      <c r="AM438" s="450"/>
      <c r="AN438" s="450"/>
      <c r="AO438" s="450"/>
      <c r="AP438" s="450"/>
      <c r="AQ438" s="450"/>
      <c r="AR438" s="450"/>
      <c r="AS438" s="450"/>
      <c r="AT438" s="450"/>
      <c r="AU438" s="450"/>
      <c r="AV438" s="450"/>
      <c r="AW438" s="450"/>
      <c r="AX438" s="450"/>
      <c r="AY438" s="450"/>
      <c r="AZ438" s="450"/>
      <c r="BA438" s="450"/>
      <c r="BB438" s="450"/>
      <c r="BC438" s="450"/>
      <c r="BD438" s="450"/>
      <c r="BE438" s="450"/>
      <c r="BF438" s="450"/>
      <c r="BG438" s="450"/>
      <c r="BH438" s="450"/>
      <c r="BI438" s="450"/>
      <c r="BJ438" s="450"/>
      <c r="BK438" s="450"/>
      <c r="BL438" s="450"/>
      <c r="BM438" s="450"/>
      <c r="BN438" s="450"/>
      <c r="BO438" s="450"/>
      <c r="BP438" s="450"/>
      <c r="BQ438" s="450"/>
      <c r="BR438" s="450"/>
      <c r="BS438" s="450"/>
      <c r="BT438" s="450"/>
      <c r="BU438" s="450"/>
      <c r="BV438" s="450"/>
      <c r="BW438" s="450"/>
      <c r="BX438" s="450"/>
      <c r="BY438" s="450"/>
      <c r="BZ438" s="450"/>
      <c r="CA438" s="450"/>
      <c r="CB438" s="450"/>
      <c r="CC438" s="450"/>
      <c r="CD438" s="450"/>
      <c r="CE438" s="450"/>
      <c r="CF438" s="450"/>
      <c r="CG438" s="450"/>
      <c r="CH438" s="450"/>
    </row>
    <row r="439">
      <c r="A439" s="450"/>
      <c r="B439" s="498"/>
      <c r="C439" s="455"/>
      <c r="D439" s="450"/>
      <c r="E439" s="450"/>
      <c r="F439" s="450"/>
      <c r="G439" s="450"/>
      <c r="H439" s="450"/>
      <c r="I439" s="450"/>
      <c r="J439" s="450"/>
      <c r="K439" s="450"/>
      <c r="L439" s="450"/>
      <c r="M439" s="450"/>
      <c r="N439" s="450"/>
      <c r="O439" s="450"/>
      <c r="P439" s="450"/>
      <c r="Q439" s="450"/>
      <c r="R439" s="450"/>
      <c r="S439" s="450"/>
      <c r="T439" s="450"/>
      <c r="U439" s="450"/>
      <c r="V439" s="450"/>
      <c r="W439" s="450"/>
      <c r="X439" s="450"/>
      <c r="Y439" s="450"/>
      <c r="Z439" s="450"/>
      <c r="AA439" s="450"/>
      <c r="AB439" s="450"/>
      <c r="AC439" s="450"/>
      <c r="AD439" s="450"/>
      <c r="AE439" s="450"/>
      <c r="AF439" s="450"/>
      <c r="AG439" s="450"/>
      <c r="AH439" s="450"/>
      <c r="AI439" s="450"/>
      <c r="AJ439" s="450"/>
      <c r="AK439" s="450"/>
      <c r="AL439" s="450"/>
      <c r="AM439" s="450"/>
      <c r="AN439" s="450"/>
      <c r="AO439" s="450"/>
      <c r="AP439" s="450"/>
      <c r="AQ439" s="450"/>
      <c r="AR439" s="450"/>
      <c r="AS439" s="450"/>
      <c r="AT439" s="450"/>
      <c r="AU439" s="450"/>
      <c r="AV439" s="450"/>
      <c r="AW439" s="450"/>
      <c r="AX439" s="450"/>
      <c r="AY439" s="450"/>
      <c r="AZ439" s="450"/>
      <c r="BA439" s="450"/>
      <c r="BB439" s="450"/>
      <c r="BC439" s="450"/>
      <c r="BD439" s="450"/>
      <c r="BE439" s="450"/>
      <c r="BF439" s="450"/>
      <c r="BG439" s="450"/>
      <c r="BH439" s="450"/>
      <c r="BI439" s="450"/>
      <c r="BJ439" s="450"/>
      <c r="BK439" s="450"/>
      <c r="BL439" s="450"/>
      <c r="BM439" s="450"/>
      <c r="BN439" s="450"/>
      <c r="BO439" s="450"/>
      <c r="BP439" s="450"/>
      <c r="BQ439" s="450"/>
      <c r="BR439" s="450"/>
      <c r="BS439" s="450"/>
      <c r="BT439" s="450"/>
      <c r="BU439" s="450"/>
      <c r="BV439" s="450"/>
      <c r="BW439" s="450"/>
      <c r="BX439" s="450"/>
      <c r="BY439" s="450"/>
      <c r="BZ439" s="450"/>
      <c r="CA439" s="450"/>
      <c r="CB439" s="450"/>
      <c r="CC439" s="450"/>
      <c r="CD439" s="450"/>
      <c r="CE439" s="450"/>
      <c r="CF439" s="450"/>
      <c r="CG439" s="450"/>
      <c r="CH439" s="450"/>
    </row>
    <row r="440">
      <c r="A440" s="450"/>
      <c r="B440" s="498"/>
      <c r="C440" s="455"/>
      <c r="D440" s="450"/>
      <c r="E440" s="450"/>
      <c r="F440" s="450"/>
      <c r="G440" s="450"/>
      <c r="H440" s="450"/>
      <c r="I440" s="450"/>
      <c r="J440" s="450"/>
      <c r="K440" s="450"/>
      <c r="L440" s="450"/>
      <c r="M440" s="450"/>
      <c r="N440" s="450"/>
      <c r="O440" s="450"/>
      <c r="P440" s="450"/>
      <c r="Q440" s="450"/>
      <c r="R440" s="450"/>
      <c r="S440" s="450"/>
      <c r="T440" s="450"/>
      <c r="U440" s="450"/>
      <c r="V440" s="450"/>
      <c r="W440" s="450"/>
      <c r="X440" s="450"/>
      <c r="Y440" s="450"/>
      <c r="Z440" s="450"/>
      <c r="AA440" s="450"/>
      <c r="AB440" s="450"/>
      <c r="AC440" s="450"/>
      <c r="AD440" s="450"/>
      <c r="AE440" s="450"/>
      <c r="AF440" s="450"/>
      <c r="AG440" s="450"/>
      <c r="AH440" s="450"/>
      <c r="AI440" s="450"/>
      <c r="AJ440" s="450"/>
      <c r="AK440" s="450"/>
      <c r="AL440" s="450"/>
      <c r="AM440" s="450"/>
      <c r="AN440" s="450"/>
      <c r="AO440" s="450"/>
      <c r="AP440" s="450"/>
      <c r="AQ440" s="450"/>
      <c r="AR440" s="450"/>
      <c r="AS440" s="450"/>
      <c r="AT440" s="450"/>
      <c r="AU440" s="450"/>
      <c r="AV440" s="450"/>
      <c r="AW440" s="450"/>
      <c r="AX440" s="450"/>
      <c r="AY440" s="450"/>
      <c r="AZ440" s="450"/>
      <c r="BA440" s="450"/>
      <c r="BB440" s="450"/>
      <c r="BC440" s="450"/>
      <c r="BD440" s="450"/>
      <c r="BE440" s="450"/>
      <c r="BF440" s="450"/>
      <c r="BG440" s="450"/>
      <c r="BH440" s="450"/>
      <c r="BI440" s="450"/>
      <c r="BJ440" s="450"/>
      <c r="BK440" s="450"/>
      <c r="BL440" s="450"/>
      <c r="BM440" s="450"/>
      <c r="BN440" s="450"/>
      <c r="BO440" s="450"/>
      <c r="BP440" s="450"/>
      <c r="BQ440" s="450"/>
      <c r="BR440" s="450"/>
      <c r="BS440" s="450"/>
      <c r="BT440" s="450"/>
      <c r="BU440" s="450"/>
      <c r="BV440" s="450"/>
      <c r="BW440" s="450"/>
      <c r="BX440" s="450"/>
      <c r="BY440" s="450"/>
      <c r="BZ440" s="450"/>
      <c r="CA440" s="450"/>
      <c r="CB440" s="450"/>
      <c r="CC440" s="450"/>
      <c r="CD440" s="450"/>
      <c r="CE440" s="450"/>
      <c r="CF440" s="450"/>
      <c r="CG440" s="450"/>
      <c r="CH440" s="450"/>
    </row>
    <row r="441">
      <c r="A441" s="450"/>
      <c r="B441" s="498"/>
      <c r="C441" s="455"/>
      <c r="D441" s="450"/>
      <c r="E441" s="450"/>
      <c r="F441" s="450"/>
      <c r="G441" s="450"/>
      <c r="H441" s="450"/>
      <c r="I441" s="450"/>
      <c r="J441" s="450"/>
      <c r="K441" s="450"/>
      <c r="L441" s="450"/>
      <c r="M441" s="450"/>
      <c r="N441" s="450"/>
      <c r="O441" s="450"/>
      <c r="P441" s="450"/>
      <c r="Q441" s="450"/>
      <c r="R441" s="450"/>
      <c r="S441" s="450"/>
      <c r="T441" s="450"/>
      <c r="U441" s="450"/>
      <c r="V441" s="450"/>
      <c r="W441" s="450"/>
      <c r="X441" s="450"/>
      <c r="Y441" s="450"/>
      <c r="Z441" s="450"/>
      <c r="AA441" s="450"/>
      <c r="AB441" s="450"/>
      <c r="AC441" s="450"/>
      <c r="AD441" s="450"/>
      <c r="AE441" s="450"/>
      <c r="AF441" s="450"/>
      <c r="AG441" s="450"/>
      <c r="AH441" s="450"/>
      <c r="AI441" s="450"/>
      <c r="AJ441" s="450"/>
      <c r="AK441" s="450"/>
      <c r="AL441" s="450"/>
      <c r="AM441" s="450"/>
      <c r="AN441" s="450"/>
      <c r="AO441" s="450"/>
      <c r="AP441" s="450"/>
      <c r="AQ441" s="450"/>
      <c r="AR441" s="450"/>
      <c r="AS441" s="450"/>
      <c r="AT441" s="450"/>
      <c r="AU441" s="450"/>
      <c r="AV441" s="450"/>
      <c r="AW441" s="450"/>
      <c r="AX441" s="450"/>
      <c r="AY441" s="450"/>
      <c r="AZ441" s="450"/>
      <c r="BA441" s="450"/>
      <c r="BB441" s="450"/>
      <c r="BC441" s="450"/>
      <c r="BD441" s="450"/>
      <c r="BE441" s="450"/>
      <c r="BF441" s="450"/>
      <c r="BG441" s="450"/>
      <c r="BH441" s="450"/>
      <c r="BI441" s="450"/>
      <c r="BJ441" s="450"/>
      <c r="BK441" s="450"/>
      <c r="BL441" s="450"/>
      <c r="BM441" s="450"/>
      <c r="BN441" s="450"/>
      <c r="BO441" s="450"/>
      <c r="BP441" s="450"/>
      <c r="BQ441" s="450"/>
      <c r="BR441" s="450"/>
      <c r="BS441" s="450"/>
      <c r="BT441" s="450"/>
      <c r="BU441" s="450"/>
      <c r="BV441" s="450"/>
      <c r="BW441" s="450"/>
      <c r="BX441" s="450"/>
      <c r="BY441" s="450"/>
      <c r="BZ441" s="450"/>
      <c r="CA441" s="450"/>
      <c r="CB441" s="450"/>
      <c r="CC441" s="450"/>
      <c r="CD441" s="450"/>
      <c r="CE441" s="450"/>
      <c r="CF441" s="450"/>
      <c r="CG441" s="450"/>
      <c r="CH441" s="450"/>
    </row>
    <row r="442">
      <c r="A442" s="450"/>
      <c r="B442" s="498"/>
      <c r="C442" s="455"/>
      <c r="D442" s="450"/>
      <c r="E442" s="450"/>
      <c r="F442" s="450"/>
      <c r="G442" s="450"/>
      <c r="H442" s="450"/>
      <c r="I442" s="450"/>
      <c r="J442" s="450"/>
      <c r="K442" s="450"/>
      <c r="L442" s="450"/>
      <c r="M442" s="450"/>
      <c r="N442" s="450"/>
      <c r="O442" s="450"/>
      <c r="P442" s="450"/>
      <c r="Q442" s="450"/>
      <c r="R442" s="450"/>
      <c r="S442" s="450"/>
      <c r="T442" s="450"/>
      <c r="U442" s="450"/>
      <c r="V442" s="450"/>
      <c r="W442" s="450"/>
      <c r="X442" s="450"/>
      <c r="Y442" s="450"/>
      <c r="Z442" s="450"/>
      <c r="AA442" s="450"/>
      <c r="AB442" s="450"/>
      <c r="AC442" s="450"/>
      <c r="AD442" s="450"/>
      <c r="AE442" s="450"/>
      <c r="AF442" s="450"/>
      <c r="AG442" s="450"/>
      <c r="AH442" s="450"/>
      <c r="AI442" s="450"/>
      <c r="AJ442" s="450"/>
      <c r="AK442" s="450"/>
      <c r="AL442" s="450"/>
      <c r="AM442" s="450"/>
      <c r="AN442" s="450"/>
      <c r="AO442" s="450"/>
      <c r="AP442" s="450"/>
      <c r="AQ442" s="450"/>
      <c r="AR442" s="450"/>
      <c r="AS442" s="450"/>
      <c r="AT442" s="450"/>
      <c r="AU442" s="450"/>
      <c r="AV442" s="450"/>
      <c r="AW442" s="450"/>
      <c r="AX442" s="450"/>
      <c r="AY442" s="450"/>
      <c r="AZ442" s="450"/>
      <c r="BA442" s="450"/>
      <c r="BB442" s="450"/>
      <c r="BC442" s="450"/>
      <c r="BD442" s="450"/>
      <c r="BE442" s="450"/>
      <c r="BF442" s="450"/>
      <c r="BG442" s="450"/>
      <c r="BH442" s="450"/>
      <c r="BI442" s="450"/>
      <c r="BJ442" s="450"/>
      <c r="BK442" s="450"/>
      <c r="BL442" s="450"/>
      <c r="BM442" s="450"/>
      <c r="BN442" s="450"/>
      <c r="BO442" s="450"/>
      <c r="BP442" s="450"/>
      <c r="BQ442" s="450"/>
      <c r="BR442" s="450"/>
      <c r="BS442" s="450"/>
      <c r="BT442" s="450"/>
      <c r="BU442" s="450"/>
      <c r="BV442" s="450"/>
      <c r="BW442" s="450"/>
      <c r="BX442" s="450"/>
      <c r="BY442" s="450"/>
      <c r="BZ442" s="450"/>
      <c r="CA442" s="450"/>
      <c r="CB442" s="450"/>
      <c r="CC442" s="450"/>
      <c r="CD442" s="450"/>
      <c r="CE442" s="450"/>
      <c r="CF442" s="450"/>
      <c r="CG442" s="450"/>
      <c r="CH442" s="450"/>
    </row>
    <row r="443">
      <c r="A443" s="450"/>
      <c r="B443" s="498"/>
      <c r="C443" s="455"/>
      <c r="D443" s="450"/>
      <c r="E443" s="450"/>
      <c r="F443" s="450"/>
      <c r="G443" s="450"/>
      <c r="H443" s="450"/>
      <c r="I443" s="450"/>
      <c r="J443" s="450"/>
      <c r="K443" s="450"/>
      <c r="L443" s="450"/>
      <c r="M443" s="450"/>
      <c r="N443" s="450"/>
      <c r="O443" s="450"/>
      <c r="P443" s="450"/>
      <c r="Q443" s="450"/>
      <c r="R443" s="450"/>
      <c r="S443" s="450"/>
      <c r="T443" s="450"/>
      <c r="U443" s="450"/>
      <c r="V443" s="450"/>
      <c r="W443" s="450"/>
      <c r="X443" s="450"/>
      <c r="Y443" s="450"/>
      <c r="Z443" s="450"/>
      <c r="AA443" s="450"/>
      <c r="AB443" s="450"/>
      <c r="AC443" s="450"/>
      <c r="AD443" s="450"/>
      <c r="AE443" s="450"/>
      <c r="AF443" s="450"/>
      <c r="AG443" s="450"/>
      <c r="AH443" s="450"/>
      <c r="AI443" s="450"/>
      <c r="AJ443" s="450"/>
      <c r="AK443" s="450"/>
      <c r="AL443" s="450"/>
      <c r="AM443" s="450"/>
      <c r="AN443" s="450"/>
      <c r="AO443" s="450"/>
      <c r="AP443" s="450"/>
      <c r="AQ443" s="450"/>
      <c r="AR443" s="450"/>
      <c r="AS443" s="450"/>
      <c r="AT443" s="450"/>
      <c r="AU443" s="450"/>
      <c r="AV443" s="450"/>
      <c r="AW443" s="450"/>
      <c r="AX443" s="450"/>
      <c r="AY443" s="450"/>
      <c r="AZ443" s="450"/>
      <c r="BA443" s="450"/>
      <c r="BB443" s="450"/>
      <c r="BC443" s="450"/>
      <c r="BD443" s="450"/>
      <c r="BE443" s="450"/>
      <c r="BF443" s="450"/>
      <c r="BG443" s="450"/>
      <c r="BH443" s="450"/>
      <c r="BI443" s="450"/>
      <c r="BJ443" s="450"/>
      <c r="BK443" s="450"/>
      <c r="BL443" s="450"/>
      <c r="BM443" s="450"/>
      <c r="BN443" s="450"/>
      <c r="BO443" s="450"/>
      <c r="BP443" s="450"/>
      <c r="BQ443" s="450"/>
      <c r="BR443" s="450"/>
      <c r="BS443" s="450"/>
      <c r="BT443" s="450"/>
      <c r="BU443" s="450"/>
      <c r="BV443" s="450"/>
      <c r="BW443" s="450"/>
      <c r="BX443" s="450"/>
      <c r="BY443" s="450"/>
      <c r="BZ443" s="450"/>
      <c r="CA443" s="450"/>
      <c r="CB443" s="450"/>
      <c r="CC443" s="450"/>
      <c r="CD443" s="450"/>
      <c r="CE443" s="450"/>
      <c r="CF443" s="450"/>
      <c r="CG443" s="450"/>
      <c r="CH443" s="450"/>
    </row>
    <row r="444">
      <c r="A444" s="450"/>
      <c r="B444" s="498"/>
      <c r="C444" s="455"/>
      <c r="D444" s="450"/>
      <c r="E444" s="450"/>
      <c r="F444" s="450"/>
      <c r="G444" s="450"/>
      <c r="H444" s="450"/>
      <c r="I444" s="450"/>
      <c r="J444" s="450"/>
      <c r="K444" s="450"/>
      <c r="L444" s="450"/>
      <c r="M444" s="450"/>
      <c r="N444" s="450"/>
      <c r="O444" s="450"/>
      <c r="P444" s="450"/>
      <c r="Q444" s="450"/>
      <c r="R444" s="450"/>
      <c r="S444" s="450"/>
      <c r="T444" s="450"/>
      <c r="U444" s="450"/>
      <c r="V444" s="450"/>
      <c r="W444" s="450"/>
      <c r="X444" s="450"/>
      <c r="Y444" s="450"/>
      <c r="Z444" s="450"/>
      <c r="AA444" s="450"/>
      <c r="AB444" s="450"/>
      <c r="AC444" s="450"/>
      <c r="AD444" s="450"/>
      <c r="AE444" s="450"/>
      <c r="AF444" s="450"/>
      <c r="AG444" s="450"/>
      <c r="AH444" s="450"/>
      <c r="AI444" s="450"/>
      <c r="AJ444" s="450"/>
      <c r="AK444" s="450"/>
      <c r="AL444" s="450"/>
      <c r="AM444" s="450"/>
      <c r="AN444" s="450"/>
      <c r="AO444" s="450"/>
      <c r="AP444" s="450"/>
      <c r="AQ444" s="450"/>
      <c r="AR444" s="450"/>
      <c r="AS444" s="450"/>
      <c r="AT444" s="450"/>
      <c r="AU444" s="450"/>
      <c r="AV444" s="450"/>
      <c r="AW444" s="450"/>
      <c r="AX444" s="450"/>
      <c r="AY444" s="450"/>
      <c r="AZ444" s="450"/>
      <c r="BA444" s="450"/>
      <c r="BB444" s="450"/>
      <c r="BC444" s="450"/>
      <c r="BD444" s="450"/>
      <c r="BE444" s="450"/>
      <c r="BF444" s="450"/>
      <c r="BG444" s="450"/>
      <c r="BH444" s="450"/>
      <c r="BI444" s="450"/>
      <c r="BJ444" s="450"/>
      <c r="BK444" s="450"/>
      <c r="BL444" s="450"/>
      <c r="BM444" s="450"/>
      <c r="BN444" s="450"/>
      <c r="BO444" s="450"/>
      <c r="BP444" s="450"/>
      <c r="BQ444" s="450"/>
      <c r="BR444" s="450"/>
      <c r="BS444" s="450"/>
      <c r="BT444" s="450"/>
      <c r="BU444" s="450"/>
      <c r="BV444" s="450"/>
      <c r="BW444" s="450"/>
      <c r="BX444" s="450"/>
      <c r="BY444" s="450"/>
      <c r="BZ444" s="450"/>
      <c r="CA444" s="450"/>
      <c r="CB444" s="450"/>
      <c r="CC444" s="450"/>
      <c r="CD444" s="450"/>
      <c r="CE444" s="450"/>
      <c r="CF444" s="450"/>
      <c r="CG444" s="450"/>
      <c r="CH444" s="450"/>
    </row>
    <row r="445">
      <c r="A445" s="450"/>
      <c r="B445" s="498"/>
      <c r="C445" s="455"/>
      <c r="D445" s="450"/>
      <c r="E445" s="450"/>
      <c r="F445" s="450"/>
      <c r="G445" s="450"/>
      <c r="H445" s="450"/>
      <c r="I445" s="450"/>
      <c r="J445" s="450"/>
      <c r="K445" s="450"/>
      <c r="L445" s="450"/>
      <c r="M445" s="450"/>
      <c r="N445" s="450"/>
      <c r="O445" s="450"/>
      <c r="P445" s="450"/>
      <c r="Q445" s="450"/>
      <c r="R445" s="450"/>
      <c r="S445" s="450"/>
      <c r="T445" s="450"/>
      <c r="U445" s="450"/>
      <c r="V445" s="450"/>
      <c r="W445" s="450"/>
      <c r="X445" s="450"/>
      <c r="Y445" s="450"/>
      <c r="Z445" s="450"/>
      <c r="AA445" s="450"/>
      <c r="AB445" s="450"/>
      <c r="AC445" s="450"/>
      <c r="AD445" s="450"/>
      <c r="AE445" s="450"/>
      <c r="AF445" s="450"/>
      <c r="AG445" s="450"/>
      <c r="AH445" s="450"/>
      <c r="AI445" s="450"/>
      <c r="AJ445" s="450"/>
      <c r="AK445" s="450"/>
      <c r="AL445" s="450"/>
      <c r="AM445" s="450"/>
      <c r="AN445" s="450"/>
      <c r="AO445" s="450"/>
      <c r="AP445" s="450"/>
      <c r="AQ445" s="450"/>
      <c r="AR445" s="450"/>
      <c r="AS445" s="450"/>
      <c r="AT445" s="450"/>
      <c r="AU445" s="450"/>
      <c r="AV445" s="450"/>
      <c r="AW445" s="450"/>
      <c r="AX445" s="450"/>
      <c r="AY445" s="450"/>
      <c r="AZ445" s="450"/>
      <c r="BA445" s="450"/>
      <c r="BB445" s="450"/>
      <c r="BC445" s="450"/>
      <c r="BD445" s="450"/>
      <c r="BE445" s="450"/>
      <c r="BF445" s="450"/>
      <c r="BG445" s="450"/>
      <c r="BH445" s="450"/>
      <c r="BI445" s="450"/>
      <c r="BJ445" s="450"/>
      <c r="BK445" s="450"/>
      <c r="BL445" s="450"/>
      <c r="BM445" s="450"/>
      <c r="BN445" s="450"/>
      <c r="BO445" s="450"/>
      <c r="BP445" s="450"/>
      <c r="BQ445" s="450"/>
      <c r="BR445" s="450"/>
      <c r="BS445" s="450"/>
      <c r="BT445" s="450"/>
      <c r="BU445" s="450"/>
      <c r="BV445" s="450"/>
      <c r="BW445" s="450"/>
      <c r="BX445" s="450"/>
      <c r="BY445" s="450"/>
      <c r="BZ445" s="450"/>
      <c r="CA445" s="450"/>
      <c r="CB445" s="450"/>
      <c r="CC445" s="450"/>
      <c r="CD445" s="450"/>
      <c r="CE445" s="450"/>
      <c r="CF445" s="450"/>
      <c r="CG445" s="450"/>
      <c r="CH445" s="450"/>
    </row>
    <row r="446">
      <c r="A446" s="450"/>
      <c r="B446" s="498"/>
      <c r="C446" s="455"/>
      <c r="D446" s="450"/>
      <c r="E446" s="450"/>
      <c r="F446" s="450"/>
      <c r="G446" s="450"/>
      <c r="H446" s="450"/>
      <c r="I446" s="450"/>
      <c r="J446" s="450"/>
      <c r="K446" s="450"/>
      <c r="L446" s="450"/>
      <c r="M446" s="450"/>
      <c r="N446" s="450"/>
      <c r="O446" s="450"/>
      <c r="P446" s="450"/>
      <c r="Q446" s="450"/>
      <c r="R446" s="450"/>
      <c r="S446" s="450"/>
      <c r="T446" s="450"/>
      <c r="U446" s="450"/>
      <c r="V446" s="450"/>
      <c r="W446" s="450"/>
      <c r="X446" s="450"/>
      <c r="Y446" s="450"/>
      <c r="Z446" s="450"/>
      <c r="AA446" s="450"/>
      <c r="AB446" s="450"/>
      <c r="AC446" s="450"/>
      <c r="AD446" s="450"/>
      <c r="AE446" s="450"/>
      <c r="AF446" s="450"/>
      <c r="AG446" s="450"/>
      <c r="AH446" s="450"/>
      <c r="AI446" s="450"/>
      <c r="AJ446" s="450"/>
      <c r="AK446" s="450"/>
      <c r="AL446" s="450"/>
      <c r="AM446" s="450"/>
      <c r="AN446" s="450"/>
      <c r="AO446" s="450"/>
      <c r="AP446" s="450"/>
      <c r="AQ446" s="450"/>
      <c r="AR446" s="450"/>
      <c r="AS446" s="450"/>
      <c r="AT446" s="450"/>
      <c r="AU446" s="450"/>
      <c r="AV446" s="450"/>
      <c r="AW446" s="450"/>
      <c r="AX446" s="450"/>
      <c r="AY446" s="450"/>
      <c r="AZ446" s="450"/>
      <c r="BA446" s="450"/>
      <c r="BB446" s="450"/>
      <c r="BC446" s="450"/>
      <c r="BD446" s="450"/>
      <c r="BE446" s="450"/>
      <c r="BF446" s="450"/>
      <c r="BG446" s="450"/>
      <c r="BH446" s="450"/>
      <c r="BI446" s="450"/>
      <c r="BJ446" s="450"/>
      <c r="BK446" s="450"/>
      <c r="BL446" s="450"/>
      <c r="BM446" s="450"/>
      <c r="BN446" s="450"/>
      <c r="BO446" s="450"/>
      <c r="BP446" s="450"/>
      <c r="BQ446" s="450"/>
      <c r="BR446" s="450"/>
      <c r="BS446" s="450"/>
      <c r="BT446" s="450"/>
      <c r="BU446" s="450"/>
      <c r="BV446" s="450"/>
      <c r="BW446" s="450"/>
      <c r="BX446" s="450"/>
      <c r="BY446" s="450"/>
      <c r="BZ446" s="450"/>
      <c r="CA446" s="450"/>
      <c r="CB446" s="450"/>
      <c r="CC446" s="450"/>
      <c r="CD446" s="450"/>
      <c r="CE446" s="450"/>
      <c r="CF446" s="450"/>
      <c r="CG446" s="450"/>
      <c r="CH446" s="450"/>
    </row>
    <row r="447">
      <c r="A447" s="450"/>
      <c r="B447" s="498"/>
      <c r="C447" s="455"/>
      <c r="D447" s="450"/>
      <c r="E447" s="450"/>
      <c r="F447" s="450"/>
      <c r="G447" s="450"/>
      <c r="H447" s="450"/>
      <c r="I447" s="450"/>
      <c r="J447" s="450"/>
      <c r="K447" s="450"/>
      <c r="L447" s="450"/>
      <c r="M447" s="450"/>
      <c r="N447" s="450"/>
      <c r="O447" s="450"/>
      <c r="P447" s="450"/>
      <c r="Q447" s="450"/>
      <c r="R447" s="450"/>
      <c r="S447" s="450"/>
      <c r="T447" s="450"/>
      <c r="U447" s="450"/>
      <c r="V447" s="450"/>
      <c r="W447" s="450"/>
      <c r="X447" s="450"/>
      <c r="Y447" s="450"/>
      <c r="Z447" s="450"/>
      <c r="AA447" s="450"/>
      <c r="AB447" s="450"/>
      <c r="AC447" s="450"/>
      <c r="AD447" s="450"/>
      <c r="AE447" s="450"/>
      <c r="AF447" s="450"/>
      <c r="AG447" s="450"/>
      <c r="AH447" s="450"/>
      <c r="AI447" s="450"/>
      <c r="AJ447" s="450"/>
      <c r="AK447" s="450"/>
      <c r="AL447" s="450"/>
      <c r="AM447" s="450"/>
      <c r="AN447" s="450"/>
      <c r="AO447" s="450"/>
      <c r="AP447" s="450"/>
      <c r="AQ447" s="450"/>
      <c r="AR447" s="450"/>
      <c r="AS447" s="450"/>
      <c r="AT447" s="450"/>
      <c r="AU447" s="450"/>
      <c r="AV447" s="450"/>
      <c r="AW447" s="450"/>
      <c r="AX447" s="450"/>
      <c r="AY447" s="450"/>
      <c r="AZ447" s="450"/>
      <c r="BA447" s="450"/>
      <c r="BB447" s="450"/>
      <c r="BC447" s="450"/>
      <c r="BD447" s="450"/>
      <c r="BE447" s="450"/>
      <c r="BF447" s="450"/>
      <c r="BG447" s="450"/>
      <c r="BH447" s="450"/>
      <c r="BI447" s="450"/>
      <c r="BJ447" s="450"/>
      <c r="BK447" s="450"/>
      <c r="BL447" s="450"/>
      <c r="BM447" s="450"/>
      <c r="BN447" s="450"/>
      <c r="BO447" s="450"/>
      <c r="BP447" s="450"/>
      <c r="BQ447" s="450"/>
      <c r="BR447" s="450"/>
      <c r="BS447" s="450"/>
      <c r="BT447" s="450"/>
      <c r="BU447" s="450"/>
      <c r="BV447" s="450"/>
      <c r="BW447" s="450"/>
      <c r="BX447" s="450"/>
      <c r="BY447" s="450"/>
      <c r="BZ447" s="450"/>
      <c r="CA447" s="450"/>
      <c r="CB447" s="450"/>
      <c r="CC447" s="450"/>
      <c r="CD447" s="450"/>
      <c r="CE447" s="450"/>
      <c r="CF447" s="450"/>
      <c r="CG447" s="450"/>
      <c r="CH447" s="450"/>
    </row>
    <row r="448">
      <c r="A448" s="450"/>
      <c r="B448" s="498"/>
      <c r="C448" s="455"/>
      <c r="D448" s="450"/>
      <c r="E448" s="450"/>
      <c r="F448" s="450"/>
      <c r="G448" s="450"/>
      <c r="H448" s="450"/>
      <c r="I448" s="450"/>
      <c r="J448" s="450"/>
      <c r="K448" s="450"/>
      <c r="L448" s="450"/>
      <c r="M448" s="450"/>
      <c r="N448" s="450"/>
      <c r="O448" s="450"/>
      <c r="P448" s="450"/>
      <c r="Q448" s="450"/>
      <c r="R448" s="450"/>
      <c r="S448" s="450"/>
      <c r="T448" s="450"/>
      <c r="U448" s="450"/>
      <c r="V448" s="450"/>
      <c r="W448" s="450"/>
      <c r="X448" s="450"/>
      <c r="Y448" s="450"/>
      <c r="Z448" s="450"/>
      <c r="AA448" s="450"/>
      <c r="AB448" s="450"/>
      <c r="AC448" s="450"/>
      <c r="AD448" s="450"/>
      <c r="AE448" s="450"/>
      <c r="AF448" s="450"/>
      <c r="AG448" s="450"/>
      <c r="AH448" s="450"/>
      <c r="AI448" s="450"/>
      <c r="AJ448" s="450"/>
      <c r="AK448" s="450"/>
      <c r="AL448" s="450"/>
      <c r="AM448" s="450"/>
      <c r="AN448" s="450"/>
      <c r="AO448" s="450"/>
      <c r="AP448" s="450"/>
      <c r="AQ448" s="450"/>
      <c r="AR448" s="450"/>
      <c r="AS448" s="450"/>
      <c r="AT448" s="450"/>
      <c r="AU448" s="450"/>
      <c r="AV448" s="450"/>
      <c r="AW448" s="450"/>
      <c r="AX448" s="450"/>
      <c r="AY448" s="450"/>
      <c r="AZ448" s="450"/>
      <c r="BA448" s="450"/>
      <c r="BB448" s="450"/>
      <c r="BC448" s="450"/>
      <c r="BD448" s="450"/>
      <c r="BE448" s="450"/>
      <c r="BF448" s="450"/>
      <c r="BG448" s="450"/>
      <c r="BH448" s="450"/>
      <c r="BI448" s="450"/>
      <c r="BJ448" s="450"/>
      <c r="BK448" s="450"/>
      <c r="BL448" s="450"/>
      <c r="BM448" s="450"/>
      <c r="BN448" s="450"/>
      <c r="BO448" s="450"/>
      <c r="BP448" s="450"/>
      <c r="BQ448" s="450"/>
      <c r="BR448" s="450"/>
      <c r="BS448" s="450"/>
      <c r="BT448" s="450"/>
      <c r="BU448" s="450"/>
      <c r="BV448" s="450"/>
      <c r="BW448" s="450"/>
      <c r="BX448" s="450"/>
      <c r="BY448" s="450"/>
      <c r="BZ448" s="450"/>
      <c r="CA448" s="450"/>
      <c r="CB448" s="450"/>
      <c r="CC448" s="450"/>
      <c r="CD448" s="450"/>
      <c r="CE448" s="450"/>
      <c r="CF448" s="450"/>
      <c r="CG448" s="450"/>
      <c r="CH448" s="450"/>
    </row>
    <row r="449">
      <c r="A449" s="450"/>
      <c r="B449" s="498"/>
      <c r="C449" s="455"/>
      <c r="D449" s="450"/>
      <c r="E449" s="450"/>
      <c r="F449" s="450"/>
      <c r="G449" s="450"/>
      <c r="H449" s="450"/>
      <c r="I449" s="450"/>
      <c r="J449" s="450"/>
      <c r="K449" s="450"/>
      <c r="L449" s="450"/>
      <c r="M449" s="450"/>
      <c r="N449" s="450"/>
      <c r="O449" s="450"/>
      <c r="P449" s="450"/>
      <c r="Q449" s="450"/>
      <c r="R449" s="450"/>
      <c r="S449" s="450"/>
      <c r="T449" s="450"/>
      <c r="U449" s="450"/>
      <c r="V449" s="450"/>
      <c r="W449" s="450"/>
      <c r="X449" s="450"/>
      <c r="Y449" s="450"/>
      <c r="Z449" s="450"/>
      <c r="AA449" s="450"/>
      <c r="AB449" s="450"/>
      <c r="AC449" s="450"/>
      <c r="AD449" s="450"/>
      <c r="AE449" s="450"/>
      <c r="AF449" s="450"/>
      <c r="AG449" s="450"/>
      <c r="AH449" s="450"/>
      <c r="AI449" s="450"/>
      <c r="AJ449" s="450"/>
      <c r="AK449" s="450"/>
      <c r="AL449" s="450"/>
      <c r="AM449" s="450"/>
      <c r="AN449" s="450"/>
      <c r="AO449" s="450"/>
      <c r="AP449" s="450"/>
      <c r="AQ449" s="450"/>
      <c r="AR449" s="450"/>
      <c r="AS449" s="450"/>
      <c r="AT449" s="450"/>
      <c r="AU449" s="450"/>
      <c r="AV449" s="450"/>
      <c r="AW449" s="450"/>
      <c r="AX449" s="450"/>
      <c r="AY449" s="450"/>
      <c r="AZ449" s="450"/>
      <c r="BA449" s="450"/>
      <c r="BB449" s="450"/>
      <c r="BC449" s="450"/>
      <c r="BD449" s="450"/>
      <c r="BE449" s="450"/>
      <c r="BF449" s="450"/>
      <c r="BG449" s="450"/>
      <c r="BH449" s="450"/>
      <c r="BI449" s="450"/>
      <c r="BJ449" s="450"/>
      <c r="BK449" s="450"/>
      <c r="BL449" s="450"/>
      <c r="BM449" s="450"/>
      <c r="BN449" s="450"/>
      <c r="BO449" s="450"/>
      <c r="BP449" s="450"/>
      <c r="BQ449" s="450"/>
      <c r="BR449" s="450"/>
      <c r="BS449" s="450"/>
      <c r="BT449" s="450"/>
      <c r="BU449" s="450"/>
      <c r="BV449" s="450"/>
      <c r="BW449" s="450"/>
      <c r="BX449" s="450"/>
      <c r="BY449" s="450"/>
      <c r="BZ449" s="450"/>
      <c r="CA449" s="450"/>
      <c r="CB449" s="450"/>
      <c r="CC449" s="450"/>
      <c r="CD449" s="450"/>
      <c r="CE449" s="450"/>
      <c r="CF449" s="450"/>
      <c r="CG449" s="450"/>
      <c r="CH449" s="450"/>
    </row>
    <row r="450">
      <c r="A450" s="450"/>
      <c r="B450" s="498"/>
      <c r="C450" s="455"/>
      <c r="D450" s="450"/>
      <c r="E450" s="450"/>
      <c r="F450" s="450"/>
      <c r="G450" s="450"/>
      <c r="H450" s="450"/>
      <c r="I450" s="450"/>
      <c r="J450" s="450"/>
      <c r="K450" s="450"/>
      <c r="L450" s="450"/>
      <c r="M450" s="450"/>
      <c r="N450" s="450"/>
      <c r="O450" s="450"/>
      <c r="P450" s="450"/>
      <c r="Q450" s="450"/>
      <c r="R450" s="450"/>
      <c r="S450" s="450"/>
      <c r="T450" s="450"/>
      <c r="U450" s="450"/>
      <c r="V450" s="450"/>
      <c r="W450" s="450"/>
      <c r="X450" s="450"/>
      <c r="Y450" s="450"/>
      <c r="Z450" s="450"/>
      <c r="AA450" s="450"/>
      <c r="AB450" s="450"/>
      <c r="AC450" s="450"/>
      <c r="AD450" s="450"/>
      <c r="AE450" s="450"/>
      <c r="AF450" s="450"/>
      <c r="AG450" s="450"/>
      <c r="AH450" s="450"/>
      <c r="AI450" s="450"/>
      <c r="AJ450" s="450"/>
      <c r="AK450" s="450"/>
      <c r="AL450" s="450"/>
      <c r="AM450" s="450"/>
      <c r="AN450" s="450"/>
      <c r="AO450" s="450"/>
      <c r="AP450" s="450"/>
      <c r="AQ450" s="450"/>
      <c r="AR450" s="450"/>
      <c r="AS450" s="450"/>
      <c r="AT450" s="450"/>
      <c r="AU450" s="450"/>
      <c r="AV450" s="450"/>
      <c r="AW450" s="450"/>
      <c r="AX450" s="450"/>
      <c r="AY450" s="450"/>
      <c r="AZ450" s="450"/>
      <c r="BA450" s="450"/>
      <c r="BB450" s="450"/>
      <c r="BC450" s="450"/>
      <c r="BD450" s="450"/>
      <c r="BE450" s="450"/>
      <c r="BF450" s="450"/>
      <c r="BG450" s="450"/>
      <c r="BH450" s="450"/>
      <c r="BI450" s="450"/>
      <c r="BJ450" s="450"/>
      <c r="BK450" s="450"/>
      <c r="BL450" s="450"/>
      <c r="BM450" s="450"/>
      <c r="BN450" s="450"/>
      <c r="BO450" s="450"/>
      <c r="BP450" s="450"/>
      <c r="BQ450" s="450"/>
      <c r="BR450" s="450"/>
      <c r="BS450" s="450"/>
      <c r="BT450" s="450"/>
      <c r="BU450" s="450"/>
      <c r="BV450" s="450"/>
      <c r="BW450" s="450"/>
      <c r="BX450" s="450"/>
      <c r="BY450" s="450"/>
      <c r="BZ450" s="450"/>
      <c r="CA450" s="450"/>
      <c r="CB450" s="450"/>
      <c r="CC450" s="450"/>
      <c r="CD450" s="450"/>
      <c r="CE450" s="450"/>
      <c r="CF450" s="450"/>
      <c r="CG450" s="450"/>
      <c r="CH450" s="450"/>
    </row>
    <row r="451">
      <c r="A451" s="450"/>
      <c r="B451" s="498"/>
      <c r="C451" s="455"/>
      <c r="D451" s="450"/>
      <c r="E451" s="450"/>
      <c r="F451" s="450"/>
      <c r="G451" s="450"/>
      <c r="H451" s="450"/>
      <c r="I451" s="450"/>
      <c r="J451" s="450"/>
      <c r="K451" s="450"/>
      <c r="L451" s="450"/>
      <c r="M451" s="450"/>
      <c r="N451" s="450"/>
      <c r="O451" s="450"/>
      <c r="P451" s="450"/>
      <c r="Q451" s="450"/>
      <c r="R451" s="450"/>
      <c r="S451" s="450"/>
      <c r="T451" s="450"/>
      <c r="U451" s="450"/>
      <c r="V451" s="450"/>
      <c r="W451" s="450"/>
      <c r="X451" s="450"/>
      <c r="Y451" s="450"/>
      <c r="Z451" s="450"/>
      <c r="AA451" s="450"/>
      <c r="AB451" s="450"/>
      <c r="AC451" s="450"/>
      <c r="AD451" s="450"/>
      <c r="AE451" s="450"/>
      <c r="AF451" s="450"/>
      <c r="AG451" s="450"/>
      <c r="AH451" s="450"/>
      <c r="AI451" s="450"/>
      <c r="AJ451" s="450"/>
      <c r="AK451" s="450"/>
      <c r="AL451" s="450"/>
      <c r="AM451" s="450"/>
      <c r="AN451" s="450"/>
      <c r="AO451" s="450"/>
      <c r="AP451" s="450"/>
      <c r="AQ451" s="450"/>
      <c r="AR451" s="450"/>
      <c r="AS451" s="450"/>
      <c r="AT451" s="450"/>
      <c r="AU451" s="450"/>
      <c r="AV451" s="450"/>
      <c r="AW451" s="450"/>
      <c r="AX451" s="450"/>
      <c r="AY451" s="450"/>
      <c r="AZ451" s="450"/>
      <c r="BA451" s="450"/>
      <c r="BB451" s="450"/>
      <c r="BC451" s="450"/>
      <c r="BD451" s="450"/>
      <c r="BE451" s="450"/>
      <c r="BF451" s="450"/>
      <c r="BG451" s="450"/>
      <c r="BH451" s="450"/>
      <c r="BI451" s="450"/>
      <c r="BJ451" s="450"/>
      <c r="BK451" s="450"/>
      <c r="BL451" s="450"/>
      <c r="BM451" s="450"/>
      <c r="BN451" s="450"/>
      <c r="BO451" s="450"/>
      <c r="BP451" s="450"/>
      <c r="BQ451" s="450"/>
      <c r="BR451" s="450"/>
      <c r="BS451" s="450"/>
      <c r="BT451" s="450"/>
      <c r="BU451" s="450"/>
      <c r="BV451" s="450"/>
      <c r="BW451" s="450"/>
      <c r="BX451" s="450"/>
      <c r="BY451" s="450"/>
      <c r="BZ451" s="450"/>
      <c r="CA451" s="450"/>
      <c r="CB451" s="450"/>
      <c r="CC451" s="450"/>
      <c r="CD451" s="450"/>
      <c r="CE451" s="450"/>
      <c r="CF451" s="450"/>
      <c r="CG451" s="450"/>
      <c r="CH451" s="450"/>
    </row>
    <row r="452">
      <c r="A452" s="450"/>
      <c r="B452" s="498"/>
      <c r="C452" s="455"/>
      <c r="D452" s="450"/>
      <c r="E452" s="450"/>
      <c r="F452" s="450"/>
      <c r="G452" s="450"/>
      <c r="H452" s="450"/>
      <c r="I452" s="450"/>
      <c r="J452" s="450"/>
      <c r="K452" s="450"/>
      <c r="L452" s="450"/>
      <c r="M452" s="450"/>
      <c r="N452" s="450"/>
      <c r="O452" s="450"/>
      <c r="P452" s="450"/>
      <c r="Q452" s="450"/>
      <c r="R452" s="450"/>
      <c r="S452" s="450"/>
      <c r="T452" s="450"/>
      <c r="U452" s="450"/>
      <c r="V452" s="450"/>
      <c r="W452" s="450"/>
      <c r="X452" s="450"/>
      <c r="Y452" s="450"/>
      <c r="Z452" s="450"/>
      <c r="AA452" s="450"/>
      <c r="AB452" s="450"/>
      <c r="AC452" s="450"/>
      <c r="AD452" s="450"/>
      <c r="AE452" s="450"/>
      <c r="AF452" s="450"/>
      <c r="AG452" s="450"/>
      <c r="AH452" s="450"/>
      <c r="AI452" s="450"/>
      <c r="AJ452" s="450"/>
      <c r="AK452" s="450"/>
      <c r="AL452" s="450"/>
      <c r="AM452" s="450"/>
      <c r="AN452" s="450"/>
      <c r="AO452" s="450"/>
      <c r="AP452" s="450"/>
      <c r="AQ452" s="450"/>
      <c r="AR452" s="450"/>
      <c r="AS452" s="450"/>
      <c r="AT452" s="450"/>
      <c r="AU452" s="450"/>
      <c r="AV452" s="450"/>
      <c r="AW452" s="450"/>
      <c r="AX452" s="450"/>
      <c r="AY452" s="450"/>
      <c r="AZ452" s="450"/>
      <c r="BA452" s="450"/>
      <c r="BB452" s="450"/>
      <c r="BC452" s="450"/>
      <c r="BD452" s="450"/>
      <c r="BE452" s="450"/>
      <c r="BF452" s="450"/>
      <c r="BG452" s="450"/>
      <c r="BH452" s="450"/>
      <c r="BI452" s="450"/>
      <c r="BJ452" s="450"/>
      <c r="BK452" s="450"/>
      <c r="BL452" s="450"/>
      <c r="BM452" s="450"/>
      <c r="BN452" s="450"/>
      <c r="BO452" s="450"/>
      <c r="BP452" s="450"/>
      <c r="BQ452" s="450"/>
      <c r="BR452" s="450"/>
      <c r="BS452" s="450"/>
      <c r="BT452" s="450"/>
      <c r="BU452" s="450"/>
      <c r="BV452" s="450"/>
      <c r="BW452" s="450"/>
      <c r="BX452" s="450"/>
      <c r="BY452" s="450"/>
      <c r="BZ452" s="450"/>
      <c r="CA452" s="450"/>
      <c r="CB452" s="450"/>
      <c r="CC452" s="450"/>
      <c r="CD452" s="450"/>
      <c r="CE452" s="450"/>
      <c r="CF452" s="450"/>
      <c r="CG452" s="450"/>
      <c r="CH452" s="450"/>
    </row>
    <row r="453">
      <c r="A453" s="450"/>
      <c r="B453" s="498"/>
      <c r="C453" s="455"/>
      <c r="D453" s="450"/>
      <c r="E453" s="450"/>
      <c r="F453" s="450"/>
      <c r="G453" s="450"/>
      <c r="H453" s="450"/>
      <c r="I453" s="450"/>
      <c r="J453" s="450"/>
      <c r="K453" s="450"/>
      <c r="L453" s="450"/>
      <c r="M453" s="450"/>
      <c r="N453" s="450"/>
      <c r="O453" s="450"/>
      <c r="P453" s="450"/>
      <c r="Q453" s="450"/>
      <c r="R453" s="450"/>
      <c r="S453" s="450"/>
      <c r="T453" s="450"/>
      <c r="U453" s="450"/>
      <c r="V453" s="450"/>
      <c r="W453" s="450"/>
      <c r="X453" s="450"/>
      <c r="Y453" s="450"/>
      <c r="Z453" s="450"/>
      <c r="AA453" s="450"/>
      <c r="AB453" s="450"/>
      <c r="AC453" s="450"/>
      <c r="AD453" s="450"/>
      <c r="AE453" s="450"/>
      <c r="AF453" s="450"/>
      <c r="AG453" s="450"/>
      <c r="AH453" s="450"/>
      <c r="AI453" s="450"/>
      <c r="AJ453" s="450"/>
      <c r="AK453" s="450"/>
      <c r="AL453" s="450"/>
      <c r="AM453" s="450"/>
      <c r="AN453" s="450"/>
      <c r="AO453" s="450"/>
      <c r="AP453" s="450"/>
      <c r="AQ453" s="450"/>
      <c r="AR453" s="450"/>
      <c r="AS453" s="450"/>
      <c r="AT453" s="450"/>
      <c r="AU453" s="450"/>
      <c r="AV453" s="450"/>
      <c r="AW453" s="450"/>
      <c r="AX453" s="450"/>
      <c r="AY453" s="450"/>
      <c r="AZ453" s="450"/>
      <c r="BA453" s="450"/>
      <c r="BB453" s="450"/>
      <c r="BC453" s="450"/>
      <c r="BD453" s="450"/>
      <c r="BE453" s="450"/>
      <c r="BF453" s="450"/>
      <c r="BG453" s="450"/>
      <c r="BH453" s="450"/>
      <c r="BI453" s="450"/>
      <c r="BJ453" s="450"/>
      <c r="BK453" s="450"/>
      <c r="BL453" s="450"/>
      <c r="BM453" s="450"/>
      <c r="BN453" s="450"/>
      <c r="BO453" s="450"/>
      <c r="BP453" s="450"/>
      <c r="BQ453" s="450"/>
      <c r="BR453" s="450"/>
      <c r="BS453" s="450"/>
      <c r="BT453" s="450"/>
      <c r="BU453" s="450"/>
      <c r="BV453" s="450"/>
      <c r="BW453" s="450"/>
      <c r="BX453" s="450"/>
      <c r="BY453" s="450"/>
      <c r="BZ453" s="450"/>
      <c r="CA453" s="450"/>
      <c r="CB453" s="450"/>
      <c r="CC453" s="450"/>
      <c r="CD453" s="450"/>
      <c r="CE453" s="450"/>
      <c r="CF453" s="450"/>
      <c r="CG453" s="450"/>
      <c r="CH453" s="450"/>
    </row>
    <row r="454">
      <c r="A454" s="450"/>
      <c r="B454" s="498"/>
      <c r="C454" s="455"/>
      <c r="D454" s="450"/>
      <c r="E454" s="450"/>
      <c r="F454" s="450"/>
      <c r="G454" s="450"/>
      <c r="H454" s="450"/>
      <c r="I454" s="450"/>
      <c r="J454" s="450"/>
      <c r="K454" s="450"/>
      <c r="L454" s="450"/>
      <c r="M454" s="450"/>
      <c r="N454" s="450"/>
      <c r="O454" s="450"/>
      <c r="P454" s="450"/>
      <c r="Q454" s="450"/>
      <c r="R454" s="450"/>
      <c r="S454" s="450"/>
      <c r="T454" s="450"/>
      <c r="U454" s="450"/>
      <c r="V454" s="450"/>
      <c r="W454" s="450"/>
      <c r="X454" s="450"/>
      <c r="Y454" s="450"/>
      <c r="Z454" s="450"/>
      <c r="AA454" s="450"/>
      <c r="AB454" s="450"/>
      <c r="AC454" s="450"/>
      <c r="AD454" s="450"/>
      <c r="AE454" s="450"/>
      <c r="AF454" s="450"/>
      <c r="AG454" s="450"/>
      <c r="AH454" s="450"/>
      <c r="AI454" s="450"/>
      <c r="AJ454" s="450"/>
      <c r="AK454" s="450"/>
      <c r="AL454" s="450"/>
      <c r="AM454" s="450"/>
      <c r="AN454" s="450"/>
      <c r="AO454" s="450"/>
      <c r="AP454" s="450"/>
      <c r="AQ454" s="450"/>
      <c r="AR454" s="450"/>
      <c r="AS454" s="450"/>
      <c r="AT454" s="450"/>
      <c r="AU454" s="450"/>
      <c r="AV454" s="450"/>
      <c r="AW454" s="450"/>
      <c r="AX454" s="450"/>
      <c r="AY454" s="450"/>
      <c r="AZ454" s="450"/>
      <c r="BA454" s="450"/>
      <c r="BB454" s="450"/>
      <c r="BC454" s="450"/>
      <c r="BD454" s="450"/>
      <c r="BE454" s="450"/>
      <c r="BF454" s="450"/>
      <c r="BG454" s="450"/>
      <c r="BH454" s="450"/>
      <c r="BI454" s="450"/>
      <c r="BJ454" s="450"/>
      <c r="BK454" s="450"/>
      <c r="BL454" s="450"/>
      <c r="BM454" s="450"/>
      <c r="BN454" s="450"/>
      <c r="BO454" s="450"/>
      <c r="BP454" s="450"/>
      <c r="BQ454" s="450"/>
      <c r="BR454" s="450"/>
      <c r="BS454" s="450"/>
      <c r="BT454" s="450"/>
      <c r="BU454" s="450"/>
      <c r="BV454" s="450"/>
      <c r="BW454" s="450"/>
      <c r="BX454" s="450"/>
      <c r="BY454" s="450"/>
      <c r="BZ454" s="450"/>
      <c r="CA454" s="450"/>
      <c r="CB454" s="450"/>
      <c r="CC454" s="450"/>
      <c r="CD454" s="450"/>
      <c r="CE454" s="450"/>
      <c r="CF454" s="450"/>
      <c r="CG454" s="450"/>
      <c r="CH454" s="450"/>
    </row>
    <row r="455">
      <c r="A455" s="450"/>
      <c r="B455" s="498"/>
      <c r="C455" s="455"/>
      <c r="D455" s="450"/>
      <c r="E455" s="450"/>
      <c r="F455" s="450"/>
      <c r="G455" s="450"/>
      <c r="H455" s="450"/>
      <c r="I455" s="450"/>
      <c r="J455" s="450"/>
      <c r="K455" s="450"/>
      <c r="L455" s="450"/>
      <c r="M455" s="450"/>
      <c r="N455" s="450"/>
      <c r="O455" s="450"/>
      <c r="P455" s="450"/>
      <c r="Q455" s="450"/>
      <c r="R455" s="450"/>
      <c r="S455" s="450"/>
      <c r="T455" s="450"/>
      <c r="U455" s="450"/>
      <c r="V455" s="450"/>
      <c r="W455" s="450"/>
      <c r="X455" s="450"/>
      <c r="Y455" s="450"/>
      <c r="Z455" s="450"/>
      <c r="AA455" s="450"/>
      <c r="AB455" s="450"/>
      <c r="AC455" s="450"/>
      <c r="AD455" s="450"/>
      <c r="AE455" s="450"/>
      <c r="AF455" s="450"/>
      <c r="AG455" s="450"/>
      <c r="AH455" s="450"/>
      <c r="AI455" s="450"/>
      <c r="AJ455" s="450"/>
      <c r="AK455" s="450"/>
      <c r="AL455" s="450"/>
      <c r="AM455" s="450"/>
      <c r="AN455" s="450"/>
      <c r="AO455" s="450"/>
      <c r="AP455" s="450"/>
      <c r="AQ455" s="450"/>
      <c r="AR455" s="450"/>
      <c r="AS455" s="450"/>
      <c r="AT455" s="450"/>
      <c r="AU455" s="450"/>
      <c r="AV455" s="450"/>
      <c r="AW455" s="450"/>
      <c r="AX455" s="450"/>
      <c r="AY455" s="450"/>
      <c r="AZ455" s="450"/>
      <c r="BA455" s="450"/>
      <c r="BB455" s="450"/>
      <c r="BC455" s="450"/>
      <c r="BD455" s="450"/>
      <c r="BE455" s="450"/>
      <c r="BF455" s="450"/>
      <c r="BG455" s="450"/>
      <c r="BH455" s="450"/>
      <c r="BI455" s="450"/>
      <c r="BJ455" s="450"/>
      <c r="BK455" s="450"/>
      <c r="BL455" s="450"/>
      <c r="BM455" s="450"/>
      <c r="BN455" s="450"/>
      <c r="BO455" s="450"/>
      <c r="BP455" s="450"/>
      <c r="BQ455" s="450"/>
      <c r="BR455" s="450"/>
      <c r="BS455" s="450"/>
      <c r="BT455" s="450"/>
      <c r="BU455" s="450"/>
      <c r="BV455" s="450"/>
      <c r="BW455" s="450"/>
      <c r="BX455" s="450"/>
      <c r="BY455" s="450"/>
      <c r="BZ455" s="450"/>
      <c r="CA455" s="450"/>
      <c r="CB455" s="450"/>
      <c r="CC455" s="450"/>
      <c r="CD455" s="450"/>
      <c r="CE455" s="450"/>
      <c r="CF455" s="450"/>
      <c r="CG455" s="450"/>
      <c r="CH455" s="450"/>
    </row>
    <row r="456">
      <c r="A456" s="450"/>
      <c r="B456" s="498"/>
      <c r="C456" s="455"/>
      <c r="D456" s="450"/>
      <c r="E456" s="450"/>
      <c r="F456" s="450"/>
      <c r="G456" s="450"/>
      <c r="H456" s="450"/>
      <c r="I456" s="450"/>
      <c r="J456" s="450"/>
      <c r="K456" s="450"/>
      <c r="L456" s="450"/>
      <c r="M456" s="450"/>
      <c r="N456" s="450"/>
      <c r="O456" s="450"/>
      <c r="P456" s="450"/>
      <c r="Q456" s="450"/>
      <c r="R456" s="450"/>
      <c r="S456" s="450"/>
      <c r="T456" s="450"/>
      <c r="U456" s="450"/>
      <c r="V456" s="450"/>
      <c r="W456" s="450"/>
      <c r="X456" s="450"/>
      <c r="Y456" s="450"/>
      <c r="Z456" s="450"/>
      <c r="AA456" s="450"/>
      <c r="AB456" s="450"/>
      <c r="AC456" s="450"/>
      <c r="AD456" s="450"/>
      <c r="AE456" s="450"/>
      <c r="AF456" s="450"/>
      <c r="AG456" s="450"/>
      <c r="AH456" s="450"/>
      <c r="AI456" s="450"/>
      <c r="AJ456" s="450"/>
      <c r="AK456" s="450"/>
      <c r="AL456" s="450"/>
      <c r="AM456" s="450"/>
      <c r="AN456" s="450"/>
      <c r="AO456" s="450"/>
      <c r="AP456" s="450"/>
      <c r="AQ456" s="450"/>
      <c r="AR456" s="450"/>
      <c r="AS456" s="450"/>
      <c r="AT456" s="450"/>
      <c r="AU456" s="450"/>
      <c r="AV456" s="450"/>
      <c r="AW456" s="450"/>
      <c r="AX456" s="450"/>
      <c r="AY456" s="450"/>
      <c r="AZ456" s="450"/>
      <c r="BA456" s="450"/>
      <c r="BB456" s="450"/>
      <c r="BC456" s="450"/>
      <c r="BD456" s="450"/>
      <c r="BE456" s="450"/>
      <c r="BF456" s="450"/>
      <c r="BG456" s="450"/>
      <c r="BH456" s="450"/>
      <c r="BI456" s="450"/>
      <c r="BJ456" s="450"/>
      <c r="BK456" s="450"/>
      <c r="BL456" s="450"/>
      <c r="BM456" s="450"/>
      <c r="BN456" s="450"/>
      <c r="BO456" s="450"/>
      <c r="BP456" s="450"/>
      <c r="BQ456" s="450"/>
      <c r="BR456" s="450"/>
      <c r="BS456" s="450"/>
      <c r="BT456" s="450"/>
      <c r="BU456" s="450"/>
      <c r="BV456" s="450"/>
      <c r="BW456" s="450"/>
      <c r="BX456" s="450"/>
      <c r="BY456" s="450"/>
      <c r="BZ456" s="450"/>
      <c r="CA456" s="450"/>
      <c r="CB456" s="450"/>
      <c r="CC456" s="450"/>
      <c r="CD456" s="450"/>
      <c r="CE456" s="450"/>
      <c r="CF456" s="450"/>
      <c r="CG456" s="450"/>
      <c r="CH456" s="450"/>
    </row>
    <row r="457">
      <c r="A457" s="450"/>
      <c r="B457" s="498"/>
      <c r="C457" s="455"/>
      <c r="D457" s="450"/>
      <c r="E457" s="450"/>
      <c r="F457" s="450"/>
      <c r="G457" s="450"/>
      <c r="H457" s="450"/>
      <c r="I457" s="450"/>
      <c r="J457" s="450"/>
      <c r="K457" s="450"/>
      <c r="L457" s="450"/>
      <c r="M457" s="450"/>
      <c r="N457" s="450"/>
      <c r="O457" s="450"/>
      <c r="P457" s="450"/>
      <c r="Q457" s="450"/>
      <c r="R457" s="450"/>
      <c r="S457" s="450"/>
      <c r="T457" s="450"/>
      <c r="U457" s="450"/>
      <c r="V457" s="450"/>
      <c r="W457" s="450"/>
      <c r="X457" s="450"/>
      <c r="Y457" s="450"/>
      <c r="Z457" s="450"/>
      <c r="AA457" s="450"/>
      <c r="AB457" s="450"/>
      <c r="AC457" s="450"/>
      <c r="AD457" s="450"/>
      <c r="AE457" s="450"/>
      <c r="AF457" s="450"/>
      <c r="AG457" s="450"/>
      <c r="AH457" s="450"/>
      <c r="AI457" s="450"/>
      <c r="AJ457" s="450"/>
      <c r="AK457" s="450"/>
      <c r="AL457" s="450"/>
      <c r="AM457" s="450"/>
      <c r="AN457" s="450"/>
      <c r="AO457" s="450"/>
      <c r="AP457" s="450"/>
      <c r="AQ457" s="450"/>
      <c r="AR457" s="450"/>
      <c r="AS457" s="450"/>
      <c r="AT457" s="450"/>
      <c r="AU457" s="450"/>
      <c r="AV457" s="450"/>
      <c r="AW457" s="450"/>
      <c r="AX457" s="450"/>
      <c r="AY457" s="450"/>
      <c r="AZ457" s="450"/>
      <c r="BA457" s="450"/>
      <c r="BB457" s="450"/>
      <c r="BC457" s="450"/>
      <c r="BD457" s="450"/>
      <c r="BE457" s="450"/>
      <c r="BF457" s="450"/>
      <c r="BG457" s="450"/>
      <c r="BH457" s="450"/>
      <c r="BI457" s="450"/>
      <c r="BJ457" s="450"/>
      <c r="BK457" s="450"/>
      <c r="BL457" s="450"/>
      <c r="BM457" s="450"/>
      <c r="BN457" s="450"/>
      <c r="BO457" s="450"/>
      <c r="BP457" s="450"/>
      <c r="BQ457" s="450"/>
      <c r="BR457" s="450"/>
      <c r="BS457" s="450"/>
      <c r="BT457" s="450"/>
      <c r="BU457" s="450"/>
      <c r="BV457" s="450"/>
      <c r="BW457" s="450"/>
      <c r="BX457" s="450"/>
      <c r="BY457" s="450"/>
      <c r="BZ457" s="450"/>
      <c r="CA457" s="450"/>
      <c r="CB457" s="450"/>
      <c r="CC457" s="450"/>
      <c r="CD457" s="450"/>
      <c r="CE457" s="450"/>
      <c r="CF457" s="450"/>
      <c r="CG457" s="450"/>
      <c r="CH457" s="450"/>
    </row>
    <row r="458">
      <c r="A458" s="450"/>
      <c r="B458" s="498"/>
      <c r="C458" s="455"/>
      <c r="D458" s="450"/>
      <c r="E458" s="450"/>
      <c r="F458" s="450"/>
      <c r="G458" s="450"/>
      <c r="H458" s="450"/>
      <c r="I458" s="450"/>
      <c r="J458" s="450"/>
      <c r="K458" s="450"/>
      <c r="L458" s="450"/>
      <c r="M458" s="450"/>
      <c r="N458" s="450"/>
      <c r="O458" s="450"/>
      <c r="P458" s="450"/>
      <c r="Q458" s="450"/>
      <c r="R458" s="450"/>
      <c r="S458" s="450"/>
      <c r="T458" s="450"/>
      <c r="U458" s="450"/>
      <c r="V458" s="450"/>
      <c r="W458" s="450"/>
      <c r="X458" s="450"/>
      <c r="Y458" s="450"/>
      <c r="Z458" s="450"/>
      <c r="AA458" s="450"/>
      <c r="AB458" s="450"/>
      <c r="AC458" s="450"/>
      <c r="AD458" s="450"/>
      <c r="AE458" s="450"/>
      <c r="AF458" s="450"/>
      <c r="AG458" s="450"/>
      <c r="AH458" s="450"/>
      <c r="AI458" s="450"/>
      <c r="AJ458" s="450"/>
      <c r="AK458" s="450"/>
      <c r="AL458" s="450"/>
      <c r="AM458" s="450"/>
      <c r="AN458" s="450"/>
      <c r="AO458" s="450"/>
      <c r="AP458" s="450"/>
      <c r="AQ458" s="450"/>
      <c r="AR458" s="450"/>
      <c r="AS458" s="450"/>
      <c r="AT458" s="450"/>
      <c r="AU458" s="450"/>
      <c r="AV458" s="450"/>
      <c r="AW458" s="450"/>
      <c r="AX458" s="450"/>
      <c r="AY458" s="450"/>
      <c r="AZ458" s="450"/>
      <c r="BA458" s="450"/>
      <c r="BB458" s="450"/>
      <c r="BC458" s="450"/>
      <c r="BD458" s="450"/>
      <c r="BE458" s="450"/>
      <c r="BF458" s="450"/>
      <c r="BG458" s="450"/>
      <c r="BH458" s="450"/>
      <c r="BI458" s="450"/>
      <c r="BJ458" s="450"/>
      <c r="BK458" s="450"/>
      <c r="BL458" s="450"/>
      <c r="BM458" s="450"/>
      <c r="BN458" s="450"/>
      <c r="BO458" s="450"/>
      <c r="BP458" s="450"/>
      <c r="BQ458" s="450"/>
      <c r="BR458" s="450"/>
      <c r="BS458" s="450"/>
      <c r="BT458" s="450"/>
      <c r="BU458" s="450"/>
      <c r="BV458" s="450"/>
      <c r="BW458" s="450"/>
      <c r="BX458" s="450"/>
      <c r="BY458" s="450"/>
      <c r="BZ458" s="450"/>
      <c r="CA458" s="450"/>
      <c r="CB458" s="450"/>
      <c r="CC458" s="450"/>
      <c r="CD458" s="450"/>
      <c r="CE458" s="450"/>
      <c r="CF458" s="450"/>
      <c r="CG458" s="450"/>
      <c r="CH458" s="450"/>
    </row>
    <row r="459">
      <c r="A459" s="450"/>
      <c r="B459" s="498"/>
      <c r="C459" s="455"/>
      <c r="D459" s="450"/>
      <c r="E459" s="450"/>
      <c r="F459" s="450"/>
      <c r="G459" s="450"/>
      <c r="H459" s="450"/>
      <c r="I459" s="450"/>
      <c r="J459" s="450"/>
      <c r="K459" s="450"/>
      <c r="L459" s="450"/>
      <c r="M459" s="450"/>
      <c r="N459" s="450"/>
      <c r="O459" s="450"/>
      <c r="P459" s="450"/>
      <c r="Q459" s="450"/>
      <c r="R459" s="450"/>
      <c r="S459" s="450"/>
      <c r="T459" s="450"/>
      <c r="U459" s="450"/>
      <c r="V459" s="450"/>
      <c r="W459" s="450"/>
      <c r="X459" s="450"/>
      <c r="Y459" s="450"/>
      <c r="Z459" s="450"/>
      <c r="AA459" s="450"/>
      <c r="AB459" s="450"/>
      <c r="AC459" s="450"/>
      <c r="AD459" s="450"/>
      <c r="AE459" s="450"/>
      <c r="AF459" s="450"/>
      <c r="AG459" s="450"/>
      <c r="AH459" s="450"/>
      <c r="AI459" s="450"/>
      <c r="AJ459" s="450"/>
      <c r="AK459" s="450"/>
      <c r="AL459" s="450"/>
      <c r="AM459" s="450"/>
      <c r="AN459" s="450"/>
      <c r="AO459" s="450"/>
      <c r="AP459" s="450"/>
      <c r="AQ459" s="450"/>
      <c r="AR459" s="450"/>
      <c r="AS459" s="450"/>
      <c r="AT459" s="450"/>
      <c r="AU459" s="450"/>
      <c r="AV459" s="450"/>
      <c r="AW459" s="450"/>
      <c r="AX459" s="450"/>
      <c r="AY459" s="450"/>
      <c r="AZ459" s="450"/>
      <c r="BA459" s="450"/>
      <c r="BB459" s="450"/>
      <c r="BC459" s="450"/>
      <c r="BD459" s="450"/>
      <c r="BE459" s="450"/>
      <c r="BF459" s="450"/>
      <c r="BG459" s="450"/>
      <c r="BH459" s="450"/>
      <c r="BI459" s="450"/>
      <c r="BJ459" s="450"/>
      <c r="BK459" s="450"/>
      <c r="BL459" s="450"/>
      <c r="BM459" s="450"/>
      <c r="BN459" s="450"/>
      <c r="BO459" s="450"/>
      <c r="BP459" s="450"/>
      <c r="BQ459" s="450"/>
      <c r="BR459" s="450"/>
      <c r="BS459" s="450"/>
      <c r="BT459" s="450"/>
      <c r="BU459" s="450"/>
      <c r="BV459" s="450"/>
      <c r="BW459" s="450"/>
      <c r="BX459" s="450"/>
      <c r="BY459" s="450"/>
      <c r="BZ459" s="450"/>
      <c r="CA459" s="450"/>
      <c r="CB459" s="450"/>
      <c r="CC459" s="450"/>
      <c r="CD459" s="450"/>
      <c r="CE459" s="450"/>
      <c r="CF459" s="450"/>
      <c r="CG459" s="450"/>
      <c r="CH459" s="450"/>
    </row>
    <row r="460">
      <c r="A460" s="450"/>
      <c r="B460" s="498"/>
      <c r="C460" s="455"/>
      <c r="D460" s="450"/>
      <c r="E460" s="450"/>
      <c r="F460" s="450"/>
      <c r="G460" s="450"/>
      <c r="H460" s="450"/>
      <c r="I460" s="450"/>
      <c r="J460" s="450"/>
      <c r="K460" s="450"/>
      <c r="L460" s="450"/>
      <c r="M460" s="450"/>
      <c r="N460" s="450"/>
      <c r="O460" s="450"/>
      <c r="P460" s="450"/>
      <c r="Q460" s="450"/>
      <c r="R460" s="450"/>
      <c r="S460" s="450"/>
      <c r="T460" s="450"/>
      <c r="U460" s="450"/>
      <c r="V460" s="450"/>
      <c r="W460" s="450"/>
      <c r="X460" s="450"/>
      <c r="Y460" s="450"/>
      <c r="Z460" s="450"/>
      <c r="AA460" s="450"/>
      <c r="AB460" s="450"/>
      <c r="AC460" s="450"/>
      <c r="AD460" s="450"/>
      <c r="AE460" s="450"/>
      <c r="AF460" s="450"/>
      <c r="AG460" s="450"/>
      <c r="AH460" s="450"/>
      <c r="AI460" s="450"/>
      <c r="AJ460" s="450"/>
      <c r="AK460" s="450"/>
      <c r="AL460" s="450"/>
      <c r="AM460" s="450"/>
      <c r="AN460" s="450"/>
      <c r="AO460" s="450"/>
      <c r="AP460" s="450"/>
      <c r="AQ460" s="450"/>
      <c r="AR460" s="450"/>
      <c r="AS460" s="450"/>
      <c r="AT460" s="450"/>
      <c r="AU460" s="450"/>
      <c r="AV460" s="450"/>
      <c r="AW460" s="450"/>
      <c r="AX460" s="450"/>
      <c r="AY460" s="450"/>
      <c r="AZ460" s="450"/>
      <c r="BA460" s="450"/>
      <c r="BB460" s="450"/>
      <c r="BC460" s="450"/>
      <c r="BD460" s="450"/>
      <c r="BE460" s="450"/>
      <c r="BF460" s="450"/>
      <c r="BG460" s="450"/>
      <c r="BH460" s="450"/>
      <c r="BI460" s="450"/>
      <c r="BJ460" s="450"/>
      <c r="BK460" s="450"/>
      <c r="BL460" s="450"/>
      <c r="BM460" s="450"/>
      <c r="BN460" s="450"/>
      <c r="BO460" s="450"/>
      <c r="BP460" s="450"/>
      <c r="BQ460" s="450"/>
      <c r="BR460" s="450"/>
      <c r="BS460" s="450"/>
      <c r="BT460" s="450"/>
      <c r="BU460" s="450"/>
      <c r="BV460" s="450"/>
      <c r="BW460" s="450"/>
      <c r="BX460" s="450"/>
      <c r="BY460" s="450"/>
      <c r="BZ460" s="450"/>
      <c r="CA460" s="450"/>
      <c r="CB460" s="450"/>
      <c r="CC460" s="450"/>
      <c r="CD460" s="450"/>
      <c r="CE460" s="450"/>
      <c r="CF460" s="450"/>
      <c r="CG460" s="450"/>
      <c r="CH460" s="450"/>
    </row>
    <row r="461">
      <c r="A461" s="450"/>
      <c r="B461" s="498"/>
      <c r="C461" s="455"/>
      <c r="D461" s="450"/>
      <c r="E461" s="450"/>
      <c r="F461" s="450"/>
      <c r="G461" s="450"/>
      <c r="H461" s="450"/>
      <c r="I461" s="450"/>
      <c r="J461" s="450"/>
      <c r="K461" s="450"/>
      <c r="L461" s="450"/>
      <c r="M461" s="450"/>
      <c r="N461" s="450"/>
      <c r="O461" s="450"/>
      <c r="P461" s="450"/>
      <c r="Q461" s="450"/>
      <c r="R461" s="450"/>
      <c r="S461" s="450"/>
      <c r="T461" s="450"/>
      <c r="U461" s="450"/>
      <c r="V461" s="450"/>
      <c r="W461" s="450"/>
      <c r="X461" s="450"/>
      <c r="Y461" s="450"/>
      <c r="Z461" s="450"/>
      <c r="AA461" s="450"/>
      <c r="AB461" s="450"/>
      <c r="AC461" s="450"/>
      <c r="AD461" s="450"/>
      <c r="AE461" s="450"/>
      <c r="AF461" s="450"/>
      <c r="AG461" s="450"/>
      <c r="AH461" s="450"/>
      <c r="AI461" s="450"/>
      <c r="AJ461" s="450"/>
      <c r="AK461" s="450"/>
      <c r="AL461" s="450"/>
      <c r="AM461" s="450"/>
      <c r="AN461" s="450"/>
      <c r="AO461" s="450"/>
      <c r="AP461" s="450"/>
      <c r="AQ461" s="450"/>
      <c r="AR461" s="450"/>
      <c r="AS461" s="450"/>
      <c r="AT461" s="450"/>
      <c r="AU461" s="450"/>
      <c r="AV461" s="450"/>
      <c r="AW461" s="450"/>
      <c r="AX461" s="450"/>
      <c r="AY461" s="450"/>
      <c r="AZ461" s="450"/>
      <c r="BA461" s="450"/>
      <c r="BB461" s="450"/>
      <c r="BC461" s="450"/>
      <c r="BD461" s="450"/>
      <c r="BE461" s="450"/>
      <c r="BF461" s="450"/>
      <c r="BG461" s="450"/>
      <c r="BH461" s="450"/>
      <c r="BI461" s="450"/>
      <c r="BJ461" s="450"/>
      <c r="BK461" s="450"/>
      <c r="BL461" s="450"/>
      <c r="BM461" s="450"/>
      <c r="BN461" s="450"/>
      <c r="BO461" s="450"/>
      <c r="BP461" s="450"/>
      <c r="BQ461" s="450"/>
      <c r="BR461" s="450"/>
      <c r="BS461" s="450"/>
      <c r="BT461" s="450"/>
      <c r="BU461" s="450"/>
      <c r="BV461" s="450"/>
      <c r="BW461" s="450"/>
      <c r="BX461" s="450"/>
      <c r="BY461" s="450"/>
      <c r="BZ461" s="450"/>
      <c r="CA461" s="450"/>
      <c r="CB461" s="450"/>
      <c r="CC461" s="450"/>
      <c r="CD461" s="450"/>
      <c r="CE461" s="450"/>
      <c r="CF461" s="450"/>
      <c r="CG461" s="450"/>
      <c r="CH461" s="450"/>
    </row>
    <row r="462">
      <c r="A462" s="450"/>
      <c r="B462" s="498"/>
      <c r="C462" s="455"/>
      <c r="D462" s="450"/>
      <c r="E462" s="450"/>
      <c r="F462" s="450"/>
      <c r="G462" s="450"/>
      <c r="H462" s="450"/>
      <c r="I462" s="450"/>
      <c r="J462" s="450"/>
      <c r="K462" s="450"/>
      <c r="L462" s="450"/>
      <c r="M462" s="450"/>
      <c r="N462" s="450"/>
      <c r="O462" s="450"/>
      <c r="P462" s="450"/>
      <c r="Q462" s="450"/>
      <c r="R462" s="450"/>
      <c r="S462" s="450"/>
      <c r="T462" s="450"/>
      <c r="U462" s="450"/>
      <c r="V462" s="450"/>
      <c r="W462" s="450"/>
      <c r="X462" s="450"/>
      <c r="Y462" s="450"/>
      <c r="Z462" s="450"/>
      <c r="AA462" s="450"/>
      <c r="AB462" s="450"/>
      <c r="AC462" s="450"/>
      <c r="AD462" s="450"/>
      <c r="AE462" s="450"/>
      <c r="AF462" s="450"/>
      <c r="AG462" s="450"/>
      <c r="AH462" s="450"/>
      <c r="AI462" s="450"/>
      <c r="AJ462" s="450"/>
      <c r="AK462" s="450"/>
      <c r="AL462" s="450"/>
      <c r="AM462" s="450"/>
      <c r="AN462" s="450"/>
      <c r="AO462" s="450"/>
      <c r="AP462" s="450"/>
      <c r="AQ462" s="450"/>
      <c r="AR462" s="450"/>
      <c r="AS462" s="450"/>
      <c r="AT462" s="450"/>
      <c r="AU462" s="450"/>
      <c r="AV462" s="450"/>
      <c r="AW462" s="450"/>
      <c r="AX462" s="450"/>
      <c r="AY462" s="450"/>
      <c r="AZ462" s="450"/>
      <c r="BA462" s="450"/>
      <c r="BB462" s="450"/>
      <c r="BC462" s="450"/>
      <c r="BD462" s="450"/>
      <c r="BE462" s="450"/>
      <c r="BF462" s="450"/>
      <c r="BG462" s="450"/>
      <c r="BH462" s="450"/>
      <c r="BI462" s="450"/>
      <c r="BJ462" s="450"/>
      <c r="BK462" s="450"/>
      <c r="BL462" s="450"/>
      <c r="BM462" s="450"/>
      <c r="BN462" s="450"/>
      <c r="BO462" s="450"/>
      <c r="BP462" s="450"/>
      <c r="BQ462" s="450"/>
      <c r="BR462" s="450"/>
      <c r="BS462" s="450"/>
      <c r="BT462" s="450"/>
      <c r="BU462" s="450"/>
      <c r="BV462" s="450"/>
      <c r="BW462" s="450"/>
      <c r="BX462" s="450"/>
      <c r="BY462" s="450"/>
      <c r="BZ462" s="450"/>
      <c r="CA462" s="450"/>
      <c r="CB462" s="450"/>
      <c r="CC462" s="450"/>
      <c r="CD462" s="450"/>
      <c r="CE462" s="450"/>
      <c r="CF462" s="450"/>
      <c r="CG462" s="450"/>
      <c r="CH462" s="450"/>
    </row>
    <row r="463">
      <c r="A463" s="450"/>
      <c r="B463" s="498"/>
      <c r="C463" s="455"/>
      <c r="D463" s="450"/>
      <c r="E463" s="450"/>
      <c r="F463" s="450"/>
      <c r="G463" s="450"/>
      <c r="H463" s="450"/>
      <c r="I463" s="450"/>
      <c r="J463" s="450"/>
      <c r="K463" s="450"/>
      <c r="L463" s="450"/>
      <c r="M463" s="450"/>
      <c r="N463" s="450"/>
      <c r="O463" s="450"/>
      <c r="P463" s="450"/>
      <c r="Q463" s="450"/>
      <c r="R463" s="450"/>
      <c r="S463" s="450"/>
      <c r="T463" s="450"/>
      <c r="U463" s="450"/>
      <c r="V463" s="450"/>
      <c r="W463" s="450"/>
      <c r="X463" s="450"/>
      <c r="Y463" s="450"/>
      <c r="Z463" s="450"/>
      <c r="AA463" s="450"/>
      <c r="AB463" s="450"/>
      <c r="AC463" s="450"/>
      <c r="AD463" s="450"/>
      <c r="AE463" s="450"/>
      <c r="AF463" s="450"/>
      <c r="AG463" s="450"/>
      <c r="AH463" s="450"/>
      <c r="AI463" s="450"/>
      <c r="AJ463" s="450"/>
      <c r="AK463" s="450"/>
      <c r="AL463" s="450"/>
      <c r="AM463" s="450"/>
      <c r="AN463" s="450"/>
      <c r="AO463" s="450"/>
      <c r="AP463" s="450"/>
      <c r="AQ463" s="450"/>
      <c r="AR463" s="450"/>
      <c r="AS463" s="450"/>
      <c r="AT463" s="450"/>
      <c r="AU463" s="450"/>
      <c r="AV463" s="450"/>
      <c r="AW463" s="450"/>
      <c r="AX463" s="450"/>
      <c r="AY463" s="450"/>
      <c r="AZ463" s="450"/>
      <c r="BA463" s="450"/>
      <c r="BB463" s="450"/>
      <c r="BC463" s="450"/>
      <c r="BD463" s="450"/>
      <c r="BE463" s="450"/>
      <c r="BF463" s="450"/>
      <c r="BG463" s="450"/>
      <c r="BH463" s="450"/>
      <c r="BI463" s="450"/>
      <c r="BJ463" s="450"/>
      <c r="BK463" s="450"/>
      <c r="BL463" s="450"/>
      <c r="BM463" s="450"/>
      <c r="BN463" s="450"/>
      <c r="BO463" s="450"/>
      <c r="BP463" s="450"/>
      <c r="BQ463" s="450"/>
      <c r="BR463" s="450"/>
      <c r="BS463" s="450"/>
      <c r="BT463" s="450"/>
      <c r="BU463" s="450"/>
      <c r="BV463" s="450"/>
      <c r="BW463" s="450"/>
      <c r="BX463" s="450"/>
      <c r="BY463" s="450"/>
      <c r="BZ463" s="450"/>
      <c r="CA463" s="450"/>
      <c r="CB463" s="450"/>
      <c r="CC463" s="450"/>
      <c r="CD463" s="450"/>
      <c r="CE463" s="450"/>
      <c r="CF463" s="450"/>
      <c r="CG463" s="450"/>
      <c r="CH463" s="450"/>
    </row>
    <row r="464">
      <c r="A464" s="450"/>
      <c r="B464" s="498"/>
      <c r="C464" s="455"/>
      <c r="D464" s="450"/>
      <c r="E464" s="450"/>
      <c r="F464" s="450"/>
      <c r="G464" s="450"/>
      <c r="H464" s="450"/>
      <c r="I464" s="450"/>
      <c r="J464" s="450"/>
      <c r="K464" s="450"/>
      <c r="L464" s="450"/>
      <c r="M464" s="450"/>
      <c r="N464" s="450"/>
      <c r="O464" s="450"/>
      <c r="P464" s="450"/>
      <c r="Q464" s="450"/>
      <c r="R464" s="450"/>
      <c r="S464" s="450"/>
      <c r="T464" s="450"/>
      <c r="U464" s="450"/>
      <c r="V464" s="450"/>
      <c r="W464" s="450"/>
      <c r="X464" s="450"/>
      <c r="Y464" s="450"/>
      <c r="Z464" s="450"/>
      <c r="AA464" s="450"/>
      <c r="AB464" s="450"/>
      <c r="AC464" s="450"/>
      <c r="AD464" s="450"/>
      <c r="AE464" s="450"/>
      <c r="AF464" s="450"/>
      <c r="AG464" s="450"/>
      <c r="AH464" s="450"/>
      <c r="AI464" s="450"/>
      <c r="AJ464" s="450"/>
      <c r="AK464" s="450"/>
      <c r="AL464" s="450"/>
      <c r="AM464" s="450"/>
      <c r="AN464" s="450"/>
      <c r="AO464" s="450"/>
      <c r="AP464" s="450"/>
      <c r="AQ464" s="450"/>
      <c r="AR464" s="450"/>
      <c r="AS464" s="450"/>
      <c r="AT464" s="450"/>
      <c r="AU464" s="450"/>
      <c r="AV464" s="450"/>
      <c r="AW464" s="450"/>
      <c r="AX464" s="450"/>
      <c r="AY464" s="450"/>
      <c r="AZ464" s="450"/>
      <c r="BA464" s="450"/>
      <c r="BB464" s="450"/>
      <c r="BC464" s="450"/>
      <c r="BD464" s="450"/>
      <c r="BE464" s="450"/>
      <c r="BF464" s="450"/>
      <c r="BG464" s="450"/>
      <c r="BH464" s="450"/>
      <c r="BI464" s="450"/>
      <c r="BJ464" s="450"/>
      <c r="BK464" s="450"/>
      <c r="BL464" s="450"/>
      <c r="BM464" s="450"/>
      <c r="BN464" s="450"/>
      <c r="BO464" s="450"/>
      <c r="BP464" s="450"/>
      <c r="BQ464" s="450"/>
      <c r="BR464" s="450"/>
      <c r="BS464" s="450"/>
      <c r="BT464" s="450"/>
      <c r="BU464" s="450"/>
      <c r="BV464" s="450"/>
      <c r="BW464" s="450"/>
      <c r="BX464" s="450"/>
      <c r="BY464" s="450"/>
      <c r="BZ464" s="450"/>
      <c r="CA464" s="450"/>
      <c r="CB464" s="450"/>
      <c r="CC464" s="450"/>
      <c r="CD464" s="450"/>
      <c r="CE464" s="450"/>
      <c r="CF464" s="450"/>
      <c r="CG464" s="450"/>
      <c r="CH464" s="450"/>
    </row>
    <row r="465">
      <c r="A465" s="450"/>
      <c r="B465" s="498"/>
      <c r="C465" s="455"/>
      <c r="D465" s="450"/>
      <c r="E465" s="450"/>
      <c r="F465" s="450"/>
      <c r="G465" s="450"/>
      <c r="H465" s="450"/>
      <c r="I465" s="450"/>
      <c r="J465" s="450"/>
      <c r="K465" s="450"/>
      <c r="L465" s="450"/>
      <c r="M465" s="450"/>
      <c r="N465" s="450"/>
      <c r="O465" s="450"/>
      <c r="P465" s="450"/>
      <c r="Q465" s="450"/>
      <c r="R465" s="450"/>
      <c r="S465" s="450"/>
      <c r="T465" s="450"/>
      <c r="U465" s="450"/>
      <c r="V465" s="450"/>
      <c r="W465" s="450"/>
      <c r="X465" s="450"/>
      <c r="Y465" s="450"/>
      <c r="Z465" s="450"/>
      <c r="AA465" s="450"/>
      <c r="AB465" s="450"/>
      <c r="AC465" s="450"/>
      <c r="AD465" s="450"/>
      <c r="AE465" s="450"/>
      <c r="AF465" s="450"/>
      <c r="AG465" s="450"/>
      <c r="AH465" s="450"/>
      <c r="AI465" s="450"/>
      <c r="AJ465" s="450"/>
      <c r="AK465" s="450"/>
      <c r="AL465" s="450"/>
      <c r="AM465" s="450"/>
      <c r="AN465" s="450"/>
      <c r="AO465" s="450"/>
      <c r="AP465" s="450"/>
      <c r="AQ465" s="450"/>
      <c r="AR465" s="450"/>
      <c r="AS465" s="450"/>
      <c r="AT465" s="450"/>
      <c r="AU465" s="450"/>
      <c r="AV465" s="450"/>
      <c r="AW465" s="450"/>
      <c r="AX465" s="450"/>
      <c r="AY465" s="450"/>
      <c r="AZ465" s="450"/>
      <c r="BA465" s="450"/>
      <c r="BB465" s="450"/>
      <c r="BC465" s="450"/>
      <c r="BD465" s="450"/>
      <c r="BE465" s="450"/>
      <c r="BF465" s="450"/>
      <c r="BG465" s="450"/>
      <c r="BH465" s="450"/>
      <c r="BI465" s="450"/>
      <c r="BJ465" s="450"/>
      <c r="BK465" s="450"/>
      <c r="BL465" s="450"/>
      <c r="BM465" s="450"/>
      <c r="BN465" s="450"/>
      <c r="BO465" s="450"/>
      <c r="BP465" s="450"/>
      <c r="BQ465" s="450"/>
      <c r="BR465" s="450"/>
      <c r="BS465" s="450"/>
      <c r="BT465" s="450"/>
      <c r="BU465" s="450"/>
      <c r="BV465" s="450"/>
      <c r="BW465" s="450"/>
      <c r="BX465" s="450"/>
      <c r="BY465" s="450"/>
      <c r="BZ465" s="450"/>
      <c r="CA465" s="450"/>
      <c r="CB465" s="450"/>
      <c r="CC465" s="450"/>
      <c r="CD465" s="450"/>
      <c r="CE465" s="450"/>
      <c r="CF465" s="450"/>
      <c r="CG465" s="450"/>
      <c r="CH465" s="450"/>
    </row>
    <row r="466">
      <c r="A466" s="450"/>
      <c r="B466" s="498"/>
      <c r="C466" s="455"/>
      <c r="D466" s="450"/>
      <c r="E466" s="450"/>
      <c r="F466" s="450"/>
      <c r="G466" s="450"/>
      <c r="H466" s="450"/>
      <c r="I466" s="450"/>
      <c r="J466" s="450"/>
      <c r="K466" s="450"/>
      <c r="L466" s="450"/>
      <c r="M466" s="450"/>
      <c r="N466" s="450"/>
      <c r="O466" s="450"/>
      <c r="P466" s="450"/>
      <c r="Q466" s="450"/>
      <c r="R466" s="450"/>
      <c r="S466" s="450"/>
      <c r="T466" s="450"/>
      <c r="U466" s="450"/>
      <c r="V466" s="450"/>
      <c r="W466" s="450"/>
      <c r="X466" s="450"/>
      <c r="Y466" s="450"/>
      <c r="Z466" s="450"/>
      <c r="AA466" s="450"/>
      <c r="AB466" s="450"/>
      <c r="AC466" s="450"/>
      <c r="AD466" s="450"/>
      <c r="AE466" s="450"/>
      <c r="AF466" s="450"/>
      <c r="AG466" s="450"/>
      <c r="AH466" s="450"/>
      <c r="AI466" s="450"/>
      <c r="AJ466" s="450"/>
      <c r="AK466" s="450"/>
      <c r="AL466" s="450"/>
      <c r="AM466" s="450"/>
      <c r="AN466" s="450"/>
      <c r="AO466" s="450"/>
      <c r="AP466" s="450"/>
      <c r="AQ466" s="450"/>
      <c r="AR466" s="450"/>
      <c r="AS466" s="450"/>
      <c r="AT466" s="450"/>
      <c r="AU466" s="450"/>
      <c r="AV466" s="450"/>
      <c r="AW466" s="450"/>
      <c r="AX466" s="450"/>
      <c r="AY466" s="450"/>
      <c r="AZ466" s="450"/>
      <c r="BA466" s="450"/>
      <c r="BB466" s="450"/>
      <c r="BC466" s="450"/>
      <c r="BD466" s="450"/>
      <c r="BE466" s="450"/>
      <c r="BF466" s="450"/>
      <c r="BG466" s="450"/>
      <c r="BH466" s="450"/>
      <c r="BI466" s="450"/>
      <c r="BJ466" s="450"/>
      <c r="BK466" s="450"/>
      <c r="BL466" s="450"/>
      <c r="BM466" s="450"/>
      <c r="BN466" s="450"/>
      <c r="BO466" s="450"/>
      <c r="BP466" s="450"/>
      <c r="BQ466" s="450"/>
      <c r="BR466" s="450"/>
      <c r="BS466" s="450"/>
      <c r="BT466" s="450"/>
      <c r="BU466" s="450"/>
      <c r="BV466" s="450"/>
      <c r="BW466" s="450"/>
      <c r="BX466" s="450"/>
      <c r="BY466" s="450"/>
      <c r="BZ466" s="450"/>
      <c r="CA466" s="450"/>
      <c r="CB466" s="450"/>
      <c r="CC466" s="450"/>
      <c r="CD466" s="450"/>
      <c r="CE466" s="450"/>
      <c r="CF466" s="450"/>
      <c r="CG466" s="450"/>
      <c r="CH466" s="450"/>
    </row>
    <row r="467">
      <c r="A467" s="450"/>
      <c r="B467" s="498"/>
      <c r="C467" s="455"/>
      <c r="D467" s="450"/>
      <c r="E467" s="450"/>
      <c r="F467" s="450"/>
      <c r="G467" s="450"/>
      <c r="H467" s="450"/>
      <c r="I467" s="450"/>
      <c r="J467" s="450"/>
      <c r="K467" s="450"/>
      <c r="L467" s="450"/>
      <c r="M467" s="450"/>
      <c r="N467" s="450"/>
      <c r="O467" s="450"/>
      <c r="P467" s="450"/>
      <c r="Q467" s="450"/>
      <c r="R467" s="450"/>
      <c r="S467" s="450"/>
      <c r="T467" s="450"/>
      <c r="U467" s="450"/>
      <c r="V467" s="450"/>
      <c r="W467" s="450"/>
      <c r="X467" s="450"/>
      <c r="Y467" s="450"/>
      <c r="Z467" s="450"/>
      <c r="AA467" s="450"/>
      <c r="AB467" s="450"/>
      <c r="AC467" s="450"/>
      <c r="AD467" s="450"/>
      <c r="AE467" s="450"/>
      <c r="AF467" s="450"/>
      <c r="AG467" s="450"/>
      <c r="AH467" s="450"/>
      <c r="AI467" s="450"/>
      <c r="AJ467" s="450"/>
      <c r="AK467" s="450"/>
      <c r="AL467" s="450"/>
      <c r="AM467" s="450"/>
      <c r="AN467" s="450"/>
      <c r="AO467" s="450"/>
      <c r="AP467" s="450"/>
      <c r="AQ467" s="450"/>
      <c r="AR467" s="450"/>
      <c r="AS467" s="450"/>
      <c r="AT467" s="450"/>
      <c r="AU467" s="450"/>
      <c r="AV467" s="450"/>
      <c r="AW467" s="450"/>
      <c r="AX467" s="450"/>
      <c r="AY467" s="450"/>
      <c r="AZ467" s="450"/>
      <c r="BA467" s="450"/>
      <c r="BB467" s="450"/>
      <c r="BC467" s="450"/>
      <c r="BD467" s="450"/>
      <c r="BE467" s="450"/>
      <c r="BF467" s="450"/>
      <c r="BG467" s="450"/>
      <c r="BH467" s="450"/>
      <c r="BI467" s="450"/>
      <c r="BJ467" s="450"/>
      <c r="BK467" s="450"/>
      <c r="BL467" s="450"/>
      <c r="BM467" s="450"/>
      <c r="BN467" s="450"/>
      <c r="BO467" s="450"/>
      <c r="BP467" s="450"/>
      <c r="BQ467" s="450"/>
      <c r="BR467" s="450"/>
      <c r="BS467" s="450"/>
      <c r="BT467" s="450"/>
      <c r="BU467" s="450"/>
      <c r="BV467" s="450"/>
      <c r="BW467" s="450"/>
      <c r="BX467" s="450"/>
      <c r="BY467" s="450"/>
      <c r="BZ467" s="450"/>
      <c r="CA467" s="450"/>
      <c r="CB467" s="450"/>
      <c r="CC467" s="450"/>
      <c r="CD467" s="450"/>
      <c r="CE467" s="450"/>
      <c r="CF467" s="450"/>
      <c r="CG467" s="450"/>
      <c r="CH467" s="450"/>
    </row>
    <row r="468">
      <c r="A468" s="450"/>
      <c r="B468" s="498"/>
      <c r="C468" s="455"/>
      <c r="D468" s="450"/>
      <c r="E468" s="450"/>
      <c r="F468" s="450"/>
      <c r="G468" s="450"/>
      <c r="H468" s="450"/>
      <c r="I468" s="450"/>
      <c r="J468" s="450"/>
      <c r="K468" s="450"/>
      <c r="L468" s="450"/>
      <c r="M468" s="450"/>
      <c r="N468" s="450"/>
      <c r="O468" s="450"/>
      <c r="P468" s="450"/>
      <c r="Q468" s="450"/>
      <c r="R468" s="450"/>
      <c r="S468" s="450"/>
      <c r="T468" s="450"/>
      <c r="U468" s="450"/>
      <c r="V468" s="450"/>
      <c r="W468" s="450"/>
      <c r="X468" s="450"/>
      <c r="Y468" s="450"/>
      <c r="Z468" s="450"/>
      <c r="AA468" s="450"/>
      <c r="AB468" s="450"/>
      <c r="AC468" s="450"/>
      <c r="AD468" s="450"/>
      <c r="AE468" s="450"/>
      <c r="AF468" s="450"/>
      <c r="AG468" s="450"/>
      <c r="AH468" s="450"/>
      <c r="AI468" s="450"/>
      <c r="AJ468" s="450"/>
      <c r="AK468" s="450"/>
      <c r="AL468" s="450"/>
      <c r="AM468" s="450"/>
      <c r="AN468" s="450"/>
      <c r="AO468" s="450"/>
      <c r="AP468" s="450"/>
      <c r="AQ468" s="450"/>
      <c r="AR468" s="450"/>
      <c r="AS468" s="450"/>
      <c r="AT468" s="450"/>
      <c r="AU468" s="450"/>
      <c r="AV468" s="450"/>
      <c r="AW468" s="450"/>
      <c r="AX468" s="450"/>
      <c r="AY468" s="450"/>
      <c r="AZ468" s="450"/>
      <c r="BA468" s="450"/>
      <c r="BB468" s="450"/>
      <c r="BC468" s="450"/>
      <c r="BD468" s="450"/>
      <c r="BE468" s="450"/>
      <c r="BF468" s="450"/>
      <c r="BG468" s="450"/>
      <c r="BH468" s="450"/>
      <c r="BI468" s="450"/>
      <c r="BJ468" s="450"/>
      <c r="BK468" s="450"/>
      <c r="BL468" s="450"/>
      <c r="BM468" s="450"/>
      <c r="BN468" s="450"/>
      <c r="BO468" s="450"/>
      <c r="BP468" s="450"/>
      <c r="BQ468" s="450"/>
      <c r="BR468" s="450"/>
      <c r="BS468" s="450"/>
      <c r="BT468" s="450"/>
      <c r="BU468" s="450"/>
      <c r="BV468" s="450"/>
      <c r="BW468" s="450"/>
      <c r="BX468" s="450"/>
      <c r="BY468" s="450"/>
      <c r="BZ468" s="450"/>
      <c r="CA468" s="450"/>
      <c r="CB468" s="450"/>
      <c r="CC468" s="450"/>
      <c r="CD468" s="450"/>
      <c r="CE468" s="450"/>
      <c r="CF468" s="450"/>
      <c r="CG468" s="450"/>
      <c r="CH468" s="450"/>
    </row>
    <row r="469">
      <c r="A469" s="450"/>
      <c r="B469" s="498"/>
      <c r="C469" s="455"/>
      <c r="D469" s="450"/>
      <c r="E469" s="450"/>
      <c r="F469" s="450"/>
      <c r="G469" s="450"/>
      <c r="H469" s="450"/>
      <c r="I469" s="450"/>
      <c r="J469" s="450"/>
      <c r="K469" s="450"/>
      <c r="L469" s="450"/>
      <c r="M469" s="450"/>
      <c r="N469" s="450"/>
      <c r="O469" s="450"/>
      <c r="P469" s="450"/>
      <c r="Q469" s="450"/>
      <c r="R469" s="450"/>
      <c r="S469" s="450"/>
      <c r="T469" s="450"/>
      <c r="U469" s="450"/>
      <c r="V469" s="450"/>
      <c r="W469" s="450"/>
      <c r="X469" s="450"/>
      <c r="Y469" s="450"/>
      <c r="Z469" s="450"/>
      <c r="AA469" s="450"/>
      <c r="AB469" s="450"/>
      <c r="AC469" s="450"/>
      <c r="AD469" s="450"/>
      <c r="AE469" s="450"/>
      <c r="AF469" s="450"/>
      <c r="AG469" s="450"/>
      <c r="AH469" s="450"/>
      <c r="AI469" s="450"/>
      <c r="AJ469" s="450"/>
      <c r="AK469" s="450"/>
      <c r="AL469" s="450"/>
      <c r="AM469" s="450"/>
      <c r="AN469" s="450"/>
      <c r="AO469" s="450"/>
      <c r="AP469" s="450"/>
      <c r="AQ469" s="450"/>
      <c r="AR469" s="450"/>
      <c r="AS469" s="450"/>
      <c r="AT469" s="450"/>
      <c r="AU469" s="450"/>
      <c r="AV469" s="450"/>
      <c r="AW469" s="450"/>
      <c r="AX469" s="450"/>
      <c r="AY469" s="450"/>
      <c r="AZ469" s="450"/>
      <c r="BA469" s="450"/>
      <c r="BB469" s="450"/>
      <c r="BC469" s="450"/>
      <c r="BD469" s="450"/>
      <c r="BE469" s="450"/>
      <c r="BF469" s="450"/>
      <c r="BG469" s="450"/>
      <c r="BH469" s="450"/>
      <c r="BI469" s="450"/>
      <c r="BJ469" s="450"/>
      <c r="BK469" s="450"/>
      <c r="BL469" s="450"/>
      <c r="BM469" s="450"/>
      <c r="BN469" s="450"/>
      <c r="BO469" s="450"/>
      <c r="BP469" s="450"/>
      <c r="BQ469" s="450"/>
      <c r="BR469" s="450"/>
      <c r="BS469" s="450"/>
      <c r="BT469" s="450"/>
      <c r="BU469" s="450"/>
      <c r="BV469" s="450"/>
      <c r="BW469" s="450"/>
      <c r="BX469" s="450"/>
      <c r="BY469" s="450"/>
      <c r="BZ469" s="450"/>
      <c r="CA469" s="450"/>
      <c r="CB469" s="450"/>
      <c r="CC469" s="450"/>
      <c r="CD469" s="450"/>
      <c r="CE469" s="450"/>
      <c r="CF469" s="450"/>
      <c r="CG469" s="450"/>
      <c r="CH469" s="450"/>
    </row>
    <row r="470">
      <c r="A470" s="450"/>
      <c r="B470" s="498"/>
      <c r="C470" s="455"/>
      <c r="D470" s="450"/>
      <c r="E470" s="450"/>
      <c r="F470" s="450"/>
      <c r="G470" s="450"/>
      <c r="H470" s="450"/>
      <c r="I470" s="450"/>
      <c r="J470" s="450"/>
      <c r="K470" s="450"/>
      <c r="L470" s="450"/>
      <c r="M470" s="450"/>
      <c r="N470" s="450"/>
      <c r="O470" s="450"/>
      <c r="P470" s="450"/>
      <c r="Q470" s="450"/>
      <c r="R470" s="450"/>
      <c r="S470" s="450"/>
      <c r="T470" s="450"/>
      <c r="U470" s="450"/>
      <c r="V470" s="450"/>
      <c r="W470" s="450"/>
      <c r="X470" s="450"/>
      <c r="Y470" s="450"/>
      <c r="Z470" s="450"/>
      <c r="AA470" s="450"/>
      <c r="AB470" s="450"/>
      <c r="AC470" s="450"/>
      <c r="AD470" s="450"/>
      <c r="AE470" s="450"/>
      <c r="AF470" s="450"/>
      <c r="AG470" s="450"/>
      <c r="AH470" s="450"/>
      <c r="AI470" s="450"/>
      <c r="AJ470" s="450"/>
      <c r="AK470" s="450"/>
      <c r="AL470" s="450"/>
      <c r="AM470" s="450"/>
      <c r="AN470" s="450"/>
      <c r="AO470" s="450"/>
      <c r="AP470" s="450"/>
      <c r="AQ470" s="450"/>
      <c r="AR470" s="450"/>
      <c r="AS470" s="450"/>
      <c r="AT470" s="450"/>
      <c r="AU470" s="450"/>
      <c r="AV470" s="450"/>
      <c r="AW470" s="450"/>
      <c r="AX470" s="450"/>
      <c r="AY470" s="450"/>
      <c r="AZ470" s="450"/>
      <c r="BA470" s="450"/>
      <c r="BB470" s="450"/>
      <c r="BC470" s="450"/>
      <c r="BD470" s="450"/>
      <c r="BE470" s="450"/>
      <c r="BF470" s="450"/>
      <c r="BG470" s="450"/>
      <c r="BH470" s="450"/>
      <c r="BI470" s="450"/>
      <c r="BJ470" s="450"/>
      <c r="BK470" s="450"/>
      <c r="BL470" s="450"/>
      <c r="BM470" s="450"/>
      <c r="BN470" s="450"/>
      <c r="BO470" s="450"/>
      <c r="BP470" s="450"/>
      <c r="BQ470" s="450"/>
      <c r="BR470" s="450"/>
      <c r="BS470" s="450"/>
      <c r="BT470" s="450"/>
      <c r="BU470" s="450"/>
      <c r="BV470" s="450"/>
      <c r="BW470" s="450"/>
      <c r="BX470" s="450"/>
      <c r="BY470" s="450"/>
      <c r="BZ470" s="450"/>
      <c r="CA470" s="450"/>
      <c r="CB470" s="450"/>
      <c r="CC470" s="450"/>
      <c r="CD470" s="450"/>
      <c r="CE470" s="450"/>
      <c r="CF470" s="450"/>
      <c r="CG470" s="450"/>
      <c r="CH470" s="450"/>
    </row>
    <row r="471">
      <c r="A471" s="450"/>
      <c r="B471" s="498"/>
      <c r="C471" s="455"/>
      <c r="D471" s="450"/>
      <c r="E471" s="450"/>
      <c r="F471" s="450"/>
      <c r="G471" s="450"/>
      <c r="H471" s="450"/>
      <c r="I471" s="450"/>
      <c r="J471" s="450"/>
      <c r="K471" s="450"/>
      <c r="L471" s="450"/>
      <c r="M471" s="450"/>
      <c r="N471" s="450"/>
      <c r="O471" s="450"/>
      <c r="P471" s="450"/>
      <c r="Q471" s="450"/>
      <c r="R471" s="450"/>
      <c r="S471" s="450"/>
      <c r="T471" s="450"/>
      <c r="U471" s="450"/>
      <c r="V471" s="450"/>
      <c r="W471" s="450"/>
      <c r="X471" s="450"/>
      <c r="Y471" s="450"/>
      <c r="Z471" s="450"/>
      <c r="AA471" s="450"/>
      <c r="AB471" s="450"/>
      <c r="AC471" s="450"/>
      <c r="AD471" s="450"/>
      <c r="AE471" s="450"/>
      <c r="AF471" s="450"/>
      <c r="AG471" s="450"/>
      <c r="AH471" s="450"/>
      <c r="AI471" s="450"/>
      <c r="AJ471" s="450"/>
      <c r="AK471" s="450"/>
      <c r="AL471" s="450"/>
      <c r="AM471" s="450"/>
      <c r="AN471" s="450"/>
      <c r="AO471" s="450"/>
      <c r="AP471" s="450"/>
      <c r="AQ471" s="450"/>
      <c r="AR471" s="450"/>
      <c r="AS471" s="450"/>
      <c r="AT471" s="450"/>
      <c r="AU471" s="450"/>
      <c r="AV471" s="450"/>
      <c r="AW471" s="450"/>
      <c r="AX471" s="450"/>
      <c r="AY471" s="450"/>
      <c r="AZ471" s="450"/>
      <c r="BA471" s="450"/>
      <c r="BB471" s="450"/>
      <c r="BC471" s="450"/>
      <c r="BD471" s="450"/>
      <c r="BE471" s="450"/>
      <c r="BF471" s="450"/>
      <c r="BG471" s="450"/>
      <c r="BH471" s="450"/>
      <c r="BI471" s="450"/>
      <c r="BJ471" s="450"/>
      <c r="BK471" s="450"/>
      <c r="BL471" s="450"/>
      <c r="BM471" s="450"/>
      <c r="BN471" s="450"/>
      <c r="BO471" s="450"/>
      <c r="BP471" s="450"/>
      <c r="BQ471" s="450"/>
      <c r="BR471" s="450"/>
      <c r="BS471" s="450"/>
      <c r="BT471" s="450"/>
      <c r="BU471" s="450"/>
      <c r="BV471" s="450"/>
      <c r="BW471" s="450"/>
      <c r="BX471" s="450"/>
      <c r="BY471" s="450"/>
      <c r="BZ471" s="450"/>
      <c r="CA471" s="450"/>
      <c r="CB471" s="450"/>
      <c r="CC471" s="450"/>
      <c r="CD471" s="450"/>
      <c r="CE471" s="450"/>
      <c r="CF471" s="450"/>
      <c r="CG471" s="450"/>
      <c r="CH471" s="450"/>
    </row>
    <row r="472">
      <c r="A472" s="450"/>
      <c r="B472" s="498"/>
      <c r="C472" s="455"/>
      <c r="D472" s="450"/>
      <c r="E472" s="450"/>
      <c r="F472" s="450"/>
      <c r="G472" s="450"/>
      <c r="H472" s="450"/>
      <c r="I472" s="450"/>
      <c r="J472" s="450"/>
      <c r="K472" s="450"/>
      <c r="L472" s="450"/>
      <c r="M472" s="450"/>
      <c r="N472" s="450"/>
      <c r="O472" s="450"/>
      <c r="P472" s="450"/>
      <c r="Q472" s="450"/>
      <c r="R472" s="450"/>
      <c r="S472" s="450"/>
      <c r="T472" s="450"/>
      <c r="U472" s="450"/>
      <c r="V472" s="450"/>
      <c r="W472" s="450"/>
      <c r="X472" s="450"/>
      <c r="Y472" s="450"/>
      <c r="Z472" s="450"/>
      <c r="AA472" s="450"/>
      <c r="AB472" s="450"/>
      <c r="AC472" s="450"/>
      <c r="AD472" s="450"/>
      <c r="AE472" s="450"/>
      <c r="AF472" s="450"/>
      <c r="AG472" s="450"/>
      <c r="AH472" s="450"/>
      <c r="AI472" s="450"/>
      <c r="AJ472" s="450"/>
      <c r="AK472" s="450"/>
      <c r="AL472" s="450"/>
      <c r="AM472" s="450"/>
      <c r="AN472" s="450"/>
      <c r="AO472" s="450"/>
      <c r="AP472" s="450"/>
      <c r="AQ472" s="450"/>
      <c r="AR472" s="450"/>
      <c r="AS472" s="450"/>
      <c r="AT472" s="450"/>
      <c r="AU472" s="450"/>
      <c r="AV472" s="450"/>
      <c r="AW472" s="450"/>
      <c r="AX472" s="450"/>
      <c r="AY472" s="450"/>
      <c r="AZ472" s="450"/>
      <c r="BA472" s="450"/>
      <c r="BB472" s="450"/>
      <c r="BC472" s="450"/>
      <c r="BD472" s="450"/>
      <c r="BE472" s="450"/>
      <c r="BF472" s="450"/>
      <c r="BG472" s="450"/>
      <c r="BH472" s="450"/>
      <c r="BI472" s="450"/>
      <c r="BJ472" s="450"/>
      <c r="BK472" s="450"/>
      <c r="BL472" s="450"/>
      <c r="BM472" s="450"/>
      <c r="BN472" s="450"/>
      <c r="BO472" s="450"/>
      <c r="BP472" s="450"/>
      <c r="BQ472" s="450"/>
      <c r="BR472" s="450"/>
      <c r="BS472" s="450"/>
      <c r="BT472" s="450"/>
      <c r="BU472" s="450"/>
      <c r="BV472" s="450"/>
      <c r="BW472" s="450"/>
      <c r="BX472" s="450"/>
      <c r="BY472" s="450"/>
      <c r="BZ472" s="450"/>
      <c r="CA472" s="450"/>
      <c r="CB472" s="450"/>
      <c r="CC472" s="450"/>
      <c r="CD472" s="450"/>
      <c r="CE472" s="450"/>
      <c r="CF472" s="450"/>
      <c r="CG472" s="450"/>
      <c r="CH472" s="450"/>
    </row>
    <row r="473">
      <c r="A473" s="450"/>
      <c r="B473" s="498"/>
      <c r="C473" s="455"/>
      <c r="D473" s="450"/>
      <c r="E473" s="450"/>
      <c r="F473" s="450"/>
      <c r="G473" s="450"/>
      <c r="H473" s="450"/>
      <c r="I473" s="450"/>
      <c r="J473" s="450"/>
      <c r="K473" s="450"/>
      <c r="L473" s="450"/>
      <c r="M473" s="450"/>
      <c r="N473" s="450"/>
      <c r="O473" s="450"/>
      <c r="P473" s="450"/>
      <c r="Q473" s="450"/>
      <c r="R473" s="450"/>
      <c r="S473" s="450"/>
      <c r="T473" s="450"/>
      <c r="U473" s="450"/>
      <c r="V473" s="450"/>
      <c r="W473" s="450"/>
      <c r="X473" s="450"/>
      <c r="Y473" s="450"/>
      <c r="Z473" s="450"/>
      <c r="AA473" s="450"/>
      <c r="AB473" s="450"/>
      <c r="AC473" s="450"/>
      <c r="AD473" s="450"/>
      <c r="AE473" s="450"/>
      <c r="AF473" s="450"/>
      <c r="AG473" s="450"/>
      <c r="AH473" s="450"/>
      <c r="AI473" s="450"/>
      <c r="AJ473" s="450"/>
      <c r="AK473" s="450"/>
      <c r="AL473" s="450"/>
      <c r="AM473" s="450"/>
      <c r="AN473" s="450"/>
      <c r="AO473" s="450"/>
      <c r="AP473" s="450"/>
      <c r="AQ473" s="450"/>
      <c r="AR473" s="450"/>
      <c r="AS473" s="450"/>
      <c r="AT473" s="450"/>
      <c r="AU473" s="450"/>
      <c r="AV473" s="450"/>
      <c r="AW473" s="450"/>
      <c r="AX473" s="450"/>
      <c r="AY473" s="450"/>
      <c r="AZ473" s="450"/>
      <c r="BA473" s="450"/>
      <c r="BB473" s="450"/>
      <c r="BC473" s="450"/>
      <c r="BD473" s="450"/>
      <c r="BE473" s="450"/>
      <c r="BF473" s="450"/>
      <c r="BG473" s="450"/>
      <c r="BH473" s="450"/>
      <c r="BI473" s="450"/>
      <c r="BJ473" s="450"/>
      <c r="BK473" s="450"/>
      <c r="BL473" s="450"/>
      <c r="BM473" s="450"/>
      <c r="BN473" s="450"/>
      <c r="BO473" s="450"/>
      <c r="BP473" s="450"/>
      <c r="BQ473" s="450"/>
      <c r="BR473" s="450"/>
      <c r="BS473" s="450"/>
      <c r="BT473" s="450"/>
      <c r="BU473" s="450"/>
      <c r="BV473" s="450"/>
      <c r="BW473" s="450"/>
      <c r="BX473" s="450"/>
      <c r="BY473" s="450"/>
      <c r="BZ473" s="450"/>
      <c r="CA473" s="450"/>
      <c r="CB473" s="450"/>
      <c r="CC473" s="450"/>
      <c r="CD473" s="450"/>
      <c r="CE473" s="450"/>
      <c r="CF473" s="450"/>
      <c r="CG473" s="450"/>
      <c r="CH473" s="450"/>
    </row>
    <row r="474">
      <c r="A474" s="450"/>
      <c r="B474" s="498"/>
      <c r="C474" s="455"/>
      <c r="D474" s="450"/>
      <c r="E474" s="450"/>
      <c r="F474" s="450"/>
      <c r="G474" s="450"/>
      <c r="H474" s="450"/>
      <c r="I474" s="450"/>
      <c r="J474" s="450"/>
      <c r="K474" s="450"/>
      <c r="L474" s="450"/>
      <c r="M474" s="450"/>
      <c r="N474" s="450"/>
      <c r="O474" s="450"/>
      <c r="P474" s="450"/>
      <c r="Q474" s="450"/>
      <c r="R474" s="450"/>
      <c r="S474" s="450"/>
      <c r="T474" s="450"/>
      <c r="U474" s="450"/>
      <c r="V474" s="450"/>
      <c r="W474" s="450"/>
      <c r="X474" s="450"/>
      <c r="Y474" s="450"/>
      <c r="Z474" s="450"/>
      <c r="AA474" s="450"/>
      <c r="AB474" s="450"/>
      <c r="AC474" s="450"/>
      <c r="AD474" s="450"/>
      <c r="AE474" s="450"/>
      <c r="AF474" s="450"/>
      <c r="AG474" s="450"/>
      <c r="AH474" s="450"/>
      <c r="AI474" s="450"/>
      <c r="AJ474" s="450"/>
      <c r="AK474" s="450"/>
      <c r="AL474" s="450"/>
      <c r="AM474" s="450"/>
      <c r="AN474" s="450"/>
      <c r="AO474" s="450"/>
      <c r="AP474" s="450"/>
      <c r="AQ474" s="450"/>
      <c r="AR474" s="450"/>
      <c r="AS474" s="450"/>
      <c r="AT474" s="450"/>
      <c r="AU474" s="450"/>
      <c r="AV474" s="450"/>
      <c r="AW474" s="450"/>
      <c r="AX474" s="450"/>
      <c r="AY474" s="450"/>
      <c r="AZ474" s="450"/>
      <c r="BA474" s="450"/>
      <c r="BB474" s="450"/>
      <c r="BC474" s="450"/>
      <c r="BD474" s="450"/>
      <c r="BE474" s="450"/>
      <c r="BF474" s="450"/>
      <c r="BG474" s="450"/>
      <c r="BH474" s="450"/>
      <c r="BI474" s="450"/>
      <c r="BJ474" s="450"/>
      <c r="BK474" s="450"/>
      <c r="BL474" s="450"/>
      <c r="BM474" s="450"/>
      <c r="BN474" s="450"/>
      <c r="BO474" s="450"/>
      <c r="BP474" s="450"/>
      <c r="BQ474" s="450"/>
      <c r="BR474" s="450"/>
      <c r="BS474" s="450"/>
      <c r="BT474" s="450"/>
      <c r="BU474" s="450"/>
      <c r="BV474" s="450"/>
      <c r="BW474" s="450"/>
      <c r="BX474" s="450"/>
      <c r="BY474" s="450"/>
      <c r="BZ474" s="450"/>
      <c r="CA474" s="450"/>
      <c r="CB474" s="450"/>
      <c r="CC474" s="450"/>
      <c r="CD474" s="450"/>
      <c r="CE474" s="450"/>
      <c r="CF474" s="450"/>
      <c r="CG474" s="450"/>
      <c r="CH474" s="450"/>
    </row>
    <row r="475">
      <c r="A475" s="450"/>
      <c r="B475" s="498"/>
      <c r="C475" s="455"/>
      <c r="D475" s="450"/>
      <c r="E475" s="450"/>
      <c r="F475" s="450"/>
      <c r="G475" s="450"/>
      <c r="H475" s="450"/>
      <c r="I475" s="450"/>
      <c r="J475" s="450"/>
      <c r="K475" s="450"/>
      <c r="L475" s="450"/>
      <c r="M475" s="450"/>
      <c r="N475" s="450"/>
      <c r="O475" s="450"/>
      <c r="P475" s="450"/>
      <c r="Q475" s="450"/>
      <c r="R475" s="450"/>
      <c r="S475" s="450"/>
      <c r="T475" s="450"/>
      <c r="U475" s="450"/>
      <c r="V475" s="450"/>
      <c r="W475" s="450"/>
      <c r="X475" s="450"/>
      <c r="Y475" s="450"/>
      <c r="Z475" s="450"/>
      <c r="AA475" s="450"/>
      <c r="AB475" s="450"/>
      <c r="AC475" s="450"/>
      <c r="AD475" s="450"/>
      <c r="AE475" s="450"/>
      <c r="AF475" s="450"/>
      <c r="AG475" s="450"/>
      <c r="AH475" s="450"/>
      <c r="AI475" s="450"/>
      <c r="AJ475" s="450"/>
      <c r="AK475" s="450"/>
      <c r="AL475" s="450"/>
      <c r="AM475" s="450"/>
      <c r="AN475" s="450"/>
      <c r="AO475" s="450"/>
      <c r="AP475" s="450"/>
      <c r="AQ475" s="450"/>
      <c r="AR475" s="450"/>
      <c r="AS475" s="450"/>
      <c r="AT475" s="450"/>
      <c r="AU475" s="450"/>
      <c r="AV475" s="450"/>
      <c r="AW475" s="450"/>
      <c r="AX475" s="450"/>
      <c r="AY475" s="450"/>
      <c r="AZ475" s="450"/>
      <c r="BA475" s="450"/>
      <c r="BB475" s="450"/>
      <c r="BC475" s="450"/>
      <c r="BD475" s="450"/>
      <c r="BE475" s="450"/>
      <c r="BF475" s="450"/>
      <c r="BG475" s="450"/>
      <c r="BH475" s="450"/>
      <c r="BI475" s="450"/>
      <c r="BJ475" s="450"/>
      <c r="BK475" s="450"/>
      <c r="BL475" s="450"/>
      <c r="BM475" s="450"/>
      <c r="BN475" s="450"/>
      <c r="BO475" s="450"/>
      <c r="BP475" s="450"/>
      <c r="BQ475" s="450"/>
      <c r="BR475" s="450"/>
      <c r="BS475" s="450"/>
      <c r="BT475" s="450"/>
      <c r="BU475" s="450"/>
      <c r="BV475" s="450"/>
      <c r="BW475" s="450"/>
      <c r="BX475" s="450"/>
      <c r="BY475" s="450"/>
      <c r="BZ475" s="450"/>
      <c r="CA475" s="450"/>
      <c r="CB475" s="450"/>
      <c r="CC475" s="450"/>
      <c r="CD475" s="450"/>
      <c r="CE475" s="450"/>
      <c r="CF475" s="450"/>
      <c r="CG475" s="450"/>
      <c r="CH475" s="450"/>
    </row>
    <row r="476">
      <c r="A476" s="450"/>
      <c r="B476" s="498"/>
      <c r="C476" s="455"/>
      <c r="D476" s="450"/>
      <c r="E476" s="450"/>
      <c r="F476" s="450"/>
      <c r="G476" s="450"/>
      <c r="H476" s="450"/>
      <c r="I476" s="450"/>
      <c r="J476" s="450"/>
      <c r="K476" s="450"/>
      <c r="L476" s="450"/>
      <c r="M476" s="450"/>
      <c r="N476" s="450"/>
      <c r="O476" s="450"/>
      <c r="P476" s="450"/>
      <c r="Q476" s="450"/>
      <c r="R476" s="450"/>
      <c r="S476" s="450"/>
      <c r="T476" s="450"/>
      <c r="U476" s="450"/>
      <c r="V476" s="450"/>
      <c r="W476" s="450"/>
      <c r="X476" s="450"/>
      <c r="Y476" s="450"/>
      <c r="Z476" s="450"/>
      <c r="AA476" s="450"/>
      <c r="AB476" s="450"/>
      <c r="AC476" s="450"/>
      <c r="AD476" s="450"/>
      <c r="AE476" s="450"/>
      <c r="AF476" s="450"/>
      <c r="AG476" s="450"/>
      <c r="AH476" s="450"/>
      <c r="AI476" s="450"/>
      <c r="AJ476" s="450"/>
      <c r="AK476" s="450"/>
      <c r="AL476" s="450"/>
      <c r="AM476" s="450"/>
      <c r="AN476" s="450"/>
      <c r="AO476" s="450"/>
      <c r="AP476" s="450"/>
      <c r="AQ476" s="450"/>
      <c r="AR476" s="450"/>
      <c r="AS476" s="450"/>
      <c r="AT476" s="450"/>
      <c r="AU476" s="450"/>
      <c r="AV476" s="450"/>
      <c r="AW476" s="450"/>
      <c r="AX476" s="450"/>
      <c r="AY476" s="450"/>
      <c r="AZ476" s="450"/>
      <c r="BA476" s="450"/>
      <c r="BB476" s="450"/>
      <c r="BC476" s="450"/>
      <c r="BD476" s="450"/>
      <c r="BE476" s="450"/>
      <c r="BF476" s="450"/>
      <c r="BG476" s="450"/>
      <c r="BH476" s="450"/>
      <c r="BI476" s="450"/>
      <c r="BJ476" s="450"/>
      <c r="BK476" s="450"/>
      <c r="BL476" s="450"/>
      <c r="BM476" s="450"/>
      <c r="BN476" s="450"/>
      <c r="BO476" s="450"/>
      <c r="BP476" s="450"/>
      <c r="BQ476" s="450"/>
      <c r="BR476" s="450"/>
      <c r="BS476" s="450"/>
      <c r="BT476" s="450"/>
      <c r="BU476" s="450"/>
      <c r="BV476" s="450"/>
      <c r="BW476" s="450"/>
      <c r="BX476" s="450"/>
      <c r="BY476" s="450"/>
      <c r="BZ476" s="450"/>
      <c r="CA476" s="450"/>
      <c r="CB476" s="450"/>
      <c r="CC476" s="450"/>
      <c r="CD476" s="450"/>
      <c r="CE476" s="450"/>
      <c r="CF476" s="450"/>
      <c r="CG476" s="450"/>
      <c r="CH476" s="450"/>
    </row>
    <row r="477">
      <c r="A477" s="450"/>
      <c r="B477" s="498"/>
      <c r="C477" s="455"/>
      <c r="D477" s="450"/>
      <c r="E477" s="450"/>
      <c r="F477" s="450"/>
      <c r="G477" s="450"/>
      <c r="H477" s="450"/>
      <c r="I477" s="450"/>
      <c r="J477" s="450"/>
      <c r="K477" s="450"/>
      <c r="L477" s="450"/>
      <c r="M477" s="450"/>
      <c r="N477" s="450"/>
      <c r="O477" s="450"/>
      <c r="P477" s="450"/>
      <c r="Q477" s="450"/>
      <c r="R477" s="450"/>
      <c r="S477" s="450"/>
      <c r="T477" s="450"/>
      <c r="U477" s="450"/>
      <c r="V477" s="450"/>
      <c r="W477" s="450"/>
      <c r="X477" s="450"/>
      <c r="Y477" s="450"/>
      <c r="Z477" s="450"/>
      <c r="AA477" s="450"/>
      <c r="AB477" s="450"/>
      <c r="AC477" s="450"/>
      <c r="AD477" s="450"/>
      <c r="AE477" s="450"/>
      <c r="AF477" s="450"/>
      <c r="AG477" s="450"/>
      <c r="AH477" s="450"/>
      <c r="AI477" s="450"/>
      <c r="AJ477" s="450"/>
      <c r="AK477" s="450"/>
      <c r="AL477" s="450"/>
      <c r="AM477" s="450"/>
      <c r="AN477" s="450"/>
      <c r="AO477" s="450"/>
      <c r="AP477" s="450"/>
      <c r="AQ477" s="450"/>
      <c r="AR477" s="450"/>
      <c r="AS477" s="450"/>
      <c r="AT477" s="450"/>
      <c r="AU477" s="450"/>
      <c r="AV477" s="450"/>
      <c r="AW477" s="450"/>
      <c r="AX477" s="450"/>
      <c r="AY477" s="450"/>
      <c r="AZ477" s="450"/>
      <c r="BA477" s="450"/>
      <c r="BB477" s="450"/>
      <c r="BC477" s="450"/>
      <c r="BD477" s="450"/>
      <c r="BE477" s="450"/>
      <c r="BF477" s="450"/>
      <c r="BG477" s="450"/>
      <c r="BH477" s="450"/>
      <c r="BI477" s="450"/>
      <c r="BJ477" s="450"/>
      <c r="BK477" s="450"/>
      <c r="BL477" s="450"/>
      <c r="BM477" s="450"/>
      <c r="BN477" s="450"/>
      <c r="BO477" s="450"/>
      <c r="BP477" s="450"/>
      <c r="BQ477" s="450"/>
      <c r="BR477" s="450"/>
      <c r="BS477" s="450"/>
      <c r="BT477" s="450"/>
      <c r="BU477" s="450"/>
      <c r="BV477" s="450"/>
      <c r="BW477" s="450"/>
      <c r="BX477" s="450"/>
      <c r="BY477" s="450"/>
      <c r="BZ477" s="450"/>
      <c r="CA477" s="450"/>
      <c r="CB477" s="450"/>
      <c r="CC477" s="450"/>
      <c r="CD477" s="450"/>
      <c r="CE477" s="450"/>
      <c r="CF477" s="450"/>
      <c r="CG477" s="450"/>
      <c r="CH477" s="450"/>
    </row>
    <row r="478">
      <c r="A478" s="450"/>
      <c r="B478" s="498"/>
      <c r="C478" s="455"/>
      <c r="D478" s="450"/>
      <c r="E478" s="450"/>
      <c r="F478" s="450"/>
      <c r="G478" s="450"/>
      <c r="H478" s="450"/>
      <c r="I478" s="450"/>
      <c r="J478" s="450"/>
      <c r="K478" s="450"/>
      <c r="L478" s="450"/>
      <c r="M478" s="450"/>
      <c r="N478" s="450"/>
      <c r="O478" s="450"/>
      <c r="P478" s="450"/>
      <c r="Q478" s="450"/>
      <c r="R478" s="450"/>
      <c r="S478" s="450"/>
      <c r="T478" s="450"/>
      <c r="U478" s="450"/>
      <c r="V478" s="450"/>
      <c r="W478" s="450"/>
      <c r="X478" s="450"/>
      <c r="Y478" s="450"/>
      <c r="Z478" s="450"/>
      <c r="AA478" s="450"/>
      <c r="AB478" s="450"/>
      <c r="AC478" s="450"/>
      <c r="AD478" s="450"/>
      <c r="AE478" s="450"/>
      <c r="AF478" s="450"/>
      <c r="AG478" s="450"/>
      <c r="AH478" s="450"/>
      <c r="AI478" s="450"/>
      <c r="AJ478" s="450"/>
      <c r="AK478" s="450"/>
      <c r="AL478" s="450"/>
      <c r="AM478" s="450"/>
      <c r="AN478" s="450"/>
      <c r="AO478" s="450"/>
      <c r="AP478" s="450"/>
      <c r="AQ478" s="450"/>
      <c r="AR478" s="450"/>
      <c r="AS478" s="450"/>
      <c r="AT478" s="450"/>
      <c r="AU478" s="450"/>
      <c r="AV478" s="450"/>
      <c r="AW478" s="450"/>
      <c r="AX478" s="450"/>
      <c r="AY478" s="450"/>
      <c r="AZ478" s="450"/>
      <c r="BA478" s="450"/>
      <c r="BB478" s="450"/>
      <c r="BC478" s="450"/>
      <c r="BD478" s="450"/>
      <c r="BE478" s="450"/>
      <c r="BF478" s="450"/>
      <c r="BG478" s="450"/>
      <c r="BH478" s="450"/>
      <c r="BI478" s="450"/>
      <c r="BJ478" s="450"/>
      <c r="BK478" s="450"/>
      <c r="BL478" s="450"/>
      <c r="BM478" s="450"/>
      <c r="BN478" s="450"/>
      <c r="BO478" s="450"/>
      <c r="BP478" s="450"/>
      <c r="BQ478" s="450"/>
      <c r="BR478" s="450"/>
      <c r="BS478" s="450"/>
      <c r="BT478" s="450"/>
      <c r="BU478" s="450"/>
      <c r="BV478" s="450"/>
      <c r="BW478" s="450"/>
      <c r="BX478" s="450"/>
      <c r="BY478" s="450"/>
      <c r="BZ478" s="450"/>
      <c r="CA478" s="450"/>
      <c r="CB478" s="450"/>
      <c r="CC478" s="450"/>
      <c r="CD478" s="450"/>
      <c r="CE478" s="450"/>
      <c r="CF478" s="450"/>
      <c r="CG478" s="450"/>
      <c r="CH478" s="450"/>
    </row>
    <row r="479">
      <c r="A479" s="450"/>
      <c r="B479" s="498"/>
      <c r="C479" s="455"/>
      <c r="D479" s="450"/>
      <c r="E479" s="450"/>
      <c r="F479" s="450"/>
      <c r="G479" s="450"/>
      <c r="H479" s="450"/>
      <c r="I479" s="450"/>
      <c r="J479" s="450"/>
      <c r="K479" s="450"/>
      <c r="L479" s="450"/>
      <c r="M479" s="450"/>
      <c r="N479" s="450"/>
      <c r="O479" s="450"/>
      <c r="P479" s="450"/>
      <c r="Q479" s="450"/>
      <c r="R479" s="450"/>
      <c r="S479" s="450"/>
      <c r="T479" s="450"/>
      <c r="U479" s="450"/>
      <c r="V479" s="450"/>
      <c r="W479" s="450"/>
      <c r="X479" s="450"/>
      <c r="Y479" s="450"/>
      <c r="Z479" s="450"/>
      <c r="AA479" s="450"/>
      <c r="AB479" s="450"/>
      <c r="AC479" s="450"/>
      <c r="AD479" s="450"/>
      <c r="AE479" s="450"/>
      <c r="AF479" s="450"/>
      <c r="AG479" s="450"/>
      <c r="AH479" s="450"/>
      <c r="AI479" s="450"/>
      <c r="AJ479" s="450"/>
      <c r="AK479" s="450"/>
      <c r="AL479" s="450"/>
      <c r="AM479" s="450"/>
      <c r="AN479" s="450"/>
      <c r="AO479" s="450"/>
      <c r="AP479" s="450"/>
      <c r="AQ479" s="450"/>
      <c r="AR479" s="450"/>
      <c r="AS479" s="450"/>
      <c r="AT479" s="450"/>
      <c r="AU479" s="450"/>
      <c r="AV479" s="450"/>
      <c r="AW479" s="450"/>
      <c r="AX479" s="450"/>
      <c r="AY479" s="450"/>
      <c r="AZ479" s="450"/>
      <c r="BA479" s="450"/>
      <c r="BB479" s="450"/>
      <c r="BC479" s="450"/>
      <c r="BD479" s="450"/>
      <c r="BE479" s="450"/>
      <c r="BF479" s="450"/>
      <c r="BG479" s="450"/>
      <c r="BH479" s="450"/>
      <c r="BI479" s="450"/>
      <c r="BJ479" s="450"/>
      <c r="BK479" s="450"/>
      <c r="BL479" s="450"/>
      <c r="BM479" s="450"/>
      <c r="BN479" s="450"/>
      <c r="BO479" s="450"/>
      <c r="BP479" s="450"/>
      <c r="BQ479" s="450"/>
      <c r="BR479" s="450"/>
      <c r="BS479" s="450"/>
      <c r="BT479" s="450"/>
      <c r="BU479" s="450"/>
      <c r="BV479" s="450"/>
      <c r="BW479" s="450"/>
      <c r="BX479" s="450"/>
      <c r="BY479" s="450"/>
      <c r="BZ479" s="450"/>
      <c r="CA479" s="450"/>
      <c r="CB479" s="450"/>
      <c r="CC479" s="450"/>
      <c r="CD479" s="450"/>
      <c r="CE479" s="450"/>
      <c r="CF479" s="450"/>
      <c r="CG479" s="450"/>
      <c r="CH479" s="450"/>
    </row>
    <row r="480">
      <c r="A480" s="450"/>
      <c r="B480" s="498"/>
      <c r="C480" s="455"/>
      <c r="D480" s="450"/>
      <c r="E480" s="450"/>
      <c r="F480" s="450"/>
      <c r="G480" s="450"/>
      <c r="H480" s="450"/>
      <c r="I480" s="450"/>
      <c r="J480" s="450"/>
      <c r="K480" s="450"/>
      <c r="L480" s="450"/>
      <c r="M480" s="450"/>
      <c r="N480" s="450"/>
      <c r="O480" s="450"/>
      <c r="P480" s="450"/>
      <c r="Q480" s="450"/>
      <c r="R480" s="450"/>
      <c r="S480" s="450"/>
      <c r="T480" s="450"/>
      <c r="U480" s="450"/>
      <c r="V480" s="450"/>
      <c r="W480" s="450"/>
      <c r="X480" s="450"/>
      <c r="Y480" s="450"/>
      <c r="Z480" s="450"/>
      <c r="AA480" s="450"/>
      <c r="AB480" s="450"/>
      <c r="AC480" s="450"/>
      <c r="AD480" s="450"/>
      <c r="AE480" s="450"/>
      <c r="AF480" s="450"/>
      <c r="AG480" s="450"/>
      <c r="AH480" s="450"/>
      <c r="AI480" s="450"/>
      <c r="AJ480" s="450"/>
      <c r="AK480" s="450"/>
      <c r="AL480" s="450"/>
      <c r="AM480" s="450"/>
      <c r="AN480" s="450"/>
      <c r="AO480" s="450"/>
      <c r="AP480" s="450"/>
      <c r="AQ480" s="450"/>
      <c r="AR480" s="450"/>
      <c r="AS480" s="450"/>
      <c r="AT480" s="450"/>
      <c r="AU480" s="450"/>
      <c r="AV480" s="450"/>
      <c r="AW480" s="450"/>
      <c r="AX480" s="450"/>
      <c r="AY480" s="450"/>
      <c r="AZ480" s="450"/>
      <c r="BA480" s="450"/>
      <c r="BB480" s="450"/>
      <c r="BC480" s="450"/>
      <c r="BD480" s="450"/>
      <c r="BE480" s="450"/>
      <c r="BF480" s="450"/>
      <c r="BG480" s="450"/>
      <c r="BH480" s="450"/>
      <c r="BI480" s="450"/>
      <c r="BJ480" s="450"/>
      <c r="BK480" s="450"/>
      <c r="BL480" s="450"/>
      <c r="BM480" s="450"/>
      <c r="BN480" s="450"/>
      <c r="BO480" s="450"/>
      <c r="BP480" s="450"/>
      <c r="BQ480" s="450"/>
      <c r="BR480" s="450"/>
      <c r="BS480" s="450"/>
      <c r="BT480" s="450"/>
      <c r="BU480" s="450"/>
      <c r="BV480" s="450"/>
      <c r="BW480" s="450"/>
      <c r="BX480" s="450"/>
      <c r="BY480" s="450"/>
      <c r="BZ480" s="450"/>
      <c r="CA480" s="450"/>
      <c r="CB480" s="450"/>
      <c r="CC480" s="450"/>
      <c r="CD480" s="450"/>
      <c r="CE480" s="450"/>
      <c r="CF480" s="450"/>
      <c r="CG480" s="450"/>
      <c r="CH480" s="450"/>
    </row>
    <row r="481">
      <c r="A481" s="450"/>
      <c r="B481" s="498"/>
      <c r="C481" s="455"/>
      <c r="D481" s="450"/>
      <c r="E481" s="450"/>
      <c r="F481" s="450"/>
      <c r="G481" s="450"/>
      <c r="H481" s="450"/>
      <c r="I481" s="450"/>
      <c r="J481" s="450"/>
      <c r="K481" s="450"/>
      <c r="L481" s="450"/>
      <c r="M481" s="450"/>
      <c r="N481" s="450"/>
      <c r="O481" s="450"/>
      <c r="P481" s="450"/>
      <c r="Q481" s="450"/>
      <c r="R481" s="450"/>
      <c r="S481" s="450"/>
      <c r="T481" s="450"/>
      <c r="U481" s="450"/>
      <c r="V481" s="450"/>
      <c r="W481" s="450"/>
      <c r="X481" s="450"/>
      <c r="Y481" s="450"/>
      <c r="Z481" s="450"/>
      <c r="AA481" s="450"/>
      <c r="AB481" s="450"/>
      <c r="AC481" s="450"/>
      <c r="AD481" s="450"/>
      <c r="AE481" s="450"/>
      <c r="AF481" s="450"/>
      <c r="AG481" s="450"/>
      <c r="AH481" s="450"/>
      <c r="AI481" s="450"/>
      <c r="AJ481" s="450"/>
      <c r="AK481" s="450"/>
      <c r="AL481" s="450"/>
      <c r="AM481" s="450"/>
      <c r="AN481" s="450"/>
      <c r="AO481" s="450"/>
      <c r="AP481" s="450"/>
      <c r="AQ481" s="450"/>
      <c r="AR481" s="450"/>
      <c r="AS481" s="450"/>
      <c r="AT481" s="450"/>
      <c r="AU481" s="450"/>
      <c r="AV481" s="450"/>
      <c r="AW481" s="450"/>
      <c r="AX481" s="450"/>
      <c r="AY481" s="450"/>
      <c r="AZ481" s="450"/>
      <c r="BA481" s="450"/>
      <c r="BB481" s="450"/>
      <c r="BC481" s="450"/>
      <c r="BD481" s="450"/>
      <c r="BE481" s="450"/>
      <c r="BF481" s="450"/>
      <c r="BG481" s="450"/>
      <c r="BH481" s="450"/>
      <c r="BI481" s="450"/>
      <c r="BJ481" s="450"/>
      <c r="BK481" s="450"/>
      <c r="BL481" s="450"/>
      <c r="BM481" s="450"/>
      <c r="BN481" s="450"/>
      <c r="BO481" s="450"/>
      <c r="BP481" s="450"/>
      <c r="BQ481" s="450"/>
      <c r="BR481" s="450"/>
      <c r="BS481" s="450"/>
      <c r="BT481" s="450"/>
      <c r="BU481" s="450"/>
      <c r="BV481" s="450"/>
      <c r="BW481" s="450"/>
      <c r="BX481" s="450"/>
      <c r="BY481" s="450"/>
      <c r="BZ481" s="450"/>
      <c r="CA481" s="450"/>
      <c r="CB481" s="450"/>
      <c r="CC481" s="450"/>
      <c r="CD481" s="450"/>
      <c r="CE481" s="450"/>
      <c r="CF481" s="450"/>
      <c r="CG481" s="450"/>
      <c r="CH481" s="450"/>
    </row>
    <row r="482">
      <c r="A482" s="450"/>
      <c r="B482" s="498"/>
      <c r="C482" s="455"/>
      <c r="D482" s="450"/>
      <c r="E482" s="450"/>
      <c r="F482" s="450"/>
      <c r="G482" s="450"/>
      <c r="H482" s="450"/>
      <c r="I482" s="450"/>
      <c r="J482" s="450"/>
      <c r="K482" s="450"/>
      <c r="L482" s="450"/>
      <c r="M482" s="450"/>
      <c r="N482" s="450"/>
      <c r="O482" s="450"/>
      <c r="P482" s="450"/>
      <c r="Q482" s="450"/>
      <c r="R482" s="450"/>
      <c r="S482" s="450"/>
      <c r="T482" s="450"/>
      <c r="U482" s="450"/>
      <c r="V482" s="450"/>
      <c r="W482" s="450"/>
      <c r="X482" s="450"/>
      <c r="Y482" s="450"/>
      <c r="Z482" s="450"/>
      <c r="AA482" s="450"/>
      <c r="AB482" s="450"/>
      <c r="AC482" s="450"/>
      <c r="AD482" s="450"/>
      <c r="AE482" s="450"/>
      <c r="AF482" s="450"/>
      <c r="AG482" s="450"/>
      <c r="AH482" s="450"/>
      <c r="AI482" s="450"/>
      <c r="AJ482" s="450"/>
      <c r="AK482" s="450"/>
      <c r="AL482" s="450"/>
      <c r="AM482" s="450"/>
      <c r="AN482" s="450"/>
      <c r="AO482" s="450"/>
      <c r="AP482" s="450"/>
      <c r="AQ482" s="450"/>
      <c r="AR482" s="450"/>
      <c r="AS482" s="450"/>
      <c r="AT482" s="450"/>
      <c r="AU482" s="450"/>
      <c r="AV482" s="450"/>
      <c r="AW482" s="450"/>
      <c r="AX482" s="450"/>
      <c r="AY482" s="450"/>
      <c r="AZ482" s="450"/>
      <c r="BA482" s="450"/>
      <c r="BB482" s="450"/>
      <c r="BC482" s="450"/>
      <c r="BD482" s="450"/>
      <c r="BE482" s="450"/>
      <c r="BF482" s="450"/>
      <c r="BG482" s="450"/>
      <c r="BH482" s="450"/>
      <c r="BI482" s="450"/>
      <c r="BJ482" s="450"/>
      <c r="BK482" s="450"/>
      <c r="BL482" s="450"/>
      <c r="BM482" s="450"/>
      <c r="BN482" s="450"/>
      <c r="BO482" s="450"/>
      <c r="BP482" s="450"/>
      <c r="BQ482" s="450"/>
      <c r="BR482" s="450"/>
      <c r="BS482" s="450"/>
      <c r="BT482" s="450"/>
      <c r="BU482" s="450"/>
      <c r="BV482" s="450"/>
      <c r="BW482" s="450"/>
      <c r="BX482" s="450"/>
      <c r="BY482" s="450"/>
      <c r="BZ482" s="450"/>
      <c r="CA482" s="450"/>
      <c r="CB482" s="450"/>
      <c r="CC482" s="450"/>
      <c r="CD482" s="450"/>
      <c r="CE482" s="450"/>
      <c r="CF482" s="450"/>
      <c r="CG482" s="450"/>
      <c r="CH482" s="450"/>
    </row>
    <row r="483">
      <c r="A483" s="450"/>
      <c r="B483" s="498"/>
      <c r="C483" s="455"/>
      <c r="D483" s="450"/>
      <c r="E483" s="450"/>
      <c r="F483" s="450"/>
      <c r="G483" s="450"/>
      <c r="H483" s="450"/>
      <c r="I483" s="450"/>
      <c r="J483" s="450"/>
      <c r="K483" s="450"/>
      <c r="L483" s="450"/>
      <c r="M483" s="450"/>
      <c r="N483" s="450"/>
      <c r="O483" s="450"/>
      <c r="P483" s="450"/>
      <c r="Q483" s="450"/>
      <c r="R483" s="450"/>
      <c r="S483" s="450"/>
      <c r="T483" s="450"/>
      <c r="U483" s="450"/>
      <c r="V483" s="450"/>
      <c r="W483" s="450"/>
      <c r="X483" s="450"/>
      <c r="Y483" s="450"/>
      <c r="Z483" s="450"/>
      <c r="AA483" s="450"/>
      <c r="AB483" s="450"/>
      <c r="AC483" s="450"/>
      <c r="AD483" s="450"/>
      <c r="AE483" s="450"/>
      <c r="AF483" s="450"/>
      <c r="AG483" s="450"/>
      <c r="AH483" s="450"/>
      <c r="AI483" s="450"/>
      <c r="AJ483" s="450"/>
      <c r="AK483" s="450"/>
      <c r="AL483" s="450"/>
      <c r="AM483" s="450"/>
      <c r="AN483" s="450"/>
      <c r="AO483" s="450"/>
      <c r="AP483" s="450"/>
      <c r="AQ483" s="450"/>
      <c r="AR483" s="450"/>
      <c r="AS483" s="450"/>
      <c r="AT483" s="450"/>
      <c r="AU483" s="450"/>
      <c r="AV483" s="450"/>
      <c r="AW483" s="450"/>
      <c r="AX483" s="450"/>
      <c r="AY483" s="450"/>
      <c r="AZ483" s="450"/>
      <c r="BA483" s="450"/>
      <c r="BB483" s="450"/>
      <c r="BC483" s="450"/>
      <c r="BD483" s="450"/>
      <c r="BE483" s="450"/>
      <c r="BF483" s="450"/>
      <c r="BG483" s="450"/>
      <c r="BH483" s="450"/>
      <c r="BI483" s="450"/>
      <c r="BJ483" s="450"/>
      <c r="BK483" s="450"/>
      <c r="BL483" s="450"/>
      <c r="BM483" s="450"/>
      <c r="BN483" s="450"/>
      <c r="BO483" s="450"/>
      <c r="BP483" s="450"/>
      <c r="BQ483" s="450"/>
      <c r="BR483" s="450"/>
      <c r="BS483" s="450"/>
      <c r="BT483" s="450"/>
      <c r="BU483" s="450"/>
      <c r="BV483" s="450"/>
      <c r="BW483" s="450"/>
      <c r="BX483" s="450"/>
      <c r="BY483" s="450"/>
      <c r="BZ483" s="450"/>
      <c r="CA483" s="450"/>
      <c r="CB483" s="450"/>
      <c r="CC483" s="450"/>
      <c r="CD483" s="450"/>
      <c r="CE483" s="450"/>
      <c r="CF483" s="450"/>
      <c r="CG483" s="450"/>
      <c r="CH483" s="450"/>
    </row>
    <row r="484">
      <c r="A484" s="450"/>
      <c r="B484" s="498"/>
      <c r="C484" s="455"/>
      <c r="D484" s="450"/>
      <c r="E484" s="450"/>
      <c r="F484" s="450"/>
      <c r="G484" s="450"/>
      <c r="H484" s="450"/>
      <c r="I484" s="450"/>
      <c r="J484" s="450"/>
      <c r="K484" s="450"/>
      <c r="L484" s="450"/>
      <c r="M484" s="450"/>
      <c r="N484" s="450"/>
      <c r="O484" s="450"/>
      <c r="P484" s="450"/>
      <c r="Q484" s="450"/>
      <c r="R484" s="450"/>
      <c r="S484" s="450"/>
      <c r="T484" s="450"/>
      <c r="U484" s="450"/>
      <c r="V484" s="450"/>
      <c r="W484" s="450"/>
      <c r="X484" s="450"/>
      <c r="Y484" s="450"/>
      <c r="Z484" s="450"/>
      <c r="AA484" s="450"/>
      <c r="AB484" s="450"/>
      <c r="AC484" s="450"/>
      <c r="AD484" s="450"/>
      <c r="AE484" s="450"/>
      <c r="AF484" s="450"/>
      <c r="AG484" s="450"/>
      <c r="AH484" s="450"/>
      <c r="AI484" s="450"/>
      <c r="AJ484" s="450"/>
      <c r="AK484" s="450"/>
      <c r="AL484" s="450"/>
      <c r="AM484" s="450"/>
      <c r="AN484" s="450"/>
      <c r="AO484" s="450"/>
      <c r="AP484" s="450"/>
      <c r="AQ484" s="450"/>
      <c r="AR484" s="450"/>
      <c r="AS484" s="450"/>
      <c r="AT484" s="450"/>
      <c r="AU484" s="450"/>
      <c r="AV484" s="450"/>
      <c r="AW484" s="450"/>
      <c r="AX484" s="450"/>
      <c r="AY484" s="450"/>
      <c r="AZ484" s="450"/>
      <c r="BA484" s="450"/>
      <c r="BB484" s="450"/>
      <c r="BC484" s="450"/>
      <c r="BD484" s="450"/>
      <c r="BE484" s="450"/>
      <c r="BF484" s="450"/>
      <c r="BG484" s="450"/>
      <c r="BH484" s="450"/>
      <c r="BI484" s="450"/>
      <c r="BJ484" s="450"/>
      <c r="BK484" s="450"/>
      <c r="BL484" s="450"/>
      <c r="BM484" s="450"/>
      <c r="BN484" s="450"/>
      <c r="BO484" s="450"/>
      <c r="BP484" s="450"/>
      <c r="BQ484" s="450"/>
      <c r="BR484" s="450"/>
      <c r="BS484" s="450"/>
      <c r="BT484" s="450"/>
      <c r="BU484" s="450"/>
      <c r="BV484" s="450"/>
      <c r="BW484" s="450"/>
      <c r="BX484" s="450"/>
      <c r="BY484" s="450"/>
      <c r="BZ484" s="450"/>
      <c r="CA484" s="450"/>
      <c r="CB484" s="450"/>
      <c r="CC484" s="450"/>
      <c r="CD484" s="450"/>
      <c r="CE484" s="450"/>
      <c r="CF484" s="450"/>
      <c r="CG484" s="450"/>
      <c r="CH484" s="450"/>
    </row>
    <row r="485">
      <c r="A485" s="450"/>
      <c r="B485" s="498"/>
      <c r="C485" s="455"/>
      <c r="D485" s="450"/>
      <c r="E485" s="450"/>
      <c r="F485" s="450"/>
      <c r="G485" s="450"/>
      <c r="H485" s="450"/>
      <c r="I485" s="450"/>
      <c r="J485" s="450"/>
      <c r="K485" s="450"/>
      <c r="L485" s="450"/>
      <c r="M485" s="450"/>
      <c r="N485" s="450"/>
      <c r="O485" s="450"/>
      <c r="P485" s="450"/>
      <c r="Q485" s="450"/>
      <c r="R485" s="450"/>
      <c r="S485" s="450"/>
      <c r="T485" s="450"/>
      <c r="U485" s="450"/>
      <c r="V485" s="450"/>
      <c r="W485" s="450"/>
      <c r="X485" s="450"/>
      <c r="Y485" s="450"/>
      <c r="Z485" s="450"/>
      <c r="AA485" s="450"/>
      <c r="AB485" s="450"/>
      <c r="AC485" s="450"/>
      <c r="AD485" s="450"/>
      <c r="AE485" s="450"/>
      <c r="AF485" s="450"/>
      <c r="AG485" s="450"/>
      <c r="AH485" s="450"/>
      <c r="AI485" s="450"/>
      <c r="AJ485" s="450"/>
      <c r="AK485" s="450"/>
      <c r="AL485" s="450"/>
      <c r="AM485" s="450"/>
      <c r="AN485" s="450"/>
      <c r="AO485" s="450"/>
      <c r="AP485" s="450"/>
      <c r="AQ485" s="450"/>
      <c r="AR485" s="450"/>
      <c r="AS485" s="450"/>
      <c r="AT485" s="450"/>
      <c r="AU485" s="450"/>
      <c r="AV485" s="450"/>
      <c r="AW485" s="450"/>
      <c r="AX485" s="450"/>
      <c r="AY485" s="450"/>
      <c r="AZ485" s="450"/>
      <c r="BA485" s="450"/>
      <c r="BB485" s="450"/>
      <c r="BC485" s="450"/>
      <c r="BD485" s="450"/>
      <c r="BE485" s="450"/>
      <c r="BF485" s="450"/>
      <c r="BG485" s="450"/>
      <c r="BH485" s="450"/>
      <c r="BI485" s="450"/>
      <c r="BJ485" s="450"/>
      <c r="BK485" s="450"/>
      <c r="BL485" s="450"/>
      <c r="BM485" s="450"/>
      <c r="BN485" s="450"/>
      <c r="BO485" s="450"/>
      <c r="BP485" s="450"/>
      <c r="BQ485" s="450"/>
      <c r="BR485" s="450"/>
      <c r="BS485" s="450"/>
      <c r="BT485" s="450"/>
      <c r="BU485" s="450"/>
      <c r="BV485" s="450"/>
      <c r="BW485" s="450"/>
      <c r="BX485" s="450"/>
      <c r="BY485" s="450"/>
      <c r="BZ485" s="450"/>
      <c r="CA485" s="450"/>
      <c r="CB485" s="450"/>
      <c r="CC485" s="450"/>
      <c r="CD485" s="450"/>
      <c r="CE485" s="450"/>
      <c r="CF485" s="450"/>
      <c r="CG485" s="450"/>
      <c r="CH485" s="450"/>
    </row>
    <row r="486">
      <c r="A486" s="450"/>
      <c r="B486" s="498"/>
      <c r="C486" s="455"/>
      <c r="D486" s="450"/>
      <c r="E486" s="450"/>
      <c r="F486" s="450"/>
      <c r="G486" s="450"/>
      <c r="H486" s="450"/>
      <c r="I486" s="450"/>
      <c r="J486" s="450"/>
      <c r="K486" s="450"/>
      <c r="L486" s="450"/>
      <c r="M486" s="450"/>
      <c r="N486" s="450"/>
      <c r="O486" s="450"/>
      <c r="P486" s="450"/>
      <c r="Q486" s="450"/>
      <c r="R486" s="450"/>
      <c r="S486" s="450"/>
      <c r="T486" s="450"/>
      <c r="U486" s="450"/>
      <c r="V486" s="450"/>
      <c r="W486" s="450"/>
      <c r="X486" s="450"/>
      <c r="Y486" s="450"/>
      <c r="Z486" s="450"/>
      <c r="AA486" s="450"/>
      <c r="AB486" s="450"/>
      <c r="AC486" s="450"/>
      <c r="AD486" s="450"/>
      <c r="AE486" s="450"/>
      <c r="AF486" s="450"/>
      <c r="AG486" s="450"/>
      <c r="AH486" s="450"/>
      <c r="AI486" s="450"/>
      <c r="AJ486" s="450"/>
      <c r="AK486" s="450"/>
      <c r="AL486" s="450"/>
      <c r="AM486" s="450"/>
      <c r="AN486" s="450"/>
      <c r="AO486" s="450"/>
      <c r="AP486" s="450"/>
      <c r="AQ486" s="450"/>
      <c r="AR486" s="450"/>
      <c r="AS486" s="450"/>
      <c r="AT486" s="450"/>
      <c r="AU486" s="450"/>
      <c r="AV486" s="450"/>
      <c r="AW486" s="450"/>
      <c r="AX486" s="450"/>
      <c r="AY486" s="450"/>
      <c r="AZ486" s="450"/>
      <c r="BA486" s="450"/>
      <c r="BB486" s="450"/>
      <c r="BC486" s="450"/>
      <c r="BD486" s="450"/>
      <c r="BE486" s="450"/>
      <c r="BF486" s="450"/>
      <c r="BG486" s="450"/>
      <c r="BH486" s="450"/>
      <c r="BI486" s="450"/>
      <c r="BJ486" s="450"/>
      <c r="BK486" s="450"/>
      <c r="BL486" s="450"/>
      <c r="BM486" s="450"/>
      <c r="BN486" s="450"/>
      <c r="BO486" s="450"/>
      <c r="BP486" s="450"/>
      <c r="BQ486" s="450"/>
      <c r="BR486" s="450"/>
      <c r="BS486" s="450"/>
      <c r="BT486" s="450"/>
      <c r="BU486" s="450"/>
      <c r="BV486" s="450"/>
      <c r="BW486" s="450"/>
      <c r="BX486" s="450"/>
      <c r="BY486" s="450"/>
      <c r="BZ486" s="450"/>
      <c r="CA486" s="450"/>
      <c r="CB486" s="450"/>
      <c r="CC486" s="450"/>
      <c r="CD486" s="450"/>
      <c r="CE486" s="450"/>
      <c r="CF486" s="450"/>
      <c r="CG486" s="450"/>
      <c r="CH486" s="450"/>
    </row>
    <row r="487">
      <c r="A487" s="450"/>
      <c r="B487" s="498"/>
      <c r="C487" s="455"/>
      <c r="D487" s="450"/>
      <c r="E487" s="450"/>
      <c r="F487" s="450"/>
      <c r="G487" s="450"/>
      <c r="H487" s="450"/>
      <c r="I487" s="450"/>
      <c r="J487" s="450"/>
      <c r="K487" s="450"/>
      <c r="L487" s="450"/>
      <c r="M487" s="450"/>
      <c r="N487" s="450"/>
      <c r="O487" s="450"/>
      <c r="P487" s="450"/>
      <c r="Q487" s="450"/>
      <c r="R487" s="450"/>
      <c r="S487" s="450"/>
      <c r="T487" s="450"/>
      <c r="U487" s="450"/>
      <c r="V487" s="450"/>
      <c r="W487" s="450"/>
      <c r="X487" s="450"/>
      <c r="Y487" s="450"/>
      <c r="Z487" s="450"/>
      <c r="AA487" s="450"/>
      <c r="AB487" s="450"/>
      <c r="AC487" s="450"/>
      <c r="AD487" s="450"/>
      <c r="AE487" s="450"/>
      <c r="AF487" s="450"/>
      <c r="AG487" s="450"/>
      <c r="AH487" s="450"/>
      <c r="AI487" s="450"/>
      <c r="AJ487" s="450"/>
      <c r="AK487" s="450"/>
      <c r="AL487" s="450"/>
      <c r="AM487" s="450"/>
      <c r="AN487" s="450"/>
      <c r="AO487" s="450"/>
      <c r="AP487" s="450"/>
      <c r="AQ487" s="450"/>
      <c r="AR487" s="450"/>
      <c r="AS487" s="450"/>
      <c r="AT487" s="450"/>
      <c r="AU487" s="450"/>
      <c r="AV487" s="450"/>
      <c r="AW487" s="450"/>
      <c r="AX487" s="450"/>
      <c r="AY487" s="450"/>
      <c r="AZ487" s="450"/>
      <c r="BA487" s="450"/>
      <c r="BB487" s="450"/>
      <c r="BC487" s="450"/>
      <c r="BD487" s="450"/>
      <c r="BE487" s="450"/>
      <c r="BF487" s="450"/>
      <c r="BG487" s="450"/>
      <c r="BH487" s="450"/>
      <c r="BI487" s="450"/>
      <c r="BJ487" s="450"/>
      <c r="BK487" s="450"/>
      <c r="BL487" s="450"/>
      <c r="BM487" s="450"/>
      <c r="BN487" s="450"/>
      <c r="BO487" s="450"/>
      <c r="BP487" s="450"/>
      <c r="BQ487" s="450"/>
      <c r="BR487" s="450"/>
      <c r="BS487" s="450"/>
      <c r="BT487" s="450"/>
      <c r="BU487" s="450"/>
      <c r="BV487" s="450"/>
      <c r="BW487" s="450"/>
      <c r="BX487" s="450"/>
      <c r="BY487" s="450"/>
      <c r="BZ487" s="450"/>
      <c r="CA487" s="450"/>
      <c r="CB487" s="450"/>
      <c r="CC487" s="450"/>
      <c r="CD487" s="450"/>
      <c r="CE487" s="450"/>
      <c r="CF487" s="450"/>
      <c r="CG487" s="450"/>
      <c r="CH487" s="450"/>
    </row>
    <row r="488">
      <c r="A488" s="450"/>
      <c r="B488" s="498"/>
      <c r="C488" s="455"/>
      <c r="D488" s="450"/>
      <c r="E488" s="450"/>
      <c r="F488" s="450"/>
      <c r="G488" s="450"/>
      <c r="H488" s="450"/>
      <c r="I488" s="450"/>
      <c r="J488" s="450"/>
      <c r="K488" s="450"/>
      <c r="L488" s="450"/>
      <c r="M488" s="450"/>
      <c r="N488" s="450"/>
      <c r="O488" s="450"/>
      <c r="P488" s="450"/>
      <c r="Q488" s="450"/>
      <c r="R488" s="450"/>
      <c r="S488" s="450"/>
      <c r="T488" s="450"/>
      <c r="U488" s="450"/>
      <c r="V488" s="450"/>
      <c r="W488" s="450"/>
      <c r="X488" s="450"/>
      <c r="Y488" s="450"/>
      <c r="Z488" s="450"/>
      <c r="AA488" s="450"/>
      <c r="AB488" s="450"/>
      <c r="AC488" s="450"/>
      <c r="AD488" s="450"/>
      <c r="AE488" s="450"/>
      <c r="AF488" s="450"/>
      <c r="AG488" s="450"/>
      <c r="AH488" s="450"/>
      <c r="AI488" s="450"/>
      <c r="AJ488" s="450"/>
      <c r="AK488" s="450"/>
      <c r="AL488" s="450"/>
      <c r="AM488" s="450"/>
      <c r="AN488" s="450"/>
      <c r="AO488" s="450"/>
      <c r="AP488" s="450"/>
      <c r="AQ488" s="450"/>
      <c r="AR488" s="450"/>
      <c r="AS488" s="450"/>
      <c r="AT488" s="450"/>
      <c r="AU488" s="450"/>
      <c r="AV488" s="450"/>
      <c r="AW488" s="450"/>
      <c r="AX488" s="450"/>
      <c r="AY488" s="450"/>
      <c r="AZ488" s="450"/>
      <c r="BA488" s="450"/>
      <c r="BB488" s="450"/>
      <c r="BC488" s="450"/>
      <c r="BD488" s="450"/>
      <c r="BE488" s="450"/>
      <c r="BF488" s="450"/>
      <c r="BG488" s="450"/>
      <c r="BH488" s="450"/>
      <c r="BI488" s="450"/>
      <c r="BJ488" s="450"/>
      <c r="BK488" s="450"/>
      <c r="BL488" s="450"/>
      <c r="BM488" s="450"/>
      <c r="BN488" s="450"/>
      <c r="BO488" s="450"/>
      <c r="BP488" s="450"/>
      <c r="BQ488" s="450"/>
      <c r="BR488" s="450"/>
      <c r="BS488" s="450"/>
      <c r="BT488" s="450"/>
      <c r="BU488" s="450"/>
      <c r="BV488" s="450"/>
      <c r="BW488" s="450"/>
      <c r="BX488" s="450"/>
      <c r="BY488" s="450"/>
      <c r="BZ488" s="450"/>
      <c r="CA488" s="450"/>
      <c r="CB488" s="450"/>
      <c r="CC488" s="450"/>
      <c r="CD488" s="450"/>
      <c r="CE488" s="450"/>
      <c r="CF488" s="450"/>
      <c r="CG488" s="450"/>
      <c r="CH488" s="450"/>
    </row>
    <row r="489">
      <c r="A489" s="450"/>
      <c r="B489" s="498"/>
      <c r="C489" s="455"/>
      <c r="D489" s="450"/>
      <c r="E489" s="450"/>
      <c r="F489" s="450"/>
      <c r="G489" s="450"/>
      <c r="H489" s="450"/>
      <c r="I489" s="450"/>
      <c r="J489" s="450"/>
      <c r="K489" s="450"/>
      <c r="L489" s="450"/>
      <c r="M489" s="450"/>
      <c r="N489" s="450"/>
      <c r="O489" s="450"/>
      <c r="P489" s="450"/>
      <c r="Q489" s="450"/>
      <c r="R489" s="450"/>
      <c r="S489" s="450"/>
      <c r="T489" s="450"/>
      <c r="U489" s="450"/>
      <c r="V489" s="450"/>
      <c r="W489" s="450"/>
      <c r="X489" s="450"/>
      <c r="Y489" s="450"/>
      <c r="Z489" s="450"/>
      <c r="AA489" s="450"/>
      <c r="AB489" s="450"/>
      <c r="AC489" s="450"/>
      <c r="AD489" s="450"/>
      <c r="AE489" s="450"/>
      <c r="AF489" s="450"/>
      <c r="AG489" s="450"/>
      <c r="AH489" s="450"/>
      <c r="AI489" s="450"/>
      <c r="AJ489" s="450"/>
      <c r="AK489" s="450"/>
      <c r="AL489" s="450"/>
      <c r="AM489" s="450"/>
      <c r="AN489" s="450"/>
      <c r="AO489" s="450"/>
      <c r="AP489" s="450"/>
      <c r="AQ489" s="450"/>
      <c r="AR489" s="450"/>
      <c r="AS489" s="450"/>
      <c r="AT489" s="450"/>
      <c r="AU489" s="450"/>
      <c r="AV489" s="450"/>
      <c r="AW489" s="450"/>
      <c r="AX489" s="450"/>
      <c r="AY489" s="450"/>
      <c r="AZ489" s="450"/>
      <c r="BA489" s="450"/>
      <c r="BB489" s="450"/>
      <c r="BC489" s="450"/>
      <c r="BD489" s="450"/>
      <c r="BE489" s="450"/>
      <c r="BF489" s="450"/>
      <c r="BG489" s="450"/>
      <c r="BH489" s="450"/>
      <c r="BI489" s="450"/>
      <c r="BJ489" s="450"/>
      <c r="BK489" s="450"/>
      <c r="BL489" s="450"/>
      <c r="BM489" s="450"/>
      <c r="BN489" s="450"/>
      <c r="BO489" s="450"/>
      <c r="BP489" s="450"/>
      <c r="BQ489" s="450"/>
      <c r="BR489" s="450"/>
      <c r="BS489" s="450"/>
      <c r="BT489" s="450"/>
      <c r="BU489" s="450"/>
      <c r="BV489" s="450"/>
      <c r="BW489" s="450"/>
      <c r="BX489" s="450"/>
      <c r="BY489" s="450"/>
      <c r="BZ489" s="450"/>
      <c r="CA489" s="450"/>
      <c r="CB489" s="450"/>
      <c r="CC489" s="450"/>
      <c r="CD489" s="450"/>
      <c r="CE489" s="450"/>
      <c r="CF489" s="450"/>
      <c r="CG489" s="450"/>
      <c r="CH489" s="450"/>
    </row>
    <row r="490">
      <c r="A490" s="450"/>
      <c r="B490" s="498"/>
      <c r="C490" s="455"/>
      <c r="D490" s="450"/>
      <c r="E490" s="450"/>
      <c r="F490" s="450"/>
      <c r="G490" s="450"/>
      <c r="H490" s="450"/>
      <c r="I490" s="450"/>
      <c r="J490" s="450"/>
      <c r="K490" s="450"/>
      <c r="L490" s="450"/>
      <c r="M490" s="450"/>
      <c r="N490" s="450"/>
      <c r="O490" s="450"/>
      <c r="P490" s="450"/>
      <c r="Q490" s="450"/>
      <c r="R490" s="450"/>
      <c r="S490" s="450"/>
      <c r="T490" s="450"/>
      <c r="U490" s="450"/>
      <c r="V490" s="450"/>
      <c r="W490" s="450"/>
      <c r="X490" s="450"/>
      <c r="Y490" s="450"/>
      <c r="Z490" s="450"/>
      <c r="AA490" s="450"/>
      <c r="AB490" s="450"/>
      <c r="AC490" s="450"/>
      <c r="AD490" s="450"/>
      <c r="AE490" s="450"/>
      <c r="AF490" s="450"/>
      <c r="AG490" s="450"/>
      <c r="AH490" s="450"/>
      <c r="AI490" s="450"/>
      <c r="AJ490" s="450"/>
      <c r="AK490" s="450"/>
      <c r="AL490" s="450"/>
      <c r="AM490" s="450"/>
      <c r="AN490" s="450"/>
      <c r="AO490" s="450"/>
      <c r="AP490" s="450"/>
      <c r="AQ490" s="450"/>
      <c r="AR490" s="450"/>
      <c r="AS490" s="450"/>
      <c r="AT490" s="450"/>
      <c r="AU490" s="450"/>
      <c r="AV490" s="450"/>
      <c r="AW490" s="450"/>
      <c r="AX490" s="450"/>
      <c r="AY490" s="450"/>
      <c r="AZ490" s="450"/>
      <c r="BA490" s="450"/>
      <c r="BB490" s="450"/>
      <c r="BC490" s="450"/>
      <c r="BD490" s="450"/>
      <c r="BE490" s="450"/>
      <c r="BF490" s="450"/>
      <c r="BG490" s="450"/>
      <c r="BH490" s="450"/>
      <c r="BI490" s="450"/>
      <c r="BJ490" s="450"/>
      <c r="BK490" s="450"/>
      <c r="BL490" s="450"/>
      <c r="BM490" s="450"/>
      <c r="BN490" s="450"/>
      <c r="BO490" s="450"/>
      <c r="BP490" s="450"/>
      <c r="BQ490" s="450"/>
      <c r="BR490" s="450"/>
      <c r="BS490" s="450"/>
      <c r="BT490" s="450"/>
      <c r="BU490" s="450"/>
      <c r="BV490" s="450"/>
      <c r="BW490" s="450"/>
      <c r="BX490" s="450"/>
      <c r="BY490" s="450"/>
      <c r="BZ490" s="450"/>
      <c r="CA490" s="450"/>
      <c r="CB490" s="450"/>
      <c r="CC490" s="450"/>
      <c r="CD490" s="450"/>
      <c r="CE490" s="450"/>
      <c r="CF490" s="450"/>
      <c r="CG490" s="450"/>
      <c r="CH490" s="450"/>
    </row>
    <row r="491">
      <c r="A491" s="450"/>
      <c r="B491" s="498"/>
      <c r="C491" s="455"/>
      <c r="D491" s="450"/>
      <c r="E491" s="450"/>
      <c r="F491" s="450"/>
      <c r="G491" s="450"/>
      <c r="H491" s="450"/>
      <c r="I491" s="450"/>
      <c r="J491" s="450"/>
      <c r="K491" s="450"/>
      <c r="L491" s="450"/>
      <c r="M491" s="450"/>
      <c r="N491" s="450"/>
      <c r="O491" s="450"/>
      <c r="P491" s="450"/>
      <c r="Q491" s="450"/>
      <c r="R491" s="450"/>
      <c r="S491" s="450"/>
      <c r="T491" s="450"/>
      <c r="U491" s="450"/>
      <c r="V491" s="450"/>
      <c r="W491" s="450"/>
      <c r="X491" s="450"/>
      <c r="Y491" s="450"/>
      <c r="Z491" s="450"/>
      <c r="AA491" s="450"/>
      <c r="AB491" s="450"/>
      <c r="AC491" s="450"/>
      <c r="AD491" s="450"/>
      <c r="AE491" s="450"/>
      <c r="AF491" s="450"/>
      <c r="AG491" s="450"/>
      <c r="AH491" s="450"/>
      <c r="AI491" s="450"/>
      <c r="AJ491" s="450"/>
      <c r="AK491" s="450"/>
      <c r="AL491" s="450"/>
      <c r="AM491" s="450"/>
      <c r="AN491" s="450"/>
      <c r="AO491" s="450"/>
      <c r="AP491" s="450"/>
      <c r="AQ491" s="450"/>
      <c r="AR491" s="450"/>
      <c r="AS491" s="450"/>
      <c r="AT491" s="450"/>
      <c r="AU491" s="450"/>
      <c r="AV491" s="450"/>
      <c r="AW491" s="450"/>
      <c r="AX491" s="450"/>
      <c r="AY491" s="450"/>
      <c r="AZ491" s="450"/>
      <c r="BA491" s="450"/>
      <c r="BB491" s="450"/>
      <c r="BC491" s="450"/>
      <c r="BD491" s="450"/>
      <c r="BE491" s="450"/>
      <c r="BF491" s="450"/>
      <c r="BG491" s="450"/>
      <c r="BH491" s="450"/>
      <c r="BI491" s="450"/>
      <c r="BJ491" s="450"/>
      <c r="BK491" s="450"/>
      <c r="BL491" s="450"/>
      <c r="BM491" s="450"/>
      <c r="BN491" s="450"/>
      <c r="BO491" s="450"/>
      <c r="BP491" s="450"/>
      <c r="BQ491" s="450"/>
      <c r="BR491" s="450"/>
      <c r="BS491" s="450"/>
      <c r="BT491" s="450"/>
      <c r="BU491" s="450"/>
      <c r="BV491" s="450"/>
      <c r="BW491" s="450"/>
      <c r="BX491" s="450"/>
      <c r="BY491" s="450"/>
      <c r="BZ491" s="450"/>
      <c r="CA491" s="450"/>
      <c r="CB491" s="450"/>
      <c r="CC491" s="450"/>
      <c r="CD491" s="450"/>
      <c r="CE491" s="450"/>
      <c r="CF491" s="450"/>
      <c r="CG491" s="450"/>
      <c r="CH491" s="450"/>
    </row>
    <row r="492">
      <c r="A492" s="450"/>
      <c r="B492" s="498"/>
      <c r="C492" s="455"/>
      <c r="D492" s="450"/>
      <c r="E492" s="450"/>
      <c r="F492" s="450"/>
      <c r="G492" s="450"/>
      <c r="H492" s="450"/>
      <c r="I492" s="450"/>
      <c r="J492" s="450"/>
      <c r="K492" s="450"/>
      <c r="L492" s="450"/>
      <c r="M492" s="450"/>
      <c r="N492" s="450"/>
      <c r="O492" s="450"/>
      <c r="P492" s="450"/>
      <c r="Q492" s="450"/>
      <c r="R492" s="450"/>
      <c r="S492" s="450"/>
      <c r="T492" s="450"/>
      <c r="U492" s="450"/>
      <c r="V492" s="450"/>
      <c r="W492" s="450"/>
      <c r="X492" s="450"/>
      <c r="Y492" s="450"/>
      <c r="Z492" s="450"/>
      <c r="AA492" s="450"/>
      <c r="AB492" s="450"/>
      <c r="AC492" s="450"/>
      <c r="AD492" s="450"/>
      <c r="AE492" s="450"/>
      <c r="AF492" s="450"/>
      <c r="AG492" s="450"/>
      <c r="AH492" s="450"/>
      <c r="AI492" s="450"/>
      <c r="AJ492" s="450"/>
      <c r="AK492" s="450"/>
      <c r="AL492" s="450"/>
      <c r="AM492" s="450"/>
      <c r="AN492" s="450"/>
      <c r="AO492" s="450"/>
      <c r="AP492" s="450"/>
      <c r="AQ492" s="450"/>
      <c r="AR492" s="450"/>
      <c r="AS492" s="450"/>
      <c r="AT492" s="450"/>
      <c r="AU492" s="450"/>
      <c r="AV492" s="450"/>
      <c r="AW492" s="450"/>
      <c r="AX492" s="450"/>
      <c r="AY492" s="450"/>
      <c r="AZ492" s="450"/>
      <c r="BA492" s="450"/>
      <c r="BB492" s="450"/>
      <c r="BC492" s="450"/>
      <c r="BD492" s="450"/>
      <c r="BE492" s="450"/>
      <c r="BF492" s="450"/>
      <c r="BG492" s="450"/>
      <c r="BH492" s="450"/>
      <c r="BI492" s="450"/>
      <c r="BJ492" s="450"/>
      <c r="BK492" s="450"/>
      <c r="BL492" s="450"/>
      <c r="BM492" s="450"/>
      <c r="BN492" s="450"/>
      <c r="BO492" s="450"/>
      <c r="BP492" s="450"/>
      <c r="BQ492" s="450"/>
      <c r="BR492" s="450"/>
      <c r="BS492" s="450"/>
      <c r="BT492" s="450"/>
      <c r="BU492" s="450"/>
      <c r="BV492" s="450"/>
      <c r="BW492" s="450"/>
      <c r="BX492" s="450"/>
      <c r="BY492" s="450"/>
      <c r="BZ492" s="450"/>
      <c r="CA492" s="450"/>
      <c r="CB492" s="450"/>
      <c r="CC492" s="450"/>
      <c r="CD492" s="450"/>
      <c r="CE492" s="450"/>
      <c r="CF492" s="450"/>
      <c r="CG492" s="450"/>
      <c r="CH492" s="450"/>
    </row>
    <row r="493">
      <c r="A493" s="450"/>
      <c r="B493" s="498"/>
      <c r="C493" s="455"/>
      <c r="D493" s="450"/>
      <c r="E493" s="450"/>
      <c r="F493" s="450"/>
      <c r="G493" s="450"/>
      <c r="H493" s="450"/>
      <c r="I493" s="450"/>
      <c r="J493" s="450"/>
      <c r="K493" s="450"/>
      <c r="L493" s="450"/>
      <c r="M493" s="450"/>
      <c r="N493" s="450"/>
      <c r="O493" s="450"/>
      <c r="P493" s="450"/>
      <c r="Q493" s="450"/>
      <c r="R493" s="450"/>
      <c r="S493" s="450"/>
      <c r="T493" s="450"/>
      <c r="U493" s="450"/>
      <c r="V493" s="450"/>
      <c r="W493" s="450"/>
      <c r="X493" s="450"/>
      <c r="Y493" s="450"/>
      <c r="Z493" s="450"/>
      <c r="AA493" s="450"/>
      <c r="AB493" s="450"/>
      <c r="AC493" s="450"/>
      <c r="AD493" s="450"/>
      <c r="AE493" s="450"/>
      <c r="AF493" s="450"/>
      <c r="AG493" s="450"/>
      <c r="AH493" s="450"/>
      <c r="AI493" s="450"/>
      <c r="AJ493" s="450"/>
      <c r="AK493" s="450"/>
      <c r="AL493" s="450"/>
      <c r="AM493" s="450"/>
      <c r="AN493" s="450"/>
      <c r="AO493" s="450"/>
      <c r="AP493" s="450"/>
      <c r="AQ493" s="450"/>
      <c r="AR493" s="450"/>
      <c r="AS493" s="450"/>
      <c r="AT493" s="450"/>
      <c r="AU493" s="450"/>
      <c r="AV493" s="450"/>
      <c r="AW493" s="450"/>
      <c r="AX493" s="450"/>
      <c r="AY493" s="450"/>
      <c r="AZ493" s="450"/>
      <c r="BA493" s="450"/>
      <c r="BB493" s="450"/>
      <c r="BC493" s="450"/>
      <c r="BD493" s="450"/>
      <c r="BE493" s="450"/>
      <c r="BF493" s="450"/>
      <c r="BG493" s="450"/>
      <c r="BH493" s="450"/>
      <c r="BI493" s="450"/>
      <c r="BJ493" s="450"/>
      <c r="BK493" s="450"/>
      <c r="BL493" s="450"/>
      <c r="BM493" s="450"/>
      <c r="BN493" s="450"/>
      <c r="BO493" s="450"/>
      <c r="BP493" s="450"/>
      <c r="BQ493" s="450"/>
      <c r="BR493" s="450"/>
      <c r="BS493" s="450"/>
      <c r="BT493" s="450"/>
      <c r="BU493" s="450"/>
      <c r="BV493" s="450"/>
      <c r="BW493" s="450"/>
      <c r="BX493" s="450"/>
      <c r="BY493" s="450"/>
      <c r="BZ493" s="450"/>
      <c r="CA493" s="450"/>
      <c r="CB493" s="450"/>
      <c r="CC493" s="450"/>
      <c r="CD493" s="450"/>
      <c r="CE493" s="450"/>
      <c r="CF493" s="450"/>
      <c r="CG493" s="450"/>
      <c r="CH493" s="450"/>
    </row>
    <row r="494">
      <c r="A494" s="450"/>
      <c r="B494" s="498"/>
      <c r="C494" s="455"/>
      <c r="D494" s="450"/>
      <c r="E494" s="450"/>
      <c r="F494" s="450"/>
      <c r="G494" s="450"/>
      <c r="H494" s="450"/>
      <c r="I494" s="450"/>
      <c r="J494" s="450"/>
      <c r="K494" s="450"/>
      <c r="L494" s="450"/>
      <c r="M494" s="450"/>
      <c r="N494" s="450"/>
      <c r="O494" s="450"/>
      <c r="P494" s="450"/>
      <c r="Q494" s="450"/>
      <c r="R494" s="450"/>
      <c r="S494" s="450"/>
      <c r="T494" s="450"/>
      <c r="U494" s="450"/>
      <c r="V494" s="450"/>
      <c r="W494" s="450"/>
      <c r="X494" s="450"/>
      <c r="Y494" s="450"/>
      <c r="Z494" s="450"/>
      <c r="AA494" s="450"/>
      <c r="AB494" s="450"/>
      <c r="AC494" s="450"/>
      <c r="AD494" s="450"/>
      <c r="AE494" s="450"/>
      <c r="AF494" s="450"/>
      <c r="AG494" s="450"/>
      <c r="AH494" s="450"/>
      <c r="AI494" s="450"/>
      <c r="AJ494" s="450"/>
      <c r="AK494" s="450"/>
      <c r="AL494" s="450"/>
      <c r="AM494" s="450"/>
      <c r="AN494" s="450"/>
      <c r="AO494" s="450"/>
      <c r="AP494" s="450"/>
      <c r="AQ494" s="450"/>
      <c r="AR494" s="450"/>
      <c r="AS494" s="450"/>
      <c r="AT494" s="450"/>
      <c r="AU494" s="450"/>
      <c r="AV494" s="450"/>
      <c r="AW494" s="450"/>
      <c r="AX494" s="450"/>
      <c r="AY494" s="450"/>
      <c r="AZ494" s="450"/>
      <c r="BA494" s="450"/>
      <c r="BB494" s="450"/>
      <c r="BC494" s="450"/>
      <c r="BD494" s="450"/>
      <c r="BE494" s="450"/>
      <c r="BF494" s="450"/>
      <c r="BG494" s="450"/>
      <c r="BH494" s="450"/>
      <c r="BI494" s="450"/>
      <c r="BJ494" s="450"/>
      <c r="BK494" s="450"/>
      <c r="BL494" s="450"/>
      <c r="BM494" s="450"/>
      <c r="BN494" s="450"/>
      <c r="BO494" s="450"/>
      <c r="BP494" s="450"/>
      <c r="BQ494" s="450"/>
      <c r="BR494" s="450"/>
      <c r="BS494" s="450"/>
      <c r="BT494" s="450"/>
      <c r="BU494" s="450"/>
      <c r="BV494" s="450"/>
      <c r="BW494" s="450"/>
      <c r="BX494" s="450"/>
      <c r="BY494" s="450"/>
      <c r="BZ494" s="450"/>
      <c r="CA494" s="450"/>
      <c r="CB494" s="450"/>
      <c r="CC494" s="450"/>
      <c r="CD494" s="450"/>
      <c r="CE494" s="450"/>
      <c r="CF494" s="450"/>
      <c r="CG494" s="450"/>
      <c r="CH494" s="450"/>
    </row>
    <row r="495">
      <c r="A495" s="450"/>
      <c r="B495" s="498"/>
      <c r="C495" s="455"/>
      <c r="D495" s="450"/>
      <c r="E495" s="450"/>
      <c r="F495" s="450"/>
      <c r="G495" s="450"/>
      <c r="H495" s="450"/>
      <c r="I495" s="450"/>
      <c r="J495" s="450"/>
      <c r="K495" s="450"/>
      <c r="L495" s="450"/>
      <c r="M495" s="450"/>
      <c r="N495" s="450"/>
      <c r="O495" s="450"/>
      <c r="P495" s="450"/>
      <c r="Q495" s="450"/>
      <c r="R495" s="450"/>
      <c r="S495" s="450"/>
      <c r="T495" s="450"/>
      <c r="U495" s="450"/>
      <c r="V495" s="450"/>
      <c r="W495" s="450"/>
      <c r="X495" s="450"/>
      <c r="Y495" s="450"/>
      <c r="Z495" s="450"/>
      <c r="AA495" s="450"/>
      <c r="AB495" s="450"/>
      <c r="AC495" s="450"/>
      <c r="AD495" s="450"/>
      <c r="AE495" s="450"/>
      <c r="AF495" s="450"/>
      <c r="AG495" s="450"/>
      <c r="AH495" s="450"/>
      <c r="AI495" s="450"/>
      <c r="AJ495" s="450"/>
      <c r="AK495" s="450"/>
      <c r="AL495" s="450"/>
      <c r="AM495" s="450"/>
      <c r="AN495" s="450"/>
      <c r="AO495" s="450"/>
      <c r="AP495" s="450"/>
      <c r="AQ495" s="450"/>
      <c r="AR495" s="450"/>
      <c r="AS495" s="450"/>
      <c r="AT495" s="450"/>
      <c r="AU495" s="450"/>
      <c r="AV495" s="450"/>
      <c r="AW495" s="450"/>
      <c r="AX495" s="450"/>
      <c r="AY495" s="450"/>
      <c r="AZ495" s="450"/>
      <c r="BA495" s="450"/>
      <c r="BB495" s="450"/>
      <c r="BC495" s="450"/>
      <c r="BD495" s="450"/>
      <c r="BE495" s="450"/>
      <c r="BF495" s="450"/>
      <c r="BG495" s="450"/>
      <c r="BH495" s="450"/>
      <c r="BI495" s="450"/>
      <c r="BJ495" s="450"/>
      <c r="BK495" s="450"/>
      <c r="BL495" s="450"/>
      <c r="BM495" s="450"/>
      <c r="BN495" s="450"/>
      <c r="BO495" s="450"/>
      <c r="BP495" s="450"/>
      <c r="BQ495" s="450"/>
      <c r="BR495" s="450"/>
      <c r="BS495" s="450"/>
      <c r="BT495" s="450"/>
      <c r="BU495" s="450"/>
      <c r="BV495" s="450"/>
      <c r="BW495" s="450"/>
      <c r="BX495" s="450"/>
      <c r="BY495" s="450"/>
      <c r="BZ495" s="450"/>
      <c r="CA495" s="450"/>
      <c r="CB495" s="450"/>
      <c r="CC495" s="450"/>
      <c r="CD495" s="450"/>
      <c r="CE495" s="450"/>
      <c r="CF495" s="450"/>
      <c r="CG495" s="450"/>
      <c r="CH495" s="450"/>
    </row>
    <row r="496">
      <c r="A496" s="450"/>
      <c r="B496" s="498"/>
      <c r="C496" s="455"/>
      <c r="D496" s="450"/>
      <c r="E496" s="450"/>
      <c r="F496" s="450"/>
      <c r="G496" s="450"/>
      <c r="H496" s="450"/>
      <c r="I496" s="450"/>
      <c r="J496" s="450"/>
      <c r="K496" s="450"/>
      <c r="L496" s="450"/>
      <c r="M496" s="450"/>
      <c r="N496" s="450"/>
      <c r="O496" s="450"/>
      <c r="P496" s="450"/>
      <c r="Q496" s="450"/>
      <c r="R496" s="450"/>
      <c r="S496" s="450"/>
      <c r="T496" s="450"/>
      <c r="U496" s="450"/>
      <c r="V496" s="450"/>
      <c r="W496" s="450"/>
      <c r="X496" s="450"/>
      <c r="Y496" s="450"/>
      <c r="Z496" s="450"/>
      <c r="AA496" s="450"/>
      <c r="AB496" s="450"/>
      <c r="AC496" s="450"/>
      <c r="AD496" s="450"/>
      <c r="AE496" s="450"/>
      <c r="AF496" s="450"/>
      <c r="AG496" s="450"/>
      <c r="AH496" s="450"/>
      <c r="AI496" s="450"/>
      <c r="AJ496" s="450"/>
      <c r="AK496" s="450"/>
      <c r="AL496" s="450"/>
      <c r="AM496" s="450"/>
      <c r="AN496" s="450"/>
      <c r="AO496" s="450"/>
      <c r="AP496" s="450"/>
      <c r="AQ496" s="450"/>
      <c r="AR496" s="450"/>
      <c r="AS496" s="450"/>
      <c r="AT496" s="450"/>
      <c r="AU496" s="450"/>
      <c r="AV496" s="450"/>
      <c r="AW496" s="450"/>
      <c r="AX496" s="450"/>
      <c r="AY496" s="450"/>
      <c r="AZ496" s="450"/>
      <c r="BA496" s="450"/>
      <c r="BB496" s="450"/>
      <c r="BC496" s="450"/>
      <c r="BD496" s="450"/>
      <c r="BE496" s="450"/>
      <c r="BF496" s="450"/>
      <c r="BG496" s="450"/>
      <c r="BH496" s="450"/>
      <c r="BI496" s="450"/>
      <c r="BJ496" s="450"/>
      <c r="BK496" s="450"/>
      <c r="BL496" s="450"/>
      <c r="BM496" s="450"/>
      <c r="BN496" s="450"/>
      <c r="BO496" s="450"/>
      <c r="BP496" s="450"/>
      <c r="BQ496" s="450"/>
      <c r="BR496" s="450"/>
      <c r="BS496" s="450"/>
      <c r="BT496" s="450"/>
      <c r="BU496" s="450"/>
      <c r="BV496" s="450"/>
      <c r="BW496" s="450"/>
      <c r="BX496" s="450"/>
      <c r="BY496" s="450"/>
      <c r="BZ496" s="450"/>
      <c r="CA496" s="450"/>
      <c r="CB496" s="450"/>
      <c r="CC496" s="450"/>
      <c r="CD496" s="450"/>
      <c r="CE496" s="450"/>
      <c r="CF496" s="450"/>
      <c r="CG496" s="450"/>
      <c r="CH496" s="450"/>
    </row>
    <row r="497">
      <c r="A497" s="450"/>
      <c r="B497" s="498"/>
      <c r="C497" s="455"/>
      <c r="D497" s="450"/>
      <c r="E497" s="450"/>
      <c r="F497" s="450"/>
      <c r="G497" s="450"/>
      <c r="H497" s="450"/>
      <c r="I497" s="450"/>
      <c r="J497" s="450"/>
      <c r="K497" s="450"/>
      <c r="L497" s="450"/>
      <c r="M497" s="450"/>
      <c r="N497" s="450"/>
      <c r="O497" s="450"/>
      <c r="P497" s="450"/>
      <c r="Q497" s="450"/>
      <c r="R497" s="450"/>
      <c r="S497" s="450"/>
      <c r="T497" s="450"/>
      <c r="U497" s="450"/>
      <c r="V497" s="450"/>
      <c r="W497" s="450"/>
      <c r="X497" s="450"/>
      <c r="Y497" s="450"/>
      <c r="Z497" s="450"/>
      <c r="AA497" s="450"/>
      <c r="AB497" s="450"/>
      <c r="AC497" s="450"/>
      <c r="AD497" s="450"/>
      <c r="AE497" s="450"/>
      <c r="AF497" s="450"/>
      <c r="AG497" s="450"/>
      <c r="AH497" s="450"/>
      <c r="AI497" s="450"/>
      <c r="AJ497" s="450"/>
      <c r="AK497" s="450"/>
      <c r="AL497" s="450"/>
      <c r="AM497" s="450"/>
      <c r="AN497" s="450"/>
      <c r="AO497" s="450"/>
      <c r="AP497" s="450"/>
      <c r="AQ497" s="450"/>
      <c r="AR497" s="450"/>
      <c r="AS497" s="450"/>
      <c r="AT497" s="450"/>
      <c r="AU497" s="450"/>
      <c r="AV497" s="450"/>
      <c r="AW497" s="450"/>
      <c r="AX497" s="450"/>
      <c r="AY497" s="450"/>
      <c r="AZ497" s="450"/>
      <c r="BA497" s="450"/>
      <c r="BB497" s="450"/>
      <c r="BC497" s="450"/>
      <c r="BD497" s="450"/>
      <c r="BE497" s="450"/>
      <c r="BF497" s="450"/>
      <c r="BG497" s="450"/>
      <c r="BH497" s="450"/>
      <c r="BI497" s="450"/>
      <c r="BJ497" s="450"/>
      <c r="BK497" s="450"/>
      <c r="BL497" s="450"/>
      <c r="BM497" s="450"/>
      <c r="BN497" s="450"/>
      <c r="BO497" s="450"/>
      <c r="BP497" s="450"/>
      <c r="BQ497" s="450"/>
      <c r="BR497" s="450"/>
      <c r="BS497" s="450"/>
      <c r="BT497" s="450"/>
      <c r="BU497" s="450"/>
      <c r="BV497" s="450"/>
      <c r="BW497" s="450"/>
      <c r="BX497" s="450"/>
      <c r="BY497" s="450"/>
      <c r="BZ497" s="450"/>
      <c r="CA497" s="450"/>
      <c r="CB497" s="450"/>
      <c r="CC497" s="450"/>
      <c r="CD497" s="450"/>
      <c r="CE497" s="450"/>
      <c r="CF497" s="450"/>
      <c r="CG497" s="450"/>
      <c r="CH497" s="450"/>
    </row>
    <row r="498">
      <c r="A498" s="450"/>
      <c r="B498" s="498"/>
      <c r="C498" s="455"/>
      <c r="D498" s="450"/>
      <c r="E498" s="450"/>
      <c r="F498" s="450"/>
      <c r="G498" s="450"/>
      <c r="H498" s="450"/>
      <c r="I498" s="450"/>
      <c r="J498" s="450"/>
      <c r="K498" s="450"/>
      <c r="L498" s="450"/>
      <c r="M498" s="450"/>
      <c r="N498" s="450"/>
      <c r="O498" s="450"/>
      <c r="P498" s="450"/>
      <c r="Q498" s="450"/>
      <c r="R498" s="450"/>
      <c r="S498" s="450"/>
      <c r="T498" s="450"/>
      <c r="U498" s="450"/>
      <c r="V498" s="450"/>
      <c r="W498" s="450"/>
      <c r="X498" s="450"/>
      <c r="Y498" s="450"/>
      <c r="Z498" s="450"/>
      <c r="AA498" s="450"/>
      <c r="AB498" s="450"/>
      <c r="AC498" s="450"/>
      <c r="AD498" s="450"/>
      <c r="AE498" s="450"/>
      <c r="AF498" s="450"/>
      <c r="AG498" s="450"/>
      <c r="AH498" s="450"/>
      <c r="AI498" s="450"/>
      <c r="AJ498" s="450"/>
      <c r="AK498" s="450"/>
      <c r="AL498" s="450"/>
      <c r="AM498" s="450"/>
      <c r="AN498" s="450"/>
      <c r="AO498" s="450"/>
      <c r="AP498" s="450"/>
      <c r="AQ498" s="450"/>
      <c r="AR498" s="450"/>
      <c r="AS498" s="450"/>
      <c r="AT498" s="450"/>
      <c r="AU498" s="450"/>
      <c r="AV498" s="450"/>
      <c r="AW498" s="450"/>
      <c r="AX498" s="450"/>
      <c r="AY498" s="450"/>
      <c r="AZ498" s="450"/>
      <c r="BA498" s="450"/>
      <c r="BB498" s="450"/>
      <c r="BC498" s="450"/>
      <c r="BD498" s="450"/>
      <c r="BE498" s="450"/>
      <c r="BF498" s="450"/>
      <c r="BG498" s="450"/>
      <c r="BH498" s="450"/>
      <c r="BI498" s="450"/>
      <c r="BJ498" s="450"/>
      <c r="BK498" s="450"/>
      <c r="BL498" s="450"/>
      <c r="BM498" s="450"/>
      <c r="BN498" s="450"/>
      <c r="BO498" s="450"/>
      <c r="BP498" s="450"/>
      <c r="BQ498" s="450"/>
      <c r="BR498" s="450"/>
      <c r="BS498" s="450"/>
      <c r="BT498" s="450"/>
      <c r="BU498" s="450"/>
      <c r="BV498" s="450"/>
      <c r="BW498" s="450"/>
      <c r="BX498" s="450"/>
      <c r="BY498" s="450"/>
      <c r="BZ498" s="450"/>
      <c r="CA498" s="450"/>
      <c r="CB498" s="450"/>
      <c r="CC498" s="450"/>
      <c r="CD498" s="450"/>
      <c r="CE498" s="450"/>
      <c r="CF498" s="450"/>
      <c r="CG498" s="450"/>
      <c r="CH498" s="450"/>
    </row>
    <row r="499">
      <c r="A499" s="450"/>
      <c r="B499" s="498"/>
      <c r="C499" s="455"/>
      <c r="D499" s="450"/>
      <c r="E499" s="450"/>
      <c r="F499" s="450"/>
      <c r="G499" s="450"/>
      <c r="H499" s="450"/>
      <c r="I499" s="450"/>
      <c r="J499" s="450"/>
      <c r="K499" s="450"/>
      <c r="L499" s="450"/>
      <c r="M499" s="450"/>
      <c r="N499" s="450"/>
      <c r="O499" s="450"/>
      <c r="P499" s="450"/>
      <c r="Q499" s="450"/>
      <c r="R499" s="450"/>
      <c r="S499" s="450"/>
      <c r="T499" s="450"/>
      <c r="U499" s="450"/>
      <c r="V499" s="450"/>
      <c r="W499" s="450"/>
      <c r="X499" s="450"/>
      <c r="Y499" s="450"/>
      <c r="Z499" s="450"/>
      <c r="AA499" s="450"/>
      <c r="AB499" s="450"/>
      <c r="AC499" s="450"/>
      <c r="AD499" s="450"/>
      <c r="AE499" s="450"/>
      <c r="AF499" s="450"/>
      <c r="AG499" s="450"/>
      <c r="AH499" s="450"/>
      <c r="AI499" s="450"/>
      <c r="AJ499" s="450"/>
      <c r="AK499" s="450"/>
      <c r="AL499" s="450"/>
      <c r="AM499" s="450"/>
      <c r="AN499" s="450"/>
      <c r="AO499" s="450"/>
      <c r="AP499" s="450"/>
      <c r="AQ499" s="450"/>
      <c r="AR499" s="450"/>
      <c r="AS499" s="450"/>
      <c r="AT499" s="450"/>
      <c r="AU499" s="450"/>
      <c r="AV499" s="450"/>
      <c r="AW499" s="450"/>
      <c r="AX499" s="450"/>
      <c r="AY499" s="450"/>
      <c r="AZ499" s="450"/>
      <c r="BA499" s="450"/>
      <c r="BB499" s="450"/>
      <c r="BC499" s="450"/>
      <c r="BD499" s="450"/>
      <c r="BE499" s="450"/>
      <c r="BF499" s="450"/>
      <c r="BG499" s="450"/>
      <c r="BH499" s="450"/>
      <c r="BI499" s="450"/>
      <c r="BJ499" s="450"/>
      <c r="BK499" s="450"/>
      <c r="BL499" s="450"/>
      <c r="BM499" s="450"/>
      <c r="BN499" s="450"/>
      <c r="BO499" s="450"/>
      <c r="BP499" s="450"/>
      <c r="BQ499" s="450"/>
      <c r="BR499" s="450"/>
      <c r="BS499" s="450"/>
      <c r="BT499" s="450"/>
      <c r="BU499" s="450"/>
      <c r="BV499" s="450"/>
      <c r="BW499" s="450"/>
      <c r="BX499" s="450"/>
      <c r="BY499" s="450"/>
      <c r="BZ499" s="450"/>
      <c r="CA499" s="450"/>
      <c r="CB499" s="450"/>
      <c r="CC499" s="450"/>
      <c r="CD499" s="450"/>
      <c r="CE499" s="450"/>
      <c r="CF499" s="450"/>
      <c r="CG499" s="450"/>
      <c r="CH499" s="450"/>
    </row>
    <row r="500">
      <c r="A500" s="450"/>
      <c r="B500" s="498"/>
      <c r="C500" s="455"/>
      <c r="D500" s="450"/>
      <c r="E500" s="450"/>
      <c r="F500" s="450"/>
      <c r="G500" s="450"/>
      <c r="H500" s="450"/>
      <c r="I500" s="450"/>
      <c r="J500" s="450"/>
      <c r="K500" s="450"/>
      <c r="L500" s="450"/>
      <c r="M500" s="450"/>
      <c r="N500" s="450"/>
      <c r="O500" s="450"/>
      <c r="P500" s="450"/>
      <c r="Q500" s="450"/>
      <c r="R500" s="450"/>
      <c r="S500" s="450"/>
      <c r="T500" s="450"/>
      <c r="U500" s="450"/>
      <c r="V500" s="450"/>
      <c r="W500" s="450"/>
      <c r="X500" s="450"/>
      <c r="Y500" s="450"/>
      <c r="Z500" s="450"/>
      <c r="AA500" s="450"/>
      <c r="AB500" s="450"/>
      <c r="AC500" s="450"/>
      <c r="AD500" s="450"/>
      <c r="AE500" s="450"/>
      <c r="AF500" s="450"/>
      <c r="AG500" s="450"/>
      <c r="AH500" s="450"/>
      <c r="AI500" s="450"/>
      <c r="AJ500" s="450"/>
      <c r="AK500" s="450"/>
      <c r="AL500" s="450"/>
      <c r="AM500" s="450"/>
      <c r="AN500" s="450"/>
      <c r="AO500" s="450"/>
      <c r="AP500" s="450"/>
      <c r="AQ500" s="450"/>
      <c r="AR500" s="450"/>
      <c r="AS500" s="450"/>
      <c r="AT500" s="450"/>
      <c r="AU500" s="450"/>
      <c r="AV500" s="450"/>
      <c r="AW500" s="450"/>
      <c r="AX500" s="450"/>
      <c r="AY500" s="450"/>
      <c r="AZ500" s="450"/>
      <c r="BA500" s="450"/>
      <c r="BB500" s="450"/>
      <c r="BC500" s="450"/>
      <c r="BD500" s="450"/>
      <c r="BE500" s="450"/>
      <c r="BF500" s="450"/>
      <c r="BG500" s="450"/>
      <c r="BH500" s="450"/>
      <c r="BI500" s="450"/>
      <c r="BJ500" s="450"/>
      <c r="BK500" s="450"/>
      <c r="BL500" s="450"/>
      <c r="BM500" s="450"/>
      <c r="BN500" s="450"/>
      <c r="BO500" s="450"/>
      <c r="BP500" s="450"/>
      <c r="BQ500" s="450"/>
      <c r="BR500" s="450"/>
      <c r="BS500" s="450"/>
      <c r="BT500" s="450"/>
      <c r="BU500" s="450"/>
      <c r="BV500" s="450"/>
      <c r="BW500" s="450"/>
      <c r="BX500" s="450"/>
      <c r="BY500" s="450"/>
      <c r="BZ500" s="450"/>
      <c r="CA500" s="450"/>
      <c r="CB500" s="450"/>
      <c r="CC500" s="450"/>
      <c r="CD500" s="450"/>
      <c r="CE500" s="450"/>
      <c r="CF500" s="450"/>
      <c r="CG500" s="450"/>
      <c r="CH500" s="450"/>
    </row>
    <row r="501">
      <c r="A501" s="450"/>
      <c r="B501" s="498"/>
      <c r="C501" s="455"/>
      <c r="D501" s="450"/>
      <c r="E501" s="450"/>
      <c r="F501" s="450"/>
      <c r="G501" s="450"/>
      <c r="H501" s="450"/>
      <c r="I501" s="450"/>
      <c r="J501" s="450"/>
      <c r="K501" s="450"/>
      <c r="L501" s="450"/>
      <c r="M501" s="450"/>
      <c r="N501" s="450"/>
      <c r="O501" s="450"/>
      <c r="P501" s="450"/>
      <c r="Q501" s="450"/>
      <c r="R501" s="450"/>
      <c r="S501" s="450"/>
      <c r="T501" s="450"/>
      <c r="U501" s="450"/>
      <c r="V501" s="450"/>
      <c r="W501" s="450"/>
      <c r="X501" s="450"/>
      <c r="Y501" s="450"/>
      <c r="Z501" s="450"/>
      <c r="AA501" s="450"/>
      <c r="AB501" s="450"/>
      <c r="AC501" s="450"/>
      <c r="AD501" s="450"/>
      <c r="AE501" s="450"/>
      <c r="AF501" s="450"/>
      <c r="AG501" s="450"/>
      <c r="AH501" s="450"/>
      <c r="AI501" s="450"/>
      <c r="AJ501" s="450"/>
      <c r="AK501" s="450"/>
      <c r="AL501" s="450"/>
      <c r="AM501" s="450"/>
      <c r="AN501" s="450"/>
      <c r="AO501" s="450"/>
      <c r="AP501" s="450"/>
      <c r="AQ501" s="450"/>
      <c r="AR501" s="450"/>
      <c r="AS501" s="450"/>
      <c r="AT501" s="450"/>
      <c r="AU501" s="450"/>
      <c r="AV501" s="450"/>
      <c r="AW501" s="450"/>
      <c r="AX501" s="450"/>
      <c r="AY501" s="450"/>
      <c r="AZ501" s="450"/>
      <c r="BA501" s="450"/>
      <c r="BB501" s="450"/>
      <c r="BC501" s="450"/>
      <c r="BD501" s="450"/>
      <c r="BE501" s="450"/>
      <c r="BF501" s="450"/>
      <c r="BG501" s="450"/>
      <c r="BH501" s="450"/>
      <c r="BI501" s="450"/>
      <c r="BJ501" s="450"/>
      <c r="BK501" s="450"/>
      <c r="BL501" s="450"/>
      <c r="BM501" s="450"/>
      <c r="BN501" s="450"/>
      <c r="BO501" s="450"/>
      <c r="BP501" s="450"/>
      <c r="BQ501" s="450"/>
      <c r="BR501" s="450"/>
      <c r="BS501" s="450"/>
      <c r="BT501" s="450"/>
      <c r="BU501" s="450"/>
      <c r="BV501" s="450"/>
      <c r="BW501" s="450"/>
      <c r="BX501" s="450"/>
      <c r="BY501" s="450"/>
      <c r="BZ501" s="450"/>
      <c r="CA501" s="450"/>
      <c r="CB501" s="450"/>
      <c r="CC501" s="450"/>
      <c r="CD501" s="450"/>
      <c r="CE501" s="450"/>
      <c r="CF501" s="450"/>
      <c r="CG501" s="450"/>
      <c r="CH501" s="450"/>
    </row>
    <row r="502">
      <c r="A502" s="450"/>
      <c r="B502" s="498"/>
      <c r="C502" s="455"/>
      <c r="D502" s="450"/>
      <c r="E502" s="450"/>
      <c r="F502" s="450"/>
      <c r="G502" s="450"/>
      <c r="H502" s="450"/>
      <c r="I502" s="450"/>
      <c r="J502" s="450"/>
      <c r="K502" s="450"/>
      <c r="L502" s="450"/>
      <c r="M502" s="450"/>
      <c r="N502" s="450"/>
      <c r="O502" s="450"/>
      <c r="P502" s="450"/>
      <c r="Q502" s="450"/>
      <c r="R502" s="450"/>
      <c r="S502" s="450"/>
      <c r="T502" s="450"/>
      <c r="U502" s="450"/>
      <c r="V502" s="450"/>
      <c r="W502" s="450"/>
      <c r="X502" s="450"/>
      <c r="Y502" s="450"/>
      <c r="Z502" s="450"/>
      <c r="AA502" s="450"/>
      <c r="AB502" s="450"/>
      <c r="AC502" s="450"/>
      <c r="AD502" s="450"/>
      <c r="AE502" s="450"/>
      <c r="AF502" s="450"/>
      <c r="AG502" s="450"/>
      <c r="AH502" s="450"/>
      <c r="AI502" s="450"/>
      <c r="AJ502" s="450"/>
      <c r="AK502" s="450"/>
      <c r="AL502" s="450"/>
      <c r="AM502" s="450"/>
      <c r="AN502" s="450"/>
      <c r="AO502" s="450"/>
      <c r="AP502" s="450"/>
      <c r="AQ502" s="450"/>
      <c r="AR502" s="450"/>
      <c r="AS502" s="450"/>
      <c r="AT502" s="450"/>
      <c r="AU502" s="450"/>
      <c r="AV502" s="450"/>
      <c r="AW502" s="450"/>
      <c r="AX502" s="450"/>
      <c r="AY502" s="450"/>
      <c r="AZ502" s="450"/>
      <c r="BA502" s="450"/>
      <c r="BB502" s="450"/>
      <c r="BC502" s="450"/>
      <c r="BD502" s="450"/>
      <c r="BE502" s="450"/>
      <c r="BF502" s="450"/>
      <c r="BG502" s="450"/>
      <c r="BH502" s="450"/>
      <c r="BI502" s="450"/>
      <c r="BJ502" s="450"/>
      <c r="BK502" s="450"/>
      <c r="BL502" s="450"/>
      <c r="BM502" s="450"/>
      <c r="BN502" s="450"/>
      <c r="BO502" s="450"/>
      <c r="BP502" s="450"/>
      <c r="BQ502" s="450"/>
      <c r="BR502" s="450"/>
      <c r="BS502" s="450"/>
      <c r="BT502" s="450"/>
      <c r="BU502" s="450"/>
      <c r="BV502" s="450"/>
      <c r="BW502" s="450"/>
      <c r="BX502" s="450"/>
      <c r="BY502" s="450"/>
      <c r="BZ502" s="450"/>
      <c r="CA502" s="450"/>
      <c r="CB502" s="450"/>
      <c r="CC502" s="450"/>
      <c r="CD502" s="450"/>
      <c r="CE502" s="450"/>
      <c r="CF502" s="450"/>
      <c r="CG502" s="450"/>
      <c r="CH502" s="450"/>
    </row>
    <row r="503">
      <c r="A503" s="450"/>
      <c r="B503" s="498"/>
      <c r="C503" s="455"/>
      <c r="D503" s="450"/>
      <c r="E503" s="450"/>
      <c r="F503" s="450"/>
      <c r="G503" s="450"/>
      <c r="H503" s="450"/>
      <c r="I503" s="450"/>
      <c r="J503" s="450"/>
      <c r="K503" s="450"/>
      <c r="L503" s="450"/>
      <c r="M503" s="450"/>
      <c r="N503" s="450"/>
      <c r="O503" s="450"/>
      <c r="P503" s="450"/>
      <c r="Q503" s="450"/>
      <c r="R503" s="450"/>
      <c r="S503" s="450"/>
      <c r="T503" s="450"/>
      <c r="U503" s="450"/>
      <c r="V503" s="450"/>
      <c r="W503" s="450"/>
      <c r="X503" s="450"/>
      <c r="Y503" s="450"/>
      <c r="Z503" s="450"/>
      <c r="AA503" s="450"/>
      <c r="AB503" s="450"/>
      <c r="AC503" s="450"/>
      <c r="AD503" s="450"/>
      <c r="AE503" s="450"/>
      <c r="AF503" s="450"/>
      <c r="AG503" s="450"/>
      <c r="AH503" s="450"/>
      <c r="AI503" s="450"/>
      <c r="AJ503" s="450"/>
      <c r="AK503" s="450"/>
      <c r="AL503" s="450"/>
      <c r="AM503" s="450"/>
      <c r="AN503" s="450"/>
      <c r="AO503" s="450"/>
      <c r="AP503" s="450"/>
      <c r="AQ503" s="450"/>
      <c r="AR503" s="450"/>
      <c r="AS503" s="450"/>
      <c r="AT503" s="450"/>
      <c r="AU503" s="450"/>
      <c r="AV503" s="450"/>
      <c r="AW503" s="450"/>
      <c r="AX503" s="450"/>
      <c r="AY503" s="450"/>
      <c r="AZ503" s="450"/>
      <c r="BA503" s="450"/>
      <c r="BB503" s="450"/>
      <c r="BC503" s="450"/>
      <c r="BD503" s="450"/>
      <c r="BE503" s="450"/>
      <c r="BF503" s="450"/>
      <c r="BG503" s="450"/>
      <c r="BH503" s="450"/>
      <c r="BI503" s="450"/>
      <c r="BJ503" s="450"/>
      <c r="BK503" s="450"/>
      <c r="BL503" s="450"/>
      <c r="BM503" s="450"/>
      <c r="BN503" s="450"/>
      <c r="BO503" s="450"/>
      <c r="BP503" s="450"/>
      <c r="BQ503" s="450"/>
      <c r="BR503" s="450"/>
      <c r="BS503" s="450"/>
      <c r="BT503" s="450"/>
      <c r="BU503" s="450"/>
      <c r="BV503" s="450"/>
      <c r="BW503" s="450"/>
      <c r="BX503" s="450"/>
      <c r="BY503" s="450"/>
      <c r="BZ503" s="450"/>
      <c r="CA503" s="450"/>
      <c r="CB503" s="450"/>
      <c r="CC503" s="450"/>
      <c r="CD503" s="450"/>
      <c r="CE503" s="450"/>
      <c r="CF503" s="450"/>
      <c r="CG503" s="450"/>
      <c r="CH503" s="450"/>
    </row>
    <row r="504">
      <c r="A504" s="450"/>
      <c r="B504" s="498"/>
      <c r="C504" s="455"/>
      <c r="D504" s="450"/>
      <c r="E504" s="450"/>
      <c r="F504" s="450"/>
      <c r="G504" s="450"/>
      <c r="H504" s="450"/>
      <c r="I504" s="450"/>
      <c r="J504" s="450"/>
      <c r="K504" s="450"/>
      <c r="L504" s="450"/>
      <c r="M504" s="450"/>
      <c r="N504" s="450"/>
      <c r="O504" s="450"/>
      <c r="P504" s="450"/>
      <c r="Q504" s="450"/>
      <c r="R504" s="450"/>
      <c r="S504" s="450"/>
      <c r="T504" s="450"/>
      <c r="U504" s="450"/>
      <c r="V504" s="450"/>
      <c r="W504" s="450"/>
      <c r="X504" s="450"/>
      <c r="Y504" s="450"/>
      <c r="Z504" s="450"/>
      <c r="AA504" s="450"/>
      <c r="AB504" s="450"/>
      <c r="AC504" s="450"/>
      <c r="AD504" s="450"/>
      <c r="AE504" s="450"/>
      <c r="AF504" s="450"/>
      <c r="AG504" s="450"/>
      <c r="AH504" s="450"/>
      <c r="AI504" s="450"/>
      <c r="AJ504" s="450"/>
      <c r="AK504" s="450"/>
      <c r="AL504" s="450"/>
      <c r="AM504" s="450"/>
      <c r="AN504" s="450"/>
      <c r="AO504" s="450"/>
      <c r="AP504" s="450"/>
      <c r="AQ504" s="450"/>
      <c r="AR504" s="450"/>
      <c r="AS504" s="450"/>
      <c r="AT504" s="450"/>
      <c r="AU504" s="450"/>
      <c r="AV504" s="450"/>
      <c r="AW504" s="450"/>
      <c r="AX504" s="450"/>
      <c r="AY504" s="450"/>
      <c r="AZ504" s="450"/>
      <c r="BA504" s="450"/>
      <c r="BB504" s="450"/>
      <c r="BC504" s="450"/>
      <c r="BD504" s="450"/>
      <c r="BE504" s="450"/>
      <c r="BF504" s="450"/>
      <c r="BG504" s="450"/>
      <c r="BH504" s="450"/>
      <c r="BI504" s="450"/>
      <c r="BJ504" s="450"/>
      <c r="BK504" s="450"/>
      <c r="BL504" s="450"/>
      <c r="BM504" s="450"/>
      <c r="BN504" s="450"/>
      <c r="BO504" s="450"/>
      <c r="BP504" s="450"/>
      <c r="BQ504" s="450"/>
      <c r="BR504" s="450"/>
      <c r="BS504" s="450"/>
      <c r="BT504" s="450"/>
      <c r="BU504" s="450"/>
      <c r="BV504" s="450"/>
      <c r="BW504" s="450"/>
      <c r="BX504" s="450"/>
      <c r="BY504" s="450"/>
      <c r="BZ504" s="450"/>
      <c r="CA504" s="450"/>
      <c r="CB504" s="450"/>
      <c r="CC504" s="450"/>
      <c r="CD504" s="450"/>
      <c r="CE504" s="450"/>
      <c r="CF504" s="450"/>
      <c r="CG504" s="450"/>
      <c r="CH504" s="450"/>
    </row>
    <row r="505">
      <c r="A505" s="450"/>
      <c r="B505" s="498"/>
      <c r="C505" s="455"/>
      <c r="D505" s="450"/>
      <c r="E505" s="450"/>
      <c r="F505" s="450"/>
      <c r="G505" s="450"/>
      <c r="H505" s="450"/>
      <c r="I505" s="450"/>
      <c r="J505" s="450"/>
      <c r="K505" s="450"/>
      <c r="L505" s="450"/>
      <c r="M505" s="450"/>
      <c r="N505" s="450"/>
      <c r="O505" s="450"/>
      <c r="P505" s="450"/>
      <c r="Q505" s="450"/>
      <c r="R505" s="450"/>
      <c r="S505" s="450"/>
      <c r="T505" s="450"/>
      <c r="U505" s="450"/>
      <c r="V505" s="450"/>
      <c r="W505" s="450"/>
      <c r="X505" s="450"/>
      <c r="Y505" s="450"/>
      <c r="Z505" s="450"/>
      <c r="AA505" s="450"/>
      <c r="AB505" s="450"/>
      <c r="AC505" s="450"/>
      <c r="AD505" s="450"/>
      <c r="AE505" s="450"/>
      <c r="AF505" s="450"/>
      <c r="AG505" s="450"/>
      <c r="AH505" s="450"/>
      <c r="AI505" s="450"/>
      <c r="AJ505" s="450"/>
      <c r="AK505" s="450"/>
      <c r="AL505" s="450"/>
      <c r="AM505" s="450"/>
      <c r="AN505" s="450"/>
      <c r="AO505" s="450"/>
      <c r="AP505" s="450"/>
      <c r="AQ505" s="450"/>
      <c r="AR505" s="450"/>
      <c r="AS505" s="450"/>
      <c r="AT505" s="450"/>
      <c r="AU505" s="450"/>
      <c r="AV505" s="450"/>
      <c r="AW505" s="450"/>
      <c r="AX505" s="450"/>
      <c r="AY505" s="450"/>
      <c r="AZ505" s="450"/>
      <c r="BA505" s="450"/>
      <c r="BB505" s="450"/>
      <c r="BC505" s="450"/>
      <c r="BD505" s="450"/>
      <c r="BE505" s="450"/>
      <c r="BF505" s="450"/>
      <c r="BG505" s="450"/>
      <c r="BH505" s="450"/>
      <c r="BI505" s="450"/>
      <c r="BJ505" s="450"/>
      <c r="BK505" s="450"/>
      <c r="BL505" s="450"/>
      <c r="BM505" s="450"/>
      <c r="BN505" s="450"/>
      <c r="BO505" s="450"/>
      <c r="BP505" s="450"/>
      <c r="BQ505" s="450"/>
      <c r="BR505" s="450"/>
      <c r="BS505" s="450"/>
      <c r="BT505" s="450"/>
      <c r="BU505" s="450"/>
      <c r="BV505" s="450"/>
      <c r="BW505" s="450"/>
      <c r="BX505" s="450"/>
      <c r="BY505" s="450"/>
      <c r="BZ505" s="450"/>
      <c r="CA505" s="450"/>
      <c r="CB505" s="450"/>
      <c r="CC505" s="450"/>
      <c r="CD505" s="450"/>
      <c r="CE505" s="450"/>
      <c r="CF505" s="450"/>
      <c r="CG505" s="450"/>
      <c r="CH505" s="450"/>
    </row>
    <row r="506">
      <c r="A506" s="450"/>
      <c r="B506" s="498"/>
      <c r="C506" s="455"/>
      <c r="D506" s="450"/>
      <c r="E506" s="450"/>
      <c r="F506" s="450"/>
      <c r="G506" s="450"/>
      <c r="H506" s="450"/>
      <c r="I506" s="450"/>
      <c r="J506" s="450"/>
      <c r="K506" s="450"/>
      <c r="L506" s="450"/>
      <c r="M506" s="450"/>
      <c r="N506" s="450"/>
      <c r="O506" s="450"/>
      <c r="P506" s="450"/>
      <c r="Q506" s="450"/>
      <c r="R506" s="450"/>
      <c r="S506" s="450"/>
      <c r="T506" s="450"/>
      <c r="U506" s="450"/>
      <c r="V506" s="450"/>
      <c r="W506" s="450"/>
      <c r="X506" s="450"/>
      <c r="Y506" s="450"/>
      <c r="Z506" s="450"/>
      <c r="AA506" s="450"/>
      <c r="AB506" s="450"/>
      <c r="AC506" s="450"/>
      <c r="AD506" s="450"/>
      <c r="AE506" s="450"/>
      <c r="AF506" s="450"/>
      <c r="AG506" s="450"/>
      <c r="AH506" s="450"/>
      <c r="AI506" s="450"/>
      <c r="AJ506" s="450"/>
      <c r="AK506" s="450"/>
      <c r="AL506" s="450"/>
      <c r="AM506" s="450"/>
      <c r="AN506" s="450"/>
      <c r="AO506" s="450"/>
      <c r="AP506" s="450"/>
      <c r="AQ506" s="450"/>
      <c r="AR506" s="450"/>
      <c r="AS506" s="450"/>
      <c r="AT506" s="450"/>
      <c r="AU506" s="450"/>
      <c r="AV506" s="450"/>
      <c r="AW506" s="450"/>
      <c r="AX506" s="450"/>
      <c r="AY506" s="450"/>
      <c r="AZ506" s="450"/>
      <c r="BA506" s="450"/>
      <c r="BB506" s="450"/>
      <c r="BC506" s="450"/>
      <c r="BD506" s="450"/>
      <c r="BE506" s="450"/>
      <c r="BF506" s="450"/>
      <c r="BG506" s="450"/>
      <c r="BH506" s="450"/>
      <c r="BI506" s="450"/>
      <c r="BJ506" s="450"/>
      <c r="BK506" s="450"/>
      <c r="BL506" s="450"/>
      <c r="BM506" s="450"/>
      <c r="BN506" s="450"/>
      <c r="BO506" s="450"/>
      <c r="BP506" s="450"/>
      <c r="BQ506" s="450"/>
      <c r="BR506" s="450"/>
      <c r="BS506" s="450"/>
      <c r="BT506" s="450"/>
      <c r="BU506" s="450"/>
      <c r="BV506" s="450"/>
      <c r="BW506" s="450"/>
      <c r="BX506" s="450"/>
      <c r="BY506" s="450"/>
      <c r="BZ506" s="450"/>
      <c r="CA506" s="450"/>
      <c r="CB506" s="450"/>
      <c r="CC506" s="450"/>
      <c r="CD506" s="450"/>
      <c r="CE506" s="450"/>
      <c r="CF506" s="450"/>
      <c r="CG506" s="450"/>
      <c r="CH506" s="450"/>
    </row>
    <row r="507">
      <c r="A507" s="450"/>
      <c r="B507" s="498"/>
      <c r="C507" s="455"/>
      <c r="D507" s="450"/>
      <c r="E507" s="450"/>
      <c r="F507" s="450"/>
      <c r="G507" s="450"/>
      <c r="H507" s="450"/>
      <c r="I507" s="450"/>
      <c r="J507" s="450"/>
      <c r="K507" s="450"/>
      <c r="L507" s="450"/>
      <c r="M507" s="450"/>
      <c r="N507" s="450"/>
      <c r="O507" s="450"/>
      <c r="P507" s="450"/>
      <c r="Q507" s="450"/>
      <c r="R507" s="450"/>
      <c r="S507" s="450"/>
      <c r="T507" s="450"/>
      <c r="U507" s="450"/>
      <c r="V507" s="450"/>
      <c r="W507" s="450"/>
      <c r="X507" s="450"/>
      <c r="Y507" s="450"/>
      <c r="Z507" s="450"/>
      <c r="AA507" s="450"/>
      <c r="AB507" s="450"/>
      <c r="AC507" s="450"/>
      <c r="AD507" s="450"/>
      <c r="AE507" s="450"/>
      <c r="AF507" s="450"/>
      <c r="AG507" s="450"/>
      <c r="AH507" s="450"/>
      <c r="AI507" s="450"/>
      <c r="AJ507" s="450"/>
      <c r="AK507" s="450"/>
      <c r="AL507" s="450"/>
      <c r="AM507" s="450"/>
      <c r="AN507" s="450"/>
      <c r="AO507" s="450"/>
      <c r="AP507" s="450"/>
      <c r="AQ507" s="450"/>
      <c r="AR507" s="450"/>
      <c r="AS507" s="450"/>
      <c r="AT507" s="450"/>
      <c r="AU507" s="450"/>
      <c r="AV507" s="450"/>
      <c r="AW507" s="450"/>
      <c r="AX507" s="450"/>
      <c r="AY507" s="450"/>
      <c r="AZ507" s="450"/>
      <c r="BA507" s="450"/>
      <c r="BB507" s="450"/>
      <c r="BC507" s="450"/>
      <c r="BD507" s="450"/>
      <c r="BE507" s="450"/>
      <c r="BF507" s="450"/>
      <c r="BG507" s="450"/>
      <c r="BH507" s="450"/>
      <c r="BI507" s="450"/>
      <c r="BJ507" s="450"/>
      <c r="BK507" s="450"/>
      <c r="BL507" s="450"/>
      <c r="BM507" s="450"/>
      <c r="BN507" s="450"/>
      <c r="BO507" s="450"/>
      <c r="BP507" s="450"/>
      <c r="BQ507" s="450"/>
      <c r="BR507" s="450"/>
      <c r="BS507" s="450"/>
      <c r="BT507" s="450"/>
      <c r="BU507" s="450"/>
      <c r="BV507" s="450"/>
      <c r="BW507" s="450"/>
      <c r="BX507" s="450"/>
      <c r="BY507" s="450"/>
      <c r="BZ507" s="450"/>
      <c r="CA507" s="450"/>
      <c r="CB507" s="450"/>
      <c r="CC507" s="450"/>
      <c r="CD507" s="450"/>
      <c r="CE507" s="450"/>
      <c r="CF507" s="450"/>
      <c r="CG507" s="450"/>
      <c r="CH507" s="450"/>
    </row>
    <row r="508">
      <c r="A508" s="450"/>
      <c r="B508" s="498"/>
      <c r="C508" s="455"/>
      <c r="D508" s="450"/>
      <c r="E508" s="450"/>
      <c r="F508" s="450"/>
      <c r="G508" s="450"/>
      <c r="H508" s="450"/>
      <c r="I508" s="450"/>
      <c r="J508" s="450"/>
      <c r="K508" s="450"/>
      <c r="L508" s="450"/>
      <c r="M508" s="450"/>
      <c r="N508" s="450"/>
      <c r="O508" s="450"/>
      <c r="P508" s="450"/>
      <c r="Q508" s="450"/>
      <c r="R508" s="450"/>
      <c r="S508" s="450"/>
      <c r="T508" s="450"/>
      <c r="U508" s="450"/>
      <c r="V508" s="450"/>
      <c r="W508" s="450"/>
      <c r="X508" s="450"/>
      <c r="Y508" s="450"/>
      <c r="Z508" s="450"/>
      <c r="AA508" s="450"/>
      <c r="AB508" s="450"/>
      <c r="AC508" s="450"/>
      <c r="AD508" s="450"/>
      <c r="AE508" s="450"/>
      <c r="AF508" s="450"/>
      <c r="AG508" s="450"/>
      <c r="AH508" s="450"/>
      <c r="AI508" s="450"/>
      <c r="AJ508" s="450"/>
      <c r="AK508" s="450"/>
      <c r="AL508" s="450"/>
      <c r="AM508" s="450"/>
      <c r="AN508" s="450"/>
      <c r="AO508" s="450"/>
      <c r="AP508" s="450"/>
      <c r="AQ508" s="450"/>
      <c r="AR508" s="450"/>
      <c r="AS508" s="450"/>
      <c r="AT508" s="450"/>
      <c r="AU508" s="450"/>
      <c r="AV508" s="450"/>
      <c r="AW508" s="450"/>
      <c r="AX508" s="450"/>
      <c r="AY508" s="450"/>
      <c r="AZ508" s="450"/>
      <c r="BA508" s="450"/>
      <c r="BB508" s="450"/>
      <c r="BC508" s="450"/>
      <c r="BD508" s="450"/>
      <c r="BE508" s="450"/>
      <c r="BF508" s="450"/>
      <c r="BG508" s="450"/>
      <c r="BH508" s="450"/>
      <c r="BI508" s="450"/>
      <c r="BJ508" s="450"/>
      <c r="BK508" s="450"/>
      <c r="BL508" s="450"/>
      <c r="BM508" s="450"/>
      <c r="BN508" s="450"/>
      <c r="BO508" s="450"/>
      <c r="BP508" s="450"/>
      <c r="BQ508" s="450"/>
      <c r="BR508" s="450"/>
      <c r="BS508" s="450"/>
      <c r="BT508" s="450"/>
      <c r="BU508" s="450"/>
      <c r="BV508" s="450"/>
      <c r="BW508" s="450"/>
      <c r="BX508" s="450"/>
      <c r="BY508" s="450"/>
      <c r="BZ508" s="450"/>
      <c r="CA508" s="450"/>
      <c r="CB508" s="450"/>
      <c r="CC508" s="450"/>
      <c r="CD508" s="450"/>
      <c r="CE508" s="450"/>
      <c r="CF508" s="450"/>
      <c r="CG508" s="450"/>
      <c r="CH508" s="450"/>
    </row>
    <row r="509">
      <c r="A509" s="450"/>
      <c r="B509" s="498"/>
      <c r="C509" s="455"/>
      <c r="D509" s="450"/>
      <c r="E509" s="450"/>
      <c r="F509" s="450"/>
      <c r="G509" s="450"/>
      <c r="H509" s="450"/>
      <c r="I509" s="450"/>
      <c r="J509" s="450"/>
      <c r="K509" s="450"/>
      <c r="L509" s="450"/>
      <c r="M509" s="450"/>
      <c r="N509" s="450"/>
      <c r="O509" s="450"/>
      <c r="P509" s="450"/>
      <c r="Q509" s="450"/>
      <c r="R509" s="450"/>
      <c r="S509" s="450"/>
      <c r="T509" s="450"/>
      <c r="U509" s="450"/>
      <c r="V509" s="450"/>
      <c r="W509" s="450"/>
      <c r="X509" s="450"/>
      <c r="Y509" s="450"/>
      <c r="Z509" s="450"/>
      <c r="AA509" s="450"/>
      <c r="AB509" s="450"/>
      <c r="AC509" s="450"/>
      <c r="AD509" s="450"/>
      <c r="AE509" s="450"/>
      <c r="AF509" s="450"/>
      <c r="AG509" s="450"/>
      <c r="AH509" s="450"/>
      <c r="AI509" s="450"/>
      <c r="AJ509" s="450"/>
      <c r="AK509" s="450"/>
      <c r="AL509" s="450"/>
      <c r="AM509" s="450"/>
      <c r="AN509" s="450"/>
      <c r="AO509" s="450"/>
      <c r="AP509" s="450"/>
      <c r="AQ509" s="450"/>
      <c r="AR509" s="450"/>
      <c r="AS509" s="450"/>
      <c r="AT509" s="450"/>
      <c r="AU509" s="450"/>
      <c r="AV509" s="450"/>
      <c r="AW509" s="450"/>
      <c r="AX509" s="450"/>
      <c r="AY509" s="450"/>
      <c r="AZ509" s="450"/>
      <c r="BA509" s="450"/>
      <c r="BB509" s="450"/>
      <c r="BC509" s="450"/>
      <c r="BD509" s="450"/>
      <c r="BE509" s="450"/>
      <c r="BF509" s="450"/>
      <c r="BG509" s="450"/>
      <c r="BH509" s="450"/>
      <c r="BI509" s="450"/>
      <c r="BJ509" s="450"/>
      <c r="BK509" s="450"/>
      <c r="BL509" s="450"/>
      <c r="BM509" s="450"/>
      <c r="BN509" s="450"/>
      <c r="BO509" s="450"/>
      <c r="BP509" s="450"/>
      <c r="BQ509" s="450"/>
      <c r="BR509" s="450"/>
      <c r="BS509" s="450"/>
      <c r="BT509" s="450"/>
      <c r="BU509" s="450"/>
      <c r="BV509" s="450"/>
      <c r="BW509" s="450"/>
      <c r="BX509" s="450"/>
      <c r="BY509" s="450"/>
      <c r="BZ509" s="450"/>
      <c r="CA509" s="450"/>
      <c r="CB509" s="450"/>
      <c r="CC509" s="450"/>
      <c r="CD509" s="450"/>
      <c r="CE509" s="450"/>
      <c r="CF509" s="450"/>
      <c r="CG509" s="450"/>
      <c r="CH509" s="450"/>
    </row>
    <row r="510">
      <c r="A510" s="450"/>
      <c r="B510" s="498"/>
      <c r="C510" s="455"/>
      <c r="D510" s="450"/>
      <c r="E510" s="450"/>
      <c r="F510" s="450"/>
      <c r="G510" s="450"/>
      <c r="H510" s="450"/>
      <c r="I510" s="450"/>
      <c r="J510" s="450"/>
      <c r="K510" s="450"/>
      <c r="L510" s="450"/>
      <c r="M510" s="450"/>
      <c r="N510" s="450"/>
      <c r="O510" s="450"/>
      <c r="P510" s="450"/>
      <c r="Q510" s="450"/>
      <c r="R510" s="450"/>
      <c r="S510" s="450"/>
      <c r="T510" s="450"/>
      <c r="U510" s="450"/>
      <c r="V510" s="450"/>
      <c r="W510" s="450"/>
      <c r="X510" s="450"/>
      <c r="Y510" s="450"/>
      <c r="Z510" s="450"/>
      <c r="AA510" s="450"/>
      <c r="AB510" s="450"/>
      <c r="AC510" s="450"/>
      <c r="AD510" s="450"/>
      <c r="AE510" s="450"/>
      <c r="AF510" s="450"/>
      <c r="AG510" s="450"/>
      <c r="AH510" s="450"/>
      <c r="AI510" s="450"/>
      <c r="AJ510" s="450"/>
      <c r="AK510" s="450"/>
      <c r="AL510" s="450"/>
      <c r="AM510" s="450"/>
      <c r="AN510" s="450"/>
      <c r="AO510" s="450"/>
      <c r="AP510" s="450"/>
      <c r="AQ510" s="450"/>
      <c r="AR510" s="450"/>
      <c r="AS510" s="450"/>
      <c r="AT510" s="450"/>
      <c r="AU510" s="450"/>
      <c r="AV510" s="450"/>
      <c r="AW510" s="450"/>
      <c r="AX510" s="450"/>
      <c r="AY510" s="450"/>
      <c r="AZ510" s="450"/>
      <c r="BA510" s="450"/>
      <c r="BB510" s="450"/>
      <c r="BC510" s="450"/>
      <c r="BD510" s="450"/>
      <c r="BE510" s="450"/>
      <c r="BF510" s="450"/>
      <c r="BG510" s="450"/>
      <c r="BH510" s="450"/>
      <c r="BI510" s="450"/>
      <c r="BJ510" s="450"/>
      <c r="BK510" s="450"/>
      <c r="BL510" s="450"/>
      <c r="BM510" s="450"/>
      <c r="BN510" s="450"/>
      <c r="BO510" s="450"/>
      <c r="BP510" s="450"/>
      <c r="BQ510" s="450"/>
      <c r="BR510" s="450"/>
      <c r="BS510" s="450"/>
      <c r="BT510" s="450"/>
      <c r="BU510" s="450"/>
      <c r="BV510" s="450"/>
      <c r="BW510" s="450"/>
      <c r="BX510" s="450"/>
      <c r="BY510" s="450"/>
      <c r="BZ510" s="450"/>
      <c r="CA510" s="450"/>
      <c r="CB510" s="450"/>
      <c r="CC510" s="450"/>
      <c r="CD510" s="450"/>
      <c r="CE510" s="450"/>
      <c r="CF510" s="450"/>
      <c r="CG510" s="450"/>
      <c r="CH510" s="450"/>
    </row>
    <row r="511">
      <c r="A511" s="450"/>
      <c r="B511" s="498"/>
      <c r="C511" s="455"/>
      <c r="D511" s="450"/>
      <c r="E511" s="450"/>
      <c r="F511" s="450"/>
      <c r="G511" s="450"/>
      <c r="H511" s="450"/>
      <c r="I511" s="450"/>
      <c r="J511" s="450"/>
      <c r="K511" s="450"/>
      <c r="L511" s="450"/>
      <c r="M511" s="450"/>
      <c r="N511" s="450"/>
      <c r="O511" s="450"/>
      <c r="P511" s="450"/>
      <c r="Q511" s="450"/>
      <c r="R511" s="450"/>
      <c r="S511" s="450"/>
      <c r="T511" s="450"/>
      <c r="U511" s="450"/>
      <c r="V511" s="450"/>
      <c r="W511" s="450"/>
      <c r="X511" s="450"/>
      <c r="Y511" s="450"/>
      <c r="Z511" s="450"/>
      <c r="AA511" s="450"/>
      <c r="AB511" s="450"/>
      <c r="AC511" s="450"/>
      <c r="AD511" s="450"/>
      <c r="AE511" s="450"/>
      <c r="AF511" s="450"/>
      <c r="AG511" s="450"/>
      <c r="AH511" s="450"/>
      <c r="AI511" s="450"/>
      <c r="AJ511" s="450"/>
      <c r="AK511" s="450"/>
      <c r="AL511" s="450"/>
      <c r="AM511" s="450"/>
      <c r="AN511" s="450"/>
      <c r="AO511" s="450"/>
      <c r="AP511" s="450"/>
      <c r="AQ511" s="450"/>
      <c r="AR511" s="450"/>
      <c r="AS511" s="450"/>
      <c r="AT511" s="450"/>
      <c r="AU511" s="450"/>
      <c r="AV511" s="450"/>
      <c r="AW511" s="450"/>
      <c r="AX511" s="450"/>
      <c r="AY511" s="450"/>
      <c r="AZ511" s="450"/>
      <c r="BA511" s="450"/>
      <c r="BB511" s="450"/>
      <c r="BC511" s="450"/>
      <c r="BD511" s="450"/>
      <c r="BE511" s="450"/>
      <c r="BF511" s="450"/>
      <c r="BG511" s="450"/>
      <c r="BH511" s="450"/>
      <c r="BI511" s="450"/>
      <c r="BJ511" s="450"/>
      <c r="BK511" s="450"/>
      <c r="BL511" s="450"/>
      <c r="BM511" s="450"/>
      <c r="BN511" s="450"/>
      <c r="BO511" s="450"/>
      <c r="BP511" s="450"/>
      <c r="BQ511" s="450"/>
      <c r="BR511" s="450"/>
      <c r="BS511" s="450"/>
      <c r="BT511" s="450"/>
      <c r="BU511" s="450"/>
      <c r="BV511" s="450"/>
      <c r="BW511" s="450"/>
      <c r="BX511" s="450"/>
      <c r="BY511" s="450"/>
      <c r="BZ511" s="450"/>
      <c r="CA511" s="450"/>
      <c r="CB511" s="450"/>
      <c r="CC511" s="450"/>
      <c r="CD511" s="450"/>
      <c r="CE511" s="450"/>
      <c r="CF511" s="450"/>
      <c r="CG511" s="450"/>
      <c r="CH511" s="450"/>
    </row>
    <row r="512">
      <c r="A512" s="450"/>
      <c r="B512" s="498"/>
      <c r="C512" s="455"/>
      <c r="D512" s="450"/>
      <c r="E512" s="450"/>
      <c r="F512" s="450"/>
      <c r="G512" s="450"/>
      <c r="H512" s="450"/>
      <c r="I512" s="450"/>
      <c r="J512" s="450"/>
      <c r="K512" s="450"/>
      <c r="L512" s="450"/>
      <c r="M512" s="450"/>
      <c r="N512" s="450"/>
      <c r="O512" s="450"/>
      <c r="P512" s="450"/>
      <c r="Q512" s="450"/>
      <c r="R512" s="450"/>
      <c r="S512" s="450"/>
      <c r="T512" s="450"/>
      <c r="U512" s="450"/>
      <c r="V512" s="450"/>
      <c r="W512" s="450"/>
      <c r="X512" s="450"/>
      <c r="Y512" s="450"/>
      <c r="Z512" s="450"/>
      <c r="AA512" s="450"/>
      <c r="AB512" s="450"/>
      <c r="AC512" s="450"/>
      <c r="AD512" s="450"/>
      <c r="AE512" s="450"/>
      <c r="AF512" s="450"/>
      <c r="AG512" s="450"/>
      <c r="AH512" s="450"/>
      <c r="AI512" s="450"/>
      <c r="AJ512" s="450"/>
      <c r="AK512" s="450"/>
      <c r="AL512" s="450"/>
      <c r="AM512" s="450"/>
      <c r="AN512" s="450"/>
      <c r="AO512" s="450"/>
      <c r="AP512" s="450"/>
      <c r="AQ512" s="450"/>
      <c r="AR512" s="450"/>
      <c r="AS512" s="450"/>
      <c r="AT512" s="450"/>
      <c r="AU512" s="450"/>
      <c r="AV512" s="450"/>
      <c r="AW512" s="450"/>
      <c r="AX512" s="450"/>
      <c r="AY512" s="450"/>
      <c r="AZ512" s="450"/>
      <c r="BA512" s="450"/>
      <c r="BB512" s="450"/>
      <c r="BC512" s="450"/>
      <c r="BD512" s="450"/>
      <c r="BE512" s="450"/>
      <c r="BF512" s="450"/>
      <c r="BG512" s="450"/>
      <c r="BH512" s="450"/>
      <c r="BI512" s="450"/>
      <c r="BJ512" s="450"/>
      <c r="BK512" s="450"/>
      <c r="BL512" s="450"/>
      <c r="BM512" s="450"/>
      <c r="BN512" s="450"/>
      <c r="BO512" s="450"/>
      <c r="BP512" s="450"/>
      <c r="BQ512" s="450"/>
      <c r="BR512" s="450"/>
      <c r="BS512" s="450"/>
      <c r="BT512" s="450"/>
      <c r="BU512" s="450"/>
      <c r="BV512" s="450"/>
      <c r="BW512" s="450"/>
      <c r="BX512" s="450"/>
      <c r="BY512" s="450"/>
      <c r="BZ512" s="450"/>
      <c r="CA512" s="450"/>
      <c r="CB512" s="450"/>
      <c r="CC512" s="450"/>
      <c r="CD512" s="450"/>
      <c r="CE512" s="450"/>
      <c r="CF512" s="450"/>
      <c r="CG512" s="450"/>
      <c r="CH512" s="450"/>
    </row>
    <row r="513">
      <c r="A513" s="450"/>
      <c r="B513" s="498"/>
      <c r="C513" s="455"/>
      <c r="D513" s="450"/>
      <c r="E513" s="450"/>
      <c r="F513" s="450"/>
      <c r="G513" s="450"/>
      <c r="H513" s="450"/>
      <c r="I513" s="450"/>
      <c r="J513" s="450"/>
      <c r="K513" s="450"/>
      <c r="L513" s="450"/>
      <c r="M513" s="450"/>
      <c r="N513" s="450"/>
      <c r="O513" s="450"/>
      <c r="P513" s="450"/>
      <c r="Q513" s="450"/>
      <c r="R513" s="450"/>
      <c r="S513" s="450"/>
      <c r="T513" s="450"/>
      <c r="U513" s="450"/>
      <c r="V513" s="450"/>
      <c r="W513" s="450"/>
      <c r="X513" s="450"/>
      <c r="Y513" s="450"/>
      <c r="Z513" s="450"/>
      <c r="AA513" s="450"/>
      <c r="AB513" s="450"/>
      <c r="AC513" s="450"/>
      <c r="AD513" s="450"/>
      <c r="AE513" s="450"/>
      <c r="AF513" s="450"/>
      <c r="AG513" s="450"/>
      <c r="AH513" s="450"/>
      <c r="AI513" s="450"/>
      <c r="AJ513" s="450"/>
      <c r="AK513" s="450"/>
      <c r="AL513" s="450"/>
      <c r="AM513" s="450"/>
      <c r="AN513" s="450"/>
      <c r="AO513" s="450"/>
      <c r="AP513" s="450"/>
      <c r="AQ513" s="450"/>
      <c r="AR513" s="450"/>
      <c r="AS513" s="450"/>
      <c r="AT513" s="450"/>
      <c r="AU513" s="450"/>
      <c r="AV513" s="450"/>
      <c r="AW513" s="450"/>
      <c r="AX513" s="450"/>
      <c r="AY513" s="450"/>
      <c r="AZ513" s="450"/>
      <c r="BA513" s="450"/>
      <c r="BB513" s="450"/>
      <c r="BC513" s="450"/>
      <c r="BD513" s="450"/>
      <c r="BE513" s="450"/>
      <c r="BF513" s="450"/>
      <c r="BG513" s="450"/>
      <c r="BH513" s="450"/>
      <c r="BI513" s="450"/>
      <c r="BJ513" s="450"/>
      <c r="BK513" s="450"/>
      <c r="BL513" s="450"/>
      <c r="BM513" s="450"/>
      <c r="BN513" s="450"/>
      <c r="BO513" s="450"/>
      <c r="BP513" s="450"/>
      <c r="BQ513" s="450"/>
      <c r="BR513" s="450"/>
      <c r="BS513" s="450"/>
      <c r="BT513" s="450"/>
      <c r="BU513" s="450"/>
      <c r="BV513" s="450"/>
      <c r="BW513" s="450"/>
      <c r="BX513" s="450"/>
      <c r="BY513" s="450"/>
      <c r="BZ513" s="450"/>
      <c r="CA513" s="450"/>
      <c r="CB513" s="450"/>
      <c r="CC513" s="450"/>
      <c r="CD513" s="450"/>
      <c r="CE513" s="450"/>
      <c r="CF513" s="450"/>
      <c r="CG513" s="450"/>
      <c r="CH513" s="450"/>
    </row>
    <row r="514">
      <c r="A514" s="450"/>
      <c r="B514" s="498"/>
      <c r="C514" s="455"/>
      <c r="D514" s="450"/>
      <c r="E514" s="450"/>
      <c r="F514" s="450"/>
      <c r="G514" s="450"/>
      <c r="H514" s="450"/>
      <c r="I514" s="450"/>
      <c r="J514" s="450"/>
      <c r="K514" s="450"/>
      <c r="L514" s="450"/>
      <c r="M514" s="450"/>
      <c r="N514" s="450"/>
      <c r="O514" s="450"/>
      <c r="P514" s="450"/>
      <c r="Q514" s="450"/>
      <c r="R514" s="450"/>
      <c r="S514" s="450"/>
      <c r="T514" s="450"/>
      <c r="U514" s="450"/>
      <c r="V514" s="450"/>
      <c r="W514" s="450"/>
      <c r="X514" s="450"/>
      <c r="Y514" s="450"/>
      <c r="Z514" s="450"/>
      <c r="AA514" s="450"/>
      <c r="AB514" s="450"/>
      <c r="AC514" s="450"/>
      <c r="AD514" s="450"/>
      <c r="AE514" s="450"/>
      <c r="AF514" s="450"/>
      <c r="AG514" s="450"/>
      <c r="AH514" s="450"/>
      <c r="AI514" s="450"/>
      <c r="AJ514" s="450"/>
      <c r="AK514" s="450"/>
      <c r="AL514" s="450"/>
      <c r="AM514" s="450"/>
      <c r="AN514" s="450"/>
      <c r="AO514" s="450"/>
      <c r="AP514" s="450"/>
      <c r="AQ514" s="450"/>
      <c r="AR514" s="450"/>
      <c r="AS514" s="450"/>
      <c r="AT514" s="450"/>
      <c r="AU514" s="450"/>
      <c r="AV514" s="450"/>
      <c r="AW514" s="450"/>
      <c r="AX514" s="450"/>
      <c r="AY514" s="450"/>
      <c r="AZ514" s="450"/>
      <c r="BA514" s="450"/>
      <c r="BB514" s="450"/>
      <c r="BC514" s="450"/>
      <c r="BD514" s="450"/>
      <c r="BE514" s="450"/>
      <c r="BF514" s="450"/>
      <c r="BG514" s="450"/>
      <c r="BH514" s="450"/>
      <c r="BI514" s="450"/>
      <c r="BJ514" s="450"/>
      <c r="BK514" s="450"/>
      <c r="BL514" s="450"/>
      <c r="BM514" s="450"/>
      <c r="BN514" s="450"/>
      <c r="BO514" s="450"/>
      <c r="BP514" s="450"/>
      <c r="BQ514" s="450"/>
      <c r="BR514" s="450"/>
      <c r="BS514" s="450"/>
      <c r="BT514" s="450"/>
      <c r="BU514" s="450"/>
      <c r="BV514" s="450"/>
      <c r="BW514" s="450"/>
      <c r="BX514" s="450"/>
      <c r="BY514" s="450"/>
      <c r="BZ514" s="450"/>
      <c r="CA514" s="450"/>
      <c r="CB514" s="450"/>
      <c r="CC514" s="450"/>
      <c r="CD514" s="450"/>
      <c r="CE514" s="450"/>
      <c r="CF514" s="450"/>
      <c r="CG514" s="450"/>
      <c r="CH514" s="450"/>
    </row>
    <row r="515">
      <c r="A515" s="450"/>
      <c r="B515" s="498"/>
      <c r="C515" s="455"/>
      <c r="D515" s="450"/>
      <c r="E515" s="450"/>
      <c r="F515" s="450"/>
      <c r="G515" s="450"/>
      <c r="H515" s="450"/>
      <c r="I515" s="450"/>
      <c r="J515" s="450"/>
      <c r="K515" s="450"/>
      <c r="L515" s="450"/>
      <c r="M515" s="450"/>
      <c r="N515" s="450"/>
      <c r="O515" s="450"/>
      <c r="P515" s="450"/>
      <c r="Q515" s="450"/>
      <c r="R515" s="450"/>
      <c r="S515" s="450"/>
      <c r="T515" s="450"/>
      <c r="U515" s="450"/>
      <c r="V515" s="450"/>
      <c r="W515" s="450"/>
      <c r="X515" s="450"/>
      <c r="Y515" s="450"/>
      <c r="Z515" s="450"/>
      <c r="AA515" s="450"/>
      <c r="AB515" s="450"/>
      <c r="AC515" s="450"/>
      <c r="AD515" s="450"/>
      <c r="AE515" s="450"/>
      <c r="AF515" s="450"/>
      <c r="AG515" s="450"/>
      <c r="AH515" s="450"/>
      <c r="AI515" s="450"/>
      <c r="AJ515" s="450"/>
      <c r="AK515" s="450"/>
      <c r="AL515" s="450"/>
      <c r="AM515" s="450"/>
      <c r="AN515" s="450"/>
      <c r="AO515" s="450"/>
      <c r="AP515" s="450"/>
      <c r="AQ515" s="450"/>
      <c r="AR515" s="450"/>
      <c r="AS515" s="450"/>
      <c r="AT515" s="450"/>
      <c r="AU515" s="450"/>
      <c r="AV515" s="450"/>
      <c r="AW515" s="450"/>
      <c r="AX515" s="450"/>
      <c r="AY515" s="450"/>
      <c r="AZ515" s="450"/>
      <c r="BA515" s="450"/>
      <c r="BB515" s="450"/>
      <c r="BC515" s="450"/>
      <c r="BD515" s="450"/>
      <c r="BE515" s="450"/>
      <c r="BF515" s="450"/>
      <c r="BG515" s="450"/>
      <c r="BH515" s="450"/>
      <c r="BI515" s="450"/>
      <c r="BJ515" s="450"/>
      <c r="BK515" s="450"/>
      <c r="BL515" s="450"/>
      <c r="BM515" s="450"/>
      <c r="BN515" s="450"/>
      <c r="BO515" s="450"/>
      <c r="BP515" s="450"/>
      <c r="BQ515" s="450"/>
      <c r="BR515" s="450"/>
      <c r="BS515" s="450"/>
      <c r="BT515" s="450"/>
      <c r="BU515" s="450"/>
      <c r="BV515" s="450"/>
      <c r="BW515" s="450"/>
      <c r="BX515" s="450"/>
      <c r="BY515" s="450"/>
      <c r="BZ515" s="450"/>
      <c r="CA515" s="450"/>
      <c r="CB515" s="450"/>
      <c r="CC515" s="450"/>
      <c r="CD515" s="450"/>
      <c r="CE515" s="450"/>
      <c r="CF515" s="450"/>
      <c r="CG515" s="450"/>
      <c r="CH515" s="450"/>
    </row>
    <row r="516">
      <c r="A516" s="450"/>
      <c r="B516" s="498"/>
      <c r="C516" s="455"/>
      <c r="D516" s="450"/>
      <c r="E516" s="450"/>
      <c r="F516" s="450"/>
      <c r="G516" s="450"/>
      <c r="H516" s="450"/>
      <c r="I516" s="450"/>
      <c r="J516" s="450"/>
      <c r="K516" s="450"/>
      <c r="L516" s="450"/>
      <c r="M516" s="450"/>
      <c r="N516" s="450"/>
      <c r="O516" s="450"/>
      <c r="P516" s="450"/>
      <c r="Q516" s="450"/>
      <c r="R516" s="450"/>
      <c r="S516" s="450"/>
      <c r="T516" s="450"/>
      <c r="U516" s="450"/>
      <c r="V516" s="450"/>
      <c r="W516" s="450"/>
      <c r="X516" s="450"/>
      <c r="Y516" s="450"/>
      <c r="Z516" s="450"/>
      <c r="AA516" s="450"/>
      <c r="AB516" s="450"/>
      <c r="AC516" s="450"/>
      <c r="AD516" s="450"/>
      <c r="AE516" s="450"/>
      <c r="AF516" s="450"/>
      <c r="AG516" s="450"/>
      <c r="AH516" s="450"/>
      <c r="AI516" s="450"/>
      <c r="AJ516" s="450"/>
      <c r="AK516" s="450"/>
      <c r="AL516" s="450"/>
      <c r="AM516" s="450"/>
      <c r="AN516" s="450"/>
      <c r="AO516" s="450"/>
      <c r="AP516" s="450"/>
      <c r="AQ516" s="450"/>
      <c r="AR516" s="450"/>
      <c r="AS516" s="450"/>
      <c r="AT516" s="450"/>
      <c r="AU516" s="450"/>
      <c r="AV516" s="450"/>
      <c r="AW516" s="450"/>
      <c r="AX516" s="450"/>
      <c r="AY516" s="450"/>
      <c r="AZ516" s="450"/>
      <c r="BA516" s="450"/>
      <c r="BB516" s="450"/>
      <c r="BC516" s="450"/>
      <c r="BD516" s="450"/>
      <c r="BE516" s="450"/>
      <c r="BF516" s="450"/>
      <c r="BG516" s="450"/>
      <c r="BH516" s="450"/>
      <c r="BI516" s="450"/>
      <c r="BJ516" s="450"/>
      <c r="BK516" s="450"/>
      <c r="BL516" s="450"/>
      <c r="BM516" s="450"/>
      <c r="BN516" s="450"/>
      <c r="BO516" s="450"/>
      <c r="BP516" s="450"/>
      <c r="BQ516" s="450"/>
      <c r="BR516" s="450"/>
      <c r="BS516" s="450"/>
      <c r="BT516" s="450"/>
      <c r="BU516" s="450"/>
      <c r="BV516" s="450"/>
      <c r="BW516" s="450"/>
      <c r="BX516" s="450"/>
      <c r="BY516" s="450"/>
      <c r="BZ516" s="450"/>
      <c r="CA516" s="450"/>
      <c r="CB516" s="450"/>
      <c r="CC516" s="450"/>
      <c r="CD516" s="450"/>
      <c r="CE516" s="450"/>
      <c r="CF516" s="450"/>
      <c r="CG516" s="450"/>
      <c r="CH516" s="450"/>
    </row>
    <row r="517">
      <c r="A517" s="450"/>
      <c r="B517" s="498"/>
      <c r="C517" s="455"/>
      <c r="D517" s="450"/>
      <c r="E517" s="450"/>
      <c r="F517" s="450"/>
      <c r="G517" s="450"/>
      <c r="H517" s="450"/>
      <c r="I517" s="450"/>
      <c r="J517" s="450"/>
      <c r="K517" s="450"/>
      <c r="L517" s="450"/>
      <c r="M517" s="450"/>
      <c r="N517" s="450"/>
      <c r="O517" s="450"/>
      <c r="P517" s="450"/>
      <c r="Q517" s="450"/>
      <c r="R517" s="450"/>
      <c r="S517" s="450"/>
      <c r="T517" s="450"/>
      <c r="U517" s="450"/>
      <c r="V517" s="450"/>
      <c r="W517" s="450"/>
      <c r="X517" s="450"/>
      <c r="Y517" s="450"/>
      <c r="Z517" s="450"/>
      <c r="AA517" s="450"/>
      <c r="AB517" s="450"/>
      <c r="AC517" s="450"/>
      <c r="AD517" s="450"/>
      <c r="AE517" s="450"/>
      <c r="AF517" s="450"/>
      <c r="AG517" s="450"/>
      <c r="AH517" s="450"/>
      <c r="AI517" s="450"/>
      <c r="AJ517" s="450"/>
      <c r="AK517" s="450"/>
      <c r="AL517" s="450"/>
      <c r="AM517" s="450"/>
      <c r="AN517" s="450"/>
      <c r="AO517" s="450"/>
      <c r="AP517" s="450"/>
      <c r="AQ517" s="450"/>
      <c r="AR517" s="450"/>
      <c r="AS517" s="450"/>
      <c r="AT517" s="450"/>
      <c r="AU517" s="450"/>
      <c r="AV517" s="450"/>
      <c r="AW517" s="450"/>
      <c r="AX517" s="450"/>
      <c r="AY517" s="450"/>
      <c r="AZ517" s="450"/>
      <c r="BA517" s="450"/>
      <c r="BB517" s="450"/>
      <c r="BC517" s="450"/>
      <c r="BD517" s="450"/>
      <c r="BE517" s="450"/>
      <c r="BF517" s="450"/>
      <c r="BG517" s="450"/>
      <c r="BH517" s="450"/>
      <c r="BI517" s="450"/>
      <c r="BJ517" s="450"/>
      <c r="BK517" s="450"/>
      <c r="BL517" s="450"/>
      <c r="BM517" s="450"/>
      <c r="BN517" s="450"/>
      <c r="BO517" s="450"/>
      <c r="BP517" s="450"/>
      <c r="BQ517" s="450"/>
      <c r="BR517" s="450"/>
      <c r="BS517" s="450"/>
      <c r="BT517" s="450"/>
      <c r="BU517" s="450"/>
      <c r="BV517" s="450"/>
      <c r="BW517" s="450"/>
      <c r="BX517" s="450"/>
      <c r="BY517" s="450"/>
      <c r="BZ517" s="450"/>
      <c r="CA517" s="450"/>
      <c r="CB517" s="450"/>
      <c r="CC517" s="450"/>
      <c r="CD517" s="450"/>
      <c r="CE517" s="450"/>
      <c r="CF517" s="450"/>
      <c r="CG517" s="450"/>
      <c r="CH517" s="450"/>
    </row>
    <row r="518">
      <c r="A518" s="450"/>
      <c r="B518" s="498"/>
      <c r="C518" s="455"/>
      <c r="D518" s="450"/>
      <c r="E518" s="450"/>
      <c r="F518" s="450"/>
      <c r="G518" s="450"/>
      <c r="H518" s="450"/>
      <c r="I518" s="450"/>
      <c r="J518" s="450"/>
      <c r="K518" s="450"/>
      <c r="L518" s="450"/>
      <c r="M518" s="450"/>
      <c r="N518" s="450"/>
      <c r="O518" s="450"/>
      <c r="P518" s="450"/>
      <c r="Q518" s="450"/>
      <c r="R518" s="450"/>
      <c r="S518" s="450"/>
      <c r="T518" s="450"/>
      <c r="U518" s="450"/>
      <c r="V518" s="450"/>
      <c r="W518" s="450"/>
      <c r="X518" s="450"/>
      <c r="Y518" s="450"/>
      <c r="Z518" s="450"/>
      <c r="AA518" s="450"/>
      <c r="AB518" s="450"/>
      <c r="AC518" s="450"/>
      <c r="AD518" s="450"/>
      <c r="AE518" s="450"/>
      <c r="AF518" s="450"/>
      <c r="AG518" s="450"/>
      <c r="AH518" s="450"/>
      <c r="AI518" s="450"/>
      <c r="AJ518" s="450"/>
      <c r="AK518" s="450"/>
      <c r="AL518" s="450"/>
      <c r="AM518" s="450"/>
      <c r="AN518" s="450"/>
      <c r="AO518" s="450"/>
      <c r="AP518" s="450"/>
      <c r="AQ518" s="450"/>
      <c r="AR518" s="450"/>
      <c r="AS518" s="450"/>
      <c r="AT518" s="450"/>
      <c r="AU518" s="450"/>
      <c r="AV518" s="450"/>
      <c r="AW518" s="450"/>
      <c r="AX518" s="450"/>
      <c r="AY518" s="450"/>
      <c r="AZ518" s="450"/>
      <c r="BA518" s="450"/>
      <c r="BB518" s="450"/>
      <c r="BC518" s="450"/>
      <c r="BD518" s="450"/>
      <c r="BE518" s="450"/>
      <c r="BF518" s="450"/>
      <c r="BG518" s="450"/>
      <c r="BH518" s="450"/>
      <c r="BI518" s="450"/>
      <c r="BJ518" s="450"/>
      <c r="BK518" s="450"/>
      <c r="BL518" s="450"/>
      <c r="BM518" s="450"/>
      <c r="BN518" s="450"/>
      <c r="BO518" s="450"/>
      <c r="BP518" s="450"/>
      <c r="BQ518" s="450"/>
      <c r="BR518" s="450"/>
      <c r="BS518" s="450"/>
      <c r="BT518" s="450"/>
      <c r="BU518" s="450"/>
      <c r="BV518" s="450"/>
      <c r="BW518" s="450"/>
      <c r="BX518" s="450"/>
      <c r="BY518" s="450"/>
      <c r="BZ518" s="450"/>
      <c r="CA518" s="450"/>
      <c r="CB518" s="450"/>
      <c r="CC518" s="450"/>
      <c r="CD518" s="450"/>
      <c r="CE518" s="450"/>
      <c r="CF518" s="450"/>
      <c r="CG518" s="450"/>
      <c r="CH518" s="450"/>
    </row>
    <row r="519">
      <c r="A519" s="450"/>
      <c r="B519" s="498"/>
      <c r="C519" s="455"/>
      <c r="D519" s="450"/>
      <c r="E519" s="450"/>
      <c r="F519" s="450"/>
      <c r="G519" s="450"/>
      <c r="H519" s="450"/>
      <c r="I519" s="450"/>
      <c r="J519" s="450"/>
      <c r="K519" s="450"/>
      <c r="L519" s="450"/>
      <c r="M519" s="450"/>
      <c r="N519" s="450"/>
      <c r="O519" s="450"/>
      <c r="P519" s="450"/>
      <c r="Q519" s="450"/>
      <c r="R519" s="450"/>
      <c r="S519" s="450"/>
      <c r="T519" s="450"/>
      <c r="U519" s="450"/>
      <c r="V519" s="450"/>
      <c r="W519" s="450"/>
      <c r="X519" s="450"/>
      <c r="Y519" s="450"/>
      <c r="Z519" s="450"/>
      <c r="AA519" s="450"/>
      <c r="AB519" s="450"/>
      <c r="AC519" s="450"/>
      <c r="AD519" s="450"/>
      <c r="AE519" s="450"/>
      <c r="AF519" s="450"/>
      <c r="AG519" s="450"/>
      <c r="AH519" s="450"/>
      <c r="AI519" s="450"/>
      <c r="AJ519" s="450"/>
      <c r="AK519" s="450"/>
      <c r="AL519" s="450"/>
      <c r="AM519" s="450"/>
      <c r="AN519" s="450"/>
      <c r="AO519" s="450"/>
      <c r="AP519" s="450"/>
      <c r="AQ519" s="450"/>
      <c r="AR519" s="450"/>
      <c r="AS519" s="450"/>
      <c r="AT519" s="450"/>
      <c r="AU519" s="450"/>
      <c r="AV519" s="450"/>
      <c r="AW519" s="450"/>
      <c r="AX519" s="450"/>
      <c r="AY519" s="450"/>
      <c r="AZ519" s="450"/>
      <c r="BA519" s="450"/>
      <c r="BB519" s="450"/>
      <c r="BC519" s="450"/>
      <c r="BD519" s="450"/>
      <c r="BE519" s="450"/>
      <c r="BF519" s="450"/>
      <c r="BG519" s="450"/>
      <c r="BH519" s="450"/>
      <c r="BI519" s="450"/>
      <c r="BJ519" s="450"/>
      <c r="BK519" s="450"/>
      <c r="BL519" s="450"/>
      <c r="BM519" s="450"/>
      <c r="BN519" s="450"/>
      <c r="BO519" s="450"/>
      <c r="BP519" s="450"/>
      <c r="BQ519" s="450"/>
      <c r="BR519" s="450"/>
      <c r="BS519" s="450"/>
      <c r="BT519" s="450"/>
      <c r="BU519" s="450"/>
      <c r="BV519" s="450"/>
      <c r="BW519" s="450"/>
      <c r="BX519" s="450"/>
      <c r="BY519" s="450"/>
      <c r="BZ519" s="450"/>
      <c r="CA519" s="450"/>
      <c r="CB519" s="450"/>
      <c r="CC519" s="450"/>
      <c r="CD519" s="450"/>
      <c r="CE519" s="450"/>
      <c r="CF519" s="450"/>
      <c r="CG519" s="450"/>
      <c r="CH519" s="450"/>
    </row>
    <row r="520">
      <c r="A520" s="450"/>
      <c r="B520" s="498"/>
      <c r="C520" s="455"/>
      <c r="D520" s="450"/>
      <c r="E520" s="450"/>
      <c r="F520" s="450"/>
      <c r="G520" s="450"/>
      <c r="H520" s="450"/>
      <c r="I520" s="450"/>
      <c r="J520" s="450"/>
      <c r="K520" s="450"/>
      <c r="L520" s="450"/>
      <c r="M520" s="450"/>
      <c r="N520" s="450"/>
      <c r="O520" s="450"/>
      <c r="P520" s="450"/>
      <c r="Q520" s="450"/>
      <c r="R520" s="450"/>
      <c r="S520" s="450"/>
      <c r="T520" s="450"/>
      <c r="U520" s="450"/>
      <c r="V520" s="450"/>
      <c r="W520" s="450"/>
      <c r="X520" s="450"/>
      <c r="Y520" s="450"/>
      <c r="Z520" s="450"/>
      <c r="AA520" s="450"/>
      <c r="AB520" s="450"/>
      <c r="AC520" s="450"/>
      <c r="AD520" s="450"/>
      <c r="AE520" s="450"/>
      <c r="AF520" s="450"/>
      <c r="AG520" s="450"/>
      <c r="AH520" s="450"/>
      <c r="AI520" s="450"/>
      <c r="AJ520" s="450"/>
      <c r="AK520" s="450"/>
      <c r="AL520" s="450"/>
      <c r="AM520" s="450"/>
      <c r="AN520" s="450"/>
      <c r="AO520" s="450"/>
      <c r="AP520" s="450"/>
      <c r="AQ520" s="450"/>
      <c r="AR520" s="450"/>
      <c r="AS520" s="450"/>
      <c r="AT520" s="450"/>
      <c r="AU520" s="450"/>
      <c r="AV520" s="450"/>
      <c r="AW520" s="450"/>
      <c r="AX520" s="450"/>
      <c r="AY520" s="450"/>
      <c r="AZ520" s="450"/>
      <c r="BA520" s="450"/>
      <c r="BB520" s="450"/>
      <c r="BC520" s="450"/>
      <c r="BD520" s="450"/>
      <c r="BE520" s="450"/>
      <c r="BF520" s="450"/>
      <c r="BG520" s="450"/>
      <c r="BH520" s="450"/>
      <c r="BI520" s="450"/>
      <c r="BJ520" s="450"/>
      <c r="BK520" s="450"/>
      <c r="BL520" s="450"/>
      <c r="BM520" s="450"/>
      <c r="BN520" s="450"/>
      <c r="BO520" s="450"/>
      <c r="BP520" s="450"/>
      <c r="BQ520" s="450"/>
      <c r="BR520" s="450"/>
      <c r="BS520" s="450"/>
      <c r="BT520" s="450"/>
      <c r="BU520" s="450"/>
      <c r="BV520" s="450"/>
      <c r="BW520" s="450"/>
      <c r="BX520" s="450"/>
      <c r="BY520" s="450"/>
      <c r="BZ520" s="450"/>
      <c r="CA520" s="450"/>
      <c r="CB520" s="450"/>
      <c r="CC520" s="450"/>
      <c r="CD520" s="450"/>
      <c r="CE520" s="450"/>
      <c r="CF520" s="450"/>
      <c r="CG520" s="450"/>
      <c r="CH520" s="450"/>
    </row>
    <row r="521">
      <c r="A521" s="450"/>
      <c r="B521" s="498"/>
      <c r="C521" s="455"/>
      <c r="D521" s="450"/>
      <c r="E521" s="450"/>
      <c r="F521" s="450"/>
      <c r="G521" s="450"/>
      <c r="H521" s="450"/>
      <c r="I521" s="450"/>
      <c r="J521" s="450"/>
      <c r="K521" s="450"/>
      <c r="L521" s="450"/>
      <c r="M521" s="450"/>
      <c r="N521" s="450"/>
      <c r="O521" s="450"/>
      <c r="P521" s="450"/>
      <c r="Q521" s="450"/>
      <c r="R521" s="450"/>
      <c r="S521" s="450"/>
      <c r="T521" s="450"/>
      <c r="U521" s="450"/>
      <c r="V521" s="450"/>
      <c r="W521" s="450"/>
      <c r="X521" s="450"/>
      <c r="Y521" s="450"/>
      <c r="Z521" s="450"/>
      <c r="AA521" s="450"/>
      <c r="AB521" s="450"/>
      <c r="AC521" s="450"/>
      <c r="AD521" s="450"/>
      <c r="AE521" s="450"/>
      <c r="AF521" s="450"/>
      <c r="AG521" s="450"/>
      <c r="AH521" s="450"/>
      <c r="AI521" s="450"/>
      <c r="AJ521" s="450"/>
      <c r="AK521" s="450"/>
      <c r="AL521" s="450"/>
      <c r="AM521" s="450"/>
      <c r="AN521" s="450"/>
      <c r="AO521" s="450"/>
      <c r="AP521" s="450"/>
      <c r="AQ521" s="450"/>
      <c r="AR521" s="450"/>
      <c r="AS521" s="450"/>
      <c r="AT521" s="450"/>
      <c r="AU521" s="450"/>
      <c r="AV521" s="450"/>
      <c r="AW521" s="450"/>
      <c r="AX521" s="450"/>
      <c r="AY521" s="450"/>
      <c r="AZ521" s="450"/>
      <c r="BA521" s="450"/>
      <c r="BB521" s="450"/>
      <c r="BC521" s="450"/>
      <c r="BD521" s="450"/>
      <c r="BE521" s="450"/>
      <c r="BF521" s="450"/>
      <c r="BG521" s="450"/>
      <c r="BH521" s="450"/>
      <c r="BI521" s="450"/>
      <c r="BJ521" s="450"/>
      <c r="BK521" s="450"/>
      <c r="BL521" s="450"/>
      <c r="BM521" s="450"/>
      <c r="BN521" s="450"/>
      <c r="BO521" s="450"/>
      <c r="BP521" s="450"/>
      <c r="BQ521" s="450"/>
      <c r="BR521" s="450"/>
      <c r="BS521" s="450"/>
      <c r="BT521" s="450"/>
      <c r="BU521" s="450"/>
      <c r="BV521" s="450"/>
      <c r="BW521" s="450"/>
      <c r="BX521" s="450"/>
      <c r="BY521" s="450"/>
      <c r="BZ521" s="450"/>
      <c r="CA521" s="450"/>
      <c r="CB521" s="450"/>
      <c r="CC521" s="450"/>
      <c r="CD521" s="450"/>
      <c r="CE521" s="450"/>
      <c r="CF521" s="450"/>
      <c r="CG521" s="450"/>
      <c r="CH521" s="450"/>
    </row>
    <row r="522">
      <c r="A522" s="450"/>
      <c r="B522" s="498"/>
      <c r="C522" s="455"/>
      <c r="D522" s="450"/>
      <c r="E522" s="450"/>
      <c r="F522" s="450"/>
      <c r="G522" s="450"/>
      <c r="H522" s="450"/>
      <c r="I522" s="450"/>
      <c r="J522" s="450"/>
      <c r="K522" s="450"/>
      <c r="L522" s="450"/>
      <c r="M522" s="450"/>
      <c r="N522" s="450"/>
      <c r="O522" s="450"/>
      <c r="P522" s="450"/>
      <c r="Q522" s="450"/>
      <c r="R522" s="450"/>
      <c r="S522" s="450"/>
      <c r="T522" s="450"/>
      <c r="U522" s="450"/>
      <c r="V522" s="450"/>
      <c r="W522" s="450"/>
      <c r="X522" s="450"/>
      <c r="Y522" s="450"/>
      <c r="Z522" s="450"/>
      <c r="AA522" s="450"/>
      <c r="AB522" s="450"/>
      <c r="AC522" s="450"/>
      <c r="AD522" s="450"/>
      <c r="AE522" s="450"/>
      <c r="AF522" s="450"/>
      <c r="AG522" s="450"/>
      <c r="AH522" s="450"/>
      <c r="AI522" s="450"/>
      <c r="AJ522" s="450"/>
      <c r="AK522" s="450"/>
      <c r="AL522" s="450"/>
      <c r="AM522" s="450"/>
      <c r="AN522" s="450"/>
      <c r="AO522" s="450"/>
      <c r="AP522" s="450"/>
      <c r="AQ522" s="450"/>
      <c r="AR522" s="450"/>
      <c r="AS522" s="450"/>
      <c r="AT522" s="450"/>
      <c r="AU522" s="450"/>
      <c r="AV522" s="450"/>
      <c r="AW522" s="450"/>
      <c r="AX522" s="450"/>
      <c r="AY522" s="450"/>
      <c r="AZ522" s="450"/>
      <c r="BA522" s="450"/>
      <c r="BB522" s="450"/>
      <c r="BC522" s="450"/>
      <c r="BD522" s="450"/>
      <c r="BE522" s="450"/>
      <c r="BF522" s="450"/>
      <c r="BG522" s="450"/>
      <c r="BH522" s="450"/>
      <c r="BI522" s="450"/>
      <c r="BJ522" s="450"/>
      <c r="BK522" s="450"/>
      <c r="BL522" s="450"/>
      <c r="BM522" s="450"/>
      <c r="BN522" s="450"/>
      <c r="BO522" s="450"/>
      <c r="BP522" s="450"/>
      <c r="BQ522" s="450"/>
      <c r="BR522" s="450"/>
      <c r="BS522" s="450"/>
      <c r="BT522" s="450"/>
      <c r="BU522" s="450"/>
      <c r="BV522" s="450"/>
      <c r="BW522" s="450"/>
      <c r="BX522" s="450"/>
      <c r="BY522" s="450"/>
      <c r="BZ522" s="450"/>
      <c r="CA522" s="450"/>
      <c r="CB522" s="450"/>
      <c r="CC522" s="450"/>
      <c r="CD522" s="450"/>
      <c r="CE522" s="450"/>
      <c r="CF522" s="450"/>
      <c r="CG522" s="450"/>
      <c r="CH522" s="450"/>
    </row>
    <row r="523">
      <c r="A523" s="450"/>
      <c r="B523" s="498"/>
      <c r="C523" s="455"/>
      <c r="D523" s="450"/>
      <c r="E523" s="450"/>
      <c r="F523" s="450"/>
      <c r="G523" s="450"/>
      <c r="H523" s="450"/>
      <c r="I523" s="450"/>
      <c r="J523" s="450"/>
      <c r="K523" s="450"/>
      <c r="L523" s="450"/>
      <c r="M523" s="450"/>
      <c r="N523" s="450"/>
      <c r="O523" s="450"/>
      <c r="P523" s="450"/>
      <c r="Q523" s="450"/>
      <c r="R523" s="450"/>
      <c r="S523" s="450"/>
      <c r="T523" s="450"/>
      <c r="U523" s="450"/>
      <c r="V523" s="450"/>
      <c r="W523" s="450"/>
      <c r="X523" s="450"/>
      <c r="Y523" s="450"/>
      <c r="Z523" s="450"/>
      <c r="AA523" s="450"/>
      <c r="AB523" s="450"/>
      <c r="AC523" s="450"/>
      <c r="AD523" s="450"/>
      <c r="AE523" s="450"/>
      <c r="AF523" s="450"/>
      <c r="AG523" s="450"/>
      <c r="AH523" s="450"/>
      <c r="AI523" s="450"/>
      <c r="AJ523" s="450"/>
      <c r="AK523" s="450"/>
      <c r="AL523" s="450"/>
      <c r="AM523" s="450"/>
      <c r="AN523" s="450"/>
      <c r="AO523" s="450"/>
      <c r="AP523" s="450"/>
      <c r="AQ523" s="450"/>
      <c r="AR523" s="450"/>
      <c r="AS523" s="450"/>
      <c r="AT523" s="450"/>
      <c r="AU523" s="450"/>
      <c r="AV523" s="450"/>
      <c r="AW523" s="450"/>
      <c r="AX523" s="450"/>
      <c r="AY523" s="450"/>
      <c r="AZ523" s="450"/>
      <c r="BA523" s="450"/>
      <c r="BB523" s="450"/>
      <c r="BC523" s="450"/>
      <c r="BD523" s="450"/>
      <c r="BE523" s="450"/>
      <c r="BF523" s="450"/>
      <c r="BG523" s="450"/>
      <c r="BH523" s="450"/>
      <c r="BI523" s="450"/>
      <c r="BJ523" s="450"/>
      <c r="BK523" s="450"/>
      <c r="BL523" s="450"/>
      <c r="BM523" s="450"/>
      <c r="BN523" s="450"/>
      <c r="BO523" s="450"/>
      <c r="BP523" s="450"/>
      <c r="BQ523" s="450"/>
      <c r="BR523" s="450"/>
      <c r="BS523" s="450"/>
      <c r="BT523" s="450"/>
      <c r="BU523" s="450"/>
      <c r="BV523" s="450"/>
      <c r="BW523" s="450"/>
      <c r="BX523" s="450"/>
      <c r="BY523" s="450"/>
      <c r="BZ523" s="450"/>
      <c r="CA523" s="450"/>
      <c r="CB523" s="450"/>
      <c r="CC523" s="450"/>
      <c r="CD523" s="450"/>
      <c r="CE523" s="450"/>
      <c r="CF523" s="450"/>
      <c r="CG523" s="450"/>
      <c r="CH523" s="450"/>
    </row>
    <row r="524">
      <c r="A524" s="450"/>
      <c r="B524" s="498"/>
      <c r="C524" s="455"/>
      <c r="D524" s="450"/>
      <c r="E524" s="450"/>
      <c r="F524" s="450"/>
      <c r="G524" s="450"/>
      <c r="H524" s="450"/>
      <c r="I524" s="450"/>
      <c r="J524" s="450"/>
      <c r="K524" s="450"/>
      <c r="L524" s="450"/>
      <c r="M524" s="450"/>
      <c r="N524" s="450"/>
      <c r="O524" s="450"/>
      <c r="P524" s="450"/>
      <c r="Q524" s="450"/>
      <c r="R524" s="450"/>
      <c r="S524" s="450"/>
      <c r="T524" s="450"/>
      <c r="U524" s="450"/>
      <c r="V524" s="450"/>
      <c r="W524" s="450"/>
      <c r="X524" s="450"/>
      <c r="Y524" s="450"/>
      <c r="Z524" s="450"/>
      <c r="AA524" s="450"/>
      <c r="AB524" s="450"/>
      <c r="AC524" s="450"/>
      <c r="AD524" s="450"/>
      <c r="AE524" s="450"/>
      <c r="AF524" s="450"/>
      <c r="AG524" s="450"/>
      <c r="AH524" s="450"/>
      <c r="AI524" s="450"/>
      <c r="AJ524" s="450"/>
      <c r="AK524" s="450"/>
      <c r="AL524" s="450"/>
      <c r="AM524" s="450"/>
      <c r="AN524" s="450"/>
      <c r="AO524" s="450"/>
      <c r="AP524" s="450"/>
      <c r="AQ524" s="450"/>
      <c r="AR524" s="450"/>
      <c r="AS524" s="450"/>
      <c r="AT524" s="450"/>
      <c r="AU524" s="450"/>
      <c r="AV524" s="450"/>
      <c r="AW524" s="450"/>
      <c r="AX524" s="450"/>
      <c r="AY524" s="450"/>
      <c r="AZ524" s="450"/>
      <c r="BA524" s="450"/>
      <c r="BB524" s="450"/>
      <c r="BC524" s="450"/>
      <c r="BD524" s="450"/>
      <c r="BE524" s="450"/>
      <c r="BF524" s="450"/>
      <c r="BG524" s="450"/>
      <c r="BH524" s="450"/>
      <c r="BI524" s="450"/>
      <c r="BJ524" s="450"/>
      <c r="BK524" s="450"/>
      <c r="BL524" s="450"/>
      <c r="BM524" s="450"/>
      <c r="BN524" s="450"/>
      <c r="BO524" s="450"/>
      <c r="BP524" s="450"/>
      <c r="BQ524" s="450"/>
      <c r="BR524" s="450"/>
      <c r="BS524" s="450"/>
      <c r="BT524" s="450"/>
      <c r="BU524" s="450"/>
      <c r="BV524" s="450"/>
      <c r="BW524" s="450"/>
      <c r="BX524" s="450"/>
      <c r="BY524" s="450"/>
      <c r="BZ524" s="450"/>
      <c r="CA524" s="450"/>
      <c r="CB524" s="450"/>
      <c r="CC524" s="450"/>
      <c r="CD524" s="450"/>
      <c r="CE524" s="450"/>
      <c r="CF524" s="450"/>
      <c r="CG524" s="450"/>
      <c r="CH524" s="450"/>
    </row>
    <row r="525">
      <c r="A525" s="450"/>
      <c r="B525" s="498"/>
      <c r="C525" s="455"/>
      <c r="D525" s="450"/>
      <c r="E525" s="450"/>
      <c r="F525" s="450"/>
      <c r="G525" s="450"/>
      <c r="H525" s="450"/>
      <c r="I525" s="450"/>
      <c r="J525" s="450"/>
      <c r="K525" s="450"/>
      <c r="L525" s="450"/>
      <c r="M525" s="450"/>
      <c r="N525" s="450"/>
      <c r="O525" s="450"/>
      <c r="P525" s="450"/>
      <c r="Q525" s="450"/>
      <c r="R525" s="450"/>
      <c r="S525" s="450"/>
      <c r="T525" s="450"/>
      <c r="U525" s="450"/>
      <c r="V525" s="450"/>
      <c r="W525" s="450"/>
      <c r="X525" s="450"/>
      <c r="Y525" s="450"/>
      <c r="Z525" s="450"/>
      <c r="AA525" s="450"/>
      <c r="AB525" s="450"/>
      <c r="AC525" s="450"/>
      <c r="AD525" s="450"/>
      <c r="AE525" s="450"/>
      <c r="AF525" s="450"/>
      <c r="AG525" s="450"/>
      <c r="AH525" s="450"/>
      <c r="AI525" s="450"/>
      <c r="AJ525" s="450"/>
      <c r="AK525" s="450"/>
      <c r="AL525" s="450"/>
      <c r="AM525" s="450"/>
      <c r="AN525" s="450"/>
      <c r="AO525" s="450"/>
      <c r="AP525" s="450"/>
      <c r="AQ525" s="450"/>
      <c r="AR525" s="450"/>
      <c r="AS525" s="450"/>
      <c r="AT525" s="450"/>
      <c r="AU525" s="450"/>
      <c r="AV525" s="450"/>
      <c r="AW525" s="450"/>
      <c r="AX525" s="450"/>
      <c r="AY525" s="450"/>
      <c r="AZ525" s="450"/>
      <c r="BA525" s="450"/>
      <c r="BB525" s="450"/>
      <c r="BC525" s="450"/>
      <c r="BD525" s="450"/>
      <c r="BE525" s="450"/>
      <c r="BF525" s="450"/>
      <c r="BG525" s="450"/>
      <c r="BH525" s="450"/>
      <c r="BI525" s="450"/>
      <c r="BJ525" s="450"/>
      <c r="BK525" s="450"/>
      <c r="BL525" s="450"/>
      <c r="BM525" s="450"/>
      <c r="BN525" s="450"/>
      <c r="BO525" s="450"/>
      <c r="BP525" s="450"/>
      <c r="BQ525" s="450"/>
      <c r="BR525" s="450"/>
      <c r="BS525" s="450"/>
      <c r="BT525" s="450"/>
      <c r="BU525" s="450"/>
      <c r="BV525" s="450"/>
      <c r="BW525" s="450"/>
      <c r="BX525" s="450"/>
      <c r="BY525" s="450"/>
      <c r="BZ525" s="450"/>
      <c r="CA525" s="450"/>
      <c r="CB525" s="450"/>
      <c r="CC525" s="450"/>
      <c r="CD525" s="450"/>
      <c r="CE525" s="450"/>
      <c r="CF525" s="450"/>
      <c r="CG525" s="450"/>
      <c r="CH525" s="450"/>
    </row>
    <row r="526">
      <c r="A526" s="450"/>
      <c r="B526" s="498"/>
      <c r="C526" s="455"/>
      <c r="D526" s="450"/>
      <c r="E526" s="450"/>
      <c r="F526" s="450"/>
      <c r="G526" s="450"/>
      <c r="H526" s="450"/>
      <c r="I526" s="450"/>
      <c r="J526" s="450"/>
      <c r="K526" s="450"/>
      <c r="L526" s="450"/>
      <c r="M526" s="450"/>
      <c r="N526" s="450"/>
      <c r="O526" s="450"/>
      <c r="P526" s="450"/>
      <c r="Q526" s="450"/>
      <c r="R526" s="450"/>
      <c r="S526" s="450"/>
      <c r="T526" s="450"/>
      <c r="U526" s="450"/>
      <c r="V526" s="450"/>
      <c r="W526" s="450"/>
      <c r="X526" s="450"/>
      <c r="Y526" s="450"/>
      <c r="Z526" s="450"/>
      <c r="AA526" s="450"/>
      <c r="AB526" s="450"/>
      <c r="AC526" s="450"/>
      <c r="AD526" s="450"/>
      <c r="AE526" s="450"/>
      <c r="AF526" s="450"/>
      <c r="AG526" s="450"/>
      <c r="AH526" s="450"/>
      <c r="AI526" s="450"/>
      <c r="AJ526" s="450"/>
      <c r="AK526" s="450"/>
      <c r="AL526" s="450"/>
      <c r="AM526" s="450"/>
      <c r="AN526" s="450"/>
      <c r="AO526" s="450"/>
      <c r="AP526" s="450"/>
      <c r="AQ526" s="450"/>
      <c r="AR526" s="450"/>
      <c r="AS526" s="450"/>
      <c r="AT526" s="450"/>
      <c r="AU526" s="450"/>
      <c r="AV526" s="450"/>
      <c r="AW526" s="450"/>
      <c r="AX526" s="450"/>
      <c r="AY526" s="450"/>
      <c r="AZ526" s="450"/>
      <c r="BA526" s="450"/>
      <c r="BB526" s="450"/>
      <c r="BC526" s="450"/>
      <c r="BD526" s="450"/>
      <c r="BE526" s="450"/>
      <c r="BF526" s="450"/>
      <c r="BG526" s="450"/>
      <c r="BH526" s="450"/>
      <c r="BI526" s="450"/>
      <c r="BJ526" s="450"/>
      <c r="BK526" s="450"/>
      <c r="BL526" s="450"/>
      <c r="BM526" s="450"/>
      <c r="BN526" s="450"/>
      <c r="BO526" s="450"/>
      <c r="BP526" s="450"/>
      <c r="BQ526" s="450"/>
      <c r="BR526" s="450"/>
      <c r="BS526" s="450"/>
      <c r="BT526" s="450"/>
      <c r="BU526" s="450"/>
      <c r="BV526" s="450"/>
      <c r="BW526" s="450"/>
      <c r="BX526" s="450"/>
      <c r="BY526" s="450"/>
      <c r="BZ526" s="450"/>
      <c r="CA526" s="450"/>
      <c r="CB526" s="450"/>
      <c r="CC526" s="450"/>
      <c r="CD526" s="450"/>
      <c r="CE526" s="450"/>
      <c r="CF526" s="450"/>
      <c r="CG526" s="450"/>
      <c r="CH526" s="450"/>
    </row>
    <row r="527">
      <c r="A527" s="450"/>
      <c r="B527" s="498"/>
      <c r="C527" s="455"/>
      <c r="D527" s="450"/>
      <c r="E527" s="450"/>
      <c r="F527" s="450"/>
      <c r="G527" s="450"/>
      <c r="H527" s="450"/>
      <c r="I527" s="450"/>
      <c r="J527" s="450"/>
      <c r="K527" s="450"/>
      <c r="L527" s="450"/>
      <c r="M527" s="450"/>
      <c r="N527" s="450"/>
      <c r="O527" s="450"/>
      <c r="P527" s="450"/>
      <c r="Q527" s="450"/>
      <c r="R527" s="450"/>
      <c r="S527" s="450"/>
      <c r="T527" s="450"/>
      <c r="U527" s="450"/>
      <c r="V527" s="450"/>
      <c r="W527" s="450"/>
      <c r="X527" s="450"/>
      <c r="Y527" s="450"/>
      <c r="Z527" s="450"/>
      <c r="AA527" s="450"/>
      <c r="AB527" s="450"/>
      <c r="AC527" s="450"/>
      <c r="AD527" s="450"/>
      <c r="AE527" s="450"/>
      <c r="AF527" s="450"/>
      <c r="AG527" s="450"/>
      <c r="AH527" s="450"/>
      <c r="AI527" s="450"/>
      <c r="AJ527" s="450"/>
      <c r="AK527" s="450"/>
      <c r="AL527" s="450"/>
      <c r="AM527" s="450"/>
      <c r="AN527" s="450"/>
      <c r="AO527" s="450"/>
      <c r="AP527" s="450"/>
      <c r="AQ527" s="450"/>
      <c r="AR527" s="450"/>
      <c r="AS527" s="450"/>
      <c r="AT527" s="450"/>
      <c r="AU527" s="450"/>
      <c r="AV527" s="450"/>
      <c r="AW527" s="450"/>
      <c r="AX527" s="450"/>
      <c r="AY527" s="450"/>
      <c r="AZ527" s="450"/>
      <c r="BA527" s="450"/>
      <c r="BB527" s="450"/>
      <c r="BC527" s="450"/>
      <c r="BD527" s="450"/>
      <c r="BE527" s="450"/>
      <c r="BF527" s="450"/>
      <c r="BG527" s="450"/>
      <c r="BH527" s="450"/>
      <c r="BI527" s="450"/>
      <c r="BJ527" s="450"/>
      <c r="BK527" s="450"/>
      <c r="BL527" s="450"/>
      <c r="BM527" s="450"/>
      <c r="BN527" s="450"/>
      <c r="BO527" s="450"/>
      <c r="BP527" s="450"/>
      <c r="BQ527" s="450"/>
      <c r="BR527" s="450"/>
      <c r="BS527" s="450"/>
      <c r="BT527" s="450"/>
      <c r="BU527" s="450"/>
      <c r="BV527" s="450"/>
      <c r="BW527" s="450"/>
      <c r="BX527" s="450"/>
      <c r="BY527" s="450"/>
      <c r="BZ527" s="450"/>
      <c r="CA527" s="450"/>
      <c r="CB527" s="450"/>
      <c r="CC527" s="450"/>
      <c r="CD527" s="450"/>
      <c r="CE527" s="450"/>
      <c r="CF527" s="450"/>
      <c r="CG527" s="450"/>
      <c r="CH527" s="450"/>
    </row>
    <row r="528">
      <c r="A528" s="450"/>
      <c r="B528" s="498"/>
      <c r="C528" s="455"/>
      <c r="D528" s="450"/>
      <c r="E528" s="450"/>
      <c r="F528" s="450"/>
      <c r="G528" s="450"/>
      <c r="H528" s="450"/>
      <c r="I528" s="450"/>
      <c r="J528" s="450"/>
      <c r="K528" s="450"/>
      <c r="L528" s="450"/>
      <c r="M528" s="450"/>
      <c r="N528" s="450"/>
      <c r="O528" s="450"/>
      <c r="P528" s="450"/>
      <c r="Q528" s="450"/>
      <c r="R528" s="450"/>
      <c r="S528" s="450"/>
      <c r="T528" s="450"/>
      <c r="U528" s="450"/>
      <c r="V528" s="450"/>
      <c r="W528" s="450"/>
      <c r="X528" s="450"/>
      <c r="Y528" s="450"/>
      <c r="Z528" s="450"/>
      <c r="AA528" s="450"/>
      <c r="AB528" s="450"/>
      <c r="AC528" s="450"/>
      <c r="AD528" s="450"/>
      <c r="AE528" s="450"/>
      <c r="AF528" s="450"/>
      <c r="AG528" s="450"/>
      <c r="AH528" s="450"/>
      <c r="AI528" s="450"/>
      <c r="AJ528" s="450"/>
      <c r="AK528" s="450"/>
      <c r="AL528" s="450"/>
      <c r="AM528" s="450"/>
      <c r="AN528" s="450"/>
      <c r="AO528" s="450"/>
      <c r="AP528" s="450"/>
      <c r="AQ528" s="450"/>
      <c r="AR528" s="450"/>
      <c r="AS528" s="450"/>
      <c r="AT528" s="450"/>
      <c r="AU528" s="450"/>
      <c r="AV528" s="450"/>
      <c r="AW528" s="450"/>
      <c r="AX528" s="450"/>
      <c r="AY528" s="450"/>
      <c r="AZ528" s="450"/>
      <c r="BA528" s="450"/>
      <c r="BB528" s="450"/>
      <c r="BC528" s="450"/>
      <c r="BD528" s="450"/>
      <c r="BE528" s="450"/>
      <c r="BF528" s="450"/>
      <c r="BG528" s="450"/>
      <c r="BH528" s="450"/>
      <c r="BI528" s="450"/>
      <c r="BJ528" s="450"/>
      <c r="BK528" s="450"/>
      <c r="BL528" s="450"/>
      <c r="BM528" s="450"/>
      <c r="BN528" s="450"/>
      <c r="BO528" s="450"/>
      <c r="BP528" s="450"/>
      <c r="BQ528" s="450"/>
      <c r="BR528" s="450"/>
      <c r="BS528" s="450"/>
      <c r="BT528" s="450"/>
      <c r="BU528" s="450"/>
      <c r="BV528" s="450"/>
      <c r="BW528" s="450"/>
      <c r="BX528" s="450"/>
      <c r="BY528" s="450"/>
      <c r="BZ528" s="450"/>
      <c r="CA528" s="450"/>
      <c r="CB528" s="450"/>
      <c r="CC528" s="450"/>
      <c r="CD528" s="450"/>
      <c r="CE528" s="450"/>
      <c r="CF528" s="450"/>
      <c r="CG528" s="450"/>
      <c r="CH528" s="450"/>
    </row>
    <row r="529">
      <c r="A529" s="450"/>
      <c r="B529" s="498"/>
      <c r="C529" s="455"/>
      <c r="D529" s="450"/>
      <c r="E529" s="450"/>
      <c r="F529" s="450"/>
      <c r="G529" s="450"/>
      <c r="H529" s="450"/>
      <c r="I529" s="450"/>
      <c r="J529" s="450"/>
      <c r="K529" s="450"/>
      <c r="L529" s="450"/>
      <c r="M529" s="450"/>
      <c r="N529" s="450"/>
      <c r="O529" s="450"/>
      <c r="P529" s="450"/>
      <c r="Q529" s="450"/>
      <c r="R529" s="450"/>
      <c r="S529" s="450"/>
      <c r="T529" s="450"/>
      <c r="U529" s="450"/>
      <c r="V529" s="450"/>
      <c r="W529" s="450"/>
      <c r="X529" s="450"/>
      <c r="Y529" s="450"/>
      <c r="Z529" s="450"/>
      <c r="AA529" s="450"/>
      <c r="AB529" s="450"/>
      <c r="AC529" s="450"/>
      <c r="AD529" s="450"/>
      <c r="AE529" s="450"/>
      <c r="AF529" s="450"/>
      <c r="AG529" s="450"/>
      <c r="AH529" s="450"/>
      <c r="AI529" s="450"/>
      <c r="AJ529" s="450"/>
      <c r="AK529" s="450"/>
      <c r="AL529" s="450"/>
      <c r="AM529" s="450"/>
      <c r="AN529" s="450"/>
      <c r="AO529" s="450"/>
      <c r="AP529" s="450"/>
      <c r="AQ529" s="450"/>
      <c r="AR529" s="450"/>
      <c r="AS529" s="450"/>
      <c r="AT529" s="450"/>
      <c r="AU529" s="450"/>
      <c r="AV529" s="450"/>
      <c r="AW529" s="450"/>
      <c r="AX529" s="450"/>
      <c r="AY529" s="450"/>
      <c r="AZ529" s="450"/>
      <c r="BA529" s="450"/>
      <c r="BB529" s="450"/>
      <c r="BC529" s="450"/>
      <c r="BD529" s="450"/>
      <c r="BE529" s="450"/>
      <c r="BF529" s="450"/>
      <c r="BG529" s="450"/>
      <c r="BH529" s="450"/>
      <c r="BI529" s="450"/>
      <c r="BJ529" s="450"/>
      <c r="BK529" s="450"/>
      <c r="BL529" s="450"/>
      <c r="BM529" s="450"/>
      <c r="BN529" s="450"/>
      <c r="BO529" s="450"/>
      <c r="BP529" s="450"/>
      <c r="BQ529" s="450"/>
      <c r="BR529" s="450"/>
      <c r="BS529" s="450"/>
      <c r="BT529" s="450"/>
      <c r="BU529" s="450"/>
      <c r="BV529" s="450"/>
      <c r="BW529" s="450"/>
      <c r="BX529" s="450"/>
      <c r="BY529" s="450"/>
      <c r="BZ529" s="450"/>
      <c r="CA529" s="450"/>
      <c r="CB529" s="450"/>
      <c r="CC529" s="450"/>
      <c r="CD529" s="450"/>
      <c r="CE529" s="450"/>
      <c r="CF529" s="450"/>
      <c r="CG529" s="450"/>
      <c r="CH529" s="450"/>
    </row>
    <row r="530">
      <c r="A530" s="450"/>
      <c r="B530" s="498"/>
      <c r="C530" s="455"/>
      <c r="D530" s="450"/>
      <c r="E530" s="450"/>
      <c r="F530" s="450"/>
      <c r="G530" s="450"/>
      <c r="H530" s="450"/>
      <c r="I530" s="450"/>
      <c r="J530" s="450"/>
      <c r="K530" s="450"/>
      <c r="L530" s="450"/>
      <c r="M530" s="450"/>
      <c r="N530" s="450"/>
      <c r="O530" s="450"/>
      <c r="P530" s="450"/>
      <c r="Q530" s="450"/>
      <c r="R530" s="450"/>
      <c r="S530" s="450"/>
      <c r="T530" s="450"/>
      <c r="U530" s="450"/>
      <c r="V530" s="450"/>
      <c r="W530" s="450"/>
      <c r="X530" s="450"/>
      <c r="Y530" s="450"/>
      <c r="Z530" s="450"/>
      <c r="AA530" s="450"/>
      <c r="AB530" s="450"/>
      <c r="AC530" s="450"/>
      <c r="AD530" s="450"/>
      <c r="AE530" s="450"/>
      <c r="AF530" s="450"/>
      <c r="AG530" s="450"/>
      <c r="AH530" s="450"/>
      <c r="AI530" s="450"/>
      <c r="AJ530" s="450"/>
      <c r="AK530" s="450"/>
      <c r="AL530" s="450"/>
      <c r="AM530" s="450"/>
      <c r="AN530" s="450"/>
      <c r="AO530" s="450"/>
      <c r="AP530" s="450"/>
      <c r="AQ530" s="450"/>
      <c r="AR530" s="450"/>
      <c r="AS530" s="450"/>
      <c r="AT530" s="450"/>
      <c r="AU530" s="450"/>
      <c r="AV530" s="450"/>
      <c r="AW530" s="450"/>
      <c r="AX530" s="450"/>
      <c r="AY530" s="450"/>
      <c r="AZ530" s="450"/>
      <c r="BA530" s="450"/>
      <c r="BB530" s="450"/>
      <c r="BC530" s="450"/>
      <c r="BD530" s="450"/>
      <c r="BE530" s="450"/>
      <c r="BF530" s="450"/>
      <c r="BG530" s="450"/>
      <c r="BH530" s="450"/>
      <c r="BI530" s="450"/>
      <c r="BJ530" s="450"/>
      <c r="BK530" s="450"/>
      <c r="BL530" s="450"/>
      <c r="BM530" s="450"/>
      <c r="BN530" s="450"/>
      <c r="BO530" s="450"/>
      <c r="BP530" s="450"/>
      <c r="BQ530" s="450"/>
      <c r="BR530" s="450"/>
      <c r="BS530" s="450"/>
      <c r="BT530" s="450"/>
      <c r="BU530" s="450"/>
      <c r="BV530" s="450"/>
      <c r="BW530" s="450"/>
      <c r="BX530" s="450"/>
      <c r="BY530" s="450"/>
      <c r="BZ530" s="450"/>
      <c r="CA530" s="450"/>
      <c r="CB530" s="450"/>
      <c r="CC530" s="450"/>
      <c r="CD530" s="450"/>
      <c r="CE530" s="450"/>
      <c r="CF530" s="450"/>
      <c r="CG530" s="450"/>
      <c r="CH530" s="450"/>
    </row>
    <row r="531">
      <c r="A531" s="450"/>
      <c r="B531" s="498"/>
      <c r="C531" s="455"/>
      <c r="D531" s="450"/>
      <c r="E531" s="450"/>
      <c r="F531" s="450"/>
      <c r="G531" s="450"/>
      <c r="H531" s="450"/>
      <c r="I531" s="450"/>
      <c r="J531" s="450"/>
      <c r="K531" s="450"/>
      <c r="L531" s="450"/>
      <c r="M531" s="450"/>
      <c r="N531" s="450"/>
      <c r="O531" s="450"/>
      <c r="P531" s="450"/>
      <c r="Q531" s="450"/>
      <c r="R531" s="450"/>
      <c r="S531" s="450"/>
      <c r="T531" s="450"/>
      <c r="U531" s="450"/>
      <c r="V531" s="450"/>
      <c r="W531" s="450"/>
      <c r="X531" s="450"/>
      <c r="Y531" s="450"/>
      <c r="Z531" s="450"/>
      <c r="AA531" s="450"/>
      <c r="AB531" s="450"/>
      <c r="AC531" s="450"/>
      <c r="AD531" s="450"/>
      <c r="AE531" s="450"/>
      <c r="AF531" s="450"/>
      <c r="AG531" s="450"/>
      <c r="AH531" s="450"/>
      <c r="AI531" s="450"/>
      <c r="AJ531" s="450"/>
      <c r="AK531" s="450"/>
      <c r="AL531" s="450"/>
      <c r="AM531" s="450"/>
      <c r="AN531" s="450"/>
      <c r="AO531" s="450"/>
      <c r="AP531" s="450"/>
      <c r="AQ531" s="450"/>
      <c r="AR531" s="450"/>
      <c r="AS531" s="450"/>
      <c r="AT531" s="450"/>
      <c r="AU531" s="450"/>
      <c r="AV531" s="450"/>
      <c r="AW531" s="450"/>
      <c r="AX531" s="450"/>
      <c r="AY531" s="450"/>
      <c r="AZ531" s="450"/>
      <c r="BA531" s="450"/>
      <c r="BB531" s="450"/>
      <c r="BC531" s="450"/>
      <c r="BD531" s="450"/>
      <c r="BE531" s="450"/>
      <c r="BF531" s="450"/>
      <c r="BG531" s="450"/>
      <c r="BH531" s="450"/>
      <c r="BI531" s="450"/>
      <c r="BJ531" s="450"/>
      <c r="BK531" s="450"/>
      <c r="BL531" s="450"/>
      <c r="BM531" s="450"/>
      <c r="BN531" s="450"/>
      <c r="BO531" s="450"/>
      <c r="BP531" s="450"/>
      <c r="BQ531" s="450"/>
      <c r="BR531" s="450"/>
      <c r="BS531" s="450"/>
      <c r="BT531" s="450"/>
      <c r="BU531" s="450"/>
      <c r="BV531" s="450"/>
      <c r="BW531" s="450"/>
      <c r="BX531" s="450"/>
      <c r="BY531" s="450"/>
      <c r="BZ531" s="450"/>
      <c r="CA531" s="450"/>
      <c r="CB531" s="450"/>
      <c r="CC531" s="450"/>
      <c r="CD531" s="450"/>
      <c r="CE531" s="450"/>
      <c r="CF531" s="450"/>
      <c r="CG531" s="450"/>
      <c r="CH531" s="450"/>
    </row>
    <row r="532">
      <c r="A532" s="450"/>
      <c r="B532" s="498"/>
      <c r="C532" s="455"/>
      <c r="D532" s="450"/>
      <c r="E532" s="450"/>
      <c r="F532" s="450"/>
      <c r="G532" s="450"/>
      <c r="H532" s="450"/>
      <c r="I532" s="450"/>
      <c r="J532" s="450"/>
      <c r="K532" s="450"/>
      <c r="L532" s="450"/>
      <c r="M532" s="450"/>
      <c r="N532" s="450"/>
      <c r="O532" s="450"/>
      <c r="P532" s="450"/>
      <c r="Q532" s="450"/>
      <c r="R532" s="450"/>
      <c r="S532" s="450"/>
      <c r="T532" s="450"/>
      <c r="U532" s="450"/>
      <c r="V532" s="450"/>
      <c r="W532" s="450"/>
      <c r="X532" s="450"/>
      <c r="Y532" s="450"/>
      <c r="Z532" s="450"/>
      <c r="AA532" s="450"/>
      <c r="AB532" s="450"/>
      <c r="AC532" s="450"/>
      <c r="AD532" s="450"/>
      <c r="AE532" s="450"/>
      <c r="AF532" s="450"/>
      <c r="AG532" s="450"/>
      <c r="AH532" s="450"/>
      <c r="AI532" s="450"/>
      <c r="AJ532" s="450"/>
      <c r="AK532" s="450"/>
      <c r="AL532" s="450"/>
      <c r="AM532" s="450"/>
      <c r="AN532" s="450"/>
      <c r="AO532" s="450"/>
      <c r="AP532" s="450"/>
      <c r="AQ532" s="450"/>
      <c r="AR532" s="450"/>
      <c r="AS532" s="450"/>
      <c r="AT532" s="450"/>
      <c r="AU532" s="450"/>
      <c r="AV532" s="450"/>
      <c r="AW532" s="450"/>
      <c r="AX532" s="450"/>
      <c r="AY532" s="450"/>
      <c r="AZ532" s="450"/>
      <c r="BA532" s="450"/>
      <c r="BB532" s="450"/>
      <c r="BC532" s="450"/>
      <c r="BD532" s="450"/>
      <c r="BE532" s="450"/>
      <c r="BF532" s="450"/>
      <c r="BG532" s="450"/>
      <c r="BH532" s="450"/>
      <c r="BI532" s="450"/>
      <c r="BJ532" s="450"/>
      <c r="BK532" s="450"/>
      <c r="BL532" s="450"/>
      <c r="BM532" s="450"/>
      <c r="BN532" s="450"/>
      <c r="BO532" s="450"/>
      <c r="BP532" s="450"/>
      <c r="BQ532" s="450"/>
      <c r="BR532" s="450"/>
      <c r="BS532" s="450"/>
      <c r="BT532" s="450"/>
      <c r="BU532" s="450"/>
      <c r="BV532" s="450"/>
      <c r="BW532" s="450"/>
      <c r="BX532" s="450"/>
      <c r="BY532" s="450"/>
      <c r="BZ532" s="450"/>
      <c r="CA532" s="450"/>
      <c r="CB532" s="450"/>
      <c r="CC532" s="450"/>
      <c r="CD532" s="450"/>
      <c r="CE532" s="450"/>
      <c r="CF532" s="450"/>
      <c r="CG532" s="450"/>
      <c r="CH532" s="450"/>
    </row>
    <row r="533">
      <c r="A533" s="450"/>
      <c r="B533" s="498"/>
      <c r="C533" s="455"/>
      <c r="D533" s="450"/>
      <c r="E533" s="450"/>
      <c r="F533" s="450"/>
      <c r="G533" s="450"/>
      <c r="H533" s="450"/>
      <c r="I533" s="450"/>
      <c r="J533" s="450"/>
      <c r="K533" s="450"/>
      <c r="L533" s="450"/>
      <c r="M533" s="450"/>
      <c r="N533" s="450"/>
      <c r="O533" s="450"/>
      <c r="P533" s="450"/>
      <c r="Q533" s="450"/>
      <c r="R533" s="450"/>
      <c r="S533" s="450"/>
      <c r="T533" s="450"/>
      <c r="U533" s="450"/>
      <c r="V533" s="450"/>
      <c r="W533" s="450"/>
      <c r="X533" s="450"/>
      <c r="Y533" s="450"/>
      <c r="Z533" s="450"/>
      <c r="AA533" s="450"/>
      <c r="AB533" s="450"/>
      <c r="AC533" s="450"/>
      <c r="AD533" s="450"/>
      <c r="AE533" s="450"/>
      <c r="AF533" s="450"/>
      <c r="AG533" s="450"/>
      <c r="AH533" s="450"/>
      <c r="AI533" s="450"/>
      <c r="AJ533" s="450"/>
      <c r="AK533" s="450"/>
      <c r="AL533" s="450"/>
      <c r="AM533" s="450"/>
      <c r="AN533" s="450"/>
      <c r="AO533" s="450"/>
      <c r="AP533" s="450"/>
      <c r="AQ533" s="450"/>
      <c r="AR533" s="450"/>
      <c r="AS533" s="450"/>
      <c r="AT533" s="450"/>
      <c r="AU533" s="450"/>
      <c r="AV533" s="450"/>
      <c r="AW533" s="450"/>
      <c r="AX533" s="450"/>
      <c r="AY533" s="450"/>
      <c r="AZ533" s="450"/>
      <c r="BA533" s="450"/>
      <c r="BB533" s="450"/>
      <c r="BC533" s="450"/>
      <c r="BD533" s="450"/>
      <c r="BE533" s="450"/>
      <c r="BF533" s="450"/>
      <c r="BG533" s="450"/>
      <c r="BH533" s="450"/>
      <c r="BI533" s="450"/>
      <c r="BJ533" s="450"/>
      <c r="BK533" s="450"/>
      <c r="BL533" s="450"/>
      <c r="BM533" s="450"/>
      <c r="BN533" s="450"/>
      <c r="BO533" s="450"/>
      <c r="BP533" s="450"/>
      <c r="BQ533" s="450"/>
      <c r="BR533" s="450"/>
      <c r="BS533" s="450"/>
      <c r="BT533" s="450"/>
      <c r="BU533" s="450"/>
      <c r="BV533" s="450"/>
      <c r="BW533" s="450"/>
      <c r="BX533" s="450"/>
      <c r="BY533" s="450"/>
      <c r="BZ533" s="450"/>
      <c r="CA533" s="450"/>
      <c r="CB533" s="450"/>
      <c r="CC533" s="450"/>
      <c r="CD533" s="450"/>
      <c r="CE533" s="450"/>
      <c r="CF533" s="450"/>
      <c r="CG533" s="450"/>
      <c r="CH533" s="450"/>
    </row>
    <row r="534">
      <c r="A534" s="450"/>
      <c r="B534" s="498"/>
      <c r="C534" s="455"/>
      <c r="D534" s="450"/>
      <c r="E534" s="450"/>
      <c r="F534" s="450"/>
      <c r="G534" s="450"/>
      <c r="H534" s="450"/>
      <c r="I534" s="450"/>
      <c r="J534" s="450"/>
      <c r="K534" s="450"/>
      <c r="L534" s="450"/>
      <c r="M534" s="450"/>
      <c r="N534" s="450"/>
      <c r="O534" s="450"/>
      <c r="P534" s="450"/>
      <c r="Q534" s="450"/>
      <c r="R534" s="450"/>
      <c r="S534" s="450"/>
      <c r="T534" s="450"/>
      <c r="U534" s="450"/>
      <c r="V534" s="450"/>
      <c r="W534" s="450"/>
      <c r="X534" s="450"/>
      <c r="Y534" s="450"/>
      <c r="Z534" s="450"/>
      <c r="AA534" s="450"/>
      <c r="AB534" s="450"/>
      <c r="AC534" s="450"/>
      <c r="AD534" s="450"/>
      <c r="AE534" s="450"/>
      <c r="AF534" s="450"/>
      <c r="AG534" s="450"/>
      <c r="AH534" s="450"/>
      <c r="AI534" s="450"/>
      <c r="AJ534" s="450"/>
      <c r="AK534" s="450"/>
      <c r="AL534" s="450"/>
      <c r="AM534" s="450"/>
      <c r="AN534" s="450"/>
      <c r="AO534" s="450"/>
      <c r="AP534" s="450"/>
      <c r="AQ534" s="450"/>
      <c r="AR534" s="450"/>
      <c r="AS534" s="450"/>
      <c r="AT534" s="450"/>
      <c r="AU534" s="450"/>
      <c r="AV534" s="450"/>
      <c r="AW534" s="450"/>
      <c r="AX534" s="450"/>
      <c r="AY534" s="450"/>
      <c r="AZ534" s="450"/>
      <c r="BA534" s="450"/>
      <c r="BB534" s="450"/>
      <c r="BC534" s="450"/>
      <c r="BD534" s="450"/>
      <c r="BE534" s="450"/>
      <c r="BF534" s="450"/>
      <c r="BG534" s="450"/>
      <c r="BH534" s="450"/>
      <c r="BI534" s="450"/>
      <c r="BJ534" s="450"/>
      <c r="BK534" s="450"/>
      <c r="BL534" s="450"/>
      <c r="BM534" s="450"/>
      <c r="BN534" s="450"/>
      <c r="BO534" s="450"/>
      <c r="BP534" s="450"/>
      <c r="BQ534" s="450"/>
      <c r="BR534" s="450"/>
      <c r="BS534" s="450"/>
      <c r="BT534" s="450"/>
      <c r="BU534" s="450"/>
      <c r="BV534" s="450"/>
      <c r="BW534" s="450"/>
      <c r="BX534" s="450"/>
      <c r="BY534" s="450"/>
      <c r="BZ534" s="450"/>
      <c r="CA534" s="450"/>
      <c r="CB534" s="450"/>
      <c r="CC534" s="450"/>
      <c r="CD534" s="450"/>
      <c r="CE534" s="450"/>
      <c r="CF534" s="450"/>
      <c r="CG534" s="450"/>
      <c r="CH534" s="450"/>
    </row>
    <row r="535">
      <c r="A535" s="450"/>
      <c r="B535" s="498"/>
      <c r="C535" s="455"/>
      <c r="D535" s="450"/>
      <c r="E535" s="450"/>
      <c r="F535" s="450"/>
      <c r="G535" s="450"/>
      <c r="H535" s="450"/>
      <c r="I535" s="450"/>
      <c r="J535" s="450"/>
      <c r="K535" s="450"/>
      <c r="L535" s="450"/>
      <c r="M535" s="450"/>
      <c r="N535" s="450"/>
      <c r="O535" s="450"/>
      <c r="P535" s="450"/>
      <c r="Q535" s="450"/>
      <c r="R535" s="450"/>
      <c r="S535" s="450"/>
      <c r="T535" s="450"/>
      <c r="U535" s="450"/>
      <c r="V535" s="450"/>
      <c r="W535" s="450"/>
      <c r="X535" s="450"/>
      <c r="Y535" s="450"/>
      <c r="Z535" s="450"/>
      <c r="AA535" s="450"/>
      <c r="AB535" s="450"/>
      <c r="AC535" s="450"/>
      <c r="AD535" s="450"/>
      <c r="AE535" s="450"/>
      <c r="AF535" s="450"/>
      <c r="AG535" s="450"/>
      <c r="AH535" s="450"/>
      <c r="AI535" s="450"/>
      <c r="AJ535" s="450"/>
      <c r="AK535" s="450"/>
      <c r="AL535" s="450"/>
      <c r="AM535" s="450"/>
      <c r="AN535" s="450"/>
      <c r="AO535" s="450"/>
      <c r="AP535" s="450"/>
      <c r="AQ535" s="450"/>
      <c r="AR535" s="450"/>
      <c r="AS535" s="450"/>
      <c r="AT535" s="450"/>
      <c r="AU535" s="450"/>
      <c r="AV535" s="450"/>
      <c r="AW535" s="450"/>
      <c r="AX535" s="450"/>
      <c r="AY535" s="450"/>
      <c r="AZ535" s="450"/>
      <c r="BA535" s="450"/>
      <c r="BB535" s="450"/>
      <c r="BC535" s="450"/>
      <c r="BD535" s="450"/>
      <c r="BE535" s="450"/>
      <c r="BF535" s="450"/>
      <c r="BG535" s="450"/>
      <c r="BH535" s="450"/>
      <c r="BI535" s="450"/>
      <c r="BJ535" s="450"/>
      <c r="BK535" s="450"/>
      <c r="BL535" s="450"/>
      <c r="BM535" s="450"/>
      <c r="BN535" s="450"/>
      <c r="BO535" s="450"/>
      <c r="BP535" s="450"/>
      <c r="BQ535" s="450"/>
      <c r="BR535" s="450"/>
      <c r="BS535" s="450"/>
      <c r="BT535" s="450"/>
      <c r="BU535" s="450"/>
      <c r="BV535" s="450"/>
      <c r="BW535" s="450"/>
      <c r="BX535" s="450"/>
      <c r="BY535" s="450"/>
      <c r="BZ535" s="450"/>
      <c r="CA535" s="450"/>
      <c r="CB535" s="450"/>
      <c r="CC535" s="450"/>
      <c r="CD535" s="450"/>
      <c r="CE535" s="450"/>
      <c r="CF535" s="450"/>
      <c r="CG535" s="450"/>
      <c r="CH535" s="450"/>
    </row>
    <row r="536">
      <c r="A536" s="450"/>
      <c r="B536" s="498"/>
      <c r="C536" s="455"/>
      <c r="D536" s="450"/>
      <c r="E536" s="450"/>
      <c r="F536" s="450"/>
      <c r="G536" s="450"/>
      <c r="H536" s="450"/>
      <c r="I536" s="450"/>
      <c r="J536" s="450"/>
      <c r="K536" s="450"/>
      <c r="L536" s="450"/>
      <c r="M536" s="450"/>
      <c r="N536" s="450"/>
      <c r="O536" s="450"/>
      <c r="P536" s="450"/>
      <c r="Q536" s="450"/>
      <c r="R536" s="450"/>
      <c r="S536" s="450"/>
      <c r="T536" s="450"/>
      <c r="U536" s="450"/>
      <c r="V536" s="450"/>
      <c r="W536" s="450"/>
      <c r="X536" s="450"/>
      <c r="Y536" s="450"/>
      <c r="Z536" s="450"/>
      <c r="AA536" s="450"/>
      <c r="AB536" s="450"/>
      <c r="AC536" s="450"/>
      <c r="AD536" s="450"/>
      <c r="AE536" s="450"/>
      <c r="AF536" s="450"/>
      <c r="AG536" s="450"/>
      <c r="AH536" s="450"/>
      <c r="AI536" s="450"/>
      <c r="AJ536" s="450"/>
      <c r="AK536" s="450"/>
      <c r="AL536" s="450"/>
      <c r="AM536" s="450"/>
      <c r="AN536" s="450"/>
      <c r="AO536" s="450"/>
      <c r="AP536" s="450"/>
      <c r="AQ536" s="450"/>
      <c r="AR536" s="450"/>
      <c r="AS536" s="450"/>
      <c r="AT536" s="450"/>
      <c r="AU536" s="450"/>
      <c r="AV536" s="450"/>
      <c r="AW536" s="450"/>
      <c r="AX536" s="450"/>
      <c r="AY536" s="450"/>
      <c r="AZ536" s="450"/>
      <c r="BA536" s="450"/>
      <c r="BB536" s="450"/>
      <c r="BC536" s="450"/>
      <c r="BD536" s="450"/>
      <c r="BE536" s="450"/>
      <c r="BF536" s="450"/>
      <c r="BG536" s="450"/>
      <c r="BH536" s="450"/>
      <c r="BI536" s="450"/>
      <c r="BJ536" s="450"/>
      <c r="BK536" s="450"/>
      <c r="BL536" s="450"/>
      <c r="BM536" s="450"/>
      <c r="BN536" s="450"/>
      <c r="BO536" s="450"/>
      <c r="BP536" s="450"/>
      <c r="BQ536" s="450"/>
      <c r="BR536" s="450"/>
      <c r="BS536" s="450"/>
      <c r="BT536" s="450"/>
      <c r="BU536" s="450"/>
      <c r="BV536" s="450"/>
      <c r="BW536" s="450"/>
      <c r="BX536" s="450"/>
      <c r="BY536" s="450"/>
      <c r="BZ536" s="450"/>
      <c r="CA536" s="450"/>
      <c r="CB536" s="450"/>
      <c r="CC536" s="450"/>
      <c r="CD536" s="450"/>
      <c r="CE536" s="450"/>
      <c r="CF536" s="450"/>
      <c r="CG536" s="450"/>
      <c r="CH536" s="450"/>
    </row>
    <row r="537">
      <c r="A537" s="450"/>
      <c r="B537" s="498"/>
      <c r="C537" s="455"/>
      <c r="D537" s="450"/>
      <c r="E537" s="450"/>
      <c r="F537" s="450"/>
      <c r="G537" s="450"/>
      <c r="H537" s="450"/>
      <c r="I537" s="450"/>
      <c r="J537" s="450"/>
      <c r="K537" s="450"/>
      <c r="L537" s="450"/>
      <c r="M537" s="450"/>
      <c r="N537" s="450"/>
      <c r="O537" s="450"/>
      <c r="P537" s="450"/>
      <c r="Q537" s="450"/>
      <c r="R537" s="450"/>
      <c r="S537" s="450"/>
      <c r="T537" s="450"/>
      <c r="U537" s="450"/>
      <c r="V537" s="450"/>
      <c r="W537" s="450"/>
      <c r="X537" s="450"/>
      <c r="Y537" s="450"/>
      <c r="Z537" s="450"/>
      <c r="AA537" s="450"/>
      <c r="AB537" s="450"/>
      <c r="AC537" s="450"/>
      <c r="AD537" s="450"/>
      <c r="AE537" s="450"/>
      <c r="AF537" s="450"/>
      <c r="AG537" s="450"/>
      <c r="AH537" s="450"/>
      <c r="AI537" s="450"/>
      <c r="AJ537" s="450"/>
      <c r="AK537" s="450"/>
      <c r="AL537" s="450"/>
      <c r="AM537" s="450"/>
      <c r="AN537" s="450"/>
      <c r="AO537" s="450"/>
      <c r="AP537" s="450"/>
      <c r="AQ537" s="450"/>
      <c r="AR537" s="450"/>
      <c r="AS537" s="450"/>
      <c r="AT537" s="450"/>
      <c r="AU537" s="450"/>
      <c r="AV537" s="450"/>
      <c r="AW537" s="450"/>
      <c r="AX537" s="450"/>
      <c r="AY537" s="450"/>
      <c r="AZ537" s="450"/>
      <c r="BA537" s="450"/>
      <c r="BB537" s="450"/>
      <c r="BC537" s="450"/>
      <c r="BD537" s="450"/>
      <c r="BE537" s="450"/>
      <c r="BF537" s="450"/>
      <c r="BG537" s="450"/>
      <c r="BH537" s="450"/>
      <c r="BI537" s="450"/>
      <c r="BJ537" s="450"/>
      <c r="BK537" s="450"/>
      <c r="BL537" s="450"/>
      <c r="BM537" s="450"/>
      <c r="BN537" s="450"/>
      <c r="BO537" s="450"/>
      <c r="BP537" s="450"/>
      <c r="BQ537" s="450"/>
      <c r="BR537" s="450"/>
      <c r="BS537" s="450"/>
      <c r="BT537" s="450"/>
      <c r="BU537" s="450"/>
      <c r="BV537" s="450"/>
      <c r="BW537" s="450"/>
      <c r="BX537" s="450"/>
      <c r="BY537" s="450"/>
      <c r="BZ537" s="450"/>
      <c r="CA537" s="450"/>
      <c r="CB537" s="450"/>
      <c r="CC537" s="450"/>
      <c r="CD537" s="450"/>
      <c r="CE537" s="450"/>
      <c r="CF537" s="450"/>
      <c r="CG537" s="450"/>
      <c r="CH537" s="450"/>
    </row>
    <row r="538">
      <c r="A538" s="450"/>
      <c r="B538" s="498"/>
      <c r="C538" s="455"/>
      <c r="D538" s="450"/>
      <c r="E538" s="450"/>
      <c r="F538" s="450"/>
      <c r="G538" s="450"/>
      <c r="H538" s="450"/>
      <c r="I538" s="450"/>
      <c r="J538" s="450"/>
      <c r="K538" s="450"/>
      <c r="L538" s="450"/>
      <c r="M538" s="450"/>
      <c r="N538" s="450"/>
      <c r="O538" s="450"/>
      <c r="P538" s="450"/>
      <c r="Q538" s="450"/>
      <c r="R538" s="450"/>
      <c r="S538" s="450"/>
      <c r="T538" s="450"/>
      <c r="U538" s="450"/>
      <c r="V538" s="450"/>
      <c r="W538" s="450"/>
      <c r="X538" s="450"/>
      <c r="Y538" s="450"/>
      <c r="Z538" s="450"/>
      <c r="AA538" s="450"/>
      <c r="AB538" s="450"/>
      <c r="AC538" s="450"/>
      <c r="AD538" s="450"/>
      <c r="AE538" s="450"/>
      <c r="AF538" s="450"/>
      <c r="AG538" s="450"/>
      <c r="AH538" s="450"/>
      <c r="AI538" s="450"/>
      <c r="AJ538" s="450"/>
      <c r="AK538" s="450"/>
      <c r="AL538" s="450"/>
      <c r="AM538" s="450"/>
      <c r="AN538" s="450"/>
      <c r="AO538" s="450"/>
      <c r="AP538" s="450"/>
      <c r="AQ538" s="450"/>
      <c r="AR538" s="450"/>
      <c r="AS538" s="450"/>
      <c r="AT538" s="450"/>
      <c r="AU538" s="450"/>
      <c r="AV538" s="450"/>
      <c r="AW538" s="450"/>
      <c r="AX538" s="450"/>
      <c r="AY538" s="450"/>
      <c r="AZ538" s="450"/>
      <c r="BA538" s="450"/>
      <c r="BB538" s="450"/>
      <c r="BC538" s="450"/>
      <c r="BD538" s="450"/>
      <c r="BE538" s="450"/>
      <c r="BF538" s="450"/>
      <c r="BG538" s="450"/>
      <c r="BH538" s="450"/>
      <c r="BI538" s="450"/>
      <c r="BJ538" s="450"/>
      <c r="BK538" s="450"/>
      <c r="BL538" s="450"/>
      <c r="BM538" s="450"/>
      <c r="BN538" s="450"/>
      <c r="BO538" s="450"/>
      <c r="BP538" s="450"/>
      <c r="BQ538" s="450"/>
      <c r="BR538" s="450"/>
      <c r="BS538" s="450"/>
      <c r="BT538" s="450"/>
      <c r="BU538" s="450"/>
      <c r="BV538" s="450"/>
      <c r="BW538" s="450"/>
      <c r="BX538" s="450"/>
      <c r="BY538" s="450"/>
      <c r="BZ538" s="450"/>
      <c r="CA538" s="450"/>
      <c r="CB538" s="450"/>
      <c r="CC538" s="450"/>
      <c r="CD538" s="450"/>
      <c r="CE538" s="450"/>
      <c r="CF538" s="450"/>
      <c r="CG538" s="450"/>
      <c r="CH538" s="450"/>
    </row>
    <row r="539">
      <c r="A539" s="450"/>
      <c r="B539" s="498"/>
      <c r="C539" s="455"/>
      <c r="D539" s="450"/>
      <c r="E539" s="450"/>
      <c r="F539" s="450"/>
      <c r="G539" s="450"/>
      <c r="H539" s="450"/>
      <c r="I539" s="450"/>
      <c r="J539" s="450"/>
      <c r="K539" s="450"/>
      <c r="L539" s="450"/>
      <c r="M539" s="450"/>
      <c r="N539" s="450"/>
      <c r="O539" s="450"/>
      <c r="P539" s="450"/>
      <c r="Q539" s="450"/>
      <c r="R539" s="450"/>
      <c r="S539" s="450"/>
      <c r="T539" s="450"/>
      <c r="U539" s="450"/>
      <c r="V539" s="450"/>
      <c r="W539" s="450"/>
      <c r="X539" s="450"/>
      <c r="Y539" s="450"/>
      <c r="Z539" s="450"/>
      <c r="AA539" s="450"/>
      <c r="AB539" s="450"/>
      <c r="AC539" s="450"/>
      <c r="AD539" s="450"/>
      <c r="AE539" s="450"/>
      <c r="AF539" s="450"/>
      <c r="AG539" s="450"/>
      <c r="AH539" s="450"/>
      <c r="AI539" s="450"/>
      <c r="AJ539" s="450"/>
      <c r="AK539" s="450"/>
      <c r="AL539" s="450"/>
      <c r="AM539" s="450"/>
      <c r="AN539" s="450"/>
      <c r="AO539" s="450"/>
      <c r="AP539" s="450"/>
      <c r="AQ539" s="450"/>
      <c r="AR539" s="450"/>
      <c r="AS539" s="450"/>
      <c r="AT539" s="450"/>
      <c r="AU539" s="450"/>
      <c r="AV539" s="450"/>
      <c r="AW539" s="450"/>
      <c r="AX539" s="450"/>
      <c r="AY539" s="450"/>
      <c r="AZ539" s="450"/>
      <c r="BA539" s="450"/>
      <c r="BB539" s="450"/>
      <c r="BC539" s="450"/>
      <c r="BD539" s="450"/>
      <c r="BE539" s="450"/>
      <c r="BF539" s="450"/>
      <c r="BG539" s="450"/>
      <c r="BH539" s="450"/>
      <c r="BI539" s="450"/>
      <c r="BJ539" s="450"/>
      <c r="BK539" s="450"/>
      <c r="BL539" s="450"/>
      <c r="BM539" s="450"/>
      <c r="BN539" s="450"/>
      <c r="BO539" s="450"/>
      <c r="BP539" s="450"/>
      <c r="BQ539" s="450"/>
      <c r="BR539" s="450"/>
      <c r="BS539" s="450"/>
      <c r="BT539" s="450"/>
      <c r="BU539" s="450"/>
      <c r="BV539" s="450"/>
      <c r="BW539" s="450"/>
      <c r="BX539" s="450"/>
      <c r="BY539" s="450"/>
      <c r="BZ539" s="450"/>
      <c r="CA539" s="450"/>
      <c r="CB539" s="450"/>
      <c r="CC539" s="450"/>
      <c r="CD539" s="450"/>
      <c r="CE539" s="450"/>
      <c r="CF539" s="450"/>
      <c r="CG539" s="450"/>
      <c r="CH539" s="450"/>
    </row>
    <row r="540">
      <c r="A540" s="450"/>
      <c r="B540" s="498"/>
      <c r="C540" s="455"/>
      <c r="D540" s="450"/>
      <c r="E540" s="450"/>
      <c r="F540" s="450"/>
      <c r="G540" s="450"/>
      <c r="H540" s="450"/>
      <c r="I540" s="450"/>
      <c r="J540" s="450"/>
      <c r="K540" s="450"/>
      <c r="L540" s="450"/>
      <c r="M540" s="450"/>
      <c r="N540" s="450"/>
      <c r="O540" s="450"/>
      <c r="P540" s="450"/>
      <c r="Q540" s="450"/>
      <c r="R540" s="450"/>
      <c r="S540" s="450"/>
      <c r="T540" s="450"/>
      <c r="U540" s="450"/>
      <c r="V540" s="450"/>
      <c r="W540" s="450"/>
      <c r="X540" s="450"/>
      <c r="Y540" s="450"/>
      <c r="Z540" s="450"/>
      <c r="AA540" s="450"/>
      <c r="AB540" s="450"/>
      <c r="AC540" s="450"/>
      <c r="AD540" s="450"/>
      <c r="AE540" s="450"/>
      <c r="AF540" s="450"/>
      <c r="AG540" s="450"/>
      <c r="AH540" s="450"/>
      <c r="AI540" s="450"/>
      <c r="AJ540" s="450"/>
      <c r="AK540" s="450"/>
      <c r="AL540" s="450"/>
      <c r="AM540" s="450"/>
      <c r="AN540" s="450"/>
      <c r="AO540" s="450"/>
      <c r="AP540" s="450"/>
      <c r="AQ540" s="450"/>
      <c r="AR540" s="450"/>
      <c r="AS540" s="450"/>
      <c r="AT540" s="450"/>
      <c r="AU540" s="450"/>
      <c r="AV540" s="450"/>
      <c r="AW540" s="450"/>
      <c r="AX540" s="450"/>
      <c r="AY540" s="450"/>
      <c r="AZ540" s="450"/>
      <c r="BA540" s="450"/>
      <c r="BB540" s="450"/>
      <c r="BC540" s="450"/>
      <c r="BD540" s="450"/>
      <c r="BE540" s="450"/>
      <c r="BF540" s="450"/>
      <c r="BG540" s="450"/>
      <c r="BH540" s="450"/>
      <c r="BI540" s="450"/>
      <c r="BJ540" s="450"/>
      <c r="BK540" s="450"/>
      <c r="BL540" s="450"/>
      <c r="BM540" s="450"/>
      <c r="BN540" s="450"/>
      <c r="BO540" s="450"/>
      <c r="BP540" s="450"/>
      <c r="BQ540" s="450"/>
      <c r="BR540" s="450"/>
      <c r="BS540" s="450"/>
      <c r="BT540" s="450"/>
      <c r="BU540" s="450"/>
      <c r="BV540" s="450"/>
      <c r="BW540" s="450"/>
      <c r="BX540" s="450"/>
      <c r="BY540" s="450"/>
      <c r="BZ540" s="450"/>
      <c r="CA540" s="450"/>
      <c r="CB540" s="450"/>
      <c r="CC540" s="450"/>
      <c r="CD540" s="450"/>
      <c r="CE540" s="450"/>
      <c r="CF540" s="450"/>
      <c r="CG540" s="450"/>
      <c r="CH540" s="450"/>
    </row>
    <row r="541">
      <c r="A541" s="450"/>
      <c r="B541" s="498"/>
      <c r="C541" s="455"/>
      <c r="D541" s="450"/>
      <c r="E541" s="450"/>
      <c r="F541" s="450"/>
      <c r="G541" s="450"/>
      <c r="H541" s="450"/>
      <c r="I541" s="450"/>
      <c r="J541" s="450"/>
      <c r="K541" s="450"/>
      <c r="L541" s="450"/>
      <c r="M541" s="450"/>
      <c r="N541" s="450"/>
      <c r="O541" s="450"/>
      <c r="P541" s="450"/>
      <c r="Q541" s="450"/>
      <c r="R541" s="450"/>
      <c r="S541" s="450"/>
      <c r="T541" s="450"/>
      <c r="U541" s="450"/>
      <c r="V541" s="450"/>
      <c r="W541" s="450"/>
      <c r="X541" s="450"/>
      <c r="Y541" s="450"/>
      <c r="Z541" s="450"/>
      <c r="AA541" s="450"/>
      <c r="AB541" s="450"/>
      <c r="AC541" s="450"/>
      <c r="AD541" s="450"/>
      <c r="AE541" s="450"/>
      <c r="AF541" s="450"/>
      <c r="AG541" s="450"/>
      <c r="AH541" s="450"/>
      <c r="AI541" s="450"/>
      <c r="AJ541" s="450"/>
      <c r="AK541" s="450"/>
      <c r="AL541" s="450"/>
      <c r="AM541" s="450"/>
      <c r="AN541" s="450"/>
      <c r="AO541" s="450"/>
      <c r="AP541" s="450"/>
      <c r="AQ541" s="450"/>
      <c r="AR541" s="450"/>
      <c r="AS541" s="450"/>
      <c r="AT541" s="450"/>
      <c r="AU541" s="450"/>
      <c r="AV541" s="450"/>
      <c r="AW541" s="450"/>
      <c r="AX541" s="450"/>
      <c r="AY541" s="450"/>
      <c r="AZ541" s="450"/>
      <c r="BA541" s="450"/>
      <c r="BB541" s="450"/>
      <c r="BC541" s="450"/>
      <c r="BD541" s="450"/>
      <c r="BE541" s="450"/>
      <c r="BF541" s="450"/>
      <c r="BG541" s="450"/>
      <c r="BH541" s="450"/>
      <c r="BI541" s="450"/>
      <c r="BJ541" s="450"/>
      <c r="BK541" s="450"/>
      <c r="BL541" s="450"/>
      <c r="BM541" s="450"/>
      <c r="BN541" s="450"/>
      <c r="BO541" s="450"/>
      <c r="BP541" s="450"/>
      <c r="BQ541" s="450"/>
      <c r="BR541" s="450"/>
      <c r="BS541" s="450"/>
      <c r="BT541" s="450"/>
      <c r="BU541" s="450"/>
      <c r="BV541" s="450"/>
      <c r="BW541" s="450"/>
      <c r="BX541" s="450"/>
      <c r="BY541" s="450"/>
      <c r="BZ541" s="450"/>
      <c r="CA541" s="450"/>
      <c r="CB541" s="450"/>
      <c r="CC541" s="450"/>
      <c r="CD541" s="450"/>
      <c r="CE541" s="450"/>
      <c r="CF541" s="450"/>
      <c r="CG541" s="450"/>
      <c r="CH541" s="450"/>
    </row>
    <row r="542">
      <c r="A542" s="450"/>
      <c r="B542" s="498"/>
      <c r="C542" s="455"/>
      <c r="D542" s="450"/>
      <c r="E542" s="450"/>
      <c r="F542" s="450"/>
      <c r="G542" s="450"/>
      <c r="H542" s="450"/>
      <c r="I542" s="450"/>
      <c r="J542" s="450"/>
      <c r="K542" s="450"/>
      <c r="L542" s="450"/>
      <c r="M542" s="450"/>
      <c r="N542" s="450"/>
      <c r="O542" s="450"/>
      <c r="P542" s="450"/>
      <c r="Q542" s="450"/>
      <c r="R542" s="450"/>
      <c r="S542" s="450"/>
      <c r="T542" s="450"/>
      <c r="U542" s="450"/>
      <c r="V542" s="450"/>
      <c r="W542" s="450"/>
      <c r="X542" s="450"/>
      <c r="Y542" s="450"/>
      <c r="Z542" s="450"/>
      <c r="AA542" s="450"/>
      <c r="AB542" s="450"/>
      <c r="AC542" s="450"/>
      <c r="AD542" s="450"/>
      <c r="AE542" s="450"/>
      <c r="AF542" s="450"/>
      <c r="AG542" s="450"/>
      <c r="AH542" s="450"/>
      <c r="AI542" s="450"/>
      <c r="AJ542" s="450"/>
      <c r="AK542" s="450"/>
      <c r="AL542" s="450"/>
      <c r="AM542" s="450"/>
      <c r="AN542" s="450"/>
      <c r="AO542" s="450"/>
      <c r="AP542" s="450"/>
      <c r="AQ542" s="450"/>
      <c r="AR542" s="450"/>
      <c r="AS542" s="450"/>
      <c r="AT542" s="450"/>
      <c r="AU542" s="450"/>
      <c r="AV542" s="450"/>
      <c r="AW542" s="450"/>
      <c r="AX542" s="450"/>
      <c r="AY542" s="450"/>
      <c r="AZ542" s="450"/>
      <c r="BA542" s="450"/>
      <c r="BB542" s="450"/>
      <c r="BC542" s="450"/>
      <c r="BD542" s="450"/>
      <c r="BE542" s="450"/>
      <c r="BF542" s="450"/>
      <c r="BG542" s="450"/>
      <c r="BH542" s="450"/>
      <c r="BI542" s="450"/>
      <c r="BJ542" s="450"/>
      <c r="BK542" s="450"/>
      <c r="BL542" s="450"/>
      <c r="BM542" s="450"/>
      <c r="BN542" s="450"/>
      <c r="BO542" s="450"/>
      <c r="BP542" s="450"/>
      <c r="BQ542" s="450"/>
      <c r="BR542" s="450"/>
      <c r="BS542" s="450"/>
      <c r="BT542" s="450"/>
      <c r="BU542" s="450"/>
      <c r="BV542" s="450"/>
      <c r="BW542" s="450"/>
      <c r="BX542" s="450"/>
      <c r="BY542" s="450"/>
      <c r="BZ542" s="450"/>
      <c r="CA542" s="450"/>
      <c r="CB542" s="450"/>
      <c r="CC542" s="450"/>
      <c r="CD542" s="450"/>
      <c r="CE542" s="450"/>
      <c r="CF542" s="450"/>
      <c r="CG542" s="450"/>
      <c r="CH542" s="450"/>
    </row>
    <row r="543">
      <c r="A543" s="450"/>
      <c r="B543" s="498"/>
      <c r="C543" s="455"/>
      <c r="D543" s="450"/>
      <c r="E543" s="450"/>
      <c r="F543" s="450"/>
      <c r="G543" s="450"/>
      <c r="H543" s="450"/>
      <c r="I543" s="450"/>
      <c r="J543" s="450"/>
      <c r="K543" s="450"/>
      <c r="L543" s="450"/>
      <c r="M543" s="450"/>
      <c r="N543" s="450"/>
      <c r="O543" s="450"/>
      <c r="P543" s="450"/>
      <c r="Q543" s="450"/>
      <c r="R543" s="450"/>
      <c r="S543" s="450"/>
      <c r="T543" s="450"/>
      <c r="U543" s="450"/>
      <c r="V543" s="450"/>
      <c r="W543" s="450"/>
      <c r="X543" s="450"/>
      <c r="Y543" s="450"/>
      <c r="Z543" s="450"/>
      <c r="AA543" s="450"/>
      <c r="AB543" s="450"/>
      <c r="AC543" s="450"/>
      <c r="AD543" s="450"/>
      <c r="AE543" s="450"/>
      <c r="AF543" s="450"/>
      <c r="AG543" s="450"/>
      <c r="AH543" s="450"/>
      <c r="AI543" s="450"/>
      <c r="AJ543" s="450"/>
      <c r="AK543" s="450"/>
      <c r="AL543" s="450"/>
      <c r="AM543" s="450"/>
      <c r="AN543" s="450"/>
      <c r="AO543" s="450"/>
      <c r="AP543" s="450"/>
      <c r="AQ543" s="450"/>
      <c r="AR543" s="450"/>
      <c r="AS543" s="450"/>
      <c r="AT543" s="450"/>
      <c r="AU543" s="450"/>
      <c r="AV543" s="450"/>
      <c r="AW543" s="450"/>
      <c r="AX543" s="450"/>
      <c r="AY543" s="450"/>
      <c r="AZ543" s="450"/>
      <c r="BA543" s="450"/>
      <c r="BB543" s="450"/>
      <c r="BC543" s="450"/>
      <c r="BD543" s="450"/>
      <c r="BE543" s="450"/>
      <c r="BF543" s="450"/>
      <c r="BG543" s="450"/>
      <c r="BH543" s="450"/>
      <c r="BI543" s="450"/>
      <c r="BJ543" s="450"/>
      <c r="BK543" s="450"/>
      <c r="BL543" s="450"/>
      <c r="BM543" s="450"/>
      <c r="BN543" s="450"/>
      <c r="BO543" s="450"/>
      <c r="BP543" s="450"/>
      <c r="BQ543" s="450"/>
      <c r="BR543" s="450"/>
      <c r="BS543" s="450"/>
      <c r="BT543" s="450"/>
      <c r="BU543" s="450"/>
      <c r="BV543" s="450"/>
      <c r="BW543" s="450"/>
      <c r="BX543" s="450"/>
      <c r="BY543" s="450"/>
      <c r="BZ543" s="450"/>
      <c r="CA543" s="450"/>
      <c r="CB543" s="450"/>
      <c r="CC543" s="450"/>
      <c r="CD543" s="450"/>
      <c r="CE543" s="450"/>
      <c r="CF543" s="450"/>
      <c r="CG543" s="450"/>
      <c r="CH543" s="450"/>
    </row>
    <row r="544">
      <c r="A544" s="450"/>
      <c r="B544" s="498"/>
      <c r="C544" s="455"/>
      <c r="D544" s="450"/>
      <c r="E544" s="450"/>
      <c r="F544" s="450"/>
      <c r="G544" s="450"/>
      <c r="H544" s="450"/>
      <c r="I544" s="450"/>
      <c r="J544" s="450"/>
      <c r="K544" s="450"/>
      <c r="L544" s="450"/>
      <c r="M544" s="450"/>
      <c r="N544" s="450"/>
      <c r="O544" s="450"/>
      <c r="P544" s="450"/>
      <c r="Q544" s="450"/>
      <c r="R544" s="450"/>
      <c r="S544" s="450"/>
      <c r="T544" s="450"/>
      <c r="U544" s="450"/>
      <c r="V544" s="450"/>
      <c r="W544" s="450"/>
      <c r="X544" s="450"/>
      <c r="Y544" s="450"/>
      <c r="Z544" s="450"/>
      <c r="AA544" s="450"/>
      <c r="AB544" s="450"/>
      <c r="AC544" s="450"/>
      <c r="AD544" s="450"/>
      <c r="AE544" s="450"/>
      <c r="AF544" s="450"/>
      <c r="AG544" s="450"/>
      <c r="AH544" s="450"/>
      <c r="AI544" s="450"/>
      <c r="AJ544" s="450"/>
      <c r="AK544" s="450"/>
      <c r="AL544" s="450"/>
      <c r="AM544" s="450"/>
      <c r="AN544" s="450"/>
      <c r="AO544" s="450"/>
      <c r="AP544" s="450"/>
      <c r="AQ544" s="450"/>
      <c r="AR544" s="450"/>
      <c r="AS544" s="450"/>
      <c r="AT544" s="450"/>
      <c r="AU544" s="450"/>
      <c r="AV544" s="450"/>
      <c r="AW544" s="450"/>
      <c r="AX544" s="450"/>
      <c r="AY544" s="450"/>
      <c r="AZ544" s="450"/>
      <c r="BA544" s="450"/>
      <c r="BB544" s="450"/>
      <c r="BC544" s="450"/>
      <c r="BD544" s="450"/>
      <c r="BE544" s="450"/>
      <c r="BF544" s="450"/>
      <c r="BG544" s="450"/>
      <c r="BH544" s="450"/>
      <c r="BI544" s="450"/>
      <c r="BJ544" s="450"/>
      <c r="BK544" s="450"/>
      <c r="BL544" s="450"/>
      <c r="BM544" s="450"/>
      <c r="BN544" s="450"/>
      <c r="BO544" s="450"/>
      <c r="BP544" s="450"/>
      <c r="BQ544" s="450"/>
      <c r="BR544" s="450"/>
      <c r="BS544" s="450"/>
      <c r="BT544" s="450"/>
      <c r="BU544" s="450"/>
      <c r="BV544" s="450"/>
      <c r="BW544" s="450"/>
      <c r="BX544" s="450"/>
      <c r="BY544" s="450"/>
      <c r="BZ544" s="450"/>
      <c r="CA544" s="450"/>
      <c r="CB544" s="450"/>
      <c r="CC544" s="450"/>
      <c r="CD544" s="450"/>
      <c r="CE544" s="450"/>
      <c r="CF544" s="450"/>
      <c r="CG544" s="450"/>
      <c r="CH544" s="450"/>
    </row>
    <row r="545">
      <c r="A545" s="450"/>
      <c r="B545" s="498"/>
      <c r="C545" s="455"/>
      <c r="D545" s="450"/>
      <c r="E545" s="450"/>
      <c r="F545" s="450"/>
      <c r="G545" s="450"/>
      <c r="H545" s="450"/>
      <c r="I545" s="450"/>
      <c r="J545" s="450"/>
      <c r="K545" s="450"/>
      <c r="L545" s="450"/>
      <c r="M545" s="450"/>
      <c r="N545" s="450"/>
      <c r="O545" s="450"/>
      <c r="P545" s="450"/>
      <c r="Q545" s="450"/>
      <c r="R545" s="450"/>
      <c r="S545" s="450"/>
      <c r="T545" s="450"/>
      <c r="U545" s="450"/>
      <c r="V545" s="450"/>
      <c r="W545" s="450"/>
      <c r="X545" s="450"/>
      <c r="Y545" s="450"/>
      <c r="Z545" s="450"/>
      <c r="AA545" s="450"/>
      <c r="AB545" s="450"/>
      <c r="AC545" s="450"/>
      <c r="AD545" s="450"/>
      <c r="AE545" s="450"/>
      <c r="AF545" s="450"/>
      <c r="AG545" s="450"/>
      <c r="AH545" s="450"/>
      <c r="AI545" s="450"/>
      <c r="AJ545" s="450"/>
      <c r="AK545" s="450"/>
      <c r="AL545" s="450"/>
      <c r="AM545" s="450"/>
      <c r="AN545" s="450"/>
      <c r="AO545" s="450"/>
      <c r="AP545" s="450"/>
      <c r="AQ545" s="450"/>
      <c r="AR545" s="450"/>
      <c r="AS545" s="450"/>
      <c r="AT545" s="450"/>
      <c r="AU545" s="450"/>
      <c r="AV545" s="450"/>
      <c r="AW545" s="450"/>
      <c r="AX545" s="450"/>
      <c r="AY545" s="450"/>
      <c r="AZ545" s="450"/>
      <c r="BA545" s="450"/>
      <c r="BB545" s="450"/>
      <c r="BC545" s="450"/>
      <c r="BD545" s="450"/>
      <c r="BE545" s="450"/>
      <c r="BF545" s="450"/>
      <c r="BG545" s="450"/>
      <c r="BH545" s="450"/>
      <c r="BI545" s="450"/>
      <c r="BJ545" s="450"/>
      <c r="BK545" s="450"/>
      <c r="BL545" s="450"/>
      <c r="BM545" s="450"/>
      <c r="BN545" s="450"/>
      <c r="BO545" s="450"/>
      <c r="BP545" s="450"/>
      <c r="BQ545" s="450"/>
      <c r="BR545" s="450"/>
      <c r="BS545" s="450"/>
      <c r="BT545" s="450"/>
      <c r="BU545" s="450"/>
      <c r="BV545" s="450"/>
      <c r="BW545" s="450"/>
      <c r="BX545" s="450"/>
      <c r="BY545" s="450"/>
      <c r="BZ545" s="450"/>
      <c r="CA545" s="450"/>
      <c r="CB545" s="450"/>
      <c r="CC545" s="450"/>
      <c r="CD545" s="450"/>
      <c r="CE545" s="450"/>
      <c r="CF545" s="450"/>
      <c r="CG545" s="450"/>
      <c r="CH545" s="450"/>
    </row>
    <row r="546">
      <c r="A546" s="450"/>
      <c r="B546" s="498"/>
      <c r="C546" s="455"/>
      <c r="D546" s="450"/>
      <c r="E546" s="450"/>
      <c r="F546" s="450"/>
      <c r="G546" s="450"/>
      <c r="H546" s="450"/>
      <c r="I546" s="450"/>
      <c r="J546" s="450"/>
      <c r="K546" s="450"/>
      <c r="L546" s="450"/>
      <c r="M546" s="450"/>
      <c r="N546" s="450"/>
      <c r="O546" s="450"/>
      <c r="P546" s="450"/>
      <c r="Q546" s="450"/>
      <c r="R546" s="450"/>
      <c r="S546" s="450"/>
      <c r="T546" s="450"/>
      <c r="U546" s="450"/>
      <c r="V546" s="450"/>
      <c r="W546" s="450"/>
      <c r="X546" s="450"/>
      <c r="Y546" s="450"/>
      <c r="Z546" s="450"/>
      <c r="AA546" s="450"/>
      <c r="AB546" s="450"/>
      <c r="AC546" s="450"/>
      <c r="AD546" s="450"/>
      <c r="AE546" s="450"/>
      <c r="AF546" s="450"/>
      <c r="AG546" s="450"/>
      <c r="AH546" s="450"/>
      <c r="AI546" s="450"/>
      <c r="AJ546" s="450"/>
      <c r="AK546" s="450"/>
      <c r="AL546" s="450"/>
      <c r="AM546" s="450"/>
      <c r="AN546" s="450"/>
      <c r="AO546" s="450"/>
      <c r="AP546" s="450"/>
      <c r="AQ546" s="450"/>
      <c r="AR546" s="450"/>
      <c r="AS546" s="450"/>
      <c r="AT546" s="450"/>
      <c r="AU546" s="450"/>
      <c r="AV546" s="450"/>
      <c r="AW546" s="450"/>
      <c r="AX546" s="450"/>
      <c r="AY546" s="450"/>
      <c r="AZ546" s="450"/>
      <c r="BA546" s="450"/>
      <c r="BB546" s="450"/>
      <c r="BC546" s="450"/>
      <c r="BD546" s="450"/>
      <c r="BE546" s="450"/>
      <c r="BF546" s="450"/>
      <c r="BG546" s="450"/>
      <c r="BH546" s="450"/>
      <c r="BI546" s="450"/>
      <c r="BJ546" s="450"/>
      <c r="BK546" s="450"/>
      <c r="BL546" s="450"/>
      <c r="BM546" s="450"/>
      <c r="BN546" s="450"/>
      <c r="BO546" s="450"/>
      <c r="BP546" s="450"/>
      <c r="BQ546" s="450"/>
      <c r="BR546" s="450"/>
      <c r="BS546" s="450"/>
      <c r="BT546" s="450"/>
      <c r="BU546" s="450"/>
      <c r="BV546" s="450"/>
      <c r="BW546" s="450"/>
      <c r="BX546" s="450"/>
      <c r="BY546" s="450"/>
      <c r="BZ546" s="450"/>
      <c r="CA546" s="450"/>
      <c r="CB546" s="450"/>
      <c r="CC546" s="450"/>
      <c r="CD546" s="450"/>
      <c r="CE546" s="450"/>
      <c r="CF546" s="450"/>
      <c r="CG546" s="450"/>
      <c r="CH546" s="450"/>
    </row>
    <row r="547">
      <c r="A547" s="450"/>
      <c r="B547" s="498"/>
      <c r="C547" s="455"/>
      <c r="D547" s="450"/>
      <c r="E547" s="450"/>
      <c r="F547" s="450"/>
      <c r="G547" s="450"/>
      <c r="H547" s="450"/>
      <c r="I547" s="450"/>
      <c r="J547" s="450"/>
      <c r="K547" s="450"/>
      <c r="L547" s="450"/>
      <c r="M547" s="450"/>
      <c r="N547" s="450"/>
      <c r="O547" s="450"/>
      <c r="P547" s="450"/>
      <c r="Q547" s="450"/>
      <c r="R547" s="450"/>
      <c r="S547" s="450"/>
      <c r="T547" s="450"/>
      <c r="U547" s="450"/>
      <c r="V547" s="450"/>
      <c r="W547" s="450"/>
      <c r="X547" s="450"/>
      <c r="Y547" s="450"/>
      <c r="Z547" s="450"/>
      <c r="AA547" s="450"/>
      <c r="AB547" s="450"/>
      <c r="AC547" s="450"/>
      <c r="AD547" s="450"/>
      <c r="AE547" s="450"/>
      <c r="AF547" s="450"/>
      <c r="AG547" s="450"/>
      <c r="AH547" s="450"/>
      <c r="AI547" s="450"/>
      <c r="AJ547" s="450"/>
      <c r="AK547" s="450"/>
      <c r="AL547" s="450"/>
      <c r="AM547" s="450"/>
      <c r="AN547" s="450"/>
      <c r="AO547" s="450"/>
      <c r="AP547" s="450"/>
      <c r="AQ547" s="450"/>
      <c r="AR547" s="450"/>
      <c r="AS547" s="450"/>
      <c r="AT547" s="450"/>
      <c r="AU547" s="450"/>
      <c r="AV547" s="450"/>
      <c r="AW547" s="450"/>
      <c r="AX547" s="450"/>
      <c r="AY547" s="450"/>
      <c r="AZ547" s="450"/>
      <c r="BA547" s="450"/>
      <c r="BB547" s="450"/>
      <c r="BC547" s="450"/>
      <c r="BD547" s="450"/>
      <c r="BE547" s="450"/>
      <c r="BF547" s="450"/>
      <c r="BG547" s="450"/>
      <c r="BH547" s="450"/>
      <c r="BI547" s="450"/>
      <c r="BJ547" s="450"/>
      <c r="BK547" s="450"/>
      <c r="BL547" s="450"/>
      <c r="BM547" s="450"/>
      <c r="BN547" s="450"/>
      <c r="BO547" s="450"/>
      <c r="BP547" s="450"/>
      <c r="BQ547" s="450"/>
      <c r="BR547" s="450"/>
      <c r="BS547" s="450"/>
      <c r="BT547" s="450"/>
      <c r="BU547" s="450"/>
      <c r="BV547" s="450"/>
      <c r="BW547" s="450"/>
      <c r="BX547" s="450"/>
      <c r="BY547" s="450"/>
      <c r="BZ547" s="450"/>
      <c r="CA547" s="450"/>
      <c r="CB547" s="450"/>
      <c r="CC547" s="450"/>
      <c r="CD547" s="450"/>
      <c r="CE547" s="450"/>
      <c r="CF547" s="450"/>
      <c r="CG547" s="450"/>
      <c r="CH547" s="450"/>
    </row>
    <row r="548">
      <c r="A548" s="450"/>
      <c r="B548" s="498"/>
      <c r="C548" s="455"/>
      <c r="D548" s="450"/>
      <c r="E548" s="450"/>
      <c r="F548" s="450"/>
      <c r="G548" s="450"/>
      <c r="H548" s="450"/>
      <c r="I548" s="450"/>
      <c r="J548" s="450"/>
      <c r="K548" s="450"/>
      <c r="L548" s="450"/>
      <c r="M548" s="450"/>
      <c r="N548" s="450"/>
      <c r="O548" s="450"/>
      <c r="P548" s="450"/>
      <c r="Q548" s="450"/>
      <c r="R548" s="450"/>
      <c r="S548" s="450"/>
      <c r="T548" s="450"/>
      <c r="U548" s="450"/>
      <c r="V548" s="450"/>
      <c r="W548" s="450"/>
      <c r="X548" s="450"/>
      <c r="Y548" s="450"/>
      <c r="Z548" s="450"/>
      <c r="AA548" s="450"/>
      <c r="AB548" s="450"/>
      <c r="AC548" s="450"/>
      <c r="AD548" s="450"/>
      <c r="AE548" s="450"/>
      <c r="AF548" s="450"/>
      <c r="AG548" s="450"/>
      <c r="AH548" s="450"/>
      <c r="AI548" s="450"/>
      <c r="AJ548" s="450"/>
      <c r="AK548" s="450"/>
      <c r="AL548" s="450"/>
      <c r="AM548" s="450"/>
      <c r="AN548" s="450"/>
      <c r="AO548" s="450"/>
      <c r="AP548" s="450"/>
      <c r="AQ548" s="450"/>
      <c r="AR548" s="450"/>
      <c r="AS548" s="450"/>
      <c r="AT548" s="450"/>
      <c r="AU548" s="450"/>
      <c r="AV548" s="450"/>
      <c r="AW548" s="450"/>
      <c r="AX548" s="450"/>
      <c r="AY548" s="450"/>
      <c r="AZ548" s="450"/>
      <c r="BA548" s="450"/>
      <c r="BB548" s="450"/>
      <c r="BC548" s="450"/>
      <c r="BD548" s="450"/>
      <c r="BE548" s="450"/>
      <c r="BF548" s="450"/>
      <c r="BG548" s="450"/>
      <c r="BH548" s="450"/>
      <c r="BI548" s="450"/>
      <c r="BJ548" s="450"/>
      <c r="BK548" s="450"/>
      <c r="BL548" s="450"/>
      <c r="BM548" s="450"/>
      <c r="BN548" s="450"/>
      <c r="BO548" s="450"/>
      <c r="BP548" s="450"/>
      <c r="BQ548" s="450"/>
      <c r="BR548" s="450"/>
      <c r="BS548" s="450"/>
      <c r="BT548" s="450"/>
      <c r="BU548" s="450"/>
      <c r="BV548" s="450"/>
      <c r="BW548" s="450"/>
      <c r="BX548" s="450"/>
      <c r="BY548" s="450"/>
      <c r="BZ548" s="450"/>
      <c r="CA548" s="450"/>
      <c r="CB548" s="450"/>
      <c r="CC548" s="450"/>
      <c r="CD548" s="450"/>
      <c r="CE548" s="450"/>
      <c r="CF548" s="450"/>
      <c r="CG548" s="450"/>
      <c r="CH548" s="450"/>
    </row>
    <row r="549">
      <c r="A549" s="450"/>
      <c r="B549" s="498"/>
      <c r="C549" s="455"/>
      <c r="D549" s="450"/>
      <c r="E549" s="450"/>
      <c r="F549" s="450"/>
      <c r="G549" s="450"/>
      <c r="H549" s="450"/>
      <c r="I549" s="450"/>
      <c r="J549" s="450"/>
      <c r="K549" s="450"/>
      <c r="L549" s="450"/>
      <c r="M549" s="450"/>
      <c r="N549" s="450"/>
      <c r="O549" s="450"/>
      <c r="P549" s="450"/>
      <c r="Q549" s="450"/>
      <c r="R549" s="450"/>
      <c r="S549" s="450"/>
      <c r="T549" s="450"/>
      <c r="U549" s="450"/>
      <c r="V549" s="450"/>
      <c r="W549" s="450"/>
      <c r="X549" s="450"/>
      <c r="Y549" s="450"/>
      <c r="Z549" s="450"/>
      <c r="AA549" s="450"/>
      <c r="AB549" s="450"/>
      <c r="AC549" s="450"/>
      <c r="AD549" s="450"/>
      <c r="AE549" s="450"/>
      <c r="AF549" s="450"/>
      <c r="AG549" s="450"/>
      <c r="AH549" s="450"/>
      <c r="AI549" s="450"/>
      <c r="AJ549" s="450"/>
      <c r="AK549" s="450"/>
      <c r="AL549" s="450"/>
      <c r="AM549" s="450"/>
      <c r="AN549" s="450"/>
      <c r="AO549" s="450"/>
      <c r="AP549" s="450"/>
      <c r="AQ549" s="450"/>
      <c r="AR549" s="450"/>
      <c r="AS549" s="450"/>
      <c r="AT549" s="450"/>
      <c r="AU549" s="450"/>
      <c r="AV549" s="450"/>
      <c r="AW549" s="450"/>
      <c r="AX549" s="450"/>
      <c r="AY549" s="450"/>
      <c r="AZ549" s="450"/>
      <c r="BA549" s="450"/>
      <c r="BB549" s="450"/>
      <c r="BC549" s="450"/>
      <c r="BD549" s="450"/>
      <c r="BE549" s="450"/>
      <c r="BF549" s="450"/>
      <c r="BG549" s="450"/>
      <c r="BH549" s="450"/>
      <c r="BI549" s="450"/>
      <c r="BJ549" s="450"/>
      <c r="BK549" s="450"/>
      <c r="BL549" s="450"/>
      <c r="BM549" s="450"/>
      <c r="BN549" s="450"/>
      <c r="BO549" s="450"/>
      <c r="BP549" s="450"/>
      <c r="BQ549" s="450"/>
      <c r="BR549" s="450"/>
      <c r="BS549" s="450"/>
      <c r="BT549" s="450"/>
      <c r="BU549" s="450"/>
      <c r="BV549" s="450"/>
      <c r="BW549" s="450"/>
      <c r="BX549" s="450"/>
      <c r="BY549" s="450"/>
      <c r="BZ549" s="450"/>
      <c r="CA549" s="450"/>
      <c r="CB549" s="450"/>
      <c r="CC549" s="450"/>
      <c r="CD549" s="450"/>
      <c r="CE549" s="450"/>
      <c r="CF549" s="450"/>
      <c r="CG549" s="450"/>
      <c r="CH549" s="450"/>
    </row>
    <row r="550">
      <c r="A550" s="450"/>
      <c r="B550" s="498"/>
      <c r="C550" s="455"/>
      <c r="D550" s="450"/>
      <c r="E550" s="450"/>
      <c r="F550" s="450"/>
      <c r="G550" s="450"/>
      <c r="H550" s="450"/>
      <c r="I550" s="450"/>
      <c r="J550" s="450"/>
      <c r="K550" s="450"/>
      <c r="L550" s="450"/>
      <c r="M550" s="450"/>
      <c r="N550" s="450"/>
      <c r="O550" s="450"/>
      <c r="P550" s="450"/>
      <c r="Q550" s="450"/>
      <c r="R550" s="450"/>
      <c r="S550" s="450"/>
      <c r="T550" s="450"/>
      <c r="U550" s="450"/>
      <c r="V550" s="450"/>
      <c r="W550" s="450"/>
      <c r="X550" s="450"/>
      <c r="Y550" s="450"/>
      <c r="Z550" s="450"/>
      <c r="AA550" s="450"/>
      <c r="AB550" s="450"/>
      <c r="AC550" s="450"/>
      <c r="AD550" s="450"/>
      <c r="AE550" s="450"/>
      <c r="AF550" s="450"/>
      <c r="AG550" s="450"/>
      <c r="AH550" s="450"/>
      <c r="AI550" s="450"/>
      <c r="AJ550" s="450"/>
      <c r="AK550" s="450"/>
      <c r="AL550" s="450"/>
      <c r="AM550" s="450"/>
      <c r="AN550" s="450"/>
      <c r="AO550" s="450"/>
      <c r="AP550" s="450"/>
      <c r="AQ550" s="450"/>
      <c r="AR550" s="450"/>
      <c r="AS550" s="450"/>
      <c r="AT550" s="450"/>
      <c r="AU550" s="450"/>
      <c r="AV550" s="450"/>
      <c r="AW550" s="450"/>
      <c r="AX550" s="450"/>
      <c r="AY550" s="450"/>
      <c r="AZ550" s="450"/>
      <c r="BA550" s="450"/>
      <c r="BB550" s="450"/>
      <c r="BC550" s="450"/>
      <c r="BD550" s="450"/>
      <c r="BE550" s="450"/>
      <c r="BF550" s="450"/>
      <c r="BG550" s="450"/>
      <c r="BH550" s="450"/>
      <c r="BI550" s="450"/>
      <c r="BJ550" s="450"/>
      <c r="BK550" s="450"/>
      <c r="BL550" s="450"/>
      <c r="BM550" s="450"/>
      <c r="BN550" s="450"/>
      <c r="BO550" s="450"/>
      <c r="BP550" s="450"/>
      <c r="BQ550" s="450"/>
      <c r="BR550" s="450"/>
      <c r="BS550" s="450"/>
      <c r="BT550" s="450"/>
      <c r="BU550" s="450"/>
      <c r="BV550" s="450"/>
      <c r="BW550" s="450"/>
      <c r="BX550" s="450"/>
      <c r="BY550" s="450"/>
      <c r="BZ550" s="450"/>
      <c r="CA550" s="450"/>
      <c r="CB550" s="450"/>
      <c r="CC550" s="450"/>
      <c r="CD550" s="450"/>
      <c r="CE550" s="450"/>
      <c r="CF550" s="450"/>
      <c r="CG550" s="450"/>
      <c r="CH550" s="450"/>
    </row>
    <row r="551">
      <c r="A551" s="450"/>
      <c r="B551" s="498"/>
      <c r="C551" s="455"/>
      <c r="D551" s="450"/>
      <c r="E551" s="450"/>
      <c r="F551" s="450"/>
      <c r="G551" s="450"/>
      <c r="H551" s="450"/>
      <c r="I551" s="450"/>
      <c r="J551" s="450"/>
      <c r="K551" s="450"/>
      <c r="L551" s="450"/>
      <c r="M551" s="450"/>
      <c r="N551" s="450"/>
      <c r="O551" s="450"/>
      <c r="P551" s="450"/>
      <c r="Q551" s="450"/>
      <c r="R551" s="450"/>
      <c r="S551" s="450"/>
      <c r="T551" s="450"/>
      <c r="U551" s="450"/>
      <c r="V551" s="450"/>
      <c r="W551" s="450"/>
      <c r="X551" s="450"/>
      <c r="Y551" s="450"/>
      <c r="Z551" s="450"/>
      <c r="AA551" s="450"/>
      <c r="AB551" s="450"/>
      <c r="AC551" s="450"/>
      <c r="AD551" s="450"/>
      <c r="AE551" s="450"/>
      <c r="AF551" s="450"/>
      <c r="AG551" s="450"/>
      <c r="AH551" s="450"/>
      <c r="AI551" s="450"/>
      <c r="AJ551" s="450"/>
      <c r="AK551" s="450"/>
      <c r="AL551" s="450"/>
      <c r="AM551" s="450"/>
      <c r="AN551" s="450"/>
      <c r="AO551" s="450"/>
      <c r="AP551" s="450"/>
      <c r="AQ551" s="450"/>
      <c r="AR551" s="450"/>
      <c r="AS551" s="450"/>
      <c r="AT551" s="450"/>
      <c r="AU551" s="450"/>
      <c r="AV551" s="450"/>
      <c r="AW551" s="450"/>
      <c r="AX551" s="450"/>
      <c r="AY551" s="450"/>
      <c r="AZ551" s="450"/>
      <c r="BA551" s="450"/>
      <c r="BB551" s="450"/>
      <c r="BC551" s="450"/>
      <c r="BD551" s="450"/>
      <c r="BE551" s="450"/>
      <c r="BF551" s="450"/>
      <c r="BG551" s="450"/>
      <c r="BH551" s="450"/>
      <c r="BI551" s="450"/>
      <c r="BJ551" s="450"/>
      <c r="BK551" s="450"/>
      <c r="BL551" s="450"/>
      <c r="BM551" s="450"/>
      <c r="BN551" s="450"/>
      <c r="BO551" s="450"/>
      <c r="BP551" s="450"/>
      <c r="BQ551" s="450"/>
      <c r="BR551" s="450"/>
      <c r="BS551" s="450"/>
      <c r="BT551" s="450"/>
      <c r="BU551" s="450"/>
      <c r="BV551" s="450"/>
      <c r="BW551" s="450"/>
      <c r="BX551" s="450"/>
      <c r="BY551" s="450"/>
      <c r="BZ551" s="450"/>
      <c r="CA551" s="450"/>
      <c r="CB551" s="450"/>
      <c r="CC551" s="450"/>
      <c r="CD551" s="450"/>
      <c r="CE551" s="450"/>
      <c r="CF551" s="450"/>
      <c r="CG551" s="450"/>
      <c r="CH551" s="450"/>
    </row>
    <row r="552">
      <c r="A552" s="450"/>
      <c r="B552" s="498"/>
      <c r="C552" s="455"/>
      <c r="D552" s="450"/>
      <c r="E552" s="450"/>
      <c r="F552" s="450"/>
      <c r="G552" s="450"/>
      <c r="H552" s="450"/>
      <c r="I552" s="450"/>
      <c r="J552" s="450"/>
      <c r="K552" s="450"/>
      <c r="L552" s="450"/>
      <c r="M552" s="450"/>
      <c r="N552" s="450"/>
      <c r="O552" s="450"/>
      <c r="P552" s="450"/>
      <c r="Q552" s="450"/>
      <c r="R552" s="450"/>
      <c r="S552" s="450"/>
      <c r="T552" s="450"/>
      <c r="U552" s="450"/>
      <c r="V552" s="450"/>
      <c r="W552" s="450"/>
      <c r="X552" s="450"/>
      <c r="Y552" s="450"/>
      <c r="Z552" s="450"/>
      <c r="AA552" s="450"/>
      <c r="AB552" s="450"/>
      <c r="AC552" s="450"/>
      <c r="AD552" s="450"/>
      <c r="AE552" s="450"/>
      <c r="AF552" s="450"/>
      <c r="AG552" s="450"/>
      <c r="AH552" s="450"/>
      <c r="AI552" s="450"/>
      <c r="AJ552" s="450"/>
      <c r="AK552" s="450"/>
      <c r="AL552" s="450"/>
      <c r="AM552" s="450"/>
      <c r="AN552" s="450"/>
      <c r="AO552" s="450"/>
      <c r="AP552" s="450"/>
      <c r="AQ552" s="450"/>
      <c r="AR552" s="450"/>
      <c r="AS552" s="450"/>
      <c r="AT552" s="450"/>
      <c r="AU552" s="450"/>
      <c r="AV552" s="450"/>
      <c r="AW552" s="450"/>
      <c r="AX552" s="450"/>
      <c r="AY552" s="450"/>
      <c r="AZ552" s="450"/>
      <c r="BA552" s="450"/>
      <c r="BB552" s="450"/>
      <c r="BC552" s="450"/>
      <c r="BD552" s="450"/>
      <c r="BE552" s="450"/>
      <c r="BF552" s="450"/>
      <c r="BG552" s="450"/>
      <c r="BH552" s="450"/>
      <c r="BI552" s="450"/>
      <c r="BJ552" s="450"/>
      <c r="BK552" s="450"/>
      <c r="BL552" s="450"/>
      <c r="BM552" s="450"/>
      <c r="BN552" s="450"/>
      <c r="BO552" s="450"/>
      <c r="BP552" s="450"/>
      <c r="BQ552" s="450"/>
      <c r="BR552" s="450"/>
      <c r="BS552" s="450"/>
      <c r="BT552" s="450"/>
      <c r="BU552" s="450"/>
      <c r="BV552" s="450"/>
      <c r="BW552" s="450"/>
      <c r="BX552" s="450"/>
      <c r="BY552" s="450"/>
      <c r="BZ552" s="450"/>
      <c r="CA552" s="450"/>
      <c r="CB552" s="450"/>
      <c r="CC552" s="450"/>
      <c r="CD552" s="450"/>
      <c r="CE552" s="450"/>
      <c r="CF552" s="450"/>
      <c r="CG552" s="450"/>
      <c r="CH552" s="450"/>
    </row>
    <row r="553">
      <c r="A553" s="450"/>
      <c r="B553" s="498"/>
      <c r="C553" s="455"/>
      <c r="D553" s="450"/>
      <c r="E553" s="450"/>
      <c r="F553" s="450"/>
      <c r="G553" s="450"/>
      <c r="H553" s="450"/>
      <c r="I553" s="450"/>
      <c r="J553" s="450"/>
      <c r="K553" s="450"/>
      <c r="L553" s="450"/>
      <c r="M553" s="450"/>
      <c r="N553" s="450"/>
      <c r="O553" s="450"/>
      <c r="P553" s="450"/>
      <c r="Q553" s="450"/>
      <c r="R553" s="450"/>
      <c r="S553" s="450"/>
      <c r="T553" s="450"/>
      <c r="U553" s="450"/>
      <c r="V553" s="450"/>
      <c r="W553" s="450"/>
      <c r="X553" s="450"/>
      <c r="Y553" s="450"/>
      <c r="Z553" s="450"/>
      <c r="AA553" s="450"/>
      <c r="AB553" s="450"/>
      <c r="AC553" s="450"/>
      <c r="AD553" s="450"/>
      <c r="AE553" s="450"/>
      <c r="AF553" s="450"/>
      <c r="AG553" s="450"/>
      <c r="AH553" s="450"/>
      <c r="AI553" s="450"/>
      <c r="AJ553" s="450"/>
      <c r="AK553" s="450"/>
      <c r="AL553" s="450"/>
      <c r="AM553" s="450"/>
      <c r="AN553" s="450"/>
      <c r="AO553" s="450"/>
      <c r="AP553" s="450"/>
      <c r="AQ553" s="450"/>
      <c r="AR553" s="450"/>
      <c r="AS553" s="450"/>
      <c r="AT553" s="450"/>
      <c r="AU553" s="450"/>
      <c r="AV553" s="450"/>
      <c r="AW553" s="450"/>
      <c r="AX553" s="450"/>
      <c r="AY553" s="450"/>
      <c r="AZ553" s="450"/>
      <c r="BA553" s="450"/>
      <c r="BB553" s="450"/>
      <c r="BC553" s="450"/>
      <c r="BD553" s="450"/>
      <c r="BE553" s="450"/>
      <c r="BF553" s="450"/>
      <c r="BG553" s="450"/>
      <c r="BH553" s="450"/>
      <c r="BI553" s="450"/>
      <c r="BJ553" s="450"/>
      <c r="BK553" s="450"/>
      <c r="BL553" s="450"/>
      <c r="BM553" s="450"/>
      <c r="BN553" s="450"/>
      <c r="BO553" s="450"/>
      <c r="BP553" s="450"/>
      <c r="BQ553" s="450"/>
      <c r="BR553" s="450"/>
      <c r="BS553" s="450"/>
      <c r="BT553" s="450"/>
      <c r="BU553" s="450"/>
      <c r="BV553" s="450"/>
      <c r="BW553" s="450"/>
      <c r="BX553" s="450"/>
      <c r="BY553" s="450"/>
      <c r="BZ553" s="450"/>
      <c r="CA553" s="450"/>
      <c r="CB553" s="450"/>
      <c r="CC553" s="450"/>
      <c r="CD553" s="450"/>
      <c r="CE553" s="450"/>
      <c r="CF553" s="450"/>
      <c r="CG553" s="450"/>
      <c r="CH553" s="450"/>
    </row>
    <row r="554">
      <c r="A554" s="450"/>
      <c r="B554" s="498"/>
      <c r="C554" s="455"/>
      <c r="D554" s="450"/>
      <c r="E554" s="450"/>
      <c r="F554" s="450"/>
      <c r="G554" s="450"/>
      <c r="H554" s="450"/>
      <c r="I554" s="450"/>
      <c r="J554" s="450"/>
      <c r="K554" s="450"/>
      <c r="L554" s="450"/>
      <c r="M554" s="450"/>
      <c r="N554" s="450"/>
      <c r="O554" s="450"/>
      <c r="P554" s="450"/>
      <c r="Q554" s="450"/>
      <c r="R554" s="450"/>
      <c r="S554" s="450"/>
      <c r="T554" s="450"/>
      <c r="U554" s="450"/>
      <c r="V554" s="450"/>
      <c r="W554" s="450"/>
      <c r="X554" s="450"/>
      <c r="Y554" s="450"/>
      <c r="Z554" s="450"/>
      <c r="AA554" s="450"/>
      <c r="AB554" s="450"/>
      <c r="AC554" s="450"/>
      <c r="AD554" s="450"/>
      <c r="AE554" s="450"/>
      <c r="AF554" s="450"/>
      <c r="AG554" s="450"/>
      <c r="AH554" s="450"/>
      <c r="AI554" s="450"/>
      <c r="AJ554" s="450"/>
      <c r="AK554" s="450"/>
      <c r="AL554" s="450"/>
      <c r="AM554" s="450"/>
      <c r="AN554" s="450"/>
      <c r="AO554" s="450"/>
      <c r="AP554" s="450"/>
      <c r="AQ554" s="450"/>
      <c r="AR554" s="450"/>
      <c r="AS554" s="450"/>
      <c r="AT554" s="450"/>
      <c r="AU554" s="450"/>
      <c r="AV554" s="450"/>
      <c r="AW554" s="450"/>
      <c r="AX554" s="450"/>
      <c r="AY554" s="450"/>
      <c r="AZ554" s="450"/>
      <c r="BA554" s="450"/>
      <c r="BB554" s="450"/>
      <c r="BC554" s="450"/>
      <c r="BD554" s="450"/>
      <c r="BE554" s="450"/>
      <c r="BF554" s="450"/>
      <c r="BG554" s="450"/>
      <c r="BH554" s="450"/>
      <c r="BI554" s="450"/>
      <c r="BJ554" s="450"/>
      <c r="BK554" s="450"/>
      <c r="BL554" s="450"/>
      <c r="BM554" s="450"/>
      <c r="BN554" s="450"/>
      <c r="BO554" s="450"/>
      <c r="BP554" s="450"/>
      <c r="BQ554" s="450"/>
      <c r="BR554" s="450"/>
      <c r="BS554" s="450"/>
      <c r="BT554" s="450"/>
      <c r="BU554" s="450"/>
      <c r="BV554" s="450"/>
      <c r="BW554" s="450"/>
      <c r="BX554" s="450"/>
      <c r="BY554" s="450"/>
      <c r="BZ554" s="450"/>
      <c r="CA554" s="450"/>
      <c r="CB554" s="450"/>
      <c r="CC554" s="450"/>
      <c r="CD554" s="450"/>
      <c r="CE554" s="450"/>
      <c r="CF554" s="450"/>
      <c r="CG554" s="450"/>
      <c r="CH554" s="450"/>
    </row>
    <row r="555">
      <c r="A555" s="450"/>
      <c r="B555" s="498"/>
      <c r="C555" s="455"/>
      <c r="D555" s="450"/>
      <c r="E555" s="450"/>
      <c r="F555" s="450"/>
      <c r="G555" s="450"/>
      <c r="H555" s="450"/>
      <c r="I555" s="450"/>
      <c r="J555" s="450"/>
      <c r="K555" s="450"/>
      <c r="L555" s="450"/>
      <c r="M555" s="450"/>
      <c r="N555" s="450"/>
      <c r="O555" s="450"/>
      <c r="P555" s="450"/>
      <c r="Q555" s="450"/>
      <c r="R555" s="450"/>
      <c r="S555" s="450"/>
      <c r="T555" s="450"/>
      <c r="U555" s="450"/>
      <c r="V555" s="450"/>
      <c r="W555" s="450"/>
      <c r="X555" s="450"/>
      <c r="Y555" s="450"/>
      <c r="Z555" s="450"/>
      <c r="AA555" s="450"/>
      <c r="AB555" s="450"/>
      <c r="AC555" s="450"/>
      <c r="AD555" s="450"/>
      <c r="AE555" s="450"/>
      <c r="AF555" s="450"/>
      <c r="AG555" s="450"/>
      <c r="AH555" s="450"/>
      <c r="AI555" s="450"/>
      <c r="AJ555" s="450"/>
      <c r="AK555" s="450"/>
      <c r="AL555" s="450"/>
      <c r="AM555" s="450"/>
      <c r="AN555" s="450"/>
      <c r="AO555" s="450"/>
      <c r="AP555" s="450"/>
      <c r="AQ555" s="450"/>
      <c r="AR555" s="450"/>
      <c r="AS555" s="450"/>
      <c r="AT555" s="450"/>
      <c r="AU555" s="450"/>
      <c r="AV555" s="450"/>
      <c r="AW555" s="450"/>
      <c r="AX555" s="450"/>
      <c r="AY555" s="450"/>
      <c r="AZ555" s="450"/>
      <c r="BA555" s="450"/>
      <c r="BB555" s="450"/>
      <c r="BC555" s="450"/>
      <c r="BD555" s="450"/>
      <c r="BE555" s="450"/>
      <c r="BF555" s="450"/>
      <c r="BG555" s="450"/>
      <c r="BH555" s="450"/>
      <c r="BI555" s="450"/>
      <c r="BJ555" s="450"/>
      <c r="BK555" s="450"/>
      <c r="BL555" s="450"/>
      <c r="BM555" s="450"/>
      <c r="BN555" s="450"/>
      <c r="BO555" s="450"/>
      <c r="BP555" s="450"/>
      <c r="BQ555" s="450"/>
      <c r="BR555" s="450"/>
      <c r="BS555" s="450"/>
      <c r="BT555" s="450"/>
      <c r="BU555" s="450"/>
      <c r="BV555" s="450"/>
      <c r="BW555" s="450"/>
      <c r="BX555" s="450"/>
      <c r="BY555" s="450"/>
      <c r="BZ555" s="450"/>
      <c r="CA555" s="450"/>
      <c r="CB555" s="450"/>
      <c r="CC555" s="450"/>
      <c r="CD555" s="450"/>
      <c r="CE555" s="450"/>
      <c r="CF555" s="450"/>
      <c r="CG555" s="450"/>
      <c r="CH555" s="450"/>
    </row>
    <row r="556">
      <c r="A556" s="450"/>
      <c r="B556" s="498"/>
      <c r="C556" s="455"/>
      <c r="D556" s="450"/>
      <c r="E556" s="450"/>
      <c r="F556" s="450"/>
      <c r="G556" s="450"/>
      <c r="H556" s="450"/>
      <c r="I556" s="450"/>
      <c r="J556" s="450"/>
      <c r="K556" s="450"/>
      <c r="L556" s="450"/>
      <c r="M556" s="450"/>
      <c r="N556" s="450"/>
      <c r="O556" s="450"/>
      <c r="P556" s="450"/>
      <c r="Q556" s="450"/>
      <c r="R556" s="450"/>
      <c r="S556" s="450"/>
      <c r="T556" s="450"/>
      <c r="U556" s="450"/>
      <c r="V556" s="450"/>
      <c r="W556" s="450"/>
      <c r="X556" s="450"/>
      <c r="Y556" s="450"/>
      <c r="Z556" s="450"/>
      <c r="AA556" s="450"/>
      <c r="AB556" s="450"/>
      <c r="AC556" s="450"/>
      <c r="AD556" s="450"/>
      <c r="AE556" s="450"/>
      <c r="AF556" s="450"/>
      <c r="AG556" s="450"/>
      <c r="AH556" s="450"/>
      <c r="AI556" s="450"/>
      <c r="AJ556" s="450"/>
      <c r="AK556" s="450"/>
      <c r="AL556" s="450"/>
      <c r="AM556" s="450"/>
      <c r="AN556" s="450"/>
      <c r="AO556" s="450"/>
      <c r="AP556" s="450"/>
      <c r="AQ556" s="450"/>
      <c r="AR556" s="450"/>
      <c r="AS556" s="450"/>
      <c r="AT556" s="450"/>
      <c r="AU556" s="450"/>
      <c r="AV556" s="450"/>
      <c r="AW556" s="450"/>
      <c r="AX556" s="450"/>
      <c r="AY556" s="450"/>
      <c r="AZ556" s="450"/>
      <c r="BA556" s="450"/>
      <c r="BB556" s="450"/>
      <c r="BC556" s="450"/>
      <c r="BD556" s="450"/>
      <c r="BE556" s="450"/>
      <c r="BF556" s="450"/>
      <c r="BG556" s="450"/>
      <c r="BH556" s="450"/>
      <c r="BI556" s="450"/>
      <c r="BJ556" s="450"/>
      <c r="BK556" s="450"/>
      <c r="BL556" s="450"/>
      <c r="BM556" s="450"/>
      <c r="BN556" s="450"/>
      <c r="BO556" s="450"/>
      <c r="BP556" s="450"/>
      <c r="BQ556" s="450"/>
      <c r="BR556" s="450"/>
      <c r="BS556" s="450"/>
      <c r="BT556" s="450"/>
      <c r="BU556" s="450"/>
      <c r="BV556" s="450"/>
      <c r="BW556" s="450"/>
      <c r="BX556" s="450"/>
      <c r="BY556" s="450"/>
      <c r="BZ556" s="450"/>
      <c r="CA556" s="450"/>
      <c r="CB556" s="450"/>
      <c r="CC556" s="450"/>
      <c r="CD556" s="450"/>
      <c r="CE556" s="450"/>
      <c r="CF556" s="450"/>
      <c r="CG556" s="450"/>
      <c r="CH556" s="450"/>
    </row>
    <row r="557">
      <c r="A557" s="450"/>
      <c r="B557" s="498"/>
      <c r="C557" s="455"/>
      <c r="D557" s="450"/>
      <c r="E557" s="450"/>
      <c r="F557" s="450"/>
      <c r="G557" s="450"/>
      <c r="H557" s="450"/>
      <c r="I557" s="450"/>
      <c r="J557" s="450"/>
      <c r="K557" s="450"/>
      <c r="L557" s="450"/>
      <c r="M557" s="450"/>
      <c r="N557" s="450"/>
      <c r="O557" s="450"/>
      <c r="P557" s="450"/>
      <c r="Q557" s="450"/>
      <c r="R557" s="450"/>
      <c r="S557" s="450"/>
      <c r="T557" s="450"/>
      <c r="U557" s="450"/>
      <c r="V557" s="450"/>
      <c r="W557" s="450"/>
      <c r="X557" s="450"/>
      <c r="Y557" s="450"/>
      <c r="Z557" s="450"/>
      <c r="AA557" s="450"/>
      <c r="AB557" s="450"/>
      <c r="AC557" s="450"/>
      <c r="AD557" s="450"/>
      <c r="AE557" s="450"/>
      <c r="AF557" s="450"/>
      <c r="AG557" s="450"/>
      <c r="AH557" s="450"/>
      <c r="AI557" s="450"/>
      <c r="AJ557" s="450"/>
      <c r="AK557" s="450"/>
      <c r="AL557" s="450"/>
      <c r="AM557" s="450"/>
      <c r="AN557" s="450"/>
      <c r="AO557" s="450"/>
      <c r="AP557" s="450"/>
      <c r="AQ557" s="450"/>
      <c r="AR557" s="450"/>
      <c r="AS557" s="450"/>
      <c r="AT557" s="450"/>
      <c r="AU557" s="450"/>
      <c r="AV557" s="450"/>
      <c r="AW557" s="450"/>
      <c r="AX557" s="450"/>
      <c r="AY557" s="450"/>
      <c r="AZ557" s="450"/>
      <c r="BA557" s="450"/>
      <c r="BB557" s="450"/>
      <c r="BC557" s="450"/>
      <c r="BD557" s="450"/>
      <c r="BE557" s="450"/>
      <c r="BF557" s="450"/>
      <c r="BG557" s="450"/>
      <c r="BH557" s="450"/>
      <c r="BI557" s="450"/>
      <c r="BJ557" s="450"/>
      <c r="BK557" s="450"/>
      <c r="BL557" s="450"/>
      <c r="BM557" s="450"/>
      <c r="BN557" s="450"/>
      <c r="BO557" s="450"/>
      <c r="BP557" s="450"/>
      <c r="BQ557" s="450"/>
      <c r="BR557" s="450"/>
      <c r="BS557" s="450"/>
      <c r="BT557" s="450"/>
      <c r="BU557" s="450"/>
      <c r="BV557" s="450"/>
      <c r="BW557" s="450"/>
      <c r="BX557" s="450"/>
      <c r="BY557" s="450"/>
      <c r="BZ557" s="450"/>
      <c r="CA557" s="450"/>
      <c r="CB557" s="450"/>
      <c r="CC557" s="450"/>
      <c r="CD557" s="450"/>
      <c r="CE557" s="450"/>
      <c r="CF557" s="450"/>
      <c r="CG557" s="450"/>
      <c r="CH557" s="450"/>
    </row>
    <row r="558">
      <c r="A558" s="450"/>
      <c r="B558" s="498"/>
      <c r="C558" s="455"/>
      <c r="D558" s="450"/>
      <c r="E558" s="450"/>
      <c r="F558" s="450"/>
      <c r="G558" s="450"/>
      <c r="H558" s="450"/>
      <c r="I558" s="450"/>
      <c r="J558" s="450"/>
      <c r="K558" s="450"/>
      <c r="L558" s="450"/>
      <c r="M558" s="450"/>
      <c r="N558" s="450"/>
      <c r="O558" s="450"/>
      <c r="P558" s="450"/>
      <c r="Q558" s="450"/>
      <c r="R558" s="450"/>
      <c r="S558" s="450"/>
      <c r="T558" s="450"/>
      <c r="U558" s="450"/>
      <c r="V558" s="450"/>
      <c r="W558" s="450"/>
      <c r="X558" s="450"/>
      <c r="Y558" s="450"/>
      <c r="Z558" s="450"/>
      <c r="AA558" s="450"/>
      <c r="AB558" s="450"/>
      <c r="AC558" s="450"/>
      <c r="AD558" s="450"/>
      <c r="AE558" s="450"/>
      <c r="AF558" s="450"/>
      <c r="AG558" s="450"/>
      <c r="AH558" s="450"/>
      <c r="AI558" s="450"/>
      <c r="AJ558" s="450"/>
      <c r="AK558" s="450"/>
      <c r="AL558" s="450"/>
      <c r="AM558" s="450"/>
      <c r="AN558" s="450"/>
      <c r="AO558" s="450"/>
      <c r="AP558" s="450"/>
      <c r="AQ558" s="450"/>
      <c r="AR558" s="450"/>
      <c r="AS558" s="450"/>
      <c r="AT558" s="450"/>
      <c r="AU558" s="450"/>
      <c r="AV558" s="450"/>
      <c r="AW558" s="450"/>
      <c r="AX558" s="450"/>
      <c r="AY558" s="450"/>
      <c r="AZ558" s="450"/>
      <c r="BA558" s="450"/>
      <c r="BB558" s="450"/>
      <c r="BC558" s="450"/>
      <c r="BD558" s="450"/>
      <c r="BE558" s="450"/>
      <c r="BF558" s="450"/>
      <c r="BG558" s="450"/>
      <c r="BH558" s="450"/>
      <c r="BI558" s="450"/>
      <c r="BJ558" s="450"/>
      <c r="BK558" s="450"/>
      <c r="BL558" s="450"/>
      <c r="BM558" s="450"/>
      <c r="BN558" s="450"/>
      <c r="BO558" s="450"/>
      <c r="BP558" s="450"/>
      <c r="BQ558" s="450"/>
      <c r="BR558" s="450"/>
      <c r="BS558" s="450"/>
      <c r="BT558" s="450"/>
      <c r="BU558" s="450"/>
      <c r="BV558" s="450"/>
      <c r="BW558" s="450"/>
      <c r="BX558" s="450"/>
      <c r="BY558" s="450"/>
      <c r="BZ558" s="450"/>
      <c r="CA558" s="450"/>
      <c r="CB558" s="450"/>
      <c r="CC558" s="450"/>
      <c r="CD558" s="450"/>
      <c r="CE558" s="450"/>
      <c r="CF558" s="450"/>
      <c r="CG558" s="450"/>
      <c r="CH558" s="450"/>
    </row>
    <row r="559">
      <c r="A559" s="450"/>
      <c r="B559" s="498"/>
      <c r="C559" s="455"/>
      <c r="D559" s="450"/>
      <c r="E559" s="450"/>
      <c r="F559" s="450"/>
      <c r="G559" s="450"/>
      <c r="H559" s="450"/>
      <c r="I559" s="450"/>
      <c r="J559" s="450"/>
      <c r="K559" s="450"/>
      <c r="L559" s="450"/>
      <c r="M559" s="450"/>
      <c r="N559" s="450"/>
      <c r="O559" s="450"/>
      <c r="P559" s="450"/>
      <c r="Q559" s="450"/>
      <c r="R559" s="450"/>
      <c r="S559" s="450"/>
      <c r="T559" s="450"/>
      <c r="U559" s="450"/>
      <c r="V559" s="450"/>
      <c r="W559" s="450"/>
      <c r="X559" s="450"/>
      <c r="Y559" s="450"/>
      <c r="Z559" s="450"/>
      <c r="AA559" s="450"/>
      <c r="AB559" s="450"/>
      <c r="AC559" s="450"/>
      <c r="AD559" s="450"/>
      <c r="AE559" s="450"/>
      <c r="AF559" s="450"/>
      <c r="AG559" s="450"/>
      <c r="AH559" s="450"/>
      <c r="AI559" s="450"/>
      <c r="AJ559" s="450"/>
      <c r="AK559" s="450"/>
      <c r="AL559" s="450"/>
      <c r="AM559" s="450"/>
      <c r="AN559" s="450"/>
      <c r="AO559" s="450"/>
      <c r="AP559" s="450"/>
      <c r="AQ559" s="450"/>
      <c r="AR559" s="450"/>
      <c r="AS559" s="450"/>
      <c r="AT559" s="450"/>
      <c r="AU559" s="450"/>
      <c r="AV559" s="450"/>
      <c r="AW559" s="450"/>
      <c r="AX559" s="450"/>
      <c r="AY559" s="450"/>
      <c r="AZ559" s="450"/>
      <c r="BA559" s="450"/>
      <c r="BB559" s="450"/>
      <c r="BC559" s="450"/>
      <c r="BD559" s="450"/>
      <c r="BE559" s="450"/>
      <c r="BF559" s="450"/>
      <c r="BG559" s="450"/>
      <c r="BH559" s="450"/>
      <c r="BI559" s="450"/>
      <c r="BJ559" s="450"/>
      <c r="BK559" s="450"/>
      <c r="BL559" s="450"/>
      <c r="BM559" s="450"/>
      <c r="BN559" s="450"/>
      <c r="BO559" s="450"/>
      <c r="BP559" s="450"/>
      <c r="BQ559" s="450"/>
      <c r="BR559" s="450"/>
      <c r="BS559" s="450"/>
      <c r="BT559" s="450"/>
      <c r="BU559" s="450"/>
      <c r="BV559" s="450"/>
      <c r="BW559" s="450"/>
      <c r="BX559" s="450"/>
      <c r="BY559" s="450"/>
      <c r="BZ559" s="450"/>
      <c r="CA559" s="450"/>
      <c r="CB559" s="450"/>
      <c r="CC559" s="450"/>
      <c r="CD559" s="450"/>
      <c r="CE559" s="450"/>
      <c r="CF559" s="450"/>
      <c r="CG559" s="450"/>
      <c r="CH559" s="450"/>
    </row>
    <row r="560">
      <c r="A560" s="450"/>
      <c r="B560" s="498"/>
      <c r="C560" s="455"/>
      <c r="D560" s="450"/>
      <c r="E560" s="450"/>
      <c r="F560" s="450"/>
      <c r="G560" s="450"/>
      <c r="H560" s="450"/>
      <c r="I560" s="450"/>
      <c r="J560" s="450"/>
      <c r="K560" s="450"/>
      <c r="L560" s="450"/>
      <c r="M560" s="450"/>
      <c r="N560" s="450"/>
      <c r="O560" s="450"/>
      <c r="P560" s="450"/>
      <c r="Q560" s="450"/>
      <c r="R560" s="450"/>
      <c r="S560" s="450"/>
      <c r="T560" s="450"/>
      <c r="U560" s="450"/>
      <c r="V560" s="450"/>
      <c r="W560" s="450"/>
      <c r="X560" s="450"/>
      <c r="Y560" s="450"/>
      <c r="Z560" s="450"/>
      <c r="AA560" s="450"/>
      <c r="AB560" s="450"/>
      <c r="AC560" s="450"/>
      <c r="AD560" s="450"/>
      <c r="AE560" s="450"/>
      <c r="AF560" s="450"/>
      <c r="AG560" s="450"/>
      <c r="AH560" s="450"/>
      <c r="AI560" s="450"/>
      <c r="AJ560" s="450"/>
      <c r="AK560" s="450"/>
      <c r="AL560" s="450"/>
      <c r="AM560" s="450"/>
      <c r="AN560" s="450"/>
      <c r="AO560" s="450"/>
      <c r="AP560" s="450"/>
      <c r="AQ560" s="450"/>
      <c r="AR560" s="450"/>
      <c r="AS560" s="450"/>
      <c r="AT560" s="450"/>
      <c r="AU560" s="450"/>
      <c r="AV560" s="450"/>
      <c r="AW560" s="450"/>
      <c r="AX560" s="450"/>
      <c r="AY560" s="450"/>
      <c r="AZ560" s="450"/>
      <c r="BA560" s="450"/>
      <c r="BB560" s="450"/>
      <c r="BC560" s="450"/>
      <c r="BD560" s="450"/>
      <c r="BE560" s="450"/>
      <c r="BF560" s="450"/>
      <c r="BG560" s="450"/>
      <c r="BH560" s="450"/>
      <c r="BI560" s="450"/>
      <c r="BJ560" s="450"/>
      <c r="BK560" s="450"/>
      <c r="BL560" s="450"/>
      <c r="BM560" s="450"/>
      <c r="BN560" s="450"/>
      <c r="BO560" s="450"/>
      <c r="BP560" s="450"/>
      <c r="BQ560" s="450"/>
      <c r="BR560" s="450"/>
      <c r="BS560" s="450"/>
      <c r="BT560" s="450"/>
      <c r="BU560" s="450"/>
      <c r="BV560" s="450"/>
      <c r="BW560" s="450"/>
      <c r="BX560" s="450"/>
      <c r="BY560" s="450"/>
      <c r="BZ560" s="450"/>
      <c r="CA560" s="450"/>
      <c r="CB560" s="450"/>
      <c r="CC560" s="450"/>
      <c r="CD560" s="450"/>
      <c r="CE560" s="450"/>
      <c r="CF560" s="450"/>
      <c r="CG560" s="450"/>
      <c r="CH560" s="450"/>
    </row>
    <row r="561">
      <c r="A561" s="450"/>
      <c r="B561" s="498"/>
      <c r="C561" s="455"/>
      <c r="D561" s="450"/>
      <c r="E561" s="450"/>
      <c r="F561" s="450"/>
      <c r="G561" s="450"/>
      <c r="H561" s="450"/>
      <c r="I561" s="450"/>
      <c r="J561" s="450"/>
      <c r="K561" s="450"/>
      <c r="L561" s="450"/>
      <c r="M561" s="450"/>
      <c r="N561" s="450"/>
      <c r="O561" s="450"/>
      <c r="P561" s="450"/>
      <c r="Q561" s="450"/>
      <c r="R561" s="450"/>
      <c r="S561" s="450"/>
      <c r="T561" s="450"/>
      <c r="U561" s="450"/>
      <c r="V561" s="450"/>
      <c r="W561" s="450"/>
      <c r="X561" s="450"/>
      <c r="Y561" s="450"/>
      <c r="Z561" s="450"/>
      <c r="AA561" s="450"/>
      <c r="AB561" s="450"/>
      <c r="AC561" s="450"/>
      <c r="AD561" s="450"/>
      <c r="AE561" s="450"/>
      <c r="AF561" s="450"/>
      <c r="AG561" s="450"/>
      <c r="AH561" s="450"/>
      <c r="AI561" s="450"/>
      <c r="AJ561" s="450"/>
      <c r="AK561" s="450"/>
      <c r="AL561" s="450"/>
      <c r="AM561" s="450"/>
      <c r="AN561" s="450"/>
      <c r="AO561" s="450"/>
      <c r="AP561" s="450"/>
      <c r="AQ561" s="450"/>
      <c r="AR561" s="450"/>
      <c r="AS561" s="450"/>
      <c r="AT561" s="450"/>
      <c r="AU561" s="450"/>
      <c r="AV561" s="450"/>
      <c r="AW561" s="450"/>
      <c r="AX561" s="450"/>
      <c r="AY561" s="450"/>
      <c r="AZ561" s="450"/>
      <c r="BA561" s="450"/>
      <c r="BB561" s="450"/>
      <c r="BC561" s="450"/>
      <c r="BD561" s="450"/>
      <c r="BE561" s="450"/>
      <c r="BF561" s="450"/>
      <c r="BG561" s="450"/>
      <c r="BH561" s="450"/>
      <c r="BI561" s="450"/>
      <c r="BJ561" s="450"/>
      <c r="BK561" s="450"/>
      <c r="BL561" s="450"/>
      <c r="BM561" s="450"/>
      <c r="BN561" s="450"/>
      <c r="BO561" s="450"/>
      <c r="BP561" s="450"/>
      <c r="BQ561" s="450"/>
      <c r="BR561" s="450"/>
      <c r="BS561" s="450"/>
      <c r="BT561" s="450"/>
      <c r="BU561" s="450"/>
      <c r="BV561" s="450"/>
      <c r="BW561" s="450"/>
      <c r="BX561" s="450"/>
      <c r="BY561" s="450"/>
      <c r="BZ561" s="450"/>
      <c r="CA561" s="450"/>
      <c r="CB561" s="450"/>
      <c r="CC561" s="450"/>
      <c r="CD561" s="450"/>
      <c r="CE561" s="450"/>
      <c r="CF561" s="450"/>
      <c r="CG561" s="450"/>
      <c r="CH561" s="450"/>
    </row>
    <row r="562">
      <c r="A562" s="450"/>
      <c r="B562" s="498"/>
      <c r="C562" s="455"/>
      <c r="D562" s="450"/>
      <c r="E562" s="450"/>
      <c r="F562" s="450"/>
      <c r="G562" s="450"/>
      <c r="H562" s="450"/>
      <c r="I562" s="450"/>
      <c r="J562" s="450"/>
      <c r="K562" s="450"/>
      <c r="L562" s="450"/>
      <c r="M562" s="450"/>
      <c r="N562" s="450"/>
      <c r="O562" s="450"/>
      <c r="P562" s="450"/>
      <c r="Q562" s="450"/>
      <c r="R562" s="450"/>
      <c r="S562" s="450"/>
      <c r="T562" s="450"/>
      <c r="U562" s="450"/>
      <c r="V562" s="450"/>
      <c r="W562" s="450"/>
      <c r="X562" s="450"/>
      <c r="Y562" s="450"/>
      <c r="Z562" s="450"/>
      <c r="AA562" s="450"/>
      <c r="AB562" s="450"/>
      <c r="AC562" s="450"/>
      <c r="AD562" s="450"/>
      <c r="AE562" s="450"/>
      <c r="AF562" s="450"/>
      <c r="AG562" s="450"/>
      <c r="AH562" s="450"/>
      <c r="AI562" s="450"/>
      <c r="AJ562" s="450"/>
      <c r="AK562" s="450"/>
      <c r="AL562" s="450"/>
      <c r="AM562" s="450"/>
      <c r="AN562" s="450"/>
      <c r="AO562" s="450"/>
      <c r="AP562" s="450"/>
      <c r="AQ562" s="450"/>
      <c r="AR562" s="450"/>
      <c r="AS562" s="450"/>
      <c r="AT562" s="450"/>
      <c r="AU562" s="450"/>
      <c r="AV562" s="450"/>
      <c r="AW562" s="450"/>
      <c r="AX562" s="450"/>
      <c r="AY562" s="450"/>
      <c r="AZ562" s="450"/>
      <c r="BA562" s="450"/>
      <c r="BB562" s="450"/>
      <c r="BC562" s="450"/>
      <c r="BD562" s="450"/>
      <c r="BE562" s="450"/>
      <c r="BF562" s="450"/>
      <c r="BG562" s="450"/>
      <c r="BH562" s="450"/>
      <c r="BI562" s="450"/>
      <c r="BJ562" s="450"/>
      <c r="BK562" s="450"/>
      <c r="BL562" s="450"/>
      <c r="BM562" s="450"/>
      <c r="BN562" s="450"/>
      <c r="BO562" s="450"/>
      <c r="BP562" s="450"/>
      <c r="BQ562" s="450"/>
      <c r="BR562" s="450"/>
      <c r="BS562" s="450"/>
      <c r="BT562" s="450"/>
      <c r="BU562" s="450"/>
      <c r="BV562" s="450"/>
      <c r="BW562" s="450"/>
      <c r="BX562" s="450"/>
      <c r="BY562" s="450"/>
      <c r="BZ562" s="450"/>
      <c r="CA562" s="450"/>
      <c r="CB562" s="450"/>
      <c r="CC562" s="450"/>
      <c r="CD562" s="450"/>
      <c r="CE562" s="450"/>
      <c r="CF562" s="450"/>
      <c r="CG562" s="450"/>
      <c r="CH562" s="450"/>
    </row>
    <row r="563">
      <c r="A563" s="450"/>
      <c r="B563" s="498"/>
      <c r="C563" s="455"/>
      <c r="D563" s="450"/>
      <c r="E563" s="450"/>
      <c r="F563" s="450"/>
      <c r="G563" s="450"/>
      <c r="H563" s="450"/>
      <c r="I563" s="450"/>
      <c r="J563" s="450"/>
      <c r="K563" s="450"/>
      <c r="L563" s="450"/>
      <c r="M563" s="450"/>
      <c r="N563" s="450"/>
      <c r="O563" s="450"/>
      <c r="P563" s="450"/>
      <c r="Q563" s="450"/>
      <c r="R563" s="450"/>
      <c r="S563" s="450"/>
      <c r="T563" s="450"/>
      <c r="U563" s="450"/>
      <c r="V563" s="450"/>
      <c r="W563" s="450"/>
      <c r="X563" s="450"/>
      <c r="Y563" s="450"/>
      <c r="Z563" s="450"/>
      <c r="AA563" s="450"/>
      <c r="AB563" s="450"/>
      <c r="AC563" s="450"/>
      <c r="AD563" s="450"/>
      <c r="AE563" s="450"/>
      <c r="AF563" s="450"/>
      <c r="AG563" s="450"/>
      <c r="AH563" s="450"/>
      <c r="AI563" s="450"/>
      <c r="AJ563" s="450"/>
      <c r="AK563" s="450"/>
      <c r="AL563" s="450"/>
      <c r="AM563" s="450"/>
      <c r="AN563" s="450"/>
      <c r="AO563" s="450"/>
      <c r="AP563" s="450"/>
      <c r="AQ563" s="450"/>
      <c r="AR563" s="450"/>
      <c r="AS563" s="450"/>
      <c r="AT563" s="450"/>
      <c r="AU563" s="450"/>
      <c r="AV563" s="450"/>
      <c r="AW563" s="450"/>
      <c r="AX563" s="450"/>
      <c r="AY563" s="450"/>
      <c r="AZ563" s="450"/>
      <c r="BA563" s="450"/>
      <c r="BB563" s="450"/>
      <c r="BC563" s="450"/>
      <c r="BD563" s="450"/>
      <c r="BE563" s="450"/>
      <c r="BF563" s="450"/>
      <c r="BG563" s="450"/>
      <c r="BH563" s="450"/>
      <c r="BI563" s="450"/>
      <c r="BJ563" s="450"/>
      <c r="BK563" s="450"/>
      <c r="BL563" s="450"/>
      <c r="BM563" s="450"/>
      <c r="BN563" s="450"/>
      <c r="BO563" s="450"/>
      <c r="BP563" s="450"/>
      <c r="BQ563" s="450"/>
      <c r="BR563" s="450"/>
      <c r="BS563" s="450"/>
      <c r="BT563" s="450"/>
      <c r="BU563" s="450"/>
      <c r="BV563" s="450"/>
      <c r="BW563" s="450"/>
      <c r="BX563" s="450"/>
      <c r="BY563" s="450"/>
      <c r="BZ563" s="450"/>
      <c r="CA563" s="450"/>
      <c r="CB563" s="450"/>
      <c r="CC563" s="450"/>
      <c r="CD563" s="450"/>
      <c r="CE563" s="450"/>
      <c r="CF563" s="450"/>
      <c r="CG563" s="450"/>
      <c r="CH563" s="450"/>
    </row>
    <row r="564">
      <c r="A564" s="450"/>
      <c r="B564" s="498"/>
      <c r="C564" s="455"/>
      <c r="D564" s="450"/>
      <c r="E564" s="450"/>
      <c r="F564" s="450"/>
      <c r="G564" s="450"/>
      <c r="H564" s="450"/>
      <c r="I564" s="450"/>
      <c r="J564" s="450"/>
      <c r="K564" s="450"/>
      <c r="L564" s="450"/>
      <c r="M564" s="450"/>
      <c r="N564" s="450"/>
      <c r="O564" s="450"/>
      <c r="P564" s="450"/>
      <c r="Q564" s="450"/>
      <c r="R564" s="450"/>
      <c r="S564" s="450"/>
      <c r="T564" s="450"/>
      <c r="U564" s="450"/>
      <c r="V564" s="450"/>
      <c r="W564" s="450"/>
      <c r="X564" s="450"/>
      <c r="Y564" s="450"/>
      <c r="Z564" s="450"/>
      <c r="AA564" s="450"/>
      <c r="AB564" s="450"/>
      <c r="AC564" s="450"/>
      <c r="AD564" s="450"/>
      <c r="AE564" s="450"/>
      <c r="AF564" s="450"/>
      <c r="AG564" s="450"/>
      <c r="AH564" s="450"/>
      <c r="AI564" s="450"/>
      <c r="AJ564" s="450"/>
      <c r="AK564" s="450"/>
      <c r="AL564" s="450"/>
      <c r="AM564" s="450"/>
      <c r="AN564" s="450"/>
      <c r="AO564" s="450"/>
      <c r="AP564" s="450"/>
      <c r="AQ564" s="450"/>
      <c r="AR564" s="450"/>
      <c r="AS564" s="450"/>
      <c r="AT564" s="450"/>
      <c r="AU564" s="450"/>
      <c r="AV564" s="450"/>
      <c r="AW564" s="450"/>
      <c r="AX564" s="450"/>
      <c r="AY564" s="450"/>
      <c r="AZ564" s="450"/>
      <c r="BA564" s="450"/>
      <c r="BB564" s="450"/>
      <c r="BC564" s="450"/>
      <c r="BD564" s="450"/>
      <c r="BE564" s="450"/>
      <c r="BF564" s="450"/>
      <c r="BG564" s="450"/>
      <c r="BH564" s="450"/>
      <c r="BI564" s="450"/>
      <c r="BJ564" s="450"/>
      <c r="BK564" s="450"/>
      <c r="BL564" s="450"/>
      <c r="BM564" s="450"/>
      <c r="BN564" s="450"/>
      <c r="BO564" s="450"/>
      <c r="BP564" s="450"/>
      <c r="BQ564" s="450"/>
      <c r="BR564" s="450"/>
      <c r="BS564" s="450"/>
      <c r="BT564" s="450"/>
      <c r="BU564" s="450"/>
      <c r="BV564" s="450"/>
      <c r="BW564" s="450"/>
      <c r="BX564" s="450"/>
      <c r="BY564" s="450"/>
      <c r="BZ564" s="450"/>
      <c r="CA564" s="450"/>
      <c r="CB564" s="450"/>
      <c r="CC564" s="450"/>
      <c r="CD564" s="450"/>
      <c r="CE564" s="450"/>
      <c r="CF564" s="450"/>
      <c r="CG564" s="450"/>
      <c r="CH564" s="450"/>
    </row>
    <row r="565">
      <c r="A565" s="450"/>
      <c r="B565" s="498"/>
      <c r="C565" s="455"/>
      <c r="D565" s="450"/>
      <c r="E565" s="450"/>
      <c r="F565" s="450"/>
      <c r="G565" s="450"/>
      <c r="H565" s="450"/>
      <c r="I565" s="450"/>
      <c r="J565" s="450"/>
      <c r="K565" s="450"/>
      <c r="L565" s="450"/>
      <c r="M565" s="450"/>
      <c r="N565" s="450"/>
      <c r="O565" s="450"/>
      <c r="P565" s="450"/>
      <c r="Q565" s="450"/>
      <c r="R565" s="450"/>
      <c r="S565" s="450"/>
      <c r="T565" s="450"/>
      <c r="U565" s="450"/>
      <c r="V565" s="450"/>
      <c r="W565" s="450"/>
      <c r="X565" s="450"/>
      <c r="Y565" s="450"/>
      <c r="Z565" s="450"/>
      <c r="AA565" s="450"/>
      <c r="AB565" s="450"/>
      <c r="AC565" s="450"/>
      <c r="AD565" s="450"/>
      <c r="AE565" s="450"/>
      <c r="AF565" s="450"/>
      <c r="AG565" s="450"/>
      <c r="AH565" s="450"/>
      <c r="AI565" s="450"/>
      <c r="AJ565" s="450"/>
      <c r="AK565" s="450"/>
      <c r="AL565" s="450"/>
      <c r="AM565" s="450"/>
      <c r="AN565" s="450"/>
      <c r="AO565" s="450"/>
      <c r="AP565" s="450"/>
      <c r="AQ565" s="450"/>
      <c r="AR565" s="450"/>
      <c r="AS565" s="450"/>
      <c r="AT565" s="450"/>
      <c r="AU565" s="450"/>
      <c r="AV565" s="450"/>
      <c r="AW565" s="450"/>
      <c r="AX565" s="450"/>
      <c r="AY565" s="450"/>
      <c r="AZ565" s="450"/>
      <c r="BA565" s="450"/>
      <c r="BB565" s="450"/>
      <c r="BC565" s="450"/>
      <c r="BD565" s="450"/>
      <c r="BE565" s="450"/>
      <c r="BF565" s="450"/>
      <c r="BG565" s="450"/>
      <c r="BH565" s="450"/>
      <c r="BI565" s="450"/>
      <c r="BJ565" s="450"/>
      <c r="BK565" s="450"/>
      <c r="BL565" s="450"/>
      <c r="BM565" s="450"/>
      <c r="BN565" s="450"/>
      <c r="BO565" s="450"/>
      <c r="BP565" s="450"/>
      <c r="BQ565" s="450"/>
      <c r="BR565" s="450"/>
      <c r="BS565" s="450"/>
      <c r="BT565" s="450"/>
      <c r="BU565" s="450"/>
      <c r="BV565" s="450"/>
      <c r="BW565" s="450"/>
      <c r="BX565" s="450"/>
      <c r="BY565" s="450"/>
      <c r="BZ565" s="450"/>
      <c r="CA565" s="450"/>
      <c r="CB565" s="450"/>
      <c r="CC565" s="450"/>
      <c r="CD565" s="450"/>
      <c r="CE565" s="450"/>
      <c r="CF565" s="450"/>
      <c r="CG565" s="450"/>
      <c r="CH565" s="450"/>
    </row>
    <row r="566">
      <c r="A566" s="450"/>
      <c r="B566" s="498"/>
      <c r="C566" s="455"/>
      <c r="D566" s="450"/>
      <c r="E566" s="450"/>
      <c r="F566" s="450"/>
      <c r="G566" s="450"/>
      <c r="H566" s="450"/>
      <c r="I566" s="450"/>
      <c r="J566" s="450"/>
      <c r="K566" s="450"/>
      <c r="L566" s="450"/>
      <c r="M566" s="450"/>
      <c r="N566" s="450"/>
      <c r="O566" s="450"/>
      <c r="P566" s="450"/>
      <c r="Q566" s="450"/>
      <c r="R566" s="450"/>
      <c r="S566" s="450"/>
      <c r="T566" s="450"/>
      <c r="U566" s="450"/>
      <c r="V566" s="450"/>
      <c r="W566" s="450"/>
      <c r="X566" s="450"/>
      <c r="Y566" s="450"/>
      <c r="Z566" s="450"/>
      <c r="AA566" s="450"/>
      <c r="AB566" s="450"/>
      <c r="AC566" s="450"/>
      <c r="AD566" s="450"/>
      <c r="AE566" s="450"/>
      <c r="AF566" s="450"/>
      <c r="AG566" s="450"/>
      <c r="AH566" s="450"/>
      <c r="AI566" s="450"/>
      <c r="AJ566" s="450"/>
      <c r="AK566" s="450"/>
      <c r="AL566" s="450"/>
      <c r="AM566" s="450"/>
      <c r="AN566" s="450"/>
      <c r="AO566" s="450"/>
      <c r="AP566" s="450"/>
      <c r="AQ566" s="450"/>
      <c r="AR566" s="450"/>
      <c r="AS566" s="450"/>
      <c r="AT566" s="450"/>
      <c r="AU566" s="450"/>
      <c r="AV566" s="450"/>
      <c r="AW566" s="450"/>
      <c r="AX566" s="450"/>
      <c r="AY566" s="450"/>
      <c r="AZ566" s="450"/>
      <c r="BA566" s="450"/>
      <c r="BB566" s="450"/>
      <c r="BC566" s="450"/>
      <c r="BD566" s="450"/>
      <c r="BE566" s="450"/>
      <c r="BF566" s="450"/>
      <c r="BG566" s="450"/>
      <c r="BH566" s="450"/>
      <c r="BI566" s="450"/>
      <c r="BJ566" s="450"/>
      <c r="BK566" s="450"/>
      <c r="BL566" s="450"/>
      <c r="BM566" s="450"/>
      <c r="BN566" s="450"/>
      <c r="BO566" s="450"/>
      <c r="BP566" s="450"/>
      <c r="BQ566" s="450"/>
      <c r="BR566" s="450"/>
      <c r="BS566" s="450"/>
      <c r="BT566" s="450"/>
      <c r="BU566" s="450"/>
      <c r="BV566" s="450"/>
      <c r="BW566" s="450"/>
      <c r="BX566" s="450"/>
      <c r="BY566" s="450"/>
      <c r="BZ566" s="450"/>
      <c r="CA566" s="450"/>
      <c r="CB566" s="450"/>
      <c r="CC566" s="450"/>
      <c r="CD566" s="450"/>
      <c r="CE566" s="450"/>
      <c r="CF566" s="450"/>
      <c r="CG566" s="450"/>
      <c r="CH566" s="450"/>
    </row>
    <row r="567">
      <c r="A567" s="450"/>
      <c r="B567" s="498"/>
      <c r="C567" s="455"/>
      <c r="D567" s="450"/>
      <c r="E567" s="450"/>
      <c r="F567" s="450"/>
      <c r="G567" s="450"/>
      <c r="H567" s="450"/>
      <c r="I567" s="450"/>
      <c r="J567" s="450"/>
      <c r="K567" s="450"/>
      <c r="L567" s="450"/>
      <c r="M567" s="450"/>
      <c r="N567" s="450"/>
      <c r="O567" s="450"/>
      <c r="P567" s="450"/>
      <c r="Q567" s="450"/>
      <c r="R567" s="450"/>
      <c r="S567" s="450"/>
      <c r="T567" s="450"/>
      <c r="U567" s="450"/>
      <c r="V567" s="450"/>
      <c r="W567" s="450"/>
      <c r="X567" s="450"/>
      <c r="Y567" s="450"/>
      <c r="Z567" s="450"/>
      <c r="AA567" s="450"/>
      <c r="AB567" s="450"/>
      <c r="AC567" s="450"/>
      <c r="AD567" s="450"/>
      <c r="AE567" s="450"/>
      <c r="AF567" s="450"/>
      <c r="AG567" s="450"/>
      <c r="AH567" s="450"/>
      <c r="AI567" s="450"/>
      <c r="AJ567" s="450"/>
      <c r="AK567" s="450"/>
      <c r="AL567" s="450"/>
      <c r="AM567" s="450"/>
      <c r="AN567" s="450"/>
      <c r="AO567" s="450"/>
      <c r="AP567" s="450"/>
      <c r="AQ567" s="450"/>
      <c r="AR567" s="450"/>
      <c r="AS567" s="450"/>
      <c r="AT567" s="450"/>
      <c r="AU567" s="450"/>
      <c r="AV567" s="450"/>
      <c r="AW567" s="450"/>
      <c r="AX567" s="450"/>
      <c r="AY567" s="450"/>
      <c r="AZ567" s="450"/>
      <c r="BA567" s="450"/>
      <c r="BB567" s="450"/>
      <c r="BC567" s="450"/>
      <c r="BD567" s="450"/>
      <c r="BE567" s="450"/>
      <c r="BF567" s="450"/>
      <c r="BG567" s="450"/>
      <c r="BH567" s="450"/>
      <c r="BI567" s="450"/>
      <c r="BJ567" s="450"/>
      <c r="BK567" s="450"/>
      <c r="BL567" s="450"/>
      <c r="BM567" s="450"/>
      <c r="BN567" s="450"/>
      <c r="BO567" s="450"/>
      <c r="BP567" s="450"/>
      <c r="BQ567" s="450"/>
      <c r="BR567" s="450"/>
      <c r="BS567" s="450"/>
      <c r="BT567" s="450"/>
      <c r="BU567" s="450"/>
      <c r="BV567" s="450"/>
      <c r="BW567" s="450"/>
      <c r="BX567" s="450"/>
      <c r="BY567" s="450"/>
      <c r="BZ567" s="450"/>
      <c r="CA567" s="450"/>
      <c r="CB567" s="450"/>
      <c r="CC567" s="450"/>
      <c r="CD567" s="450"/>
      <c r="CE567" s="450"/>
      <c r="CF567" s="450"/>
      <c r="CG567" s="450"/>
      <c r="CH567" s="450"/>
    </row>
    <row r="568">
      <c r="A568" s="450"/>
      <c r="B568" s="498"/>
      <c r="C568" s="455"/>
      <c r="D568" s="450"/>
      <c r="E568" s="450"/>
      <c r="F568" s="450"/>
      <c r="G568" s="450"/>
      <c r="H568" s="450"/>
      <c r="I568" s="450"/>
      <c r="J568" s="450"/>
      <c r="K568" s="450"/>
      <c r="L568" s="450"/>
      <c r="M568" s="450"/>
      <c r="N568" s="450"/>
      <c r="O568" s="450"/>
      <c r="P568" s="450"/>
      <c r="Q568" s="450"/>
      <c r="R568" s="450"/>
      <c r="S568" s="450"/>
      <c r="T568" s="450"/>
      <c r="U568" s="450"/>
      <c r="V568" s="450"/>
      <c r="W568" s="450"/>
      <c r="X568" s="450"/>
      <c r="Y568" s="450"/>
      <c r="Z568" s="450"/>
      <c r="AA568" s="450"/>
      <c r="AB568" s="450"/>
      <c r="AC568" s="450"/>
      <c r="AD568" s="450"/>
      <c r="AE568" s="450"/>
      <c r="AF568" s="450"/>
      <c r="AG568" s="450"/>
      <c r="AH568" s="450"/>
      <c r="AI568" s="450"/>
      <c r="AJ568" s="450"/>
      <c r="AK568" s="450"/>
      <c r="AL568" s="450"/>
      <c r="AM568" s="450"/>
      <c r="AN568" s="450"/>
      <c r="AO568" s="450"/>
      <c r="AP568" s="450"/>
      <c r="AQ568" s="450"/>
      <c r="AR568" s="450"/>
      <c r="AS568" s="450"/>
      <c r="AT568" s="450"/>
      <c r="AU568" s="450"/>
      <c r="AV568" s="450"/>
      <c r="AW568" s="450"/>
      <c r="AX568" s="450"/>
      <c r="AY568" s="450"/>
      <c r="AZ568" s="450"/>
      <c r="BA568" s="450"/>
      <c r="BB568" s="450"/>
      <c r="BC568" s="450"/>
      <c r="BD568" s="450"/>
      <c r="BE568" s="450"/>
      <c r="BF568" s="450"/>
      <c r="BG568" s="450"/>
      <c r="BH568" s="450"/>
      <c r="BI568" s="450"/>
      <c r="BJ568" s="450"/>
      <c r="BK568" s="450"/>
      <c r="BL568" s="450"/>
      <c r="BM568" s="450"/>
      <c r="BN568" s="450"/>
      <c r="BO568" s="450"/>
      <c r="BP568" s="450"/>
      <c r="BQ568" s="450"/>
      <c r="BR568" s="450"/>
      <c r="BS568" s="450"/>
      <c r="BT568" s="450"/>
      <c r="BU568" s="450"/>
      <c r="BV568" s="450"/>
      <c r="BW568" s="450"/>
      <c r="BX568" s="450"/>
      <c r="BY568" s="450"/>
      <c r="BZ568" s="450"/>
      <c r="CA568" s="450"/>
      <c r="CB568" s="450"/>
      <c r="CC568" s="450"/>
      <c r="CD568" s="450"/>
      <c r="CE568" s="450"/>
      <c r="CF568" s="450"/>
      <c r="CG568" s="450"/>
      <c r="CH568" s="450"/>
    </row>
    <row r="569">
      <c r="A569" s="450"/>
      <c r="B569" s="498"/>
      <c r="C569" s="455"/>
      <c r="D569" s="450"/>
      <c r="E569" s="450"/>
      <c r="F569" s="450"/>
      <c r="G569" s="450"/>
      <c r="H569" s="450"/>
      <c r="I569" s="450"/>
      <c r="J569" s="450"/>
      <c r="K569" s="450"/>
      <c r="L569" s="450"/>
      <c r="M569" s="450"/>
      <c r="N569" s="450"/>
      <c r="O569" s="450"/>
      <c r="P569" s="450"/>
      <c r="Q569" s="450"/>
      <c r="R569" s="450"/>
      <c r="S569" s="450"/>
      <c r="T569" s="450"/>
      <c r="U569" s="450"/>
      <c r="V569" s="450"/>
      <c r="W569" s="450"/>
      <c r="X569" s="450"/>
      <c r="Y569" s="450"/>
      <c r="Z569" s="450"/>
      <c r="AA569" s="450"/>
      <c r="AB569" s="450"/>
      <c r="AC569" s="450"/>
      <c r="AD569" s="450"/>
      <c r="AE569" s="450"/>
      <c r="AF569" s="450"/>
      <c r="AG569" s="450"/>
      <c r="AH569" s="450"/>
      <c r="AI569" s="450"/>
      <c r="AJ569" s="450"/>
      <c r="AK569" s="450"/>
      <c r="AL569" s="450"/>
      <c r="AM569" s="450"/>
      <c r="AN569" s="450"/>
      <c r="AO569" s="450"/>
      <c r="AP569" s="450"/>
      <c r="AQ569" s="450"/>
      <c r="AR569" s="450"/>
      <c r="AS569" s="450"/>
      <c r="AT569" s="450"/>
      <c r="AU569" s="450"/>
      <c r="AV569" s="450"/>
      <c r="AW569" s="450"/>
      <c r="AX569" s="450"/>
      <c r="AY569" s="450"/>
      <c r="AZ569" s="450"/>
      <c r="BA569" s="450"/>
      <c r="BB569" s="450"/>
      <c r="BC569" s="450"/>
      <c r="BD569" s="450"/>
      <c r="BE569" s="450"/>
      <c r="BF569" s="450"/>
      <c r="BG569" s="450"/>
      <c r="BH569" s="450"/>
      <c r="BI569" s="450"/>
      <c r="BJ569" s="450"/>
      <c r="BK569" s="450"/>
      <c r="BL569" s="450"/>
      <c r="BM569" s="450"/>
      <c r="BN569" s="450"/>
      <c r="BO569" s="450"/>
      <c r="BP569" s="450"/>
      <c r="BQ569" s="450"/>
      <c r="BR569" s="450"/>
      <c r="BS569" s="450"/>
      <c r="BT569" s="450"/>
      <c r="BU569" s="450"/>
      <c r="BV569" s="450"/>
      <c r="BW569" s="450"/>
      <c r="BX569" s="450"/>
      <c r="BY569" s="450"/>
      <c r="BZ569" s="450"/>
      <c r="CA569" s="450"/>
      <c r="CB569" s="450"/>
      <c r="CC569" s="450"/>
      <c r="CD569" s="450"/>
      <c r="CE569" s="450"/>
      <c r="CF569" s="450"/>
      <c r="CG569" s="450"/>
      <c r="CH569" s="450"/>
    </row>
    <row r="570">
      <c r="A570" s="450"/>
      <c r="B570" s="498"/>
      <c r="C570" s="455"/>
      <c r="D570" s="450"/>
      <c r="E570" s="450"/>
      <c r="F570" s="450"/>
      <c r="G570" s="450"/>
      <c r="H570" s="450"/>
      <c r="I570" s="450"/>
      <c r="J570" s="450"/>
      <c r="K570" s="450"/>
      <c r="L570" s="450"/>
      <c r="M570" s="450"/>
      <c r="N570" s="450"/>
      <c r="O570" s="450"/>
      <c r="P570" s="450"/>
      <c r="Q570" s="450"/>
      <c r="R570" s="450"/>
      <c r="S570" s="450"/>
      <c r="T570" s="450"/>
      <c r="U570" s="450"/>
      <c r="V570" s="450"/>
      <c r="W570" s="450"/>
      <c r="X570" s="450"/>
      <c r="Y570" s="450"/>
      <c r="Z570" s="450"/>
      <c r="AA570" s="450"/>
      <c r="AB570" s="450"/>
      <c r="AC570" s="450"/>
      <c r="AD570" s="450"/>
      <c r="AE570" s="450"/>
      <c r="AF570" s="450"/>
      <c r="AG570" s="450"/>
      <c r="AH570" s="450"/>
      <c r="AI570" s="450"/>
      <c r="AJ570" s="450"/>
      <c r="AK570" s="450"/>
      <c r="AL570" s="450"/>
      <c r="AM570" s="450"/>
      <c r="AN570" s="450"/>
      <c r="AO570" s="450"/>
      <c r="AP570" s="450"/>
      <c r="AQ570" s="450"/>
      <c r="AR570" s="450"/>
      <c r="AS570" s="450"/>
      <c r="AT570" s="450"/>
      <c r="AU570" s="450"/>
      <c r="AV570" s="450"/>
      <c r="AW570" s="450"/>
      <c r="AX570" s="450"/>
      <c r="AY570" s="450"/>
      <c r="AZ570" s="450"/>
      <c r="BA570" s="450"/>
      <c r="BB570" s="450"/>
      <c r="BC570" s="450"/>
      <c r="BD570" s="450"/>
      <c r="BE570" s="450"/>
      <c r="BF570" s="450"/>
      <c r="BG570" s="450"/>
      <c r="BH570" s="450"/>
      <c r="BI570" s="450"/>
      <c r="BJ570" s="450"/>
      <c r="BK570" s="450"/>
      <c r="BL570" s="450"/>
      <c r="BM570" s="450"/>
      <c r="BN570" s="450"/>
      <c r="BO570" s="450"/>
      <c r="BP570" s="450"/>
      <c r="BQ570" s="450"/>
      <c r="BR570" s="450"/>
      <c r="BS570" s="450"/>
      <c r="BT570" s="450"/>
      <c r="BU570" s="450"/>
      <c r="BV570" s="450"/>
      <c r="BW570" s="450"/>
      <c r="BX570" s="450"/>
      <c r="BY570" s="450"/>
      <c r="BZ570" s="450"/>
      <c r="CA570" s="450"/>
      <c r="CB570" s="450"/>
      <c r="CC570" s="450"/>
      <c r="CD570" s="450"/>
      <c r="CE570" s="450"/>
      <c r="CF570" s="450"/>
      <c r="CG570" s="450"/>
      <c r="CH570" s="450"/>
    </row>
    <row r="571">
      <c r="A571" s="450"/>
      <c r="B571" s="498"/>
      <c r="C571" s="455"/>
      <c r="D571" s="450"/>
      <c r="E571" s="450"/>
      <c r="F571" s="450"/>
      <c r="G571" s="450"/>
      <c r="H571" s="450"/>
      <c r="I571" s="450"/>
      <c r="J571" s="450"/>
      <c r="K571" s="450"/>
      <c r="L571" s="450"/>
      <c r="M571" s="450"/>
      <c r="N571" s="450"/>
      <c r="O571" s="450"/>
      <c r="P571" s="450"/>
      <c r="Q571" s="450"/>
      <c r="R571" s="450"/>
      <c r="S571" s="450"/>
      <c r="T571" s="450"/>
      <c r="U571" s="450"/>
      <c r="V571" s="450"/>
      <c r="W571" s="450"/>
      <c r="X571" s="450"/>
      <c r="Y571" s="450"/>
      <c r="Z571" s="450"/>
      <c r="AA571" s="450"/>
      <c r="AB571" s="450"/>
      <c r="AC571" s="450"/>
      <c r="AD571" s="450"/>
      <c r="AE571" s="450"/>
      <c r="AF571" s="450"/>
      <c r="AG571" s="450"/>
      <c r="AH571" s="450"/>
      <c r="AI571" s="450"/>
      <c r="AJ571" s="450"/>
      <c r="AK571" s="450"/>
      <c r="AL571" s="450"/>
      <c r="AM571" s="450"/>
      <c r="AN571" s="450"/>
      <c r="AO571" s="450"/>
      <c r="AP571" s="450"/>
      <c r="AQ571" s="450"/>
      <c r="AR571" s="450"/>
      <c r="AS571" s="450"/>
      <c r="AT571" s="450"/>
      <c r="AU571" s="450"/>
      <c r="AV571" s="450"/>
      <c r="AW571" s="450"/>
      <c r="AX571" s="450"/>
      <c r="AY571" s="450"/>
      <c r="AZ571" s="450"/>
      <c r="BA571" s="450"/>
      <c r="BB571" s="450"/>
      <c r="BC571" s="450"/>
      <c r="BD571" s="450"/>
      <c r="BE571" s="450"/>
      <c r="BF571" s="450"/>
      <c r="BG571" s="450"/>
      <c r="BH571" s="450"/>
      <c r="BI571" s="450"/>
      <c r="BJ571" s="450"/>
      <c r="BK571" s="450"/>
      <c r="BL571" s="450"/>
      <c r="BM571" s="450"/>
      <c r="BN571" s="450"/>
      <c r="BO571" s="450"/>
      <c r="BP571" s="450"/>
      <c r="BQ571" s="450"/>
      <c r="BR571" s="450"/>
      <c r="BS571" s="450"/>
      <c r="BT571" s="450"/>
      <c r="BU571" s="450"/>
      <c r="BV571" s="450"/>
      <c r="BW571" s="450"/>
      <c r="BX571" s="450"/>
      <c r="BY571" s="450"/>
      <c r="BZ571" s="450"/>
      <c r="CA571" s="450"/>
      <c r="CB571" s="450"/>
      <c r="CC571" s="450"/>
      <c r="CD571" s="450"/>
      <c r="CE571" s="450"/>
      <c r="CF571" s="450"/>
      <c r="CG571" s="450"/>
      <c r="CH571" s="450"/>
    </row>
    <row r="572">
      <c r="A572" s="450"/>
      <c r="B572" s="498"/>
      <c r="C572" s="455"/>
      <c r="D572" s="450"/>
      <c r="E572" s="450"/>
      <c r="F572" s="450"/>
      <c r="G572" s="450"/>
      <c r="H572" s="450"/>
      <c r="I572" s="450"/>
      <c r="J572" s="450"/>
      <c r="K572" s="450"/>
      <c r="L572" s="450"/>
      <c r="M572" s="450"/>
      <c r="N572" s="450"/>
      <c r="O572" s="450"/>
      <c r="P572" s="450"/>
      <c r="Q572" s="450"/>
      <c r="R572" s="450"/>
      <c r="S572" s="450"/>
      <c r="T572" s="450"/>
      <c r="U572" s="450"/>
      <c r="V572" s="450"/>
      <c r="W572" s="450"/>
      <c r="X572" s="450"/>
      <c r="Y572" s="450"/>
      <c r="Z572" s="450"/>
      <c r="AA572" s="450"/>
      <c r="AB572" s="450"/>
      <c r="AC572" s="450"/>
      <c r="AD572" s="450"/>
      <c r="AE572" s="450"/>
      <c r="AF572" s="450"/>
      <c r="AG572" s="450"/>
      <c r="AH572" s="450"/>
      <c r="AI572" s="450"/>
      <c r="AJ572" s="450"/>
      <c r="AK572" s="450"/>
      <c r="AL572" s="450"/>
      <c r="AM572" s="450"/>
      <c r="AN572" s="450"/>
      <c r="AO572" s="450"/>
      <c r="AP572" s="450"/>
      <c r="AQ572" s="450"/>
      <c r="AR572" s="450"/>
      <c r="AS572" s="450"/>
      <c r="AT572" s="450"/>
      <c r="AU572" s="450"/>
      <c r="AV572" s="450"/>
      <c r="AW572" s="450"/>
      <c r="AX572" s="450"/>
      <c r="AY572" s="450"/>
      <c r="AZ572" s="450"/>
      <c r="BA572" s="450"/>
      <c r="BB572" s="450"/>
      <c r="BC572" s="450"/>
      <c r="BD572" s="450"/>
      <c r="BE572" s="450"/>
      <c r="BF572" s="450"/>
      <c r="BG572" s="450"/>
      <c r="BH572" s="450"/>
      <c r="BI572" s="450"/>
      <c r="BJ572" s="450"/>
      <c r="BK572" s="450"/>
      <c r="BL572" s="450"/>
      <c r="BM572" s="450"/>
      <c r="BN572" s="450"/>
      <c r="BO572" s="450"/>
      <c r="BP572" s="450"/>
      <c r="BQ572" s="450"/>
      <c r="BR572" s="450"/>
      <c r="BS572" s="450"/>
      <c r="BT572" s="450"/>
      <c r="BU572" s="450"/>
      <c r="BV572" s="450"/>
      <c r="BW572" s="450"/>
      <c r="BX572" s="450"/>
      <c r="BY572" s="450"/>
      <c r="BZ572" s="450"/>
      <c r="CA572" s="450"/>
      <c r="CB572" s="450"/>
      <c r="CC572" s="450"/>
      <c r="CD572" s="450"/>
      <c r="CE572" s="450"/>
      <c r="CF572" s="450"/>
      <c r="CG572" s="450"/>
      <c r="CH572" s="450"/>
    </row>
    <row r="573">
      <c r="A573" s="450"/>
      <c r="B573" s="498"/>
      <c r="C573" s="455"/>
      <c r="D573" s="450"/>
      <c r="E573" s="450"/>
      <c r="F573" s="450"/>
      <c r="G573" s="450"/>
      <c r="H573" s="450"/>
      <c r="I573" s="450"/>
      <c r="J573" s="450"/>
      <c r="K573" s="450"/>
      <c r="L573" s="450"/>
      <c r="M573" s="450"/>
      <c r="N573" s="450"/>
      <c r="O573" s="450"/>
      <c r="P573" s="450"/>
      <c r="Q573" s="450"/>
      <c r="R573" s="450"/>
      <c r="S573" s="450"/>
      <c r="T573" s="450"/>
      <c r="U573" s="450"/>
      <c r="V573" s="450"/>
      <c r="W573" s="450"/>
      <c r="X573" s="450"/>
      <c r="Y573" s="450"/>
      <c r="Z573" s="450"/>
      <c r="AA573" s="450"/>
      <c r="AB573" s="450"/>
      <c r="AC573" s="450"/>
      <c r="AD573" s="450"/>
      <c r="AE573" s="450"/>
      <c r="AF573" s="450"/>
      <c r="AG573" s="450"/>
      <c r="AH573" s="450"/>
      <c r="AI573" s="450"/>
      <c r="AJ573" s="450"/>
      <c r="AK573" s="450"/>
      <c r="AL573" s="450"/>
      <c r="AM573" s="450"/>
      <c r="AN573" s="450"/>
      <c r="AO573" s="450"/>
      <c r="AP573" s="450"/>
      <c r="AQ573" s="450"/>
      <c r="AR573" s="450"/>
      <c r="AS573" s="450"/>
      <c r="AT573" s="450"/>
      <c r="AU573" s="450"/>
      <c r="AV573" s="450"/>
      <c r="AW573" s="450"/>
      <c r="AX573" s="450"/>
      <c r="AY573" s="450"/>
      <c r="AZ573" s="450"/>
      <c r="BA573" s="450"/>
      <c r="BB573" s="450"/>
      <c r="BC573" s="450"/>
      <c r="BD573" s="450"/>
      <c r="BE573" s="450"/>
      <c r="BF573" s="450"/>
      <c r="BG573" s="450"/>
      <c r="BH573" s="450"/>
      <c r="BI573" s="450"/>
      <c r="BJ573" s="450"/>
      <c r="BK573" s="450"/>
      <c r="BL573" s="450"/>
      <c r="BM573" s="450"/>
      <c r="BN573" s="450"/>
      <c r="BO573" s="450"/>
      <c r="BP573" s="450"/>
      <c r="BQ573" s="450"/>
      <c r="BR573" s="450"/>
      <c r="BS573" s="450"/>
      <c r="BT573" s="450"/>
      <c r="BU573" s="450"/>
      <c r="BV573" s="450"/>
      <c r="BW573" s="450"/>
      <c r="BX573" s="450"/>
      <c r="BY573" s="450"/>
      <c r="BZ573" s="450"/>
      <c r="CA573" s="450"/>
      <c r="CB573" s="450"/>
      <c r="CC573" s="450"/>
      <c r="CD573" s="450"/>
      <c r="CE573" s="450"/>
      <c r="CF573" s="450"/>
      <c r="CG573" s="450"/>
      <c r="CH573" s="450"/>
    </row>
    <row r="574">
      <c r="A574" s="450"/>
      <c r="B574" s="498"/>
      <c r="C574" s="455"/>
      <c r="D574" s="450"/>
      <c r="E574" s="450"/>
      <c r="F574" s="450"/>
      <c r="G574" s="450"/>
      <c r="H574" s="450"/>
      <c r="I574" s="450"/>
      <c r="J574" s="450"/>
      <c r="K574" s="450"/>
      <c r="L574" s="450"/>
      <c r="M574" s="450"/>
      <c r="N574" s="450"/>
      <c r="O574" s="450"/>
      <c r="P574" s="450"/>
      <c r="Q574" s="450"/>
      <c r="R574" s="450"/>
      <c r="S574" s="450"/>
      <c r="T574" s="450"/>
      <c r="U574" s="450"/>
      <c r="V574" s="450"/>
      <c r="W574" s="450"/>
      <c r="X574" s="450"/>
      <c r="Y574" s="450"/>
      <c r="Z574" s="450"/>
      <c r="AA574" s="450"/>
      <c r="AB574" s="450"/>
      <c r="AC574" s="450"/>
      <c r="AD574" s="450"/>
      <c r="AE574" s="450"/>
      <c r="AF574" s="450"/>
      <c r="AG574" s="450"/>
      <c r="AH574" s="450"/>
      <c r="AI574" s="450"/>
      <c r="AJ574" s="450"/>
      <c r="AK574" s="450"/>
      <c r="AL574" s="450"/>
      <c r="AM574" s="450"/>
      <c r="AN574" s="450"/>
      <c r="AO574" s="450"/>
      <c r="AP574" s="450"/>
      <c r="AQ574" s="450"/>
      <c r="AR574" s="450"/>
      <c r="AS574" s="450"/>
      <c r="AT574" s="450"/>
      <c r="AU574" s="450"/>
      <c r="AV574" s="450"/>
      <c r="AW574" s="450"/>
      <c r="AX574" s="450"/>
      <c r="AY574" s="450"/>
      <c r="AZ574" s="450"/>
      <c r="BA574" s="450"/>
      <c r="BB574" s="450"/>
      <c r="BC574" s="450"/>
      <c r="BD574" s="450"/>
      <c r="BE574" s="450"/>
      <c r="BF574" s="450"/>
      <c r="BG574" s="450"/>
      <c r="BH574" s="450"/>
      <c r="BI574" s="450"/>
      <c r="BJ574" s="450"/>
      <c r="BK574" s="450"/>
      <c r="BL574" s="450"/>
      <c r="BM574" s="450"/>
      <c r="BN574" s="450"/>
      <c r="BO574" s="450"/>
      <c r="BP574" s="450"/>
      <c r="BQ574" s="450"/>
      <c r="BR574" s="450"/>
      <c r="BS574" s="450"/>
      <c r="BT574" s="450"/>
      <c r="BU574" s="450"/>
      <c r="BV574" s="450"/>
      <c r="BW574" s="450"/>
      <c r="BX574" s="450"/>
      <c r="BY574" s="450"/>
      <c r="BZ574" s="450"/>
      <c r="CA574" s="450"/>
      <c r="CB574" s="450"/>
      <c r="CC574" s="450"/>
      <c r="CD574" s="450"/>
      <c r="CE574" s="450"/>
      <c r="CF574" s="450"/>
      <c r="CG574" s="450"/>
      <c r="CH574" s="450"/>
    </row>
    <row r="575">
      <c r="A575" s="450"/>
      <c r="B575" s="498"/>
      <c r="C575" s="455"/>
      <c r="D575" s="450"/>
      <c r="E575" s="450"/>
      <c r="F575" s="450"/>
      <c r="G575" s="450"/>
      <c r="H575" s="450"/>
      <c r="I575" s="450"/>
      <c r="J575" s="450"/>
      <c r="K575" s="450"/>
      <c r="L575" s="450"/>
      <c r="M575" s="450"/>
      <c r="N575" s="450"/>
      <c r="O575" s="450"/>
      <c r="P575" s="450"/>
      <c r="Q575" s="450"/>
      <c r="R575" s="450"/>
      <c r="S575" s="450"/>
      <c r="T575" s="450"/>
      <c r="U575" s="450"/>
      <c r="V575" s="450"/>
      <c r="W575" s="450"/>
      <c r="X575" s="450"/>
      <c r="Y575" s="450"/>
      <c r="Z575" s="450"/>
      <c r="AA575" s="450"/>
      <c r="AB575" s="450"/>
      <c r="AC575" s="450"/>
      <c r="AD575" s="450"/>
      <c r="AE575" s="450"/>
      <c r="AF575" s="450"/>
      <c r="AG575" s="450"/>
      <c r="AH575" s="450"/>
      <c r="AI575" s="450"/>
      <c r="AJ575" s="450"/>
      <c r="AK575" s="450"/>
      <c r="AL575" s="450"/>
      <c r="AM575" s="450"/>
      <c r="AN575" s="450"/>
      <c r="AO575" s="450"/>
      <c r="AP575" s="450"/>
      <c r="AQ575" s="450"/>
      <c r="AR575" s="450"/>
      <c r="AS575" s="450"/>
      <c r="AT575" s="450"/>
      <c r="AU575" s="450"/>
      <c r="AV575" s="450"/>
      <c r="AW575" s="450"/>
      <c r="AX575" s="450"/>
      <c r="AY575" s="450"/>
      <c r="AZ575" s="450"/>
      <c r="BA575" s="450"/>
      <c r="BB575" s="450"/>
      <c r="BC575" s="450"/>
      <c r="BD575" s="450"/>
      <c r="BE575" s="450"/>
      <c r="BF575" s="450"/>
      <c r="BG575" s="450"/>
      <c r="BH575" s="450"/>
      <c r="BI575" s="450"/>
      <c r="BJ575" s="450"/>
      <c r="BK575" s="450"/>
      <c r="BL575" s="450"/>
      <c r="BM575" s="450"/>
      <c r="BN575" s="450"/>
      <c r="BO575" s="450"/>
      <c r="BP575" s="450"/>
      <c r="BQ575" s="450"/>
      <c r="BR575" s="450"/>
      <c r="BS575" s="450"/>
      <c r="BT575" s="450"/>
      <c r="BU575" s="450"/>
      <c r="BV575" s="450"/>
      <c r="BW575" s="450"/>
      <c r="BX575" s="450"/>
      <c r="BY575" s="450"/>
      <c r="BZ575" s="450"/>
      <c r="CA575" s="450"/>
      <c r="CB575" s="450"/>
      <c r="CC575" s="450"/>
      <c r="CD575" s="450"/>
      <c r="CE575" s="450"/>
      <c r="CF575" s="450"/>
      <c r="CG575" s="450"/>
      <c r="CH575" s="450"/>
    </row>
    <row r="576">
      <c r="A576" s="450"/>
      <c r="B576" s="498"/>
      <c r="C576" s="455"/>
      <c r="D576" s="450"/>
      <c r="E576" s="450"/>
      <c r="F576" s="450"/>
      <c r="G576" s="450"/>
      <c r="H576" s="450"/>
      <c r="I576" s="450"/>
      <c r="J576" s="450"/>
      <c r="K576" s="450"/>
      <c r="L576" s="450"/>
      <c r="M576" s="450"/>
      <c r="N576" s="450"/>
      <c r="O576" s="450"/>
      <c r="P576" s="450"/>
      <c r="Q576" s="450"/>
      <c r="R576" s="450"/>
      <c r="S576" s="450"/>
      <c r="T576" s="450"/>
      <c r="U576" s="450"/>
      <c r="V576" s="450"/>
      <c r="W576" s="450"/>
      <c r="X576" s="450"/>
      <c r="Y576" s="450"/>
      <c r="Z576" s="450"/>
      <c r="AA576" s="450"/>
      <c r="AB576" s="450"/>
      <c r="AC576" s="450"/>
      <c r="AD576" s="450"/>
      <c r="AE576" s="450"/>
      <c r="AF576" s="450"/>
      <c r="AG576" s="450"/>
      <c r="AH576" s="450"/>
      <c r="AI576" s="450"/>
      <c r="AJ576" s="450"/>
      <c r="AK576" s="450"/>
      <c r="AL576" s="450"/>
      <c r="AM576" s="450"/>
      <c r="AN576" s="450"/>
      <c r="AO576" s="450"/>
      <c r="AP576" s="450"/>
      <c r="AQ576" s="450"/>
      <c r="AR576" s="450"/>
      <c r="AS576" s="450"/>
      <c r="AT576" s="450"/>
      <c r="AU576" s="450"/>
      <c r="AV576" s="450"/>
      <c r="AW576" s="450"/>
      <c r="AX576" s="450"/>
      <c r="AY576" s="450"/>
      <c r="AZ576" s="450"/>
      <c r="BA576" s="450"/>
      <c r="BB576" s="450"/>
      <c r="BC576" s="450"/>
      <c r="BD576" s="450"/>
      <c r="BE576" s="450"/>
      <c r="BF576" s="450"/>
      <c r="BG576" s="450"/>
      <c r="BH576" s="450"/>
      <c r="BI576" s="450"/>
      <c r="BJ576" s="450"/>
      <c r="BK576" s="450"/>
      <c r="BL576" s="450"/>
      <c r="BM576" s="450"/>
      <c r="BN576" s="450"/>
      <c r="BO576" s="450"/>
      <c r="BP576" s="450"/>
      <c r="BQ576" s="450"/>
      <c r="BR576" s="450"/>
      <c r="BS576" s="450"/>
      <c r="BT576" s="450"/>
      <c r="BU576" s="450"/>
      <c r="BV576" s="450"/>
      <c r="BW576" s="450"/>
      <c r="BX576" s="450"/>
      <c r="BY576" s="450"/>
      <c r="BZ576" s="450"/>
      <c r="CA576" s="450"/>
      <c r="CB576" s="450"/>
      <c r="CC576" s="450"/>
      <c r="CD576" s="450"/>
      <c r="CE576" s="450"/>
      <c r="CF576" s="450"/>
      <c r="CG576" s="450"/>
      <c r="CH576" s="450"/>
    </row>
    <row r="577">
      <c r="A577" s="450"/>
      <c r="B577" s="498"/>
      <c r="C577" s="455"/>
      <c r="D577" s="450"/>
      <c r="E577" s="450"/>
      <c r="F577" s="450"/>
      <c r="G577" s="450"/>
      <c r="H577" s="450"/>
      <c r="I577" s="450"/>
      <c r="J577" s="450"/>
      <c r="K577" s="450"/>
      <c r="L577" s="450"/>
      <c r="M577" s="450"/>
      <c r="N577" s="450"/>
      <c r="O577" s="450"/>
      <c r="P577" s="450"/>
      <c r="Q577" s="450"/>
      <c r="R577" s="450"/>
      <c r="S577" s="450"/>
      <c r="T577" s="450"/>
      <c r="U577" s="450"/>
      <c r="V577" s="450"/>
      <c r="W577" s="450"/>
      <c r="X577" s="450"/>
      <c r="Y577" s="450"/>
      <c r="Z577" s="450"/>
      <c r="AA577" s="450"/>
      <c r="AB577" s="450"/>
      <c r="AC577" s="450"/>
      <c r="AD577" s="450"/>
      <c r="AE577" s="450"/>
      <c r="AF577" s="450"/>
      <c r="AG577" s="450"/>
      <c r="AH577" s="450"/>
      <c r="AI577" s="450"/>
      <c r="AJ577" s="450"/>
      <c r="AK577" s="450"/>
      <c r="AL577" s="450"/>
      <c r="AM577" s="450"/>
      <c r="AN577" s="450"/>
      <c r="AO577" s="450"/>
      <c r="AP577" s="450"/>
      <c r="AQ577" s="450"/>
      <c r="AR577" s="450"/>
      <c r="AS577" s="450"/>
      <c r="AT577" s="450"/>
      <c r="AU577" s="450"/>
      <c r="AV577" s="450"/>
      <c r="AW577" s="450"/>
      <c r="AX577" s="450"/>
      <c r="AY577" s="450"/>
      <c r="AZ577" s="450"/>
      <c r="BA577" s="450"/>
      <c r="BB577" s="450"/>
      <c r="BC577" s="450"/>
      <c r="BD577" s="450"/>
      <c r="BE577" s="450"/>
      <c r="BF577" s="450"/>
      <c r="BG577" s="450"/>
      <c r="BH577" s="450"/>
      <c r="BI577" s="450"/>
      <c r="BJ577" s="450"/>
      <c r="BK577" s="450"/>
      <c r="BL577" s="450"/>
      <c r="BM577" s="450"/>
      <c r="BN577" s="450"/>
      <c r="BO577" s="450"/>
      <c r="BP577" s="450"/>
      <c r="BQ577" s="450"/>
      <c r="BR577" s="450"/>
      <c r="BS577" s="450"/>
      <c r="BT577" s="450"/>
      <c r="BU577" s="450"/>
      <c r="BV577" s="450"/>
      <c r="BW577" s="450"/>
      <c r="BX577" s="450"/>
      <c r="BY577" s="450"/>
      <c r="BZ577" s="450"/>
      <c r="CA577" s="450"/>
      <c r="CB577" s="450"/>
      <c r="CC577" s="450"/>
      <c r="CD577" s="450"/>
      <c r="CE577" s="450"/>
      <c r="CF577" s="450"/>
      <c r="CG577" s="450"/>
      <c r="CH577" s="450"/>
    </row>
    <row r="578">
      <c r="A578" s="450"/>
      <c r="B578" s="498"/>
      <c r="C578" s="455"/>
      <c r="D578" s="450"/>
      <c r="E578" s="450"/>
      <c r="F578" s="450"/>
      <c r="G578" s="450"/>
      <c r="H578" s="450"/>
      <c r="I578" s="450"/>
      <c r="J578" s="450"/>
      <c r="K578" s="450"/>
      <c r="L578" s="450"/>
      <c r="M578" s="450"/>
      <c r="N578" s="450"/>
      <c r="O578" s="450"/>
      <c r="P578" s="450"/>
      <c r="Q578" s="450"/>
      <c r="R578" s="450"/>
      <c r="S578" s="450"/>
      <c r="T578" s="450"/>
      <c r="U578" s="450"/>
      <c r="V578" s="450"/>
      <c r="W578" s="450"/>
      <c r="X578" s="450"/>
      <c r="Y578" s="450"/>
      <c r="Z578" s="450"/>
      <c r="AA578" s="450"/>
      <c r="AB578" s="450"/>
      <c r="AC578" s="450"/>
      <c r="AD578" s="450"/>
      <c r="AE578" s="450"/>
      <c r="AF578" s="450"/>
      <c r="AG578" s="450"/>
      <c r="AH578" s="450"/>
      <c r="AI578" s="450"/>
      <c r="AJ578" s="450"/>
      <c r="AK578" s="450"/>
      <c r="AL578" s="450"/>
      <c r="AM578" s="450"/>
      <c r="AN578" s="450"/>
      <c r="AO578" s="450"/>
      <c r="AP578" s="450"/>
      <c r="AQ578" s="450"/>
      <c r="AR578" s="450"/>
      <c r="AS578" s="450"/>
      <c r="AT578" s="450"/>
      <c r="AU578" s="450"/>
      <c r="AV578" s="450"/>
      <c r="AW578" s="450"/>
      <c r="AX578" s="450"/>
      <c r="AY578" s="450"/>
      <c r="AZ578" s="450"/>
      <c r="BA578" s="450"/>
      <c r="BB578" s="450"/>
      <c r="BC578" s="450"/>
      <c r="BD578" s="450"/>
      <c r="BE578" s="450"/>
      <c r="BF578" s="450"/>
      <c r="BG578" s="450"/>
      <c r="BH578" s="450"/>
      <c r="BI578" s="450"/>
      <c r="BJ578" s="450"/>
      <c r="BK578" s="450"/>
      <c r="BL578" s="450"/>
      <c r="BM578" s="450"/>
      <c r="BN578" s="450"/>
      <c r="BO578" s="450"/>
      <c r="BP578" s="450"/>
      <c r="BQ578" s="450"/>
      <c r="BR578" s="450"/>
      <c r="BS578" s="450"/>
      <c r="BT578" s="450"/>
      <c r="BU578" s="450"/>
      <c r="BV578" s="450"/>
      <c r="BW578" s="450"/>
      <c r="BX578" s="450"/>
      <c r="BY578" s="450"/>
      <c r="BZ578" s="450"/>
      <c r="CA578" s="450"/>
      <c r="CB578" s="450"/>
      <c r="CC578" s="450"/>
      <c r="CD578" s="450"/>
      <c r="CE578" s="450"/>
      <c r="CF578" s="450"/>
      <c r="CG578" s="450"/>
      <c r="CH578" s="450"/>
    </row>
    <row r="579">
      <c r="A579" s="450"/>
      <c r="B579" s="498"/>
      <c r="C579" s="455"/>
      <c r="D579" s="450"/>
      <c r="E579" s="450"/>
      <c r="F579" s="450"/>
      <c r="G579" s="450"/>
      <c r="H579" s="450"/>
      <c r="I579" s="450"/>
      <c r="J579" s="450"/>
      <c r="K579" s="450"/>
      <c r="L579" s="450"/>
      <c r="M579" s="450"/>
      <c r="N579" s="450"/>
      <c r="O579" s="450"/>
      <c r="P579" s="450"/>
      <c r="Q579" s="450"/>
      <c r="R579" s="450"/>
      <c r="S579" s="450"/>
      <c r="T579" s="450"/>
      <c r="U579" s="450"/>
      <c r="V579" s="450"/>
      <c r="W579" s="450"/>
      <c r="X579" s="450"/>
      <c r="Y579" s="450"/>
      <c r="Z579" s="450"/>
      <c r="AA579" s="450"/>
      <c r="AB579" s="450"/>
      <c r="AC579" s="450"/>
      <c r="AD579" s="450"/>
      <c r="AE579" s="450"/>
      <c r="AF579" s="450"/>
      <c r="AG579" s="450"/>
      <c r="AH579" s="450"/>
      <c r="AI579" s="450"/>
      <c r="AJ579" s="450"/>
      <c r="AK579" s="450"/>
      <c r="AL579" s="450"/>
      <c r="AM579" s="450"/>
      <c r="AN579" s="450"/>
      <c r="AO579" s="450"/>
      <c r="AP579" s="450"/>
      <c r="AQ579" s="450"/>
      <c r="AR579" s="450"/>
      <c r="AS579" s="450"/>
      <c r="AT579" s="450"/>
      <c r="AU579" s="450"/>
      <c r="AV579" s="450"/>
      <c r="AW579" s="450"/>
      <c r="AX579" s="450"/>
      <c r="AY579" s="450"/>
      <c r="AZ579" s="450"/>
      <c r="BA579" s="450"/>
      <c r="BB579" s="450"/>
      <c r="BC579" s="450"/>
      <c r="BD579" s="450"/>
      <c r="BE579" s="450"/>
      <c r="BF579" s="450"/>
      <c r="BG579" s="450"/>
      <c r="BH579" s="450"/>
      <c r="BI579" s="450"/>
      <c r="BJ579" s="450"/>
      <c r="BK579" s="450"/>
      <c r="BL579" s="450"/>
      <c r="BM579" s="450"/>
      <c r="BN579" s="450"/>
      <c r="BO579" s="450"/>
      <c r="BP579" s="450"/>
      <c r="BQ579" s="450"/>
      <c r="BR579" s="450"/>
      <c r="BS579" s="450"/>
      <c r="BT579" s="450"/>
      <c r="BU579" s="450"/>
      <c r="BV579" s="450"/>
      <c r="BW579" s="450"/>
      <c r="BX579" s="450"/>
      <c r="BY579" s="450"/>
      <c r="BZ579" s="450"/>
      <c r="CA579" s="450"/>
      <c r="CB579" s="450"/>
      <c r="CC579" s="450"/>
      <c r="CD579" s="450"/>
      <c r="CE579" s="450"/>
      <c r="CF579" s="450"/>
      <c r="CG579" s="450"/>
      <c r="CH579" s="450"/>
    </row>
    <row r="580">
      <c r="A580" s="450"/>
      <c r="B580" s="498"/>
      <c r="C580" s="455"/>
      <c r="D580" s="450"/>
      <c r="E580" s="450"/>
      <c r="F580" s="450"/>
      <c r="G580" s="450"/>
      <c r="H580" s="450"/>
      <c r="I580" s="450"/>
      <c r="J580" s="450"/>
      <c r="K580" s="450"/>
      <c r="L580" s="450"/>
      <c r="M580" s="450"/>
      <c r="N580" s="450"/>
      <c r="O580" s="450"/>
      <c r="P580" s="450"/>
      <c r="Q580" s="450"/>
      <c r="R580" s="450"/>
      <c r="S580" s="450"/>
      <c r="T580" s="450"/>
      <c r="U580" s="450"/>
      <c r="V580" s="450"/>
      <c r="W580" s="450"/>
      <c r="X580" s="450"/>
      <c r="Y580" s="450"/>
      <c r="Z580" s="450"/>
      <c r="AA580" s="450"/>
      <c r="AB580" s="450"/>
      <c r="AC580" s="450"/>
      <c r="AD580" s="450"/>
      <c r="AE580" s="450"/>
      <c r="AF580" s="450"/>
      <c r="AG580" s="450"/>
      <c r="AH580" s="450"/>
      <c r="AI580" s="450"/>
      <c r="AJ580" s="450"/>
      <c r="AK580" s="450"/>
      <c r="AL580" s="450"/>
      <c r="AM580" s="450"/>
      <c r="AN580" s="450"/>
      <c r="AO580" s="450"/>
      <c r="AP580" s="450"/>
      <c r="AQ580" s="450"/>
      <c r="AR580" s="450"/>
      <c r="AS580" s="450"/>
      <c r="AT580" s="450"/>
      <c r="AU580" s="450"/>
      <c r="AV580" s="450"/>
      <c r="AW580" s="450"/>
      <c r="AX580" s="450"/>
      <c r="AY580" s="450"/>
      <c r="AZ580" s="450"/>
      <c r="BA580" s="450"/>
      <c r="BB580" s="450"/>
      <c r="BC580" s="450"/>
      <c r="BD580" s="450"/>
      <c r="BE580" s="450"/>
      <c r="BF580" s="450"/>
      <c r="BG580" s="450"/>
      <c r="BH580" s="450"/>
      <c r="BI580" s="450"/>
      <c r="BJ580" s="450"/>
      <c r="BK580" s="450"/>
      <c r="BL580" s="450"/>
      <c r="BM580" s="450"/>
      <c r="BN580" s="450"/>
      <c r="BO580" s="450"/>
      <c r="BP580" s="450"/>
      <c r="BQ580" s="450"/>
      <c r="BR580" s="450"/>
      <c r="BS580" s="450"/>
      <c r="BT580" s="450"/>
      <c r="BU580" s="450"/>
      <c r="BV580" s="450"/>
      <c r="BW580" s="450"/>
      <c r="BX580" s="450"/>
      <c r="BY580" s="450"/>
      <c r="BZ580" s="450"/>
      <c r="CA580" s="450"/>
      <c r="CB580" s="450"/>
      <c r="CC580" s="450"/>
      <c r="CD580" s="450"/>
      <c r="CE580" s="450"/>
      <c r="CF580" s="450"/>
      <c r="CG580" s="450"/>
      <c r="CH580" s="450"/>
    </row>
    <row r="581">
      <c r="A581" s="450"/>
      <c r="B581" s="498"/>
      <c r="C581" s="455"/>
      <c r="D581" s="450"/>
      <c r="E581" s="450"/>
      <c r="F581" s="450"/>
      <c r="G581" s="450"/>
      <c r="H581" s="450"/>
      <c r="I581" s="450"/>
      <c r="J581" s="450"/>
      <c r="K581" s="450"/>
      <c r="L581" s="450"/>
      <c r="M581" s="450"/>
      <c r="N581" s="450"/>
      <c r="O581" s="450"/>
      <c r="P581" s="450"/>
      <c r="Q581" s="450"/>
      <c r="R581" s="450"/>
      <c r="S581" s="450"/>
      <c r="T581" s="450"/>
      <c r="U581" s="450"/>
      <c r="V581" s="450"/>
      <c r="W581" s="450"/>
      <c r="X581" s="450"/>
      <c r="Y581" s="450"/>
      <c r="Z581" s="450"/>
      <c r="AA581" s="450"/>
      <c r="AB581" s="450"/>
      <c r="AC581" s="450"/>
      <c r="AD581" s="450"/>
      <c r="AE581" s="450"/>
      <c r="AF581" s="450"/>
      <c r="AG581" s="450"/>
      <c r="AH581" s="450"/>
      <c r="AI581" s="450"/>
      <c r="AJ581" s="450"/>
      <c r="AK581" s="450"/>
      <c r="AL581" s="450"/>
      <c r="AM581" s="450"/>
      <c r="AN581" s="450"/>
      <c r="AO581" s="450"/>
      <c r="AP581" s="450"/>
      <c r="AQ581" s="450"/>
      <c r="AR581" s="450"/>
      <c r="AS581" s="450"/>
      <c r="AT581" s="450"/>
      <c r="AU581" s="450"/>
      <c r="AV581" s="450"/>
      <c r="AW581" s="450"/>
      <c r="AX581" s="450"/>
      <c r="AY581" s="450"/>
      <c r="AZ581" s="450"/>
      <c r="BA581" s="450"/>
      <c r="BB581" s="450"/>
      <c r="BC581" s="450"/>
      <c r="BD581" s="450"/>
      <c r="BE581" s="450"/>
      <c r="BF581" s="450"/>
      <c r="BG581" s="450"/>
      <c r="BH581" s="450"/>
      <c r="BI581" s="450"/>
      <c r="BJ581" s="450"/>
      <c r="BK581" s="450"/>
      <c r="BL581" s="450"/>
      <c r="BM581" s="450"/>
      <c r="BN581" s="450"/>
      <c r="BO581" s="450"/>
      <c r="BP581" s="450"/>
      <c r="BQ581" s="450"/>
      <c r="BR581" s="450"/>
      <c r="BS581" s="450"/>
      <c r="BT581" s="450"/>
      <c r="BU581" s="450"/>
      <c r="BV581" s="450"/>
      <c r="BW581" s="450"/>
      <c r="BX581" s="450"/>
      <c r="BY581" s="450"/>
      <c r="BZ581" s="450"/>
      <c r="CA581" s="450"/>
      <c r="CB581" s="450"/>
      <c r="CC581" s="450"/>
      <c r="CD581" s="450"/>
      <c r="CE581" s="450"/>
      <c r="CF581" s="450"/>
      <c r="CG581" s="450"/>
      <c r="CH581" s="450"/>
    </row>
    <row r="582">
      <c r="A582" s="450"/>
      <c r="B582" s="498"/>
      <c r="C582" s="455"/>
      <c r="D582" s="450"/>
      <c r="E582" s="450"/>
      <c r="F582" s="450"/>
      <c r="G582" s="450"/>
      <c r="H582" s="450"/>
      <c r="I582" s="450"/>
      <c r="J582" s="450"/>
      <c r="K582" s="450"/>
      <c r="L582" s="450"/>
      <c r="M582" s="450"/>
      <c r="N582" s="450"/>
      <c r="O582" s="450"/>
      <c r="P582" s="450"/>
      <c r="Q582" s="450"/>
      <c r="R582" s="450"/>
      <c r="S582" s="450"/>
      <c r="T582" s="450"/>
      <c r="U582" s="450"/>
      <c r="V582" s="450"/>
      <c r="W582" s="450"/>
      <c r="X582" s="450"/>
      <c r="Y582" s="450"/>
      <c r="Z582" s="450"/>
      <c r="AA582" s="450"/>
      <c r="AB582" s="450"/>
      <c r="AC582" s="450"/>
      <c r="AD582" s="450"/>
      <c r="AE582" s="450"/>
      <c r="AF582" s="450"/>
      <c r="AG582" s="450"/>
      <c r="AH582" s="450"/>
      <c r="AI582" s="450"/>
      <c r="AJ582" s="450"/>
      <c r="AK582" s="450"/>
      <c r="AL582" s="450"/>
      <c r="AM582" s="450"/>
      <c r="AN582" s="450"/>
      <c r="AO582" s="450"/>
      <c r="AP582" s="450"/>
      <c r="AQ582" s="450"/>
      <c r="AR582" s="450"/>
      <c r="AS582" s="450"/>
      <c r="AT582" s="450"/>
      <c r="AU582" s="450"/>
      <c r="AV582" s="450"/>
      <c r="AW582" s="450"/>
      <c r="AX582" s="450"/>
      <c r="AY582" s="450"/>
      <c r="AZ582" s="450"/>
      <c r="BA582" s="450"/>
      <c r="BB582" s="450"/>
      <c r="BC582" s="450"/>
      <c r="BD582" s="450"/>
      <c r="BE582" s="450"/>
      <c r="BF582" s="450"/>
      <c r="BG582" s="450"/>
      <c r="BH582" s="450"/>
      <c r="BI582" s="450"/>
      <c r="BJ582" s="450"/>
      <c r="BK582" s="450"/>
      <c r="BL582" s="450"/>
      <c r="BM582" s="450"/>
      <c r="BN582" s="450"/>
      <c r="BO582" s="450"/>
      <c r="BP582" s="450"/>
      <c r="BQ582" s="450"/>
      <c r="BR582" s="450"/>
      <c r="BS582" s="450"/>
      <c r="BT582" s="450"/>
      <c r="BU582" s="450"/>
      <c r="BV582" s="450"/>
      <c r="BW582" s="450"/>
      <c r="BX582" s="450"/>
      <c r="BY582" s="450"/>
      <c r="BZ582" s="450"/>
      <c r="CA582" s="450"/>
      <c r="CB582" s="450"/>
      <c r="CC582" s="450"/>
      <c r="CD582" s="450"/>
      <c r="CE582" s="450"/>
      <c r="CF582" s="450"/>
      <c r="CG582" s="450"/>
      <c r="CH582" s="450"/>
    </row>
    <row r="583">
      <c r="A583" s="450"/>
      <c r="B583" s="498"/>
      <c r="C583" s="455"/>
      <c r="D583" s="450"/>
      <c r="E583" s="450"/>
      <c r="F583" s="450"/>
      <c r="G583" s="450"/>
      <c r="H583" s="450"/>
      <c r="I583" s="450"/>
      <c r="J583" s="450"/>
      <c r="K583" s="450"/>
      <c r="L583" s="450"/>
      <c r="M583" s="450"/>
      <c r="N583" s="450"/>
      <c r="O583" s="450"/>
      <c r="P583" s="450"/>
      <c r="Q583" s="450"/>
      <c r="R583" s="450"/>
      <c r="S583" s="450"/>
      <c r="T583" s="450"/>
      <c r="U583" s="450"/>
      <c r="V583" s="450"/>
      <c r="W583" s="450"/>
      <c r="X583" s="450"/>
      <c r="Y583" s="450"/>
      <c r="Z583" s="450"/>
      <c r="AA583" s="450"/>
      <c r="AB583" s="450"/>
      <c r="AC583" s="450"/>
      <c r="AD583" s="450"/>
      <c r="AE583" s="450"/>
      <c r="AF583" s="450"/>
      <c r="AG583" s="450"/>
      <c r="AH583" s="450"/>
      <c r="AI583" s="450"/>
      <c r="AJ583" s="450"/>
      <c r="AK583" s="450"/>
      <c r="AL583" s="450"/>
      <c r="AM583" s="450"/>
      <c r="AN583" s="450"/>
      <c r="AO583" s="450"/>
      <c r="AP583" s="450"/>
      <c r="AQ583" s="450"/>
      <c r="AR583" s="450"/>
      <c r="AS583" s="450"/>
      <c r="AT583" s="450"/>
      <c r="AU583" s="450"/>
      <c r="AV583" s="450"/>
      <c r="AW583" s="450"/>
      <c r="AX583" s="450"/>
      <c r="AY583" s="450"/>
      <c r="AZ583" s="450"/>
      <c r="BA583" s="450"/>
      <c r="BB583" s="450"/>
      <c r="BC583" s="450"/>
      <c r="BD583" s="450"/>
      <c r="BE583" s="450"/>
      <c r="BF583" s="450"/>
      <c r="BG583" s="450"/>
      <c r="BH583" s="450"/>
      <c r="BI583" s="450"/>
      <c r="BJ583" s="450"/>
      <c r="BK583" s="450"/>
      <c r="BL583" s="450"/>
      <c r="BM583" s="450"/>
      <c r="BN583" s="450"/>
      <c r="BO583" s="450"/>
      <c r="BP583" s="450"/>
      <c r="BQ583" s="450"/>
      <c r="BR583" s="450"/>
      <c r="BS583" s="450"/>
      <c r="BT583" s="450"/>
      <c r="BU583" s="450"/>
      <c r="BV583" s="450"/>
      <c r="BW583" s="450"/>
      <c r="BX583" s="450"/>
      <c r="BY583" s="450"/>
      <c r="BZ583" s="450"/>
      <c r="CA583" s="450"/>
      <c r="CB583" s="450"/>
      <c r="CC583" s="450"/>
      <c r="CD583" s="450"/>
      <c r="CE583" s="450"/>
      <c r="CF583" s="450"/>
      <c r="CG583" s="450"/>
      <c r="CH583" s="450"/>
    </row>
    <row r="584">
      <c r="A584" s="450"/>
      <c r="B584" s="498"/>
      <c r="C584" s="455"/>
      <c r="D584" s="450"/>
      <c r="E584" s="450"/>
      <c r="F584" s="450"/>
      <c r="G584" s="450"/>
      <c r="H584" s="450"/>
      <c r="I584" s="450"/>
      <c r="J584" s="450"/>
      <c r="K584" s="450"/>
      <c r="L584" s="450"/>
      <c r="M584" s="450"/>
      <c r="N584" s="450"/>
      <c r="O584" s="450"/>
      <c r="P584" s="450"/>
      <c r="Q584" s="450"/>
      <c r="R584" s="450"/>
      <c r="S584" s="450"/>
      <c r="T584" s="450"/>
      <c r="U584" s="450"/>
      <c r="V584" s="450"/>
      <c r="W584" s="450"/>
      <c r="X584" s="450"/>
      <c r="Y584" s="450"/>
      <c r="Z584" s="450"/>
      <c r="AA584" s="450"/>
      <c r="AB584" s="450"/>
      <c r="AC584" s="450"/>
      <c r="AD584" s="450"/>
      <c r="AE584" s="450"/>
      <c r="AF584" s="450"/>
      <c r="AG584" s="450"/>
      <c r="AH584" s="450"/>
      <c r="AI584" s="450"/>
      <c r="AJ584" s="450"/>
      <c r="AK584" s="450"/>
      <c r="AL584" s="450"/>
      <c r="AM584" s="450"/>
      <c r="AN584" s="450"/>
      <c r="AO584" s="450"/>
      <c r="AP584" s="450"/>
      <c r="AQ584" s="450"/>
      <c r="AR584" s="450"/>
      <c r="AS584" s="450"/>
      <c r="AT584" s="450"/>
      <c r="AU584" s="450"/>
      <c r="AV584" s="450"/>
      <c r="AW584" s="450"/>
      <c r="AX584" s="450"/>
      <c r="AY584" s="450"/>
      <c r="AZ584" s="450"/>
      <c r="BA584" s="450"/>
      <c r="BB584" s="450"/>
      <c r="BC584" s="450"/>
      <c r="BD584" s="450"/>
      <c r="BE584" s="450"/>
      <c r="BF584" s="450"/>
      <c r="BG584" s="450"/>
      <c r="BH584" s="450"/>
      <c r="BI584" s="450"/>
      <c r="BJ584" s="450"/>
      <c r="BK584" s="450"/>
      <c r="BL584" s="450"/>
      <c r="BM584" s="450"/>
      <c r="BN584" s="450"/>
      <c r="BO584" s="450"/>
      <c r="BP584" s="450"/>
      <c r="BQ584" s="450"/>
      <c r="BR584" s="450"/>
      <c r="BS584" s="450"/>
      <c r="BT584" s="450"/>
      <c r="BU584" s="450"/>
      <c r="BV584" s="450"/>
      <c r="BW584" s="450"/>
      <c r="BX584" s="450"/>
      <c r="BY584" s="450"/>
      <c r="BZ584" s="450"/>
      <c r="CA584" s="450"/>
      <c r="CB584" s="450"/>
      <c r="CC584" s="450"/>
      <c r="CD584" s="450"/>
      <c r="CE584" s="450"/>
      <c r="CF584" s="450"/>
      <c r="CG584" s="450"/>
      <c r="CH584" s="450"/>
    </row>
    <row r="585">
      <c r="A585" s="450"/>
      <c r="B585" s="498"/>
      <c r="C585" s="455"/>
      <c r="D585" s="450"/>
      <c r="E585" s="450"/>
      <c r="F585" s="450"/>
      <c r="G585" s="450"/>
      <c r="H585" s="450"/>
      <c r="I585" s="450"/>
      <c r="J585" s="450"/>
      <c r="K585" s="450"/>
      <c r="L585" s="450"/>
      <c r="M585" s="450"/>
      <c r="N585" s="450"/>
      <c r="O585" s="450"/>
      <c r="P585" s="450"/>
      <c r="Q585" s="450"/>
      <c r="R585" s="450"/>
      <c r="S585" s="450"/>
      <c r="T585" s="450"/>
      <c r="U585" s="450"/>
      <c r="V585" s="450"/>
      <c r="W585" s="450"/>
      <c r="X585" s="450"/>
      <c r="Y585" s="450"/>
      <c r="Z585" s="450"/>
      <c r="AA585" s="450"/>
      <c r="AB585" s="450"/>
      <c r="AC585" s="450"/>
      <c r="AD585" s="450"/>
      <c r="AE585" s="450"/>
      <c r="AF585" s="450"/>
      <c r="AG585" s="450"/>
      <c r="AH585" s="450"/>
      <c r="AI585" s="450"/>
      <c r="AJ585" s="450"/>
      <c r="AK585" s="450"/>
      <c r="AL585" s="450"/>
      <c r="AM585" s="450"/>
      <c r="AN585" s="450"/>
      <c r="AO585" s="450"/>
      <c r="AP585" s="450"/>
      <c r="AQ585" s="450"/>
      <c r="AR585" s="450"/>
      <c r="AS585" s="450"/>
      <c r="AT585" s="450"/>
      <c r="AU585" s="450"/>
      <c r="AV585" s="450"/>
      <c r="AW585" s="450"/>
      <c r="AX585" s="450"/>
      <c r="AY585" s="450"/>
      <c r="AZ585" s="450"/>
      <c r="BA585" s="450"/>
      <c r="BB585" s="450"/>
      <c r="BC585" s="450"/>
      <c r="BD585" s="450"/>
      <c r="BE585" s="450"/>
      <c r="BF585" s="450"/>
      <c r="BG585" s="450"/>
      <c r="BH585" s="450"/>
      <c r="BI585" s="450"/>
      <c r="BJ585" s="450"/>
      <c r="BK585" s="450"/>
      <c r="BL585" s="450"/>
      <c r="BM585" s="450"/>
      <c r="BN585" s="450"/>
      <c r="BO585" s="450"/>
      <c r="BP585" s="450"/>
      <c r="BQ585" s="450"/>
      <c r="BR585" s="450"/>
      <c r="BS585" s="450"/>
      <c r="BT585" s="450"/>
      <c r="BU585" s="450"/>
      <c r="BV585" s="450"/>
      <c r="BW585" s="450"/>
      <c r="BX585" s="450"/>
      <c r="BY585" s="450"/>
      <c r="BZ585" s="450"/>
      <c r="CA585" s="450"/>
      <c r="CB585" s="450"/>
      <c r="CC585" s="450"/>
      <c r="CD585" s="450"/>
      <c r="CE585" s="450"/>
      <c r="CF585" s="450"/>
      <c r="CG585" s="450"/>
      <c r="CH585" s="450"/>
    </row>
    <row r="586">
      <c r="A586" s="450"/>
      <c r="B586" s="498"/>
      <c r="C586" s="455"/>
      <c r="D586" s="450"/>
      <c r="E586" s="450"/>
      <c r="F586" s="450"/>
      <c r="G586" s="450"/>
      <c r="H586" s="450"/>
      <c r="I586" s="450"/>
      <c r="J586" s="450"/>
      <c r="K586" s="450"/>
      <c r="L586" s="450"/>
      <c r="M586" s="450"/>
      <c r="N586" s="450"/>
      <c r="O586" s="450"/>
      <c r="P586" s="450"/>
      <c r="Q586" s="450"/>
      <c r="R586" s="450"/>
      <c r="S586" s="450"/>
      <c r="T586" s="450"/>
      <c r="U586" s="450"/>
      <c r="V586" s="450"/>
      <c r="W586" s="450"/>
      <c r="X586" s="450"/>
      <c r="Y586" s="450"/>
      <c r="Z586" s="450"/>
      <c r="AA586" s="450"/>
      <c r="AB586" s="450"/>
      <c r="AC586" s="450"/>
      <c r="AD586" s="450"/>
      <c r="AE586" s="450"/>
      <c r="AF586" s="450"/>
      <c r="AG586" s="450"/>
      <c r="AH586" s="450"/>
      <c r="AI586" s="450"/>
      <c r="AJ586" s="450"/>
      <c r="AK586" s="450"/>
      <c r="AL586" s="450"/>
      <c r="AM586" s="450"/>
      <c r="AN586" s="450"/>
      <c r="AO586" s="450"/>
      <c r="AP586" s="450"/>
      <c r="AQ586" s="450"/>
      <c r="AR586" s="450"/>
      <c r="AS586" s="450"/>
      <c r="AT586" s="450"/>
      <c r="AU586" s="450"/>
      <c r="AV586" s="450"/>
      <c r="AW586" s="450"/>
      <c r="AX586" s="450"/>
      <c r="AY586" s="450"/>
      <c r="AZ586" s="450"/>
      <c r="BA586" s="450"/>
      <c r="BB586" s="450"/>
      <c r="BC586" s="450"/>
      <c r="BD586" s="450"/>
      <c r="BE586" s="450"/>
      <c r="BF586" s="450"/>
      <c r="BG586" s="450"/>
      <c r="BH586" s="450"/>
      <c r="BI586" s="450"/>
      <c r="BJ586" s="450"/>
      <c r="BK586" s="450"/>
      <c r="BL586" s="450"/>
      <c r="BM586" s="450"/>
      <c r="BN586" s="450"/>
      <c r="BO586" s="450"/>
      <c r="BP586" s="450"/>
      <c r="BQ586" s="450"/>
      <c r="BR586" s="450"/>
      <c r="BS586" s="450"/>
      <c r="BT586" s="450"/>
      <c r="BU586" s="450"/>
      <c r="BV586" s="450"/>
      <c r="BW586" s="450"/>
      <c r="BX586" s="450"/>
      <c r="BY586" s="450"/>
      <c r="BZ586" s="450"/>
      <c r="CA586" s="450"/>
      <c r="CB586" s="450"/>
      <c r="CC586" s="450"/>
      <c r="CD586" s="450"/>
      <c r="CE586" s="450"/>
      <c r="CF586" s="450"/>
      <c r="CG586" s="450"/>
      <c r="CH586" s="450"/>
    </row>
    <row r="587">
      <c r="A587" s="450"/>
      <c r="B587" s="498"/>
      <c r="C587" s="455"/>
      <c r="D587" s="450"/>
      <c r="E587" s="450"/>
      <c r="F587" s="450"/>
      <c r="G587" s="450"/>
      <c r="H587" s="450"/>
      <c r="I587" s="450"/>
      <c r="J587" s="450"/>
      <c r="K587" s="450"/>
      <c r="L587" s="450"/>
      <c r="M587" s="450"/>
      <c r="N587" s="450"/>
      <c r="O587" s="450"/>
      <c r="P587" s="450"/>
      <c r="Q587" s="450"/>
      <c r="R587" s="450"/>
      <c r="S587" s="450"/>
      <c r="T587" s="450"/>
      <c r="U587" s="450"/>
      <c r="V587" s="450"/>
      <c r="W587" s="450"/>
      <c r="X587" s="450"/>
      <c r="Y587" s="450"/>
      <c r="Z587" s="450"/>
      <c r="AA587" s="450"/>
      <c r="AB587" s="450"/>
      <c r="AC587" s="450"/>
      <c r="AD587" s="450"/>
      <c r="AE587" s="450"/>
      <c r="AF587" s="450"/>
      <c r="AG587" s="450"/>
      <c r="AH587" s="450"/>
      <c r="AI587" s="450"/>
      <c r="AJ587" s="450"/>
      <c r="AK587" s="450"/>
      <c r="AL587" s="450"/>
      <c r="AM587" s="450"/>
      <c r="AN587" s="450"/>
      <c r="AO587" s="450"/>
      <c r="AP587" s="450"/>
      <c r="AQ587" s="450"/>
      <c r="AR587" s="450"/>
      <c r="AS587" s="450"/>
      <c r="AT587" s="450"/>
      <c r="AU587" s="450"/>
      <c r="AV587" s="450"/>
      <c r="AW587" s="450"/>
      <c r="AX587" s="450"/>
      <c r="AY587" s="450"/>
      <c r="AZ587" s="450"/>
      <c r="BA587" s="450"/>
      <c r="BB587" s="450"/>
      <c r="BC587" s="450"/>
      <c r="BD587" s="450"/>
      <c r="BE587" s="450"/>
      <c r="BF587" s="450"/>
      <c r="BG587" s="450"/>
      <c r="BH587" s="450"/>
      <c r="BI587" s="450"/>
      <c r="BJ587" s="450"/>
      <c r="BK587" s="450"/>
      <c r="BL587" s="450"/>
      <c r="BM587" s="450"/>
      <c r="BN587" s="450"/>
      <c r="BO587" s="450"/>
      <c r="BP587" s="450"/>
      <c r="BQ587" s="450"/>
      <c r="BR587" s="450"/>
      <c r="BS587" s="450"/>
      <c r="BT587" s="450"/>
      <c r="BU587" s="450"/>
      <c r="BV587" s="450"/>
      <c r="BW587" s="450"/>
      <c r="BX587" s="450"/>
      <c r="BY587" s="450"/>
      <c r="BZ587" s="450"/>
      <c r="CA587" s="450"/>
      <c r="CB587" s="450"/>
      <c r="CC587" s="450"/>
      <c r="CD587" s="450"/>
      <c r="CE587" s="450"/>
      <c r="CF587" s="450"/>
      <c r="CG587" s="450"/>
      <c r="CH587" s="450"/>
    </row>
    <row r="588">
      <c r="A588" s="450"/>
      <c r="B588" s="498"/>
      <c r="C588" s="455"/>
      <c r="D588" s="450"/>
      <c r="E588" s="450"/>
      <c r="F588" s="450"/>
      <c r="G588" s="450"/>
      <c r="H588" s="450"/>
      <c r="I588" s="450"/>
      <c r="J588" s="450"/>
      <c r="K588" s="450"/>
      <c r="L588" s="450"/>
      <c r="M588" s="450"/>
      <c r="N588" s="450"/>
      <c r="O588" s="450"/>
      <c r="P588" s="450"/>
      <c r="Q588" s="450"/>
      <c r="R588" s="450"/>
      <c r="S588" s="450"/>
      <c r="T588" s="450"/>
      <c r="U588" s="450"/>
      <c r="V588" s="450"/>
      <c r="W588" s="450"/>
      <c r="X588" s="450"/>
      <c r="Y588" s="450"/>
      <c r="Z588" s="450"/>
      <c r="AA588" s="450"/>
      <c r="AB588" s="450"/>
      <c r="AC588" s="450"/>
      <c r="AD588" s="450"/>
      <c r="AE588" s="450"/>
      <c r="AF588" s="450"/>
      <c r="AG588" s="450"/>
      <c r="AH588" s="450"/>
      <c r="AI588" s="450"/>
      <c r="AJ588" s="450"/>
      <c r="AK588" s="450"/>
      <c r="AL588" s="450"/>
      <c r="AM588" s="450"/>
      <c r="AN588" s="450"/>
      <c r="AO588" s="450"/>
      <c r="AP588" s="450"/>
      <c r="AQ588" s="450"/>
      <c r="AR588" s="450"/>
      <c r="AS588" s="450"/>
      <c r="AT588" s="450"/>
      <c r="AU588" s="450"/>
      <c r="AV588" s="450"/>
      <c r="AW588" s="450"/>
      <c r="AX588" s="450"/>
      <c r="AY588" s="450"/>
      <c r="AZ588" s="450"/>
      <c r="BA588" s="450"/>
      <c r="BB588" s="450"/>
      <c r="BC588" s="450"/>
      <c r="BD588" s="450"/>
      <c r="BE588" s="450"/>
      <c r="BF588" s="450"/>
      <c r="BG588" s="450"/>
      <c r="BH588" s="450"/>
      <c r="BI588" s="450"/>
      <c r="BJ588" s="450"/>
      <c r="BK588" s="450"/>
      <c r="BL588" s="450"/>
      <c r="BM588" s="450"/>
      <c r="BN588" s="450"/>
      <c r="BO588" s="450"/>
      <c r="BP588" s="450"/>
      <c r="BQ588" s="450"/>
      <c r="BR588" s="450"/>
      <c r="BS588" s="450"/>
      <c r="BT588" s="450"/>
      <c r="BU588" s="450"/>
      <c r="BV588" s="450"/>
      <c r="BW588" s="450"/>
      <c r="BX588" s="450"/>
      <c r="BY588" s="450"/>
      <c r="BZ588" s="450"/>
      <c r="CA588" s="450"/>
      <c r="CB588" s="450"/>
      <c r="CC588" s="450"/>
      <c r="CD588" s="450"/>
      <c r="CE588" s="450"/>
      <c r="CF588" s="450"/>
      <c r="CG588" s="450"/>
      <c r="CH588" s="450"/>
    </row>
  </sheetData>
  <hyperlinks>
    <hyperlink display="TABLA  DE COSTOS REALES&#10;SOLAPA: MARKUP GENERAL &#10;PERIODICIDAD: RETROACTIVO Y PARA CIERRE. &#10;ALIMENTA COSTOS DE RESULTADOS&#10;YOUSCAN ESTA PRORRATEADO&#10;ESTA TABLA SE ACTUALIZA AUTOMÁTICAMENTE CUANDO HAY MODIFICACIONES EN Costos directos e indirectos&#10;¿Cómo usar?&#10;Todos los meses cuando se hace el cierre de costos de equipo se carga la solapa Costos directos e indirectos y se actualiza automáticamente esta TD. Además, una vez que Michelle cierra el pasivo se cargan el resto de los costos ahí mismo y vuelve a actualizarse la TD automáticamente. Una vez hecho esto, se filtra el mes que está cerrando y se trasladada a MarkUp General." location="'Seguimiento Mark Up General'!A3" ref="A19"/>
    <hyperlink display="TABLA  DE COSTOS ARR REAL&#10;SOLAPA: MARKUP GENERAL &#10;PERIODICIDAD: RETROACTIVO Y PARA CIERRE. &#10;ALIMENTA COSTOS DE SSR&#10;YOUSCAN ESTA PRORRATEADO&#10;ESTA TABLA SE ACTUALIZA AUTOMÁTICAMENTE CUANDO HAY MODIFICACIONES EN Costos directos e indirectos&#10;Sirve para reemplazar los estimados con los reales de cada mes en el calculo del SSR. Se debe actualizar con el mes de cierre una vez que esté Costos directos e indirectos cargado. Luego se copia y pega en Mark Up General&#10;SE FILTRA EL MES NO SE TIENE PRESENTE LOS BONOS NI LOS IMPUESTOS USA" location="'Seguimiento Mark Up General'!A117" ref="A95"/>
  </hyperlinks>
  <drawing r:id="rId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72.25"/>
    <col customWidth="1" min="2" max="2" width="35.13"/>
  </cols>
  <sheetData>
    <row r="1">
      <c r="A1" s="509" t="s">
        <v>1277</v>
      </c>
    </row>
    <row r="2"/>
    <row r="3"/>
    <row r="4"/>
    <row r="5"/>
    <row r="6"/>
    <row r="7"/>
    <row r="8"/>
    <row r="9"/>
    <row r="10"/>
    <row r="11"/>
    <row r="12"/>
    <row r="13"/>
    <row r="14"/>
    <row r="15"/>
    <row r="16"/>
    <row r="17"/>
    <row r="18"/>
    <row r="19"/>
    <row r="20"/>
    <row r="21"/>
    <row r="22"/>
    <row r="23"/>
    <row r="24"/>
    <row r="25"/>
    <row r="26"/>
    <row r="27"/>
    <row r="28"/>
    <row r="29"/>
    <row r="30">
      <c r="A30" s="511"/>
    </row>
    <row r="31">
      <c r="A31" s="511"/>
    </row>
    <row r="32">
      <c r="A32" s="511"/>
    </row>
    <row r="33">
      <c r="A33" s="512" t="s">
        <v>1283</v>
      </c>
    </row>
    <row r="34"/>
    <row r="35"/>
    <row r="36"/>
    <row r="37"/>
    <row r="38"/>
    <row r="39"/>
    <row r="40"/>
    <row r="41"/>
    <row r="42"/>
    <row r="43"/>
    <row r="44"/>
    <row r="45"/>
    <row r="46"/>
    <row r="47"/>
    <row r="48"/>
    <row r="49"/>
    <row r="50"/>
    <row r="51"/>
    <row r="52"/>
    <row r="53"/>
    <row r="56">
      <c r="A56" s="512" t="s">
        <v>1285</v>
      </c>
    </row>
    <row r="57"/>
    <row r="58"/>
    <row r="59"/>
    <row r="60"/>
    <row r="61"/>
    <row r="62"/>
    <row r="63"/>
    <row r="64"/>
    <row r="65"/>
    <row r="66"/>
    <row r="67"/>
    <row r="68"/>
    <row r="69"/>
    <row r="70"/>
    <row r="71"/>
    <row r="72"/>
    <row r="73"/>
    <row r="74"/>
    <row r="75"/>
    <row r="80">
      <c r="A80" s="512" t="s">
        <v>1287</v>
      </c>
    </row>
    <row r="81"/>
    <row r="82"/>
    <row r="83"/>
    <row r="84"/>
    <row r="85"/>
    <row r="86"/>
    <row r="87"/>
    <row r="88"/>
    <row r="89"/>
    <row r="90"/>
    <row r="91"/>
    <row r="92"/>
    <row r="93"/>
  </sheetData>
  <hyperlinks>
    <hyperlink display="TABLA DE PROYECTOS CONFIRMADOS Y ESTIMADOS, NETOS. &#10;SOLAPA QUE ALIMENTA: MARKUP GENERAL &#10;PERIODICIDAD: RETROACTIVO, PARA CIERRE Y ESTIMADO. &#10;ALIMENTA VENTAS DE RESULTADOS&#10;NO MODIFICAR FORMATO NI FILTROS ESTA FORMULADO&#10;ESTA TABLA SE ACTUALIZA AUTOMÁTICAMENTE CUANDO HAY MODIFICACIONES EN &#10;TABLA Proyectos confirmados y estimados&#10;Sirve para completar las ventas netas del mes y estimadas en Seguimiento Mark Up General. &#10;Se actualiza todos los meses al cierre de mes y una vez que se actualiza el dato de REM del tipo de cambio (mitad de mes aproximadamente)" location="'Seguimiento Mark Up General'!A58" ref="A33"/>
    <hyperlink display="TABLA DE PROYECTOS 100% CONFIRMADOS PARA ARR.&#10;SOLAPA QUE ALIMENTA: MARKUP GENERAL &#10;PERIODICIDAD: ESTIMADO. &#10;ALIMENTA VENTAS PROYECTADAS CONFIRMADAS PARA SSR. SE PEGA SOLO LO ESTIMADO.&#10;NO TOCAR FORMATO NI FILTROS ESTA FORMULADA&#10;ESTA TABLA SE ACTUALIZA AUTOMÁTICAMENTE CUANDO HAY MODIFICACIONES EN &#10;TABLA Proyectos confirmados y estimados" location="'Seguimiento Mark Up General'!A92" ref="A56"/>
    <hyperlink display="TABLA DE PROYECTOS ESTIMADOS PARA ESTADO DE SITUACIÓN A 60 DÍAS EN USD PERO LOS ARS CON IVA  &#10;SOLAPA QUE ALIMENTA: MARKUP GENERAL &#10;PERIODICIDAD: ESTIMADO. &#10;ALIMENTA VENTAS PROYECTADAS EN USD CON ARS BRUTO. SE PEGA SOLO LO ESTIMADO.&#10;&#10;ESTA TABLA SE ACTUALIZA AUTOMÁTICAMENTE CUANDO HAY MODIFICACIONES EN &#10;TABLA Proyectos confirmados y estimados" location="'Seguimiento Mark Up General'!A175" ref="A80"/>
  </hyperlinks>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73.88"/>
    <col customWidth="1" min="2" max="2" width="18.5"/>
  </cols>
  <sheetData>
    <row r="1">
      <c r="A1" s="513" t="s">
        <v>1289</v>
      </c>
      <c r="C1" s="105"/>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c r="C43" s="105"/>
    </row>
    <row r="44">
      <c r="C44" s="105"/>
    </row>
    <row r="45">
      <c r="C45" s="105"/>
    </row>
    <row r="46">
      <c r="C46" s="105"/>
    </row>
    <row r="47">
      <c r="B47" s="105"/>
    </row>
    <row r="48">
      <c r="B48" s="105"/>
    </row>
    <row r="49">
      <c r="B49" s="105"/>
    </row>
    <row r="50">
      <c r="B50" s="105"/>
    </row>
    <row r="51">
      <c r="B51" s="105"/>
    </row>
    <row r="52">
      <c r="B52" s="105"/>
    </row>
    <row r="53">
      <c r="A53" s="514" t="s">
        <v>1290</v>
      </c>
      <c r="B53" s="105"/>
    </row>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c r="C90" s="105"/>
    </row>
    <row r="91">
      <c r="B91" s="105"/>
    </row>
    <row r="92">
      <c r="B92" s="105"/>
    </row>
    <row r="93">
      <c r="B93" s="105"/>
    </row>
    <row r="94">
      <c r="B94" s="105"/>
    </row>
    <row r="95">
      <c r="B95" s="105"/>
    </row>
    <row r="96">
      <c r="B96" s="105"/>
    </row>
    <row r="97">
      <c r="B97" s="105"/>
    </row>
    <row r="98">
      <c r="B98" s="105"/>
    </row>
    <row r="99">
      <c r="B99" s="105"/>
    </row>
    <row r="100">
      <c r="B100" s="105"/>
    </row>
    <row r="101">
      <c r="B101" s="105"/>
    </row>
    <row r="102">
      <c r="B102" s="105"/>
    </row>
    <row r="103">
      <c r="B103" s="105"/>
    </row>
    <row r="104">
      <c r="B104" s="105"/>
    </row>
    <row r="105">
      <c r="B105" s="105"/>
    </row>
    <row r="106">
      <c r="B106" s="105"/>
    </row>
    <row r="107">
      <c r="B107" s="105"/>
    </row>
    <row r="108">
      <c r="B108" s="105"/>
    </row>
    <row r="109">
      <c r="B109" s="105"/>
    </row>
    <row r="110">
      <c r="B110" s="105"/>
    </row>
    <row r="111">
      <c r="B111" s="105"/>
    </row>
    <row r="112">
      <c r="B112" s="105"/>
    </row>
    <row r="113">
      <c r="B113" s="105"/>
    </row>
    <row r="114">
      <c r="B114" s="105"/>
    </row>
    <row r="115">
      <c r="B115" s="105"/>
    </row>
    <row r="116">
      <c r="B116" s="105"/>
    </row>
    <row r="117">
      <c r="B117" s="105"/>
    </row>
    <row r="118">
      <c r="B118" s="105"/>
    </row>
    <row r="119">
      <c r="B119" s="105"/>
    </row>
    <row r="120">
      <c r="B120" s="105"/>
    </row>
    <row r="121">
      <c r="B121" s="105"/>
    </row>
    <row r="122">
      <c r="B122" s="105"/>
    </row>
    <row r="123">
      <c r="B123" s="105"/>
    </row>
    <row r="124">
      <c r="B124" s="105"/>
    </row>
    <row r="125">
      <c r="B125" s="105"/>
    </row>
    <row r="126">
      <c r="B126" s="105"/>
    </row>
    <row r="127">
      <c r="B127" s="105"/>
    </row>
    <row r="128">
      <c r="B128" s="105"/>
    </row>
    <row r="129">
      <c r="B129" s="105"/>
    </row>
    <row r="130">
      <c r="B130" s="105"/>
    </row>
    <row r="131">
      <c r="B131" s="105"/>
    </row>
    <row r="132">
      <c r="B132" s="105"/>
    </row>
    <row r="133">
      <c r="B133" s="105"/>
    </row>
    <row r="134">
      <c r="B134" s="105"/>
    </row>
    <row r="135">
      <c r="B135" s="105"/>
    </row>
    <row r="136">
      <c r="B136" s="105"/>
    </row>
    <row r="137">
      <c r="B137" s="105"/>
    </row>
    <row r="138">
      <c r="B138" s="105"/>
    </row>
    <row r="139">
      <c r="B139" s="105"/>
    </row>
    <row r="140">
      <c r="C140" s="105"/>
    </row>
    <row r="141">
      <c r="C141" s="105"/>
    </row>
    <row r="142">
      <c r="C142" s="105"/>
    </row>
    <row r="143">
      <c r="C143" s="105"/>
    </row>
    <row r="144">
      <c r="C144" s="105"/>
    </row>
    <row r="145">
      <c r="C145" s="105"/>
    </row>
    <row r="146">
      <c r="C146" s="105"/>
    </row>
    <row r="147">
      <c r="C147" s="105"/>
    </row>
    <row r="148">
      <c r="C148" s="105"/>
    </row>
    <row r="149">
      <c r="C149" s="105"/>
    </row>
    <row r="150">
      <c r="C150" s="105"/>
    </row>
    <row r="151">
      <c r="C151" s="105"/>
    </row>
    <row r="152">
      <c r="C152" s="105"/>
    </row>
    <row r="153">
      <c r="C153" s="105"/>
    </row>
    <row r="154">
      <c r="C154" s="105"/>
    </row>
    <row r="155">
      <c r="C155" s="105"/>
    </row>
    <row r="156">
      <c r="C156" s="105"/>
    </row>
    <row r="157">
      <c r="C157" s="105"/>
    </row>
    <row r="158">
      <c r="C158" s="105"/>
    </row>
    <row r="159">
      <c r="C159" s="105"/>
    </row>
    <row r="160">
      <c r="C160" s="105"/>
    </row>
    <row r="161">
      <c r="C161" s="105"/>
    </row>
    <row r="162">
      <c r="C162" s="105"/>
    </row>
    <row r="163">
      <c r="C163" s="105"/>
    </row>
    <row r="164">
      <c r="C164" s="105"/>
    </row>
    <row r="165">
      <c r="C165" s="105"/>
    </row>
    <row r="166">
      <c r="C166" s="105"/>
    </row>
    <row r="167">
      <c r="C167" s="105"/>
    </row>
    <row r="168">
      <c r="C168" s="105"/>
    </row>
    <row r="169">
      <c r="C169" s="105"/>
    </row>
    <row r="170">
      <c r="C170" s="105"/>
    </row>
    <row r="171">
      <c r="C171" s="105"/>
    </row>
    <row r="172">
      <c r="C172" s="105"/>
    </row>
    <row r="173">
      <c r="C173" s="105"/>
    </row>
    <row r="174">
      <c r="C174" s="105"/>
    </row>
    <row r="175">
      <c r="C175" s="105"/>
    </row>
    <row r="176">
      <c r="C176" s="105"/>
    </row>
    <row r="177">
      <c r="C177" s="105"/>
    </row>
    <row r="178">
      <c r="C178" s="105"/>
    </row>
    <row r="179">
      <c r="C179" s="105"/>
    </row>
    <row r="180">
      <c r="C180" s="105"/>
    </row>
    <row r="181">
      <c r="C181" s="105"/>
    </row>
    <row r="182">
      <c r="C182" s="105"/>
    </row>
    <row r="183">
      <c r="C183" s="105"/>
    </row>
    <row r="184">
      <c r="C184" s="105"/>
    </row>
    <row r="185">
      <c r="C185" s="105"/>
    </row>
    <row r="186">
      <c r="C186" s="105"/>
    </row>
    <row r="187">
      <c r="C187" s="105"/>
    </row>
    <row r="188">
      <c r="C188" s="105"/>
    </row>
    <row r="189">
      <c r="C189" s="105"/>
    </row>
    <row r="190">
      <c r="C190" s="105"/>
    </row>
    <row r="191">
      <c r="C191" s="105"/>
    </row>
    <row r="192">
      <c r="C192" s="105"/>
    </row>
    <row r="193">
      <c r="C193" s="105"/>
    </row>
    <row r="194">
      <c r="C194" s="105"/>
    </row>
    <row r="195">
      <c r="C195" s="105"/>
    </row>
    <row r="196">
      <c r="C196" s="105"/>
    </row>
    <row r="197">
      <c r="C197" s="105"/>
    </row>
    <row r="198">
      <c r="C198" s="105"/>
    </row>
    <row r="199">
      <c r="C199" s="105"/>
    </row>
    <row r="200">
      <c r="C200" s="105"/>
    </row>
    <row r="201">
      <c r="C201" s="105"/>
    </row>
    <row r="202">
      <c r="C202" s="105"/>
    </row>
    <row r="203">
      <c r="C203" s="105"/>
    </row>
    <row r="204">
      <c r="C204" s="105"/>
    </row>
    <row r="205">
      <c r="C205" s="105"/>
    </row>
    <row r="206">
      <c r="C206" s="105"/>
    </row>
    <row r="207">
      <c r="C207" s="105"/>
    </row>
    <row r="208">
      <c r="C208" s="105"/>
    </row>
    <row r="209">
      <c r="C209" s="105"/>
    </row>
    <row r="210">
      <c r="C210" s="105"/>
    </row>
    <row r="211">
      <c r="C211" s="105"/>
    </row>
    <row r="212">
      <c r="C212" s="105"/>
    </row>
    <row r="213">
      <c r="C213" s="105"/>
    </row>
    <row r="214">
      <c r="C214" s="105"/>
    </row>
    <row r="215">
      <c r="C215" s="105"/>
    </row>
    <row r="216">
      <c r="C216" s="105"/>
    </row>
    <row r="217">
      <c r="C217" s="105"/>
    </row>
    <row r="218">
      <c r="C218" s="105"/>
    </row>
    <row r="219">
      <c r="C219" s="105"/>
    </row>
    <row r="220">
      <c r="C220" s="105"/>
    </row>
    <row r="221">
      <c r="C221" s="105"/>
    </row>
    <row r="222">
      <c r="C222" s="105"/>
    </row>
    <row r="223">
      <c r="C223" s="105"/>
    </row>
    <row r="224">
      <c r="C224" s="105"/>
    </row>
    <row r="225">
      <c r="C225" s="105"/>
    </row>
    <row r="226">
      <c r="C226" s="105"/>
    </row>
    <row r="227">
      <c r="C227" s="105"/>
    </row>
    <row r="228">
      <c r="C228" s="105"/>
    </row>
    <row r="229">
      <c r="C229" s="105"/>
    </row>
    <row r="230">
      <c r="C230" s="105"/>
    </row>
    <row r="231">
      <c r="C231" s="105"/>
    </row>
    <row r="232">
      <c r="C232" s="105"/>
    </row>
    <row r="233">
      <c r="C233" s="105"/>
    </row>
    <row r="234">
      <c r="C234" s="105"/>
    </row>
    <row r="235">
      <c r="C235" s="105"/>
    </row>
    <row r="236">
      <c r="C236" s="105"/>
    </row>
    <row r="237">
      <c r="C237" s="105"/>
    </row>
    <row r="238">
      <c r="C238" s="105"/>
    </row>
    <row r="239">
      <c r="C239" s="105"/>
    </row>
    <row r="240">
      <c r="C240" s="105"/>
    </row>
    <row r="241">
      <c r="C241" s="105"/>
    </row>
    <row r="242">
      <c r="C242" s="105"/>
    </row>
    <row r="243">
      <c r="C243" s="105"/>
    </row>
    <row r="244">
      <c r="C244" s="105"/>
    </row>
    <row r="245">
      <c r="C245" s="105"/>
    </row>
    <row r="246">
      <c r="C246" s="105"/>
    </row>
    <row r="247">
      <c r="C247" s="105"/>
    </row>
    <row r="248">
      <c r="C248" s="105"/>
    </row>
    <row r="249">
      <c r="C249" s="105"/>
    </row>
    <row r="250">
      <c r="C250" s="105"/>
    </row>
    <row r="251">
      <c r="C251" s="105"/>
    </row>
    <row r="252">
      <c r="C252" s="105"/>
    </row>
    <row r="253">
      <c r="C253" s="105"/>
    </row>
    <row r="254">
      <c r="C254" s="105"/>
    </row>
    <row r="255">
      <c r="C255" s="105"/>
    </row>
    <row r="256">
      <c r="C256" s="105"/>
    </row>
    <row r="257">
      <c r="C257" s="105"/>
    </row>
    <row r="258">
      <c r="C258" s="105"/>
    </row>
    <row r="259">
      <c r="C259" s="105"/>
    </row>
    <row r="260">
      <c r="C260" s="105"/>
    </row>
    <row r="261">
      <c r="C261" s="105"/>
    </row>
    <row r="262">
      <c r="C262" s="105"/>
    </row>
    <row r="263">
      <c r="C263" s="105"/>
    </row>
    <row r="264">
      <c r="C264" s="105"/>
    </row>
    <row r="265">
      <c r="C265" s="105"/>
    </row>
    <row r="266">
      <c r="C266" s="105"/>
    </row>
    <row r="267">
      <c r="C267" s="105"/>
    </row>
    <row r="268">
      <c r="C268" s="105"/>
    </row>
    <row r="269">
      <c r="C269" s="105"/>
    </row>
    <row r="270">
      <c r="C270" s="105"/>
    </row>
    <row r="271">
      <c r="C271" s="105"/>
    </row>
    <row r="272">
      <c r="C272" s="105"/>
    </row>
    <row r="273">
      <c r="C273" s="105"/>
    </row>
    <row r="274">
      <c r="C274" s="105"/>
    </row>
    <row r="275">
      <c r="C275" s="105"/>
    </row>
    <row r="276">
      <c r="C276" s="105"/>
    </row>
    <row r="277">
      <c r="C277" s="105"/>
    </row>
    <row r="278">
      <c r="C278" s="105"/>
    </row>
    <row r="279">
      <c r="C279" s="105"/>
    </row>
    <row r="280">
      <c r="C280" s="105"/>
    </row>
    <row r="281">
      <c r="C281" s="105"/>
    </row>
    <row r="282">
      <c r="C282" s="105"/>
    </row>
    <row r="283">
      <c r="C283" s="105"/>
    </row>
    <row r="284">
      <c r="C284" s="105"/>
    </row>
    <row r="285">
      <c r="C285" s="105"/>
    </row>
    <row r="286">
      <c r="C286" s="105"/>
    </row>
    <row r="287">
      <c r="C287" s="105"/>
    </row>
    <row r="288">
      <c r="C288" s="105"/>
    </row>
    <row r="289">
      <c r="C289" s="105"/>
    </row>
    <row r="290">
      <c r="C290" s="105"/>
    </row>
    <row r="291">
      <c r="C291" s="105"/>
    </row>
    <row r="292">
      <c r="C292" s="105"/>
    </row>
    <row r="293">
      <c r="C293" s="105"/>
    </row>
    <row r="294">
      <c r="C294" s="105"/>
    </row>
    <row r="295">
      <c r="C295" s="105"/>
    </row>
    <row r="296">
      <c r="C296" s="105"/>
    </row>
    <row r="297">
      <c r="C297" s="105"/>
    </row>
    <row r="298">
      <c r="C298" s="105"/>
    </row>
    <row r="299">
      <c r="C299" s="105"/>
    </row>
    <row r="300">
      <c r="C300" s="105"/>
    </row>
    <row r="301">
      <c r="C301" s="105"/>
    </row>
    <row r="302">
      <c r="C302" s="105"/>
    </row>
    <row r="303">
      <c r="C303" s="105"/>
    </row>
    <row r="304">
      <c r="C304" s="105"/>
    </row>
    <row r="305">
      <c r="C305" s="105"/>
    </row>
    <row r="306">
      <c r="C306" s="105"/>
    </row>
    <row r="307">
      <c r="C307" s="105"/>
    </row>
    <row r="308">
      <c r="C308" s="105"/>
    </row>
    <row r="309">
      <c r="C309" s="105"/>
    </row>
    <row r="310">
      <c r="C310" s="105"/>
    </row>
    <row r="311">
      <c r="C311" s="105"/>
    </row>
    <row r="312">
      <c r="C312" s="105"/>
    </row>
    <row r="313">
      <c r="C313" s="105"/>
    </row>
    <row r="314">
      <c r="C314" s="105"/>
    </row>
    <row r="315">
      <c r="C315" s="105"/>
    </row>
    <row r="316">
      <c r="C316" s="105"/>
    </row>
    <row r="317">
      <c r="C317" s="105"/>
    </row>
    <row r="318">
      <c r="C318" s="105"/>
    </row>
    <row r="319">
      <c r="C319" s="105"/>
    </row>
    <row r="320">
      <c r="C320" s="105"/>
    </row>
    <row r="321">
      <c r="C321" s="105"/>
    </row>
    <row r="322">
      <c r="C322" s="105"/>
    </row>
    <row r="323">
      <c r="C323" s="105"/>
    </row>
    <row r="324">
      <c r="C324" s="105"/>
    </row>
    <row r="325">
      <c r="C325" s="105"/>
    </row>
    <row r="326">
      <c r="C326" s="105"/>
    </row>
    <row r="327">
      <c r="C327" s="105"/>
    </row>
    <row r="328">
      <c r="C328" s="105"/>
    </row>
    <row r="329">
      <c r="C329" s="105"/>
    </row>
    <row r="330">
      <c r="C330" s="105"/>
    </row>
    <row r="331">
      <c r="C331" s="105"/>
    </row>
    <row r="332">
      <c r="C332" s="105"/>
    </row>
    <row r="333">
      <c r="C333" s="105"/>
    </row>
    <row r="334">
      <c r="C334" s="105"/>
    </row>
    <row r="335">
      <c r="C335" s="105"/>
    </row>
    <row r="336">
      <c r="C336" s="105"/>
    </row>
    <row r="337">
      <c r="C337" s="105"/>
    </row>
    <row r="338">
      <c r="C338" s="105"/>
    </row>
    <row r="339">
      <c r="C339" s="105"/>
    </row>
    <row r="340">
      <c r="C340" s="105"/>
    </row>
    <row r="341">
      <c r="C341" s="105"/>
    </row>
    <row r="342">
      <c r="C342" s="105"/>
    </row>
    <row r="343">
      <c r="C343" s="105"/>
    </row>
    <row r="344">
      <c r="C344" s="105"/>
    </row>
    <row r="345">
      <c r="C345" s="105"/>
    </row>
    <row r="346">
      <c r="C346" s="105"/>
    </row>
    <row r="347">
      <c r="C347" s="105"/>
    </row>
    <row r="348">
      <c r="C348" s="105"/>
    </row>
    <row r="349">
      <c r="C349" s="105"/>
    </row>
    <row r="350">
      <c r="C350" s="105"/>
    </row>
    <row r="351">
      <c r="C351" s="105"/>
    </row>
    <row r="352">
      <c r="C352" s="105"/>
    </row>
    <row r="353">
      <c r="C353" s="105"/>
    </row>
    <row r="354">
      <c r="C354" s="105"/>
    </row>
    <row r="355">
      <c r="C355" s="105"/>
    </row>
    <row r="356">
      <c r="C356" s="105"/>
    </row>
    <row r="357">
      <c r="C357" s="105"/>
    </row>
    <row r="358">
      <c r="C358" s="105"/>
    </row>
    <row r="359">
      <c r="C359" s="105"/>
    </row>
    <row r="360">
      <c r="C360" s="105"/>
    </row>
    <row r="361">
      <c r="C361" s="105"/>
    </row>
    <row r="362">
      <c r="C362" s="105"/>
    </row>
    <row r="363">
      <c r="C363" s="105"/>
    </row>
    <row r="364">
      <c r="C364" s="105"/>
    </row>
    <row r="365">
      <c r="C365" s="105"/>
    </row>
    <row r="366">
      <c r="C366" s="105"/>
    </row>
    <row r="367">
      <c r="C367" s="105"/>
    </row>
    <row r="368">
      <c r="C368" s="105"/>
    </row>
    <row r="369">
      <c r="C369" s="105"/>
    </row>
    <row r="370">
      <c r="C370" s="105"/>
    </row>
    <row r="371">
      <c r="C371" s="105"/>
    </row>
    <row r="372">
      <c r="C372" s="105"/>
    </row>
    <row r="373">
      <c r="C373" s="105"/>
    </row>
    <row r="374">
      <c r="C374" s="105"/>
    </row>
    <row r="375">
      <c r="C375" s="105"/>
    </row>
    <row r="376">
      <c r="C376" s="105"/>
    </row>
    <row r="377">
      <c r="C377" s="105"/>
    </row>
    <row r="378">
      <c r="C378" s="105"/>
    </row>
    <row r="379">
      <c r="C379" s="105"/>
    </row>
    <row r="380">
      <c r="C380" s="105"/>
    </row>
    <row r="381">
      <c r="C381" s="105"/>
    </row>
    <row r="382">
      <c r="C382" s="105"/>
    </row>
    <row r="383">
      <c r="C383" s="105"/>
    </row>
    <row r="384">
      <c r="C384" s="105"/>
    </row>
    <row r="385">
      <c r="C385" s="105"/>
    </row>
    <row r="386">
      <c r="C386" s="105"/>
    </row>
    <row r="387">
      <c r="C387" s="105"/>
    </row>
    <row r="388">
      <c r="C388" s="105"/>
    </row>
    <row r="389">
      <c r="C389" s="105"/>
    </row>
    <row r="390">
      <c r="C390" s="105"/>
    </row>
    <row r="391">
      <c r="C391" s="105"/>
    </row>
    <row r="392">
      <c r="C392" s="105"/>
    </row>
    <row r="393">
      <c r="C393" s="105"/>
    </row>
    <row r="394">
      <c r="C394" s="105"/>
    </row>
    <row r="395">
      <c r="C395" s="105"/>
    </row>
    <row r="396">
      <c r="C396" s="105"/>
    </row>
    <row r="397">
      <c r="C397" s="105"/>
    </row>
    <row r="398">
      <c r="C398" s="105"/>
    </row>
    <row r="399">
      <c r="C399" s="105"/>
    </row>
    <row r="400">
      <c r="C400" s="105"/>
    </row>
    <row r="401">
      <c r="C401" s="105"/>
    </row>
    <row r="402">
      <c r="C402" s="105"/>
    </row>
    <row r="403">
      <c r="C403" s="105"/>
    </row>
    <row r="404">
      <c r="C404" s="105"/>
    </row>
    <row r="405">
      <c r="C405" s="105"/>
    </row>
    <row r="406">
      <c r="C406" s="105"/>
    </row>
    <row r="407">
      <c r="C407" s="105"/>
    </row>
    <row r="408">
      <c r="C408" s="105"/>
    </row>
    <row r="409">
      <c r="C409" s="105"/>
    </row>
    <row r="410">
      <c r="C410" s="105"/>
    </row>
    <row r="411">
      <c r="C411" s="105"/>
    </row>
    <row r="412">
      <c r="C412" s="105"/>
    </row>
    <row r="413">
      <c r="C413" s="105"/>
    </row>
    <row r="414">
      <c r="C414" s="105"/>
    </row>
    <row r="415">
      <c r="C415" s="105"/>
    </row>
    <row r="416">
      <c r="C416" s="105"/>
    </row>
    <row r="417">
      <c r="C417" s="105"/>
    </row>
    <row r="418">
      <c r="C418" s="105"/>
    </row>
    <row r="419">
      <c r="C419" s="105"/>
    </row>
    <row r="420">
      <c r="C420" s="105"/>
    </row>
    <row r="421">
      <c r="C421" s="105"/>
    </row>
    <row r="422">
      <c r="C422" s="105"/>
    </row>
    <row r="423">
      <c r="C423" s="105"/>
    </row>
    <row r="424">
      <c r="C424" s="105"/>
    </row>
    <row r="425">
      <c r="C425" s="105"/>
    </row>
    <row r="426">
      <c r="C426" s="105"/>
    </row>
    <row r="427">
      <c r="C427" s="105"/>
    </row>
    <row r="428">
      <c r="C428" s="105"/>
    </row>
    <row r="429">
      <c r="C429" s="105"/>
    </row>
    <row r="430">
      <c r="C430" s="105"/>
    </row>
    <row r="431">
      <c r="C431" s="105"/>
    </row>
    <row r="432">
      <c r="C432" s="105"/>
    </row>
    <row r="433">
      <c r="C433" s="105"/>
    </row>
    <row r="434">
      <c r="C434" s="105"/>
    </row>
    <row r="435">
      <c r="C435" s="105"/>
    </row>
    <row r="436">
      <c r="C436" s="105"/>
    </row>
    <row r="437">
      <c r="C437" s="105"/>
    </row>
    <row r="438">
      <c r="C438" s="105"/>
    </row>
    <row r="439">
      <c r="C439" s="105"/>
    </row>
    <row r="440">
      <c r="C440" s="105"/>
    </row>
    <row r="441">
      <c r="C441" s="105"/>
    </row>
    <row r="442">
      <c r="C442" s="105"/>
    </row>
    <row r="443">
      <c r="C443" s="105"/>
    </row>
    <row r="444">
      <c r="C444" s="105"/>
    </row>
    <row r="445">
      <c r="C445" s="105"/>
    </row>
    <row r="446">
      <c r="C446" s="105"/>
    </row>
    <row r="447">
      <c r="C447" s="105"/>
    </row>
    <row r="448">
      <c r="C448" s="105"/>
    </row>
    <row r="449">
      <c r="C449" s="105"/>
    </row>
    <row r="450">
      <c r="C450" s="105"/>
    </row>
    <row r="451">
      <c r="C451" s="105"/>
    </row>
    <row r="452">
      <c r="C452" s="105"/>
    </row>
    <row r="453">
      <c r="C453" s="105"/>
    </row>
    <row r="454">
      <c r="C454" s="105"/>
    </row>
    <row r="455">
      <c r="C455" s="105"/>
    </row>
    <row r="456">
      <c r="C456" s="105"/>
    </row>
    <row r="457">
      <c r="C457" s="105"/>
    </row>
    <row r="458">
      <c r="C458" s="105"/>
    </row>
    <row r="459">
      <c r="C459" s="105"/>
    </row>
    <row r="460">
      <c r="C460" s="105"/>
    </row>
    <row r="461">
      <c r="C461" s="105"/>
    </row>
    <row r="462">
      <c r="C462" s="105"/>
    </row>
    <row r="463">
      <c r="C463" s="105"/>
    </row>
    <row r="464">
      <c r="C464" s="105"/>
    </row>
    <row r="465">
      <c r="C465" s="105"/>
    </row>
    <row r="466">
      <c r="C466" s="105"/>
    </row>
    <row r="467">
      <c r="C467" s="105"/>
    </row>
    <row r="468">
      <c r="C468" s="105"/>
    </row>
    <row r="469">
      <c r="C469" s="105"/>
    </row>
    <row r="470">
      <c r="C470" s="105"/>
    </row>
    <row r="471">
      <c r="C471" s="105"/>
    </row>
    <row r="472">
      <c r="C472" s="105"/>
    </row>
    <row r="473">
      <c r="C473" s="105"/>
    </row>
    <row r="474">
      <c r="C474" s="105"/>
    </row>
    <row r="475">
      <c r="C475" s="105"/>
    </row>
    <row r="476">
      <c r="C476" s="105"/>
    </row>
    <row r="477">
      <c r="C477" s="105"/>
    </row>
    <row r="478">
      <c r="C478" s="105"/>
    </row>
    <row r="479">
      <c r="C479" s="105"/>
    </row>
    <row r="480">
      <c r="C480" s="105"/>
    </row>
    <row r="481">
      <c r="C481" s="105"/>
    </row>
    <row r="482">
      <c r="C482" s="105"/>
    </row>
    <row r="483">
      <c r="C483" s="105"/>
    </row>
    <row r="484">
      <c r="C484" s="105"/>
    </row>
    <row r="485">
      <c r="C485" s="105"/>
    </row>
    <row r="486">
      <c r="C486" s="105"/>
    </row>
    <row r="487">
      <c r="C487" s="105"/>
    </row>
    <row r="488">
      <c r="C488" s="105"/>
    </row>
    <row r="489">
      <c r="C489" s="105"/>
    </row>
    <row r="490">
      <c r="C490" s="105"/>
    </row>
    <row r="491">
      <c r="C491" s="105"/>
    </row>
    <row r="492">
      <c r="C492" s="105"/>
    </row>
    <row r="493">
      <c r="C493" s="105"/>
    </row>
    <row r="494">
      <c r="C494" s="105"/>
    </row>
    <row r="495">
      <c r="C495" s="105"/>
    </row>
    <row r="496">
      <c r="C496" s="105"/>
    </row>
    <row r="497">
      <c r="C497" s="105"/>
    </row>
    <row r="498">
      <c r="C498" s="105"/>
    </row>
    <row r="499">
      <c r="C499" s="105"/>
    </row>
    <row r="500">
      <c r="C500" s="105"/>
    </row>
    <row r="501">
      <c r="C501" s="105"/>
    </row>
    <row r="502">
      <c r="C502" s="105"/>
    </row>
    <row r="503">
      <c r="C503" s="105"/>
    </row>
    <row r="504">
      <c r="C504" s="105"/>
    </row>
    <row r="505">
      <c r="C505" s="105"/>
    </row>
    <row r="506">
      <c r="C506" s="105"/>
    </row>
    <row r="507">
      <c r="C507" s="105"/>
    </row>
    <row r="508">
      <c r="C508" s="105"/>
    </row>
    <row r="509">
      <c r="C509" s="105"/>
    </row>
    <row r="510">
      <c r="C510" s="105"/>
    </row>
    <row r="511">
      <c r="C511" s="105"/>
    </row>
    <row r="512">
      <c r="C512" s="105"/>
    </row>
    <row r="513">
      <c r="C513" s="105"/>
    </row>
    <row r="514">
      <c r="C514" s="105"/>
    </row>
    <row r="515">
      <c r="C515" s="105"/>
    </row>
    <row r="516">
      <c r="C516" s="105"/>
    </row>
    <row r="517">
      <c r="C517" s="105"/>
    </row>
    <row r="518">
      <c r="C518" s="105"/>
    </row>
    <row r="519">
      <c r="C519" s="105"/>
    </row>
    <row r="520">
      <c r="C520" s="105"/>
    </row>
    <row r="521">
      <c r="C521" s="105"/>
    </row>
    <row r="522">
      <c r="C522" s="105"/>
    </row>
    <row r="523">
      <c r="C523" s="105"/>
    </row>
    <row r="524">
      <c r="C524" s="105"/>
    </row>
    <row r="525">
      <c r="C525" s="105"/>
    </row>
    <row r="526">
      <c r="C526" s="105"/>
    </row>
    <row r="527">
      <c r="C527" s="105"/>
    </row>
    <row r="528">
      <c r="C528" s="105"/>
    </row>
    <row r="529">
      <c r="C529" s="105"/>
    </row>
    <row r="530">
      <c r="C530" s="105"/>
    </row>
    <row r="531">
      <c r="C531" s="105"/>
    </row>
    <row r="532">
      <c r="C532" s="105"/>
    </row>
    <row r="533">
      <c r="C533" s="105"/>
    </row>
    <row r="534">
      <c r="C534" s="105"/>
    </row>
    <row r="535">
      <c r="C535" s="105"/>
    </row>
    <row r="536">
      <c r="C536" s="105"/>
    </row>
    <row r="537">
      <c r="C537" s="105"/>
    </row>
    <row r="538">
      <c r="C538" s="105"/>
    </row>
    <row r="539">
      <c r="C539" s="105"/>
    </row>
    <row r="540">
      <c r="C540" s="105"/>
    </row>
    <row r="541">
      <c r="C541" s="105"/>
    </row>
    <row r="542">
      <c r="C542" s="105"/>
    </row>
    <row r="543">
      <c r="C543" s="105"/>
    </row>
    <row r="544">
      <c r="C544" s="105"/>
    </row>
    <row r="545">
      <c r="C545" s="105"/>
    </row>
    <row r="546">
      <c r="C546" s="105"/>
    </row>
    <row r="547">
      <c r="C547" s="105"/>
    </row>
    <row r="548">
      <c r="C548" s="105"/>
    </row>
    <row r="549">
      <c r="C549" s="105"/>
    </row>
    <row r="550">
      <c r="C550" s="105"/>
    </row>
    <row r="551">
      <c r="C551" s="105"/>
    </row>
    <row r="552">
      <c r="C552" s="105"/>
    </row>
    <row r="553">
      <c r="C553" s="105"/>
    </row>
    <row r="554">
      <c r="C554" s="105"/>
    </row>
    <row r="555">
      <c r="C555" s="105"/>
    </row>
    <row r="556">
      <c r="C556" s="105"/>
    </row>
    <row r="557">
      <c r="C557" s="105"/>
    </row>
    <row r="558">
      <c r="C558" s="105"/>
    </row>
    <row r="559">
      <c r="C559" s="105"/>
    </row>
    <row r="560">
      <c r="C560" s="105"/>
    </row>
    <row r="561">
      <c r="C561" s="105"/>
    </row>
    <row r="562">
      <c r="C562" s="105"/>
    </row>
    <row r="563">
      <c r="C563" s="105"/>
    </row>
    <row r="564">
      <c r="C564" s="105"/>
    </row>
    <row r="565">
      <c r="C565" s="105"/>
    </row>
    <row r="566">
      <c r="C566" s="105"/>
    </row>
    <row r="567">
      <c r="C567" s="105"/>
    </row>
    <row r="568">
      <c r="C568" s="105"/>
    </row>
    <row r="569">
      <c r="C569" s="105"/>
    </row>
    <row r="570">
      <c r="C570" s="105"/>
    </row>
    <row r="571">
      <c r="C571" s="105"/>
    </row>
    <row r="572">
      <c r="C572" s="105"/>
    </row>
    <row r="573">
      <c r="C573" s="105"/>
    </row>
    <row r="574">
      <c r="C574" s="105"/>
    </row>
    <row r="575">
      <c r="C575" s="105"/>
    </row>
    <row r="576">
      <c r="C576" s="105"/>
    </row>
    <row r="577">
      <c r="C577" s="105"/>
    </row>
    <row r="578">
      <c r="C578" s="105"/>
    </row>
    <row r="579">
      <c r="C579" s="105"/>
    </row>
    <row r="580">
      <c r="C580" s="105"/>
    </row>
    <row r="581">
      <c r="C581" s="105"/>
    </row>
    <row r="582">
      <c r="C582" s="105"/>
    </row>
    <row r="583">
      <c r="C583" s="105"/>
    </row>
    <row r="584">
      <c r="C584" s="105"/>
    </row>
    <row r="585">
      <c r="C585" s="105"/>
    </row>
    <row r="586">
      <c r="C586" s="105"/>
    </row>
    <row r="587">
      <c r="C587" s="105"/>
    </row>
    <row r="588">
      <c r="C588" s="105"/>
    </row>
    <row r="589">
      <c r="C589" s="105"/>
    </row>
    <row r="590">
      <c r="C590" s="105"/>
    </row>
    <row r="591">
      <c r="C591" s="105"/>
    </row>
    <row r="592">
      <c r="C592" s="105"/>
    </row>
    <row r="593">
      <c r="C593" s="105"/>
    </row>
    <row r="594">
      <c r="C594" s="105"/>
    </row>
    <row r="595">
      <c r="C595" s="105"/>
    </row>
    <row r="596">
      <c r="C596" s="105"/>
    </row>
    <row r="597">
      <c r="C597" s="105"/>
    </row>
    <row r="598">
      <c r="C598" s="105"/>
    </row>
    <row r="599">
      <c r="C599" s="105"/>
    </row>
    <row r="600">
      <c r="C600" s="105"/>
    </row>
    <row r="601">
      <c r="C601" s="105"/>
    </row>
    <row r="602">
      <c r="C602" s="105"/>
    </row>
    <row r="603">
      <c r="C603" s="105"/>
    </row>
    <row r="604">
      <c r="C604" s="105"/>
    </row>
    <row r="605">
      <c r="C605" s="105"/>
    </row>
    <row r="606">
      <c r="C606" s="105"/>
    </row>
    <row r="607">
      <c r="C607" s="105"/>
    </row>
    <row r="608">
      <c r="C608" s="105"/>
    </row>
    <row r="609">
      <c r="C609" s="105"/>
    </row>
    <row r="610">
      <c r="C610" s="105"/>
    </row>
    <row r="611">
      <c r="C611" s="105"/>
    </row>
    <row r="612">
      <c r="C612" s="105"/>
    </row>
    <row r="613">
      <c r="C613" s="105"/>
    </row>
    <row r="614">
      <c r="C614" s="105"/>
    </row>
    <row r="615">
      <c r="C615" s="105"/>
    </row>
    <row r="616">
      <c r="C616" s="105"/>
    </row>
    <row r="617">
      <c r="C617" s="105"/>
    </row>
    <row r="618">
      <c r="C618" s="105"/>
    </row>
    <row r="619">
      <c r="C619" s="105"/>
    </row>
    <row r="620">
      <c r="C620" s="105"/>
    </row>
    <row r="621">
      <c r="C621" s="105"/>
    </row>
    <row r="622">
      <c r="C622" s="105"/>
    </row>
    <row r="623">
      <c r="C623" s="105"/>
    </row>
    <row r="624">
      <c r="C624" s="105"/>
    </row>
    <row r="625">
      <c r="C625" s="105"/>
    </row>
    <row r="626">
      <c r="C626" s="105"/>
    </row>
    <row r="627">
      <c r="C627" s="105"/>
    </row>
    <row r="628">
      <c r="C628" s="105"/>
    </row>
    <row r="629">
      <c r="C629" s="105"/>
    </row>
    <row r="630">
      <c r="C630" s="105"/>
    </row>
    <row r="631">
      <c r="C631" s="105"/>
    </row>
    <row r="632">
      <c r="C632" s="105"/>
    </row>
    <row r="633">
      <c r="C633" s="105"/>
    </row>
    <row r="634">
      <c r="C634" s="105"/>
    </row>
    <row r="635">
      <c r="C635" s="105"/>
    </row>
    <row r="636">
      <c r="C636" s="105"/>
    </row>
    <row r="637">
      <c r="C637" s="105"/>
    </row>
    <row r="638">
      <c r="C638" s="105"/>
    </row>
    <row r="639">
      <c r="C639" s="105"/>
    </row>
    <row r="640">
      <c r="C640" s="105"/>
    </row>
    <row r="641">
      <c r="C641" s="105"/>
    </row>
    <row r="642">
      <c r="C642" s="105"/>
    </row>
    <row r="643">
      <c r="C643" s="105"/>
    </row>
    <row r="644">
      <c r="C644" s="105"/>
    </row>
    <row r="645">
      <c r="C645" s="105"/>
    </row>
    <row r="646">
      <c r="C646" s="105"/>
    </row>
    <row r="647">
      <c r="C647" s="105"/>
    </row>
    <row r="648">
      <c r="C648" s="105"/>
    </row>
    <row r="649">
      <c r="C649" s="105"/>
    </row>
    <row r="650">
      <c r="C650" s="105"/>
    </row>
    <row r="651">
      <c r="C651" s="105"/>
    </row>
    <row r="652">
      <c r="C652" s="105"/>
    </row>
    <row r="653">
      <c r="C653" s="105"/>
    </row>
    <row r="654">
      <c r="C654" s="105"/>
    </row>
    <row r="655">
      <c r="C655" s="105"/>
    </row>
    <row r="656">
      <c r="C656" s="105"/>
    </row>
    <row r="657">
      <c r="C657" s="105"/>
    </row>
    <row r="658">
      <c r="C658" s="105"/>
    </row>
    <row r="659">
      <c r="C659" s="105"/>
    </row>
    <row r="660">
      <c r="C660" s="105"/>
    </row>
    <row r="661">
      <c r="C661" s="105"/>
    </row>
    <row r="662">
      <c r="C662" s="105"/>
    </row>
    <row r="663">
      <c r="C663" s="105"/>
    </row>
    <row r="664">
      <c r="C664" s="105"/>
    </row>
    <row r="665">
      <c r="C665" s="105"/>
    </row>
    <row r="666">
      <c r="C666" s="105"/>
    </row>
    <row r="667">
      <c r="C667" s="105"/>
    </row>
    <row r="668">
      <c r="C668" s="105"/>
    </row>
    <row r="669">
      <c r="C669" s="105"/>
    </row>
    <row r="670">
      <c r="C670" s="105"/>
    </row>
    <row r="671">
      <c r="C671" s="105"/>
    </row>
    <row r="672">
      <c r="C672" s="105"/>
    </row>
    <row r="673">
      <c r="C673" s="105"/>
    </row>
    <row r="674">
      <c r="C674" s="105"/>
    </row>
    <row r="675">
      <c r="C675" s="105"/>
    </row>
    <row r="676">
      <c r="C676" s="105"/>
    </row>
    <row r="677">
      <c r="C677" s="105"/>
    </row>
    <row r="678">
      <c r="C678" s="105"/>
    </row>
    <row r="679">
      <c r="C679" s="105"/>
    </row>
    <row r="680">
      <c r="C680" s="105"/>
    </row>
    <row r="681">
      <c r="C681" s="105"/>
    </row>
    <row r="682">
      <c r="C682" s="105"/>
    </row>
    <row r="683">
      <c r="C683" s="105"/>
    </row>
    <row r="684">
      <c r="C684" s="105"/>
    </row>
    <row r="685">
      <c r="C685" s="105"/>
    </row>
    <row r="686">
      <c r="C686" s="105"/>
    </row>
    <row r="687">
      <c r="C687" s="105"/>
    </row>
    <row r="688">
      <c r="C688" s="105"/>
    </row>
    <row r="689">
      <c r="C689" s="105"/>
    </row>
    <row r="690">
      <c r="C690" s="105"/>
    </row>
    <row r="691">
      <c r="C691" s="105"/>
    </row>
    <row r="692">
      <c r="C692" s="105"/>
    </row>
    <row r="693">
      <c r="C693" s="105"/>
    </row>
    <row r="694">
      <c r="C694" s="105"/>
    </row>
    <row r="695">
      <c r="C695" s="105"/>
    </row>
    <row r="696">
      <c r="C696" s="105"/>
    </row>
    <row r="697">
      <c r="C697" s="105"/>
    </row>
    <row r="698">
      <c r="C698" s="105"/>
    </row>
    <row r="699">
      <c r="C699" s="105"/>
    </row>
    <row r="700">
      <c r="C700" s="105"/>
    </row>
    <row r="701">
      <c r="C701" s="105"/>
    </row>
    <row r="702">
      <c r="C702" s="105"/>
    </row>
    <row r="703">
      <c r="C703" s="105"/>
    </row>
    <row r="704">
      <c r="C704" s="105"/>
    </row>
    <row r="705">
      <c r="C705" s="105"/>
    </row>
    <row r="706">
      <c r="C706" s="105"/>
    </row>
    <row r="707">
      <c r="C707" s="105"/>
    </row>
    <row r="708">
      <c r="C708" s="105"/>
    </row>
    <row r="709">
      <c r="C709" s="105"/>
    </row>
    <row r="710">
      <c r="C710" s="105"/>
    </row>
    <row r="711">
      <c r="C711" s="105"/>
    </row>
    <row r="712">
      <c r="C712" s="105"/>
    </row>
    <row r="713">
      <c r="C713" s="105"/>
    </row>
    <row r="714">
      <c r="C714" s="105"/>
    </row>
    <row r="715">
      <c r="C715" s="105"/>
    </row>
    <row r="716">
      <c r="C716" s="105"/>
    </row>
    <row r="717">
      <c r="C717" s="105"/>
    </row>
    <row r="718">
      <c r="C718" s="105"/>
    </row>
    <row r="719">
      <c r="C719" s="105"/>
    </row>
    <row r="720">
      <c r="C720" s="105"/>
    </row>
    <row r="721">
      <c r="C721" s="105"/>
    </row>
    <row r="722">
      <c r="C722" s="105"/>
    </row>
    <row r="723">
      <c r="C723" s="105"/>
    </row>
    <row r="724">
      <c r="C724" s="105"/>
    </row>
    <row r="725">
      <c r="C725" s="105"/>
    </row>
    <row r="726">
      <c r="C726" s="105"/>
    </row>
    <row r="727">
      <c r="C727" s="105"/>
    </row>
    <row r="728">
      <c r="C728" s="105"/>
    </row>
    <row r="729">
      <c r="C729" s="105"/>
    </row>
    <row r="730">
      <c r="C730" s="105"/>
    </row>
    <row r="731">
      <c r="C731" s="105"/>
    </row>
    <row r="732">
      <c r="C732" s="105"/>
    </row>
    <row r="733">
      <c r="C733" s="105"/>
    </row>
    <row r="734">
      <c r="C734" s="105"/>
    </row>
    <row r="735">
      <c r="C735" s="105"/>
    </row>
    <row r="736">
      <c r="C736" s="105"/>
    </row>
    <row r="737">
      <c r="C737" s="105"/>
    </row>
    <row r="738">
      <c r="C738" s="105"/>
    </row>
    <row r="739">
      <c r="C739" s="105"/>
    </row>
    <row r="740">
      <c r="C740" s="105"/>
    </row>
    <row r="741">
      <c r="C741" s="105"/>
    </row>
    <row r="742">
      <c r="C742" s="105"/>
    </row>
    <row r="743">
      <c r="C743" s="105"/>
    </row>
    <row r="744">
      <c r="C744" s="105"/>
    </row>
    <row r="745">
      <c r="C745" s="105"/>
    </row>
    <row r="746">
      <c r="C746" s="105"/>
    </row>
    <row r="747">
      <c r="C747" s="105"/>
    </row>
    <row r="748">
      <c r="C748" s="105"/>
    </row>
    <row r="749">
      <c r="C749" s="105"/>
    </row>
    <row r="750">
      <c r="C750" s="105"/>
    </row>
    <row r="751">
      <c r="C751" s="105"/>
    </row>
    <row r="752">
      <c r="C752" s="105"/>
    </row>
    <row r="753">
      <c r="C753" s="105"/>
    </row>
    <row r="754">
      <c r="C754" s="105"/>
    </row>
    <row r="755">
      <c r="C755" s="105"/>
    </row>
    <row r="756">
      <c r="C756" s="105"/>
    </row>
    <row r="757">
      <c r="C757" s="105"/>
    </row>
    <row r="758">
      <c r="C758" s="105"/>
    </row>
    <row r="759">
      <c r="C759" s="105"/>
    </row>
    <row r="760">
      <c r="C760" s="105"/>
    </row>
    <row r="761">
      <c r="C761" s="105"/>
    </row>
    <row r="762">
      <c r="C762" s="105"/>
    </row>
    <row r="763">
      <c r="C763" s="105"/>
    </row>
    <row r="764">
      <c r="C764" s="105"/>
    </row>
    <row r="765">
      <c r="C765" s="105"/>
    </row>
    <row r="766">
      <c r="C766" s="105"/>
    </row>
    <row r="767">
      <c r="C767" s="105"/>
    </row>
    <row r="768">
      <c r="C768" s="105"/>
    </row>
    <row r="769">
      <c r="C769" s="105"/>
    </row>
    <row r="770">
      <c r="C770" s="105"/>
    </row>
    <row r="771">
      <c r="C771" s="105"/>
    </row>
    <row r="772">
      <c r="C772" s="105"/>
    </row>
    <row r="773">
      <c r="C773" s="105"/>
    </row>
    <row r="774">
      <c r="C774" s="105"/>
    </row>
    <row r="775">
      <c r="C775" s="105"/>
    </row>
    <row r="776">
      <c r="C776" s="105"/>
    </row>
    <row r="777">
      <c r="C777" s="105"/>
    </row>
    <row r="778">
      <c r="C778" s="105"/>
    </row>
    <row r="779">
      <c r="C779" s="105"/>
    </row>
    <row r="780">
      <c r="C780" s="105"/>
    </row>
    <row r="781">
      <c r="C781" s="105"/>
    </row>
    <row r="782">
      <c r="C782" s="105"/>
    </row>
    <row r="783">
      <c r="C783" s="105"/>
    </row>
    <row r="784">
      <c r="C784" s="105"/>
    </row>
    <row r="785">
      <c r="C785" s="105"/>
    </row>
    <row r="786">
      <c r="C786" s="105"/>
    </row>
    <row r="787">
      <c r="C787" s="105"/>
    </row>
    <row r="788">
      <c r="C788" s="105"/>
    </row>
    <row r="789">
      <c r="C789" s="105"/>
    </row>
    <row r="790">
      <c r="C790" s="105"/>
    </row>
    <row r="791">
      <c r="C791" s="105"/>
    </row>
    <row r="792">
      <c r="C792" s="105"/>
    </row>
    <row r="793">
      <c r="C793" s="105"/>
    </row>
    <row r="794">
      <c r="C794" s="105"/>
    </row>
    <row r="795">
      <c r="C795" s="105"/>
    </row>
    <row r="796">
      <c r="C796" s="105"/>
    </row>
    <row r="797">
      <c r="C797" s="105"/>
    </row>
    <row r="798">
      <c r="C798" s="105"/>
    </row>
    <row r="799">
      <c r="C799" s="105"/>
    </row>
    <row r="800">
      <c r="C800" s="105"/>
    </row>
    <row r="801">
      <c r="C801" s="105"/>
    </row>
    <row r="802">
      <c r="C802" s="105"/>
    </row>
    <row r="803">
      <c r="C803" s="105"/>
    </row>
    <row r="804">
      <c r="C804" s="105"/>
    </row>
    <row r="805">
      <c r="C805" s="105"/>
    </row>
    <row r="806">
      <c r="C806" s="105"/>
    </row>
    <row r="807">
      <c r="C807" s="105"/>
    </row>
    <row r="808">
      <c r="C808" s="105"/>
    </row>
    <row r="809">
      <c r="C809" s="105"/>
    </row>
    <row r="810">
      <c r="C810" s="105"/>
    </row>
    <row r="811">
      <c r="C811" s="105"/>
    </row>
    <row r="812">
      <c r="C812" s="105"/>
    </row>
    <row r="813">
      <c r="C813" s="105"/>
    </row>
    <row r="814">
      <c r="C814" s="105"/>
    </row>
    <row r="815">
      <c r="C815" s="105"/>
    </row>
    <row r="816">
      <c r="C816" s="105"/>
    </row>
    <row r="817">
      <c r="C817" s="105"/>
    </row>
    <row r="818">
      <c r="C818" s="105"/>
    </row>
    <row r="819">
      <c r="C819" s="105"/>
    </row>
    <row r="820">
      <c r="C820" s="105"/>
    </row>
    <row r="821">
      <c r="C821" s="105"/>
    </row>
    <row r="822">
      <c r="C822" s="105"/>
    </row>
    <row r="823">
      <c r="C823" s="105"/>
    </row>
    <row r="824">
      <c r="C824" s="105"/>
    </row>
    <row r="825">
      <c r="C825" s="105"/>
    </row>
    <row r="826">
      <c r="C826" s="105"/>
    </row>
    <row r="827">
      <c r="C827" s="105"/>
    </row>
    <row r="828">
      <c r="C828" s="105"/>
    </row>
    <row r="829">
      <c r="C829" s="105"/>
    </row>
    <row r="830">
      <c r="C830" s="105"/>
    </row>
    <row r="831">
      <c r="C831" s="105"/>
    </row>
    <row r="832">
      <c r="C832" s="105"/>
    </row>
    <row r="833">
      <c r="C833" s="105"/>
    </row>
    <row r="834">
      <c r="C834" s="105"/>
    </row>
    <row r="835">
      <c r="C835" s="105"/>
    </row>
    <row r="836">
      <c r="C836" s="105"/>
    </row>
    <row r="837">
      <c r="C837" s="105"/>
    </row>
    <row r="838">
      <c r="C838" s="105"/>
    </row>
    <row r="839">
      <c r="C839" s="105"/>
    </row>
    <row r="840">
      <c r="C840" s="105"/>
    </row>
    <row r="841">
      <c r="C841" s="105"/>
    </row>
    <row r="842">
      <c r="C842" s="105"/>
    </row>
    <row r="843">
      <c r="C843" s="105"/>
    </row>
    <row r="844">
      <c r="C844" s="105"/>
    </row>
    <row r="845">
      <c r="C845" s="105"/>
    </row>
    <row r="846">
      <c r="C846" s="105"/>
    </row>
    <row r="847">
      <c r="C847" s="105"/>
    </row>
    <row r="848">
      <c r="C848" s="105"/>
    </row>
    <row r="849">
      <c r="C849" s="105"/>
    </row>
    <row r="850">
      <c r="C850" s="105"/>
    </row>
    <row r="851">
      <c r="C851" s="105"/>
    </row>
    <row r="852">
      <c r="C852" s="105"/>
    </row>
    <row r="853">
      <c r="C853" s="105"/>
    </row>
    <row r="854">
      <c r="C854" s="105"/>
    </row>
    <row r="855">
      <c r="C855" s="105"/>
    </row>
    <row r="856">
      <c r="C856" s="105"/>
    </row>
    <row r="857">
      <c r="C857" s="105"/>
    </row>
    <row r="858">
      <c r="C858" s="105"/>
    </row>
    <row r="859">
      <c r="C859" s="105"/>
    </row>
    <row r="860">
      <c r="C860" s="105"/>
    </row>
    <row r="861">
      <c r="C861" s="105"/>
    </row>
    <row r="862">
      <c r="C862" s="105"/>
    </row>
    <row r="863">
      <c r="C863" s="105"/>
    </row>
    <row r="864">
      <c r="C864" s="105"/>
    </row>
    <row r="865">
      <c r="C865" s="105"/>
    </row>
    <row r="866">
      <c r="C866" s="105"/>
    </row>
    <row r="867">
      <c r="C867" s="105"/>
    </row>
    <row r="868">
      <c r="C868" s="105"/>
    </row>
    <row r="869">
      <c r="C869" s="105"/>
    </row>
    <row r="870">
      <c r="C870" s="105"/>
    </row>
    <row r="871">
      <c r="C871" s="105"/>
    </row>
    <row r="872">
      <c r="C872" s="105"/>
    </row>
    <row r="873">
      <c r="C873" s="105"/>
    </row>
    <row r="874">
      <c r="C874" s="105"/>
    </row>
    <row r="875">
      <c r="C875" s="105"/>
    </row>
    <row r="876">
      <c r="C876" s="105"/>
    </row>
    <row r="877">
      <c r="C877" s="105"/>
    </row>
    <row r="878">
      <c r="C878" s="105"/>
    </row>
    <row r="879">
      <c r="C879" s="105"/>
    </row>
    <row r="880">
      <c r="C880" s="105"/>
    </row>
    <row r="881">
      <c r="C881" s="105"/>
    </row>
    <row r="882">
      <c r="C882" s="105"/>
    </row>
    <row r="883">
      <c r="C883" s="105"/>
    </row>
    <row r="884">
      <c r="C884" s="105"/>
    </row>
    <row r="885">
      <c r="C885" s="105"/>
    </row>
    <row r="886">
      <c r="C886" s="105"/>
    </row>
    <row r="887">
      <c r="C887" s="105"/>
    </row>
    <row r="888">
      <c r="C888" s="105"/>
    </row>
    <row r="889">
      <c r="C889" s="105"/>
    </row>
    <row r="890">
      <c r="C890" s="105"/>
    </row>
    <row r="891">
      <c r="C891" s="105"/>
    </row>
    <row r="892">
      <c r="C892" s="105"/>
    </row>
    <row r="893">
      <c r="C893" s="105"/>
    </row>
    <row r="894">
      <c r="C894" s="105"/>
    </row>
    <row r="895">
      <c r="C895" s="105"/>
    </row>
    <row r="896">
      <c r="C896" s="105"/>
    </row>
    <row r="897">
      <c r="C897" s="105"/>
    </row>
    <row r="898">
      <c r="C898" s="105"/>
    </row>
    <row r="899">
      <c r="C899" s="105"/>
    </row>
    <row r="900">
      <c r="C900" s="105"/>
    </row>
    <row r="901">
      <c r="C901" s="105"/>
    </row>
    <row r="902">
      <c r="C902" s="105"/>
    </row>
    <row r="903">
      <c r="C903" s="105"/>
    </row>
    <row r="904">
      <c r="C904" s="105"/>
    </row>
    <row r="905">
      <c r="C905" s="105"/>
    </row>
    <row r="906">
      <c r="C906" s="105"/>
    </row>
    <row r="907">
      <c r="C907" s="105"/>
    </row>
    <row r="908">
      <c r="C908" s="105"/>
    </row>
    <row r="909">
      <c r="C909" s="105"/>
    </row>
    <row r="910">
      <c r="C910" s="105"/>
    </row>
    <row r="911">
      <c r="C911" s="105"/>
    </row>
    <row r="912">
      <c r="C912" s="105"/>
    </row>
    <row r="913">
      <c r="C913" s="105"/>
    </row>
    <row r="914">
      <c r="C914" s="105"/>
    </row>
    <row r="915">
      <c r="C915" s="105"/>
    </row>
    <row r="916">
      <c r="C916" s="105"/>
    </row>
    <row r="917">
      <c r="C917" s="105"/>
    </row>
    <row r="918">
      <c r="C918" s="105"/>
    </row>
    <row r="919">
      <c r="C919" s="105"/>
    </row>
    <row r="920">
      <c r="C920" s="105"/>
    </row>
    <row r="921">
      <c r="C921" s="105"/>
    </row>
    <row r="922">
      <c r="C922" s="105"/>
    </row>
    <row r="923">
      <c r="C923" s="105"/>
    </row>
    <row r="924">
      <c r="C924" s="105"/>
    </row>
    <row r="925">
      <c r="C925" s="105"/>
    </row>
    <row r="926">
      <c r="C926" s="105"/>
    </row>
    <row r="927">
      <c r="C927" s="105"/>
    </row>
    <row r="928">
      <c r="C928" s="105"/>
    </row>
    <row r="929">
      <c r="C929" s="105"/>
    </row>
    <row r="930">
      <c r="C930" s="105"/>
    </row>
    <row r="931">
      <c r="C931" s="105"/>
    </row>
    <row r="932">
      <c r="C932" s="105"/>
    </row>
    <row r="933">
      <c r="C933" s="105"/>
    </row>
    <row r="934">
      <c r="C934" s="105"/>
    </row>
    <row r="935">
      <c r="C935" s="105"/>
    </row>
    <row r="936">
      <c r="C936" s="105"/>
    </row>
    <row r="937">
      <c r="C937" s="105"/>
    </row>
    <row r="938">
      <c r="C938" s="105"/>
    </row>
    <row r="939">
      <c r="C939" s="105"/>
    </row>
    <row r="940">
      <c r="C940" s="105"/>
    </row>
    <row r="941">
      <c r="C941" s="105"/>
    </row>
    <row r="942">
      <c r="C942" s="105"/>
    </row>
    <row r="943">
      <c r="C943" s="105"/>
    </row>
    <row r="944">
      <c r="C944" s="105"/>
    </row>
    <row r="945">
      <c r="C945" s="105"/>
    </row>
    <row r="946">
      <c r="C946" s="105"/>
    </row>
    <row r="947">
      <c r="C947" s="105"/>
    </row>
    <row r="948">
      <c r="C948" s="105"/>
    </row>
    <row r="949">
      <c r="C949" s="105"/>
    </row>
    <row r="950">
      <c r="C950" s="105"/>
    </row>
    <row r="951">
      <c r="C951" s="105"/>
    </row>
    <row r="952">
      <c r="C952" s="105"/>
    </row>
    <row r="953">
      <c r="C953" s="105"/>
    </row>
    <row r="954">
      <c r="C954" s="105"/>
    </row>
    <row r="955">
      <c r="C955" s="105"/>
    </row>
    <row r="956">
      <c r="C956" s="105"/>
    </row>
    <row r="957">
      <c r="C957" s="105"/>
    </row>
    <row r="958">
      <c r="C958" s="105"/>
    </row>
    <row r="959">
      <c r="C959" s="105"/>
    </row>
    <row r="960">
      <c r="C960" s="105"/>
    </row>
    <row r="961">
      <c r="C961" s="105"/>
    </row>
    <row r="962">
      <c r="C962" s="105"/>
    </row>
    <row r="963">
      <c r="C963" s="105"/>
    </row>
    <row r="964">
      <c r="C964" s="105"/>
    </row>
    <row r="965">
      <c r="C965" s="105"/>
    </row>
    <row r="966">
      <c r="C966" s="105"/>
    </row>
    <row r="967">
      <c r="C967" s="105"/>
    </row>
    <row r="968">
      <c r="C968" s="105"/>
    </row>
    <row r="969">
      <c r="C969" s="105"/>
    </row>
    <row r="970">
      <c r="C970" s="105"/>
    </row>
    <row r="971">
      <c r="C971" s="105"/>
    </row>
    <row r="972">
      <c r="C972" s="105"/>
    </row>
    <row r="973">
      <c r="C973" s="105"/>
    </row>
    <row r="974">
      <c r="C974" s="105"/>
    </row>
    <row r="975">
      <c r="C975" s="105"/>
    </row>
    <row r="976">
      <c r="C976" s="105"/>
    </row>
    <row r="977">
      <c r="C977" s="105"/>
    </row>
    <row r="978">
      <c r="C978" s="105"/>
    </row>
    <row r="979">
      <c r="C979" s="105"/>
    </row>
    <row r="980">
      <c r="C980" s="105"/>
    </row>
    <row r="981">
      <c r="C981" s="105"/>
    </row>
    <row r="982">
      <c r="C982" s="105"/>
    </row>
    <row r="983">
      <c r="C983" s="105"/>
    </row>
    <row r="984">
      <c r="C984" s="105"/>
    </row>
    <row r="985">
      <c r="C985" s="105"/>
    </row>
    <row r="986">
      <c r="C986" s="105"/>
    </row>
    <row r="987">
      <c r="C987" s="105"/>
    </row>
    <row r="988">
      <c r="C988" s="105"/>
    </row>
    <row r="989">
      <c r="C989" s="105"/>
    </row>
    <row r="990">
      <c r="C990" s="105"/>
    </row>
    <row r="991">
      <c r="C991" s="105"/>
    </row>
    <row r="992">
      <c r="C992" s="105"/>
    </row>
    <row r="993">
      <c r="C993" s="105"/>
    </row>
    <row r="994">
      <c r="C994" s="105"/>
    </row>
    <row r="995">
      <c r="C995" s="105"/>
    </row>
    <row r="996">
      <c r="C996" s="105"/>
    </row>
    <row r="997">
      <c r="C997" s="105"/>
    </row>
    <row r="998">
      <c r="C998" s="105"/>
    </row>
    <row r="999">
      <c r="C999" s="105"/>
    </row>
    <row r="1000">
      <c r="C1000" s="105"/>
    </row>
    <row r="1001">
      <c r="C1001" s="105"/>
    </row>
  </sheetData>
  <hyperlinks>
    <hyperlink display="TABLA  DE COSTOS ESTIMADOS&#10;SOLAPA: MARKUP GENERAL &#10;PERIODICIDAD: ESTIMADO&#10;ALIMENTA COSTOS ESTIMADOS DE RESULTADOS&#10;YOUSCAN ESTA PRORRATEADO. &#10;ESTA TABLA SE ACTUALIZA AUTOMÁTICAMENTE CUANDO HAY MODIFICACIONES EN LA SOLAPA DE COSTOS ESTIMADOS&#10;NO CAMBIAR FORMATO POR ESTÁ FORMULADO.&#10;A MARKUP GENERAL SOLO SE CARGAN LOS MESES ESTIMADOS, POR EJEMPLO AL CIERRE DE AGOSTO SE CARGA SEP, OCT, NOV, DIC." location="'Seguimiento Mark Up General'!A3" ref="A1"/>
    <hyperlink display="TABLA  DE COSTOS PARA ARR&#10;SOLAPA: MARKUP GENERAL &#10;PERIODICIDAD: ESTIMADO&#10;ALIMENTA COSTOS ESTIMADOS DE SSR&#10;YOUSCAN ESTA PRORRATEADO. &#10;ESTA TABLA SE ACTUALIZA AUTOMÁTICAMENTE CUANDO HAY MODIFICACIONES EN LA SOLAPA DE COSTOS ESTIMADOS&#10;NO CAMBIAR FORMATO POR ESTÁ FORMULADO.&#10;A MARKUP GENERAL SOLO SE CARGAN LOS MESES ESTIMADOS, POR EJEMPLO AL CIERRE DE AGOSTO SE CARGA SEP, OCT, NOV, DIC." location="'Seguimiento Mark Up General'!A117" ref="A53"/>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8.13"/>
    <col customWidth="1" min="2" max="2" width="15.88"/>
    <col customWidth="1" min="7" max="7" width="17.13"/>
    <col customWidth="1" min="8" max="8" width="16.0"/>
    <col customWidth="1" min="9" max="9" width="17.75"/>
  </cols>
  <sheetData>
    <row r="1">
      <c r="A1" s="96" t="s">
        <v>111</v>
      </c>
      <c r="B1" s="515" t="s">
        <v>1116</v>
      </c>
      <c r="C1" s="94" t="s">
        <v>1117</v>
      </c>
      <c r="D1" s="94" t="s">
        <v>116</v>
      </c>
      <c r="E1" s="95" t="s">
        <v>275</v>
      </c>
      <c r="F1" s="516" t="s">
        <v>285</v>
      </c>
      <c r="G1" s="516" t="s">
        <v>1292</v>
      </c>
      <c r="H1" s="516" t="s">
        <v>1293</v>
      </c>
      <c r="I1" s="517" t="s">
        <v>1294</v>
      </c>
      <c r="J1" s="516" t="s">
        <v>1295</v>
      </c>
    </row>
    <row r="2" hidden="1">
      <c r="A2" s="43" t="s">
        <v>204</v>
      </c>
      <c r="B2" s="43" t="s">
        <v>1126</v>
      </c>
      <c r="C2" s="43" t="s">
        <v>1168</v>
      </c>
      <c r="D2" s="51" t="s">
        <v>149</v>
      </c>
      <c r="E2" s="43">
        <v>2025.0</v>
      </c>
      <c r="F2" s="518">
        <v>1180.0</v>
      </c>
      <c r="G2" s="519">
        <f>'Seguimiento Mark Up KC'!F22</f>
        <v>8450</v>
      </c>
      <c r="H2" s="519">
        <f>'Seguimiento Mark Up KC'!F21</f>
        <v>394.8630508</v>
      </c>
      <c r="I2" s="105"/>
      <c r="J2" s="106">
        <f t="shared" ref="J2:J43" si="1">H2*F2</f>
        <v>465938.4</v>
      </c>
    </row>
    <row r="3" hidden="1">
      <c r="A3" s="43" t="s">
        <v>204</v>
      </c>
      <c r="B3" s="43" t="s">
        <v>1126</v>
      </c>
      <c r="C3" s="43" t="s">
        <v>1168</v>
      </c>
      <c r="D3" s="51" t="s">
        <v>155</v>
      </c>
      <c r="E3" s="43">
        <v>2025.0</v>
      </c>
      <c r="F3" s="518">
        <v>1215.0</v>
      </c>
      <c r="G3" s="519">
        <f>'Seguimiento Mark Up KC'!M22</f>
        <v>8450</v>
      </c>
      <c r="H3" s="519">
        <f>'Seguimiento Mark Up KC'!M21</f>
        <v>1046.556406</v>
      </c>
      <c r="I3" s="105"/>
      <c r="J3" s="106">
        <f t="shared" si="1"/>
        <v>1271566.033</v>
      </c>
    </row>
    <row r="4" hidden="1">
      <c r="A4" s="43" t="s">
        <v>204</v>
      </c>
      <c r="B4" s="43" t="s">
        <v>1126</v>
      </c>
      <c r="C4" s="43" t="s">
        <v>1168</v>
      </c>
      <c r="D4" s="51" t="s">
        <v>161</v>
      </c>
      <c r="E4" s="43">
        <v>2025.0</v>
      </c>
      <c r="F4" s="518">
        <v>1320.0</v>
      </c>
      <c r="G4" s="519">
        <f>'Seguimiento Mark Up KC'!T22</f>
        <v>8450</v>
      </c>
      <c r="H4" s="519">
        <f>'Seguimiento Mark Up KC'!T21</f>
        <v>2759.730526</v>
      </c>
      <c r="I4" s="105"/>
      <c r="J4" s="106">
        <f t="shared" si="1"/>
        <v>3642844.294</v>
      </c>
    </row>
    <row r="5" hidden="1">
      <c r="A5" s="43" t="s">
        <v>204</v>
      </c>
      <c r="B5" s="43" t="s">
        <v>1126</v>
      </c>
      <c r="C5" s="43" t="s">
        <v>1168</v>
      </c>
      <c r="D5" s="51" t="s">
        <v>166</v>
      </c>
      <c r="E5" s="43">
        <v>2025.0</v>
      </c>
      <c r="F5" s="518">
        <v>1345.0</v>
      </c>
      <c r="G5" s="519">
        <f>'Seguimiento Mark Up KC'!AA22</f>
        <v>8450</v>
      </c>
      <c r="H5" s="519">
        <f>'Seguimiento Mark Up KC'!AA21</f>
        <v>2436.088602</v>
      </c>
      <c r="I5" s="105"/>
      <c r="J5" s="106">
        <f t="shared" si="1"/>
        <v>3276539.17</v>
      </c>
    </row>
    <row r="6">
      <c r="A6" s="43" t="s">
        <v>183</v>
      </c>
      <c r="B6" s="43" t="s">
        <v>1126</v>
      </c>
      <c r="C6" s="43" t="s">
        <v>1129</v>
      </c>
      <c r="D6" s="51" t="s">
        <v>123</v>
      </c>
      <c r="E6" s="43">
        <v>2025.0</v>
      </c>
      <c r="F6" s="518">
        <v>1220.0</v>
      </c>
      <c r="G6" s="519">
        <f>'Seguimiento Mark Up WARNER'!F23</f>
        <v>13450</v>
      </c>
      <c r="H6" s="519">
        <f>'Seguimiento Mark Up WARNER'!F22</f>
        <v>7655.654082</v>
      </c>
      <c r="I6" s="105"/>
      <c r="J6" s="106">
        <f t="shared" si="1"/>
        <v>9339897.98</v>
      </c>
    </row>
    <row r="7">
      <c r="A7" s="43" t="s">
        <v>183</v>
      </c>
      <c r="B7" s="43" t="s">
        <v>1126</v>
      </c>
      <c r="C7" s="43" t="s">
        <v>1129</v>
      </c>
      <c r="D7" s="51" t="s">
        <v>129</v>
      </c>
      <c r="E7" s="43">
        <v>2025.0</v>
      </c>
      <c r="F7" s="518">
        <v>1230.0</v>
      </c>
      <c r="G7" s="519">
        <f>'Seguimiento Mark Up WARNER'!M23</f>
        <v>13450</v>
      </c>
      <c r="H7" s="519">
        <f>'Seguimiento Mark Up WARNER'!M22</f>
        <v>8908.708539</v>
      </c>
      <c r="I7" s="105"/>
      <c r="J7" s="106">
        <f t="shared" si="1"/>
        <v>10957711.5</v>
      </c>
    </row>
    <row r="8">
      <c r="A8" s="43" t="s">
        <v>183</v>
      </c>
      <c r="B8" s="43" t="s">
        <v>1126</v>
      </c>
      <c r="C8" s="43" t="s">
        <v>1129</v>
      </c>
      <c r="D8" s="51" t="s">
        <v>136</v>
      </c>
      <c r="E8" s="43">
        <v>2025.0</v>
      </c>
      <c r="F8" s="518">
        <v>1325.0</v>
      </c>
      <c r="G8" s="519">
        <f>'Seguimiento Mark Up WARNER'!T23</f>
        <v>13450</v>
      </c>
      <c r="H8" s="519">
        <f>'Seguimiento Mark Up WARNER'!T22</f>
        <v>7296.926034</v>
      </c>
      <c r="I8" s="105"/>
      <c r="J8" s="106">
        <f t="shared" si="1"/>
        <v>9668426.995</v>
      </c>
    </row>
    <row r="9">
      <c r="A9" s="43" t="s">
        <v>183</v>
      </c>
      <c r="B9" s="43" t="s">
        <v>1126</v>
      </c>
      <c r="C9" s="43" t="s">
        <v>1129</v>
      </c>
      <c r="D9" s="51" t="s">
        <v>143</v>
      </c>
      <c r="E9" s="43">
        <v>2025.0</v>
      </c>
      <c r="F9" s="518">
        <v>1185.0</v>
      </c>
      <c r="G9" s="519">
        <f>'Seguimiento Mark Up WARNER'!AA23</f>
        <v>13450</v>
      </c>
      <c r="H9" s="519">
        <f>'Seguimiento Mark Up WARNER'!AA22</f>
        <v>7838.360197</v>
      </c>
      <c r="I9" s="105"/>
      <c r="J9" s="106">
        <f t="shared" si="1"/>
        <v>9288456.833</v>
      </c>
    </row>
    <row r="10">
      <c r="A10" s="43" t="s">
        <v>183</v>
      </c>
      <c r="B10" s="43" t="s">
        <v>1126</v>
      </c>
      <c r="C10" s="43" t="s">
        <v>1129</v>
      </c>
      <c r="D10" s="51" t="s">
        <v>149</v>
      </c>
      <c r="E10" s="43">
        <v>2025.0</v>
      </c>
      <c r="F10" s="518">
        <v>1180.0</v>
      </c>
      <c r="G10" s="519">
        <f>'Seguimiento Mark Up WARNER'!AH23</f>
        <v>29230</v>
      </c>
      <c r="H10" s="519">
        <f>'Seguimiento Mark Up WARNER'!AH22</f>
        <v>11424.88547</v>
      </c>
      <c r="I10" s="105"/>
      <c r="J10" s="106">
        <f t="shared" si="1"/>
        <v>13481364.85</v>
      </c>
    </row>
    <row r="11">
      <c r="A11" s="43" t="s">
        <v>183</v>
      </c>
      <c r="B11" s="43" t="s">
        <v>1126</v>
      </c>
      <c r="C11" s="43" t="s">
        <v>1129</v>
      </c>
      <c r="D11" s="51" t="s">
        <v>155</v>
      </c>
      <c r="E11" s="43">
        <v>2025.0</v>
      </c>
      <c r="F11" s="518">
        <v>1215.0</v>
      </c>
      <c r="G11" s="519">
        <f>'Seguimiento Mark Up WARNER'!AO23</f>
        <v>29230</v>
      </c>
      <c r="H11" s="519">
        <f>'Seguimiento Mark Up WARNER'!AO22</f>
        <v>10386.37806</v>
      </c>
      <c r="I11" s="105"/>
      <c r="J11" s="106">
        <f t="shared" si="1"/>
        <v>12619449.34</v>
      </c>
    </row>
    <row r="12">
      <c r="A12" s="43" t="s">
        <v>183</v>
      </c>
      <c r="B12" s="43" t="s">
        <v>1126</v>
      </c>
      <c r="C12" s="43" t="s">
        <v>1129</v>
      </c>
      <c r="D12" s="51" t="s">
        <v>161</v>
      </c>
      <c r="E12" s="43">
        <v>2025.0</v>
      </c>
      <c r="F12" s="518">
        <v>1320.0</v>
      </c>
      <c r="G12" s="519">
        <f>'Seguimiento Mark Up WARNER'!AV23</f>
        <v>29230</v>
      </c>
      <c r="H12" s="519">
        <f>'Seguimiento Mark Up WARNER'!AV22</f>
        <v>8877.322439</v>
      </c>
      <c r="I12" s="105"/>
      <c r="J12" s="106">
        <f t="shared" si="1"/>
        <v>11718065.62</v>
      </c>
    </row>
    <row r="13">
      <c r="A13" s="43" t="s">
        <v>183</v>
      </c>
      <c r="B13" s="43" t="s">
        <v>1126</v>
      </c>
      <c r="C13" s="43" t="s">
        <v>1129</v>
      </c>
      <c r="D13" s="51" t="s">
        <v>166</v>
      </c>
      <c r="E13" s="43">
        <v>2025.0</v>
      </c>
      <c r="F13" s="518">
        <v>1345.0</v>
      </c>
      <c r="G13" s="519">
        <f>'Seguimiento Mark Up WARNER'!BC24</f>
        <v>29230</v>
      </c>
      <c r="H13" s="519">
        <f>'Seguimiento Mark Up WARNER'!BC23</f>
        <v>7005.199088</v>
      </c>
      <c r="I13" s="105"/>
      <c r="J13" s="106">
        <f t="shared" si="1"/>
        <v>9421992.774</v>
      </c>
    </row>
    <row r="14" hidden="1">
      <c r="A14" s="43" t="s">
        <v>119</v>
      </c>
      <c r="B14" s="43" t="s">
        <v>1126</v>
      </c>
      <c r="C14" s="43" t="s">
        <v>1127</v>
      </c>
      <c r="D14" s="51" t="s">
        <v>123</v>
      </c>
      <c r="E14" s="43">
        <v>2025.0</v>
      </c>
      <c r="F14" s="518">
        <v>1220.0</v>
      </c>
      <c r="G14" s="519">
        <f>'Seguimiento Mark Up COELSA'!F12</f>
        <v>3048.217213</v>
      </c>
      <c r="H14" s="519">
        <f>'Seguimiento Mark Up COELSA'!F11</f>
        <v>1009.744656</v>
      </c>
      <c r="I14" s="106">
        <f t="shared" ref="I14:I32" si="2">G14*F14</f>
        <v>3718825</v>
      </c>
      <c r="J14" s="106">
        <f t="shared" si="1"/>
        <v>1231888.48</v>
      </c>
    </row>
    <row r="15" hidden="1">
      <c r="A15" s="43" t="s">
        <v>119</v>
      </c>
      <c r="B15" s="43" t="s">
        <v>1126</v>
      </c>
      <c r="C15" s="43" t="s">
        <v>1127</v>
      </c>
      <c r="D15" s="51" t="s">
        <v>129</v>
      </c>
      <c r="E15" s="43">
        <v>2025.0</v>
      </c>
      <c r="F15" s="518">
        <v>1230.0</v>
      </c>
      <c r="G15" s="519">
        <f>'Seguimiento Mark Up COELSA'!M12</f>
        <v>3023.434959</v>
      </c>
      <c r="H15" s="519">
        <f>'Seguimiento Mark Up COELSA'!M11</f>
        <v>991.1774146</v>
      </c>
      <c r="I15" s="106">
        <f t="shared" si="2"/>
        <v>3718825</v>
      </c>
      <c r="J15" s="106">
        <f t="shared" si="1"/>
        <v>1219148.22</v>
      </c>
    </row>
    <row r="16" hidden="1">
      <c r="A16" s="43" t="s">
        <v>119</v>
      </c>
      <c r="B16" s="43" t="s">
        <v>1126</v>
      </c>
      <c r="C16" s="43" t="s">
        <v>1127</v>
      </c>
      <c r="D16" s="51" t="s">
        <v>136</v>
      </c>
      <c r="E16" s="43">
        <v>2025.0</v>
      </c>
      <c r="F16" s="518">
        <v>1325.0</v>
      </c>
      <c r="G16" s="519">
        <f>'Seguimiento Mark Up COELSA'!T12</f>
        <v>2806.660377</v>
      </c>
      <c r="H16" s="519">
        <f>'Seguimiento Mark Up COELSA'!T11</f>
        <v>421.1320755</v>
      </c>
      <c r="I16" s="106">
        <f t="shared" si="2"/>
        <v>3718825</v>
      </c>
      <c r="J16" s="106">
        <f t="shared" si="1"/>
        <v>558000</v>
      </c>
    </row>
    <row r="17" hidden="1">
      <c r="A17" s="43" t="s">
        <v>119</v>
      </c>
      <c r="B17" s="43" t="s">
        <v>1126</v>
      </c>
      <c r="C17" s="43" t="s">
        <v>1127</v>
      </c>
      <c r="D17" s="51" t="s">
        <v>143</v>
      </c>
      <c r="E17" s="43">
        <v>2025.0</v>
      </c>
      <c r="F17" s="518">
        <v>1185.0</v>
      </c>
      <c r="G17" s="519">
        <f>'Seguimiento Mark Up COELSA'!AA12</f>
        <v>3138.248945</v>
      </c>
      <c r="H17" s="519">
        <f>'Seguimiento Mark Up COELSA'!AA11</f>
        <v>420.7594937</v>
      </c>
      <c r="I17" s="106">
        <f t="shared" si="2"/>
        <v>3718825</v>
      </c>
      <c r="J17" s="106">
        <f t="shared" si="1"/>
        <v>498600</v>
      </c>
    </row>
    <row r="18" hidden="1">
      <c r="A18" s="43" t="s">
        <v>119</v>
      </c>
      <c r="B18" s="43" t="s">
        <v>1126</v>
      </c>
      <c r="C18" s="43" t="s">
        <v>1127</v>
      </c>
      <c r="D18" s="51" t="s">
        <v>149</v>
      </c>
      <c r="E18" s="43">
        <v>2025.0</v>
      </c>
      <c r="F18" s="518">
        <v>1180.0</v>
      </c>
      <c r="G18" s="519">
        <f>'Seguimiento Mark Up COELSA'!AH12</f>
        <v>3151.54661</v>
      </c>
      <c r="H18" s="519">
        <f>'Seguimiento Mark Up COELSA'!AH11</f>
        <v>689.7114181</v>
      </c>
      <c r="I18" s="106">
        <f t="shared" si="2"/>
        <v>3718825</v>
      </c>
      <c r="J18" s="106">
        <f t="shared" si="1"/>
        <v>813859.4733</v>
      </c>
    </row>
    <row r="19" hidden="1">
      <c r="A19" s="43" t="s">
        <v>119</v>
      </c>
      <c r="B19" s="43" t="s">
        <v>1126</v>
      </c>
      <c r="C19" s="43" t="s">
        <v>1127</v>
      </c>
      <c r="D19" s="51" t="s">
        <v>155</v>
      </c>
      <c r="E19" s="43">
        <v>2025.0</v>
      </c>
      <c r="F19" s="518">
        <v>1215.0</v>
      </c>
      <c r="G19" s="519">
        <f>'Seguimiento Mark Up COELSA'!AO12</f>
        <v>3588.358848</v>
      </c>
      <c r="H19" s="519">
        <f>'Seguimiento Mark Up COELSA'!AO11</f>
        <v>691.9799177</v>
      </c>
      <c r="I19" s="106">
        <f t="shared" si="2"/>
        <v>4359856</v>
      </c>
      <c r="J19" s="106">
        <f t="shared" si="1"/>
        <v>840755.6</v>
      </c>
    </row>
    <row r="20" hidden="1">
      <c r="A20" s="43" t="s">
        <v>119</v>
      </c>
      <c r="B20" s="43" t="s">
        <v>1126</v>
      </c>
      <c r="C20" s="43" t="s">
        <v>1127</v>
      </c>
      <c r="D20" s="51" t="s">
        <v>161</v>
      </c>
      <c r="E20" s="43">
        <v>2025.0</v>
      </c>
      <c r="F20" s="518">
        <v>1320.0</v>
      </c>
      <c r="G20" s="519">
        <f>'Seguimiento Mark Up COELSA'!AV12</f>
        <v>3302.921212</v>
      </c>
      <c r="H20" s="519">
        <f>'Seguimiento Mark Up COELSA'!AV11</f>
        <v>401.2694321</v>
      </c>
      <c r="I20" s="106">
        <f t="shared" si="2"/>
        <v>4359856</v>
      </c>
      <c r="J20" s="106">
        <f t="shared" si="1"/>
        <v>529675.6504</v>
      </c>
    </row>
    <row r="21" hidden="1">
      <c r="A21" s="43" t="s">
        <v>119</v>
      </c>
      <c r="B21" s="43" t="s">
        <v>1126</v>
      </c>
      <c r="C21" s="43" t="s">
        <v>1127</v>
      </c>
      <c r="D21" s="51" t="s">
        <v>166</v>
      </c>
      <c r="E21" s="43">
        <v>2025.0</v>
      </c>
      <c r="F21" s="518">
        <v>1345.0</v>
      </c>
      <c r="G21" s="519">
        <f>'Seguimiento Mark Up COELSA'!BC12</f>
        <v>3241.528625</v>
      </c>
      <c r="H21" s="519">
        <f>'Seguimiento Mark Up COELSA'!BC11</f>
        <v>411.1539259</v>
      </c>
      <c r="I21" s="106">
        <f t="shared" si="2"/>
        <v>4359856</v>
      </c>
      <c r="J21" s="106">
        <f t="shared" si="1"/>
        <v>553002.0304</v>
      </c>
    </row>
    <row r="22" hidden="1">
      <c r="A22" s="43" t="s">
        <v>180</v>
      </c>
      <c r="B22" s="43" t="s">
        <v>1126</v>
      </c>
      <c r="C22" s="43" t="s">
        <v>1127</v>
      </c>
      <c r="D22" s="51" t="s">
        <v>123</v>
      </c>
      <c r="E22" s="43">
        <v>2025.0</v>
      </c>
      <c r="F22" s="518">
        <v>1220.0</v>
      </c>
      <c r="G22" s="519">
        <f>'Seguimiento Mark Up MODO'!F16</f>
        <v>3213.797541</v>
      </c>
      <c r="H22" s="519">
        <f>'Seguimiento Mark Up MODO'!F15</f>
        <v>972.104607</v>
      </c>
      <c r="I22" s="106">
        <f t="shared" si="2"/>
        <v>3920833</v>
      </c>
      <c r="J22" s="106">
        <f t="shared" si="1"/>
        <v>1185967.621</v>
      </c>
    </row>
    <row r="23" hidden="1">
      <c r="A23" s="43" t="s">
        <v>180</v>
      </c>
      <c r="B23" s="43" t="s">
        <v>1126</v>
      </c>
      <c r="C23" s="43" t="s">
        <v>1127</v>
      </c>
      <c r="D23" s="51" t="s">
        <v>129</v>
      </c>
      <c r="E23" s="43">
        <v>2025.0</v>
      </c>
      <c r="F23" s="518">
        <v>1230.0</v>
      </c>
      <c r="G23" s="519">
        <f>'Seguimiento Mark Up MODO'!M16</f>
        <v>3187.669106</v>
      </c>
      <c r="H23" s="519">
        <f>'Seguimiento Mark Up MODO'!M15</f>
        <v>972.104607</v>
      </c>
      <c r="I23" s="106">
        <f t="shared" si="2"/>
        <v>3920833</v>
      </c>
      <c r="J23" s="106">
        <f t="shared" si="1"/>
        <v>1195688.667</v>
      </c>
    </row>
    <row r="24" hidden="1">
      <c r="A24" s="43" t="s">
        <v>180</v>
      </c>
      <c r="B24" s="43" t="s">
        <v>1126</v>
      </c>
      <c r="C24" s="43" t="s">
        <v>1127</v>
      </c>
      <c r="D24" s="51" t="s">
        <v>136</v>
      </c>
      <c r="E24" s="43">
        <v>2025.0</v>
      </c>
      <c r="F24" s="518">
        <v>1325.0</v>
      </c>
      <c r="G24" s="519">
        <f>'Seguimiento Mark Up MODO'!T16</f>
        <v>3178.09434</v>
      </c>
      <c r="H24" s="519">
        <f>'Seguimiento Mark Up MODO'!T15</f>
        <v>1017.181315</v>
      </c>
      <c r="I24" s="106">
        <f t="shared" si="2"/>
        <v>4210975</v>
      </c>
      <c r="J24" s="106">
        <f t="shared" si="1"/>
        <v>1347765.243</v>
      </c>
    </row>
    <row r="25" hidden="1">
      <c r="A25" s="43" t="s">
        <v>180</v>
      </c>
      <c r="B25" s="43" t="s">
        <v>1126</v>
      </c>
      <c r="C25" s="43" t="s">
        <v>1127</v>
      </c>
      <c r="D25" s="51" t="s">
        <v>143</v>
      </c>
      <c r="E25" s="43">
        <v>2025.0</v>
      </c>
      <c r="F25" s="518">
        <v>1185.0</v>
      </c>
      <c r="G25" s="519">
        <f>'Seguimiento Mark Up MODO'!AA16</f>
        <v>3553.565401</v>
      </c>
      <c r="H25" s="519">
        <f>'Seguimiento Mark Up MODO'!AA15</f>
        <v>91.53459916</v>
      </c>
      <c r="I25" s="106">
        <f t="shared" si="2"/>
        <v>4210975</v>
      </c>
      <c r="J25" s="106">
        <f t="shared" si="1"/>
        <v>108468.5</v>
      </c>
    </row>
    <row r="26" hidden="1">
      <c r="A26" s="43" t="s">
        <v>180</v>
      </c>
      <c r="B26" s="43" t="s">
        <v>1126</v>
      </c>
      <c r="C26" s="43" t="s">
        <v>1127</v>
      </c>
      <c r="D26" s="51" t="s">
        <v>149</v>
      </c>
      <c r="E26" s="43">
        <v>2025.0</v>
      </c>
      <c r="F26" s="518">
        <v>1180.0</v>
      </c>
      <c r="G26" s="519">
        <f>'Seguimiento Mark Up MODO'!AH16</f>
        <v>3568.622881</v>
      </c>
      <c r="H26" s="519">
        <f>'Seguimiento Mark Up MODO'!AH15</f>
        <v>861.8837712</v>
      </c>
      <c r="I26" s="106">
        <f t="shared" si="2"/>
        <v>4210975</v>
      </c>
      <c r="J26" s="106">
        <f t="shared" si="1"/>
        <v>1017022.85</v>
      </c>
    </row>
    <row r="27" hidden="1">
      <c r="A27" s="43" t="s">
        <v>180</v>
      </c>
      <c r="B27" s="43" t="s">
        <v>1126</v>
      </c>
      <c r="C27" s="43" t="s">
        <v>1127</v>
      </c>
      <c r="D27" s="51" t="s">
        <v>155</v>
      </c>
      <c r="E27" s="43">
        <v>2025.0</v>
      </c>
      <c r="F27" s="518">
        <v>1215.0</v>
      </c>
      <c r="G27" s="519">
        <f>'Seguimiento Mark Up MODO'!AO16</f>
        <v>3783.292181</v>
      </c>
      <c r="H27" s="519">
        <f>'Seguimiento Mark Up MODO'!AO15</f>
        <v>1269.745377</v>
      </c>
      <c r="I27" s="106">
        <f t="shared" si="2"/>
        <v>4596700</v>
      </c>
      <c r="J27" s="106">
        <f t="shared" si="1"/>
        <v>1542740.633</v>
      </c>
    </row>
    <row r="28" hidden="1">
      <c r="A28" s="43" t="s">
        <v>180</v>
      </c>
      <c r="B28" s="43" t="s">
        <v>1126</v>
      </c>
      <c r="C28" s="43" t="s">
        <v>1127</v>
      </c>
      <c r="D28" s="51" t="s">
        <v>161</v>
      </c>
      <c r="E28" s="43">
        <v>2025.0</v>
      </c>
      <c r="F28" s="518">
        <v>1320.0</v>
      </c>
      <c r="G28" s="519">
        <f>'Seguimiento Mark Up MODO'!AV16</f>
        <v>3482.348485</v>
      </c>
      <c r="H28" s="519">
        <f>'Seguimiento Mark Up MODO'!AV15</f>
        <v>240.6200379</v>
      </c>
      <c r="I28" s="106">
        <f t="shared" si="2"/>
        <v>4596700</v>
      </c>
      <c r="J28" s="106">
        <f t="shared" si="1"/>
        <v>317618.45</v>
      </c>
    </row>
    <row r="29" hidden="1">
      <c r="A29" s="43" t="s">
        <v>180</v>
      </c>
      <c r="B29" s="43" t="s">
        <v>1126</v>
      </c>
      <c r="C29" s="43" t="s">
        <v>1127</v>
      </c>
      <c r="D29" s="51" t="s">
        <v>166</v>
      </c>
      <c r="E29" s="43">
        <v>2025.0</v>
      </c>
      <c r="F29" s="518">
        <v>1345.0</v>
      </c>
      <c r="G29" s="519">
        <f>'Seguimiento Mark Up MODO'!BC16</f>
        <v>2286.245353</v>
      </c>
      <c r="H29" s="519">
        <f>'Seguimiento Mark Up MODO'!BC15</f>
        <v>369.9252931</v>
      </c>
      <c r="I29" s="106">
        <f t="shared" si="2"/>
        <v>3075000</v>
      </c>
      <c r="J29" s="106">
        <f t="shared" si="1"/>
        <v>497549.5193</v>
      </c>
    </row>
    <row r="30" hidden="1">
      <c r="A30" s="43" t="s">
        <v>132</v>
      </c>
      <c r="B30" s="43" t="s">
        <v>1133</v>
      </c>
      <c r="C30" s="43" t="s">
        <v>1189</v>
      </c>
      <c r="D30" s="51" t="s">
        <v>161</v>
      </c>
      <c r="E30" s="43">
        <v>2025.0</v>
      </c>
      <c r="F30" s="518">
        <v>1320.0</v>
      </c>
      <c r="G30" s="519">
        <f>'Seguimiento Mark Up ANIMAL'!F15</f>
        <v>659.0909091</v>
      </c>
      <c r="H30" s="519">
        <f>'Seguimiento Mark Up ANIMAL'!F14</f>
        <v>104.9674318</v>
      </c>
      <c r="I30" s="106">
        <f t="shared" si="2"/>
        <v>870000</v>
      </c>
      <c r="J30" s="106">
        <f t="shared" si="1"/>
        <v>138557.01</v>
      </c>
    </row>
    <row r="31" hidden="1">
      <c r="A31" s="43" t="s">
        <v>132</v>
      </c>
      <c r="B31" s="43" t="s">
        <v>1133</v>
      </c>
      <c r="C31" s="43" t="s">
        <v>1204</v>
      </c>
      <c r="D31" s="51" t="s">
        <v>166</v>
      </c>
      <c r="E31" s="43">
        <v>2025.0</v>
      </c>
      <c r="F31" s="518">
        <v>1345.0</v>
      </c>
      <c r="G31" s="519">
        <f>'Seguimiento Mark Up ANIMAL'!F38</f>
        <v>1278.954545</v>
      </c>
      <c r="H31" s="519">
        <f>'Seguimiento Mark Up ANIMAL'!F37</f>
        <v>1592.206745</v>
      </c>
      <c r="I31" s="106">
        <f t="shared" si="2"/>
        <v>1720193.864</v>
      </c>
      <c r="J31" s="106">
        <f t="shared" si="1"/>
        <v>2141518.072</v>
      </c>
    </row>
    <row r="32" hidden="1">
      <c r="A32" s="43" t="s">
        <v>211</v>
      </c>
      <c r="B32" s="43" t="s">
        <v>1133</v>
      </c>
      <c r="C32" s="43" t="s">
        <v>1239</v>
      </c>
      <c r="D32" s="51" t="s">
        <v>171</v>
      </c>
      <c r="E32" s="43">
        <v>2025.0</v>
      </c>
      <c r="F32" s="518">
        <v>1345.0</v>
      </c>
      <c r="G32" s="519">
        <f>'Seguimiento Mark Up PEYA'!F22</f>
        <v>2941.522491</v>
      </c>
      <c r="H32" s="519">
        <f>'Seguimiento Mark Up PEYA'!F21</f>
        <v>2408.695705</v>
      </c>
      <c r="I32" s="106">
        <f t="shared" si="2"/>
        <v>3956347.751</v>
      </c>
      <c r="J32" s="106">
        <f t="shared" si="1"/>
        <v>3239695.723</v>
      </c>
    </row>
    <row r="33" hidden="1">
      <c r="A33" s="43" t="s">
        <v>199</v>
      </c>
      <c r="B33" s="43" t="s">
        <v>1133</v>
      </c>
      <c r="C33" s="43" t="s">
        <v>1165</v>
      </c>
      <c r="D33" s="51" t="s">
        <v>155</v>
      </c>
      <c r="E33" s="43">
        <v>2025.0</v>
      </c>
      <c r="F33" s="518">
        <v>1215.0</v>
      </c>
      <c r="G33" s="519">
        <f>'Seguimiento Mark Up UBER'!F19</f>
        <v>7350</v>
      </c>
      <c r="H33" s="520">
        <f>'Seguimiento Mark Up UBER'!F18</f>
        <v>2434.937806</v>
      </c>
      <c r="I33" s="106"/>
      <c r="J33" s="106">
        <f t="shared" si="1"/>
        <v>2958449.435</v>
      </c>
    </row>
    <row r="34" hidden="1">
      <c r="A34" s="43" t="s">
        <v>206</v>
      </c>
      <c r="B34" s="43" t="s">
        <v>1133</v>
      </c>
      <c r="C34" s="43" t="s">
        <v>1238</v>
      </c>
      <c r="D34" s="51" t="s">
        <v>166</v>
      </c>
      <c r="E34" s="43">
        <v>2025.0</v>
      </c>
      <c r="F34" s="518">
        <v>1345.0</v>
      </c>
      <c r="G34" s="519">
        <f>'Seguimiento Mark Up TOM'!F16</f>
        <v>1245.35316</v>
      </c>
      <c r="H34" s="520">
        <f>'Seguimiento Mark Up TOM'!F15</f>
        <v>452.4754602</v>
      </c>
      <c r="I34" s="106">
        <f t="shared" ref="I34:I35" si="3">G34*F34</f>
        <v>1675000</v>
      </c>
      <c r="J34" s="106">
        <f t="shared" si="1"/>
        <v>608579.4939</v>
      </c>
    </row>
    <row r="35" hidden="1">
      <c r="A35" s="43" t="s">
        <v>126</v>
      </c>
      <c r="B35" s="43" t="s">
        <v>1133</v>
      </c>
      <c r="C35" s="43" t="s">
        <v>1150</v>
      </c>
      <c r="D35" s="51" t="s">
        <v>136</v>
      </c>
      <c r="E35" s="43">
        <v>2025.0</v>
      </c>
      <c r="F35" s="518">
        <v>1325.0</v>
      </c>
      <c r="G35" s="519">
        <f>'Seguimiento Mark Up ARCOS DORAD'!F15</f>
        <v>2905.660377</v>
      </c>
      <c r="H35" s="519">
        <f>'Seguimiento Mark Up ARCOS DORAD'!F14</f>
        <v>1518.628899</v>
      </c>
      <c r="I35" s="106">
        <f t="shared" si="3"/>
        <v>3850000</v>
      </c>
      <c r="J35" s="106">
        <f t="shared" si="1"/>
        <v>2012183.291</v>
      </c>
    </row>
    <row r="36" hidden="1">
      <c r="A36" s="43" t="s">
        <v>202</v>
      </c>
      <c r="B36" s="43" t="s">
        <v>1133</v>
      </c>
      <c r="C36" s="43" t="s">
        <v>1156</v>
      </c>
      <c r="D36" s="51" t="s">
        <v>136</v>
      </c>
      <c r="E36" s="43">
        <v>2025.0</v>
      </c>
      <c r="F36" s="518">
        <v>1325.0</v>
      </c>
      <c r="G36" s="519">
        <f>'Seguimiento Mark Up TCCC'!F23</f>
        <v>5568</v>
      </c>
      <c r="H36" s="519">
        <f>'Seguimiento Mark Up TCCC'!F22</f>
        <v>2894.224714</v>
      </c>
      <c r="I36" s="106"/>
      <c r="J36" s="106">
        <f t="shared" si="1"/>
        <v>3834847.746</v>
      </c>
    </row>
    <row r="37" hidden="1">
      <c r="A37" s="43" t="s">
        <v>204</v>
      </c>
      <c r="B37" s="43" t="s">
        <v>1126</v>
      </c>
      <c r="C37" s="43" t="s">
        <v>1168</v>
      </c>
      <c r="D37" s="51" t="s">
        <v>171</v>
      </c>
      <c r="E37" s="43">
        <v>2025.0</v>
      </c>
      <c r="F37" s="105">
        <v>1445.0</v>
      </c>
      <c r="G37" s="521">
        <v>7550.0</v>
      </c>
      <c r="H37" s="522">
        <v>2899.037025472203</v>
      </c>
      <c r="I37" s="106"/>
      <c r="J37" s="106">
        <f t="shared" si="1"/>
        <v>4189108.502</v>
      </c>
    </row>
    <row r="38">
      <c r="A38" s="43" t="s">
        <v>183</v>
      </c>
      <c r="B38" s="43" t="s">
        <v>1126</v>
      </c>
      <c r="C38" s="43" t="s">
        <v>1129</v>
      </c>
      <c r="D38" s="51" t="s">
        <v>171</v>
      </c>
      <c r="E38" s="43">
        <v>2025.0</v>
      </c>
      <c r="F38" s="105">
        <v>1445.0</v>
      </c>
      <c r="G38" s="71">
        <v>29230.0</v>
      </c>
      <c r="H38" s="522">
        <v>8431.36515309112</v>
      </c>
      <c r="I38" s="106"/>
      <c r="J38" s="106">
        <f t="shared" si="1"/>
        <v>12183322.65</v>
      </c>
    </row>
    <row r="39">
      <c r="A39" s="43" t="s">
        <v>183</v>
      </c>
      <c r="B39" s="43" t="s">
        <v>1126</v>
      </c>
      <c r="C39" s="51" t="s">
        <v>1212</v>
      </c>
      <c r="D39" s="51" t="s">
        <v>171</v>
      </c>
      <c r="E39" s="43">
        <v>2025.0</v>
      </c>
      <c r="F39" s="105">
        <v>1445.0</v>
      </c>
      <c r="G39" s="523">
        <f>7580</f>
        <v>7580</v>
      </c>
      <c r="H39" s="522">
        <v>383.9084561716263</v>
      </c>
      <c r="I39" s="106"/>
      <c r="J39" s="106">
        <f t="shared" si="1"/>
        <v>554747.7192</v>
      </c>
    </row>
    <row r="40" hidden="1">
      <c r="A40" s="43" t="s">
        <v>180</v>
      </c>
      <c r="B40" s="43" t="s">
        <v>1126</v>
      </c>
      <c r="C40" s="43" t="s">
        <v>1127</v>
      </c>
      <c r="D40" s="51" t="s">
        <v>171</v>
      </c>
      <c r="E40" s="43">
        <v>2025.0</v>
      </c>
      <c r="F40" s="105">
        <v>1445.0</v>
      </c>
      <c r="G40" s="71">
        <v>2128.0276816609</v>
      </c>
      <c r="H40" s="522">
        <v>198.58336875570933</v>
      </c>
      <c r="I40" s="106">
        <f t="shared" ref="I40:I43" si="4">G40*F40</f>
        <v>3075000</v>
      </c>
      <c r="J40" s="106">
        <f t="shared" si="1"/>
        <v>286952.9679</v>
      </c>
    </row>
    <row r="41" hidden="1">
      <c r="A41" s="43" t="s">
        <v>119</v>
      </c>
      <c r="B41" s="43" t="s">
        <v>1126</v>
      </c>
      <c r="C41" s="43" t="s">
        <v>1127</v>
      </c>
      <c r="D41" s="51" t="s">
        <v>171</v>
      </c>
      <c r="E41" s="43">
        <v>2025.0</v>
      </c>
      <c r="F41" s="105">
        <v>1445.0</v>
      </c>
      <c r="G41" s="71">
        <v>3017.201384083045</v>
      </c>
      <c r="H41" s="522">
        <v>475.1391003460208</v>
      </c>
      <c r="I41" s="106">
        <f t="shared" si="4"/>
        <v>4359856</v>
      </c>
      <c r="J41" s="106">
        <f t="shared" si="1"/>
        <v>686576</v>
      </c>
    </row>
    <row r="42" hidden="1">
      <c r="A42" s="43" t="s">
        <v>132</v>
      </c>
      <c r="B42" s="43" t="s">
        <v>1133</v>
      </c>
      <c r="C42" s="43" t="s">
        <v>1241</v>
      </c>
      <c r="D42" s="51" t="s">
        <v>175</v>
      </c>
      <c r="E42" s="43">
        <v>2025.0</v>
      </c>
      <c r="F42" s="524"/>
      <c r="G42" s="519">
        <f>'Seguimiento Mark Up ANIMAL'!F60</f>
        <v>1030.30303</v>
      </c>
      <c r="H42" s="519">
        <f>'Seguimiento Mark Up ANIMAL'!F59</f>
        <v>108.7560765</v>
      </c>
      <c r="I42" s="106">
        <f t="shared" si="4"/>
        <v>0</v>
      </c>
      <c r="J42" s="106">
        <f t="shared" si="1"/>
        <v>0</v>
      </c>
    </row>
    <row r="43" hidden="1">
      <c r="A43" s="43" t="s">
        <v>209</v>
      </c>
      <c r="B43" s="43" t="s">
        <v>1133</v>
      </c>
      <c r="C43" s="51" t="s">
        <v>1296</v>
      </c>
      <c r="D43" s="51" t="s">
        <v>171</v>
      </c>
      <c r="E43" s="43">
        <v>2025.0</v>
      </c>
      <c r="F43" s="105">
        <v>1445.0</v>
      </c>
      <c r="G43" s="519">
        <f>'Seguimiento Mark Up CAMI CRIADO'!F15</f>
        <v>1384.083045</v>
      </c>
      <c r="H43" s="519">
        <f>'Seguimiento Mark Up CAMI CRIADO'!F14</f>
        <v>1202.398235</v>
      </c>
      <c r="I43" s="106">
        <f t="shared" si="4"/>
        <v>2000000</v>
      </c>
      <c r="J43" s="106">
        <f t="shared" si="1"/>
        <v>1737465.45</v>
      </c>
    </row>
    <row r="44" hidden="1">
      <c r="A44" s="102"/>
      <c r="B44" s="102"/>
      <c r="C44" s="44"/>
      <c r="D44" s="51"/>
      <c r="E44" s="102"/>
      <c r="F44" s="105"/>
      <c r="G44" s="89"/>
      <c r="H44" s="519"/>
      <c r="I44" s="105"/>
    </row>
    <row r="45" hidden="1">
      <c r="A45" s="102"/>
      <c r="B45" s="102"/>
      <c r="C45" s="44"/>
      <c r="D45" s="44"/>
      <c r="E45" s="102"/>
      <c r="F45" s="519"/>
      <c r="G45" s="519"/>
      <c r="H45" s="519"/>
      <c r="I45" s="105"/>
    </row>
    <row r="46" hidden="1">
      <c r="A46" s="102"/>
      <c r="B46" s="102"/>
      <c r="C46" s="44"/>
      <c r="D46" s="44"/>
      <c r="E46" s="102"/>
      <c r="F46" s="519"/>
      <c r="G46" s="519"/>
      <c r="H46" s="519"/>
      <c r="I46" s="105"/>
    </row>
    <row r="47" hidden="1">
      <c r="A47" s="102"/>
      <c r="B47" s="102"/>
      <c r="C47" s="44"/>
      <c r="D47" s="44"/>
      <c r="E47" s="102"/>
      <c r="F47" s="519"/>
      <c r="G47" s="519"/>
      <c r="H47" s="519"/>
      <c r="I47" s="105"/>
    </row>
    <row r="48" hidden="1">
      <c r="A48" s="102"/>
      <c r="B48" s="102"/>
      <c r="C48" s="44"/>
      <c r="D48" s="44"/>
      <c r="E48" s="102"/>
      <c r="F48" s="519"/>
      <c r="G48" s="519"/>
      <c r="H48" s="519"/>
      <c r="I48" s="105"/>
    </row>
    <row r="49" hidden="1">
      <c r="A49" s="102"/>
      <c r="B49" s="102"/>
      <c r="C49" s="44"/>
      <c r="D49" s="44"/>
      <c r="E49" s="102"/>
      <c r="F49" s="519"/>
      <c r="G49" s="519"/>
      <c r="H49" s="519"/>
      <c r="I49" s="105"/>
    </row>
    <row r="50" hidden="1">
      <c r="A50" s="102"/>
      <c r="B50" s="102"/>
      <c r="C50" s="44"/>
      <c r="D50" s="44"/>
      <c r="E50" s="102"/>
      <c r="F50" s="519"/>
      <c r="G50" s="519"/>
      <c r="H50" s="519"/>
      <c r="I50" s="105"/>
    </row>
    <row r="51" hidden="1">
      <c r="A51" s="102"/>
      <c r="B51" s="102"/>
      <c r="C51" s="44"/>
      <c r="D51" s="44"/>
      <c r="E51" s="102"/>
      <c r="F51" s="519"/>
      <c r="G51" s="519"/>
      <c r="H51" s="519"/>
      <c r="I51" s="105"/>
    </row>
    <row r="52" hidden="1">
      <c r="A52" s="102"/>
      <c r="B52" s="102"/>
      <c r="C52" s="44"/>
      <c r="D52" s="44"/>
      <c r="E52" s="102"/>
      <c r="F52" s="519"/>
      <c r="G52" s="519"/>
      <c r="H52" s="519"/>
      <c r="I52" s="105"/>
    </row>
    <row r="53" hidden="1">
      <c r="A53" s="102"/>
      <c r="B53" s="102"/>
      <c r="C53" s="44"/>
      <c r="D53" s="44"/>
      <c r="E53" s="102"/>
      <c r="F53" s="519"/>
      <c r="G53" s="519"/>
      <c r="H53" s="519"/>
      <c r="I53" s="105"/>
    </row>
    <row r="54" hidden="1">
      <c r="A54" s="102"/>
      <c r="B54" s="102"/>
      <c r="C54" s="44"/>
      <c r="D54" s="44"/>
      <c r="E54" s="102"/>
      <c r="F54" s="519"/>
      <c r="G54" s="519"/>
      <c r="H54" s="519"/>
      <c r="I54" s="105"/>
    </row>
    <row r="55" hidden="1">
      <c r="A55" s="102"/>
      <c r="B55" s="102"/>
      <c r="C55" s="44"/>
      <c r="D55" s="44"/>
      <c r="E55" s="102"/>
      <c r="F55" s="519"/>
      <c r="G55" s="519"/>
      <c r="H55" s="519"/>
      <c r="I55" s="105"/>
    </row>
    <row r="56" hidden="1">
      <c r="A56" s="102"/>
      <c r="B56" s="102"/>
      <c r="C56" s="44"/>
      <c r="D56" s="44"/>
      <c r="E56" s="102"/>
      <c r="F56" s="519"/>
      <c r="G56" s="519"/>
      <c r="H56" s="519"/>
      <c r="I56" s="105"/>
    </row>
    <row r="57" hidden="1">
      <c r="A57" s="102"/>
      <c r="B57" s="102"/>
      <c r="C57" s="44"/>
      <c r="D57" s="44"/>
      <c r="E57" s="102"/>
      <c r="F57" s="519"/>
      <c r="G57" s="519"/>
      <c r="H57" s="519"/>
      <c r="I57" s="105"/>
    </row>
    <row r="58" hidden="1">
      <c r="A58" s="102"/>
      <c r="B58" s="102"/>
      <c r="C58" s="44"/>
      <c r="D58" s="44"/>
      <c r="E58" s="102"/>
      <c r="F58" s="519"/>
      <c r="G58" s="519"/>
      <c r="H58" s="519"/>
      <c r="I58" s="105"/>
    </row>
    <row r="59" hidden="1">
      <c r="A59" s="102"/>
      <c r="B59" s="102"/>
      <c r="C59" s="44"/>
      <c r="D59" s="44"/>
      <c r="E59" s="102"/>
      <c r="F59" s="519"/>
      <c r="G59" s="519"/>
      <c r="H59" s="519"/>
      <c r="I59" s="105"/>
    </row>
    <row r="60" hidden="1">
      <c r="A60" s="102"/>
      <c r="B60" s="102"/>
      <c r="C60" s="44"/>
      <c r="D60" s="44"/>
      <c r="E60" s="102"/>
      <c r="F60" s="519"/>
      <c r="G60" s="519"/>
      <c r="H60" s="519"/>
      <c r="I60" s="105"/>
    </row>
    <row r="61" hidden="1">
      <c r="A61" s="102"/>
      <c r="B61" s="102"/>
      <c r="C61" s="44"/>
      <c r="D61" s="44"/>
      <c r="E61" s="102"/>
      <c r="F61" s="519"/>
      <c r="G61" s="519"/>
      <c r="H61" s="519"/>
      <c r="I61" s="105"/>
    </row>
    <row r="62" hidden="1">
      <c r="A62" s="102"/>
      <c r="B62" s="102"/>
      <c r="C62" s="44"/>
      <c r="D62" s="44"/>
      <c r="E62" s="102"/>
      <c r="F62" s="519"/>
      <c r="G62" s="519"/>
      <c r="H62" s="519"/>
      <c r="I62" s="105"/>
    </row>
    <row r="63" hidden="1">
      <c r="A63" s="102"/>
      <c r="B63" s="102"/>
      <c r="C63" s="44"/>
      <c r="D63" s="44"/>
      <c r="E63" s="102"/>
      <c r="F63" s="519"/>
      <c r="G63" s="519"/>
      <c r="H63" s="519"/>
      <c r="I63" s="105"/>
    </row>
    <row r="64" hidden="1">
      <c r="A64" s="102"/>
      <c r="B64" s="102"/>
      <c r="C64" s="44"/>
      <c r="D64" s="44"/>
      <c r="E64" s="102"/>
      <c r="F64" s="519"/>
      <c r="G64" s="519"/>
      <c r="H64" s="519"/>
      <c r="I64" s="105"/>
    </row>
    <row r="65" hidden="1">
      <c r="A65" s="102"/>
      <c r="B65" s="102"/>
      <c r="C65" s="44"/>
      <c r="D65" s="44"/>
      <c r="E65" s="102"/>
      <c r="F65" s="519"/>
      <c r="G65" s="519"/>
      <c r="H65" s="519"/>
      <c r="I65" s="105"/>
    </row>
    <row r="66" hidden="1">
      <c r="A66" s="102"/>
      <c r="B66" s="102"/>
      <c r="C66" s="44"/>
      <c r="D66" s="44"/>
      <c r="E66" s="102"/>
      <c r="F66" s="519"/>
      <c r="G66" s="519"/>
      <c r="H66" s="519"/>
      <c r="I66" s="105"/>
    </row>
    <row r="67" hidden="1">
      <c r="A67" s="102"/>
      <c r="B67" s="102"/>
      <c r="C67" s="44"/>
      <c r="D67" s="44"/>
      <c r="E67" s="102"/>
      <c r="F67" s="519"/>
      <c r="G67" s="519"/>
      <c r="H67" s="519"/>
      <c r="I67" s="105"/>
    </row>
    <row r="68" hidden="1">
      <c r="A68" s="102"/>
      <c r="B68" s="102"/>
      <c r="C68" s="44"/>
      <c r="D68" s="44"/>
      <c r="E68" s="102"/>
      <c r="F68" s="519"/>
      <c r="G68" s="519"/>
      <c r="H68" s="519"/>
      <c r="I68" s="105"/>
    </row>
    <row r="69" hidden="1">
      <c r="A69" s="102"/>
      <c r="B69" s="102"/>
      <c r="C69" s="44"/>
      <c r="D69" s="44"/>
      <c r="E69" s="102"/>
      <c r="F69" s="519"/>
      <c r="G69" s="519"/>
      <c r="H69" s="519"/>
      <c r="I69" s="105"/>
    </row>
    <row r="70" hidden="1">
      <c r="A70" s="102"/>
      <c r="B70" s="102"/>
      <c r="C70" s="44"/>
      <c r="D70" s="44"/>
      <c r="E70" s="102"/>
      <c r="F70" s="519"/>
      <c r="G70" s="519"/>
      <c r="H70" s="519"/>
      <c r="I70" s="105"/>
    </row>
    <row r="71" hidden="1">
      <c r="A71" s="102"/>
      <c r="B71" s="102"/>
      <c r="C71" s="44"/>
      <c r="D71" s="44"/>
      <c r="E71" s="102"/>
      <c r="F71" s="519"/>
      <c r="G71" s="519"/>
      <c r="H71" s="519"/>
      <c r="I71" s="105"/>
    </row>
    <row r="72" hidden="1">
      <c r="A72" s="102"/>
      <c r="B72" s="102"/>
      <c r="C72" s="44"/>
      <c r="D72" s="44"/>
      <c r="E72" s="102"/>
      <c r="F72" s="519"/>
      <c r="G72" s="519"/>
      <c r="H72" s="519"/>
      <c r="I72" s="105"/>
    </row>
    <row r="73" hidden="1">
      <c r="A73" s="102"/>
      <c r="B73" s="102"/>
      <c r="C73" s="44"/>
      <c r="D73" s="44"/>
      <c r="E73" s="102"/>
      <c r="F73" s="519"/>
      <c r="G73" s="519"/>
      <c r="H73" s="519"/>
      <c r="I73" s="105"/>
    </row>
    <row r="74" hidden="1">
      <c r="A74" s="102"/>
      <c r="B74" s="102"/>
      <c r="C74" s="44"/>
      <c r="D74" s="44"/>
      <c r="E74" s="102"/>
      <c r="F74" s="519"/>
      <c r="G74" s="519"/>
      <c r="H74" s="519"/>
      <c r="I74" s="105"/>
    </row>
    <row r="75" hidden="1">
      <c r="A75" s="102"/>
      <c r="B75" s="102"/>
      <c r="C75" s="44"/>
      <c r="D75" s="44"/>
      <c r="E75" s="102"/>
      <c r="F75" s="519"/>
      <c r="G75" s="519"/>
      <c r="H75" s="519"/>
      <c r="I75" s="105"/>
    </row>
    <row r="76" hidden="1">
      <c r="A76" s="102"/>
      <c r="B76" s="102"/>
      <c r="C76" s="44"/>
      <c r="D76" s="44"/>
      <c r="E76" s="102"/>
      <c r="F76" s="519"/>
      <c r="G76" s="519"/>
      <c r="H76" s="519"/>
      <c r="I76" s="105"/>
    </row>
    <row r="77" hidden="1">
      <c r="A77" s="102"/>
      <c r="B77" s="102"/>
      <c r="C77" s="44"/>
      <c r="D77" s="44"/>
      <c r="E77" s="102"/>
      <c r="F77" s="519"/>
      <c r="G77" s="519"/>
      <c r="H77" s="519"/>
      <c r="I77" s="105"/>
    </row>
    <row r="78" hidden="1">
      <c r="A78" s="102"/>
      <c r="B78" s="102"/>
      <c r="C78" s="44"/>
      <c r="D78" s="44"/>
      <c r="E78" s="102"/>
      <c r="F78" s="519"/>
      <c r="G78" s="519"/>
      <c r="H78" s="519"/>
      <c r="I78" s="105"/>
    </row>
    <row r="79" hidden="1">
      <c r="A79" s="102"/>
      <c r="B79" s="102"/>
      <c r="C79" s="44"/>
      <c r="D79" s="44"/>
      <c r="E79" s="102"/>
      <c r="F79" s="519"/>
      <c r="G79" s="519"/>
      <c r="H79" s="519"/>
      <c r="I79" s="105"/>
    </row>
    <row r="80" hidden="1">
      <c r="A80" s="102"/>
      <c r="B80" s="102"/>
      <c r="C80" s="44"/>
      <c r="D80" s="44"/>
      <c r="E80" s="102"/>
      <c r="F80" s="519"/>
      <c r="G80" s="519"/>
      <c r="H80" s="519"/>
      <c r="I80" s="105"/>
    </row>
    <row r="81" hidden="1">
      <c r="A81" s="102"/>
      <c r="B81" s="102"/>
      <c r="C81" s="44"/>
      <c r="D81" s="44"/>
      <c r="E81" s="102"/>
      <c r="F81" s="519"/>
      <c r="G81" s="519"/>
      <c r="H81" s="519"/>
      <c r="I81" s="105"/>
    </row>
    <row r="82" hidden="1">
      <c r="A82" s="102"/>
      <c r="B82" s="102"/>
      <c r="C82" s="44"/>
      <c r="D82" s="44"/>
      <c r="E82" s="102"/>
      <c r="F82" s="519"/>
      <c r="G82" s="519"/>
      <c r="H82" s="519"/>
      <c r="I82" s="105"/>
    </row>
    <row r="83" hidden="1">
      <c r="A83" s="102"/>
      <c r="B83" s="102"/>
      <c r="C83" s="44"/>
      <c r="D83" s="44"/>
      <c r="E83" s="102"/>
      <c r="F83" s="519"/>
      <c r="G83" s="519"/>
      <c r="H83" s="519"/>
      <c r="I83" s="105"/>
    </row>
    <row r="84" hidden="1">
      <c r="A84" s="102"/>
      <c r="B84" s="102"/>
      <c r="C84" s="44"/>
      <c r="D84" s="44"/>
      <c r="E84" s="102"/>
      <c r="F84" s="519"/>
      <c r="G84" s="519"/>
      <c r="H84" s="519"/>
      <c r="I84" s="105"/>
    </row>
    <row r="85" hidden="1">
      <c r="A85" s="102"/>
      <c r="B85" s="102"/>
      <c r="C85" s="44"/>
      <c r="D85" s="44"/>
      <c r="E85" s="102"/>
      <c r="F85" s="519"/>
      <c r="G85" s="519"/>
      <c r="H85" s="519"/>
      <c r="I85" s="105"/>
    </row>
    <row r="86" hidden="1">
      <c r="A86" s="102"/>
      <c r="B86" s="102"/>
      <c r="C86" s="44"/>
      <c r="D86" s="44"/>
      <c r="E86" s="102"/>
      <c r="F86" s="519"/>
      <c r="G86" s="519"/>
      <c r="H86" s="519"/>
      <c r="I86" s="105"/>
    </row>
    <row r="87" hidden="1">
      <c r="A87" s="102"/>
      <c r="B87" s="102"/>
      <c r="C87" s="44"/>
      <c r="D87" s="44"/>
      <c r="E87" s="102"/>
      <c r="F87" s="519"/>
      <c r="G87" s="519"/>
      <c r="H87" s="519"/>
      <c r="I87" s="105"/>
    </row>
    <row r="88" hidden="1">
      <c r="A88" s="102"/>
      <c r="B88" s="102"/>
      <c r="C88" s="44"/>
      <c r="D88" s="44"/>
      <c r="E88" s="102"/>
      <c r="F88" s="519"/>
      <c r="G88" s="519"/>
      <c r="H88" s="519"/>
      <c r="I88" s="105"/>
    </row>
    <row r="89" hidden="1">
      <c r="A89" s="102"/>
      <c r="B89" s="102"/>
      <c r="C89" s="44"/>
      <c r="D89" s="44"/>
      <c r="E89" s="102"/>
      <c r="F89" s="519"/>
      <c r="G89" s="519"/>
      <c r="H89" s="519"/>
      <c r="I89" s="105"/>
    </row>
    <row r="90" hidden="1">
      <c r="A90" s="102"/>
      <c r="B90" s="102"/>
      <c r="C90" s="44"/>
      <c r="D90" s="44"/>
      <c r="E90" s="102"/>
      <c r="F90" s="519"/>
      <c r="G90" s="519"/>
      <c r="H90" s="519"/>
      <c r="I90" s="105"/>
    </row>
    <row r="91" hidden="1">
      <c r="A91" s="102"/>
      <c r="B91" s="102"/>
      <c r="C91" s="44"/>
      <c r="D91" s="44"/>
      <c r="E91" s="102"/>
      <c r="F91" s="519"/>
      <c r="G91" s="519"/>
      <c r="H91" s="519"/>
      <c r="I91" s="105"/>
    </row>
    <row r="92" hidden="1">
      <c r="A92" s="102"/>
      <c r="B92" s="102"/>
      <c r="C92" s="44"/>
      <c r="D92" s="44"/>
      <c r="E92" s="102"/>
      <c r="F92" s="519"/>
      <c r="G92" s="519"/>
      <c r="H92" s="519"/>
      <c r="I92" s="105"/>
    </row>
    <row r="93" hidden="1">
      <c r="A93" s="102"/>
      <c r="B93" s="102"/>
      <c r="C93" s="44"/>
      <c r="D93" s="44"/>
      <c r="E93" s="102"/>
      <c r="F93" s="519"/>
      <c r="G93" s="519"/>
      <c r="H93" s="519"/>
      <c r="I93" s="105"/>
    </row>
    <row r="94" hidden="1">
      <c r="A94" s="102"/>
      <c r="B94" s="102"/>
      <c r="C94" s="44"/>
      <c r="D94" s="44"/>
      <c r="E94" s="102"/>
      <c r="F94" s="519"/>
      <c r="G94" s="519"/>
      <c r="H94" s="519"/>
      <c r="I94" s="105"/>
    </row>
    <row r="95" hidden="1">
      <c r="A95" s="102"/>
      <c r="B95" s="102"/>
      <c r="C95" s="44"/>
      <c r="D95" s="44"/>
      <c r="E95" s="102"/>
      <c r="F95" s="519"/>
      <c r="G95" s="519"/>
      <c r="H95" s="519"/>
      <c r="I95" s="105"/>
    </row>
    <row r="96" hidden="1">
      <c r="A96" s="102"/>
      <c r="B96" s="102"/>
      <c r="C96" s="44"/>
      <c r="D96" s="44"/>
      <c r="E96" s="102"/>
      <c r="F96" s="519"/>
      <c r="G96" s="519"/>
      <c r="H96" s="519"/>
      <c r="I96" s="105"/>
    </row>
    <row r="97" hidden="1">
      <c r="A97" s="102"/>
      <c r="B97" s="102"/>
      <c r="C97" s="44"/>
      <c r="D97" s="44"/>
      <c r="E97" s="102"/>
      <c r="F97" s="519"/>
      <c r="G97" s="519"/>
      <c r="H97" s="519"/>
      <c r="I97" s="105"/>
    </row>
    <row r="98" hidden="1">
      <c r="A98" s="102"/>
      <c r="B98" s="102"/>
      <c r="C98" s="44"/>
      <c r="D98" s="44"/>
      <c r="E98" s="102"/>
      <c r="F98" s="519"/>
      <c r="G98" s="519"/>
      <c r="H98" s="519"/>
      <c r="I98" s="105"/>
    </row>
    <row r="99" hidden="1">
      <c r="A99" s="102"/>
      <c r="B99" s="102"/>
      <c r="C99" s="44"/>
      <c r="D99" s="44"/>
      <c r="E99" s="102"/>
      <c r="F99" s="519"/>
      <c r="G99" s="519"/>
      <c r="H99" s="519"/>
      <c r="I99" s="105"/>
    </row>
    <row r="100" hidden="1">
      <c r="A100" s="102"/>
      <c r="B100" s="102"/>
      <c r="C100" s="44"/>
      <c r="D100" s="44"/>
      <c r="E100" s="102"/>
      <c r="F100" s="519"/>
      <c r="G100" s="519"/>
      <c r="H100" s="519"/>
      <c r="I100" s="105"/>
    </row>
    <row r="101" hidden="1">
      <c r="A101" s="102"/>
      <c r="B101" s="102"/>
      <c r="C101" s="44"/>
      <c r="D101" s="44"/>
      <c r="E101" s="102"/>
      <c r="F101" s="519"/>
      <c r="G101" s="519"/>
      <c r="H101" s="519"/>
      <c r="I101" s="105"/>
    </row>
    <row r="102" hidden="1">
      <c r="A102" s="102"/>
      <c r="B102" s="102"/>
      <c r="C102" s="44"/>
      <c r="D102" s="44"/>
      <c r="E102" s="102"/>
      <c r="F102" s="519"/>
      <c r="G102" s="519"/>
      <c r="H102" s="519"/>
      <c r="I102" s="105"/>
    </row>
    <row r="103" hidden="1">
      <c r="A103" s="102"/>
      <c r="B103" s="102"/>
      <c r="C103" s="44"/>
      <c r="D103" s="44"/>
      <c r="E103" s="102"/>
      <c r="F103" s="519"/>
      <c r="G103" s="519"/>
      <c r="H103" s="519"/>
      <c r="I103" s="105"/>
    </row>
    <row r="104" hidden="1">
      <c r="A104" s="102"/>
      <c r="B104" s="102"/>
      <c r="C104" s="44"/>
      <c r="D104" s="44"/>
      <c r="E104" s="102"/>
      <c r="F104" s="519"/>
      <c r="G104" s="519"/>
      <c r="H104" s="519"/>
      <c r="I104" s="105"/>
    </row>
    <row r="105" hidden="1">
      <c r="A105" s="102"/>
      <c r="B105" s="102"/>
      <c r="C105" s="44"/>
      <c r="D105" s="44"/>
      <c r="E105" s="102"/>
      <c r="F105" s="519"/>
      <c r="G105" s="519"/>
      <c r="H105" s="519"/>
      <c r="I105" s="105"/>
    </row>
    <row r="106" hidden="1">
      <c r="A106" s="102"/>
      <c r="B106" s="102"/>
      <c r="C106" s="44"/>
      <c r="D106" s="44"/>
      <c r="E106" s="102"/>
      <c r="F106" s="519"/>
      <c r="G106" s="519"/>
      <c r="H106" s="519"/>
      <c r="I106" s="105"/>
    </row>
    <row r="107" hidden="1">
      <c r="A107" s="102"/>
      <c r="B107" s="102"/>
      <c r="C107" s="44"/>
      <c r="D107" s="44"/>
      <c r="E107" s="102"/>
      <c r="F107" s="519"/>
      <c r="G107" s="519"/>
      <c r="H107" s="519"/>
      <c r="I107" s="105"/>
    </row>
    <row r="108" hidden="1">
      <c r="A108" s="102"/>
      <c r="B108" s="102"/>
      <c r="C108" s="44"/>
      <c r="D108" s="44"/>
      <c r="E108" s="102"/>
      <c r="F108" s="519"/>
      <c r="G108" s="519"/>
      <c r="H108" s="519"/>
      <c r="I108" s="105"/>
    </row>
    <row r="109" hidden="1">
      <c r="A109" s="102"/>
      <c r="B109" s="102"/>
      <c r="C109" s="44"/>
      <c r="D109" s="44"/>
      <c r="E109" s="102"/>
      <c r="F109" s="519"/>
      <c r="G109" s="519"/>
      <c r="H109" s="519"/>
      <c r="I109" s="105"/>
    </row>
    <row r="110" hidden="1">
      <c r="A110" s="102"/>
      <c r="B110" s="102"/>
      <c r="C110" s="44"/>
      <c r="D110" s="44"/>
      <c r="E110" s="102"/>
      <c r="F110" s="519"/>
      <c r="G110" s="519"/>
      <c r="H110" s="519"/>
      <c r="I110" s="105"/>
    </row>
    <row r="111" hidden="1">
      <c r="A111" s="102"/>
      <c r="B111" s="102"/>
      <c r="C111" s="44"/>
      <c r="D111" s="44"/>
      <c r="E111" s="102"/>
      <c r="F111" s="519"/>
      <c r="G111" s="519"/>
      <c r="H111" s="519"/>
      <c r="I111" s="105"/>
    </row>
    <row r="112" hidden="1">
      <c r="A112" s="102"/>
      <c r="B112" s="102"/>
      <c r="C112" s="44"/>
      <c r="D112" s="44"/>
      <c r="E112" s="102"/>
      <c r="F112" s="519"/>
      <c r="G112" s="519"/>
      <c r="H112" s="519"/>
      <c r="I112" s="105"/>
    </row>
    <row r="113" hidden="1">
      <c r="A113" s="102"/>
      <c r="B113" s="102"/>
      <c r="C113" s="44"/>
      <c r="D113" s="44"/>
      <c r="E113" s="102"/>
      <c r="F113" s="519"/>
      <c r="G113" s="519"/>
      <c r="H113" s="519"/>
      <c r="I113" s="105"/>
    </row>
    <row r="114" hidden="1">
      <c r="A114" s="102"/>
      <c r="B114" s="102"/>
      <c r="C114" s="44"/>
      <c r="D114" s="44"/>
      <c r="E114" s="102"/>
      <c r="F114" s="519"/>
      <c r="G114" s="519"/>
      <c r="H114" s="519"/>
      <c r="I114" s="105"/>
    </row>
    <row r="115" hidden="1">
      <c r="A115" s="102"/>
      <c r="B115" s="102"/>
      <c r="C115" s="44"/>
      <c r="D115" s="44"/>
      <c r="E115" s="102"/>
      <c r="F115" s="519"/>
      <c r="G115" s="519"/>
      <c r="H115" s="519"/>
      <c r="I115" s="105"/>
    </row>
    <row r="116" hidden="1">
      <c r="A116" s="102"/>
      <c r="B116" s="102"/>
      <c r="C116" s="44"/>
      <c r="D116" s="44"/>
      <c r="E116" s="102"/>
      <c r="F116" s="519"/>
      <c r="G116" s="519"/>
      <c r="H116" s="519"/>
      <c r="I116" s="105"/>
    </row>
    <row r="117" hidden="1">
      <c r="A117" s="102"/>
      <c r="B117" s="102"/>
      <c r="C117" s="44"/>
      <c r="D117" s="44"/>
      <c r="E117" s="102"/>
      <c r="F117" s="519"/>
      <c r="G117" s="519"/>
      <c r="H117" s="519"/>
      <c r="I117" s="105"/>
    </row>
    <row r="118" hidden="1">
      <c r="A118" s="102"/>
      <c r="B118" s="102"/>
      <c r="C118" s="44"/>
      <c r="D118" s="44"/>
      <c r="E118" s="102"/>
      <c r="F118" s="519"/>
      <c r="G118" s="519"/>
      <c r="H118" s="519"/>
      <c r="I118" s="105"/>
    </row>
    <row r="119" hidden="1">
      <c r="A119" s="102"/>
      <c r="B119" s="102"/>
      <c r="C119" s="44"/>
      <c r="D119" s="44"/>
      <c r="E119" s="102"/>
      <c r="F119" s="519"/>
      <c r="G119" s="519"/>
      <c r="H119" s="519"/>
      <c r="I119" s="105"/>
    </row>
    <row r="120" hidden="1">
      <c r="A120" s="102"/>
      <c r="B120" s="102"/>
      <c r="C120" s="44"/>
      <c r="D120" s="44"/>
      <c r="E120" s="102"/>
      <c r="F120" s="519"/>
      <c r="G120" s="519"/>
      <c r="H120" s="519"/>
      <c r="I120" s="105"/>
    </row>
    <row r="121" hidden="1">
      <c r="A121" s="102"/>
      <c r="B121" s="102"/>
      <c r="C121" s="44"/>
      <c r="D121" s="44"/>
      <c r="E121" s="102"/>
      <c r="F121" s="519"/>
      <c r="G121" s="519"/>
      <c r="H121" s="519"/>
      <c r="I121" s="105"/>
    </row>
    <row r="122" hidden="1">
      <c r="A122" s="102"/>
      <c r="B122" s="102"/>
      <c r="C122" s="44"/>
      <c r="D122" s="44"/>
      <c r="E122" s="102"/>
      <c r="F122" s="519"/>
      <c r="G122" s="519"/>
      <c r="H122" s="519"/>
      <c r="I122" s="105"/>
    </row>
    <row r="123" hidden="1">
      <c r="A123" s="102"/>
      <c r="B123" s="102"/>
      <c r="C123" s="44"/>
      <c r="D123" s="44"/>
      <c r="E123" s="102"/>
      <c r="F123" s="519"/>
      <c r="G123" s="519"/>
      <c r="H123" s="519"/>
      <c r="I123" s="105"/>
    </row>
    <row r="124" hidden="1">
      <c r="A124" s="102"/>
      <c r="B124" s="102"/>
      <c r="C124" s="44"/>
      <c r="D124" s="44"/>
      <c r="E124" s="102"/>
      <c r="F124" s="519"/>
      <c r="G124" s="519"/>
      <c r="H124" s="519"/>
      <c r="I124" s="105"/>
    </row>
    <row r="125" hidden="1">
      <c r="A125" s="102"/>
      <c r="B125" s="102"/>
      <c r="C125" s="44"/>
      <c r="D125" s="44"/>
      <c r="E125" s="102"/>
      <c r="F125" s="519"/>
      <c r="G125" s="519"/>
      <c r="H125" s="519"/>
      <c r="I125" s="105"/>
    </row>
    <row r="126" hidden="1">
      <c r="A126" s="102"/>
      <c r="B126" s="102"/>
      <c r="C126" s="44"/>
      <c r="D126" s="44"/>
      <c r="E126" s="102"/>
      <c r="F126" s="519"/>
      <c r="G126" s="519"/>
      <c r="H126" s="519"/>
      <c r="I126" s="105"/>
    </row>
    <row r="127" hidden="1">
      <c r="A127" s="102"/>
      <c r="B127" s="102"/>
      <c r="C127" s="44"/>
      <c r="D127" s="44"/>
      <c r="E127" s="102"/>
      <c r="F127" s="519"/>
      <c r="G127" s="519"/>
      <c r="H127" s="519"/>
      <c r="I127" s="105"/>
    </row>
    <row r="128" hidden="1">
      <c r="A128" s="102"/>
      <c r="B128" s="102"/>
      <c r="C128" s="44"/>
      <c r="D128" s="44"/>
      <c r="E128" s="102"/>
      <c r="F128" s="519"/>
      <c r="G128" s="519"/>
      <c r="H128" s="519"/>
      <c r="I128" s="105"/>
    </row>
    <row r="129" hidden="1">
      <c r="A129" s="102"/>
      <c r="B129" s="102"/>
      <c r="C129" s="44"/>
      <c r="D129" s="44"/>
      <c r="E129" s="102"/>
      <c r="F129" s="519"/>
      <c r="G129" s="519"/>
      <c r="H129" s="519"/>
      <c r="I129" s="105"/>
    </row>
    <row r="130" hidden="1">
      <c r="A130" s="102"/>
      <c r="B130" s="102"/>
      <c r="C130" s="44"/>
      <c r="D130" s="44"/>
      <c r="E130" s="102"/>
      <c r="F130" s="519"/>
      <c r="G130" s="519"/>
      <c r="H130" s="519"/>
      <c r="I130" s="105"/>
    </row>
    <row r="131" hidden="1">
      <c r="A131" s="102"/>
      <c r="B131" s="102"/>
      <c r="C131" s="44"/>
      <c r="D131" s="44"/>
      <c r="E131" s="102"/>
      <c r="F131" s="519"/>
      <c r="G131" s="519"/>
      <c r="H131" s="519"/>
      <c r="I131" s="105"/>
    </row>
    <row r="132" hidden="1">
      <c r="A132" s="102"/>
      <c r="B132" s="102"/>
      <c r="C132" s="44"/>
      <c r="D132" s="44"/>
      <c r="E132" s="102"/>
      <c r="F132" s="519"/>
      <c r="G132" s="519"/>
      <c r="H132" s="519"/>
      <c r="I132" s="105"/>
    </row>
    <row r="133" hidden="1">
      <c r="A133" s="102"/>
      <c r="B133" s="102"/>
      <c r="C133" s="44"/>
      <c r="D133" s="44"/>
      <c r="E133" s="102"/>
      <c r="F133" s="519"/>
      <c r="G133" s="519"/>
      <c r="H133" s="519"/>
      <c r="I133" s="105"/>
    </row>
    <row r="134" hidden="1">
      <c r="A134" s="102"/>
      <c r="B134" s="102"/>
      <c r="C134" s="44"/>
      <c r="D134" s="44"/>
      <c r="E134" s="102"/>
      <c r="F134" s="519"/>
      <c r="G134" s="519"/>
      <c r="H134" s="519"/>
      <c r="I134" s="105"/>
    </row>
    <row r="135" hidden="1">
      <c r="A135" s="102"/>
      <c r="B135" s="102"/>
      <c r="C135" s="44"/>
      <c r="D135" s="44"/>
      <c r="E135" s="102"/>
      <c r="F135" s="519"/>
      <c r="G135" s="519"/>
      <c r="H135" s="519"/>
      <c r="I135" s="105"/>
    </row>
    <row r="136" hidden="1">
      <c r="A136" s="102"/>
      <c r="B136" s="102"/>
      <c r="C136" s="44"/>
      <c r="D136" s="44"/>
      <c r="E136" s="102"/>
      <c r="F136" s="519"/>
      <c r="G136" s="519"/>
      <c r="H136" s="519"/>
      <c r="I136" s="105"/>
    </row>
    <row r="137" hidden="1">
      <c r="A137" s="102"/>
      <c r="B137" s="102"/>
      <c r="C137" s="44"/>
      <c r="D137" s="44"/>
      <c r="E137" s="102"/>
      <c r="F137" s="519"/>
      <c r="G137" s="519"/>
      <c r="H137" s="519"/>
      <c r="I137" s="105"/>
    </row>
    <row r="138" hidden="1">
      <c r="A138" s="102"/>
      <c r="B138" s="102"/>
      <c r="C138" s="44"/>
      <c r="D138" s="44"/>
      <c r="E138" s="102"/>
      <c r="F138" s="519"/>
      <c r="G138" s="519"/>
      <c r="H138" s="519"/>
      <c r="I138" s="105"/>
    </row>
    <row r="139" hidden="1">
      <c r="A139" s="102"/>
      <c r="B139" s="102"/>
      <c r="C139" s="44"/>
      <c r="D139" s="44"/>
      <c r="E139" s="102"/>
      <c r="F139" s="519"/>
      <c r="G139" s="519"/>
      <c r="H139" s="519"/>
      <c r="I139" s="105"/>
    </row>
    <row r="140" hidden="1">
      <c r="A140" s="102"/>
      <c r="B140" s="102"/>
      <c r="C140" s="44"/>
      <c r="D140" s="44"/>
      <c r="E140" s="102"/>
      <c r="F140" s="519"/>
      <c r="G140" s="519"/>
      <c r="H140" s="519"/>
      <c r="I140" s="105"/>
    </row>
    <row r="141" hidden="1">
      <c r="A141" s="102"/>
      <c r="B141" s="102"/>
      <c r="C141" s="44"/>
      <c r="D141" s="44"/>
      <c r="E141" s="102"/>
      <c r="F141" s="519"/>
      <c r="G141" s="519"/>
      <c r="H141" s="519"/>
      <c r="I141" s="105"/>
    </row>
    <row r="142" hidden="1">
      <c r="A142" s="102"/>
      <c r="B142" s="102"/>
      <c r="C142" s="44"/>
      <c r="D142" s="44"/>
      <c r="E142" s="102"/>
      <c r="F142" s="519"/>
      <c r="G142" s="519"/>
      <c r="H142" s="519"/>
      <c r="I142" s="105"/>
    </row>
    <row r="143" hidden="1">
      <c r="A143" s="102"/>
      <c r="B143" s="102"/>
      <c r="C143" s="44"/>
      <c r="D143" s="44"/>
      <c r="E143" s="102"/>
      <c r="F143" s="519"/>
      <c r="G143" s="519"/>
      <c r="H143" s="519"/>
      <c r="I143" s="105"/>
    </row>
    <row r="144" hidden="1">
      <c r="A144" s="102"/>
      <c r="B144" s="102"/>
      <c r="C144" s="44"/>
      <c r="D144" s="44"/>
      <c r="E144" s="102"/>
      <c r="F144" s="519"/>
      <c r="G144" s="519"/>
      <c r="H144" s="519"/>
      <c r="I144" s="105"/>
    </row>
    <row r="145" hidden="1">
      <c r="A145" s="102"/>
      <c r="B145" s="102"/>
      <c r="C145" s="44"/>
      <c r="D145" s="44"/>
      <c r="E145" s="102"/>
      <c r="F145" s="519"/>
      <c r="G145" s="519"/>
      <c r="H145" s="519"/>
      <c r="I145" s="105"/>
    </row>
    <row r="146" hidden="1">
      <c r="A146" s="102"/>
      <c r="B146" s="102"/>
      <c r="C146" s="44"/>
      <c r="D146" s="44"/>
      <c r="E146" s="102"/>
      <c r="F146" s="519"/>
      <c r="G146" s="519"/>
      <c r="H146" s="519"/>
      <c r="I146" s="105"/>
    </row>
    <row r="147" hidden="1">
      <c r="A147" s="102"/>
      <c r="B147" s="102"/>
      <c r="C147" s="44"/>
      <c r="D147" s="44"/>
      <c r="E147" s="102"/>
      <c r="F147" s="519"/>
      <c r="G147" s="519"/>
      <c r="H147" s="519"/>
      <c r="I147" s="105"/>
    </row>
    <row r="148" hidden="1">
      <c r="A148" s="102"/>
      <c r="B148" s="102"/>
      <c r="C148" s="44"/>
      <c r="D148" s="44"/>
      <c r="E148" s="102"/>
      <c r="F148" s="519"/>
      <c r="G148" s="519"/>
      <c r="H148" s="519"/>
      <c r="I148" s="105"/>
    </row>
    <row r="149" hidden="1">
      <c r="A149" s="102"/>
      <c r="B149" s="102"/>
      <c r="C149" s="44"/>
      <c r="D149" s="44"/>
      <c r="E149" s="102"/>
      <c r="F149" s="519"/>
      <c r="G149" s="519"/>
      <c r="H149" s="519"/>
      <c r="I149" s="105"/>
    </row>
    <row r="150" hidden="1">
      <c r="A150" s="102"/>
      <c r="B150" s="102"/>
      <c r="C150" s="44"/>
      <c r="D150" s="44"/>
      <c r="E150" s="102"/>
      <c r="F150" s="519"/>
      <c r="G150" s="519"/>
      <c r="H150" s="519"/>
      <c r="I150" s="105"/>
    </row>
    <row r="151" hidden="1">
      <c r="A151" s="102"/>
      <c r="B151" s="102"/>
      <c r="C151" s="44"/>
      <c r="D151" s="44"/>
      <c r="E151" s="102"/>
      <c r="F151" s="519"/>
      <c r="G151" s="519"/>
      <c r="H151" s="519"/>
      <c r="I151" s="105"/>
    </row>
    <row r="152">
      <c r="A152" s="102"/>
      <c r="B152" s="102"/>
      <c r="C152" s="44"/>
      <c r="D152" s="44"/>
      <c r="E152" s="102"/>
      <c r="F152" s="519"/>
      <c r="G152" s="519"/>
      <c r="H152" s="519"/>
      <c r="I152" s="105"/>
    </row>
    <row r="153">
      <c r="A153" s="102"/>
      <c r="B153" s="102"/>
      <c r="C153" s="44"/>
      <c r="D153" s="44"/>
      <c r="E153" s="102"/>
      <c r="F153" s="519"/>
      <c r="G153" s="519"/>
      <c r="H153" s="519"/>
      <c r="I153" s="105"/>
    </row>
    <row r="154">
      <c r="A154" s="102"/>
      <c r="B154" s="102"/>
      <c r="C154" s="44"/>
      <c r="D154" s="44"/>
      <c r="E154" s="102"/>
      <c r="F154" s="519"/>
      <c r="G154" s="519"/>
      <c r="H154" s="519"/>
      <c r="I154" s="105"/>
    </row>
    <row r="155">
      <c r="A155" s="102"/>
      <c r="B155" s="102"/>
      <c r="C155" s="44"/>
      <c r="D155" s="44"/>
      <c r="E155" s="102"/>
      <c r="F155" s="519"/>
      <c r="G155" s="519"/>
      <c r="H155" s="519"/>
      <c r="I155" s="105"/>
    </row>
    <row r="156">
      <c r="A156" s="102"/>
      <c r="B156" s="102"/>
      <c r="C156" s="44"/>
      <c r="D156" s="44"/>
      <c r="E156" s="102"/>
      <c r="F156" s="519"/>
      <c r="G156" s="519"/>
      <c r="H156" s="519"/>
      <c r="I156" s="105"/>
    </row>
    <row r="157">
      <c r="A157" s="102"/>
      <c r="B157" s="102"/>
      <c r="C157" s="44"/>
      <c r="D157" s="44"/>
      <c r="E157" s="102"/>
      <c r="F157" s="519"/>
      <c r="G157" s="519"/>
      <c r="H157" s="519"/>
      <c r="I157" s="105"/>
    </row>
    <row r="158">
      <c r="A158" s="102"/>
      <c r="B158" s="102"/>
      <c r="C158" s="44"/>
      <c r="D158" s="44"/>
      <c r="E158" s="102"/>
      <c r="F158" s="519"/>
      <c r="G158" s="519"/>
      <c r="H158" s="519"/>
      <c r="I158" s="105"/>
    </row>
    <row r="159">
      <c r="A159" s="102"/>
      <c r="B159" s="102"/>
      <c r="C159" s="44"/>
      <c r="D159" s="44"/>
      <c r="E159" s="102"/>
      <c r="F159" s="519"/>
      <c r="G159" s="519"/>
      <c r="H159" s="519"/>
      <c r="I159" s="105"/>
    </row>
    <row r="160">
      <c r="A160" s="102"/>
      <c r="B160" s="102"/>
      <c r="C160" s="44"/>
      <c r="D160" s="44"/>
      <c r="E160" s="102"/>
      <c r="F160" s="519"/>
      <c r="G160" s="519"/>
      <c r="H160" s="519"/>
      <c r="I160" s="105"/>
    </row>
    <row r="161">
      <c r="A161" s="102"/>
      <c r="B161" s="102"/>
      <c r="C161" s="44"/>
      <c r="D161" s="44"/>
      <c r="E161" s="102"/>
      <c r="F161" s="519"/>
      <c r="G161" s="519"/>
      <c r="H161" s="519"/>
      <c r="I161" s="105"/>
    </row>
    <row r="162">
      <c r="A162" s="102"/>
      <c r="B162" s="102"/>
      <c r="C162" s="44"/>
      <c r="D162" s="44"/>
      <c r="E162" s="102"/>
      <c r="F162" s="519"/>
      <c r="G162" s="519"/>
      <c r="H162" s="519"/>
      <c r="I162" s="105"/>
    </row>
    <row r="163">
      <c r="A163" s="102"/>
      <c r="B163" s="102"/>
      <c r="C163" s="44"/>
      <c r="D163" s="44"/>
      <c r="E163" s="102"/>
      <c r="F163" s="519"/>
      <c r="G163" s="519"/>
      <c r="H163" s="519"/>
      <c r="I163" s="105"/>
    </row>
    <row r="164">
      <c r="A164" s="102"/>
      <c r="B164" s="102"/>
      <c r="C164" s="44"/>
      <c r="D164" s="44"/>
      <c r="E164" s="102"/>
      <c r="F164" s="519"/>
      <c r="G164" s="519"/>
      <c r="H164" s="519"/>
      <c r="I164" s="105"/>
    </row>
    <row r="165">
      <c r="A165" s="102"/>
      <c r="B165" s="102"/>
      <c r="C165" s="44"/>
      <c r="D165" s="44"/>
      <c r="E165" s="102"/>
      <c r="F165" s="519"/>
      <c r="G165" s="519"/>
      <c r="H165" s="519"/>
      <c r="I165" s="105"/>
    </row>
    <row r="166">
      <c r="A166" s="102"/>
      <c r="B166" s="102"/>
      <c r="C166" s="44"/>
      <c r="D166" s="44"/>
      <c r="E166" s="102"/>
      <c r="F166" s="519"/>
      <c r="G166" s="519"/>
      <c r="H166" s="519"/>
      <c r="I166" s="105"/>
    </row>
    <row r="167">
      <c r="A167" s="102"/>
      <c r="B167" s="102"/>
      <c r="C167" s="44"/>
      <c r="D167" s="44"/>
      <c r="E167" s="102"/>
      <c r="F167" s="519"/>
      <c r="G167" s="519"/>
      <c r="H167" s="519"/>
      <c r="I167" s="105"/>
    </row>
    <row r="168">
      <c r="A168" s="102"/>
      <c r="B168" s="102"/>
      <c r="C168" s="44"/>
      <c r="D168" s="44"/>
      <c r="E168" s="102"/>
      <c r="F168" s="519"/>
      <c r="G168" s="519"/>
      <c r="H168" s="519"/>
      <c r="I168" s="105"/>
    </row>
    <row r="169">
      <c r="A169" s="102"/>
      <c r="B169" s="102"/>
      <c r="C169" s="44"/>
      <c r="D169" s="44"/>
      <c r="E169" s="102"/>
      <c r="F169" s="519"/>
      <c r="G169" s="519"/>
      <c r="H169" s="519"/>
      <c r="I169" s="105"/>
    </row>
    <row r="170">
      <c r="A170" s="102"/>
      <c r="B170" s="102"/>
      <c r="C170" s="44"/>
      <c r="D170" s="44"/>
      <c r="E170" s="102"/>
      <c r="F170" s="519"/>
      <c r="G170" s="519"/>
      <c r="H170" s="519"/>
      <c r="I170" s="105"/>
    </row>
    <row r="171">
      <c r="A171" s="102"/>
      <c r="B171" s="102"/>
      <c r="C171" s="44"/>
      <c r="D171" s="44"/>
      <c r="E171" s="102"/>
      <c r="F171" s="519"/>
      <c r="G171" s="519"/>
      <c r="H171" s="519"/>
      <c r="I171" s="105"/>
    </row>
    <row r="172">
      <c r="A172" s="102"/>
      <c r="B172" s="102"/>
      <c r="C172" s="44"/>
      <c r="D172" s="44"/>
      <c r="E172" s="102"/>
      <c r="F172" s="519"/>
      <c r="G172" s="519"/>
      <c r="H172" s="519"/>
      <c r="I172" s="105"/>
    </row>
    <row r="173">
      <c r="A173" s="102"/>
      <c r="B173" s="102"/>
      <c r="C173" s="44"/>
      <c r="D173" s="44"/>
      <c r="E173" s="102"/>
      <c r="F173" s="519"/>
      <c r="G173" s="519"/>
      <c r="H173" s="519"/>
      <c r="I173" s="105"/>
    </row>
    <row r="174">
      <c r="A174" s="102"/>
      <c r="B174" s="102"/>
      <c r="C174" s="44"/>
      <c r="D174" s="44"/>
      <c r="E174" s="102"/>
      <c r="F174" s="519"/>
      <c r="G174" s="519"/>
      <c r="H174" s="519"/>
      <c r="I174" s="105"/>
    </row>
    <row r="175">
      <c r="A175" s="102"/>
      <c r="B175" s="102"/>
      <c r="C175" s="44"/>
      <c r="D175" s="44"/>
      <c r="E175" s="102"/>
      <c r="F175" s="519"/>
      <c r="G175" s="519"/>
      <c r="H175" s="519"/>
      <c r="I175" s="105"/>
    </row>
    <row r="176">
      <c r="A176" s="102"/>
      <c r="B176" s="102"/>
      <c r="C176" s="44"/>
      <c r="D176" s="44"/>
      <c r="E176" s="102"/>
      <c r="F176" s="519"/>
      <c r="G176" s="519"/>
      <c r="H176" s="519"/>
      <c r="I176" s="105"/>
    </row>
    <row r="177">
      <c r="A177" s="102"/>
      <c r="B177" s="102"/>
      <c r="C177" s="44"/>
      <c r="D177" s="44"/>
      <c r="E177" s="102"/>
      <c r="F177" s="519"/>
      <c r="G177" s="519"/>
      <c r="H177" s="519"/>
      <c r="I177" s="105"/>
    </row>
    <row r="178">
      <c r="A178" s="102"/>
      <c r="B178" s="102"/>
      <c r="C178" s="44"/>
      <c r="D178" s="44"/>
      <c r="E178" s="102"/>
      <c r="F178" s="519"/>
      <c r="G178" s="519"/>
      <c r="H178" s="519"/>
      <c r="I178" s="105"/>
    </row>
    <row r="179">
      <c r="A179" s="102"/>
      <c r="B179" s="102"/>
      <c r="C179" s="44"/>
      <c r="D179" s="44"/>
      <c r="E179" s="102"/>
      <c r="F179" s="519"/>
      <c r="G179" s="519"/>
      <c r="H179" s="519"/>
      <c r="I179" s="105"/>
    </row>
    <row r="180">
      <c r="A180" s="102"/>
      <c r="B180" s="102"/>
      <c r="C180" s="44"/>
      <c r="D180" s="44"/>
      <c r="E180" s="102"/>
      <c r="F180" s="519"/>
      <c r="G180" s="519"/>
      <c r="H180" s="519"/>
      <c r="I180" s="105"/>
    </row>
    <row r="181">
      <c r="A181" s="102"/>
      <c r="B181" s="102"/>
      <c r="C181" s="44"/>
      <c r="D181" s="44"/>
      <c r="E181" s="102"/>
      <c r="F181" s="519"/>
      <c r="G181" s="519"/>
      <c r="H181" s="519"/>
      <c r="I181" s="105"/>
    </row>
    <row r="182">
      <c r="A182" s="102"/>
      <c r="B182" s="102"/>
      <c r="C182" s="44"/>
      <c r="D182" s="44"/>
      <c r="E182" s="102"/>
      <c r="F182" s="519"/>
      <c r="G182" s="519"/>
      <c r="H182" s="519"/>
      <c r="I182" s="105"/>
    </row>
    <row r="183">
      <c r="A183" s="102"/>
      <c r="B183" s="102"/>
      <c r="C183" s="44"/>
      <c r="D183" s="44"/>
      <c r="E183" s="102"/>
      <c r="F183" s="519"/>
      <c r="G183" s="519"/>
      <c r="H183" s="519"/>
      <c r="I183" s="105"/>
    </row>
    <row r="184">
      <c r="A184" s="102"/>
      <c r="B184" s="102"/>
      <c r="C184" s="44"/>
      <c r="D184" s="44"/>
      <c r="E184" s="102"/>
      <c r="F184" s="519"/>
      <c r="G184" s="519"/>
      <c r="H184" s="519"/>
      <c r="I184" s="105"/>
    </row>
    <row r="185">
      <c r="A185" s="102"/>
      <c r="B185" s="102"/>
      <c r="C185" s="44"/>
      <c r="D185" s="44"/>
      <c r="E185" s="102"/>
      <c r="F185" s="519"/>
      <c r="G185" s="519"/>
      <c r="H185" s="519"/>
      <c r="I185" s="105"/>
    </row>
    <row r="186">
      <c r="A186" s="102"/>
      <c r="B186" s="102"/>
      <c r="C186" s="44"/>
      <c r="D186" s="44"/>
      <c r="E186" s="102"/>
      <c r="F186" s="519"/>
      <c r="G186" s="519"/>
      <c r="H186" s="519"/>
      <c r="I186" s="105"/>
    </row>
    <row r="187">
      <c r="A187" s="102"/>
      <c r="B187" s="102"/>
      <c r="C187" s="44"/>
      <c r="D187" s="44"/>
      <c r="E187" s="102"/>
      <c r="F187" s="519"/>
      <c r="G187" s="519"/>
      <c r="H187" s="519"/>
      <c r="I187" s="105"/>
    </row>
    <row r="188">
      <c r="A188" s="102"/>
      <c r="B188" s="102"/>
      <c r="C188" s="44"/>
      <c r="D188" s="44"/>
      <c r="E188" s="102"/>
      <c r="F188" s="519"/>
      <c r="G188" s="519"/>
      <c r="H188" s="519"/>
      <c r="I188" s="105"/>
    </row>
    <row r="189">
      <c r="A189" s="102"/>
      <c r="B189" s="102"/>
      <c r="C189" s="44"/>
      <c r="D189" s="44"/>
      <c r="E189" s="102"/>
      <c r="F189" s="519"/>
      <c r="G189" s="519"/>
      <c r="H189" s="519"/>
      <c r="I189" s="105"/>
    </row>
    <row r="190">
      <c r="A190" s="102"/>
      <c r="B190" s="102"/>
      <c r="C190" s="44"/>
      <c r="D190" s="44"/>
      <c r="E190" s="102"/>
      <c r="F190" s="519"/>
      <c r="G190" s="519"/>
      <c r="H190" s="519"/>
      <c r="I190" s="105"/>
    </row>
    <row r="191">
      <c r="A191" s="102"/>
      <c r="B191" s="102"/>
      <c r="C191" s="44"/>
      <c r="D191" s="44"/>
      <c r="E191" s="102"/>
      <c r="F191" s="519"/>
      <c r="G191" s="519"/>
      <c r="H191" s="519"/>
      <c r="I191" s="105"/>
    </row>
    <row r="192">
      <c r="A192" s="102"/>
      <c r="B192" s="102"/>
      <c r="C192" s="44"/>
      <c r="D192" s="44"/>
      <c r="E192" s="102"/>
      <c r="F192" s="519"/>
      <c r="G192" s="519"/>
      <c r="H192" s="519"/>
      <c r="I192" s="105"/>
    </row>
    <row r="193">
      <c r="A193" s="102"/>
      <c r="B193" s="102"/>
      <c r="C193" s="44"/>
      <c r="D193" s="44"/>
      <c r="E193" s="102"/>
      <c r="F193" s="519"/>
      <c r="G193" s="519"/>
      <c r="H193" s="519"/>
      <c r="I193" s="105"/>
    </row>
    <row r="194">
      <c r="A194" s="102"/>
      <c r="B194" s="102"/>
      <c r="C194" s="44"/>
      <c r="D194" s="44"/>
      <c r="E194" s="102"/>
      <c r="F194" s="519"/>
      <c r="G194" s="519"/>
      <c r="H194" s="519"/>
      <c r="I194" s="105"/>
    </row>
    <row r="195">
      <c r="A195" s="102"/>
      <c r="B195" s="102"/>
      <c r="C195" s="44"/>
      <c r="D195" s="44"/>
      <c r="E195" s="102"/>
      <c r="F195" s="519"/>
      <c r="G195" s="519"/>
      <c r="H195" s="519"/>
      <c r="I195" s="105"/>
    </row>
    <row r="196">
      <c r="A196" s="102"/>
      <c r="B196" s="102"/>
      <c r="C196" s="44"/>
      <c r="D196" s="44"/>
      <c r="E196" s="102"/>
      <c r="F196" s="519"/>
      <c r="G196" s="519"/>
      <c r="H196" s="519"/>
      <c r="I196" s="105"/>
    </row>
    <row r="197">
      <c r="A197" s="102"/>
      <c r="B197" s="102"/>
      <c r="C197" s="44"/>
      <c r="D197" s="44"/>
      <c r="E197" s="102"/>
      <c r="F197" s="519"/>
      <c r="G197" s="519"/>
      <c r="H197" s="519"/>
      <c r="I197" s="105"/>
    </row>
    <row r="198">
      <c r="A198" s="102"/>
      <c r="B198" s="102"/>
      <c r="C198" s="44"/>
      <c r="D198" s="44"/>
      <c r="E198" s="102"/>
      <c r="F198" s="519"/>
      <c r="G198" s="519"/>
      <c r="H198" s="519"/>
      <c r="I198" s="105"/>
    </row>
    <row r="199">
      <c r="A199" s="102"/>
      <c r="B199" s="102"/>
      <c r="C199" s="44"/>
      <c r="D199" s="44"/>
      <c r="E199" s="102"/>
      <c r="F199" s="519"/>
      <c r="G199" s="519"/>
      <c r="H199" s="519"/>
      <c r="I199" s="105"/>
    </row>
    <row r="200">
      <c r="A200" s="102"/>
      <c r="B200" s="102"/>
      <c r="C200" s="44"/>
      <c r="D200" s="44"/>
      <c r="E200" s="102"/>
      <c r="F200" s="519"/>
      <c r="G200" s="519"/>
      <c r="H200" s="519"/>
      <c r="I200" s="105"/>
    </row>
    <row r="201">
      <c r="A201" s="102"/>
      <c r="B201" s="102"/>
      <c r="C201" s="44"/>
      <c r="D201" s="44"/>
      <c r="E201" s="102"/>
      <c r="F201" s="519"/>
      <c r="G201" s="519"/>
      <c r="H201" s="519"/>
      <c r="I201" s="105"/>
    </row>
    <row r="202">
      <c r="A202" s="102"/>
      <c r="B202" s="102"/>
      <c r="C202" s="44"/>
      <c r="D202" s="44"/>
      <c r="E202" s="102"/>
      <c r="F202" s="519"/>
      <c r="G202" s="519"/>
      <c r="H202" s="519"/>
      <c r="I202" s="105"/>
    </row>
    <row r="203">
      <c r="A203" s="102"/>
      <c r="B203" s="102"/>
      <c r="C203" s="44"/>
      <c r="D203" s="44"/>
      <c r="E203" s="102"/>
      <c r="F203" s="519"/>
      <c r="G203" s="519"/>
      <c r="H203" s="519"/>
      <c r="I203" s="105"/>
    </row>
    <row r="204">
      <c r="A204" s="102"/>
      <c r="B204" s="102"/>
      <c r="C204" s="44"/>
      <c r="D204" s="44"/>
      <c r="E204" s="102"/>
      <c r="F204" s="519"/>
      <c r="G204" s="519"/>
      <c r="H204" s="519"/>
      <c r="I204" s="105"/>
    </row>
    <row r="205">
      <c r="A205" s="102"/>
      <c r="B205" s="102"/>
      <c r="C205" s="44"/>
      <c r="D205" s="44"/>
      <c r="E205" s="102"/>
      <c r="F205" s="519"/>
      <c r="G205" s="519"/>
      <c r="H205" s="519"/>
      <c r="I205" s="105"/>
    </row>
    <row r="206">
      <c r="A206" s="102"/>
      <c r="B206" s="102"/>
      <c r="C206" s="44"/>
      <c r="D206" s="44"/>
      <c r="E206" s="102"/>
      <c r="F206" s="519"/>
      <c r="G206" s="519"/>
      <c r="H206" s="519"/>
      <c r="I206" s="105"/>
    </row>
    <row r="207">
      <c r="A207" s="102"/>
      <c r="B207" s="102"/>
      <c r="C207" s="44"/>
      <c r="D207" s="44"/>
      <c r="E207" s="102"/>
      <c r="F207" s="519"/>
      <c r="G207" s="519"/>
      <c r="H207" s="519"/>
      <c r="I207" s="105"/>
    </row>
    <row r="208">
      <c r="A208" s="102"/>
      <c r="B208" s="102"/>
      <c r="C208" s="44"/>
      <c r="D208" s="44"/>
      <c r="E208" s="102"/>
      <c r="F208" s="519"/>
      <c r="G208" s="519"/>
      <c r="H208" s="519"/>
      <c r="I208" s="105"/>
    </row>
    <row r="209">
      <c r="A209" s="102"/>
      <c r="B209" s="102"/>
      <c r="C209" s="44"/>
      <c r="D209" s="44"/>
      <c r="E209" s="102"/>
      <c r="F209" s="519"/>
      <c r="G209" s="519"/>
      <c r="H209" s="519"/>
      <c r="I209" s="105"/>
    </row>
    <row r="210">
      <c r="A210" s="102"/>
      <c r="B210" s="102"/>
      <c r="C210" s="44"/>
      <c r="D210" s="44"/>
      <c r="E210" s="102"/>
      <c r="F210" s="519"/>
      <c r="G210" s="519"/>
      <c r="H210" s="519"/>
      <c r="I210" s="105"/>
    </row>
    <row r="211">
      <c r="A211" s="102"/>
      <c r="B211" s="102"/>
      <c r="C211" s="44"/>
      <c r="D211" s="44"/>
      <c r="E211" s="102"/>
      <c r="F211" s="519"/>
      <c r="G211" s="519"/>
      <c r="H211" s="519"/>
      <c r="I211" s="105"/>
    </row>
    <row r="212">
      <c r="A212" s="102"/>
      <c r="B212" s="102"/>
      <c r="C212" s="44"/>
      <c r="D212" s="44"/>
      <c r="E212" s="102"/>
      <c r="F212" s="519"/>
      <c r="G212" s="519"/>
      <c r="H212" s="519"/>
      <c r="I212" s="105"/>
    </row>
    <row r="213">
      <c r="A213" s="102"/>
      <c r="B213" s="102"/>
      <c r="C213" s="44"/>
      <c r="D213" s="44"/>
      <c r="E213" s="102"/>
      <c r="F213" s="519"/>
      <c r="G213" s="519"/>
      <c r="H213" s="519"/>
      <c r="I213" s="105"/>
    </row>
    <row r="214">
      <c r="A214" s="102"/>
      <c r="B214" s="102"/>
      <c r="C214" s="44"/>
      <c r="D214" s="44"/>
      <c r="E214" s="102"/>
      <c r="F214" s="519"/>
      <c r="G214" s="519"/>
      <c r="H214" s="519"/>
      <c r="I214" s="105"/>
    </row>
    <row r="215">
      <c r="A215" s="102"/>
      <c r="B215" s="102"/>
      <c r="C215" s="44"/>
      <c r="D215" s="44"/>
      <c r="E215" s="102"/>
      <c r="F215" s="519"/>
      <c r="G215" s="519"/>
      <c r="H215" s="519"/>
      <c r="I215" s="105"/>
    </row>
    <row r="216">
      <c r="A216" s="102"/>
      <c r="B216" s="102"/>
      <c r="C216" s="44"/>
      <c r="D216" s="44"/>
      <c r="E216" s="102"/>
      <c r="F216" s="519"/>
      <c r="G216" s="519"/>
      <c r="H216" s="519"/>
      <c r="I216" s="105"/>
    </row>
    <row r="217">
      <c r="A217" s="102"/>
      <c r="B217" s="102"/>
      <c r="C217" s="44"/>
      <c r="D217" s="44"/>
      <c r="E217" s="102"/>
      <c r="F217" s="519"/>
      <c r="G217" s="519"/>
      <c r="H217" s="519"/>
      <c r="I217" s="105"/>
    </row>
    <row r="218">
      <c r="A218" s="102"/>
      <c r="B218" s="102"/>
      <c r="C218" s="44"/>
      <c r="D218" s="44"/>
      <c r="E218" s="102"/>
      <c r="F218" s="519"/>
      <c r="G218" s="519"/>
      <c r="H218" s="519"/>
      <c r="I218" s="105"/>
    </row>
    <row r="219">
      <c r="A219" s="102"/>
      <c r="B219" s="102"/>
      <c r="C219" s="44"/>
      <c r="D219" s="44"/>
      <c r="E219" s="102"/>
      <c r="F219" s="519"/>
      <c r="G219" s="519"/>
      <c r="H219" s="519"/>
      <c r="I219" s="105"/>
    </row>
    <row r="220">
      <c r="A220" s="102"/>
      <c r="B220" s="102"/>
      <c r="C220" s="44"/>
      <c r="D220" s="44"/>
      <c r="E220" s="102"/>
      <c r="F220" s="519"/>
      <c r="G220" s="519"/>
      <c r="H220" s="519"/>
      <c r="I220" s="105"/>
    </row>
    <row r="221">
      <c r="A221" s="102"/>
      <c r="B221" s="102"/>
      <c r="C221" s="44"/>
      <c r="D221" s="44"/>
      <c r="E221" s="102"/>
      <c r="F221" s="519"/>
      <c r="G221" s="519"/>
      <c r="H221" s="519"/>
      <c r="I221" s="105"/>
    </row>
    <row r="222">
      <c r="A222" s="102"/>
      <c r="B222" s="102"/>
      <c r="C222" s="44"/>
      <c r="D222" s="44"/>
      <c r="E222" s="102"/>
      <c r="F222" s="519"/>
      <c r="G222" s="519"/>
      <c r="H222" s="519"/>
      <c r="I222" s="105"/>
    </row>
    <row r="223">
      <c r="A223" s="102"/>
      <c r="B223" s="102"/>
      <c r="C223" s="44"/>
      <c r="D223" s="44"/>
      <c r="E223" s="102"/>
      <c r="F223" s="519"/>
      <c r="G223" s="519"/>
      <c r="H223" s="519"/>
      <c r="I223" s="105"/>
    </row>
    <row r="224">
      <c r="A224" s="102"/>
      <c r="B224" s="102"/>
      <c r="C224" s="44"/>
      <c r="D224" s="44"/>
      <c r="E224" s="102"/>
      <c r="F224" s="519"/>
      <c r="G224" s="519"/>
      <c r="H224" s="519"/>
      <c r="I224" s="105"/>
    </row>
    <row r="225">
      <c r="A225" s="102"/>
      <c r="B225" s="102"/>
      <c r="C225" s="44"/>
      <c r="D225" s="44"/>
      <c r="E225" s="102"/>
      <c r="F225" s="519"/>
      <c r="G225" s="519"/>
      <c r="H225" s="519"/>
      <c r="I225" s="105"/>
    </row>
    <row r="226">
      <c r="A226" s="102"/>
      <c r="B226" s="102"/>
      <c r="C226" s="44"/>
      <c r="D226" s="44"/>
      <c r="E226" s="102"/>
      <c r="F226" s="519"/>
      <c r="G226" s="519"/>
      <c r="H226" s="519"/>
      <c r="I226" s="105"/>
    </row>
    <row r="227">
      <c r="A227" s="102"/>
      <c r="B227" s="102"/>
      <c r="C227" s="44"/>
      <c r="D227" s="44"/>
      <c r="E227" s="102"/>
      <c r="F227" s="519"/>
      <c r="G227" s="519"/>
      <c r="H227" s="519"/>
      <c r="I227" s="105"/>
    </row>
    <row r="228">
      <c r="A228" s="102"/>
      <c r="B228" s="102"/>
      <c r="C228" s="44"/>
      <c r="D228" s="44"/>
      <c r="E228" s="102"/>
      <c r="F228" s="519"/>
      <c r="G228" s="519"/>
      <c r="H228" s="519"/>
      <c r="I228" s="105"/>
    </row>
    <row r="229">
      <c r="A229" s="102"/>
      <c r="B229" s="102"/>
      <c r="C229" s="44"/>
      <c r="D229" s="44"/>
      <c r="E229" s="102"/>
      <c r="F229" s="519"/>
      <c r="G229" s="519"/>
      <c r="H229" s="519"/>
      <c r="I229" s="105"/>
    </row>
    <row r="230">
      <c r="A230" s="102"/>
      <c r="B230" s="102"/>
      <c r="C230" s="44"/>
      <c r="D230" s="44"/>
      <c r="E230" s="102"/>
      <c r="F230" s="519"/>
      <c r="G230" s="519"/>
      <c r="H230" s="519"/>
      <c r="I230" s="105"/>
    </row>
    <row r="231">
      <c r="A231" s="102"/>
      <c r="B231" s="102"/>
      <c r="C231" s="44"/>
      <c r="D231" s="44"/>
      <c r="E231" s="102"/>
      <c r="F231" s="519"/>
      <c r="G231" s="519"/>
      <c r="H231" s="519"/>
      <c r="I231" s="105"/>
    </row>
    <row r="232">
      <c r="A232" s="102"/>
      <c r="B232" s="102"/>
      <c r="C232" s="44"/>
      <c r="D232" s="44"/>
      <c r="E232" s="102"/>
      <c r="F232" s="519"/>
      <c r="G232" s="519"/>
      <c r="H232" s="519"/>
      <c r="I232" s="105"/>
    </row>
    <row r="233">
      <c r="A233" s="102"/>
      <c r="B233" s="102"/>
      <c r="C233" s="44"/>
      <c r="D233" s="44"/>
      <c r="E233" s="102"/>
      <c r="F233" s="519"/>
      <c r="G233" s="519"/>
      <c r="H233" s="519"/>
      <c r="I233" s="105"/>
    </row>
    <row r="234">
      <c r="A234" s="102"/>
      <c r="B234" s="102"/>
      <c r="C234" s="44"/>
      <c r="D234" s="44"/>
      <c r="E234" s="102"/>
      <c r="F234" s="519"/>
      <c r="G234" s="519"/>
      <c r="H234" s="519"/>
      <c r="I234" s="105"/>
    </row>
    <row r="235">
      <c r="A235" s="102"/>
      <c r="B235" s="102"/>
      <c r="C235" s="44"/>
      <c r="D235" s="44"/>
      <c r="E235" s="102"/>
      <c r="F235" s="519"/>
      <c r="G235" s="519"/>
      <c r="H235" s="519"/>
      <c r="I235" s="105"/>
    </row>
    <row r="236">
      <c r="A236" s="102"/>
      <c r="B236" s="102"/>
      <c r="C236" s="44"/>
      <c r="D236" s="44"/>
      <c r="E236" s="102"/>
      <c r="F236" s="519"/>
      <c r="G236" s="519"/>
      <c r="H236" s="519"/>
      <c r="I236" s="105"/>
    </row>
    <row r="237">
      <c r="A237" s="102"/>
      <c r="B237" s="102"/>
      <c r="C237" s="44"/>
      <c r="D237" s="44"/>
      <c r="E237" s="102"/>
      <c r="F237" s="519"/>
      <c r="G237" s="519"/>
      <c r="H237" s="519"/>
      <c r="I237" s="105"/>
    </row>
    <row r="238">
      <c r="A238" s="102"/>
      <c r="B238" s="102"/>
      <c r="C238" s="44"/>
      <c r="D238" s="44"/>
      <c r="E238" s="102"/>
      <c r="F238" s="519"/>
      <c r="G238" s="519"/>
      <c r="H238" s="519"/>
      <c r="I238" s="105"/>
    </row>
    <row r="239">
      <c r="A239" s="102"/>
      <c r="B239" s="102"/>
      <c r="C239" s="44"/>
      <c r="D239" s="44"/>
      <c r="E239" s="102"/>
      <c r="F239" s="519"/>
      <c r="G239" s="519"/>
      <c r="H239" s="519"/>
      <c r="I239" s="105"/>
    </row>
    <row r="240">
      <c r="A240" s="102"/>
      <c r="B240" s="102"/>
      <c r="C240" s="44"/>
      <c r="D240" s="44"/>
      <c r="E240" s="102"/>
      <c r="F240" s="519"/>
      <c r="G240" s="519"/>
      <c r="H240" s="519"/>
      <c r="I240" s="105"/>
    </row>
    <row r="241">
      <c r="A241" s="102"/>
      <c r="B241" s="102"/>
      <c r="C241" s="44"/>
      <c r="D241" s="44"/>
      <c r="E241" s="102"/>
      <c r="F241" s="519"/>
      <c r="G241" s="519"/>
      <c r="H241" s="519"/>
      <c r="I241" s="105"/>
    </row>
    <row r="242">
      <c r="A242" s="102"/>
      <c r="B242" s="102"/>
      <c r="C242" s="44"/>
      <c r="D242" s="44"/>
      <c r="E242" s="102"/>
      <c r="F242" s="519"/>
      <c r="G242" s="519"/>
      <c r="H242" s="519"/>
      <c r="I242" s="105"/>
    </row>
    <row r="243">
      <c r="A243" s="102"/>
      <c r="B243" s="102"/>
      <c r="C243" s="44"/>
      <c r="D243" s="44"/>
      <c r="E243" s="102"/>
      <c r="F243" s="519"/>
      <c r="G243" s="519"/>
      <c r="H243" s="519"/>
      <c r="I243" s="105"/>
    </row>
    <row r="244">
      <c r="A244" s="102"/>
      <c r="B244" s="102"/>
      <c r="C244" s="44"/>
      <c r="D244" s="44"/>
      <c r="E244" s="102"/>
      <c r="F244" s="519"/>
      <c r="G244" s="519"/>
      <c r="H244" s="519"/>
      <c r="I244" s="105"/>
    </row>
    <row r="245">
      <c r="A245" s="102"/>
      <c r="B245" s="102"/>
      <c r="C245" s="44"/>
      <c r="D245" s="44"/>
      <c r="E245" s="102"/>
      <c r="F245" s="519"/>
      <c r="G245" s="519"/>
      <c r="H245" s="519"/>
      <c r="I245" s="105"/>
    </row>
    <row r="246">
      <c r="A246" s="102"/>
      <c r="B246" s="102"/>
      <c r="C246" s="44"/>
      <c r="D246" s="44"/>
      <c r="E246" s="102"/>
      <c r="F246" s="519"/>
      <c r="G246" s="519"/>
      <c r="H246" s="519"/>
      <c r="I246" s="105"/>
    </row>
    <row r="247">
      <c r="A247" s="102"/>
      <c r="B247" s="102"/>
      <c r="C247" s="44"/>
      <c r="D247" s="44"/>
      <c r="E247" s="102"/>
      <c r="F247" s="519"/>
      <c r="G247" s="519"/>
      <c r="H247" s="519"/>
      <c r="I247" s="105"/>
    </row>
    <row r="248">
      <c r="A248" s="102"/>
      <c r="B248" s="102"/>
      <c r="C248" s="44"/>
      <c r="D248" s="44"/>
      <c r="E248" s="102"/>
      <c r="F248" s="519"/>
      <c r="G248" s="519"/>
      <c r="H248" s="519"/>
      <c r="I248" s="105"/>
    </row>
    <row r="249">
      <c r="A249" s="102"/>
      <c r="B249" s="102"/>
      <c r="C249" s="44"/>
      <c r="D249" s="44"/>
      <c r="E249" s="102"/>
      <c r="F249" s="519"/>
      <c r="G249" s="519"/>
      <c r="H249" s="519"/>
      <c r="I249" s="105"/>
    </row>
    <row r="250">
      <c r="A250" s="102"/>
      <c r="B250" s="102"/>
      <c r="C250" s="44"/>
      <c r="D250" s="44"/>
      <c r="E250" s="102"/>
      <c r="F250" s="519"/>
      <c r="G250" s="519"/>
      <c r="H250" s="519"/>
      <c r="I250" s="105"/>
    </row>
    <row r="251">
      <c r="A251" s="102"/>
      <c r="B251" s="102"/>
      <c r="C251" s="44"/>
      <c r="D251" s="44"/>
      <c r="E251" s="102"/>
      <c r="F251" s="519"/>
      <c r="G251" s="519"/>
      <c r="H251" s="519"/>
      <c r="I251" s="105"/>
    </row>
    <row r="252">
      <c r="A252" s="102"/>
      <c r="B252" s="102"/>
      <c r="C252" s="44"/>
      <c r="D252" s="44"/>
      <c r="E252" s="102"/>
      <c r="F252" s="519"/>
      <c r="G252" s="519"/>
      <c r="H252" s="519"/>
      <c r="I252" s="105"/>
    </row>
    <row r="253">
      <c r="A253" s="102"/>
      <c r="B253" s="102"/>
      <c r="C253" s="44"/>
      <c r="D253" s="44"/>
      <c r="E253" s="102"/>
      <c r="F253" s="519"/>
      <c r="G253" s="519"/>
      <c r="H253" s="519"/>
      <c r="I253" s="105"/>
    </row>
    <row r="254">
      <c r="A254" s="102"/>
      <c r="B254" s="102"/>
      <c r="C254" s="44"/>
      <c r="D254" s="44"/>
      <c r="E254" s="102"/>
      <c r="F254" s="519"/>
      <c r="G254" s="519"/>
      <c r="H254" s="519"/>
      <c r="I254" s="105"/>
    </row>
    <row r="255">
      <c r="A255" s="102"/>
      <c r="B255" s="102"/>
      <c r="C255" s="44"/>
      <c r="D255" s="44"/>
      <c r="E255" s="102"/>
      <c r="F255" s="519"/>
      <c r="G255" s="519"/>
      <c r="H255" s="519"/>
      <c r="I255" s="105"/>
    </row>
    <row r="256">
      <c r="A256" s="102"/>
      <c r="B256" s="102"/>
      <c r="C256" s="44"/>
      <c r="D256" s="44"/>
      <c r="E256" s="102"/>
      <c r="F256" s="519"/>
      <c r="G256" s="519"/>
      <c r="H256" s="519"/>
      <c r="I256" s="105"/>
    </row>
    <row r="257">
      <c r="A257" s="102"/>
      <c r="B257" s="102"/>
      <c r="C257" s="44"/>
      <c r="D257" s="44"/>
      <c r="E257" s="102"/>
      <c r="F257" s="519"/>
      <c r="G257" s="519"/>
      <c r="H257" s="519"/>
      <c r="I257" s="105"/>
    </row>
    <row r="258">
      <c r="A258" s="102"/>
      <c r="B258" s="102"/>
      <c r="C258" s="44"/>
      <c r="D258" s="44"/>
      <c r="E258" s="102"/>
      <c r="F258" s="519"/>
      <c r="G258" s="519"/>
      <c r="H258" s="519"/>
      <c r="I258" s="105"/>
    </row>
    <row r="259">
      <c r="A259" s="102"/>
      <c r="B259" s="102"/>
      <c r="C259" s="44"/>
      <c r="D259" s="44"/>
      <c r="E259" s="102"/>
      <c r="F259" s="519"/>
      <c r="G259" s="519"/>
      <c r="H259" s="519"/>
      <c r="I259" s="105"/>
    </row>
    <row r="260">
      <c r="A260" s="102"/>
      <c r="B260" s="102"/>
      <c r="C260" s="44"/>
      <c r="D260" s="44"/>
      <c r="E260" s="102"/>
      <c r="F260" s="519"/>
      <c r="G260" s="519"/>
      <c r="H260" s="519"/>
      <c r="I260" s="105"/>
    </row>
    <row r="261">
      <c r="A261" s="102"/>
      <c r="B261" s="102"/>
      <c r="C261" s="44"/>
      <c r="D261" s="44"/>
      <c r="E261" s="102"/>
      <c r="F261" s="519"/>
      <c r="G261" s="519"/>
      <c r="H261" s="519"/>
      <c r="I261" s="105"/>
    </row>
    <row r="262">
      <c r="A262" s="102"/>
      <c r="B262" s="102"/>
      <c r="C262" s="44"/>
      <c r="D262" s="44"/>
      <c r="E262" s="102"/>
      <c r="F262" s="519"/>
      <c r="G262" s="519"/>
      <c r="H262" s="519"/>
      <c r="I262" s="105"/>
    </row>
    <row r="263">
      <c r="A263" s="102"/>
      <c r="B263" s="102"/>
      <c r="C263" s="44"/>
      <c r="D263" s="44"/>
      <c r="E263" s="102"/>
      <c r="F263" s="519"/>
      <c r="G263" s="519"/>
      <c r="H263" s="519"/>
      <c r="I263" s="105"/>
    </row>
    <row r="264">
      <c r="A264" s="102"/>
      <c r="B264" s="102"/>
      <c r="C264" s="44"/>
      <c r="D264" s="44"/>
      <c r="E264" s="102"/>
      <c r="F264" s="519"/>
      <c r="G264" s="519"/>
      <c r="H264" s="519"/>
      <c r="I264" s="105"/>
    </row>
    <row r="265">
      <c r="A265" s="102"/>
      <c r="B265" s="102"/>
      <c r="C265" s="44"/>
      <c r="D265" s="44"/>
      <c r="E265" s="102"/>
      <c r="F265" s="519"/>
      <c r="G265" s="519"/>
      <c r="H265" s="519"/>
      <c r="I265" s="105"/>
    </row>
    <row r="266">
      <c r="A266" s="102"/>
      <c r="B266" s="102"/>
      <c r="C266" s="44"/>
      <c r="D266" s="44"/>
      <c r="E266" s="102"/>
      <c r="F266" s="519"/>
      <c r="G266" s="519"/>
      <c r="H266" s="519"/>
      <c r="I266" s="105"/>
    </row>
    <row r="267">
      <c r="A267" s="102"/>
      <c r="B267" s="102"/>
      <c r="C267" s="44"/>
      <c r="D267" s="44"/>
      <c r="E267" s="102"/>
      <c r="F267" s="519"/>
      <c r="G267" s="519"/>
      <c r="H267" s="519"/>
      <c r="I267" s="105"/>
    </row>
    <row r="268">
      <c r="A268" s="102"/>
      <c r="B268" s="102"/>
      <c r="C268" s="44"/>
      <c r="D268" s="44"/>
      <c r="E268" s="102"/>
      <c r="F268" s="519"/>
      <c r="G268" s="519"/>
      <c r="H268" s="519"/>
      <c r="I268" s="105"/>
    </row>
    <row r="269">
      <c r="A269" s="102"/>
      <c r="B269" s="102"/>
      <c r="C269" s="44"/>
      <c r="D269" s="44"/>
      <c r="E269" s="102"/>
      <c r="F269" s="519"/>
      <c r="G269" s="519"/>
      <c r="H269" s="519"/>
      <c r="I269" s="105"/>
    </row>
    <row r="270">
      <c r="A270" s="102"/>
      <c r="B270" s="102"/>
      <c r="C270" s="44"/>
      <c r="D270" s="44"/>
      <c r="E270" s="102"/>
      <c r="F270" s="519"/>
      <c r="G270" s="519"/>
      <c r="H270" s="519"/>
      <c r="I270" s="105"/>
    </row>
    <row r="271">
      <c r="A271" s="102"/>
      <c r="B271" s="102"/>
      <c r="C271" s="44"/>
      <c r="D271" s="44"/>
      <c r="E271" s="102"/>
      <c r="F271" s="519"/>
      <c r="G271" s="519"/>
      <c r="H271" s="519"/>
      <c r="I271" s="105"/>
    </row>
    <row r="272">
      <c r="A272" s="102"/>
      <c r="B272" s="102"/>
      <c r="C272" s="44"/>
      <c r="D272" s="44"/>
      <c r="E272" s="102"/>
      <c r="F272" s="519"/>
      <c r="G272" s="519"/>
      <c r="H272" s="519"/>
      <c r="I272" s="105"/>
    </row>
    <row r="273">
      <c r="A273" s="102"/>
      <c r="B273" s="102"/>
      <c r="C273" s="44"/>
      <c r="D273" s="44"/>
      <c r="E273" s="102"/>
      <c r="F273" s="519"/>
      <c r="G273" s="519"/>
      <c r="H273" s="519"/>
      <c r="I273" s="105"/>
    </row>
    <row r="274">
      <c r="A274" s="102"/>
      <c r="B274" s="102"/>
      <c r="C274" s="44"/>
      <c r="D274" s="44"/>
      <c r="E274" s="102"/>
      <c r="F274" s="519"/>
      <c r="G274" s="519"/>
      <c r="H274" s="519"/>
      <c r="I274" s="105"/>
    </row>
    <row r="275">
      <c r="A275" s="102"/>
      <c r="B275" s="102"/>
      <c r="C275" s="44"/>
      <c r="D275" s="44"/>
      <c r="E275" s="102"/>
      <c r="F275" s="519"/>
      <c r="G275" s="519"/>
      <c r="H275" s="519"/>
      <c r="I275" s="105"/>
    </row>
    <row r="276">
      <c r="A276" s="102"/>
      <c r="B276" s="102"/>
      <c r="C276" s="44"/>
      <c r="D276" s="44"/>
      <c r="E276" s="102"/>
      <c r="F276" s="519"/>
      <c r="G276" s="519"/>
      <c r="H276" s="519"/>
      <c r="I276" s="105"/>
    </row>
    <row r="277">
      <c r="A277" s="102"/>
      <c r="B277" s="102"/>
      <c r="C277" s="44"/>
      <c r="D277" s="44"/>
      <c r="E277" s="102"/>
      <c r="F277" s="519"/>
      <c r="G277" s="519"/>
      <c r="H277" s="519"/>
      <c r="I277" s="105"/>
    </row>
    <row r="278">
      <c r="A278" s="102"/>
      <c r="B278" s="102"/>
      <c r="C278" s="44"/>
      <c r="D278" s="44"/>
      <c r="E278" s="102"/>
      <c r="F278" s="519"/>
      <c r="G278" s="519"/>
      <c r="H278" s="519"/>
      <c r="I278" s="105"/>
    </row>
    <row r="279">
      <c r="A279" s="102"/>
      <c r="B279" s="102"/>
      <c r="C279" s="44"/>
      <c r="D279" s="44"/>
      <c r="E279" s="102"/>
      <c r="F279" s="519"/>
      <c r="G279" s="519"/>
      <c r="H279" s="519"/>
      <c r="I279" s="105"/>
    </row>
    <row r="280">
      <c r="A280" s="102"/>
      <c r="B280" s="102"/>
      <c r="C280" s="44"/>
      <c r="D280" s="44"/>
      <c r="E280" s="102"/>
      <c r="F280" s="519"/>
      <c r="G280" s="519"/>
      <c r="H280" s="519"/>
      <c r="I280" s="105"/>
    </row>
    <row r="281">
      <c r="A281" s="102"/>
      <c r="B281" s="102"/>
      <c r="C281" s="44"/>
      <c r="D281" s="44"/>
      <c r="E281" s="102"/>
      <c r="F281" s="519"/>
      <c r="G281" s="519"/>
      <c r="H281" s="519"/>
      <c r="I281" s="105"/>
    </row>
    <row r="282">
      <c r="A282" s="102"/>
      <c r="B282" s="102"/>
      <c r="C282" s="44"/>
      <c r="D282" s="44"/>
      <c r="E282" s="102"/>
      <c r="F282" s="519"/>
      <c r="G282" s="519"/>
      <c r="H282" s="519"/>
      <c r="I282" s="105"/>
    </row>
    <row r="283">
      <c r="A283" s="102"/>
      <c r="B283" s="102"/>
      <c r="C283" s="44"/>
      <c r="D283" s="44"/>
      <c r="E283" s="102"/>
      <c r="F283" s="519"/>
      <c r="G283" s="519"/>
      <c r="H283" s="519"/>
      <c r="I283" s="105"/>
    </row>
    <row r="284">
      <c r="A284" s="102"/>
      <c r="B284" s="102"/>
      <c r="C284" s="44"/>
      <c r="D284" s="44"/>
      <c r="E284" s="102"/>
      <c r="F284" s="519"/>
      <c r="G284" s="519"/>
      <c r="H284" s="519"/>
      <c r="I284" s="105"/>
    </row>
    <row r="285">
      <c r="A285" s="102"/>
      <c r="B285" s="102"/>
      <c r="C285" s="44"/>
      <c r="D285" s="44"/>
      <c r="E285" s="102"/>
      <c r="F285" s="519"/>
      <c r="G285" s="519"/>
      <c r="H285" s="519"/>
      <c r="I285" s="105"/>
    </row>
    <row r="286">
      <c r="A286" s="102"/>
      <c r="B286" s="102"/>
      <c r="C286" s="44"/>
      <c r="D286" s="44"/>
      <c r="E286" s="102"/>
      <c r="F286" s="519"/>
      <c r="G286" s="519"/>
      <c r="H286" s="519"/>
      <c r="I286" s="105"/>
    </row>
    <row r="287">
      <c r="A287" s="102"/>
      <c r="B287" s="102"/>
      <c r="C287" s="44"/>
      <c r="D287" s="44"/>
      <c r="E287" s="102"/>
      <c r="F287" s="519"/>
      <c r="G287" s="519"/>
      <c r="H287" s="519"/>
      <c r="I287" s="105"/>
    </row>
    <row r="288">
      <c r="A288" s="102"/>
      <c r="B288" s="102"/>
      <c r="C288" s="44"/>
      <c r="D288" s="44"/>
      <c r="E288" s="102"/>
      <c r="F288" s="519"/>
      <c r="G288" s="519"/>
      <c r="H288" s="519"/>
      <c r="I288" s="105"/>
    </row>
    <row r="289">
      <c r="A289" s="102"/>
      <c r="B289" s="102"/>
      <c r="C289" s="44"/>
      <c r="D289" s="44"/>
      <c r="E289" s="102"/>
      <c r="F289" s="519"/>
      <c r="G289" s="519"/>
      <c r="H289" s="519"/>
      <c r="I289" s="105"/>
    </row>
    <row r="290">
      <c r="A290" s="102"/>
      <c r="B290" s="102"/>
      <c r="C290" s="44"/>
      <c r="D290" s="44"/>
      <c r="E290" s="102"/>
      <c r="F290" s="519"/>
      <c r="G290" s="519"/>
      <c r="H290" s="519"/>
      <c r="I290" s="105"/>
    </row>
    <row r="291">
      <c r="A291" s="102"/>
      <c r="B291" s="102"/>
      <c r="C291" s="44"/>
      <c r="D291" s="44"/>
      <c r="E291" s="102"/>
      <c r="F291" s="519"/>
      <c r="G291" s="519"/>
      <c r="H291" s="519"/>
      <c r="I291" s="105"/>
    </row>
    <row r="292">
      <c r="A292" s="102"/>
      <c r="B292" s="102"/>
      <c r="C292" s="44"/>
      <c r="D292" s="44"/>
      <c r="E292" s="102"/>
      <c r="F292" s="519"/>
      <c r="G292" s="519"/>
      <c r="H292" s="519"/>
      <c r="I292" s="105"/>
    </row>
    <row r="293">
      <c r="A293" s="102"/>
      <c r="B293" s="102"/>
      <c r="C293" s="44"/>
      <c r="D293" s="44"/>
      <c r="E293" s="102"/>
      <c r="F293" s="519"/>
      <c r="G293" s="519"/>
      <c r="H293" s="519"/>
      <c r="I293" s="105"/>
    </row>
    <row r="294">
      <c r="A294" s="102"/>
      <c r="B294" s="102"/>
      <c r="C294" s="44"/>
      <c r="D294" s="44"/>
      <c r="E294" s="102"/>
      <c r="F294" s="519"/>
      <c r="G294" s="519"/>
      <c r="H294" s="519"/>
      <c r="I294" s="105"/>
    </row>
    <row r="295">
      <c r="A295" s="102"/>
      <c r="B295" s="102"/>
      <c r="C295" s="44"/>
      <c r="D295" s="44"/>
      <c r="E295" s="102"/>
      <c r="F295" s="519"/>
      <c r="G295" s="519"/>
      <c r="H295" s="519"/>
      <c r="I295" s="105"/>
    </row>
    <row r="296">
      <c r="A296" s="102"/>
      <c r="B296" s="102"/>
      <c r="C296" s="44"/>
      <c r="D296" s="44"/>
      <c r="E296" s="102"/>
      <c r="F296" s="519"/>
      <c r="G296" s="519"/>
      <c r="H296" s="519"/>
      <c r="I296" s="105"/>
    </row>
    <row r="297">
      <c r="A297" s="102"/>
      <c r="B297" s="102"/>
      <c r="C297" s="44"/>
      <c r="D297" s="44"/>
      <c r="E297" s="102"/>
      <c r="F297" s="519"/>
      <c r="G297" s="519"/>
      <c r="H297" s="519"/>
      <c r="I297" s="105"/>
    </row>
    <row r="298">
      <c r="A298" s="102"/>
      <c r="B298" s="102"/>
      <c r="C298" s="44"/>
      <c r="D298" s="44"/>
      <c r="E298" s="102"/>
      <c r="F298" s="519"/>
      <c r="G298" s="519"/>
      <c r="H298" s="519"/>
      <c r="I298" s="105"/>
    </row>
    <row r="299">
      <c r="A299" s="102"/>
      <c r="B299" s="102"/>
      <c r="C299" s="44"/>
      <c r="D299" s="44"/>
      <c r="E299" s="102"/>
      <c r="F299" s="519"/>
      <c r="G299" s="519"/>
      <c r="H299" s="519"/>
      <c r="I299" s="105"/>
    </row>
    <row r="300">
      <c r="A300" s="102"/>
      <c r="B300" s="102"/>
      <c r="C300" s="44"/>
      <c r="D300" s="44"/>
      <c r="E300" s="102"/>
      <c r="F300" s="519"/>
      <c r="G300" s="519"/>
      <c r="H300" s="519"/>
      <c r="I300" s="105"/>
    </row>
    <row r="301">
      <c r="A301" s="102"/>
      <c r="B301" s="102"/>
      <c r="C301" s="44"/>
      <c r="D301" s="44"/>
      <c r="E301" s="102"/>
      <c r="F301" s="519"/>
      <c r="G301" s="519"/>
      <c r="H301" s="519"/>
      <c r="I301" s="105"/>
    </row>
    <row r="302">
      <c r="A302" s="102"/>
      <c r="B302" s="102"/>
      <c r="C302" s="44"/>
      <c r="D302" s="44"/>
      <c r="E302" s="102"/>
      <c r="F302" s="519"/>
      <c r="G302" s="519"/>
      <c r="H302" s="519"/>
      <c r="I302" s="105"/>
    </row>
    <row r="303">
      <c r="A303" s="102"/>
      <c r="B303" s="102"/>
      <c r="C303" s="44"/>
      <c r="D303" s="44"/>
      <c r="E303" s="102"/>
      <c r="F303" s="519"/>
      <c r="G303" s="519"/>
      <c r="H303" s="519"/>
      <c r="I303" s="105"/>
    </row>
    <row r="304">
      <c r="A304" s="102"/>
      <c r="B304" s="102"/>
      <c r="C304" s="44"/>
      <c r="D304" s="44"/>
      <c r="E304" s="102"/>
      <c r="F304" s="519"/>
      <c r="G304" s="519"/>
      <c r="H304" s="519"/>
      <c r="I304" s="105"/>
    </row>
    <row r="305">
      <c r="A305" s="102"/>
      <c r="B305" s="102"/>
      <c r="C305" s="44"/>
      <c r="D305" s="44"/>
      <c r="E305" s="102"/>
      <c r="F305" s="519"/>
      <c r="G305" s="519"/>
      <c r="H305" s="519"/>
      <c r="I305" s="105"/>
    </row>
    <row r="306">
      <c r="A306" s="102"/>
      <c r="B306" s="102"/>
      <c r="C306" s="44"/>
      <c r="D306" s="44"/>
      <c r="E306" s="102"/>
      <c r="F306" s="519"/>
      <c r="G306" s="519"/>
      <c r="H306" s="519"/>
      <c r="I306" s="105"/>
    </row>
    <row r="307">
      <c r="A307" s="102"/>
      <c r="B307" s="102"/>
      <c r="C307" s="44"/>
      <c r="D307" s="44"/>
      <c r="E307" s="102"/>
      <c r="F307" s="519"/>
      <c r="G307" s="519"/>
      <c r="H307" s="519"/>
      <c r="I307" s="105"/>
    </row>
    <row r="308">
      <c r="A308" s="102"/>
      <c r="B308" s="102"/>
      <c r="C308" s="44"/>
      <c r="D308" s="44"/>
      <c r="E308" s="102"/>
      <c r="F308" s="519"/>
      <c r="G308" s="519"/>
      <c r="H308" s="519"/>
      <c r="I308" s="105"/>
    </row>
    <row r="309">
      <c r="A309" s="102"/>
      <c r="B309" s="102"/>
      <c r="C309" s="44"/>
      <c r="D309" s="44"/>
      <c r="E309" s="102"/>
      <c r="F309" s="519"/>
      <c r="G309" s="519"/>
      <c r="H309" s="519"/>
      <c r="I309" s="105"/>
    </row>
    <row r="310">
      <c r="A310" s="102"/>
      <c r="B310" s="102"/>
      <c r="C310" s="44"/>
      <c r="D310" s="44"/>
      <c r="E310" s="102"/>
      <c r="F310" s="519"/>
      <c r="G310" s="519"/>
      <c r="H310" s="519"/>
      <c r="I310" s="105"/>
    </row>
    <row r="311">
      <c r="A311" s="102"/>
      <c r="B311" s="102"/>
      <c r="C311" s="44"/>
      <c r="D311" s="44"/>
      <c r="E311" s="102"/>
      <c r="F311" s="519"/>
      <c r="G311" s="519"/>
      <c r="H311" s="519"/>
      <c r="I311" s="105"/>
    </row>
    <row r="312">
      <c r="A312" s="102"/>
      <c r="B312" s="102"/>
      <c r="C312" s="44"/>
      <c r="D312" s="44"/>
      <c r="E312" s="102"/>
      <c r="F312" s="519"/>
      <c r="G312" s="519"/>
      <c r="H312" s="519"/>
      <c r="I312" s="105"/>
    </row>
    <row r="313">
      <c r="A313" s="102"/>
      <c r="B313" s="102"/>
      <c r="C313" s="44"/>
      <c r="D313" s="44"/>
      <c r="E313" s="102"/>
      <c r="F313" s="519"/>
      <c r="G313" s="519"/>
      <c r="H313" s="519"/>
      <c r="I313" s="105"/>
    </row>
    <row r="314">
      <c r="A314" s="102"/>
      <c r="B314" s="102"/>
      <c r="C314" s="44"/>
      <c r="D314" s="44"/>
      <c r="E314" s="102"/>
      <c r="F314" s="519"/>
      <c r="G314" s="519"/>
      <c r="H314" s="519"/>
      <c r="I314" s="105"/>
    </row>
    <row r="315">
      <c r="A315" s="102"/>
      <c r="B315" s="102"/>
      <c r="C315" s="44"/>
      <c r="D315" s="44"/>
      <c r="E315" s="102"/>
      <c r="F315" s="519"/>
      <c r="G315" s="519"/>
      <c r="H315" s="519"/>
      <c r="I315" s="105"/>
    </row>
    <row r="316">
      <c r="A316" s="102"/>
      <c r="B316" s="102"/>
      <c r="C316" s="44"/>
      <c r="D316" s="44"/>
      <c r="E316" s="102"/>
      <c r="F316" s="519"/>
      <c r="G316" s="519"/>
      <c r="H316" s="519"/>
      <c r="I316" s="105"/>
    </row>
    <row r="317">
      <c r="A317" s="102"/>
      <c r="B317" s="102"/>
      <c r="C317" s="44"/>
      <c r="D317" s="44"/>
      <c r="E317" s="102"/>
      <c r="F317" s="519"/>
      <c r="G317" s="519"/>
      <c r="H317" s="519"/>
      <c r="I317" s="105"/>
    </row>
    <row r="318">
      <c r="A318" s="102"/>
      <c r="B318" s="102"/>
      <c r="C318" s="44"/>
      <c r="D318" s="44"/>
      <c r="E318" s="102"/>
      <c r="F318" s="519"/>
      <c r="G318" s="519"/>
      <c r="H318" s="519"/>
      <c r="I318" s="105"/>
    </row>
    <row r="319">
      <c r="A319" s="102"/>
      <c r="B319" s="102"/>
      <c r="C319" s="44"/>
      <c r="D319" s="44"/>
      <c r="E319" s="102"/>
      <c r="F319" s="519"/>
      <c r="G319" s="519"/>
      <c r="H319" s="519"/>
      <c r="I319" s="105"/>
    </row>
    <row r="320">
      <c r="A320" s="102"/>
      <c r="B320" s="102"/>
      <c r="C320" s="44"/>
      <c r="D320" s="44"/>
      <c r="E320" s="102"/>
      <c r="F320" s="519"/>
      <c r="G320" s="519"/>
      <c r="H320" s="519"/>
      <c r="I320" s="105"/>
    </row>
    <row r="321">
      <c r="A321" s="102"/>
      <c r="B321" s="102"/>
      <c r="C321" s="44"/>
      <c r="D321" s="44"/>
      <c r="E321" s="102"/>
      <c r="F321" s="519"/>
      <c r="G321" s="519"/>
      <c r="H321" s="519"/>
      <c r="I321" s="105"/>
    </row>
    <row r="322">
      <c r="A322" s="102"/>
      <c r="B322" s="102"/>
      <c r="C322" s="44"/>
      <c r="D322" s="44"/>
      <c r="E322" s="102"/>
      <c r="F322" s="519"/>
      <c r="G322" s="519"/>
      <c r="H322" s="519"/>
      <c r="I322" s="105"/>
    </row>
    <row r="323">
      <c r="A323" s="102"/>
      <c r="B323" s="102"/>
      <c r="C323" s="44"/>
      <c r="D323" s="44"/>
      <c r="E323" s="102"/>
      <c r="F323" s="519"/>
      <c r="G323" s="519"/>
      <c r="H323" s="519"/>
      <c r="I323" s="105"/>
    </row>
    <row r="324">
      <c r="A324" s="102"/>
      <c r="B324" s="102"/>
      <c r="C324" s="44"/>
      <c r="D324" s="44"/>
      <c r="E324" s="102"/>
      <c r="F324" s="519"/>
      <c r="G324" s="519"/>
      <c r="H324" s="519"/>
      <c r="I324" s="105"/>
    </row>
    <row r="325">
      <c r="A325" s="102"/>
      <c r="B325" s="102"/>
      <c r="C325" s="44"/>
      <c r="D325" s="44"/>
      <c r="E325" s="102"/>
      <c r="F325" s="519"/>
      <c r="G325" s="519"/>
      <c r="H325" s="519"/>
      <c r="I325" s="105"/>
    </row>
    <row r="326">
      <c r="A326" s="102"/>
      <c r="B326" s="102"/>
      <c r="C326" s="44"/>
      <c r="D326" s="44"/>
      <c r="E326" s="102"/>
      <c r="F326" s="519"/>
      <c r="G326" s="519"/>
      <c r="H326" s="519"/>
      <c r="I326" s="105"/>
    </row>
    <row r="327">
      <c r="A327" s="102"/>
      <c r="B327" s="102"/>
      <c r="C327" s="44"/>
      <c r="D327" s="44"/>
      <c r="E327" s="102"/>
      <c r="F327" s="519"/>
      <c r="G327" s="519"/>
      <c r="H327" s="519"/>
      <c r="I327" s="105"/>
    </row>
    <row r="328">
      <c r="A328" s="102"/>
      <c r="B328" s="102"/>
      <c r="C328" s="44"/>
      <c r="D328" s="44"/>
      <c r="E328" s="102"/>
      <c r="F328" s="519"/>
      <c r="G328" s="519"/>
      <c r="H328" s="519"/>
      <c r="I328" s="105"/>
    </row>
    <row r="329">
      <c r="A329" s="102"/>
      <c r="B329" s="102"/>
      <c r="C329" s="44"/>
      <c r="D329" s="44"/>
      <c r="E329" s="102"/>
      <c r="F329" s="519"/>
      <c r="G329" s="519"/>
      <c r="H329" s="519"/>
      <c r="I329" s="105"/>
    </row>
    <row r="330">
      <c r="A330" s="102"/>
      <c r="B330" s="102"/>
      <c r="C330" s="44"/>
      <c r="D330" s="44"/>
      <c r="E330" s="102"/>
      <c r="F330" s="519"/>
      <c r="G330" s="519"/>
      <c r="H330" s="519"/>
      <c r="I330" s="105"/>
    </row>
    <row r="331">
      <c r="A331" s="102"/>
      <c r="B331" s="102"/>
      <c r="C331" s="44"/>
      <c r="D331" s="44"/>
      <c r="E331" s="102"/>
      <c r="F331" s="519"/>
      <c r="G331" s="519"/>
      <c r="H331" s="519"/>
      <c r="I331" s="105"/>
    </row>
    <row r="332">
      <c r="A332" s="102"/>
      <c r="B332" s="102"/>
      <c r="C332" s="44"/>
      <c r="D332" s="44"/>
      <c r="E332" s="102"/>
      <c r="F332" s="519"/>
      <c r="G332" s="519"/>
      <c r="H332" s="519"/>
      <c r="I332" s="105"/>
    </row>
    <row r="333">
      <c r="A333" s="102"/>
      <c r="B333" s="102"/>
      <c r="C333" s="44"/>
      <c r="D333" s="44"/>
      <c r="E333" s="102"/>
      <c r="F333" s="519"/>
      <c r="G333" s="519"/>
      <c r="H333" s="519"/>
      <c r="I333" s="105"/>
    </row>
    <row r="334">
      <c r="A334" s="102"/>
      <c r="B334" s="102"/>
      <c r="C334" s="44"/>
      <c r="D334" s="44"/>
      <c r="E334" s="102"/>
      <c r="F334" s="519"/>
      <c r="G334" s="519"/>
      <c r="H334" s="519"/>
      <c r="I334" s="105"/>
    </row>
    <row r="335">
      <c r="A335" s="102"/>
      <c r="B335" s="102"/>
      <c r="C335" s="44"/>
      <c r="D335" s="44"/>
      <c r="E335" s="102"/>
      <c r="F335" s="519"/>
      <c r="G335" s="519"/>
      <c r="H335" s="519"/>
      <c r="I335" s="105"/>
    </row>
    <row r="336">
      <c r="A336" s="102"/>
      <c r="B336" s="102"/>
      <c r="C336" s="44"/>
      <c r="D336" s="44"/>
      <c r="E336" s="102"/>
      <c r="F336" s="519"/>
      <c r="G336" s="519"/>
      <c r="H336" s="519"/>
      <c r="I336" s="105"/>
    </row>
    <row r="337">
      <c r="A337" s="102"/>
      <c r="B337" s="102"/>
      <c r="C337" s="44"/>
      <c r="D337" s="44"/>
      <c r="E337" s="102"/>
      <c r="F337" s="519"/>
      <c r="G337" s="519"/>
      <c r="H337" s="519"/>
      <c r="I337" s="105"/>
    </row>
    <row r="338">
      <c r="A338" s="102"/>
      <c r="B338" s="102"/>
      <c r="C338" s="44"/>
      <c r="D338" s="44"/>
      <c r="E338" s="102"/>
      <c r="F338" s="519"/>
      <c r="G338" s="519"/>
      <c r="H338" s="519"/>
      <c r="I338" s="105"/>
    </row>
    <row r="339">
      <c r="A339" s="102"/>
      <c r="B339" s="102"/>
      <c r="C339" s="44"/>
      <c r="D339" s="44"/>
      <c r="E339" s="102"/>
      <c r="F339" s="519"/>
      <c r="G339" s="519"/>
      <c r="H339" s="519"/>
      <c r="I339" s="105"/>
    </row>
    <row r="340">
      <c r="A340" s="102"/>
      <c r="B340" s="102"/>
      <c r="C340" s="44"/>
      <c r="D340" s="44"/>
      <c r="E340" s="102"/>
      <c r="F340" s="519"/>
      <c r="G340" s="519"/>
      <c r="H340" s="519"/>
      <c r="I340" s="105"/>
    </row>
    <row r="341">
      <c r="A341" s="102"/>
      <c r="B341" s="102"/>
      <c r="C341" s="44"/>
      <c r="D341" s="44"/>
      <c r="E341" s="102"/>
      <c r="F341" s="519"/>
      <c r="G341" s="519"/>
      <c r="H341" s="519"/>
      <c r="I341" s="105"/>
    </row>
    <row r="342">
      <c r="A342" s="102"/>
      <c r="B342" s="102"/>
      <c r="C342" s="44"/>
      <c r="D342" s="44"/>
      <c r="E342" s="102"/>
      <c r="F342" s="519"/>
      <c r="G342" s="519"/>
      <c r="H342" s="519"/>
      <c r="I342" s="105"/>
    </row>
    <row r="343">
      <c r="A343" s="102"/>
      <c r="B343" s="102"/>
      <c r="C343" s="44"/>
      <c r="D343" s="44"/>
      <c r="E343" s="102"/>
      <c r="F343" s="519"/>
      <c r="G343" s="519"/>
      <c r="H343" s="519"/>
      <c r="I343" s="105"/>
    </row>
    <row r="344">
      <c r="A344" s="102"/>
      <c r="B344" s="102"/>
      <c r="C344" s="44"/>
      <c r="D344" s="44"/>
      <c r="E344" s="102"/>
      <c r="F344" s="519"/>
      <c r="G344" s="519"/>
      <c r="H344" s="519"/>
      <c r="I344" s="105"/>
    </row>
    <row r="345">
      <c r="A345" s="102"/>
      <c r="B345" s="102"/>
      <c r="C345" s="44"/>
      <c r="D345" s="44"/>
      <c r="E345" s="102"/>
      <c r="F345" s="519"/>
      <c r="G345" s="519"/>
      <c r="H345" s="519"/>
      <c r="I345" s="105"/>
    </row>
    <row r="346">
      <c r="A346" s="102"/>
      <c r="B346" s="102"/>
      <c r="C346" s="44"/>
      <c r="D346" s="44"/>
      <c r="E346" s="102"/>
      <c r="F346" s="519"/>
      <c r="G346" s="519"/>
      <c r="H346" s="519"/>
      <c r="I346" s="105"/>
    </row>
    <row r="347">
      <c r="A347" s="102"/>
      <c r="B347" s="102"/>
      <c r="C347" s="44"/>
      <c r="D347" s="44"/>
      <c r="E347" s="102"/>
      <c r="F347" s="519"/>
      <c r="G347" s="519"/>
      <c r="H347" s="519"/>
      <c r="I347" s="105"/>
    </row>
    <row r="348">
      <c r="A348" s="102"/>
      <c r="B348" s="102"/>
      <c r="C348" s="44"/>
      <c r="D348" s="44"/>
      <c r="E348" s="102"/>
      <c r="F348" s="519"/>
      <c r="G348" s="519"/>
      <c r="H348" s="519"/>
      <c r="I348" s="105"/>
    </row>
    <row r="349">
      <c r="A349" s="102"/>
      <c r="B349" s="102"/>
      <c r="C349" s="44"/>
      <c r="D349" s="44"/>
      <c r="E349" s="102"/>
      <c r="F349" s="519"/>
      <c r="G349" s="519"/>
      <c r="H349" s="519"/>
      <c r="I349" s="105"/>
    </row>
    <row r="350">
      <c r="A350" s="102"/>
      <c r="B350" s="102"/>
      <c r="C350" s="44"/>
      <c r="D350" s="44"/>
      <c r="E350" s="102"/>
      <c r="F350" s="519"/>
      <c r="G350" s="519"/>
      <c r="H350" s="519"/>
      <c r="I350" s="105"/>
    </row>
    <row r="351">
      <c r="A351" s="102"/>
      <c r="B351" s="102"/>
      <c r="C351" s="44"/>
      <c r="D351" s="44"/>
      <c r="E351" s="102"/>
      <c r="F351" s="519"/>
      <c r="G351" s="519"/>
      <c r="H351" s="519"/>
      <c r="I351" s="105"/>
    </row>
    <row r="352">
      <c r="A352" s="102"/>
      <c r="B352" s="102"/>
      <c r="C352" s="44"/>
      <c r="D352" s="44"/>
      <c r="E352" s="102"/>
      <c r="F352" s="519"/>
      <c r="G352" s="519"/>
      <c r="H352" s="519"/>
      <c r="I352" s="105"/>
    </row>
    <row r="353">
      <c r="A353" s="102"/>
      <c r="B353" s="102"/>
      <c r="C353" s="44"/>
      <c r="D353" s="44"/>
      <c r="E353" s="102"/>
      <c r="F353" s="519"/>
      <c r="G353" s="519"/>
      <c r="H353" s="519"/>
      <c r="I353" s="105"/>
    </row>
    <row r="354">
      <c r="A354" s="102"/>
      <c r="B354" s="102"/>
      <c r="C354" s="44"/>
      <c r="D354" s="44"/>
      <c r="E354" s="102"/>
      <c r="F354" s="519"/>
      <c r="G354" s="519"/>
      <c r="H354" s="519"/>
      <c r="I354" s="105"/>
    </row>
    <row r="355">
      <c r="A355" s="102"/>
      <c r="B355" s="102"/>
      <c r="C355" s="44"/>
      <c r="D355" s="44"/>
      <c r="E355" s="102"/>
      <c r="F355" s="519"/>
      <c r="G355" s="519"/>
      <c r="H355" s="519"/>
      <c r="I355" s="105"/>
    </row>
    <row r="356">
      <c r="A356" s="102"/>
      <c r="B356" s="102"/>
      <c r="C356" s="44"/>
      <c r="D356" s="44"/>
      <c r="E356" s="102"/>
      <c r="F356" s="519"/>
      <c r="G356" s="519"/>
      <c r="H356" s="519"/>
      <c r="I356" s="105"/>
    </row>
    <row r="357">
      <c r="A357" s="102"/>
      <c r="B357" s="102"/>
      <c r="C357" s="44"/>
      <c r="D357" s="44"/>
      <c r="E357" s="102"/>
      <c r="F357" s="519"/>
      <c r="G357" s="519"/>
      <c r="H357" s="519"/>
      <c r="I357" s="105"/>
    </row>
    <row r="358">
      <c r="A358" s="102"/>
      <c r="B358" s="102"/>
      <c r="C358" s="44"/>
      <c r="D358" s="44"/>
      <c r="E358" s="102"/>
      <c r="F358" s="519"/>
      <c r="G358" s="519"/>
      <c r="H358" s="519"/>
      <c r="I358" s="105"/>
    </row>
    <row r="359">
      <c r="A359" s="102"/>
      <c r="B359" s="102"/>
      <c r="C359" s="44"/>
      <c r="D359" s="44"/>
      <c r="E359" s="102"/>
      <c r="F359" s="519"/>
      <c r="G359" s="519"/>
      <c r="H359" s="519"/>
      <c r="I359" s="105"/>
    </row>
    <row r="360">
      <c r="A360" s="102"/>
      <c r="B360" s="102"/>
      <c r="C360" s="44"/>
      <c r="D360" s="44"/>
      <c r="E360" s="102"/>
      <c r="F360" s="519"/>
      <c r="G360" s="519"/>
      <c r="H360" s="519"/>
      <c r="I360" s="105"/>
    </row>
    <row r="361">
      <c r="A361" s="102"/>
      <c r="B361" s="102"/>
      <c r="C361" s="44"/>
      <c r="D361" s="44"/>
      <c r="E361" s="102"/>
      <c r="F361" s="519"/>
      <c r="G361" s="519"/>
      <c r="H361" s="519"/>
      <c r="I361" s="105"/>
    </row>
    <row r="362">
      <c r="A362" s="102"/>
      <c r="B362" s="102"/>
      <c r="C362" s="44"/>
      <c r="D362" s="44"/>
      <c r="E362" s="102"/>
      <c r="F362" s="519"/>
      <c r="G362" s="519"/>
      <c r="H362" s="519"/>
      <c r="I362" s="105"/>
    </row>
    <row r="363">
      <c r="A363" s="102"/>
      <c r="B363" s="102"/>
      <c r="C363" s="44"/>
      <c r="D363" s="44"/>
      <c r="E363" s="102"/>
      <c r="F363" s="519"/>
      <c r="G363" s="519"/>
      <c r="H363" s="519"/>
      <c r="I363" s="105"/>
    </row>
    <row r="364">
      <c r="A364" s="102"/>
      <c r="B364" s="102"/>
      <c r="C364" s="44"/>
      <c r="D364" s="44"/>
      <c r="E364" s="102"/>
      <c r="F364" s="519"/>
      <c r="G364" s="519"/>
      <c r="H364" s="519"/>
      <c r="I364" s="105"/>
    </row>
    <row r="365">
      <c r="A365" s="102"/>
      <c r="B365" s="102"/>
      <c r="C365" s="44"/>
      <c r="D365" s="44"/>
      <c r="E365" s="102"/>
      <c r="F365" s="519"/>
      <c r="G365" s="519"/>
      <c r="H365" s="519"/>
      <c r="I365" s="105"/>
    </row>
    <row r="366">
      <c r="A366" s="102"/>
      <c r="B366" s="102"/>
      <c r="C366" s="44"/>
      <c r="D366" s="44"/>
      <c r="E366" s="102"/>
      <c r="F366" s="519"/>
      <c r="G366" s="519"/>
      <c r="H366" s="519"/>
      <c r="I366" s="105"/>
    </row>
    <row r="367">
      <c r="A367" s="102"/>
      <c r="B367" s="102"/>
      <c r="C367" s="44"/>
      <c r="D367" s="44"/>
      <c r="E367" s="102"/>
      <c r="F367" s="519"/>
      <c r="G367" s="519"/>
      <c r="H367" s="519"/>
      <c r="I367" s="105"/>
    </row>
    <row r="368">
      <c r="A368" s="102"/>
      <c r="B368" s="102"/>
      <c r="C368" s="44"/>
      <c r="D368" s="44"/>
      <c r="E368" s="102"/>
      <c r="F368" s="519"/>
      <c r="G368" s="519"/>
      <c r="H368" s="519"/>
      <c r="I368" s="105"/>
    </row>
    <row r="369">
      <c r="A369" s="102"/>
      <c r="B369" s="102"/>
      <c r="C369" s="44"/>
      <c r="D369" s="44"/>
      <c r="E369" s="102"/>
      <c r="F369" s="519"/>
      <c r="G369" s="519"/>
      <c r="H369" s="519"/>
      <c r="I369" s="105"/>
    </row>
    <row r="370">
      <c r="A370" s="102"/>
      <c r="B370" s="102"/>
      <c r="C370" s="44"/>
      <c r="D370" s="44"/>
      <c r="E370" s="102"/>
      <c r="F370" s="519"/>
      <c r="G370" s="519"/>
      <c r="H370" s="519"/>
      <c r="I370" s="105"/>
    </row>
    <row r="371">
      <c r="A371" s="102"/>
      <c r="B371" s="102"/>
      <c r="C371" s="44"/>
      <c r="D371" s="44"/>
      <c r="E371" s="102"/>
      <c r="F371" s="519"/>
      <c r="G371" s="519"/>
      <c r="H371" s="519"/>
      <c r="I371" s="105"/>
    </row>
    <row r="372">
      <c r="A372" s="102"/>
      <c r="B372" s="102"/>
      <c r="C372" s="44"/>
      <c r="D372" s="44"/>
      <c r="E372" s="102"/>
      <c r="F372" s="519"/>
      <c r="G372" s="519"/>
      <c r="H372" s="519"/>
      <c r="I372" s="105"/>
    </row>
    <row r="373">
      <c r="A373" s="102"/>
      <c r="B373" s="102"/>
      <c r="C373" s="44"/>
      <c r="D373" s="44"/>
      <c r="E373" s="102"/>
      <c r="F373" s="519"/>
      <c r="G373" s="519"/>
      <c r="H373" s="519"/>
      <c r="I373" s="105"/>
    </row>
    <row r="374">
      <c r="A374" s="102"/>
      <c r="B374" s="102"/>
      <c r="C374" s="44"/>
      <c r="D374" s="44"/>
      <c r="E374" s="102"/>
      <c r="F374" s="519"/>
      <c r="G374" s="519"/>
      <c r="H374" s="519"/>
      <c r="I374" s="105"/>
    </row>
    <row r="375">
      <c r="A375" s="102"/>
      <c r="B375" s="102"/>
      <c r="C375" s="44"/>
      <c r="D375" s="44"/>
      <c r="E375" s="102"/>
      <c r="F375" s="519"/>
      <c r="G375" s="519"/>
      <c r="H375" s="519"/>
      <c r="I375" s="105"/>
    </row>
    <row r="376">
      <c r="A376" s="102"/>
      <c r="B376" s="102"/>
      <c r="C376" s="44"/>
      <c r="D376" s="44"/>
      <c r="E376" s="102"/>
      <c r="F376" s="519"/>
      <c r="G376" s="519"/>
      <c r="H376" s="519"/>
      <c r="I376" s="105"/>
    </row>
    <row r="377">
      <c r="A377" s="102"/>
      <c r="B377" s="102"/>
      <c r="C377" s="44"/>
      <c r="D377" s="44"/>
      <c r="E377" s="102"/>
      <c r="F377" s="519"/>
      <c r="G377" s="519"/>
      <c r="H377" s="519"/>
      <c r="I377" s="105"/>
    </row>
    <row r="378">
      <c r="A378" s="102"/>
      <c r="B378" s="102"/>
      <c r="C378" s="44"/>
      <c r="D378" s="44"/>
      <c r="E378" s="102"/>
      <c r="F378" s="519"/>
      <c r="G378" s="519"/>
      <c r="H378" s="519"/>
      <c r="I378" s="105"/>
    </row>
    <row r="379">
      <c r="A379" s="102"/>
      <c r="B379" s="102"/>
      <c r="C379" s="44"/>
      <c r="D379" s="44"/>
      <c r="E379" s="102"/>
      <c r="F379" s="519"/>
      <c r="G379" s="519"/>
      <c r="H379" s="519"/>
      <c r="I379" s="105"/>
    </row>
    <row r="380">
      <c r="A380" s="102"/>
      <c r="B380" s="102"/>
      <c r="C380" s="44"/>
      <c r="D380" s="44"/>
      <c r="E380" s="102"/>
      <c r="F380" s="519"/>
      <c r="G380" s="519"/>
      <c r="H380" s="519"/>
      <c r="I380" s="105"/>
    </row>
    <row r="381">
      <c r="A381" s="102"/>
      <c r="B381" s="102"/>
      <c r="C381" s="44"/>
      <c r="D381" s="44"/>
      <c r="E381" s="102"/>
      <c r="F381" s="519"/>
      <c r="G381" s="519"/>
      <c r="H381" s="519"/>
      <c r="I381" s="105"/>
    </row>
    <row r="382">
      <c r="A382" s="102"/>
      <c r="B382" s="102"/>
      <c r="C382" s="44"/>
      <c r="D382" s="44"/>
      <c r="E382" s="102"/>
      <c r="F382" s="519"/>
      <c r="G382" s="519"/>
      <c r="H382" s="519"/>
      <c r="I382" s="105"/>
    </row>
    <row r="383">
      <c r="A383" s="102"/>
      <c r="B383" s="102"/>
      <c r="C383" s="44"/>
      <c r="D383" s="44"/>
      <c r="E383" s="102"/>
      <c r="F383" s="519"/>
      <c r="G383" s="519"/>
      <c r="H383" s="519"/>
      <c r="I383" s="105"/>
    </row>
    <row r="384">
      <c r="A384" s="102"/>
      <c r="B384" s="102"/>
      <c r="C384" s="44"/>
      <c r="D384" s="44"/>
      <c r="E384" s="102"/>
      <c r="F384" s="519"/>
      <c r="G384" s="519"/>
      <c r="H384" s="519"/>
      <c r="I384" s="105"/>
    </row>
    <row r="385">
      <c r="A385" s="102"/>
      <c r="B385" s="102"/>
      <c r="C385" s="44"/>
      <c r="D385" s="44"/>
      <c r="E385" s="102"/>
      <c r="F385" s="519"/>
      <c r="G385" s="519"/>
      <c r="H385" s="519"/>
      <c r="I385" s="105"/>
    </row>
    <row r="386">
      <c r="A386" s="102"/>
      <c r="B386" s="102"/>
      <c r="C386" s="44"/>
      <c r="D386" s="44"/>
      <c r="E386" s="102"/>
      <c r="F386" s="519"/>
      <c r="G386" s="519"/>
      <c r="H386" s="519"/>
      <c r="I386" s="105"/>
    </row>
    <row r="387">
      <c r="A387" s="102"/>
      <c r="B387" s="102"/>
      <c r="C387" s="44"/>
      <c r="D387" s="44"/>
      <c r="E387" s="102"/>
      <c r="F387" s="519"/>
      <c r="G387" s="519"/>
      <c r="H387" s="519"/>
      <c r="I387" s="105"/>
    </row>
    <row r="388">
      <c r="A388" s="102"/>
      <c r="B388" s="102"/>
      <c r="C388" s="44"/>
      <c r="D388" s="44"/>
      <c r="E388" s="102"/>
      <c r="F388" s="519"/>
      <c r="G388" s="519"/>
      <c r="H388" s="519"/>
      <c r="I388" s="105"/>
    </row>
    <row r="389">
      <c r="A389" s="102"/>
      <c r="B389" s="102"/>
      <c r="C389" s="44"/>
      <c r="D389" s="44"/>
      <c r="E389" s="102"/>
      <c r="F389" s="519"/>
      <c r="G389" s="519"/>
      <c r="H389" s="519"/>
      <c r="I389" s="105"/>
    </row>
    <row r="390">
      <c r="A390" s="102"/>
      <c r="B390" s="102"/>
      <c r="C390" s="44"/>
      <c r="D390" s="44"/>
      <c r="E390" s="102"/>
      <c r="F390" s="519"/>
      <c r="G390" s="519"/>
      <c r="H390" s="519"/>
      <c r="I390" s="105"/>
    </row>
    <row r="391">
      <c r="A391" s="102"/>
      <c r="B391" s="102"/>
      <c r="C391" s="44"/>
      <c r="D391" s="44"/>
      <c r="E391" s="102"/>
      <c r="F391" s="519"/>
      <c r="G391" s="519"/>
      <c r="H391" s="519"/>
      <c r="I391" s="105"/>
    </row>
    <row r="392">
      <c r="A392" s="102"/>
      <c r="B392" s="102"/>
      <c r="C392" s="44"/>
      <c r="D392" s="44"/>
      <c r="E392" s="102"/>
      <c r="F392" s="519"/>
      <c r="G392" s="519"/>
      <c r="H392" s="519"/>
      <c r="I392" s="105"/>
    </row>
    <row r="393">
      <c r="A393" s="102"/>
      <c r="B393" s="102"/>
      <c r="C393" s="44"/>
      <c r="D393" s="44"/>
      <c r="E393" s="102"/>
      <c r="F393" s="519"/>
      <c r="G393" s="519"/>
      <c r="H393" s="519"/>
      <c r="I393" s="105"/>
    </row>
    <row r="394">
      <c r="A394" s="102"/>
      <c r="B394" s="102"/>
      <c r="C394" s="44"/>
      <c r="D394" s="44"/>
      <c r="E394" s="102"/>
      <c r="F394" s="519"/>
      <c r="G394" s="519"/>
      <c r="H394" s="519"/>
      <c r="I394" s="105"/>
    </row>
    <row r="395">
      <c r="A395" s="102"/>
      <c r="B395" s="102"/>
      <c r="C395" s="44"/>
      <c r="D395" s="44"/>
      <c r="E395" s="102"/>
      <c r="F395" s="519"/>
      <c r="G395" s="519"/>
      <c r="H395" s="519"/>
      <c r="I395" s="105"/>
    </row>
    <row r="396">
      <c r="A396" s="102"/>
      <c r="B396" s="102"/>
      <c r="C396" s="44"/>
      <c r="D396" s="44"/>
      <c r="E396" s="102"/>
      <c r="F396" s="519"/>
      <c r="G396" s="519"/>
      <c r="H396" s="519"/>
      <c r="I396" s="105"/>
    </row>
    <row r="397">
      <c r="A397" s="102"/>
      <c r="B397" s="102"/>
      <c r="C397" s="44"/>
      <c r="D397" s="44"/>
      <c r="E397" s="102"/>
      <c r="F397" s="519"/>
      <c r="G397" s="519"/>
      <c r="H397" s="519"/>
      <c r="I397" s="105"/>
    </row>
    <row r="398">
      <c r="A398" s="102"/>
      <c r="B398" s="102"/>
      <c r="C398" s="44"/>
      <c r="D398" s="44"/>
      <c r="E398" s="102"/>
      <c r="F398" s="519"/>
      <c r="G398" s="519"/>
      <c r="H398" s="519"/>
      <c r="I398" s="105"/>
    </row>
    <row r="399">
      <c r="A399" s="102"/>
      <c r="B399" s="102"/>
      <c r="C399" s="44"/>
      <c r="D399" s="44"/>
      <c r="E399" s="102"/>
      <c r="F399" s="519"/>
      <c r="G399" s="519"/>
      <c r="H399" s="519"/>
      <c r="I399" s="105"/>
    </row>
    <row r="400">
      <c r="A400" s="102"/>
      <c r="B400" s="102"/>
      <c r="C400" s="44"/>
      <c r="D400" s="44"/>
      <c r="E400" s="102"/>
      <c r="F400" s="519"/>
      <c r="G400" s="519"/>
      <c r="H400" s="519"/>
      <c r="I400" s="105"/>
    </row>
    <row r="401">
      <c r="A401" s="102"/>
      <c r="B401" s="102"/>
      <c r="C401" s="44"/>
      <c r="D401" s="44"/>
      <c r="E401" s="102"/>
      <c r="F401" s="519"/>
      <c r="G401" s="519"/>
      <c r="H401" s="519"/>
      <c r="I401" s="105"/>
    </row>
    <row r="402">
      <c r="A402" s="102"/>
      <c r="B402" s="102"/>
      <c r="C402" s="44"/>
      <c r="D402" s="44"/>
      <c r="E402" s="102"/>
      <c r="F402" s="519"/>
      <c r="G402" s="519"/>
      <c r="H402" s="519"/>
      <c r="I402" s="105"/>
    </row>
    <row r="403">
      <c r="A403" s="102"/>
      <c r="B403" s="102"/>
      <c r="C403" s="44"/>
      <c r="D403" s="44"/>
      <c r="E403" s="102"/>
      <c r="F403" s="519"/>
      <c r="G403" s="519"/>
      <c r="H403" s="519"/>
      <c r="I403" s="105"/>
    </row>
    <row r="404">
      <c r="A404" s="102"/>
      <c r="B404" s="102"/>
      <c r="C404" s="44"/>
      <c r="D404" s="44"/>
      <c r="E404" s="102"/>
      <c r="F404" s="519"/>
      <c r="G404" s="519"/>
      <c r="H404" s="519"/>
      <c r="I404" s="105"/>
    </row>
    <row r="405">
      <c r="A405" s="102"/>
      <c r="B405" s="102"/>
      <c r="C405" s="44"/>
      <c r="D405" s="44"/>
      <c r="E405" s="102"/>
      <c r="F405" s="519"/>
      <c r="G405" s="519"/>
      <c r="H405" s="519"/>
      <c r="I405" s="105"/>
    </row>
    <row r="406">
      <c r="A406" s="102"/>
      <c r="B406" s="102"/>
      <c r="C406" s="44"/>
      <c r="D406" s="44"/>
      <c r="E406" s="102"/>
      <c r="F406" s="519"/>
      <c r="G406" s="519"/>
      <c r="H406" s="519"/>
      <c r="I406" s="105"/>
    </row>
    <row r="407">
      <c r="A407" s="102"/>
      <c r="B407" s="102"/>
      <c r="C407" s="44"/>
      <c r="D407" s="44"/>
      <c r="E407" s="102"/>
      <c r="F407" s="519"/>
      <c r="G407" s="519"/>
      <c r="H407" s="519"/>
      <c r="I407" s="105"/>
    </row>
    <row r="408">
      <c r="A408" s="102"/>
      <c r="B408" s="102"/>
      <c r="C408" s="44"/>
      <c r="D408" s="44"/>
      <c r="E408" s="102"/>
      <c r="F408" s="519"/>
      <c r="G408" s="519"/>
      <c r="H408" s="519"/>
      <c r="I408" s="105"/>
    </row>
    <row r="409">
      <c r="A409" s="102"/>
      <c r="B409" s="102"/>
      <c r="C409" s="44"/>
      <c r="D409" s="44"/>
      <c r="E409" s="102"/>
      <c r="F409" s="519"/>
      <c r="G409" s="519"/>
      <c r="H409" s="519"/>
      <c r="I409" s="105"/>
    </row>
    <row r="410">
      <c r="A410" s="102"/>
      <c r="B410" s="102"/>
      <c r="C410" s="44"/>
      <c r="D410" s="44"/>
      <c r="E410" s="102"/>
      <c r="F410" s="519"/>
      <c r="G410" s="519"/>
      <c r="H410" s="519"/>
      <c r="I410" s="105"/>
    </row>
    <row r="411">
      <c r="A411" s="102"/>
      <c r="B411" s="102"/>
      <c r="C411" s="44"/>
      <c r="D411" s="44"/>
      <c r="E411" s="102"/>
      <c r="F411" s="519"/>
      <c r="G411" s="519"/>
      <c r="H411" s="519"/>
      <c r="I411" s="105"/>
    </row>
    <row r="412">
      <c r="A412" s="102"/>
      <c r="B412" s="102"/>
      <c r="C412" s="44"/>
      <c r="D412" s="44"/>
      <c r="E412" s="102"/>
      <c r="F412" s="519"/>
      <c r="G412" s="519"/>
      <c r="H412" s="519"/>
      <c r="I412" s="105"/>
    </row>
    <row r="413">
      <c r="A413" s="102"/>
      <c r="B413" s="102"/>
      <c r="C413" s="44"/>
      <c r="D413" s="44"/>
      <c r="E413" s="102"/>
      <c r="F413" s="519"/>
      <c r="G413" s="519"/>
      <c r="H413" s="519"/>
      <c r="I413" s="105"/>
    </row>
    <row r="414">
      <c r="A414" s="102"/>
      <c r="B414" s="102"/>
      <c r="C414" s="44"/>
      <c r="D414" s="44"/>
      <c r="E414" s="102"/>
      <c r="F414" s="519"/>
      <c r="G414" s="519"/>
      <c r="H414" s="519"/>
      <c r="I414" s="105"/>
    </row>
    <row r="415">
      <c r="A415" s="102"/>
      <c r="B415" s="102"/>
      <c r="C415" s="44"/>
      <c r="D415" s="44"/>
      <c r="E415" s="102"/>
      <c r="F415" s="519"/>
      <c r="G415" s="519"/>
      <c r="H415" s="519"/>
      <c r="I415" s="105"/>
    </row>
    <row r="416">
      <c r="A416" s="102"/>
      <c r="B416" s="102"/>
      <c r="C416" s="44"/>
      <c r="D416" s="44"/>
      <c r="E416" s="102"/>
      <c r="F416" s="519"/>
      <c r="G416" s="519"/>
      <c r="H416" s="519"/>
      <c r="I416" s="105"/>
    </row>
    <row r="417">
      <c r="A417" s="102"/>
      <c r="B417" s="102"/>
      <c r="C417" s="44"/>
      <c r="D417" s="44"/>
      <c r="E417" s="102"/>
      <c r="F417" s="519"/>
      <c r="G417" s="519"/>
      <c r="H417" s="519"/>
      <c r="I417" s="105"/>
    </row>
    <row r="418">
      <c r="A418" s="102"/>
      <c r="B418" s="102"/>
      <c r="C418" s="44"/>
      <c r="D418" s="44"/>
      <c r="E418" s="102"/>
      <c r="F418" s="519"/>
      <c r="G418" s="519"/>
      <c r="H418" s="519"/>
      <c r="I418" s="105"/>
    </row>
    <row r="419">
      <c r="A419" s="102"/>
      <c r="B419" s="102"/>
      <c r="C419" s="44"/>
      <c r="D419" s="44"/>
      <c r="E419" s="102"/>
      <c r="F419" s="519"/>
      <c r="G419" s="519"/>
      <c r="H419" s="519"/>
      <c r="I419" s="105"/>
    </row>
    <row r="420">
      <c r="A420" s="102"/>
      <c r="B420" s="102"/>
      <c r="C420" s="44"/>
      <c r="D420" s="44"/>
      <c r="E420" s="102"/>
      <c r="F420" s="519"/>
      <c r="G420" s="519"/>
      <c r="H420" s="519"/>
      <c r="I420" s="105"/>
    </row>
    <row r="421">
      <c r="A421" s="102"/>
      <c r="B421" s="102"/>
      <c r="C421" s="44"/>
      <c r="D421" s="44"/>
      <c r="E421" s="102"/>
      <c r="F421" s="519"/>
      <c r="G421" s="519"/>
      <c r="H421" s="519"/>
      <c r="I421" s="105"/>
    </row>
    <row r="422">
      <c r="A422" s="102"/>
      <c r="B422" s="102"/>
      <c r="C422" s="44"/>
      <c r="D422" s="44"/>
      <c r="E422" s="102"/>
      <c r="F422" s="519"/>
      <c r="G422" s="519"/>
      <c r="H422" s="519"/>
      <c r="I422" s="105"/>
    </row>
    <row r="423">
      <c r="A423" s="102"/>
      <c r="B423" s="102"/>
      <c r="C423" s="44"/>
      <c r="D423" s="44"/>
      <c r="E423" s="102"/>
      <c r="F423" s="519"/>
      <c r="G423" s="519"/>
      <c r="H423" s="519"/>
      <c r="I423" s="105"/>
    </row>
    <row r="424">
      <c r="A424" s="102"/>
      <c r="B424" s="102"/>
      <c r="C424" s="44"/>
      <c r="D424" s="44"/>
      <c r="E424" s="102"/>
      <c r="F424" s="519"/>
      <c r="G424" s="519"/>
      <c r="H424" s="519"/>
      <c r="I424" s="105"/>
    </row>
    <row r="425">
      <c r="A425" s="102"/>
      <c r="B425" s="102"/>
      <c r="C425" s="44"/>
      <c r="D425" s="44"/>
      <c r="E425" s="102"/>
      <c r="F425" s="519"/>
      <c r="G425" s="519"/>
      <c r="H425" s="519"/>
      <c r="I425" s="105"/>
    </row>
    <row r="426">
      <c r="A426" s="102"/>
      <c r="B426" s="102"/>
      <c r="C426" s="44"/>
      <c r="D426" s="44"/>
      <c r="E426" s="102"/>
      <c r="F426" s="519"/>
      <c r="G426" s="519"/>
      <c r="H426" s="519"/>
      <c r="I426" s="105"/>
    </row>
    <row r="427">
      <c r="A427" s="102"/>
      <c r="B427" s="102"/>
      <c r="C427" s="44"/>
      <c r="D427" s="44"/>
      <c r="E427" s="102"/>
      <c r="F427" s="519"/>
      <c r="G427" s="519"/>
      <c r="H427" s="519"/>
      <c r="I427" s="105"/>
    </row>
    <row r="428">
      <c r="A428" s="102"/>
      <c r="B428" s="102"/>
      <c r="C428" s="44"/>
      <c r="D428" s="44"/>
      <c r="E428" s="102"/>
      <c r="F428" s="519"/>
      <c r="G428" s="519"/>
      <c r="H428" s="519"/>
      <c r="I428" s="105"/>
    </row>
    <row r="429">
      <c r="A429" s="102"/>
      <c r="B429" s="102"/>
      <c r="C429" s="44"/>
      <c r="D429" s="44"/>
      <c r="E429" s="102"/>
      <c r="F429" s="519"/>
      <c r="G429" s="519"/>
      <c r="H429" s="519"/>
      <c r="I429" s="105"/>
    </row>
    <row r="430">
      <c r="A430" s="102"/>
      <c r="B430" s="102"/>
      <c r="C430" s="44"/>
      <c r="D430" s="44"/>
      <c r="E430" s="102"/>
      <c r="F430" s="519"/>
      <c r="G430" s="519"/>
      <c r="H430" s="519"/>
      <c r="I430" s="105"/>
    </row>
    <row r="431">
      <c r="A431" s="102"/>
      <c r="B431" s="102"/>
      <c r="C431" s="44"/>
      <c r="D431" s="44"/>
      <c r="E431" s="102"/>
      <c r="F431" s="519"/>
      <c r="G431" s="519"/>
      <c r="H431" s="519"/>
      <c r="I431" s="105"/>
    </row>
    <row r="432">
      <c r="A432" s="102"/>
      <c r="B432" s="102"/>
      <c r="C432" s="44"/>
      <c r="D432" s="44"/>
      <c r="E432" s="102"/>
      <c r="F432" s="519"/>
      <c r="G432" s="519"/>
      <c r="H432" s="519"/>
      <c r="I432" s="105"/>
    </row>
    <row r="433">
      <c r="A433" s="102"/>
      <c r="B433" s="102"/>
      <c r="C433" s="44"/>
      <c r="D433" s="44"/>
      <c r="E433" s="102"/>
      <c r="F433" s="519"/>
      <c r="G433" s="519"/>
      <c r="H433" s="519"/>
      <c r="I433" s="105"/>
    </row>
    <row r="434">
      <c r="A434" s="102"/>
      <c r="B434" s="102"/>
      <c r="C434" s="44"/>
      <c r="D434" s="44"/>
      <c r="E434" s="102"/>
      <c r="F434" s="519"/>
      <c r="G434" s="519"/>
      <c r="H434" s="519"/>
      <c r="I434" s="105"/>
    </row>
    <row r="435">
      <c r="A435" s="102"/>
      <c r="B435" s="102"/>
      <c r="C435" s="44"/>
      <c r="D435" s="44"/>
      <c r="E435" s="102"/>
      <c r="F435" s="519"/>
      <c r="G435" s="519"/>
      <c r="H435" s="519"/>
      <c r="I435" s="105"/>
    </row>
    <row r="436">
      <c r="A436" s="102"/>
      <c r="B436" s="102"/>
      <c r="C436" s="44"/>
      <c r="D436" s="44"/>
      <c r="E436" s="102"/>
      <c r="F436" s="519"/>
      <c r="G436" s="519"/>
      <c r="H436" s="519"/>
      <c r="I436" s="105"/>
    </row>
    <row r="437">
      <c r="A437" s="102"/>
      <c r="B437" s="102"/>
      <c r="C437" s="44"/>
      <c r="D437" s="44"/>
      <c r="E437" s="102"/>
      <c r="F437" s="519"/>
      <c r="G437" s="519"/>
      <c r="H437" s="519"/>
      <c r="I437" s="105"/>
    </row>
    <row r="438">
      <c r="A438" s="102"/>
      <c r="B438" s="102"/>
      <c r="C438" s="44"/>
      <c r="D438" s="44"/>
      <c r="E438" s="102"/>
      <c r="F438" s="519"/>
      <c r="G438" s="519"/>
      <c r="H438" s="519"/>
      <c r="I438" s="105"/>
    </row>
    <row r="439">
      <c r="A439" s="102"/>
      <c r="B439" s="102"/>
      <c r="C439" s="44"/>
      <c r="D439" s="44"/>
      <c r="E439" s="102"/>
      <c r="F439" s="519"/>
      <c r="G439" s="519"/>
      <c r="H439" s="519"/>
      <c r="I439" s="105"/>
    </row>
    <row r="440">
      <c r="A440" s="102"/>
      <c r="B440" s="102"/>
      <c r="C440" s="44"/>
      <c r="D440" s="44"/>
      <c r="E440" s="102"/>
      <c r="F440" s="519"/>
      <c r="G440" s="519"/>
      <c r="H440" s="519"/>
      <c r="I440" s="105"/>
    </row>
    <row r="441">
      <c r="A441" s="102"/>
      <c r="B441" s="102"/>
      <c r="C441" s="44"/>
      <c r="D441" s="44"/>
      <c r="E441" s="102"/>
      <c r="F441" s="519"/>
      <c r="G441" s="519"/>
      <c r="H441" s="519"/>
      <c r="I441" s="105"/>
    </row>
    <row r="442">
      <c r="A442" s="102"/>
      <c r="B442" s="102"/>
      <c r="C442" s="44"/>
      <c r="D442" s="44"/>
      <c r="E442" s="102"/>
      <c r="F442" s="519"/>
      <c r="G442" s="519"/>
      <c r="H442" s="519"/>
      <c r="I442" s="105"/>
    </row>
    <row r="443">
      <c r="A443" s="102"/>
      <c r="B443" s="102"/>
      <c r="C443" s="44"/>
      <c r="D443" s="44"/>
      <c r="E443" s="102"/>
      <c r="F443" s="519"/>
      <c r="G443" s="519"/>
      <c r="H443" s="519"/>
      <c r="I443" s="105"/>
    </row>
    <row r="444">
      <c r="A444" s="102"/>
      <c r="B444" s="102"/>
      <c r="C444" s="44"/>
      <c r="D444" s="44"/>
      <c r="E444" s="102"/>
      <c r="F444" s="519"/>
      <c r="G444" s="519"/>
      <c r="H444" s="519"/>
      <c r="I444" s="105"/>
    </row>
    <row r="445">
      <c r="A445" s="102"/>
      <c r="B445" s="102"/>
      <c r="C445" s="44"/>
      <c r="D445" s="44"/>
      <c r="E445" s="102"/>
      <c r="F445" s="519"/>
      <c r="G445" s="519"/>
      <c r="H445" s="519"/>
      <c r="I445" s="105"/>
    </row>
    <row r="446">
      <c r="A446" s="102"/>
      <c r="B446" s="102"/>
      <c r="C446" s="44"/>
      <c r="D446" s="44"/>
      <c r="E446" s="102"/>
      <c r="F446" s="519"/>
      <c r="G446" s="519"/>
      <c r="H446" s="519"/>
      <c r="I446" s="105"/>
    </row>
    <row r="447">
      <c r="A447" s="102"/>
      <c r="B447" s="102"/>
      <c r="C447" s="44"/>
      <c r="D447" s="44"/>
      <c r="E447" s="102"/>
      <c r="F447" s="519"/>
      <c r="G447" s="519"/>
      <c r="H447" s="519"/>
      <c r="I447" s="105"/>
    </row>
    <row r="448">
      <c r="A448" s="102"/>
      <c r="B448" s="102"/>
      <c r="C448" s="44"/>
      <c r="D448" s="44"/>
      <c r="E448" s="102"/>
      <c r="F448" s="519"/>
      <c r="G448" s="519"/>
      <c r="H448" s="519"/>
      <c r="I448" s="105"/>
    </row>
    <row r="449">
      <c r="A449" s="102"/>
      <c r="B449" s="102"/>
      <c r="C449" s="44"/>
      <c r="D449" s="44"/>
      <c r="E449" s="102"/>
      <c r="F449" s="519"/>
      <c r="G449" s="519"/>
      <c r="H449" s="519"/>
      <c r="I449" s="105"/>
    </row>
    <row r="450">
      <c r="A450" s="102"/>
      <c r="B450" s="102"/>
      <c r="C450" s="44"/>
      <c r="D450" s="44"/>
      <c r="E450" s="102"/>
      <c r="F450" s="519"/>
      <c r="G450" s="519"/>
      <c r="H450" s="519"/>
      <c r="I450" s="105"/>
    </row>
    <row r="451">
      <c r="A451" s="102"/>
      <c r="B451" s="102"/>
      <c r="C451" s="44"/>
      <c r="D451" s="44"/>
      <c r="E451" s="102"/>
      <c r="F451" s="519"/>
      <c r="G451" s="519"/>
      <c r="H451" s="519"/>
      <c r="I451" s="105"/>
    </row>
    <row r="452">
      <c r="A452" s="102"/>
      <c r="B452" s="102"/>
      <c r="C452" s="44"/>
      <c r="D452" s="44"/>
      <c r="E452" s="102"/>
      <c r="F452" s="519"/>
      <c r="G452" s="519"/>
      <c r="H452" s="519"/>
      <c r="I452" s="105"/>
    </row>
    <row r="453">
      <c r="A453" s="102"/>
      <c r="B453" s="102"/>
      <c r="C453" s="44"/>
      <c r="D453" s="44"/>
      <c r="E453" s="102"/>
      <c r="F453" s="519"/>
      <c r="G453" s="519"/>
      <c r="H453" s="519"/>
      <c r="I453" s="105"/>
    </row>
    <row r="454">
      <c r="A454" s="102"/>
      <c r="B454" s="102"/>
      <c r="C454" s="44"/>
      <c r="D454" s="44"/>
      <c r="E454" s="102"/>
      <c r="F454" s="519"/>
      <c r="G454" s="519"/>
      <c r="H454" s="519"/>
      <c r="I454" s="105"/>
    </row>
    <row r="455">
      <c r="A455" s="102"/>
      <c r="B455" s="102"/>
      <c r="C455" s="44"/>
      <c r="D455" s="44"/>
      <c r="E455" s="102"/>
      <c r="F455" s="519"/>
      <c r="G455" s="519"/>
      <c r="H455" s="519"/>
      <c r="I455" s="105"/>
    </row>
    <row r="456">
      <c r="A456" s="102"/>
      <c r="B456" s="102"/>
      <c r="C456" s="44"/>
      <c r="D456" s="44"/>
      <c r="E456" s="102"/>
      <c r="F456" s="519"/>
      <c r="G456" s="519"/>
      <c r="H456" s="519"/>
      <c r="I456" s="105"/>
    </row>
    <row r="457">
      <c r="A457" s="102"/>
      <c r="B457" s="102"/>
      <c r="C457" s="44"/>
      <c r="D457" s="44"/>
      <c r="E457" s="102"/>
      <c r="F457" s="519"/>
      <c r="G457" s="519"/>
      <c r="H457" s="519"/>
      <c r="I457" s="105"/>
    </row>
    <row r="458">
      <c r="A458" s="102"/>
      <c r="B458" s="102"/>
      <c r="C458" s="44"/>
      <c r="D458" s="44"/>
      <c r="E458" s="102"/>
      <c r="F458" s="519"/>
      <c r="G458" s="519"/>
      <c r="H458" s="519"/>
      <c r="I458" s="105"/>
    </row>
    <row r="459">
      <c r="A459" s="102"/>
      <c r="B459" s="102"/>
      <c r="C459" s="44"/>
      <c r="D459" s="44"/>
      <c r="E459" s="102"/>
      <c r="F459" s="519"/>
      <c r="G459" s="519"/>
      <c r="H459" s="519"/>
      <c r="I459" s="105"/>
    </row>
    <row r="460">
      <c r="A460" s="102"/>
      <c r="B460" s="102"/>
      <c r="C460" s="44"/>
      <c r="D460" s="44"/>
      <c r="E460" s="102"/>
      <c r="F460" s="519"/>
      <c r="G460" s="519"/>
      <c r="H460" s="519"/>
      <c r="I460" s="105"/>
    </row>
    <row r="461">
      <c r="A461" s="102"/>
      <c r="B461" s="102"/>
      <c r="C461" s="44"/>
      <c r="D461" s="44"/>
      <c r="E461" s="102"/>
      <c r="F461" s="519"/>
      <c r="G461" s="519"/>
      <c r="H461" s="519"/>
      <c r="I461" s="105"/>
    </row>
    <row r="462">
      <c r="A462" s="102"/>
      <c r="B462" s="102"/>
      <c r="C462" s="44"/>
      <c r="D462" s="44"/>
      <c r="E462" s="102"/>
      <c r="F462" s="519"/>
      <c r="G462" s="519"/>
      <c r="H462" s="519"/>
      <c r="I462" s="105"/>
    </row>
    <row r="463">
      <c r="A463" s="102"/>
      <c r="B463" s="102"/>
      <c r="C463" s="44"/>
      <c r="D463" s="44"/>
      <c r="E463" s="102"/>
      <c r="F463" s="519"/>
      <c r="G463" s="519"/>
      <c r="H463" s="519"/>
      <c r="I463" s="105"/>
    </row>
    <row r="464">
      <c r="A464" s="102"/>
      <c r="B464" s="102"/>
      <c r="C464" s="44"/>
      <c r="D464" s="44"/>
      <c r="E464" s="102"/>
      <c r="F464" s="519"/>
      <c r="G464" s="519"/>
      <c r="H464" s="519"/>
      <c r="I464" s="105"/>
    </row>
    <row r="465">
      <c r="A465" s="102"/>
      <c r="B465" s="102"/>
      <c r="C465" s="44"/>
      <c r="D465" s="44"/>
      <c r="E465" s="102"/>
      <c r="F465" s="519"/>
      <c r="G465" s="519"/>
      <c r="H465" s="519"/>
      <c r="I465" s="105"/>
    </row>
    <row r="466">
      <c r="A466" s="102"/>
      <c r="B466" s="102"/>
      <c r="C466" s="44"/>
      <c r="D466" s="44"/>
      <c r="E466" s="102"/>
      <c r="F466" s="519"/>
      <c r="G466" s="519"/>
      <c r="H466" s="519"/>
      <c r="I466" s="105"/>
    </row>
    <row r="467">
      <c r="A467" s="102"/>
      <c r="B467" s="102"/>
      <c r="C467" s="44"/>
      <c r="D467" s="44"/>
      <c r="E467" s="102"/>
      <c r="F467" s="519"/>
      <c r="G467" s="519"/>
      <c r="H467" s="519"/>
      <c r="I467" s="105"/>
    </row>
    <row r="468">
      <c r="A468" s="102"/>
      <c r="B468" s="102"/>
      <c r="C468" s="44"/>
      <c r="D468" s="44"/>
      <c r="E468" s="102"/>
      <c r="F468" s="519"/>
      <c r="G468" s="519"/>
      <c r="H468" s="519"/>
      <c r="I468" s="105"/>
    </row>
    <row r="469">
      <c r="A469" s="102"/>
      <c r="B469" s="102"/>
      <c r="C469" s="44"/>
      <c r="D469" s="44"/>
      <c r="E469" s="102"/>
      <c r="F469" s="519"/>
      <c r="G469" s="519"/>
      <c r="H469" s="519"/>
      <c r="I469" s="105"/>
    </row>
    <row r="470">
      <c r="A470" s="102"/>
      <c r="B470" s="102"/>
      <c r="C470" s="44"/>
      <c r="D470" s="44"/>
      <c r="E470" s="102"/>
      <c r="F470" s="519"/>
      <c r="G470" s="519"/>
      <c r="H470" s="519"/>
      <c r="I470" s="105"/>
    </row>
    <row r="471">
      <c r="A471" s="102"/>
      <c r="B471" s="102"/>
      <c r="C471" s="44"/>
      <c r="D471" s="44"/>
      <c r="E471" s="102"/>
      <c r="F471" s="519"/>
      <c r="G471" s="519"/>
      <c r="H471" s="519"/>
      <c r="I471" s="105"/>
    </row>
    <row r="472">
      <c r="A472" s="102"/>
      <c r="B472" s="102"/>
      <c r="C472" s="44"/>
      <c r="D472" s="44"/>
      <c r="E472" s="102"/>
      <c r="F472" s="519"/>
      <c r="G472" s="519"/>
      <c r="H472" s="519"/>
      <c r="I472" s="105"/>
    </row>
    <row r="473">
      <c r="A473" s="102"/>
      <c r="B473" s="102"/>
      <c r="C473" s="44"/>
      <c r="D473" s="44"/>
      <c r="E473" s="102"/>
      <c r="F473" s="519"/>
      <c r="G473" s="519"/>
      <c r="H473" s="519"/>
      <c r="I473" s="105"/>
    </row>
    <row r="474">
      <c r="A474" s="102"/>
      <c r="B474" s="102"/>
      <c r="C474" s="44"/>
      <c r="D474" s="44"/>
      <c r="E474" s="102"/>
      <c r="F474" s="519"/>
      <c r="G474" s="519"/>
      <c r="H474" s="519"/>
      <c r="I474" s="105"/>
    </row>
    <row r="475">
      <c r="A475" s="102"/>
      <c r="B475" s="102"/>
      <c r="C475" s="44"/>
      <c r="D475" s="44"/>
      <c r="E475" s="102"/>
      <c r="F475" s="519"/>
      <c r="G475" s="519"/>
      <c r="H475" s="519"/>
      <c r="I475" s="105"/>
    </row>
    <row r="476">
      <c r="A476" s="102"/>
      <c r="B476" s="102"/>
      <c r="C476" s="44"/>
      <c r="D476" s="44"/>
      <c r="E476" s="102"/>
      <c r="F476" s="519"/>
      <c r="G476" s="519"/>
      <c r="H476" s="519"/>
      <c r="I476" s="105"/>
    </row>
    <row r="477">
      <c r="A477" s="102"/>
      <c r="B477" s="102"/>
      <c r="C477" s="44"/>
      <c r="D477" s="44"/>
      <c r="E477" s="102"/>
      <c r="F477" s="519"/>
      <c r="G477" s="519"/>
      <c r="H477" s="519"/>
      <c r="I477" s="105"/>
    </row>
    <row r="478">
      <c r="A478" s="102"/>
      <c r="B478" s="102"/>
      <c r="C478" s="44"/>
      <c r="D478" s="44"/>
      <c r="E478" s="102"/>
      <c r="F478" s="519"/>
      <c r="G478" s="519"/>
      <c r="H478" s="519"/>
      <c r="I478" s="105"/>
    </row>
    <row r="479">
      <c r="A479" s="102"/>
      <c r="B479" s="102"/>
      <c r="C479" s="44"/>
      <c r="D479" s="44"/>
      <c r="E479" s="102"/>
      <c r="F479" s="519"/>
      <c r="G479" s="519"/>
      <c r="H479" s="519"/>
      <c r="I479" s="105"/>
    </row>
    <row r="480">
      <c r="A480" s="102"/>
      <c r="B480" s="102"/>
      <c r="C480" s="44"/>
      <c r="D480" s="44"/>
      <c r="E480" s="102"/>
      <c r="F480" s="519"/>
      <c r="G480" s="519"/>
      <c r="H480" s="519"/>
      <c r="I480" s="105"/>
    </row>
    <row r="481">
      <c r="A481" s="102"/>
      <c r="B481" s="102"/>
      <c r="C481" s="44"/>
      <c r="D481" s="44"/>
      <c r="E481" s="102"/>
      <c r="F481" s="519"/>
      <c r="G481" s="519"/>
      <c r="H481" s="519"/>
      <c r="I481" s="105"/>
    </row>
    <row r="482">
      <c r="A482" s="102"/>
      <c r="B482" s="102"/>
      <c r="C482" s="44"/>
      <c r="D482" s="44"/>
      <c r="E482" s="102"/>
      <c r="F482" s="519"/>
      <c r="G482" s="519"/>
      <c r="H482" s="519"/>
      <c r="I482" s="105"/>
    </row>
    <row r="483">
      <c r="A483" s="102"/>
      <c r="B483" s="102"/>
      <c r="C483" s="44"/>
      <c r="D483" s="44"/>
      <c r="E483" s="102"/>
      <c r="F483" s="519"/>
      <c r="G483" s="519"/>
      <c r="H483" s="519"/>
      <c r="I483" s="105"/>
    </row>
    <row r="484">
      <c r="A484" s="102"/>
      <c r="B484" s="102"/>
      <c r="C484" s="44"/>
      <c r="D484" s="44"/>
      <c r="E484" s="102"/>
      <c r="F484" s="519"/>
      <c r="G484" s="519"/>
      <c r="H484" s="519"/>
      <c r="I484" s="105"/>
    </row>
    <row r="485">
      <c r="A485" s="102"/>
      <c r="B485" s="102"/>
      <c r="C485" s="44"/>
      <c r="D485" s="44"/>
      <c r="E485" s="102"/>
      <c r="F485" s="519"/>
      <c r="G485" s="519"/>
      <c r="H485" s="519"/>
      <c r="I485" s="105"/>
    </row>
    <row r="486">
      <c r="A486" s="102"/>
      <c r="B486" s="102"/>
      <c r="C486" s="44"/>
      <c r="D486" s="44"/>
      <c r="E486" s="102"/>
      <c r="F486" s="519"/>
      <c r="G486" s="519"/>
      <c r="H486" s="519"/>
      <c r="I486" s="105"/>
    </row>
    <row r="487">
      <c r="A487" s="102"/>
      <c r="B487" s="102"/>
      <c r="C487" s="44"/>
      <c r="D487" s="44"/>
      <c r="E487" s="102"/>
      <c r="F487" s="519"/>
      <c r="G487" s="519"/>
      <c r="H487" s="519"/>
      <c r="I487" s="105"/>
    </row>
    <row r="488">
      <c r="A488" s="102"/>
      <c r="B488" s="102"/>
      <c r="C488" s="44"/>
      <c r="D488" s="44"/>
      <c r="E488" s="102"/>
      <c r="F488" s="519"/>
      <c r="G488" s="519"/>
      <c r="H488" s="519"/>
      <c r="I488" s="105"/>
    </row>
    <row r="489">
      <c r="A489" s="102"/>
      <c r="B489" s="102"/>
      <c r="C489" s="44"/>
      <c r="D489" s="44"/>
      <c r="E489" s="102"/>
      <c r="F489" s="519"/>
      <c r="G489" s="519"/>
      <c r="H489" s="519"/>
      <c r="I489" s="105"/>
    </row>
    <row r="490">
      <c r="A490" s="102"/>
      <c r="B490" s="102"/>
      <c r="C490" s="44"/>
      <c r="D490" s="44"/>
      <c r="E490" s="102"/>
      <c r="F490" s="519"/>
      <c r="G490" s="519"/>
      <c r="H490" s="519"/>
      <c r="I490" s="105"/>
    </row>
    <row r="491">
      <c r="A491" s="102"/>
      <c r="B491" s="102"/>
      <c r="C491" s="44"/>
      <c r="D491" s="44"/>
      <c r="E491" s="102"/>
      <c r="F491" s="519"/>
      <c r="G491" s="519"/>
      <c r="H491" s="519"/>
      <c r="I491" s="105"/>
    </row>
    <row r="492">
      <c r="A492" s="102"/>
      <c r="B492" s="102"/>
      <c r="C492" s="44"/>
      <c r="D492" s="44"/>
      <c r="E492" s="102"/>
      <c r="F492" s="519"/>
      <c r="G492" s="519"/>
      <c r="H492" s="519"/>
      <c r="I492" s="105"/>
    </row>
    <row r="493">
      <c r="A493" s="102"/>
      <c r="B493" s="102"/>
      <c r="C493" s="44"/>
      <c r="D493" s="44"/>
      <c r="E493" s="102"/>
      <c r="F493" s="519"/>
      <c r="G493" s="519"/>
      <c r="H493" s="519"/>
      <c r="I493" s="105"/>
    </row>
    <row r="494">
      <c r="A494" s="102"/>
      <c r="B494" s="102"/>
      <c r="C494" s="44"/>
      <c r="D494" s="44"/>
      <c r="E494" s="102"/>
      <c r="F494" s="519"/>
      <c r="G494" s="519"/>
      <c r="H494" s="519"/>
      <c r="I494" s="105"/>
    </row>
    <row r="495">
      <c r="A495" s="102"/>
      <c r="B495" s="102"/>
      <c r="C495" s="44"/>
      <c r="D495" s="44"/>
      <c r="E495" s="102"/>
      <c r="F495" s="519"/>
      <c r="G495" s="519"/>
      <c r="H495" s="519"/>
      <c r="I495" s="105"/>
    </row>
    <row r="496">
      <c r="A496" s="102"/>
      <c r="B496" s="102"/>
      <c r="C496" s="44"/>
      <c r="D496" s="44"/>
      <c r="E496" s="102"/>
      <c r="F496" s="519"/>
      <c r="G496" s="519"/>
      <c r="H496" s="519"/>
      <c r="I496" s="105"/>
    </row>
    <row r="497">
      <c r="A497" s="102"/>
      <c r="B497" s="102"/>
      <c r="C497" s="44"/>
      <c r="D497" s="44"/>
      <c r="E497" s="102"/>
      <c r="F497" s="519"/>
      <c r="G497" s="519"/>
      <c r="H497" s="519"/>
      <c r="I497" s="105"/>
    </row>
    <row r="498">
      <c r="A498" s="102"/>
      <c r="B498" s="102"/>
      <c r="C498" s="44"/>
      <c r="D498" s="44"/>
      <c r="E498" s="102"/>
      <c r="F498" s="519"/>
      <c r="G498" s="519"/>
      <c r="H498" s="519"/>
      <c r="I498" s="105"/>
    </row>
    <row r="499">
      <c r="A499" s="102"/>
      <c r="B499" s="102"/>
      <c r="C499" s="44"/>
      <c r="D499" s="44"/>
      <c r="E499" s="102"/>
      <c r="F499" s="519"/>
      <c r="G499" s="519"/>
      <c r="H499" s="519"/>
      <c r="I499" s="105"/>
    </row>
    <row r="500">
      <c r="A500" s="102"/>
      <c r="B500" s="102"/>
      <c r="C500" s="44"/>
      <c r="D500" s="44"/>
      <c r="E500" s="102"/>
      <c r="F500" s="519"/>
      <c r="G500" s="519"/>
      <c r="H500" s="519"/>
      <c r="I500" s="105"/>
    </row>
    <row r="501">
      <c r="A501" s="102"/>
      <c r="B501" s="102"/>
      <c r="C501" s="44"/>
      <c r="D501" s="44"/>
      <c r="E501" s="102"/>
      <c r="F501" s="519"/>
      <c r="G501" s="519"/>
      <c r="H501" s="519"/>
      <c r="I501" s="105"/>
    </row>
    <row r="502">
      <c r="A502" s="102"/>
      <c r="B502" s="102"/>
      <c r="C502" s="44"/>
      <c r="D502" s="44"/>
      <c r="E502" s="102"/>
      <c r="F502" s="519"/>
      <c r="G502" s="519"/>
      <c r="H502" s="519"/>
      <c r="I502" s="105"/>
    </row>
    <row r="503">
      <c r="A503" s="102"/>
      <c r="B503" s="102"/>
      <c r="C503" s="44"/>
      <c r="D503" s="44"/>
      <c r="E503" s="102"/>
      <c r="F503" s="519"/>
      <c r="G503" s="519"/>
      <c r="H503" s="519"/>
      <c r="I503" s="105"/>
    </row>
    <row r="504">
      <c r="A504" s="102"/>
      <c r="B504" s="102"/>
      <c r="C504" s="44"/>
      <c r="D504" s="44"/>
      <c r="E504" s="102"/>
      <c r="F504" s="519"/>
      <c r="G504" s="519"/>
      <c r="H504" s="519"/>
      <c r="I504" s="105"/>
    </row>
    <row r="505">
      <c r="A505" s="102"/>
      <c r="B505" s="102"/>
      <c r="C505" s="44"/>
      <c r="D505" s="44"/>
      <c r="E505" s="102"/>
      <c r="F505" s="519"/>
      <c r="G505" s="519"/>
      <c r="H505" s="519"/>
      <c r="I505" s="105"/>
    </row>
    <row r="506">
      <c r="A506" s="102"/>
      <c r="B506" s="102"/>
      <c r="C506" s="44"/>
      <c r="D506" s="44"/>
      <c r="E506" s="102"/>
      <c r="F506" s="519"/>
      <c r="G506" s="519"/>
      <c r="H506" s="519"/>
      <c r="I506" s="105"/>
    </row>
    <row r="507">
      <c r="A507" s="102"/>
      <c r="B507" s="102"/>
      <c r="C507" s="44"/>
      <c r="D507" s="44"/>
      <c r="E507" s="102"/>
      <c r="F507" s="519"/>
      <c r="G507" s="519"/>
      <c r="H507" s="519"/>
      <c r="I507" s="105"/>
    </row>
    <row r="508">
      <c r="A508" s="102"/>
      <c r="B508" s="102"/>
      <c r="C508" s="44"/>
      <c r="D508" s="44"/>
      <c r="E508" s="102"/>
      <c r="F508" s="519"/>
      <c r="G508" s="519"/>
      <c r="H508" s="519"/>
      <c r="I508" s="105"/>
    </row>
    <row r="509">
      <c r="A509" s="102"/>
      <c r="B509" s="102"/>
      <c r="C509" s="44"/>
      <c r="D509" s="44"/>
      <c r="E509" s="102"/>
      <c r="F509" s="519"/>
      <c r="G509" s="519"/>
      <c r="H509" s="519"/>
      <c r="I509" s="105"/>
    </row>
    <row r="510">
      <c r="A510" s="102"/>
      <c r="B510" s="102"/>
      <c r="C510" s="44"/>
      <c r="D510" s="44"/>
      <c r="E510" s="102"/>
      <c r="F510" s="519"/>
      <c r="G510" s="519"/>
      <c r="H510" s="519"/>
      <c r="I510" s="105"/>
    </row>
    <row r="511">
      <c r="A511" s="102"/>
      <c r="B511" s="102"/>
      <c r="C511" s="44"/>
      <c r="D511" s="44"/>
      <c r="E511" s="102"/>
      <c r="F511" s="519"/>
      <c r="G511" s="519"/>
      <c r="H511" s="519"/>
      <c r="I511" s="105"/>
    </row>
    <row r="512">
      <c r="A512" s="102"/>
      <c r="B512" s="102"/>
      <c r="C512" s="44"/>
      <c r="D512" s="44"/>
      <c r="E512" s="102"/>
      <c r="F512" s="519"/>
      <c r="G512" s="519"/>
      <c r="H512" s="519"/>
      <c r="I512" s="105"/>
    </row>
    <row r="513">
      <c r="A513" s="102"/>
      <c r="B513" s="102"/>
      <c r="C513" s="44"/>
      <c r="D513" s="44"/>
      <c r="E513" s="102"/>
      <c r="F513" s="519"/>
      <c r="G513" s="519"/>
      <c r="H513" s="519"/>
      <c r="I513" s="105"/>
    </row>
    <row r="514">
      <c r="A514" s="102"/>
      <c r="B514" s="102"/>
      <c r="C514" s="44"/>
      <c r="D514" s="44"/>
      <c r="E514" s="102"/>
      <c r="F514" s="519"/>
      <c r="G514" s="519"/>
      <c r="H514" s="519"/>
      <c r="I514" s="105"/>
    </row>
    <row r="515">
      <c r="A515" s="102"/>
      <c r="B515" s="102"/>
      <c r="C515" s="44"/>
      <c r="D515" s="44"/>
      <c r="E515" s="102"/>
      <c r="F515" s="519"/>
      <c r="G515" s="519"/>
      <c r="H515" s="519"/>
      <c r="I515" s="105"/>
    </row>
    <row r="516">
      <c r="A516" s="102"/>
      <c r="B516" s="102"/>
      <c r="C516" s="44"/>
      <c r="D516" s="44"/>
      <c r="E516" s="102"/>
      <c r="F516" s="519"/>
      <c r="G516" s="519"/>
      <c r="H516" s="519"/>
      <c r="I516" s="105"/>
    </row>
    <row r="517">
      <c r="A517" s="102"/>
      <c r="B517" s="102"/>
      <c r="C517" s="44"/>
      <c r="D517" s="44"/>
      <c r="E517" s="102"/>
      <c r="F517" s="519"/>
      <c r="G517" s="519"/>
      <c r="H517" s="519"/>
      <c r="I517" s="105"/>
    </row>
    <row r="518">
      <c r="A518" s="102"/>
      <c r="B518" s="102"/>
      <c r="C518" s="44"/>
      <c r="D518" s="44"/>
      <c r="E518" s="102"/>
      <c r="F518" s="519"/>
      <c r="G518" s="519"/>
      <c r="H518" s="519"/>
      <c r="I518" s="105"/>
    </row>
    <row r="519">
      <c r="A519" s="102"/>
      <c r="B519" s="102"/>
      <c r="C519" s="44"/>
      <c r="D519" s="44"/>
      <c r="E519" s="102"/>
      <c r="F519" s="519"/>
      <c r="G519" s="519"/>
      <c r="H519" s="519"/>
      <c r="I519" s="105"/>
    </row>
    <row r="520">
      <c r="A520" s="102"/>
      <c r="B520" s="102"/>
      <c r="C520" s="44"/>
      <c r="D520" s="44"/>
      <c r="E520" s="102"/>
      <c r="F520" s="519"/>
      <c r="G520" s="519"/>
      <c r="H520" s="519"/>
      <c r="I520" s="105"/>
    </row>
    <row r="521">
      <c r="A521" s="102"/>
      <c r="B521" s="102"/>
      <c r="C521" s="44"/>
      <c r="D521" s="44"/>
      <c r="E521" s="102"/>
      <c r="F521" s="519"/>
      <c r="G521" s="519"/>
      <c r="H521" s="519"/>
      <c r="I521" s="105"/>
    </row>
    <row r="522">
      <c r="A522" s="102"/>
      <c r="B522" s="102"/>
      <c r="C522" s="44"/>
      <c r="D522" s="44"/>
      <c r="E522" s="102"/>
      <c r="F522" s="519"/>
      <c r="G522" s="519"/>
      <c r="H522" s="519"/>
      <c r="I522" s="105"/>
    </row>
    <row r="523">
      <c r="A523" s="102"/>
      <c r="B523" s="102"/>
      <c r="C523" s="44"/>
      <c r="D523" s="44"/>
      <c r="E523" s="102"/>
      <c r="F523" s="519"/>
      <c r="G523" s="519"/>
      <c r="H523" s="519"/>
      <c r="I523" s="105"/>
    </row>
    <row r="524">
      <c r="A524" s="102"/>
      <c r="B524" s="102"/>
      <c r="C524" s="44"/>
      <c r="D524" s="44"/>
      <c r="E524" s="102"/>
      <c r="F524" s="519"/>
      <c r="G524" s="519"/>
      <c r="H524" s="519"/>
      <c r="I524" s="105"/>
    </row>
    <row r="525">
      <c r="A525" s="102"/>
      <c r="B525" s="102"/>
      <c r="C525" s="44"/>
      <c r="D525" s="44"/>
      <c r="E525" s="102"/>
      <c r="F525" s="519"/>
      <c r="G525" s="519"/>
      <c r="H525" s="519"/>
      <c r="I525" s="105"/>
    </row>
    <row r="526">
      <c r="A526" s="102"/>
      <c r="B526" s="102"/>
      <c r="C526" s="44"/>
      <c r="D526" s="44"/>
      <c r="E526" s="102"/>
      <c r="F526" s="519"/>
      <c r="G526" s="519"/>
      <c r="H526" s="519"/>
      <c r="I526" s="105"/>
    </row>
    <row r="527">
      <c r="A527" s="102"/>
      <c r="B527" s="102"/>
      <c r="C527" s="44"/>
      <c r="D527" s="44"/>
      <c r="E527" s="102"/>
      <c r="F527" s="519"/>
      <c r="G527" s="519"/>
      <c r="H527" s="519"/>
      <c r="I527" s="105"/>
    </row>
    <row r="528">
      <c r="A528" s="102"/>
      <c r="B528" s="102"/>
      <c r="C528" s="44"/>
      <c r="D528" s="44"/>
      <c r="E528" s="102"/>
      <c r="F528" s="519"/>
      <c r="G528" s="519"/>
      <c r="H528" s="519"/>
      <c r="I528" s="105"/>
    </row>
    <row r="529">
      <c r="A529" s="102"/>
      <c r="B529" s="102"/>
      <c r="C529" s="44"/>
      <c r="D529" s="44"/>
      <c r="E529" s="102"/>
      <c r="F529" s="519"/>
      <c r="G529" s="519"/>
      <c r="H529" s="519"/>
      <c r="I529" s="105"/>
    </row>
    <row r="530">
      <c r="A530" s="102"/>
      <c r="B530" s="102"/>
      <c r="C530" s="44"/>
      <c r="D530" s="44"/>
      <c r="E530" s="102"/>
      <c r="F530" s="519"/>
      <c r="G530" s="519"/>
      <c r="H530" s="519"/>
      <c r="I530" s="105"/>
    </row>
    <row r="531">
      <c r="A531" s="102"/>
      <c r="B531" s="102"/>
      <c r="C531" s="44"/>
      <c r="D531" s="44"/>
      <c r="E531" s="102"/>
      <c r="F531" s="519"/>
      <c r="G531" s="519"/>
      <c r="H531" s="519"/>
      <c r="I531" s="105"/>
    </row>
    <row r="532">
      <c r="A532" s="102"/>
      <c r="B532" s="102"/>
      <c r="C532" s="44"/>
      <c r="D532" s="44"/>
      <c r="E532" s="102"/>
      <c r="F532" s="519"/>
      <c r="G532" s="519"/>
      <c r="H532" s="519"/>
      <c r="I532" s="105"/>
    </row>
    <row r="533">
      <c r="A533" s="102"/>
      <c r="B533" s="102"/>
      <c r="C533" s="44"/>
      <c r="D533" s="44"/>
      <c r="E533" s="102"/>
      <c r="F533" s="519"/>
      <c r="G533" s="519"/>
      <c r="H533" s="519"/>
      <c r="I533" s="105"/>
    </row>
    <row r="534">
      <c r="A534" s="102"/>
      <c r="B534" s="102"/>
      <c r="C534" s="44"/>
      <c r="D534" s="44"/>
      <c r="E534" s="102"/>
      <c r="F534" s="519"/>
      <c r="G534" s="519"/>
      <c r="H534" s="519"/>
      <c r="I534" s="105"/>
    </row>
    <row r="535">
      <c r="A535" s="102"/>
      <c r="B535" s="102"/>
      <c r="C535" s="44"/>
      <c r="D535" s="44"/>
      <c r="E535" s="102"/>
      <c r="F535" s="519"/>
      <c r="G535" s="519"/>
      <c r="H535" s="519"/>
      <c r="I535" s="105"/>
    </row>
    <row r="536">
      <c r="A536" s="102"/>
      <c r="B536" s="102"/>
      <c r="C536" s="44"/>
      <c r="D536" s="44"/>
      <c r="E536" s="102"/>
      <c r="F536" s="519"/>
      <c r="G536" s="519"/>
      <c r="H536" s="519"/>
      <c r="I536" s="105"/>
    </row>
    <row r="537">
      <c r="A537" s="102"/>
      <c r="B537" s="102"/>
      <c r="C537" s="44"/>
      <c r="D537" s="44"/>
      <c r="E537" s="102"/>
      <c r="F537" s="519"/>
      <c r="G537" s="519"/>
      <c r="H537" s="519"/>
      <c r="I537" s="105"/>
    </row>
    <row r="538">
      <c r="A538" s="102"/>
      <c r="B538" s="102"/>
      <c r="C538" s="44"/>
      <c r="D538" s="44"/>
      <c r="E538" s="102"/>
      <c r="F538" s="519"/>
      <c r="G538" s="519"/>
      <c r="H538" s="519"/>
      <c r="I538" s="105"/>
    </row>
    <row r="539">
      <c r="A539" s="102"/>
      <c r="B539" s="102"/>
      <c r="C539" s="44"/>
      <c r="D539" s="44"/>
      <c r="E539" s="102"/>
      <c r="F539" s="519"/>
      <c r="G539" s="519"/>
      <c r="H539" s="519"/>
      <c r="I539" s="105"/>
    </row>
    <row r="540">
      <c r="A540" s="102"/>
      <c r="B540" s="102"/>
      <c r="C540" s="44"/>
      <c r="D540" s="44"/>
      <c r="E540" s="102"/>
      <c r="F540" s="519"/>
      <c r="G540" s="519"/>
      <c r="H540" s="519"/>
      <c r="I540" s="105"/>
    </row>
    <row r="541">
      <c r="A541" s="102"/>
      <c r="B541" s="102"/>
      <c r="C541" s="44"/>
      <c r="D541" s="44"/>
      <c r="E541" s="102"/>
      <c r="F541" s="519"/>
      <c r="G541" s="519"/>
      <c r="H541" s="519"/>
      <c r="I541" s="105"/>
    </row>
    <row r="542">
      <c r="A542" s="102"/>
      <c r="B542" s="102"/>
      <c r="C542" s="44"/>
      <c r="D542" s="44"/>
      <c r="E542" s="102"/>
      <c r="F542" s="519"/>
      <c r="G542" s="519"/>
      <c r="H542" s="519"/>
      <c r="I542" s="105"/>
    </row>
    <row r="543">
      <c r="A543" s="102"/>
      <c r="B543" s="102"/>
      <c r="C543" s="44"/>
      <c r="D543" s="44"/>
      <c r="E543" s="102"/>
      <c r="F543" s="519"/>
      <c r="G543" s="519"/>
      <c r="H543" s="519"/>
      <c r="I543" s="105"/>
    </row>
    <row r="544">
      <c r="A544" s="102"/>
      <c r="B544" s="102"/>
      <c r="C544" s="44"/>
      <c r="D544" s="44"/>
      <c r="E544" s="102"/>
      <c r="F544" s="519"/>
      <c r="G544" s="519"/>
      <c r="H544" s="519"/>
      <c r="I544" s="105"/>
    </row>
    <row r="545">
      <c r="A545" s="102"/>
      <c r="B545" s="102"/>
      <c r="C545" s="44"/>
      <c r="D545" s="44"/>
      <c r="E545" s="102"/>
      <c r="F545" s="519"/>
      <c r="G545" s="519"/>
      <c r="H545" s="519"/>
      <c r="I545" s="105"/>
    </row>
    <row r="546">
      <c r="A546" s="102"/>
      <c r="B546" s="102"/>
      <c r="C546" s="44"/>
      <c r="D546" s="44"/>
      <c r="E546" s="102"/>
      <c r="F546" s="519"/>
      <c r="G546" s="519"/>
      <c r="H546" s="519"/>
      <c r="I546" s="105"/>
    </row>
    <row r="547">
      <c r="A547" s="102"/>
      <c r="B547" s="102"/>
      <c r="C547" s="44"/>
      <c r="D547" s="44"/>
      <c r="E547" s="102"/>
      <c r="F547" s="519"/>
      <c r="G547" s="519"/>
      <c r="H547" s="519"/>
      <c r="I547" s="105"/>
    </row>
    <row r="548">
      <c r="A548" s="102"/>
      <c r="B548" s="102"/>
      <c r="C548" s="44"/>
      <c r="D548" s="44"/>
      <c r="E548" s="102"/>
      <c r="F548" s="519"/>
      <c r="G548" s="519"/>
      <c r="H548" s="519"/>
      <c r="I548" s="105"/>
    </row>
    <row r="549">
      <c r="A549" s="102"/>
      <c r="B549" s="102"/>
      <c r="C549" s="44"/>
      <c r="D549" s="44"/>
      <c r="E549" s="102"/>
      <c r="F549" s="519"/>
      <c r="G549" s="519"/>
      <c r="H549" s="519"/>
      <c r="I549" s="105"/>
    </row>
    <row r="550">
      <c r="A550" s="102"/>
      <c r="B550" s="102"/>
      <c r="C550" s="44"/>
      <c r="D550" s="44"/>
      <c r="E550" s="102"/>
      <c r="F550" s="519"/>
      <c r="G550" s="519"/>
      <c r="H550" s="519"/>
      <c r="I550" s="105"/>
    </row>
    <row r="551">
      <c r="A551" s="102"/>
      <c r="B551" s="102"/>
      <c r="C551" s="44"/>
      <c r="D551" s="44"/>
      <c r="E551" s="102"/>
      <c r="F551" s="519"/>
      <c r="G551" s="519"/>
      <c r="H551" s="519"/>
      <c r="I551" s="105"/>
    </row>
    <row r="552">
      <c r="A552" s="102"/>
      <c r="B552" s="102"/>
      <c r="C552" s="44"/>
      <c r="D552" s="44"/>
      <c r="E552" s="102"/>
      <c r="F552" s="519"/>
      <c r="G552" s="519"/>
      <c r="H552" s="519"/>
      <c r="I552" s="105"/>
    </row>
    <row r="553">
      <c r="A553" s="102"/>
      <c r="B553" s="102"/>
      <c r="C553" s="44"/>
      <c r="D553" s="44"/>
      <c r="E553" s="102"/>
      <c r="F553" s="519"/>
      <c r="G553" s="519"/>
      <c r="H553" s="519"/>
      <c r="I553" s="105"/>
    </row>
    <row r="554">
      <c r="A554" s="102"/>
      <c r="B554" s="102"/>
      <c r="C554" s="44"/>
      <c r="D554" s="44"/>
      <c r="E554" s="102"/>
      <c r="F554" s="519"/>
      <c r="G554" s="519"/>
      <c r="H554" s="519"/>
      <c r="I554" s="105"/>
    </row>
    <row r="555">
      <c r="A555" s="102"/>
      <c r="B555" s="102"/>
      <c r="C555" s="44"/>
      <c r="D555" s="44"/>
      <c r="E555" s="102"/>
      <c r="F555" s="519"/>
      <c r="G555" s="519"/>
      <c r="H555" s="519"/>
      <c r="I555" s="105"/>
    </row>
    <row r="556">
      <c r="A556" s="102"/>
      <c r="B556" s="102"/>
      <c r="C556" s="44"/>
      <c r="D556" s="44"/>
      <c r="E556" s="102"/>
      <c r="F556" s="519"/>
      <c r="G556" s="519"/>
      <c r="H556" s="519"/>
      <c r="I556" s="105"/>
    </row>
    <row r="557">
      <c r="A557" s="102"/>
      <c r="B557" s="102"/>
      <c r="C557" s="44"/>
      <c r="D557" s="44"/>
      <c r="E557" s="102"/>
      <c r="F557" s="519"/>
      <c r="G557" s="519"/>
      <c r="H557" s="519"/>
      <c r="I557" s="105"/>
    </row>
    <row r="558">
      <c r="A558" s="102"/>
      <c r="B558" s="102"/>
      <c r="C558" s="44"/>
      <c r="D558" s="44"/>
      <c r="E558" s="102"/>
      <c r="F558" s="519"/>
      <c r="G558" s="519"/>
      <c r="H558" s="519"/>
      <c r="I558" s="105"/>
    </row>
    <row r="559">
      <c r="A559" s="102"/>
      <c r="B559" s="102"/>
      <c r="C559" s="44"/>
      <c r="D559" s="44"/>
      <c r="E559" s="102"/>
      <c r="F559" s="519"/>
      <c r="G559" s="519"/>
      <c r="H559" s="519"/>
      <c r="I559" s="105"/>
    </row>
    <row r="560">
      <c r="A560" s="102"/>
      <c r="B560" s="102"/>
      <c r="C560" s="44"/>
      <c r="D560" s="44"/>
      <c r="E560" s="102"/>
      <c r="F560" s="519"/>
      <c r="G560" s="519"/>
      <c r="H560" s="519"/>
      <c r="I560" s="105"/>
    </row>
    <row r="561">
      <c r="A561" s="102"/>
      <c r="B561" s="102"/>
      <c r="C561" s="44"/>
      <c r="D561" s="44"/>
      <c r="E561" s="102"/>
      <c r="F561" s="519"/>
      <c r="G561" s="519"/>
      <c r="H561" s="519"/>
      <c r="I561" s="105"/>
    </row>
    <row r="562">
      <c r="A562" s="102"/>
      <c r="B562" s="102"/>
      <c r="C562" s="44"/>
      <c r="D562" s="44"/>
      <c r="E562" s="102"/>
      <c r="F562" s="519"/>
      <c r="G562" s="519"/>
      <c r="H562" s="519"/>
      <c r="I562" s="105"/>
    </row>
    <row r="563">
      <c r="A563" s="102"/>
      <c r="B563" s="102"/>
      <c r="C563" s="44"/>
      <c r="D563" s="44"/>
      <c r="E563" s="102"/>
      <c r="F563" s="519"/>
      <c r="G563" s="519"/>
      <c r="H563" s="519"/>
      <c r="I563" s="105"/>
    </row>
    <row r="564">
      <c r="A564" s="102"/>
      <c r="B564" s="102"/>
      <c r="C564" s="44"/>
      <c r="D564" s="44"/>
      <c r="E564" s="102"/>
      <c r="F564" s="519"/>
      <c r="G564" s="519"/>
      <c r="H564" s="519"/>
      <c r="I564" s="105"/>
    </row>
    <row r="565">
      <c r="A565" s="102"/>
      <c r="B565" s="102"/>
      <c r="C565" s="44"/>
      <c r="D565" s="44"/>
      <c r="E565" s="102"/>
      <c r="F565" s="519"/>
      <c r="G565" s="519"/>
      <c r="H565" s="519"/>
      <c r="I565" s="105"/>
    </row>
    <row r="566">
      <c r="A566" s="102"/>
      <c r="B566" s="102"/>
      <c r="C566" s="44"/>
      <c r="D566" s="44"/>
      <c r="E566" s="102"/>
      <c r="F566" s="519"/>
      <c r="G566" s="519"/>
      <c r="H566" s="519"/>
      <c r="I566" s="105"/>
    </row>
    <row r="567">
      <c r="A567" s="102"/>
      <c r="B567" s="102"/>
      <c r="C567" s="44"/>
      <c r="D567" s="44"/>
      <c r="E567" s="102"/>
      <c r="F567" s="519"/>
      <c r="G567" s="519"/>
      <c r="H567" s="519"/>
      <c r="I567" s="105"/>
    </row>
    <row r="568">
      <c r="A568" s="102"/>
      <c r="B568" s="102"/>
      <c r="C568" s="44"/>
      <c r="D568" s="44"/>
      <c r="E568" s="102"/>
      <c r="F568" s="519"/>
      <c r="G568" s="519"/>
      <c r="H568" s="519"/>
      <c r="I568" s="105"/>
    </row>
    <row r="569">
      <c r="A569" s="102"/>
      <c r="B569" s="102"/>
      <c r="C569" s="44"/>
      <c r="D569" s="44"/>
      <c r="E569" s="102"/>
      <c r="F569" s="519"/>
      <c r="G569" s="519"/>
      <c r="H569" s="519"/>
      <c r="I569" s="105"/>
    </row>
    <row r="570">
      <c r="A570" s="102"/>
      <c r="B570" s="102"/>
      <c r="C570" s="44"/>
      <c r="D570" s="44"/>
      <c r="E570" s="102"/>
      <c r="F570" s="519"/>
      <c r="G570" s="519"/>
      <c r="H570" s="519"/>
      <c r="I570" s="105"/>
    </row>
    <row r="571">
      <c r="A571" s="102"/>
      <c r="B571" s="102"/>
      <c r="C571" s="44"/>
      <c r="D571" s="44"/>
      <c r="E571" s="102"/>
      <c r="F571" s="519"/>
      <c r="G571" s="519"/>
      <c r="H571" s="519"/>
      <c r="I571" s="105"/>
    </row>
    <row r="572">
      <c r="A572" s="102"/>
      <c r="B572" s="102"/>
      <c r="C572" s="44"/>
      <c r="D572" s="44"/>
      <c r="E572" s="102"/>
      <c r="F572" s="519"/>
      <c r="G572" s="519"/>
      <c r="H572" s="519"/>
      <c r="I572" s="105"/>
    </row>
    <row r="573">
      <c r="A573" s="102"/>
      <c r="B573" s="102"/>
      <c r="C573" s="44"/>
      <c r="D573" s="44"/>
      <c r="E573" s="102"/>
      <c r="F573" s="519"/>
      <c r="G573" s="519"/>
      <c r="H573" s="519"/>
      <c r="I573" s="105"/>
    </row>
    <row r="574">
      <c r="A574" s="102"/>
      <c r="B574" s="102"/>
      <c r="C574" s="44"/>
      <c r="D574" s="44"/>
      <c r="E574" s="102"/>
      <c r="F574" s="519"/>
      <c r="G574" s="519"/>
      <c r="H574" s="519"/>
      <c r="I574" s="105"/>
    </row>
    <row r="575">
      <c r="A575" s="102"/>
      <c r="B575" s="102"/>
      <c r="C575" s="44"/>
      <c r="D575" s="44"/>
      <c r="E575" s="102"/>
      <c r="F575" s="519"/>
      <c r="G575" s="519"/>
      <c r="H575" s="519"/>
      <c r="I575" s="105"/>
    </row>
    <row r="576">
      <c r="A576" s="102"/>
      <c r="B576" s="102"/>
      <c r="C576" s="44"/>
      <c r="D576" s="44"/>
      <c r="E576" s="102"/>
      <c r="F576" s="519"/>
      <c r="G576" s="519"/>
      <c r="H576" s="519"/>
      <c r="I576" s="105"/>
    </row>
    <row r="577">
      <c r="A577" s="102"/>
      <c r="B577" s="102"/>
      <c r="C577" s="44"/>
      <c r="D577" s="44"/>
      <c r="E577" s="102"/>
      <c r="F577" s="519"/>
      <c r="G577" s="519"/>
      <c r="H577" s="519"/>
      <c r="I577" s="105"/>
    </row>
    <row r="578">
      <c r="A578" s="102"/>
      <c r="B578" s="102"/>
      <c r="C578" s="44"/>
      <c r="D578" s="44"/>
      <c r="E578" s="102"/>
      <c r="F578" s="519"/>
      <c r="G578" s="519"/>
      <c r="H578" s="519"/>
      <c r="I578" s="105"/>
    </row>
    <row r="579">
      <c r="A579" s="102"/>
      <c r="B579" s="102"/>
      <c r="C579" s="44"/>
      <c r="D579" s="44"/>
      <c r="E579" s="102"/>
      <c r="F579" s="519"/>
      <c r="G579" s="519"/>
      <c r="H579" s="519"/>
      <c r="I579" s="105"/>
    </row>
    <row r="580">
      <c r="A580" s="102"/>
      <c r="B580" s="102"/>
      <c r="C580" s="44"/>
      <c r="D580" s="44"/>
      <c r="E580" s="102"/>
      <c r="F580" s="519"/>
      <c r="G580" s="519"/>
      <c r="H580" s="519"/>
      <c r="I580" s="105"/>
    </row>
    <row r="581">
      <c r="A581" s="102"/>
      <c r="B581" s="102"/>
      <c r="C581" s="44"/>
      <c r="D581" s="44"/>
      <c r="E581" s="102"/>
      <c r="F581" s="519"/>
      <c r="G581" s="519"/>
      <c r="H581" s="519"/>
      <c r="I581" s="105"/>
    </row>
    <row r="582">
      <c r="A582" s="102"/>
      <c r="B582" s="102"/>
      <c r="C582" s="44"/>
      <c r="D582" s="44"/>
      <c r="E582" s="102"/>
      <c r="F582" s="519"/>
      <c r="G582" s="519"/>
      <c r="H582" s="519"/>
      <c r="I582" s="105"/>
    </row>
    <row r="583">
      <c r="A583" s="102"/>
      <c r="B583" s="102"/>
      <c r="C583" s="44"/>
      <c r="D583" s="44"/>
      <c r="E583" s="102"/>
      <c r="F583" s="519"/>
      <c r="G583" s="519"/>
      <c r="H583" s="519"/>
      <c r="I583" s="105"/>
    </row>
    <row r="584">
      <c r="A584" s="102"/>
      <c r="B584" s="102"/>
      <c r="C584" s="44"/>
      <c r="D584" s="44"/>
      <c r="E584" s="102"/>
      <c r="F584" s="519"/>
      <c r="G584" s="519"/>
      <c r="H584" s="519"/>
      <c r="I584" s="105"/>
    </row>
    <row r="585">
      <c r="A585" s="102"/>
      <c r="B585" s="102"/>
      <c r="C585" s="44"/>
      <c r="D585" s="44"/>
      <c r="E585" s="102"/>
      <c r="F585" s="519"/>
      <c r="G585" s="519"/>
      <c r="H585" s="519"/>
      <c r="I585" s="105"/>
    </row>
    <row r="586">
      <c r="A586" s="102"/>
      <c r="B586" s="102"/>
      <c r="C586" s="44"/>
      <c r="D586" s="44"/>
      <c r="E586" s="102"/>
      <c r="F586" s="519"/>
      <c r="G586" s="519"/>
      <c r="H586" s="519"/>
      <c r="I586" s="105"/>
    </row>
    <row r="587">
      <c r="A587" s="102"/>
      <c r="B587" s="102"/>
      <c r="C587" s="44"/>
      <c r="D587" s="44"/>
      <c r="E587" s="102"/>
      <c r="F587" s="519"/>
      <c r="G587" s="519"/>
      <c r="H587" s="519"/>
      <c r="I587" s="105"/>
    </row>
    <row r="588">
      <c r="A588" s="102"/>
      <c r="B588" s="102"/>
      <c r="C588" s="44"/>
      <c r="D588" s="44"/>
      <c r="E588" s="102"/>
      <c r="F588" s="519"/>
      <c r="G588" s="519"/>
      <c r="H588" s="519"/>
      <c r="I588" s="105"/>
    </row>
    <row r="589">
      <c r="A589" s="102"/>
      <c r="B589" s="102"/>
      <c r="C589" s="44"/>
      <c r="D589" s="44"/>
      <c r="E589" s="102"/>
      <c r="F589" s="519"/>
      <c r="G589" s="519"/>
      <c r="H589" s="519"/>
      <c r="I589" s="105"/>
    </row>
    <row r="590">
      <c r="A590" s="102"/>
      <c r="B590" s="102"/>
      <c r="C590" s="44"/>
      <c r="D590" s="44"/>
      <c r="E590" s="102"/>
      <c r="F590" s="519"/>
      <c r="G590" s="519"/>
      <c r="H590" s="519"/>
      <c r="I590" s="105"/>
    </row>
    <row r="591">
      <c r="A591" s="102"/>
      <c r="B591" s="102"/>
      <c r="C591" s="44"/>
      <c r="D591" s="44"/>
      <c r="E591" s="102"/>
      <c r="F591" s="519"/>
      <c r="G591" s="519"/>
      <c r="H591" s="519"/>
      <c r="I591" s="105"/>
    </row>
    <row r="592">
      <c r="A592" s="102"/>
      <c r="B592" s="102"/>
      <c r="C592" s="44"/>
      <c r="D592" s="44"/>
      <c r="E592" s="102"/>
      <c r="F592" s="519"/>
      <c r="G592" s="519"/>
      <c r="H592" s="519"/>
      <c r="I592" s="105"/>
    </row>
    <row r="593">
      <c r="A593" s="102"/>
      <c r="B593" s="102"/>
      <c r="C593" s="44"/>
      <c r="D593" s="44"/>
      <c r="E593" s="102"/>
      <c r="F593" s="519"/>
      <c r="G593" s="519"/>
      <c r="H593" s="519"/>
      <c r="I593" s="105"/>
    </row>
    <row r="594">
      <c r="A594" s="102"/>
      <c r="B594" s="102"/>
      <c r="C594" s="44"/>
      <c r="D594" s="44"/>
      <c r="E594" s="102"/>
      <c r="F594" s="519"/>
      <c r="G594" s="519"/>
      <c r="H594" s="519"/>
      <c r="I594" s="105"/>
    </row>
    <row r="595">
      <c r="A595" s="102"/>
      <c r="B595" s="102"/>
      <c r="C595" s="44"/>
      <c r="D595" s="44"/>
      <c r="E595" s="102"/>
      <c r="F595" s="519"/>
      <c r="G595" s="519"/>
      <c r="H595" s="519"/>
      <c r="I595" s="105"/>
    </row>
    <row r="596">
      <c r="A596" s="102"/>
      <c r="B596" s="102"/>
      <c r="C596" s="44"/>
      <c r="D596" s="44"/>
      <c r="E596" s="102"/>
      <c r="F596" s="519"/>
      <c r="G596" s="519"/>
      <c r="H596" s="519"/>
      <c r="I596" s="105"/>
    </row>
    <row r="597">
      <c r="A597" s="102"/>
      <c r="B597" s="102"/>
      <c r="C597" s="44"/>
      <c r="D597" s="44"/>
      <c r="E597" s="102"/>
      <c r="F597" s="519"/>
      <c r="G597" s="519"/>
      <c r="H597" s="519"/>
      <c r="I597" s="105"/>
    </row>
    <row r="598">
      <c r="A598" s="102"/>
      <c r="B598" s="102"/>
      <c r="C598" s="44"/>
      <c r="D598" s="44"/>
      <c r="E598" s="102"/>
      <c r="F598" s="519"/>
      <c r="G598" s="519"/>
      <c r="H598" s="519"/>
      <c r="I598" s="105"/>
    </row>
    <row r="599">
      <c r="A599" s="102"/>
      <c r="B599" s="102"/>
      <c r="C599" s="44"/>
      <c r="D599" s="44"/>
      <c r="E599" s="102"/>
      <c r="F599" s="519"/>
      <c r="G599" s="519"/>
      <c r="H599" s="519"/>
      <c r="I599" s="105"/>
    </row>
    <row r="600">
      <c r="A600" s="102"/>
      <c r="B600" s="102"/>
      <c r="C600" s="44"/>
      <c r="D600" s="44"/>
      <c r="E600" s="102"/>
      <c r="F600" s="519"/>
      <c r="G600" s="519"/>
      <c r="H600" s="519"/>
      <c r="I600" s="105"/>
    </row>
    <row r="601">
      <c r="A601" s="102"/>
      <c r="B601" s="102"/>
      <c r="C601" s="44"/>
      <c r="D601" s="44"/>
      <c r="E601" s="102"/>
      <c r="F601" s="519"/>
      <c r="G601" s="519"/>
      <c r="H601" s="519"/>
      <c r="I601" s="105"/>
    </row>
    <row r="602">
      <c r="A602" s="102"/>
      <c r="B602" s="102"/>
      <c r="C602" s="44"/>
      <c r="D602" s="44"/>
      <c r="E602" s="102"/>
      <c r="F602" s="519"/>
      <c r="G602" s="519"/>
      <c r="H602" s="519"/>
      <c r="I602" s="105"/>
    </row>
    <row r="603">
      <c r="A603" s="102"/>
      <c r="B603" s="102"/>
      <c r="C603" s="44"/>
      <c r="D603" s="44"/>
      <c r="E603" s="102"/>
      <c r="F603" s="519"/>
      <c r="G603" s="519"/>
      <c r="H603" s="519"/>
      <c r="I603" s="105"/>
    </row>
    <row r="604">
      <c r="A604" s="102"/>
      <c r="B604" s="102"/>
      <c r="C604" s="44"/>
      <c r="D604" s="44"/>
      <c r="E604" s="102"/>
      <c r="F604" s="519"/>
      <c r="G604" s="519"/>
      <c r="H604" s="519"/>
      <c r="I604" s="105"/>
    </row>
    <row r="605">
      <c r="A605" s="102"/>
      <c r="B605" s="102"/>
      <c r="C605" s="44"/>
      <c r="D605" s="44"/>
      <c r="E605" s="102"/>
      <c r="F605" s="519"/>
      <c r="G605" s="519"/>
      <c r="H605" s="519"/>
      <c r="I605" s="105"/>
    </row>
    <row r="606">
      <c r="A606" s="102"/>
      <c r="B606" s="102"/>
      <c r="C606" s="44"/>
      <c r="D606" s="44"/>
      <c r="E606" s="102"/>
      <c r="F606" s="519"/>
      <c r="G606" s="519"/>
      <c r="H606" s="519"/>
      <c r="I606" s="105"/>
    </row>
    <row r="607">
      <c r="A607" s="102"/>
      <c r="B607" s="102"/>
      <c r="C607" s="44"/>
      <c r="D607" s="44"/>
      <c r="E607" s="102"/>
      <c r="F607" s="519"/>
      <c r="G607" s="519"/>
      <c r="H607" s="519"/>
      <c r="I607" s="105"/>
    </row>
    <row r="608">
      <c r="A608" s="102"/>
      <c r="B608" s="102"/>
      <c r="C608" s="44"/>
      <c r="D608" s="44"/>
      <c r="E608" s="102"/>
      <c r="F608" s="519"/>
      <c r="G608" s="519"/>
      <c r="H608" s="519"/>
      <c r="I608" s="105"/>
    </row>
    <row r="609">
      <c r="A609" s="102"/>
      <c r="B609" s="102"/>
      <c r="C609" s="44"/>
      <c r="D609" s="44"/>
      <c r="E609" s="102"/>
      <c r="F609" s="519"/>
      <c r="G609" s="519"/>
      <c r="H609" s="519"/>
      <c r="I609" s="105"/>
    </row>
    <row r="610">
      <c r="A610" s="102"/>
      <c r="B610" s="102"/>
      <c r="C610" s="44"/>
      <c r="D610" s="44"/>
      <c r="E610" s="102"/>
      <c r="F610" s="519"/>
      <c r="G610" s="519"/>
      <c r="H610" s="519"/>
      <c r="I610" s="105"/>
    </row>
    <row r="611">
      <c r="A611" s="102"/>
      <c r="B611" s="102"/>
      <c r="C611" s="44"/>
      <c r="D611" s="44"/>
      <c r="E611" s="102"/>
      <c r="F611" s="519"/>
      <c r="G611" s="519"/>
      <c r="H611" s="519"/>
      <c r="I611" s="105"/>
    </row>
    <row r="612">
      <c r="A612" s="102"/>
      <c r="B612" s="102"/>
      <c r="C612" s="44"/>
      <c r="D612" s="44"/>
      <c r="E612" s="102"/>
      <c r="F612" s="519"/>
      <c r="G612" s="519"/>
      <c r="H612" s="519"/>
      <c r="I612" s="105"/>
    </row>
    <row r="613">
      <c r="A613" s="102"/>
      <c r="B613" s="102"/>
      <c r="C613" s="44"/>
      <c r="D613" s="44"/>
      <c r="E613" s="102"/>
      <c r="F613" s="519"/>
      <c r="G613" s="519"/>
      <c r="H613" s="519"/>
      <c r="I613" s="105"/>
    </row>
    <row r="614">
      <c r="A614" s="102"/>
      <c r="B614" s="102"/>
      <c r="C614" s="44"/>
      <c r="D614" s="44"/>
      <c r="E614" s="102"/>
      <c r="F614" s="519"/>
      <c r="G614" s="519"/>
      <c r="H614" s="519"/>
      <c r="I614" s="105"/>
    </row>
    <row r="615">
      <c r="A615" s="102"/>
      <c r="B615" s="102"/>
      <c r="C615" s="44"/>
      <c r="D615" s="44"/>
      <c r="E615" s="102"/>
      <c r="F615" s="519"/>
      <c r="G615" s="519"/>
      <c r="H615" s="519"/>
      <c r="I615" s="105"/>
    </row>
    <row r="616">
      <c r="A616" s="102"/>
      <c r="B616" s="102"/>
      <c r="C616" s="44"/>
      <c r="D616" s="44"/>
      <c r="E616" s="102"/>
      <c r="F616" s="519"/>
      <c r="G616" s="519"/>
      <c r="H616" s="519"/>
      <c r="I616" s="105"/>
    </row>
    <row r="617">
      <c r="A617" s="102"/>
      <c r="B617" s="102"/>
      <c r="C617" s="44"/>
      <c r="D617" s="44"/>
      <c r="E617" s="102"/>
      <c r="F617" s="519"/>
      <c r="G617" s="519"/>
      <c r="H617" s="519"/>
      <c r="I617" s="105"/>
    </row>
    <row r="618">
      <c r="A618" s="102"/>
      <c r="B618" s="102"/>
      <c r="C618" s="44"/>
      <c r="D618" s="44"/>
      <c r="E618" s="102"/>
      <c r="F618" s="519"/>
      <c r="G618" s="519"/>
      <c r="H618" s="519"/>
      <c r="I618" s="105"/>
    </row>
    <row r="619">
      <c r="A619" s="102"/>
      <c r="B619" s="102"/>
      <c r="C619" s="44"/>
      <c r="D619" s="44"/>
      <c r="E619" s="102"/>
      <c r="F619" s="519"/>
      <c r="G619" s="519"/>
      <c r="H619" s="519"/>
      <c r="I619" s="105"/>
    </row>
    <row r="620">
      <c r="A620" s="102"/>
      <c r="B620" s="102"/>
      <c r="C620" s="44"/>
      <c r="D620" s="44"/>
      <c r="E620" s="102"/>
      <c r="F620" s="519"/>
      <c r="G620" s="519"/>
      <c r="H620" s="519"/>
      <c r="I620" s="105"/>
    </row>
    <row r="621">
      <c r="A621" s="102"/>
      <c r="B621" s="102"/>
      <c r="C621" s="44"/>
      <c r="D621" s="44"/>
      <c r="E621" s="102"/>
      <c r="F621" s="519"/>
      <c r="G621" s="519"/>
      <c r="H621" s="519"/>
      <c r="I621" s="105"/>
    </row>
    <row r="622">
      <c r="A622" s="102"/>
      <c r="B622" s="102"/>
      <c r="C622" s="44"/>
      <c r="D622" s="44"/>
      <c r="E622" s="102"/>
      <c r="F622" s="519"/>
      <c r="G622" s="519"/>
      <c r="H622" s="519"/>
      <c r="I622" s="105"/>
    </row>
    <row r="623">
      <c r="A623" s="102"/>
      <c r="B623" s="102"/>
      <c r="C623" s="44"/>
      <c r="D623" s="44"/>
      <c r="E623" s="102"/>
      <c r="F623" s="519"/>
      <c r="G623" s="519"/>
      <c r="H623" s="519"/>
      <c r="I623" s="105"/>
    </row>
    <row r="624">
      <c r="A624" s="102"/>
      <c r="B624" s="102"/>
      <c r="C624" s="44"/>
      <c r="D624" s="44"/>
      <c r="E624" s="102"/>
      <c r="F624" s="519"/>
      <c r="G624" s="519"/>
      <c r="H624" s="519"/>
      <c r="I624" s="105"/>
    </row>
    <row r="625">
      <c r="A625" s="102"/>
      <c r="B625" s="102"/>
      <c r="C625" s="44"/>
      <c r="D625" s="44"/>
      <c r="E625" s="102"/>
      <c r="F625" s="519"/>
      <c r="G625" s="519"/>
      <c r="H625" s="519"/>
      <c r="I625" s="105"/>
    </row>
    <row r="626">
      <c r="A626" s="102"/>
      <c r="B626" s="102"/>
      <c r="C626" s="44"/>
      <c r="D626" s="44"/>
      <c r="E626" s="102"/>
      <c r="F626" s="519"/>
      <c r="G626" s="519"/>
      <c r="H626" s="519"/>
      <c r="I626" s="105"/>
    </row>
    <row r="627">
      <c r="A627" s="102"/>
      <c r="B627" s="102"/>
      <c r="C627" s="44"/>
      <c r="D627" s="44"/>
      <c r="E627" s="102"/>
      <c r="F627" s="519"/>
      <c r="G627" s="519"/>
      <c r="H627" s="519"/>
      <c r="I627" s="105"/>
    </row>
    <row r="628">
      <c r="A628" s="102"/>
      <c r="B628" s="102"/>
      <c r="C628" s="44"/>
      <c r="D628" s="44"/>
      <c r="E628" s="102"/>
      <c r="F628" s="519"/>
      <c r="G628" s="519"/>
      <c r="H628" s="519"/>
      <c r="I628" s="105"/>
    </row>
    <row r="629">
      <c r="A629" s="102"/>
      <c r="B629" s="102"/>
      <c r="C629" s="44"/>
      <c r="D629" s="44"/>
      <c r="E629" s="102"/>
      <c r="F629" s="519"/>
      <c r="G629" s="519"/>
      <c r="H629" s="519"/>
      <c r="I629" s="105"/>
    </row>
    <row r="630">
      <c r="A630" s="102"/>
      <c r="B630" s="102"/>
      <c r="C630" s="44"/>
      <c r="D630" s="44"/>
      <c r="E630" s="102"/>
      <c r="F630" s="519"/>
      <c r="G630" s="519"/>
      <c r="H630" s="519"/>
      <c r="I630" s="105"/>
    </row>
    <row r="631">
      <c r="A631" s="102"/>
      <c r="B631" s="102"/>
      <c r="C631" s="44"/>
      <c r="D631" s="44"/>
      <c r="E631" s="102"/>
      <c r="F631" s="519"/>
      <c r="G631" s="519"/>
      <c r="H631" s="519"/>
      <c r="I631" s="105"/>
    </row>
    <row r="632">
      <c r="A632" s="102"/>
      <c r="B632" s="102"/>
      <c r="C632" s="44"/>
      <c r="D632" s="44"/>
      <c r="E632" s="102"/>
      <c r="F632" s="519"/>
      <c r="G632" s="519"/>
      <c r="H632" s="519"/>
      <c r="I632" s="105"/>
    </row>
    <row r="633">
      <c r="A633" s="102"/>
      <c r="B633" s="102"/>
      <c r="C633" s="44"/>
      <c r="D633" s="44"/>
      <c r="E633" s="102"/>
      <c r="F633" s="519"/>
      <c r="G633" s="519"/>
      <c r="H633" s="519"/>
      <c r="I633" s="105"/>
    </row>
    <row r="634">
      <c r="A634" s="102"/>
      <c r="B634" s="102"/>
      <c r="C634" s="44"/>
      <c r="D634" s="44"/>
      <c r="E634" s="102"/>
      <c r="F634" s="519"/>
      <c r="G634" s="519"/>
      <c r="H634" s="519"/>
      <c r="I634" s="105"/>
    </row>
    <row r="635">
      <c r="A635" s="102"/>
      <c r="B635" s="102"/>
      <c r="C635" s="44"/>
      <c r="D635" s="44"/>
      <c r="E635" s="102"/>
      <c r="F635" s="519"/>
      <c r="G635" s="519"/>
      <c r="H635" s="519"/>
      <c r="I635" s="105"/>
    </row>
    <row r="636">
      <c r="A636" s="102"/>
      <c r="B636" s="102"/>
      <c r="C636" s="44"/>
      <c r="D636" s="44"/>
      <c r="E636" s="102"/>
      <c r="F636" s="519"/>
      <c r="G636" s="519"/>
      <c r="H636" s="519"/>
      <c r="I636" s="105"/>
    </row>
    <row r="637">
      <c r="A637" s="102"/>
      <c r="B637" s="102"/>
      <c r="C637" s="44"/>
      <c r="D637" s="44"/>
      <c r="E637" s="102"/>
      <c r="F637" s="519"/>
      <c r="G637" s="519"/>
      <c r="H637" s="519"/>
      <c r="I637" s="105"/>
    </row>
    <row r="638">
      <c r="A638" s="102"/>
      <c r="B638" s="102"/>
      <c r="C638" s="44"/>
      <c r="D638" s="44"/>
      <c r="E638" s="102"/>
      <c r="F638" s="519"/>
      <c r="G638" s="519"/>
      <c r="H638" s="519"/>
      <c r="I638" s="105"/>
    </row>
    <row r="639">
      <c r="A639" s="102"/>
      <c r="B639" s="102"/>
      <c r="C639" s="44"/>
      <c r="D639" s="44"/>
      <c r="E639" s="102"/>
      <c r="F639" s="519"/>
      <c r="G639" s="519"/>
      <c r="H639" s="519"/>
      <c r="I639" s="105"/>
    </row>
    <row r="640">
      <c r="A640" s="102"/>
      <c r="B640" s="102"/>
      <c r="C640" s="44"/>
      <c r="D640" s="44"/>
      <c r="E640" s="102"/>
      <c r="F640" s="519"/>
      <c r="G640" s="519"/>
      <c r="H640" s="519"/>
      <c r="I640" s="105"/>
    </row>
    <row r="641">
      <c r="A641" s="102"/>
      <c r="B641" s="102"/>
      <c r="C641" s="44"/>
      <c r="D641" s="44"/>
      <c r="E641" s="102"/>
      <c r="F641" s="519"/>
      <c r="G641" s="519"/>
      <c r="H641" s="519"/>
      <c r="I641" s="105"/>
    </row>
    <row r="642">
      <c r="A642" s="102"/>
      <c r="B642" s="102"/>
      <c r="C642" s="44"/>
      <c r="D642" s="44"/>
      <c r="E642" s="102"/>
      <c r="F642" s="519"/>
      <c r="G642" s="519"/>
      <c r="H642" s="519"/>
      <c r="I642" s="105"/>
    </row>
    <row r="643">
      <c r="A643" s="102"/>
      <c r="B643" s="102"/>
      <c r="C643" s="44"/>
      <c r="D643" s="44"/>
      <c r="E643" s="102"/>
      <c r="F643" s="519"/>
      <c r="G643" s="519"/>
      <c r="H643" s="519"/>
      <c r="I643" s="105"/>
    </row>
    <row r="644">
      <c r="A644" s="102"/>
      <c r="B644" s="102"/>
      <c r="C644" s="44"/>
      <c r="D644" s="44"/>
      <c r="E644" s="102"/>
      <c r="F644" s="519"/>
      <c r="G644" s="519"/>
      <c r="H644" s="519"/>
      <c r="I644" s="105"/>
    </row>
    <row r="645">
      <c r="A645" s="102"/>
      <c r="B645" s="102"/>
      <c r="C645" s="44"/>
      <c r="D645" s="44"/>
      <c r="E645" s="102"/>
      <c r="F645" s="519"/>
      <c r="G645" s="519"/>
      <c r="H645" s="519"/>
      <c r="I645" s="105"/>
    </row>
    <row r="646">
      <c r="A646" s="102"/>
      <c r="B646" s="102"/>
      <c r="C646" s="44"/>
      <c r="D646" s="44"/>
      <c r="E646" s="102"/>
      <c r="F646" s="519"/>
      <c r="G646" s="519"/>
      <c r="H646" s="519"/>
      <c r="I646" s="105"/>
    </row>
    <row r="647">
      <c r="A647" s="102"/>
      <c r="B647" s="102"/>
      <c r="C647" s="44"/>
      <c r="D647" s="44"/>
      <c r="E647" s="102"/>
      <c r="F647" s="519"/>
      <c r="G647" s="519"/>
      <c r="H647" s="519"/>
      <c r="I647" s="105"/>
    </row>
    <row r="648">
      <c r="A648" s="102"/>
      <c r="B648" s="102"/>
      <c r="C648" s="44"/>
      <c r="D648" s="44"/>
      <c r="E648" s="102"/>
      <c r="F648" s="519"/>
      <c r="G648" s="519"/>
      <c r="H648" s="519"/>
      <c r="I648" s="105"/>
    </row>
    <row r="649">
      <c r="A649" s="102"/>
      <c r="B649" s="102"/>
      <c r="C649" s="44"/>
      <c r="D649" s="44"/>
      <c r="E649" s="102"/>
      <c r="F649" s="519"/>
      <c r="G649" s="519"/>
      <c r="H649" s="519"/>
      <c r="I649" s="105"/>
    </row>
    <row r="650">
      <c r="A650" s="102"/>
      <c r="B650" s="102"/>
      <c r="C650" s="44"/>
      <c r="D650" s="44"/>
      <c r="E650" s="102"/>
      <c r="F650" s="519"/>
      <c r="G650" s="519"/>
      <c r="H650" s="519"/>
      <c r="I650" s="105"/>
    </row>
    <row r="651">
      <c r="A651" s="102"/>
      <c r="B651" s="102"/>
      <c r="C651" s="44"/>
      <c r="D651" s="44"/>
      <c r="E651" s="102"/>
      <c r="F651" s="519"/>
      <c r="G651" s="519"/>
      <c r="H651" s="519"/>
      <c r="I651" s="105"/>
    </row>
    <row r="652">
      <c r="A652" s="102"/>
      <c r="B652" s="102"/>
      <c r="C652" s="44"/>
      <c r="D652" s="44"/>
      <c r="E652" s="102"/>
      <c r="F652" s="519"/>
      <c r="G652" s="519"/>
      <c r="H652" s="519"/>
      <c r="I652" s="105"/>
    </row>
    <row r="653">
      <c r="A653" s="102"/>
      <c r="B653" s="102"/>
      <c r="C653" s="44"/>
      <c r="D653" s="44"/>
      <c r="E653" s="102"/>
      <c r="F653" s="519"/>
      <c r="G653" s="519"/>
      <c r="H653" s="519"/>
      <c r="I653" s="105"/>
    </row>
    <row r="654">
      <c r="A654" s="102"/>
      <c r="B654" s="102"/>
      <c r="C654" s="44"/>
      <c r="D654" s="44"/>
      <c r="E654" s="102"/>
      <c r="F654" s="519"/>
      <c r="G654" s="519"/>
      <c r="H654" s="519"/>
      <c r="I654" s="105"/>
    </row>
    <row r="655">
      <c r="A655" s="102"/>
      <c r="B655" s="102"/>
      <c r="C655" s="44"/>
      <c r="D655" s="44"/>
      <c r="E655" s="102"/>
      <c r="F655" s="519"/>
      <c r="G655" s="519"/>
      <c r="H655" s="519"/>
      <c r="I655" s="105"/>
    </row>
    <row r="656">
      <c r="A656" s="102"/>
      <c r="B656" s="102"/>
      <c r="C656" s="44"/>
      <c r="D656" s="44"/>
      <c r="E656" s="102"/>
      <c r="F656" s="519"/>
      <c r="G656" s="519"/>
      <c r="H656" s="519"/>
      <c r="I656" s="105"/>
    </row>
    <row r="657">
      <c r="A657" s="102"/>
      <c r="B657" s="102"/>
      <c r="C657" s="44"/>
      <c r="D657" s="44"/>
      <c r="E657" s="102"/>
      <c r="F657" s="519"/>
      <c r="G657" s="519"/>
      <c r="H657" s="519"/>
      <c r="I657" s="105"/>
    </row>
    <row r="658">
      <c r="A658" s="102"/>
      <c r="B658" s="102"/>
      <c r="C658" s="44"/>
      <c r="D658" s="44"/>
      <c r="E658" s="102"/>
      <c r="F658" s="519"/>
      <c r="G658" s="519"/>
      <c r="H658" s="519"/>
      <c r="I658" s="105"/>
    </row>
    <row r="659">
      <c r="A659" s="102"/>
      <c r="B659" s="102"/>
      <c r="C659" s="44"/>
      <c r="D659" s="44"/>
      <c r="E659" s="102"/>
      <c r="F659" s="519"/>
      <c r="G659" s="519"/>
      <c r="H659" s="519"/>
      <c r="I659" s="105"/>
    </row>
    <row r="660">
      <c r="A660" s="102"/>
      <c r="B660" s="102"/>
      <c r="C660" s="44"/>
      <c r="D660" s="44"/>
      <c r="E660" s="102"/>
      <c r="F660" s="519"/>
      <c r="G660" s="519"/>
      <c r="H660" s="519"/>
      <c r="I660" s="105"/>
    </row>
    <row r="661">
      <c r="A661" s="102"/>
      <c r="B661" s="102"/>
      <c r="C661" s="44"/>
      <c r="D661" s="44"/>
      <c r="E661" s="102"/>
      <c r="F661" s="519"/>
      <c r="G661" s="519"/>
      <c r="H661" s="519"/>
      <c r="I661" s="105"/>
    </row>
    <row r="662">
      <c r="A662" s="102"/>
      <c r="B662" s="102"/>
      <c r="C662" s="44"/>
      <c r="D662" s="44"/>
      <c r="E662" s="102"/>
      <c r="F662" s="519"/>
      <c r="G662" s="519"/>
      <c r="H662" s="519"/>
      <c r="I662" s="105"/>
    </row>
    <row r="663">
      <c r="A663" s="102"/>
      <c r="B663" s="102"/>
      <c r="C663" s="44"/>
      <c r="D663" s="44"/>
      <c r="E663" s="102"/>
      <c r="F663" s="519"/>
      <c r="G663" s="519"/>
      <c r="H663" s="519"/>
      <c r="I663" s="105"/>
    </row>
    <row r="664">
      <c r="A664" s="102"/>
      <c r="B664" s="102"/>
      <c r="C664" s="44"/>
      <c r="D664" s="44"/>
      <c r="E664" s="102"/>
      <c r="F664" s="519"/>
      <c r="G664" s="519"/>
      <c r="H664" s="519"/>
      <c r="I664" s="105"/>
    </row>
    <row r="665">
      <c r="A665" s="102"/>
      <c r="B665" s="102"/>
      <c r="C665" s="44"/>
      <c r="D665" s="44"/>
      <c r="E665" s="102"/>
      <c r="F665" s="519"/>
      <c r="G665" s="519"/>
      <c r="H665" s="519"/>
      <c r="I665" s="105"/>
    </row>
    <row r="666">
      <c r="A666" s="102"/>
      <c r="B666" s="102"/>
      <c r="C666" s="44"/>
      <c r="D666" s="44"/>
      <c r="E666" s="102"/>
      <c r="F666" s="519"/>
      <c r="G666" s="519"/>
      <c r="H666" s="519"/>
      <c r="I666" s="105"/>
    </row>
    <row r="667">
      <c r="A667" s="102"/>
      <c r="B667" s="102"/>
      <c r="C667" s="44"/>
      <c r="D667" s="44"/>
      <c r="E667" s="102"/>
      <c r="F667" s="519"/>
      <c r="G667" s="519"/>
      <c r="H667" s="519"/>
      <c r="I667" s="105"/>
    </row>
    <row r="668">
      <c r="A668" s="102"/>
      <c r="B668" s="102"/>
      <c r="C668" s="44"/>
      <c r="D668" s="44"/>
      <c r="E668" s="102"/>
      <c r="F668" s="519"/>
      <c r="G668" s="519"/>
      <c r="H668" s="519"/>
      <c r="I668" s="105"/>
    </row>
    <row r="669">
      <c r="A669" s="102"/>
      <c r="B669" s="102"/>
      <c r="C669" s="44"/>
      <c r="D669" s="44"/>
      <c r="E669" s="102"/>
      <c r="F669" s="519"/>
      <c r="G669" s="519"/>
      <c r="H669" s="519"/>
      <c r="I669" s="105"/>
    </row>
    <row r="670">
      <c r="A670" s="102"/>
      <c r="B670" s="102"/>
      <c r="C670" s="44"/>
      <c r="D670" s="44"/>
      <c r="E670" s="102"/>
      <c r="F670" s="519"/>
      <c r="G670" s="519"/>
      <c r="H670" s="519"/>
      <c r="I670" s="105"/>
    </row>
    <row r="671">
      <c r="A671" s="102"/>
      <c r="B671" s="102"/>
      <c r="C671" s="44"/>
      <c r="D671" s="44"/>
      <c r="E671" s="102"/>
      <c r="F671" s="519"/>
      <c r="G671" s="519"/>
      <c r="H671" s="519"/>
      <c r="I671" s="105"/>
    </row>
    <row r="672">
      <c r="A672" s="102"/>
      <c r="B672" s="102"/>
      <c r="C672" s="44"/>
      <c r="D672" s="44"/>
      <c r="E672" s="102"/>
      <c r="F672" s="519"/>
      <c r="G672" s="519"/>
      <c r="H672" s="519"/>
      <c r="I672" s="105"/>
    </row>
    <row r="673">
      <c r="A673" s="102"/>
      <c r="B673" s="102"/>
      <c r="C673" s="44"/>
      <c r="D673" s="44"/>
      <c r="E673" s="102"/>
      <c r="F673" s="519"/>
      <c r="G673" s="519"/>
      <c r="H673" s="519"/>
      <c r="I673" s="105"/>
    </row>
    <row r="674">
      <c r="A674" s="102"/>
      <c r="B674" s="102"/>
      <c r="C674" s="44"/>
      <c r="D674" s="44"/>
      <c r="E674" s="102"/>
      <c r="F674" s="519"/>
      <c r="G674" s="519"/>
      <c r="H674" s="519"/>
      <c r="I674" s="105"/>
    </row>
    <row r="675">
      <c r="A675" s="102"/>
      <c r="B675" s="102"/>
      <c r="C675" s="44"/>
      <c r="D675" s="44"/>
      <c r="E675" s="102"/>
      <c r="F675" s="519"/>
      <c r="G675" s="519"/>
      <c r="H675" s="519"/>
      <c r="I675" s="105"/>
    </row>
    <row r="676">
      <c r="A676" s="102"/>
      <c r="B676" s="102"/>
      <c r="C676" s="44"/>
      <c r="D676" s="44"/>
      <c r="E676" s="102"/>
      <c r="F676" s="519"/>
      <c r="G676" s="519"/>
      <c r="H676" s="519"/>
      <c r="I676" s="105"/>
    </row>
    <row r="677">
      <c r="A677" s="102"/>
      <c r="B677" s="102"/>
      <c r="C677" s="44"/>
      <c r="D677" s="44"/>
      <c r="E677" s="102"/>
      <c r="F677" s="519"/>
      <c r="G677" s="519"/>
      <c r="H677" s="519"/>
      <c r="I677" s="105"/>
    </row>
    <row r="678">
      <c r="A678" s="102"/>
      <c r="B678" s="102"/>
      <c r="C678" s="44"/>
      <c r="D678" s="44"/>
      <c r="E678" s="102"/>
      <c r="F678" s="519"/>
      <c r="G678" s="519"/>
      <c r="H678" s="519"/>
      <c r="I678" s="105"/>
    </row>
    <row r="679">
      <c r="A679" s="102"/>
      <c r="B679" s="102"/>
      <c r="C679" s="44"/>
      <c r="D679" s="44"/>
      <c r="E679" s="102"/>
      <c r="F679" s="519"/>
      <c r="G679" s="519"/>
      <c r="H679" s="519"/>
      <c r="I679" s="105"/>
    </row>
    <row r="680">
      <c r="A680" s="102"/>
      <c r="B680" s="102"/>
      <c r="C680" s="44"/>
      <c r="D680" s="44"/>
      <c r="E680" s="102"/>
      <c r="F680" s="519"/>
      <c r="G680" s="519"/>
      <c r="H680" s="519"/>
      <c r="I680" s="105"/>
    </row>
    <row r="681">
      <c r="A681" s="102"/>
      <c r="B681" s="102"/>
      <c r="C681" s="44"/>
      <c r="D681" s="44"/>
      <c r="E681" s="102"/>
      <c r="F681" s="519"/>
      <c r="G681" s="519"/>
      <c r="H681" s="519"/>
      <c r="I681" s="105"/>
    </row>
    <row r="682">
      <c r="A682" s="102"/>
      <c r="B682" s="102"/>
      <c r="C682" s="44"/>
      <c r="D682" s="44"/>
      <c r="E682" s="102"/>
      <c r="F682" s="519"/>
      <c r="G682" s="519"/>
      <c r="H682" s="519"/>
      <c r="I682" s="105"/>
    </row>
    <row r="683">
      <c r="A683" s="102"/>
      <c r="B683" s="102"/>
      <c r="C683" s="44"/>
      <c r="D683" s="44"/>
      <c r="E683" s="102"/>
      <c r="F683" s="519"/>
      <c r="G683" s="519"/>
      <c r="H683" s="519"/>
      <c r="I683" s="105"/>
    </row>
    <row r="684">
      <c r="A684" s="102"/>
      <c r="B684" s="102"/>
      <c r="C684" s="44"/>
      <c r="D684" s="44"/>
      <c r="E684" s="102"/>
      <c r="F684" s="519"/>
      <c r="G684" s="519"/>
      <c r="H684" s="519"/>
      <c r="I684" s="105"/>
    </row>
    <row r="685">
      <c r="A685" s="102"/>
      <c r="B685" s="102"/>
      <c r="C685" s="44"/>
      <c r="D685" s="44"/>
      <c r="E685" s="102"/>
      <c r="F685" s="519"/>
      <c r="G685" s="519"/>
      <c r="H685" s="519"/>
      <c r="I685" s="105"/>
    </row>
    <row r="686">
      <c r="A686" s="102"/>
      <c r="B686" s="102"/>
      <c r="C686" s="44"/>
      <c r="D686" s="44"/>
      <c r="E686" s="102"/>
      <c r="F686" s="519"/>
      <c r="G686" s="519"/>
      <c r="H686" s="519"/>
      <c r="I686" s="105"/>
    </row>
    <row r="687">
      <c r="A687" s="102"/>
      <c r="B687" s="102"/>
      <c r="C687" s="44"/>
      <c r="D687" s="44"/>
      <c r="E687" s="102"/>
      <c r="F687" s="519"/>
      <c r="G687" s="519"/>
      <c r="H687" s="519"/>
      <c r="I687" s="105"/>
    </row>
    <row r="688">
      <c r="A688" s="102"/>
      <c r="B688" s="102"/>
      <c r="C688" s="44"/>
      <c r="D688" s="44"/>
      <c r="E688" s="102"/>
      <c r="F688" s="519"/>
      <c r="G688" s="519"/>
      <c r="H688" s="519"/>
      <c r="I688" s="105"/>
    </row>
    <row r="689">
      <c r="A689" s="102"/>
      <c r="B689" s="102"/>
      <c r="C689" s="44"/>
      <c r="D689" s="44"/>
      <c r="E689" s="102"/>
      <c r="F689" s="519"/>
      <c r="G689" s="519"/>
      <c r="H689" s="519"/>
      <c r="I689" s="105"/>
    </row>
    <row r="690">
      <c r="A690" s="102"/>
      <c r="B690" s="102"/>
      <c r="C690" s="44"/>
      <c r="D690" s="44"/>
      <c r="E690" s="102"/>
      <c r="F690" s="519"/>
      <c r="G690" s="519"/>
      <c r="H690" s="519"/>
      <c r="I690" s="105"/>
    </row>
    <row r="691">
      <c r="A691" s="102"/>
      <c r="B691" s="102"/>
      <c r="C691" s="44"/>
      <c r="D691" s="44"/>
      <c r="E691" s="102"/>
      <c r="F691" s="519"/>
      <c r="G691" s="519"/>
      <c r="H691" s="519"/>
      <c r="I691" s="105"/>
    </row>
    <row r="692">
      <c r="A692" s="102"/>
      <c r="B692" s="102"/>
      <c r="C692" s="44"/>
      <c r="D692" s="44"/>
      <c r="E692" s="102"/>
      <c r="F692" s="519"/>
      <c r="G692" s="519"/>
      <c r="H692" s="519"/>
      <c r="I692" s="105"/>
    </row>
    <row r="693">
      <c r="A693" s="102"/>
      <c r="B693" s="102"/>
      <c r="C693" s="44"/>
      <c r="D693" s="44"/>
      <c r="E693" s="102"/>
      <c r="F693" s="519"/>
      <c r="G693" s="519"/>
      <c r="H693" s="519"/>
      <c r="I693" s="105"/>
    </row>
    <row r="694">
      <c r="A694" s="102"/>
      <c r="B694" s="102"/>
      <c r="C694" s="44"/>
      <c r="D694" s="44"/>
      <c r="E694" s="102"/>
      <c r="F694" s="519"/>
      <c r="G694" s="519"/>
      <c r="H694" s="519"/>
      <c r="I694" s="105"/>
    </row>
    <row r="695">
      <c r="A695" s="102"/>
      <c r="B695" s="102"/>
      <c r="C695" s="44"/>
      <c r="D695" s="44"/>
      <c r="E695" s="102"/>
      <c r="F695" s="519"/>
      <c r="G695" s="519"/>
      <c r="H695" s="519"/>
      <c r="I695" s="105"/>
    </row>
    <row r="696">
      <c r="A696" s="102"/>
      <c r="B696" s="102"/>
      <c r="C696" s="44"/>
      <c r="D696" s="44"/>
      <c r="E696" s="102"/>
      <c r="F696" s="519"/>
      <c r="G696" s="519"/>
      <c r="H696" s="519"/>
      <c r="I696" s="105"/>
    </row>
    <row r="697">
      <c r="A697" s="102"/>
      <c r="B697" s="102"/>
      <c r="C697" s="44"/>
      <c r="D697" s="44"/>
      <c r="E697" s="102"/>
      <c r="F697" s="519"/>
      <c r="G697" s="519"/>
      <c r="H697" s="519"/>
      <c r="I697" s="105"/>
    </row>
    <row r="698">
      <c r="A698" s="102"/>
      <c r="B698" s="102"/>
      <c r="C698" s="44"/>
      <c r="D698" s="44"/>
      <c r="E698" s="102"/>
      <c r="F698" s="519"/>
      <c r="G698" s="519"/>
      <c r="H698" s="519"/>
      <c r="I698" s="105"/>
    </row>
    <row r="699">
      <c r="A699" s="102"/>
      <c r="B699" s="102"/>
      <c r="C699" s="44"/>
      <c r="D699" s="44"/>
      <c r="E699" s="102"/>
      <c r="F699" s="519"/>
      <c r="G699" s="519"/>
      <c r="H699" s="519"/>
      <c r="I699" s="105"/>
    </row>
    <row r="700">
      <c r="A700" s="102"/>
      <c r="B700" s="102"/>
      <c r="C700" s="44"/>
      <c r="D700" s="44"/>
      <c r="E700" s="102"/>
      <c r="F700" s="519"/>
      <c r="G700" s="519"/>
      <c r="H700" s="519"/>
      <c r="I700" s="105"/>
    </row>
    <row r="701">
      <c r="A701" s="102"/>
      <c r="B701" s="102"/>
      <c r="C701" s="44"/>
      <c r="D701" s="44"/>
      <c r="E701" s="102"/>
      <c r="F701" s="519"/>
      <c r="G701" s="519"/>
      <c r="H701" s="519"/>
      <c r="I701" s="105"/>
    </row>
    <row r="702">
      <c r="A702" s="102"/>
      <c r="B702" s="102"/>
      <c r="C702" s="44"/>
      <c r="D702" s="44"/>
      <c r="E702" s="102"/>
      <c r="F702" s="519"/>
      <c r="G702" s="519"/>
      <c r="H702" s="519"/>
      <c r="I702" s="105"/>
    </row>
    <row r="703">
      <c r="A703" s="102"/>
      <c r="B703" s="102"/>
      <c r="C703" s="44"/>
      <c r="D703" s="44"/>
      <c r="E703" s="102"/>
      <c r="F703" s="519"/>
      <c r="G703" s="519"/>
      <c r="H703" s="519"/>
      <c r="I703" s="105"/>
    </row>
    <row r="704">
      <c r="A704" s="102"/>
      <c r="B704" s="102"/>
      <c r="C704" s="44"/>
      <c r="D704" s="44"/>
      <c r="E704" s="102"/>
      <c r="F704" s="519"/>
      <c r="G704" s="519"/>
      <c r="H704" s="519"/>
      <c r="I704" s="105"/>
    </row>
    <row r="705">
      <c r="A705" s="102"/>
      <c r="B705" s="102"/>
      <c r="C705" s="44"/>
      <c r="D705" s="44"/>
      <c r="E705" s="102"/>
      <c r="F705" s="519"/>
      <c r="G705" s="519"/>
      <c r="H705" s="519"/>
      <c r="I705" s="105"/>
    </row>
    <row r="706">
      <c r="A706" s="102"/>
      <c r="B706" s="102"/>
      <c r="C706" s="44"/>
      <c r="D706" s="44"/>
      <c r="E706" s="102"/>
      <c r="F706" s="519"/>
      <c r="G706" s="519"/>
      <c r="H706" s="519"/>
      <c r="I706" s="105"/>
    </row>
    <row r="707">
      <c r="A707" s="102"/>
      <c r="B707" s="102"/>
      <c r="C707" s="44"/>
      <c r="D707" s="44"/>
      <c r="E707" s="102"/>
      <c r="F707" s="519"/>
      <c r="G707" s="519"/>
      <c r="H707" s="519"/>
      <c r="I707" s="105"/>
    </row>
    <row r="708">
      <c r="A708" s="102"/>
      <c r="B708" s="102"/>
      <c r="C708" s="44"/>
      <c r="D708" s="44"/>
      <c r="E708" s="102"/>
      <c r="F708" s="519"/>
      <c r="G708" s="519"/>
      <c r="H708" s="519"/>
      <c r="I708" s="105"/>
    </row>
    <row r="709">
      <c r="A709" s="102"/>
      <c r="B709" s="102"/>
      <c r="C709" s="44"/>
      <c r="D709" s="44"/>
      <c r="E709" s="102"/>
      <c r="F709" s="519"/>
      <c r="G709" s="519"/>
      <c r="H709" s="519"/>
      <c r="I709" s="105"/>
    </row>
    <row r="710">
      <c r="A710" s="102"/>
      <c r="B710" s="102"/>
      <c r="C710" s="44"/>
      <c r="D710" s="44"/>
      <c r="E710" s="102"/>
      <c r="F710" s="519"/>
      <c r="G710" s="519"/>
      <c r="H710" s="519"/>
      <c r="I710" s="105"/>
    </row>
    <row r="711">
      <c r="A711" s="102"/>
      <c r="B711" s="102"/>
      <c r="C711" s="44"/>
      <c r="D711" s="44"/>
      <c r="E711" s="102"/>
      <c r="F711" s="519"/>
      <c r="G711" s="519"/>
      <c r="H711" s="519"/>
      <c r="I711" s="105"/>
    </row>
    <row r="712">
      <c r="A712" s="102"/>
      <c r="B712" s="102"/>
      <c r="C712" s="44"/>
      <c r="D712" s="44"/>
      <c r="E712" s="102"/>
      <c r="F712" s="519"/>
      <c r="G712" s="519"/>
      <c r="H712" s="519"/>
      <c r="I712" s="105"/>
    </row>
    <row r="713">
      <c r="A713" s="102"/>
      <c r="B713" s="102"/>
      <c r="C713" s="44"/>
      <c r="D713" s="44"/>
      <c r="E713" s="102"/>
      <c r="F713" s="519"/>
      <c r="G713" s="519"/>
      <c r="H713" s="519"/>
      <c r="I713" s="105"/>
    </row>
    <row r="714">
      <c r="A714" s="102"/>
      <c r="B714" s="102"/>
      <c r="C714" s="44"/>
      <c r="D714" s="44"/>
      <c r="E714" s="102"/>
      <c r="F714" s="519"/>
      <c r="G714" s="519"/>
      <c r="H714" s="519"/>
      <c r="I714" s="105"/>
    </row>
    <row r="715">
      <c r="A715" s="102"/>
      <c r="B715" s="102"/>
      <c r="C715" s="44"/>
      <c r="D715" s="44"/>
      <c r="E715" s="102"/>
      <c r="F715" s="519"/>
      <c r="G715" s="519"/>
      <c r="H715" s="519"/>
      <c r="I715" s="105"/>
    </row>
    <row r="716">
      <c r="A716" s="102"/>
      <c r="B716" s="102"/>
      <c r="C716" s="44"/>
      <c r="D716" s="44"/>
      <c r="E716" s="102"/>
      <c r="F716" s="519"/>
      <c r="G716" s="519"/>
      <c r="H716" s="519"/>
      <c r="I716" s="105"/>
    </row>
    <row r="717">
      <c r="A717" s="102"/>
      <c r="B717" s="102"/>
      <c r="C717" s="44"/>
      <c r="D717" s="44"/>
      <c r="E717" s="102"/>
      <c r="F717" s="519"/>
      <c r="G717" s="519"/>
      <c r="H717" s="519"/>
      <c r="I717" s="105"/>
    </row>
    <row r="718">
      <c r="A718" s="102"/>
      <c r="B718" s="102"/>
      <c r="C718" s="44"/>
      <c r="D718" s="44"/>
      <c r="E718" s="102"/>
      <c r="F718" s="519"/>
      <c r="G718" s="519"/>
      <c r="H718" s="519"/>
      <c r="I718" s="105"/>
    </row>
    <row r="719">
      <c r="A719" s="102"/>
      <c r="B719" s="102"/>
      <c r="C719" s="44"/>
      <c r="D719" s="44"/>
      <c r="E719" s="102"/>
      <c r="F719" s="519"/>
      <c r="G719" s="519"/>
      <c r="H719" s="519"/>
      <c r="I719" s="105"/>
    </row>
    <row r="720">
      <c r="A720" s="102"/>
      <c r="B720" s="102"/>
      <c r="C720" s="44"/>
      <c r="D720" s="44"/>
      <c r="E720" s="102"/>
      <c r="F720" s="519"/>
      <c r="G720" s="519"/>
      <c r="H720" s="519"/>
      <c r="I720" s="105"/>
    </row>
    <row r="721">
      <c r="A721" s="102"/>
      <c r="B721" s="102"/>
      <c r="C721" s="44"/>
      <c r="D721" s="44"/>
      <c r="E721" s="102"/>
      <c r="F721" s="519"/>
      <c r="G721" s="519"/>
      <c r="H721" s="519"/>
      <c r="I721" s="105"/>
    </row>
    <row r="722">
      <c r="A722" s="102"/>
      <c r="B722" s="102"/>
      <c r="C722" s="44"/>
      <c r="D722" s="44"/>
      <c r="E722" s="102"/>
      <c r="F722" s="519"/>
      <c r="G722" s="519"/>
      <c r="H722" s="519"/>
      <c r="I722" s="105"/>
    </row>
    <row r="723">
      <c r="A723" s="102"/>
      <c r="B723" s="102"/>
      <c r="C723" s="44"/>
      <c r="D723" s="44"/>
      <c r="E723" s="102"/>
      <c r="F723" s="519"/>
      <c r="G723" s="519"/>
      <c r="H723" s="519"/>
      <c r="I723" s="105"/>
    </row>
    <row r="724">
      <c r="A724" s="102"/>
      <c r="B724" s="102"/>
      <c r="C724" s="44"/>
      <c r="D724" s="44"/>
      <c r="E724" s="102"/>
      <c r="F724" s="519"/>
      <c r="G724" s="519"/>
      <c r="H724" s="519"/>
      <c r="I724" s="105"/>
    </row>
    <row r="725">
      <c r="A725" s="102"/>
      <c r="B725" s="102"/>
      <c r="C725" s="44"/>
      <c r="D725" s="44"/>
      <c r="E725" s="102"/>
      <c r="F725" s="519"/>
      <c r="G725" s="519"/>
      <c r="H725" s="519"/>
      <c r="I725" s="105"/>
    </row>
    <row r="726">
      <c r="A726" s="102"/>
      <c r="B726" s="102"/>
      <c r="C726" s="44"/>
      <c r="D726" s="44"/>
      <c r="E726" s="102"/>
      <c r="F726" s="519"/>
      <c r="G726" s="519"/>
      <c r="H726" s="519"/>
      <c r="I726" s="105"/>
    </row>
    <row r="727">
      <c r="A727" s="102"/>
      <c r="B727" s="102"/>
      <c r="C727" s="44"/>
      <c r="D727" s="44"/>
      <c r="E727" s="102"/>
      <c r="F727" s="519"/>
      <c r="G727" s="519"/>
      <c r="H727" s="519"/>
      <c r="I727" s="105"/>
    </row>
    <row r="728">
      <c r="A728" s="102"/>
      <c r="B728" s="102"/>
      <c r="C728" s="44"/>
      <c r="D728" s="44"/>
      <c r="E728" s="102"/>
      <c r="F728" s="519"/>
      <c r="G728" s="519"/>
      <c r="H728" s="519"/>
      <c r="I728" s="105"/>
    </row>
    <row r="729">
      <c r="A729" s="102"/>
      <c r="B729" s="102"/>
      <c r="C729" s="44"/>
      <c r="D729" s="44"/>
      <c r="E729" s="102"/>
      <c r="F729" s="519"/>
      <c r="G729" s="519"/>
      <c r="H729" s="519"/>
      <c r="I729" s="105"/>
    </row>
    <row r="730">
      <c r="A730" s="102"/>
      <c r="B730" s="102"/>
      <c r="C730" s="44"/>
      <c r="D730" s="44"/>
      <c r="E730" s="102"/>
      <c r="F730" s="519"/>
      <c r="G730" s="519"/>
      <c r="H730" s="519"/>
      <c r="I730" s="105"/>
    </row>
    <row r="731">
      <c r="A731" s="102"/>
      <c r="B731" s="102"/>
      <c r="C731" s="44"/>
      <c r="D731" s="44"/>
      <c r="E731" s="102"/>
      <c r="F731" s="519"/>
      <c r="G731" s="519"/>
      <c r="H731" s="519"/>
      <c r="I731" s="105"/>
    </row>
    <row r="732">
      <c r="A732" s="102"/>
      <c r="B732" s="102"/>
      <c r="C732" s="44"/>
      <c r="D732" s="44"/>
      <c r="E732" s="102"/>
      <c r="F732" s="519"/>
      <c r="G732" s="519"/>
      <c r="H732" s="519"/>
      <c r="I732" s="105"/>
    </row>
    <row r="733">
      <c r="A733" s="102"/>
      <c r="B733" s="102"/>
      <c r="C733" s="44"/>
      <c r="D733" s="44"/>
      <c r="E733" s="102"/>
      <c r="F733" s="519"/>
      <c r="G733" s="519"/>
      <c r="H733" s="519"/>
      <c r="I733" s="105"/>
    </row>
    <row r="734">
      <c r="A734" s="102"/>
      <c r="B734" s="102"/>
      <c r="C734" s="44"/>
      <c r="D734" s="44"/>
      <c r="E734" s="102"/>
      <c r="F734" s="519"/>
      <c r="G734" s="519"/>
      <c r="H734" s="519"/>
      <c r="I734" s="105"/>
    </row>
    <row r="735">
      <c r="A735" s="102"/>
      <c r="B735" s="102"/>
      <c r="C735" s="44"/>
      <c r="D735" s="44"/>
      <c r="E735" s="102"/>
      <c r="F735" s="519"/>
      <c r="G735" s="519"/>
      <c r="H735" s="519"/>
      <c r="I735" s="105"/>
    </row>
    <row r="736">
      <c r="A736" s="102"/>
      <c r="B736" s="102"/>
      <c r="C736" s="44"/>
      <c r="D736" s="44"/>
      <c r="E736" s="102"/>
      <c r="F736" s="519"/>
      <c r="G736" s="519"/>
      <c r="H736" s="519"/>
      <c r="I736" s="105"/>
    </row>
    <row r="737">
      <c r="A737" s="102"/>
      <c r="B737" s="102"/>
      <c r="C737" s="44"/>
      <c r="D737" s="44"/>
      <c r="E737" s="102"/>
      <c r="F737" s="519"/>
      <c r="G737" s="519"/>
      <c r="H737" s="519"/>
      <c r="I737" s="105"/>
    </row>
    <row r="738">
      <c r="A738" s="102"/>
      <c r="B738" s="102"/>
      <c r="C738" s="44"/>
      <c r="D738" s="44"/>
      <c r="E738" s="102"/>
      <c r="F738" s="519"/>
      <c r="G738" s="519"/>
      <c r="H738" s="519"/>
      <c r="I738" s="105"/>
    </row>
    <row r="739">
      <c r="A739" s="102"/>
      <c r="B739" s="102"/>
      <c r="C739" s="44"/>
      <c r="D739" s="44"/>
      <c r="E739" s="102"/>
      <c r="F739" s="519"/>
      <c r="G739" s="519"/>
      <c r="H739" s="519"/>
      <c r="I739" s="105"/>
    </row>
    <row r="740">
      <c r="A740" s="102"/>
      <c r="B740" s="102"/>
      <c r="C740" s="44"/>
      <c r="D740" s="44"/>
      <c r="E740" s="102"/>
      <c r="F740" s="519"/>
      <c r="G740" s="519"/>
      <c r="H740" s="519"/>
      <c r="I740" s="105"/>
    </row>
    <row r="741">
      <c r="A741" s="102"/>
      <c r="B741" s="102"/>
      <c r="C741" s="44"/>
      <c r="D741" s="44"/>
      <c r="E741" s="102"/>
      <c r="F741" s="519"/>
      <c r="G741" s="519"/>
      <c r="H741" s="519"/>
      <c r="I741" s="105"/>
    </row>
    <row r="742">
      <c r="A742" s="102"/>
      <c r="B742" s="102"/>
      <c r="C742" s="44"/>
      <c r="D742" s="44"/>
      <c r="E742" s="102"/>
      <c r="F742" s="519"/>
      <c r="G742" s="519"/>
      <c r="H742" s="519"/>
      <c r="I742" s="105"/>
    </row>
    <row r="743">
      <c r="A743" s="102"/>
      <c r="B743" s="102"/>
      <c r="C743" s="44"/>
      <c r="D743" s="44"/>
      <c r="E743" s="102"/>
      <c r="F743" s="519"/>
      <c r="G743" s="519"/>
      <c r="H743" s="519"/>
      <c r="I743" s="105"/>
    </row>
    <row r="744">
      <c r="A744" s="102"/>
      <c r="B744" s="102"/>
      <c r="C744" s="44"/>
      <c r="D744" s="44"/>
      <c r="E744" s="102"/>
      <c r="F744" s="519"/>
      <c r="G744" s="519"/>
      <c r="H744" s="519"/>
      <c r="I744" s="105"/>
    </row>
    <row r="745">
      <c r="A745" s="102"/>
      <c r="B745" s="102"/>
      <c r="C745" s="44"/>
      <c r="D745" s="44"/>
      <c r="E745" s="102"/>
      <c r="F745" s="519"/>
      <c r="G745" s="519"/>
      <c r="H745" s="519"/>
      <c r="I745" s="105"/>
    </row>
    <row r="746">
      <c r="A746" s="102"/>
      <c r="B746" s="102"/>
      <c r="C746" s="44"/>
      <c r="D746" s="44"/>
      <c r="E746" s="102"/>
      <c r="F746" s="519"/>
      <c r="G746" s="519"/>
      <c r="H746" s="519"/>
      <c r="I746" s="105"/>
    </row>
    <row r="747">
      <c r="A747" s="102"/>
      <c r="B747" s="102"/>
      <c r="C747" s="44"/>
      <c r="D747" s="44"/>
      <c r="E747" s="102"/>
      <c r="F747" s="519"/>
      <c r="G747" s="519"/>
      <c r="H747" s="519"/>
      <c r="I747" s="105"/>
    </row>
    <row r="748">
      <c r="A748" s="102"/>
      <c r="B748" s="102"/>
      <c r="C748" s="44"/>
      <c r="D748" s="44"/>
      <c r="E748" s="102"/>
      <c r="F748" s="519"/>
      <c r="G748" s="519"/>
      <c r="H748" s="519"/>
      <c r="I748" s="105"/>
    </row>
    <row r="749">
      <c r="A749" s="102"/>
      <c r="B749" s="102"/>
      <c r="C749" s="44"/>
      <c r="D749" s="44"/>
      <c r="E749" s="102"/>
      <c r="F749" s="519"/>
      <c r="G749" s="519"/>
      <c r="H749" s="519"/>
      <c r="I749" s="105"/>
    </row>
    <row r="750">
      <c r="A750" s="102"/>
      <c r="B750" s="102"/>
      <c r="C750" s="44"/>
      <c r="D750" s="44"/>
      <c r="E750" s="102"/>
      <c r="F750" s="519"/>
      <c r="G750" s="519"/>
      <c r="H750" s="519"/>
      <c r="I750" s="105"/>
    </row>
    <row r="751">
      <c r="A751" s="102"/>
      <c r="B751" s="102"/>
      <c r="C751" s="44"/>
      <c r="D751" s="44"/>
      <c r="E751" s="102"/>
      <c r="F751" s="519"/>
      <c r="G751" s="519"/>
      <c r="H751" s="519"/>
      <c r="I751" s="105"/>
    </row>
    <row r="752">
      <c r="A752" s="102"/>
      <c r="B752" s="102"/>
      <c r="C752" s="44"/>
      <c r="D752" s="44"/>
      <c r="E752" s="102"/>
      <c r="F752" s="519"/>
      <c r="G752" s="519"/>
      <c r="H752" s="519"/>
      <c r="I752" s="105"/>
    </row>
    <row r="753">
      <c r="A753" s="102"/>
      <c r="B753" s="102"/>
      <c r="C753" s="44"/>
      <c r="D753" s="44"/>
      <c r="E753" s="102"/>
      <c r="F753" s="519"/>
      <c r="G753" s="519"/>
      <c r="H753" s="519"/>
      <c r="I753" s="105"/>
    </row>
    <row r="754">
      <c r="A754" s="102"/>
      <c r="B754" s="102"/>
      <c r="C754" s="44"/>
      <c r="D754" s="44"/>
      <c r="E754" s="102"/>
      <c r="F754" s="519"/>
      <c r="G754" s="519"/>
      <c r="H754" s="519"/>
      <c r="I754" s="105"/>
    </row>
    <row r="755">
      <c r="A755" s="102"/>
      <c r="B755" s="102"/>
      <c r="C755" s="44"/>
      <c r="D755" s="44"/>
      <c r="E755" s="102"/>
      <c r="F755" s="519"/>
      <c r="G755" s="519"/>
      <c r="H755" s="519"/>
      <c r="I755" s="105"/>
    </row>
    <row r="756">
      <c r="A756" s="102"/>
      <c r="B756" s="102"/>
      <c r="C756" s="44"/>
      <c r="D756" s="44"/>
      <c r="E756" s="102"/>
      <c r="F756" s="519"/>
      <c r="G756" s="519"/>
      <c r="H756" s="519"/>
      <c r="I756" s="105"/>
    </row>
    <row r="757">
      <c r="A757" s="102"/>
      <c r="B757" s="102"/>
      <c r="C757" s="44"/>
      <c r="D757" s="44"/>
      <c r="E757" s="102"/>
      <c r="F757" s="519"/>
      <c r="G757" s="519"/>
      <c r="H757" s="519"/>
      <c r="I757" s="105"/>
    </row>
    <row r="758">
      <c r="A758" s="102"/>
      <c r="B758" s="102"/>
      <c r="C758" s="44"/>
      <c r="D758" s="44"/>
      <c r="E758" s="102"/>
      <c r="F758" s="519"/>
      <c r="G758" s="519"/>
      <c r="H758" s="519"/>
      <c r="I758" s="105"/>
    </row>
    <row r="759">
      <c r="A759" s="102"/>
      <c r="B759" s="102"/>
      <c r="C759" s="44"/>
      <c r="D759" s="44"/>
      <c r="E759" s="102"/>
      <c r="F759" s="519"/>
      <c r="G759" s="519"/>
      <c r="H759" s="519"/>
      <c r="I759" s="105"/>
    </row>
    <row r="760">
      <c r="A760" s="102"/>
      <c r="B760" s="102"/>
      <c r="C760" s="44"/>
      <c r="D760" s="44"/>
      <c r="E760" s="102"/>
      <c r="F760" s="519"/>
      <c r="G760" s="519"/>
      <c r="H760" s="519"/>
      <c r="I760" s="105"/>
    </row>
    <row r="761">
      <c r="A761" s="102"/>
      <c r="B761" s="102"/>
      <c r="C761" s="44"/>
      <c r="D761" s="44"/>
      <c r="E761" s="102"/>
      <c r="F761" s="519"/>
      <c r="G761" s="519"/>
      <c r="H761" s="519"/>
      <c r="I761" s="105"/>
    </row>
    <row r="762">
      <c r="A762" s="102"/>
      <c r="B762" s="102"/>
      <c r="C762" s="44"/>
      <c r="D762" s="44"/>
      <c r="E762" s="102"/>
      <c r="F762" s="519"/>
      <c r="G762" s="519"/>
      <c r="H762" s="519"/>
      <c r="I762" s="105"/>
    </row>
    <row r="763">
      <c r="A763" s="102"/>
      <c r="B763" s="102"/>
      <c r="C763" s="44"/>
      <c r="D763" s="44"/>
      <c r="E763" s="102"/>
      <c r="F763" s="519"/>
      <c r="G763" s="519"/>
      <c r="H763" s="519"/>
      <c r="I763" s="105"/>
    </row>
    <row r="764">
      <c r="A764" s="102"/>
      <c r="B764" s="102"/>
      <c r="C764" s="44"/>
      <c r="D764" s="44"/>
      <c r="E764" s="102"/>
      <c r="F764" s="519"/>
      <c r="G764" s="519"/>
      <c r="H764" s="519"/>
      <c r="I764" s="105"/>
    </row>
    <row r="765">
      <c r="A765" s="102"/>
      <c r="B765" s="102"/>
      <c r="C765" s="44"/>
      <c r="D765" s="44"/>
      <c r="E765" s="102"/>
      <c r="F765" s="519"/>
      <c r="G765" s="519"/>
      <c r="H765" s="519"/>
      <c r="I765" s="105"/>
    </row>
    <row r="766">
      <c r="A766" s="102"/>
      <c r="B766" s="102"/>
      <c r="C766" s="44"/>
      <c r="D766" s="44"/>
      <c r="E766" s="102"/>
      <c r="F766" s="519"/>
      <c r="G766" s="519"/>
      <c r="H766" s="519"/>
      <c r="I766" s="105"/>
    </row>
    <row r="767">
      <c r="A767" s="102"/>
      <c r="B767" s="102"/>
      <c r="C767" s="44"/>
      <c r="D767" s="44"/>
      <c r="E767" s="102"/>
      <c r="F767" s="519"/>
      <c r="G767" s="519"/>
      <c r="H767" s="519"/>
      <c r="I767" s="105"/>
    </row>
    <row r="768">
      <c r="A768" s="102"/>
      <c r="B768" s="102"/>
      <c r="C768" s="44"/>
      <c r="D768" s="44"/>
      <c r="E768" s="102"/>
      <c r="F768" s="519"/>
      <c r="G768" s="519"/>
      <c r="H768" s="519"/>
      <c r="I768" s="105"/>
    </row>
    <row r="769">
      <c r="A769" s="102"/>
      <c r="B769" s="102"/>
      <c r="C769" s="44"/>
      <c r="D769" s="44"/>
      <c r="E769" s="102"/>
      <c r="F769" s="519"/>
      <c r="G769" s="519"/>
      <c r="H769" s="519"/>
      <c r="I769" s="105"/>
    </row>
    <row r="770">
      <c r="A770" s="102"/>
      <c r="B770" s="102"/>
      <c r="C770" s="44"/>
      <c r="D770" s="44"/>
      <c r="E770" s="102"/>
      <c r="F770" s="519"/>
      <c r="G770" s="519"/>
      <c r="H770" s="519"/>
      <c r="I770" s="105"/>
    </row>
    <row r="771">
      <c r="A771" s="102"/>
      <c r="B771" s="102"/>
      <c r="C771" s="44"/>
      <c r="D771" s="44"/>
      <c r="E771" s="102"/>
      <c r="F771" s="519"/>
      <c r="G771" s="519"/>
      <c r="H771" s="519"/>
      <c r="I771" s="105"/>
    </row>
    <row r="772">
      <c r="A772" s="102"/>
      <c r="B772" s="102"/>
      <c r="C772" s="44"/>
      <c r="D772" s="44"/>
      <c r="E772" s="102"/>
      <c r="F772" s="519"/>
      <c r="G772" s="519"/>
      <c r="H772" s="519"/>
      <c r="I772" s="105"/>
    </row>
    <row r="773">
      <c r="A773" s="102"/>
      <c r="B773" s="102"/>
      <c r="C773" s="44"/>
      <c r="D773" s="44"/>
      <c r="E773" s="102"/>
      <c r="F773" s="519"/>
      <c r="G773" s="519"/>
      <c r="H773" s="519"/>
      <c r="I773" s="105"/>
    </row>
    <row r="774">
      <c r="A774" s="102"/>
      <c r="B774" s="102"/>
      <c r="C774" s="44"/>
      <c r="D774" s="44"/>
      <c r="E774" s="102"/>
      <c r="F774" s="519"/>
      <c r="G774" s="519"/>
      <c r="H774" s="519"/>
      <c r="I774" s="105"/>
    </row>
    <row r="775">
      <c r="A775" s="102"/>
      <c r="B775" s="102"/>
      <c r="C775" s="44"/>
      <c r="D775" s="44"/>
      <c r="E775" s="102"/>
      <c r="F775" s="519"/>
      <c r="G775" s="519"/>
      <c r="H775" s="519"/>
      <c r="I775" s="105"/>
    </row>
    <row r="776">
      <c r="A776" s="102"/>
      <c r="B776" s="102"/>
      <c r="C776" s="44"/>
      <c r="D776" s="44"/>
      <c r="E776" s="102"/>
      <c r="F776" s="519"/>
      <c r="G776" s="519"/>
      <c r="H776" s="519"/>
      <c r="I776" s="105"/>
    </row>
    <row r="777">
      <c r="A777" s="102"/>
      <c r="B777" s="102"/>
      <c r="C777" s="44"/>
      <c r="D777" s="44"/>
      <c r="E777" s="102"/>
      <c r="F777" s="519"/>
      <c r="G777" s="519"/>
      <c r="H777" s="519"/>
      <c r="I777" s="105"/>
    </row>
    <row r="778">
      <c r="A778" s="102"/>
      <c r="B778" s="102"/>
      <c r="C778" s="44"/>
      <c r="D778" s="44"/>
      <c r="E778" s="102"/>
      <c r="F778" s="519"/>
      <c r="G778" s="519"/>
      <c r="H778" s="519"/>
      <c r="I778" s="105"/>
    </row>
    <row r="779">
      <c r="A779" s="102"/>
      <c r="B779" s="102"/>
      <c r="C779" s="44"/>
      <c r="D779" s="44"/>
      <c r="E779" s="102"/>
      <c r="F779" s="519"/>
      <c r="G779" s="519"/>
      <c r="H779" s="519"/>
      <c r="I779" s="105"/>
    </row>
    <row r="780">
      <c r="A780" s="102"/>
      <c r="B780" s="102"/>
      <c r="C780" s="44"/>
      <c r="D780" s="44"/>
      <c r="E780" s="102"/>
      <c r="F780" s="519"/>
      <c r="G780" s="519"/>
      <c r="H780" s="519"/>
      <c r="I780" s="105"/>
    </row>
    <row r="781">
      <c r="A781" s="102"/>
      <c r="B781" s="102"/>
      <c r="C781" s="44"/>
      <c r="D781" s="44"/>
      <c r="E781" s="102"/>
      <c r="F781" s="519"/>
      <c r="G781" s="519"/>
      <c r="H781" s="519"/>
      <c r="I781" s="105"/>
    </row>
    <row r="782">
      <c r="A782" s="102"/>
      <c r="B782" s="102"/>
      <c r="C782" s="44"/>
      <c r="D782" s="44"/>
      <c r="E782" s="102"/>
      <c r="F782" s="519"/>
      <c r="G782" s="519"/>
      <c r="H782" s="519"/>
      <c r="I782" s="105"/>
    </row>
    <row r="783">
      <c r="A783" s="102"/>
      <c r="B783" s="102"/>
      <c r="C783" s="44"/>
      <c r="D783" s="44"/>
      <c r="E783" s="102"/>
      <c r="F783" s="519"/>
      <c r="G783" s="519"/>
      <c r="H783" s="519"/>
      <c r="I783" s="105"/>
    </row>
    <row r="784">
      <c r="A784" s="102"/>
      <c r="B784" s="102"/>
      <c r="C784" s="44"/>
      <c r="D784" s="44"/>
      <c r="E784" s="102"/>
      <c r="F784" s="519"/>
      <c r="G784" s="519"/>
      <c r="H784" s="519"/>
      <c r="I784" s="105"/>
    </row>
    <row r="785">
      <c r="A785" s="102"/>
      <c r="B785" s="102"/>
      <c r="C785" s="44"/>
      <c r="D785" s="44"/>
      <c r="E785" s="102"/>
      <c r="F785" s="519"/>
      <c r="G785" s="519"/>
      <c r="H785" s="519"/>
      <c r="I785" s="105"/>
    </row>
    <row r="786">
      <c r="A786" s="102"/>
      <c r="B786" s="102"/>
      <c r="C786" s="44"/>
      <c r="D786" s="44"/>
      <c r="E786" s="102"/>
      <c r="F786" s="519"/>
      <c r="G786" s="519"/>
      <c r="H786" s="519"/>
      <c r="I786" s="105"/>
    </row>
    <row r="787">
      <c r="A787" s="102"/>
      <c r="B787" s="102"/>
      <c r="C787" s="44"/>
      <c r="D787" s="44"/>
      <c r="E787" s="102"/>
      <c r="F787" s="519"/>
      <c r="G787" s="519"/>
      <c r="H787" s="519"/>
      <c r="I787" s="105"/>
    </row>
    <row r="788">
      <c r="A788" s="102"/>
      <c r="B788" s="102"/>
      <c r="C788" s="44"/>
      <c r="D788" s="44"/>
      <c r="E788" s="102"/>
      <c r="F788" s="519"/>
      <c r="G788" s="519"/>
      <c r="H788" s="519"/>
      <c r="I788" s="105"/>
    </row>
    <row r="789">
      <c r="A789" s="102"/>
      <c r="B789" s="102"/>
      <c r="C789" s="44"/>
      <c r="D789" s="44"/>
      <c r="E789" s="102"/>
      <c r="F789" s="519"/>
      <c r="G789" s="519"/>
      <c r="H789" s="519"/>
      <c r="I789" s="105"/>
    </row>
    <row r="790">
      <c r="A790" s="102"/>
      <c r="B790" s="102"/>
      <c r="C790" s="44"/>
      <c r="D790" s="44"/>
      <c r="E790" s="102"/>
      <c r="F790" s="519"/>
      <c r="G790" s="519"/>
      <c r="H790" s="519"/>
      <c r="I790" s="105"/>
    </row>
    <row r="791">
      <c r="A791" s="102"/>
      <c r="B791" s="102"/>
      <c r="C791" s="44"/>
      <c r="D791" s="44"/>
      <c r="E791" s="102"/>
      <c r="F791" s="519"/>
      <c r="G791" s="519"/>
      <c r="H791" s="519"/>
      <c r="I791" s="105"/>
    </row>
    <row r="792">
      <c r="A792" s="102"/>
      <c r="B792" s="102"/>
      <c r="C792" s="44"/>
      <c r="D792" s="44"/>
      <c r="E792" s="102"/>
      <c r="F792" s="519"/>
      <c r="G792" s="519"/>
      <c r="H792" s="519"/>
      <c r="I792" s="105"/>
    </row>
    <row r="793">
      <c r="A793" s="102"/>
      <c r="B793" s="102"/>
      <c r="C793" s="44"/>
      <c r="D793" s="44"/>
      <c r="E793" s="102"/>
      <c r="F793" s="519"/>
      <c r="G793" s="519"/>
      <c r="H793" s="519"/>
      <c r="I793" s="105"/>
    </row>
    <row r="794">
      <c r="A794" s="102"/>
      <c r="B794" s="102"/>
      <c r="C794" s="44"/>
      <c r="D794" s="44"/>
      <c r="E794" s="102"/>
      <c r="F794" s="519"/>
      <c r="G794" s="519"/>
      <c r="H794" s="519"/>
      <c r="I794" s="105"/>
    </row>
    <row r="795">
      <c r="A795" s="102"/>
      <c r="B795" s="102"/>
      <c r="C795" s="44"/>
      <c r="D795" s="44"/>
      <c r="E795" s="102"/>
      <c r="F795" s="519"/>
      <c r="G795" s="519"/>
      <c r="H795" s="519"/>
      <c r="I795" s="105"/>
    </row>
    <row r="796">
      <c r="A796" s="102"/>
      <c r="B796" s="102"/>
      <c r="C796" s="44"/>
      <c r="D796" s="44"/>
      <c r="E796" s="102"/>
      <c r="F796" s="519"/>
      <c r="G796" s="519"/>
      <c r="H796" s="519"/>
      <c r="I796" s="105"/>
    </row>
    <row r="797">
      <c r="A797" s="102"/>
      <c r="B797" s="102"/>
      <c r="C797" s="44"/>
      <c r="D797" s="44"/>
      <c r="E797" s="102"/>
      <c r="F797" s="519"/>
      <c r="G797" s="519"/>
      <c r="H797" s="519"/>
      <c r="I797" s="105"/>
    </row>
    <row r="798">
      <c r="A798" s="102"/>
      <c r="B798" s="102"/>
      <c r="C798" s="44"/>
      <c r="D798" s="44"/>
      <c r="E798" s="102"/>
      <c r="F798" s="519"/>
      <c r="G798" s="519"/>
      <c r="H798" s="519"/>
      <c r="I798" s="105"/>
    </row>
    <row r="799">
      <c r="A799" s="102"/>
      <c r="B799" s="102"/>
      <c r="C799" s="44"/>
      <c r="D799" s="44"/>
      <c r="E799" s="102"/>
      <c r="F799" s="519"/>
      <c r="G799" s="519"/>
      <c r="H799" s="519"/>
      <c r="I799" s="105"/>
    </row>
    <row r="800">
      <c r="A800" s="102"/>
      <c r="B800" s="102"/>
      <c r="C800" s="44"/>
      <c r="D800" s="44"/>
      <c r="E800" s="102"/>
      <c r="F800" s="519"/>
      <c r="G800" s="519"/>
      <c r="H800" s="519"/>
      <c r="I800" s="105"/>
    </row>
    <row r="801">
      <c r="A801" s="102"/>
      <c r="B801" s="102"/>
      <c r="C801" s="44"/>
      <c r="D801" s="44"/>
      <c r="E801" s="102"/>
      <c r="F801" s="519"/>
      <c r="G801" s="519"/>
      <c r="H801" s="519"/>
      <c r="I801" s="105"/>
    </row>
    <row r="802">
      <c r="A802" s="102"/>
      <c r="B802" s="102"/>
      <c r="C802" s="44"/>
      <c r="D802" s="44"/>
      <c r="E802" s="102"/>
      <c r="F802" s="519"/>
      <c r="G802" s="519"/>
      <c r="H802" s="519"/>
      <c r="I802" s="105"/>
    </row>
    <row r="803">
      <c r="A803" s="102"/>
      <c r="B803" s="102"/>
      <c r="C803" s="44"/>
      <c r="D803" s="44"/>
      <c r="E803" s="102"/>
      <c r="F803" s="519"/>
      <c r="G803" s="519"/>
      <c r="H803" s="519"/>
      <c r="I803" s="105"/>
    </row>
    <row r="804">
      <c r="A804" s="102"/>
      <c r="B804" s="102"/>
      <c r="C804" s="44"/>
      <c r="D804" s="44"/>
      <c r="E804" s="102"/>
      <c r="F804" s="519"/>
      <c r="G804" s="519"/>
      <c r="H804" s="519"/>
      <c r="I804" s="105"/>
    </row>
    <row r="805">
      <c r="A805" s="102"/>
      <c r="B805" s="102"/>
      <c r="C805" s="44"/>
      <c r="D805" s="44"/>
      <c r="E805" s="102"/>
      <c r="F805" s="519"/>
      <c r="G805" s="519"/>
      <c r="H805" s="519"/>
      <c r="I805" s="105"/>
    </row>
    <row r="806">
      <c r="A806" s="102"/>
      <c r="B806" s="102"/>
      <c r="C806" s="44"/>
      <c r="D806" s="44"/>
      <c r="E806" s="102"/>
      <c r="F806" s="519"/>
      <c r="G806" s="519"/>
      <c r="H806" s="519"/>
      <c r="I806" s="105"/>
    </row>
    <row r="807">
      <c r="A807" s="102"/>
      <c r="B807" s="102"/>
      <c r="C807" s="44"/>
      <c r="D807" s="44"/>
      <c r="E807" s="102"/>
      <c r="F807" s="519"/>
      <c r="G807" s="519"/>
      <c r="H807" s="519"/>
      <c r="I807" s="105"/>
    </row>
    <row r="808">
      <c r="A808" s="102"/>
      <c r="B808" s="102"/>
      <c r="C808" s="44"/>
      <c r="D808" s="44"/>
      <c r="E808" s="102"/>
      <c r="F808" s="519"/>
      <c r="G808" s="519"/>
      <c r="H808" s="519"/>
      <c r="I808" s="105"/>
    </row>
    <row r="809">
      <c r="A809" s="102"/>
      <c r="B809" s="102"/>
      <c r="C809" s="44"/>
      <c r="D809" s="44"/>
      <c r="E809" s="102"/>
      <c r="F809" s="519"/>
      <c r="G809" s="519"/>
      <c r="H809" s="519"/>
      <c r="I809" s="105"/>
    </row>
    <row r="810">
      <c r="A810" s="102"/>
      <c r="B810" s="102"/>
      <c r="C810" s="44"/>
      <c r="D810" s="44"/>
      <c r="E810" s="102"/>
      <c r="F810" s="519"/>
      <c r="G810" s="519"/>
      <c r="H810" s="519"/>
      <c r="I810" s="105"/>
    </row>
    <row r="811">
      <c r="A811" s="102"/>
      <c r="B811" s="102"/>
      <c r="C811" s="44"/>
      <c r="D811" s="44"/>
      <c r="E811" s="102"/>
      <c r="F811" s="519"/>
      <c r="G811" s="519"/>
      <c r="H811" s="519"/>
      <c r="I811" s="105"/>
    </row>
    <row r="812">
      <c r="A812" s="102"/>
      <c r="B812" s="102"/>
      <c r="C812" s="44"/>
      <c r="D812" s="44"/>
      <c r="E812" s="102"/>
      <c r="F812" s="519"/>
      <c r="G812" s="519"/>
      <c r="H812" s="519"/>
      <c r="I812" s="105"/>
    </row>
    <row r="813">
      <c r="A813" s="102"/>
      <c r="B813" s="102"/>
      <c r="C813" s="44"/>
      <c r="D813" s="44"/>
      <c r="E813" s="102"/>
      <c r="F813" s="519"/>
      <c r="G813" s="519"/>
      <c r="H813" s="519"/>
      <c r="I813" s="105"/>
    </row>
    <row r="814">
      <c r="A814" s="102"/>
      <c r="B814" s="102"/>
      <c r="C814" s="44"/>
      <c r="D814" s="44"/>
      <c r="E814" s="102"/>
      <c r="F814" s="519"/>
      <c r="G814" s="519"/>
      <c r="H814" s="519"/>
      <c r="I814" s="105"/>
    </row>
    <row r="815">
      <c r="A815" s="102"/>
      <c r="B815" s="102"/>
      <c r="C815" s="44"/>
      <c r="D815" s="44"/>
      <c r="E815" s="102"/>
      <c r="F815" s="519"/>
      <c r="G815" s="519"/>
      <c r="H815" s="519"/>
      <c r="I815" s="105"/>
    </row>
    <row r="816">
      <c r="A816" s="102"/>
      <c r="B816" s="102"/>
      <c r="C816" s="44"/>
      <c r="D816" s="44"/>
      <c r="E816" s="102"/>
      <c r="F816" s="519"/>
      <c r="G816" s="519"/>
      <c r="H816" s="519"/>
      <c r="I816" s="105"/>
    </row>
    <row r="817">
      <c r="A817" s="102"/>
      <c r="B817" s="102"/>
      <c r="C817" s="44"/>
      <c r="D817" s="44"/>
      <c r="E817" s="102"/>
      <c r="F817" s="519"/>
      <c r="G817" s="519"/>
      <c r="H817" s="519"/>
      <c r="I817" s="105"/>
    </row>
    <row r="818">
      <c r="A818" s="102"/>
      <c r="B818" s="102"/>
      <c r="C818" s="44"/>
      <c r="D818" s="44"/>
      <c r="E818" s="102"/>
      <c r="F818" s="519"/>
      <c r="G818" s="519"/>
      <c r="H818" s="519"/>
      <c r="I818" s="105"/>
    </row>
    <row r="819">
      <c r="A819" s="102"/>
      <c r="B819" s="102"/>
      <c r="C819" s="44"/>
      <c r="D819" s="44"/>
      <c r="E819" s="102"/>
      <c r="F819" s="519"/>
      <c r="G819" s="519"/>
      <c r="H819" s="519"/>
      <c r="I819" s="105"/>
    </row>
    <row r="820">
      <c r="A820" s="102"/>
      <c r="B820" s="102"/>
      <c r="C820" s="44"/>
      <c r="D820" s="44"/>
      <c r="E820" s="102"/>
      <c r="F820" s="519"/>
      <c r="G820" s="519"/>
      <c r="H820" s="519"/>
      <c r="I820" s="105"/>
    </row>
    <row r="821">
      <c r="A821" s="102"/>
      <c r="B821" s="102"/>
      <c r="C821" s="44"/>
      <c r="D821" s="44"/>
      <c r="E821" s="102"/>
      <c r="F821" s="519"/>
      <c r="G821" s="519"/>
      <c r="H821" s="519"/>
      <c r="I821" s="105"/>
    </row>
    <row r="822">
      <c r="A822" s="102"/>
      <c r="B822" s="102"/>
      <c r="C822" s="44"/>
      <c r="D822" s="44"/>
      <c r="E822" s="102"/>
      <c r="F822" s="519"/>
      <c r="G822" s="519"/>
      <c r="H822" s="519"/>
      <c r="I822" s="105"/>
    </row>
    <row r="823">
      <c r="A823" s="102"/>
      <c r="B823" s="102"/>
      <c r="C823" s="44"/>
      <c r="D823" s="44"/>
      <c r="E823" s="102"/>
      <c r="F823" s="519"/>
      <c r="G823" s="519"/>
      <c r="H823" s="519"/>
      <c r="I823" s="105"/>
    </row>
    <row r="824">
      <c r="A824" s="102"/>
      <c r="B824" s="102"/>
      <c r="C824" s="44"/>
      <c r="D824" s="44"/>
      <c r="E824" s="102"/>
      <c r="F824" s="519"/>
      <c r="G824" s="519"/>
      <c r="H824" s="519"/>
      <c r="I824" s="105"/>
    </row>
    <row r="825">
      <c r="A825" s="102"/>
      <c r="B825" s="102"/>
      <c r="C825" s="44"/>
      <c r="D825" s="44"/>
      <c r="E825" s="102"/>
      <c r="F825" s="519"/>
      <c r="G825" s="519"/>
      <c r="H825" s="519"/>
      <c r="I825" s="105"/>
    </row>
    <row r="826">
      <c r="A826" s="102"/>
      <c r="B826" s="102"/>
      <c r="C826" s="44"/>
      <c r="D826" s="44"/>
      <c r="E826" s="102"/>
      <c r="F826" s="519"/>
      <c r="G826" s="519"/>
      <c r="H826" s="519"/>
      <c r="I826" s="105"/>
    </row>
    <row r="827">
      <c r="A827" s="102"/>
      <c r="B827" s="102"/>
      <c r="C827" s="44"/>
      <c r="D827" s="44"/>
      <c r="E827" s="102"/>
      <c r="F827" s="519"/>
      <c r="G827" s="519"/>
      <c r="H827" s="519"/>
      <c r="I827" s="105"/>
    </row>
    <row r="828">
      <c r="A828" s="102"/>
      <c r="B828" s="102"/>
      <c r="C828" s="44"/>
      <c r="D828" s="44"/>
      <c r="E828" s="102"/>
      <c r="F828" s="519"/>
      <c r="G828" s="519"/>
      <c r="H828" s="519"/>
      <c r="I828" s="105"/>
    </row>
    <row r="829">
      <c r="A829" s="102"/>
      <c r="B829" s="102"/>
      <c r="C829" s="44"/>
      <c r="D829" s="44"/>
      <c r="E829" s="102"/>
      <c r="F829" s="519"/>
      <c r="G829" s="519"/>
      <c r="H829" s="519"/>
      <c r="I829" s="105"/>
    </row>
    <row r="830">
      <c r="A830" s="102"/>
      <c r="B830" s="102"/>
      <c r="C830" s="44"/>
      <c r="D830" s="44"/>
      <c r="E830" s="102"/>
      <c r="F830" s="519"/>
      <c r="G830" s="519"/>
      <c r="H830" s="519"/>
      <c r="I830" s="105"/>
    </row>
    <row r="831">
      <c r="A831" s="102"/>
      <c r="B831" s="102"/>
      <c r="C831" s="44"/>
      <c r="D831" s="44"/>
      <c r="E831" s="102"/>
      <c r="F831" s="519"/>
      <c r="G831" s="519"/>
      <c r="H831" s="519"/>
      <c r="I831" s="105"/>
    </row>
    <row r="832">
      <c r="A832" s="102"/>
      <c r="B832" s="102"/>
      <c r="C832" s="44"/>
      <c r="D832" s="44"/>
      <c r="E832" s="102"/>
      <c r="F832" s="519"/>
      <c r="G832" s="519"/>
      <c r="H832" s="519"/>
      <c r="I832" s="105"/>
    </row>
    <row r="833">
      <c r="A833" s="102"/>
      <c r="B833" s="102"/>
      <c r="C833" s="44"/>
      <c r="D833" s="44"/>
      <c r="E833" s="102"/>
      <c r="F833" s="519"/>
      <c r="G833" s="519"/>
      <c r="H833" s="519"/>
      <c r="I833" s="105"/>
    </row>
    <row r="834">
      <c r="A834" s="102"/>
      <c r="B834" s="102"/>
      <c r="C834" s="44"/>
      <c r="D834" s="44"/>
      <c r="E834" s="102"/>
      <c r="F834" s="519"/>
      <c r="G834" s="519"/>
      <c r="H834" s="519"/>
      <c r="I834" s="105"/>
    </row>
    <row r="835">
      <c r="A835" s="102"/>
      <c r="B835" s="102"/>
      <c r="C835" s="44"/>
      <c r="D835" s="44"/>
      <c r="E835" s="102"/>
      <c r="F835" s="519"/>
      <c r="G835" s="519"/>
      <c r="H835" s="519"/>
      <c r="I835" s="105"/>
    </row>
    <row r="836">
      <c r="A836" s="102"/>
      <c r="B836" s="102"/>
      <c r="C836" s="44"/>
      <c r="D836" s="44"/>
      <c r="E836" s="102"/>
      <c r="F836" s="519"/>
      <c r="G836" s="519"/>
      <c r="H836" s="519"/>
      <c r="I836" s="105"/>
    </row>
    <row r="837">
      <c r="A837" s="102"/>
      <c r="B837" s="102"/>
      <c r="C837" s="44"/>
      <c r="D837" s="44"/>
      <c r="E837" s="102"/>
      <c r="F837" s="519"/>
      <c r="G837" s="519"/>
      <c r="H837" s="519"/>
      <c r="I837" s="105"/>
    </row>
    <row r="838">
      <c r="A838" s="102"/>
      <c r="B838" s="102"/>
      <c r="C838" s="44"/>
      <c r="D838" s="44"/>
      <c r="E838" s="102"/>
      <c r="F838" s="519"/>
      <c r="G838" s="519"/>
      <c r="H838" s="519"/>
      <c r="I838" s="105"/>
    </row>
    <row r="839">
      <c r="A839" s="102"/>
      <c r="B839" s="102"/>
      <c r="C839" s="44"/>
      <c r="D839" s="44"/>
      <c r="E839" s="102"/>
      <c r="F839" s="519"/>
      <c r="G839" s="519"/>
      <c r="H839" s="519"/>
      <c r="I839" s="105"/>
    </row>
    <row r="840">
      <c r="A840" s="102"/>
      <c r="B840" s="102"/>
      <c r="C840" s="44"/>
      <c r="D840" s="44"/>
      <c r="E840" s="102"/>
      <c r="F840" s="519"/>
      <c r="G840" s="519"/>
      <c r="H840" s="519"/>
      <c r="I840" s="105"/>
    </row>
    <row r="841">
      <c r="A841" s="102"/>
      <c r="B841" s="102"/>
      <c r="C841" s="44"/>
      <c r="D841" s="44"/>
      <c r="E841" s="102"/>
      <c r="F841" s="519"/>
      <c r="G841" s="519"/>
      <c r="H841" s="519"/>
      <c r="I841" s="105"/>
    </row>
    <row r="842">
      <c r="A842" s="102"/>
      <c r="B842" s="102"/>
      <c r="C842" s="44"/>
      <c r="D842" s="44"/>
      <c r="E842" s="102"/>
      <c r="F842" s="519"/>
      <c r="G842" s="519"/>
      <c r="H842" s="519"/>
      <c r="I842" s="105"/>
    </row>
    <row r="843">
      <c r="A843" s="102"/>
      <c r="B843" s="102"/>
      <c r="C843" s="44"/>
      <c r="D843" s="44"/>
      <c r="E843" s="102"/>
      <c r="F843" s="519"/>
      <c r="G843" s="519"/>
      <c r="H843" s="519"/>
      <c r="I843" s="105"/>
    </row>
    <row r="844">
      <c r="A844" s="102"/>
      <c r="B844" s="102"/>
      <c r="C844" s="44"/>
      <c r="D844" s="44"/>
      <c r="E844" s="102"/>
      <c r="F844" s="519"/>
      <c r="G844" s="519"/>
      <c r="H844" s="519"/>
      <c r="I844" s="105"/>
    </row>
    <row r="845">
      <c r="A845" s="102"/>
      <c r="B845" s="102"/>
      <c r="C845" s="44"/>
      <c r="D845" s="44"/>
      <c r="E845" s="102"/>
      <c r="F845" s="519"/>
      <c r="G845" s="519"/>
      <c r="H845" s="519"/>
      <c r="I845" s="105"/>
    </row>
    <row r="846">
      <c r="A846" s="102"/>
      <c r="B846" s="102"/>
      <c r="C846" s="44"/>
      <c r="D846" s="44"/>
      <c r="E846" s="102"/>
      <c r="F846" s="519"/>
      <c r="G846" s="519"/>
      <c r="H846" s="519"/>
      <c r="I846" s="105"/>
    </row>
    <row r="847">
      <c r="A847" s="102"/>
      <c r="B847" s="102"/>
      <c r="C847" s="44"/>
      <c r="D847" s="44"/>
      <c r="E847" s="102"/>
      <c r="F847" s="519"/>
      <c r="G847" s="519"/>
      <c r="H847" s="519"/>
      <c r="I847" s="105"/>
    </row>
    <row r="848">
      <c r="A848" s="102"/>
      <c r="B848" s="102"/>
      <c r="C848" s="44"/>
      <c r="D848" s="44"/>
      <c r="E848" s="102"/>
      <c r="F848" s="519"/>
      <c r="G848" s="519"/>
      <c r="H848" s="519"/>
      <c r="I848" s="105"/>
    </row>
    <row r="849">
      <c r="A849" s="102"/>
      <c r="B849" s="102"/>
      <c r="C849" s="44"/>
      <c r="D849" s="44"/>
      <c r="E849" s="102"/>
      <c r="F849" s="519"/>
      <c r="G849" s="519"/>
      <c r="H849" s="519"/>
      <c r="I849" s="105"/>
    </row>
    <row r="850">
      <c r="A850" s="102"/>
      <c r="B850" s="102"/>
      <c r="C850" s="44"/>
      <c r="D850" s="44"/>
      <c r="E850" s="102"/>
      <c r="F850" s="519"/>
      <c r="G850" s="519"/>
      <c r="H850" s="519"/>
      <c r="I850" s="105"/>
    </row>
    <row r="851">
      <c r="A851" s="102"/>
      <c r="B851" s="102"/>
      <c r="C851" s="44"/>
      <c r="D851" s="44"/>
      <c r="E851" s="102"/>
      <c r="F851" s="519"/>
      <c r="G851" s="519"/>
      <c r="H851" s="519"/>
      <c r="I851" s="105"/>
    </row>
    <row r="852">
      <c r="A852" s="102"/>
      <c r="B852" s="102"/>
      <c r="C852" s="44"/>
      <c r="D852" s="44"/>
      <c r="E852" s="102"/>
      <c r="F852" s="519"/>
      <c r="G852" s="519"/>
      <c r="H852" s="519"/>
      <c r="I852" s="105"/>
    </row>
    <row r="853">
      <c r="A853" s="102"/>
      <c r="B853" s="102"/>
      <c r="C853" s="44"/>
      <c r="D853" s="44"/>
      <c r="E853" s="102"/>
      <c r="F853" s="519"/>
      <c r="G853" s="519"/>
      <c r="H853" s="519"/>
      <c r="I853" s="105"/>
    </row>
    <row r="854">
      <c r="A854" s="102"/>
      <c r="B854" s="102"/>
      <c r="C854" s="44"/>
      <c r="D854" s="44"/>
      <c r="E854" s="102"/>
      <c r="F854" s="519"/>
      <c r="G854" s="519"/>
      <c r="H854" s="519"/>
      <c r="I854" s="105"/>
    </row>
    <row r="855">
      <c r="A855" s="102"/>
      <c r="B855" s="102"/>
      <c r="C855" s="44"/>
      <c r="D855" s="44"/>
      <c r="E855" s="102"/>
      <c r="F855" s="519"/>
      <c r="G855" s="519"/>
      <c r="H855" s="519"/>
      <c r="I855" s="105"/>
    </row>
    <row r="856">
      <c r="A856" s="102"/>
      <c r="B856" s="102"/>
      <c r="C856" s="44"/>
      <c r="D856" s="44"/>
      <c r="E856" s="102"/>
      <c r="F856" s="519"/>
      <c r="G856" s="519"/>
      <c r="H856" s="519"/>
      <c r="I856" s="105"/>
    </row>
    <row r="857">
      <c r="A857" s="102"/>
      <c r="B857" s="102"/>
      <c r="C857" s="44"/>
      <c r="D857" s="44"/>
      <c r="E857" s="102"/>
      <c r="F857" s="519"/>
      <c r="G857" s="519"/>
      <c r="H857" s="519"/>
      <c r="I857" s="105"/>
    </row>
    <row r="858">
      <c r="A858" s="102"/>
      <c r="B858" s="102"/>
      <c r="C858" s="44"/>
      <c r="D858" s="44"/>
      <c r="E858" s="102"/>
      <c r="F858" s="519"/>
      <c r="G858" s="519"/>
      <c r="H858" s="519"/>
      <c r="I858" s="105"/>
    </row>
    <row r="859">
      <c r="A859" s="102"/>
      <c r="B859" s="102"/>
      <c r="C859" s="44"/>
      <c r="D859" s="44"/>
      <c r="E859" s="102"/>
      <c r="F859" s="519"/>
      <c r="G859" s="519"/>
      <c r="H859" s="519"/>
      <c r="I859" s="105"/>
    </row>
    <row r="860">
      <c r="A860" s="102"/>
      <c r="B860" s="102"/>
      <c r="C860" s="44"/>
      <c r="D860" s="44"/>
      <c r="E860" s="102"/>
      <c r="F860" s="519"/>
      <c r="G860" s="519"/>
      <c r="H860" s="519"/>
      <c r="I860" s="105"/>
    </row>
    <row r="861">
      <c r="A861" s="102"/>
      <c r="B861" s="102"/>
      <c r="C861" s="44"/>
      <c r="D861" s="44"/>
      <c r="E861" s="102"/>
      <c r="F861" s="519"/>
      <c r="G861" s="519"/>
      <c r="H861" s="519"/>
      <c r="I861" s="105"/>
    </row>
    <row r="862">
      <c r="A862" s="102"/>
      <c r="B862" s="102"/>
      <c r="C862" s="44"/>
      <c r="D862" s="44"/>
      <c r="E862" s="102"/>
      <c r="F862" s="519"/>
      <c r="G862" s="519"/>
      <c r="H862" s="519"/>
      <c r="I862" s="105"/>
    </row>
    <row r="863">
      <c r="A863" s="102"/>
      <c r="B863" s="102"/>
      <c r="C863" s="44"/>
      <c r="D863" s="44"/>
      <c r="E863" s="102"/>
      <c r="F863" s="519"/>
      <c r="G863" s="519"/>
      <c r="H863" s="519"/>
      <c r="I863" s="105"/>
    </row>
    <row r="864">
      <c r="A864" s="102"/>
      <c r="B864" s="102"/>
      <c r="C864" s="44"/>
      <c r="D864" s="44"/>
      <c r="E864" s="102"/>
      <c r="F864" s="519"/>
      <c r="G864" s="519"/>
      <c r="H864" s="519"/>
      <c r="I864" s="105"/>
    </row>
    <row r="865">
      <c r="A865" s="102"/>
      <c r="B865" s="102"/>
      <c r="C865" s="44"/>
      <c r="D865" s="44"/>
      <c r="E865" s="102"/>
      <c r="F865" s="519"/>
      <c r="G865" s="519"/>
      <c r="H865" s="519"/>
      <c r="I865" s="105"/>
    </row>
    <row r="866">
      <c r="A866" s="102"/>
      <c r="B866" s="102"/>
      <c r="C866" s="44"/>
      <c r="D866" s="44"/>
      <c r="E866" s="102"/>
      <c r="F866" s="519"/>
      <c r="G866" s="519"/>
      <c r="H866" s="519"/>
      <c r="I866" s="105"/>
    </row>
    <row r="867">
      <c r="A867" s="102"/>
      <c r="B867" s="102"/>
      <c r="C867" s="44"/>
      <c r="D867" s="44"/>
      <c r="E867" s="102"/>
      <c r="F867" s="519"/>
      <c r="G867" s="519"/>
      <c r="H867" s="519"/>
      <c r="I867" s="105"/>
    </row>
    <row r="868">
      <c r="A868" s="102"/>
      <c r="B868" s="102"/>
      <c r="C868" s="44"/>
      <c r="D868" s="44"/>
      <c r="E868" s="102"/>
      <c r="F868" s="519"/>
      <c r="G868" s="519"/>
      <c r="H868" s="519"/>
      <c r="I868" s="105"/>
    </row>
    <row r="869">
      <c r="A869" s="102"/>
      <c r="B869" s="102"/>
      <c r="C869" s="44"/>
      <c r="D869" s="44"/>
      <c r="E869" s="102"/>
      <c r="F869" s="519"/>
      <c r="G869" s="519"/>
      <c r="H869" s="519"/>
      <c r="I869" s="105"/>
    </row>
    <row r="870">
      <c r="A870" s="102"/>
      <c r="B870" s="102"/>
      <c r="C870" s="44"/>
      <c r="D870" s="44"/>
      <c r="E870" s="102"/>
      <c r="F870" s="519"/>
      <c r="G870" s="519"/>
      <c r="H870" s="519"/>
      <c r="I870" s="105"/>
    </row>
    <row r="871">
      <c r="A871" s="102"/>
      <c r="B871" s="102"/>
      <c r="C871" s="44"/>
      <c r="D871" s="44"/>
      <c r="E871" s="102"/>
      <c r="F871" s="519"/>
      <c r="G871" s="519"/>
      <c r="H871" s="519"/>
      <c r="I871" s="105"/>
    </row>
    <row r="872">
      <c r="A872" s="102"/>
      <c r="B872" s="102"/>
      <c r="C872" s="44"/>
      <c r="D872" s="44"/>
      <c r="E872" s="102"/>
      <c r="F872" s="519"/>
      <c r="G872" s="519"/>
      <c r="H872" s="519"/>
      <c r="I872" s="105"/>
    </row>
    <row r="873">
      <c r="A873" s="102"/>
      <c r="B873" s="102"/>
      <c r="C873" s="44"/>
      <c r="D873" s="44"/>
      <c r="E873" s="102"/>
      <c r="F873" s="519"/>
      <c r="G873" s="519"/>
      <c r="H873" s="519"/>
      <c r="I873" s="105"/>
    </row>
    <row r="874">
      <c r="A874" s="102"/>
      <c r="B874" s="102"/>
      <c r="C874" s="44"/>
      <c r="D874" s="44"/>
      <c r="E874" s="102"/>
      <c r="F874" s="519"/>
      <c r="G874" s="519"/>
      <c r="H874" s="519"/>
      <c r="I874" s="105"/>
    </row>
    <row r="875">
      <c r="A875" s="102"/>
      <c r="B875" s="102"/>
      <c r="C875" s="44"/>
      <c r="D875" s="44"/>
      <c r="E875" s="102"/>
      <c r="F875" s="519"/>
      <c r="G875" s="519"/>
      <c r="H875" s="519"/>
      <c r="I875" s="105"/>
    </row>
    <row r="876">
      <c r="A876" s="102"/>
      <c r="B876" s="102"/>
      <c r="C876" s="44"/>
      <c r="D876" s="44"/>
      <c r="E876" s="102"/>
      <c r="F876" s="519"/>
      <c r="G876" s="519"/>
      <c r="H876" s="519"/>
      <c r="I876" s="105"/>
    </row>
    <row r="877">
      <c r="A877" s="102"/>
      <c r="B877" s="102"/>
      <c r="C877" s="44"/>
      <c r="D877" s="44"/>
      <c r="E877" s="102"/>
      <c r="F877" s="519"/>
      <c r="G877" s="519"/>
      <c r="H877" s="519"/>
      <c r="I877" s="105"/>
    </row>
    <row r="878">
      <c r="A878" s="102"/>
      <c r="B878" s="102"/>
      <c r="C878" s="44"/>
      <c r="D878" s="44"/>
      <c r="E878" s="102"/>
      <c r="F878" s="519"/>
      <c r="G878" s="519"/>
      <c r="H878" s="519"/>
      <c r="I878" s="105"/>
    </row>
    <row r="879">
      <c r="A879" s="102"/>
      <c r="B879" s="102"/>
      <c r="C879" s="44"/>
      <c r="D879" s="44"/>
      <c r="E879" s="102"/>
      <c r="F879" s="519"/>
      <c r="G879" s="519"/>
      <c r="H879" s="519"/>
      <c r="I879" s="105"/>
    </row>
    <row r="880">
      <c r="A880" s="102"/>
      <c r="B880" s="102"/>
      <c r="C880" s="44"/>
      <c r="D880" s="44"/>
      <c r="E880" s="102"/>
      <c r="F880" s="519"/>
      <c r="G880" s="519"/>
      <c r="H880" s="519"/>
      <c r="I880" s="105"/>
    </row>
    <row r="881">
      <c r="A881" s="102"/>
      <c r="B881" s="102"/>
      <c r="C881" s="44"/>
      <c r="D881" s="44"/>
      <c r="E881" s="102"/>
      <c r="F881" s="519"/>
      <c r="G881" s="519"/>
      <c r="H881" s="519"/>
      <c r="I881" s="105"/>
    </row>
    <row r="882">
      <c r="A882" s="102"/>
      <c r="B882" s="102"/>
      <c r="C882" s="44"/>
      <c r="D882" s="44"/>
      <c r="E882" s="102"/>
      <c r="F882" s="519"/>
      <c r="G882" s="519"/>
      <c r="H882" s="519"/>
      <c r="I882" s="105"/>
    </row>
    <row r="883">
      <c r="A883" s="102"/>
      <c r="B883" s="102"/>
      <c r="C883" s="44"/>
      <c r="D883" s="44"/>
      <c r="E883" s="102"/>
      <c r="F883" s="519"/>
      <c r="G883" s="519"/>
      <c r="H883" s="519"/>
      <c r="I883" s="105"/>
    </row>
    <row r="884">
      <c r="A884" s="102"/>
      <c r="B884" s="102"/>
      <c r="C884" s="44"/>
      <c r="D884" s="44"/>
      <c r="E884" s="102"/>
      <c r="F884" s="519"/>
      <c r="G884" s="519"/>
      <c r="H884" s="519"/>
      <c r="I884" s="105"/>
    </row>
    <row r="885">
      <c r="A885" s="102"/>
      <c r="B885" s="102"/>
      <c r="C885" s="44"/>
      <c r="D885" s="44"/>
      <c r="E885" s="102"/>
      <c r="F885" s="519"/>
      <c r="G885" s="519"/>
      <c r="H885" s="519"/>
      <c r="I885" s="105"/>
    </row>
    <row r="886">
      <c r="A886" s="102"/>
      <c r="B886" s="102"/>
      <c r="C886" s="44"/>
      <c r="D886" s="44"/>
      <c r="E886" s="102"/>
      <c r="F886" s="519"/>
      <c r="G886" s="519"/>
      <c r="H886" s="519"/>
      <c r="I886" s="105"/>
    </row>
    <row r="887">
      <c r="A887" s="102"/>
      <c r="B887" s="102"/>
      <c r="C887" s="44"/>
      <c r="D887" s="44"/>
      <c r="E887" s="102"/>
      <c r="F887" s="519"/>
      <c r="G887" s="519"/>
      <c r="H887" s="519"/>
      <c r="I887" s="105"/>
    </row>
    <row r="888">
      <c r="A888" s="102"/>
      <c r="B888" s="102"/>
      <c r="C888" s="44"/>
      <c r="D888" s="44"/>
      <c r="E888" s="102"/>
      <c r="F888" s="519"/>
      <c r="G888" s="519"/>
      <c r="H888" s="519"/>
      <c r="I888" s="105"/>
    </row>
    <row r="889">
      <c r="A889" s="102"/>
      <c r="B889" s="102"/>
      <c r="C889" s="44"/>
      <c r="D889" s="44"/>
      <c r="E889" s="102"/>
      <c r="F889" s="519"/>
      <c r="G889" s="519"/>
      <c r="H889" s="519"/>
      <c r="I889" s="105"/>
    </row>
    <row r="890">
      <c r="A890" s="102"/>
      <c r="B890" s="102"/>
      <c r="C890" s="44"/>
      <c r="D890" s="44"/>
      <c r="E890" s="102"/>
      <c r="F890" s="519"/>
      <c r="G890" s="519"/>
      <c r="H890" s="519"/>
      <c r="I890" s="105"/>
    </row>
    <row r="891">
      <c r="A891" s="102"/>
      <c r="B891" s="102"/>
      <c r="C891" s="44"/>
      <c r="D891" s="44"/>
      <c r="E891" s="102"/>
      <c r="F891" s="519"/>
      <c r="G891" s="519"/>
      <c r="H891" s="519"/>
      <c r="I891" s="105"/>
    </row>
    <row r="892">
      <c r="A892" s="102"/>
      <c r="B892" s="102"/>
      <c r="C892" s="44"/>
      <c r="D892" s="44"/>
      <c r="E892" s="102"/>
      <c r="F892" s="519"/>
      <c r="G892" s="519"/>
      <c r="H892" s="519"/>
      <c r="I892" s="105"/>
    </row>
    <row r="893">
      <c r="A893" s="102"/>
      <c r="B893" s="102"/>
      <c r="C893" s="44"/>
      <c r="D893" s="44"/>
      <c r="E893" s="102"/>
      <c r="F893" s="519"/>
      <c r="G893" s="519"/>
      <c r="H893" s="519"/>
      <c r="I893" s="105"/>
    </row>
    <row r="894">
      <c r="A894" s="102"/>
      <c r="B894" s="102"/>
      <c r="C894" s="44"/>
      <c r="D894" s="44"/>
      <c r="E894" s="102"/>
      <c r="F894" s="519"/>
      <c r="G894" s="519"/>
      <c r="H894" s="519"/>
      <c r="I894" s="105"/>
    </row>
    <row r="895">
      <c r="A895" s="102"/>
      <c r="B895" s="102"/>
      <c r="C895" s="44"/>
      <c r="D895" s="44"/>
      <c r="E895" s="102"/>
      <c r="F895" s="519"/>
      <c r="G895" s="519"/>
      <c r="H895" s="519"/>
      <c r="I895" s="105"/>
    </row>
    <row r="896">
      <c r="A896" s="102"/>
      <c r="B896" s="102"/>
      <c r="C896" s="44"/>
      <c r="D896" s="44"/>
      <c r="E896" s="102"/>
      <c r="F896" s="519"/>
      <c r="G896" s="519"/>
      <c r="H896" s="519"/>
      <c r="I896" s="105"/>
    </row>
    <row r="897">
      <c r="A897" s="102"/>
      <c r="B897" s="102"/>
      <c r="C897" s="44"/>
      <c r="D897" s="44"/>
      <c r="E897" s="102"/>
      <c r="F897" s="519"/>
      <c r="G897" s="519"/>
      <c r="H897" s="519"/>
      <c r="I897" s="105"/>
    </row>
    <row r="898">
      <c r="A898" s="102"/>
      <c r="B898" s="102"/>
      <c r="C898" s="44"/>
      <c r="D898" s="44"/>
      <c r="E898" s="102"/>
      <c r="F898" s="519"/>
      <c r="G898" s="519"/>
      <c r="H898" s="519"/>
      <c r="I898" s="105"/>
    </row>
    <row r="899">
      <c r="A899" s="102"/>
      <c r="B899" s="102"/>
      <c r="C899" s="44"/>
      <c r="D899" s="44"/>
      <c r="E899" s="102"/>
      <c r="F899" s="519"/>
      <c r="G899" s="519"/>
      <c r="H899" s="519"/>
      <c r="I899" s="105"/>
    </row>
    <row r="900">
      <c r="A900" s="102"/>
      <c r="B900" s="102"/>
      <c r="C900" s="44"/>
      <c r="D900" s="44"/>
      <c r="E900" s="102"/>
      <c r="F900" s="519"/>
      <c r="G900" s="519"/>
      <c r="H900" s="519"/>
      <c r="I900" s="105"/>
    </row>
    <row r="901">
      <c r="A901" s="102"/>
      <c r="B901" s="102"/>
      <c r="C901" s="44"/>
      <c r="D901" s="44"/>
      <c r="E901" s="102"/>
      <c r="F901" s="519"/>
      <c r="G901" s="519"/>
      <c r="H901" s="519"/>
      <c r="I901" s="105"/>
    </row>
    <row r="902">
      <c r="A902" s="102"/>
      <c r="B902" s="102"/>
      <c r="C902" s="44"/>
      <c r="D902" s="44"/>
      <c r="E902" s="102"/>
      <c r="F902" s="519"/>
      <c r="G902" s="519"/>
      <c r="H902" s="519"/>
      <c r="I902" s="105"/>
    </row>
    <row r="903">
      <c r="A903" s="102"/>
      <c r="B903" s="102"/>
      <c r="C903" s="44"/>
      <c r="D903" s="44"/>
      <c r="E903" s="102"/>
      <c r="F903" s="519"/>
      <c r="G903" s="519"/>
      <c r="H903" s="519"/>
      <c r="I903" s="105"/>
    </row>
    <row r="904">
      <c r="A904" s="102"/>
      <c r="B904" s="102"/>
      <c r="C904" s="44"/>
      <c r="D904" s="44"/>
      <c r="E904" s="102"/>
      <c r="F904" s="519"/>
      <c r="G904" s="519"/>
      <c r="H904" s="519"/>
      <c r="I904" s="105"/>
    </row>
    <row r="905">
      <c r="A905" s="102"/>
      <c r="B905" s="102"/>
      <c r="C905" s="44"/>
      <c r="D905" s="44"/>
      <c r="E905" s="102"/>
      <c r="F905" s="519"/>
      <c r="G905" s="519"/>
      <c r="H905" s="519"/>
      <c r="I905" s="105"/>
    </row>
    <row r="906">
      <c r="A906" s="102"/>
      <c r="B906" s="102"/>
      <c r="C906" s="44"/>
      <c r="D906" s="44"/>
      <c r="E906" s="102"/>
      <c r="F906" s="519"/>
      <c r="G906" s="519"/>
      <c r="H906" s="519"/>
      <c r="I906" s="105"/>
    </row>
    <row r="907">
      <c r="A907" s="102"/>
      <c r="B907" s="102"/>
      <c r="C907" s="44"/>
      <c r="D907" s="44"/>
      <c r="E907" s="102"/>
      <c r="F907" s="519"/>
      <c r="G907" s="519"/>
      <c r="H907" s="519"/>
      <c r="I907" s="105"/>
    </row>
    <row r="908">
      <c r="A908" s="102"/>
      <c r="B908" s="102"/>
      <c r="C908" s="44"/>
      <c r="D908" s="44"/>
      <c r="E908" s="102"/>
      <c r="F908" s="519"/>
      <c r="G908" s="519"/>
      <c r="H908" s="519"/>
      <c r="I908" s="105"/>
    </row>
    <row r="909">
      <c r="A909" s="102"/>
      <c r="B909" s="102"/>
      <c r="C909" s="44"/>
      <c r="D909" s="44"/>
      <c r="E909" s="102"/>
      <c r="F909" s="519"/>
      <c r="G909" s="519"/>
      <c r="H909" s="519"/>
      <c r="I909" s="105"/>
    </row>
    <row r="910">
      <c r="A910" s="102"/>
      <c r="B910" s="102"/>
      <c r="C910" s="44"/>
      <c r="D910" s="44"/>
      <c r="E910" s="102"/>
      <c r="F910" s="519"/>
      <c r="G910" s="519"/>
      <c r="H910" s="519"/>
      <c r="I910" s="105"/>
    </row>
    <row r="911">
      <c r="A911" s="102"/>
      <c r="B911" s="102"/>
      <c r="C911" s="44"/>
      <c r="D911" s="44"/>
      <c r="E911" s="102"/>
      <c r="F911" s="519"/>
      <c r="G911" s="519"/>
      <c r="H911" s="519"/>
      <c r="I911" s="105"/>
    </row>
    <row r="912">
      <c r="A912" s="102"/>
      <c r="B912" s="102"/>
      <c r="C912" s="44"/>
      <c r="D912" s="44"/>
      <c r="E912" s="102"/>
      <c r="F912" s="519"/>
      <c r="G912" s="519"/>
      <c r="H912" s="519"/>
      <c r="I912" s="105"/>
    </row>
    <row r="913">
      <c r="A913" s="102"/>
      <c r="B913" s="102"/>
      <c r="C913" s="44"/>
      <c r="D913" s="44"/>
      <c r="E913" s="102"/>
      <c r="F913" s="519"/>
      <c r="G913" s="519"/>
      <c r="H913" s="519"/>
      <c r="I913" s="105"/>
    </row>
    <row r="914">
      <c r="A914" s="102"/>
      <c r="B914" s="102"/>
      <c r="C914" s="44"/>
      <c r="D914" s="44"/>
      <c r="E914" s="102"/>
      <c r="F914" s="519"/>
      <c r="G914" s="519"/>
      <c r="H914" s="519"/>
      <c r="I914" s="105"/>
    </row>
    <row r="915">
      <c r="A915" s="102"/>
      <c r="B915" s="102"/>
      <c r="C915" s="44"/>
      <c r="D915" s="44"/>
      <c r="E915" s="102"/>
      <c r="F915" s="519"/>
      <c r="G915" s="519"/>
      <c r="H915" s="519"/>
      <c r="I915" s="105"/>
    </row>
    <row r="916">
      <c r="A916" s="102"/>
      <c r="B916" s="102"/>
      <c r="C916" s="44"/>
      <c r="D916" s="44"/>
      <c r="E916" s="102"/>
      <c r="F916" s="519"/>
      <c r="G916" s="519"/>
      <c r="H916" s="519"/>
      <c r="I916" s="105"/>
    </row>
    <row r="917">
      <c r="A917" s="102"/>
      <c r="B917" s="102"/>
      <c r="C917" s="44"/>
      <c r="D917" s="44"/>
      <c r="E917" s="102"/>
      <c r="F917" s="519"/>
      <c r="G917" s="519"/>
      <c r="H917" s="519"/>
      <c r="I917" s="105"/>
    </row>
    <row r="918">
      <c r="A918" s="102"/>
      <c r="B918" s="102"/>
      <c r="C918" s="44"/>
      <c r="D918" s="44"/>
      <c r="E918" s="102"/>
      <c r="F918" s="519"/>
      <c r="G918" s="519"/>
      <c r="H918" s="519"/>
      <c r="I918" s="105"/>
    </row>
    <row r="919">
      <c r="A919" s="102"/>
      <c r="B919" s="102"/>
      <c r="C919" s="44"/>
      <c r="D919" s="44"/>
      <c r="E919" s="102"/>
      <c r="F919" s="519"/>
      <c r="G919" s="519"/>
      <c r="H919" s="519"/>
      <c r="I919" s="105"/>
    </row>
    <row r="920">
      <c r="A920" s="102"/>
      <c r="B920" s="102"/>
      <c r="C920" s="44"/>
      <c r="D920" s="44"/>
      <c r="E920" s="102"/>
      <c r="F920" s="519"/>
      <c r="G920" s="519"/>
      <c r="H920" s="519"/>
      <c r="I920" s="105"/>
    </row>
    <row r="921">
      <c r="A921" s="102"/>
      <c r="B921" s="102"/>
      <c r="C921" s="44"/>
      <c r="D921" s="44"/>
      <c r="E921" s="102"/>
      <c r="F921" s="519"/>
      <c r="G921" s="519"/>
      <c r="H921" s="519"/>
      <c r="I921" s="105"/>
    </row>
    <row r="922">
      <c r="A922" s="102"/>
      <c r="B922" s="102"/>
      <c r="C922" s="44"/>
      <c r="D922" s="44"/>
      <c r="E922" s="102"/>
      <c r="F922" s="519"/>
      <c r="G922" s="519"/>
      <c r="H922" s="519"/>
      <c r="I922" s="105"/>
    </row>
    <row r="923">
      <c r="A923" s="102"/>
      <c r="B923" s="102"/>
      <c r="C923" s="44"/>
      <c r="D923" s="44"/>
      <c r="E923" s="102"/>
      <c r="F923" s="519"/>
      <c r="G923" s="519"/>
      <c r="H923" s="519"/>
      <c r="I923" s="105"/>
    </row>
    <row r="924">
      <c r="A924" s="102"/>
      <c r="B924" s="102"/>
      <c r="C924" s="44"/>
      <c r="D924" s="44"/>
      <c r="E924" s="102"/>
      <c r="F924" s="519"/>
      <c r="G924" s="519"/>
      <c r="H924" s="519"/>
      <c r="I924" s="105"/>
    </row>
    <row r="925">
      <c r="A925" s="102"/>
      <c r="B925" s="102"/>
      <c r="C925" s="44"/>
      <c r="D925" s="44"/>
      <c r="E925" s="102"/>
      <c r="F925" s="519"/>
      <c r="G925" s="519"/>
      <c r="H925" s="519"/>
      <c r="I925" s="105"/>
    </row>
    <row r="926">
      <c r="A926" s="102"/>
      <c r="B926" s="102"/>
      <c r="C926" s="44"/>
      <c r="D926" s="44"/>
      <c r="E926" s="102"/>
      <c r="F926" s="519"/>
      <c r="G926" s="519"/>
      <c r="H926" s="519"/>
      <c r="I926" s="105"/>
    </row>
    <row r="927">
      <c r="A927" s="102"/>
      <c r="B927" s="102"/>
      <c r="C927" s="44"/>
      <c r="D927" s="44"/>
      <c r="E927" s="102"/>
      <c r="F927" s="519"/>
      <c r="G927" s="519"/>
      <c r="H927" s="519"/>
      <c r="I927" s="105"/>
    </row>
    <row r="928">
      <c r="A928" s="102"/>
      <c r="B928" s="102"/>
      <c r="C928" s="44"/>
      <c r="D928" s="44"/>
      <c r="E928" s="102"/>
      <c r="F928" s="519"/>
      <c r="G928" s="519"/>
      <c r="H928" s="519"/>
      <c r="I928" s="105"/>
    </row>
    <row r="929">
      <c r="A929" s="102"/>
      <c r="B929" s="102"/>
      <c r="C929" s="44"/>
      <c r="D929" s="44"/>
      <c r="E929" s="102"/>
      <c r="F929" s="519"/>
      <c r="G929" s="519"/>
      <c r="H929" s="519"/>
      <c r="I929" s="105"/>
    </row>
    <row r="930">
      <c r="A930" s="102"/>
      <c r="B930" s="102"/>
      <c r="C930" s="44"/>
      <c r="D930" s="44"/>
      <c r="E930" s="102"/>
      <c r="F930" s="519"/>
      <c r="G930" s="519"/>
      <c r="H930" s="519"/>
      <c r="I930" s="105"/>
    </row>
    <row r="931">
      <c r="A931" s="102"/>
      <c r="B931" s="102"/>
      <c r="C931" s="44"/>
      <c r="D931" s="44"/>
      <c r="E931" s="102"/>
      <c r="F931" s="519"/>
      <c r="G931" s="519"/>
      <c r="H931" s="519"/>
      <c r="I931" s="105"/>
    </row>
    <row r="932">
      <c r="A932" s="102"/>
      <c r="B932" s="102"/>
      <c r="C932" s="44"/>
      <c r="D932" s="44"/>
      <c r="E932" s="102"/>
      <c r="F932" s="519"/>
      <c r="G932" s="519"/>
      <c r="H932" s="519"/>
      <c r="I932" s="105"/>
    </row>
    <row r="933">
      <c r="A933" s="102"/>
      <c r="B933" s="102"/>
      <c r="C933" s="44"/>
      <c r="D933" s="44"/>
      <c r="E933" s="102"/>
      <c r="F933" s="519"/>
      <c r="G933" s="519"/>
      <c r="H933" s="519"/>
      <c r="I933" s="105"/>
    </row>
    <row r="934">
      <c r="A934" s="102"/>
      <c r="B934" s="102"/>
      <c r="C934" s="44"/>
      <c r="D934" s="44"/>
      <c r="E934" s="102"/>
      <c r="F934" s="519"/>
      <c r="G934" s="519"/>
      <c r="H934" s="519"/>
      <c r="I934" s="105"/>
    </row>
    <row r="935">
      <c r="A935" s="102"/>
      <c r="B935" s="102"/>
      <c r="C935" s="44"/>
      <c r="D935" s="44"/>
      <c r="E935" s="102"/>
      <c r="F935" s="519"/>
      <c r="G935" s="519"/>
      <c r="H935" s="519"/>
      <c r="I935" s="105"/>
    </row>
    <row r="936">
      <c r="A936" s="102"/>
      <c r="B936" s="102"/>
      <c r="C936" s="44"/>
      <c r="D936" s="44"/>
      <c r="E936" s="102"/>
      <c r="F936" s="519"/>
      <c r="G936" s="519"/>
      <c r="H936" s="519"/>
      <c r="I936" s="105"/>
    </row>
    <row r="937">
      <c r="A937" s="102"/>
      <c r="B937" s="102"/>
      <c r="C937" s="44"/>
      <c r="D937" s="44"/>
      <c r="E937" s="102"/>
      <c r="F937" s="519"/>
      <c r="G937" s="519"/>
      <c r="H937" s="519"/>
      <c r="I937" s="105"/>
    </row>
    <row r="938">
      <c r="A938" s="102"/>
      <c r="B938" s="102"/>
      <c r="C938" s="44"/>
      <c r="D938" s="44"/>
      <c r="E938" s="102"/>
      <c r="F938" s="519"/>
      <c r="G938" s="519"/>
      <c r="H938" s="519"/>
      <c r="I938" s="105"/>
    </row>
    <row r="939">
      <c r="A939" s="102"/>
      <c r="B939" s="102"/>
      <c r="C939" s="44"/>
      <c r="D939" s="44"/>
      <c r="E939" s="102"/>
      <c r="F939" s="519"/>
      <c r="G939" s="519"/>
      <c r="H939" s="519"/>
      <c r="I939" s="105"/>
    </row>
    <row r="940">
      <c r="A940" s="102"/>
      <c r="B940" s="102"/>
      <c r="C940" s="44"/>
      <c r="D940" s="44"/>
      <c r="E940" s="102"/>
      <c r="F940" s="519"/>
      <c r="G940" s="519"/>
      <c r="H940" s="519"/>
      <c r="I940" s="105"/>
    </row>
    <row r="941">
      <c r="A941" s="102"/>
      <c r="B941" s="102"/>
      <c r="C941" s="44"/>
      <c r="D941" s="44"/>
      <c r="E941" s="102"/>
      <c r="F941" s="519"/>
      <c r="G941" s="519"/>
      <c r="H941" s="519"/>
      <c r="I941" s="105"/>
    </row>
    <row r="942">
      <c r="A942" s="102"/>
      <c r="B942" s="102"/>
      <c r="C942" s="44"/>
      <c r="D942" s="44"/>
      <c r="E942" s="102"/>
      <c r="F942" s="519"/>
      <c r="G942" s="519"/>
      <c r="H942" s="519"/>
      <c r="I942" s="105"/>
    </row>
    <row r="943">
      <c r="A943" s="102"/>
      <c r="B943" s="102"/>
      <c r="C943" s="44"/>
      <c r="D943" s="44"/>
      <c r="E943" s="102"/>
      <c r="F943" s="519"/>
      <c r="G943" s="519"/>
      <c r="H943" s="519"/>
      <c r="I943" s="105"/>
    </row>
    <row r="944">
      <c r="A944" s="102"/>
      <c r="B944" s="102"/>
      <c r="C944" s="44"/>
      <c r="D944" s="44"/>
      <c r="E944" s="102"/>
      <c r="F944" s="519"/>
      <c r="G944" s="519"/>
      <c r="H944" s="519"/>
      <c r="I944" s="105"/>
    </row>
    <row r="945">
      <c r="A945" s="102"/>
      <c r="B945" s="102"/>
      <c r="C945" s="44"/>
      <c r="D945" s="44"/>
      <c r="E945" s="102"/>
      <c r="F945" s="519"/>
      <c r="G945" s="519"/>
      <c r="H945" s="519"/>
      <c r="I945" s="105"/>
    </row>
    <row r="946">
      <c r="A946" s="102"/>
      <c r="B946" s="102"/>
      <c r="C946" s="44"/>
      <c r="D946" s="44"/>
      <c r="E946" s="102"/>
      <c r="F946" s="519"/>
      <c r="G946" s="519"/>
      <c r="H946" s="519"/>
      <c r="I946" s="105"/>
    </row>
    <row r="947">
      <c r="A947" s="102"/>
      <c r="B947" s="102"/>
      <c r="C947" s="44"/>
      <c r="D947" s="44"/>
      <c r="E947" s="102"/>
      <c r="F947" s="519"/>
      <c r="G947" s="519"/>
      <c r="H947" s="519"/>
      <c r="I947" s="105"/>
    </row>
    <row r="948">
      <c r="A948" s="102"/>
      <c r="B948" s="102"/>
      <c r="C948" s="44"/>
      <c r="D948" s="44"/>
      <c r="E948" s="102"/>
      <c r="F948" s="519"/>
      <c r="G948" s="519"/>
      <c r="H948" s="519"/>
      <c r="I948" s="105"/>
    </row>
    <row r="949">
      <c r="A949" s="102"/>
      <c r="B949" s="102"/>
      <c r="C949" s="44"/>
      <c r="D949" s="44"/>
      <c r="E949" s="102"/>
      <c r="F949" s="519"/>
      <c r="G949" s="519"/>
      <c r="H949" s="519"/>
      <c r="I949" s="105"/>
    </row>
    <row r="950">
      <c r="A950" s="102"/>
      <c r="B950" s="102"/>
      <c r="C950" s="44"/>
      <c r="D950" s="44"/>
      <c r="E950" s="102"/>
      <c r="F950" s="519"/>
      <c r="G950" s="519"/>
      <c r="H950" s="519"/>
      <c r="I950" s="105"/>
    </row>
    <row r="951">
      <c r="A951" s="102"/>
      <c r="B951" s="102"/>
      <c r="C951" s="44"/>
      <c r="D951" s="44"/>
      <c r="E951" s="102"/>
      <c r="F951" s="519"/>
      <c r="G951" s="519"/>
      <c r="H951" s="519"/>
      <c r="I951" s="105"/>
    </row>
    <row r="952">
      <c r="A952" s="102"/>
      <c r="B952" s="102"/>
      <c r="C952" s="44"/>
      <c r="D952" s="44"/>
      <c r="E952" s="102"/>
      <c r="F952" s="519"/>
      <c r="G952" s="519"/>
      <c r="H952" s="519"/>
      <c r="I952" s="105"/>
    </row>
    <row r="953">
      <c r="A953" s="102"/>
      <c r="B953" s="102"/>
      <c r="C953" s="44"/>
      <c r="D953" s="44"/>
      <c r="E953" s="102"/>
      <c r="F953" s="519"/>
      <c r="G953" s="519"/>
      <c r="H953" s="519"/>
      <c r="I953" s="105"/>
    </row>
    <row r="954">
      <c r="A954" s="102"/>
      <c r="B954" s="102"/>
      <c r="C954" s="44"/>
      <c r="D954" s="44"/>
      <c r="E954" s="102"/>
      <c r="F954" s="519"/>
      <c r="G954" s="519"/>
      <c r="H954" s="519"/>
      <c r="I954" s="105"/>
    </row>
    <row r="955">
      <c r="A955" s="102"/>
      <c r="B955" s="102"/>
      <c r="C955" s="44"/>
      <c r="D955" s="44"/>
      <c r="E955" s="102"/>
      <c r="F955" s="519"/>
      <c r="G955" s="519"/>
      <c r="H955" s="519"/>
      <c r="I955" s="105"/>
    </row>
    <row r="956">
      <c r="A956" s="102"/>
      <c r="B956" s="102"/>
      <c r="C956" s="44"/>
      <c r="D956" s="44"/>
      <c r="E956" s="102"/>
      <c r="F956" s="519"/>
      <c r="G956" s="519"/>
      <c r="H956" s="519"/>
      <c r="I956" s="105"/>
    </row>
    <row r="957">
      <c r="A957" s="102"/>
      <c r="B957" s="102"/>
      <c r="C957" s="44"/>
      <c r="D957" s="44"/>
      <c r="E957" s="102"/>
      <c r="F957" s="519"/>
      <c r="G957" s="519"/>
      <c r="H957" s="519"/>
      <c r="I957" s="105"/>
    </row>
    <row r="958">
      <c r="A958" s="102"/>
      <c r="B958" s="102"/>
      <c r="C958" s="44"/>
      <c r="D958" s="44"/>
      <c r="E958" s="102"/>
      <c r="F958" s="519"/>
      <c r="G958" s="519"/>
      <c r="H958" s="519"/>
      <c r="I958" s="105"/>
    </row>
    <row r="959">
      <c r="A959" s="102"/>
      <c r="B959" s="102"/>
      <c r="C959" s="44"/>
      <c r="D959" s="44"/>
      <c r="E959" s="102"/>
      <c r="F959" s="519"/>
      <c r="G959" s="519"/>
      <c r="H959" s="519"/>
      <c r="I959" s="105"/>
    </row>
    <row r="960">
      <c r="A960" s="102"/>
      <c r="B960" s="102"/>
      <c r="C960" s="44"/>
      <c r="D960" s="44"/>
      <c r="E960" s="102"/>
      <c r="F960" s="519"/>
      <c r="G960" s="519"/>
      <c r="H960" s="519"/>
      <c r="I960" s="105"/>
    </row>
    <row r="961">
      <c r="A961" s="102"/>
      <c r="B961" s="102"/>
      <c r="C961" s="44"/>
      <c r="D961" s="44"/>
      <c r="E961" s="102"/>
      <c r="F961" s="519"/>
      <c r="G961" s="519"/>
      <c r="H961" s="519"/>
      <c r="I961" s="105"/>
    </row>
    <row r="962">
      <c r="A962" s="102"/>
      <c r="B962" s="102"/>
      <c r="C962" s="44"/>
      <c r="D962" s="44"/>
      <c r="E962" s="102"/>
      <c r="F962" s="519"/>
      <c r="G962" s="519"/>
      <c r="H962" s="519"/>
      <c r="I962" s="105"/>
    </row>
    <row r="963">
      <c r="A963" s="102"/>
      <c r="B963" s="102"/>
      <c r="C963" s="44"/>
      <c r="D963" s="44"/>
      <c r="E963" s="102"/>
      <c r="F963" s="519"/>
      <c r="G963" s="519"/>
      <c r="H963" s="519"/>
      <c r="I963" s="105"/>
    </row>
    <row r="964">
      <c r="A964" s="102"/>
      <c r="B964" s="102"/>
      <c r="C964" s="44"/>
      <c r="D964" s="44"/>
      <c r="E964" s="102"/>
      <c r="F964" s="519"/>
      <c r="G964" s="519"/>
      <c r="H964" s="519"/>
      <c r="I964" s="105"/>
    </row>
    <row r="965">
      <c r="A965" s="102"/>
      <c r="B965" s="102"/>
      <c r="C965" s="44"/>
      <c r="D965" s="44"/>
      <c r="E965" s="102"/>
      <c r="F965" s="519"/>
      <c r="G965" s="519"/>
      <c r="H965" s="519"/>
      <c r="I965" s="105"/>
    </row>
    <row r="966">
      <c r="A966" s="102"/>
      <c r="B966" s="102"/>
      <c r="C966" s="44"/>
      <c r="D966" s="44"/>
      <c r="E966" s="102"/>
      <c r="F966" s="519"/>
      <c r="G966" s="519"/>
      <c r="H966" s="519"/>
      <c r="I966" s="105"/>
    </row>
    <row r="967">
      <c r="A967" s="102"/>
      <c r="B967" s="102"/>
      <c r="C967" s="44"/>
      <c r="D967" s="44"/>
      <c r="E967" s="102"/>
      <c r="F967" s="519"/>
      <c r="G967" s="519"/>
      <c r="H967" s="519"/>
      <c r="I967" s="105"/>
    </row>
    <row r="968">
      <c r="A968" s="102"/>
      <c r="B968" s="102"/>
      <c r="C968" s="44"/>
      <c r="D968" s="44"/>
      <c r="E968" s="102"/>
      <c r="F968" s="519"/>
      <c r="G968" s="519"/>
      <c r="H968" s="519"/>
      <c r="I968" s="105"/>
    </row>
    <row r="969">
      <c r="A969" s="102"/>
      <c r="B969" s="102"/>
      <c r="C969" s="44"/>
      <c r="D969" s="44"/>
      <c r="E969" s="102"/>
      <c r="F969" s="519"/>
      <c r="G969" s="519"/>
      <c r="H969" s="519"/>
      <c r="I969" s="105"/>
    </row>
    <row r="970">
      <c r="A970" s="102"/>
      <c r="B970" s="102"/>
      <c r="C970" s="44"/>
      <c r="D970" s="44"/>
      <c r="E970" s="102"/>
      <c r="F970" s="519"/>
      <c r="G970" s="519"/>
      <c r="H970" s="519"/>
      <c r="I970" s="105"/>
    </row>
    <row r="971">
      <c r="A971" s="102"/>
      <c r="B971" s="102"/>
      <c r="C971" s="44"/>
      <c r="D971" s="44"/>
      <c r="E971" s="102"/>
      <c r="F971" s="519"/>
      <c r="G971" s="519"/>
      <c r="H971" s="519"/>
      <c r="I971" s="105"/>
    </row>
    <row r="972">
      <c r="A972" s="102"/>
      <c r="B972" s="102"/>
      <c r="C972" s="44"/>
      <c r="D972" s="44"/>
      <c r="E972" s="102"/>
      <c r="F972" s="519"/>
      <c r="G972" s="519"/>
      <c r="H972" s="519"/>
      <c r="I972" s="105"/>
    </row>
    <row r="973">
      <c r="A973" s="102"/>
      <c r="B973" s="102"/>
      <c r="C973" s="44"/>
      <c r="D973" s="44"/>
      <c r="E973" s="102"/>
      <c r="F973" s="519"/>
      <c r="G973" s="519"/>
      <c r="H973" s="519"/>
      <c r="I973" s="105"/>
    </row>
    <row r="974">
      <c r="A974" s="102"/>
      <c r="B974" s="102"/>
      <c r="C974" s="44"/>
      <c r="D974" s="44"/>
      <c r="E974" s="102"/>
      <c r="F974" s="519"/>
      <c r="G974" s="519"/>
      <c r="H974" s="519"/>
      <c r="I974" s="105"/>
    </row>
    <row r="975">
      <c r="A975" s="102"/>
      <c r="B975" s="102"/>
      <c r="C975" s="44"/>
      <c r="D975" s="44"/>
      <c r="E975" s="102"/>
      <c r="F975" s="519"/>
      <c r="G975" s="519"/>
      <c r="H975" s="519"/>
      <c r="I975" s="105"/>
    </row>
    <row r="976">
      <c r="A976" s="102"/>
      <c r="B976" s="102"/>
      <c r="C976" s="44"/>
      <c r="D976" s="44"/>
      <c r="E976" s="102"/>
      <c r="F976" s="519"/>
      <c r="G976" s="519"/>
      <c r="H976" s="519"/>
      <c r="I976" s="105"/>
    </row>
    <row r="977">
      <c r="A977" s="102"/>
      <c r="B977" s="102"/>
      <c r="C977" s="44"/>
      <c r="D977" s="44"/>
      <c r="E977" s="102"/>
      <c r="F977" s="519"/>
      <c r="G977" s="519"/>
      <c r="H977" s="519"/>
      <c r="I977" s="105"/>
    </row>
    <row r="978">
      <c r="A978" s="102"/>
      <c r="B978" s="102"/>
      <c r="C978" s="44"/>
      <c r="D978" s="44"/>
      <c r="E978" s="102"/>
      <c r="F978" s="519"/>
      <c r="G978" s="519"/>
      <c r="H978" s="519"/>
      <c r="I978" s="105"/>
    </row>
    <row r="979">
      <c r="A979" s="102"/>
      <c r="B979" s="102"/>
      <c r="C979" s="44"/>
      <c r="D979" s="44"/>
      <c r="E979" s="102"/>
      <c r="F979" s="519"/>
      <c r="G979" s="519"/>
      <c r="H979" s="519"/>
      <c r="I979" s="105"/>
    </row>
    <row r="980">
      <c r="A980" s="102"/>
      <c r="B980" s="102"/>
      <c r="C980" s="44"/>
      <c r="D980" s="44"/>
      <c r="E980" s="102"/>
      <c r="F980" s="519"/>
      <c r="G980" s="519"/>
      <c r="H980" s="519"/>
      <c r="I980" s="105"/>
    </row>
    <row r="981">
      <c r="A981" s="102"/>
      <c r="B981" s="102"/>
      <c r="C981" s="44"/>
      <c r="D981" s="44"/>
      <c r="E981" s="102"/>
      <c r="F981" s="519"/>
      <c r="G981" s="519"/>
      <c r="H981" s="519"/>
      <c r="I981" s="105"/>
    </row>
    <row r="982">
      <c r="A982" s="102"/>
      <c r="B982" s="102"/>
      <c r="C982" s="44"/>
      <c r="D982" s="44"/>
      <c r="E982" s="102"/>
      <c r="F982" s="519"/>
      <c r="G982" s="519"/>
      <c r="H982" s="519"/>
      <c r="I982" s="105"/>
    </row>
    <row r="983">
      <c r="A983" s="102"/>
      <c r="B983" s="102"/>
      <c r="C983" s="44"/>
      <c r="D983" s="44"/>
      <c r="E983" s="102"/>
      <c r="F983" s="519"/>
      <c r="G983" s="519"/>
      <c r="H983" s="519"/>
      <c r="I983" s="105"/>
    </row>
    <row r="984">
      <c r="A984" s="102"/>
      <c r="B984" s="102"/>
      <c r="C984" s="44"/>
      <c r="D984" s="44"/>
      <c r="E984" s="102"/>
      <c r="F984" s="519"/>
      <c r="G984" s="519"/>
      <c r="H984" s="519"/>
      <c r="I984" s="105"/>
    </row>
    <row r="985">
      <c r="A985" s="102"/>
      <c r="B985" s="102"/>
      <c r="C985" s="44"/>
      <c r="D985" s="44"/>
      <c r="E985" s="102"/>
      <c r="F985" s="519"/>
      <c r="G985" s="519"/>
      <c r="H985" s="519"/>
      <c r="I985" s="105"/>
    </row>
    <row r="986">
      <c r="A986" s="102"/>
      <c r="B986" s="102"/>
      <c r="C986" s="44"/>
      <c r="D986" s="44"/>
      <c r="E986" s="102"/>
      <c r="F986" s="519"/>
      <c r="G986" s="519"/>
      <c r="H986" s="519"/>
      <c r="I986" s="105"/>
    </row>
    <row r="987">
      <c r="A987" s="102"/>
      <c r="B987" s="102"/>
      <c r="C987" s="44"/>
      <c r="D987" s="44"/>
      <c r="E987" s="102"/>
      <c r="F987" s="519"/>
      <c r="G987" s="519"/>
      <c r="H987" s="519"/>
      <c r="I987" s="105"/>
    </row>
    <row r="988">
      <c r="A988" s="102"/>
      <c r="B988" s="102"/>
      <c r="C988" s="44"/>
      <c r="D988" s="44"/>
      <c r="E988" s="102"/>
      <c r="F988" s="519"/>
      <c r="G988" s="519"/>
      <c r="H988" s="519"/>
      <c r="I988" s="105"/>
    </row>
    <row r="989">
      <c r="A989" s="102"/>
      <c r="B989" s="102"/>
      <c r="C989" s="44"/>
      <c r="D989" s="44"/>
      <c r="E989" s="102"/>
      <c r="F989" s="519"/>
      <c r="G989" s="519"/>
      <c r="H989" s="519"/>
      <c r="I989" s="105"/>
    </row>
    <row r="990">
      <c r="A990" s="102"/>
      <c r="B990" s="102"/>
      <c r="C990" s="44"/>
      <c r="D990" s="44"/>
      <c r="E990" s="102"/>
      <c r="F990" s="519"/>
      <c r="G990" s="519"/>
      <c r="H990" s="519"/>
      <c r="I990" s="105"/>
    </row>
    <row r="991">
      <c r="A991" s="102"/>
      <c r="B991" s="102"/>
      <c r="C991" s="44"/>
      <c r="D991" s="44"/>
      <c r="E991" s="102"/>
      <c r="F991" s="519"/>
      <c r="G991" s="519"/>
      <c r="H991" s="519"/>
      <c r="I991" s="105"/>
    </row>
    <row r="992">
      <c r="A992" s="102"/>
      <c r="B992" s="102"/>
      <c r="C992" s="44"/>
      <c r="D992" s="44"/>
      <c r="E992" s="102"/>
      <c r="F992" s="519"/>
      <c r="G992" s="519"/>
      <c r="H992" s="519"/>
      <c r="I992" s="105"/>
    </row>
    <row r="993">
      <c r="A993" s="102"/>
      <c r="B993" s="102"/>
      <c r="C993" s="44"/>
      <c r="D993" s="44"/>
      <c r="E993" s="102"/>
      <c r="F993" s="519"/>
      <c r="G993" s="519"/>
      <c r="H993" s="519"/>
      <c r="I993" s="105"/>
    </row>
    <row r="994">
      <c r="A994" s="102"/>
      <c r="B994" s="102"/>
      <c r="C994" s="44"/>
      <c r="D994" s="44"/>
      <c r="E994" s="102"/>
      <c r="F994" s="519"/>
      <c r="G994" s="519"/>
      <c r="H994" s="519"/>
      <c r="I994" s="105"/>
    </row>
    <row r="995">
      <c r="A995" s="102"/>
      <c r="B995" s="102"/>
      <c r="C995" s="44"/>
      <c r="D995" s="44"/>
      <c r="E995" s="102"/>
      <c r="F995" s="519"/>
      <c r="G995" s="519"/>
      <c r="H995" s="519"/>
      <c r="I995" s="105"/>
    </row>
    <row r="996">
      <c r="A996" s="102"/>
      <c r="B996" s="102"/>
      <c r="C996" s="44"/>
      <c r="D996" s="44"/>
      <c r="E996" s="102"/>
      <c r="F996" s="519"/>
      <c r="G996" s="519"/>
      <c r="H996" s="519"/>
      <c r="I996" s="105"/>
    </row>
    <row r="997">
      <c r="A997" s="102"/>
      <c r="B997" s="102"/>
      <c r="C997" s="44"/>
      <c r="D997" s="44"/>
      <c r="E997" s="102"/>
      <c r="F997" s="519"/>
      <c r="G997" s="519"/>
      <c r="H997" s="519"/>
      <c r="I997" s="105"/>
    </row>
    <row r="998">
      <c r="A998" s="102"/>
      <c r="B998" s="102"/>
      <c r="C998" s="44"/>
      <c r="D998" s="44"/>
      <c r="E998" s="102"/>
      <c r="F998" s="519"/>
      <c r="G998" s="519"/>
      <c r="H998" s="519"/>
      <c r="I998" s="105"/>
    </row>
    <row r="999">
      <c r="A999" s="102"/>
      <c r="B999" s="102"/>
      <c r="C999" s="44"/>
      <c r="D999" s="44"/>
      <c r="E999" s="102"/>
      <c r="F999" s="519"/>
      <c r="G999" s="519"/>
      <c r="H999" s="519"/>
      <c r="I999" s="105"/>
    </row>
    <row r="1000">
      <c r="A1000" s="102"/>
      <c r="B1000" s="102"/>
      <c r="C1000" s="44"/>
      <c r="D1000" s="44"/>
      <c r="E1000" s="102"/>
      <c r="F1000" s="519"/>
      <c r="G1000" s="519"/>
      <c r="H1000" s="519"/>
      <c r="I1000" s="105"/>
    </row>
    <row r="1001">
      <c r="A1001" s="102"/>
      <c r="B1001" s="102"/>
      <c r="C1001" s="44"/>
      <c r="D1001" s="44"/>
      <c r="E1001" s="102"/>
      <c r="F1001" s="519"/>
      <c r="G1001" s="519"/>
      <c r="H1001" s="519"/>
      <c r="I1001" s="105"/>
    </row>
    <row r="1002">
      <c r="A1002" s="102"/>
      <c r="B1002" s="102"/>
      <c r="C1002" s="44"/>
      <c r="D1002" s="44"/>
      <c r="E1002" s="102"/>
      <c r="F1002" s="519"/>
      <c r="G1002" s="519"/>
      <c r="H1002" s="519"/>
      <c r="I1002" s="105"/>
    </row>
  </sheetData>
  <autoFilter ref="$A$1:$H$151">
    <filterColumn colId="0">
      <filters>
        <filter val="Warner"/>
      </filters>
    </filterColumn>
  </autoFilter>
  <dataValidations>
    <dataValidation type="list" allowBlank="1" showErrorMessage="1" sqref="B2:B1002">
      <formula1>"Fee,One Shot,Demo"</formula1>
    </dataValidation>
    <dataValidation type="list" allowBlank="1" showErrorMessage="1" sqref="E2:E1002">
      <formula1>"2025,2026,2027"</formula1>
    </dataValidation>
    <dataValidation type="list" allowBlank="1" showErrorMessage="1" sqref="A2:A1002">
      <formula1>Listas!$C$3:$C$250</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9.63"/>
    <col customWidth="1" min="2" max="2" width="18.25"/>
    <col customWidth="1" min="3" max="3" width="14.25"/>
    <col customWidth="1" min="4" max="4" width="15.0"/>
    <col customWidth="1" min="5" max="9" width="9.38"/>
    <col customWidth="1" min="10" max="10" width="9.88"/>
    <col customWidth="1" min="11" max="11" width="9.38"/>
    <col customWidth="1" min="12" max="12" width="9.63"/>
    <col customWidth="1" min="13" max="13" width="9.38"/>
    <col customWidth="1" min="14" max="14" width="10.25"/>
    <col customWidth="1" min="15" max="15" width="9.13"/>
    <col customWidth="1" min="16" max="16" width="9.38"/>
    <col customWidth="1" min="17" max="17" width="10.13"/>
    <col customWidth="1" min="18" max="19" width="10.25"/>
    <col customWidth="1" min="20" max="20" width="12.38"/>
    <col customWidth="1" min="21" max="21" width="28.0"/>
    <col customWidth="1" min="22" max="22" width="13.25"/>
    <col customWidth="1" min="23" max="23" width="10.63"/>
    <col customWidth="1" min="24" max="24" width="13.75"/>
    <col customWidth="1" min="25" max="25" width="12.63"/>
    <col customWidth="1" min="26" max="32" width="57.38"/>
  </cols>
  <sheetData>
    <row r="1">
      <c r="A1" s="525" t="s">
        <v>1297</v>
      </c>
      <c r="B1" s="526"/>
      <c r="C1" s="526"/>
      <c r="D1" s="526"/>
      <c r="E1" s="526"/>
      <c r="F1" s="526"/>
      <c r="G1" s="380"/>
      <c r="H1" s="526"/>
      <c r="I1" s="527"/>
      <c r="J1" s="527"/>
      <c r="K1" s="527"/>
      <c r="L1" s="527"/>
      <c r="M1" s="527"/>
      <c r="N1" s="526"/>
      <c r="O1" s="105"/>
      <c r="P1" s="528"/>
      <c r="Q1" s="528"/>
      <c r="R1" s="528"/>
      <c r="S1" s="528"/>
      <c r="T1" s="105"/>
      <c r="U1" s="105"/>
      <c r="V1" s="105"/>
      <c r="W1" s="105"/>
      <c r="X1" s="105"/>
      <c r="Y1" s="105"/>
      <c r="Z1" s="105"/>
      <c r="AA1" s="105"/>
      <c r="AB1" s="105"/>
      <c r="AC1" s="105"/>
      <c r="AD1" s="105"/>
      <c r="AE1" s="105"/>
      <c r="AF1" s="105"/>
    </row>
    <row r="2">
      <c r="A2" s="529" t="s">
        <v>1298</v>
      </c>
      <c r="B2" s="526"/>
      <c r="C2" s="526"/>
      <c r="D2" s="526"/>
      <c r="E2" s="526"/>
      <c r="F2" s="526"/>
      <c r="G2" s="474"/>
      <c r="H2" s="526"/>
      <c r="I2" s="527"/>
      <c r="J2" s="527"/>
      <c r="K2" s="530" t="s">
        <v>1299</v>
      </c>
      <c r="N2" s="526"/>
      <c r="O2" s="105"/>
      <c r="P2" s="528"/>
      <c r="Q2" s="528"/>
      <c r="R2" s="528"/>
      <c r="S2" s="528"/>
      <c r="T2" s="105"/>
      <c r="U2" s="105"/>
      <c r="V2" s="105"/>
      <c r="W2" s="105"/>
      <c r="X2" s="105"/>
      <c r="Y2" s="105"/>
      <c r="Z2" s="105"/>
      <c r="AA2" s="105"/>
      <c r="AB2" s="105"/>
      <c r="AC2" s="105"/>
      <c r="AD2" s="105"/>
      <c r="AE2" s="105"/>
      <c r="AF2" s="105"/>
    </row>
    <row r="3">
      <c r="A3" s="531" t="s">
        <v>1273</v>
      </c>
      <c r="B3" s="532" t="s">
        <v>1248</v>
      </c>
      <c r="C3" s="532" t="s">
        <v>1249</v>
      </c>
      <c r="D3" s="532" t="s">
        <v>1250</v>
      </c>
      <c r="E3" s="532" t="s">
        <v>1251</v>
      </c>
      <c r="F3" s="532" t="s">
        <v>1252</v>
      </c>
      <c r="G3" s="532" t="s">
        <v>1253</v>
      </c>
      <c r="H3" s="532" t="s">
        <v>1254</v>
      </c>
      <c r="I3" s="532" t="s">
        <v>1255</v>
      </c>
      <c r="J3" s="532" t="s">
        <v>1256</v>
      </c>
      <c r="K3" s="533" t="s">
        <v>1257</v>
      </c>
      <c r="L3" s="533" t="s">
        <v>1258</v>
      </c>
      <c r="M3" s="533" t="s">
        <v>1259</v>
      </c>
      <c r="N3" s="532" t="s">
        <v>1300</v>
      </c>
      <c r="O3" s="105"/>
      <c r="P3" s="534" t="s">
        <v>1301</v>
      </c>
      <c r="Q3" s="534" t="s">
        <v>1302</v>
      </c>
      <c r="R3" s="534" t="s">
        <v>1303</v>
      </c>
      <c r="S3" s="534" t="s">
        <v>1304</v>
      </c>
      <c r="T3" s="105"/>
      <c r="U3" s="105"/>
      <c r="V3" s="105"/>
      <c r="W3" s="105"/>
      <c r="X3" s="105"/>
      <c r="Y3" s="105"/>
      <c r="Z3" s="105"/>
      <c r="AA3" s="105"/>
      <c r="AB3" s="105"/>
      <c r="AC3" s="105"/>
      <c r="AD3" s="105"/>
      <c r="AE3" s="105"/>
      <c r="AF3" s="105"/>
    </row>
    <row r="4">
      <c r="A4" s="102" t="s">
        <v>233</v>
      </c>
      <c r="B4" s="107">
        <v>250.81967213114754</v>
      </c>
      <c r="C4" s="372"/>
      <c r="I4" s="106"/>
      <c r="J4" s="105"/>
      <c r="K4" s="105"/>
      <c r="L4" s="105"/>
      <c r="M4" s="105"/>
      <c r="N4" s="105">
        <f t="shared" ref="N4:N49" si="1">SUM(B4:M4)</f>
        <v>250.8196721</v>
      </c>
      <c r="O4" s="535"/>
      <c r="P4" s="105">
        <f t="shared" ref="P4:P28" si="2">B4+C4+D4</f>
        <v>250.8196721</v>
      </c>
      <c r="Q4" s="105">
        <f t="shared" ref="Q4:Q28" si="3">E4+F4+G4</f>
        <v>0</v>
      </c>
      <c r="R4" s="105">
        <f t="shared" ref="R4:R17" si="4">H4+I4+J4</f>
        <v>0</v>
      </c>
      <c r="S4" s="105">
        <f t="shared" ref="S4:S17" si="5">K4+L4+M4</f>
        <v>0</v>
      </c>
      <c r="V4" s="105"/>
      <c r="W4" s="105"/>
      <c r="X4" s="105"/>
      <c r="Y4" s="105"/>
      <c r="Z4" s="105"/>
      <c r="AA4" s="105"/>
      <c r="AB4" s="105"/>
      <c r="AC4" s="105"/>
      <c r="AD4" s="105"/>
      <c r="AE4" s="105"/>
      <c r="AF4" s="105"/>
    </row>
    <row r="5">
      <c r="A5" s="102" t="s">
        <v>205</v>
      </c>
      <c r="B5" s="107">
        <v>528.1991803278688</v>
      </c>
      <c r="C5" s="372">
        <v>790.6890878048781</v>
      </c>
      <c r="D5" s="107">
        <v>820.9516211320755</v>
      </c>
      <c r="E5" s="107">
        <v>1142.9535864978902</v>
      </c>
      <c r="F5" s="107">
        <v>994.2372881355933</v>
      </c>
      <c r="G5" s="107">
        <v>1144.0329218106995</v>
      </c>
      <c r="H5" s="536">
        <v>1412.1212121212122</v>
      </c>
      <c r="I5" s="106">
        <v>1189.5910780669146</v>
      </c>
      <c r="J5" s="105">
        <f>VLOOKUP(A5,'TD Costos para seguimiento MARK'!$A$23:$B$57,2,FALSE())</f>
        <v>1107.266436</v>
      </c>
      <c r="K5" s="107">
        <f>VLOOKUP($A5,'TD Costos Estimados para proyec'!$A$4:$D$41,4,FALSE())</f>
        <v>1111.111111</v>
      </c>
      <c r="L5" s="107">
        <f>VLOOKUP($A5,'TD Costos Estimados para proyec'!$A$4:$E$41,5,FALSE())</f>
        <v>1131.420947</v>
      </c>
      <c r="M5" s="107">
        <f>VLOOKUP($A5,'TD Costos Estimados para proyec'!$A$4:$F$41,6,FALSE())</f>
        <v>1711.166667</v>
      </c>
      <c r="N5" s="105">
        <f t="shared" si="1"/>
        <v>13083.74114</v>
      </c>
      <c r="O5" s="537"/>
      <c r="P5" s="105">
        <f t="shared" si="2"/>
        <v>2139.839889</v>
      </c>
      <c r="Q5" s="105">
        <f t="shared" si="3"/>
        <v>3281.223796</v>
      </c>
      <c r="R5" s="105">
        <f t="shared" si="4"/>
        <v>3708.978726</v>
      </c>
      <c r="S5" s="105">
        <f t="shared" si="5"/>
        <v>3953.698725</v>
      </c>
      <c r="T5" s="107"/>
      <c r="U5" s="107"/>
      <c r="V5" s="107"/>
      <c r="W5" s="105"/>
      <c r="X5" s="105"/>
      <c r="Y5" s="105"/>
      <c r="Z5" s="105"/>
      <c r="AA5" s="105"/>
      <c r="AB5" s="105"/>
      <c r="AC5" s="105"/>
      <c r="AD5" s="105"/>
      <c r="AE5" s="105"/>
      <c r="AF5" s="105"/>
    </row>
    <row r="6">
      <c r="A6" s="102" t="s">
        <v>169</v>
      </c>
      <c r="B6" s="107">
        <v>0.0</v>
      </c>
      <c r="C6" s="372">
        <v>0.0</v>
      </c>
      <c r="D6" s="107">
        <v>0.0</v>
      </c>
      <c r="E6" s="107">
        <v>0.0</v>
      </c>
      <c r="F6" s="450"/>
      <c r="G6" s="450"/>
      <c r="H6" s="498">
        <v>0.0</v>
      </c>
      <c r="I6" s="106"/>
      <c r="J6" s="105"/>
      <c r="K6" s="107">
        <f>VLOOKUP($A6,'TD Costos Estimados para proyec'!$A$4:$D$41,4,FALSE())</f>
        <v>0</v>
      </c>
      <c r="L6" s="107">
        <f>VLOOKUP($A6,'TD Costos Estimados para proyec'!$A$4:$E$41,5,FALSE())</f>
        <v>0</v>
      </c>
      <c r="M6" s="107">
        <f>VLOOKUP($A6,'TD Costos Estimados para proyec'!$A$4:$F$41,6,FALSE())</f>
        <v>0</v>
      </c>
      <c r="N6" s="105">
        <f t="shared" si="1"/>
        <v>0</v>
      </c>
      <c r="O6" s="535"/>
      <c r="P6" s="105">
        <f t="shared" si="2"/>
        <v>0</v>
      </c>
      <c r="Q6" s="105">
        <f t="shared" si="3"/>
        <v>0</v>
      </c>
      <c r="R6" s="105">
        <f t="shared" si="4"/>
        <v>0</v>
      </c>
      <c r="S6" s="105">
        <f t="shared" si="5"/>
        <v>0</v>
      </c>
      <c r="T6" s="107"/>
      <c r="U6" s="107"/>
      <c r="V6" s="107"/>
      <c r="W6" s="105"/>
      <c r="X6" s="105"/>
      <c r="Y6" s="105"/>
      <c r="Z6" s="105"/>
      <c r="AA6" s="105"/>
      <c r="AB6" s="105"/>
      <c r="AC6" s="105"/>
      <c r="AD6" s="105"/>
      <c r="AE6" s="105"/>
      <c r="AF6" s="105"/>
    </row>
    <row r="7">
      <c r="A7" s="43" t="s">
        <v>240</v>
      </c>
      <c r="B7" s="107"/>
      <c r="C7" s="372"/>
      <c r="D7" s="107"/>
      <c r="E7" s="107"/>
      <c r="F7" s="107"/>
      <c r="G7" s="107"/>
      <c r="I7" s="106"/>
      <c r="J7" s="105">
        <f>VLOOKUP(A7,'TD Costos para seguimiento MARK'!$A$23:$B$57,2,FALSE())</f>
        <v>595.1557093</v>
      </c>
      <c r="K7" s="107">
        <f>VLOOKUP($A7,'TD Costos Estimados para proyec'!$A$4:$D$41,4,FALSE())</f>
        <v>1194.444444</v>
      </c>
      <c r="L7" s="107">
        <f>VLOOKUP($A7,'TD Costos Estimados para proyec'!$A$4:$E$41,5,FALSE())</f>
        <v>1147.431621</v>
      </c>
      <c r="M7" s="107">
        <f>VLOOKUP($A7,'TD Costos Estimados para proyec'!$A$4:$F$41,6,FALSE())</f>
        <v>1368.979167</v>
      </c>
      <c r="N7" s="105">
        <f t="shared" si="1"/>
        <v>4306.010942</v>
      </c>
      <c r="O7" s="535"/>
      <c r="P7" s="105">
        <f t="shared" si="2"/>
        <v>0</v>
      </c>
      <c r="Q7" s="105">
        <f t="shared" si="3"/>
        <v>0</v>
      </c>
      <c r="R7" s="105">
        <f t="shared" si="4"/>
        <v>595.1557093</v>
      </c>
      <c r="S7" s="105">
        <f t="shared" si="5"/>
        <v>3710.855232</v>
      </c>
      <c r="T7" s="107"/>
      <c r="U7" s="107"/>
      <c r="V7" s="107"/>
      <c r="W7" s="105"/>
      <c r="X7" s="105"/>
      <c r="Y7" s="105"/>
      <c r="Z7" s="105"/>
      <c r="AA7" s="105"/>
      <c r="AB7" s="105"/>
      <c r="AC7" s="105"/>
      <c r="AD7" s="105"/>
      <c r="AE7" s="105"/>
      <c r="AF7" s="105"/>
    </row>
    <row r="8">
      <c r="A8" s="102" t="s">
        <v>212</v>
      </c>
      <c r="B8" s="107">
        <v>178.84426229508196</v>
      </c>
      <c r="C8" s="372">
        <v>306.69105691056916</v>
      </c>
      <c r="D8" s="107">
        <v>140.81132075471697</v>
      </c>
      <c r="E8" s="107">
        <v>326.80168776371306</v>
      </c>
      <c r="F8" s="107">
        <v>410.01694915254234</v>
      </c>
      <c r="G8" s="107">
        <v>234.3621399176955</v>
      </c>
      <c r="I8" s="106"/>
      <c r="J8" s="105"/>
      <c r="K8" s="107"/>
      <c r="L8" s="107"/>
      <c r="M8" s="107"/>
      <c r="N8" s="105">
        <f t="shared" si="1"/>
        <v>1597.527417</v>
      </c>
      <c r="O8" s="535"/>
      <c r="P8" s="105">
        <f t="shared" si="2"/>
        <v>626.34664</v>
      </c>
      <c r="Q8" s="105">
        <f t="shared" si="3"/>
        <v>971.1807768</v>
      </c>
      <c r="R8" s="105">
        <f t="shared" si="4"/>
        <v>0</v>
      </c>
      <c r="S8" s="105">
        <f t="shared" si="5"/>
        <v>0</v>
      </c>
      <c r="T8" s="107"/>
      <c r="U8" s="107"/>
      <c r="V8" s="107"/>
      <c r="W8" s="105"/>
      <c r="X8" s="105"/>
      <c r="Y8" s="105"/>
      <c r="Z8" s="105"/>
      <c r="AA8" s="105"/>
      <c r="AB8" s="105"/>
      <c r="AC8" s="105"/>
      <c r="AD8" s="105"/>
      <c r="AE8" s="105"/>
      <c r="AF8" s="105"/>
    </row>
    <row r="9">
      <c r="A9" s="102" t="s">
        <v>185</v>
      </c>
      <c r="C9" s="372"/>
      <c r="F9" s="107">
        <f>38.6440677966102+45</f>
        <v>83.6440678</v>
      </c>
      <c r="I9" s="498">
        <v>720.0</v>
      </c>
      <c r="J9" s="105">
        <f>VLOOKUP(A9,'TD Costos para seguimiento MARK'!$A$23:$B$57,2,FALSE())</f>
        <v>675</v>
      </c>
      <c r="K9" s="107">
        <f>VLOOKUP($A9,'TD Costos Estimados para proyec'!$A$4:$D$41,4,FALSE())</f>
        <v>675</v>
      </c>
      <c r="L9" s="107">
        <f>VLOOKUP($A9,'TD Costos Estimados para proyec'!$A$4:$E$41,5,FALSE())</f>
        <v>675</v>
      </c>
      <c r="M9" s="107">
        <f>VLOOKUP($A9,'TD Costos Estimados para proyec'!$A$4:$F$41,6,FALSE())</f>
        <v>675</v>
      </c>
      <c r="N9" s="105">
        <f t="shared" si="1"/>
        <v>3503.644068</v>
      </c>
      <c r="O9" s="535"/>
      <c r="P9" s="105">
        <f t="shared" si="2"/>
        <v>0</v>
      </c>
      <c r="Q9" s="105">
        <f t="shared" si="3"/>
        <v>83.6440678</v>
      </c>
      <c r="R9" s="105">
        <f t="shared" si="4"/>
        <v>1395</v>
      </c>
      <c r="S9" s="105">
        <f t="shared" si="5"/>
        <v>2025</v>
      </c>
      <c r="T9" s="107"/>
      <c r="U9" s="107"/>
      <c r="V9" s="107"/>
      <c r="W9" s="105"/>
      <c r="X9" s="105"/>
      <c r="Y9" s="105"/>
      <c r="Z9" s="105"/>
      <c r="AA9" s="105"/>
      <c r="AB9" s="105"/>
      <c r="AC9" s="105"/>
      <c r="AD9" s="105"/>
      <c r="AE9" s="105"/>
      <c r="AF9" s="105"/>
    </row>
    <row r="10">
      <c r="A10" s="505" t="s">
        <v>234</v>
      </c>
      <c r="B10" s="450"/>
      <c r="C10" s="455"/>
      <c r="D10" s="498">
        <v>603.7735849056604</v>
      </c>
      <c r="I10" s="106"/>
      <c r="J10" s="105"/>
      <c r="K10" s="107"/>
      <c r="L10" s="107"/>
      <c r="M10" s="107"/>
      <c r="N10" s="105">
        <f t="shared" si="1"/>
        <v>603.7735849</v>
      </c>
      <c r="O10" s="535"/>
      <c r="P10" s="105">
        <f t="shared" si="2"/>
        <v>603.7735849</v>
      </c>
      <c r="Q10" s="105">
        <f t="shared" si="3"/>
        <v>0</v>
      </c>
      <c r="R10" s="105">
        <f t="shared" si="4"/>
        <v>0</v>
      </c>
      <c r="S10" s="105">
        <f t="shared" si="5"/>
        <v>0</v>
      </c>
      <c r="T10" s="107"/>
      <c r="U10" s="107"/>
      <c r="V10" s="107"/>
      <c r="W10" s="105"/>
      <c r="X10" s="105"/>
      <c r="Y10" s="105"/>
      <c r="Z10" s="105"/>
      <c r="AA10" s="105"/>
      <c r="AB10" s="105"/>
      <c r="AC10" s="105"/>
      <c r="AD10" s="105"/>
      <c r="AE10" s="105"/>
      <c r="AF10" s="105"/>
    </row>
    <row r="11">
      <c r="A11" s="102" t="s">
        <v>164</v>
      </c>
      <c r="B11" s="107">
        <v>71.04672131147541</v>
      </c>
      <c r="C11" s="372">
        <v>37.266666666666666</v>
      </c>
      <c r="D11" s="107">
        <v>52.68679245283019</v>
      </c>
      <c r="E11" s="107">
        <v>41.54430379746835</v>
      </c>
      <c r="F11" s="107">
        <v>41.72024237288135</v>
      </c>
      <c r="G11" s="107">
        <v>49.02740740740741</v>
      </c>
      <c r="H11" s="536">
        <v>99.17348484848485</v>
      </c>
      <c r="I11" s="106">
        <v>49.173234200743494</v>
      </c>
      <c r="J11" s="105">
        <f>VLOOKUP(A11,'TD Costos para seguimiento MARK'!$A$23:$B$57,2,FALSE())</f>
        <v>68.28719723</v>
      </c>
      <c r="K11" s="107">
        <f>VLOOKUP($A11,'TD Costos Estimados para proyec'!$A$4:$D$41,4,FALSE())</f>
        <v>44.46916667</v>
      </c>
      <c r="L11" s="107">
        <f>VLOOKUP($A11,'TD Costos Estimados para proyec'!$A$4:$E$41,5,FALSE())</f>
        <v>42.71887925</v>
      </c>
      <c r="M11" s="107">
        <f>VLOOKUP($A11,'TD Costos Estimados para proyec'!$A$4:$F$41,6,FALSE())</f>
        <v>44.81658203</v>
      </c>
      <c r="N11" s="105">
        <f t="shared" si="1"/>
        <v>641.9306782</v>
      </c>
      <c r="O11" s="535"/>
      <c r="P11" s="105">
        <f t="shared" si="2"/>
        <v>161.0001804</v>
      </c>
      <c r="Q11" s="105">
        <f t="shared" si="3"/>
        <v>132.2919536</v>
      </c>
      <c r="R11" s="105">
        <f t="shared" si="4"/>
        <v>216.6339163</v>
      </c>
      <c r="S11" s="105">
        <f t="shared" si="5"/>
        <v>132.004628</v>
      </c>
      <c r="T11" s="107"/>
      <c r="U11" s="107"/>
      <c r="V11" s="107"/>
      <c r="W11" s="105"/>
      <c r="X11" s="105"/>
      <c r="Y11" s="105"/>
      <c r="Z11" s="105"/>
      <c r="AA11" s="105"/>
      <c r="AB11" s="105"/>
      <c r="AC11" s="105"/>
      <c r="AD11" s="105"/>
      <c r="AE11" s="105"/>
      <c r="AF11" s="105"/>
    </row>
    <row r="12">
      <c r="A12" s="102" t="s">
        <v>228</v>
      </c>
      <c r="B12" s="107">
        <v>1402.1065573770493</v>
      </c>
      <c r="C12" s="372">
        <v>1565.8536585365853</v>
      </c>
      <c r="D12" s="107">
        <v>1318.68679245283</v>
      </c>
      <c r="E12" s="107">
        <v>1395.2160337552405</v>
      </c>
      <c r="F12" s="107">
        <v>1575.4694915254267</v>
      </c>
      <c r="G12" s="107">
        <v>1412.1506172839506</v>
      </c>
      <c r="H12" s="536">
        <v>1649.4195</v>
      </c>
      <c r="I12" s="106">
        <v>1295.9180966542751</v>
      </c>
      <c r="J12" s="105">
        <f>VLOOKUP(A12,'TD Costos para seguimiento MARK'!$A$23:$B$57,2,FALSE())</f>
        <v>1153.786574</v>
      </c>
      <c r="K12" s="107">
        <f>VLOOKUP($A12,'TD Costos Estimados para proyec'!$A$4:$D$41,4,FALSE())</f>
        <v>1436.111111</v>
      </c>
      <c r="L12" s="107">
        <f>VLOOKUP($A12,'TD Costos Estimados para proyec'!$A$4:$E$41,5,FALSE())</f>
        <v>1379.586391</v>
      </c>
      <c r="M12" s="107">
        <f>VLOOKUP($A12,'TD Costos Estimados para proyec'!$A$4:$F$41,6,FALSE())</f>
        <v>2131.403646</v>
      </c>
      <c r="N12" s="105">
        <f t="shared" si="1"/>
        <v>17715.70847</v>
      </c>
      <c r="O12" s="535"/>
      <c r="P12" s="105">
        <f t="shared" si="2"/>
        <v>4286.647008</v>
      </c>
      <c r="Q12" s="105">
        <f t="shared" si="3"/>
        <v>4382.836143</v>
      </c>
      <c r="R12" s="105">
        <f t="shared" si="4"/>
        <v>4099.124171</v>
      </c>
      <c r="S12" s="105">
        <f t="shared" si="5"/>
        <v>4947.101148</v>
      </c>
      <c r="T12" s="107"/>
      <c r="U12" s="107"/>
      <c r="V12" s="107"/>
      <c r="W12" s="105"/>
      <c r="X12" s="105"/>
      <c r="Y12" s="105"/>
      <c r="Z12" s="105"/>
      <c r="AA12" s="105"/>
      <c r="AB12" s="105"/>
      <c r="AC12" s="105"/>
      <c r="AD12" s="105"/>
      <c r="AE12" s="105"/>
      <c r="AF12" s="105"/>
    </row>
    <row r="13">
      <c r="A13" s="505" t="s">
        <v>226</v>
      </c>
      <c r="B13" s="498">
        <v>440.73770491803276</v>
      </c>
      <c r="C13" s="455">
        <v>437.1544715447154</v>
      </c>
      <c r="D13" s="498">
        <v>405.811320754717</v>
      </c>
      <c r="E13" s="498">
        <v>453.7552742616034</v>
      </c>
      <c r="F13" s="498">
        <v>455.6779661016949</v>
      </c>
      <c r="G13" s="498">
        <v>442.5514403292181</v>
      </c>
      <c r="H13" s="536">
        <v>115.15151515151516</v>
      </c>
      <c r="I13" s="106">
        <v>799.0334572490706</v>
      </c>
      <c r="J13" s="105">
        <f>VLOOKUP(A13,'TD Costos para seguimiento MARK'!$A$23:$B$57,2,FALSE())</f>
        <v>467.6816609</v>
      </c>
      <c r="K13" s="107">
        <f>VLOOKUP($A13,'TD Costos Estimados para proyec'!$A$4:$D$41,4,FALSE())</f>
        <v>469.3055556</v>
      </c>
      <c r="L13" s="107">
        <f>VLOOKUP($A13,'TD Costos Estimados para proyec'!$A$4:$E$41,5,FALSE())</f>
        <v>450.8338893</v>
      </c>
      <c r="M13" s="107">
        <f>VLOOKUP($A13,'TD Costos Estimados para proyec'!$A$4:$F$41,6,FALSE())</f>
        <v>559.9739583</v>
      </c>
      <c r="N13" s="105">
        <f t="shared" si="1"/>
        <v>5497.668214</v>
      </c>
      <c r="O13" s="535"/>
      <c r="P13" s="105">
        <f t="shared" si="2"/>
        <v>1283.703497</v>
      </c>
      <c r="Q13" s="105">
        <f t="shared" si="3"/>
        <v>1351.984681</v>
      </c>
      <c r="R13" s="105">
        <f t="shared" si="4"/>
        <v>1381.866633</v>
      </c>
      <c r="S13" s="105">
        <f t="shared" si="5"/>
        <v>1480.113403</v>
      </c>
      <c r="T13" s="107"/>
      <c r="U13" s="107"/>
      <c r="V13" s="107"/>
      <c r="W13" s="105"/>
      <c r="X13" s="105"/>
      <c r="Y13" s="105"/>
      <c r="Z13" s="105"/>
      <c r="AA13" s="105"/>
      <c r="AB13" s="105"/>
      <c r="AC13" s="105"/>
      <c r="AD13" s="105"/>
      <c r="AE13" s="105"/>
      <c r="AF13" s="105"/>
    </row>
    <row r="14">
      <c r="A14" s="505" t="s">
        <v>236</v>
      </c>
      <c r="B14" s="498">
        <v>1498.2680327868852</v>
      </c>
      <c r="C14" s="455">
        <v>1433.850406504065</v>
      </c>
      <c r="H14" s="538"/>
      <c r="I14" s="106"/>
      <c r="J14" s="105"/>
      <c r="K14" s="107"/>
      <c r="L14" s="107"/>
      <c r="M14" s="107"/>
      <c r="N14" s="105">
        <f t="shared" si="1"/>
        <v>2932.118439</v>
      </c>
      <c r="O14" s="535"/>
      <c r="P14" s="105">
        <f t="shared" si="2"/>
        <v>2932.118439</v>
      </c>
      <c r="Q14" s="105">
        <f t="shared" si="3"/>
        <v>0</v>
      </c>
      <c r="R14" s="105">
        <f t="shared" si="4"/>
        <v>0</v>
      </c>
      <c r="S14" s="105">
        <f t="shared" si="5"/>
        <v>0</v>
      </c>
      <c r="T14" s="107"/>
      <c r="U14" s="107"/>
      <c r="V14" s="107"/>
      <c r="W14" s="105"/>
      <c r="X14" s="105"/>
      <c r="Y14" s="105"/>
      <c r="Z14" s="105"/>
      <c r="AA14" s="105"/>
      <c r="AB14" s="105"/>
      <c r="AC14" s="105"/>
      <c r="AD14" s="105"/>
      <c r="AE14" s="105"/>
      <c r="AF14" s="105"/>
    </row>
    <row r="15">
      <c r="A15" s="505" t="s">
        <v>222</v>
      </c>
      <c r="B15" s="498">
        <v>2479.5081967213114</v>
      </c>
      <c r="C15" s="455">
        <v>2779.0650406504064</v>
      </c>
      <c r="D15" s="498">
        <v>3396.2264150943397</v>
      </c>
      <c r="E15" s="498">
        <v>3797.46835443038</v>
      </c>
      <c r="F15" s="498">
        <v>3852.252881355932</v>
      </c>
      <c r="G15" s="498">
        <v>4378.600823045268</v>
      </c>
      <c r="H15" s="536">
        <v>3719.6969696969695</v>
      </c>
      <c r="I15" s="106">
        <v>3942.6664684014872</v>
      </c>
      <c r="J15" s="105">
        <f>VLOOKUP(A15,'TD Costos para seguimiento MARK'!$A$23:$B$57,2,FALSE())</f>
        <v>3669.817578</v>
      </c>
      <c r="K15" s="107">
        <f>VLOOKUP($A15,'TD Costos Estimados para proyec'!$A$4:$D$41,4,FALSE())</f>
        <v>3802.004444</v>
      </c>
      <c r="L15" s="107">
        <f>VLOOKUP($A15,'TD Costos Estimados para proyec'!$A$4:$E$41,5,FALSE())</f>
        <v>3864.616133</v>
      </c>
      <c r="M15" s="107">
        <f>VLOOKUP($A15,'TD Costos Estimados para proyec'!$A$4:$F$41,6,FALSE())</f>
        <v>3771.523167</v>
      </c>
      <c r="N15" s="105">
        <f t="shared" si="1"/>
        <v>43453.44647</v>
      </c>
      <c r="O15" s="535"/>
      <c r="P15" s="105">
        <f t="shared" si="2"/>
        <v>8654.799652</v>
      </c>
      <c r="Q15" s="105">
        <f t="shared" si="3"/>
        <v>12028.32206</v>
      </c>
      <c r="R15" s="105">
        <f t="shared" si="4"/>
        <v>11332.18102</v>
      </c>
      <c r="S15" s="105">
        <f t="shared" si="5"/>
        <v>11438.14374</v>
      </c>
      <c r="T15" s="107"/>
      <c r="U15" s="107"/>
      <c r="V15" s="107"/>
      <c r="W15" s="105"/>
      <c r="X15" s="105"/>
      <c r="Y15" s="105"/>
      <c r="Z15" s="105"/>
      <c r="AA15" s="105"/>
      <c r="AB15" s="105"/>
      <c r="AC15" s="105"/>
      <c r="AD15" s="105"/>
      <c r="AE15" s="105"/>
      <c r="AF15" s="105"/>
    </row>
    <row r="16">
      <c r="A16" s="505" t="s">
        <v>225</v>
      </c>
      <c r="B16" s="539">
        <v>0.0</v>
      </c>
      <c r="C16" s="451">
        <v>0.0</v>
      </c>
      <c r="D16" s="539">
        <v>0.0</v>
      </c>
      <c r="E16" s="539">
        <v>0.0</v>
      </c>
      <c r="F16" s="539">
        <v>0.0</v>
      </c>
      <c r="G16" s="539">
        <v>0.0</v>
      </c>
      <c r="H16" s="540">
        <v>0.0</v>
      </c>
      <c r="I16" s="106">
        <v>53.531598513011154</v>
      </c>
      <c r="J16" s="105"/>
      <c r="K16" s="107">
        <f>VLOOKUP($A16,'TD Costos Estimados para proyec'!$A$4:$D$41,4,FALSE())</f>
        <v>50</v>
      </c>
      <c r="L16" s="107">
        <f>VLOOKUP($A16,'TD Costos Estimados para proyec'!$A$4:$E$41,5,FALSE())</f>
        <v>48.03202135</v>
      </c>
      <c r="M16" s="107">
        <f>VLOOKUP($A16,'TD Costos Estimados para proyec'!$A$4:$F$41,6,FALSE())</f>
        <v>46.875</v>
      </c>
      <c r="N16" s="105">
        <f t="shared" si="1"/>
        <v>198.4386199</v>
      </c>
      <c r="O16" s="535"/>
      <c r="P16" s="105">
        <f t="shared" si="2"/>
        <v>0</v>
      </c>
      <c r="Q16" s="105">
        <f t="shared" si="3"/>
        <v>0</v>
      </c>
      <c r="R16" s="105">
        <f t="shared" si="4"/>
        <v>53.53159851</v>
      </c>
      <c r="S16" s="105">
        <f t="shared" si="5"/>
        <v>144.9070213</v>
      </c>
      <c r="T16" s="107"/>
      <c r="U16" s="107"/>
      <c r="V16" s="107"/>
      <c r="W16" s="105"/>
      <c r="X16" s="105"/>
      <c r="Y16" s="105"/>
      <c r="Z16" s="105"/>
      <c r="AA16" s="105"/>
      <c r="AB16" s="105"/>
      <c r="AC16" s="105"/>
      <c r="AD16" s="105"/>
      <c r="AE16" s="105"/>
      <c r="AF16" s="105"/>
    </row>
    <row r="17">
      <c r="A17" s="505" t="s">
        <v>146</v>
      </c>
      <c r="B17" s="498">
        <v>474.92459016393445</v>
      </c>
      <c r="C17" s="455">
        <v>249.11463414634147</v>
      </c>
      <c r="D17" s="498">
        <v>352.19320754716983</v>
      </c>
      <c r="E17" s="498">
        <v>277.7088607594937</v>
      </c>
      <c r="F17" s="498">
        <v>261.79452088983055</v>
      </c>
      <c r="G17" s="498">
        <v>277.54238683127573</v>
      </c>
      <c r="H17" s="536">
        <v>280.280303030303</v>
      </c>
      <c r="I17" s="106">
        <v>255.0081784386617</v>
      </c>
      <c r="J17" s="105">
        <f>VLOOKUP(A17,'TD Costos para seguimiento MARK'!$A$23:$B$57,2,FALSE())</f>
        <v>354.133564</v>
      </c>
      <c r="K17" s="107">
        <f>VLOOKUP($A17,'TD Costos Estimados para proyec'!$A$4:$D$41,4,FALSE())</f>
        <v>308.5488887</v>
      </c>
      <c r="L17" s="107">
        <f>VLOOKUP($A17,'TD Costos Estimados para proyec'!$A$4:$E$41,5,FALSE())</f>
        <v>210.9342276</v>
      </c>
      <c r="M17" s="107">
        <f>VLOOKUP($A17,'TD Costos Estimados para proyec'!$A$4:$F$41,6,FALSE())</f>
        <v>304.2519122</v>
      </c>
      <c r="N17" s="105">
        <f t="shared" si="1"/>
        <v>3606.435274</v>
      </c>
      <c r="O17" s="535"/>
      <c r="P17" s="105">
        <f t="shared" si="2"/>
        <v>1076.232432</v>
      </c>
      <c r="Q17" s="105">
        <f t="shared" si="3"/>
        <v>817.0457685</v>
      </c>
      <c r="R17" s="105">
        <f t="shared" si="4"/>
        <v>889.4220455</v>
      </c>
      <c r="S17" s="105">
        <f t="shared" si="5"/>
        <v>823.7350284</v>
      </c>
      <c r="T17" s="107"/>
      <c r="U17" s="534" t="s">
        <v>1305</v>
      </c>
      <c r="V17" s="107"/>
      <c r="W17" s="105"/>
      <c r="X17" s="105"/>
      <c r="Y17" s="105"/>
      <c r="Z17" s="105"/>
      <c r="AA17" s="105"/>
      <c r="AB17" s="105"/>
      <c r="AC17" s="105"/>
      <c r="AD17" s="105"/>
      <c r="AE17" s="105"/>
      <c r="AF17" s="105"/>
    </row>
    <row r="18" ht="16.5" customHeight="1">
      <c r="A18" s="505" t="s">
        <v>153</v>
      </c>
      <c r="B18" s="450"/>
      <c r="C18" s="455"/>
      <c r="D18" s="450"/>
      <c r="E18" s="498">
        <v>2499.0</v>
      </c>
      <c r="F18" s="380">
        <v>-4124.0</v>
      </c>
      <c r="G18" s="474">
        <v>-4204.92</v>
      </c>
      <c r="H18" s="536">
        <v>725.0</v>
      </c>
      <c r="I18" s="106">
        <v>15228.0</v>
      </c>
      <c r="J18" s="105">
        <f>VLOOKUP(A18,'TD Costos para seguimiento MARK'!$A$23:$B$57,2,FALSE())</f>
        <v>10801</v>
      </c>
      <c r="K18" s="107">
        <f>VLOOKUP($A18,'TD Costos Estimados para proyec'!$A$4:$D$41,4,FALSE())</f>
        <v>5517</v>
      </c>
      <c r="L18" s="107">
        <f>VLOOKUP($A18,'TD Costos Estimados para proyec'!$A$4:$E$41,5,FALSE())</f>
        <v>5517</v>
      </c>
      <c r="M18" s="107">
        <f>VLOOKUP($A18,'TD Costos Estimados para proyec'!$A$4:$F$41,6,FALSE())</f>
        <v>5517</v>
      </c>
      <c r="N18" s="105">
        <f t="shared" si="1"/>
        <v>37475.08</v>
      </c>
      <c r="O18" s="535"/>
      <c r="P18" s="105">
        <f t="shared" si="2"/>
        <v>0</v>
      </c>
      <c r="Q18" s="105">
        <f t="shared" si="3"/>
        <v>-5829.92</v>
      </c>
      <c r="R18" s="105">
        <f>H18+I18+U18</f>
        <v>30566</v>
      </c>
      <c r="S18" s="105">
        <f>V18+W18+X18</f>
        <v>17478</v>
      </c>
      <c r="T18" s="107"/>
      <c r="U18" s="541">
        <f t="shared" ref="U18:X18" si="6">0.15*(J62+J67+J76)</f>
        <v>14613</v>
      </c>
      <c r="V18" s="541">
        <f t="shared" si="6"/>
        <v>5702.4</v>
      </c>
      <c r="W18" s="541">
        <f t="shared" si="6"/>
        <v>5887.8</v>
      </c>
      <c r="X18" s="541">
        <f t="shared" si="6"/>
        <v>5887.8</v>
      </c>
      <c r="Y18" s="105"/>
      <c r="Z18" s="105"/>
      <c r="AA18" s="105"/>
      <c r="AB18" s="105"/>
      <c r="AC18" s="105"/>
      <c r="AD18" s="105"/>
      <c r="AE18" s="105"/>
      <c r="AF18" s="105"/>
    </row>
    <row r="19" ht="16.5" customHeight="1">
      <c r="A19" s="505" t="s">
        <v>214</v>
      </c>
      <c r="B19" s="450"/>
      <c r="C19" s="455">
        <v>106.09756097560975</v>
      </c>
      <c r="D19" s="498">
        <v>1132.0754716981132</v>
      </c>
      <c r="E19" s="498">
        <v>1308.0168776371345</v>
      </c>
      <c r="F19" s="498">
        <v>1355.9322033898304</v>
      </c>
      <c r="G19" s="498">
        <v>1316.8724279835392</v>
      </c>
      <c r="H19" s="536">
        <v>1392.121212121212</v>
      </c>
      <c r="I19" s="106">
        <v>403.23300155894026</v>
      </c>
      <c r="J19" s="105">
        <f>VLOOKUP(A19,'TD Costos para seguimiento MARK'!$A$23:$B$57,2,FALSE())</f>
        <v>1163.515571</v>
      </c>
      <c r="K19" s="107">
        <f>VLOOKUP($A19,'TD Costos Estimados para proyec'!$A$4:$D$41,4,FALSE())</f>
        <v>1167.555556</v>
      </c>
      <c r="L19" s="107">
        <f>VLOOKUP($A19,'TD Costos Estimados para proyec'!$A$4:$E$41,5,FALSE())</f>
        <v>1278.825884</v>
      </c>
      <c r="M19" s="107">
        <f>VLOOKUP($A19,'TD Costos Estimados para proyec'!$A$4:$F$41,6,FALSE())</f>
        <v>1725.020833</v>
      </c>
      <c r="N19" s="105">
        <f t="shared" si="1"/>
        <v>12349.2666</v>
      </c>
      <c r="O19" s="535"/>
      <c r="P19" s="105">
        <f t="shared" si="2"/>
        <v>1238.173033</v>
      </c>
      <c r="Q19" s="105">
        <f t="shared" si="3"/>
        <v>3980.821509</v>
      </c>
      <c r="R19" s="105">
        <f t="shared" ref="R19:R28" si="7">H19+I19+J19</f>
        <v>2958.869785</v>
      </c>
      <c r="S19" s="105">
        <f t="shared" ref="S19:S28" si="8">K19+L19+M19</f>
        <v>4171.402273</v>
      </c>
      <c r="T19" s="107"/>
      <c r="U19" s="107"/>
      <c r="V19" s="107"/>
      <c r="W19" s="105"/>
      <c r="X19" s="105"/>
      <c r="Y19" s="105"/>
      <c r="Z19" s="105"/>
      <c r="AA19" s="105"/>
      <c r="AB19" s="105"/>
      <c r="AC19" s="105"/>
      <c r="AD19" s="105"/>
      <c r="AE19" s="105"/>
      <c r="AF19" s="105"/>
    </row>
    <row r="20">
      <c r="A20" s="102" t="s">
        <v>201</v>
      </c>
      <c r="C20" s="372"/>
      <c r="H20" s="536">
        <v>919.79</v>
      </c>
      <c r="I20" s="106">
        <v>1108.55</v>
      </c>
      <c r="J20" s="105">
        <f>VLOOKUP(A20,'TD Costos para seguimiento MARK'!$A$23:$B$57,2,FALSE())</f>
        <v>743.2</v>
      </c>
      <c r="K20" s="107">
        <f>VLOOKUP($A20,'TD Costos Estimados para proyec'!$A$4:$D$41,4,FALSE())</f>
        <v>500</v>
      </c>
      <c r="L20" s="107">
        <f>VLOOKUP($A20,'TD Costos Estimados para proyec'!$A$4:$E$41,5,FALSE())</f>
        <v>500</v>
      </c>
      <c r="M20" s="107">
        <f>VLOOKUP($A20,'TD Costos Estimados para proyec'!$A$4:$F$41,6,FALSE())</f>
        <v>500</v>
      </c>
      <c r="N20" s="105">
        <f t="shared" si="1"/>
        <v>4271.54</v>
      </c>
      <c r="O20" s="535"/>
      <c r="P20" s="105">
        <f t="shared" si="2"/>
        <v>0</v>
      </c>
      <c r="Q20" s="105">
        <f t="shared" si="3"/>
        <v>0</v>
      </c>
      <c r="R20" s="105">
        <f t="shared" si="7"/>
        <v>2771.54</v>
      </c>
      <c r="S20" s="105">
        <f t="shared" si="8"/>
        <v>1500</v>
      </c>
      <c r="T20" s="107"/>
      <c r="U20" s="107"/>
      <c r="V20" s="107"/>
      <c r="W20" s="105"/>
      <c r="X20" s="105"/>
      <c r="Y20" s="105"/>
      <c r="Z20" s="105"/>
      <c r="AA20" s="105"/>
      <c r="AB20" s="105"/>
      <c r="AC20" s="105"/>
      <c r="AD20" s="105"/>
      <c r="AE20" s="105"/>
      <c r="AF20" s="105"/>
    </row>
    <row r="21">
      <c r="A21" s="505" t="s">
        <v>223</v>
      </c>
      <c r="B21" s="450"/>
      <c r="C21" s="455"/>
      <c r="D21" s="450"/>
      <c r="E21" s="450"/>
      <c r="F21" s="498">
        <v>93.64406779661017</v>
      </c>
      <c r="G21" s="498">
        <v>97.94238683127573</v>
      </c>
      <c r="H21" s="536">
        <v>90.15151515151516</v>
      </c>
      <c r="I21" s="107">
        <v>88.47583643122677</v>
      </c>
      <c r="J21" s="107">
        <v>82.3529411764706</v>
      </c>
      <c r="K21" s="107">
        <f>VLOOKUP($A21,'TD Costos Estimados para proyec'!$A$4:$D$41,4,FALSE())</f>
        <v>88.54166667</v>
      </c>
      <c r="L21" s="107">
        <f>VLOOKUP($A21,'TD Costos Estimados para proyec'!$A$4:$E$41,5,FALSE())</f>
        <v>85.05670447</v>
      </c>
      <c r="M21" s="107">
        <f>VLOOKUP($A21,'TD Costos Estimados para proyec'!$A$4:$F$41,6,FALSE())</f>
        <v>83.0078125</v>
      </c>
      <c r="N21" s="105">
        <f t="shared" si="1"/>
        <v>709.172931</v>
      </c>
      <c r="O21" s="535"/>
      <c r="P21" s="105">
        <f t="shared" si="2"/>
        <v>0</v>
      </c>
      <c r="Q21" s="105">
        <f t="shared" si="3"/>
        <v>191.5864546</v>
      </c>
      <c r="R21" s="105">
        <f t="shared" si="7"/>
        <v>260.9802928</v>
      </c>
      <c r="S21" s="105">
        <f t="shared" si="8"/>
        <v>256.6061836</v>
      </c>
      <c r="T21" s="107"/>
      <c r="U21" s="107"/>
      <c r="V21" s="107"/>
      <c r="W21" s="105"/>
      <c r="X21" s="105"/>
      <c r="Y21" s="105"/>
      <c r="Z21" s="105"/>
      <c r="AA21" s="105"/>
      <c r="AB21" s="105"/>
      <c r="AC21" s="105"/>
      <c r="AD21" s="105"/>
      <c r="AE21" s="105"/>
      <c r="AF21" s="105"/>
    </row>
    <row r="22">
      <c r="A22" s="505" t="s">
        <v>152</v>
      </c>
      <c r="B22" s="498">
        <v>2204.7368852459017</v>
      </c>
      <c r="C22" s="455">
        <v>1021.6853658536585</v>
      </c>
      <c r="D22" s="498">
        <v>1826.5215094339624</v>
      </c>
      <c r="E22" s="498">
        <v>1430.0227848101265</v>
      </c>
      <c r="F22" s="498">
        <v>1418.4618644067796</v>
      </c>
      <c r="G22" s="498">
        <v>1511.045267489712</v>
      </c>
      <c r="H22" s="536">
        <v>1524.85</v>
      </c>
      <c r="I22" s="106">
        <v>1395.3866171003717</v>
      </c>
      <c r="J22" s="105">
        <f>VLOOKUP(A22,'TD Costos para seguimiento MARK'!$A$23:$B$57,2,FALSE())</f>
        <v>1945.5391</v>
      </c>
      <c r="K22" s="107">
        <f>VLOOKUP($A22,'TD Costos Estimados para proyec'!$A$4:$D$41,4,FALSE())</f>
        <v>1615.519762</v>
      </c>
      <c r="L22" s="107">
        <f>VLOOKUP($A22,'TD Costos Estimados para proyec'!$A$4:$E$41,5,FALSE())</f>
        <v>1104.422753</v>
      </c>
      <c r="M22" s="107">
        <f>VLOOKUP($A22,'TD Costos Estimados para proyec'!$A$4:$F$41,6,FALSE())</f>
        <v>1593.021381</v>
      </c>
      <c r="N22" s="105">
        <f t="shared" si="1"/>
        <v>18591.21329</v>
      </c>
      <c r="O22" s="535"/>
      <c r="P22" s="105">
        <f t="shared" si="2"/>
        <v>5052.943761</v>
      </c>
      <c r="Q22" s="105">
        <f t="shared" si="3"/>
        <v>4359.529917</v>
      </c>
      <c r="R22" s="105">
        <f t="shared" si="7"/>
        <v>4865.775717</v>
      </c>
      <c r="S22" s="105">
        <f t="shared" si="8"/>
        <v>4312.963897</v>
      </c>
      <c r="T22" s="107"/>
      <c r="U22" s="107"/>
      <c r="V22" s="107"/>
      <c r="W22" s="105"/>
      <c r="X22" s="105"/>
      <c r="Y22" s="105"/>
      <c r="Z22" s="105"/>
      <c r="AA22" s="105"/>
      <c r="AB22" s="105"/>
      <c r="AC22" s="105"/>
      <c r="AD22" s="105"/>
      <c r="AE22" s="105"/>
      <c r="AF22" s="105"/>
    </row>
    <row r="23">
      <c r="A23" s="505" t="s">
        <v>200</v>
      </c>
      <c r="B23" s="498">
        <v>1517.5495081967213</v>
      </c>
      <c r="C23" s="455">
        <v>2000.779791869919</v>
      </c>
      <c r="D23" s="498">
        <v>1526.581132075472</v>
      </c>
      <c r="E23" s="498">
        <v>1706.9367088607594</v>
      </c>
      <c r="F23" s="498">
        <v>2397.694915254203</v>
      </c>
      <c r="G23" s="498">
        <v>1664.79012345679</v>
      </c>
      <c r="H23" s="536">
        <v>2118.2957575757573</v>
      </c>
      <c r="I23" s="106">
        <v>1899.6508550185872</v>
      </c>
      <c r="J23" s="105">
        <f>VLOOKUP(A23,'TD Costos para seguimiento MARK'!$A$23:$B$57,2,FALSE())</f>
        <v>1521.11391</v>
      </c>
      <c r="K23" s="107">
        <f>VLOOKUP($A23,'TD Costos Estimados para proyec'!$A$4:$D$41,4,FALSE())</f>
        <v>1661.125333</v>
      </c>
      <c r="L23" s="107">
        <f>VLOOKUP($A23,'TD Costos Estimados para proyec'!$A$4:$E$41,5,FALSE())</f>
        <v>1595.744149</v>
      </c>
      <c r="M23" s="107">
        <f>VLOOKUP($A23,'TD Costos Estimados para proyec'!$A$4:$F$41,6,FALSE())</f>
        <v>2443.305</v>
      </c>
      <c r="N23" s="105">
        <f t="shared" si="1"/>
        <v>22053.56719</v>
      </c>
      <c r="O23" s="535"/>
      <c r="P23" s="105">
        <f t="shared" si="2"/>
        <v>5044.910432</v>
      </c>
      <c r="Q23" s="105">
        <f t="shared" si="3"/>
        <v>5769.421748</v>
      </c>
      <c r="R23" s="105">
        <f t="shared" si="7"/>
        <v>5539.060523</v>
      </c>
      <c r="S23" s="105">
        <f t="shared" si="8"/>
        <v>5700.174483</v>
      </c>
      <c r="T23" s="107"/>
      <c r="U23" s="107"/>
      <c r="V23" s="107"/>
      <c r="W23" s="105"/>
      <c r="X23" s="105"/>
      <c r="Y23" s="105"/>
      <c r="Z23" s="105"/>
      <c r="AA23" s="105"/>
      <c r="AB23" s="105"/>
      <c r="AC23" s="105"/>
      <c r="AD23" s="105"/>
      <c r="AE23" s="105"/>
      <c r="AF23" s="105"/>
    </row>
    <row r="24">
      <c r="A24" s="505" t="s">
        <v>187</v>
      </c>
      <c r="B24" s="498">
        <v>600.0</v>
      </c>
      <c r="C24" s="455">
        <v>600.0</v>
      </c>
      <c r="D24" s="498">
        <v>600.0</v>
      </c>
      <c r="E24" s="498">
        <v>600.0</v>
      </c>
      <c r="F24" s="498">
        <v>1200.0</v>
      </c>
      <c r="G24" s="498">
        <v>600.0</v>
      </c>
      <c r="H24" s="538"/>
      <c r="I24" s="106"/>
      <c r="J24" s="105"/>
      <c r="K24" s="107">
        <f>VLOOKUP($A24,'TD Costos Estimados para proyec'!$A$4:$D$41,4,FALSE())</f>
        <v>0</v>
      </c>
      <c r="L24" s="107">
        <f>VLOOKUP($A24,'TD Costos Estimados para proyec'!$A$4:$E$41,5,FALSE())</f>
        <v>0</v>
      </c>
      <c r="M24" s="107">
        <f>VLOOKUP($A24,'TD Costos Estimados para proyec'!$A$4:$F$41,6,FALSE())</f>
        <v>0</v>
      </c>
      <c r="N24" s="105">
        <f t="shared" si="1"/>
        <v>4200</v>
      </c>
      <c r="O24" s="535"/>
      <c r="P24" s="105">
        <f t="shared" si="2"/>
        <v>1800</v>
      </c>
      <c r="Q24" s="105">
        <f t="shared" si="3"/>
        <v>2400</v>
      </c>
      <c r="R24" s="105">
        <f t="shared" si="7"/>
        <v>0</v>
      </c>
      <c r="S24" s="105">
        <f t="shared" si="8"/>
        <v>0</v>
      </c>
      <c r="T24" s="107"/>
      <c r="U24" s="107"/>
      <c r="V24" s="107"/>
      <c r="W24" s="105"/>
      <c r="X24" s="105"/>
      <c r="Y24" s="105"/>
      <c r="Z24" s="105"/>
      <c r="AA24" s="105"/>
      <c r="AB24" s="105"/>
      <c r="AC24" s="105"/>
      <c r="AD24" s="105"/>
      <c r="AE24" s="105"/>
      <c r="AF24" s="105"/>
    </row>
    <row r="25">
      <c r="A25" s="505" t="s">
        <v>216</v>
      </c>
      <c r="B25" s="498">
        <v>338.85301639344266</v>
      </c>
      <c r="C25" s="455">
        <v>674.3725276422765</v>
      </c>
      <c r="D25" s="498">
        <v>463.7918256603773</v>
      </c>
      <c r="E25" s="450"/>
      <c r="F25" s="498">
        <v>846.2584745762729</v>
      </c>
      <c r="G25" s="498">
        <v>324.42633744856016</v>
      </c>
      <c r="H25" s="536">
        <v>794.9663560606061</v>
      </c>
      <c r="I25" s="106">
        <v>622.2659315568774</v>
      </c>
      <c r="J25" s="105">
        <f>VLOOKUP(A25,'TD Costos para seguimiento MARK'!$A$23:$B$57,2,FALSE())</f>
        <v>521.5880394</v>
      </c>
      <c r="K25" s="107">
        <f>VLOOKUP($A25,'TD Costos Estimados para proyec'!$A$4:$D$41,4,FALSE())</f>
        <v>671.1474194</v>
      </c>
      <c r="L25" s="107">
        <f>VLOOKUP($A25,'TD Costos Estimados para proyec'!$A$4:$E$41,5,FALSE())</f>
        <v>683.4152242</v>
      </c>
      <c r="M25" s="107">
        <f>VLOOKUP($A25,'TD Costos Estimados para proyec'!$A$4:$F$41,6,FALSE())</f>
        <v>786.9527481</v>
      </c>
      <c r="N25" s="105">
        <f t="shared" si="1"/>
        <v>6728.0379</v>
      </c>
      <c r="O25" s="535"/>
      <c r="P25" s="105">
        <f t="shared" si="2"/>
        <v>1477.01737</v>
      </c>
      <c r="Q25" s="105">
        <f t="shared" si="3"/>
        <v>1170.684812</v>
      </c>
      <c r="R25" s="105">
        <f t="shared" si="7"/>
        <v>1938.820327</v>
      </c>
      <c r="S25" s="105">
        <f t="shared" si="8"/>
        <v>2141.515392</v>
      </c>
      <c r="T25" s="107"/>
      <c r="U25" s="107"/>
      <c r="V25" s="107"/>
      <c r="W25" s="105"/>
      <c r="X25" s="105"/>
      <c r="Y25" s="105"/>
      <c r="Z25" s="105"/>
      <c r="AA25" s="105"/>
      <c r="AB25" s="105"/>
      <c r="AC25" s="105"/>
      <c r="AD25" s="105"/>
      <c r="AE25" s="105"/>
      <c r="AF25" s="105"/>
    </row>
    <row r="26">
      <c r="A26" s="505" t="s">
        <v>207</v>
      </c>
      <c r="B26" s="498">
        <v>647.1311475409836</v>
      </c>
      <c r="C26" s="455">
        <v>658.780487804878</v>
      </c>
      <c r="D26" s="498">
        <v>626.4150943396226</v>
      </c>
      <c r="E26" s="498">
        <v>742.6160337552743</v>
      </c>
      <c r="F26" s="498">
        <v>860.4237288135594</v>
      </c>
      <c r="G26" s="498">
        <v>769.5473251028807</v>
      </c>
      <c r="H26" s="536">
        <v>633.75</v>
      </c>
      <c r="I26" s="106">
        <v>736.1537605947954</v>
      </c>
      <c r="J26" s="105">
        <f>VLOOKUP(A26,'TD Costos para seguimiento MARK'!$A$23:$B$57,2,FALSE())</f>
        <v>680.4893536</v>
      </c>
      <c r="K26" s="107">
        <f>VLOOKUP($A26,'TD Costos Estimados para proyec'!$A$4:$D$41,4,FALSE())</f>
        <v>682.2902778</v>
      </c>
      <c r="L26" s="107">
        <f>VLOOKUP($A26,'TD Costos Estimados para proyec'!$A$4:$E$41,5,FALSE())</f>
        <v>694.7617612</v>
      </c>
      <c r="M26" s="107">
        <f>VLOOKUP($A26,'TD Costos Estimados para proyec'!$A$4:$F$41,6,FALSE())</f>
        <v>798.0259635</v>
      </c>
      <c r="N26" s="105">
        <f t="shared" si="1"/>
        <v>8530.384934</v>
      </c>
      <c r="O26" s="535"/>
      <c r="P26" s="105">
        <f t="shared" si="2"/>
        <v>1932.32673</v>
      </c>
      <c r="Q26" s="105">
        <f t="shared" si="3"/>
        <v>2372.587088</v>
      </c>
      <c r="R26" s="105">
        <f t="shared" si="7"/>
        <v>2050.393114</v>
      </c>
      <c r="S26" s="105">
        <f t="shared" si="8"/>
        <v>2175.078002</v>
      </c>
      <c r="T26" s="107"/>
      <c r="U26" s="107"/>
      <c r="V26" s="107"/>
      <c r="W26" s="105"/>
      <c r="X26" s="105"/>
      <c r="Y26" s="105"/>
      <c r="Z26" s="105"/>
      <c r="AA26" s="105"/>
      <c r="AB26" s="105"/>
      <c r="AC26" s="105"/>
      <c r="AD26" s="105"/>
      <c r="AE26" s="105"/>
      <c r="AF26" s="105"/>
    </row>
    <row r="27">
      <c r="A27" s="505" t="s">
        <v>87</v>
      </c>
      <c r="B27" s="498">
        <v>358.76024590163934</v>
      </c>
      <c r="C27" s="455">
        <v>615.9512195121952</v>
      </c>
      <c r="D27" s="498">
        <v>431.6981132075472</v>
      </c>
      <c r="E27" s="498">
        <v>927.8481012658228</v>
      </c>
      <c r="F27" s="498">
        <v>594.3728813559321</v>
      </c>
      <c r="G27" s="498">
        <v>552.9876543209878</v>
      </c>
      <c r="H27" s="536">
        <v>871.6666666666667</v>
      </c>
      <c r="I27" s="106">
        <v>870.9921040892192</v>
      </c>
      <c r="J27" s="105">
        <f>VLOOKUP(A27,'TD Costos para seguimiento MARK'!$A$23:$B$57,2,FALSE())</f>
        <v>948.4615336</v>
      </c>
      <c r="K27" s="107">
        <f>VLOOKUP($A27,'TD Costos Estimados para proyec'!$A$4:$D$41,4,FALSE())</f>
        <v>882.9638889</v>
      </c>
      <c r="L27" s="107">
        <f>VLOOKUP($A27,'TD Costos Estimados para proyec'!$A$4:$E$41,5,FALSE())</f>
        <v>848.2108072</v>
      </c>
      <c r="M27" s="107">
        <f>VLOOKUP($A27,'TD Costos Estimados para proyec'!$A$4:$F$41,6,FALSE())</f>
        <v>947.7786458</v>
      </c>
      <c r="N27" s="105">
        <f t="shared" si="1"/>
        <v>8851.691862</v>
      </c>
      <c r="O27" s="535"/>
      <c r="P27" s="105">
        <f t="shared" si="2"/>
        <v>1406.409579</v>
      </c>
      <c r="Q27" s="105">
        <f t="shared" si="3"/>
        <v>2075.208637</v>
      </c>
      <c r="R27" s="105">
        <f t="shared" si="7"/>
        <v>2691.120304</v>
      </c>
      <c r="S27" s="105">
        <f t="shared" si="8"/>
        <v>2678.953342</v>
      </c>
      <c r="T27" s="107"/>
      <c r="U27" s="107"/>
      <c r="V27" s="107"/>
      <c r="W27" s="105"/>
      <c r="X27" s="105"/>
      <c r="Y27" s="105"/>
      <c r="Z27" s="105"/>
      <c r="AA27" s="105"/>
      <c r="AB27" s="105"/>
      <c r="AC27" s="105"/>
      <c r="AD27" s="105"/>
      <c r="AE27" s="105"/>
      <c r="AF27" s="105"/>
    </row>
    <row r="28">
      <c r="A28" s="505" t="s">
        <v>235</v>
      </c>
      <c r="B28" s="498">
        <v>1049.1803278688524</v>
      </c>
      <c r="C28" s="455">
        <v>686.9918699186992</v>
      </c>
      <c r="D28" s="498">
        <v>637.7358490566038</v>
      </c>
      <c r="H28" s="538"/>
      <c r="I28" s="106"/>
      <c r="J28" s="105"/>
      <c r="K28" s="107"/>
      <c r="L28" s="107"/>
      <c r="M28" s="107"/>
      <c r="N28" s="105">
        <f t="shared" si="1"/>
        <v>2373.908047</v>
      </c>
      <c r="O28" s="535"/>
      <c r="P28" s="105">
        <f t="shared" si="2"/>
        <v>2373.908047</v>
      </c>
      <c r="Q28" s="105">
        <f t="shared" si="3"/>
        <v>0</v>
      </c>
      <c r="R28" s="105">
        <f t="shared" si="7"/>
        <v>0</v>
      </c>
      <c r="S28" s="105">
        <f t="shared" si="8"/>
        <v>0</v>
      </c>
      <c r="T28" s="107"/>
      <c r="U28" s="107"/>
      <c r="V28" s="107"/>
      <c r="W28" s="105"/>
      <c r="X28" s="105"/>
      <c r="Y28" s="105"/>
      <c r="Z28" s="105"/>
      <c r="AA28" s="105"/>
      <c r="AB28" s="105"/>
      <c r="AC28" s="105"/>
      <c r="AD28" s="105"/>
      <c r="AE28" s="105"/>
      <c r="AF28" s="105"/>
    </row>
    <row r="29">
      <c r="A29" s="482" t="s">
        <v>231</v>
      </c>
      <c r="B29" s="498"/>
      <c r="C29" s="455"/>
      <c r="D29" s="498"/>
      <c r="E29" s="498"/>
      <c r="F29" s="450"/>
      <c r="G29" s="498"/>
      <c r="H29" s="538"/>
      <c r="I29" s="106"/>
      <c r="J29" s="105">
        <f>VLOOKUP(A29,'TD Costos para seguimiento MARK'!$A$23:$B$57,2,FALSE())</f>
        <v>89.96539792</v>
      </c>
      <c r="K29" s="107"/>
      <c r="L29" s="107"/>
      <c r="M29" s="107"/>
      <c r="N29" s="105">
        <f t="shared" si="1"/>
        <v>89.96539792</v>
      </c>
      <c r="O29" s="535"/>
      <c r="P29" s="105"/>
      <c r="Q29" s="105"/>
      <c r="R29" s="105"/>
      <c r="S29" s="105"/>
      <c r="T29" s="107"/>
      <c r="U29" s="107"/>
      <c r="V29" s="107"/>
      <c r="W29" s="105"/>
      <c r="X29" s="105"/>
      <c r="Y29" s="105"/>
      <c r="Z29" s="105"/>
      <c r="AA29" s="105"/>
      <c r="AB29" s="105"/>
      <c r="AC29" s="105"/>
      <c r="AD29" s="105"/>
      <c r="AE29" s="105"/>
      <c r="AF29" s="105"/>
    </row>
    <row r="30">
      <c r="A30" s="505" t="s">
        <v>219</v>
      </c>
      <c r="B30" s="498">
        <v>239.13934426229508</v>
      </c>
      <c r="C30" s="455"/>
      <c r="D30" s="498">
        <v>374.33811320754717</v>
      </c>
      <c r="E30" s="498">
        <v>316.03206751054853</v>
      </c>
      <c r="F30" s="450"/>
      <c r="G30" s="498">
        <v>660.1152263374486</v>
      </c>
      <c r="H30" s="538"/>
      <c r="I30" s="106">
        <v>1244.6691449814127</v>
      </c>
      <c r="J30" s="105">
        <f>VLOOKUP(A30,'TD Costos para seguimiento MARK'!$A$23:$B$57,2,FALSE())</f>
        <v>527.7467128</v>
      </c>
      <c r="K30" s="107">
        <f>VLOOKUP($A30,'TD Costos Estimados para proyec'!$A$4:$D$41,4,FALSE())</f>
        <v>599.04375</v>
      </c>
      <c r="L30" s="107">
        <f>VLOOKUP($A30,'TD Costos Estimados para proyec'!$A$4:$E$41,5,FALSE())</f>
        <v>618.625567</v>
      </c>
      <c r="M30" s="107">
        <f>VLOOKUP($A30,'TD Costos Estimados para proyec'!$A$4:$F$41,6,FALSE())</f>
        <v>603.7237793</v>
      </c>
      <c r="N30" s="105">
        <f t="shared" si="1"/>
        <v>5183.433705</v>
      </c>
      <c r="O30" s="535"/>
      <c r="P30" s="105">
        <f t="shared" ref="P30:P49" si="9">B30+C30+D30</f>
        <v>613.4774575</v>
      </c>
      <c r="Q30" s="105">
        <f t="shared" ref="Q30:Q49" si="10">E30+F30+G30</f>
        <v>976.1472938</v>
      </c>
      <c r="R30" s="105">
        <f t="shared" ref="R30:R49" si="11">H30+I30+J30</f>
        <v>1772.415858</v>
      </c>
      <c r="S30" s="105">
        <f t="shared" ref="S30:S49" si="12">K30+L30+M30</f>
        <v>1821.393096</v>
      </c>
      <c r="T30" s="107"/>
      <c r="U30" s="107"/>
      <c r="V30" s="107"/>
      <c r="W30" s="105"/>
      <c r="X30" s="105"/>
      <c r="Y30" s="105"/>
      <c r="Z30" s="105"/>
      <c r="AA30" s="105"/>
      <c r="AB30" s="105"/>
      <c r="AC30" s="105"/>
      <c r="AD30" s="105"/>
      <c r="AE30" s="105"/>
      <c r="AF30" s="105"/>
    </row>
    <row r="31">
      <c r="A31" s="505" t="s">
        <v>139</v>
      </c>
      <c r="B31" s="498">
        <v>172.78688524590163</v>
      </c>
      <c r="C31" s="455">
        <v>39.34878048780488</v>
      </c>
      <c r="D31" s="498">
        <v>78.27320754716982</v>
      </c>
      <c r="E31" s="498">
        <v>40.84303797468355</v>
      </c>
      <c r="F31" s="450"/>
      <c r="G31" s="498">
        <v>18.78946502057613</v>
      </c>
      <c r="H31" s="538"/>
      <c r="I31" s="106">
        <v>73.83585873605948</v>
      </c>
      <c r="J31" s="105">
        <f>VLOOKUP(A31,'TD Costos para seguimiento MARK'!$A$23:$B$57,2,FALSE())</f>
        <v>60.56408304</v>
      </c>
      <c r="K31" s="107">
        <f>VLOOKUP($A31,'TD Costos Estimados para proyec'!$A$4:$D$41,4,FALSE())</f>
        <v>34.72222222</v>
      </c>
      <c r="L31" s="107">
        <f>VLOOKUP($A31,'TD Costos Estimados para proyec'!$A$4:$E$41,5,FALSE())</f>
        <v>33.35557038</v>
      </c>
      <c r="M31" s="107">
        <f>VLOOKUP($A31,'TD Costos Estimados para proyec'!$A$4:$F$41,6,FALSE())</f>
        <v>32.55208333</v>
      </c>
      <c r="N31" s="105">
        <f t="shared" si="1"/>
        <v>585.071194</v>
      </c>
      <c r="O31" s="535"/>
      <c r="P31" s="105">
        <f t="shared" si="9"/>
        <v>290.4088733</v>
      </c>
      <c r="Q31" s="105">
        <f t="shared" si="10"/>
        <v>59.632503</v>
      </c>
      <c r="R31" s="105">
        <f t="shared" si="11"/>
        <v>134.3999418</v>
      </c>
      <c r="S31" s="105">
        <f t="shared" si="12"/>
        <v>100.6298759</v>
      </c>
      <c r="T31" s="107"/>
      <c r="U31" s="107"/>
      <c r="V31" s="107"/>
      <c r="W31" s="105"/>
      <c r="X31" s="105"/>
      <c r="Y31" s="105"/>
      <c r="Z31" s="105"/>
      <c r="AA31" s="105"/>
      <c r="AB31" s="105"/>
      <c r="AC31" s="105"/>
      <c r="AD31" s="105"/>
      <c r="AE31" s="105"/>
      <c r="AF31" s="105"/>
    </row>
    <row r="32">
      <c r="A32" s="43" t="s">
        <v>232</v>
      </c>
      <c r="B32" s="107"/>
      <c r="C32" s="372"/>
      <c r="D32" s="107"/>
      <c r="E32" s="107"/>
      <c r="F32" s="107"/>
      <c r="G32" s="107"/>
      <c r="H32" s="107"/>
      <c r="I32" s="106"/>
      <c r="J32" s="105"/>
      <c r="K32" s="107" t="str">
        <f>VLOOKUP($A32,'TD Costos Estimados para proyec'!$A$4:$D$41,4,FALSE())</f>
        <v/>
      </c>
      <c r="L32" s="107">
        <f>VLOOKUP($A32,'TD Costos Estimados para proyec'!$A$4:$E$41,5,FALSE())</f>
        <v>2868.579053</v>
      </c>
      <c r="M32" s="107">
        <f>VLOOKUP($A32,'TD Costos Estimados para proyec'!$A$4:$F$41,6,FALSE())</f>
        <v>2799.479167</v>
      </c>
      <c r="N32" s="105">
        <f t="shared" si="1"/>
        <v>5668.058219</v>
      </c>
      <c r="O32" s="535"/>
      <c r="P32" s="105">
        <f t="shared" si="9"/>
        <v>0</v>
      </c>
      <c r="Q32" s="105">
        <f t="shared" si="10"/>
        <v>0</v>
      </c>
      <c r="R32" s="105">
        <f t="shared" si="11"/>
        <v>0</v>
      </c>
      <c r="S32" s="105">
        <f t="shared" si="12"/>
        <v>5668.058219</v>
      </c>
      <c r="T32" s="107"/>
      <c r="U32" s="107"/>
      <c r="V32" s="107"/>
      <c r="W32" s="105"/>
      <c r="X32" s="105"/>
      <c r="Y32" s="105"/>
      <c r="Z32" s="105"/>
      <c r="AA32" s="105"/>
      <c r="AB32" s="105"/>
      <c r="AC32" s="105"/>
      <c r="AD32" s="105"/>
      <c r="AE32" s="105"/>
      <c r="AF32" s="105"/>
    </row>
    <row r="33">
      <c r="A33" s="102" t="s">
        <v>194</v>
      </c>
      <c r="B33" s="107">
        <v>1270.730020491803</v>
      </c>
      <c r="C33" s="372">
        <v>1449.1904837398374</v>
      </c>
      <c r="D33" s="107">
        <v>1345.2862603773585</v>
      </c>
      <c r="E33" s="107">
        <v>1504.2194092827015</v>
      </c>
      <c r="F33" s="107">
        <v>1635.2169491525456</v>
      </c>
      <c r="G33" s="107">
        <v>1588.1119341559836</v>
      </c>
      <c r="H33" s="536">
        <v>1899.6011208454545</v>
      </c>
      <c r="I33" s="106">
        <v>1577.1343916728622</v>
      </c>
      <c r="J33" s="105">
        <f>VLOOKUP(A33,'TD Costos para seguimiento MARK'!$A$23:$B$57,2,FALSE())</f>
        <v>1406.457622</v>
      </c>
      <c r="K33" s="107">
        <f>VLOOKUP($A33,'TD Costos Estimados para proyec'!$A$4:$D$41,4,FALSE())</f>
        <v>1411.341156</v>
      </c>
      <c r="L33" s="107">
        <f>VLOOKUP($A33,'TD Costos Estimados para proyec'!$A$4:$E$41,5,FALSE())</f>
        <v>1423.580939</v>
      </c>
      <c r="M33" s="107">
        <f>VLOOKUP($A33,'TD Costos Estimados para proyec'!$A$4:$F$41,6,FALSE())</f>
        <v>2156.28895</v>
      </c>
      <c r="N33" s="105">
        <f t="shared" si="1"/>
        <v>18667.15924</v>
      </c>
      <c r="O33" s="535"/>
      <c r="P33" s="105">
        <f t="shared" si="9"/>
        <v>4065.206765</v>
      </c>
      <c r="Q33" s="105">
        <f t="shared" si="10"/>
        <v>4727.548293</v>
      </c>
      <c r="R33" s="105">
        <f t="shared" si="11"/>
        <v>4883.193135</v>
      </c>
      <c r="S33" s="105">
        <f t="shared" si="12"/>
        <v>4991.211044</v>
      </c>
      <c r="T33" s="107"/>
      <c r="U33" s="107"/>
      <c r="V33" s="107"/>
      <c r="W33" s="105"/>
      <c r="X33" s="105"/>
      <c r="Y33" s="105"/>
      <c r="Z33" s="105"/>
      <c r="AA33" s="105"/>
      <c r="AB33" s="105"/>
      <c r="AC33" s="105"/>
      <c r="AD33" s="105"/>
      <c r="AE33" s="105"/>
      <c r="AF33" s="105"/>
    </row>
    <row r="34">
      <c r="A34" s="505" t="s">
        <v>220</v>
      </c>
      <c r="B34" s="498">
        <v>912.6229508196722</v>
      </c>
      <c r="C34" s="455"/>
      <c r="D34" s="450"/>
      <c r="E34" s="450"/>
      <c r="F34" s="450"/>
      <c r="G34" s="450"/>
      <c r="H34" s="538"/>
      <c r="I34" s="106"/>
      <c r="J34" s="105"/>
      <c r="K34" s="107"/>
      <c r="L34" s="107"/>
      <c r="M34" s="107"/>
      <c r="N34" s="105">
        <f t="shared" si="1"/>
        <v>912.6229508</v>
      </c>
      <c r="O34" s="535"/>
      <c r="P34" s="105">
        <f t="shared" si="9"/>
        <v>912.6229508</v>
      </c>
      <c r="Q34" s="105">
        <f t="shared" si="10"/>
        <v>0</v>
      </c>
      <c r="R34" s="105">
        <f t="shared" si="11"/>
        <v>0</v>
      </c>
      <c r="S34" s="105">
        <f t="shared" si="12"/>
        <v>0</v>
      </c>
      <c r="T34" s="107"/>
      <c r="U34" s="107"/>
      <c r="V34" s="107"/>
      <c r="W34" s="105"/>
      <c r="X34" s="105"/>
      <c r="Y34" s="105"/>
      <c r="Z34" s="105"/>
      <c r="AA34" s="105"/>
      <c r="AB34" s="105"/>
      <c r="AC34" s="105"/>
      <c r="AD34" s="105"/>
      <c r="AE34" s="105"/>
      <c r="AF34" s="105"/>
    </row>
    <row r="35">
      <c r="A35" s="505" t="s">
        <v>230</v>
      </c>
      <c r="B35" s="450"/>
      <c r="C35" s="455"/>
      <c r="D35" s="450"/>
      <c r="E35" s="450"/>
      <c r="F35" s="498">
        <v>1440.677966101695</v>
      </c>
      <c r="G35" s="107">
        <v>1567.0781893004116</v>
      </c>
      <c r="H35" s="536">
        <v>1592.4242424242427</v>
      </c>
      <c r="I35" s="106">
        <v>1487.5265427509298</v>
      </c>
      <c r="J35" s="105">
        <f>VLOOKUP(A35,'TD Costos para seguimiento MARK'!$A$23:$B$57,2,FALSE())</f>
        <v>1384.583529</v>
      </c>
      <c r="K35" s="107">
        <f>VLOOKUP($A35,'TD Costos Estimados para proyec'!$A$4:$D$41,4,FALSE())</f>
        <v>1389.391111</v>
      </c>
      <c r="L35" s="107">
        <f>VLOOKUP($A35,'TD Costos Estimados para proyec'!$A$4:$E$41,5,FALSE())</f>
        <v>1414.787586</v>
      </c>
      <c r="M35" s="107">
        <f>VLOOKUP($A35,'TD Costos Estimados para proyec'!$A$4:$F$41,6,FALSE())</f>
        <v>1884.707417</v>
      </c>
      <c r="N35" s="105">
        <f t="shared" si="1"/>
        <v>12161.17658</v>
      </c>
      <c r="O35" s="535"/>
      <c r="P35" s="105">
        <f t="shared" si="9"/>
        <v>0</v>
      </c>
      <c r="Q35" s="105">
        <f t="shared" si="10"/>
        <v>3007.756155</v>
      </c>
      <c r="R35" s="105">
        <f t="shared" si="11"/>
        <v>4464.534315</v>
      </c>
      <c r="S35" s="105">
        <f t="shared" si="12"/>
        <v>4688.886114</v>
      </c>
      <c r="T35" s="107"/>
      <c r="U35" s="107"/>
      <c r="V35" s="107"/>
      <c r="W35" s="105"/>
      <c r="X35" s="105"/>
      <c r="Y35" s="105"/>
      <c r="Z35" s="105"/>
      <c r="AA35" s="105"/>
      <c r="AB35" s="105"/>
      <c r="AC35" s="105"/>
      <c r="AD35" s="105"/>
      <c r="AE35" s="105"/>
      <c r="AF35" s="105"/>
    </row>
    <row r="36">
      <c r="A36" s="505" t="s">
        <v>229</v>
      </c>
      <c r="B36" s="450"/>
      <c r="C36" s="450"/>
      <c r="D36" s="450"/>
      <c r="E36" s="498">
        <v>110.75949367088607</v>
      </c>
      <c r="F36" s="498">
        <v>375.0</v>
      </c>
      <c r="G36" s="498">
        <v>336.1111111111111</v>
      </c>
      <c r="H36" s="536">
        <v>330.96590909090907</v>
      </c>
      <c r="I36" s="106">
        <v>295.53903345724905</v>
      </c>
      <c r="J36" s="105">
        <f>VLOOKUP(A36,'TD Costos para seguimiento MARK'!$A$23:$B$57,2,FALSE())</f>
        <v>337.3702422</v>
      </c>
      <c r="K36" s="107">
        <f>VLOOKUP($A36,'TD Costos Estimados para proyec'!$A$4:$D$41,4,FALSE())</f>
        <v>312.5</v>
      </c>
      <c r="L36" s="107">
        <f>VLOOKUP($A36,'TD Costos Estimados para proyec'!$A$4:$E$41,5,FALSE())</f>
        <v>300.2001334</v>
      </c>
      <c r="M36" s="107">
        <f>VLOOKUP($A36,'TD Costos Estimados para proyec'!$A$4:$F$41,6,FALSE())</f>
        <v>292.96875</v>
      </c>
      <c r="N36" s="105">
        <f t="shared" si="1"/>
        <v>2691.414673</v>
      </c>
      <c r="O36" s="535"/>
      <c r="P36" s="105">
        <f t="shared" si="9"/>
        <v>0</v>
      </c>
      <c r="Q36" s="105">
        <f t="shared" si="10"/>
        <v>821.8706048</v>
      </c>
      <c r="R36" s="105">
        <f t="shared" si="11"/>
        <v>963.8751848</v>
      </c>
      <c r="S36" s="105">
        <f t="shared" si="12"/>
        <v>905.6688834</v>
      </c>
      <c r="T36" s="107"/>
      <c r="U36" s="107"/>
      <c r="V36" s="107"/>
      <c r="W36" s="105"/>
      <c r="X36" s="105"/>
      <c r="Y36" s="105"/>
      <c r="Z36" s="105"/>
      <c r="AA36" s="105"/>
      <c r="AB36" s="105"/>
      <c r="AC36" s="105"/>
      <c r="AD36" s="105"/>
      <c r="AE36" s="105"/>
      <c r="AF36" s="105"/>
    </row>
    <row r="37">
      <c r="A37" s="505" t="s">
        <v>217</v>
      </c>
      <c r="B37" s="450"/>
      <c r="C37" s="450"/>
      <c r="D37" s="450"/>
      <c r="E37" s="498">
        <v>741.2092827007359</v>
      </c>
      <c r="F37" s="498">
        <v>1313.559322034025</v>
      </c>
      <c r="G37" s="498">
        <v>1275.7201646090173</v>
      </c>
      <c r="H37" s="536">
        <v>1374.8787902535812</v>
      </c>
      <c r="I37" s="106">
        <v>1221.7396342007437</v>
      </c>
      <c r="J37" s="105">
        <f>VLOOKUP(A37,'TD Costos para seguimiento MARK'!$A$23:$B$57,2,FALSE())</f>
        <v>1137.190179</v>
      </c>
      <c r="K37" s="107">
        <f>VLOOKUP($A37,'TD Costos Estimados para proyec'!$A$4:$D$41,4,FALSE())</f>
        <v>1204.814298</v>
      </c>
      <c r="L37" s="107">
        <f>VLOOKUP($A37,'TD Costos Estimados para proyec'!$A$4:$E$41,5,FALSE())</f>
        <v>1157.393322</v>
      </c>
      <c r="M37" s="107">
        <f>VLOOKUP($A37,'TD Costos Estimados para proyec'!$A$4:$F$41,6,FALSE())</f>
        <v>1478.513404</v>
      </c>
      <c r="N37" s="105">
        <f t="shared" si="1"/>
        <v>10905.0184</v>
      </c>
      <c r="O37" s="535"/>
      <c r="P37" s="105">
        <f t="shared" si="9"/>
        <v>0</v>
      </c>
      <c r="Q37" s="105">
        <f t="shared" si="10"/>
        <v>3330.488769</v>
      </c>
      <c r="R37" s="105">
        <f t="shared" si="11"/>
        <v>3733.808603</v>
      </c>
      <c r="S37" s="105">
        <f t="shared" si="12"/>
        <v>3840.721024</v>
      </c>
      <c r="T37" s="107"/>
      <c r="U37" s="107"/>
      <c r="V37" s="107"/>
      <c r="W37" s="105"/>
      <c r="X37" s="105"/>
      <c r="Y37" s="105"/>
      <c r="Z37" s="105"/>
      <c r="AA37" s="105"/>
      <c r="AB37" s="105"/>
      <c r="AC37" s="105"/>
      <c r="AD37" s="105"/>
      <c r="AE37" s="105"/>
      <c r="AF37" s="105"/>
    </row>
    <row r="38">
      <c r="A38" s="505" t="s">
        <v>237</v>
      </c>
      <c r="E38" s="450"/>
      <c r="F38" s="450"/>
      <c r="G38" s="450"/>
      <c r="H38" s="540">
        <v>0.0</v>
      </c>
      <c r="I38" s="106"/>
      <c r="J38" s="105"/>
      <c r="K38" s="107"/>
      <c r="L38" s="107"/>
      <c r="M38" s="107"/>
      <c r="N38" s="105">
        <f t="shared" si="1"/>
        <v>0</v>
      </c>
      <c r="O38" s="535"/>
      <c r="P38" s="105">
        <f t="shared" si="9"/>
        <v>0</v>
      </c>
      <c r="Q38" s="105">
        <f t="shared" si="10"/>
        <v>0</v>
      </c>
      <c r="R38" s="105">
        <f t="shared" si="11"/>
        <v>0</v>
      </c>
      <c r="S38" s="105">
        <f t="shared" si="12"/>
        <v>0</v>
      </c>
      <c r="T38" s="107"/>
      <c r="U38" s="107"/>
      <c r="V38" s="107"/>
      <c r="W38" s="105"/>
      <c r="X38" s="105"/>
      <c r="Y38" s="105"/>
      <c r="Z38" s="105"/>
      <c r="AA38" s="105"/>
      <c r="AB38" s="105"/>
      <c r="AC38" s="105"/>
      <c r="AD38" s="105"/>
      <c r="AE38" s="105"/>
      <c r="AF38" s="105"/>
    </row>
    <row r="39">
      <c r="A39" s="505" t="s">
        <v>158</v>
      </c>
      <c r="B39" s="107">
        <v>23.2827868852459</v>
      </c>
      <c r="C39" s="107">
        <v>70.2479674796748</v>
      </c>
      <c r="E39" s="498">
        <v>45.54345991561181</v>
      </c>
      <c r="F39" s="498">
        <v>189.49941525423728</v>
      </c>
      <c r="G39" s="498">
        <v>91.6724279835391</v>
      </c>
      <c r="H39" s="536">
        <v>89.54545454545455</v>
      </c>
      <c r="I39" s="106">
        <v>0.0</v>
      </c>
      <c r="J39" s="105">
        <f>VLOOKUP(A39,'TD Costos para seguimiento MARK'!$A$23:$B$57,2,FALSE())</f>
        <v>22.14532872</v>
      </c>
      <c r="K39" s="107">
        <f>VLOOKUP($A39,'TD Costos Estimados para proyec'!$A$4:$D$41,4,FALSE())</f>
        <v>90.27777778</v>
      </c>
      <c r="L39" s="107">
        <f>VLOOKUP($A39,'TD Costos Estimados para proyec'!$A$4:$E$41,5,FALSE())</f>
        <v>86.72448299</v>
      </c>
      <c r="M39" s="107">
        <f>VLOOKUP($A39,'TD Costos Estimados para proyec'!$A$4:$F$41,6,FALSE())</f>
        <v>84.63541667</v>
      </c>
      <c r="N39" s="105">
        <f t="shared" si="1"/>
        <v>793.5745182</v>
      </c>
      <c r="O39" s="535"/>
      <c r="P39" s="105">
        <f t="shared" si="9"/>
        <v>93.53075436</v>
      </c>
      <c r="Q39" s="105">
        <f t="shared" si="10"/>
        <v>326.7153032</v>
      </c>
      <c r="R39" s="105">
        <f t="shared" si="11"/>
        <v>111.6907833</v>
      </c>
      <c r="S39" s="105">
        <f t="shared" si="12"/>
        <v>261.6376774</v>
      </c>
      <c r="T39" s="107"/>
      <c r="U39" s="107"/>
      <c r="V39" s="107"/>
      <c r="W39" s="105"/>
      <c r="X39" s="105"/>
      <c r="Y39" s="105"/>
      <c r="Z39" s="105"/>
      <c r="AA39" s="105"/>
      <c r="AB39" s="105"/>
      <c r="AC39" s="105"/>
      <c r="AD39" s="105"/>
      <c r="AE39" s="105"/>
      <c r="AF39" s="105"/>
    </row>
    <row r="40">
      <c r="A40" s="505" t="s">
        <v>191</v>
      </c>
      <c r="B40" s="107">
        <v>835.1800000000001</v>
      </c>
      <c r="C40" s="107">
        <v>878.6700000000001</v>
      </c>
      <c r="D40" s="107">
        <v>660.9100000000001</v>
      </c>
      <c r="E40" s="498">
        <v>660.9100000000001</v>
      </c>
      <c r="F40" s="498">
        <v>2658.17</v>
      </c>
      <c r="G40" s="498">
        <v>1962.8799999999999</v>
      </c>
      <c r="H40" s="536">
        <v>3322.99</v>
      </c>
      <c r="I40" s="106">
        <v>2971.87</v>
      </c>
      <c r="J40" s="105">
        <f>VLOOKUP(A40,'TD Costos para seguimiento MARK'!$A$23:$B$57,2,FALSE())</f>
        <v>3625.77</v>
      </c>
      <c r="K40" s="107">
        <f>VLOOKUP($A40,'TD Costos Estimados para proyec'!$A$4:$D$41,4,FALSE())</f>
        <v>2000</v>
      </c>
      <c r="L40" s="107">
        <f>VLOOKUP($A40,'TD Costos Estimados para proyec'!$A$4:$E$41,5,FALSE())</f>
        <v>2000</v>
      </c>
      <c r="M40" s="107">
        <f>VLOOKUP($A40,'TD Costos Estimados para proyec'!$A$4:$F$41,6,FALSE())</f>
        <v>2000</v>
      </c>
      <c r="N40" s="105">
        <f t="shared" si="1"/>
        <v>23577.35</v>
      </c>
      <c r="O40" s="535"/>
      <c r="P40" s="105">
        <f t="shared" si="9"/>
        <v>2374.76</v>
      </c>
      <c r="Q40" s="105">
        <f t="shared" si="10"/>
        <v>5281.96</v>
      </c>
      <c r="R40" s="105">
        <f t="shared" si="11"/>
        <v>9920.63</v>
      </c>
      <c r="S40" s="105">
        <f t="shared" si="12"/>
        <v>6000</v>
      </c>
      <c r="T40" s="107"/>
      <c r="U40" s="107"/>
      <c r="V40" s="107"/>
      <c r="W40" s="105"/>
      <c r="X40" s="105"/>
      <c r="Y40" s="105"/>
      <c r="Z40" s="105"/>
      <c r="AA40" s="105"/>
      <c r="AB40" s="105"/>
      <c r="AC40" s="105"/>
      <c r="AD40" s="105"/>
      <c r="AE40" s="105"/>
      <c r="AF40" s="105"/>
    </row>
    <row r="41">
      <c r="A41" s="505" t="s">
        <v>210</v>
      </c>
      <c r="B41" s="107">
        <v>132.69426229508196</v>
      </c>
      <c r="C41" s="107">
        <v>250.66760162601625</v>
      </c>
      <c r="D41" s="107">
        <v>294.34</v>
      </c>
      <c r="E41" s="498">
        <v>385.00168776371305</v>
      </c>
      <c r="F41" s="498">
        <v>99.42372881355932</v>
      </c>
      <c r="G41" s="498">
        <v>165.53086419753086</v>
      </c>
      <c r="H41" s="498">
        <v>247.59090909090912</v>
      </c>
      <c r="I41" s="106">
        <v>331.5395910780669</v>
      </c>
      <c r="J41" s="105">
        <f>VLOOKUP(A41,'TD Costos para seguimiento MARK'!$A$23:$B$57,2,FALSE())</f>
        <v>180.7934256</v>
      </c>
      <c r="K41" s="107">
        <f>VLOOKUP($A41,'TD Costos Estimados para proyec'!$A$4:$D$41,4,FALSE())</f>
        <v>312.7951389</v>
      </c>
      <c r="L41" s="107">
        <f>VLOOKUP($A41,'TD Costos Estimados para proyec'!$A$4:$E$41,5,FALSE())</f>
        <v>318.5126751</v>
      </c>
      <c r="M41" s="107">
        <f>VLOOKUP($A41,'TD Costos Estimados para proyec'!$A$4:$F$41,6,FALSE())</f>
        <v>310.8401693</v>
      </c>
      <c r="N41" s="105">
        <f t="shared" si="1"/>
        <v>3029.730054</v>
      </c>
      <c r="O41" s="535"/>
      <c r="P41" s="105">
        <f t="shared" si="9"/>
        <v>677.7018639</v>
      </c>
      <c r="Q41" s="105">
        <f t="shared" si="10"/>
        <v>649.9562808</v>
      </c>
      <c r="R41" s="105">
        <f t="shared" si="11"/>
        <v>759.9239258</v>
      </c>
      <c r="S41" s="105">
        <f t="shared" si="12"/>
        <v>942.1479833</v>
      </c>
      <c r="T41" s="107"/>
      <c r="U41" s="107"/>
      <c r="V41" s="107"/>
      <c r="W41" s="105"/>
      <c r="X41" s="105"/>
      <c r="Y41" s="105"/>
      <c r="Z41" s="105"/>
      <c r="AA41" s="105"/>
      <c r="AB41" s="105"/>
      <c r="AC41" s="105"/>
      <c r="AD41" s="105"/>
      <c r="AE41" s="105"/>
      <c r="AF41" s="105"/>
    </row>
    <row r="42">
      <c r="A42" s="505" t="s">
        <v>133</v>
      </c>
      <c r="B42" s="107">
        <v>2479.5081967213114</v>
      </c>
      <c r="C42" s="107">
        <v>2951.2211707317074</v>
      </c>
      <c r="D42" s="107">
        <v>3396.2264150943397</v>
      </c>
      <c r="E42" s="498">
        <v>4143.459915611815</v>
      </c>
      <c r="F42" s="498">
        <v>4161.016949152542</v>
      </c>
      <c r="G42" s="498">
        <v>4041.1522633744858</v>
      </c>
      <c r="H42" s="536">
        <v>4707.424242424243</v>
      </c>
      <c r="I42" s="106">
        <v>3942.6664684014872</v>
      </c>
      <c r="J42" s="105">
        <f>VLOOKUP(A42,'TD Costos para seguimiento MARK'!$A$23:$B$57,2,FALSE())</f>
        <v>3669.817578</v>
      </c>
      <c r="K42" s="107">
        <f>VLOOKUP($A42,'TD Costos Estimados para proyec'!$A$4:$D$41,4,FALSE())</f>
        <v>3802.004444</v>
      </c>
      <c r="L42" s="107">
        <f>VLOOKUP($A42,'TD Costos Estimados para proyec'!$A$4:$E$41,5,FALSE())</f>
        <v>3864.616133</v>
      </c>
      <c r="M42" s="107">
        <f>VLOOKUP($A42,'TD Costos Estimados para proyec'!$A$4:$F$41,6,FALSE())</f>
        <v>8792.523167</v>
      </c>
      <c r="N42" s="105">
        <f t="shared" si="1"/>
        <v>49951.63694</v>
      </c>
      <c r="O42" s="535"/>
      <c r="P42" s="105">
        <f t="shared" si="9"/>
        <v>8826.955783</v>
      </c>
      <c r="Q42" s="105">
        <f t="shared" si="10"/>
        <v>12345.62913</v>
      </c>
      <c r="R42" s="105">
        <f t="shared" si="11"/>
        <v>12319.90829</v>
      </c>
      <c r="S42" s="105">
        <f t="shared" si="12"/>
        <v>16459.14374</v>
      </c>
      <c r="T42" s="107"/>
      <c r="U42" s="107"/>
      <c r="V42" s="107"/>
      <c r="W42" s="105"/>
      <c r="X42" s="105"/>
      <c r="Y42" s="105"/>
      <c r="Z42" s="105"/>
      <c r="AA42" s="105"/>
      <c r="AB42" s="105"/>
      <c r="AC42" s="105"/>
      <c r="AD42" s="105"/>
      <c r="AE42" s="105"/>
      <c r="AF42" s="105"/>
    </row>
    <row r="43">
      <c r="A43" s="505" t="s">
        <v>221</v>
      </c>
      <c r="B43" s="107">
        <v>1154.229508196721</v>
      </c>
      <c r="C43" s="107">
        <v>1316.5693024390243</v>
      </c>
      <c r="D43" s="107">
        <v>1222.1737675471697</v>
      </c>
      <c r="E43" s="498">
        <v>1366.5687763713072</v>
      </c>
      <c r="F43" s="498">
        <v>1489.0101694915018</v>
      </c>
      <c r="G43" s="498">
        <v>1446.1168724279607</v>
      </c>
      <c r="H43" s="536">
        <v>1631.0848752727275</v>
      </c>
      <c r="I43" s="106">
        <v>1410.7931598513014</v>
      </c>
      <c r="J43" s="105">
        <f>VLOOKUP(A43,'TD Costos para seguimiento MARK'!$A$23:$B$57,2,FALSE())</f>
        <v>1313.160415</v>
      </c>
      <c r="K43" s="107">
        <f>VLOOKUP($A43,'TD Costos Estimados para proyec'!$A$4:$D$41,4,FALSE())</f>
        <v>1317.72</v>
      </c>
      <c r="L43" s="107">
        <f>VLOOKUP($A43,'TD Costos Estimados para proyec'!$A$4:$E$41,5,FALSE())</f>
        <v>1341.80641</v>
      </c>
      <c r="M43" s="107">
        <f>VLOOKUP($A43,'TD Costos Estimados para proyec'!$A$4:$F$41,6,FALSE())</f>
        <v>1947.48425</v>
      </c>
      <c r="N43" s="105">
        <f t="shared" si="1"/>
        <v>16956.71751</v>
      </c>
      <c r="O43" s="535"/>
      <c r="P43" s="105">
        <f t="shared" si="9"/>
        <v>3692.972578</v>
      </c>
      <c r="Q43" s="105">
        <f t="shared" si="10"/>
        <v>4301.695818</v>
      </c>
      <c r="R43" s="105">
        <f t="shared" si="11"/>
        <v>4355.03845</v>
      </c>
      <c r="S43" s="105">
        <f t="shared" si="12"/>
        <v>4607.01066</v>
      </c>
      <c r="T43" s="107"/>
      <c r="U43" s="107"/>
      <c r="V43" s="105"/>
      <c r="W43" s="105"/>
      <c r="X43" s="105"/>
      <c r="Y43" s="105"/>
      <c r="Z43" s="105"/>
      <c r="AA43" s="105"/>
      <c r="AB43" s="105"/>
      <c r="AC43" s="105"/>
      <c r="AD43" s="105"/>
      <c r="AE43" s="105"/>
      <c r="AF43" s="105"/>
    </row>
    <row r="44">
      <c r="A44" s="505" t="s">
        <v>203</v>
      </c>
      <c r="B44" s="107">
        <v>790.9054918032787</v>
      </c>
      <c r="C44" s="372">
        <v>1025.5041951219512</v>
      </c>
      <c r="D44" s="107">
        <v>866.5372528301887</v>
      </c>
      <c r="E44" s="498">
        <v>932.3046413502215</v>
      </c>
      <c r="F44" s="498">
        <v>932.9745762712024</v>
      </c>
      <c r="G44" s="498">
        <v>617.3292181069805</v>
      </c>
      <c r="H44" s="536">
        <v>861.5375000000001</v>
      </c>
      <c r="I44" s="106">
        <v>1083.3525836431227</v>
      </c>
      <c r="J44" s="105">
        <f>VLOOKUP(A44,'TD Costos para seguimiento MARK'!$A$23:$B$57,2,FALSE())</f>
        <v>792.4327682</v>
      </c>
      <c r="K44" s="107">
        <f>VLOOKUP($A44,'TD Costos Estimados para proyec'!$A$4:$D$41,4,FALSE())</f>
        <v>904.475</v>
      </c>
      <c r="L44" s="107">
        <f>VLOOKUP($A44,'TD Costos Estimados para proyec'!$A$4:$E$41,5,FALSE())</f>
        <v>921.0077652</v>
      </c>
      <c r="M44" s="107">
        <f>VLOOKUP($A44,'TD Costos Estimados para proyec'!$A$4:$F$41,6,FALSE())</f>
        <v>1364.822031</v>
      </c>
      <c r="N44" s="105">
        <f t="shared" si="1"/>
        <v>11093.18302</v>
      </c>
      <c r="O44" s="535"/>
      <c r="P44" s="105">
        <f t="shared" si="9"/>
        <v>2682.94694</v>
      </c>
      <c r="Q44" s="105">
        <f t="shared" si="10"/>
        <v>2482.608436</v>
      </c>
      <c r="R44" s="105">
        <f t="shared" si="11"/>
        <v>2737.322852</v>
      </c>
      <c r="S44" s="105">
        <f t="shared" si="12"/>
        <v>3190.304796</v>
      </c>
      <c r="T44" s="107"/>
      <c r="U44" s="107"/>
      <c r="V44" s="105"/>
      <c r="W44" s="105"/>
      <c r="X44" s="105"/>
      <c r="Y44" s="105"/>
      <c r="Z44" s="105"/>
      <c r="AA44" s="105"/>
      <c r="AB44" s="105"/>
      <c r="AC44" s="105"/>
      <c r="AD44" s="105"/>
      <c r="AE44" s="105"/>
      <c r="AF44" s="105"/>
    </row>
    <row r="45">
      <c r="A45" s="505" t="s">
        <v>197</v>
      </c>
      <c r="B45" s="107">
        <v>1186.7689327868852</v>
      </c>
      <c r="C45" s="372">
        <v>1306.6095</v>
      </c>
      <c r="D45" s="107">
        <v>1241.7285154716978</v>
      </c>
      <c r="E45" s="498">
        <v>1496.1907172992799</v>
      </c>
      <c r="F45" s="498">
        <v>1727.9101694920168</v>
      </c>
      <c r="G45" s="498">
        <v>1678.1349794238213</v>
      </c>
      <c r="H45" s="536">
        <v>1884.6469694975758</v>
      </c>
      <c r="I45" s="106">
        <v>1592.9034230483269</v>
      </c>
      <c r="J45" s="105">
        <f>VLOOKUP(A45,'TD Costos para seguimiento MARK'!$A$23:$B$57,2,FALSE())</f>
        <v>1482.667892</v>
      </c>
      <c r="K45" s="107">
        <f>VLOOKUP($A45,'TD Costos Estimados para proyec'!$A$4:$D$41,4,FALSE())</f>
        <v>1487.816044</v>
      </c>
      <c r="L45" s="107">
        <f>VLOOKUP($A45,'TD Costos Estimados para proyec'!$A$4:$E$41,5,FALSE())</f>
        <v>1515.011615</v>
      </c>
      <c r="M45" s="107">
        <f>VLOOKUP($A45,'TD Costos Estimados para proyec'!$A$4:$F$41,6,FALSE())</f>
        <v>2283.517194</v>
      </c>
      <c r="N45" s="105">
        <f t="shared" si="1"/>
        <v>18883.90595</v>
      </c>
      <c r="O45" s="535"/>
      <c r="P45" s="105">
        <f t="shared" si="9"/>
        <v>3735.106948</v>
      </c>
      <c r="Q45" s="105">
        <f t="shared" si="10"/>
        <v>4902.235866</v>
      </c>
      <c r="R45" s="105">
        <f t="shared" si="11"/>
        <v>4960.218285</v>
      </c>
      <c r="S45" s="105">
        <f t="shared" si="12"/>
        <v>5286.344853</v>
      </c>
      <c r="T45" s="107"/>
      <c r="U45" s="107"/>
      <c r="V45" s="105"/>
      <c r="W45" s="105"/>
      <c r="X45" s="105"/>
      <c r="Y45" s="105"/>
      <c r="Z45" s="105"/>
      <c r="AA45" s="105"/>
      <c r="AB45" s="105"/>
      <c r="AC45" s="105"/>
      <c r="AD45" s="105"/>
      <c r="AE45" s="105"/>
      <c r="AF45" s="105"/>
    </row>
    <row r="46">
      <c r="A46" s="505" t="s">
        <v>120</v>
      </c>
      <c r="B46" s="107">
        <v>2049.180327868852</v>
      </c>
      <c r="C46" s="372">
        <v>2032.5203252032516</v>
      </c>
      <c r="D46" s="107">
        <v>1886.7924528301885</v>
      </c>
      <c r="E46" s="498">
        <v>2447.2573839662446</v>
      </c>
      <c r="F46" s="498">
        <v>2457.6271186440677</v>
      </c>
      <c r="G46" s="498">
        <v>2387.0304526748287</v>
      </c>
      <c r="H46" s="536">
        <v>2696.969696969697</v>
      </c>
      <c r="I46" s="106">
        <v>2648.4510532837676</v>
      </c>
      <c r="J46" s="105">
        <f>VLOOKUP(A46,'TD Costos para seguimiento MARK'!$A$23:$B$57,2,FALSE())</f>
        <v>2402.434256</v>
      </c>
      <c r="K46" s="107">
        <f>VLOOKUP($A46,'TD Costos Estimados para proyec'!$A$4:$D$41,4,FALSE())</f>
        <v>2215.277778</v>
      </c>
      <c r="L46" s="107">
        <f>VLOOKUP($A46,'TD Costos Estimados para proyec'!$A$4:$E$41,5,FALSE())</f>
        <v>2255.770514</v>
      </c>
      <c r="M46" s="107">
        <f>VLOOKUP($A46,'TD Costos Estimados para proyec'!$A$4:$F$41,6,FALSE())</f>
        <v>3736.432292</v>
      </c>
      <c r="N46" s="105">
        <f t="shared" si="1"/>
        <v>29215.74365</v>
      </c>
      <c r="O46" s="535"/>
      <c r="P46" s="105">
        <f t="shared" si="9"/>
        <v>5968.493106</v>
      </c>
      <c r="Q46" s="105">
        <f t="shared" si="10"/>
        <v>7291.914955</v>
      </c>
      <c r="R46" s="105">
        <f t="shared" si="11"/>
        <v>7747.855006</v>
      </c>
      <c r="S46" s="105">
        <f t="shared" si="12"/>
        <v>8207.480583</v>
      </c>
      <c r="T46" s="107"/>
      <c r="U46" s="107"/>
      <c r="V46" s="105"/>
      <c r="W46" s="105"/>
      <c r="X46" s="105"/>
      <c r="Y46" s="105"/>
      <c r="Z46" s="105"/>
      <c r="AA46" s="105"/>
      <c r="AB46" s="105"/>
      <c r="AC46" s="105"/>
      <c r="AD46" s="105"/>
      <c r="AE46" s="105"/>
      <c r="AF46" s="105"/>
    </row>
    <row r="47">
      <c r="A47" s="505" t="s">
        <v>127</v>
      </c>
      <c r="B47" s="107">
        <v>2479.5081967213114</v>
      </c>
      <c r="C47" s="372">
        <v>2779.066602439024</v>
      </c>
      <c r="D47" s="107">
        <v>2786.1987169811327</v>
      </c>
      <c r="E47" s="498">
        <v>3317.299578059072</v>
      </c>
      <c r="F47" s="498">
        <v>3331.35593220339</v>
      </c>
      <c r="G47" s="498">
        <v>3235.3909465020574</v>
      </c>
      <c r="H47" s="536">
        <v>3733.030303030303</v>
      </c>
      <c r="I47" s="106">
        <v>3200.46156133829</v>
      </c>
      <c r="J47" s="105">
        <f>VLOOKUP(A47,'TD Costos para seguimiento MARK'!$A$23:$B$57,2,FALSE())</f>
        <v>2978.976332</v>
      </c>
      <c r="K47" s="107">
        <f>VLOOKUP($A47,'TD Costos Estimados para proyec'!$A$4:$D$41,4,FALSE())</f>
        <v>3108.764444</v>
      </c>
      <c r="L47" s="107">
        <f>VLOOKUP($A47,'TD Costos Estimados para proyec'!$A$4:$E$41,5,FALSE())</f>
        <v>3158.704502</v>
      </c>
      <c r="M47" s="107">
        <f>VLOOKUP($A47,'TD Costos Estimados para proyec'!$A$4:$F$41,6,FALSE())</f>
        <v>6483.615917</v>
      </c>
      <c r="N47" s="105">
        <f t="shared" si="1"/>
        <v>40592.37303</v>
      </c>
      <c r="O47" s="535"/>
      <c r="P47" s="105">
        <f t="shared" si="9"/>
        <v>8044.773516</v>
      </c>
      <c r="Q47" s="105">
        <f t="shared" si="10"/>
        <v>9884.046457</v>
      </c>
      <c r="R47" s="105">
        <f t="shared" si="11"/>
        <v>9912.468197</v>
      </c>
      <c r="S47" s="105">
        <f t="shared" si="12"/>
        <v>12751.08486</v>
      </c>
      <c r="T47" s="107"/>
      <c r="U47" s="107"/>
      <c r="V47" s="105"/>
      <c r="W47" s="105"/>
      <c r="X47" s="105"/>
      <c r="Y47" s="105"/>
      <c r="Z47" s="105"/>
      <c r="AA47" s="105"/>
      <c r="AB47" s="105"/>
      <c r="AC47" s="105"/>
      <c r="AD47" s="105"/>
      <c r="AE47" s="105"/>
      <c r="AF47" s="105"/>
    </row>
    <row r="48">
      <c r="A48" s="505" t="s">
        <v>218</v>
      </c>
      <c r="B48" s="107">
        <v>1770.4918032786886</v>
      </c>
      <c r="C48" s="372">
        <v>490.2439024390244</v>
      </c>
      <c r="D48" s="107">
        <v>1032.4528301886792</v>
      </c>
      <c r="E48" s="498">
        <v>597.8987341772151</v>
      </c>
      <c r="F48" s="498">
        <v>574.3474576271186</v>
      </c>
      <c r="G48" s="498">
        <v>555.1440329218107</v>
      </c>
      <c r="H48" s="536">
        <v>690.9090909090909</v>
      </c>
      <c r="I48" s="106">
        <v>706.6022304832712</v>
      </c>
      <c r="J48" s="105">
        <f>VLOOKUP(A48,'TD Costos para seguimiento MARK'!$A$23:$B$57,2,FALSE())</f>
        <v>557.0936484</v>
      </c>
      <c r="K48" s="107">
        <f>VLOOKUP($A48,'TD Costos Estimados para proyec'!$A$4:$D$41,4,FALSE())</f>
        <v>694.4447222</v>
      </c>
      <c r="L48" s="107">
        <f>VLOOKUP($A48,'TD Costos Estimados para proyec'!$A$4:$E$41,5,FALSE())</f>
        <v>667.1116744</v>
      </c>
      <c r="M48" s="107">
        <f>VLOOKUP($A48,'TD Costos Estimados para proyec'!$A$4:$F$41,6,FALSE())</f>
        <v>771.0419271</v>
      </c>
      <c r="N48" s="105">
        <f t="shared" si="1"/>
        <v>9107.782054</v>
      </c>
      <c r="O48" s="535"/>
      <c r="P48" s="105">
        <f t="shared" si="9"/>
        <v>3293.188536</v>
      </c>
      <c r="Q48" s="105">
        <f t="shared" si="10"/>
        <v>1727.390225</v>
      </c>
      <c r="R48" s="105">
        <f t="shared" si="11"/>
        <v>1954.60497</v>
      </c>
      <c r="S48" s="105">
        <f t="shared" si="12"/>
        <v>2132.598324</v>
      </c>
      <c r="T48" s="107"/>
      <c r="U48" s="107"/>
      <c r="V48" s="105"/>
      <c r="W48" s="105"/>
      <c r="X48" s="105"/>
      <c r="Y48" s="105"/>
      <c r="Z48" s="105"/>
      <c r="AA48" s="105"/>
      <c r="AB48" s="105"/>
      <c r="AC48" s="105"/>
      <c r="AD48" s="105"/>
      <c r="AE48" s="105"/>
      <c r="AF48" s="105"/>
    </row>
    <row r="49">
      <c r="A49" s="505" t="s">
        <v>173</v>
      </c>
      <c r="B49" s="498">
        <v>2483.3333333333335</v>
      </c>
      <c r="C49" s="455">
        <v>2483.3333333333335</v>
      </c>
      <c r="D49" s="498">
        <v>2483.3333333333335</v>
      </c>
      <c r="E49" s="498">
        <v>2483.3333333333335</v>
      </c>
      <c r="F49" s="498">
        <v>2483.3333333333335</v>
      </c>
      <c r="G49" s="498">
        <v>2483.3333333333335</v>
      </c>
      <c r="H49" s="498">
        <v>2483.3333333333335</v>
      </c>
      <c r="I49" s="106">
        <v>3544.67</v>
      </c>
      <c r="J49" s="105">
        <f>VLOOKUP(A49,'TD Costos para seguimiento MARK'!$A$23:$B$57,2,FALSE())</f>
        <v>3544.67</v>
      </c>
      <c r="K49" s="107">
        <f>VLOOKUP($A49,'TD Costos Estimados para proyec'!$A$4:$D$41,4,FALSE())</f>
        <v>3544.67</v>
      </c>
      <c r="L49" s="107">
        <f>VLOOKUP($A49,'TD Costos Estimados para proyec'!$A$4:$E$41,5,FALSE())</f>
        <v>3544.67</v>
      </c>
      <c r="M49" s="107">
        <f>VLOOKUP($A49,'TD Costos Estimados para proyec'!$A$4:$F$41,6,FALSE())</f>
        <v>3544.67</v>
      </c>
      <c r="N49" s="105">
        <f t="shared" si="1"/>
        <v>35106.68333</v>
      </c>
      <c r="O49" s="535"/>
      <c r="P49" s="105">
        <f t="shared" si="9"/>
        <v>7450</v>
      </c>
      <c r="Q49" s="105">
        <f t="shared" si="10"/>
        <v>7450</v>
      </c>
      <c r="R49" s="105">
        <f t="shared" si="11"/>
        <v>9572.673333</v>
      </c>
      <c r="S49" s="105">
        <f t="shared" si="12"/>
        <v>10634.01</v>
      </c>
      <c r="T49" s="107"/>
      <c r="U49" s="107"/>
      <c r="V49" s="105"/>
      <c r="W49" s="105"/>
      <c r="X49" s="105"/>
      <c r="Y49" s="105"/>
      <c r="Z49" s="105"/>
      <c r="AA49" s="105"/>
      <c r="AB49" s="105"/>
      <c r="AC49" s="105"/>
      <c r="AD49" s="105"/>
      <c r="AE49" s="105"/>
      <c r="AF49" s="105"/>
    </row>
    <row r="50">
      <c r="A50" s="542" t="s">
        <v>1266</v>
      </c>
      <c r="B50" s="543">
        <f t="shared" ref="B50:N50" si="13">SUM(B4:B49)</f>
        <v>32021.02809</v>
      </c>
      <c r="C50" s="543">
        <f t="shared" si="13"/>
        <v>31037.53701</v>
      </c>
      <c r="D50" s="543">
        <f t="shared" si="13"/>
        <v>32004.55092</v>
      </c>
      <c r="E50" s="543">
        <f t="shared" si="13"/>
        <v>37238.72013</v>
      </c>
      <c r="F50" s="543">
        <f t="shared" si="13"/>
        <v>37186.72463</v>
      </c>
      <c r="G50" s="543">
        <f t="shared" si="13"/>
        <v>34680.60074</v>
      </c>
      <c r="H50" s="543">
        <f t="shared" si="13"/>
        <v>43893.36693</v>
      </c>
      <c r="I50" s="543">
        <f t="shared" si="13"/>
        <v>57991.38489</v>
      </c>
      <c r="J50" s="543">
        <f t="shared" si="13"/>
        <v>52012.22858</v>
      </c>
      <c r="K50" s="543">
        <f t="shared" si="13"/>
        <v>46307.19651</v>
      </c>
      <c r="L50" s="543">
        <f t="shared" si="13"/>
        <v>48748.46934</v>
      </c>
      <c r="M50" s="543">
        <f t="shared" si="13"/>
        <v>65575.9184</v>
      </c>
      <c r="N50" s="543">
        <f t="shared" si="13"/>
        <v>518697.7262</v>
      </c>
      <c r="O50" s="535"/>
      <c r="P50" s="543">
        <f t="shared" ref="P50:S50" si="14">SUM(P4:P49)</f>
        <v>95063.11602</v>
      </c>
      <c r="Q50" s="543">
        <f t="shared" si="14"/>
        <v>109106.0455</v>
      </c>
      <c r="R50" s="543">
        <f t="shared" si="14"/>
        <v>157619.015</v>
      </c>
      <c r="S50" s="543">
        <f t="shared" si="14"/>
        <v>161558.5842</v>
      </c>
      <c r="T50" s="107"/>
      <c r="U50" s="107"/>
      <c r="V50" s="105"/>
      <c r="W50" s="105"/>
      <c r="X50" s="105"/>
      <c r="Y50" s="105"/>
      <c r="Z50" s="105"/>
      <c r="AA50" s="105"/>
      <c r="AB50" s="105"/>
      <c r="AC50" s="105"/>
      <c r="AD50" s="105"/>
      <c r="AE50" s="105"/>
      <c r="AF50" s="105"/>
    </row>
    <row r="51">
      <c r="A51" s="532" t="s">
        <v>1306</v>
      </c>
      <c r="B51" s="544">
        <f t="shared" ref="B51:N51" si="15">B50-B22</f>
        <v>29816.2912</v>
      </c>
      <c r="C51" s="544">
        <f t="shared" si="15"/>
        <v>30015.85165</v>
      </c>
      <c r="D51" s="544">
        <f t="shared" si="15"/>
        <v>30178.02941</v>
      </c>
      <c r="E51" s="544">
        <f t="shared" si="15"/>
        <v>35808.69734</v>
      </c>
      <c r="F51" s="544">
        <f t="shared" si="15"/>
        <v>35768.26277</v>
      </c>
      <c r="G51" s="544">
        <f t="shared" si="15"/>
        <v>33169.55547</v>
      </c>
      <c r="H51" s="544">
        <f t="shared" si="15"/>
        <v>42368.51693</v>
      </c>
      <c r="I51" s="544">
        <f t="shared" si="15"/>
        <v>56595.99828</v>
      </c>
      <c r="J51" s="544">
        <f t="shared" si="15"/>
        <v>50066.68948</v>
      </c>
      <c r="K51" s="544">
        <f t="shared" si="15"/>
        <v>44691.67675</v>
      </c>
      <c r="L51" s="544">
        <f t="shared" si="15"/>
        <v>47644.04658</v>
      </c>
      <c r="M51" s="544">
        <f t="shared" si="15"/>
        <v>63982.89702</v>
      </c>
      <c r="N51" s="544">
        <f t="shared" si="15"/>
        <v>500106.5129</v>
      </c>
      <c r="O51" s="105"/>
      <c r="P51" s="544">
        <f t="shared" ref="P51:S51" si="16">P50-P22</f>
        <v>90010.17226</v>
      </c>
      <c r="Q51" s="544">
        <f t="shared" si="16"/>
        <v>104746.5156</v>
      </c>
      <c r="R51" s="544">
        <f t="shared" si="16"/>
        <v>152753.2393</v>
      </c>
      <c r="S51" s="544">
        <f t="shared" si="16"/>
        <v>157245.6203</v>
      </c>
      <c r="T51" s="107"/>
      <c r="U51" s="107"/>
      <c r="V51" s="105"/>
      <c r="W51" s="105"/>
      <c r="X51" s="105"/>
      <c r="Y51" s="105"/>
      <c r="Z51" s="105"/>
      <c r="AA51" s="105"/>
      <c r="AB51" s="105"/>
      <c r="AC51" s="105"/>
      <c r="AD51" s="105"/>
      <c r="AE51" s="105"/>
      <c r="AF51" s="105"/>
    </row>
    <row r="52">
      <c r="A52" s="532" t="s">
        <v>1307</v>
      </c>
      <c r="B52" s="544">
        <f t="shared" ref="B52:I52" si="17">B50-B22-B20-B18-B17</f>
        <v>29341.36661</v>
      </c>
      <c r="C52" s="544">
        <f t="shared" si="17"/>
        <v>29766.73701</v>
      </c>
      <c r="D52" s="544">
        <f t="shared" si="17"/>
        <v>29825.8362</v>
      </c>
      <c r="E52" s="544">
        <f t="shared" si="17"/>
        <v>33031.98848</v>
      </c>
      <c r="F52" s="544">
        <f t="shared" si="17"/>
        <v>39630.46825</v>
      </c>
      <c r="G52" s="544">
        <f t="shared" si="17"/>
        <v>37096.93309</v>
      </c>
      <c r="H52" s="544">
        <f t="shared" si="17"/>
        <v>40443.44663</v>
      </c>
      <c r="I52" s="544">
        <f t="shared" si="17"/>
        <v>40004.4401</v>
      </c>
      <c r="J52" s="544">
        <f t="shared" ref="J52:M52" si="18">J50-J22-J20-U18-J17</f>
        <v>34356.35591</v>
      </c>
      <c r="K52" s="544">
        <f t="shared" si="18"/>
        <v>38180.72786</v>
      </c>
      <c r="L52" s="544">
        <f t="shared" si="18"/>
        <v>41045.31235</v>
      </c>
      <c r="M52" s="544">
        <f t="shared" si="18"/>
        <v>57290.8451</v>
      </c>
      <c r="N52" s="543">
        <f>SUM(B52:M52)</f>
        <v>450014.4576</v>
      </c>
      <c r="O52" s="105"/>
      <c r="P52" s="544">
        <f t="shared" ref="P52:S52" si="19">P50-P22-P20-P18-P17</f>
        <v>88933.93982</v>
      </c>
      <c r="Q52" s="544">
        <f t="shared" si="19"/>
        <v>109759.3898</v>
      </c>
      <c r="R52" s="544">
        <f t="shared" si="19"/>
        <v>118526.2772</v>
      </c>
      <c r="S52" s="544">
        <f t="shared" si="19"/>
        <v>137443.8853</v>
      </c>
      <c r="T52" s="107"/>
      <c r="U52" s="107"/>
      <c r="V52" s="105"/>
      <c r="W52" s="105"/>
      <c r="X52" s="105"/>
      <c r="Y52" s="105"/>
      <c r="Z52" s="105"/>
      <c r="AA52" s="105"/>
      <c r="AB52" s="105"/>
      <c r="AC52" s="105"/>
      <c r="AD52" s="105"/>
      <c r="AE52" s="105"/>
      <c r="AF52" s="105"/>
    </row>
    <row r="53">
      <c r="A53" s="532" t="s">
        <v>1308</v>
      </c>
      <c r="B53" s="544">
        <f t="shared" ref="B53:N53" si="20">SUM(B5,B12,B14,B19,B23,B24,B25,B26,B27,B30,B32,B33,B34,B35,B37,B41,B43,B44,B45,B48,B10,B8,B7,B4)+(B46/2)+(B47/2)+B49</f>
        <v>19525.79153</v>
      </c>
      <c r="C53" s="544">
        <f t="shared" si="20"/>
        <v>19480.97758</v>
      </c>
      <c r="D53" s="544">
        <f t="shared" si="20"/>
        <v>18861.47061</v>
      </c>
      <c r="E53" s="544">
        <f t="shared" si="20"/>
        <v>20855.42616</v>
      </c>
      <c r="F53" s="544">
        <f t="shared" si="20"/>
        <v>24825.35113</v>
      </c>
      <c r="G53" s="544">
        <f t="shared" si="20"/>
        <v>22866.99506</v>
      </c>
      <c r="H53" s="544">
        <f t="shared" si="20"/>
        <v>24753.34754</v>
      </c>
      <c r="I53" s="544">
        <f t="shared" si="20"/>
        <v>24143.19184</v>
      </c>
      <c r="J53" s="544">
        <f t="shared" si="20"/>
        <v>22708.87861</v>
      </c>
      <c r="K53" s="544">
        <f t="shared" si="20"/>
        <v>24335.28147</v>
      </c>
      <c r="L53" s="544">
        <f t="shared" si="20"/>
        <v>27257.7209</v>
      </c>
      <c r="M53" s="544">
        <f t="shared" si="20"/>
        <v>36167.74506</v>
      </c>
      <c r="N53" s="544">
        <f t="shared" si="20"/>
        <v>285782.1775</v>
      </c>
      <c r="O53" s="106"/>
      <c r="P53" s="544">
        <f t="shared" ref="P53:S53" si="21">SUM(P5,P12,P14,P19,P23,P24,P25,P26,P27,P30,P32,P33,P34,P35,P37,P41,P43,P44,P45,P48,P10)+(P46/2)+(P47/2)+P49</f>
        <v>56991.07341</v>
      </c>
      <c r="Q53" s="544">
        <f t="shared" si="21"/>
        <v>67576.59158</v>
      </c>
      <c r="R53" s="544">
        <f t="shared" si="21"/>
        <v>71010.26228</v>
      </c>
      <c r="S53" s="544">
        <f t="shared" si="21"/>
        <v>84049.8922</v>
      </c>
      <c r="T53" s="105"/>
      <c r="U53" s="105"/>
      <c r="V53" s="105"/>
      <c r="W53" s="105"/>
      <c r="X53" s="105"/>
      <c r="Y53" s="105"/>
      <c r="Z53" s="105"/>
      <c r="AA53" s="105"/>
      <c r="AB53" s="105"/>
      <c r="AC53" s="105"/>
      <c r="AD53" s="105"/>
      <c r="AE53" s="105"/>
      <c r="AF53" s="105"/>
    </row>
    <row r="54">
      <c r="B54" s="105"/>
      <c r="C54" s="105"/>
      <c r="D54" s="105"/>
      <c r="E54" s="105"/>
      <c r="F54" s="105"/>
      <c r="G54" s="105"/>
      <c r="H54" s="105"/>
      <c r="I54" s="107"/>
      <c r="J54" s="105"/>
      <c r="K54" s="107"/>
      <c r="L54" s="107"/>
      <c r="M54" s="107"/>
      <c r="N54" s="107"/>
      <c r="O54" s="106"/>
      <c r="P54" s="105"/>
      <c r="Q54" s="105"/>
      <c r="R54" s="105"/>
      <c r="S54" s="105"/>
      <c r="T54" s="105"/>
      <c r="U54" s="105"/>
      <c r="V54" s="105"/>
      <c r="W54" s="105"/>
      <c r="X54" s="105"/>
      <c r="Y54" s="105"/>
      <c r="Z54" s="105"/>
      <c r="AA54" s="105"/>
      <c r="AB54" s="105"/>
      <c r="AC54" s="105"/>
      <c r="AD54" s="105"/>
      <c r="AE54" s="105"/>
      <c r="AF54" s="105"/>
    </row>
    <row r="55">
      <c r="A55" s="133" t="s">
        <v>1309</v>
      </c>
      <c r="B55" s="545">
        <v>32021.0280898907</v>
      </c>
      <c r="C55" s="148">
        <v>31037.53701138212</v>
      </c>
      <c r="D55" s="148">
        <v>32004.550915974844</v>
      </c>
      <c r="E55" s="148">
        <v>37238.72012658227</v>
      </c>
      <c r="F55" s="148">
        <v>37186.72463049494</v>
      </c>
      <c r="G55" s="148">
        <v>34680.60074074016</v>
      </c>
      <c r="H55" s="148">
        <v>43893.366930111755</v>
      </c>
      <c r="I55" s="148">
        <v>57991.38489480108</v>
      </c>
      <c r="J55" s="148">
        <v>52012.228579168164</v>
      </c>
      <c r="K55" s="148">
        <v>46307.196512732284</v>
      </c>
      <c r="L55" s="148">
        <v>48748.469335099726</v>
      </c>
      <c r="M55" s="148">
        <v>65575.91839687049</v>
      </c>
      <c r="N55" s="107"/>
      <c r="O55" s="106"/>
      <c r="P55" s="105"/>
      <c r="Q55" s="105"/>
      <c r="R55" s="105"/>
      <c r="S55" s="105"/>
      <c r="T55" s="105"/>
      <c r="U55" s="105"/>
      <c r="V55" s="105"/>
      <c r="W55" s="105"/>
      <c r="X55" s="105"/>
      <c r="Y55" s="105"/>
      <c r="Z55" s="105"/>
      <c r="AA55" s="105"/>
      <c r="AB55" s="105"/>
      <c r="AC55" s="105"/>
      <c r="AD55" s="105"/>
      <c r="AE55" s="105"/>
      <c r="AF55" s="105"/>
    </row>
    <row r="56">
      <c r="A56" s="546"/>
      <c r="B56" s="547">
        <f t="shared" ref="B56:M56" si="22">B55-B50</f>
        <v>0</v>
      </c>
      <c r="C56" s="547">
        <f t="shared" si="22"/>
        <v>0</v>
      </c>
      <c r="D56" s="547">
        <f t="shared" si="22"/>
        <v>0</v>
      </c>
      <c r="E56" s="547">
        <f t="shared" si="22"/>
        <v>0</v>
      </c>
      <c r="F56" s="547">
        <f t="shared" si="22"/>
        <v>0</v>
      </c>
      <c r="G56" s="547">
        <f t="shared" si="22"/>
        <v>0</v>
      </c>
      <c r="H56" s="547">
        <f t="shared" si="22"/>
        <v>0</v>
      </c>
      <c r="I56" s="547">
        <f t="shared" si="22"/>
        <v>0</v>
      </c>
      <c r="J56" s="547">
        <f t="shared" si="22"/>
        <v>0</v>
      </c>
      <c r="K56" s="547">
        <f t="shared" si="22"/>
        <v>0</v>
      </c>
      <c r="L56" s="547">
        <f t="shared" si="22"/>
        <v>0</v>
      </c>
      <c r="M56" s="547">
        <f t="shared" si="22"/>
        <v>0</v>
      </c>
      <c r="N56" s="526"/>
      <c r="O56" s="106"/>
      <c r="P56" s="105"/>
      <c r="Q56" s="105"/>
      <c r="R56" s="105"/>
      <c r="S56" s="105"/>
      <c r="T56" s="105"/>
      <c r="U56" s="105"/>
      <c r="V56" s="105"/>
      <c r="W56" s="105"/>
      <c r="X56" s="105"/>
      <c r="Y56" s="105"/>
      <c r="Z56" s="105"/>
      <c r="AA56" s="44"/>
      <c r="AB56" s="44"/>
      <c r="AC56" s="105"/>
      <c r="AD56" s="105"/>
      <c r="AE56" s="105"/>
      <c r="AF56" s="105"/>
    </row>
    <row r="57">
      <c r="A57" s="548"/>
      <c r="B57" s="526"/>
      <c r="C57" s="526"/>
      <c r="D57" s="526"/>
      <c r="E57" s="526"/>
      <c r="F57" s="526"/>
      <c r="G57" s="526"/>
      <c r="H57" s="526"/>
      <c r="I57" s="526"/>
      <c r="J57" s="526"/>
      <c r="K57" s="526"/>
      <c r="L57" s="526"/>
      <c r="M57" s="526"/>
      <c r="N57" s="526"/>
      <c r="O57" s="106"/>
      <c r="P57" s="528"/>
      <c r="Q57" s="528"/>
      <c r="R57" s="528"/>
      <c r="S57" s="528"/>
      <c r="T57" s="105"/>
      <c r="U57" s="105"/>
      <c r="V57" s="105"/>
      <c r="W57" s="105"/>
      <c r="X57" s="105"/>
      <c r="Y57" s="105"/>
      <c r="Z57" s="105"/>
      <c r="AA57" s="44"/>
      <c r="AB57" s="44"/>
      <c r="AC57" s="105"/>
      <c r="AD57" s="105"/>
      <c r="AE57" s="105"/>
      <c r="AF57" s="105"/>
    </row>
    <row r="58">
      <c r="A58" s="529" t="s">
        <v>1310</v>
      </c>
      <c r="B58" s="526"/>
      <c r="C58" s="526"/>
      <c r="D58" s="526"/>
      <c r="E58" s="526"/>
      <c r="F58" s="526"/>
      <c r="G58" s="526"/>
      <c r="H58" s="526"/>
      <c r="I58" s="526"/>
      <c r="J58" s="526"/>
      <c r="K58" s="526"/>
      <c r="L58" s="526"/>
      <c r="M58" s="526"/>
      <c r="N58" s="526"/>
      <c r="O58" s="106"/>
      <c r="P58" s="528"/>
      <c r="Q58" s="528"/>
      <c r="R58" s="528"/>
      <c r="S58" s="528"/>
      <c r="T58" s="105"/>
      <c r="U58" s="105"/>
      <c r="V58" s="105"/>
      <c r="W58" s="105"/>
      <c r="X58" s="105"/>
      <c r="Y58" s="105"/>
      <c r="Z58" s="105"/>
      <c r="AA58" s="44"/>
      <c r="AB58" s="44"/>
      <c r="AC58" s="105"/>
      <c r="AD58" s="105"/>
      <c r="AE58" s="105"/>
      <c r="AF58" s="105"/>
    </row>
    <row r="59">
      <c r="A59" s="532" t="s">
        <v>1311</v>
      </c>
      <c r="B59" s="532" t="s">
        <v>1248</v>
      </c>
      <c r="C59" s="532" t="s">
        <v>1249</v>
      </c>
      <c r="D59" s="532" t="s">
        <v>1250</v>
      </c>
      <c r="E59" s="532" t="s">
        <v>1251</v>
      </c>
      <c r="F59" s="532" t="s">
        <v>1252</v>
      </c>
      <c r="G59" s="532" t="s">
        <v>1253</v>
      </c>
      <c r="H59" s="532" t="s">
        <v>1254</v>
      </c>
      <c r="I59" s="532" t="s">
        <v>1255</v>
      </c>
      <c r="J59" s="532" t="s">
        <v>1256</v>
      </c>
      <c r="K59" s="533" t="s">
        <v>1257</v>
      </c>
      <c r="L59" s="533" t="s">
        <v>1258</v>
      </c>
      <c r="M59" s="533" t="s">
        <v>1259</v>
      </c>
      <c r="N59" s="532" t="s">
        <v>1300</v>
      </c>
      <c r="O59" s="106"/>
      <c r="P59" s="534" t="s">
        <v>1301</v>
      </c>
      <c r="Q59" s="534" t="s">
        <v>1302</v>
      </c>
      <c r="R59" s="534" t="s">
        <v>1303</v>
      </c>
      <c r="S59" s="534" t="s">
        <v>1304</v>
      </c>
      <c r="T59" s="105"/>
      <c r="U59" s="105"/>
      <c r="V59" s="105"/>
      <c r="W59" s="105"/>
      <c r="X59" s="105"/>
      <c r="Y59" s="105"/>
      <c r="Z59" s="105"/>
      <c r="AA59" s="44"/>
      <c r="AB59" s="44"/>
      <c r="AC59" s="105"/>
      <c r="AD59" s="105"/>
      <c r="AE59" s="105"/>
      <c r="AF59" s="105"/>
    </row>
    <row r="60">
      <c r="A60" s="102" t="s">
        <v>132</v>
      </c>
      <c r="B60" s="71" t="str">
        <f>VLOOKUP($A60,'TD Proyectos confirmados y esti'!$A$36:$M$51,2,FALSE())</f>
        <v/>
      </c>
      <c r="C60" s="71" t="str">
        <f>VLOOKUP($A60,'TD Proyectos confirmados y esti'!$A$36:$M$51,3,FALSE())</f>
        <v/>
      </c>
      <c r="D60" s="71" t="str">
        <f>VLOOKUP($A60,'TD Proyectos confirmados y esti'!$A$36:$M$51,4,FALSE())</f>
        <v/>
      </c>
      <c r="E60" s="71" t="str">
        <f>VLOOKUP($A60,'TD Proyectos confirmados y esti'!$A$36:$M$51,5,FALSE())</f>
        <v/>
      </c>
      <c r="F60" s="71" t="str">
        <f>VLOOKUP($A60,'TD Proyectos confirmados y esti'!$A$36:$M$51,6,FALSE())</f>
        <v/>
      </c>
      <c r="G60" s="71" t="str">
        <f>VLOOKUP($A60,'TD Proyectos confirmados y esti'!$A$36:$M$51,7,FALSE())</f>
        <v/>
      </c>
      <c r="H60" s="71">
        <f>VLOOKUP($A60,'TD Proyectos confirmados y esti'!$A$36:$M$51,8,FALSE())</f>
        <v>659.0909091</v>
      </c>
      <c r="I60" s="71" t="str">
        <f>VLOOKUP($A60,'TD Proyectos confirmados y esti'!$A$36:$M$51,9,FALSE())</f>
        <v/>
      </c>
      <c r="J60" s="71">
        <f>VLOOKUP($A60,'TD Proyectos confirmados y esti'!$A$36:$M$51,10,FALSE())</f>
        <v>1168.318339</v>
      </c>
      <c r="K60" s="71">
        <f>VLOOKUP($A60,'TD Proyectos confirmados y esti'!$A$36:$M$51,11,FALSE())</f>
        <v>944.4444444</v>
      </c>
      <c r="L60" s="71" t="str">
        <f>VLOOKUP($A60,'TD Proyectos confirmados y esti'!$A$36:$M$51,12,FALSE())</f>
        <v/>
      </c>
      <c r="M60" s="71" t="str">
        <f>VLOOKUP($A60,'TD Proyectos confirmados y esti'!$A$36:$M$51,13,FALSE())</f>
        <v/>
      </c>
      <c r="N60" s="106">
        <f t="shared" ref="N60:N76" si="23">SUM(B60:M60)</f>
        <v>2771.853693</v>
      </c>
      <c r="O60" s="106"/>
      <c r="P60" s="71">
        <f t="shared" ref="P60:P67" si="24">B60+C60+D60</f>
        <v>0</v>
      </c>
      <c r="Q60" s="71">
        <f t="shared" ref="Q60:Q67" si="25">E60+F60+G60</f>
        <v>0</v>
      </c>
      <c r="R60" s="71">
        <f t="shared" ref="R60:R67" si="26">H60+I60+J60</f>
        <v>1827.409248</v>
      </c>
      <c r="S60" s="71">
        <f t="shared" ref="S60:S67" si="27">K60+L60+M60</f>
        <v>944.4444444</v>
      </c>
      <c r="T60" s="105"/>
      <c r="U60" s="105"/>
      <c r="V60" s="105"/>
      <c r="W60" s="105"/>
      <c r="X60" s="105"/>
      <c r="Y60" s="105"/>
      <c r="Z60" s="105"/>
      <c r="AC60" s="105"/>
      <c r="AD60" s="105"/>
      <c r="AE60" s="105"/>
      <c r="AF60" s="105"/>
    </row>
    <row r="61">
      <c r="A61" s="102" t="s">
        <v>126</v>
      </c>
      <c r="B61" s="71">
        <f>VLOOKUP($A61,'TD Proyectos confirmados y esti'!$A$36:$M$51,2,FALSE())</f>
        <v>344.2622951</v>
      </c>
      <c r="C61" s="71">
        <f>VLOOKUP($A61,'TD Proyectos confirmados y esti'!$A$36:$M$51,3,FALSE())</f>
        <v>341.4634146</v>
      </c>
      <c r="D61" s="71">
        <f>VLOOKUP($A61,'TD Proyectos confirmados y esti'!$A$36:$M$51,4,FALSE())</f>
        <v>2588.679245</v>
      </c>
      <c r="E61" s="71" t="str">
        <f>VLOOKUP($A61,'TD Proyectos confirmados y esti'!$A$36:$M$51,5,FALSE())</f>
        <v/>
      </c>
      <c r="F61" s="71" t="str">
        <f>VLOOKUP($A61,'TD Proyectos confirmados y esti'!$A$36:$M$51,6,FALSE())</f>
        <v/>
      </c>
      <c r="G61" s="71" t="str">
        <f>VLOOKUP($A61,'TD Proyectos confirmados y esti'!$A$36:$M$51,7,FALSE())</f>
        <v/>
      </c>
      <c r="H61" s="71" t="str">
        <f>VLOOKUP($A61,'TD Proyectos confirmados y esti'!$A$36:$M$51,8,FALSE())</f>
        <v/>
      </c>
      <c r="I61" s="71" t="str">
        <f>VLOOKUP($A61,'TD Proyectos confirmados y esti'!$A$36:$M$51,9,FALSE())</f>
        <v/>
      </c>
      <c r="J61" s="71" t="str">
        <f>VLOOKUP($A61,'TD Proyectos confirmados y esti'!$A$36:$M$51,10,FALSE())</f>
        <v/>
      </c>
      <c r="K61" s="71" t="str">
        <f>VLOOKUP($A61,'TD Proyectos confirmados y esti'!$A$36:$M$51,11,FALSE())</f>
        <v/>
      </c>
      <c r="L61" s="71" t="str">
        <f>VLOOKUP($A61,'TD Proyectos confirmados y esti'!$A$36:$M$51,12,FALSE())</f>
        <v/>
      </c>
      <c r="M61" s="71" t="str">
        <f>VLOOKUP($A61,'TD Proyectos confirmados y esti'!$A$36:$M$51,13,FALSE())</f>
        <v/>
      </c>
      <c r="N61" s="106">
        <f t="shared" si="23"/>
        <v>3274.404955</v>
      </c>
      <c r="O61" s="106"/>
      <c r="P61" s="71">
        <f t="shared" si="24"/>
        <v>3274.404955</v>
      </c>
      <c r="Q61" s="71">
        <f t="shared" si="25"/>
        <v>0</v>
      </c>
      <c r="R61" s="71">
        <f t="shared" si="26"/>
        <v>0</v>
      </c>
      <c r="S61" s="71">
        <f t="shared" si="27"/>
        <v>0</v>
      </c>
      <c r="T61" s="105"/>
      <c r="U61" s="105"/>
      <c r="V61" s="105"/>
      <c r="W61" s="105"/>
      <c r="X61" s="105"/>
      <c r="Y61" s="105"/>
      <c r="Z61" s="105"/>
      <c r="AC61" s="105"/>
      <c r="AD61" s="105"/>
      <c r="AE61" s="105"/>
      <c r="AF61" s="105"/>
    </row>
    <row r="62">
      <c r="A62" s="102" t="s">
        <v>138</v>
      </c>
      <c r="B62" s="71" t="str">
        <f>VLOOKUP($A62,'TD Proyectos confirmados y esti'!$A$36:$M$51,2,FALSE())</f>
        <v/>
      </c>
      <c r="C62" s="71" t="str">
        <f>VLOOKUP($A62,'TD Proyectos confirmados y esti'!$A$36:$M$51,3,FALSE())</f>
        <v/>
      </c>
      <c r="D62" s="71" t="str">
        <f>VLOOKUP($A62,'TD Proyectos confirmados y esti'!$A$36:$M$51,4,FALSE())</f>
        <v/>
      </c>
      <c r="E62" s="71" t="str">
        <f>VLOOKUP($A62,'TD Proyectos confirmados y esti'!$A$36:$M$51,5,FALSE())</f>
        <v/>
      </c>
      <c r="F62" s="71" t="str">
        <f>VLOOKUP($A62,'TD Proyectos confirmados y esti'!$A$36:$M$51,6,FALSE())</f>
        <v/>
      </c>
      <c r="G62" s="71" t="str">
        <f>VLOOKUP($A62,'TD Proyectos confirmados y esti'!$A$36:$M$51,7,FALSE())</f>
        <v/>
      </c>
      <c r="H62" s="71" t="str">
        <f>VLOOKUP($A62,'TD Proyectos confirmados y esti'!$A$36:$M$51,8,FALSE())</f>
        <v/>
      </c>
      <c r="I62" s="71" t="str">
        <f>VLOOKUP($A62,'TD Proyectos confirmados y esti'!$A$36:$M$51,9,FALSE())</f>
        <v/>
      </c>
      <c r="J62" s="71" t="str">
        <f>VLOOKUP($A62,'TD Proyectos confirmados y esti'!$A$36:$M$51,10,FALSE())</f>
        <v/>
      </c>
      <c r="K62" s="71">
        <f>VLOOKUP($A62,'TD Proyectos confirmados y esti'!$A$36:$M$51,11,FALSE())</f>
        <v>1236</v>
      </c>
      <c r="L62" s="71">
        <f>VLOOKUP($A62,'TD Proyectos confirmados y esti'!$A$36:$M$51,12,FALSE())</f>
        <v>2472</v>
      </c>
      <c r="M62" s="71">
        <f>VLOOKUP($A62,'TD Proyectos confirmados y esti'!$A$36:$M$51,13,FALSE())</f>
        <v>2472</v>
      </c>
      <c r="N62" s="106">
        <f t="shared" si="23"/>
        <v>6180</v>
      </c>
      <c r="O62" s="106"/>
      <c r="P62" s="71">
        <f t="shared" si="24"/>
        <v>0</v>
      </c>
      <c r="Q62" s="71">
        <f t="shared" si="25"/>
        <v>0</v>
      </c>
      <c r="R62" s="71">
        <f t="shared" si="26"/>
        <v>0</v>
      </c>
      <c r="S62" s="71">
        <f t="shared" si="27"/>
        <v>6180</v>
      </c>
      <c r="T62" s="105"/>
      <c r="U62" s="105"/>
      <c r="V62" s="105"/>
      <c r="W62" s="105"/>
      <c r="X62" s="105"/>
      <c r="Y62" s="105"/>
      <c r="Z62" s="105"/>
      <c r="AC62" s="105"/>
      <c r="AD62" s="105"/>
      <c r="AE62" s="105"/>
      <c r="AF62" s="105"/>
    </row>
    <row r="63">
      <c r="A63" s="102" t="s">
        <v>209</v>
      </c>
      <c r="B63" s="71" t="str">
        <f>VLOOKUP($A63,'TD Proyectos confirmados y esti'!$A$36:$M$51,2,FALSE())</f>
        <v/>
      </c>
      <c r="C63" s="71" t="str">
        <f>VLOOKUP($A63,'TD Proyectos confirmados y esti'!$A$36:$M$51,3,FALSE())</f>
        <v/>
      </c>
      <c r="D63" s="71" t="str">
        <f>VLOOKUP($A63,'TD Proyectos confirmados y esti'!$A$36:$M$51,4,FALSE())</f>
        <v/>
      </c>
      <c r="E63" s="71" t="str">
        <f>VLOOKUP($A63,'TD Proyectos confirmados y esti'!$A$36:$M$51,5,FALSE())</f>
        <v/>
      </c>
      <c r="F63" s="71" t="str">
        <f>VLOOKUP($A63,'TD Proyectos confirmados y esti'!$A$36:$M$51,6,FALSE())</f>
        <v/>
      </c>
      <c r="G63" s="71" t="str">
        <f>VLOOKUP($A63,'TD Proyectos confirmados y esti'!$A$36:$M$51,7,FALSE())</f>
        <v/>
      </c>
      <c r="H63" s="71" t="str">
        <f>VLOOKUP($A63,'TD Proyectos confirmados y esti'!$A$36:$M$51,8,FALSE())</f>
        <v/>
      </c>
      <c r="I63" s="71" t="str">
        <f>VLOOKUP($A63,'TD Proyectos confirmados y esti'!$A$36:$M$51,9,FALSE())</f>
        <v/>
      </c>
      <c r="J63" s="71">
        <f>VLOOKUP($A63,'TD Proyectos confirmados y esti'!$A$36:$M$51,10,FALSE())</f>
        <v>1384.083045</v>
      </c>
      <c r="K63" s="71" t="str">
        <f>VLOOKUP($A63,'TD Proyectos confirmados y esti'!$A$36:$M$51,11,FALSE())</f>
        <v/>
      </c>
      <c r="L63" s="71" t="str">
        <f>VLOOKUP($A63,'TD Proyectos confirmados y esti'!$A$36:$M$51,12,FALSE())</f>
        <v/>
      </c>
      <c r="M63" s="71" t="str">
        <f>VLOOKUP($A63,'TD Proyectos confirmados y esti'!$A$36:$M$51,13,FALSE())</f>
        <v/>
      </c>
      <c r="N63" s="106">
        <f t="shared" si="23"/>
        <v>1384.083045</v>
      </c>
      <c r="O63" s="106"/>
      <c r="P63" s="71">
        <f t="shared" si="24"/>
        <v>0</v>
      </c>
      <c r="Q63" s="71">
        <f t="shared" si="25"/>
        <v>0</v>
      </c>
      <c r="R63" s="71">
        <f t="shared" si="26"/>
        <v>1384.083045</v>
      </c>
      <c r="S63" s="71">
        <f t="shared" si="27"/>
        <v>0</v>
      </c>
      <c r="T63" s="105"/>
      <c r="U63" s="105"/>
      <c r="V63" s="105"/>
      <c r="W63" s="105"/>
      <c r="X63" s="105"/>
      <c r="Y63" s="105"/>
      <c r="Z63" s="105"/>
      <c r="AC63" s="105"/>
      <c r="AD63" s="105"/>
      <c r="AE63" s="105"/>
      <c r="AF63" s="105"/>
    </row>
    <row r="64">
      <c r="A64" s="102" t="s">
        <v>202</v>
      </c>
      <c r="B64" s="71" t="str">
        <f>VLOOKUP($A64,'TD Proyectos confirmados y esti'!$A$36:$M$51,2,FALSE())</f>
        <v/>
      </c>
      <c r="C64" s="71" t="str">
        <f>VLOOKUP($A64,'TD Proyectos confirmados y esti'!$A$36:$M$51,3,FALSE())</f>
        <v/>
      </c>
      <c r="D64" s="71" t="str">
        <f>VLOOKUP($A64,'TD Proyectos confirmados y esti'!$A$36:$M$51,4,FALSE())</f>
        <v/>
      </c>
      <c r="E64" s="71">
        <f>VLOOKUP($A64,'TD Proyectos confirmados y esti'!$A$36:$M$51,5,FALSE())</f>
        <v>5568</v>
      </c>
      <c r="F64" s="71" t="str">
        <f>VLOOKUP($A64,'TD Proyectos confirmados y esti'!$A$36:$M$51,6,FALSE())</f>
        <v/>
      </c>
      <c r="G64" s="71" t="str">
        <f>VLOOKUP($A64,'TD Proyectos confirmados y esti'!$A$36:$M$51,7,FALSE())</f>
        <v/>
      </c>
      <c r="H64" s="71" t="str">
        <f>VLOOKUP($A64,'TD Proyectos confirmados y esti'!$A$36:$M$51,8,FALSE())</f>
        <v/>
      </c>
      <c r="I64" s="71" t="str">
        <f>VLOOKUP($A64,'TD Proyectos confirmados y esti'!$A$36:$M$51,9,FALSE())</f>
        <v/>
      </c>
      <c r="J64" s="71" t="str">
        <f>VLOOKUP($A64,'TD Proyectos confirmados y esti'!$A$36:$M$51,10,FALSE())</f>
        <v/>
      </c>
      <c r="K64" s="71" t="str">
        <f>VLOOKUP($A64,'TD Proyectos confirmados y esti'!$A$36:$M$51,11,FALSE())</f>
        <v/>
      </c>
      <c r="L64" s="71" t="str">
        <f>VLOOKUP($A64,'TD Proyectos confirmados y esti'!$A$36:$M$51,12,FALSE())</f>
        <v/>
      </c>
      <c r="M64" s="71" t="str">
        <f>VLOOKUP($A64,'TD Proyectos confirmados y esti'!$A$36:$M$51,13,FALSE())</f>
        <v/>
      </c>
      <c r="N64" s="106">
        <f t="shared" si="23"/>
        <v>5568</v>
      </c>
      <c r="O64" s="106"/>
      <c r="P64" s="71">
        <f t="shared" si="24"/>
        <v>0</v>
      </c>
      <c r="Q64" s="71">
        <f t="shared" si="25"/>
        <v>5568</v>
      </c>
      <c r="R64" s="71">
        <f t="shared" si="26"/>
        <v>0</v>
      </c>
      <c r="S64" s="71">
        <f t="shared" si="27"/>
        <v>0</v>
      </c>
      <c r="T64" s="105"/>
      <c r="U64" s="105"/>
      <c r="V64" s="105"/>
      <c r="W64" s="105"/>
      <c r="X64" s="105"/>
      <c r="Y64" s="105"/>
      <c r="Z64" s="105"/>
      <c r="AC64" s="105"/>
      <c r="AD64" s="105"/>
      <c r="AE64" s="105"/>
      <c r="AF64" s="105"/>
    </row>
    <row r="65">
      <c r="A65" s="102" t="s">
        <v>119</v>
      </c>
      <c r="B65" s="71">
        <f>VLOOKUP($A65,'TD Proyectos confirmados y esti'!$A$36:$M$51,2,FALSE())</f>
        <v>3048.217213</v>
      </c>
      <c r="C65" s="71">
        <f>VLOOKUP($A65,'TD Proyectos confirmados y esti'!$A$36:$M$51,3,FALSE())</f>
        <v>3023.434959</v>
      </c>
      <c r="D65" s="71">
        <f>VLOOKUP($A65,'TD Proyectos confirmados y esti'!$A$36:$M$51,4,FALSE())</f>
        <v>2806.660377</v>
      </c>
      <c r="E65" s="71">
        <f>VLOOKUP($A65,'TD Proyectos confirmados y esti'!$A$36:$M$51,5,FALSE())</f>
        <v>3138.248945</v>
      </c>
      <c r="F65" s="71">
        <f>VLOOKUP($A65,'TD Proyectos confirmados y esti'!$A$36:$M$51,6,FALSE())</f>
        <v>3151.54661</v>
      </c>
      <c r="G65" s="71">
        <f>VLOOKUP($A65,'TD Proyectos confirmados y esti'!$A$36:$M$51,7,FALSE())</f>
        <v>3588.358848</v>
      </c>
      <c r="H65" s="71">
        <f>VLOOKUP($A65,'TD Proyectos confirmados y esti'!$A$36:$M$51,8,FALSE())</f>
        <v>3302.921932</v>
      </c>
      <c r="I65" s="71">
        <f>VLOOKUP($A65,'TD Proyectos confirmados y esti'!$A$36:$M$51,9,FALSE())</f>
        <v>3241.529331</v>
      </c>
      <c r="J65" s="71">
        <f>VLOOKUP($A65,'TD Proyectos confirmados y esti'!$A$36:$M$51,10,FALSE())</f>
        <v>3168.062143</v>
      </c>
      <c r="K65" s="71">
        <f>VLOOKUP($A65,'TD Proyectos confirmados y esti'!$A$36:$M$51,11,FALSE())</f>
        <v>3179.062359</v>
      </c>
      <c r="L65" s="71">
        <f>VLOOKUP($A65,'TD Proyectos confirmados y esti'!$A$36:$M$51,12,FALSE())</f>
        <v>3053.935822</v>
      </c>
      <c r="M65" s="71">
        <f>VLOOKUP($A65,'TD Proyectos confirmados y esti'!$A$36:$M$51,13,FALSE())</f>
        <v>3203.898784</v>
      </c>
      <c r="N65" s="106">
        <f t="shared" si="23"/>
        <v>37905.87732</v>
      </c>
      <c r="O65" s="106"/>
      <c r="P65" s="71">
        <f t="shared" si="24"/>
        <v>8878.31255</v>
      </c>
      <c r="Q65" s="71">
        <f t="shared" si="25"/>
        <v>9878.154403</v>
      </c>
      <c r="R65" s="71">
        <f t="shared" si="26"/>
        <v>9712.513405</v>
      </c>
      <c r="S65" s="71">
        <f t="shared" si="27"/>
        <v>9436.896965</v>
      </c>
      <c r="T65" s="106"/>
      <c r="U65" s="106"/>
      <c r="V65" s="106"/>
      <c r="W65" s="105"/>
      <c r="X65" s="105"/>
      <c r="Y65" s="105"/>
      <c r="Z65" s="105"/>
      <c r="AC65" s="105"/>
      <c r="AD65" s="105"/>
      <c r="AE65" s="105"/>
      <c r="AF65" s="105"/>
    </row>
    <row r="66">
      <c r="A66" s="102" t="s">
        <v>193</v>
      </c>
      <c r="B66" s="71">
        <f>VLOOKUP($A66,'TD Proyectos confirmados y esti'!$A$36:$M$51,2,FALSE())</f>
        <v>588.6065574</v>
      </c>
      <c r="C66" s="71">
        <f>VLOOKUP($A66,'TD Proyectos confirmados y esti'!$A$36:$M$51,3,FALSE())</f>
        <v>700.8130081</v>
      </c>
      <c r="D66" s="71">
        <f>VLOOKUP($A66,'TD Proyectos confirmados y esti'!$A$36:$M$51,4,FALSE())</f>
        <v>582.0754717</v>
      </c>
      <c r="E66" s="71">
        <f>VLOOKUP($A66,'TD Proyectos confirmados y esti'!$A$36:$M$51,5,FALSE())</f>
        <v>668.3544304</v>
      </c>
      <c r="F66" s="71">
        <f>VLOOKUP($A66,'TD Proyectos confirmados y esti'!$A$36:$M$51,6,FALSE())</f>
        <v>775.6355932</v>
      </c>
      <c r="G66" s="71">
        <f>VLOOKUP($A66,'TD Proyectos confirmados y esti'!$A$36:$M$51,7,FALSE())</f>
        <v>882.2098765</v>
      </c>
      <c r="H66" s="71">
        <f>VLOOKUP($A66,'TD Proyectos confirmados y esti'!$A$36:$M$51,8,FALSE())</f>
        <v>910.5189394</v>
      </c>
      <c r="I66" s="71">
        <f>VLOOKUP($A66,'TD Proyectos confirmados y esti'!$A$36:$M$51,9,FALSE())</f>
        <v>1072.033457</v>
      </c>
      <c r="J66" s="71">
        <f>VLOOKUP($A66,'TD Proyectos confirmados y esti'!$A$36:$M$51,10,FALSE())</f>
        <v>770.9342561</v>
      </c>
      <c r="K66" s="71">
        <f>VLOOKUP($A66,'TD Proyectos confirmados y esti'!$A$36:$M$51,11,FALSE())</f>
        <v>773.6111111</v>
      </c>
      <c r="L66" s="71">
        <f>VLOOKUP($A66,'TD Proyectos confirmados y esti'!$A$36:$M$51,12,FALSE())</f>
        <v>743.1621081</v>
      </c>
      <c r="M66" s="71">
        <f>VLOOKUP($A66,'TD Proyectos confirmados y esti'!$A$36:$M$51,13,FALSE())</f>
        <v>830.350651</v>
      </c>
      <c r="N66" s="106">
        <f t="shared" si="23"/>
        <v>9298.30546</v>
      </c>
      <c r="O66" s="106"/>
      <c r="P66" s="71">
        <f t="shared" si="24"/>
        <v>1871.495037</v>
      </c>
      <c r="Q66" s="71">
        <f t="shared" si="25"/>
        <v>2326.1999</v>
      </c>
      <c r="R66" s="71">
        <f t="shared" si="26"/>
        <v>2753.486653</v>
      </c>
      <c r="S66" s="71">
        <f t="shared" si="27"/>
        <v>2347.12387</v>
      </c>
      <c r="T66" s="106"/>
      <c r="U66" s="106"/>
      <c r="V66" s="44"/>
      <c r="W66" s="44"/>
      <c r="X66" s="44"/>
      <c r="Y66" s="44"/>
      <c r="Z66" s="44"/>
      <c r="AA66" s="107"/>
      <c r="AB66" s="107"/>
      <c r="AC66" s="105"/>
      <c r="AD66" s="105"/>
      <c r="AE66" s="105"/>
      <c r="AF66" s="105"/>
    </row>
    <row r="67">
      <c r="A67" s="102" t="s">
        <v>204</v>
      </c>
      <c r="B67" s="71" t="str">
        <f>VLOOKUP($A67,'TD Proyectos confirmados y esti'!$A$36:$M$51,2,FALSE())</f>
        <v/>
      </c>
      <c r="C67" s="71" t="str">
        <f>VLOOKUP($A67,'TD Proyectos confirmados y esti'!$A$36:$M$51,3,FALSE())</f>
        <v/>
      </c>
      <c r="D67" s="71" t="str">
        <f>VLOOKUP($A67,'TD Proyectos confirmados y esti'!$A$36:$M$51,4,FALSE())</f>
        <v/>
      </c>
      <c r="E67" s="71" t="str">
        <f>VLOOKUP($A67,'TD Proyectos confirmados y esti'!$A$36:$M$51,5,FALSE())</f>
        <v/>
      </c>
      <c r="F67" s="71" t="str">
        <f>VLOOKUP($A67,'TD Proyectos confirmados y esti'!$A$36:$M$51,6,FALSE())</f>
        <v/>
      </c>
      <c r="G67" s="71" t="str">
        <f>VLOOKUP($A67,'TD Proyectos confirmados y esti'!$A$36:$M$51,7,FALSE())</f>
        <v/>
      </c>
      <c r="H67" s="71">
        <f>VLOOKUP($A67,'TD Proyectos confirmados y esti'!$A$36:$M$51,8,FALSE())</f>
        <v>8450</v>
      </c>
      <c r="I67" s="71">
        <f>VLOOKUP($A67,'TD Proyectos confirmados y esti'!$A$36:$M$51,9,FALSE())</f>
        <v>16900</v>
      </c>
      <c r="J67" s="71">
        <f>VLOOKUP($A67,'TD Proyectos confirmados y esti'!$A$36:$M$51,10,FALSE())</f>
        <v>7550</v>
      </c>
      <c r="K67" s="71">
        <f>VLOOKUP($A67,'TD Proyectos confirmados y esti'!$A$36:$M$51,11,FALSE())</f>
        <v>7550</v>
      </c>
      <c r="L67" s="71">
        <f>VLOOKUP($A67,'TD Proyectos confirmados y esti'!$A$36:$M$51,12,FALSE())</f>
        <v>7550</v>
      </c>
      <c r="M67" s="71">
        <f>VLOOKUP($A67,'TD Proyectos confirmados y esti'!$A$36:$M$51,13,FALSE())</f>
        <v>7550</v>
      </c>
      <c r="N67" s="106">
        <f t="shared" si="23"/>
        <v>55550</v>
      </c>
      <c r="O67" s="106"/>
      <c r="P67" s="71">
        <f t="shared" si="24"/>
        <v>0</v>
      </c>
      <c r="Q67" s="71">
        <f t="shared" si="25"/>
        <v>0</v>
      </c>
      <c r="R67" s="71">
        <f t="shared" si="26"/>
        <v>32900</v>
      </c>
      <c r="S67" s="71">
        <f t="shared" si="27"/>
        <v>22650</v>
      </c>
      <c r="T67" s="106"/>
      <c r="U67" s="106"/>
      <c r="W67" s="107"/>
      <c r="X67" s="107"/>
      <c r="AA67" s="107"/>
      <c r="AB67" s="107"/>
      <c r="AC67" s="105"/>
      <c r="AD67" s="105"/>
      <c r="AE67" s="105"/>
      <c r="AF67" s="105"/>
    </row>
    <row r="68">
      <c r="A68" s="102" t="s">
        <v>213</v>
      </c>
      <c r="B68" s="71" t="str">
        <f>VLOOKUP($A68,'TD Proyectos confirmados y esti'!$A$36:$M$51,2,FALSE())</f>
        <v/>
      </c>
      <c r="C68" s="71" t="str">
        <f>VLOOKUP($A68,'TD Proyectos confirmados y esti'!$A$36:$M$51,3,FALSE())</f>
        <v/>
      </c>
      <c r="D68" s="71" t="str">
        <f>VLOOKUP($A68,'TD Proyectos confirmados y esti'!$A$36:$M$51,4,FALSE())</f>
        <v/>
      </c>
      <c r="E68" s="71" t="str">
        <f>VLOOKUP($A68,'TD Proyectos confirmados y esti'!$A$36:$M$51,5,FALSE())</f>
        <v/>
      </c>
      <c r="F68" s="71" t="str">
        <f>VLOOKUP($A68,'TD Proyectos confirmados y esti'!$A$36:$M$51,6,FALSE())</f>
        <v/>
      </c>
      <c r="G68" s="71" t="str">
        <f>VLOOKUP($A68,'TD Proyectos confirmados y esti'!$A$36:$M$51,7,FALSE())</f>
        <v/>
      </c>
      <c r="H68" s="71" t="str">
        <f>VLOOKUP($A68,'TD Proyectos confirmados y esti'!$A$36:$M$51,8,FALSE())</f>
        <v/>
      </c>
      <c r="I68" s="71" t="str">
        <f>VLOOKUP($A68,'TD Proyectos confirmados y esti'!$A$36:$M$51,9,FALSE())</f>
        <v/>
      </c>
      <c r="J68" s="71" t="str">
        <f>VLOOKUP($A68,'TD Proyectos confirmados y esti'!$A$36:$M$51,10,FALSE())</f>
        <v/>
      </c>
      <c r="K68" s="71">
        <f>VLOOKUP($A68,'TD Proyectos confirmados y esti'!$A$36:$M$51,11,FALSE())</f>
        <v>2378.472222</v>
      </c>
      <c r="L68" s="71" t="str">
        <f>VLOOKUP($A68,'TD Proyectos confirmados y esti'!$A$36:$M$51,12,FALSE())</f>
        <v/>
      </c>
      <c r="M68" s="71">
        <f>VLOOKUP($A68,'TD Proyectos confirmados y esti'!$A$36:$M$51,13,FALSE())</f>
        <v>2229.817708</v>
      </c>
      <c r="N68" s="106">
        <f t="shared" si="23"/>
        <v>4608.289931</v>
      </c>
      <c r="O68" s="106"/>
      <c r="P68" s="71"/>
      <c r="Q68" s="71"/>
      <c r="R68" s="71"/>
      <c r="S68" s="71"/>
      <c r="T68" s="106"/>
      <c r="U68" s="106"/>
      <c r="W68" s="107"/>
      <c r="X68" s="107"/>
      <c r="AA68" s="107"/>
      <c r="AB68" s="107"/>
      <c r="AC68" s="105"/>
      <c r="AD68" s="105"/>
      <c r="AE68" s="105"/>
      <c r="AF68" s="105"/>
    </row>
    <row r="69">
      <c r="A69" s="43" t="s">
        <v>215</v>
      </c>
      <c r="B69" s="71" t="str">
        <f>VLOOKUP($A69,'TD Proyectos confirmados y esti'!$A$36:$M$51,2,FALSE())</f>
        <v/>
      </c>
      <c r="C69" s="71" t="str">
        <f>VLOOKUP($A69,'TD Proyectos confirmados y esti'!$A$36:$M$51,3,FALSE())</f>
        <v/>
      </c>
      <c r="D69" s="71" t="str">
        <f>VLOOKUP($A69,'TD Proyectos confirmados y esti'!$A$36:$M$51,4,FALSE())</f>
        <v/>
      </c>
      <c r="E69" s="71" t="str">
        <f>VLOOKUP($A69,'TD Proyectos confirmados y esti'!$A$36:$M$51,5,FALSE())</f>
        <v/>
      </c>
      <c r="F69" s="71" t="str">
        <f>VLOOKUP($A69,'TD Proyectos confirmados y esti'!$A$36:$M$51,6,FALSE())</f>
        <v/>
      </c>
      <c r="G69" s="71" t="str">
        <f>VLOOKUP($A69,'TD Proyectos confirmados y esti'!$A$36:$M$51,7,FALSE())</f>
        <v/>
      </c>
      <c r="H69" s="71" t="str">
        <f>VLOOKUP($A69,'TD Proyectos confirmados y esti'!$A$36:$M$51,8,FALSE())</f>
        <v/>
      </c>
      <c r="I69" s="71" t="str">
        <f>VLOOKUP($A69,'TD Proyectos confirmados y esti'!$A$36:$M$51,9,FALSE())</f>
        <v/>
      </c>
      <c r="J69" s="71" t="str">
        <f>VLOOKUP($A69,'TD Proyectos confirmados y esti'!$A$36:$M$51,10,FALSE())</f>
        <v/>
      </c>
      <c r="K69" s="71">
        <f>VLOOKUP($A69,'TD Proyectos confirmados y esti'!$A$36:$M$51,11,FALSE())</f>
        <v>35550</v>
      </c>
      <c r="L69" s="71">
        <f>VLOOKUP($A69,'TD Proyectos confirmados y esti'!$A$36:$M$51,12,FALSE())</f>
        <v>0</v>
      </c>
      <c r="M69" s="71">
        <f>VLOOKUP($A69,'TD Proyectos confirmados y esti'!$A$36:$M$51,13,FALSE())</f>
        <v>0</v>
      </c>
      <c r="N69" s="106">
        <f t="shared" si="23"/>
        <v>35550</v>
      </c>
      <c r="O69" s="106"/>
      <c r="P69" s="71"/>
      <c r="Q69" s="71"/>
      <c r="R69" s="71"/>
      <c r="S69" s="71"/>
      <c r="T69" s="106"/>
      <c r="U69" s="106"/>
      <c r="W69" s="107"/>
      <c r="X69" s="107"/>
      <c r="AA69" s="107"/>
      <c r="AB69" s="107"/>
      <c r="AC69" s="105"/>
      <c r="AD69" s="105"/>
      <c r="AE69" s="105"/>
      <c r="AF69" s="105"/>
    </row>
    <row r="70">
      <c r="A70" s="102" t="s">
        <v>211</v>
      </c>
      <c r="B70" s="71" t="str">
        <f>VLOOKUP($A70,'TD Proyectos confirmados y esti'!$A$36:$M$51,2,FALSE())</f>
        <v/>
      </c>
      <c r="C70" s="71" t="str">
        <f>VLOOKUP($A70,'TD Proyectos confirmados y esti'!$A$36:$M$51,3,FALSE())</f>
        <v/>
      </c>
      <c r="D70" s="71" t="str">
        <f>VLOOKUP($A70,'TD Proyectos confirmados y esti'!$A$36:$M$51,4,FALSE())</f>
        <v/>
      </c>
      <c r="E70" s="71" t="str">
        <f>VLOOKUP($A70,'TD Proyectos confirmados y esti'!$A$36:$M$51,5,FALSE())</f>
        <v/>
      </c>
      <c r="F70" s="71" t="str">
        <f>VLOOKUP($A70,'TD Proyectos confirmados y esti'!$A$36:$M$51,6,FALSE())</f>
        <v/>
      </c>
      <c r="G70" s="71" t="str">
        <f>VLOOKUP($A70,'TD Proyectos confirmados y esti'!$A$36:$M$51,7,FALSE())</f>
        <v/>
      </c>
      <c r="H70" s="71" t="str">
        <f>VLOOKUP($A70,'TD Proyectos confirmados y esti'!$A$36:$M$51,8,FALSE())</f>
        <v/>
      </c>
      <c r="I70" s="71" t="str">
        <f>VLOOKUP($A70,'TD Proyectos confirmados y esti'!$A$36:$M$51,9,FALSE())</f>
        <v/>
      </c>
      <c r="J70" s="71">
        <f>VLOOKUP($A70,'TD Proyectos confirmados y esti'!$A$36:$M$51,10,FALSE())</f>
        <v>2941.522491</v>
      </c>
      <c r="K70" s="71" t="str">
        <f>VLOOKUP($A70,'TD Proyectos confirmados y esti'!$A$36:$M$51,11,FALSE())</f>
        <v/>
      </c>
      <c r="L70" s="71" t="str">
        <f>VLOOKUP($A70,'TD Proyectos confirmados y esti'!$A$36:$M$51,12,FALSE())</f>
        <v/>
      </c>
      <c r="M70" s="71" t="str">
        <f>VLOOKUP($A70,'TD Proyectos confirmados y esti'!$A$36:$M$51,13,FALSE())</f>
        <v/>
      </c>
      <c r="N70" s="106">
        <f t="shared" si="23"/>
        <v>2941.522491</v>
      </c>
      <c r="O70" s="106"/>
      <c r="P70" s="71">
        <f t="shared" ref="P70:P77" si="28">B70+C70+D70</f>
        <v>0</v>
      </c>
      <c r="Q70" s="71">
        <f t="shared" ref="Q70:Q77" si="29">E70+F70+G70</f>
        <v>0</v>
      </c>
      <c r="R70" s="71">
        <f t="shared" ref="R70:R77" si="30">H70+I70+J70</f>
        <v>2941.522491</v>
      </c>
      <c r="S70" s="71">
        <f t="shared" ref="S70:S77" si="31">K70+L70+M70</f>
        <v>0</v>
      </c>
      <c r="T70" s="106"/>
      <c r="U70" s="106"/>
      <c r="W70" s="107"/>
      <c r="X70" s="107"/>
      <c r="AA70" s="107"/>
      <c r="AB70" s="107"/>
      <c r="AC70" s="105"/>
      <c r="AD70" s="105"/>
      <c r="AE70" s="105"/>
      <c r="AF70" s="105"/>
    </row>
    <row r="71">
      <c r="A71" s="102" t="s">
        <v>180</v>
      </c>
      <c r="B71" s="71">
        <f>VLOOKUP($A71,'TD Proyectos confirmados y esti'!$A$36:$M$51,2,FALSE())</f>
        <v>3213.797541</v>
      </c>
      <c r="C71" s="71">
        <f>VLOOKUP($A71,'TD Proyectos confirmados y esti'!$A$36:$M$51,3,FALSE())</f>
        <v>3187.669106</v>
      </c>
      <c r="D71" s="71">
        <f>VLOOKUP($A71,'TD Proyectos confirmados y esti'!$A$36:$M$51,4,FALSE())</f>
        <v>3178.09434</v>
      </c>
      <c r="E71" s="71">
        <f>VLOOKUP($A71,'TD Proyectos confirmados y esti'!$A$36:$M$51,5,FALSE())</f>
        <v>3553.565401</v>
      </c>
      <c r="F71" s="71">
        <f>VLOOKUP($A71,'TD Proyectos confirmados y esti'!$A$36:$M$51,6,FALSE())</f>
        <v>3568.622881</v>
      </c>
      <c r="G71" s="71">
        <f>VLOOKUP($A71,'TD Proyectos confirmados y esti'!$A$36:$M$51,7,FALSE())</f>
        <v>3783.292181</v>
      </c>
      <c r="H71" s="71">
        <f>VLOOKUP($A71,'TD Proyectos confirmados y esti'!$A$36:$M$51,8,FALSE())</f>
        <v>3482.348485</v>
      </c>
      <c r="I71" s="71">
        <f>VLOOKUP($A71,'TD Proyectos confirmados y esti'!$A$36:$M$51,9,FALSE())</f>
        <v>2286.245353</v>
      </c>
      <c r="J71" s="71">
        <f>VLOOKUP($A71,'TD Proyectos confirmados y esti'!$A$36:$M$51,10,FALSE())</f>
        <v>2128.027682</v>
      </c>
      <c r="K71" s="71">
        <f>VLOOKUP($A71,'TD Proyectos confirmados y esti'!$A$36:$M$51,11,FALSE())</f>
        <v>2135.416667</v>
      </c>
      <c r="L71" s="71" t="str">
        <f>VLOOKUP($A71,'TD Proyectos confirmados y esti'!$A$36:$M$51,12,FALSE())</f>
        <v/>
      </c>
      <c r="M71" s="71" t="str">
        <f>VLOOKUP($A71,'TD Proyectos confirmados y esti'!$A$36:$M$51,13,FALSE())</f>
        <v/>
      </c>
      <c r="N71" s="106">
        <f t="shared" si="23"/>
        <v>30517.07964</v>
      </c>
      <c r="O71" s="106"/>
      <c r="P71" s="71">
        <f t="shared" si="28"/>
        <v>9579.560986</v>
      </c>
      <c r="Q71" s="71">
        <f t="shared" si="29"/>
        <v>10905.48046</v>
      </c>
      <c r="R71" s="71">
        <f t="shared" si="30"/>
        <v>7896.62152</v>
      </c>
      <c r="S71" s="71">
        <f t="shared" si="31"/>
        <v>2135.416667</v>
      </c>
      <c r="T71" s="106"/>
      <c r="U71" s="106"/>
      <c r="AA71" s="107"/>
      <c r="AB71" s="107"/>
      <c r="AC71" s="105"/>
      <c r="AD71" s="105"/>
      <c r="AE71" s="105"/>
      <c r="AF71" s="105"/>
    </row>
    <row r="72">
      <c r="A72" s="102" t="s">
        <v>176</v>
      </c>
      <c r="B72" s="71">
        <f>VLOOKUP($A72,'TD Proyectos confirmados y esti'!$A$36:$M$51,2,FALSE())</f>
        <v>5916.50527</v>
      </c>
      <c r="C72" s="71" t="str">
        <f>VLOOKUP($A72,'TD Proyectos confirmados y esti'!$A$36:$M$51,3,FALSE())</f>
        <v/>
      </c>
      <c r="D72" s="71" t="str">
        <f>VLOOKUP($A72,'TD Proyectos confirmados y esti'!$A$36:$M$51,4,FALSE())</f>
        <v/>
      </c>
      <c r="E72" s="71" t="str">
        <f>VLOOKUP($A72,'TD Proyectos confirmados y esti'!$A$36:$M$51,5,FALSE())</f>
        <v/>
      </c>
      <c r="F72" s="71" t="str">
        <f>VLOOKUP($A72,'TD Proyectos confirmados y esti'!$A$36:$M$51,6,FALSE())</f>
        <v/>
      </c>
      <c r="G72" s="71" t="str">
        <f>VLOOKUP($A72,'TD Proyectos confirmados y esti'!$A$36:$M$51,7,FALSE())</f>
        <v/>
      </c>
      <c r="H72" s="71" t="str">
        <f>VLOOKUP($A72,'TD Proyectos confirmados y esti'!$A$36:$M$51,8,FALSE())</f>
        <v/>
      </c>
      <c r="I72" s="71" t="str">
        <f>VLOOKUP($A72,'TD Proyectos confirmados y esti'!$A$36:$M$51,9,FALSE())</f>
        <v/>
      </c>
      <c r="J72" s="71" t="str">
        <f>VLOOKUP($A72,'TD Proyectos confirmados y esti'!$A$36:$M$51,10,FALSE())</f>
        <v/>
      </c>
      <c r="K72" s="71" t="str">
        <f>VLOOKUP($A72,'TD Proyectos confirmados y esti'!$A$36:$M$51,11,FALSE())</f>
        <v/>
      </c>
      <c r="L72" s="71" t="str">
        <f>VLOOKUP($A72,'TD Proyectos confirmados y esti'!$A$36:$M$51,12,FALSE())</f>
        <v/>
      </c>
      <c r="M72" s="71" t="str">
        <f>VLOOKUP($A72,'TD Proyectos confirmados y esti'!$A$36:$M$51,13,FALSE())</f>
        <v/>
      </c>
      <c r="N72" s="106">
        <f t="shared" si="23"/>
        <v>5916.50527</v>
      </c>
      <c r="O72" s="106"/>
      <c r="P72" s="71">
        <f t="shared" si="28"/>
        <v>5916.50527</v>
      </c>
      <c r="Q72" s="71">
        <f t="shared" si="29"/>
        <v>0</v>
      </c>
      <c r="R72" s="71">
        <f t="shared" si="30"/>
        <v>0</v>
      </c>
      <c r="S72" s="71">
        <f t="shared" si="31"/>
        <v>0</v>
      </c>
      <c r="T72" s="106"/>
      <c r="U72" s="106"/>
      <c r="AC72" s="105"/>
      <c r="AD72" s="105"/>
      <c r="AE72" s="105"/>
      <c r="AF72" s="105"/>
    </row>
    <row r="73">
      <c r="A73" s="102" t="s">
        <v>206</v>
      </c>
      <c r="B73" s="71" t="str">
        <f>VLOOKUP($A73,'TD Proyectos confirmados y esti'!$A$36:$M$51,2,FALSE())</f>
        <v/>
      </c>
      <c r="C73" s="71" t="str">
        <f>VLOOKUP($A73,'TD Proyectos confirmados y esti'!$A$36:$M$51,3,FALSE())</f>
        <v/>
      </c>
      <c r="D73" s="71" t="str">
        <f>VLOOKUP($A73,'TD Proyectos confirmados y esti'!$A$36:$M$51,4,FALSE())</f>
        <v/>
      </c>
      <c r="E73" s="71" t="str">
        <f>VLOOKUP($A73,'TD Proyectos confirmados y esti'!$A$36:$M$51,5,FALSE())</f>
        <v/>
      </c>
      <c r="F73" s="71" t="str">
        <f>VLOOKUP($A73,'TD Proyectos confirmados y esti'!$A$36:$M$51,6,FALSE())</f>
        <v/>
      </c>
      <c r="G73" s="71" t="str">
        <f>VLOOKUP($A73,'TD Proyectos confirmados y esti'!$A$36:$M$51,7,FALSE())</f>
        <v/>
      </c>
      <c r="H73" s="71" t="str">
        <f>VLOOKUP($A73,'TD Proyectos confirmados y esti'!$A$36:$M$51,8,FALSE())</f>
        <v/>
      </c>
      <c r="I73" s="71">
        <f>VLOOKUP($A73,'TD Proyectos confirmados y esti'!$A$36:$M$51,9,FALSE())</f>
        <v>1245.35316</v>
      </c>
      <c r="J73" s="71" t="str">
        <f>VLOOKUP($A73,'TD Proyectos confirmados y esti'!$A$36:$M$51,10,FALSE())</f>
        <v/>
      </c>
      <c r="K73" s="71" t="str">
        <f>VLOOKUP($A73,'TD Proyectos confirmados y esti'!$A$36:$M$51,11,FALSE())</f>
        <v/>
      </c>
      <c r="L73" s="71" t="str">
        <f>VLOOKUP($A73,'TD Proyectos confirmados y esti'!$A$36:$M$51,12,FALSE())</f>
        <v/>
      </c>
      <c r="M73" s="71" t="str">
        <f>VLOOKUP($A73,'TD Proyectos confirmados y esti'!$A$36:$M$51,13,FALSE())</f>
        <v/>
      </c>
      <c r="N73" s="106">
        <f t="shared" si="23"/>
        <v>1245.35316</v>
      </c>
      <c r="O73" s="106"/>
      <c r="P73" s="71">
        <f t="shared" si="28"/>
        <v>0</v>
      </c>
      <c r="Q73" s="71">
        <f t="shared" si="29"/>
        <v>0</v>
      </c>
      <c r="R73" s="71">
        <f t="shared" si="30"/>
        <v>1245.35316</v>
      </c>
      <c r="S73" s="71">
        <f t="shared" si="31"/>
        <v>0</v>
      </c>
      <c r="T73" s="106"/>
      <c r="U73" s="106"/>
      <c r="X73" s="107"/>
      <c r="AA73" s="107"/>
      <c r="AB73" s="107"/>
      <c r="AC73" s="105"/>
      <c r="AD73" s="105"/>
      <c r="AE73" s="105"/>
      <c r="AF73" s="105"/>
    </row>
    <row r="74">
      <c r="A74" s="102" t="s">
        <v>199</v>
      </c>
      <c r="B74" s="71" t="str">
        <f>VLOOKUP($A74,'TD Proyectos confirmados y esti'!$A$36:$M$51,2,FALSE())</f>
        <v/>
      </c>
      <c r="C74" s="71" t="str">
        <f>VLOOKUP($A74,'TD Proyectos confirmados y esti'!$A$36:$M$51,3,FALSE())</f>
        <v/>
      </c>
      <c r="D74" s="71" t="str">
        <f>VLOOKUP($A74,'TD Proyectos confirmados y esti'!$A$36:$M$51,4,FALSE())</f>
        <v/>
      </c>
      <c r="E74" s="71" t="str">
        <f>VLOOKUP($A74,'TD Proyectos confirmados y esti'!$A$36:$M$51,5,FALSE())</f>
        <v/>
      </c>
      <c r="F74" s="71" t="str">
        <f>VLOOKUP($A74,'TD Proyectos confirmados y esti'!$A$36:$M$51,6,FALSE())</f>
        <v/>
      </c>
      <c r="G74" s="71">
        <f>VLOOKUP($A74,'TD Proyectos confirmados y esti'!$A$36:$M$51,7,FALSE())</f>
        <v>7350</v>
      </c>
      <c r="H74" s="71" t="str">
        <f>VLOOKUP($A74,'TD Proyectos confirmados y esti'!$A$36:$M$51,8,FALSE())</f>
        <v/>
      </c>
      <c r="I74" s="71" t="str">
        <f>VLOOKUP($A74,'TD Proyectos confirmados y esti'!$A$36:$M$51,9,FALSE())</f>
        <v/>
      </c>
      <c r="J74" s="71" t="str">
        <f>VLOOKUP($A74,'TD Proyectos confirmados y esti'!$A$36:$M$51,10,FALSE())</f>
        <v/>
      </c>
      <c r="K74" s="71" t="str">
        <f>VLOOKUP($A74,'TD Proyectos confirmados y esti'!$A$36:$M$51,11,FALSE())</f>
        <v/>
      </c>
      <c r="L74" s="71" t="str">
        <f>VLOOKUP($A74,'TD Proyectos confirmados y esti'!$A$36:$M$51,12,FALSE())</f>
        <v/>
      </c>
      <c r="M74" s="71" t="str">
        <f>VLOOKUP($A74,'TD Proyectos confirmados y esti'!$A$36:$M$51,13,FALSE())</f>
        <v/>
      </c>
      <c r="N74" s="106">
        <f t="shared" si="23"/>
        <v>7350</v>
      </c>
      <c r="O74" s="106"/>
      <c r="P74" s="71">
        <f t="shared" si="28"/>
        <v>0</v>
      </c>
      <c r="Q74" s="71">
        <f t="shared" si="29"/>
        <v>7350</v>
      </c>
      <c r="R74" s="71">
        <f t="shared" si="30"/>
        <v>0</v>
      </c>
      <c r="S74" s="71">
        <f t="shared" si="31"/>
        <v>0</v>
      </c>
      <c r="T74" s="106"/>
      <c r="U74" s="106"/>
      <c r="AC74" s="105"/>
      <c r="AD74" s="105"/>
      <c r="AE74" s="105"/>
      <c r="AF74" s="105"/>
    </row>
    <row r="75">
      <c r="A75" s="102" t="s">
        <v>190</v>
      </c>
      <c r="B75" s="71">
        <f>VLOOKUP($A75,'TD Proyectos confirmados y esti'!$A$36:$M$51,2,FALSE())</f>
        <v>1750</v>
      </c>
      <c r="C75" s="71">
        <f>VLOOKUP($A75,'TD Proyectos confirmados y esti'!$A$36:$M$51,3,FALSE())</f>
        <v>1750</v>
      </c>
      <c r="D75" s="71">
        <f>VLOOKUP($A75,'TD Proyectos confirmados y esti'!$A$36:$M$51,4,FALSE())</f>
        <v>1750</v>
      </c>
      <c r="E75" s="71">
        <f>VLOOKUP($A75,'TD Proyectos confirmados y esti'!$A$36:$M$51,5,FALSE())</f>
        <v>1750</v>
      </c>
      <c r="F75" s="71">
        <f>VLOOKUP($A75,'TD Proyectos confirmados y esti'!$A$36:$M$51,6,FALSE())</f>
        <v>1750</v>
      </c>
      <c r="G75" s="71">
        <f>VLOOKUP($A75,'TD Proyectos confirmados y esti'!$A$36:$M$51,7,FALSE())</f>
        <v>1750</v>
      </c>
      <c r="H75" s="71" t="str">
        <f>VLOOKUP($A75,'TD Proyectos confirmados y esti'!$A$36:$M$51,8,FALSE())</f>
        <v/>
      </c>
      <c r="I75" s="71" t="str">
        <f>VLOOKUP($A75,'TD Proyectos confirmados y esti'!$A$36:$M$51,9,FALSE())</f>
        <v/>
      </c>
      <c r="J75" s="71" t="str">
        <f>VLOOKUP($A75,'TD Proyectos confirmados y esti'!$A$36:$M$51,10,FALSE())</f>
        <v/>
      </c>
      <c r="K75" s="71" t="str">
        <f>VLOOKUP($A75,'TD Proyectos confirmados y esti'!$A$36:$M$51,11,FALSE())</f>
        <v/>
      </c>
      <c r="L75" s="71" t="str">
        <f>VLOOKUP($A75,'TD Proyectos confirmados y esti'!$A$36:$M$51,12,FALSE())</f>
        <v/>
      </c>
      <c r="M75" s="71" t="str">
        <f>VLOOKUP($A75,'TD Proyectos confirmados y esti'!$A$36:$M$51,13,FALSE())</f>
        <v/>
      </c>
      <c r="N75" s="106">
        <f t="shared" si="23"/>
        <v>10500</v>
      </c>
      <c r="P75" s="71">
        <f t="shared" si="28"/>
        <v>5250</v>
      </c>
      <c r="Q75" s="71">
        <f t="shared" si="29"/>
        <v>5250</v>
      </c>
      <c r="R75" s="71">
        <f t="shared" si="30"/>
        <v>0</v>
      </c>
      <c r="S75" s="71">
        <f t="shared" si="31"/>
        <v>0</v>
      </c>
      <c r="T75" s="106"/>
      <c r="U75" s="106"/>
      <c r="V75" s="107"/>
      <c r="W75" s="107"/>
      <c r="X75" s="107"/>
      <c r="Y75" s="107"/>
      <c r="Z75" s="107"/>
      <c r="AC75" s="105"/>
      <c r="AD75" s="105"/>
      <c r="AE75" s="105"/>
      <c r="AF75" s="105"/>
    </row>
    <row r="76">
      <c r="A76" s="102" t="s">
        <v>183</v>
      </c>
      <c r="B76" s="71">
        <f>VLOOKUP($A76,'TD Proyectos confirmados y esti'!$A$36:$M$53,2,FALSE())</f>
        <v>13450</v>
      </c>
      <c r="C76" s="71">
        <f>VLOOKUP($A76,'TD Proyectos confirmados y esti'!$A$36:$M$53,3,FALSE())</f>
        <v>13450</v>
      </c>
      <c r="D76" s="71">
        <f>VLOOKUP($A76,'TD Proyectos confirmados y esti'!$A$36:$M$53,4,FALSE())</f>
        <v>14750</v>
      </c>
      <c r="E76" s="71">
        <f>VLOOKUP($A76,'TD Proyectos confirmados y esti'!$A$36:$M$53,5,FALSE())</f>
        <v>13450</v>
      </c>
      <c r="F76" s="71">
        <f>VLOOKUP($A76,'TD Proyectos confirmados y esti'!$A$36:$M$53,6,FALSE())</f>
        <v>29230</v>
      </c>
      <c r="G76" s="71">
        <f>VLOOKUP($A76,'TD Proyectos confirmados y esti'!$A$36:$M$53,7,FALSE())</f>
        <v>29230</v>
      </c>
      <c r="H76" s="71">
        <f>VLOOKUP($A76,'TD Proyectos confirmados y esti'!$A$36:$M$53,8,FALSE())</f>
        <v>29230</v>
      </c>
      <c r="I76" s="71">
        <f>VLOOKUP($A76,'TD Proyectos confirmados y esti'!$A$36:$M$53,9,FALSE())</f>
        <v>29230</v>
      </c>
      <c r="J76" s="71">
        <f>VLOOKUP($A76,'TD Proyectos confirmados y esti'!$A$36:$M$53,10,FALSE())</f>
        <v>89870</v>
      </c>
      <c r="K76" s="71">
        <f>VLOOKUP($A76,'TD Proyectos confirmados y esti'!$A$36:$M$53,11,FALSE())</f>
        <v>29230</v>
      </c>
      <c r="L76" s="71">
        <f>VLOOKUP($A76,'TD Proyectos confirmados y esti'!$A$36:$M$53,12,FALSE())</f>
        <v>29230</v>
      </c>
      <c r="M76" s="71">
        <f>VLOOKUP($A76,'TD Proyectos confirmados y esti'!$A$36:$M$53,13,FALSE())</f>
        <v>29230</v>
      </c>
      <c r="N76" s="106">
        <f t="shared" si="23"/>
        <v>349580</v>
      </c>
      <c r="O76" s="549" t="s">
        <v>1312</v>
      </c>
      <c r="P76" s="71">
        <f t="shared" si="28"/>
        <v>41650</v>
      </c>
      <c r="Q76" s="71">
        <f t="shared" si="29"/>
        <v>71910</v>
      </c>
      <c r="R76" s="71">
        <f t="shared" si="30"/>
        <v>148330</v>
      </c>
      <c r="S76" s="71">
        <f t="shared" si="31"/>
        <v>87690</v>
      </c>
      <c r="T76" s="106"/>
      <c r="U76" s="106"/>
      <c r="V76" s="107"/>
      <c r="W76" s="107"/>
      <c r="X76" s="107"/>
      <c r="Y76" s="107"/>
      <c r="Z76" s="107"/>
      <c r="AC76" s="105"/>
      <c r="AD76" s="105"/>
      <c r="AE76" s="105"/>
      <c r="AF76" s="105"/>
    </row>
    <row r="77">
      <c r="A77" s="542" t="s">
        <v>1266</v>
      </c>
      <c r="B77" s="543">
        <v>28311.388877049183</v>
      </c>
      <c r="C77" s="543">
        <v>22453.38048780488</v>
      </c>
      <c r="D77" s="543">
        <v>25655.509433962266</v>
      </c>
      <c r="E77" s="543">
        <v>28128.16877637131</v>
      </c>
      <c r="F77" s="543">
        <v>38475.80508474576</v>
      </c>
      <c r="G77" s="543">
        <v>46583.8609053498</v>
      </c>
      <c r="H77" s="543">
        <v>46034.880264848485</v>
      </c>
      <c r="I77" s="543">
        <v>53975.16130081785</v>
      </c>
      <c r="J77" s="543">
        <f t="shared" ref="J77:N77" si="32">SUM(J60:J76)</f>
        <v>108980.948</v>
      </c>
      <c r="K77" s="543">
        <f t="shared" si="32"/>
        <v>82977.0068</v>
      </c>
      <c r="L77" s="543">
        <f t="shared" si="32"/>
        <v>43049.09793</v>
      </c>
      <c r="M77" s="543">
        <f t="shared" si="32"/>
        <v>45516.06714</v>
      </c>
      <c r="N77" s="543">
        <f t="shared" si="32"/>
        <v>570141.275</v>
      </c>
      <c r="O77" s="549">
        <f>SUM(N60:N76)-N77</f>
        <v>0</v>
      </c>
      <c r="P77" s="550">
        <f t="shared" si="28"/>
        <v>76420.2788</v>
      </c>
      <c r="Q77" s="550">
        <f t="shared" si="29"/>
        <v>113187.8348</v>
      </c>
      <c r="R77" s="550">
        <f t="shared" si="30"/>
        <v>208990.9895</v>
      </c>
      <c r="S77" s="550">
        <f t="shared" si="31"/>
        <v>171542.1719</v>
      </c>
      <c r="T77" s="106"/>
      <c r="U77" s="106"/>
      <c r="W77" s="107"/>
      <c r="X77" s="107"/>
      <c r="Y77" s="107"/>
      <c r="Z77" s="107"/>
      <c r="AC77" s="551"/>
      <c r="AD77" s="551"/>
      <c r="AE77" s="551"/>
      <c r="AF77" s="551"/>
    </row>
    <row r="78">
      <c r="A78" s="552"/>
      <c r="B78" s="551"/>
      <c r="C78" s="551"/>
      <c r="D78" s="551"/>
      <c r="E78" s="551"/>
      <c r="F78" s="551"/>
      <c r="G78" s="551"/>
      <c r="H78" s="551"/>
      <c r="I78" s="551"/>
      <c r="J78" s="553"/>
      <c r="K78" s="553"/>
      <c r="L78" s="553"/>
      <c r="M78" s="553"/>
      <c r="N78" s="106"/>
      <c r="O78" s="554"/>
      <c r="P78" s="106"/>
      <c r="Q78" s="106"/>
      <c r="R78" s="106"/>
      <c r="S78" s="106"/>
      <c r="T78" s="106"/>
      <c r="U78" s="106"/>
      <c r="W78" s="107"/>
      <c r="X78" s="107"/>
      <c r="Y78" s="107"/>
      <c r="Z78" s="107"/>
      <c r="AA78" s="44"/>
      <c r="AB78" s="107"/>
      <c r="AC78" s="551"/>
      <c r="AD78" s="551"/>
      <c r="AE78" s="551"/>
      <c r="AF78" s="551"/>
    </row>
    <row r="79">
      <c r="A79" s="133" t="s">
        <v>1309</v>
      </c>
      <c r="B79" s="148">
        <v>28311.388877049183</v>
      </c>
      <c r="C79" s="148">
        <v>22453.38048780488</v>
      </c>
      <c r="D79" s="148">
        <v>25655.509433962266</v>
      </c>
      <c r="E79" s="148">
        <v>28128.16877637131</v>
      </c>
      <c r="F79" s="148">
        <v>38475.80508474576</v>
      </c>
      <c r="G79" s="148">
        <v>46583.8609053498</v>
      </c>
      <c r="H79" s="148">
        <v>46034.880264848485</v>
      </c>
      <c r="I79" s="148">
        <v>53975.16130081785</v>
      </c>
      <c r="J79" s="148">
        <v>108980.94795645674</v>
      </c>
      <c r="K79" s="148">
        <v>82977.00680352777</v>
      </c>
      <c r="L79" s="148">
        <v>43049.097930006676</v>
      </c>
      <c r="M79" s="148">
        <v>45516.06714313868</v>
      </c>
      <c r="N79" s="106"/>
      <c r="O79" s="106"/>
      <c r="P79" s="106"/>
      <c r="Q79" s="106"/>
      <c r="R79" s="106"/>
      <c r="S79" s="106"/>
      <c r="T79" s="106"/>
      <c r="U79" s="106"/>
      <c r="W79" s="107"/>
      <c r="X79" s="107"/>
      <c r="Y79" s="107"/>
      <c r="Z79" s="107"/>
      <c r="AA79" s="44"/>
      <c r="AB79" s="107"/>
      <c r="AC79" s="551"/>
      <c r="AD79" s="551"/>
      <c r="AE79" s="551"/>
      <c r="AF79" s="551"/>
    </row>
    <row r="80">
      <c r="A80" s="133"/>
      <c r="B80" s="547">
        <f t="shared" ref="B80:M80" si="33">B79-B77</f>
        <v>0</v>
      </c>
      <c r="C80" s="547">
        <f t="shared" si="33"/>
        <v>0</v>
      </c>
      <c r="D80" s="547">
        <f t="shared" si="33"/>
        <v>0</v>
      </c>
      <c r="E80" s="547">
        <f t="shared" si="33"/>
        <v>0</v>
      </c>
      <c r="F80" s="547">
        <f t="shared" si="33"/>
        <v>0</v>
      </c>
      <c r="G80" s="547">
        <f t="shared" si="33"/>
        <v>0</v>
      </c>
      <c r="H80" s="547">
        <f t="shared" si="33"/>
        <v>0</v>
      </c>
      <c r="I80" s="547">
        <f t="shared" si="33"/>
        <v>0</v>
      </c>
      <c r="J80" s="547">
        <f t="shared" si="33"/>
        <v>0</v>
      </c>
      <c r="K80" s="547">
        <f t="shared" si="33"/>
        <v>0</v>
      </c>
      <c r="L80" s="547">
        <f t="shared" si="33"/>
        <v>0</v>
      </c>
      <c r="M80" s="547">
        <f t="shared" si="33"/>
        <v>0</v>
      </c>
      <c r="N80" s="526"/>
      <c r="O80" s="106"/>
      <c r="P80" s="528"/>
      <c r="Q80" s="528"/>
      <c r="R80" s="528"/>
      <c r="S80" s="528"/>
      <c r="T80" s="106"/>
      <c r="U80" s="106"/>
      <c r="X80" s="107"/>
      <c r="AB80" s="107"/>
      <c r="AC80" s="551"/>
      <c r="AD80" s="551"/>
      <c r="AE80" s="551"/>
      <c r="AF80" s="551"/>
    </row>
    <row r="81">
      <c r="A81" s="526"/>
      <c r="B81" s="526"/>
      <c r="C81" s="526"/>
      <c r="D81" s="526"/>
      <c r="E81" s="526"/>
      <c r="F81" s="526"/>
      <c r="G81" s="526"/>
      <c r="H81" s="526"/>
      <c r="I81" s="528"/>
      <c r="J81" s="527"/>
      <c r="K81" s="527"/>
      <c r="L81" s="527"/>
      <c r="M81" s="527"/>
      <c r="N81" s="526"/>
      <c r="O81" s="106"/>
      <c r="P81" s="528"/>
      <c r="Q81" s="528"/>
      <c r="R81" s="528"/>
      <c r="S81" s="528"/>
      <c r="T81" s="106"/>
      <c r="U81" s="106"/>
      <c r="X81" s="107"/>
      <c r="AB81" s="107"/>
      <c r="AC81" s="551"/>
      <c r="AD81" s="551"/>
      <c r="AE81" s="551"/>
      <c r="AF81" s="551"/>
    </row>
    <row r="82">
      <c r="A82" s="526"/>
      <c r="B82" s="526"/>
      <c r="C82" s="526"/>
      <c r="D82" s="526"/>
      <c r="E82" s="526"/>
      <c r="F82" s="526"/>
      <c r="G82" s="526"/>
      <c r="H82" s="526"/>
      <c r="I82" s="528"/>
      <c r="J82" s="527"/>
      <c r="K82" s="527"/>
      <c r="L82" s="527"/>
      <c r="M82" s="527"/>
      <c r="N82" s="526"/>
      <c r="O82" s="106"/>
      <c r="P82" s="528"/>
      <c r="Q82" s="528"/>
      <c r="R82" s="528"/>
      <c r="S82" s="528"/>
      <c r="T82" s="106"/>
      <c r="U82" s="106"/>
      <c r="X82" s="107"/>
      <c r="AB82" s="107"/>
      <c r="AC82" s="551"/>
      <c r="AD82" s="551"/>
      <c r="AE82" s="551"/>
      <c r="AF82" s="551"/>
    </row>
    <row r="83">
      <c r="A83" s="526"/>
      <c r="B83" s="526"/>
      <c r="C83" s="526"/>
      <c r="D83" s="526"/>
      <c r="E83" s="526"/>
      <c r="F83" s="526"/>
      <c r="G83" s="526"/>
      <c r="H83" s="526"/>
      <c r="I83" s="528"/>
      <c r="J83" s="527"/>
      <c r="K83" s="527"/>
      <c r="L83" s="527"/>
      <c r="M83" s="527"/>
      <c r="N83" s="526"/>
      <c r="O83" s="106"/>
      <c r="P83" s="528"/>
      <c r="Q83" s="528"/>
      <c r="R83" s="528"/>
      <c r="S83" s="528"/>
      <c r="T83" s="106"/>
      <c r="U83" s="106"/>
      <c r="X83" s="107"/>
      <c r="AB83" s="107"/>
      <c r="AC83" s="551"/>
      <c r="AD83" s="551"/>
      <c r="AE83" s="551"/>
      <c r="AF83" s="551"/>
    </row>
    <row r="84">
      <c r="A84" s="532" t="s">
        <v>1297</v>
      </c>
      <c r="B84" s="532" t="s">
        <v>1248</v>
      </c>
      <c r="C84" s="532" t="s">
        <v>1249</v>
      </c>
      <c r="D84" s="532" t="s">
        <v>1250</v>
      </c>
      <c r="E84" s="532" t="s">
        <v>1251</v>
      </c>
      <c r="F84" s="532" t="s">
        <v>1252</v>
      </c>
      <c r="G84" s="532" t="s">
        <v>1253</v>
      </c>
      <c r="H84" s="532" t="s">
        <v>1254</v>
      </c>
      <c r="I84" s="534" t="s">
        <v>1255</v>
      </c>
      <c r="J84" s="534" t="s">
        <v>1256</v>
      </c>
      <c r="K84" s="533" t="s">
        <v>1257</v>
      </c>
      <c r="L84" s="533" t="s">
        <v>1258</v>
      </c>
      <c r="M84" s="533" t="s">
        <v>1259</v>
      </c>
      <c r="N84" s="532" t="s">
        <v>1300</v>
      </c>
      <c r="O84" s="106"/>
      <c r="P84" s="534" t="s">
        <v>1301</v>
      </c>
      <c r="Q84" s="534" t="s">
        <v>1302</v>
      </c>
      <c r="R84" s="534" t="s">
        <v>1303</v>
      </c>
      <c r="S84" s="534" t="s">
        <v>1304</v>
      </c>
      <c r="T84" s="106"/>
      <c r="U84" s="106"/>
      <c r="X84" s="107"/>
      <c r="AB84" s="107"/>
      <c r="AC84" s="551"/>
      <c r="AD84" s="551"/>
      <c r="AE84" s="551"/>
      <c r="AF84" s="551"/>
    </row>
    <row r="85">
      <c r="A85" s="527" t="s">
        <v>1313</v>
      </c>
      <c r="B85" s="552">
        <f t="shared" ref="B85:N85" si="34">B77-B52</f>
        <v>-1029.977737</v>
      </c>
      <c r="C85" s="552">
        <f t="shared" si="34"/>
        <v>-7313.356524</v>
      </c>
      <c r="D85" s="552">
        <f t="shared" si="34"/>
        <v>-4170.326765</v>
      </c>
      <c r="E85" s="552">
        <f t="shared" si="34"/>
        <v>-4903.819705</v>
      </c>
      <c r="F85" s="552">
        <f t="shared" si="34"/>
        <v>-1154.66316</v>
      </c>
      <c r="G85" s="552">
        <f t="shared" si="34"/>
        <v>9486.927819</v>
      </c>
      <c r="H85" s="552">
        <f t="shared" si="34"/>
        <v>5591.433638</v>
      </c>
      <c r="I85" s="552">
        <f t="shared" si="34"/>
        <v>13970.7212</v>
      </c>
      <c r="J85" s="552">
        <f t="shared" si="34"/>
        <v>74624.59204</v>
      </c>
      <c r="K85" s="552">
        <f t="shared" si="34"/>
        <v>44796.27894</v>
      </c>
      <c r="L85" s="552">
        <f t="shared" si="34"/>
        <v>2003.785576</v>
      </c>
      <c r="M85" s="552">
        <f t="shared" si="34"/>
        <v>-11774.77796</v>
      </c>
      <c r="N85" s="552">
        <f t="shared" si="34"/>
        <v>120126.8174</v>
      </c>
      <c r="O85" s="106"/>
      <c r="P85" s="555">
        <f t="shared" ref="P85:S85" si="35">P77-P52</f>
        <v>-12513.66103</v>
      </c>
      <c r="Q85" s="555">
        <f t="shared" si="35"/>
        <v>3428.444954</v>
      </c>
      <c r="R85" s="555">
        <f t="shared" si="35"/>
        <v>90464.71228</v>
      </c>
      <c r="S85" s="555">
        <f t="shared" si="35"/>
        <v>34098.28656</v>
      </c>
      <c r="T85" s="106"/>
      <c r="U85" s="106"/>
      <c r="V85" s="107"/>
      <c r="W85" s="107"/>
      <c r="X85" s="107"/>
      <c r="Y85" s="107"/>
      <c r="Z85" s="107"/>
      <c r="AB85" s="551"/>
      <c r="AC85" s="551"/>
      <c r="AD85" s="551"/>
      <c r="AE85" s="551"/>
      <c r="AF85" s="551"/>
    </row>
    <row r="86">
      <c r="A86" s="527" t="s">
        <v>1314</v>
      </c>
      <c r="B86" s="552">
        <f t="shared" ref="B86:N86" si="36">B77-B51</f>
        <v>-1504.902328</v>
      </c>
      <c r="C86" s="552">
        <f t="shared" si="36"/>
        <v>-7562.471158</v>
      </c>
      <c r="D86" s="552">
        <f t="shared" si="36"/>
        <v>-4522.519973</v>
      </c>
      <c r="E86" s="552">
        <f t="shared" si="36"/>
        <v>-7680.528565</v>
      </c>
      <c r="F86" s="552">
        <f t="shared" si="36"/>
        <v>2707.542319</v>
      </c>
      <c r="G86" s="552">
        <f t="shared" si="36"/>
        <v>13414.30543</v>
      </c>
      <c r="H86" s="552">
        <f t="shared" si="36"/>
        <v>3666.363335</v>
      </c>
      <c r="I86" s="552">
        <f t="shared" si="36"/>
        <v>-2620.836977</v>
      </c>
      <c r="J86" s="552">
        <f t="shared" si="36"/>
        <v>58914.25848</v>
      </c>
      <c r="K86" s="552">
        <f t="shared" si="36"/>
        <v>38285.33005</v>
      </c>
      <c r="L86" s="552">
        <f t="shared" si="36"/>
        <v>-4594.948652</v>
      </c>
      <c r="M86" s="552">
        <f t="shared" si="36"/>
        <v>-18466.82987</v>
      </c>
      <c r="N86" s="552">
        <f t="shared" si="36"/>
        <v>70034.76209</v>
      </c>
      <c r="P86" s="556"/>
      <c r="Q86" s="556"/>
      <c r="R86" s="556"/>
      <c r="S86" s="556"/>
      <c r="T86" s="106"/>
      <c r="U86" s="106"/>
      <c r="V86" s="107"/>
      <c r="AB86" s="551"/>
      <c r="AC86" s="551"/>
      <c r="AD86" s="551"/>
      <c r="AE86" s="551"/>
      <c r="AF86" s="551"/>
    </row>
    <row r="87">
      <c r="A87" s="527" t="s">
        <v>1315</v>
      </c>
      <c r="B87" s="557">
        <f t="shared" ref="B87:N87" si="37">B85/B77</f>
        <v>-0.03638033238</v>
      </c>
      <c r="C87" s="557">
        <f t="shared" si="37"/>
        <v>-0.3257129379</v>
      </c>
      <c r="D87" s="557">
        <f t="shared" si="37"/>
        <v>-0.162550924</v>
      </c>
      <c r="E87" s="557">
        <f t="shared" si="37"/>
        <v>-0.1743383917</v>
      </c>
      <c r="F87" s="557">
        <f t="shared" si="37"/>
        <v>-0.03001011046</v>
      </c>
      <c r="G87" s="557">
        <f t="shared" si="37"/>
        <v>0.2036526736</v>
      </c>
      <c r="H87" s="557">
        <f t="shared" si="37"/>
        <v>0.1214608055</v>
      </c>
      <c r="I87" s="557">
        <f t="shared" si="37"/>
        <v>0.2588361177</v>
      </c>
      <c r="J87" s="557">
        <f t="shared" si="37"/>
        <v>0.6847489716</v>
      </c>
      <c r="K87" s="557">
        <f t="shared" si="37"/>
        <v>0.5398637607</v>
      </c>
      <c r="L87" s="557">
        <f t="shared" si="37"/>
        <v>0.04654651717</v>
      </c>
      <c r="M87" s="557">
        <f t="shared" si="37"/>
        <v>-0.2586949774</v>
      </c>
      <c r="N87" s="556">
        <f t="shared" si="37"/>
        <v>0.2106965811</v>
      </c>
      <c r="P87" s="556">
        <f t="shared" ref="P87:S87" si="38">P85/P77</f>
        <v>-0.1637479112</v>
      </c>
      <c r="Q87" s="556">
        <f t="shared" si="38"/>
        <v>0.03028987135</v>
      </c>
      <c r="R87" s="556">
        <f t="shared" si="38"/>
        <v>0.4328641751</v>
      </c>
      <c r="S87" s="556">
        <f t="shared" si="38"/>
        <v>0.1987749495</v>
      </c>
      <c r="T87" s="106"/>
      <c r="U87" s="106"/>
      <c r="V87" s="107"/>
      <c r="AB87" s="551"/>
      <c r="AC87" s="551"/>
      <c r="AD87" s="551"/>
      <c r="AE87" s="551"/>
      <c r="AF87" s="551"/>
    </row>
    <row r="88">
      <c r="A88" s="527" t="s">
        <v>1316</v>
      </c>
      <c r="B88" s="558">
        <f t="shared" ref="B88:N88" si="39">B77/B53</f>
        <v>1.449948333</v>
      </c>
      <c r="C88" s="558">
        <f t="shared" si="39"/>
        <v>1.152579761</v>
      </c>
      <c r="D88" s="558">
        <f t="shared" si="39"/>
        <v>1.360207269</v>
      </c>
      <c r="E88" s="558">
        <f t="shared" si="39"/>
        <v>1.348721842</v>
      </c>
      <c r="F88" s="558">
        <f t="shared" si="39"/>
        <v>1.549859451</v>
      </c>
      <c r="G88" s="558">
        <f t="shared" si="39"/>
        <v>2.037165827</v>
      </c>
      <c r="H88" s="558">
        <f t="shared" si="39"/>
        <v>1.859743624</v>
      </c>
      <c r="I88" s="558">
        <f t="shared" si="39"/>
        <v>2.235626576</v>
      </c>
      <c r="J88" s="559">
        <f t="shared" si="39"/>
        <v>4.799045775</v>
      </c>
      <c r="K88" s="559">
        <f t="shared" si="39"/>
        <v>3.409740993</v>
      </c>
      <c r="L88" s="559">
        <f t="shared" si="39"/>
        <v>1.579335928</v>
      </c>
      <c r="M88" s="559">
        <f t="shared" si="39"/>
        <v>1.258471245</v>
      </c>
      <c r="N88" s="559">
        <f t="shared" si="39"/>
        <v>1.995020403</v>
      </c>
      <c r="P88" s="559">
        <f t="shared" ref="P88:S88" si="40">P77/P53</f>
        <v>1.340916642</v>
      </c>
      <c r="Q88" s="559">
        <f t="shared" si="40"/>
        <v>1.674956255</v>
      </c>
      <c r="R88" s="559">
        <f t="shared" si="40"/>
        <v>2.943109669</v>
      </c>
      <c r="S88" s="559">
        <f t="shared" si="40"/>
        <v>2.040956477</v>
      </c>
      <c r="T88" s="106"/>
      <c r="U88" s="106"/>
      <c r="V88" s="107"/>
      <c r="AA88" s="107"/>
      <c r="AB88" s="551"/>
      <c r="AC88" s="551"/>
      <c r="AD88" s="551"/>
      <c r="AE88" s="551"/>
      <c r="AF88" s="551"/>
    </row>
    <row r="89">
      <c r="A89" s="527" t="s">
        <v>1317</v>
      </c>
      <c r="B89" s="552">
        <f t="shared" ref="B89:K89" si="41">B85+C85+D85</f>
        <v>-12513.66103</v>
      </c>
      <c r="C89" s="552">
        <f t="shared" si="41"/>
        <v>-16387.50299</v>
      </c>
      <c r="D89" s="552">
        <f t="shared" si="41"/>
        <v>-10228.80963</v>
      </c>
      <c r="E89" s="552">
        <f t="shared" si="41"/>
        <v>3428.444954</v>
      </c>
      <c r="F89" s="552">
        <f t="shared" si="41"/>
        <v>13923.6983</v>
      </c>
      <c r="G89" s="552">
        <f t="shared" si="41"/>
        <v>29049.08266</v>
      </c>
      <c r="H89" s="552">
        <f t="shared" si="41"/>
        <v>94186.74688</v>
      </c>
      <c r="I89" s="552">
        <f t="shared" si="41"/>
        <v>133391.5922</v>
      </c>
      <c r="J89" s="552">
        <f t="shared" si="41"/>
        <v>121424.6566</v>
      </c>
      <c r="K89" s="552">
        <f t="shared" si="41"/>
        <v>35025.28656</v>
      </c>
      <c r="L89" s="552"/>
      <c r="M89" s="552"/>
      <c r="N89" s="555"/>
      <c r="P89" s="555"/>
      <c r="Q89" s="555"/>
      <c r="R89" s="555"/>
      <c r="S89" s="555"/>
      <c r="T89" s="106"/>
      <c r="U89" s="106"/>
      <c r="V89" s="107"/>
      <c r="AA89" s="107"/>
      <c r="AB89" s="551"/>
      <c r="AC89" s="551"/>
      <c r="AD89" s="551"/>
      <c r="AE89" s="551"/>
      <c r="AF89" s="551"/>
    </row>
    <row r="90">
      <c r="A90" s="552"/>
      <c r="B90" s="552"/>
      <c r="C90" s="552"/>
      <c r="D90" s="552"/>
      <c r="E90" s="552"/>
      <c r="F90" s="552"/>
      <c r="G90" s="552"/>
      <c r="H90" s="552"/>
      <c r="I90" s="553"/>
      <c r="J90" s="552"/>
      <c r="K90" s="552"/>
      <c r="L90" s="552"/>
      <c r="M90" s="552"/>
      <c r="P90" s="106"/>
      <c r="Q90" s="106"/>
      <c r="R90" s="106"/>
      <c r="S90" s="106"/>
      <c r="T90" s="106"/>
      <c r="U90" s="106"/>
      <c r="V90" s="107"/>
      <c r="W90" s="107"/>
      <c r="AB90" s="551"/>
      <c r="AC90" s="551"/>
      <c r="AD90" s="551"/>
      <c r="AE90" s="551"/>
      <c r="AF90" s="551"/>
    </row>
    <row r="91">
      <c r="A91" s="560" t="s">
        <v>1318</v>
      </c>
      <c r="B91" s="552"/>
      <c r="C91" s="552"/>
      <c r="D91" s="552"/>
      <c r="E91" s="552"/>
      <c r="F91" s="552"/>
      <c r="G91" s="552"/>
      <c r="H91" s="552"/>
      <c r="I91" s="552"/>
      <c r="J91" s="552"/>
      <c r="K91" s="552"/>
      <c r="L91" s="552"/>
      <c r="M91" s="552"/>
      <c r="P91" s="106"/>
      <c r="Q91" s="106"/>
      <c r="R91" s="106"/>
      <c r="S91" s="106"/>
      <c r="T91" s="106"/>
      <c r="U91" s="106"/>
      <c r="AA91" s="107"/>
      <c r="AB91" s="551"/>
      <c r="AC91" s="551"/>
      <c r="AD91" s="551"/>
      <c r="AE91" s="551"/>
      <c r="AF91" s="551"/>
    </row>
    <row r="92">
      <c r="A92" s="561" t="s">
        <v>1319</v>
      </c>
      <c r="B92" s="552"/>
      <c r="C92" s="552"/>
      <c r="D92" s="552"/>
      <c r="E92" s="552"/>
      <c r="F92" s="552"/>
      <c r="G92" s="552"/>
      <c r="H92" s="552"/>
      <c r="I92" s="552"/>
      <c r="J92" s="552"/>
      <c r="K92" s="552"/>
      <c r="L92" s="552"/>
      <c r="M92" s="552"/>
      <c r="P92" s="106"/>
      <c r="Q92" s="106"/>
      <c r="R92" s="106"/>
      <c r="S92" s="106"/>
      <c r="T92" s="106"/>
      <c r="U92" s="106"/>
      <c r="AA92" s="107"/>
      <c r="AB92" s="551"/>
      <c r="AC92" s="551"/>
      <c r="AD92" s="551"/>
      <c r="AE92" s="551"/>
      <c r="AF92" s="551"/>
    </row>
    <row r="93">
      <c r="A93" s="562" t="s">
        <v>111</v>
      </c>
      <c r="B93" s="532" t="s">
        <v>123</v>
      </c>
      <c r="C93" s="532" t="s">
        <v>129</v>
      </c>
      <c r="D93" s="532" t="s">
        <v>136</v>
      </c>
      <c r="E93" s="532" t="s">
        <v>143</v>
      </c>
      <c r="F93" s="532" t="s">
        <v>149</v>
      </c>
      <c r="G93" s="532" t="s">
        <v>155</v>
      </c>
      <c r="H93" s="532" t="s">
        <v>161</v>
      </c>
      <c r="I93" s="532" t="s">
        <v>166</v>
      </c>
      <c r="J93" s="532" t="s">
        <v>171</v>
      </c>
      <c r="K93" s="563" t="s">
        <v>175</v>
      </c>
      <c r="L93" s="563" t="s">
        <v>179</v>
      </c>
      <c r="M93" s="563" t="s">
        <v>182</v>
      </c>
      <c r="N93" s="107"/>
      <c r="O93" s="107"/>
      <c r="P93" s="107"/>
      <c r="Q93" s="107"/>
      <c r="R93" s="106"/>
      <c r="S93" s="106"/>
      <c r="T93" s="106"/>
      <c r="U93" s="106"/>
      <c r="W93" s="107"/>
      <c r="AB93" s="551"/>
      <c r="AC93" s="551"/>
      <c r="AD93" s="551"/>
      <c r="AE93" s="551"/>
      <c r="AF93" s="551"/>
    </row>
    <row r="94">
      <c r="A94" s="102" t="s">
        <v>132</v>
      </c>
      <c r="B94" s="71" t="str">
        <f>VLOOKUP($A94,'TD Proyectos confirmados y esti'!$A$59:$M$74,2,FALSE())</f>
        <v/>
      </c>
      <c r="C94" s="71" t="str">
        <f>VLOOKUP($A94,'TD Proyectos confirmados y esti'!$A$59:$M$74,3,FALSE())</f>
        <v/>
      </c>
      <c r="D94" s="71" t="str">
        <f>VLOOKUP($A94,'TD Proyectos confirmados y esti'!$A$59:$M$74,4,FALSE())</f>
        <v/>
      </c>
      <c r="E94" s="71" t="str">
        <f>VLOOKUP($A94,'TD Proyectos confirmados y esti'!$A$59:$M$74,5,FALSE())</f>
        <v/>
      </c>
      <c r="F94" s="71" t="str">
        <f>VLOOKUP($A94,'TD Proyectos confirmados y esti'!$A$59:$M$74,6,FALSE())</f>
        <v/>
      </c>
      <c r="G94" s="71" t="str">
        <f>VLOOKUP($A94,'TD Proyectos confirmados y esti'!$A$59:$M$74,7,FALSE())</f>
        <v/>
      </c>
      <c r="H94" s="71">
        <f>VLOOKUP($A94,'TD Proyectos confirmados y esti'!$A$59:$M$74,8,FALSE())</f>
        <v>659.0909091</v>
      </c>
      <c r="I94" s="71" t="str">
        <f>VLOOKUP($A94,'TD Proyectos confirmados y esti'!$A$59:$M$74,9,FALSE())</f>
        <v/>
      </c>
      <c r="J94" s="71">
        <f>VLOOKUP($A94,'TD Proyectos confirmados y esti'!$A$59:$M$74,10,FALSE())</f>
        <v>1168.318339</v>
      </c>
      <c r="K94" s="71">
        <f>VLOOKUP($A94,'TD Proyectos confirmados y esti'!$A$59:$M$74,11,FALSE())</f>
        <v>944.4444444</v>
      </c>
      <c r="L94" s="71" t="str">
        <f>VLOOKUP($A94,'TD Proyectos confirmados y esti'!$A$59:$M$74,12,FALSE())</f>
        <v/>
      </c>
      <c r="M94" s="71" t="str">
        <f>VLOOKUP($A94,'TD Proyectos confirmados y esti'!$A$59:$M$74,13,FALSE())</f>
        <v/>
      </c>
      <c r="N94" s="107"/>
      <c r="O94" s="107"/>
      <c r="P94" s="107"/>
      <c r="Q94" s="107"/>
      <c r="R94" s="107"/>
      <c r="AB94" s="551"/>
      <c r="AC94" s="551"/>
      <c r="AD94" s="551"/>
      <c r="AE94" s="551"/>
      <c r="AF94" s="551"/>
    </row>
    <row r="95">
      <c r="A95" s="102" t="s">
        <v>126</v>
      </c>
      <c r="B95" s="71">
        <f>VLOOKUP($A95,'TD Proyectos confirmados y esti'!$A$59:$M$74,2,FALSE())</f>
        <v>344.2622951</v>
      </c>
      <c r="C95" s="71">
        <f>VLOOKUP($A95,'TD Proyectos confirmados y esti'!$A$59:$M$74,3,FALSE())</f>
        <v>341.4634146</v>
      </c>
      <c r="D95" s="71">
        <f>VLOOKUP($A95,'TD Proyectos confirmados y esti'!$A$59:$M$74,4,FALSE())</f>
        <v>2588.679245</v>
      </c>
      <c r="E95" s="71" t="str">
        <f>VLOOKUP($A95,'TD Proyectos confirmados y esti'!$A$59:$M$74,5,FALSE())</f>
        <v/>
      </c>
      <c r="F95" s="71" t="str">
        <f>VLOOKUP($A95,'TD Proyectos confirmados y esti'!$A$59:$M$74,6,FALSE())</f>
        <v/>
      </c>
      <c r="G95" s="71" t="str">
        <f>VLOOKUP($A95,'TD Proyectos confirmados y esti'!$A$59:$M$74,7,FALSE())</f>
        <v/>
      </c>
      <c r="H95" s="71" t="str">
        <f>VLOOKUP($A95,'TD Proyectos confirmados y esti'!$A$59:$M$74,8,FALSE())</f>
        <v/>
      </c>
      <c r="I95" s="71" t="str">
        <f>VLOOKUP($A95,'TD Proyectos confirmados y esti'!$A$59:$M$74,9,FALSE())</f>
        <v/>
      </c>
      <c r="J95" s="71" t="str">
        <f>VLOOKUP($A95,'TD Proyectos confirmados y esti'!$A$59:$M$74,10,FALSE())</f>
        <v/>
      </c>
      <c r="K95" s="71" t="str">
        <f>VLOOKUP($A95,'TD Proyectos confirmados y esti'!$A$59:$M$74,11,FALSE())</f>
        <v/>
      </c>
      <c r="L95" s="71" t="str">
        <f>VLOOKUP($A95,'TD Proyectos confirmados y esti'!$A$59:$M$74,12,FALSE())</f>
        <v/>
      </c>
      <c r="M95" s="71" t="str">
        <f>VLOOKUP($A95,'TD Proyectos confirmados y esti'!$A$59:$M$74,13,FALSE())</f>
        <v/>
      </c>
      <c r="N95" s="107"/>
      <c r="O95" s="107"/>
      <c r="P95" s="107"/>
      <c r="Q95" s="107"/>
      <c r="R95" s="107"/>
      <c r="S95" s="107"/>
      <c r="T95" s="107"/>
      <c r="U95" s="107"/>
      <c r="V95" s="107"/>
      <c r="W95" s="107"/>
      <c r="X95" s="107"/>
      <c r="Y95" s="107"/>
      <c r="Z95" s="107"/>
      <c r="AB95" s="551"/>
      <c r="AC95" s="551"/>
      <c r="AD95" s="551"/>
      <c r="AE95" s="551"/>
      <c r="AF95" s="551"/>
    </row>
    <row r="96">
      <c r="A96" s="102" t="s">
        <v>209</v>
      </c>
      <c r="B96" s="71" t="str">
        <f>VLOOKUP($A96,'TD Proyectos confirmados y esti'!$A$59:$M$74,2,FALSE())</f>
        <v/>
      </c>
      <c r="C96" s="71" t="str">
        <f>VLOOKUP($A96,'TD Proyectos confirmados y esti'!$A$59:$M$74,3,FALSE())</f>
        <v/>
      </c>
      <c r="D96" s="71" t="str">
        <f>VLOOKUP($A96,'TD Proyectos confirmados y esti'!$A$59:$M$74,4,FALSE())</f>
        <v/>
      </c>
      <c r="E96" s="71" t="str">
        <f>VLOOKUP($A96,'TD Proyectos confirmados y esti'!$A$59:$M$74,5,FALSE())</f>
        <v/>
      </c>
      <c r="F96" s="71" t="str">
        <f>VLOOKUP($A96,'TD Proyectos confirmados y esti'!$A$59:$M$74,6,FALSE())</f>
        <v/>
      </c>
      <c r="G96" s="71" t="str">
        <f>VLOOKUP($A96,'TD Proyectos confirmados y esti'!$A$59:$M$74,7,FALSE())</f>
        <v/>
      </c>
      <c r="H96" s="71" t="str">
        <f>VLOOKUP($A96,'TD Proyectos confirmados y esti'!$A$59:$M$74,8,FALSE())</f>
        <v/>
      </c>
      <c r="I96" s="71" t="str">
        <f>VLOOKUP($A96,'TD Proyectos confirmados y esti'!$A$59:$M$74,9,FALSE())</f>
        <v/>
      </c>
      <c r="J96" s="71">
        <f>VLOOKUP($A96,'TD Proyectos confirmados y esti'!$A$59:$M$74,10,FALSE())</f>
        <v>1384.083045</v>
      </c>
      <c r="K96" s="71" t="str">
        <f>VLOOKUP($A96,'TD Proyectos confirmados y esti'!$A$59:$M$74,11,FALSE())</f>
        <v/>
      </c>
      <c r="L96" s="71" t="str">
        <f>VLOOKUP($A96,'TD Proyectos confirmados y esti'!$A$59:$M$74,12,FALSE())</f>
        <v/>
      </c>
      <c r="M96" s="71" t="str">
        <f>VLOOKUP($A96,'TD Proyectos confirmados y esti'!$A$59:$M$74,13,FALSE())</f>
        <v/>
      </c>
      <c r="N96" s="107"/>
      <c r="O96" s="107"/>
      <c r="P96" s="107"/>
      <c r="Q96" s="107"/>
      <c r="V96" s="107"/>
      <c r="W96" s="107"/>
      <c r="X96" s="107"/>
      <c r="Y96" s="107"/>
      <c r="Z96" s="107"/>
      <c r="AA96" s="107"/>
      <c r="AB96" s="551"/>
      <c r="AC96" s="551"/>
      <c r="AD96" s="551"/>
      <c r="AE96" s="551"/>
      <c r="AF96" s="551"/>
    </row>
    <row r="97">
      <c r="A97" s="102" t="s">
        <v>202</v>
      </c>
      <c r="B97" s="71" t="str">
        <f>VLOOKUP($A97,'TD Proyectos confirmados y esti'!$A$59:$M$74,2,FALSE())</f>
        <v/>
      </c>
      <c r="C97" s="71" t="str">
        <f>VLOOKUP($A97,'TD Proyectos confirmados y esti'!$A$59:$M$74,3,FALSE())</f>
        <v/>
      </c>
      <c r="D97" s="71" t="str">
        <f>VLOOKUP($A97,'TD Proyectos confirmados y esti'!$A$59:$M$74,4,FALSE())</f>
        <v/>
      </c>
      <c r="E97" s="71">
        <f>VLOOKUP($A97,'TD Proyectos confirmados y esti'!$A$59:$M$74,5,FALSE())</f>
        <v>5568</v>
      </c>
      <c r="F97" s="71" t="str">
        <f>VLOOKUP($A97,'TD Proyectos confirmados y esti'!$A$59:$M$74,6,FALSE())</f>
        <v/>
      </c>
      <c r="G97" s="71" t="str">
        <f>VLOOKUP($A97,'TD Proyectos confirmados y esti'!$A$59:$M$74,7,FALSE())</f>
        <v/>
      </c>
      <c r="H97" s="71" t="str">
        <f>VLOOKUP($A97,'TD Proyectos confirmados y esti'!$A$59:$M$74,8,FALSE())</f>
        <v/>
      </c>
      <c r="I97" s="71" t="str">
        <f>VLOOKUP($A97,'TD Proyectos confirmados y esti'!$A$59:$M$74,9,FALSE())</f>
        <v/>
      </c>
      <c r="J97" s="71" t="str">
        <f>VLOOKUP($A97,'TD Proyectos confirmados y esti'!$A$59:$M$74,10,FALSE())</f>
        <v/>
      </c>
      <c r="K97" s="71" t="str">
        <f>VLOOKUP($A97,'TD Proyectos confirmados y esti'!$A$59:$M$74,11,FALSE())</f>
        <v/>
      </c>
      <c r="L97" s="71" t="str">
        <f>VLOOKUP($A97,'TD Proyectos confirmados y esti'!$A$59:$M$74,12,FALSE())</f>
        <v/>
      </c>
      <c r="M97" s="71" t="str">
        <f>VLOOKUP($A97,'TD Proyectos confirmados y esti'!$A$59:$M$74,13,FALSE())</f>
        <v/>
      </c>
      <c r="N97" s="107"/>
      <c r="O97" s="107"/>
      <c r="P97" s="107"/>
      <c r="Q97" s="107"/>
      <c r="W97" s="107"/>
      <c r="AA97" s="551"/>
      <c r="AB97" s="551"/>
      <c r="AC97" s="551"/>
      <c r="AD97" s="551"/>
      <c r="AE97" s="551"/>
      <c r="AF97" s="551"/>
    </row>
    <row r="98">
      <c r="A98" s="102" t="s">
        <v>119</v>
      </c>
      <c r="B98" s="71">
        <f>VLOOKUP($A98,'TD Proyectos confirmados y esti'!$A$59:$M$74,2,FALSE())</f>
        <v>3048.217213</v>
      </c>
      <c r="C98" s="71">
        <f>VLOOKUP($A98,'TD Proyectos confirmados y esti'!$A$59:$M$74,3,FALSE())</f>
        <v>3023.434959</v>
      </c>
      <c r="D98" s="71">
        <f>VLOOKUP($A98,'TD Proyectos confirmados y esti'!$A$59:$M$74,4,FALSE())</f>
        <v>2806.660377</v>
      </c>
      <c r="E98" s="71">
        <f>VLOOKUP($A98,'TD Proyectos confirmados y esti'!$A$59:$M$74,5,FALSE())</f>
        <v>3138.248945</v>
      </c>
      <c r="F98" s="71">
        <f>VLOOKUP($A98,'TD Proyectos confirmados y esti'!$A$59:$M$74,6,FALSE())</f>
        <v>3151.54661</v>
      </c>
      <c r="G98" s="71">
        <f>VLOOKUP($A98,'TD Proyectos confirmados y esti'!$A$59:$M$74,7,FALSE())</f>
        <v>3588.358848</v>
      </c>
      <c r="H98" s="71">
        <f>VLOOKUP($A98,'TD Proyectos confirmados y esti'!$A$59:$M$74,8,FALSE())</f>
        <v>3302.921932</v>
      </c>
      <c r="I98" s="71">
        <f>VLOOKUP($A98,'TD Proyectos confirmados y esti'!$A$59:$M$74,9,FALSE())</f>
        <v>3241.529331</v>
      </c>
      <c r="J98" s="71">
        <f>VLOOKUP($A98,'TD Proyectos confirmados y esti'!$A$59:$M$74,10,FALSE())</f>
        <v>3168.062143</v>
      </c>
      <c r="K98" s="71">
        <f>VLOOKUP($A98,'TD Proyectos confirmados y esti'!$A$59:$M$74,11,FALSE())</f>
        <v>3179.062359</v>
      </c>
      <c r="L98" s="71">
        <f>VLOOKUP($A98,'TD Proyectos confirmados y esti'!$A$59:$M$74,12,FALSE())</f>
        <v>3053.935822</v>
      </c>
      <c r="M98" s="71">
        <f>VLOOKUP($A98,'TD Proyectos confirmados y esti'!$A$59:$M$74,13,FALSE())</f>
        <v>3203.898784</v>
      </c>
      <c r="N98" s="107"/>
      <c r="O98" s="107"/>
      <c r="P98" s="107"/>
      <c r="Q98" s="107"/>
      <c r="R98" s="107"/>
      <c r="S98" s="107"/>
      <c r="T98" s="107"/>
      <c r="U98" s="107"/>
      <c r="V98" s="107"/>
      <c r="W98" s="107"/>
      <c r="X98" s="107"/>
      <c r="Y98" s="107"/>
      <c r="Z98" s="107"/>
      <c r="AA98" s="551"/>
      <c r="AB98" s="551"/>
      <c r="AC98" s="551"/>
      <c r="AD98" s="551"/>
      <c r="AE98" s="551"/>
      <c r="AF98" s="551"/>
    </row>
    <row r="99">
      <c r="A99" s="102" t="s">
        <v>193</v>
      </c>
      <c r="B99" s="71">
        <f>VLOOKUP($A99,'TD Proyectos confirmados y esti'!$A$59:$M$74,2,FALSE())</f>
        <v>588.6065574</v>
      </c>
      <c r="C99" s="71">
        <f>VLOOKUP($A99,'TD Proyectos confirmados y esti'!$A$59:$M$74,3,FALSE())</f>
        <v>700.8130081</v>
      </c>
      <c r="D99" s="71">
        <f>VLOOKUP($A99,'TD Proyectos confirmados y esti'!$A$59:$M$74,4,FALSE())</f>
        <v>582.0754717</v>
      </c>
      <c r="E99" s="71">
        <f>VLOOKUP($A99,'TD Proyectos confirmados y esti'!$A$59:$M$74,5,FALSE())</f>
        <v>668.3544304</v>
      </c>
      <c r="F99" s="71">
        <f>VLOOKUP($A99,'TD Proyectos confirmados y esti'!$A$59:$M$74,6,FALSE())</f>
        <v>775.6355932</v>
      </c>
      <c r="G99" s="71">
        <f>VLOOKUP($A99,'TD Proyectos confirmados y esti'!$A$59:$M$74,7,FALSE())</f>
        <v>882.2098765</v>
      </c>
      <c r="H99" s="71">
        <f>VLOOKUP($A99,'TD Proyectos confirmados y esti'!$A$59:$M$74,8,FALSE())</f>
        <v>910.5189394</v>
      </c>
      <c r="I99" s="71">
        <f>VLOOKUP($A99,'TD Proyectos confirmados y esti'!$A$59:$M$74,9,FALSE())</f>
        <v>1072.033457</v>
      </c>
      <c r="J99" s="71">
        <f>VLOOKUP($A99,'TD Proyectos confirmados y esti'!$A$59:$M$74,10,FALSE())</f>
        <v>770.9342561</v>
      </c>
      <c r="K99" s="71">
        <f>VLOOKUP($A99,'TD Proyectos confirmados y esti'!$A$59:$M$74,11,FALSE())</f>
        <v>773.6111111</v>
      </c>
      <c r="L99" s="71">
        <f>VLOOKUP($A99,'TD Proyectos confirmados y esti'!$A$59:$M$74,12,FALSE())</f>
        <v>743.1621081</v>
      </c>
      <c r="M99" s="71">
        <f>VLOOKUP($A99,'TD Proyectos confirmados y esti'!$A$59:$M$74,13,FALSE())</f>
        <v>830.350651</v>
      </c>
      <c r="N99" s="107"/>
      <c r="O99" s="107"/>
      <c r="P99" s="107"/>
      <c r="Q99" s="107"/>
      <c r="W99" s="107"/>
      <c r="AA99" s="551"/>
      <c r="AB99" s="551"/>
      <c r="AC99" s="551"/>
      <c r="AD99" s="551"/>
      <c r="AE99" s="551"/>
      <c r="AF99" s="551"/>
    </row>
    <row r="100">
      <c r="A100" s="102" t="s">
        <v>204</v>
      </c>
      <c r="B100" s="71" t="str">
        <f>VLOOKUP($A100,'TD Proyectos confirmados y esti'!$A$59:$M$74,2,FALSE())</f>
        <v/>
      </c>
      <c r="C100" s="71" t="str">
        <f>VLOOKUP($A100,'TD Proyectos confirmados y esti'!$A$59:$M$74,3,FALSE())</f>
        <v/>
      </c>
      <c r="D100" s="71" t="str">
        <f>VLOOKUP($A100,'TD Proyectos confirmados y esti'!$A$59:$M$74,4,FALSE())</f>
        <v/>
      </c>
      <c r="E100" s="71" t="str">
        <f>VLOOKUP($A100,'TD Proyectos confirmados y esti'!$A$59:$M$74,5,FALSE())</f>
        <v/>
      </c>
      <c r="F100" s="71" t="str">
        <f>VLOOKUP($A100,'TD Proyectos confirmados y esti'!$A$59:$M$74,6,FALSE())</f>
        <v/>
      </c>
      <c r="G100" s="71" t="str">
        <f>VLOOKUP($A100,'TD Proyectos confirmados y esti'!$A$59:$M$74,7,FALSE())</f>
        <v/>
      </c>
      <c r="H100" s="71">
        <f>VLOOKUP($A100,'TD Proyectos confirmados y esti'!$A$59:$M$74,8,FALSE())</f>
        <v>8450</v>
      </c>
      <c r="I100" s="71">
        <f>VLOOKUP($A100,'TD Proyectos confirmados y esti'!$A$59:$M$74,9,FALSE())</f>
        <v>16900</v>
      </c>
      <c r="J100" s="71">
        <f>VLOOKUP($A100,'TD Proyectos confirmados y esti'!$A$59:$M$74,10,FALSE())</f>
        <v>7550</v>
      </c>
      <c r="K100" s="71">
        <f>VLOOKUP($A100,'TD Proyectos confirmados y esti'!$A$59:$M$74,11,FALSE())</f>
        <v>7550</v>
      </c>
      <c r="L100" s="71">
        <f>VLOOKUP($A100,'TD Proyectos confirmados y esti'!$A$59:$M$74,12,FALSE())</f>
        <v>7550</v>
      </c>
      <c r="M100" s="71">
        <f>VLOOKUP($A100,'TD Proyectos confirmados y esti'!$A$59:$M$74,13,FALSE())</f>
        <v>7550</v>
      </c>
      <c r="N100" s="107"/>
      <c r="O100" s="107"/>
      <c r="P100" s="107"/>
      <c r="Q100" s="107"/>
      <c r="R100" s="107"/>
      <c r="S100" s="107"/>
      <c r="T100" s="107"/>
      <c r="U100" s="107"/>
      <c r="V100" s="107"/>
      <c r="W100" s="107"/>
      <c r="X100" s="107"/>
      <c r="Y100" s="107"/>
      <c r="Z100" s="107"/>
      <c r="AA100" s="551"/>
      <c r="AB100" s="551"/>
      <c r="AC100" s="551"/>
      <c r="AD100" s="551"/>
      <c r="AE100" s="551"/>
      <c r="AF100" s="551"/>
    </row>
    <row r="101">
      <c r="A101" s="102" t="s">
        <v>213</v>
      </c>
      <c r="B101" s="71" t="str">
        <f>VLOOKUP($A101,'TD Proyectos confirmados y esti'!$A$59:$M$74,2,FALSE())</f>
        <v/>
      </c>
      <c r="C101" s="71" t="str">
        <f>VLOOKUP($A101,'TD Proyectos confirmados y esti'!$A$59:$M$74,3,FALSE())</f>
        <v/>
      </c>
      <c r="D101" s="71" t="str">
        <f>VLOOKUP($A101,'TD Proyectos confirmados y esti'!$A$59:$M$74,4,FALSE())</f>
        <v/>
      </c>
      <c r="E101" s="71" t="str">
        <f>VLOOKUP($A101,'TD Proyectos confirmados y esti'!$A$59:$M$74,5,FALSE())</f>
        <v/>
      </c>
      <c r="F101" s="71" t="str">
        <f>VLOOKUP($A101,'TD Proyectos confirmados y esti'!$A$59:$M$74,6,FALSE())</f>
        <v/>
      </c>
      <c r="G101" s="71" t="str">
        <f>VLOOKUP($A101,'TD Proyectos confirmados y esti'!$A$59:$M$74,7,FALSE())</f>
        <v/>
      </c>
      <c r="H101" s="71" t="str">
        <f>VLOOKUP($A101,'TD Proyectos confirmados y esti'!$A$59:$M$74,8,FALSE())</f>
        <v/>
      </c>
      <c r="I101" s="71" t="str">
        <f>VLOOKUP($A101,'TD Proyectos confirmados y esti'!$A$59:$M$74,9,FALSE())</f>
        <v/>
      </c>
      <c r="J101" s="71" t="str">
        <f>VLOOKUP($A101,'TD Proyectos confirmados y esti'!$A$59:$M$74,10,FALSE())</f>
        <v/>
      </c>
      <c r="K101" s="71">
        <f>VLOOKUP($A101,'TD Proyectos confirmados y esti'!$A$59:$M$74,11,FALSE())</f>
        <v>2378.472222</v>
      </c>
      <c r="L101" s="71" t="str">
        <f>VLOOKUP($A101,'TD Proyectos confirmados y esti'!$A$59:$M$74,12,FALSE())</f>
        <v/>
      </c>
      <c r="M101" s="71">
        <f>VLOOKUP($A101,'TD Proyectos confirmados y esti'!$A$59:$M$74,13,FALSE())</f>
        <v>2229.817708</v>
      </c>
      <c r="N101" s="107"/>
      <c r="O101" s="107"/>
      <c r="P101" s="107"/>
      <c r="Q101" s="107"/>
      <c r="R101" s="107"/>
      <c r="S101" s="107"/>
      <c r="T101" s="107"/>
      <c r="U101" s="107"/>
      <c r="V101" s="107"/>
      <c r="W101" s="107"/>
      <c r="X101" s="107"/>
      <c r="Y101" s="107"/>
      <c r="Z101" s="107"/>
      <c r="AA101" s="551"/>
      <c r="AB101" s="551"/>
      <c r="AC101" s="551"/>
      <c r="AD101" s="551"/>
      <c r="AE101" s="551"/>
      <c r="AF101" s="551"/>
    </row>
    <row r="102">
      <c r="A102" s="43" t="s">
        <v>215</v>
      </c>
      <c r="B102" s="71" t="str">
        <f>VLOOKUP($A102,'TD Proyectos confirmados y esti'!$A$59:$M$74,2,FALSE())</f>
        <v/>
      </c>
      <c r="C102" s="71" t="str">
        <f>VLOOKUP($A102,'TD Proyectos confirmados y esti'!$A$59:$M$74,3,FALSE())</f>
        <v/>
      </c>
      <c r="D102" s="71" t="str">
        <f>VLOOKUP($A102,'TD Proyectos confirmados y esti'!$A$59:$M$74,4,FALSE())</f>
        <v/>
      </c>
      <c r="E102" s="71" t="str">
        <f>VLOOKUP($A102,'TD Proyectos confirmados y esti'!$A$59:$M$74,5,FALSE())</f>
        <v/>
      </c>
      <c r="F102" s="71" t="str">
        <f>VLOOKUP($A102,'TD Proyectos confirmados y esti'!$A$59:$M$74,6,FALSE())</f>
        <v/>
      </c>
      <c r="G102" s="71" t="str">
        <f>VLOOKUP($A102,'TD Proyectos confirmados y esti'!$A$59:$M$74,7,FALSE())</f>
        <v/>
      </c>
      <c r="H102" s="71" t="str">
        <f>VLOOKUP($A102,'TD Proyectos confirmados y esti'!$A$59:$M$74,8,FALSE())</f>
        <v/>
      </c>
      <c r="I102" s="71" t="str">
        <f>VLOOKUP($A102,'TD Proyectos confirmados y esti'!$A$59:$M$74,9,FALSE())</f>
        <v/>
      </c>
      <c r="J102" s="71" t="str">
        <f>VLOOKUP($A102,'TD Proyectos confirmados y esti'!$A$59:$M$74,10,FALSE())</f>
        <v/>
      </c>
      <c r="K102" s="71">
        <f>VLOOKUP($A102,'TD Proyectos confirmados y esti'!$A$59:$M$74,11,FALSE())</f>
        <v>35550</v>
      </c>
      <c r="L102" s="71">
        <f>VLOOKUP($A102,'TD Proyectos confirmados y esti'!$A$59:$M$74,12,FALSE())</f>
        <v>0</v>
      </c>
      <c r="M102" s="71">
        <f>VLOOKUP($A102,'TD Proyectos confirmados y esti'!$A$59:$M$74,13,FALSE())</f>
        <v>0</v>
      </c>
      <c r="N102" s="107"/>
      <c r="O102" s="107"/>
      <c r="P102" s="107"/>
      <c r="Q102" s="107"/>
      <c r="R102" s="107"/>
      <c r="S102" s="107"/>
      <c r="T102" s="107"/>
      <c r="U102" s="107"/>
      <c r="V102" s="107"/>
      <c r="W102" s="107"/>
      <c r="X102" s="107"/>
      <c r="Y102" s="107"/>
      <c r="Z102" s="107"/>
      <c r="AA102" s="551"/>
      <c r="AB102" s="551"/>
      <c r="AC102" s="551"/>
      <c r="AD102" s="551"/>
      <c r="AE102" s="551"/>
      <c r="AF102" s="551"/>
    </row>
    <row r="103">
      <c r="A103" s="102" t="s">
        <v>211</v>
      </c>
      <c r="B103" s="71" t="str">
        <f>VLOOKUP($A103,'TD Proyectos confirmados y esti'!$A$59:$M$74,2,FALSE())</f>
        <v/>
      </c>
      <c r="C103" s="71" t="str">
        <f>VLOOKUP($A103,'TD Proyectos confirmados y esti'!$A$59:$M$74,3,FALSE())</f>
        <v/>
      </c>
      <c r="D103" s="71" t="str">
        <f>VLOOKUP($A103,'TD Proyectos confirmados y esti'!$A$59:$M$74,4,FALSE())</f>
        <v/>
      </c>
      <c r="E103" s="71" t="str">
        <f>VLOOKUP($A103,'TD Proyectos confirmados y esti'!$A$59:$M$74,5,FALSE())</f>
        <v/>
      </c>
      <c r="F103" s="71" t="str">
        <f>VLOOKUP($A103,'TD Proyectos confirmados y esti'!$A$59:$M$74,6,FALSE())</f>
        <v/>
      </c>
      <c r="G103" s="71" t="str">
        <f>VLOOKUP($A103,'TD Proyectos confirmados y esti'!$A$59:$M$74,7,FALSE())</f>
        <v/>
      </c>
      <c r="H103" s="71" t="str">
        <f>VLOOKUP($A103,'TD Proyectos confirmados y esti'!$A$59:$M$74,8,FALSE())</f>
        <v/>
      </c>
      <c r="I103" s="71" t="str">
        <f>VLOOKUP($A103,'TD Proyectos confirmados y esti'!$A$59:$M$74,9,FALSE())</f>
        <v/>
      </c>
      <c r="J103" s="71">
        <f>VLOOKUP($A103,'TD Proyectos confirmados y esti'!$A$59:$M$74,10,FALSE())</f>
        <v>2941.522491</v>
      </c>
      <c r="K103" s="71" t="str">
        <f>VLOOKUP($A103,'TD Proyectos confirmados y esti'!$A$59:$M$74,11,FALSE())</f>
        <v/>
      </c>
      <c r="L103" s="71" t="str">
        <f>VLOOKUP($A103,'TD Proyectos confirmados y esti'!$A$59:$M$74,12,FALSE())</f>
        <v/>
      </c>
      <c r="M103" s="71" t="str">
        <f>VLOOKUP($A103,'TD Proyectos confirmados y esti'!$A$59:$M$74,13,FALSE())</f>
        <v/>
      </c>
      <c r="N103" s="107"/>
      <c r="O103" s="107"/>
      <c r="P103" s="107"/>
      <c r="Q103" s="107"/>
      <c r="R103" s="107"/>
      <c r="S103" s="107"/>
      <c r="T103" s="107"/>
      <c r="U103" s="107"/>
      <c r="V103" s="107"/>
      <c r="W103" s="107"/>
      <c r="X103" s="107"/>
      <c r="Y103" s="107"/>
      <c r="Z103" s="107"/>
      <c r="AA103" s="551"/>
      <c r="AB103" s="551"/>
      <c r="AC103" s="551"/>
      <c r="AD103" s="551"/>
      <c r="AE103" s="551"/>
      <c r="AF103" s="551"/>
    </row>
    <row r="104">
      <c r="A104" s="102" t="s">
        <v>180</v>
      </c>
      <c r="B104" s="71">
        <f>VLOOKUP($A104,'TD Proyectos confirmados y esti'!$A$59:$M$74,2,FALSE())</f>
        <v>3213.797541</v>
      </c>
      <c r="C104" s="71">
        <f>VLOOKUP($A104,'TD Proyectos confirmados y esti'!$A$59:$M$74,3,FALSE())</f>
        <v>3187.669106</v>
      </c>
      <c r="D104" s="71">
        <f>VLOOKUP($A104,'TD Proyectos confirmados y esti'!$A$59:$M$74,4,FALSE())</f>
        <v>3178.09434</v>
      </c>
      <c r="E104" s="71">
        <f>VLOOKUP($A104,'TD Proyectos confirmados y esti'!$A$59:$M$74,5,FALSE())</f>
        <v>3553.565401</v>
      </c>
      <c r="F104" s="71">
        <f>VLOOKUP($A104,'TD Proyectos confirmados y esti'!$A$59:$M$74,6,FALSE())</f>
        <v>3568.622881</v>
      </c>
      <c r="G104" s="71">
        <f>VLOOKUP($A104,'TD Proyectos confirmados y esti'!$A$59:$M$74,7,FALSE())</f>
        <v>3783.292181</v>
      </c>
      <c r="H104" s="71">
        <f>VLOOKUP($A104,'TD Proyectos confirmados y esti'!$A$59:$M$74,8,FALSE())</f>
        <v>3482.348485</v>
      </c>
      <c r="I104" s="71">
        <f>VLOOKUP($A104,'TD Proyectos confirmados y esti'!$A$59:$M$74,9,FALSE())</f>
        <v>2286.245353</v>
      </c>
      <c r="J104" s="71">
        <f>VLOOKUP($A104,'TD Proyectos confirmados y esti'!$A$59:$M$74,10,FALSE())</f>
        <v>2128.027682</v>
      </c>
      <c r="K104" s="71">
        <f>VLOOKUP($A104,'TD Proyectos confirmados y esti'!$A$59:$M$74,11,FALSE())</f>
        <v>2135.416667</v>
      </c>
      <c r="L104" s="71" t="str">
        <f>VLOOKUP($A104,'TD Proyectos confirmados y esti'!$A$59:$M$74,12,FALSE())</f>
        <v/>
      </c>
      <c r="M104" s="71" t="str">
        <f>VLOOKUP($A104,'TD Proyectos confirmados y esti'!$A$59:$M$74,13,FALSE())</f>
        <v/>
      </c>
      <c r="N104" s="107"/>
      <c r="O104" s="107"/>
      <c r="P104" s="107"/>
      <c r="Q104" s="107"/>
      <c r="R104" s="107"/>
      <c r="S104" s="107"/>
      <c r="T104" s="107"/>
      <c r="U104" s="107"/>
      <c r="V104" s="107"/>
      <c r="W104" s="107"/>
      <c r="X104" s="107"/>
      <c r="Y104" s="107"/>
      <c r="Z104" s="107"/>
      <c r="AA104" s="551"/>
      <c r="AB104" s="551"/>
      <c r="AC104" s="551"/>
      <c r="AD104" s="551"/>
      <c r="AE104" s="551"/>
      <c r="AF104" s="551"/>
    </row>
    <row r="105">
      <c r="A105" s="102" t="s">
        <v>176</v>
      </c>
      <c r="B105" s="71">
        <f>VLOOKUP($A105,'TD Proyectos confirmados y esti'!$A$59:$M$74,2,FALSE())</f>
        <v>5916.50527</v>
      </c>
      <c r="C105" s="71" t="str">
        <f>VLOOKUP($A105,'TD Proyectos confirmados y esti'!$A$59:$M$74,3,FALSE())</f>
        <v/>
      </c>
      <c r="D105" s="71" t="str">
        <f>VLOOKUP($A105,'TD Proyectos confirmados y esti'!$A$59:$M$74,4,FALSE())</f>
        <v/>
      </c>
      <c r="E105" s="71" t="str">
        <f>VLOOKUP($A105,'TD Proyectos confirmados y esti'!$A$59:$M$74,5,FALSE())</f>
        <v/>
      </c>
      <c r="F105" s="71" t="str">
        <f>VLOOKUP($A105,'TD Proyectos confirmados y esti'!$A$59:$M$74,6,FALSE())</f>
        <v/>
      </c>
      <c r="G105" s="71" t="str">
        <f>VLOOKUP($A105,'TD Proyectos confirmados y esti'!$A$59:$M$74,7,FALSE())</f>
        <v/>
      </c>
      <c r="H105" s="71" t="str">
        <f>VLOOKUP($A105,'TD Proyectos confirmados y esti'!$A$59:$M$74,8,FALSE())</f>
        <v/>
      </c>
      <c r="I105" s="71" t="str">
        <f>VLOOKUP($A105,'TD Proyectos confirmados y esti'!$A$59:$M$74,9,FALSE())</f>
        <v/>
      </c>
      <c r="J105" s="71" t="str">
        <f>VLOOKUP($A105,'TD Proyectos confirmados y esti'!$A$59:$M$74,10,FALSE())</f>
        <v/>
      </c>
      <c r="K105" s="71" t="str">
        <f>VLOOKUP($A105,'TD Proyectos confirmados y esti'!$A$59:$M$74,11,FALSE())</f>
        <v/>
      </c>
      <c r="L105" s="71" t="str">
        <f>VLOOKUP($A105,'TD Proyectos confirmados y esti'!$A$59:$M$74,12,FALSE())</f>
        <v/>
      </c>
      <c r="M105" s="71" t="str">
        <f>VLOOKUP($A105,'TD Proyectos confirmados y esti'!$A$59:$M$74,13,FALSE())</f>
        <v/>
      </c>
      <c r="N105" s="107"/>
      <c r="O105" s="107"/>
      <c r="P105" s="107"/>
      <c r="Q105" s="107"/>
      <c r="R105" s="107"/>
      <c r="S105" s="107"/>
      <c r="T105" s="107"/>
      <c r="U105" s="107"/>
      <c r="V105" s="107"/>
      <c r="W105" s="107"/>
      <c r="X105" s="107"/>
      <c r="Y105" s="107"/>
      <c r="Z105" s="107"/>
      <c r="AA105" s="551"/>
      <c r="AB105" s="551"/>
      <c r="AC105" s="551"/>
      <c r="AD105" s="551"/>
      <c r="AE105" s="551"/>
      <c r="AF105" s="551"/>
    </row>
    <row r="106">
      <c r="A106" s="102" t="s">
        <v>206</v>
      </c>
      <c r="B106" s="71" t="str">
        <f>VLOOKUP($A106,'TD Proyectos confirmados y esti'!$A$59:$M$74,2,FALSE())</f>
        <v/>
      </c>
      <c r="C106" s="71" t="str">
        <f>VLOOKUP($A106,'TD Proyectos confirmados y esti'!$A$59:$M$74,3,FALSE())</f>
        <v/>
      </c>
      <c r="D106" s="71" t="str">
        <f>VLOOKUP($A106,'TD Proyectos confirmados y esti'!$A$59:$M$74,4,FALSE())</f>
        <v/>
      </c>
      <c r="E106" s="71" t="str">
        <f>VLOOKUP($A106,'TD Proyectos confirmados y esti'!$A$59:$M$74,5,FALSE())</f>
        <v/>
      </c>
      <c r="F106" s="71" t="str">
        <f>VLOOKUP($A106,'TD Proyectos confirmados y esti'!$A$59:$M$74,6,FALSE())</f>
        <v/>
      </c>
      <c r="G106" s="71" t="str">
        <f>VLOOKUP($A106,'TD Proyectos confirmados y esti'!$A$59:$M$74,7,FALSE())</f>
        <v/>
      </c>
      <c r="H106" s="71" t="str">
        <f>VLOOKUP($A106,'TD Proyectos confirmados y esti'!$A$59:$M$74,8,FALSE())</f>
        <v/>
      </c>
      <c r="I106" s="71">
        <f>VLOOKUP($A106,'TD Proyectos confirmados y esti'!$A$59:$M$74,9,FALSE())</f>
        <v>1245.35316</v>
      </c>
      <c r="J106" s="71" t="str">
        <f>VLOOKUP($A106,'TD Proyectos confirmados y esti'!$A$59:$M$74,10,FALSE())</f>
        <v/>
      </c>
      <c r="K106" s="71" t="str">
        <f>VLOOKUP($A106,'TD Proyectos confirmados y esti'!$A$59:$M$74,11,FALSE())</f>
        <v/>
      </c>
      <c r="L106" s="71" t="str">
        <f>VLOOKUP($A106,'TD Proyectos confirmados y esti'!$A$59:$M$74,12,FALSE())</f>
        <v/>
      </c>
      <c r="M106" s="71" t="str">
        <f>VLOOKUP($A106,'TD Proyectos confirmados y esti'!$A$59:$M$74,13,FALSE())</f>
        <v/>
      </c>
      <c r="N106" s="551"/>
      <c r="O106" s="551"/>
      <c r="P106" s="107"/>
      <c r="Q106" s="107"/>
      <c r="R106" s="107"/>
      <c r="S106" s="107"/>
      <c r="T106" s="107"/>
      <c r="U106" s="107"/>
      <c r="V106" s="107"/>
      <c r="W106" s="107"/>
      <c r="X106" s="107"/>
      <c r="Y106" s="107"/>
      <c r="Z106" s="107"/>
      <c r="AA106" s="551"/>
      <c r="AB106" s="551"/>
      <c r="AC106" s="551"/>
      <c r="AD106" s="551"/>
      <c r="AE106" s="551"/>
      <c r="AF106" s="551"/>
    </row>
    <row r="107">
      <c r="A107" s="102" t="s">
        <v>199</v>
      </c>
      <c r="B107" s="71" t="str">
        <f>VLOOKUP($A107,'TD Proyectos confirmados y esti'!$A$59:$M$74,2,FALSE())</f>
        <v/>
      </c>
      <c r="C107" s="71" t="str">
        <f>VLOOKUP($A107,'TD Proyectos confirmados y esti'!$A$59:$M$74,3,FALSE())</f>
        <v/>
      </c>
      <c r="D107" s="71" t="str">
        <f>VLOOKUP($A107,'TD Proyectos confirmados y esti'!$A$59:$M$74,4,FALSE())</f>
        <v/>
      </c>
      <c r="E107" s="71" t="str">
        <f>VLOOKUP($A107,'TD Proyectos confirmados y esti'!$A$59:$M$74,5,FALSE())</f>
        <v/>
      </c>
      <c r="F107" s="71" t="str">
        <f>VLOOKUP($A107,'TD Proyectos confirmados y esti'!$A$59:$M$74,6,FALSE())</f>
        <v/>
      </c>
      <c r="G107" s="71">
        <f>VLOOKUP($A107,'TD Proyectos confirmados y esti'!$A$59:$M$74,7,FALSE())</f>
        <v>7350</v>
      </c>
      <c r="H107" s="71" t="str">
        <f>VLOOKUP($A107,'TD Proyectos confirmados y esti'!$A$59:$M$74,8,FALSE())</f>
        <v/>
      </c>
      <c r="I107" s="71" t="str">
        <f>VLOOKUP($A107,'TD Proyectos confirmados y esti'!$A$59:$M$74,9,FALSE())</f>
        <v/>
      </c>
      <c r="J107" s="71" t="str">
        <f>VLOOKUP($A107,'TD Proyectos confirmados y esti'!$A$59:$M$74,10,FALSE())</f>
        <v/>
      </c>
      <c r="K107" s="71" t="str">
        <f>VLOOKUP($A107,'TD Proyectos confirmados y esti'!$A$59:$M$74,11,FALSE())</f>
        <v/>
      </c>
      <c r="L107" s="71" t="str">
        <f>VLOOKUP($A107,'TD Proyectos confirmados y esti'!$A$59:$M$74,12,FALSE())</f>
        <v/>
      </c>
      <c r="M107" s="71" t="str">
        <f>VLOOKUP($A107,'TD Proyectos confirmados y esti'!$A$59:$M$74,13,FALSE())</f>
        <v/>
      </c>
      <c r="N107" s="551"/>
      <c r="O107" s="551"/>
      <c r="P107" s="107"/>
      <c r="Q107" s="107"/>
      <c r="R107" s="107"/>
      <c r="S107" s="107"/>
      <c r="T107" s="107"/>
      <c r="U107" s="107"/>
      <c r="V107" s="107"/>
      <c r="W107" s="107"/>
      <c r="X107" s="107"/>
      <c r="Y107" s="107"/>
      <c r="Z107" s="107"/>
      <c r="AA107" s="551"/>
      <c r="AB107" s="551"/>
      <c r="AC107" s="551"/>
      <c r="AD107" s="551"/>
      <c r="AE107" s="551"/>
      <c r="AF107" s="551"/>
    </row>
    <row r="108">
      <c r="A108" s="102" t="s">
        <v>190</v>
      </c>
      <c r="B108" s="71">
        <f>VLOOKUP($A108,'TD Proyectos confirmados y esti'!$A$59:$M$74,2,FALSE())</f>
        <v>1750</v>
      </c>
      <c r="C108" s="71">
        <f>VLOOKUP($A108,'TD Proyectos confirmados y esti'!$A$59:$M$74,3,FALSE())</f>
        <v>1750</v>
      </c>
      <c r="D108" s="71">
        <f>VLOOKUP($A108,'TD Proyectos confirmados y esti'!$A$59:$M$74,4,FALSE())</f>
        <v>1750</v>
      </c>
      <c r="E108" s="71">
        <f>VLOOKUP($A108,'TD Proyectos confirmados y esti'!$A$59:$M$74,5,FALSE())</f>
        <v>1750</v>
      </c>
      <c r="F108" s="71">
        <f>VLOOKUP($A108,'TD Proyectos confirmados y esti'!$A$59:$M$74,6,FALSE())</f>
        <v>1750</v>
      </c>
      <c r="G108" s="71">
        <f>VLOOKUP($A108,'TD Proyectos confirmados y esti'!$A$59:$M$74,7,FALSE())</f>
        <v>1750</v>
      </c>
      <c r="H108" s="71" t="str">
        <f>VLOOKUP($A108,'TD Proyectos confirmados y esti'!$A$59:$M$74,8,FALSE())</f>
        <v/>
      </c>
      <c r="I108" s="71" t="str">
        <f>VLOOKUP($A108,'TD Proyectos confirmados y esti'!$A$59:$M$74,9,FALSE())</f>
        <v/>
      </c>
      <c r="J108" s="71" t="str">
        <f>VLOOKUP($A108,'TD Proyectos confirmados y esti'!$A$59:$M$74,10,FALSE())</f>
        <v/>
      </c>
      <c r="K108" s="71" t="str">
        <f>VLOOKUP($A108,'TD Proyectos confirmados y esti'!$A$59:$M$74,11,FALSE())</f>
        <v/>
      </c>
      <c r="L108" s="71" t="str">
        <f>VLOOKUP($A108,'TD Proyectos confirmados y esti'!$A$59:$M$74,12,FALSE())</f>
        <v/>
      </c>
      <c r="M108" s="71" t="str">
        <f>VLOOKUP($A108,'TD Proyectos confirmados y esti'!$A$59:$M$74,13,FALSE())</f>
        <v/>
      </c>
      <c r="N108" s="551"/>
      <c r="O108" s="551"/>
      <c r="P108" s="107"/>
      <c r="Q108" s="107"/>
      <c r="R108" s="107"/>
      <c r="S108" s="107"/>
      <c r="T108" s="107"/>
      <c r="U108" s="107"/>
      <c r="V108" s="107"/>
      <c r="W108" s="107"/>
      <c r="X108" s="107"/>
      <c r="Y108" s="107"/>
      <c r="Z108" s="107"/>
      <c r="AA108" s="551"/>
      <c r="AB108" s="551"/>
      <c r="AC108" s="551"/>
      <c r="AD108" s="551"/>
      <c r="AE108" s="551"/>
      <c r="AF108" s="551"/>
    </row>
    <row r="109">
      <c r="A109" s="102" t="s">
        <v>183</v>
      </c>
      <c r="B109" s="71">
        <f>VLOOKUP($A109,'TD Proyectos confirmados y esti'!$A$59:$M$74,2,FALSE())</f>
        <v>13450</v>
      </c>
      <c r="C109" s="71">
        <f>VLOOKUP($A109,'TD Proyectos confirmados y esti'!$A$59:$M$74,3,FALSE())</f>
        <v>13450</v>
      </c>
      <c r="D109" s="71">
        <f>VLOOKUP($A109,'TD Proyectos confirmados y esti'!$A$59:$M$74,4,FALSE())</f>
        <v>14750</v>
      </c>
      <c r="E109" s="71">
        <f>VLOOKUP($A109,'TD Proyectos confirmados y esti'!$A$59:$M$74,5,FALSE())</f>
        <v>13450</v>
      </c>
      <c r="F109" s="71">
        <f>VLOOKUP($A109,'TD Proyectos confirmados y esti'!$A$59:$M$74,6,FALSE())</f>
        <v>29230</v>
      </c>
      <c r="G109" s="71">
        <f>VLOOKUP($A109,'TD Proyectos confirmados y esti'!$A$59:$M$74,7,FALSE())</f>
        <v>29230</v>
      </c>
      <c r="H109" s="71">
        <f>VLOOKUP($A109,'TD Proyectos confirmados y esti'!$A$59:$M$74,8,FALSE())</f>
        <v>29230</v>
      </c>
      <c r="I109" s="71">
        <f>VLOOKUP($A109,'TD Proyectos confirmados y esti'!$A$59:$M$74,9,FALSE())</f>
        <v>29230</v>
      </c>
      <c r="J109" s="71">
        <f>VLOOKUP($A109,'TD Proyectos confirmados y esti'!$A$59:$M$74,10,FALSE())</f>
        <v>89870</v>
      </c>
      <c r="K109" s="71">
        <f>VLOOKUP($A109,'TD Proyectos confirmados y esti'!$A$59:$M$74,11,FALSE())</f>
        <v>29230</v>
      </c>
      <c r="L109" s="71">
        <f>VLOOKUP($A109,'TD Proyectos confirmados y esti'!$A$59:$M$74,12,FALSE())</f>
        <v>29230</v>
      </c>
      <c r="M109" s="71">
        <f>VLOOKUP($A109,'TD Proyectos confirmados y esti'!$A$59:$M$74,13,FALSE())</f>
        <v>29230</v>
      </c>
      <c r="N109" s="551"/>
      <c r="O109" s="551"/>
      <c r="P109" s="107"/>
      <c r="Q109" s="107"/>
      <c r="R109" s="107"/>
      <c r="S109" s="107"/>
      <c r="T109" s="107"/>
      <c r="U109" s="107"/>
      <c r="V109" s="107"/>
      <c r="W109" s="107"/>
      <c r="X109" s="107"/>
      <c r="Y109" s="107"/>
      <c r="Z109" s="107"/>
      <c r="AA109" s="551"/>
      <c r="AB109" s="551"/>
      <c r="AC109" s="551"/>
      <c r="AD109" s="551"/>
      <c r="AE109" s="551"/>
      <c r="AF109" s="551"/>
    </row>
    <row r="110">
      <c r="A110" s="542" t="s">
        <v>1266</v>
      </c>
      <c r="B110" s="550">
        <f t="shared" ref="B110:M110" si="42">SUM(B94:B109)</f>
        <v>28311.38888</v>
      </c>
      <c r="C110" s="550">
        <f t="shared" si="42"/>
        <v>22453.38049</v>
      </c>
      <c r="D110" s="550">
        <f t="shared" si="42"/>
        <v>25655.50943</v>
      </c>
      <c r="E110" s="550">
        <f t="shared" si="42"/>
        <v>28128.16878</v>
      </c>
      <c r="F110" s="550">
        <f t="shared" si="42"/>
        <v>38475.80508</v>
      </c>
      <c r="G110" s="550">
        <f t="shared" si="42"/>
        <v>46583.86091</v>
      </c>
      <c r="H110" s="550">
        <f t="shared" si="42"/>
        <v>46034.88026</v>
      </c>
      <c r="I110" s="550">
        <f t="shared" si="42"/>
        <v>53975.1613</v>
      </c>
      <c r="J110" s="550">
        <f t="shared" si="42"/>
        <v>108980.948</v>
      </c>
      <c r="K110" s="550">
        <f t="shared" si="42"/>
        <v>81741.0068</v>
      </c>
      <c r="L110" s="550">
        <f t="shared" si="42"/>
        <v>40577.09793</v>
      </c>
      <c r="M110" s="550">
        <f t="shared" si="42"/>
        <v>43044.06714</v>
      </c>
      <c r="N110" s="551"/>
      <c r="O110" s="551"/>
      <c r="P110" s="107"/>
      <c r="Q110" s="107"/>
      <c r="R110" s="107"/>
      <c r="S110" s="107"/>
      <c r="T110" s="107"/>
      <c r="U110" s="107"/>
      <c r="V110" s="107"/>
      <c r="W110" s="107"/>
      <c r="X110" s="107"/>
      <c r="Y110" s="107"/>
      <c r="Z110" s="107"/>
      <c r="AA110" s="551"/>
      <c r="AB110" s="551"/>
      <c r="AC110" s="551"/>
      <c r="AD110" s="551"/>
      <c r="AE110" s="551"/>
      <c r="AF110" s="551"/>
    </row>
    <row r="111">
      <c r="A111" s="564"/>
      <c r="B111" s="565"/>
      <c r="C111" s="566"/>
      <c r="D111" s="566"/>
      <c r="E111" s="566"/>
      <c r="F111" s="566"/>
      <c r="G111" s="566"/>
      <c r="H111" s="552"/>
      <c r="I111" s="552"/>
      <c r="J111" s="552"/>
      <c r="K111" s="552"/>
      <c r="L111" s="552"/>
      <c r="M111" s="552"/>
      <c r="O111" s="551"/>
      <c r="P111" s="107"/>
      <c r="Q111" s="107"/>
      <c r="R111" s="107"/>
      <c r="S111" s="107"/>
      <c r="T111" s="107"/>
      <c r="U111" s="107"/>
      <c r="V111" s="107"/>
      <c r="W111" s="107"/>
      <c r="X111" s="107"/>
      <c r="Y111" s="107"/>
      <c r="Z111" s="107"/>
      <c r="AA111" s="551"/>
      <c r="AB111" s="551"/>
      <c r="AC111" s="551"/>
      <c r="AD111" s="551"/>
      <c r="AE111" s="551"/>
      <c r="AF111" s="551"/>
    </row>
    <row r="112">
      <c r="A112" s="133" t="s">
        <v>1309</v>
      </c>
      <c r="B112" s="148">
        <v>28311.388877049183</v>
      </c>
      <c r="C112" s="148">
        <v>22453.38048780488</v>
      </c>
      <c r="D112" s="148">
        <v>25655.509433962266</v>
      </c>
      <c r="E112" s="148">
        <v>28128.16877637131</v>
      </c>
      <c r="F112" s="148">
        <v>38475.80508474576</v>
      </c>
      <c r="G112" s="148">
        <v>46583.8609053498</v>
      </c>
      <c r="H112" s="148">
        <v>46034.880264848485</v>
      </c>
      <c r="I112" s="148">
        <v>53975.16130081785</v>
      </c>
      <c r="J112" s="148">
        <v>108980.94795645674</v>
      </c>
      <c r="K112" s="148">
        <v>81741.00680352777</v>
      </c>
      <c r="L112" s="148">
        <v>40577.097930006676</v>
      </c>
      <c r="M112" s="148">
        <v>43044.06714313868</v>
      </c>
      <c r="N112" s="551"/>
      <c r="O112" s="551"/>
      <c r="P112" s="107"/>
      <c r="Q112" s="107"/>
      <c r="R112" s="107"/>
      <c r="S112" s="107"/>
      <c r="T112" s="107"/>
      <c r="U112" s="107"/>
      <c r="V112" s="107"/>
      <c r="W112" s="107"/>
      <c r="X112" s="107"/>
      <c r="Y112" s="107"/>
      <c r="Z112" s="107"/>
      <c r="AA112" s="551"/>
      <c r="AB112" s="551"/>
      <c r="AC112" s="551"/>
      <c r="AD112" s="551"/>
      <c r="AE112" s="551"/>
      <c r="AF112" s="551"/>
    </row>
    <row r="113">
      <c r="A113" s="133"/>
      <c r="B113" s="547">
        <f t="shared" ref="B113:M113" si="43">B112-B110</f>
        <v>0</v>
      </c>
      <c r="C113" s="547">
        <f t="shared" si="43"/>
        <v>0</v>
      </c>
      <c r="D113" s="547">
        <f t="shared" si="43"/>
        <v>0</v>
      </c>
      <c r="E113" s="547">
        <f t="shared" si="43"/>
        <v>0</v>
      </c>
      <c r="F113" s="547">
        <f t="shared" si="43"/>
        <v>0</v>
      </c>
      <c r="G113" s="547">
        <f t="shared" si="43"/>
        <v>0</v>
      </c>
      <c r="H113" s="547">
        <f t="shared" si="43"/>
        <v>0</v>
      </c>
      <c r="I113" s="547">
        <f t="shared" si="43"/>
        <v>0</v>
      </c>
      <c r="J113" s="547">
        <f t="shared" si="43"/>
        <v>0</v>
      </c>
      <c r="K113" s="547">
        <f t="shared" si="43"/>
        <v>0</v>
      </c>
      <c r="L113" s="547">
        <f t="shared" si="43"/>
        <v>0</v>
      </c>
      <c r="M113" s="547">
        <f t="shared" si="43"/>
        <v>0</v>
      </c>
      <c r="N113" s="551"/>
      <c r="O113" s="551"/>
      <c r="P113" s="107"/>
      <c r="Q113" s="107"/>
      <c r="R113" s="107"/>
      <c r="S113" s="107"/>
      <c r="T113" s="107"/>
      <c r="U113" s="107"/>
      <c r="V113" s="107"/>
      <c r="W113" s="107"/>
      <c r="X113" s="107"/>
      <c r="Y113" s="107"/>
      <c r="Z113" s="107"/>
      <c r="AA113" s="551"/>
      <c r="AB113" s="551"/>
      <c r="AC113" s="551"/>
      <c r="AD113" s="551"/>
      <c r="AE113" s="551"/>
      <c r="AF113" s="551"/>
    </row>
    <row r="114">
      <c r="A114" s="564"/>
      <c r="B114" s="565"/>
      <c r="C114" s="566"/>
      <c r="D114" s="566"/>
      <c r="E114" s="566"/>
      <c r="F114" s="566"/>
      <c r="G114" s="566"/>
      <c r="H114" s="552"/>
      <c r="I114" s="552"/>
      <c r="J114" s="552"/>
      <c r="K114" s="552"/>
      <c r="L114" s="552"/>
      <c r="M114" s="552"/>
      <c r="N114" s="551"/>
      <c r="O114" s="551"/>
      <c r="P114" s="107"/>
      <c r="Q114" s="107"/>
      <c r="R114" s="107"/>
      <c r="S114" s="107"/>
      <c r="T114" s="107"/>
      <c r="U114" s="107"/>
      <c r="V114" s="107"/>
      <c r="W114" s="107"/>
      <c r="X114" s="107"/>
      <c r="Y114" s="107"/>
      <c r="Z114" s="107"/>
      <c r="AA114" s="551"/>
      <c r="AB114" s="551"/>
      <c r="AC114" s="551"/>
      <c r="AD114" s="551"/>
      <c r="AE114" s="551"/>
      <c r="AF114" s="551"/>
    </row>
    <row r="115">
      <c r="A115" s="564"/>
      <c r="B115" s="565"/>
      <c r="C115" s="566"/>
      <c r="D115" s="566"/>
      <c r="E115" s="566"/>
      <c r="F115" s="566"/>
      <c r="G115" s="566"/>
      <c r="H115" s="552"/>
      <c r="I115" s="552"/>
      <c r="J115" s="552"/>
      <c r="K115" s="552"/>
      <c r="L115" s="552"/>
      <c r="M115" s="552"/>
      <c r="N115" s="551"/>
      <c r="O115" s="551"/>
      <c r="P115" s="107"/>
      <c r="Q115" s="107"/>
      <c r="R115" s="107"/>
      <c r="S115" s="107"/>
      <c r="T115" s="107"/>
      <c r="U115" s="107"/>
      <c r="V115" s="107"/>
      <c r="W115" s="107"/>
      <c r="X115" s="107"/>
      <c r="Y115" s="107"/>
      <c r="Z115" s="107"/>
      <c r="AA115" s="551"/>
      <c r="AB115" s="551"/>
      <c r="AC115" s="551"/>
      <c r="AD115" s="551"/>
      <c r="AE115" s="551"/>
      <c r="AF115" s="551"/>
    </row>
    <row r="116">
      <c r="A116" s="564"/>
      <c r="B116" s="565"/>
      <c r="C116" s="566"/>
      <c r="D116" s="566"/>
      <c r="E116" s="566"/>
      <c r="F116" s="566"/>
      <c r="G116" s="566"/>
      <c r="H116" s="552"/>
      <c r="I116" s="552"/>
      <c r="J116" s="552"/>
      <c r="K116" s="552"/>
      <c r="L116" s="552"/>
      <c r="M116" s="552"/>
      <c r="N116" s="551"/>
      <c r="O116" s="551"/>
      <c r="P116" s="107"/>
      <c r="Q116" s="107"/>
      <c r="R116" s="107"/>
      <c r="S116" s="107"/>
      <c r="T116" s="107"/>
      <c r="U116" s="107"/>
      <c r="V116" s="107"/>
      <c r="W116" s="107"/>
      <c r="X116" s="107"/>
      <c r="Y116" s="107"/>
      <c r="Z116" s="107"/>
      <c r="AA116" s="551"/>
      <c r="AB116" s="551"/>
      <c r="AC116" s="551"/>
      <c r="AD116" s="551"/>
      <c r="AE116" s="551"/>
      <c r="AF116" s="551"/>
    </row>
    <row r="117">
      <c r="A117" s="567" t="s">
        <v>1320</v>
      </c>
      <c r="H117" s="565"/>
      <c r="I117" s="565"/>
      <c r="J117" s="565"/>
      <c r="K117" s="568" t="s">
        <v>1321</v>
      </c>
      <c r="N117" s="551"/>
      <c r="O117" s="551"/>
      <c r="P117" s="107"/>
      <c r="Q117" s="107"/>
      <c r="R117" s="107"/>
      <c r="S117" s="107"/>
      <c r="T117" s="107"/>
      <c r="U117" s="107"/>
      <c r="V117" s="107"/>
      <c r="W117" s="107"/>
      <c r="X117" s="107"/>
      <c r="Y117" s="107"/>
      <c r="Z117" s="107"/>
      <c r="AA117" s="551"/>
      <c r="AB117" s="551"/>
      <c r="AC117" s="551"/>
      <c r="AD117" s="551"/>
      <c r="AE117" s="551"/>
      <c r="AF117" s="551"/>
    </row>
    <row r="118">
      <c r="A118" s="569" t="s">
        <v>112</v>
      </c>
      <c r="B118" s="570" t="s">
        <v>123</v>
      </c>
      <c r="C118" s="571" t="s">
        <v>129</v>
      </c>
      <c r="D118" s="570" t="s">
        <v>136</v>
      </c>
      <c r="E118" s="570" t="s">
        <v>143</v>
      </c>
      <c r="F118" s="570" t="s">
        <v>149</v>
      </c>
      <c r="G118" s="570" t="s">
        <v>155</v>
      </c>
      <c r="H118" s="570" t="s">
        <v>161</v>
      </c>
      <c r="I118" s="570" t="s">
        <v>166</v>
      </c>
      <c r="J118" s="572" t="s">
        <v>171</v>
      </c>
      <c r="K118" s="563" t="s">
        <v>175</v>
      </c>
      <c r="L118" s="563" t="s">
        <v>179</v>
      </c>
      <c r="M118" s="563" t="s">
        <v>182</v>
      </c>
      <c r="N118" s="44"/>
      <c r="O118" s="551"/>
      <c r="P118" s="551"/>
      <c r="Q118" s="551"/>
      <c r="R118" s="551"/>
      <c r="S118" s="551"/>
      <c r="T118" s="551"/>
      <c r="U118" s="551"/>
      <c r="V118" s="551"/>
      <c r="W118" s="551"/>
      <c r="X118" s="551"/>
      <c r="Y118" s="551"/>
      <c r="Z118" s="551"/>
      <c r="AA118" s="551"/>
      <c r="AB118" s="551"/>
      <c r="AC118" s="551"/>
      <c r="AD118" s="551"/>
      <c r="AE118" s="551"/>
    </row>
    <row r="119">
      <c r="A119" s="102" t="s">
        <v>233</v>
      </c>
      <c r="B119" s="107">
        <f>VLOOKUP($A119,'TD Costos para seguimiento MARK'!$A$98:$I$140,2,FALSE())</f>
        <v>250.8196721</v>
      </c>
      <c r="C119" s="107" t="str">
        <f>VLOOKUP($A119,'TD Costos para seguimiento MARK'!$A$98:$I$140,3,FALSE())</f>
        <v/>
      </c>
      <c r="D119" s="107" t="str">
        <f>VLOOKUP($A119,'TD Costos para seguimiento MARK'!$A$98:$I$140,4,FALSE())</f>
        <v/>
      </c>
      <c r="E119" s="107" t="str">
        <f>VLOOKUP($A119,'TD Costos para seguimiento MARK'!$A$98:$I$140,5,FALSE())</f>
        <v/>
      </c>
      <c r="F119" s="107" t="str">
        <f>VLOOKUP($A119,'TD Costos para seguimiento MARK'!$A$98:$I$140,6,FALSE())</f>
        <v/>
      </c>
      <c r="G119" s="107" t="str">
        <f>VLOOKUP($A119,'TD Costos para seguimiento MARK'!$A$98:$I$140,7,FALSE())</f>
        <v/>
      </c>
      <c r="H119" s="107" t="str">
        <f>VLOOKUP($A119,'TD Costos para seguimiento MARK'!$A$98:$I$140,8,FALSE())</f>
        <v/>
      </c>
      <c r="I119" s="107" t="str">
        <f>VLOOKUP($A119,'TD Costos para seguimiento MARK'!$A$98:$I$140,9,FALSE())</f>
        <v/>
      </c>
      <c r="J119" s="107" t="str">
        <f>VLOOKUP($A119,'TD Costos para seguimiento MARK'!$A$98:$J$140,10,FALSE())</f>
        <v/>
      </c>
      <c r="K119" s="105"/>
      <c r="L119" s="105"/>
      <c r="M119" s="105"/>
      <c r="N119" s="107"/>
      <c r="O119" s="107"/>
      <c r="P119" s="551"/>
      <c r="R119" s="44"/>
      <c r="S119" s="105"/>
      <c r="T119" s="44"/>
      <c r="U119" s="44"/>
      <c r="V119" s="551"/>
      <c r="W119" s="551"/>
      <c r="X119" s="551"/>
      <c r="Y119" s="551"/>
    </row>
    <row r="120">
      <c r="A120" s="102" t="s">
        <v>205</v>
      </c>
      <c r="B120" s="107">
        <f>VLOOKUP($A120,'TD Costos para seguimiento MARK'!$A$98:$I$140,2,FALSE())</f>
        <v>528.1991803</v>
      </c>
      <c r="C120" s="107">
        <f>VLOOKUP($A120,'TD Costos para seguimiento MARK'!$A$98:$I$140,3,FALSE())</f>
        <v>790.6890878</v>
      </c>
      <c r="D120" s="107">
        <f>VLOOKUP($A120,'TD Costos para seguimiento MARK'!$A$98:$I$140,4,FALSE())</f>
        <v>820.9516211</v>
      </c>
      <c r="E120" s="107">
        <f>VLOOKUP($A120,'TD Costos para seguimiento MARK'!$A$98:$I$140,5,FALSE())</f>
        <v>1142.953586</v>
      </c>
      <c r="F120" s="107">
        <f>VLOOKUP($A120,'TD Costos para seguimiento MARK'!$A$98:$I$140,6,FALSE())</f>
        <v>994.2372881</v>
      </c>
      <c r="G120" s="107">
        <f>VLOOKUP($A120,'TD Costos para seguimiento MARK'!$A$98:$I$140,7,FALSE())</f>
        <v>1144.032922</v>
      </c>
      <c r="H120" s="107">
        <f>VLOOKUP($A120,'TD Costos para seguimiento MARK'!$A$98:$I$140,8,FALSE())</f>
        <v>1212.121212</v>
      </c>
      <c r="I120" s="107">
        <f>VLOOKUP($A120,'TD Costos para seguimiento MARK'!$A$98:$I$140,9,FALSE())</f>
        <v>1189.591078</v>
      </c>
      <c r="J120" s="107">
        <f>VLOOKUP($A120,'TD Costos para seguimiento MARK'!$A$98:$J$140,10,FALSE())</f>
        <v>1107.266436</v>
      </c>
      <c r="K120" s="105">
        <f>VLOOKUP($A120,'TD Costos Estimados para proyec'!$A$56:$E$88,3,FALSE())</f>
        <v>1111.111111</v>
      </c>
      <c r="L120" s="105">
        <f>VLOOKUP($A120,'TD Costos Estimados para proyec'!$A$56:$E$88,4,FALSE())</f>
        <v>1131.420947</v>
      </c>
      <c r="M120" s="105">
        <f>VLOOKUP($A120,'TD Costos Estimados para proyec'!$A$56:$E$88,5,FALSE())</f>
        <v>1104.166667</v>
      </c>
      <c r="N120" s="107"/>
      <c r="P120" s="333"/>
      <c r="Q120" s="105"/>
      <c r="R120" s="107"/>
      <c r="S120" s="107"/>
      <c r="T120" s="107"/>
      <c r="U120" s="107"/>
      <c r="V120" s="551"/>
      <c r="W120" s="551"/>
      <c r="X120" s="551"/>
      <c r="Y120" s="551"/>
    </row>
    <row r="121">
      <c r="A121" s="102" t="s">
        <v>169</v>
      </c>
      <c r="B121" s="107">
        <f>VLOOKUP($A121,'TD Costos para seguimiento MARK'!$A$98:$I$140,2,FALSE())</f>
        <v>0</v>
      </c>
      <c r="C121" s="107">
        <f>VLOOKUP($A121,'TD Costos para seguimiento MARK'!$A$98:$I$140,3,FALSE())</f>
        <v>0</v>
      </c>
      <c r="D121" s="107">
        <f>VLOOKUP($A121,'TD Costos para seguimiento MARK'!$A$98:$I$140,4,FALSE())</f>
        <v>0</v>
      </c>
      <c r="E121" s="107">
        <f>VLOOKUP($A121,'TD Costos para seguimiento MARK'!$A$98:$I$140,5,FALSE())</f>
        <v>0</v>
      </c>
      <c r="F121" s="107" t="str">
        <f>VLOOKUP($A121,'TD Costos para seguimiento MARK'!$A$98:$I$140,6,FALSE())</f>
        <v/>
      </c>
      <c r="G121" s="107" t="str">
        <f>VLOOKUP($A121,'TD Costos para seguimiento MARK'!$A$98:$I$140,7,FALSE())</f>
        <v/>
      </c>
      <c r="H121" s="107">
        <f>VLOOKUP($A121,'TD Costos para seguimiento MARK'!$A$98:$I$140,8,FALSE())</f>
        <v>0</v>
      </c>
      <c r="I121" s="107" t="str">
        <f>VLOOKUP($A121,'TD Costos para seguimiento MARK'!$A$98:$I$140,9,FALSE())</f>
        <v/>
      </c>
      <c r="J121" s="107" t="str">
        <f>VLOOKUP($A121,'TD Costos para seguimiento MARK'!$A$98:$J$140,10,FALSE())</f>
        <v/>
      </c>
      <c r="K121" s="105">
        <f>VLOOKUP($A121,'TD Costos Estimados para proyec'!$A$56:$E$88,3,FALSE())</f>
        <v>0</v>
      </c>
      <c r="L121" s="105">
        <f>VLOOKUP($A121,'TD Costos Estimados para proyec'!$A$56:$E$88,4,FALSE())</f>
        <v>0</v>
      </c>
      <c r="M121" s="105">
        <f>VLOOKUP($A121,'TD Costos Estimados para proyec'!$A$56:$E$88,5,FALSE())</f>
        <v>0</v>
      </c>
      <c r="N121" s="107"/>
      <c r="P121" s="333"/>
      <c r="Q121" s="105"/>
      <c r="R121" s="107"/>
      <c r="S121" s="107"/>
      <c r="T121" s="107"/>
      <c r="U121" s="107"/>
      <c r="V121" s="551"/>
      <c r="W121" s="551"/>
      <c r="X121" s="551"/>
      <c r="Y121" s="551"/>
    </row>
    <row r="122">
      <c r="A122" s="102" t="s">
        <v>240</v>
      </c>
      <c r="B122" s="107" t="str">
        <f>VLOOKUP($A122,'TD Costos para seguimiento MARK'!$A$98:$I$140,2,FALSE())</f>
        <v/>
      </c>
      <c r="C122" s="107" t="str">
        <f>VLOOKUP($A122,'TD Costos para seguimiento MARK'!$A$98:$I$140,3,FALSE())</f>
        <v/>
      </c>
      <c r="D122" s="107" t="str">
        <f>VLOOKUP($A122,'TD Costos para seguimiento MARK'!$A$98:$I$140,4,FALSE())</f>
        <v/>
      </c>
      <c r="E122" s="107" t="str">
        <f>VLOOKUP($A122,'TD Costos para seguimiento MARK'!$A$98:$I$140,5,FALSE())</f>
        <v/>
      </c>
      <c r="F122" s="107" t="str">
        <f>VLOOKUP($A122,'TD Costos para seguimiento MARK'!$A$98:$I$140,6,FALSE())</f>
        <v/>
      </c>
      <c r="G122" s="107" t="str">
        <f>VLOOKUP($A122,'TD Costos para seguimiento MARK'!$A$98:$I$140,7,FALSE())</f>
        <v/>
      </c>
      <c r="H122" s="107" t="str">
        <f>VLOOKUP($A122,'TD Costos para seguimiento MARK'!$A$98:$I$140,8,FALSE())</f>
        <v/>
      </c>
      <c r="I122" s="107" t="str">
        <f>VLOOKUP($A122,'TD Costos para seguimiento MARK'!$A$98:$I$140,9,FALSE())</f>
        <v/>
      </c>
      <c r="J122" s="107">
        <f>VLOOKUP($A122,'TD Costos para seguimiento MARK'!$A$98:$J$140,10,FALSE())</f>
        <v>595.1557093</v>
      </c>
      <c r="K122" s="105">
        <f>VLOOKUP($A122,'TD Costos Estimados para proyec'!$A$56:$E$88,3,FALSE())</f>
        <v>1194.444444</v>
      </c>
      <c r="L122" s="105">
        <f>VLOOKUP($A122,'TD Costos Estimados para proyec'!$A$56:$E$88,4,FALSE())</f>
        <v>1147.431621</v>
      </c>
      <c r="M122" s="105">
        <f>VLOOKUP($A122,'TD Costos Estimados para proyec'!$A$56:$E$88,5,FALSE())</f>
        <v>1186.979167</v>
      </c>
      <c r="N122" s="107"/>
      <c r="P122" s="333"/>
      <c r="Q122" s="105"/>
      <c r="R122" s="107"/>
      <c r="S122" s="107"/>
      <c r="T122" s="107"/>
      <c r="U122" s="107"/>
      <c r="V122" s="551"/>
      <c r="W122" s="551"/>
      <c r="X122" s="551"/>
      <c r="Y122" s="551"/>
    </row>
    <row r="123">
      <c r="A123" s="102" t="s">
        <v>212</v>
      </c>
      <c r="B123" s="107">
        <f>VLOOKUP($A123,'TD Costos para seguimiento MARK'!$A$98:$I$140,2,FALSE())</f>
        <v>178.8442623</v>
      </c>
      <c r="C123" s="107">
        <f>VLOOKUP($A123,'TD Costos para seguimiento MARK'!$A$98:$I$140,3,FALSE())</f>
        <v>306.6910569</v>
      </c>
      <c r="D123" s="107">
        <f>VLOOKUP($A123,'TD Costos para seguimiento MARK'!$A$98:$I$140,4,FALSE())</f>
        <v>140.8113208</v>
      </c>
      <c r="E123" s="107">
        <f>VLOOKUP($A123,'TD Costos para seguimiento MARK'!$A$98:$I$140,5,FALSE())</f>
        <v>326.8016878</v>
      </c>
      <c r="F123" s="107">
        <f>VLOOKUP($A123,'TD Costos para seguimiento MARK'!$A$98:$I$140,6,FALSE())</f>
        <v>410.0169492</v>
      </c>
      <c r="G123" s="107">
        <f>VLOOKUP($A123,'TD Costos para seguimiento MARK'!$A$98:$I$140,7,FALSE())</f>
        <v>234.3621399</v>
      </c>
      <c r="H123" s="107" t="str">
        <f>VLOOKUP($A123,'TD Costos para seguimiento MARK'!$A$98:$I$140,8,FALSE())</f>
        <v/>
      </c>
      <c r="I123" s="107" t="str">
        <f>VLOOKUP($A123,'TD Costos para seguimiento MARK'!$A$98:$I$140,9,FALSE())</f>
        <v/>
      </c>
      <c r="J123" s="107" t="str">
        <f>VLOOKUP($A123,'TD Costos para seguimiento MARK'!$A$98:$J$140,10,FALSE())</f>
        <v/>
      </c>
      <c r="K123" s="105"/>
      <c r="L123" s="105"/>
      <c r="M123" s="105"/>
      <c r="N123" s="107"/>
      <c r="P123" s="107"/>
      <c r="Q123" s="105"/>
      <c r="R123" s="107"/>
      <c r="S123" s="107"/>
      <c r="T123" s="107"/>
      <c r="U123" s="107"/>
      <c r="V123" s="551"/>
      <c r="W123" s="551"/>
      <c r="X123" s="551"/>
      <c r="Y123" s="551"/>
    </row>
    <row r="124">
      <c r="A124" s="102" t="s">
        <v>185</v>
      </c>
      <c r="B124" s="107" t="str">
        <f>VLOOKUP($A124,'TD Costos para seguimiento MARK'!$A$98:$I$140,2,FALSE())</f>
        <v/>
      </c>
      <c r="C124" s="107" t="str">
        <f>VLOOKUP($A124,'TD Costos para seguimiento MARK'!$A$98:$I$140,3,FALSE())</f>
        <v/>
      </c>
      <c r="D124" s="107" t="str">
        <f>VLOOKUP($A124,'TD Costos para seguimiento MARK'!$A$98:$I$140,4,FALSE())</f>
        <v/>
      </c>
      <c r="E124" s="107" t="str">
        <f>VLOOKUP($A124,'TD Costos para seguimiento MARK'!$A$98:$I$140,5,FALSE())</f>
        <v/>
      </c>
      <c r="F124" s="107">
        <f>VLOOKUP($A124,'TD Costos para seguimiento MARK'!$A$98:$I$140,6,FALSE())</f>
        <v>83.6440678</v>
      </c>
      <c r="G124" s="107" t="str">
        <f>VLOOKUP($A124,'TD Costos para seguimiento MARK'!$A$98:$I$140,7,FALSE())</f>
        <v/>
      </c>
      <c r="H124" s="107" t="str">
        <f>VLOOKUP($A124,'TD Costos para seguimiento MARK'!$A$98:$I$140,8,FALSE())</f>
        <v/>
      </c>
      <c r="I124" s="107">
        <f>VLOOKUP($A124,'TD Costos para seguimiento MARK'!$A$98:$I$140,9,FALSE())</f>
        <v>720</v>
      </c>
      <c r="J124" s="107">
        <f>VLOOKUP($A124,'TD Costos para seguimiento MARK'!$A$98:$J$140,10,FALSE())</f>
        <v>675</v>
      </c>
      <c r="K124" s="105">
        <f>VLOOKUP($A124,'TD Costos Estimados para proyec'!$A$56:$E$88,3,FALSE())</f>
        <v>675</v>
      </c>
      <c r="L124" s="105">
        <f>VLOOKUP($A124,'TD Costos Estimados para proyec'!$A$56:$E$88,4,FALSE())</f>
        <v>675</v>
      </c>
      <c r="M124" s="105">
        <f>VLOOKUP($A124,'TD Costos Estimados para proyec'!$A$56:$E$88,5,FALSE())</f>
        <v>675</v>
      </c>
      <c r="N124" s="107"/>
      <c r="P124" s="333"/>
      <c r="Q124" s="105"/>
      <c r="R124" s="107"/>
      <c r="S124" s="107"/>
      <c r="T124" s="107"/>
      <c r="U124" s="107"/>
      <c r="V124" s="551"/>
      <c r="W124" s="551"/>
      <c r="X124" s="551"/>
      <c r="Y124" s="551"/>
    </row>
    <row r="125">
      <c r="A125" s="102" t="s">
        <v>234</v>
      </c>
      <c r="B125" s="107" t="str">
        <f>VLOOKUP($A125,'TD Costos para seguimiento MARK'!$A$98:$I$140,2,FALSE())</f>
        <v/>
      </c>
      <c r="C125" s="107" t="str">
        <f>VLOOKUP($A125,'TD Costos para seguimiento MARK'!$A$98:$I$140,3,FALSE())</f>
        <v/>
      </c>
      <c r="D125" s="107">
        <f>VLOOKUP($A125,'TD Costos para seguimiento MARK'!$A$98:$I$140,4,FALSE())</f>
        <v>603.7735849</v>
      </c>
      <c r="E125" s="107" t="str">
        <f>VLOOKUP($A125,'TD Costos para seguimiento MARK'!$A$98:$I$140,5,FALSE())</f>
        <v/>
      </c>
      <c r="F125" s="107" t="str">
        <f>VLOOKUP($A125,'TD Costos para seguimiento MARK'!$A$98:$I$140,6,FALSE())</f>
        <v/>
      </c>
      <c r="G125" s="107" t="str">
        <f>VLOOKUP($A125,'TD Costos para seguimiento MARK'!$A$98:$I$140,7,FALSE())</f>
        <v/>
      </c>
      <c r="H125" s="107" t="str">
        <f>VLOOKUP($A125,'TD Costos para seguimiento MARK'!$A$98:$I$140,8,FALSE())</f>
        <v/>
      </c>
      <c r="I125" s="107" t="str">
        <f>VLOOKUP($A125,'TD Costos para seguimiento MARK'!$A$98:$I$140,9,FALSE())</f>
        <v/>
      </c>
      <c r="J125" s="107" t="str">
        <f>VLOOKUP($A125,'TD Costos para seguimiento MARK'!$A$98:$J$140,10,FALSE())</f>
        <v/>
      </c>
      <c r="K125" s="105"/>
      <c r="L125" s="105"/>
      <c r="M125" s="105"/>
      <c r="N125" s="107"/>
      <c r="P125" s="107"/>
      <c r="Q125" s="105"/>
      <c r="R125" s="107"/>
      <c r="S125" s="107"/>
      <c r="T125" s="107"/>
      <c r="U125" s="107"/>
      <c r="V125" s="551"/>
      <c r="W125" s="551"/>
      <c r="X125" s="551"/>
      <c r="Y125" s="551"/>
    </row>
    <row r="126">
      <c r="A126" s="102" t="s">
        <v>164</v>
      </c>
      <c r="B126" s="107">
        <f>VLOOKUP($A126,'TD Costos para seguimiento MARK'!$A$98:$I$140,2,FALSE())</f>
        <v>71.04672131</v>
      </c>
      <c r="C126" s="107">
        <f>VLOOKUP($A126,'TD Costos para seguimiento MARK'!$A$98:$I$140,3,FALSE())</f>
        <v>37.26666667</v>
      </c>
      <c r="D126" s="107">
        <f>VLOOKUP($A126,'TD Costos para seguimiento MARK'!$A$98:$I$140,4,FALSE())</f>
        <v>52.68679245</v>
      </c>
      <c r="E126" s="107">
        <f>VLOOKUP($A126,'TD Costos para seguimiento MARK'!$A$98:$I$140,5,FALSE())</f>
        <v>41.5443038</v>
      </c>
      <c r="F126" s="107">
        <f>VLOOKUP($A126,'TD Costos para seguimiento MARK'!$A$98:$I$140,6,FALSE())</f>
        <v>41.72024237</v>
      </c>
      <c r="G126" s="107">
        <f>VLOOKUP($A126,'TD Costos para seguimiento MARK'!$A$98:$I$140,7,FALSE())</f>
        <v>49.02740741</v>
      </c>
      <c r="H126" s="107">
        <f>VLOOKUP($A126,'TD Costos para seguimiento MARK'!$A$98:$I$140,8,FALSE())</f>
        <v>99.17348485</v>
      </c>
      <c r="I126" s="107">
        <f>VLOOKUP($A126,'TD Costos para seguimiento MARK'!$A$98:$I$140,9,FALSE())</f>
        <v>49.1732342</v>
      </c>
      <c r="J126" s="107">
        <f>VLOOKUP($A126,'TD Costos para seguimiento MARK'!$A$98:$J$140,10,FALSE())</f>
        <v>68.28719723</v>
      </c>
      <c r="K126" s="105">
        <f>VLOOKUP($A126,'TD Costos Estimados para proyec'!$A$56:$E$88,3,FALSE())</f>
        <v>44.46916667</v>
      </c>
      <c r="L126" s="105">
        <f>VLOOKUP($A126,'TD Costos Estimados para proyec'!$A$56:$E$88,4,FALSE())</f>
        <v>42.71887925</v>
      </c>
      <c r="M126" s="105">
        <f>VLOOKUP($A126,'TD Costos Estimados para proyec'!$A$56:$E$88,5,FALSE())</f>
        <v>44.81658203</v>
      </c>
      <c r="N126" s="107"/>
      <c r="P126" s="333"/>
      <c r="Q126" s="105"/>
      <c r="R126" s="107"/>
      <c r="S126" s="107"/>
      <c r="T126" s="107"/>
      <c r="U126" s="107"/>
      <c r="V126" s="551"/>
      <c r="W126" s="551"/>
      <c r="X126" s="551"/>
      <c r="Y126" s="551"/>
    </row>
    <row r="127">
      <c r="A127" s="102" t="s">
        <v>228</v>
      </c>
      <c r="B127" s="107">
        <f>VLOOKUP($A127,'TD Costos para seguimiento MARK'!$A$98:$I$140,2,FALSE())</f>
        <v>1402.106557</v>
      </c>
      <c r="C127" s="107">
        <f>VLOOKUP($A127,'TD Costos para seguimiento MARK'!$A$98:$I$140,3,FALSE())</f>
        <v>1565.853659</v>
      </c>
      <c r="D127" s="107">
        <f>VLOOKUP($A127,'TD Costos para seguimiento MARK'!$A$98:$I$140,4,FALSE())</f>
        <v>1318.686792</v>
      </c>
      <c r="E127" s="107">
        <f>VLOOKUP($A127,'TD Costos para seguimiento MARK'!$A$98:$I$140,5,FALSE())</f>
        <v>1395.216034</v>
      </c>
      <c r="F127" s="107">
        <f>VLOOKUP($A127,'TD Costos para seguimiento MARK'!$A$98:$I$140,6,FALSE())</f>
        <v>1575.469492</v>
      </c>
      <c r="G127" s="107">
        <f>VLOOKUP($A127,'TD Costos para seguimiento MARK'!$A$98:$I$140,7,FALSE())</f>
        <v>1412.150617</v>
      </c>
      <c r="H127" s="107">
        <f>VLOOKUP($A127,'TD Costos para seguimiento MARK'!$A$98:$I$140,8,FALSE())</f>
        <v>1349.4195</v>
      </c>
      <c r="I127" s="107">
        <f>VLOOKUP($A127,'TD Costos para seguimiento MARK'!$A$98:$I$140,9,FALSE())</f>
        <v>1295.918097</v>
      </c>
      <c r="J127" s="107">
        <f>VLOOKUP($A127,'TD Costos para seguimiento MARK'!$A$98:$J$140,10,FALSE())</f>
        <v>1153.786574</v>
      </c>
      <c r="K127" s="105">
        <f>VLOOKUP($A127,'TD Costos Estimados para proyec'!$A$56:$E$88,3,FALSE())</f>
        <v>1436.111111</v>
      </c>
      <c r="L127" s="105">
        <f>VLOOKUP($A127,'TD Costos Estimados para proyec'!$A$56:$E$88,4,FALSE())</f>
        <v>1379.586391</v>
      </c>
      <c r="M127" s="105">
        <f>VLOOKUP($A127,'TD Costos Estimados para proyec'!$A$56:$E$88,5,FALSE())</f>
        <v>1420.403646</v>
      </c>
      <c r="N127" s="107"/>
      <c r="P127" s="333"/>
      <c r="Q127" s="105"/>
      <c r="R127" s="107"/>
      <c r="S127" s="107"/>
      <c r="T127" s="107"/>
      <c r="U127" s="107"/>
      <c r="V127" s="551"/>
      <c r="W127" s="551"/>
      <c r="X127" s="551"/>
      <c r="Y127" s="551"/>
    </row>
    <row r="128">
      <c r="A128" s="504" t="s">
        <v>226</v>
      </c>
      <c r="B128" s="107">
        <f>VLOOKUP($A128,'TD Costos para seguimiento MARK'!$A$98:$I$140,2,FALSE())</f>
        <v>440.7377049</v>
      </c>
      <c r="C128" s="107">
        <f>VLOOKUP($A128,'TD Costos para seguimiento MARK'!$A$98:$I$140,3,FALSE())</f>
        <v>437.1544715</v>
      </c>
      <c r="D128" s="107">
        <f>VLOOKUP($A128,'TD Costos para seguimiento MARK'!$A$98:$I$140,4,FALSE())</f>
        <v>405.8113208</v>
      </c>
      <c r="E128" s="107">
        <f>VLOOKUP($A128,'TD Costos para seguimiento MARK'!$A$98:$I$140,5,FALSE())</f>
        <v>453.7552743</v>
      </c>
      <c r="F128" s="107">
        <f>VLOOKUP($A128,'TD Costos para seguimiento MARK'!$A$98:$I$140,6,FALSE())</f>
        <v>455.6779661</v>
      </c>
      <c r="G128" s="107">
        <f>VLOOKUP($A128,'TD Costos para seguimiento MARK'!$A$98:$I$140,7,FALSE())</f>
        <v>442.5514403</v>
      </c>
      <c r="H128" s="107">
        <f>VLOOKUP($A128,'TD Costos para seguimiento MARK'!$A$98:$I$140,8,FALSE())</f>
        <v>15.15151515</v>
      </c>
      <c r="I128" s="107">
        <f>VLOOKUP($A128,'TD Costos para seguimiento MARK'!$A$98:$I$140,9,FALSE())</f>
        <v>799.0334572</v>
      </c>
      <c r="J128" s="107">
        <f>VLOOKUP($A128,'TD Costos para seguimiento MARK'!$A$98:$J$140,10,FALSE())</f>
        <v>467.6816609</v>
      </c>
      <c r="K128" s="105">
        <f>VLOOKUP($A128,'TD Costos Estimados para proyec'!$A$56:$E$88,3,FALSE())</f>
        <v>469.3055556</v>
      </c>
      <c r="L128" s="105">
        <f>VLOOKUP($A128,'TD Costos Estimados para proyec'!$A$56:$E$88,4,FALSE())</f>
        <v>450.8338893</v>
      </c>
      <c r="M128" s="105">
        <f>VLOOKUP($A128,'TD Costos Estimados para proyec'!$A$56:$E$88,5,FALSE())</f>
        <v>439.9739583</v>
      </c>
      <c r="N128" s="107"/>
      <c r="P128" s="333"/>
      <c r="Q128" s="105"/>
      <c r="R128" s="107"/>
      <c r="S128" s="107"/>
      <c r="T128" s="107"/>
      <c r="U128" s="107"/>
      <c r="V128" s="551"/>
      <c r="W128" s="551"/>
      <c r="X128" s="551"/>
      <c r="Y128" s="551"/>
    </row>
    <row r="129">
      <c r="A129" s="102" t="s">
        <v>236</v>
      </c>
      <c r="B129" s="107">
        <f>VLOOKUP($A129,'TD Costos para seguimiento MARK'!$A$98:$I$140,2,FALSE())</f>
        <v>1498.268033</v>
      </c>
      <c r="C129" s="107">
        <f>VLOOKUP($A129,'TD Costos para seguimiento MARK'!$A$98:$I$140,3,FALSE())</f>
        <v>1433.850407</v>
      </c>
      <c r="D129" s="107" t="str">
        <f>VLOOKUP($A129,'TD Costos para seguimiento MARK'!$A$98:$I$140,4,FALSE())</f>
        <v/>
      </c>
      <c r="E129" s="107" t="str">
        <f>VLOOKUP($A129,'TD Costos para seguimiento MARK'!$A$98:$I$140,5,FALSE())</f>
        <v/>
      </c>
      <c r="F129" s="107" t="str">
        <f>VLOOKUP($A129,'TD Costos para seguimiento MARK'!$A$98:$I$140,6,FALSE())</f>
        <v/>
      </c>
      <c r="G129" s="107" t="str">
        <f>VLOOKUP($A129,'TD Costos para seguimiento MARK'!$A$98:$I$140,7,FALSE())</f>
        <v/>
      </c>
      <c r="H129" s="107" t="str">
        <f>VLOOKUP($A129,'TD Costos para seguimiento MARK'!$A$98:$I$140,8,FALSE())</f>
        <v/>
      </c>
      <c r="I129" s="107" t="str">
        <f>VLOOKUP($A129,'TD Costos para seguimiento MARK'!$A$98:$I$140,9,FALSE())</f>
        <v/>
      </c>
      <c r="J129" s="107" t="str">
        <f>VLOOKUP($A129,'TD Costos para seguimiento MARK'!$A$98:$J$140,10,FALSE())</f>
        <v/>
      </c>
      <c r="K129" s="105"/>
      <c r="L129" s="105"/>
      <c r="M129" s="105"/>
      <c r="N129" s="107"/>
      <c r="P129" s="107"/>
      <c r="Q129" s="105"/>
      <c r="R129" s="107"/>
      <c r="S129" s="107"/>
      <c r="T129" s="107"/>
      <c r="U129" s="107"/>
      <c r="V129" s="551"/>
      <c r="W129" s="551"/>
      <c r="X129" s="551"/>
      <c r="Y129" s="551"/>
    </row>
    <row r="130">
      <c r="A130" s="102" t="s">
        <v>222</v>
      </c>
      <c r="B130" s="107">
        <f>VLOOKUP($A130,'TD Costos para seguimiento MARK'!$A$98:$I$140,2,FALSE())</f>
        <v>2479.508197</v>
      </c>
      <c r="C130" s="107">
        <f>VLOOKUP($A130,'TD Costos para seguimiento MARK'!$A$98:$I$140,3,FALSE())</f>
        <v>2779.065041</v>
      </c>
      <c r="D130" s="107">
        <f>VLOOKUP($A130,'TD Costos para seguimiento MARK'!$A$98:$I$140,4,FALSE())</f>
        <v>3396.226415</v>
      </c>
      <c r="E130" s="107">
        <f>VLOOKUP($A130,'TD Costos para seguimiento MARK'!$A$98:$I$140,5,FALSE())</f>
        <v>3797.468354</v>
      </c>
      <c r="F130" s="107">
        <f>VLOOKUP($A130,'TD Costos para seguimiento MARK'!$A$98:$I$140,6,FALSE())</f>
        <v>3852.252881</v>
      </c>
      <c r="G130" s="107">
        <f>VLOOKUP($A130,'TD Costos para seguimiento MARK'!$A$98:$I$140,7,FALSE())</f>
        <v>4378.600823</v>
      </c>
      <c r="H130" s="107">
        <f>VLOOKUP($A130,'TD Costos para seguimiento MARK'!$A$98:$I$140,8,FALSE())</f>
        <v>3719.69697</v>
      </c>
      <c r="I130" s="107">
        <f>VLOOKUP($A130,'TD Costos para seguimiento MARK'!$A$98:$I$140,9,FALSE())</f>
        <v>3942.666468</v>
      </c>
      <c r="J130" s="107">
        <f>VLOOKUP($A130,'TD Costos para seguimiento MARK'!$A$98:$J$140,10,FALSE())</f>
        <v>3669.817578</v>
      </c>
      <c r="K130" s="105">
        <f>VLOOKUP($A130,'TD Costos Estimados para proyec'!$A$56:$E$88,3,FALSE())</f>
        <v>3802.004444</v>
      </c>
      <c r="L130" s="105">
        <f>VLOOKUP($A130,'TD Costos Estimados para proyec'!$A$56:$E$88,4,FALSE())</f>
        <v>3864.616133</v>
      </c>
      <c r="M130" s="105">
        <f>VLOOKUP($A130,'TD Costos Estimados para proyec'!$A$56:$E$88,5,FALSE())</f>
        <v>3771.523167</v>
      </c>
      <c r="N130" s="107"/>
      <c r="P130" s="333"/>
      <c r="Q130" s="105"/>
      <c r="R130" s="107"/>
      <c r="S130" s="107"/>
      <c r="T130" s="107"/>
      <c r="U130" s="107"/>
      <c r="V130" s="551"/>
      <c r="W130" s="551"/>
      <c r="X130" s="551"/>
      <c r="Y130" s="551"/>
    </row>
    <row r="131">
      <c r="A131" s="102" t="s">
        <v>225</v>
      </c>
      <c r="B131" s="107" t="str">
        <f>VLOOKUP($A131,'TD Costos para seguimiento MARK'!$A$98:$I$140,2,FALSE())</f>
        <v/>
      </c>
      <c r="C131" s="107" t="str">
        <f>VLOOKUP($A131,'TD Costos para seguimiento MARK'!$A$98:$I$140,3,FALSE())</f>
        <v/>
      </c>
      <c r="D131" s="107" t="str">
        <f>VLOOKUP($A131,'TD Costos para seguimiento MARK'!$A$98:$I$140,4,FALSE())</f>
        <v/>
      </c>
      <c r="E131" s="107" t="str">
        <f>VLOOKUP($A131,'TD Costos para seguimiento MARK'!$A$98:$I$140,5,FALSE())</f>
        <v/>
      </c>
      <c r="F131" s="107" t="str">
        <f>VLOOKUP($A131,'TD Costos para seguimiento MARK'!$A$98:$I$140,6,FALSE())</f>
        <v/>
      </c>
      <c r="G131" s="107" t="str">
        <f>VLOOKUP($A131,'TD Costos para seguimiento MARK'!$A$98:$I$140,7,FALSE())</f>
        <v/>
      </c>
      <c r="H131" s="107" t="str">
        <f>VLOOKUP($A131,'TD Costos para seguimiento MARK'!$A$98:$I$140,8,FALSE())</f>
        <v/>
      </c>
      <c r="I131" s="107">
        <f>VLOOKUP($A131,'TD Costos para seguimiento MARK'!$A$98:$I$140,9,FALSE())</f>
        <v>53.53159851</v>
      </c>
      <c r="J131" s="107" t="str">
        <f>VLOOKUP($A131,'TD Costos para seguimiento MARK'!$A$98:$J$140,10,FALSE())</f>
        <v/>
      </c>
      <c r="K131" s="105">
        <f>VLOOKUP($A131,'TD Costos Estimados para proyec'!$A$56:$E$88,3,FALSE())</f>
        <v>50</v>
      </c>
      <c r="L131" s="105">
        <f>VLOOKUP($A131,'TD Costos Estimados para proyec'!$A$56:$E$88,4,FALSE())</f>
        <v>48.03202135</v>
      </c>
      <c r="M131" s="105">
        <f>VLOOKUP($A131,'TD Costos Estimados para proyec'!$A$56:$E$88,5,FALSE())</f>
        <v>46.875</v>
      </c>
      <c r="N131" s="107"/>
      <c r="P131" s="333"/>
      <c r="Q131" s="105"/>
      <c r="R131" s="107"/>
      <c r="S131" s="107"/>
      <c r="T131" s="107"/>
      <c r="U131" s="107"/>
      <c r="V131" s="551"/>
      <c r="W131" s="551"/>
      <c r="X131" s="551"/>
      <c r="Y131" s="551"/>
    </row>
    <row r="132">
      <c r="A132" s="102" t="s">
        <v>214</v>
      </c>
      <c r="B132" s="107" t="str">
        <f>VLOOKUP($A132,'TD Costos para seguimiento MARK'!$A$98:$I$140,2,FALSE())</f>
        <v/>
      </c>
      <c r="C132" s="107">
        <f>VLOOKUP($A132,'TD Costos para seguimiento MARK'!$A$98:$I$140,3,FALSE())</f>
        <v>106.097561</v>
      </c>
      <c r="D132" s="107">
        <f>VLOOKUP($A132,'TD Costos para seguimiento MARK'!$A$98:$I$140,4,FALSE())</f>
        <v>1132.075472</v>
      </c>
      <c r="E132" s="107">
        <f>VLOOKUP($A132,'TD Costos para seguimiento MARK'!$A$98:$I$140,5,FALSE())</f>
        <v>1308.016878</v>
      </c>
      <c r="F132" s="107">
        <f>VLOOKUP($A132,'TD Costos para seguimiento MARK'!$A$98:$I$140,6,FALSE())</f>
        <v>1355.932203</v>
      </c>
      <c r="G132" s="107">
        <f>VLOOKUP($A132,'TD Costos para seguimiento MARK'!$A$98:$I$140,7,FALSE())</f>
        <v>1316.872428</v>
      </c>
      <c r="H132" s="107">
        <f>VLOOKUP($A132,'TD Costos para seguimiento MARK'!$A$98:$I$140,8,FALSE())</f>
        <v>1212.121212</v>
      </c>
      <c r="I132" s="107">
        <f>VLOOKUP($A132,'TD Costos para seguimiento MARK'!$A$98:$I$140,9,FALSE())</f>
        <v>403.2330016</v>
      </c>
      <c r="J132" s="107">
        <f>VLOOKUP($A132,'TD Costos para seguimiento MARK'!$A$98:$J$140,10,FALSE())</f>
        <v>1163.515571</v>
      </c>
      <c r="K132" s="105">
        <f>VLOOKUP($A132,'TD Costos Estimados para proyec'!$A$56:$E$88,3,FALSE())</f>
        <v>1167.555556</v>
      </c>
      <c r="L132" s="105">
        <f>VLOOKUP($A132,'TD Costos Estimados para proyec'!$A$56:$E$88,4,FALSE())</f>
        <v>1278.825884</v>
      </c>
      <c r="M132" s="105">
        <f>VLOOKUP($A132,'TD Costos Estimados para proyec'!$A$56:$E$88,5,FALSE())</f>
        <v>1248.020833</v>
      </c>
      <c r="N132" s="107"/>
      <c r="P132" s="333"/>
      <c r="Q132" s="105"/>
      <c r="R132" s="107"/>
      <c r="S132" s="107"/>
      <c r="T132" s="137"/>
      <c r="U132" s="107"/>
      <c r="V132" s="551"/>
      <c r="W132" s="551"/>
      <c r="X132" s="551"/>
      <c r="Y132" s="551"/>
    </row>
    <row r="133">
      <c r="A133" s="102" t="s">
        <v>223</v>
      </c>
      <c r="B133" s="107" t="str">
        <f>VLOOKUP($A133,'TD Costos para seguimiento MARK'!$A$98:$I$140,2,FALSE())</f>
        <v/>
      </c>
      <c r="C133" s="107" t="str">
        <f>VLOOKUP($A133,'TD Costos para seguimiento MARK'!$A$98:$I$140,3,FALSE())</f>
        <v/>
      </c>
      <c r="D133" s="107" t="str">
        <f>VLOOKUP($A133,'TD Costos para seguimiento MARK'!$A$98:$I$140,4,FALSE())</f>
        <v/>
      </c>
      <c r="E133" s="107" t="str">
        <f>VLOOKUP($A133,'TD Costos para seguimiento MARK'!$A$98:$I$140,5,FALSE())</f>
        <v/>
      </c>
      <c r="F133" s="107">
        <f>VLOOKUP($A133,'TD Costos para seguimiento MARK'!$A$98:$I$140,6,FALSE())</f>
        <v>93.6440678</v>
      </c>
      <c r="G133" s="107">
        <f>VLOOKUP($A133,'TD Costos para seguimiento MARK'!$A$98:$I$140,7,FALSE())</f>
        <v>97.94238683</v>
      </c>
      <c r="H133" s="107">
        <f>VLOOKUP($A133,'TD Costos para seguimiento MARK'!$A$98:$I$140,8,FALSE())</f>
        <v>90.15151515</v>
      </c>
      <c r="I133" s="107">
        <f>VLOOKUP($A133,'TD Costos para seguimiento MARK'!$A$98:$I$140,9,FALSE())</f>
        <v>88.47583643</v>
      </c>
      <c r="J133" s="107">
        <f>VLOOKUP($A133,'TD Costos para seguimiento MARK'!$A$98:$J$140,10,FALSE())</f>
        <v>82.35294118</v>
      </c>
      <c r="K133" s="105">
        <f>VLOOKUP($A133,'TD Costos Estimados para proyec'!$A$56:$E$88,3,FALSE())</f>
        <v>88.54166667</v>
      </c>
      <c r="L133" s="105">
        <f>VLOOKUP($A133,'TD Costos Estimados para proyec'!$A$56:$E$88,4,FALSE())</f>
        <v>85.05670447</v>
      </c>
      <c r="M133" s="105">
        <f>VLOOKUP($A133,'TD Costos Estimados para proyec'!$A$56:$E$88,5,FALSE())</f>
        <v>83.0078125</v>
      </c>
      <c r="N133" s="107"/>
      <c r="P133" s="333"/>
      <c r="Q133" s="105"/>
      <c r="R133" s="107"/>
      <c r="S133" s="107"/>
      <c r="T133" s="107"/>
      <c r="U133" s="107"/>
      <c r="V133" s="551"/>
      <c r="W133" s="551"/>
      <c r="X133" s="551"/>
      <c r="Y133" s="551"/>
    </row>
    <row r="134">
      <c r="A134" s="102" t="s">
        <v>200</v>
      </c>
      <c r="B134" s="107">
        <f>VLOOKUP($A134,'TD Costos para seguimiento MARK'!$A$98:$I$140,2,FALSE())</f>
        <v>1517.549508</v>
      </c>
      <c r="C134" s="107">
        <f>VLOOKUP($A134,'TD Costos para seguimiento MARK'!$A$98:$I$140,3,FALSE())</f>
        <v>2000.779792</v>
      </c>
      <c r="D134" s="107">
        <f>VLOOKUP($A134,'TD Costos para seguimiento MARK'!$A$98:$I$140,4,FALSE())</f>
        <v>1526.581132</v>
      </c>
      <c r="E134" s="107">
        <f>VLOOKUP($A134,'TD Costos para seguimiento MARK'!$A$98:$I$140,5,FALSE())</f>
        <v>1706.936709</v>
      </c>
      <c r="F134" s="107">
        <f>VLOOKUP($A134,'TD Costos para seguimiento MARK'!$A$98:$I$140,6,FALSE())</f>
        <v>2397.694915</v>
      </c>
      <c r="G134" s="107">
        <f>VLOOKUP($A134,'TD Costos para seguimiento MARK'!$A$98:$I$140,7,FALSE())</f>
        <v>1664.790123</v>
      </c>
      <c r="H134" s="107">
        <f>VLOOKUP($A134,'TD Costos para seguimiento MARK'!$A$98:$I$140,8,FALSE())</f>
        <v>1778.295758</v>
      </c>
      <c r="I134" s="107">
        <f>VLOOKUP($A134,'TD Costos para seguimiento MARK'!$A$98:$I$140,9,FALSE())</f>
        <v>1899.650855</v>
      </c>
      <c r="J134" s="107">
        <f>VLOOKUP($A134,'TD Costos para seguimiento MARK'!$A$98:$J$140,10,FALSE())</f>
        <v>1329.439446</v>
      </c>
      <c r="K134" s="105">
        <f>VLOOKUP($A134,'TD Costos Estimados para proyec'!$A$56:$E$88,3,FALSE())</f>
        <v>1661.125333</v>
      </c>
      <c r="L134" s="105">
        <f>VLOOKUP($A134,'TD Costos Estimados para proyec'!$A$56:$E$88,4,FALSE())</f>
        <v>1595.744149</v>
      </c>
      <c r="M134" s="105">
        <f>VLOOKUP($A134,'TD Costos Estimados para proyec'!$A$56:$E$88,5,FALSE())</f>
        <v>1557.305</v>
      </c>
      <c r="N134" s="107"/>
      <c r="P134" s="333"/>
      <c r="Q134" s="105"/>
      <c r="R134" s="107"/>
      <c r="S134" s="107"/>
      <c r="T134" s="107"/>
      <c r="U134" s="107"/>
      <c r="V134" s="551"/>
      <c r="W134" s="551"/>
      <c r="X134" s="551"/>
      <c r="Y134" s="551"/>
    </row>
    <row r="135">
      <c r="A135" s="102" t="s">
        <v>187</v>
      </c>
      <c r="B135" s="107">
        <f>VLOOKUP($A135,'TD Costos para seguimiento MARK'!$A$98:$I$140,2,FALSE())</f>
        <v>600</v>
      </c>
      <c r="C135" s="107">
        <f>VLOOKUP($A135,'TD Costos para seguimiento MARK'!$A$98:$I$140,3,FALSE())</f>
        <v>600</v>
      </c>
      <c r="D135" s="107">
        <f>VLOOKUP($A135,'TD Costos para seguimiento MARK'!$A$98:$I$140,4,FALSE())</f>
        <v>600</v>
      </c>
      <c r="E135" s="107">
        <f>VLOOKUP($A135,'TD Costos para seguimiento MARK'!$A$98:$I$140,5,FALSE())</f>
        <v>600</v>
      </c>
      <c r="F135" s="107">
        <f>VLOOKUP($A135,'TD Costos para seguimiento MARK'!$A$98:$I$140,6,FALSE())</f>
        <v>1200</v>
      </c>
      <c r="G135" s="107">
        <f>VLOOKUP($A135,'TD Costos para seguimiento MARK'!$A$98:$I$140,7,FALSE())</f>
        <v>600</v>
      </c>
      <c r="H135" s="107" t="str">
        <f>VLOOKUP($A135,'TD Costos para seguimiento MARK'!$A$98:$I$140,8,FALSE())</f>
        <v/>
      </c>
      <c r="I135" s="107" t="str">
        <f>VLOOKUP($A135,'TD Costos para seguimiento MARK'!$A$98:$I$140,9,FALSE())</f>
        <v/>
      </c>
      <c r="J135" s="107" t="str">
        <f>VLOOKUP($A135,'TD Costos para seguimiento MARK'!$A$98:$J$140,10,FALSE())</f>
        <v/>
      </c>
      <c r="K135" s="105">
        <f>VLOOKUP($A135,'TD Costos Estimados para proyec'!$A$56:$E$88,3,FALSE())</f>
        <v>0</v>
      </c>
      <c r="L135" s="105">
        <f>VLOOKUP($A135,'TD Costos Estimados para proyec'!$A$56:$E$88,4,FALSE())</f>
        <v>0</v>
      </c>
      <c r="M135" s="105">
        <f>VLOOKUP($A135,'TD Costos Estimados para proyec'!$A$56:$E$88,5,FALSE())</f>
        <v>0</v>
      </c>
      <c r="N135" s="107"/>
      <c r="P135" s="333"/>
      <c r="Q135" s="105"/>
      <c r="R135" s="107"/>
      <c r="S135" s="107"/>
      <c r="T135" s="107"/>
      <c r="U135" s="107"/>
      <c r="V135" s="551"/>
      <c r="W135" s="551"/>
      <c r="X135" s="551"/>
      <c r="Y135" s="551"/>
    </row>
    <row r="136">
      <c r="A136" s="102" t="s">
        <v>216</v>
      </c>
      <c r="B136" s="107">
        <f>VLOOKUP($A136,'TD Costos para seguimiento MARK'!$A$98:$I$140,2,FALSE())</f>
        <v>338.8530164</v>
      </c>
      <c r="C136" s="107">
        <f>VLOOKUP($A136,'TD Costos para seguimiento MARK'!$A$98:$I$140,3,FALSE())</f>
        <v>674.3725276</v>
      </c>
      <c r="D136" s="107">
        <f>VLOOKUP($A136,'TD Costos para seguimiento MARK'!$A$98:$I$140,4,FALSE())</f>
        <v>463.7918257</v>
      </c>
      <c r="E136" s="107" t="str">
        <f>VLOOKUP($A136,'TD Costos para seguimiento MARK'!$A$98:$I$140,5,FALSE())</f>
        <v/>
      </c>
      <c r="F136" s="107">
        <f>VLOOKUP($A136,'TD Costos para seguimiento MARK'!$A$98:$I$140,6,FALSE())</f>
        <v>846.2584746</v>
      </c>
      <c r="G136" s="107">
        <f>VLOOKUP($A136,'TD Costos para seguimiento MARK'!$A$98:$I$140,7,FALSE())</f>
        <v>324.4263374</v>
      </c>
      <c r="H136" s="107">
        <f>VLOOKUP($A136,'TD Costos para seguimiento MARK'!$A$98:$I$140,8,FALSE())</f>
        <v>674.9663561</v>
      </c>
      <c r="I136" s="107">
        <f>VLOOKUP($A136,'TD Costos para seguimiento MARK'!$A$98:$I$140,9,FALSE())</f>
        <v>622.2659316</v>
      </c>
      <c r="J136" s="107">
        <f>VLOOKUP($A136,'TD Costos para seguimiento MARK'!$A$98:$J$140,10,FALSE())</f>
        <v>521.5880394</v>
      </c>
      <c r="K136" s="105">
        <f>VLOOKUP($A136,'TD Costos Estimados para proyec'!$A$56:$E$88,3,FALSE())</f>
        <v>671.1474194</v>
      </c>
      <c r="L136" s="105">
        <f>VLOOKUP($A136,'TD Costos Estimados para proyec'!$A$56:$E$88,4,FALSE())</f>
        <v>683.4152242</v>
      </c>
      <c r="M136" s="105">
        <f>VLOOKUP($A136,'TD Costos Estimados para proyec'!$A$56:$E$88,5,FALSE())</f>
        <v>666.9527481</v>
      </c>
      <c r="N136" s="107"/>
      <c r="P136" s="333"/>
      <c r="Q136" s="105"/>
      <c r="R136" s="107"/>
      <c r="S136" s="107"/>
      <c r="T136" s="107"/>
      <c r="U136" s="107"/>
      <c r="V136" s="551"/>
      <c r="W136" s="551"/>
      <c r="X136" s="551"/>
      <c r="Y136" s="551"/>
    </row>
    <row r="137">
      <c r="A137" s="102" t="s">
        <v>207</v>
      </c>
      <c r="B137" s="107">
        <f>VLOOKUP($A137,'TD Costos para seguimiento MARK'!$A$98:$I$140,2,FALSE())</f>
        <v>647.1311475</v>
      </c>
      <c r="C137" s="107">
        <f>VLOOKUP($A137,'TD Costos para seguimiento MARK'!$A$98:$I$140,3,FALSE())</f>
        <v>658.7804878</v>
      </c>
      <c r="D137" s="107">
        <f>VLOOKUP($A137,'TD Costos para seguimiento MARK'!$A$98:$I$140,4,FALSE())</f>
        <v>626.4150943</v>
      </c>
      <c r="E137" s="107">
        <f>VLOOKUP($A137,'TD Costos para seguimiento MARK'!$A$98:$I$140,5,FALSE())</f>
        <v>742.6160338</v>
      </c>
      <c r="F137" s="107">
        <f>VLOOKUP($A137,'TD Costos para seguimiento MARK'!$A$98:$I$140,6,FALSE())</f>
        <v>860.4237288</v>
      </c>
      <c r="G137" s="107">
        <f>VLOOKUP($A137,'TD Costos para seguimiento MARK'!$A$98:$I$140,7,FALSE())</f>
        <v>769.5473251</v>
      </c>
      <c r="H137" s="107">
        <f>VLOOKUP($A137,'TD Costos para seguimiento MARK'!$A$98:$I$140,8,FALSE())</f>
        <v>633.75</v>
      </c>
      <c r="I137" s="107">
        <f>VLOOKUP($A137,'TD Costos para seguimiento MARK'!$A$98:$I$140,9,FALSE())</f>
        <v>736.1537606</v>
      </c>
      <c r="J137" s="107">
        <f>VLOOKUP($A137,'TD Costos para seguimiento MARK'!$A$98:$J$140,10,FALSE())</f>
        <v>680.4893536</v>
      </c>
      <c r="K137" s="105">
        <f>VLOOKUP($A137,'TD Costos Estimados para proyec'!$A$56:$E$88,3,FALSE())</f>
        <v>682.2902778</v>
      </c>
      <c r="L137" s="105">
        <f>VLOOKUP($A137,'TD Costos Estimados para proyec'!$A$56:$E$88,4,FALSE())</f>
        <v>694.7617612</v>
      </c>
      <c r="M137" s="105">
        <f>VLOOKUP($A137,'TD Costos Estimados para proyec'!$A$56:$E$88,5,FALSE())</f>
        <v>678.0259635</v>
      </c>
      <c r="N137" s="107"/>
      <c r="P137" s="333"/>
      <c r="Q137" s="105"/>
      <c r="R137" s="107"/>
      <c r="S137" s="107"/>
      <c r="T137" s="107"/>
      <c r="U137" s="107"/>
      <c r="V137" s="551"/>
      <c r="W137" s="551"/>
      <c r="X137" s="551"/>
      <c r="Y137" s="551"/>
    </row>
    <row r="138">
      <c r="A138" s="102" t="s">
        <v>87</v>
      </c>
      <c r="B138" s="107">
        <f>VLOOKUP($A138,'TD Costos para seguimiento MARK'!$A$98:$I$140,2,FALSE())</f>
        <v>358.7602459</v>
      </c>
      <c r="C138" s="107">
        <f>VLOOKUP($A138,'TD Costos para seguimiento MARK'!$A$98:$I$140,3,FALSE())</f>
        <v>615.9512195</v>
      </c>
      <c r="D138" s="107">
        <f>VLOOKUP($A138,'TD Costos para seguimiento MARK'!$A$98:$I$140,4,FALSE())</f>
        <v>431.6981132</v>
      </c>
      <c r="E138" s="107">
        <f>VLOOKUP($A138,'TD Costos para seguimiento MARK'!$A$98:$I$140,5,FALSE())</f>
        <v>927.8481013</v>
      </c>
      <c r="F138" s="107">
        <f>VLOOKUP($A138,'TD Costos para seguimiento MARK'!$A$98:$I$140,6,FALSE())</f>
        <v>594.3728814</v>
      </c>
      <c r="G138" s="107">
        <f>VLOOKUP($A138,'TD Costos para seguimiento MARK'!$A$98:$I$140,7,FALSE())</f>
        <v>552.9876543</v>
      </c>
      <c r="H138" s="107">
        <f>VLOOKUP($A138,'TD Costos para seguimiento MARK'!$A$98:$I$140,8,FALSE())</f>
        <v>771.6666667</v>
      </c>
      <c r="I138" s="107">
        <f>VLOOKUP($A138,'TD Costos para seguimiento MARK'!$A$98:$I$140,9,FALSE())</f>
        <v>870.9921041</v>
      </c>
      <c r="J138" s="107">
        <f>VLOOKUP($A138,'TD Costos para seguimiento MARK'!$A$98:$J$140,10,FALSE())</f>
        <v>944.4619488</v>
      </c>
      <c r="K138" s="105">
        <f>VLOOKUP($A138,'TD Costos Estimados para proyec'!$A$56:$E$88,3,FALSE())</f>
        <v>882.9638889</v>
      </c>
      <c r="L138" s="105">
        <f>VLOOKUP($A138,'TD Costos Estimados para proyec'!$A$56:$E$88,4,FALSE())</f>
        <v>848.2108072</v>
      </c>
      <c r="M138" s="105">
        <f>VLOOKUP($A138,'TD Costos Estimados para proyec'!$A$56:$E$88,5,FALSE())</f>
        <v>827.7786458</v>
      </c>
      <c r="N138" s="107"/>
      <c r="P138" s="333"/>
      <c r="Q138" s="105"/>
      <c r="R138" s="107"/>
      <c r="S138" s="107"/>
      <c r="T138" s="107"/>
      <c r="U138" s="107"/>
      <c r="V138" s="551"/>
      <c r="W138" s="551"/>
      <c r="X138" s="551"/>
      <c r="Y138" s="551"/>
    </row>
    <row r="139">
      <c r="A139" s="102" t="s">
        <v>235</v>
      </c>
      <c r="B139" s="107">
        <f>VLOOKUP($A139,'TD Costos para seguimiento MARK'!$A$98:$I$140,2,FALSE())</f>
        <v>1049.180328</v>
      </c>
      <c r="C139" s="107">
        <f>VLOOKUP($A139,'TD Costos para seguimiento MARK'!$A$98:$I$140,3,FALSE())</f>
        <v>686.9918699</v>
      </c>
      <c r="D139" s="107">
        <f>VLOOKUP($A139,'TD Costos para seguimiento MARK'!$A$98:$I$140,4,FALSE())</f>
        <v>637.7358491</v>
      </c>
      <c r="E139" s="107" t="str">
        <f>VLOOKUP($A139,'TD Costos para seguimiento MARK'!$A$98:$I$140,5,FALSE())</f>
        <v/>
      </c>
      <c r="F139" s="107" t="str">
        <f>VLOOKUP($A139,'TD Costos para seguimiento MARK'!$A$98:$I$140,6,FALSE())</f>
        <v/>
      </c>
      <c r="G139" s="107" t="str">
        <f>VLOOKUP($A139,'TD Costos para seguimiento MARK'!$A$98:$I$140,7,FALSE())</f>
        <v/>
      </c>
      <c r="H139" s="107" t="str">
        <f>VLOOKUP($A139,'TD Costos para seguimiento MARK'!$A$98:$I$140,8,FALSE())</f>
        <v/>
      </c>
      <c r="I139" s="107" t="str">
        <f>VLOOKUP($A139,'TD Costos para seguimiento MARK'!$A$98:$I$140,9,FALSE())</f>
        <v/>
      </c>
      <c r="J139" s="107" t="str">
        <f>VLOOKUP($A139,'TD Costos para seguimiento MARK'!$A$98:$J$140,10,FALSE())</f>
        <v/>
      </c>
      <c r="K139" s="105"/>
      <c r="L139" s="105"/>
      <c r="M139" s="105"/>
      <c r="N139" s="107"/>
      <c r="P139" s="107"/>
      <c r="Q139" s="105"/>
      <c r="R139" s="107"/>
      <c r="S139" s="107"/>
      <c r="T139" s="107"/>
      <c r="U139" s="107"/>
      <c r="V139" s="551"/>
      <c r="W139" s="551"/>
      <c r="X139" s="551"/>
      <c r="Y139" s="551"/>
    </row>
    <row r="140">
      <c r="A140" s="102" t="s">
        <v>219</v>
      </c>
      <c r="B140" s="107">
        <f>VLOOKUP($A140,'TD Costos para seguimiento MARK'!$A$98:$I$140,2,FALSE())</f>
        <v>239.1393443</v>
      </c>
      <c r="C140" s="107" t="str">
        <f>VLOOKUP($A140,'TD Costos para seguimiento MARK'!$A$98:$I$140,3,FALSE())</f>
        <v/>
      </c>
      <c r="D140" s="107">
        <f>VLOOKUP($A140,'TD Costos para seguimiento MARK'!$A$98:$I$140,4,FALSE())</f>
        <v>374.3381132</v>
      </c>
      <c r="E140" s="107">
        <f>VLOOKUP($A140,'TD Costos para seguimiento MARK'!$A$98:$I$140,5,FALSE())</f>
        <v>316.0320675</v>
      </c>
      <c r="F140" s="107" t="str">
        <f>VLOOKUP($A140,'TD Costos para seguimiento MARK'!$A$98:$I$140,6,FALSE())</f>
        <v/>
      </c>
      <c r="G140" s="107">
        <f>VLOOKUP($A140,'TD Costos para seguimiento MARK'!$A$98:$I$140,7,FALSE())</f>
        <v>660.1152263</v>
      </c>
      <c r="H140" s="107" t="str">
        <f>VLOOKUP($A140,'TD Costos para seguimiento MARK'!$A$98:$I$140,8,FALSE())</f>
        <v/>
      </c>
      <c r="I140" s="107">
        <f>VLOOKUP($A140,'TD Costos para seguimiento MARK'!$A$98:$I$140,9,FALSE())</f>
        <v>1244.669145</v>
      </c>
      <c r="J140" s="107">
        <f>VLOOKUP($A140,'TD Costos para seguimiento MARK'!$A$98:$J$140,10,FALSE())</f>
        <v>527.7467128</v>
      </c>
      <c r="K140" s="105">
        <f>VLOOKUP($A140,'TD Costos Estimados para proyec'!$A$56:$E$88,3,FALSE())</f>
        <v>599.04375</v>
      </c>
      <c r="L140" s="105">
        <f>VLOOKUP($A140,'TD Costos Estimados para proyec'!$A$56:$E$88,4,FALSE())</f>
        <v>618.625567</v>
      </c>
      <c r="M140" s="105">
        <f>VLOOKUP($A140,'TD Costos Estimados para proyec'!$A$56:$E$88,5,FALSE())</f>
        <v>603.7237793</v>
      </c>
      <c r="N140" s="107"/>
      <c r="P140" s="333"/>
      <c r="Q140" s="105"/>
      <c r="R140" s="107"/>
      <c r="S140" s="107"/>
      <c r="T140" s="107"/>
      <c r="U140" s="107"/>
      <c r="V140" s="551"/>
      <c r="W140" s="551"/>
      <c r="X140" s="551"/>
      <c r="Y140" s="551"/>
    </row>
    <row r="141">
      <c r="A141" s="43" t="s">
        <v>231</v>
      </c>
      <c r="B141" s="107" t="str">
        <f>VLOOKUP($A141,'TD Costos para seguimiento MARK'!$A$98:$I$140,2,FALSE())</f>
        <v/>
      </c>
      <c r="C141" s="107" t="str">
        <f>VLOOKUP($A141,'TD Costos para seguimiento MARK'!$A$98:$I$140,3,FALSE())</f>
        <v/>
      </c>
      <c r="D141" s="107" t="str">
        <f>VLOOKUP($A141,'TD Costos para seguimiento MARK'!$A$98:$I$140,4,FALSE())</f>
        <v/>
      </c>
      <c r="E141" s="107" t="str">
        <f>VLOOKUP($A141,'TD Costos para seguimiento MARK'!$A$98:$I$140,5,FALSE())</f>
        <v/>
      </c>
      <c r="F141" s="107" t="str">
        <f>VLOOKUP($A141,'TD Costos para seguimiento MARK'!$A$98:$I$140,6,FALSE())</f>
        <v/>
      </c>
      <c r="G141" s="107" t="str">
        <f>VLOOKUP($A141,'TD Costos para seguimiento MARK'!$A$98:$I$140,7,FALSE())</f>
        <v/>
      </c>
      <c r="H141" s="107" t="str">
        <f>VLOOKUP($A141,'TD Costos para seguimiento MARK'!$A$98:$I$140,8,FALSE())</f>
        <v/>
      </c>
      <c r="I141" s="107" t="str">
        <f>VLOOKUP($A141,'TD Costos para seguimiento MARK'!$A$98:$I$140,9,FALSE())</f>
        <v/>
      </c>
      <c r="J141" s="107">
        <f>VLOOKUP($A141,'TD Costos para seguimiento MARK'!$A$98:$J$140,10,FALSE())</f>
        <v>89.96539792</v>
      </c>
      <c r="K141" s="105"/>
      <c r="L141" s="105"/>
      <c r="M141" s="105"/>
      <c r="N141" s="107"/>
      <c r="P141" s="333"/>
      <c r="Q141" s="105"/>
      <c r="R141" s="107"/>
      <c r="S141" s="107"/>
      <c r="T141" s="107"/>
      <c r="U141" s="107"/>
      <c r="V141" s="551"/>
      <c r="W141" s="551"/>
      <c r="X141" s="551"/>
      <c r="Y141" s="551"/>
    </row>
    <row r="142">
      <c r="A142" s="102" t="s">
        <v>139</v>
      </c>
      <c r="B142" s="107">
        <f>VLOOKUP($A142,'TD Costos para seguimiento MARK'!$A$98:$I$140,2,FALSE())</f>
        <v>172.7868852</v>
      </c>
      <c r="C142" s="107">
        <f>VLOOKUP($A142,'TD Costos para seguimiento MARK'!$A$98:$I$140,3,FALSE())</f>
        <v>39.34878049</v>
      </c>
      <c r="D142" s="107">
        <f>VLOOKUP($A142,'TD Costos para seguimiento MARK'!$A$98:$I$140,4,FALSE())</f>
        <v>78.27320755</v>
      </c>
      <c r="E142" s="107">
        <f>VLOOKUP($A142,'TD Costos para seguimiento MARK'!$A$98:$I$140,5,FALSE())</f>
        <v>40.84303797</v>
      </c>
      <c r="F142" s="107" t="str">
        <f>VLOOKUP($A142,'TD Costos para seguimiento MARK'!$A$98:$I$140,6,FALSE())</f>
        <v/>
      </c>
      <c r="G142" s="107">
        <f>VLOOKUP($A142,'TD Costos para seguimiento MARK'!$A$98:$I$140,7,FALSE())</f>
        <v>18.78946502</v>
      </c>
      <c r="H142" s="107" t="str">
        <f>VLOOKUP($A142,'TD Costos para seguimiento MARK'!$A$98:$I$140,8,FALSE())</f>
        <v/>
      </c>
      <c r="I142" s="107">
        <f>VLOOKUP($A142,'TD Costos para seguimiento MARK'!$A$98:$I$140,9,FALSE())</f>
        <v>73.83585874</v>
      </c>
      <c r="J142" s="107">
        <f>VLOOKUP($A142,'TD Costos para seguimiento MARK'!$A$98:$J$140,10,FALSE())</f>
        <v>60.56408304</v>
      </c>
      <c r="K142" s="105">
        <f>VLOOKUP($A142,'TD Costos Estimados para proyec'!$A$56:$E$88,3,FALSE())</f>
        <v>34.72222222</v>
      </c>
      <c r="L142" s="105">
        <f>VLOOKUP($A142,'TD Costos Estimados para proyec'!$A$56:$E$88,4,FALSE())</f>
        <v>33.35557038</v>
      </c>
      <c r="M142" s="105">
        <f>VLOOKUP($A142,'TD Costos Estimados para proyec'!$A$56:$E$88,5,FALSE())</f>
        <v>32.55208333</v>
      </c>
      <c r="N142" s="107"/>
      <c r="P142" s="333"/>
      <c r="Q142" s="105"/>
      <c r="R142" s="107"/>
      <c r="S142" s="107"/>
      <c r="T142" s="107"/>
      <c r="U142" s="107"/>
      <c r="V142" s="551"/>
      <c r="W142" s="551"/>
      <c r="X142" s="551"/>
      <c r="Y142" s="551"/>
    </row>
    <row r="143">
      <c r="A143" s="102" t="s">
        <v>194</v>
      </c>
      <c r="B143" s="107">
        <f>VLOOKUP($A143,'TD Costos para seguimiento MARK'!$A$98:$I$140,2,FALSE())</f>
        <v>1270.73002</v>
      </c>
      <c r="C143" s="107">
        <f>VLOOKUP($A143,'TD Costos para seguimiento MARK'!$A$98:$I$140,3,FALSE())</f>
        <v>1449.190484</v>
      </c>
      <c r="D143" s="107">
        <f>VLOOKUP($A143,'TD Costos para seguimiento MARK'!$A$98:$I$140,4,FALSE())</f>
        <v>1345.28626</v>
      </c>
      <c r="E143" s="107">
        <f>VLOOKUP($A143,'TD Costos para seguimiento MARK'!$A$98:$I$140,5,FALSE())</f>
        <v>1504.219409</v>
      </c>
      <c r="F143" s="107">
        <f>VLOOKUP($A143,'TD Costos para seguimiento MARK'!$A$98:$I$140,6,FALSE())</f>
        <v>1635.216949</v>
      </c>
      <c r="G143" s="107">
        <f>VLOOKUP($A143,'TD Costos para seguimiento MARK'!$A$98:$I$140,7,FALSE())</f>
        <v>1588.111934</v>
      </c>
      <c r="H143" s="107">
        <f>VLOOKUP($A143,'TD Costos para seguimiento MARK'!$A$98:$I$140,8,FALSE())</f>
        <v>1569.601121</v>
      </c>
      <c r="I143" s="107">
        <f>VLOOKUP($A143,'TD Costos para seguimiento MARK'!$A$98:$I$140,9,FALSE())</f>
        <v>1577.134392</v>
      </c>
      <c r="J143" s="107">
        <f>VLOOKUP($A143,'TD Costos para seguimiento MARK'!$A$98:$J$140,10,FALSE())</f>
        <v>1356.61628</v>
      </c>
      <c r="K143" s="105">
        <f>VLOOKUP($A143,'TD Costos Estimados para proyec'!$A$56:$E$88,3,FALSE())</f>
        <v>1411.341156</v>
      </c>
      <c r="L143" s="105">
        <f>VLOOKUP($A143,'TD Costos Estimados para proyec'!$A$56:$E$88,4,FALSE())</f>
        <v>1423.580939</v>
      </c>
      <c r="M143" s="105">
        <f>VLOOKUP($A143,'TD Costos Estimados para proyec'!$A$56:$E$88,5,FALSE())</f>
        <v>1389.28895</v>
      </c>
      <c r="N143" s="107"/>
      <c r="P143" s="333"/>
      <c r="Q143" s="105"/>
      <c r="R143" s="107"/>
      <c r="S143" s="107"/>
      <c r="T143" s="107"/>
      <c r="U143" s="107"/>
      <c r="V143" s="551"/>
      <c r="W143" s="551"/>
      <c r="X143" s="551"/>
      <c r="Y143" s="551"/>
    </row>
    <row r="144">
      <c r="A144" s="102" t="s">
        <v>220</v>
      </c>
      <c r="B144" s="107">
        <f>VLOOKUP($A144,'TD Costos para seguimiento MARK'!$A$98:$I$140,2,FALSE())</f>
        <v>912.6229508</v>
      </c>
      <c r="C144" s="107" t="str">
        <f>VLOOKUP($A144,'TD Costos para seguimiento MARK'!$A$98:$I$140,3,FALSE())</f>
        <v/>
      </c>
      <c r="D144" s="107" t="str">
        <f>VLOOKUP($A144,'TD Costos para seguimiento MARK'!$A$98:$I$140,4,FALSE())</f>
        <v/>
      </c>
      <c r="E144" s="107" t="str">
        <f>VLOOKUP($A144,'TD Costos para seguimiento MARK'!$A$98:$I$140,5,FALSE())</f>
        <v/>
      </c>
      <c r="F144" s="107" t="str">
        <f>VLOOKUP($A144,'TD Costos para seguimiento MARK'!$A$98:$I$140,6,FALSE())</f>
        <v/>
      </c>
      <c r="G144" s="107" t="str">
        <f>VLOOKUP($A144,'TD Costos para seguimiento MARK'!$A$98:$I$140,7,FALSE())</f>
        <v/>
      </c>
      <c r="H144" s="107" t="str">
        <f>VLOOKUP($A144,'TD Costos para seguimiento MARK'!$A$98:$I$140,8,FALSE())</f>
        <v/>
      </c>
      <c r="I144" s="107" t="str">
        <f>VLOOKUP($A144,'TD Costos para seguimiento MARK'!$A$98:$I$140,9,FALSE())</f>
        <v/>
      </c>
      <c r="J144" s="107" t="str">
        <f>VLOOKUP($A144,'TD Costos para seguimiento MARK'!$A$98:$J$140,10,FALSE())</f>
        <v/>
      </c>
      <c r="K144" s="105"/>
      <c r="L144" s="105"/>
      <c r="M144" s="105"/>
      <c r="N144" s="107"/>
      <c r="P144" s="107"/>
      <c r="Q144" s="105"/>
      <c r="R144" s="107"/>
      <c r="S144" s="107"/>
      <c r="T144" s="107"/>
      <c r="U144" s="107"/>
      <c r="V144" s="551"/>
      <c r="W144" s="551"/>
      <c r="X144" s="551"/>
      <c r="Y144" s="551"/>
    </row>
    <row r="145">
      <c r="A145" s="102" t="s">
        <v>230</v>
      </c>
      <c r="B145" s="107" t="str">
        <f>VLOOKUP($A145,'TD Costos para seguimiento MARK'!$A$98:$I$140,2,FALSE())</f>
        <v/>
      </c>
      <c r="C145" s="107" t="str">
        <f>VLOOKUP($A145,'TD Costos para seguimiento MARK'!$A$98:$I$140,3,FALSE())</f>
        <v/>
      </c>
      <c r="D145" s="107" t="str">
        <f>VLOOKUP($A145,'TD Costos para seguimiento MARK'!$A$98:$I$140,4,FALSE())</f>
        <v/>
      </c>
      <c r="E145" s="107" t="str">
        <f>VLOOKUP($A145,'TD Costos para seguimiento MARK'!$A$98:$I$140,5,FALSE())</f>
        <v/>
      </c>
      <c r="F145" s="107">
        <f>VLOOKUP($A145,'TD Costos para seguimiento MARK'!$A$98:$I$140,6,FALSE())</f>
        <v>1440.677966</v>
      </c>
      <c r="G145" s="107">
        <f>VLOOKUP($A145,'TD Costos para seguimiento MARK'!$A$98:$I$140,7,FALSE())</f>
        <v>1567.078189</v>
      </c>
      <c r="H145" s="107">
        <f>VLOOKUP($A145,'TD Costos para seguimiento MARK'!$A$98:$I$140,8,FALSE())</f>
        <v>1442.424242</v>
      </c>
      <c r="I145" s="107">
        <f>VLOOKUP($A145,'TD Costos para seguimiento MARK'!$A$98:$I$140,9,FALSE())</f>
        <v>1487.526543</v>
      </c>
      <c r="J145" s="107">
        <f>VLOOKUP($A145,'TD Costos para seguimiento MARK'!$A$98:$J$140,10,FALSE())</f>
        <v>1384.583529</v>
      </c>
      <c r="K145" s="105">
        <f>VLOOKUP($A145,'TD Costos Estimados para proyec'!$A$56:$E$88,3,FALSE())</f>
        <v>1389.391111</v>
      </c>
      <c r="L145" s="105">
        <f>VLOOKUP($A145,'TD Costos Estimados para proyec'!$A$56:$E$88,4,FALSE())</f>
        <v>1414.787586</v>
      </c>
      <c r="M145" s="105">
        <f>VLOOKUP($A145,'TD Costos Estimados para proyec'!$A$56:$E$88,5,FALSE())</f>
        <v>1380.707417</v>
      </c>
      <c r="N145" s="107"/>
      <c r="P145" s="333"/>
      <c r="Q145" s="105"/>
      <c r="R145" s="107"/>
      <c r="S145" s="107"/>
      <c r="T145" s="107"/>
      <c r="U145" s="107"/>
      <c r="V145" s="551"/>
      <c r="W145" s="551"/>
      <c r="X145" s="551"/>
      <c r="Y145" s="551"/>
    </row>
    <row r="146">
      <c r="A146" s="102" t="s">
        <v>229</v>
      </c>
      <c r="B146" s="107" t="str">
        <f>VLOOKUP($A146,'TD Costos para seguimiento MARK'!$A$98:$I$140,2,FALSE())</f>
        <v/>
      </c>
      <c r="C146" s="107" t="str">
        <f>VLOOKUP($A146,'TD Costos para seguimiento MARK'!$A$98:$I$140,3,FALSE())</f>
        <v/>
      </c>
      <c r="D146" s="107" t="str">
        <f>VLOOKUP($A146,'TD Costos para seguimiento MARK'!$A$98:$I$140,4,FALSE())</f>
        <v/>
      </c>
      <c r="E146" s="107">
        <f>VLOOKUP($A146,'TD Costos para seguimiento MARK'!$A$98:$I$140,5,FALSE())</f>
        <v>110.7594937</v>
      </c>
      <c r="F146" s="107">
        <f>VLOOKUP($A146,'TD Costos para seguimiento MARK'!$A$98:$I$140,6,FALSE())</f>
        <v>375</v>
      </c>
      <c r="G146" s="107">
        <f>VLOOKUP($A146,'TD Costos para seguimiento MARK'!$A$98:$I$140,7,FALSE())</f>
        <v>336.1111111</v>
      </c>
      <c r="H146" s="107">
        <f>VLOOKUP($A146,'TD Costos para seguimiento MARK'!$A$98:$I$140,8,FALSE())</f>
        <v>330.9659091</v>
      </c>
      <c r="I146" s="107">
        <f>VLOOKUP($A146,'TD Costos para seguimiento MARK'!$A$98:$I$140,9,FALSE())</f>
        <v>295.5390335</v>
      </c>
      <c r="J146" s="107">
        <f>VLOOKUP($A146,'TD Costos para seguimiento MARK'!$A$98:$J$140,10,FALSE())</f>
        <v>337.3702422</v>
      </c>
      <c r="K146" s="105">
        <f>VLOOKUP($A146,'TD Costos Estimados para proyec'!$A$56:$E$88,3,FALSE())</f>
        <v>312.5</v>
      </c>
      <c r="L146" s="105">
        <f>VLOOKUP($A146,'TD Costos Estimados para proyec'!$A$56:$E$88,4,FALSE())</f>
        <v>300.2001334</v>
      </c>
      <c r="M146" s="105">
        <f>VLOOKUP($A146,'TD Costos Estimados para proyec'!$A$56:$E$88,5,FALSE())</f>
        <v>292.96875</v>
      </c>
      <c r="N146" s="107"/>
      <c r="P146" s="333"/>
      <c r="Q146" s="105"/>
      <c r="R146" s="107"/>
      <c r="S146" s="107"/>
      <c r="T146" s="107"/>
      <c r="U146" s="107"/>
      <c r="V146" s="551"/>
      <c r="W146" s="551"/>
      <c r="X146" s="551"/>
      <c r="Y146" s="551"/>
    </row>
    <row r="147">
      <c r="A147" s="102" t="s">
        <v>217</v>
      </c>
      <c r="B147" s="107" t="str">
        <f>VLOOKUP($A147,'TD Costos para seguimiento MARK'!$A$98:$I$140,2,FALSE())</f>
        <v/>
      </c>
      <c r="C147" s="107" t="str">
        <f>VLOOKUP($A147,'TD Costos para seguimiento MARK'!$A$98:$I$140,3,FALSE())</f>
        <v/>
      </c>
      <c r="D147" s="107" t="str">
        <f>VLOOKUP($A147,'TD Costos para seguimiento MARK'!$A$98:$I$140,4,FALSE())</f>
        <v/>
      </c>
      <c r="E147" s="107">
        <f>VLOOKUP($A147,'TD Costos para seguimiento MARK'!$A$98:$I$140,5,FALSE())</f>
        <v>741.2092827</v>
      </c>
      <c r="F147" s="107">
        <f>VLOOKUP($A147,'TD Costos para seguimiento MARK'!$A$98:$I$140,6,FALSE())</f>
        <v>1313.559322</v>
      </c>
      <c r="G147" s="107">
        <f>VLOOKUP($A147,'TD Costos para seguimiento MARK'!$A$98:$I$140,7,FALSE())</f>
        <v>1275.720165</v>
      </c>
      <c r="H147" s="107">
        <f>VLOOKUP($A147,'TD Costos para seguimiento MARK'!$A$98:$I$140,8,FALSE())</f>
        <v>1244.87879</v>
      </c>
      <c r="I147" s="107">
        <f>VLOOKUP($A147,'TD Costos para seguimiento MARK'!$A$98:$I$140,9,FALSE())</f>
        <v>1221.739634</v>
      </c>
      <c r="J147" s="107">
        <f>VLOOKUP($A147,'TD Costos para seguimiento MARK'!$A$98:$J$140,10,FALSE())</f>
        <v>1137.190179</v>
      </c>
      <c r="K147" s="105">
        <f>VLOOKUP($A147,'TD Costos Estimados para proyec'!$A$56:$E$88,3,FALSE())</f>
        <v>1204.814298</v>
      </c>
      <c r="L147" s="105">
        <f>VLOOKUP($A147,'TD Costos Estimados para proyec'!$A$56:$E$88,4,FALSE())</f>
        <v>1157.393322</v>
      </c>
      <c r="M147" s="105">
        <f>VLOOKUP($A147,'TD Costos Estimados para proyec'!$A$56:$E$88,5,FALSE())</f>
        <v>1129.513404</v>
      </c>
      <c r="N147" s="107"/>
      <c r="P147" s="333"/>
      <c r="Q147" s="105"/>
      <c r="R147" s="107"/>
      <c r="S147" s="107"/>
      <c r="T147" s="107"/>
      <c r="U147" s="107"/>
      <c r="V147" s="551"/>
      <c r="W147" s="551"/>
      <c r="X147" s="551"/>
      <c r="Y147" s="551"/>
    </row>
    <row r="148">
      <c r="A148" s="102" t="s">
        <v>158</v>
      </c>
      <c r="B148" s="107">
        <f>VLOOKUP($A148,'TD Costos para seguimiento MARK'!$A$98:$I$140,2,FALSE())</f>
        <v>23.28278689</v>
      </c>
      <c r="C148" s="107">
        <f>VLOOKUP($A148,'TD Costos para seguimiento MARK'!$A$98:$I$140,3,FALSE())</f>
        <v>70.24796748</v>
      </c>
      <c r="D148" s="107" t="str">
        <f>VLOOKUP($A148,'TD Costos para seguimiento MARK'!$A$98:$I$140,4,FALSE())</f>
        <v/>
      </c>
      <c r="E148" s="107">
        <f>VLOOKUP($A148,'TD Costos para seguimiento MARK'!$A$98:$I$140,5,FALSE())</f>
        <v>45.54345992</v>
      </c>
      <c r="F148" s="107">
        <f>VLOOKUP($A148,'TD Costos para seguimiento MARK'!$A$98:$I$140,6,FALSE())</f>
        <v>189.4994153</v>
      </c>
      <c r="G148" s="107">
        <f>VLOOKUP($A148,'TD Costos para seguimiento MARK'!$A$98:$I$140,7,FALSE())</f>
        <v>91.67242798</v>
      </c>
      <c r="H148" s="107">
        <f>VLOOKUP($A148,'TD Costos para seguimiento MARK'!$A$98:$I$140,8,FALSE())</f>
        <v>89.54545455</v>
      </c>
      <c r="I148" s="107">
        <f>VLOOKUP($A148,'TD Costos para seguimiento MARK'!$A$98:$I$140,9,FALSE())</f>
        <v>0</v>
      </c>
      <c r="J148" s="107">
        <f>VLOOKUP($A148,'TD Costos para seguimiento MARK'!$A$98:$J$140,10,FALSE())</f>
        <v>22.14532872</v>
      </c>
      <c r="K148" s="105">
        <f>VLOOKUP($A148,'TD Costos Estimados para proyec'!$A$56:$E$88,3,FALSE())</f>
        <v>90.27777778</v>
      </c>
      <c r="L148" s="105">
        <f>VLOOKUP($A148,'TD Costos Estimados para proyec'!$A$56:$E$88,4,FALSE())</f>
        <v>86.72448299</v>
      </c>
      <c r="M148" s="105">
        <f>VLOOKUP($A148,'TD Costos Estimados para proyec'!$A$56:$E$88,5,FALSE())</f>
        <v>84.63541667</v>
      </c>
      <c r="N148" s="107"/>
      <c r="P148" s="333"/>
      <c r="Q148" s="105"/>
      <c r="R148" s="107"/>
      <c r="S148" s="107"/>
      <c r="T148" s="107"/>
      <c r="U148" s="107"/>
      <c r="V148" s="551"/>
      <c r="W148" s="551"/>
      <c r="X148" s="551"/>
      <c r="Y148" s="551"/>
    </row>
    <row r="149">
      <c r="A149" s="102" t="s">
        <v>191</v>
      </c>
      <c r="B149" s="107">
        <f>VLOOKUP($A149,'TD Costos para seguimiento MARK'!$A$98:$I$140,2,FALSE())</f>
        <v>835.18</v>
      </c>
      <c r="C149" s="107">
        <f>VLOOKUP($A149,'TD Costos para seguimiento MARK'!$A$98:$I$140,3,FALSE())</f>
        <v>878.67</v>
      </c>
      <c r="D149" s="107">
        <f>VLOOKUP($A149,'TD Costos para seguimiento MARK'!$A$98:$I$140,4,FALSE())</f>
        <v>660.91</v>
      </c>
      <c r="E149" s="107">
        <f>VLOOKUP($A149,'TD Costos para seguimiento MARK'!$A$98:$I$140,5,FALSE())</f>
        <v>660.91</v>
      </c>
      <c r="F149" s="107">
        <f>VLOOKUP($A149,'TD Costos para seguimiento MARK'!$A$98:$I$140,6,FALSE())</f>
        <v>2658.17</v>
      </c>
      <c r="G149" s="107">
        <f>VLOOKUP($A149,'TD Costos para seguimiento MARK'!$A$98:$I$140,7,FALSE())</f>
        <v>1962.88</v>
      </c>
      <c r="H149" s="107">
        <f>VLOOKUP($A149,'TD Costos para seguimiento MARK'!$A$98:$I$140,8,FALSE())</f>
        <v>3322.99</v>
      </c>
      <c r="I149" s="107">
        <f>VLOOKUP($A149,'TD Costos para seguimiento MARK'!$A$98:$I$140,9,FALSE())</f>
        <v>2971.87</v>
      </c>
      <c r="J149" s="107">
        <f>VLOOKUP($A149,'TD Costos para seguimiento MARK'!$A$98:$J$140,10,FALSE())</f>
        <v>3625.77</v>
      </c>
      <c r="K149" s="105">
        <f>VLOOKUP($A149,'TD Costos Estimados para proyec'!$A$56:$E$88,3,FALSE())</f>
        <v>2000</v>
      </c>
      <c r="L149" s="105">
        <f>VLOOKUP($A149,'TD Costos Estimados para proyec'!$A$56:$E$88,4,FALSE())</f>
        <v>2000</v>
      </c>
      <c r="M149" s="105">
        <f>VLOOKUP($A149,'TD Costos Estimados para proyec'!$A$56:$E$88,5,FALSE())</f>
        <v>2000</v>
      </c>
      <c r="N149" s="107"/>
      <c r="P149" s="333"/>
      <c r="Q149" s="105"/>
      <c r="R149" s="107"/>
      <c r="S149" s="107"/>
      <c r="T149" s="107"/>
      <c r="U149" s="107"/>
      <c r="V149" s="551"/>
      <c r="W149" s="551"/>
      <c r="X149" s="551"/>
      <c r="Y149" s="551"/>
    </row>
    <row r="150">
      <c r="A150" s="102" t="s">
        <v>210</v>
      </c>
      <c r="B150" s="107">
        <f>VLOOKUP($A150,'TD Costos para seguimiento MARK'!$A$98:$I$140,2,FALSE())</f>
        <v>132.6942623</v>
      </c>
      <c r="C150" s="107">
        <f>VLOOKUP($A150,'TD Costos para seguimiento MARK'!$A$98:$I$140,3,FALSE())</f>
        <v>250.6676016</v>
      </c>
      <c r="D150" s="107">
        <f>VLOOKUP($A150,'TD Costos para seguimiento MARK'!$A$98:$I$140,4,FALSE())</f>
        <v>294.34</v>
      </c>
      <c r="E150" s="107">
        <f>VLOOKUP($A150,'TD Costos para seguimiento MARK'!$A$98:$I$140,5,FALSE())</f>
        <v>385.0016878</v>
      </c>
      <c r="F150" s="107">
        <f>VLOOKUP($A150,'TD Costos para seguimiento MARK'!$A$98:$I$140,6,FALSE())</f>
        <v>99.42372881</v>
      </c>
      <c r="G150" s="107">
        <f>VLOOKUP($A150,'TD Costos para seguimiento MARK'!$A$98:$I$140,7,FALSE())</f>
        <v>165.5308642</v>
      </c>
      <c r="H150" s="107">
        <f>VLOOKUP($A150,'TD Costos para seguimiento MARK'!$A$98:$I$140,8,FALSE())</f>
        <v>247.5909091</v>
      </c>
      <c r="I150" s="107">
        <f>VLOOKUP($A150,'TD Costos para seguimiento MARK'!$A$98:$I$140,9,FALSE())</f>
        <v>331.5395911</v>
      </c>
      <c r="J150" s="107">
        <f>VLOOKUP($A150,'TD Costos para seguimiento MARK'!$A$98:$J$140,10,FALSE())</f>
        <v>180.7934256</v>
      </c>
      <c r="K150" s="105">
        <f>VLOOKUP($A150,'TD Costos Estimados para proyec'!$A$56:$E$88,3,FALSE())</f>
        <v>312.7951389</v>
      </c>
      <c r="L150" s="105">
        <f>VLOOKUP($A150,'TD Costos Estimados para proyec'!$A$56:$E$88,4,FALSE())</f>
        <v>318.5126751</v>
      </c>
      <c r="M150" s="105">
        <f>VLOOKUP($A150,'TD Costos Estimados para proyec'!$A$56:$E$88,5,FALSE())</f>
        <v>310.8401693</v>
      </c>
      <c r="N150" s="107"/>
      <c r="P150" s="333"/>
      <c r="Q150" s="105"/>
      <c r="R150" s="107"/>
      <c r="S150" s="107"/>
      <c r="T150" s="107"/>
      <c r="U150" s="107"/>
      <c r="V150" s="551"/>
      <c r="W150" s="551"/>
      <c r="X150" s="551"/>
      <c r="Y150" s="551"/>
    </row>
    <row r="151">
      <c r="A151" s="102" t="s">
        <v>133</v>
      </c>
      <c r="B151" s="107">
        <f>VLOOKUP($A151,'TD Costos para seguimiento MARK'!$A$98:$I$140,2,FALSE())</f>
        <v>2479.508197</v>
      </c>
      <c r="C151" s="107">
        <f>VLOOKUP($A151,'TD Costos para seguimiento MARK'!$A$98:$I$140,3,FALSE())</f>
        <v>2951.221171</v>
      </c>
      <c r="D151" s="107">
        <f>VLOOKUP($A151,'TD Costos para seguimiento MARK'!$A$98:$I$140,4,FALSE())</f>
        <v>3396.226415</v>
      </c>
      <c r="E151" s="107">
        <f>VLOOKUP($A151,'TD Costos para seguimiento MARK'!$A$98:$I$140,5,FALSE())</f>
        <v>4143.459916</v>
      </c>
      <c r="F151" s="107">
        <f>VLOOKUP($A151,'TD Costos para seguimiento MARK'!$A$98:$I$140,6,FALSE())</f>
        <v>4161.016949</v>
      </c>
      <c r="G151" s="107">
        <f>VLOOKUP($A151,'TD Costos para seguimiento MARK'!$A$98:$I$140,7,FALSE())</f>
        <v>4041.152263</v>
      </c>
      <c r="H151" s="107">
        <f>VLOOKUP($A151,'TD Costos para seguimiento MARK'!$A$98:$I$140,8,FALSE())</f>
        <v>3887.424242</v>
      </c>
      <c r="I151" s="107">
        <f>VLOOKUP($A151,'TD Costos para seguimiento MARK'!$A$98:$I$140,9,FALSE())</f>
        <v>3942.666468</v>
      </c>
      <c r="J151" s="107">
        <f>VLOOKUP($A151,'TD Costos para seguimiento MARK'!$A$98:$J$140,10,FALSE())</f>
        <v>3669.817578</v>
      </c>
      <c r="K151" s="105">
        <f>VLOOKUP($A151,'TD Costos Estimados para proyec'!$A$56:$E$88,3,FALSE())</f>
        <v>3802.004444</v>
      </c>
      <c r="L151" s="105">
        <f>VLOOKUP($A151,'TD Costos Estimados para proyec'!$A$56:$E$88,4,FALSE())</f>
        <v>3864.616133</v>
      </c>
      <c r="M151" s="105">
        <f>VLOOKUP($A151,'TD Costos Estimados para proyec'!$A$56:$E$88,5,FALSE())</f>
        <v>3771.523167</v>
      </c>
      <c r="N151" s="107"/>
      <c r="P151" s="333"/>
      <c r="Q151" s="105"/>
      <c r="R151" s="107"/>
      <c r="S151" s="107"/>
      <c r="T151" s="107"/>
      <c r="U151" s="107"/>
      <c r="V151" s="551"/>
      <c r="W151" s="551"/>
      <c r="X151" s="551"/>
      <c r="Y151" s="551"/>
    </row>
    <row r="152">
      <c r="A152" s="102" t="s">
        <v>221</v>
      </c>
      <c r="B152" s="107">
        <f>VLOOKUP($A152,'TD Costos para seguimiento MARK'!$A$98:$I$140,2,FALSE())</f>
        <v>1154.229508</v>
      </c>
      <c r="C152" s="107">
        <f>VLOOKUP($A152,'TD Costos para seguimiento MARK'!$A$98:$I$140,3,FALSE())</f>
        <v>1316.569302</v>
      </c>
      <c r="D152" s="107">
        <f>VLOOKUP($A152,'TD Costos para seguimiento MARK'!$A$98:$I$140,4,FALSE())</f>
        <v>1222.173768</v>
      </c>
      <c r="E152" s="107">
        <f>VLOOKUP($A152,'TD Costos para seguimiento MARK'!$A$98:$I$140,5,FALSE())</f>
        <v>1366.568776</v>
      </c>
      <c r="F152" s="107">
        <f>VLOOKUP($A152,'TD Costos para seguimiento MARK'!$A$98:$I$140,6,FALSE())</f>
        <v>1489.010169</v>
      </c>
      <c r="G152" s="107">
        <f>VLOOKUP($A152,'TD Costos para seguimiento MARK'!$A$98:$I$140,7,FALSE())</f>
        <v>1446.116872</v>
      </c>
      <c r="H152" s="107">
        <f>VLOOKUP($A152,'TD Costos para seguimiento MARK'!$A$98:$I$140,8,FALSE())</f>
        <v>1331.084875</v>
      </c>
      <c r="I152" s="107">
        <f>VLOOKUP($A152,'TD Costos para seguimiento MARK'!$A$98:$I$140,9,FALSE())</f>
        <v>1410.79316</v>
      </c>
      <c r="J152" s="107">
        <f>VLOOKUP($A152,'TD Costos para seguimiento MARK'!$A$98:$J$140,10,FALSE())</f>
        <v>1202.362505</v>
      </c>
      <c r="K152" s="105">
        <f>VLOOKUP($A152,'TD Costos Estimados para proyec'!$A$56:$E$88,3,FALSE())</f>
        <v>1317.72</v>
      </c>
      <c r="L152" s="105">
        <f>VLOOKUP($A152,'TD Costos Estimados para proyec'!$A$56:$E$88,4,FALSE())</f>
        <v>1341.80641</v>
      </c>
      <c r="M152" s="105">
        <f>VLOOKUP($A152,'TD Costos Estimados para proyec'!$A$56:$E$88,5,FALSE())</f>
        <v>1309.48425</v>
      </c>
      <c r="N152" s="107"/>
      <c r="P152" s="333"/>
      <c r="Q152" s="105"/>
      <c r="R152" s="107"/>
      <c r="S152" s="107"/>
      <c r="T152" s="107"/>
      <c r="U152" s="107"/>
      <c r="V152" s="551"/>
      <c r="W152" s="551"/>
      <c r="X152" s="551"/>
      <c r="Y152" s="551"/>
    </row>
    <row r="153">
      <c r="A153" s="102" t="s">
        <v>203</v>
      </c>
      <c r="B153" s="107">
        <f>VLOOKUP($A153,'TD Costos para seguimiento MARK'!$A$98:$I$140,2,FALSE())</f>
        <v>790.9054918</v>
      </c>
      <c r="C153" s="107">
        <f>VLOOKUP($A153,'TD Costos para seguimiento MARK'!$A$98:$I$140,3,FALSE())</f>
        <v>1025.504195</v>
      </c>
      <c r="D153" s="107">
        <f>VLOOKUP($A153,'TD Costos para seguimiento MARK'!$A$98:$I$140,4,FALSE())</f>
        <v>866.5372528</v>
      </c>
      <c r="E153" s="107">
        <f>VLOOKUP($A153,'TD Costos para seguimiento MARK'!$A$98:$I$140,5,FALSE())</f>
        <v>932.3046414</v>
      </c>
      <c r="F153" s="107">
        <f>VLOOKUP($A153,'TD Costos para seguimiento MARK'!$A$98:$I$140,6,FALSE())</f>
        <v>932.9745763</v>
      </c>
      <c r="G153" s="107">
        <f>VLOOKUP($A153,'TD Costos para seguimiento MARK'!$A$98:$I$140,7,FALSE())</f>
        <v>617.3292181</v>
      </c>
      <c r="H153" s="107">
        <f>VLOOKUP($A153,'TD Costos para seguimiento MARK'!$A$98:$I$140,8,FALSE())</f>
        <v>661.5375</v>
      </c>
      <c r="I153" s="107">
        <f>VLOOKUP($A153,'TD Costos para seguimiento MARK'!$A$98:$I$140,9,FALSE())</f>
        <v>1083.352584</v>
      </c>
      <c r="J153" s="107">
        <f>VLOOKUP($A153,'TD Costos para seguimiento MARK'!$A$98:$J$140,10,FALSE())</f>
        <v>692.9092215</v>
      </c>
      <c r="K153" s="105">
        <f>VLOOKUP($A153,'TD Costos Estimados para proyec'!$A$56:$E$88,3,FALSE())</f>
        <v>904.475</v>
      </c>
      <c r="L153" s="105">
        <f>VLOOKUP($A153,'TD Costos Estimados para proyec'!$A$56:$E$88,4,FALSE())</f>
        <v>921.0077652</v>
      </c>
      <c r="M153" s="105">
        <f>VLOOKUP($A153,'TD Costos Estimados para proyec'!$A$56:$E$88,5,FALSE())</f>
        <v>898.8220313</v>
      </c>
      <c r="N153" s="107"/>
      <c r="P153" s="333"/>
      <c r="Q153" s="105"/>
      <c r="R153" s="107"/>
      <c r="S153" s="107"/>
      <c r="T153" s="107"/>
      <c r="U153" s="107"/>
      <c r="V153" s="551"/>
      <c r="W153" s="551"/>
      <c r="X153" s="551"/>
      <c r="Y153" s="551"/>
    </row>
    <row r="154">
      <c r="A154" s="102" t="s">
        <v>197</v>
      </c>
      <c r="B154" s="107">
        <f>VLOOKUP($A154,'TD Costos para seguimiento MARK'!$A$98:$I$140,2,FALSE())</f>
        <v>1186.768933</v>
      </c>
      <c r="C154" s="107">
        <f>VLOOKUP($A154,'TD Costos para seguimiento MARK'!$A$98:$I$140,3,FALSE())</f>
        <v>1306.6095</v>
      </c>
      <c r="D154" s="107">
        <f>VLOOKUP($A154,'TD Costos para seguimiento MARK'!$A$98:$I$140,4,FALSE())</f>
        <v>1241.728515</v>
      </c>
      <c r="E154" s="107">
        <f>VLOOKUP($A154,'TD Costos para seguimiento MARK'!$A$98:$I$140,5,FALSE())</f>
        <v>1496.190717</v>
      </c>
      <c r="F154" s="107">
        <f>VLOOKUP($A154,'TD Costos para seguimiento MARK'!$A$98:$I$140,6,FALSE())</f>
        <v>1727.910169</v>
      </c>
      <c r="G154" s="107">
        <f>VLOOKUP($A154,'TD Costos para seguimiento MARK'!$A$98:$I$140,7,FALSE())</f>
        <v>1678.134979</v>
      </c>
      <c r="H154" s="107">
        <f>VLOOKUP($A154,'TD Costos para seguimiento MARK'!$A$98:$I$140,8,FALSE())</f>
        <v>1544.646969</v>
      </c>
      <c r="I154" s="107">
        <f>VLOOKUP($A154,'TD Costos para seguimiento MARK'!$A$98:$I$140,9,FALSE())</f>
        <v>1592.903423</v>
      </c>
      <c r="J154" s="107">
        <f>VLOOKUP($A154,'TD Costos para seguimiento MARK'!$A$98:$J$140,10,FALSE())</f>
        <v>1478.034555</v>
      </c>
      <c r="K154" s="105">
        <f>VLOOKUP($A154,'TD Costos Estimados para proyec'!$A$56:$E$88,3,FALSE())</f>
        <v>1487.816044</v>
      </c>
      <c r="L154" s="105">
        <f>VLOOKUP($A154,'TD Costos Estimados para proyec'!$A$56:$E$88,4,FALSE())</f>
        <v>1515.011615</v>
      </c>
      <c r="M154" s="105">
        <f>VLOOKUP($A154,'TD Costos Estimados para proyec'!$A$56:$E$88,5,FALSE())</f>
        <v>1478.517194</v>
      </c>
      <c r="N154" s="107"/>
      <c r="P154" s="551"/>
      <c r="R154" s="107"/>
      <c r="S154" s="105"/>
      <c r="T154" s="107"/>
      <c r="U154" s="107"/>
      <c r="V154" s="551"/>
      <c r="W154" s="551"/>
      <c r="X154" s="551"/>
      <c r="Y154" s="551"/>
    </row>
    <row r="155">
      <c r="A155" s="102" t="s">
        <v>120</v>
      </c>
      <c r="B155" s="107">
        <f>VLOOKUP($A155,'TD Costos para seguimiento MARK'!$A$98:$I$140,2,FALSE())</f>
        <v>2049.180328</v>
      </c>
      <c r="C155" s="107">
        <f>VLOOKUP($A155,'TD Costos para seguimiento MARK'!$A$98:$I$140,3,FALSE())</f>
        <v>2032.520325</v>
      </c>
      <c r="D155" s="107">
        <f>VLOOKUP($A155,'TD Costos para seguimiento MARK'!$A$98:$I$140,4,FALSE())</f>
        <v>1886.792453</v>
      </c>
      <c r="E155" s="107">
        <f>VLOOKUP($A155,'TD Costos para seguimiento MARK'!$A$98:$I$140,5,FALSE())</f>
        <v>2447.257384</v>
      </c>
      <c r="F155" s="107">
        <f>VLOOKUP($A155,'TD Costos para seguimiento MARK'!$A$98:$I$140,6,FALSE())</f>
        <v>2457.627119</v>
      </c>
      <c r="G155" s="107">
        <f>VLOOKUP($A155,'TD Costos para seguimiento MARK'!$A$98:$I$140,7,FALSE())</f>
        <v>2387.030453</v>
      </c>
      <c r="H155" s="107">
        <f>VLOOKUP($A155,'TD Costos para seguimiento MARK'!$A$98:$I$140,8,FALSE())</f>
        <v>2196.969697</v>
      </c>
      <c r="I155" s="107">
        <f>VLOOKUP($A155,'TD Costos para seguimiento MARK'!$A$98:$I$140,9,FALSE())</f>
        <v>2648.451053</v>
      </c>
      <c r="J155" s="107">
        <f>VLOOKUP($A155,'TD Costos para seguimiento MARK'!$A$98:$J$140,10,FALSE())</f>
        <v>2370.239908</v>
      </c>
      <c r="K155" s="105">
        <f>VLOOKUP($A155,'TD Costos Estimados para proyec'!$A$56:$E$88,3,FALSE())</f>
        <v>2215.277778</v>
      </c>
      <c r="L155" s="105">
        <f>VLOOKUP($A155,'TD Costos Estimados para proyec'!$A$56:$E$88,4,FALSE())</f>
        <v>2255.770514</v>
      </c>
      <c r="M155" s="105">
        <f>VLOOKUP($A155,'TD Costos Estimados para proyec'!$A$56:$E$88,5,FALSE())</f>
        <v>2201.432292</v>
      </c>
      <c r="N155" s="107"/>
      <c r="P155" s="551"/>
      <c r="R155" s="107"/>
      <c r="S155" s="105"/>
      <c r="T155" s="107"/>
      <c r="U155" s="107"/>
      <c r="V155" s="551"/>
      <c r="W155" s="551"/>
      <c r="X155" s="551"/>
      <c r="Y155" s="551"/>
    </row>
    <row r="156">
      <c r="A156" s="102" t="s">
        <v>127</v>
      </c>
      <c r="B156" s="107">
        <f>VLOOKUP($A156,'TD Costos para seguimiento MARK'!$A$98:$I$140,2,FALSE())</f>
        <v>2479.508197</v>
      </c>
      <c r="C156" s="107">
        <f>VLOOKUP($A156,'TD Costos para seguimiento MARK'!$A$98:$I$140,3,FALSE())</f>
        <v>2779.066602</v>
      </c>
      <c r="D156" s="107">
        <f>VLOOKUP($A156,'TD Costos para seguimiento MARK'!$A$98:$I$140,4,FALSE())</f>
        <v>2786.198717</v>
      </c>
      <c r="E156" s="107">
        <f>VLOOKUP($A156,'TD Costos para seguimiento MARK'!$A$98:$I$140,5,FALSE())</f>
        <v>3317.299578</v>
      </c>
      <c r="F156" s="107">
        <f>VLOOKUP($A156,'TD Costos para seguimiento MARK'!$A$98:$I$140,6,FALSE())</f>
        <v>3331.355932</v>
      </c>
      <c r="G156" s="107">
        <f>VLOOKUP($A156,'TD Costos para seguimiento MARK'!$A$98:$I$140,7,FALSE())</f>
        <v>3235.390947</v>
      </c>
      <c r="H156" s="107">
        <f>VLOOKUP($A156,'TD Costos para seguimiento MARK'!$A$98:$I$140,8,FALSE())</f>
        <v>3078.030303</v>
      </c>
      <c r="I156" s="107">
        <f>VLOOKUP($A156,'TD Costos para seguimiento MARK'!$A$98:$I$140,9,FALSE())</f>
        <v>3200.461561</v>
      </c>
      <c r="J156" s="107">
        <f>VLOOKUP($A156,'TD Costos para seguimiento MARK'!$A$98:$J$140,10,FALSE())</f>
        <v>2978.976332</v>
      </c>
      <c r="K156" s="105">
        <f>VLOOKUP($A156,'TD Costos Estimados para proyec'!$A$56:$E$88,3,FALSE())</f>
        <v>3108.764444</v>
      </c>
      <c r="L156" s="105">
        <f>VLOOKUP($A156,'TD Costos Estimados para proyec'!$A$56:$E$88,4,FALSE())</f>
        <v>3158.704502</v>
      </c>
      <c r="M156" s="105">
        <f>VLOOKUP($A156,'TD Costos Estimados para proyec'!$A$56:$E$88,5,FALSE())</f>
        <v>3082.615917</v>
      </c>
      <c r="N156" s="107"/>
      <c r="P156" s="551"/>
      <c r="Q156" s="551"/>
      <c r="R156" s="551"/>
      <c r="S156" s="551"/>
      <c r="T156" s="551"/>
      <c r="U156" s="551"/>
      <c r="V156" s="551"/>
      <c r="W156" s="551"/>
      <c r="X156" s="551"/>
      <c r="Y156" s="551"/>
    </row>
    <row r="157">
      <c r="A157" s="102" t="s">
        <v>218</v>
      </c>
      <c r="B157" s="107">
        <f>VLOOKUP($A157,'TD Costos para seguimiento MARK'!$A$98:$I$140,2,FALSE())</f>
        <v>1770.491803</v>
      </c>
      <c r="C157" s="107">
        <f>VLOOKUP($A157,'TD Costos para seguimiento MARK'!$A$98:$I$140,3,FALSE())</f>
        <v>490.2439024</v>
      </c>
      <c r="D157" s="107">
        <f>VLOOKUP($A157,'TD Costos para seguimiento MARK'!$A$98:$I$140,4,FALSE())</f>
        <v>1032.45283</v>
      </c>
      <c r="E157" s="107">
        <f>VLOOKUP($A157,'TD Costos para seguimiento MARK'!$A$98:$I$140,5,FALSE())</f>
        <v>597.8987342</v>
      </c>
      <c r="F157" s="107">
        <f>VLOOKUP($A157,'TD Costos para seguimiento MARK'!$A$98:$I$140,6,FALSE())</f>
        <v>574.3474576</v>
      </c>
      <c r="G157" s="107">
        <f>VLOOKUP($A157,'TD Costos para seguimiento MARK'!$A$98:$I$140,7,FALSE())</f>
        <v>555.1440329</v>
      </c>
      <c r="H157" s="107">
        <f>VLOOKUP($A157,'TD Costos para seguimiento MARK'!$A$98:$I$140,8,FALSE())</f>
        <v>690.9090909</v>
      </c>
      <c r="I157" s="107">
        <f>VLOOKUP($A157,'TD Costos para seguimiento MARK'!$A$98:$I$140,9,FALSE())</f>
        <v>706.6022305</v>
      </c>
      <c r="J157" s="107">
        <f>VLOOKUP($A157,'TD Costos para seguimiento MARK'!$A$98:$J$140,10,FALSE())</f>
        <v>557.0936484</v>
      </c>
      <c r="K157" s="105">
        <f>VLOOKUP($A157,'TD Costos Estimados para proyec'!$A$56:$E$88,3,FALSE())</f>
        <v>694.4447222</v>
      </c>
      <c r="L157" s="105">
        <f>VLOOKUP($A157,'TD Costos Estimados para proyec'!$A$56:$E$88,4,FALSE())</f>
        <v>667.1116744</v>
      </c>
      <c r="M157" s="105">
        <f>VLOOKUP($A157,'TD Costos Estimados para proyec'!$A$56:$E$88,5,FALSE())</f>
        <v>651.0419271</v>
      </c>
      <c r="N157" s="107"/>
      <c r="P157" s="551"/>
      <c r="Q157" s="551"/>
      <c r="R157" s="551"/>
      <c r="S157" s="551"/>
      <c r="T157" s="551"/>
      <c r="U157" s="551"/>
      <c r="V157" s="551"/>
      <c r="W157" s="551"/>
      <c r="X157" s="551"/>
      <c r="Y157" s="551"/>
    </row>
    <row r="158">
      <c r="A158" s="102" t="s">
        <v>173</v>
      </c>
      <c r="B158" s="107">
        <f>VLOOKUP($A158,'TD Costos para seguimiento MARK'!$A$98:$I$140,2,FALSE())</f>
        <v>2483.333333</v>
      </c>
      <c r="C158" s="107">
        <f>VLOOKUP($A158,'TD Costos para seguimiento MARK'!$A$98:$I$140,3,FALSE())</f>
        <v>2483.333333</v>
      </c>
      <c r="D158" s="107">
        <f>VLOOKUP($A158,'TD Costos para seguimiento MARK'!$A$98:$I$140,4,FALSE())</f>
        <v>2483.333333</v>
      </c>
      <c r="E158" s="107">
        <f>VLOOKUP($A158,'TD Costos para seguimiento MARK'!$A$98:$I$140,5,FALSE())</f>
        <v>2483.333333</v>
      </c>
      <c r="F158" s="107">
        <f>VLOOKUP($A158,'TD Costos para seguimiento MARK'!$A$98:$I$140,6,FALSE())</f>
        <v>2483.333333</v>
      </c>
      <c r="G158" s="107">
        <f>VLOOKUP($A158,'TD Costos para seguimiento MARK'!$A$98:$I$140,7,FALSE())</f>
        <v>2483.333333</v>
      </c>
      <c r="H158" s="107">
        <f>VLOOKUP($A158,'TD Costos para seguimiento MARK'!$A$98:$I$140,8,FALSE())</f>
        <v>2483.333333</v>
      </c>
      <c r="I158" s="107">
        <f>VLOOKUP($A158,'TD Costos para seguimiento MARK'!$A$98:$I$140,9,FALSE())</f>
        <v>3544.67</v>
      </c>
      <c r="J158" s="107">
        <f>VLOOKUP($A158,'TD Costos para seguimiento MARK'!$A$98:$J$140,10,FALSE())</f>
        <v>3544.67</v>
      </c>
      <c r="K158" s="105">
        <f>VLOOKUP($A158,'TD Costos Estimados para proyec'!$A$56:$E$88,3,FALSE())</f>
        <v>3544.67</v>
      </c>
      <c r="L158" s="105">
        <f>VLOOKUP($A158,'TD Costos Estimados para proyec'!$A$56:$E$88,4,FALSE())</f>
        <v>3544.67</v>
      </c>
      <c r="M158" s="105">
        <f>VLOOKUP($A158,'TD Costos Estimados para proyec'!$A$56:$E$88,5,FALSE())</f>
        <v>3544.67</v>
      </c>
      <c r="N158" s="107"/>
      <c r="P158" s="551"/>
      <c r="Q158" s="551"/>
      <c r="R158" s="551"/>
      <c r="S158" s="551"/>
      <c r="T158" s="551"/>
      <c r="U158" s="551"/>
      <c r="V158" s="551"/>
      <c r="W158" s="551"/>
      <c r="X158" s="551"/>
      <c r="Y158" s="551"/>
    </row>
    <row r="159">
      <c r="A159" s="542" t="s">
        <v>1266</v>
      </c>
      <c r="B159" s="543">
        <f t="shared" ref="B159:M159" si="44">SUM(B119:B158)</f>
        <v>29341.36661</v>
      </c>
      <c r="C159" s="543">
        <f t="shared" si="44"/>
        <v>29766.73701</v>
      </c>
      <c r="D159" s="543">
        <f t="shared" si="44"/>
        <v>29825.8362</v>
      </c>
      <c r="E159" s="543">
        <f t="shared" si="44"/>
        <v>33031.98848</v>
      </c>
      <c r="F159" s="543">
        <f t="shared" si="44"/>
        <v>39630.46825</v>
      </c>
      <c r="G159" s="543">
        <f t="shared" si="44"/>
        <v>37096.93309</v>
      </c>
      <c r="H159" s="543">
        <f t="shared" si="44"/>
        <v>35678.44663</v>
      </c>
      <c r="I159" s="543">
        <f t="shared" si="44"/>
        <v>40004.4401</v>
      </c>
      <c r="J159" s="543">
        <f t="shared" si="44"/>
        <v>37675.69138</v>
      </c>
      <c r="K159" s="543">
        <f t="shared" si="44"/>
        <v>38366.12786</v>
      </c>
      <c r="L159" s="543">
        <f t="shared" si="44"/>
        <v>38547.5333</v>
      </c>
      <c r="M159" s="543">
        <f t="shared" si="44"/>
        <v>37913.16594</v>
      </c>
      <c r="N159" s="107"/>
      <c r="O159" s="107"/>
      <c r="P159" s="551"/>
      <c r="Q159" s="551"/>
      <c r="R159" s="551"/>
      <c r="S159" s="551"/>
      <c r="T159" s="551"/>
      <c r="U159" s="551"/>
      <c r="V159" s="551"/>
      <c r="W159" s="551"/>
      <c r="X159" s="551"/>
      <c r="Y159" s="551"/>
    </row>
    <row r="160">
      <c r="O160" s="551"/>
      <c r="P160" s="551"/>
      <c r="Q160" s="551"/>
      <c r="R160" s="551"/>
      <c r="S160" s="551"/>
      <c r="T160" s="551"/>
      <c r="U160" s="551"/>
      <c r="V160" s="551"/>
      <c r="W160" s="551"/>
      <c r="X160" s="551"/>
      <c r="Y160" s="551"/>
      <c r="Z160" s="551"/>
    </row>
    <row r="161">
      <c r="A161" s="552"/>
      <c r="H161" s="552"/>
      <c r="I161" s="552"/>
      <c r="J161" s="552"/>
      <c r="K161" s="552"/>
      <c r="L161" s="552"/>
      <c r="M161" s="552"/>
      <c r="O161" s="551"/>
      <c r="P161" s="551"/>
      <c r="Q161" s="551"/>
      <c r="R161" s="551"/>
      <c r="S161" s="551"/>
      <c r="T161" s="551"/>
      <c r="U161" s="551"/>
      <c r="V161" s="551"/>
      <c r="W161" s="551"/>
      <c r="X161" s="551"/>
      <c r="Y161" s="551"/>
      <c r="Z161" s="551"/>
    </row>
    <row r="162">
      <c r="A162" s="133" t="s">
        <v>1309</v>
      </c>
      <c r="B162" s="148">
        <v>29341.366614480867</v>
      </c>
      <c r="C162" s="545">
        <v>29766.737011382116</v>
      </c>
      <c r="D162" s="148">
        <v>29825.83619899371</v>
      </c>
      <c r="E162" s="148">
        <v>33031.98848101265</v>
      </c>
      <c r="F162" s="148">
        <v>39630.468245198324</v>
      </c>
      <c r="G162" s="148">
        <v>37096.93308641917</v>
      </c>
      <c r="H162" s="148">
        <v>35678.44662708147</v>
      </c>
      <c r="I162" s="148">
        <v>40004.44009926204</v>
      </c>
      <c r="J162" s="148">
        <v>37675.69138214302</v>
      </c>
      <c r="K162" s="146">
        <v>38366.12786200445</v>
      </c>
      <c r="L162" s="148">
        <v>38547.53330137852</v>
      </c>
      <c r="M162" s="148">
        <v>37913.165936696874</v>
      </c>
      <c r="N162" s="107"/>
      <c r="O162" s="551"/>
      <c r="P162" s="551"/>
      <c r="Q162" s="551"/>
      <c r="R162" s="551"/>
      <c r="S162" s="551"/>
      <c r="T162" s="551"/>
      <c r="U162" s="551"/>
      <c r="V162" s="551"/>
      <c r="W162" s="551"/>
      <c r="X162" s="551"/>
      <c r="Y162" s="551"/>
      <c r="Z162" s="551"/>
    </row>
    <row r="163">
      <c r="A163" s="546"/>
      <c r="B163" s="547">
        <f t="shared" ref="B163:M163" si="45">B159-B162</f>
        <v>0</v>
      </c>
      <c r="C163" s="547">
        <f t="shared" si="45"/>
        <v>0</v>
      </c>
      <c r="D163" s="547">
        <f t="shared" si="45"/>
        <v>0</v>
      </c>
      <c r="E163" s="547">
        <f t="shared" si="45"/>
        <v>0</v>
      </c>
      <c r="F163" s="547">
        <f t="shared" si="45"/>
        <v>0</v>
      </c>
      <c r="G163" s="547">
        <f t="shared" si="45"/>
        <v>0</v>
      </c>
      <c r="H163" s="547">
        <f t="shared" si="45"/>
        <v>0</v>
      </c>
      <c r="I163" s="547">
        <f t="shared" si="45"/>
        <v>0</v>
      </c>
      <c r="J163" s="547">
        <f t="shared" si="45"/>
        <v>0</v>
      </c>
      <c r="K163" s="547">
        <f t="shared" si="45"/>
        <v>0</v>
      </c>
      <c r="L163" s="547">
        <f t="shared" si="45"/>
        <v>0</v>
      </c>
      <c r="M163" s="547">
        <f t="shared" si="45"/>
        <v>0</v>
      </c>
      <c r="N163" s="551"/>
      <c r="O163" s="551"/>
      <c r="P163" s="551"/>
      <c r="Q163" s="551"/>
      <c r="R163" s="551"/>
      <c r="S163" s="551"/>
      <c r="T163" s="551"/>
      <c r="U163" s="551"/>
      <c r="V163" s="551"/>
      <c r="W163" s="551"/>
      <c r="X163" s="551"/>
      <c r="Y163" s="551"/>
      <c r="Z163" s="551"/>
    </row>
    <row r="164">
      <c r="A164" s="552"/>
      <c r="B164" s="552"/>
      <c r="C164" s="552"/>
      <c r="D164" s="552"/>
      <c r="E164" s="552"/>
      <c r="F164" s="552"/>
      <c r="G164" s="552"/>
      <c r="H164" s="505"/>
      <c r="I164" s="504"/>
      <c r="J164" s="491"/>
      <c r="K164" s="551"/>
      <c r="L164" s="551"/>
      <c r="M164" s="551"/>
      <c r="N164" s="551"/>
      <c r="O164" s="551"/>
      <c r="P164" s="551"/>
      <c r="Q164" s="551"/>
      <c r="R164" s="551"/>
      <c r="S164" s="551"/>
      <c r="T164" s="551"/>
      <c r="U164" s="551"/>
      <c r="V164" s="551"/>
      <c r="W164" s="551"/>
      <c r="X164" s="551"/>
      <c r="Y164" s="551"/>
      <c r="Z164" s="551"/>
    </row>
    <row r="165">
      <c r="A165" s="531" t="s">
        <v>1318</v>
      </c>
      <c r="C165" s="552"/>
      <c r="D165" s="552"/>
      <c r="E165" s="552"/>
      <c r="F165" s="552"/>
      <c r="G165" s="552"/>
      <c r="H165" s="505"/>
      <c r="I165" s="504"/>
      <c r="J165" s="491"/>
      <c r="K165" s="551"/>
      <c r="L165" s="551"/>
      <c r="M165" s="551"/>
      <c r="N165" s="551"/>
      <c r="O165" s="551"/>
      <c r="P165" s="551"/>
      <c r="Q165" s="551"/>
      <c r="R165" s="551"/>
      <c r="S165" s="551"/>
      <c r="T165" s="551"/>
      <c r="U165" s="551"/>
      <c r="V165" s="551"/>
      <c r="W165" s="551"/>
      <c r="X165" s="551"/>
      <c r="Y165" s="551"/>
      <c r="Z165" s="551"/>
    </row>
    <row r="166">
      <c r="A166" s="43" t="s">
        <v>1322</v>
      </c>
      <c r="B166" s="71">
        <f>AVERAGE(B110:M110)</f>
        <v>46996.77291</v>
      </c>
      <c r="C166" s="552"/>
      <c r="D166" s="43" t="s">
        <v>1323</v>
      </c>
      <c r="E166" s="71">
        <f>SUM(B110:M110)</f>
        <v>563961.275</v>
      </c>
      <c r="F166" s="552"/>
      <c r="G166" s="552"/>
      <c r="H166" s="505"/>
      <c r="I166" s="504"/>
      <c r="J166" s="491"/>
      <c r="K166" s="551"/>
      <c r="L166" s="551"/>
      <c r="M166" s="551"/>
      <c r="N166" s="551"/>
      <c r="O166" s="551"/>
      <c r="P166" s="551"/>
      <c r="Q166" s="551"/>
      <c r="R166" s="551"/>
      <c r="S166" s="551"/>
      <c r="T166" s="551"/>
      <c r="U166" s="551"/>
      <c r="V166" s="551"/>
      <c r="W166" s="551"/>
      <c r="X166" s="551"/>
      <c r="Y166" s="551"/>
      <c r="Z166" s="551"/>
    </row>
    <row r="167">
      <c r="A167" s="43" t="s">
        <v>1324</v>
      </c>
      <c r="B167" s="105">
        <f>AVERAGE(B159:M159)</f>
        <v>35573.2279</v>
      </c>
      <c r="C167" s="552"/>
      <c r="D167" s="43" t="s">
        <v>1325</v>
      </c>
      <c r="E167" s="105">
        <f>SUM(B159:M159)</f>
        <v>426878.7348</v>
      </c>
      <c r="F167" s="552"/>
      <c r="G167" s="552"/>
      <c r="H167" s="505"/>
      <c r="K167" s="551"/>
      <c r="L167" s="551"/>
      <c r="M167" s="551"/>
      <c r="N167" s="551"/>
      <c r="O167" s="551"/>
      <c r="P167" s="551"/>
      <c r="Q167" s="551"/>
      <c r="R167" s="551"/>
      <c r="S167" s="551"/>
      <c r="T167" s="551"/>
      <c r="U167" s="551"/>
      <c r="V167" s="551"/>
      <c r="W167" s="551"/>
      <c r="X167" s="551"/>
      <c r="Y167" s="551"/>
      <c r="Z167" s="551"/>
    </row>
    <row r="168">
      <c r="A168" s="43" t="s">
        <v>1326</v>
      </c>
      <c r="B168" s="71">
        <f>B166-B167</f>
        <v>11423.54501</v>
      </c>
      <c r="C168" s="552"/>
      <c r="D168" s="43" t="s">
        <v>1326</v>
      </c>
      <c r="E168" s="71">
        <f>E166-E167</f>
        <v>137082.5401</v>
      </c>
      <c r="F168" s="552"/>
      <c r="G168" s="552"/>
      <c r="H168" s="505"/>
      <c r="K168" s="551"/>
      <c r="L168" s="551"/>
      <c r="M168" s="551"/>
      <c r="N168" s="551"/>
      <c r="O168" s="551"/>
      <c r="P168" s="551"/>
      <c r="Q168" s="551"/>
      <c r="R168" s="551"/>
      <c r="S168" s="551"/>
      <c r="T168" s="551"/>
      <c r="U168" s="551"/>
      <c r="V168" s="551"/>
      <c r="W168" s="551"/>
      <c r="X168" s="551"/>
      <c r="Y168" s="551"/>
      <c r="Z168" s="551"/>
    </row>
    <row r="169">
      <c r="A169" s="43" t="s">
        <v>1062</v>
      </c>
      <c r="B169" s="537">
        <f>B168/B166</f>
        <v>0.2430708387</v>
      </c>
      <c r="C169" s="552"/>
      <c r="D169" s="43" t="s">
        <v>1062</v>
      </c>
      <c r="E169" s="537">
        <f>E168/E166</f>
        <v>0.2430708387</v>
      </c>
      <c r="F169" s="552"/>
      <c r="G169" s="552"/>
      <c r="H169" s="505"/>
      <c r="I169" s="552"/>
      <c r="J169" s="552"/>
      <c r="K169" s="551"/>
      <c r="L169" s="552"/>
      <c r="M169" s="552"/>
      <c r="N169" s="551"/>
      <c r="O169" s="551"/>
      <c r="P169" s="551"/>
      <c r="Q169" s="551"/>
      <c r="R169" s="551"/>
      <c r="S169" s="551"/>
      <c r="T169" s="551"/>
      <c r="U169" s="551"/>
      <c r="V169" s="551"/>
      <c r="W169" s="551"/>
      <c r="X169" s="551"/>
      <c r="Y169" s="551"/>
      <c r="Z169" s="551"/>
      <c r="AA169" s="551"/>
      <c r="AB169" s="551"/>
      <c r="AC169" s="551"/>
      <c r="AD169" s="551"/>
      <c r="AE169" s="551"/>
      <c r="AF169" s="551"/>
    </row>
    <row r="170">
      <c r="A170" s="552"/>
      <c r="B170" s="552"/>
      <c r="C170" s="552"/>
      <c r="D170" s="552"/>
      <c r="E170" s="552"/>
      <c r="F170" s="552"/>
      <c r="G170" s="552"/>
      <c r="H170" s="505"/>
      <c r="I170" s="552"/>
      <c r="J170" s="552"/>
      <c r="K170" s="551"/>
      <c r="L170" s="552"/>
      <c r="M170" s="552"/>
      <c r="N170" s="551"/>
      <c r="O170" s="551"/>
      <c r="P170" s="551"/>
      <c r="Q170" s="551"/>
      <c r="R170" s="551"/>
      <c r="S170" s="551"/>
      <c r="T170" s="551"/>
      <c r="U170" s="551"/>
      <c r="V170" s="551"/>
      <c r="W170" s="551"/>
      <c r="X170" s="551"/>
      <c r="Y170" s="551"/>
      <c r="Z170" s="551"/>
      <c r="AA170" s="551"/>
      <c r="AB170" s="551"/>
      <c r="AC170" s="551"/>
      <c r="AD170" s="551"/>
      <c r="AE170" s="551"/>
      <c r="AF170" s="551"/>
    </row>
    <row r="171">
      <c r="A171" s="552"/>
      <c r="B171" s="552"/>
      <c r="C171" s="552"/>
      <c r="D171" s="552"/>
      <c r="E171" s="552"/>
      <c r="F171" s="552"/>
      <c r="G171" s="552"/>
      <c r="H171" s="505"/>
      <c r="I171" s="552"/>
      <c r="J171" s="552"/>
      <c r="K171" s="551"/>
      <c r="L171" s="552"/>
      <c r="M171" s="552"/>
      <c r="N171" s="551"/>
      <c r="O171" s="551"/>
      <c r="P171" s="551"/>
      <c r="Q171" s="551"/>
      <c r="R171" s="551"/>
      <c r="S171" s="551"/>
      <c r="T171" s="551"/>
      <c r="U171" s="551"/>
      <c r="V171" s="551"/>
      <c r="W171" s="551"/>
      <c r="X171" s="551"/>
      <c r="Y171" s="551"/>
      <c r="Z171" s="551"/>
      <c r="AA171" s="551"/>
      <c r="AB171" s="551"/>
      <c r="AC171" s="551"/>
      <c r="AD171" s="551"/>
      <c r="AE171" s="551"/>
      <c r="AF171" s="551"/>
    </row>
    <row r="172">
      <c r="A172" s="552"/>
      <c r="B172" s="552"/>
      <c r="C172" s="552"/>
      <c r="D172" s="552"/>
      <c r="E172" s="552"/>
      <c r="F172" s="552"/>
      <c r="G172" s="552"/>
      <c r="H172" s="505"/>
      <c r="I172" s="552"/>
      <c r="J172" s="552"/>
      <c r="K172" s="551"/>
      <c r="L172" s="552"/>
      <c r="M172" s="552"/>
      <c r="N172" s="551"/>
      <c r="O172" s="551"/>
      <c r="P172" s="551"/>
      <c r="Q172" s="551"/>
      <c r="R172" s="551"/>
      <c r="S172" s="551"/>
      <c r="T172" s="551"/>
      <c r="U172" s="551"/>
      <c r="V172" s="551"/>
      <c r="W172" s="551"/>
      <c r="X172" s="551"/>
      <c r="Y172" s="551"/>
      <c r="Z172" s="551"/>
      <c r="AA172" s="551"/>
      <c r="AB172" s="551"/>
      <c r="AC172" s="551"/>
      <c r="AD172" s="551"/>
      <c r="AE172" s="551"/>
      <c r="AF172" s="551"/>
    </row>
    <row r="173">
      <c r="A173" s="552"/>
      <c r="B173" s="552"/>
      <c r="C173" s="552"/>
      <c r="D173" s="552"/>
      <c r="E173" s="552"/>
      <c r="F173" s="552"/>
      <c r="G173" s="552"/>
      <c r="H173" s="505"/>
      <c r="I173" s="552"/>
      <c r="J173" s="552"/>
      <c r="K173" s="551"/>
      <c r="L173" s="552"/>
      <c r="M173" s="552"/>
      <c r="N173" s="551"/>
      <c r="O173" s="551"/>
      <c r="P173" s="551"/>
      <c r="Q173" s="551"/>
      <c r="R173" s="551"/>
      <c r="S173" s="551"/>
      <c r="T173" s="551"/>
      <c r="U173" s="551"/>
      <c r="V173" s="551"/>
      <c r="W173" s="551"/>
      <c r="X173" s="551"/>
      <c r="Y173" s="551"/>
      <c r="Z173" s="551"/>
      <c r="AA173" s="551"/>
      <c r="AB173" s="551"/>
      <c r="AC173" s="551"/>
      <c r="AD173" s="551"/>
      <c r="AE173" s="551"/>
      <c r="AF173" s="551"/>
    </row>
    <row r="174">
      <c r="A174" s="560" t="s">
        <v>1327</v>
      </c>
      <c r="B174" s="552"/>
      <c r="C174" s="552"/>
      <c r="D174" s="552"/>
      <c r="E174" s="552"/>
      <c r="F174" s="552"/>
      <c r="G174" s="552"/>
      <c r="H174" s="505"/>
      <c r="I174" s="552"/>
      <c r="J174" s="552"/>
      <c r="K174" s="551"/>
      <c r="L174" s="552"/>
      <c r="M174" s="552"/>
      <c r="N174" s="551"/>
      <c r="O174" s="551"/>
      <c r="P174" s="551"/>
      <c r="Q174" s="551"/>
      <c r="R174" s="551"/>
      <c r="S174" s="551"/>
      <c r="T174" s="551"/>
      <c r="U174" s="551"/>
      <c r="V174" s="551"/>
      <c r="W174" s="551"/>
      <c r="X174" s="551"/>
      <c r="Y174" s="551"/>
      <c r="Z174" s="551"/>
      <c r="AA174" s="551"/>
      <c r="AB174" s="551"/>
      <c r="AC174" s="551"/>
      <c r="AD174" s="551"/>
      <c r="AE174" s="551"/>
      <c r="AF174" s="551"/>
    </row>
    <row r="175">
      <c r="A175" s="513" t="s">
        <v>1328</v>
      </c>
      <c r="B175" s="552"/>
      <c r="C175" s="552"/>
      <c r="D175" s="552"/>
      <c r="E175" s="552"/>
      <c r="F175" s="552"/>
      <c r="G175" s="552"/>
      <c r="H175" s="505"/>
      <c r="I175" s="552"/>
      <c r="J175" s="552"/>
      <c r="K175" s="551"/>
      <c r="L175" s="552"/>
      <c r="M175" s="552"/>
      <c r="N175" s="551"/>
      <c r="O175" s="551"/>
      <c r="P175" s="551"/>
      <c r="Q175" s="551"/>
      <c r="R175" s="551"/>
      <c r="S175" s="551"/>
      <c r="T175" s="551"/>
      <c r="U175" s="551"/>
      <c r="V175" s="551"/>
      <c r="W175" s="551"/>
      <c r="X175" s="551"/>
      <c r="Y175" s="551"/>
      <c r="Z175" s="551"/>
      <c r="AA175" s="551"/>
      <c r="AB175" s="551"/>
      <c r="AC175" s="551"/>
      <c r="AD175" s="551"/>
      <c r="AE175" s="551"/>
      <c r="AF175" s="551"/>
    </row>
    <row r="176">
      <c r="A176" s="573" t="s">
        <v>111</v>
      </c>
      <c r="B176" s="574" t="s">
        <v>171</v>
      </c>
      <c r="C176" s="575" t="s">
        <v>175</v>
      </c>
      <c r="D176" s="563" t="s">
        <v>179</v>
      </c>
      <c r="E176" s="563" t="s">
        <v>182</v>
      </c>
      <c r="F176" s="552"/>
      <c r="G176" s="576"/>
      <c r="H176" s="577"/>
      <c r="I176" s="578"/>
      <c r="J176" s="578"/>
      <c r="K176" s="579"/>
      <c r="L176" s="552"/>
      <c r="M176" s="552"/>
      <c r="N176" s="551"/>
      <c r="O176" s="551"/>
      <c r="P176" s="551"/>
      <c r="Q176" s="551"/>
      <c r="R176" s="551"/>
      <c r="S176" s="551"/>
      <c r="T176" s="551"/>
      <c r="U176" s="551"/>
      <c r="V176" s="551"/>
      <c r="W176" s="551"/>
      <c r="X176" s="551"/>
      <c r="Y176" s="551"/>
      <c r="Z176" s="551"/>
      <c r="AA176" s="551"/>
      <c r="AB176" s="551"/>
      <c r="AC176" s="551"/>
      <c r="AD176" s="551"/>
      <c r="AE176" s="551"/>
      <c r="AF176" s="551"/>
    </row>
    <row r="177">
      <c r="A177" s="102" t="s">
        <v>132</v>
      </c>
      <c r="B177" s="580">
        <v>1413.6651903114187</v>
      </c>
      <c r="C177" s="580">
        <v>1142.7777777777778</v>
      </c>
      <c r="D177" s="450"/>
      <c r="E177" s="450"/>
      <c r="F177" s="552"/>
      <c r="G177" s="552"/>
      <c r="H177" s="581"/>
      <c r="I177" s="71"/>
      <c r="J177" s="582"/>
      <c r="K177" s="583"/>
      <c r="L177" s="552"/>
      <c r="M177" s="552"/>
      <c r="N177" s="551"/>
      <c r="O177" s="551"/>
      <c r="P177" s="551"/>
      <c r="Q177" s="551"/>
      <c r="R177" s="551"/>
      <c r="S177" s="551"/>
      <c r="T177" s="551"/>
      <c r="U177" s="551"/>
      <c r="V177" s="551"/>
      <c r="W177" s="551"/>
      <c r="X177" s="551"/>
      <c r="Y177" s="551"/>
      <c r="Z177" s="551"/>
      <c r="AA177" s="551"/>
      <c r="AB177" s="551"/>
      <c r="AC177" s="551"/>
      <c r="AD177" s="551"/>
      <c r="AE177" s="551"/>
      <c r="AF177" s="551"/>
    </row>
    <row r="178">
      <c r="A178" s="102" t="s">
        <v>209</v>
      </c>
      <c r="B178" s="580">
        <v>1384.083044982699</v>
      </c>
      <c r="C178" s="580"/>
      <c r="D178" s="450"/>
      <c r="E178" s="450"/>
      <c r="F178" s="552"/>
      <c r="G178" s="552"/>
      <c r="H178" s="581"/>
      <c r="I178" s="71"/>
      <c r="J178" s="582"/>
      <c r="K178" s="583"/>
      <c r="L178" s="552"/>
      <c r="M178" s="552"/>
      <c r="N178" s="551"/>
      <c r="O178" s="551"/>
      <c r="P178" s="551"/>
      <c r="Q178" s="551"/>
      <c r="R178" s="551"/>
      <c r="S178" s="551"/>
      <c r="T178" s="551"/>
      <c r="U178" s="551"/>
      <c r="V178" s="551"/>
      <c r="W178" s="551"/>
      <c r="X178" s="551"/>
      <c r="Y178" s="551"/>
      <c r="Z178" s="551"/>
      <c r="AA178" s="551"/>
      <c r="AB178" s="551"/>
      <c r="AC178" s="551"/>
      <c r="AD178" s="551"/>
      <c r="AE178" s="551"/>
      <c r="AF178" s="551"/>
    </row>
    <row r="179">
      <c r="A179" s="102" t="s">
        <v>119</v>
      </c>
      <c r="B179" s="580">
        <v>3833.35519340263</v>
      </c>
      <c r="C179" s="580">
        <v>3846.6654544908333</v>
      </c>
      <c r="D179" s="580">
        <v>3695.262344540894</v>
      </c>
      <c r="E179" s="580">
        <v>3876.717528354043</v>
      </c>
      <c r="F179" s="552"/>
      <c r="G179" s="552"/>
      <c r="H179" s="581"/>
      <c r="I179" s="71"/>
      <c r="J179" s="582"/>
      <c r="K179" s="583"/>
      <c r="L179" s="552"/>
      <c r="M179" s="552"/>
      <c r="N179" s="551"/>
      <c r="O179" s="551"/>
      <c r="P179" s="551"/>
      <c r="Q179" s="551"/>
      <c r="R179" s="551"/>
      <c r="S179" s="551"/>
      <c r="T179" s="551"/>
      <c r="U179" s="551"/>
      <c r="V179" s="551"/>
      <c r="W179" s="551"/>
      <c r="X179" s="551"/>
      <c r="Y179" s="551"/>
      <c r="Z179" s="551"/>
      <c r="AA179" s="551"/>
      <c r="AB179" s="551"/>
      <c r="AC179" s="551"/>
      <c r="AD179" s="551"/>
      <c r="AE179" s="551"/>
      <c r="AF179" s="551"/>
    </row>
    <row r="180">
      <c r="A180" s="102" t="s">
        <v>193</v>
      </c>
      <c r="B180" s="580">
        <v>770.9342560553633</v>
      </c>
      <c r="C180" s="580">
        <v>773.6111111111111</v>
      </c>
      <c r="D180" s="580">
        <v>743.162108072048</v>
      </c>
      <c r="E180" s="580">
        <v>830.3506510416668</v>
      </c>
      <c r="F180" s="552"/>
      <c r="G180" s="552"/>
      <c r="H180" s="581"/>
      <c r="I180" s="71"/>
      <c r="J180" s="582"/>
      <c r="K180" s="583"/>
      <c r="L180" s="552"/>
      <c r="M180" s="552"/>
      <c r="N180" s="551"/>
      <c r="O180" s="551"/>
      <c r="P180" s="551"/>
      <c r="Q180" s="551"/>
      <c r="R180" s="551"/>
      <c r="S180" s="551"/>
      <c r="T180" s="551"/>
      <c r="U180" s="551"/>
      <c r="V180" s="551"/>
      <c r="W180" s="551"/>
      <c r="X180" s="551"/>
      <c r="Y180" s="551"/>
      <c r="Z180" s="551"/>
      <c r="AA180" s="551"/>
      <c r="AB180" s="551"/>
      <c r="AC180" s="551"/>
      <c r="AD180" s="551"/>
      <c r="AE180" s="551"/>
      <c r="AF180" s="551"/>
    </row>
    <row r="181">
      <c r="A181" s="102" t="s">
        <v>204</v>
      </c>
      <c r="B181" s="580">
        <v>7550.0</v>
      </c>
      <c r="C181" s="580">
        <v>7550.0</v>
      </c>
      <c r="D181" s="580">
        <v>7550.0</v>
      </c>
      <c r="E181" s="580">
        <v>7550.0</v>
      </c>
      <c r="F181" s="552"/>
      <c r="G181" s="552"/>
      <c r="H181" s="581"/>
      <c r="I181" s="71"/>
      <c r="J181" s="582"/>
      <c r="K181" s="583"/>
      <c r="L181" s="552"/>
      <c r="M181" s="552"/>
      <c r="N181" s="551"/>
      <c r="O181" s="551"/>
      <c r="P181" s="551"/>
      <c r="Q181" s="551"/>
      <c r="R181" s="551"/>
      <c r="S181" s="551"/>
      <c r="T181" s="551"/>
      <c r="U181" s="551"/>
      <c r="V181" s="551"/>
      <c r="W181" s="551"/>
      <c r="X181" s="551"/>
      <c r="Y181" s="551"/>
      <c r="Z181" s="551"/>
      <c r="AA181" s="551"/>
      <c r="AB181" s="551"/>
      <c r="AC181" s="551"/>
      <c r="AD181" s="551"/>
      <c r="AE181" s="551"/>
      <c r="AF181" s="551"/>
    </row>
    <row r="182">
      <c r="A182" s="102" t="s">
        <v>213</v>
      </c>
      <c r="B182" s="580"/>
      <c r="C182" s="580">
        <v>2877.9513888888887</v>
      </c>
      <c r="D182" s="450"/>
      <c r="E182" s="580">
        <v>2698.0794270833335</v>
      </c>
      <c r="F182" s="552"/>
      <c r="G182" s="552"/>
      <c r="H182" s="581"/>
      <c r="I182" s="71"/>
      <c r="J182" s="582"/>
      <c r="K182" s="583"/>
      <c r="L182" s="552"/>
      <c r="M182" s="552"/>
      <c r="N182" s="551"/>
      <c r="O182" s="551"/>
      <c r="P182" s="551"/>
      <c r="Q182" s="551"/>
      <c r="R182" s="551"/>
      <c r="S182" s="551"/>
      <c r="T182" s="551"/>
      <c r="U182" s="551"/>
      <c r="V182" s="551"/>
      <c r="W182" s="551"/>
      <c r="X182" s="551"/>
      <c r="Y182" s="551"/>
      <c r="Z182" s="551"/>
      <c r="AA182" s="551"/>
      <c r="AB182" s="551"/>
      <c r="AC182" s="551"/>
      <c r="AD182" s="551"/>
      <c r="AE182" s="551"/>
      <c r="AF182" s="551"/>
    </row>
    <row r="183">
      <c r="A183" s="43" t="s">
        <v>215</v>
      </c>
      <c r="B183" s="580"/>
      <c r="C183" s="580">
        <v>35550.0</v>
      </c>
      <c r="D183" s="580">
        <v>0.0</v>
      </c>
      <c r="E183" s="580">
        <v>0.0</v>
      </c>
      <c r="F183" s="552"/>
      <c r="G183" s="552"/>
      <c r="H183" s="581"/>
      <c r="I183" s="71"/>
      <c r="J183" s="582"/>
      <c r="K183" s="583"/>
      <c r="L183" s="552"/>
      <c r="M183" s="552"/>
      <c r="N183" s="551"/>
      <c r="O183" s="551"/>
      <c r="P183" s="551"/>
      <c r="Q183" s="551"/>
      <c r="R183" s="551"/>
      <c r="S183" s="551"/>
      <c r="T183" s="551"/>
      <c r="U183" s="551"/>
      <c r="V183" s="551"/>
      <c r="W183" s="551"/>
      <c r="X183" s="551"/>
      <c r="Y183" s="551"/>
      <c r="Z183" s="551"/>
      <c r="AA183" s="551"/>
      <c r="AB183" s="551"/>
      <c r="AC183" s="551"/>
      <c r="AD183" s="551"/>
      <c r="AE183" s="551"/>
      <c r="AF183" s="551"/>
    </row>
    <row r="184">
      <c r="A184" s="102" t="s">
        <v>211</v>
      </c>
      <c r="B184" s="580">
        <v>3559.242214532872</v>
      </c>
      <c r="C184" s="450"/>
      <c r="D184" s="450"/>
      <c r="E184" s="450"/>
      <c r="F184" s="552"/>
      <c r="G184" s="552"/>
      <c r="H184" s="581"/>
      <c r="I184" s="71"/>
      <c r="J184" s="582"/>
      <c r="K184" s="583"/>
      <c r="L184" s="552"/>
      <c r="M184" s="552"/>
      <c r="N184" s="551"/>
      <c r="O184" s="551"/>
      <c r="P184" s="551"/>
      <c r="Q184" s="551"/>
      <c r="R184" s="551"/>
      <c r="S184" s="551"/>
      <c r="T184" s="551"/>
      <c r="U184" s="551"/>
      <c r="V184" s="551"/>
      <c r="W184" s="551"/>
      <c r="X184" s="551"/>
      <c r="Y184" s="551"/>
      <c r="Z184" s="551"/>
      <c r="AA184" s="551"/>
      <c r="AB184" s="551"/>
      <c r="AC184" s="551"/>
      <c r="AD184" s="551"/>
      <c r="AE184" s="551"/>
      <c r="AF184" s="551"/>
    </row>
    <row r="185">
      <c r="A185" s="102" t="s">
        <v>180</v>
      </c>
      <c r="B185" s="580">
        <v>2574.9134948096885</v>
      </c>
      <c r="C185" s="580">
        <v>2583.8541666666665</v>
      </c>
      <c r="D185" s="450"/>
      <c r="E185" s="450"/>
      <c r="F185" s="552"/>
      <c r="G185" s="552"/>
      <c r="H185" s="581"/>
      <c r="I185" s="71"/>
      <c r="J185" s="582"/>
      <c r="K185" s="583"/>
      <c r="L185" s="552"/>
      <c r="M185" s="552"/>
      <c r="N185" s="551"/>
      <c r="O185" s="551"/>
      <c r="P185" s="551"/>
      <c r="Q185" s="551"/>
      <c r="R185" s="551"/>
      <c r="S185" s="551"/>
      <c r="T185" s="551"/>
      <c r="U185" s="551"/>
      <c r="V185" s="551"/>
      <c r="W185" s="551"/>
      <c r="X185" s="551"/>
      <c r="Y185" s="551"/>
      <c r="Z185" s="551"/>
      <c r="AA185" s="551"/>
      <c r="AB185" s="551"/>
      <c r="AC185" s="551"/>
      <c r="AD185" s="551"/>
      <c r="AE185" s="551"/>
      <c r="AF185" s="551"/>
    </row>
    <row r="186">
      <c r="A186" s="102" t="s">
        <v>183</v>
      </c>
      <c r="B186" s="580">
        <v>89870.0</v>
      </c>
      <c r="C186" s="580">
        <v>29230.0</v>
      </c>
      <c r="D186" s="580">
        <v>29230.0</v>
      </c>
      <c r="E186" s="580">
        <v>29230.0</v>
      </c>
      <c r="F186" s="552"/>
      <c r="G186" s="552"/>
      <c r="H186" s="581"/>
      <c r="I186" s="71"/>
      <c r="J186" s="582"/>
      <c r="K186" s="583"/>
      <c r="L186" s="552"/>
      <c r="M186" s="552"/>
      <c r="N186" s="551"/>
      <c r="O186" s="551"/>
      <c r="P186" s="551"/>
      <c r="Q186" s="551"/>
      <c r="R186" s="551"/>
      <c r="S186" s="551"/>
      <c r="T186" s="551"/>
      <c r="U186" s="551"/>
      <c r="V186" s="551"/>
      <c r="W186" s="551"/>
      <c r="X186" s="551"/>
      <c r="Y186" s="551"/>
      <c r="Z186" s="551"/>
      <c r="AA186" s="551"/>
      <c r="AB186" s="551"/>
      <c r="AC186" s="551"/>
      <c r="AD186" s="551"/>
      <c r="AE186" s="551"/>
      <c r="AF186" s="551"/>
    </row>
    <row r="187">
      <c r="A187" s="542" t="s">
        <v>1266</v>
      </c>
      <c r="B187" s="574">
        <f t="shared" ref="B187:E187" si="46">SUM(B177:B186)</f>
        <v>110956.1934</v>
      </c>
      <c r="C187" s="574">
        <f t="shared" si="46"/>
        <v>83554.8599</v>
      </c>
      <c r="D187" s="574">
        <f t="shared" si="46"/>
        <v>41218.42445</v>
      </c>
      <c r="E187" s="574">
        <f t="shared" si="46"/>
        <v>44185.14761</v>
      </c>
      <c r="F187" s="552"/>
      <c r="G187" s="552"/>
      <c r="H187" s="581"/>
      <c r="I187" s="71"/>
      <c r="J187" s="582"/>
      <c r="K187" s="583"/>
      <c r="L187" s="552"/>
      <c r="M187" s="552"/>
      <c r="N187" s="551"/>
      <c r="O187" s="551"/>
      <c r="P187" s="551"/>
      <c r="Q187" s="551"/>
      <c r="R187" s="551"/>
      <c r="S187" s="551"/>
      <c r="T187" s="551"/>
      <c r="U187" s="551"/>
      <c r="V187" s="551"/>
      <c r="W187" s="551"/>
      <c r="X187" s="551"/>
      <c r="Y187" s="551"/>
      <c r="Z187" s="551"/>
      <c r="AA187" s="551"/>
      <c r="AB187" s="551"/>
      <c r="AC187" s="551"/>
      <c r="AD187" s="551"/>
      <c r="AE187" s="551"/>
      <c r="AF187" s="551"/>
    </row>
    <row r="188">
      <c r="A188" s="552"/>
      <c r="B188" s="552"/>
      <c r="C188" s="552"/>
      <c r="D188" s="552"/>
      <c r="E188" s="552"/>
      <c r="F188" s="552"/>
      <c r="G188" s="552"/>
      <c r="H188" s="582"/>
      <c r="I188" s="71"/>
      <c r="J188" s="582"/>
      <c r="K188" s="583"/>
      <c r="L188" s="552"/>
      <c r="M188" s="552"/>
      <c r="N188" s="551"/>
      <c r="O188" s="551"/>
      <c r="P188" s="551"/>
      <c r="Q188" s="551"/>
      <c r="R188" s="551"/>
      <c r="S188" s="551"/>
      <c r="T188" s="551"/>
      <c r="U188" s="551"/>
      <c r="V188" s="551"/>
      <c r="W188" s="551"/>
      <c r="X188" s="551"/>
      <c r="Y188" s="551"/>
      <c r="Z188" s="551"/>
      <c r="AA188" s="551"/>
      <c r="AB188" s="551"/>
      <c r="AC188" s="551"/>
      <c r="AD188" s="551"/>
      <c r="AE188" s="551"/>
      <c r="AF188" s="551"/>
    </row>
    <row r="189">
      <c r="A189" s="133" t="s">
        <v>1309</v>
      </c>
      <c r="B189" s="584">
        <v>110956.19339409469</v>
      </c>
      <c r="C189" s="584">
        <v>83554.85989893528</v>
      </c>
      <c r="D189" s="584">
        <v>41218.42445261295</v>
      </c>
      <c r="E189" s="584">
        <v>44185.14760647905</v>
      </c>
      <c r="F189" s="552"/>
      <c r="G189" s="552"/>
      <c r="H189" s="582"/>
      <c r="I189" s="71"/>
      <c r="J189" s="582"/>
      <c r="K189" s="583"/>
      <c r="L189" s="552"/>
      <c r="M189" s="552"/>
      <c r="N189" s="551"/>
      <c r="O189" s="551"/>
      <c r="P189" s="551"/>
      <c r="Q189" s="551"/>
      <c r="R189" s="551"/>
      <c r="S189" s="551"/>
      <c r="T189" s="551"/>
      <c r="U189" s="551"/>
      <c r="V189" s="551"/>
      <c r="W189" s="551"/>
      <c r="X189" s="551"/>
      <c r="Y189" s="551"/>
      <c r="Z189" s="551"/>
      <c r="AA189" s="551"/>
      <c r="AB189" s="551"/>
      <c r="AC189" s="551"/>
      <c r="AD189" s="551"/>
      <c r="AE189" s="551"/>
      <c r="AF189" s="551"/>
    </row>
    <row r="190">
      <c r="A190" s="552"/>
      <c r="B190" s="547">
        <f t="shared" ref="B190:E190" si="47">B189-B187</f>
        <v>0</v>
      </c>
      <c r="C190" s="547">
        <f t="shared" si="47"/>
        <v>0</v>
      </c>
      <c r="D190" s="547">
        <f t="shared" si="47"/>
        <v>0</v>
      </c>
      <c r="E190" s="547">
        <f t="shared" si="47"/>
        <v>0</v>
      </c>
      <c r="F190" s="552"/>
      <c r="G190" s="552"/>
      <c r="H190" s="582"/>
      <c r="I190" s="71"/>
      <c r="J190" s="582"/>
      <c r="K190" s="583"/>
      <c r="L190" s="552"/>
      <c r="M190" s="552"/>
      <c r="N190" s="551"/>
      <c r="O190" s="551"/>
      <c r="P190" s="551"/>
      <c r="Q190" s="551"/>
      <c r="R190" s="551"/>
      <c r="S190" s="551"/>
      <c r="T190" s="551"/>
      <c r="U190" s="551"/>
      <c r="V190" s="551"/>
      <c r="W190" s="551"/>
      <c r="X190" s="551"/>
      <c r="Y190" s="551"/>
      <c r="Z190" s="551"/>
      <c r="AA190" s="551"/>
      <c r="AB190" s="551"/>
      <c r="AC190" s="551"/>
      <c r="AD190" s="551"/>
      <c r="AE190" s="551"/>
      <c r="AF190" s="551"/>
    </row>
    <row r="191">
      <c r="A191" s="552"/>
      <c r="B191" s="552"/>
      <c r="C191" s="552"/>
      <c r="D191" s="552"/>
      <c r="E191" s="552"/>
      <c r="F191" s="552"/>
      <c r="G191" s="552"/>
      <c r="H191" s="582"/>
      <c r="I191" s="71"/>
      <c r="J191" s="582"/>
      <c r="K191" s="583"/>
      <c r="L191" s="552"/>
      <c r="M191" s="552"/>
      <c r="N191" s="551"/>
      <c r="O191" s="551"/>
      <c r="P191" s="551"/>
      <c r="Q191" s="551"/>
      <c r="R191" s="551"/>
      <c r="S191" s="551"/>
      <c r="T191" s="551"/>
      <c r="U191" s="551"/>
      <c r="V191" s="551"/>
      <c r="W191" s="551"/>
      <c r="X191" s="551"/>
      <c r="Y191" s="551"/>
      <c r="Z191" s="551"/>
      <c r="AA191" s="551"/>
      <c r="AB191" s="551"/>
      <c r="AC191" s="551"/>
      <c r="AD191" s="551"/>
      <c r="AE191" s="551"/>
      <c r="AF191" s="551"/>
    </row>
    <row r="192">
      <c r="A192" s="552"/>
      <c r="B192" s="552"/>
      <c r="C192" s="552"/>
      <c r="D192" s="552"/>
      <c r="E192" s="552"/>
      <c r="F192" s="552"/>
      <c r="G192" s="552"/>
      <c r="H192" s="582"/>
      <c r="I192" s="71"/>
      <c r="J192" s="582"/>
      <c r="K192" s="583"/>
      <c r="L192" s="552"/>
      <c r="M192" s="552"/>
      <c r="N192" s="551"/>
      <c r="O192" s="551"/>
      <c r="P192" s="551"/>
      <c r="Q192" s="551"/>
      <c r="R192" s="551"/>
      <c r="S192" s="551"/>
      <c r="T192" s="551"/>
      <c r="U192" s="551"/>
      <c r="V192" s="551"/>
      <c r="W192" s="551"/>
      <c r="X192" s="551"/>
      <c r="Y192" s="551"/>
      <c r="Z192" s="551"/>
      <c r="AA192" s="551"/>
      <c r="AB192" s="551"/>
      <c r="AC192" s="551"/>
      <c r="AD192" s="551"/>
      <c r="AE192" s="551"/>
      <c r="AF192" s="551"/>
    </row>
    <row r="193">
      <c r="A193" s="552"/>
      <c r="B193" s="552"/>
      <c r="C193" s="552"/>
      <c r="D193" s="552"/>
      <c r="E193" s="552"/>
      <c r="F193" s="552"/>
      <c r="G193" s="552"/>
      <c r="H193" s="582"/>
      <c r="I193" s="71"/>
      <c r="J193" s="582"/>
      <c r="K193" s="583"/>
      <c r="L193" s="552"/>
      <c r="M193" s="552"/>
      <c r="N193" s="551"/>
      <c r="O193" s="551"/>
      <c r="P193" s="551"/>
      <c r="Q193" s="551"/>
      <c r="R193" s="551"/>
      <c r="S193" s="551"/>
      <c r="T193" s="551"/>
      <c r="U193" s="551"/>
      <c r="V193" s="551"/>
      <c r="W193" s="551"/>
      <c r="X193" s="551"/>
      <c r="Y193" s="551"/>
      <c r="Z193" s="551"/>
      <c r="AA193" s="551"/>
      <c r="AB193" s="551"/>
      <c r="AC193" s="551"/>
      <c r="AD193" s="551"/>
      <c r="AE193" s="551"/>
      <c r="AF193" s="551"/>
    </row>
    <row r="194">
      <c r="A194" s="552"/>
      <c r="B194" s="552"/>
      <c r="C194" s="552"/>
      <c r="D194" s="552"/>
      <c r="E194" s="552"/>
      <c r="F194" s="552"/>
      <c r="G194" s="552"/>
      <c r="H194" s="552"/>
      <c r="I194" s="552"/>
      <c r="J194" s="552"/>
      <c r="K194" s="551"/>
      <c r="L194" s="552"/>
      <c r="M194" s="552"/>
      <c r="N194" s="551"/>
      <c r="O194" s="551"/>
      <c r="P194" s="551"/>
      <c r="Q194" s="551"/>
      <c r="R194" s="551"/>
      <c r="S194" s="551"/>
      <c r="T194" s="551"/>
      <c r="U194" s="551"/>
      <c r="V194" s="551"/>
      <c r="W194" s="551"/>
      <c r="X194" s="551"/>
      <c r="Y194" s="551"/>
      <c r="Z194" s="551"/>
      <c r="AA194" s="551"/>
      <c r="AB194" s="551"/>
      <c r="AC194" s="551"/>
      <c r="AD194" s="551"/>
      <c r="AE194" s="551"/>
      <c r="AF194" s="551"/>
    </row>
    <row r="195">
      <c r="A195" s="552"/>
      <c r="B195" s="552"/>
      <c r="C195" s="552"/>
      <c r="D195" s="552"/>
      <c r="E195" s="552"/>
      <c r="F195" s="552"/>
      <c r="G195" s="552"/>
      <c r="H195" s="552"/>
      <c r="I195" s="552"/>
      <c r="J195" s="552"/>
      <c r="K195" s="551"/>
      <c r="L195" s="552"/>
      <c r="M195" s="552"/>
      <c r="N195" s="551"/>
      <c r="O195" s="551"/>
      <c r="P195" s="551"/>
      <c r="Q195" s="551"/>
      <c r="R195" s="551"/>
      <c r="S195" s="551"/>
      <c r="T195" s="551"/>
      <c r="U195" s="551"/>
      <c r="V195" s="551"/>
      <c r="W195" s="551"/>
      <c r="X195" s="551"/>
      <c r="Y195" s="551"/>
      <c r="Z195" s="551"/>
      <c r="AA195" s="551"/>
      <c r="AB195" s="551"/>
      <c r="AC195" s="551"/>
      <c r="AD195" s="551"/>
      <c r="AE195" s="551"/>
      <c r="AF195" s="551"/>
    </row>
    <row r="196">
      <c r="A196" s="552"/>
      <c r="B196" s="552"/>
      <c r="C196" s="552"/>
      <c r="D196" s="552"/>
      <c r="E196" s="552"/>
      <c r="F196" s="552"/>
      <c r="G196" s="552"/>
      <c r="H196" s="552"/>
      <c r="I196" s="552"/>
      <c r="J196" s="552"/>
      <c r="K196" s="551"/>
      <c r="L196" s="552"/>
      <c r="M196" s="552"/>
      <c r="N196" s="551"/>
      <c r="O196" s="551"/>
      <c r="P196" s="551"/>
      <c r="Q196" s="551"/>
      <c r="R196" s="551"/>
      <c r="S196" s="551"/>
      <c r="T196" s="551"/>
      <c r="U196" s="551"/>
      <c r="V196" s="551"/>
      <c r="W196" s="551"/>
      <c r="X196" s="551"/>
      <c r="Y196" s="551"/>
      <c r="Z196" s="551"/>
      <c r="AA196" s="551"/>
      <c r="AB196" s="551"/>
      <c r="AC196" s="551"/>
      <c r="AD196" s="551"/>
      <c r="AE196" s="551"/>
      <c r="AF196" s="551"/>
    </row>
    <row r="197">
      <c r="A197" s="552"/>
      <c r="B197" s="552"/>
      <c r="C197" s="552"/>
      <c r="D197" s="552"/>
      <c r="E197" s="552"/>
      <c r="F197" s="552"/>
      <c r="G197" s="552"/>
      <c r="H197" s="552"/>
      <c r="I197" s="552"/>
      <c r="J197" s="552"/>
      <c r="K197" s="551"/>
      <c r="L197" s="552"/>
      <c r="M197" s="552"/>
      <c r="N197" s="551"/>
      <c r="O197" s="551"/>
      <c r="P197" s="551"/>
      <c r="Q197" s="551"/>
      <c r="R197" s="551"/>
      <c r="S197" s="551"/>
      <c r="T197" s="551"/>
      <c r="U197" s="551"/>
      <c r="V197" s="551"/>
      <c r="W197" s="551"/>
      <c r="X197" s="551"/>
      <c r="Y197" s="551"/>
      <c r="Z197" s="551"/>
      <c r="AA197" s="551"/>
      <c r="AB197" s="551"/>
      <c r="AC197" s="551"/>
      <c r="AD197" s="551"/>
      <c r="AE197" s="551"/>
      <c r="AF197" s="551"/>
    </row>
    <row r="198">
      <c r="A198" s="552"/>
      <c r="B198" s="552"/>
      <c r="C198" s="552"/>
      <c r="D198" s="552"/>
      <c r="E198" s="552"/>
      <c r="F198" s="552"/>
      <c r="G198" s="552"/>
      <c r="H198" s="552"/>
      <c r="I198" s="552"/>
      <c r="J198" s="552"/>
      <c r="K198" s="551"/>
      <c r="L198" s="552"/>
      <c r="M198" s="552"/>
      <c r="N198" s="551"/>
      <c r="O198" s="551"/>
      <c r="P198" s="551"/>
      <c r="Q198" s="551"/>
      <c r="R198" s="551"/>
      <c r="S198" s="551"/>
      <c r="T198" s="551"/>
      <c r="U198" s="551"/>
      <c r="V198" s="551"/>
      <c r="W198" s="551"/>
      <c r="X198" s="551"/>
      <c r="Y198" s="551"/>
      <c r="Z198" s="551"/>
      <c r="AA198" s="551"/>
      <c r="AB198" s="551"/>
      <c r="AC198" s="551"/>
      <c r="AD198" s="551"/>
      <c r="AE198" s="551"/>
      <c r="AF198" s="551"/>
    </row>
    <row r="199">
      <c r="A199" s="552"/>
      <c r="B199" s="552"/>
      <c r="C199" s="552"/>
      <c r="D199" s="552"/>
      <c r="E199" s="552"/>
      <c r="F199" s="552"/>
      <c r="G199" s="552"/>
      <c r="H199" s="552"/>
      <c r="I199" s="552"/>
      <c r="J199" s="552"/>
      <c r="K199" s="551"/>
      <c r="L199" s="552"/>
      <c r="M199" s="552"/>
      <c r="N199" s="551"/>
      <c r="O199" s="551"/>
      <c r="P199" s="551"/>
      <c r="Q199" s="551"/>
      <c r="R199" s="551"/>
      <c r="S199" s="551"/>
      <c r="T199" s="551"/>
      <c r="U199" s="551"/>
      <c r="V199" s="551"/>
      <c r="W199" s="551"/>
      <c r="X199" s="551"/>
      <c r="Y199" s="551"/>
      <c r="Z199" s="551"/>
      <c r="AA199" s="551"/>
      <c r="AB199" s="551"/>
      <c r="AC199" s="551"/>
      <c r="AD199" s="551"/>
      <c r="AE199" s="551"/>
      <c r="AF199" s="551"/>
    </row>
    <row r="200">
      <c r="A200" s="552"/>
      <c r="B200" s="552"/>
      <c r="C200" s="552"/>
      <c r="D200" s="552"/>
      <c r="E200" s="552"/>
      <c r="F200" s="552"/>
      <c r="G200" s="552"/>
      <c r="H200" s="552"/>
      <c r="I200" s="552"/>
      <c r="J200" s="552"/>
      <c r="K200" s="551"/>
      <c r="L200" s="552"/>
      <c r="M200" s="552"/>
      <c r="N200" s="551"/>
      <c r="O200" s="551"/>
      <c r="P200" s="551"/>
      <c r="Q200" s="551"/>
      <c r="R200" s="551"/>
      <c r="S200" s="551"/>
      <c r="T200" s="551"/>
      <c r="U200" s="551"/>
      <c r="V200" s="551"/>
      <c r="W200" s="551"/>
      <c r="X200" s="551"/>
      <c r="Y200" s="551"/>
      <c r="Z200" s="551"/>
      <c r="AA200" s="551"/>
      <c r="AB200" s="551"/>
      <c r="AC200" s="551"/>
      <c r="AD200" s="551"/>
      <c r="AE200" s="551"/>
      <c r="AF200" s="551"/>
    </row>
    <row r="201">
      <c r="A201" s="552"/>
      <c r="B201" s="552"/>
      <c r="C201" s="552"/>
      <c r="D201" s="552"/>
      <c r="E201" s="552"/>
      <c r="F201" s="552"/>
      <c r="G201" s="552"/>
      <c r="H201" s="552"/>
      <c r="I201" s="552"/>
      <c r="J201" s="552"/>
      <c r="K201" s="551"/>
      <c r="L201" s="552"/>
      <c r="M201" s="552"/>
      <c r="N201" s="551"/>
      <c r="O201" s="551"/>
      <c r="P201" s="551"/>
      <c r="Q201" s="551"/>
      <c r="R201" s="551"/>
      <c r="S201" s="551"/>
      <c r="T201" s="551"/>
      <c r="U201" s="551"/>
      <c r="V201" s="551"/>
      <c r="W201" s="551"/>
      <c r="X201" s="551"/>
      <c r="Y201" s="551"/>
      <c r="Z201" s="551"/>
      <c r="AA201" s="551"/>
      <c r="AB201" s="551"/>
      <c r="AC201" s="551"/>
      <c r="AD201" s="551"/>
      <c r="AE201" s="551"/>
      <c r="AF201" s="551"/>
    </row>
    <row r="202">
      <c r="A202" s="552"/>
      <c r="B202" s="552"/>
      <c r="C202" s="552"/>
      <c r="D202" s="552"/>
      <c r="E202" s="552"/>
      <c r="F202" s="552"/>
      <c r="G202" s="552"/>
      <c r="H202" s="552"/>
      <c r="I202" s="552"/>
      <c r="J202" s="552"/>
      <c r="K202" s="551"/>
      <c r="L202" s="552"/>
      <c r="M202" s="552"/>
      <c r="N202" s="551"/>
      <c r="O202" s="551"/>
      <c r="P202" s="551"/>
      <c r="Q202" s="551"/>
      <c r="R202" s="551"/>
      <c r="S202" s="551"/>
      <c r="T202" s="551"/>
      <c r="U202" s="551"/>
      <c r="V202" s="551"/>
      <c r="W202" s="551"/>
      <c r="X202" s="551"/>
      <c r="Y202" s="551"/>
      <c r="Z202" s="551"/>
      <c r="AA202" s="551"/>
      <c r="AB202" s="551"/>
      <c r="AC202" s="551"/>
      <c r="AD202" s="551"/>
      <c r="AE202" s="551"/>
      <c r="AF202" s="551"/>
    </row>
    <row r="203">
      <c r="A203" s="552"/>
      <c r="B203" s="552"/>
      <c r="C203" s="552"/>
      <c r="D203" s="552"/>
      <c r="E203" s="552"/>
      <c r="F203" s="552"/>
      <c r="G203" s="552"/>
      <c r="H203" s="552"/>
      <c r="I203" s="552"/>
      <c r="J203" s="552"/>
      <c r="K203" s="551"/>
      <c r="L203" s="552"/>
      <c r="M203" s="552"/>
      <c r="N203" s="551"/>
      <c r="O203" s="551"/>
      <c r="P203" s="551"/>
      <c r="Q203" s="551"/>
      <c r="R203" s="551"/>
      <c r="S203" s="551"/>
      <c r="T203" s="551"/>
      <c r="U203" s="551"/>
      <c r="V203" s="551"/>
      <c r="W203" s="551"/>
      <c r="X203" s="551"/>
      <c r="Y203" s="551"/>
      <c r="Z203" s="551"/>
      <c r="AA203" s="551"/>
      <c r="AB203" s="551"/>
      <c r="AC203" s="551"/>
      <c r="AD203" s="551"/>
      <c r="AE203" s="551"/>
      <c r="AF203" s="551"/>
    </row>
    <row r="204">
      <c r="A204" s="552"/>
      <c r="B204" s="552"/>
      <c r="C204" s="552"/>
      <c r="D204" s="552"/>
      <c r="E204" s="552"/>
      <c r="F204" s="552"/>
      <c r="G204" s="552"/>
      <c r="H204" s="552"/>
      <c r="I204" s="552"/>
      <c r="J204" s="552"/>
      <c r="K204" s="551"/>
      <c r="L204" s="552"/>
      <c r="M204" s="552"/>
      <c r="N204" s="551"/>
      <c r="O204" s="551"/>
      <c r="P204" s="551"/>
      <c r="Q204" s="551"/>
      <c r="R204" s="551"/>
      <c r="S204" s="551"/>
      <c r="T204" s="551"/>
      <c r="U204" s="551"/>
      <c r="V204" s="551"/>
      <c r="W204" s="551"/>
      <c r="X204" s="551"/>
      <c r="Y204" s="551"/>
      <c r="Z204" s="551"/>
      <c r="AA204" s="551"/>
      <c r="AB204" s="551"/>
      <c r="AC204" s="551"/>
      <c r="AD204" s="551"/>
      <c r="AE204" s="551"/>
      <c r="AF204" s="551"/>
    </row>
    <row r="205">
      <c r="A205" s="552"/>
      <c r="B205" s="552"/>
      <c r="C205" s="552"/>
      <c r="D205" s="552"/>
      <c r="E205" s="552"/>
      <c r="F205" s="552"/>
      <c r="G205" s="552"/>
      <c r="H205" s="552"/>
      <c r="I205" s="552"/>
      <c r="J205" s="552"/>
      <c r="K205" s="551"/>
      <c r="L205" s="552"/>
      <c r="M205" s="552"/>
      <c r="N205" s="551"/>
      <c r="O205" s="551"/>
      <c r="P205" s="551"/>
      <c r="Q205" s="551"/>
      <c r="R205" s="551"/>
      <c r="S205" s="551"/>
      <c r="T205" s="551"/>
      <c r="U205" s="551"/>
      <c r="V205" s="551"/>
      <c r="W205" s="551"/>
      <c r="X205" s="551"/>
      <c r="Y205" s="551"/>
      <c r="Z205" s="551"/>
      <c r="AA205" s="551"/>
      <c r="AB205" s="551"/>
      <c r="AC205" s="551"/>
      <c r="AD205" s="551"/>
      <c r="AE205" s="551"/>
      <c r="AF205" s="551"/>
    </row>
    <row r="206">
      <c r="A206" s="552"/>
      <c r="B206" s="552"/>
      <c r="C206" s="552"/>
      <c r="D206" s="552"/>
      <c r="E206" s="552"/>
      <c r="F206" s="552"/>
      <c r="G206" s="552"/>
      <c r="H206" s="552"/>
      <c r="I206" s="552"/>
      <c r="J206" s="552"/>
      <c r="K206" s="551"/>
      <c r="L206" s="552"/>
      <c r="M206" s="552"/>
      <c r="N206" s="551"/>
      <c r="O206" s="551"/>
      <c r="P206" s="551"/>
      <c r="Q206" s="551"/>
      <c r="R206" s="551"/>
      <c r="S206" s="551"/>
      <c r="T206" s="551"/>
      <c r="U206" s="551"/>
      <c r="V206" s="551"/>
      <c r="W206" s="551"/>
      <c r="X206" s="551"/>
      <c r="Y206" s="551"/>
      <c r="Z206" s="551"/>
      <c r="AA206" s="551"/>
      <c r="AB206" s="551"/>
      <c r="AC206" s="551"/>
      <c r="AD206" s="551"/>
      <c r="AE206" s="551"/>
      <c r="AF206" s="551"/>
    </row>
    <row r="207">
      <c r="A207" s="552"/>
      <c r="B207" s="552"/>
      <c r="C207" s="552"/>
      <c r="D207" s="552"/>
      <c r="E207" s="552"/>
      <c r="F207" s="552"/>
      <c r="G207" s="552"/>
      <c r="H207" s="552"/>
      <c r="I207" s="552"/>
      <c r="J207" s="552"/>
      <c r="K207" s="551"/>
      <c r="L207" s="552"/>
      <c r="M207" s="552"/>
      <c r="N207" s="551"/>
      <c r="O207" s="551"/>
      <c r="P207" s="551"/>
      <c r="Q207" s="551"/>
      <c r="R207" s="551"/>
      <c r="S207" s="551"/>
      <c r="T207" s="551"/>
      <c r="U207" s="551"/>
      <c r="V207" s="551"/>
      <c r="W207" s="551"/>
      <c r="X207" s="551"/>
      <c r="Y207" s="551"/>
      <c r="Z207" s="551"/>
      <c r="AA207" s="551"/>
      <c r="AB207" s="551"/>
      <c r="AC207" s="551"/>
      <c r="AD207" s="551"/>
      <c r="AE207" s="551"/>
      <c r="AF207" s="551"/>
    </row>
    <row r="208">
      <c r="A208" s="552"/>
      <c r="B208" s="552"/>
      <c r="C208" s="552"/>
      <c r="D208" s="552"/>
      <c r="E208" s="552"/>
      <c r="F208" s="552"/>
      <c r="G208" s="552"/>
      <c r="H208" s="552"/>
      <c r="I208" s="552"/>
      <c r="J208" s="552"/>
      <c r="K208" s="551"/>
      <c r="L208" s="552"/>
      <c r="M208" s="552"/>
      <c r="N208" s="551"/>
      <c r="O208" s="551"/>
      <c r="P208" s="551"/>
      <c r="Q208" s="551"/>
      <c r="R208" s="551"/>
      <c r="S208" s="551"/>
      <c r="T208" s="551"/>
      <c r="U208" s="551"/>
      <c r="V208" s="551"/>
      <c r="W208" s="551"/>
      <c r="X208" s="551"/>
      <c r="Y208" s="551"/>
      <c r="Z208" s="551"/>
      <c r="AA208" s="551"/>
      <c r="AB208" s="551"/>
      <c r="AC208" s="551"/>
      <c r="AD208" s="551"/>
      <c r="AE208" s="551"/>
      <c r="AF208" s="551"/>
    </row>
    <row r="209">
      <c r="A209" s="552"/>
      <c r="B209" s="552"/>
      <c r="C209" s="552"/>
      <c r="D209" s="552"/>
      <c r="E209" s="552"/>
      <c r="F209" s="552"/>
      <c r="G209" s="552"/>
      <c r="H209" s="552"/>
      <c r="I209" s="552"/>
      <c r="J209" s="552"/>
      <c r="K209" s="551"/>
      <c r="L209" s="552"/>
      <c r="M209" s="552"/>
      <c r="N209" s="551"/>
      <c r="O209" s="551"/>
      <c r="P209" s="551"/>
      <c r="Q209" s="551"/>
      <c r="R209" s="551"/>
      <c r="S209" s="551"/>
      <c r="T209" s="551"/>
      <c r="U209" s="551"/>
      <c r="V209" s="551"/>
      <c r="W209" s="551"/>
      <c r="X209" s="551"/>
      <c r="Y209" s="551"/>
      <c r="Z209" s="551"/>
      <c r="AA209" s="551"/>
      <c r="AB209" s="551"/>
      <c r="AC209" s="551"/>
      <c r="AD209" s="551"/>
      <c r="AE209" s="551"/>
      <c r="AF209" s="551"/>
    </row>
    <row r="210">
      <c r="A210" s="552"/>
      <c r="B210" s="552"/>
      <c r="C210" s="552"/>
      <c r="D210" s="552"/>
      <c r="E210" s="552"/>
      <c r="F210" s="552"/>
      <c r="G210" s="552"/>
      <c r="H210" s="552"/>
      <c r="I210" s="552"/>
      <c r="J210" s="552"/>
      <c r="K210" s="551"/>
      <c r="L210" s="552"/>
      <c r="M210" s="552"/>
      <c r="N210" s="551"/>
      <c r="O210" s="551"/>
      <c r="P210" s="551"/>
      <c r="Q210" s="551"/>
      <c r="R210" s="551"/>
      <c r="S210" s="551"/>
      <c r="T210" s="551"/>
      <c r="U210" s="551"/>
      <c r="V210" s="551"/>
      <c r="W210" s="551"/>
      <c r="X210" s="551"/>
      <c r="Y210" s="551"/>
      <c r="Z210" s="551"/>
      <c r="AA210" s="551"/>
      <c r="AB210" s="551"/>
      <c r="AC210" s="551"/>
      <c r="AD210" s="551"/>
      <c r="AE210" s="551"/>
      <c r="AF210" s="551"/>
    </row>
    <row r="211">
      <c r="A211" s="552"/>
      <c r="B211" s="552"/>
      <c r="C211" s="552"/>
      <c r="D211" s="552"/>
      <c r="E211" s="552"/>
      <c r="F211" s="552"/>
      <c r="G211" s="552"/>
      <c r="H211" s="552"/>
      <c r="I211" s="552"/>
      <c r="J211" s="552"/>
      <c r="K211" s="552"/>
      <c r="L211" s="552"/>
      <c r="M211" s="552"/>
      <c r="N211" s="551"/>
      <c r="O211" s="551"/>
      <c r="P211" s="551"/>
      <c r="Q211" s="551"/>
      <c r="R211" s="551"/>
      <c r="S211" s="551"/>
      <c r="T211" s="551"/>
      <c r="U211" s="551"/>
      <c r="V211" s="551"/>
      <c r="W211" s="551"/>
      <c r="X211" s="551"/>
      <c r="Y211" s="551"/>
      <c r="Z211" s="551"/>
      <c r="AA211" s="551"/>
      <c r="AB211" s="551"/>
      <c r="AC211" s="551"/>
      <c r="AD211" s="551"/>
      <c r="AE211" s="551"/>
      <c r="AF211" s="551"/>
    </row>
    <row r="212">
      <c r="A212" s="552"/>
      <c r="B212" s="552"/>
      <c r="C212" s="552"/>
      <c r="D212" s="552"/>
      <c r="E212" s="552"/>
      <c r="F212" s="552"/>
      <c r="G212" s="552"/>
      <c r="H212" s="552"/>
      <c r="I212" s="552"/>
      <c r="J212" s="552"/>
      <c r="K212" s="552"/>
      <c r="L212" s="552"/>
      <c r="M212" s="552"/>
      <c r="N212" s="551"/>
      <c r="O212" s="551"/>
      <c r="P212" s="551"/>
      <c r="Q212" s="551"/>
      <c r="R212" s="551"/>
      <c r="S212" s="551"/>
      <c r="T212" s="551"/>
      <c r="U212" s="551"/>
      <c r="V212" s="551"/>
      <c r="W212" s="551"/>
      <c r="X212" s="551"/>
      <c r="Y212" s="551"/>
      <c r="Z212" s="551"/>
      <c r="AA212" s="551"/>
      <c r="AB212" s="551"/>
      <c r="AC212" s="551"/>
      <c r="AD212" s="551"/>
      <c r="AE212" s="551"/>
      <c r="AF212" s="551"/>
    </row>
    <row r="213">
      <c r="A213" s="552"/>
      <c r="B213" s="552"/>
      <c r="C213" s="552"/>
      <c r="D213" s="552"/>
      <c r="E213" s="552"/>
      <c r="F213" s="552"/>
      <c r="G213" s="552"/>
      <c r="H213" s="552"/>
      <c r="I213" s="552"/>
      <c r="J213" s="552"/>
      <c r="K213" s="552"/>
      <c r="L213" s="552"/>
      <c r="M213" s="552"/>
      <c r="N213" s="551"/>
      <c r="O213" s="551"/>
      <c r="P213" s="551"/>
      <c r="Q213" s="551"/>
      <c r="R213" s="551"/>
      <c r="S213" s="551"/>
      <c r="T213" s="551"/>
      <c r="U213" s="551"/>
      <c r="V213" s="551"/>
      <c r="W213" s="551"/>
      <c r="X213" s="551"/>
      <c r="Y213" s="551"/>
      <c r="Z213" s="551"/>
      <c r="AA213" s="551"/>
      <c r="AB213" s="551"/>
      <c r="AC213" s="551"/>
      <c r="AD213" s="551"/>
      <c r="AE213" s="551"/>
      <c r="AF213" s="551"/>
    </row>
    <row r="214">
      <c r="A214" s="552"/>
      <c r="B214" s="552"/>
      <c r="C214" s="552"/>
      <c r="D214" s="552"/>
      <c r="E214" s="552"/>
      <c r="F214" s="552"/>
      <c r="G214" s="552"/>
      <c r="H214" s="552"/>
      <c r="I214" s="552"/>
      <c r="J214" s="552"/>
      <c r="K214" s="552"/>
      <c r="L214" s="552"/>
      <c r="M214" s="552"/>
      <c r="N214" s="551"/>
      <c r="O214" s="551"/>
      <c r="P214" s="551"/>
      <c r="Q214" s="551"/>
      <c r="R214" s="551"/>
      <c r="S214" s="551"/>
      <c r="T214" s="551"/>
      <c r="U214" s="551"/>
      <c r="V214" s="551"/>
      <c r="W214" s="551"/>
      <c r="X214" s="551"/>
      <c r="Y214" s="551"/>
      <c r="Z214" s="551"/>
      <c r="AA214" s="551"/>
      <c r="AB214" s="551"/>
      <c r="AC214" s="551"/>
      <c r="AD214" s="551"/>
      <c r="AE214" s="551"/>
      <c r="AF214" s="551"/>
    </row>
    <row r="215">
      <c r="A215" s="552"/>
      <c r="B215" s="552"/>
      <c r="C215" s="552"/>
      <c r="D215" s="552"/>
      <c r="E215" s="552"/>
      <c r="F215" s="552"/>
      <c r="G215" s="552"/>
      <c r="H215" s="552"/>
      <c r="I215" s="552"/>
      <c r="J215" s="552"/>
      <c r="K215" s="552"/>
      <c r="L215" s="552"/>
      <c r="M215" s="552"/>
      <c r="N215" s="551"/>
      <c r="O215" s="551"/>
      <c r="P215" s="551"/>
      <c r="Q215" s="551"/>
      <c r="R215" s="551"/>
      <c r="S215" s="551"/>
      <c r="T215" s="551"/>
      <c r="U215" s="551"/>
      <c r="V215" s="551"/>
      <c r="W215" s="551"/>
      <c r="X215" s="551"/>
      <c r="Y215" s="551"/>
      <c r="Z215" s="551"/>
      <c r="AA215" s="551"/>
      <c r="AB215" s="551"/>
      <c r="AC215" s="551"/>
      <c r="AD215" s="551"/>
      <c r="AE215" s="551"/>
      <c r="AF215" s="551"/>
    </row>
    <row r="216">
      <c r="A216" s="552"/>
      <c r="B216" s="552"/>
      <c r="C216" s="552"/>
      <c r="D216" s="552"/>
      <c r="E216" s="552"/>
      <c r="F216" s="552"/>
      <c r="G216" s="552"/>
      <c r="H216" s="552"/>
      <c r="I216" s="552"/>
      <c r="J216" s="552"/>
      <c r="K216" s="552"/>
      <c r="L216" s="552"/>
      <c r="M216" s="552"/>
      <c r="N216" s="551"/>
      <c r="O216" s="551"/>
      <c r="P216" s="551"/>
      <c r="Q216" s="551"/>
      <c r="R216" s="551"/>
      <c r="S216" s="551"/>
      <c r="T216" s="551"/>
      <c r="U216" s="551"/>
      <c r="V216" s="551"/>
      <c r="W216" s="551"/>
      <c r="X216" s="551"/>
      <c r="Y216" s="551"/>
      <c r="Z216" s="551"/>
      <c r="AA216" s="551"/>
      <c r="AB216" s="551"/>
      <c r="AC216" s="551"/>
      <c r="AD216" s="551"/>
      <c r="AE216" s="551"/>
      <c r="AF216" s="551"/>
    </row>
    <row r="217">
      <c r="A217" s="552"/>
      <c r="B217" s="552"/>
      <c r="C217" s="552"/>
      <c r="D217" s="552"/>
      <c r="E217" s="552"/>
      <c r="F217" s="552"/>
      <c r="G217" s="552"/>
      <c r="H217" s="552"/>
      <c r="I217" s="552"/>
      <c r="J217" s="552"/>
      <c r="K217" s="552"/>
      <c r="L217" s="552"/>
      <c r="M217" s="552"/>
      <c r="N217" s="551"/>
      <c r="O217" s="551"/>
      <c r="P217" s="551"/>
      <c r="Q217" s="551"/>
      <c r="R217" s="551"/>
      <c r="S217" s="551"/>
      <c r="T217" s="551"/>
      <c r="U217" s="551"/>
      <c r="V217" s="551"/>
      <c r="W217" s="551"/>
      <c r="X217" s="551"/>
      <c r="Y217" s="551"/>
      <c r="Z217" s="551"/>
      <c r="AA217" s="551"/>
      <c r="AB217" s="551"/>
      <c r="AC217" s="551"/>
      <c r="AD217" s="551"/>
      <c r="AE217" s="551"/>
      <c r="AF217" s="551"/>
    </row>
    <row r="218">
      <c r="A218" s="552"/>
      <c r="B218" s="552"/>
      <c r="C218" s="552"/>
      <c r="D218" s="552"/>
      <c r="E218" s="552"/>
      <c r="F218" s="552"/>
      <c r="G218" s="552"/>
      <c r="H218" s="552"/>
      <c r="I218" s="552"/>
      <c r="J218" s="552"/>
      <c r="K218" s="552"/>
      <c r="L218" s="552"/>
      <c r="M218" s="552"/>
      <c r="N218" s="551"/>
      <c r="O218" s="551"/>
      <c r="P218" s="551"/>
      <c r="Q218" s="551"/>
      <c r="R218" s="551"/>
      <c r="S218" s="551"/>
      <c r="T218" s="551"/>
      <c r="U218" s="551"/>
      <c r="V218" s="551"/>
      <c r="W218" s="551"/>
      <c r="X218" s="551"/>
      <c r="Y218" s="551"/>
      <c r="Z218" s="551"/>
      <c r="AA218" s="551"/>
      <c r="AB218" s="551"/>
      <c r="AC218" s="551"/>
      <c r="AD218" s="551"/>
      <c r="AE218" s="551"/>
      <c r="AF218" s="551"/>
    </row>
    <row r="219">
      <c r="A219" s="552"/>
      <c r="B219" s="552"/>
      <c r="C219" s="552"/>
      <c r="D219" s="552"/>
      <c r="E219" s="552"/>
      <c r="F219" s="552"/>
      <c r="G219" s="552"/>
      <c r="H219" s="552"/>
      <c r="I219" s="552"/>
      <c r="J219" s="552"/>
      <c r="K219" s="552"/>
      <c r="L219" s="552"/>
      <c r="M219" s="552"/>
      <c r="N219" s="551"/>
      <c r="O219" s="551"/>
      <c r="P219" s="551"/>
      <c r="Q219" s="551"/>
      <c r="R219" s="551"/>
      <c r="S219" s="551"/>
      <c r="T219" s="551"/>
      <c r="U219" s="551"/>
      <c r="V219" s="551"/>
      <c r="W219" s="551"/>
      <c r="X219" s="551"/>
      <c r="Y219" s="551"/>
      <c r="Z219" s="551"/>
      <c r="AA219" s="551"/>
      <c r="AB219" s="551"/>
      <c r="AC219" s="551"/>
      <c r="AD219" s="551"/>
      <c r="AE219" s="551"/>
      <c r="AF219" s="551"/>
    </row>
    <row r="220">
      <c r="A220" s="552"/>
      <c r="B220" s="552"/>
      <c r="C220" s="552"/>
      <c r="D220" s="552"/>
      <c r="E220" s="552"/>
      <c r="F220" s="552"/>
      <c r="G220" s="552"/>
      <c r="H220" s="552"/>
      <c r="I220" s="552"/>
      <c r="J220" s="552"/>
      <c r="K220" s="552"/>
      <c r="L220" s="552"/>
      <c r="M220" s="552"/>
      <c r="N220" s="551"/>
      <c r="O220" s="551"/>
      <c r="P220" s="551"/>
      <c r="Q220" s="551"/>
      <c r="R220" s="551"/>
      <c r="S220" s="551"/>
      <c r="T220" s="551"/>
      <c r="U220" s="551"/>
      <c r="V220" s="551"/>
      <c r="W220" s="551"/>
      <c r="X220" s="551"/>
      <c r="Y220" s="551"/>
      <c r="Z220" s="551"/>
      <c r="AA220" s="551"/>
      <c r="AB220" s="551"/>
      <c r="AC220" s="551"/>
      <c r="AD220" s="551"/>
      <c r="AE220" s="551"/>
      <c r="AF220" s="551"/>
    </row>
    <row r="221">
      <c r="A221" s="552"/>
      <c r="B221" s="552"/>
      <c r="C221" s="552"/>
      <c r="D221" s="552"/>
      <c r="E221" s="552"/>
      <c r="F221" s="552"/>
      <c r="G221" s="552"/>
      <c r="H221" s="552"/>
      <c r="I221" s="552"/>
      <c r="J221" s="552"/>
      <c r="K221" s="552"/>
      <c r="L221" s="552"/>
      <c r="M221" s="552"/>
      <c r="N221" s="551"/>
      <c r="O221" s="551"/>
      <c r="P221" s="551"/>
      <c r="Q221" s="551"/>
      <c r="R221" s="551"/>
      <c r="S221" s="551"/>
      <c r="T221" s="551"/>
      <c r="U221" s="551"/>
      <c r="V221" s="551"/>
      <c r="W221" s="551"/>
      <c r="X221" s="551"/>
      <c r="Y221" s="551"/>
      <c r="Z221" s="551"/>
      <c r="AA221" s="551"/>
      <c r="AB221" s="551"/>
      <c r="AC221" s="551"/>
      <c r="AD221" s="551"/>
      <c r="AE221" s="551"/>
      <c r="AF221" s="551"/>
    </row>
    <row r="222">
      <c r="A222" s="552"/>
      <c r="B222" s="552"/>
      <c r="C222" s="552"/>
      <c r="D222" s="552"/>
      <c r="E222" s="552"/>
      <c r="F222" s="552"/>
      <c r="G222" s="552"/>
      <c r="H222" s="552"/>
      <c r="I222" s="552"/>
      <c r="J222" s="552"/>
      <c r="K222" s="552"/>
      <c r="L222" s="552"/>
      <c r="M222" s="552"/>
      <c r="N222" s="551"/>
      <c r="O222" s="551"/>
      <c r="P222" s="551"/>
      <c r="Q222" s="551"/>
      <c r="R222" s="551"/>
      <c r="S222" s="551"/>
      <c r="T222" s="551"/>
      <c r="U222" s="551"/>
      <c r="V222" s="551"/>
      <c r="W222" s="551"/>
      <c r="X222" s="551"/>
      <c r="Y222" s="551"/>
      <c r="Z222" s="551"/>
      <c r="AA222" s="551"/>
      <c r="AB222" s="551"/>
      <c r="AC222" s="551"/>
      <c r="AD222" s="551"/>
      <c r="AE222" s="551"/>
      <c r="AF222" s="551"/>
    </row>
    <row r="223">
      <c r="A223" s="552"/>
      <c r="B223" s="552"/>
      <c r="C223" s="552"/>
      <c r="D223" s="552"/>
      <c r="E223" s="552"/>
      <c r="F223" s="552"/>
      <c r="G223" s="552"/>
      <c r="H223" s="552"/>
      <c r="I223" s="552"/>
      <c r="J223" s="552"/>
      <c r="K223" s="552"/>
      <c r="L223" s="552"/>
      <c r="M223" s="552"/>
      <c r="N223" s="551"/>
      <c r="O223" s="551"/>
      <c r="P223" s="551"/>
      <c r="Q223" s="551"/>
      <c r="R223" s="551"/>
      <c r="S223" s="551"/>
      <c r="T223" s="551"/>
      <c r="U223" s="551"/>
      <c r="V223" s="551"/>
      <c r="W223" s="551"/>
      <c r="X223" s="551"/>
      <c r="Y223" s="551"/>
      <c r="Z223" s="551"/>
      <c r="AA223" s="551"/>
      <c r="AB223" s="551"/>
      <c r="AC223" s="551"/>
      <c r="AD223" s="551"/>
      <c r="AE223" s="551"/>
      <c r="AF223" s="551"/>
    </row>
    <row r="224">
      <c r="A224" s="552"/>
      <c r="B224" s="552"/>
      <c r="C224" s="552"/>
      <c r="D224" s="552"/>
      <c r="E224" s="552"/>
      <c r="F224" s="552"/>
      <c r="G224" s="552"/>
      <c r="H224" s="552"/>
      <c r="I224" s="552"/>
      <c r="J224" s="552"/>
      <c r="K224" s="552"/>
      <c r="L224" s="552"/>
      <c r="M224" s="552"/>
      <c r="N224" s="551"/>
      <c r="O224" s="551"/>
      <c r="P224" s="551"/>
      <c r="Q224" s="551"/>
      <c r="R224" s="551"/>
      <c r="S224" s="551"/>
      <c r="T224" s="551"/>
      <c r="U224" s="551"/>
      <c r="V224" s="551"/>
      <c r="W224" s="551"/>
      <c r="X224" s="551"/>
      <c r="Y224" s="551"/>
      <c r="Z224" s="551"/>
      <c r="AA224" s="551"/>
      <c r="AB224" s="551"/>
      <c r="AC224" s="551"/>
      <c r="AD224" s="551"/>
      <c r="AE224" s="551"/>
      <c r="AF224" s="551"/>
    </row>
    <row r="225">
      <c r="A225" s="552"/>
      <c r="B225" s="552"/>
      <c r="C225" s="552"/>
      <c r="D225" s="552"/>
      <c r="E225" s="552"/>
      <c r="F225" s="552"/>
      <c r="G225" s="552"/>
      <c r="H225" s="552"/>
      <c r="I225" s="552"/>
      <c r="J225" s="552"/>
      <c r="K225" s="552"/>
      <c r="L225" s="552"/>
      <c r="M225" s="552"/>
      <c r="N225" s="551"/>
      <c r="O225" s="551"/>
      <c r="P225" s="551"/>
      <c r="Q225" s="551"/>
      <c r="R225" s="551"/>
      <c r="S225" s="551"/>
      <c r="T225" s="551"/>
      <c r="U225" s="551"/>
      <c r="V225" s="551"/>
      <c r="W225" s="551"/>
      <c r="X225" s="551"/>
      <c r="Y225" s="551"/>
      <c r="Z225" s="551"/>
      <c r="AA225" s="551"/>
      <c r="AB225" s="551"/>
      <c r="AC225" s="551"/>
      <c r="AD225" s="551"/>
      <c r="AE225" s="551"/>
      <c r="AF225" s="551"/>
    </row>
    <row r="226">
      <c r="A226" s="552"/>
      <c r="B226" s="552"/>
      <c r="C226" s="552"/>
      <c r="D226" s="552"/>
      <c r="E226" s="552"/>
      <c r="F226" s="552"/>
      <c r="G226" s="552"/>
      <c r="H226" s="552"/>
      <c r="I226" s="552"/>
      <c r="J226" s="552"/>
      <c r="K226" s="552"/>
      <c r="L226" s="552"/>
      <c r="M226" s="552"/>
      <c r="N226" s="551"/>
      <c r="O226" s="551"/>
      <c r="P226" s="551"/>
      <c r="Q226" s="551"/>
      <c r="R226" s="551"/>
      <c r="S226" s="551"/>
      <c r="T226" s="551"/>
      <c r="U226" s="551"/>
      <c r="V226" s="551"/>
      <c r="W226" s="551"/>
      <c r="X226" s="551"/>
      <c r="Y226" s="551"/>
      <c r="Z226" s="551"/>
      <c r="AA226" s="551"/>
      <c r="AB226" s="551"/>
      <c r="AC226" s="551"/>
      <c r="AD226" s="551"/>
      <c r="AE226" s="551"/>
      <c r="AF226" s="551"/>
    </row>
    <row r="227">
      <c r="A227" s="552"/>
      <c r="B227" s="552"/>
      <c r="C227" s="552"/>
      <c r="D227" s="552"/>
      <c r="E227" s="552"/>
      <c r="F227" s="552"/>
      <c r="G227" s="552"/>
      <c r="H227" s="552"/>
      <c r="I227" s="552"/>
      <c r="J227" s="552"/>
      <c r="K227" s="552"/>
      <c r="L227" s="552"/>
      <c r="M227" s="552"/>
      <c r="N227" s="551"/>
      <c r="O227" s="551"/>
      <c r="P227" s="551"/>
      <c r="Q227" s="551"/>
      <c r="R227" s="551"/>
      <c r="S227" s="551"/>
      <c r="T227" s="551"/>
      <c r="U227" s="551"/>
      <c r="V227" s="551"/>
      <c r="W227" s="551"/>
      <c r="X227" s="551"/>
      <c r="Y227" s="551"/>
      <c r="Z227" s="551"/>
      <c r="AA227" s="551"/>
      <c r="AB227" s="551"/>
      <c r="AC227" s="551"/>
      <c r="AD227" s="551"/>
      <c r="AE227" s="551"/>
      <c r="AF227" s="551"/>
    </row>
    <row r="228">
      <c r="A228" s="552"/>
      <c r="B228" s="552"/>
      <c r="C228" s="552"/>
      <c r="D228" s="552"/>
      <c r="E228" s="552"/>
      <c r="F228" s="552"/>
      <c r="G228" s="552"/>
      <c r="H228" s="552"/>
      <c r="I228" s="552"/>
      <c r="J228" s="552"/>
      <c r="K228" s="552"/>
      <c r="L228" s="552"/>
      <c r="M228" s="552"/>
      <c r="N228" s="551"/>
      <c r="O228" s="551"/>
      <c r="P228" s="551"/>
      <c r="Q228" s="551"/>
      <c r="R228" s="551"/>
      <c r="S228" s="551"/>
      <c r="T228" s="551"/>
      <c r="U228" s="551"/>
      <c r="V228" s="551"/>
      <c r="W228" s="551"/>
      <c r="X228" s="551"/>
      <c r="Y228" s="551"/>
      <c r="Z228" s="551"/>
      <c r="AA228" s="551"/>
      <c r="AB228" s="551"/>
      <c r="AC228" s="551"/>
      <c r="AD228" s="551"/>
      <c r="AE228" s="551"/>
      <c r="AF228" s="551"/>
    </row>
    <row r="229">
      <c r="A229" s="552"/>
      <c r="B229" s="552"/>
      <c r="C229" s="552"/>
      <c r="D229" s="552"/>
      <c r="E229" s="552"/>
      <c r="F229" s="552"/>
      <c r="G229" s="552"/>
      <c r="H229" s="552"/>
      <c r="I229" s="552"/>
      <c r="J229" s="552"/>
      <c r="K229" s="552"/>
      <c r="L229" s="552"/>
      <c r="M229" s="552"/>
      <c r="N229" s="551"/>
      <c r="O229" s="551"/>
      <c r="P229" s="551"/>
      <c r="Q229" s="551"/>
      <c r="R229" s="551"/>
      <c r="S229" s="551"/>
      <c r="T229" s="551"/>
      <c r="U229" s="551"/>
      <c r="V229" s="551"/>
      <c r="W229" s="551"/>
      <c r="X229" s="551"/>
      <c r="Y229" s="551"/>
      <c r="Z229" s="551"/>
      <c r="AA229" s="551"/>
      <c r="AB229" s="551"/>
      <c r="AC229" s="551"/>
      <c r="AD229" s="551"/>
      <c r="AE229" s="551"/>
      <c r="AF229" s="551"/>
    </row>
    <row r="230">
      <c r="A230" s="552"/>
      <c r="B230" s="552"/>
      <c r="C230" s="552"/>
      <c r="D230" s="552"/>
      <c r="E230" s="552"/>
      <c r="F230" s="552"/>
      <c r="G230" s="552"/>
      <c r="H230" s="552"/>
      <c r="I230" s="552"/>
      <c r="J230" s="552"/>
      <c r="K230" s="552"/>
      <c r="L230" s="552"/>
      <c r="M230" s="552"/>
      <c r="N230" s="551"/>
      <c r="O230" s="551"/>
      <c r="P230" s="551"/>
      <c r="Q230" s="551"/>
      <c r="R230" s="551"/>
      <c r="S230" s="551"/>
      <c r="T230" s="551"/>
      <c r="U230" s="551"/>
      <c r="V230" s="551"/>
      <c r="W230" s="551"/>
      <c r="X230" s="551"/>
      <c r="Y230" s="551"/>
      <c r="Z230" s="551"/>
      <c r="AA230" s="551"/>
      <c r="AB230" s="551"/>
      <c r="AC230" s="551"/>
      <c r="AD230" s="551"/>
      <c r="AE230" s="551"/>
      <c r="AF230" s="551"/>
    </row>
    <row r="231">
      <c r="A231" s="552"/>
      <c r="B231" s="552"/>
      <c r="C231" s="552"/>
      <c r="D231" s="552"/>
      <c r="E231" s="552"/>
      <c r="F231" s="552"/>
      <c r="G231" s="552"/>
      <c r="H231" s="552"/>
      <c r="I231" s="552"/>
      <c r="J231" s="552"/>
      <c r="K231" s="552"/>
      <c r="L231" s="552"/>
      <c r="M231" s="552"/>
      <c r="N231" s="551"/>
      <c r="O231" s="551"/>
      <c r="P231" s="551"/>
      <c r="Q231" s="551"/>
      <c r="R231" s="551"/>
      <c r="S231" s="551"/>
      <c r="T231" s="551"/>
      <c r="U231" s="551"/>
      <c r="V231" s="551"/>
      <c r="W231" s="551"/>
      <c r="X231" s="551"/>
      <c r="Y231" s="551"/>
      <c r="Z231" s="551"/>
      <c r="AA231" s="551"/>
      <c r="AB231" s="551"/>
      <c r="AC231" s="551"/>
      <c r="AD231" s="551"/>
      <c r="AE231" s="551"/>
      <c r="AF231" s="551"/>
    </row>
    <row r="232">
      <c r="A232" s="552"/>
      <c r="B232" s="552"/>
      <c r="C232" s="552"/>
      <c r="D232" s="552"/>
      <c r="E232" s="552"/>
      <c r="F232" s="552"/>
      <c r="G232" s="552"/>
      <c r="H232" s="552"/>
      <c r="I232" s="552"/>
      <c r="J232" s="552"/>
      <c r="K232" s="552"/>
      <c r="L232" s="552"/>
      <c r="M232" s="552"/>
      <c r="N232" s="551"/>
      <c r="O232" s="551"/>
      <c r="P232" s="551"/>
      <c r="Q232" s="551"/>
      <c r="R232" s="551"/>
      <c r="S232" s="551"/>
      <c r="T232" s="551"/>
      <c r="U232" s="551"/>
      <c r="V232" s="551"/>
      <c r="W232" s="551"/>
      <c r="X232" s="551"/>
      <c r="Y232" s="551"/>
      <c r="Z232" s="551"/>
      <c r="AA232" s="551"/>
      <c r="AB232" s="551"/>
      <c r="AC232" s="551"/>
      <c r="AD232" s="551"/>
      <c r="AE232" s="551"/>
      <c r="AF232" s="551"/>
    </row>
    <row r="233">
      <c r="A233" s="552"/>
      <c r="B233" s="552"/>
      <c r="C233" s="552"/>
      <c r="D233" s="552"/>
      <c r="E233" s="552"/>
      <c r="F233" s="552"/>
      <c r="G233" s="552"/>
      <c r="H233" s="552"/>
      <c r="I233" s="552"/>
      <c r="J233" s="552"/>
      <c r="K233" s="552"/>
      <c r="L233" s="552"/>
      <c r="M233" s="552"/>
      <c r="N233" s="551"/>
      <c r="O233" s="551"/>
      <c r="P233" s="551"/>
      <c r="Q233" s="551"/>
      <c r="R233" s="551"/>
      <c r="S233" s="551"/>
      <c r="T233" s="551"/>
      <c r="U233" s="551"/>
      <c r="V233" s="551"/>
      <c r="W233" s="551"/>
      <c r="X233" s="551"/>
      <c r="Y233" s="551"/>
      <c r="Z233" s="551"/>
      <c r="AA233" s="551"/>
      <c r="AB233" s="551"/>
      <c r="AC233" s="551"/>
      <c r="AD233" s="551"/>
      <c r="AE233" s="551"/>
      <c r="AF233" s="551"/>
    </row>
    <row r="234">
      <c r="A234" s="552"/>
      <c r="B234" s="552"/>
      <c r="C234" s="552"/>
      <c r="D234" s="552"/>
      <c r="E234" s="552"/>
      <c r="F234" s="552"/>
      <c r="G234" s="552"/>
      <c r="H234" s="552"/>
      <c r="I234" s="552"/>
      <c r="J234" s="552"/>
      <c r="K234" s="552"/>
      <c r="L234" s="552"/>
      <c r="M234" s="552"/>
      <c r="N234" s="551"/>
      <c r="O234" s="551"/>
      <c r="P234" s="551"/>
      <c r="Q234" s="551"/>
      <c r="R234" s="551"/>
      <c r="S234" s="551"/>
      <c r="T234" s="551"/>
      <c r="U234" s="551"/>
      <c r="V234" s="551"/>
      <c r="W234" s="551"/>
      <c r="X234" s="551"/>
      <c r="Y234" s="551"/>
      <c r="Z234" s="551"/>
      <c r="AA234" s="551"/>
      <c r="AB234" s="551"/>
      <c r="AC234" s="551"/>
      <c r="AD234" s="551"/>
      <c r="AE234" s="551"/>
      <c r="AF234" s="551"/>
    </row>
    <row r="235">
      <c r="A235" s="552"/>
      <c r="B235" s="552"/>
      <c r="C235" s="552"/>
      <c r="D235" s="552"/>
      <c r="E235" s="552"/>
      <c r="F235" s="552"/>
      <c r="G235" s="552"/>
      <c r="H235" s="552"/>
      <c r="I235" s="552"/>
      <c r="J235" s="552"/>
      <c r="K235" s="552"/>
      <c r="L235" s="552"/>
      <c r="M235" s="552"/>
      <c r="N235" s="551"/>
      <c r="O235" s="551"/>
      <c r="P235" s="551"/>
      <c r="Q235" s="551"/>
      <c r="R235" s="551"/>
      <c r="S235" s="551"/>
      <c r="T235" s="551"/>
      <c r="U235" s="551"/>
      <c r="V235" s="551"/>
      <c r="W235" s="551"/>
      <c r="X235" s="551"/>
      <c r="Y235" s="551"/>
      <c r="Z235" s="551"/>
      <c r="AA235" s="551"/>
      <c r="AB235" s="551"/>
      <c r="AC235" s="551"/>
      <c r="AD235" s="551"/>
      <c r="AE235" s="551"/>
      <c r="AF235" s="551"/>
    </row>
    <row r="236">
      <c r="A236" s="552"/>
      <c r="B236" s="552"/>
      <c r="C236" s="552"/>
      <c r="D236" s="552"/>
      <c r="E236" s="552"/>
      <c r="F236" s="552"/>
      <c r="G236" s="552"/>
      <c r="H236" s="552"/>
      <c r="I236" s="552"/>
      <c r="J236" s="552"/>
      <c r="K236" s="552"/>
      <c r="L236" s="552"/>
      <c r="M236" s="552"/>
      <c r="N236" s="551"/>
      <c r="O236" s="551"/>
      <c r="P236" s="551"/>
      <c r="Q236" s="551"/>
      <c r="R236" s="551"/>
      <c r="S236" s="551"/>
      <c r="T236" s="551"/>
      <c r="U236" s="551"/>
      <c r="V236" s="551"/>
      <c r="W236" s="551"/>
      <c r="X236" s="551"/>
      <c r="Y236" s="551"/>
      <c r="Z236" s="551"/>
      <c r="AA236" s="551"/>
      <c r="AB236" s="551"/>
      <c r="AC236" s="551"/>
      <c r="AD236" s="551"/>
      <c r="AE236" s="551"/>
      <c r="AF236" s="551"/>
    </row>
    <row r="237">
      <c r="A237" s="552"/>
      <c r="B237" s="552"/>
      <c r="C237" s="552"/>
      <c r="D237" s="552"/>
      <c r="E237" s="552"/>
      <c r="F237" s="552"/>
      <c r="G237" s="552"/>
      <c r="H237" s="552"/>
      <c r="I237" s="552"/>
      <c r="J237" s="552"/>
      <c r="K237" s="552"/>
      <c r="L237" s="552"/>
      <c r="M237" s="552"/>
      <c r="N237" s="551"/>
      <c r="O237" s="551"/>
      <c r="P237" s="551"/>
      <c r="Q237" s="551"/>
      <c r="R237" s="551"/>
      <c r="S237" s="551"/>
      <c r="T237" s="551"/>
      <c r="U237" s="551"/>
      <c r="V237" s="551"/>
      <c r="W237" s="551"/>
      <c r="X237" s="551"/>
      <c r="Y237" s="551"/>
      <c r="Z237" s="551"/>
      <c r="AA237" s="551"/>
      <c r="AB237" s="551"/>
      <c r="AC237" s="551"/>
      <c r="AD237" s="551"/>
      <c r="AE237" s="551"/>
      <c r="AF237" s="551"/>
    </row>
    <row r="238">
      <c r="A238" s="552"/>
      <c r="B238" s="552"/>
      <c r="C238" s="552"/>
      <c r="D238" s="552"/>
      <c r="E238" s="552"/>
      <c r="F238" s="552"/>
      <c r="G238" s="552"/>
      <c r="H238" s="552"/>
      <c r="I238" s="552"/>
      <c r="J238" s="552"/>
      <c r="K238" s="552"/>
      <c r="L238" s="552"/>
      <c r="M238" s="552"/>
      <c r="N238" s="551"/>
      <c r="O238" s="551"/>
      <c r="P238" s="551"/>
      <c r="Q238" s="551"/>
      <c r="R238" s="551"/>
      <c r="S238" s="551"/>
      <c r="T238" s="551"/>
      <c r="U238" s="551"/>
      <c r="V238" s="551"/>
      <c r="W238" s="551"/>
      <c r="X238" s="551"/>
      <c r="Y238" s="551"/>
      <c r="Z238" s="551"/>
      <c r="AA238" s="551"/>
      <c r="AB238" s="551"/>
      <c r="AC238" s="551"/>
      <c r="AD238" s="551"/>
      <c r="AE238" s="551"/>
      <c r="AF238" s="551"/>
    </row>
    <row r="239">
      <c r="A239" s="552"/>
      <c r="B239" s="552"/>
      <c r="C239" s="552"/>
      <c r="D239" s="552"/>
      <c r="E239" s="552"/>
      <c r="F239" s="552"/>
      <c r="G239" s="552"/>
      <c r="H239" s="552"/>
      <c r="I239" s="552"/>
      <c r="J239" s="552"/>
      <c r="K239" s="552"/>
      <c r="L239" s="552"/>
      <c r="M239" s="552"/>
      <c r="N239" s="551"/>
      <c r="O239" s="551"/>
      <c r="P239" s="551"/>
      <c r="Q239" s="551"/>
      <c r="R239" s="551"/>
      <c r="S239" s="551"/>
      <c r="T239" s="551"/>
      <c r="U239" s="551"/>
      <c r="V239" s="551"/>
      <c r="W239" s="551"/>
      <c r="X239" s="551"/>
      <c r="Y239" s="551"/>
      <c r="Z239" s="551"/>
      <c r="AA239" s="551"/>
      <c r="AB239" s="551"/>
      <c r="AC239" s="551"/>
      <c r="AD239" s="551"/>
      <c r="AE239" s="551"/>
      <c r="AF239" s="551"/>
    </row>
    <row r="240">
      <c r="A240" s="552"/>
      <c r="B240" s="552"/>
      <c r="C240" s="552"/>
      <c r="D240" s="552"/>
      <c r="E240" s="552"/>
      <c r="F240" s="552"/>
      <c r="G240" s="552"/>
      <c r="H240" s="552"/>
      <c r="I240" s="552"/>
      <c r="J240" s="552"/>
      <c r="K240" s="552"/>
      <c r="L240" s="552"/>
      <c r="M240" s="552"/>
      <c r="N240" s="551"/>
      <c r="O240" s="551"/>
      <c r="P240" s="551"/>
      <c r="Q240" s="551"/>
      <c r="R240" s="551"/>
      <c r="S240" s="551"/>
      <c r="T240" s="551"/>
      <c r="U240" s="551"/>
      <c r="V240" s="551"/>
      <c r="W240" s="551"/>
      <c r="X240" s="551"/>
      <c r="Y240" s="551"/>
      <c r="Z240" s="551"/>
      <c r="AA240" s="551"/>
      <c r="AB240" s="551"/>
      <c r="AC240" s="551"/>
      <c r="AD240" s="551"/>
      <c r="AE240" s="551"/>
      <c r="AF240" s="551"/>
    </row>
    <row r="241">
      <c r="A241" s="552"/>
      <c r="B241" s="552"/>
      <c r="C241" s="552"/>
      <c r="D241" s="552"/>
      <c r="E241" s="552"/>
      <c r="F241" s="552"/>
      <c r="G241" s="552"/>
      <c r="H241" s="552"/>
      <c r="I241" s="552"/>
      <c r="J241" s="552"/>
      <c r="K241" s="552"/>
      <c r="L241" s="552"/>
      <c r="M241" s="552"/>
      <c r="N241" s="551"/>
      <c r="O241" s="551"/>
      <c r="P241" s="551"/>
      <c r="Q241" s="551"/>
      <c r="R241" s="551"/>
      <c r="S241" s="551"/>
      <c r="T241" s="551"/>
      <c r="U241" s="551"/>
      <c r="V241" s="551"/>
      <c r="W241" s="551"/>
      <c r="X241" s="551"/>
      <c r="Y241" s="551"/>
      <c r="Z241" s="551"/>
      <c r="AA241" s="551"/>
      <c r="AB241" s="551"/>
      <c r="AC241" s="551"/>
      <c r="AD241" s="551"/>
      <c r="AE241" s="551"/>
      <c r="AF241" s="551"/>
    </row>
    <row r="242">
      <c r="A242" s="552"/>
      <c r="B242" s="552"/>
      <c r="C242" s="552"/>
      <c r="D242" s="552"/>
      <c r="E242" s="552"/>
      <c r="F242" s="552"/>
      <c r="G242" s="552"/>
      <c r="H242" s="552"/>
      <c r="I242" s="552"/>
      <c r="J242" s="552"/>
      <c r="K242" s="552"/>
      <c r="L242" s="552"/>
      <c r="M242" s="552"/>
      <c r="N242" s="551"/>
      <c r="O242" s="551"/>
      <c r="P242" s="551"/>
      <c r="Q242" s="551"/>
      <c r="R242" s="551"/>
      <c r="S242" s="551"/>
      <c r="T242" s="551"/>
      <c r="U242" s="551"/>
      <c r="V242" s="551"/>
      <c r="W242" s="551"/>
      <c r="X242" s="551"/>
      <c r="Y242" s="551"/>
      <c r="Z242" s="551"/>
      <c r="AA242" s="551"/>
      <c r="AB242" s="551"/>
      <c r="AC242" s="551"/>
      <c r="AD242" s="551"/>
      <c r="AE242" s="551"/>
      <c r="AF242" s="551"/>
    </row>
    <row r="243">
      <c r="A243" s="552"/>
      <c r="B243" s="552"/>
      <c r="C243" s="552"/>
      <c r="D243" s="552"/>
      <c r="E243" s="552"/>
      <c r="F243" s="552"/>
      <c r="G243" s="552"/>
      <c r="H243" s="552"/>
      <c r="I243" s="552"/>
      <c r="J243" s="552"/>
      <c r="K243" s="552"/>
      <c r="L243" s="552"/>
      <c r="M243" s="552"/>
      <c r="N243" s="551"/>
      <c r="O243" s="551"/>
      <c r="P243" s="551"/>
      <c r="Q243" s="551"/>
      <c r="R243" s="551"/>
      <c r="S243" s="551"/>
      <c r="T243" s="551"/>
      <c r="U243" s="551"/>
      <c r="V243" s="551"/>
      <c r="W243" s="551"/>
      <c r="X243" s="551"/>
      <c r="Y243" s="551"/>
      <c r="Z243" s="551"/>
      <c r="AA243" s="551"/>
      <c r="AB243" s="551"/>
      <c r="AC243" s="551"/>
      <c r="AD243" s="551"/>
      <c r="AE243" s="551"/>
      <c r="AF243" s="551"/>
    </row>
    <row r="244">
      <c r="A244" s="552"/>
      <c r="B244" s="552"/>
      <c r="C244" s="552"/>
      <c r="D244" s="552"/>
      <c r="E244" s="552"/>
      <c r="F244" s="552"/>
      <c r="G244" s="552"/>
      <c r="H244" s="552"/>
      <c r="I244" s="552"/>
      <c r="J244" s="552"/>
      <c r="K244" s="552"/>
      <c r="L244" s="552"/>
      <c r="M244" s="552"/>
      <c r="N244" s="551"/>
      <c r="O244" s="551"/>
      <c r="P244" s="551"/>
      <c r="Q244" s="551"/>
      <c r="R244" s="551"/>
      <c r="S244" s="551"/>
      <c r="T244" s="551"/>
      <c r="U244" s="551"/>
      <c r="V244" s="551"/>
      <c r="W244" s="551"/>
      <c r="X244" s="551"/>
      <c r="Y244" s="551"/>
      <c r="Z244" s="551"/>
      <c r="AA244" s="551"/>
      <c r="AB244" s="551"/>
      <c r="AC244" s="551"/>
      <c r="AD244" s="551"/>
      <c r="AE244" s="551"/>
      <c r="AF244" s="551"/>
    </row>
    <row r="245">
      <c r="A245" s="552"/>
      <c r="B245" s="552"/>
      <c r="C245" s="552"/>
      <c r="D245" s="552"/>
      <c r="E245" s="552"/>
      <c r="F245" s="552"/>
      <c r="G245" s="552"/>
      <c r="H245" s="552"/>
      <c r="I245" s="552"/>
      <c r="J245" s="552"/>
      <c r="K245" s="552"/>
      <c r="L245" s="552"/>
      <c r="M245" s="552"/>
      <c r="N245" s="551"/>
      <c r="O245" s="551"/>
      <c r="P245" s="551"/>
      <c r="Q245" s="551"/>
      <c r="R245" s="551"/>
      <c r="S245" s="551"/>
      <c r="T245" s="551"/>
      <c r="U245" s="551"/>
      <c r="V245" s="551"/>
      <c r="W245" s="551"/>
      <c r="X245" s="551"/>
      <c r="Y245" s="551"/>
      <c r="Z245" s="551"/>
      <c r="AA245" s="551"/>
      <c r="AB245" s="551"/>
      <c r="AC245" s="551"/>
      <c r="AD245" s="551"/>
      <c r="AE245" s="551"/>
      <c r="AF245" s="551"/>
    </row>
    <row r="246">
      <c r="A246" s="552"/>
      <c r="B246" s="552"/>
      <c r="C246" s="552"/>
      <c r="D246" s="552"/>
      <c r="E246" s="552"/>
      <c r="F246" s="552"/>
      <c r="G246" s="552"/>
      <c r="H246" s="552"/>
      <c r="I246" s="552"/>
      <c r="J246" s="552"/>
      <c r="K246" s="552"/>
      <c r="L246" s="552"/>
      <c r="M246" s="552"/>
      <c r="N246" s="551"/>
      <c r="O246" s="551"/>
      <c r="P246" s="551"/>
      <c r="Q246" s="551"/>
      <c r="R246" s="551"/>
      <c r="S246" s="551"/>
      <c r="T246" s="551"/>
      <c r="U246" s="551"/>
      <c r="V246" s="551"/>
      <c r="W246" s="551"/>
      <c r="X246" s="551"/>
      <c r="Y246" s="551"/>
      <c r="Z246" s="551"/>
      <c r="AA246" s="551"/>
      <c r="AB246" s="551"/>
      <c r="AC246" s="551"/>
      <c r="AD246" s="551"/>
      <c r="AE246" s="551"/>
      <c r="AF246" s="551"/>
    </row>
    <row r="247">
      <c r="A247" s="552"/>
      <c r="B247" s="552"/>
      <c r="C247" s="552"/>
      <c r="D247" s="552"/>
      <c r="E247" s="552"/>
      <c r="F247" s="552"/>
      <c r="G247" s="552"/>
      <c r="H247" s="552"/>
      <c r="I247" s="552"/>
      <c r="J247" s="552"/>
      <c r="K247" s="552"/>
      <c r="L247" s="552"/>
      <c r="M247" s="552"/>
      <c r="N247" s="551"/>
      <c r="O247" s="551"/>
      <c r="P247" s="551"/>
      <c r="Q247" s="551"/>
      <c r="R247" s="551"/>
      <c r="S247" s="551"/>
      <c r="T247" s="551"/>
      <c r="U247" s="551"/>
      <c r="V247" s="551"/>
      <c r="W247" s="551"/>
      <c r="X247" s="551"/>
      <c r="Y247" s="551"/>
      <c r="Z247" s="551"/>
      <c r="AA247" s="551"/>
      <c r="AB247" s="551"/>
      <c r="AC247" s="551"/>
      <c r="AD247" s="551"/>
      <c r="AE247" s="551"/>
      <c r="AF247" s="551"/>
    </row>
    <row r="248">
      <c r="A248" s="552"/>
      <c r="B248" s="552"/>
      <c r="C248" s="552"/>
      <c r="D248" s="552"/>
      <c r="E248" s="552"/>
      <c r="F248" s="552"/>
      <c r="G248" s="552"/>
      <c r="H248" s="552"/>
      <c r="I248" s="552"/>
      <c r="J248" s="552"/>
      <c r="K248" s="552"/>
      <c r="L248" s="552"/>
      <c r="M248" s="552"/>
      <c r="N248" s="551"/>
      <c r="O248" s="551"/>
      <c r="P248" s="551"/>
      <c r="Q248" s="551"/>
      <c r="R248" s="551"/>
      <c r="S248" s="551"/>
      <c r="T248" s="551"/>
      <c r="U248" s="551"/>
      <c r="V248" s="551"/>
      <c r="W248" s="551"/>
      <c r="X248" s="551"/>
      <c r="Y248" s="551"/>
      <c r="Z248" s="551"/>
      <c r="AA248" s="551"/>
      <c r="AB248" s="551"/>
      <c r="AC248" s="551"/>
      <c r="AD248" s="551"/>
      <c r="AE248" s="551"/>
      <c r="AF248" s="551"/>
    </row>
    <row r="249">
      <c r="A249" s="552"/>
      <c r="B249" s="552"/>
      <c r="C249" s="552"/>
      <c r="D249" s="552"/>
      <c r="E249" s="552"/>
      <c r="F249" s="552"/>
      <c r="G249" s="552"/>
      <c r="H249" s="552"/>
      <c r="I249" s="552"/>
      <c r="J249" s="552"/>
      <c r="K249" s="552"/>
      <c r="L249" s="552"/>
      <c r="M249" s="552"/>
      <c r="N249" s="551"/>
      <c r="O249" s="551"/>
      <c r="P249" s="551"/>
      <c r="Q249" s="551"/>
      <c r="R249" s="551"/>
      <c r="S249" s="551"/>
      <c r="T249" s="551"/>
      <c r="U249" s="551"/>
      <c r="V249" s="551"/>
      <c r="W249" s="551"/>
      <c r="X249" s="551"/>
      <c r="Y249" s="551"/>
      <c r="Z249" s="551"/>
      <c r="AA249" s="551"/>
      <c r="AB249" s="551"/>
      <c r="AC249" s="551"/>
      <c r="AD249" s="551"/>
      <c r="AE249" s="551"/>
      <c r="AF249" s="551"/>
    </row>
    <row r="250">
      <c r="A250" s="552"/>
      <c r="B250" s="552"/>
      <c r="C250" s="552"/>
      <c r="D250" s="552"/>
      <c r="E250" s="552"/>
      <c r="F250" s="552"/>
      <c r="G250" s="552"/>
      <c r="H250" s="552"/>
      <c r="I250" s="552"/>
      <c r="J250" s="552"/>
      <c r="K250" s="552"/>
      <c r="L250" s="552"/>
      <c r="M250" s="552"/>
      <c r="N250" s="551"/>
      <c r="O250" s="551"/>
      <c r="P250" s="551"/>
      <c r="Q250" s="551"/>
      <c r="R250" s="551"/>
      <c r="S250" s="551"/>
      <c r="T250" s="551"/>
      <c r="U250" s="551"/>
      <c r="V250" s="551"/>
      <c r="W250" s="551"/>
      <c r="X250" s="551"/>
      <c r="Y250" s="551"/>
      <c r="Z250" s="551"/>
      <c r="AA250" s="551"/>
      <c r="AB250" s="551"/>
      <c r="AC250" s="551"/>
      <c r="AD250" s="551"/>
      <c r="AE250" s="551"/>
      <c r="AF250" s="551"/>
    </row>
    <row r="251">
      <c r="A251" s="552"/>
      <c r="B251" s="552"/>
      <c r="C251" s="552"/>
      <c r="D251" s="552"/>
      <c r="E251" s="552"/>
      <c r="F251" s="552"/>
      <c r="G251" s="552"/>
      <c r="H251" s="552"/>
      <c r="I251" s="552"/>
      <c r="J251" s="552"/>
      <c r="K251" s="552"/>
      <c r="L251" s="552"/>
      <c r="M251" s="552"/>
      <c r="N251" s="551"/>
      <c r="O251" s="551"/>
      <c r="P251" s="551"/>
      <c r="Q251" s="551"/>
      <c r="R251" s="551"/>
      <c r="S251" s="551"/>
      <c r="T251" s="551"/>
      <c r="U251" s="551"/>
      <c r="V251" s="551"/>
      <c r="W251" s="551"/>
      <c r="X251" s="551"/>
      <c r="Y251" s="551"/>
      <c r="Z251" s="551"/>
      <c r="AA251" s="551"/>
      <c r="AB251" s="551"/>
      <c r="AC251" s="551"/>
      <c r="AD251" s="551"/>
      <c r="AE251" s="551"/>
      <c r="AF251" s="551"/>
    </row>
    <row r="252">
      <c r="A252" s="552"/>
      <c r="B252" s="552"/>
      <c r="C252" s="552"/>
      <c r="D252" s="552"/>
      <c r="E252" s="552"/>
      <c r="F252" s="552"/>
      <c r="G252" s="552"/>
      <c r="H252" s="552"/>
      <c r="I252" s="552"/>
      <c r="J252" s="552"/>
      <c r="K252" s="552"/>
      <c r="L252" s="552"/>
      <c r="M252" s="552"/>
      <c r="N252" s="551"/>
      <c r="O252" s="551"/>
      <c r="P252" s="551"/>
      <c r="Q252" s="551"/>
      <c r="R252" s="551"/>
      <c r="S252" s="551"/>
      <c r="T252" s="551"/>
      <c r="U252" s="551"/>
      <c r="V252" s="551"/>
      <c r="W252" s="551"/>
      <c r="X252" s="551"/>
      <c r="Y252" s="551"/>
      <c r="Z252" s="551"/>
      <c r="AA252" s="551"/>
      <c r="AB252" s="551"/>
      <c r="AC252" s="551"/>
      <c r="AD252" s="551"/>
      <c r="AE252" s="551"/>
      <c r="AF252" s="551"/>
    </row>
    <row r="253">
      <c r="A253" s="552"/>
      <c r="B253" s="552"/>
      <c r="C253" s="552"/>
      <c r="D253" s="552"/>
      <c r="E253" s="552"/>
      <c r="F253" s="552"/>
      <c r="G253" s="552"/>
      <c r="H253" s="552"/>
      <c r="I253" s="552"/>
      <c r="J253" s="552"/>
      <c r="K253" s="552"/>
      <c r="L253" s="552"/>
      <c r="M253" s="552"/>
      <c r="N253" s="551"/>
      <c r="O253" s="551"/>
      <c r="P253" s="551"/>
      <c r="Q253" s="551"/>
      <c r="R253" s="551"/>
      <c r="S253" s="551"/>
      <c r="T253" s="551"/>
      <c r="U253" s="551"/>
      <c r="V253" s="551"/>
      <c r="W253" s="551"/>
      <c r="X253" s="551"/>
      <c r="Y253" s="551"/>
      <c r="Z253" s="551"/>
      <c r="AA253" s="551"/>
      <c r="AB253" s="551"/>
      <c r="AC253" s="551"/>
      <c r="AD253" s="551"/>
      <c r="AE253" s="551"/>
      <c r="AF253" s="551"/>
    </row>
    <row r="254">
      <c r="A254" s="552"/>
      <c r="B254" s="552"/>
      <c r="C254" s="552"/>
      <c r="D254" s="552"/>
      <c r="E254" s="552"/>
      <c r="F254" s="552"/>
      <c r="G254" s="552"/>
      <c r="H254" s="552"/>
      <c r="I254" s="552"/>
      <c r="J254" s="552"/>
      <c r="K254" s="552"/>
      <c r="L254" s="552"/>
      <c r="M254" s="552"/>
      <c r="N254" s="551"/>
      <c r="O254" s="551"/>
      <c r="P254" s="551"/>
      <c r="Q254" s="551"/>
      <c r="R254" s="551"/>
      <c r="S254" s="551"/>
      <c r="T254" s="551"/>
      <c r="U254" s="551"/>
      <c r="V254" s="551"/>
      <c r="W254" s="551"/>
      <c r="X254" s="551"/>
      <c r="Y254" s="551"/>
      <c r="Z254" s="551"/>
      <c r="AA254" s="551"/>
      <c r="AB254" s="551"/>
      <c r="AC254" s="551"/>
      <c r="AD254" s="551"/>
      <c r="AE254" s="551"/>
      <c r="AF254" s="551"/>
    </row>
    <row r="255">
      <c r="A255" s="552"/>
      <c r="B255" s="552"/>
      <c r="C255" s="552"/>
      <c r="D255" s="552"/>
      <c r="E255" s="552"/>
      <c r="F255" s="552"/>
      <c r="G255" s="552"/>
      <c r="H255" s="552"/>
      <c r="I255" s="552"/>
      <c r="J255" s="552"/>
      <c r="K255" s="552"/>
      <c r="L255" s="552"/>
      <c r="M255" s="552"/>
      <c r="N255" s="551"/>
      <c r="O255" s="551"/>
      <c r="P255" s="551"/>
      <c r="Q255" s="551"/>
      <c r="R255" s="551"/>
      <c r="S255" s="551"/>
      <c r="T255" s="551"/>
      <c r="U255" s="551"/>
      <c r="V255" s="551"/>
      <c r="W255" s="551"/>
      <c r="X255" s="551"/>
      <c r="Y255" s="551"/>
      <c r="Z255" s="551"/>
      <c r="AA255" s="551"/>
      <c r="AB255" s="551"/>
      <c r="AC255" s="551"/>
      <c r="AD255" s="551"/>
      <c r="AE255" s="551"/>
      <c r="AF255" s="551"/>
    </row>
    <row r="256">
      <c r="A256" s="552"/>
      <c r="B256" s="552"/>
      <c r="C256" s="552"/>
      <c r="D256" s="552"/>
      <c r="E256" s="552"/>
      <c r="F256" s="552"/>
      <c r="G256" s="552"/>
      <c r="H256" s="552"/>
      <c r="I256" s="552"/>
      <c r="J256" s="552"/>
      <c r="K256" s="552"/>
      <c r="L256" s="552"/>
      <c r="M256" s="552"/>
      <c r="N256" s="551"/>
      <c r="O256" s="551"/>
      <c r="P256" s="551"/>
      <c r="Q256" s="551"/>
      <c r="R256" s="551"/>
      <c r="S256" s="551"/>
      <c r="T256" s="551"/>
      <c r="U256" s="551"/>
      <c r="V256" s="551"/>
      <c r="W256" s="551"/>
      <c r="X256" s="551"/>
      <c r="Y256" s="551"/>
      <c r="Z256" s="551"/>
      <c r="AA256" s="551"/>
      <c r="AB256" s="551"/>
      <c r="AC256" s="551"/>
      <c r="AD256" s="551"/>
      <c r="AE256" s="551"/>
      <c r="AF256" s="551"/>
    </row>
    <row r="257">
      <c r="A257" s="552"/>
      <c r="B257" s="552"/>
      <c r="C257" s="552"/>
      <c r="D257" s="552"/>
      <c r="E257" s="552"/>
      <c r="F257" s="552"/>
      <c r="G257" s="552"/>
      <c r="H257" s="552"/>
      <c r="I257" s="552"/>
      <c r="J257" s="552"/>
      <c r="K257" s="552"/>
      <c r="L257" s="552"/>
      <c r="M257" s="552"/>
      <c r="N257" s="551"/>
      <c r="O257" s="551"/>
      <c r="P257" s="551"/>
      <c r="Q257" s="551"/>
      <c r="R257" s="551"/>
      <c r="S257" s="551"/>
      <c r="T257" s="551"/>
      <c r="U257" s="551"/>
      <c r="V257" s="551"/>
      <c r="W257" s="551"/>
      <c r="X257" s="551"/>
      <c r="Y257" s="551"/>
      <c r="Z257" s="551"/>
      <c r="AA257" s="551"/>
      <c r="AB257" s="551"/>
      <c r="AC257" s="551"/>
      <c r="AD257" s="551"/>
      <c r="AE257" s="551"/>
      <c r="AF257" s="551"/>
    </row>
    <row r="258">
      <c r="A258" s="552"/>
      <c r="B258" s="552"/>
      <c r="C258" s="552"/>
      <c r="D258" s="552"/>
      <c r="E258" s="552"/>
      <c r="F258" s="552"/>
      <c r="G258" s="552"/>
      <c r="H258" s="552"/>
      <c r="I258" s="552"/>
      <c r="J258" s="552"/>
      <c r="K258" s="552"/>
      <c r="L258" s="552"/>
      <c r="M258" s="552"/>
      <c r="N258" s="551"/>
      <c r="O258" s="551"/>
      <c r="P258" s="551"/>
      <c r="Q258" s="551"/>
      <c r="R258" s="551"/>
      <c r="S258" s="551"/>
      <c r="T258" s="551"/>
      <c r="U258" s="551"/>
      <c r="V258" s="551"/>
      <c r="W258" s="551"/>
      <c r="X258" s="551"/>
      <c r="Y258" s="551"/>
      <c r="Z258" s="551"/>
      <c r="AA258" s="551"/>
      <c r="AB258" s="551"/>
      <c r="AC258" s="551"/>
      <c r="AD258" s="551"/>
      <c r="AE258" s="551"/>
      <c r="AF258" s="551"/>
    </row>
    <row r="259">
      <c r="A259" s="552"/>
      <c r="B259" s="552"/>
      <c r="C259" s="552"/>
      <c r="D259" s="552"/>
      <c r="E259" s="552"/>
      <c r="F259" s="552"/>
      <c r="G259" s="552"/>
      <c r="H259" s="552"/>
      <c r="I259" s="552"/>
      <c r="J259" s="552"/>
      <c r="K259" s="552"/>
      <c r="L259" s="552"/>
      <c r="M259" s="552"/>
      <c r="N259" s="551"/>
      <c r="O259" s="551"/>
      <c r="P259" s="551"/>
      <c r="Q259" s="551"/>
      <c r="R259" s="551"/>
      <c r="S259" s="551"/>
      <c r="T259" s="551"/>
      <c r="U259" s="551"/>
      <c r="V259" s="551"/>
      <c r="W259" s="551"/>
      <c r="X259" s="551"/>
      <c r="Y259" s="551"/>
      <c r="Z259" s="551"/>
      <c r="AA259" s="551"/>
      <c r="AB259" s="551"/>
      <c r="AC259" s="551"/>
      <c r="AD259" s="551"/>
      <c r="AE259" s="551"/>
      <c r="AF259" s="551"/>
    </row>
    <row r="260">
      <c r="A260" s="552"/>
      <c r="B260" s="552"/>
      <c r="C260" s="552"/>
      <c r="D260" s="552"/>
      <c r="E260" s="552"/>
      <c r="F260" s="552"/>
      <c r="G260" s="552"/>
      <c r="H260" s="552"/>
      <c r="I260" s="552"/>
      <c r="J260" s="552"/>
      <c r="K260" s="552"/>
      <c r="L260" s="552"/>
      <c r="M260" s="552"/>
      <c r="N260" s="551"/>
      <c r="O260" s="551"/>
      <c r="P260" s="551"/>
      <c r="Q260" s="551"/>
      <c r="R260" s="551"/>
      <c r="S260" s="551"/>
      <c r="T260" s="551"/>
      <c r="U260" s="551"/>
      <c r="V260" s="551"/>
      <c r="W260" s="551"/>
      <c r="X260" s="551"/>
      <c r="Y260" s="551"/>
      <c r="Z260" s="551"/>
      <c r="AA260" s="551"/>
      <c r="AB260" s="551"/>
      <c r="AC260" s="551"/>
      <c r="AD260" s="551"/>
      <c r="AE260" s="551"/>
      <c r="AF260" s="551"/>
    </row>
    <row r="261">
      <c r="A261" s="552"/>
      <c r="B261" s="552"/>
      <c r="C261" s="552"/>
      <c r="D261" s="552"/>
      <c r="E261" s="552"/>
      <c r="F261" s="552"/>
      <c r="G261" s="552"/>
      <c r="H261" s="552"/>
      <c r="I261" s="552"/>
      <c r="J261" s="552"/>
      <c r="K261" s="552"/>
      <c r="L261" s="552"/>
      <c r="M261" s="552"/>
      <c r="N261" s="551"/>
      <c r="O261" s="551"/>
      <c r="P261" s="551"/>
      <c r="Q261" s="551"/>
      <c r="R261" s="551"/>
      <c r="S261" s="551"/>
      <c r="T261" s="551"/>
      <c r="U261" s="551"/>
      <c r="V261" s="551"/>
      <c r="W261" s="551"/>
      <c r="X261" s="551"/>
      <c r="Y261" s="551"/>
      <c r="Z261" s="551"/>
      <c r="AA261" s="551"/>
      <c r="AB261" s="551"/>
      <c r="AC261" s="551"/>
      <c r="AD261" s="551"/>
      <c r="AE261" s="551"/>
      <c r="AF261" s="551"/>
    </row>
    <row r="262">
      <c r="A262" s="552"/>
      <c r="B262" s="552"/>
      <c r="C262" s="552"/>
      <c r="D262" s="552"/>
      <c r="E262" s="552"/>
      <c r="F262" s="552"/>
      <c r="G262" s="552"/>
      <c r="H262" s="552"/>
      <c r="I262" s="552"/>
      <c r="J262" s="552"/>
      <c r="K262" s="552"/>
      <c r="L262" s="552"/>
      <c r="M262" s="552"/>
      <c r="N262" s="551"/>
      <c r="O262" s="551"/>
      <c r="P262" s="551"/>
      <c r="Q262" s="551"/>
      <c r="R262" s="551"/>
      <c r="S262" s="551"/>
      <c r="T262" s="551"/>
      <c r="U262" s="551"/>
      <c r="V262" s="551"/>
      <c r="W262" s="551"/>
      <c r="X262" s="551"/>
      <c r="Y262" s="551"/>
      <c r="Z262" s="551"/>
      <c r="AA262" s="551"/>
      <c r="AB262" s="551"/>
      <c r="AC262" s="551"/>
      <c r="AD262" s="551"/>
      <c r="AE262" s="551"/>
      <c r="AF262" s="551"/>
    </row>
    <row r="263">
      <c r="A263" s="552"/>
      <c r="B263" s="552"/>
      <c r="C263" s="552"/>
      <c r="D263" s="552"/>
      <c r="E263" s="552"/>
      <c r="F263" s="552"/>
      <c r="G263" s="552"/>
      <c r="H263" s="552"/>
      <c r="I263" s="552"/>
      <c r="J263" s="552"/>
      <c r="K263" s="552"/>
      <c r="L263" s="552"/>
      <c r="M263" s="552"/>
      <c r="N263" s="551"/>
      <c r="O263" s="551"/>
      <c r="P263" s="551"/>
      <c r="Q263" s="551"/>
      <c r="R263" s="551"/>
      <c r="S263" s="551"/>
      <c r="T263" s="551"/>
      <c r="U263" s="551"/>
      <c r="V263" s="551"/>
      <c r="W263" s="551"/>
      <c r="X263" s="551"/>
      <c r="Y263" s="551"/>
      <c r="Z263" s="551"/>
      <c r="AA263" s="551"/>
      <c r="AB263" s="551"/>
      <c r="AC263" s="551"/>
      <c r="AD263" s="551"/>
      <c r="AE263" s="551"/>
      <c r="AF263" s="551"/>
    </row>
    <row r="264">
      <c r="A264" s="552"/>
      <c r="B264" s="552"/>
      <c r="C264" s="552"/>
      <c r="D264" s="552"/>
      <c r="E264" s="552"/>
      <c r="F264" s="552"/>
      <c r="G264" s="552"/>
      <c r="H264" s="552"/>
      <c r="I264" s="552"/>
      <c r="J264" s="552"/>
      <c r="K264" s="552"/>
      <c r="L264" s="552"/>
      <c r="M264" s="552"/>
      <c r="N264" s="551"/>
      <c r="O264" s="551"/>
      <c r="P264" s="551"/>
      <c r="Q264" s="551"/>
      <c r="R264" s="551"/>
      <c r="S264" s="551"/>
      <c r="T264" s="551"/>
      <c r="U264" s="551"/>
      <c r="V264" s="551"/>
      <c r="W264" s="551"/>
      <c r="X264" s="551"/>
      <c r="Y264" s="551"/>
      <c r="Z264" s="551"/>
      <c r="AA264" s="551"/>
      <c r="AB264" s="551"/>
      <c r="AC264" s="551"/>
      <c r="AD264" s="551"/>
      <c r="AE264" s="551"/>
      <c r="AF264" s="551"/>
    </row>
    <row r="265">
      <c r="A265" s="552"/>
      <c r="B265" s="552"/>
      <c r="C265" s="552"/>
      <c r="D265" s="552"/>
      <c r="E265" s="552"/>
      <c r="F265" s="552"/>
      <c r="G265" s="552"/>
      <c r="H265" s="552"/>
      <c r="I265" s="552"/>
      <c r="J265" s="552"/>
      <c r="K265" s="552"/>
      <c r="L265" s="552"/>
      <c r="M265" s="552"/>
      <c r="N265" s="551"/>
      <c r="O265" s="551"/>
      <c r="P265" s="551"/>
      <c r="Q265" s="551"/>
      <c r="R265" s="551"/>
      <c r="S265" s="551"/>
      <c r="T265" s="551"/>
      <c r="U265" s="551"/>
      <c r="V265" s="551"/>
      <c r="W265" s="551"/>
      <c r="X265" s="551"/>
      <c r="Y265" s="551"/>
      <c r="Z265" s="551"/>
      <c r="AA265" s="551"/>
      <c r="AB265" s="551"/>
      <c r="AC265" s="551"/>
      <c r="AD265" s="551"/>
      <c r="AE265" s="551"/>
      <c r="AF265" s="551"/>
    </row>
    <row r="266">
      <c r="A266" s="552"/>
      <c r="B266" s="552"/>
      <c r="C266" s="552"/>
      <c r="D266" s="552"/>
      <c r="E266" s="552"/>
      <c r="F266" s="552"/>
      <c r="G266" s="552"/>
      <c r="H266" s="552"/>
      <c r="I266" s="552"/>
      <c r="J266" s="552"/>
      <c r="K266" s="552"/>
      <c r="L266" s="552"/>
      <c r="M266" s="552"/>
      <c r="N266" s="551"/>
      <c r="O266" s="551"/>
      <c r="P266" s="551"/>
      <c r="Q266" s="551"/>
      <c r="R266" s="551"/>
      <c r="S266" s="551"/>
      <c r="T266" s="551"/>
      <c r="U266" s="551"/>
      <c r="V266" s="551"/>
      <c r="W266" s="551"/>
      <c r="X266" s="551"/>
      <c r="Y266" s="551"/>
      <c r="Z266" s="551"/>
      <c r="AA266" s="551"/>
      <c r="AB266" s="551"/>
      <c r="AC266" s="551"/>
      <c r="AD266" s="551"/>
      <c r="AE266" s="551"/>
      <c r="AF266" s="551"/>
    </row>
    <row r="267">
      <c r="A267" s="552"/>
      <c r="B267" s="552"/>
      <c r="C267" s="552"/>
      <c r="D267" s="552"/>
      <c r="E267" s="552"/>
      <c r="F267" s="552"/>
      <c r="G267" s="552"/>
      <c r="H267" s="552"/>
      <c r="I267" s="552"/>
      <c r="J267" s="552"/>
      <c r="K267" s="552"/>
      <c r="L267" s="552"/>
      <c r="M267" s="552"/>
      <c r="N267" s="551"/>
      <c r="O267" s="551"/>
      <c r="P267" s="551"/>
      <c r="Q267" s="551"/>
      <c r="R267" s="551"/>
      <c r="S267" s="551"/>
      <c r="T267" s="551"/>
      <c r="U267" s="551"/>
      <c r="V267" s="551"/>
      <c r="W267" s="551"/>
      <c r="X267" s="551"/>
      <c r="Y267" s="551"/>
      <c r="Z267" s="551"/>
      <c r="AA267" s="551"/>
      <c r="AB267" s="551"/>
      <c r="AC267" s="551"/>
      <c r="AD267" s="551"/>
      <c r="AE267" s="551"/>
      <c r="AF267" s="551"/>
    </row>
    <row r="268">
      <c r="A268" s="552"/>
      <c r="B268" s="552"/>
      <c r="C268" s="552"/>
      <c r="D268" s="552"/>
      <c r="E268" s="552"/>
      <c r="F268" s="552"/>
      <c r="G268" s="552"/>
      <c r="H268" s="552"/>
      <c r="I268" s="552"/>
      <c r="J268" s="552"/>
      <c r="K268" s="552"/>
      <c r="L268" s="552"/>
      <c r="M268" s="552"/>
      <c r="N268" s="551"/>
      <c r="O268" s="551"/>
      <c r="P268" s="551"/>
      <c r="Q268" s="551"/>
      <c r="R268" s="551"/>
      <c r="S268" s="551"/>
      <c r="T268" s="551"/>
      <c r="U268" s="551"/>
      <c r="V268" s="551"/>
      <c r="W268" s="551"/>
      <c r="X268" s="551"/>
      <c r="Y268" s="551"/>
      <c r="Z268" s="551"/>
      <c r="AA268" s="551"/>
      <c r="AB268" s="551"/>
      <c r="AC268" s="551"/>
      <c r="AD268" s="551"/>
      <c r="AE268" s="551"/>
      <c r="AF268" s="551"/>
    </row>
    <row r="269">
      <c r="A269" s="552"/>
      <c r="B269" s="552"/>
      <c r="C269" s="552"/>
      <c r="D269" s="552"/>
      <c r="E269" s="552"/>
      <c r="F269" s="552"/>
      <c r="G269" s="552"/>
      <c r="H269" s="552"/>
      <c r="I269" s="552"/>
      <c r="J269" s="552"/>
      <c r="K269" s="552"/>
      <c r="L269" s="552"/>
      <c r="M269" s="552"/>
      <c r="N269" s="551"/>
      <c r="O269" s="551"/>
      <c r="P269" s="551"/>
      <c r="Q269" s="551"/>
      <c r="R269" s="551"/>
      <c r="S269" s="551"/>
      <c r="T269" s="551"/>
      <c r="U269" s="551"/>
      <c r="V269" s="551"/>
      <c r="W269" s="551"/>
      <c r="X269" s="551"/>
      <c r="Y269" s="551"/>
      <c r="Z269" s="551"/>
      <c r="AA269" s="551"/>
      <c r="AB269" s="551"/>
      <c r="AC269" s="551"/>
      <c r="AD269" s="551"/>
      <c r="AE269" s="551"/>
      <c r="AF269" s="551"/>
    </row>
    <row r="270">
      <c r="A270" s="552"/>
      <c r="B270" s="552"/>
      <c r="C270" s="552"/>
      <c r="D270" s="552"/>
      <c r="E270" s="552"/>
      <c r="F270" s="552"/>
      <c r="G270" s="552"/>
      <c r="H270" s="552"/>
      <c r="I270" s="552"/>
      <c r="J270" s="552"/>
      <c r="K270" s="552"/>
      <c r="L270" s="552"/>
      <c r="M270" s="552"/>
      <c r="N270" s="551"/>
      <c r="O270" s="551"/>
      <c r="P270" s="551"/>
      <c r="Q270" s="551"/>
      <c r="R270" s="551"/>
      <c r="S270" s="551"/>
      <c r="T270" s="551"/>
      <c r="U270" s="551"/>
      <c r="V270" s="551"/>
      <c r="W270" s="551"/>
      <c r="X270" s="551"/>
      <c r="Y270" s="551"/>
      <c r="Z270" s="551"/>
      <c r="AA270" s="551"/>
      <c r="AB270" s="551"/>
      <c r="AC270" s="551"/>
      <c r="AD270" s="551"/>
      <c r="AE270" s="551"/>
      <c r="AF270" s="551"/>
    </row>
    <row r="271">
      <c r="A271" s="552"/>
      <c r="B271" s="552"/>
      <c r="C271" s="552"/>
      <c r="D271" s="552"/>
      <c r="E271" s="552"/>
      <c r="F271" s="552"/>
      <c r="G271" s="552"/>
      <c r="H271" s="552"/>
      <c r="I271" s="552"/>
      <c r="J271" s="552"/>
      <c r="K271" s="552"/>
      <c r="L271" s="552"/>
      <c r="M271" s="552"/>
      <c r="N271" s="551"/>
      <c r="O271" s="551"/>
      <c r="P271" s="551"/>
      <c r="Q271" s="551"/>
      <c r="R271" s="551"/>
      <c r="S271" s="551"/>
      <c r="T271" s="551"/>
      <c r="U271" s="551"/>
      <c r="V271" s="551"/>
      <c r="W271" s="551"/>
      <c r="X271" s="551"/>
      <c r="Y271" s="551"/>
      <c r="Z271" s="551"/>
      <c r="AA271" s="551"/>
      <c r="AB271" s="551"/>
      <c r="AC271" s="551"/>
      <c r="AD271" s="551"/>
      <c r="AE271" s="551"/>
      <c r="AF271" s="551"/>
    </row>
    <row r="272">
      <c r="A272" s="552"/>
      <c r="B272" s="552"/>
      <c r="C272" s="552"/>
      <c r="D272" s="552"/>
      <c r="E272" s="552"/>
      <c r="F272" s="552"/>
      <c r="G272" s="552"/>
      <c r="H272" s="552"/>
      <c r="I272" s="552"/>
      <c r="J272" s="552"/>
      <c r="K272" s="552"/>
      <c r="L272" s="552"/>
      <c r="M272" s="552"/>
      <c r="N272" s="551"/>
      <c r="O272" s="551"/>
      <c r="P272" s="551"/>
      <c r="Q272" s="551"/>
      <c r="R272" s="551"/>
      <c r="S272" s="551"/>
      <c r="T272" s="551"/>
      <c r="U272" s="551"/>
      <c r="V272" s="551"/>
      <c r="W272" s="551"/>
      <c r="X272" s="551"/>
      <c r="Y272" s="551"/>
      <c r="Z272" s="551"/>
      <c r="AA272" s="551"/>
      <c r="AB272" s="551"/>
      <c r="AC272" s="551"/>
      <c r="AD272" s="551"/>
      <c r="AE272" s="551"/>
      <c r="AF272" s="551"/>
    </row>
    <row r="273">
      <c r="A273" s="552"/>
      <c r="B273" s="552"/>
      <c r="C273" s="552"/>
      <c r="D273" s="552"/>
      <c r="E273" s="552"/>
      <c r="F273" s="552"/>
      <c r="G273" s="552"/>
      <c r="H273" s="552"/>
      <c r="I273" s="552"/>
      <c r="J273" s="552"/>
      <c r="K273" s="552"/>
      <c r="L273" s="552"/>
      <c r="M273" s="552"/>
      <c r="N273" s="551"/>
      <c r="O273" s="551"/>
      <c r="P273" s="551"/>
      <c r="Q273" s="551"/>
      <c r="R273" s="551"/>
      <c r="S273" s="551"/>
      <c r="T273" s="551"/>
      <c r="U273" s="551"/>
      <c r="V273" s="551"/>
      <c r="W273" s="551"/>
      <c r="X273" s="551"/>
      <c r="Y273" s="551"/>
      <c r="Z273" s="551"/>
      <c r="AA273" s="551"/>
      <c r="AB273" s="551"/>
      <c r="AC273" s="551"/>
      <c r="AD273" s="551"/>
      <c r="AE273" s="551"/>
      <c r="AF273" s="551"/>
    </row>
    <row r="274">
      <c r="A274" s="552"/>
      <c r="B274" s="552"/>
      <c r="C274" s="552"/>
      <c r="D274" s="552"/>
      <c r="E274" s="552"/>
      <c r="F274" s="552"/>
      <c r="G274" s="552"/>
      <c r="H274" s="552"/>
      <c r="I274" s="552"/>
      <c r="J274" s="552"/>
      <c r="K274" s="552"/>
      <c r="L274" s="552"/>
      <c r="M274" s="552"/>
      <c r="N274" s="551"/>
      <c r="O274" s="551"/>
      <c r="P274" s="551"/>
      <c r="Q274" s="551"/>
      <c r="R274" s="551"/>
      <c r="S274" s="551"/>
      <c r="T274" s="551"/>
      <c r="U274" s="551"/>
      <c r="V274" s="551"/>
      <c r="W274" s="551"/>
      <c r="X274" s="551"/>
      <c r="Y274" s="551"/>
      <c r="Z274" s="551"/>
      <c r="AA274" s="551"/>
      <c r="AB274" s="551"/>
      <c r="AC274" s="551"/>
      <c r="AD274" s="551"/>
      <c r="AE274" s="551"/>
      <c r="AF274" s="551"/>
    </row>
    <row r="275">
      <c r="A275" s="552"/>
      <c r="B275" s="552"/>
      <c r="C275" s="552"/>
      <c r="D275" s="552"/>
      <c r="E275" s="552"/>
      <c r="F275" s="552"/>
      <c r="G275" s="552"/>
      <c r="H275" s="552"/>
      <c r="I275" s="552"/>
      <c r="J275" s="552"/>
      <c r="K275" s="552"/>
      <c r="L275" s="552"/>
      <c r="M275" s="552"/>
      <c r="N275" s="551"/>
      <c r="O275" s="551"/>
      <c r="P275" s="551"/>
      <c r="Q275" s="551"/>
      <c r="R275" s="551"/>
      <c r="S275" s="551"/>
      <c r="T275" s="551"/>
      <c r="U275" s="551"/>
      <c r="V275" s="551"/>
      <c r="W275" s="551"/>
      <c r="X275" s="551"/>
      <c r="Y275" s="551"/>
      <c r="Z275" s="551"/>
      <c r="AA275" s="551"/>
      <c r="AB275" s="551"/>
      <c r="AC275" s="551"/>
      <c r="AD275" s="551"/>
      <c r="AE275" s="551"/>
      <c r="AF275" s="551"/>
    </row>
    <row r="276">
      <c r="A276" s="552"/>
      <c r="B276" s="552"/>
      <c r="C276" s="552"/>
      <c r="D276" s="552"/>
      <c r="E276" s="552"/>
      <c r="F276" s="552"/>
      <c r="G276" s="552"/>
      <c r="H276" s="552"/>
      <c r="I276" s="552"/>
      <c r="J276" s="552"/>
      <c r="K276" s="552"/>
      <c r="L276" s="552"/>
      <c r="M276" s="552"/>
      <c r="N276" s="551"/>
      <c r="O276" s="551"/>
      <c r="P276" s="551"/>
      <c r="Q276" s="551"/>
      <c r="R276" s="551"/>
      <c r="S276" s="551"/>
      <c r="T276" s="551"/>
      <c r="U276" s="551"/>
      <c r="V276" s="551"/>
      <c r="W276" s="551"/>
      <c r="X276" s="551"/>
      <c r="Y276" s="551"/>
      <c r="Z276" s="551"/>
      <c r="AA276" s="551"/>
      <c r="AB276" s="551"/>
      <c r="AC276" s="551"/>
      <c r="AD276" s="551"/>
      <c r="AE276" s="551"/>
      <c r="AF276" s="551"/>
    </row>
    <row r="277">
      <c r="A277" s="552"/>
      <c r="B277" s="552"/>
      <c r="C277" s="552"/>
      <c r="D277" s="552"/>
      <c r="E277" s="552"/>
      <c r="F277" s="552"/>
      <c r="G277" s="552"/>
      <c r="H277" s="552"/>
      <c r="I277" s="552"/>
      <c r="J277" s="552"/>
      <c r="K277" s="552"/>
      <c r="L277" s="552"/>
      <c r="M277" s="552"/>
      <c r="N277" s="551"/>
      <c r="O277" s="551"/>
      <c r="P277" s="551"/>
      <c r="Q277" s="551"/>
      <c r="R277" s="551"/>
      <c r="S277" s="551"/>
      <c r="T277" s="551"/>
      <c r="U277" s="551"/>
      <c r="V277" s="551"/>
      <c r="W277" s="551"/>
      <c r="X277" s="551"/>
      <c r="Y277" s="551"/>
      <c r="Z277" s="551"/>
      <c r="AA277" s="551"/>
      <c r="AB277" s="551"/>
      <c r="AC277" s="551"/>
      <c r="AD277" s="551"/>
      <c r="AE277" s="551"/>
      <c r="AF277" s="551"/>
    </row>
    <row r="278">
      <c r="A278" s="552"/>
      <c r="B278" s="552"/>
      <c r="C278" s="552"/>
      <c r="D278" s="552"/>
      <c r="E278" s="552"/>
      <c r="F278" s="552"/>
      <c r="G278" s="552"/>
      <c r="H278" s="552"/>
      <c r="I278" s="552"/>
      <c r="J278" s="552"/>
      <c r="K278" s="552"/>
      <c r="L278" s="552"/>
      <c r="M278" s="552"/>
      <c r="N278" s="551"/>
      <c r="O278" s="551"/>
      <c r="P278" s="551"/>
      <c r="Q278" s="551"/>
      <c r="R278" s="551"/>
      <c r="S278" s="551"/>
      <c r="T278" s="551"/>
      <c r="U278" s="551"/>
      <c r="V278" s="551"/>
      <c r="W278" s="551"/>
      <c r="X278" s="551"/>
      <c r="Y278" s="551"/>
      <c r="Z278" s="551"/>
      <c r="AA278" s="551"/>
      <c r="AB278" s="551"/>
      <c r="AC278" s="551"/>
      <c r="AD278" s="551"/>
      <c r="AE278" s="551"/>
      <c r="AF278" s="551"/>
    </row>
    <row r="279">
      <c r="A279" s="552"/>
      <c r="B279" s="552"/>
      <c r="C279" s="552"/>
      <c r="D279" s="552"/>
      <c r="E279" s="552"/>
      <c r="F279" s="552"/>
      <c r="G279" s="552"/>
      <c r="H279" s="552"/>
      <c r="I279" s="552"/>
      <c r="J279" s="552"/>
      <c r="K279" s="552"/>
      <c r="L279" s="552"/>
      <c r="M279" s="552"/>
      <c r="N279" s="551"/>
      <c r="O279" s="551"/>
      <c r="P279" s="551"/>
      <c r="Q279" s="551"/>
      <c r="R279" s="551"/>
      <c r="S279" s="551"/>
      <c r="T279" s="551"/>
      <c r="U279" s="551"/>
      <c r="V279" s="551"/>
      <c r="W279" s="551"/>
      <c r="X279" s="551"/>
      <c r="Y279" s="551"/>
      <c r="Z279" s="551"/>
      <c r="AA279" s="551"/>
      <c r="AB279" s="551"/>
      <c r="AC279" s="551"/>
      <c r="AD279" s="551"/>
      <c r="AE279" s="551"/>
      <c r="AF279" s="551"/>
    </row>
    <row r="280">
      <c r="A280" s="552"/>
      <c r="B280" s="552"/>
      <c r="C280" s="552"/>
      <c r="D280" s="552"/>
      <c r="E280" s="552"/>
      <c r="F280" s="552"/>
      <c r="G280" s="552"/>
      <c r="H280" s="552"/>
      <c r="I280" s="552"/>
      <c r="J280" s="552"/>
      <c r="K280" s="552"/>
      <c r="L280" s="552"/>
      <c r="M280" s="552"/>
      <c r="N280" s="551"/>
      <c r="O280" s="551"/>
      <c r="P280" s="551"/>
      <c r="Q280" s="551"/>
      <c r="R280" s="551"/>
      <c r="S280" s="551"/>
      <c r="T280" s="551"/>
      <c r="U280" s="551"/>
      <c r="V280" s="551"/>
      <c r="W280" s="551"/>
      <c r="X280" s="551"/>
      <c r="Y280" s="551"/>
      <c r="Z280" s="551"/>
      <c r="AA280" s="551"/>
      <c r="AB280" s="551"/>
      <c r="AC280" s="551"/>
      <c r="AD280" s="551"/>
      <c r="AE280" s="551"/>
      <c r="AF280" s="551"/>
    </row>
    <row r="281">
      <c r="A281" s="552"/>
      <c r="B281" s="552"/>
      <c r="C281" s="552"/>
      <c r="D281" s="552"/>
      <c r="E281" s="552"/>
      <c r="F281" s="552"/>
      <c r="G281" s="552"/>
      <c r="H281" s="552"/>
      <c r="I281" s="552"/>
      <c r="J281" s="552"/>
      <c r="K281" s="552"/>
      <c r="L281" s="552"/>
      <c r="M281" s="552"/>
      <c r="N281" s="551"/>
      <c r="O281" s="551"/>
      <c r="P281" s="551"/>
      <c r="Q281" s="551"/>
      <c r="R281" s="551"/>
      <c r="S281" s="551"/>
      <c r="T281" s="551"/>
      <c r="U281" s="551"/>
      <c r="V281" s="551"/>
      <c r="W281" s="551"/>
      <c r="X281" s="551"/>
      <c r="Y281" s="551"/>
      <c r="Z281" s="551"/>
      <c r="AA281" s="551"/>
      <c r="AB281" s="551"/>
      <c r="AC281" s="551"/>
      <c r="AD281" s="551"/>
      <c r="AE281" s="551"/>
      <c r="AF281" s="551"/>
    </row>
    <row r="282">
      <c r="A282" s="552"/>
      <c r="B282" s="552"/>
      <c r="C282" s="552"/>
      <c r="D282" s="552"/>
      <c r="E282" s="552"/>
      <c r="F282" s="552"/>
      <c r="G282" s="552"/>
      <c r="H282" s="552"/>
      <c r="I282" s="552"/>
      <c r="J282" s="552"/>
      <c r="K282" s="552"/>
      <c r="L282" s="552"/>
      <c r="M282" s="552"/>
      <c r="N282" s="551"/>
      <c r="O282" s="551"/>
      <c r="P282" s="551"/>
      <c r="Q282" s="551"/>
      <c r="R282" s="551"/>
      <c r="S282" s="551"/>
      <c r="T282" s="551"/>
      <c r="U282" s="551"/>
      <c r="V282" s="551"/>
      <c r="W282" s="551"/>
      <c r="X282" s="551"/>
      <c r="Y282" s="551"/>
      <c r="Z282" s="551"/>
      <c r="AA282" s="551"/>
      <c r="AB282" s="551"/>
      <c r="AC282" s="551"/>
      <c r="AD282" s="551"/>
      <c r="AE282" s="551"/>
      <c r="AF282" s="551"/>
    </row>
    <row r="283">
      <c r="A283" s="552"/>
      <c r="B283" s="552"/>
      <c r="C283" s="552"/>
      <c r="D283" s="552"/>
      <c r="E283" s="552"/>
      <c r="F283" s="552"/>
      <c r="G283" s="552"/>
      <c r="H283" s="552"/>
      <c r="I283" s="552"/>
      <c r="J283" s="552"/>
      <c r="K283" s="552"/>
      <c r="L283" s="552"/>
      <c r="M283" s="552"/>
      <c r="N283" s="551"/>
      <c r="O283" s="551"/>
      <c r="P283" s="551"/>
      <c r="Q283" s="551"/>
      <c r="R283" s="551"/>
      <c r="S283" s="551"/>
      <c r="T283" s="551"/>
      <c r="U283" s="551"/>
      <c r="V283" s="551"/>
      <c r="W283" s="551"/>
      <c r="X283" s="551"/>
      <c r="Y283" s="551"/>
      <c r="Z283" s="551"/>
      <c r="AA283" s="551"/>
      <c r="AB283" s="551"/>
      <c r="AC283" s="551"/>
      <c r="AD283" s="551"/>
      <c r="AE283" s="551"/>
      <c r="AF283" s="551"/>
    </row>
    <row r="284">
      <c r="A284" s="552"/>
      <c r="B284" s="552"/>
      <c r="C284" s="552"/>
      <c r="D284" s="552"/>
      <c r="E284" s="552"/>
      <c r="F284" s="552"/>
      <c r="G284" s="552"/>
      <c r="H284" s="552"/>
      <c r="I284" s="552"/>
      <c r="J284" s="552"/>
      <c r="K284" s="552"/>
      <c r="L284" s="552"/>
      <c r="M284" s="552"/>
      <c r="N284" s="551"/>
      <c r="O284" s="551"/>
      <c r="P284" s="551"/>
      <c r="Q284" s="551"/>
      <c r="R284" s="551"/>
      <c r="S284" s="551"/>
      <c r="T284" s="551"/>
      <c r="U284" s="551"/>
      <c r="V284" s="551"/>
      <c r="W284" s="551"/>
      <c r="X284" s="551"/>
      <c r="Y284" s="551"/>
      <c r="Z284" s="551"/>
      <c r="AA284" s="551"/>
      <c r="AB284" s="551"/>
      <c r="AC284" s="551"/>
      <c r="AD284" s="551"/>
      <c r="AE284" s="551"/>
      <c r="AF284" s="551"/>
    </row>
    <row r="285">
      <c r="A285" s="552"/>
      <c r="B285" s="552"/>
      <c r="C285" s="552"/>
      <c r="D285" s="552"/>
      <c r="E285" s="552"/>
      <c r="F285" s="552"/>
      <c r="G285" s="552"/>
      <c r="H285" s="552"/>
      <c r="I285" s="552"/>
      <c r="J285" s="552"/>
      <c r="K285" s="552"/>
      <c r="L285" s="552"/>
      <c r="M285" s="552"/>
      <c r="N285" s="551"/>
      <c r="O285" s="551"/>
      <c r="P285" s="551"/>
      <c r="Q285" s="551"/>
      <c r="R285" s="551"/>
      <c r="S285" s="551"/>
      <c r="T285" s="551"/>
      <c r="U285" s="551"/>
      <c r="V285" s="551"/>
      <c r="W285" s="551"/>
      <c r="X285" s="551"/>
      <c r="Y285" s="551"/>
      <c r="Z285" s="551"/>
      <c r="AA285" s="551"/>
      <c r="AB285" s="551"/>
      <c r="AC285" s="551"/>
      <c r="AD285" s="551"/>
      <c r="AE285" s="551"/>
      <c r="AF285" s="551"/>
    </row>
    <row r="286">
      <c r="A286" s="552"/>
      <c r="B286" s="552"/>
      <c r="C286" s="552"/>
      <c r="D286" s="552"/>
      <c r="E286" s="552"/>
      <c r="F286" s="552"/>
      <c r="G286" s="552"/>
      <c r="H286" s="552"/>
      <c r="I286" s="552"/>
      <c r="J286" s="552"/>
      <c r="K286" s="552"/>
      <c r="L286" s="552"/>
      <c r="M286" s="552"/>
      <c r="N286" s="551"/>
      <c r="O286" s="551"/>
      <c r="P286" s="551"/>
      <c r="Q286" s="551"/>
      <c r="R286" s="551"/>
      <c r="S286" s="551"/>
      <c r="T286" s="551"/>
      <c r="U286" s="551"/>
      <c r="V286" s="551"/>
      <c r="W286" s="551"/>
      <c r="X286" s="551"/>
      <c r="Y286" s="551"/>
      <c r="Z286" s="551"/>
      <c r="AA286" s="551"/>
      <c r="AB286" s="551"/>
      <c r="AC286" s="551"/>
      <c r="AD286" s="551"/>
      <c r="AE286" s="551"/>
      <c r="AF286" s="551"/>
    </row>
    <row r="287">
      <c r="A287" s="552"/>
      <c r="B287" s="552"/>
      <c r="C287" s="552"/>
      <c r="D287" s="552"/>
      <c r="E287" s="552"/>
      <c r="F287" s="552"/>
      <c r="G287" s="552"/>
      <c r="H287" s="552"/>
      <c r="I287" s="552"/>
      <c r="J287" s="552"/>
      <c r="K287" s="552"/>
      <c r="L287" s="552"/>
      <c r="M287" s="552"/>
      <c r="N287" s="551"/>
      <c r="O287" s="551"/>
      <c r="P287" s="551"/>
      <c r="Q287" s="551"/>
      <c r="R287" s="551"/>
      <c r="S287" s="551"/>
      <c r="T287" s="551"/>
      <c r="U287" s="551"/>
      <c r="V287" s="551"/>
      <c r="W287" s="551"/>
      <c r="X287" s="551"/>
      <c r="Y287" s="551"/>
      <c r="Z287" s="551"/>
      <c r="AA287" s="551"/>
      <c r="AB287" s="551"/>
      <c r="AC287" s="551"/>
      <c r="AD287" s="551"/>
      <c r="AE287" s="551"/>
      <c r="AF287" s="551"/>
    </row>
    <row r="288">
      <c r="A288" s="552"/>
      <c r="B288" s="552"/>
      <c r="C288" s="552"/>
      <c r="D288" s="552"/>
      <c r="E288" s="552"/>
      <c r="F288" s="552"/>
      <c r="G288" s="552"/>
      <c r="H288" s="552"/>
      <c r="I288" s="552"/>
      <c r="J288" s="552"/>
      <c r="K288" s="552"/>
      <c r="L288" s="552"/>
      <c r="M288" s="552"/>
      <c r="N288" s="551"/>
      <c r="O288" s="551"/>
      <c r="P288" s="551"/>
      <c r="Q288" s="551"/>
      <c r="R288" s="551"/>
      <c r="S288" s="551"/>
      <c r="T288" s="551"/>
      <c r="U288" s="551"/>
      <c r="V288" s="551"/>
      <c r="W288" s="551"/>
      <c r="X288" s="551"/>
      <c r="Y288" s="551"/>
      <c r="Z288" s="551"/>
      <c r="AA288" s="551"/>
      <c r="AB288" s="551"/>
      <c r="AC288" s="551"/>
      <c r="AD288" s="551"/>
      <c r="AE288" s="551"/>
      <c r="AF288" s="551"/>
    </row>
    <row r="289">
      <c r="A289" s="552"/>
      <c r="B289" s="552"/>
      <c r="C289" s="552"/>
      <c r="D289" s="552"/>
      <c r="E289" s="552"/>
      <c r="F289" s="552"/>
      <c r="G289" s="552"/>
      <c r="H289" s="552"/>
      <c r="I289" s="552"/>
      <c r="J289" s="552"/>
      <c r="K289" s="552"/>
      <c r="L289" s="552"/>
      <c r="M289" s="552"/>
      <c r="N289" s="551"/>
      <c r="O289" s="551"/>
      <c r="P289" s="551"/>
      <c r="Q289" s="551"/>
      <c r="R289" s="551"/>
      <c r="S289" s="551"/>
      <c r="T289" s="551"/>
      <c r="U289" s="551"/>
      <c r="V289" s="551"/>
      <c r="W289" s="551"/>
      <c r="X289" s="551"/>
      <c r="Y289" s="551"/>
      <c r="Z289" s="551"/>
      <c r="AA289" s="551"/>
      <c r="AB289" s="551"/>
      <c r="AC289" s="551"/>
      <c r="AD289" s="551"/>
      <c r="AE289" s="551"/>
      <c r="AF289" s="551"/>
    </row>
    <row r="290">
      <c r="A290" s="552"/>
      <c r="B290" s="552"/>
      <c r="C290" s="552"/>
      <c r="D290" s="552"/>
      <c r="E290" s="552"/>
      <c r="F290" s="552"/>
      <c r="G290" s="552"/>
      <c r="H290" s="552"/>
      <c r="I290" s="552"/>
      <c r="J290" s="552"/>
      <c r="K290" s="552"/>
      <c r="L290" s="552"/>
      <c r="M290" s="552"/>
      <c r="N290" s="551"/>
      <c r="O290" s="551"/>
      <c r="P290" s="551"/>
      <c r="Q290" s="551"/>
      <c r="R290" s="551"/>
      <c r="S290" s="551"/>
      <c r="T290" s="551"/>
      <c r="U290" s="551"/>
      <c r="V290" s="551"/>
      <c r="W290" s="551"/>
      <c r="X290" s="551"/>
      <c r="Y290" s="551"/>
      <c r="Z290" s="551"/>
      <c r="AA290" s="551"/>
      <c r="AB290" s="551"/>
      <c r="AC290" s="551"/>
      <c r="AD290" s="551"/>
      <c r="AE290" s="551"/>
      <c r="AF290" s="551"/>
    </row>
    <row r="291">
      <c r="A291" s="552"/>
      <c r="B291" s="552"/>
      <c r="C291" s="552"/>
      <c r="D291" s="552"/>
      <c r="E291" s="552"/>
      <c r="F291" s="552"/>
      <c r="G291" s="552"/>
      <c r="H291" s="552"/>
      <c r="I291" s="552"/>
      <c r="J291" s="552"/>
      <c r="K291" s="552"/>
      <c r="L291" s="552"/>
      <c r="M291" s="552"/>
      <c r="N291" s="551"/>
      <c r="O291" s="551"/>
      <c r="P291" s="551"/>
      <c r="Q291" s="551"/>
      <c r="R291" s="551"/>
      <c r="S291" s="551"/>
      <c r="T291" s="551"/>
      <c r="U291" s="551"/>
      <c r="V291" s="551"/>
      <c r="W291" s="551"/>
      <c r="X291" s="551"/>
      <c r="Y291" s="551"/>
      <c r="Z291" s="551"/>
      <c r="AA291" s="551"/>
      <c r="AB291" s="551"/>
      <c r="AC291" s="551"/>
      <c r="AD291" s="551"/>
      <c r="AE291" s="551"/>
      <c r="AF291" s="551"/>
    </row>
    <row r="292">
      <c r="A292" s="552"/>
      <c r="B292" s="552"/>
      <c r="C292" s="552"/>
      <c r="D292" s="552"/>
      <c r="E292" s="552"/>
      <c r="F292" s="552"/>
      <c r="G292" s="552"/>
      <c r="H292" s="552"/>
      <c r="I292" s="552"/>
      <c r="J292" s="552"/>
      <c r="K292" s="552"/>
      <c r="L292" s="552"/>
      <c r="M292" s="552"/>
      <c r="N292" s="551"/>
      <c r="O292" s="551"/>
      <c r="P292" s="551"/>
      <c r="Q292" s="551"/>
      <c r="R292" s="551"/>
      <c r="S292" s="551"/>
      <c r="T292" s="551"/>
      <c r="U292" s="551"/>
      <c r="V292" s="551"/>
      <c r="W292" s="551"/>
      <c r="X292" s="551"/>
      <c r="Y292" s="551"/>
      <c r="Z292" s="551"/>
      <c r="AA292" s="551"/>
      <c r="AB292" s="551"/>
      <c r="AC292" s="551"/>
      <c r="AD292" s="551"/>
      <c r="AE292" s="551"/>
      <c r="AF292" s="551"/>
    </row>
    <row r="293">
      <c r="A293" s="552"/>
      <c r="B293" s="552"/>
      <c r="C293" s="552"/>
      <c r="D293" s="552"/>
      <c r="E293" s="552"/>
      <c r="F293" s="552"/>
      <c r="G293" s="552"/>
      <c r="H293" s="552"/>
      <c r="I293" s="552"/>
      <c r="J293" s="552"/>
      <c r="K293" s="552"/>
      <c r="L293" s="552"/>
      <c r="M293" s="552"/>
      <c r="N293" s="551"/>
      <c r="O293" s="551"/>
      <c r="P293" s="551"/>
      <c r="Q293" s="551"/>
      <c r="R293" s="551"/>
      <c r="S293" s="551"/>
      <c r="T293" s="551"/>
      <c r="U293" s="551"/>
      <c r="V293" s="551"/>
      <c r="W293" s="551"/>
      <c r="X293" s="551"/>
      <c r="Y293" s="551"/>
      <c r="Z293" s="551"/>
      <c r="AA293" s="551"/>
      <c r="AB293" s="551"/>
      <c r="AC293" s="551"/>
      <c r="AD293" s="551"/>
      <c r="AE293" s="551"/>
      <c r="AF293" s="551"/>
    </row>
    <row r="294">
      <c r="A294" s="552"/>
      <c r="B294" s="552"/>
      <c r="C294" s="552"/>
      <c r="D294" s="552"/>
      <c r="E294" s="552"/>
      <c r="F294" s="552"/>
      <c r="G294" s="552"/>
      <c r="H294" s="552"/>
      <c r="I294" s="552"/>
      <c r="J294" s="552"/>
      <c r="K294" s="552"/>
      <c r="L294" s="552"/>
      <c r="M294" s="552"/>
      <c r="N294" s="551"/>
      <c r="O294" s="551"/>
      <c r="P294" s="551"/>
      <c r="Q294" s="551"/>
      <c r="R294" s="551"/>
      <c r="S294" s="551"/>
      <c r="T294" s="551"/>
      <c r="U294" s="551"/>
      <c r="V294" s="551"/>
      <c r="W294" s="551"/>
      <c r="X294" s="551"/>
      <c r="Y294" s="551"/>
      <c r="Z294" s="551"/>
      <c r="AA294" s="551"/>
      <c r="AB294" s="551"/>
      <c r="AC294" s="551"/>
      <c r="AD294" s="551"/>
      <c r="AE294" s="551"/>
      <c r="AF294" s="551"/>
    </row>
    <row r="295">
      <c r="A295" s="552"/>
      <c r="B295" s="552"/>
      <c r="C295" s="552"/>
      <c r="D295" s="552"/>
      <c r="E295" s="552"/>
      <c r="F295" s="552"/>
      <c r="G295" s="552"/>
      <c r="H295" s="552"/>
      <c r="I295" s="552"/>
      <c r="J295" s="552"/>
      <c r="K295" s="552"/>
      <c r="L295" s="552"/>
      <c r="M295" s="552"/>
      <c r="N295" s="551"/>
      <c r="O295" s="551"/>
      <c r="P295" s="551"/>
      <c r="Q295" s="551"/>
      <c r="R295" s="551"/>
      <c r="S295" s="551"/>
      <c r="T295" s="551"/>
      <c r="U295" s="551"/>
      <c r="V295" s="551"/>
      <c r="W295" s="551"/>
      <c r="X295" s="551"/>
      <c r="Y295" s="551"/>
      <c r="Z295" s="551"/>
      <c r="AA295" s="551"/>
      <c r="AB295" s="551"/>
      <c r="AC295" s="551"/>
      <c r="AD295" s="551"/>
      <c r="AE295" s="551"/>
      <c r="AF295" s="551"/>
    </row>
    <row r="296">
      <c r="A296" s="552"/>
      <c r="B296" s="552"/>
      <c r="C296" s="552"/>
      <c r="D296" s="552"/>
      <c r="E296" s="552"/>
      <c r="F296" s="552"/>
      <c r="G296" s="552"/>
      <c r="H296" s="552"/>
      <c r="I296" s="552"/>
      <c r="J296" s="552"/>
      <c r="K296" s="552"/>
      <c r="L296" s="552"/>
      <c r="M296" s="552"/>
      <c r="N296" s="551"/>
      <c r="O296" s="551"/>
      <c r="P296" s="551"/>
      <c r="Q296" s="551"/>
      <c r="R296" s="551"/>
      <c r="S296" s="551"/>
      <c r="T296" s="551"/>
      <c r="U296" s="551"/>
      <c r="V296" s="551"/>
      <c r="W296" s="551"/>
      <c r="X296" s="551"/>
      <c r="Y296" s="551"/>
      <c r="Z296" s="551"/>
      <c r="AA296" s="551"/>
      <c r="AB296" s="551"/>
      <c r="AC296" s="551"/>
      <c r="AD296" s="551"/>
      <c r="AE296" s="551"/>
      <c r="AF296" s="551"/>
    </row>
    <row r="297">
      <c r="A297" s="552"/>
      <c r="B297" s="552"/>
      <c r="C297" s="552"/>
      <c r="D297" s="552"/>
      <c r="E297" s="552"/>
      <c r="F297" s="552"/>
      <c r="G297" s="552"/>
      <c r="H297" s="552"/>
      <c r="I297" s="552"/>
      <c r="J297" s="552"/>
      <c r="K297" s="552"/>
      <c r="L297" s="552"/>
      <c r="M297" s="552"/>
      <c r="N297" s="551"/>
      <c r="O297" s="551"/>
      <c r="P297" s="551"/>
      <c r="Q297" s="551"/>
      <c r="R297" s="551"/>
      <c r="S297" s="551"/>
      <c r="T297" s="551"/>
      <c r="U297" s="551"/>
      <c r="V297" s="551"/>
      <c r="W297" s="551"/>
      <c r="X297" s="551"/>
      <c r="Y297" s="551"/>
      <c r="Z297" s="551"/>
      <c r="AA297" s="551"/>
      <c r="AB297" s="551"/>
      <c r="AC297" s="551"/>
      <c r="AD297" s="551"/>
      <c r="AE297" s="551"/>
      <c r="AF297" s="551"/>
    </row>
    <row r="298">
      <c r="A298" s="552"/>
      <c r="B298" s="552"/>
      <c r="C298" s="552"/>
      <c r="D298" s="552"/>
      <c r="E298" s="552"/>
      <c r="F298" s="552"/>
      <c r="G298" s="552"/>
      <c r="H298" s="552"/>
      <c r="I298" s="552"/>
      <c r="J298" s="552"/>
      <c r="K298" s="552"/>
      <c r="L298" s="552"/>
      <c r="M298" s="552"/>
      <c r="N298" s="551"/>
      <c r="O298" s="551"/>
      <c r="P298" s="551"/>
      <c r="Q298" s="551"/>
      <c r="R298" s="551"/>
      <c r="S298" s="551"/>
      <c r="T298" s="551"/>
      <c r="U298" s="551"/>
      <c r="V298" s="551"/>
      <c r="W298" s="551"/>
      <c r="X298" s="551"/>
      <c r="Y298" s="551"/>
      <c r="Z298" s="551"/>
      <c r="AA298" s="551"/>
      <c r="AB298" s="551"/>
      <c r="AC298" s="551"/>
      <c r="AD298" s="551"/>
      <c r="AE298" s="551"/>
      <c r="AF298" s="551"/>
    </row>
    <row r="299">
      <c r="A299" s="552"/>
      <c r="B299" s="552"/>
      <c r="C299" s="552"/>
      <c r="D299" s="552"/>
      <c r="E299" s="552"/>
      <c r="F299" s="552"/>
      <c r="G299" s="552"/>
      <c r="H299" s="552"/>
      <c r="I299" s="552"/>
      <c r="J299" s="552"/>
      <c r="K299" s="552"/>
      <c r="L299" s="552"/>
      <c r="M299" s="552"/>
      <c r="N299" s="551"/>
      <c r="O299" s="551"/>
      <c r="P299" s="551"/>
      <c r="Q299" s="551"/>
      <c r="R299" s="551"/>
      <c r="S299" s="551"/>
      <c r="T299" s="551"/>
      <c r="U299" s="551"/>
      <c r="V299" s="551"/>
      <c r="W299" s="551"/>
      <c r="X299" s="551"/>
      <c r="Y299" s="551"/>
      <c r="Z299" s="551"/>
      <c r="AA299" s="551"/>
      <c r="AB299" s="551"/>
      <c r="AC299" s="551"/>
      <c r="AD299" s="551"/>
      <c r="AE299" s="551"/>
      <c r="AF299" s="551"/>
    </row>
    <row r="300">
      <c r="A300" s="552"/>
      <c r="B300" s="552"/>
      <c r="C300" s="552"/>
      <c r="D300" s="552"/>
      <c r="E300" s="552"/>
      <c r="F300" s="552"/>
      <c r="G300" s="552"/>
      <c r="H300" s="552"/>
      <c r="I300" s="552"/>
      <c r="J300" s="552"/>
      <c r="K300" s="552"/>
      <c r="L300" s="552"/>
      <c r="M300" s="552"/>
      <c r="N300" s="551"/>
      <c r="O300" s="551"/>
      <c r="P300" s="551"/>
      <c r="Q300" s="551"/>
      <c r="R300" s="551"/>
      <c r="S300" s="551"/>
      <c r="T300" s="551"/>
      <c r="U300" s="551"/>
      <c r="V300" s="551"/>
      <c r="W300" s="551"/>
      <c r="X300" s="551"/>
      <c r="Y300" s="551"/>
      <c r="Z300" s="551"/>
      <c r="AA300" s="551"/>
      <c r="AB300" s="551"/>
      <c r="AC300" s="551"/>
      <c r="AD300" s="551"/>
      <c r="AE300" s="551"/>
      <c r="AF300" s="551"/>
    </row>
    <row r="301">
      <c r="A301" s="552"/>
      <c r="B301" s="552"/>
      <c r="C301" s="552"/>
      <c r="D301" s="552"/>
      <c r="E301" s="552"/>
      <c r="F301" s="552"/>
      <c r="G301" s="552"/>
      <c r="H301" s="552"/>
      <c r="I301" s="552"/>
      <c r="J301" s="552"/>
      <c r="K301" s="552"/>
      <c r="L301" s="552"/>
      <c r="M301" s="552"/>
      <c r="N301" s="551"/>
      <c r="O301" s="551"/>
      <c r="P301" s="551"/>
      <c r="Q301" s="551"/>
      <c r="R301" s="551"/>
      <c r="S301" s="551"/>
      <c r="T301" s="551"/>
      <c r="U301" s="551"/>
      <c r="V301" s="551"/>
      <c r="W301" s="551"/>
      <c r="X301" s="551"/>
      <c r="Y301" s="551"/>
      <c r="Z301" s="551"/>
      <c r="AA301" s="551"/>
      <c r="AB301" s="551"/>
      <c r="AC301" s="551"/>
      <c r="AD301" s="551"/>
      <c r="AE301" s="551"/>
      <c r="AF301" s="551"/>
    </row>
    <row r="302">
      <c r="A302" s="552"/>
      <c r="B302" s="552"/>
      <c r="C302" s="552"/>
      <c r="D302" s="552"/>
      <c r="E302" s="552"/>
      <c r="F302" s="552"/>
      <c r="G302" s="552"/>
      <c r="H302" s="552"/>
      <c r="I302" s="552"/>
      <c r="J302" s="552"/>
      <c r="K302" s="552"/>
      <c r="L302" s="552"/>
      <c r="M302" s="552"/>
      <c r="N302" s="551"/>
      <c r="O302" s="551"/>
      <c r="P302" s="551"/>
      <c r="Q302" s="551"/>
      <c r="R302" s="551"/>
      <c r="S302" s="551"/>
      <c r="T302" s="551"/>
      <c r="U302" s="551"/>
      <c r="V302" s="551"/>
      <c r="W302" s="551"/>
      <c r="X302" s="551"/>
      <c r="Y302" s="551"/>
      <c r="Z302" s="551"/>
      <c r="AA302" s="551"/>
      <c r="AB302" s="551"/>
      <c r="AC302" s="551"/>
      <c r="AD302" s="551"/>
      <c r="AE302" s="551"/>
      <c r="AF302" s="551"/>
    </row>
    <row r="303">
      <c r="A303" s="552"/>
      <c r="B303" s="552"/>
      <c r="C303" s="552"/>
      <c r="D303" s="552"/>
      <c r="E303" s="552"/>
      <c r="F303" s="552"/>
      <c r="G303" s="552"/>
      <c r="H303" s="552"/>
      <c r="I303" s="552"/>
      <c r="J303" s="552"/>
      <c r="K303" s="552"/>
      <c r="L303" s="552"/>
      <c r="M303" s="552"/>
      <c r="N303" s="551"/>
      <c r="O303" s="551"/>
      <c r="P303" s="551"/>
      <c r="Q303" s="551"/>
      <c r="R303" s="551"/>
      <c r="S303" s="551"/>
      <c r="T303" s="551"/>
      <c r="U303" s="551"/>
      <c r="V303" s="551"/>
      <c r="W303" s="551"/>
      <c r="X303" s="551"/>
      <c r="Y303" s="551"/>
      <c r="Z303" s="551"/>
      <c r="AA303" s="551"/>
      <c r="AB303" s="551"/>
      <c r="AC303" s="551"/>
      <c r="AD303" s="551"/>
      <c r="AE303" s="551"/>
      <c r="AF303" s="551"/>
    </row>
    <row r="304">
      <c r="A304" s="552"/>
      <c r="B304" s="552"/>
      <c r="C304" s="552"/>
      <c r="D304" s="552"/>
      <c r="E304" s="552"/>
      <c r="F304" s="552"/>
      <c r="G304" s="552"/>
      <c r="H304" s="552"/>
      <c r="I304" s="552"/>
      <c r="J304" s="552"/>
      <c r="K304" s="552"/>
      <c r="L304" s="552"/>
      <c r="M304" s="552"/>
      <c r="N304" s="551"/>
      <c r="O304" s="551"/>
      <c r="P304" s="551"/>
      <c r="Q304" s="551"/>
      <c r="R304" s="551"/>
      <c r="S304" s="551"/>
      <c r="T304" s="551"/>
      <c r="U304" s="551"/>
      <c r="V304" s="551"/>
      <c r="W304" s="551"/>
      <c r="X304" s="551"/>
      <c r="Y304" s="551"/>
      <c r="Z304" s="551"/>
      <c r="AA304" s="551"/>
      <c r="AB304" s="551"/>
      <c r="AC304" s="551"/>
      <c r="AD304" s="551"/>
      <c r="AE304" s="551"/>
      <c r="AF304" s="551"/>
    </row>
    <row r="305">
      <c r="A305" s="552"/>
      <c r="B305" s="552"/>
      <c r="C305" s="552"/>
      <c r="D305" s="552"/>
      <c r="E305" s="552"/>
      <c r="F305" s="552"/>
      <c r="G305" s="552"/>
      <c r="H305" s="552"/>
      <c r="I305" s="552"/>
      <c r="J305" s="552"/>
      <c r="K305" s="552"/>
      <c r="L305" s="552"/>
      <c r="M305" s="552"/>
      <c r="N305" s="551"/>
      <c r="O305" s="551"/>
      <c r="P305" s="551"/>
      <c r="Q305" s="551"/>
      <c r="R305" s="551"/>
      <c r="S305" s="551"/>
      <c r="T305" s="551"/>
      <c r="U305" s="551"/>
      <c r="V305" s="551"/>
      <c r="W305" s="551"/>
      <c r="X305" s="551"/>
      <c r="Y305" s="551"/>
      <c r="Z305" s="551"/>
      <c r="AA305" s="551"/>
      <c r="AB305" s="551"/>
      <c r="AC305" s="551"/>
      <c r="AD305" s="551"/>
      <c r="AE305" s="551"/>
      <c r="AF305" s="551"/>
    </row>
    <row r="306">
      <c r="A306" s="552"/>
      <c r="B306" s="552"/>
      <c r="C306" s="552"/>
      <c r="D306" s="552"/>
      <c r="E306" s="552"/>
      <c r="F306" s="552"/>
      <c r="G306" s="552"/>
      <c r="H306" s="552"/>
      <c r="I306" s="552"/>
      <c r="J306" s="552"/>
      <c r="K306" s="552"/>
      <c r="L306" s="552"/>
      <c r="M306" s="552"/>
      <c r="N306" s="551"/>
      <c r="O306" s="551"/>
      <c r="P306" s="551"/>
      <c r="Q306" s="551"/>
      <c r="R306" s="551"/>
      <c r="S306" s="551"/>
      <c r="T306" s="551"/>
      <c r="U306" s="551"/>
      <c r="V306" s="551"/>
      <c r="W306" s="551"/>
      <c r="X306" s="551"/>
      <c r="Y306" s="551"/>
      <c r="Z306" s="551"/>
      <c r="AA306" s="551"/>
      <c r="AB306" s="551"/>
      <c r="AC306" s="551"/>
      <c r="AD306" s="551"/>
      <c r="AE306" s="551"/>
      <c r="AF306" s="551"/>
    </row>
    <row r="307">
      <c r="A307" s="552"/>
      <c r="B307" s="552"/>
      <c r="C307" s="552"/>
      <c r="D307" s="552"/>
      <c r="E307" s="552"/>
      <c r="F307" s="552"/>
      <c r="G307" s="552"/>
      <c r="H307" s="552"/>
      <c r="I307" s="552"/>
      <c r="J307" s="552"/>
      <c r="K307" s="552"/>
      <c r="L307" s="552"/>
      <c r="M307" s="552"/>
      <c r="N307" s="551"/>
      <c r="O307" s="551"/>
      <c r="P307" s="551"/>
      <c r="Q307" s="551"/>
      <c r="R307" s="551"/>
      <c r="S307" s="551"/>
      <c r="T307" s="551"/>
      <c r="U307" s="551"/>
      <c r="V307" s="551"/>
      <c r="W307" s="551"/>
      <c r="X307" s="551"/>
      <c r="Y307" s="551"/>
      <c r="Z307" s="551"/>
      <c r="AA307" s="551"/>
      <c r="AB307" s="551"/>
      <c r="AC307" s="551"/>
      <c r="AD307" s="551"/>
      <c r="AE307" s="551"/>
      <c r="AF307" s="551"/>
    </row>
    <row r="308">
      <c r="A308" s="552"/>
      <c r="B308" s="552"/>
      <c r="C308" s="552"/>
      <c r="D308" s="552"/>
      <c r="E308" s="552"/>
      <c r="F308" s="552"/>
      <c r="G308" s="552"/>
      <c r="H308" s="552"/>
      <c r="I308" s="552"/>
      <c r="J308" s="552"/>
      <c r="K308" s="552"/>
      <c r="L308" s="552"/>
      <c r="M308" s="552"/>
      <c r="N308" s="551"/>
      <c r="O308" s="551"/>
      <c r="P308" s="551"/>
      <c r="Q308" s="551"/>
      <c r="R308" s="551"/>
      <c r="S308" s="551"/>
      <c r="T308" s="551"/>
      <c r="U308" s="551"/>
      <c r="V308" s="551"/>
      <c r="W308" s="551"/>
      <c r="X308" s="551"/>
      <c r="Y308" s="551"/>
      <c r="Z308" s="551"/>
      <c r="AA308" s="551"/>
      <c r="AB308" s="551"/>
      <c r="AC308" s="551"/>
      <c r="AD308" s="551"/>
      <c r="AE308" s="551"/>
      <c r="AF308" s="551"/>
    </row>
    <row r="309">
      <c r="A309" s="552"/>
      <c r="B309" s="552"/>
      <c r="C309" s="552"/>
      <c r="D309" s="552"/>
      <c r="E309" s="552"/>
      <c r="F309" s="552"/>
      <c r="G309" s="552"/>
      <c r="H309" s="552"/>
      <c r="I309" s="552"/>
      <c r="J309" s="552"/>
      <c r="K309" s="552"/>
      <c r="L309" s="552"/>
      <c r="M309" s="552"/>
      <c r="N309" s="551"/>
      <c r="O309" s="551"/>
      <c r="P309" s="551"/>
      <c r="Q309" s="551"/>
      <c r="R309" s="551"/>
      <c r="S309" s="551"/>
      <c r="T309" s="551"/>
      <c r="U309" s="551"/>
      <c r="V309" s="551"/>
      <c r="W309" s="551"/>
      <c r="X309" s="551"/>
      <c r="Y309" s="551"/>
      <c r="Z309" s="551"/>
      <c r="AA309" s="551"/>
      <c r="AB309" s="551"/>
      <c r="AC309" s="551"/>
      <c r="AD309" s="551"/>
      <c r="AE309" s="551"/>
      <c r="AF309" s="551"/>
    </row>
    <row r="310">
      <c r="A310" s="552"/>
      <c r="B310" s="552"/>
      <c r="C310" s="552"/>
      <c r="D310" s="552"/>
      <c r="E310" s="552"/>
      <c r="F310" s="552"/>
      <c r="G310" s="552"/>
      <c r="H310" s="552"/>
      <c r="I310" s="552"/>
      <c r="J310" s="552"/>
      <c r="K310" s="552"/>
      <c r="L310" s="552"/>
      <c r="M310" s="552"/>
      <c r="N310" s="551"/>
      <c r="O310" s="551"/>
      <c r="P310" s="551"/>
      <c r="Q310" s="551"/>
      <c r="R310" s="551"/>
      <c r="S310" s="551"/>
      <c r="T310" s="551"/>
      <c r="U310" s="551"/>
      <c r="V310" s="551"/>
      <c r="W310" s="551"/>
      <c r="X310" s="551"/>
      <c r="Y310" s="551"/>
      <c r="Z310" s="551"/>
      <c r="AA310" s="551"/>
      <c r="AB310" s="551"/>
      <c r="AC310" s="551"/>
      <c r="AD310" s="551"/>
      <c r="AE310" s="551"/>
      <c r="AF310" s="551"/>
    </row>
    <row r="311">
      <c r="A311" s="552"/>
      <c r="B311" s="552"/>
      <c r="C311" s="552"/>
      <c r="D311" s="552"/>
      <c r="E311" s="552"/>
      <c r="F311" s="552"/>
      <c r="G311" s="552"/>
      <c r="H311" s="552"/>
      <c r="I311" s="552"/>
      <c r="J311" s="552"/>
      <c r="K311" s="552"/>
      <c r="L311" s="552"/>
      <c r="M311" s="552"/>
      <c r="N311" s="551"/>
      <c r="O311" s="551"/>
      <c r="P311" s="551"/>
      <c r="Q311" s="551"/>
      <c r="R311" s="551"/>
      <c r="S311" s="551"/>
      <c r="T311" s="551"/>
      <c r="U311" s="551"/>
      <c r="V311" s="551"/>
      <c r="W311" s="551"/>
      <c r="X311" s="551"/>
      <c r="Y311" s="551"/>
      <c r="Z311" s="551"/>
      <c r="AA311" s="551"/>
      <c r="AB311" s="551"/>
      <c r="AC311" s="551"/>
      <c r="AD311" s="551"/>
      <c r="AE311" s="551"/>
      <c r="AF311" s="551"/>
    </row>
    <row r="312">
      <c r="A312" s="552"/>
      <c r="B312" s="552"/>
      <c r="C312" s="552"/>
      <c r="D312" s="552"/>
      <c r="E312" s="552"/>
      <c r="F312" s="552"/>
      <c r="G312" s="552"/>
      <c r="H312" s="552"/>
      <c r="I312" s="552"/>
      <c r="J312" s="552"/>
      <c r="K312" s="552"/>
      <c r="L312" s="552"/>
      <c r="M312" s="552"/>
      <c r="N312" s="551"/>
      <c r="O312" s="551"/>
      <c r="P312" s="551"/>
      <c r="Q312" s="551"/>
      <c r="R312" s="551"/>
      <c r="S312" s="551"/>
      <c r="T312" s="551"/>
      <c r="U312" s="551"/>
      <c r="V312" s="551"/>
      <c r="W312" s="551"/>
      <c r="X312" s="551"/>
      <c r="Y312" s="551"/>
      <c r="Z312" s="551"/>
      <c r="AA312" s="551"/>
      <c r="AB312" s="551"/>
      <c r="AC312" s="551"/>
      <c r="AD312" s="551"/>
      <c r="AE312" s="551"/>
      <c r="AF312" s="551"/>
    </row>
    <row r="313">
      <c r="A313" s="552"/>
      <c r="B313" s="552"/>
      <c r="C313" s="552"/>
      <c r="D313" s="552"/>
      <c r="E313" s="552"/>
      <c r="F313" s="552"/>
      <c r="G313" s="552"/>
      <c r="H313" s="552"/>
      <c r="I313" s="552"/>
      <c r="J313" s="552"/>
      <c r="K313" s="552"/>
      <c r="L313" s="552"/>
      <c r="M313" s="552"/>
      <c r="N313" s="551"/>
      <c r="O313" s="551"/>
      <c r="P313" s="551"/>
      <c r="Q313" s="551"/>
      <c r="R313" s="551"/>
      <c r="S313" s="551"/>
      <c r="T313" s="551"/>
      <c r="U313" s="551"/>
      <c r="V313" s="551"/>
      <c r="W313" s="551"/>
      <c r="X313" s="551"/>
      <c r="Y313" s="551"/>
      <c r="Z313" s="551"/>
      <c r="AA313" s="551"/>
      <c r="AB313" s="551"/>
      <c r="AC313" s="551"/>
      <c r="AD313" s="551"/>
      <c r="AE313" s="551"/>
      <c r="AF313" s="551"/>
    </row>
    <row r="314">
      <c r="A314" s="552"/>
      <c r="B314" s="552"/>
      <c r="C314" s="552"/>
      <c r="D314" s="552"/>
      <c r="E314" s="552"/>
      <c r="F314" s="552"/>
      <c r="G314" s="552"/>
      <c r="H314" s="552"/>
      <c r="I314" s="552"/>
      <c r="J314" s="552"/>
      <c r="K314" s="552"/>
      <c r="L314" s="552"/>
      <c r="M314" s="552"/>
      <c r="N314" s="551"/>
      <c r="O314" s="551"/>
      <c r="P314" s="551"/>
      <c r="Q314" s="551"/>
      <c r="R314" s="551"/>
      <c r="S314" s="551"/>
      <c r="T314" s="551"/>
      <c r="U314" s="551"/>
      <c r="V314" s="551"/>
      <c r="W314" s="551"/>
      <c r="X314" s="551"/>
      <c r="Y314" s="551"/>
      <c r="Z314" s="551"/>
      <c r="AA314" s="551"/>
      <c r="AB314" s="551"/>
      <c r="AC314" s="551"/>
      <c r="AD314" s="551"/>
      <c r="AE314" s="551"/>
      <c r="AF314" s="551"/>
    </row>
    <row r="315">
      <c r="A315" s="552"/>
      <c r="B315" s="552"/>
      <c r="C315" s="552"/>
      <c r="D315" s="552"/>
      <c r="E315" s="552"/>
      <c r="F315" s="552"/>
      <c r="G315" s="552"/>
      <c r="H315" s="552"/>
      <c r="I315" s="552"/>
      <c r="J315" s="552"/>
      <c r="K315" s="552"/>
      <c r="L315" s="552"/>
      <c r="M315" s="552"/>
      <c r="N315" s="551"/>
      <c r="O315" s="551"/>
      <c r="P315" s="551"/>
      <c r="Q315" s="551"/>
      <c r="R315" s="551"/>
      <c r="S315" s="551"/>
      <c r="T315" s="551"/>
      <c r="U315" s="551"/>
      <c r="V315" s="551"/>
      <c r="W315" s="551"/>
      <c r="X315" s="551"/>
      <c r="Y315" s="551"/>
      <c r="Z315" s="551"/>
      <c r="AA315" s="551"/>
      <c r="AB315" s="551"/>
      <c r="AC315" s="551"/>
      <c r="AD315" s="551"/>
      <c r="AE315" s="551"/>
      <c r="AF315" s="551"/>
    </row>
    <row r="316">
      <c r="A316" s="552"/>
      <c r="B316" s="552"/>
      <c r="C316" s="552"/>
      <c r="D316" s="552"/>
      <c r="E316" s="552"/>
      <c r="F316" s="552"/>
      <c r="G316" s="552"/>
      <c r="H316" s="552"/>
      <c r="I316" s="552"/>
      <c r="J316" s="552"/>
      <c r="K316" s="552"/>
      <c r="L316" s="552"/>
      <c r="M316" s="552"/>
      <c r="N316" s="551"/>
      <c r="O316" s="551"/>
      <c r="P316" s="551"/>
      <c r="Q316" s="551"/>
      <c r="R316" s="551"/>
      <c r="S316" s="551"/>
      <c r="T316" s="551"/>
      <c r="U316" s="551"/>
      <c r="V316" s="551"/>
      <c r="W316" s="551"/>
      <c r="X316" s="551"/>
      <c r="Y316" s="551"/>
      <c r="Z316" s="551"/>
      <c r="AA316" s="551"/>
      <c r="AB316" s="551"/>
      <c r="AC316" s="551"/>
      <c r="AD316" s="551"/>
      <c r="AE316" s="551"/>
      <c r="AF316" s="551"/>
    </row>
    <row r="317">
      <c r="A317" s="552"/>
      <c r="B317" s="552"/>
      <c r="C317" s="552"/>
      <c r="D317" s="552"/>
      <c r="E317" s="552"/>
      <c r="F317" s="552"/>
      <c r="G317" s="552"/>
      <c r="H317" s="552"/>
      <c r="I317" s="552"/>
      <c r="J317" s="552"/>
      <c r="K317" s="552"/>
      <c r="L317" s="552"/>
      <c r="M317" s="552"/>
      <c r="N317" s="551"/>
      <c r="O317" s="551"/>
      <c r="P317" s="551"/>
      <c r="Q317" s="551"/>
      <c r="R317" s="551"/>
      <c r="S317" s="551"/>
      <c r="T317" s="551"/>
      <c r="U317" s="551"/>
      <c r="V317" s="551"/>
      <c r="W317" s="551"/>
      <c r="X317" s="551"/>
      <c r="Y317" s="551"/>
      <c r="Z317" s="551"/>
      <c r="AA317" s="551"/>
      <c r="AB317" s="551"/>
      <c r="AC317" s="551"/>
      <c r="AD317" s="551"/>
      <c r="AE317" s="551"/>
      <c r="AF317" s="551"/>
    </row>
    <row r="318">
      <c r="A318" s="552"/>
      <c r="B318" s="552"/>
      <c r="C318" s="552"/>
      <c r="D318" s="552"/>
      <c r="E318" s="552"/>
      <c r="F318" s="552"/>
      <c r="G318" s="552"/>
      <c r="H318" s="552"/>
      <c r="I318" s="552"/>
      <c r="J318" s="552"/>
      <c r="K318" s="552"/>
      <c r="L318" s="552"/>
      <c r="M318" s="552"/>
      <c r="N318" s="551"/>
      <c r="O318" s="551"/>
      <c r="P318" s="551"/>
      <c r="Q318" s="551"/>
      <c r="R318" s="551"/>
      <c r="S318" s="551"/>
      <c r="T318" s="551"/>
      <c r="U318" s="551"/>
      <c r="V318" s="551"/>
      <c r="W318" s="551"/>
      <c r="X318" s="551"/>
      <c r="Y318" s="551"/>
      <c r="Z318" s="551"/>
      <c r="AA318" s="551"/>
      <c r="AB318" s="551"/>
      <c r="AC318" s="551"/>
      <c r="AD318" s="551"/>
      <c r="AE318" s="551"/>
      <c r="AF318" s="551"/>
    </row>
    <row r="319">
      <c r="A319" s="552"/>
      <c r="B319" s="552"/>
      <c r="C319" s="552"/>
      <c r="D319" s="552"/>
      <c r="E319" s="552"/>
      <c r="F319" s="552"/>
      <c r="G319" s="552"/>
      <c r="H319" s="552"/>
      <c r="I319" s="552"/>
      <c r="J319" s="552"/>
      <c r="K319" s="552"/>
      <c r="L319" s="552"/>
      <c r="M319" s="552"/>
      <c r="N319" s="551"/>
      <c r="O319" s="551"/>
      <c r="P319" s="551"/>
      <c r="Q319" s="551"/>
      <c r="R319" s="551"/>
      <c r="S319" s="551"/>
      <c r="T319" s="551"/>
      <c r="U319" s="551"/>
      <c r="V319" s="551"/>
      <c r="W319" s="551"/>
      <c r="X319" s="551"/>
      <c r="Y319" s="551"/>
      <c r="Z319" s="551"/>
      <c r="AA319" s="551"/>
      <c r="AB319" s="551"/>
      <c r="AC319" s="551"/>
      <c r="AD319" s="551"/>
      <c r="AE319" s="551"/>
      <c r="AF319" s="551"/>
    </row>
    <row r="320">
      <c r="A320" s="552"/>
      <c r="B320" s="552"/>
      <c r="C320" s="552"/>
      <c r="D320" s="552"/>
      <c r="E320" s="552"/>
      <c r="F320" s="552"/>
      <c r="G320" s="552"/>
      <c r="H320" s="552"/>
      <c r="I320" s="552"/>
      <c r="J320" s="552"/>
      <c r="K320" s="552"/>
      <c r="L320" s="552"/>
      <c r="M320" s="552"/>
      <c r="N320" s="551"/>
      <c r="O320" s="551"/>
      <c r="P320" s="551"/>
      <c r="Q320" s="551"/>
      <c r="R320" s="551"/>
      <c r="S320" s="551"/>
      <c r="T320" s="551"/>
      <c r="U320" s="551"/>
      <c r="V320" s="551"/>
      <c r="W320" s="551"/>
      <c r="X320" s="551"/>
      <c r="Y320" s="551"/>
      <c r="Z320" s="551"/>
      <c r="AA320" s="551"/>
      <c r="AB320" s="551"/>
      <c r="AC320" s="551"/>
      <c r="AD320" s="551"/>
      <c r="AE320" s="551"/>
      <c r="AF320" s="551"/>
    </row>
    <row r="321">
      <c r="A321" s="552"/>
      <c r="B321" s="552"/>
      <c r="C321" s="552"/>
      <c r="D321" s="552"/>
      <c r="E321" s="552"/>
      <c r="F321" s="552"/>
      <c r="G321" s="552"/>
      <c r="H321" s="552"/>
      <c r="I321" s="552"/>
      <c r="J321" s="552"/>
      <c r="K321" s="552"/>
      <c r="L321" s="552"/>
      <c r="M321" s="552"/>
      <c r="N321" s="551"/>
      <c r="O321" s="551"/>
      <c r="P321" s="551"/>
      <c r="Q321" s="551"/>
      <c r="R321" s="551"/>
      <c r="S321" s="551"/>
      <c r="T321" s="551"/>
      <c r="U321" s="551"/>
      <c r="V321" s="551"/>
      <c r="W321" s="551"/>
      <c r="X321" s="551"/>
      <c r="Y321" s="551"/>
      <c r="Z321" s="551"/>
      <c r="AA321" s="551"/>
      <c r="AB321" s="551"/>
      <c r="AC321" s="551"/>
      <c r="AD321" s="551"/>
      <c r="AE321" s="551"/>
      <c r="AF321" s="551"/>
    </row>
    <row r="322">
      <c r="A322" s="552"/>
      <c r="B322" s="552"/>
      <c r="C322" s="552"/>
      <c r="D322" s="552"/>
      <c r="E322" s="552"/>
      <c r="F322" s="552"/>
      <c r="G322" s="552"/>
      <c r="H322" s="552"/>
      <c r="I322" s="552"/>
      <c r="J322" s="552"/>
      <c r="K322" s="552"/>
      <c r="L322" s="552"/>
      <c r="M322" s="552"/>
      <c r="N322" s="551"/>
      <c r="O322" s="551"/>
      <c r="P322" s="551"/>
      <c r="Q322" s="551"/>
      <c r="R322" s="551"/>
      <c r="S322" s="551"/>
      <c r="T322" s="551"/>
      <c r="U322" s="551"/>
      <c r="V322" s="551"/>
      <c r="W322" s="551"/>
      <c r="X322" s="551"/>
      <c r="Y322" s="551"/>
      <c r="Z322" s="551"/>
      <c r="AA322" s="551"/>
      <c r="AB322" s="551"/>
      <c r="AC322" s="551"/>
      <c r="AD322" s="551"/>
      <c r="AE322" s="551"/>
      <c r="AF322" s="551"/>
    </row>
    <row r="323">
      <c r="A323" s="552"/>
      <c r="B323" s="552"/>
      <c r="C323" s="552"/>
      <c r="D323" s="552"/>
      <c r="E323" s="552"/>
      <c r="F323" s="552"/>
      <c r="G323" s="552"/>
      <c r="H323" s="552"/>
      <c r="I323" s="552"/>
      <c r="J323" s="552"/>
      <c r="K323" s="552"/>
      <c r="L323" s="552"/>
      <c r="M323" s="552"/>
      <c r="N323" s="551"/>
      <c r="O323" s="551"/>
      <c r="P323" s="551"/>
      <c r="Q323" s="551"/>
      <c r="R323" s="551"/>
      <c r="S323" s="551"/>
      <c r="T323" s="551"/>
      <c r="U323" s="551"/>
      <c r="V323" s="551"/>
      <c r="W323" s="551"/>
      <c r="X323" s="551"/>
      <c r="Y323" s="551"/>
      <c r="Z323" s="551"/>
      <c r="AA323" s="551"/>
      <c r="AB323" s="551"/>
      <c r="AC323" s="551"/>
      <c r="AD323" s="551"/>
      <c r="AE323" s="551"/>
      <c r="AF323" s="551"/>
    </row>
    <row r="324">
      <c r="A324" s="552"/>
      <c r="B324" s="552"/>
      <c r="C324" s="552"/>
      <c r="D324" s="552"/>
      <c r="E324" s="552"/>
      <c r="F324" s="552"/>
      <c r="G324" s="552"/>
      <c r="H324" s="552"/>
      <c r="I324" s="552"/>
      <c r="J324" s="552"/>
      <c r="K324" s="552"/>
      <c r="L324" s="552"/>
      <c r="M324" s="552"/>
      <c r="N324" s="551"/>
      <c r="O324" s="551"/>
      <c r="P324" s="551"/>
      <c r="Q324" s="551"/>
      <c r="R324" s="551"/>
      <c r="S324" s="551"/>
      <c r="T324" s="551"/>
      <c r="U324" s="551"/>
      <c r="V324" s="551"/>
      <c r="W324" s="551"/>
      <c r="X324" s="551"/>
      <c r="Y324" s="551"/>
      <c r="Z324" s="551"/>
      <c r="AA324" s="551"/>
      <c r="AB324" s="551"/>
      <c r="AC324" s="551"/>
      <c r="AD324" s="551"/>
      <c r="AE324" s="551"/>
      <c r="AF324" s="551"/>
    </row>
    <row r="325">
      <c r="A325" s="552"/>
      <c r="B325" s="552"/>
      <c r="C325" s="552"/>
      <c r="D325" s="552"/>
      <c r="E325" s="552"/>
      <c r="F325" s="552"/>
      <c r="G325" s="552"/>
      <c r="H325" s="552"/>
      <c r="I325" s="552"/>
      <c r="J325" s="552"/>
      <c r="K325" s="552"/>
      <c r="L325" s="552"/>
      <c r="M325" s="552"/>
      <c r="N325" s="551"/>
      <c r="O325" s="551"/>
      <c r="P325" s="551"/>
      <c r="Q325" s="551"/>
      <c r="R325" s="551"/>
      <c r="S325" s="551"/>
      <c r="T325" s="551"/>
      <c r="U325" s="551"/>
      <c r="V325" s="551"/>
      <c r="W325" s="551"/>
      <c r="X325" s="551"/>
      <c r="Y325" s="551"/>
      <c r="Z325" s="551"/>
      <c r="AA325" s="551"/>
      <c r="AB325" s="551"/>
      <c r="AC325" s="551"/>
      <c r="AD325" s="551"/>
      <c r="AE325" s="551"/>
      <c r="AF325" s="551"/>
    </row>
    <row r="326">
      <c r="A326" s="552"/>
      <c r="B326" s="552"/>
      <c r="C326" s="552"/>
      <c r="D326" s="552"/>
      <c r="E326" s="552"/>
      <c r="F326" s="552"/>
      <c r="G326" s="552"/>
      <c r="H326" s="552"/>
      <c r="I326" s="552"/>
      <c r="J326" s="552"/>
      <c r="K326" s="552"/>
      <c r="L326" s="552"/>
      <c r="M326" s="552"/>
      <c r="N326" s="551"/>
      <c r="O326" s="551"/>
      <c r="P326" s="551"/>
      <c r="Q326" s="551"/>
      <c r="R326" s="551"/>
      <c r="S326" s="551"/>
      <c r="T326" s="551"/>
      <c r="U326" s="551"/>
      <c r="V326" s="551"/>
      <c r="W326" s="551"/>
      <c r="X326" s="551"/>
      <c r="Y326" s="551"/>
      <c r="Z326" s="551"/>
      <c r="AA326" s="551"/>
      <c r="AB326" s="551"/>
      <c r="AC326" s="551"/>
      <c r="AD326" s="551"/>
      <c r="AE326" s="551"/>
      <c r="AF326" s="551"/>
    </row>
    <row r="327">
      <c r="A327" s="552"/>
      <c r="B327" s="552"/>
      <c r="C327" s="552"/>
      <c r="D327" s="552"/>
      <c r="E327" s="552"/>
      <c r="F327" s="552"/>
      <c r="G327" s="552"/>
      <c r="H327" s="552"/>
      <c r="I327" s="552"/>
      <c r="J327" s="552"/>
      <c r="K327" s="552"/>
      <c r="L327" s="552"/>
      <c r="M327" s="552"/>
      <c r="N327" s="551"/>
      <c r="O327" s="551"/>
      <c r="P327" s="551"/>
      <c r="Q327" s="551"/>
      <c r="R327" s="551"/>
      <c r="S327" s="551"/>
      <c r="T327" s="551"/>
      <c r="U327" s="551"/>
      <c r="V327" s="551"/>
      <c r="W327" s="551"/>
      <c r="X327" s="551"/>
      <c r="Y327" s="551"/>
      <c r="Z327" s="551"/>
      <c r="AA327" s="551"/>
      <c r="AB327" s="551"/>
      <c r="AC327" s="551"/>
      <c r="AD327" s="551"/>
      <c r="AE327" s="551"/>
      <c r="AF327" s="551"/>
    </row>
    <row r="328">
      <c r="A328" s="552"/>
      <c r="B328" s="552"/>
      <c r="C328" s="552"/>
      <c r="D328" s="552"/>
      <c r="E328" s="552"/>
      <c r="F328" s="552"/>
      <c r="G328" s="552"/>
      <c r="H328" s="552"/>
      <c r="I328" s="552"/>
      <c r="J328" s="552"/>
      <c r="K328" s="552"/>
      <c r="L328" s="552"/>
      <c r="M328" s="552"/>
      <c r="N328" s="551"/>
      <c r="O328" s="551"/>
      <c r="P328" s="551"/>
      <c r="Q328" s="551"/>
      <c r="R328" s="551"/>
      <c r="S328" s="551"/>
      <c r="T328" s="551"/>
      <c r="U328" s="551"/>
      <c r="V328" s="551"/>
      <c r="W328" s="551"/>
      <c r="X328" s="551"/>
      <c r="Y328" s="551"/>
      <c r="Z328" s="551"/>
      <c r="AA328" s="551"/>
      <c r="AB328" s="551"/>
      <c r="AC328" s="551"/>
      <c r="AD328" s="551"/>
      <c r="AE328" s="551"/>
      <c r="AF328" s="551"/>
    </row>
    <row r="329">
      <c r="A329" s="552"/>
      <c r="B329" s="552"/>
      <c r="C329" s="552"/>
      <c r="D329" s="552"/>
      <c r="E329" s="552"/>
      <c r="F329" s="552"/>
      <c r="G329" s="552"/>
      <c r="H329" s="552"/>
      <c r="I329" s="552"/>
      <c r="J329" s="552"/>
      <c r="K329" s="552"/>
      <c r="L329" s="552"/>
      <c r="M329" s="552"/>
      <c r="N329" s="551"/>
      <c r="O329" s="551"/>
      <c r="P329" s="551"/>
      <c r="Q329" s="551"/>
      <c r="R329" s="551"/>
      <c r="S329" s="551"/>
      <c r="T329" s="551"/>
      <c r="U329" s="551"/>
      <c r="V329" s="551"/>
      <c r="W329" s="551"/>
      <c r="X329" s="551"/>
      <c r="Y329" s="551"/>
      <c r="Z329" s="551"/>
      <c r="AA329" s="551"/>
      <c r="AB329" s="551"/>
      <c r="AC329" s="551"/>
      <c r="AD329" s="551"/>
      <c r="AE329" s="551"/>
      <c r="AF329" s="551"/>
    </row>
    <row r="330">
      <c r="A330" s="552"/>
      <c r="B330" s="552"/>
      <c r="C330" s="552"/>
      <c r="D330" s="552"/>
      <c r="E330" s="552"/>
      <c r="F330" s="552"/>
      <c r="G330" s="552"/>
      <c r="H330" s="552"/>
      <c r="I330" s="552"/>
      <c r="J330" s="552"/>
      <c r="K330" s="552"/>
      <c r="L330" s="552"/>
      <c r="M330" s="552"/>
      <c r="N330" s="551"/>
      <c r="O330" s="551"/>
      <c r="P330" s="551"/>
      <c r="Q330" s="551"/>
      <c r="R330" s="551"/>
      <c r="S330" s="551"/>
      <c r="T330" s="551"/>
      <c r="U330" s="551"/>
      <c r="V330" s="551"/>
      <c r="W330" s="551"/>
      <c r="X330" s="551"/>
      <c r="Y330" s="551"/>
      <c r="Z330" s="551"/>
      <c r="AA330" s="551"/>
      <c r="AB330" s="551"/>
      <c r="AC330" s="551"/>
      <c r="AD330" s="551"/>
      <c r="AE330" s="551"/>
      <c r="AF330" s="551"/>
    </row>
    <row r="331">
      <c r="A331" s="552"/>
      <c r="B331" s="552"/>
      <c r="C331" s="552"/>
      <c r="D331" s="552"/>
      <c r="E331" s="552"/>
      <c r="F331" s="552"/>
      <c r="G331" s="552"/>
      <c r="H331" s="552"/>
      <c r="I331" s="552"/>
      <c r="J331" s="552"/>
      <c r="K331" s="552"/>
      <c r="L331" s="552"/>
      <c r="M331" s="552"/>
      <c r="N331" s="551"/>
      <c r="O331" s="551"/>
      <c r="P331" s="551"/>
      <c r="Q331" s="551"/>
      <c r="R331" s="551"/>
      <c r="S331" s="551"/>
      <c r="T331" s="551"/>
      <c r="U331" s="551"/>
      <c r="V331" s="551"/>
      <c r="W331" s="551"/>
      <c r="X331" s="551"/>
      <c r="Y331" s="551"/>
      <c r="Z331" s="551"/>
      <c r="AA331" s="551"/>
      <c r="AB331" s="551"/>
      <c r="AC331" s="551"/>
      <c r="AD331" s="551"/>
      <c r="AE331" s="551"/>
      <c r="AF331" s="551"/>
    </row>
    <row r="332">
      <c r="A332" s="552"/>
      <c r="B332" s="552"/>
      <c r="C332" s="552"/>
      <c r="D332" s="552"/>
      <c r="E332" s="552"/>
      <c r="F332" s="552"/>
      <c r="G332" s="552"/>
      <c r="H332" s="552"/>
      <c r="I332" s="552"/>
      <c r="J332" s="552"/>
      <c r="K332" s="552"/>
      <c r="L332" s="552"/>
      <c r="M332" s="552"/>
      <c r="N332" s="551"/>
      <c r="O332" s="551"/>
      <c r="P332" s="551"/>
      <c r="Q332" s="551"/>
      <c r="R332" s="551"/>
      <c r="S332" s="551"/>
      <c r="T332" s="551"/>
      <c r="U332" s="551"/>
      <c r="V332" s="551"/>
      <c r="W332" s="551"/>
      <c r="X332" s="551"/>
      <c r="Y332" s="551"/>
      <c r="Z332" s="551"/>
      <c r="AA332" s="551"/>
      <c r="AB332" s="551"/>
      <c r="AC332" s="551"/>
      <c r="AD332" s="551"/>
      <c r="AE332" s="551"/>
      <c r="AF332" s="551"/>
    </row>
    <row r="333">
      <c r="A333" s="552"/>
      <c r="B333" s="552"/>
      <c r="C333" s="552"/>
      <c r="D333" s="552"/>
      <c r="E333" s="552"/>
      <c r="F333" s="552"/>
      <c r="G333" s="552"/>
      <c r="H333" s="552"/>
      <c r="I333" s="552"/>
      <c r="J333" s="552"/>
      <c r="K333" s="552"/>
      <c r="L333" s="552"/>
      <c r="M333" s="552"/>
      <c r="N333" s="551"/>
      <c r="O333" s="551"/>
      <c r="P333" s="551"/>
      <c r="Q333" s="551"/>
      <c r="R333" s="551"/>
      <c r="S333" s="551"/>
      <c r="T333" s="551"/>
      <c r="U333" s="551"/>
      <c r="V333" s="551"/>
      <c r="W333" s="551"/>
      <c r="X333" s="551"/>
      <c r="Y333" s="551"/>
      <c r="Z333" s="551"/>
      <c r="AA333" s="551"/>
      <c r="AB333" s="551"/>
      <c r="AC333" s="551"/>
      <c r="AD333" s="551"/>
      <c r="AE333" s="551"/>
      <c r="AF333" s="551"/>
    </row>
    <row r="334">
      <c r="A334" s="552"/>
      <c r="B334" s="552"/>
      <c r="C334" s="552"/>
      <c r="D334" s="552"/>
      <c r="E334" s="552"/>
      <c r="F334" s="552"/>
      <c r="G334" s="552"/>
      <c r="H334" s="552"/>
      <c r="I334" s="552"/>
      <c r="J334" s="552"/>
      <c r="K334" s="552"/>
      <c r="L334" s="552"/>
      <c r="M334" s="552"/>
      <c r="N334" s="551"/>
      <c r="O334" s="551"/>
      <c r="P334" s="551"/>
      <c r="Q334" s="551"/>
      <c r="R334" s="551"/>
      <c r="S334" s="551"/>
      <c r="T334" s="551"/>
      <c r="U334" s="551"/>
      <c r="V334" s="551"/>
      <c r="W334" s="551"/>
      <c r="X334" s="551"/>
      <c r="Y334" s="551"/>
      <c r="Z334" s="551"/>
      <c r="AA334" s="551"/>
      <c r="AB334" s="551"/>
      <c r="AC334" s="551"/>
      <c r="AD334" s="551"/>
      <c r="AE334" s="551"/>
      <c r="AF334" s="551"/>
    </row>
    <row r="335">
      <c r="A335" s="552"/>
      <c r="B335" s="552"/>
      <c r="C335" s="552"/>
      <c r="D335" s="552"/>
      <c r="E335" s="552"/>
      <c r="F335" s="552"/>
      <c r="G335" s="552"/>
      <c r="H335" s="552"/>
      <c r="I335" s="552"/>
      <c r="J335" s="552"/>
      <c r="K335" s="552"/>
      <c r="L335" s="552"/>
      <c r="M335" s="552"/>
      <c r="N335" s="551"/>
      <c r="O335" s="551"/>
      <c r="P335" s="551"/>
      <c r="Q335" s="551"/>
      <c r="R335" s="551"/>
      <c r="S335" s="551"/>
      <c r="T335" s="551"/>
      <c r="U335" s="551"/>
      <c r="V335" s="551"/>
      <c r="W335" s="551"/>
      <c r="X335" s="551"/>
      <c r="Y335" s="551"/>
      <c r="Z335" s="551"/>
      <c r="AA335" s="551"/>
      <c r="AB335" s="551"/>
      <c r="AC335" s="551"/>
      <c r="AD335" s="551"/>
      <c r="AE335" s="551"/>
      <c r="AF335" s="551"/>
    </row>
    <row r="336">
      <c r="A336" s="552"/>
      <c r="B336" s="552"/>
      <c r="C336" s="552"/>
      <c r="D336" s="552"/>
      <c r="E336" s="552"/>
      <c r="F336" s="552"/>
      <c r="G336" s="552"/>
      <c r="H336" s="552"/>
      <c r="I336" s="552"/>
      <c r="J336" s="552"/>
      <c r="K336" s="552"/>
      <c r="L336" s="552"/>
      <c r="M336" s="552"/>
      <c r="N336" s="551"/>
      <c r="O336" s="551"/>
      <c r="P336" s="551"/>
      <c r="Q336" s="551"/>
      <c r="R336" s="551"/>
      <c r="S336" s="551"/>
      <c r="T336" s="551"/>
      <c r="U336" s="551"/>
      <c r="V336" s="551"/>
      <c r="W336" s="551"/>
      <c r="X336" s="551"/>
      <c r="Y336" s="551"/>
      <c r="Z336" s="551"/>
      <c r="AA336" s="551"/>
      <c r="AB336" s="551"/>
      <c r="AC336" s="551"/>
      <c r="AD336" s="551"/>
      <c r="AE336" s="551"/>
      <c r="AF336" s="551"/>
    </row>
    <row r="337">
      <c r="A337" s="552"/>
      <c r="B337" s="552"/>
      <c r="C337" s="552"/>
      <c r="D337" s="552"/>
      <c r="E337" s="552"/>
      <c r="F337" s="552"/>
      <c r="G337" s="552"/>
      <c r="H337" s="552"/>
      <c r="I337" s="552"/>
      <c r="J337" s="552"/>
      <c r="K337" s="552"/>
      <c r="L337" s="552"/>
      <c r="M337" s="552"/>
      <c r="N337" s="551"/>
      <c r="O337" s="551"/>
      <c r="P337" s="551"/>
      <c r="Q337" s="551"/>
      <c r="R337" s="551"/>
      <c r="S337" s="551"/>
      <c r="T337" s="551"/>
      <c r="U337" s="551"/>
      <c r="V337" s="551"/>
      <c r="W337" s="551"/>
      <c r="X337" s="551"/>
      <c r="Y337" s="551"/>
      <c r="Z337" s="551"/>
      <c r="AA337" s="551"/>
      <c r="AB337" s="551"/>
      <c r="AC337" s="551"/>
      <c r="AD337" s="551"/>
      <c r="AE337" s="551"/>
      <c r="AF337" s="551"/>
    </row>
    <row r="338">
      <c r="A338" s="552"/>
      <c r="B338" s="552"/>
      <c r="C338" s="552"/>
      <c r="D338" s="552"/>
      <c r="E338" s="552"/>
      <c r="F338" s="552"/>
      <c r="G338" s="552"/>
      <c r="H338" s="552"/>
      <c r="I338" s="552"/>
      <c r="J338" s="552"/>
      <c r="K338" s="552"/>
      <c r="L338" s="552"/>
      <c r="M338" s="552"/>
      <c r="N338" s="551"/>
      <c r="O338" s="551"/>
      <c r="P338" s="551"/>
      <c r="Q338" s="551"/>
      <c r="R338" s="551"/>
      <c r="S338" s="551"/>
      <c r="T338" s="551"/>
      <c r="U338" s="551"/>
      <c r="V338" s="551"/>
      <c r="W338" s="551"/>
      <c r="X338" s="551"/>
      <c r="Y338" s="551"/>
      <c r="Z338" s="551"/>
      <c r="AA338" s="551"/>
      <c r="AB338" s="551"/>
      <c r="AC338" s="551"/>
      <c r="AD338" s="551"/>
      <c r="AE338" s="551"/>
      <c r="AF338" s="551"/>
    </row>
    <row r="339">
      <c r="A339" s="552"/>
      <c r="B339" s="552"/>
      <c r="C339" s="552"/>
      <c r="D339" s="552"/>
      <c r="E339" s="552"/>
      <c r="F339" s="552"/>
      <c r="G339" s="552"/>
      <c r="H339" s="552"/>
      <c r="I339" s="552"/>
      <c r="J339" s="552"/>
      <c r="K339" s="552"/>
      <c r="L339" s="552"/>
      <c r="M339" s="552"/>
      <c r="N339" s="551"/>
      <c r="O339" s="551"/>
      <c r="P339" s="551"/>
      <c r="Q339" s="551"/>
      <c r="R339" s="551"/>
      <c r="S339" s="551"/>
      <c r="T339" s="551"/>
      <c r="U339" s="551"/>
      <c r="V339" s="551"/>
      <c r="W339" s="551"/>
      <c r="X339" s="551"/>
      <c r="Y339" s="551"/>
      <c r="Z339" s="551"/>
      <c r="AA339" s="551"/>
      <c r="AB339" s="551"/>
      <c r="AC339" s="551"/>
      <c r="AD339" s="551"/>
      <c r="AE339" s="551"/>
      <c r="AF339" s="551"/>
    </row>
    <row r="340">
      <c r="A340" s="552"/>
      <c r="B340" s="552"/>
      <c r="C340" s="552"/>
      <c r="D340" s="552"/>
      <c r="E340" s="552"/>
      <c r="F340" s="552"/>
      <c r="G340" s="552"/>
      <c r="H340" s="552"/>
      <c r="I340" s="552"/>
      <c r="J340" s="552"/>
      <c r="K340" s="552"/>
      <c r="L340" s="552"/>
      <c r="M340" s="552"/>
      <c r="N340" s="551"/>
      <c r="O340" s="551"/>
      <c r="P340" s="551"/>
      <c r="Q340" s="551"/>
      <c r="R340" s="551"/>
      <c r="S340" s="551"/>
      <c r="T340" s="551"/>
      <c r="U340" s="551"/>
      <c r="V340" s="551"/>
      <c r="W340" s="551"/>
      <c r="X340" s="551"/>
      <c r="Y340" s="551"/>
      <c r="Z340" s="551"/>
      <c r="AA340" s="551"/>
      <c r="AB340" s="551"/>
      <c r="AC340" s="551"/>
      <c r="AD340" s="551"/>
      <c r="AE340" s="551"/>
      <c r="AF340" s="551"/>
    </row>
    <row r="341">
      <c r="A341" s="552"/>
      <c r="B341" s="552"/>
      <c r="C341" s="552"/>
      <c r="D341" s="552"/>
      <c r="E341" s="552"/>
      <c r="F341" s="552"/>
      <c r="G341" s="552"/>
      <c r="H341" s="552"/>
      <c r="I341" s="552"/>
      <c r="J341" s="552"/>
      <c r="K341" s="552"/>
      <c r="L341" s="552"/>
      <c r="M341" s="552"/>
      <c r="N341" s="551"/>
      <c r="O341" s="551"/>
      <c r="P341" s="551"/>
      <c r="Q341" s="551"/>
      <c r="R341" s="551"/>
      <c r="S341" s="551"/>
      <c r="T341" s="551"/>
      <c r="U341" s="551"/>
      <c r="V341" s="551"/>
      <c r="W341" s="551"/>
      <c r="X341" s="551"/>
      <c r="Y341" s="551"/>
      <c r="Z341" s="551"/>
      <c r="AA341" s="551"/>
      <c r="AB341" s="551"/>
      <c r="AC341" s="551"/>
      <c r="AD341" s="551"/>
      <c r="AE341" s="551"/>
      <c r="AF341" s="551"/>
    </row>
    <row r="342">
      <c r="A342" s="552"/>
      <c r="B342" s="552"/>
      <c r="C342" s="552"/>
      <c r="D342" s="552"/>
      <c r="E342" s="552"/>
      <c r="F342" s="552"/>
      <c r="G342" s="552"/>
      <c r="H342" s="552"/>
      <c r="I342" s="552"/>
      <c r="J342" s="552"/>
      <c r="K342" s="552"/>
      <c r="L342" s="552"/>
      <c r="M342" s="552"/>
      <c r="N342" s="551"/>
      <c r="O342" s="551"/>
      <c r="P342" s="551"/>
      <c r="Q342" s="551"/>
      <c r="R342" s="551"/>
      <c r="S342" s="551"/>
      <c r="T342" s="551"/>
      <c r="U342" s="551"/>
      <c r="V342" s="551"/>
      <c r="W342" s="551"/>
      <c r="X342" s="551"/>
      <c r="Y342" s="551"/>
      <c r="Z342" s="551"/>
      <c r="AA342" s="551"/>
      <c r="AB342" s="551"/>
      <c r="AC342" s="551"/>
      <c r="AD342" s="551"/>
      <c r="AE342" s="551"/>
      <c r="AF342" s="551"/>
    </row>
    <row r="343">
      <c r="A343" s="552"/>
      <c r="B343" s="552"/>
      <c r="C343" s="552"/>
      <c r="D343" s="552"/>
      <c r="E343" s="552"/>
      <c r="F343" s="552"/>
      <c r="G343" s="552"/>
      <c r="H343" s="552"/>
      <c r="I343" s="552"/>
      <c r="J343" s="552"/>
      <c r="K343" s="552"/>
      <c r="L343" s="552"/>
      <c r="M343" s="552"/>
      <c r="N343" s="551"/>
      <c r="O343" s="551"/>
      <c r="P343" s="551"/>
      <c r="Q343" s="551"/>
      <c r="R343" s="551"/>
      <c r="S343" s="551"/>
      <c r="T343" s="551"/>
      <c r="U343" s="551"/>
      <c r="V343" s="551"/>
      <c r="W343" s="551"/>
      <c r="X343" s="551"/>
      <c r="Y343" s="551"/>
      <c r="Z343" s="551"/>
      <c r="AA343" s="551"/>
      <c r="AB343" s="551"/>
      <c r="AC343" s="551"/>
      <c r="AD343" s="551"/>
      <c r="AE343" s="551"/>
      <c r="AF343" s="551"/>
    </row>
    <row r="344">
      <c r="A344" s="552"/>
      <c r="B344" s="552"/>
      <c r="C344" s="552"/>
      <c r="D344" s="552"/>
      <c r="E344" s="552"/>
      <c r="F344" s="552"/>
      <c r="G344" s="552"/>
      <c r="H344" s="552"/>
      <c r="I344" s="552"/>
      <c r="J344" s="552"/>
      <c r="K344" s="552"/>
      <c r="L344" s="552"/>
      <c r="M344" s="552"/>
      <c r="N344" s="551"/>
      <c r="O344" s="551"/>
      <c r="P344" s="551"/>
      <c r="Q344" s="551"/>
      <c r="R344" s="551"/>
      <c r="S344" s="551"/>
      <c r="T344" s="551"/>
      <c r="U344" s="551"/>
      <c r="V344" s="551"/>
      <c r="W344" s="551"/>
      <c r="X344" s="551"/>
      <c r="Y344" s="551"/>
      <c r="Z344" s="551"/>
      <c r="AA344" s="551"/>
      <c r="AB344" s="551"/>
      <c r="AC344" s="551"/>
      <c r="AD344" s="551"/>
      <c r="AE344" s="551"/>
      <c r="AF344" s="551"/>
    </row>
    <row r="345">
      <c r="A345" s="552"/>
      <c r="B345" s="552"/>
      <c r="C345" s="552"/>
      <c r="D345" s="552"/>
      <c r="E345" s="552"/>
      <c r="F345" s="552"/>
      <c r="G345" s="552"/>
      <c r="H345" s="552"/>
      <c r="I345" s="552"/>
      <c r="J345" s="552"/>
      <c r="K345" s="552"/>
      <c r="L345" s="552"/>
      <c r="M345" s="552"/>
      <c r="N345" s="551"/>
      <c r="O345" s="551"/>
      <c r="P345" s="551"/>
      <c r="Q345" s="551"/>
      <c r="R345" s="551"/>
      <c r="S345" s="551"/>
      <c r="T345" s="551"/>
      <c r="U345" s="551"/>
      <c r="V345" s="551"/>
      <c r="W345" s="551"/>
      <c r="X345" s="551"/>
      <c r="Y345" s="551"/>
      <c r="Z345" s="551"/>
      <c r="AA345" s="551"/>
      <c r="AB345" s="551"/>
      <c r="AC345" s="551"/>
      <c r="AD345" s="551"/>
      <c r="AE345" s="551"/>
      <c r="AF345" s="551"/>
    </row>
    <row r="346">
      <c r="A346" s="552"/>
      <c r="B346" s="552"/>
      <c r="C346" s="552"/>
      <c r="D346" s="552"/>
      <c r="E346" s="552"/>
      <c r="F346" s="552"/>
      <c r="G346" s="552"/>
      <c r="H346" s="552"/>
      <c r="I346" s="552"/>
      <c r="J346" s="552"/>
      <c r="K346" s="552"/>
      <c r="L346" s="552"/>
      <c r="M346" s="552"/>
      <c r="N346" s="551"/>
      <c r="O346" s="551"/>
      <c r="P346" s="551"/>
      <c r="Q346" s="551"/>
      <c r="R346" s="551"/>
      <c r="S346" s="551"/>
      <c r="T346" s="551"/>
      <c r="U346" s="551"/>
      <c r="V346" s="551"/>
      <c r="W346" s="551"/>
      <c r="X346" s="551"/>
      <c r="Y346" s="551"/>
      <c r="Z346" s="551"/>
      <c r="AA346" s="551"/>
      <c r="AB346" s="551"/>
      <c r="AC346" s="551"/>
      <c r="AD346" s="551"/>
      <c r="AE346" s="551"/>
      <c r="AF346" s="551"/>
    </row>
    <row r="347">
      <c r="A347" s="552"/>
      <c r="B347" s="552"/>
      <c r="C347" s="552"/>
      <c r="D347" s="552"/>
      <c r="E347" s="552"/>
      <c r="F347" s="552"/>
      <c r="G347" s="552"/>
      <c r="H347" s="552"/>
      <c r="I347" s="552"/>
      <c r="J347" s="552"/>
      <c r="K347" s="552"/>
      <c r="L347" s="552"/>
      <c r="M347" s="552"/>
      <c r="N347" s="551"/>
      <c r="O347" s="551"/>
      <c r="P347" s="551"/>
      <c r="Q347" s="551"/>
      <c r="R347" s="551"/>
      <c r="S347" s="551"/>
      <c r="T347" s="551"/>
      <c r="U347" s="551"/>
      <c r="V347" s="551"/>
      <c r="W347" s="551"/>
      <c r="X347" s="551"/>
      <c r="Y347" s="551"/>
      <c r="Z347" s="551"/>
      <c r="AA347" s="551"/>
      <c r="AB347" s="551"/>
      <c r="AC347" s="551"/>
      <c r="AD347" s="551"/>
      <c r="AE347" s="551"/>
      <c r="AF347" s="551"/>
    </row>
    <row r="348">
      <c r="A348" s="552"/>
      <c r="B348" s="552"/>
      <c r="C348" s="552"/>
      <c r="D348" s="552"/>
      <c r="E348" s="552"/>
      <c r="F348" s="552"/>
      <c r="G348" s="552"/>
      <c r="H348" s="552"/>
      <c r="I348" s="552"/>
      <c r="J348" s="552"/>
      <c r="K348" s="552"/>
      <c r="L348" s="552"/>
      <c r="M348" s="552"/>
      <c r="N348" s="551"/>
      <c r="O348" s="551"/>
      <c r="P348" s="551"/>
      <c r="Q348" s="551"/>
      <c r="R348" s="551"/>
      <c r="S348" s="551"/>
      <c r="T348" s="551"/>
      <c r="U348" s="551"/>
      <c r="V348" s="551"/>
      <c r="W348" s="551"/>
      <c r="X348" s="551"/>
      <c r="Y348" s="551"/>
      <c r="Z348" s="551"/>
      <c r="AA348" s="551"/>
      <c r="AB348" s="551"/>
      <c r="AC348" s="551"/>
      <c r="AD348" s="551"/>
      <c r="AE348" s="551"/>
      <c r="AF348" s="551"/>
    </row>
    <row r="349">
      <c r="A349" s="552"/>
      <c r="B349" s="552"/>
      <c r="C349" s="552"/>
      <c r="D349" s="552"/>
      <c r="E349" s="552"/>
      <c r="F349" s="552"/>
      <c r="G349" s="552"/>
      <c r="H349" s="552"/>
      <c r="I349" s="552"/>
      <c r="J349" s="552"/>
      <c r="K349" s="552"/>
      <c r="L349" s="552"/>
      <c r="M349" s="552"/>
      <c r="N349" s="551"/>
      <c r="O349" s="551"/>
      <c r="P349" s="551"/>
      <c r="Q349" s="551"/>
      <c r="R349" s="551"/>
      <c r="S349" s="551"/>
      <c r="T349" s="551"/>
      <c r="U349" s="551"/>
      <c r="V349" s="551"/>
      <c r="W349" s="551"/>
      <c r="X349" s="551"/>
      <c r="Y349" s="551"/>
      <c r="Z349" s="551"/>
      <c r="AA349" s="551"/>
      <c r="AB349" s="551"/>
      <c r="AC349" s="551"/>
      <c r="AD349" s="551"/>
      <c r="AE349" s="551"/>
      <c r="AF349" s="551"/>
    </row>
    <row r="350">
      <c r="A350" s="552"/>
      <c r="B350" s="552"/>
      <c r="C350" s="552"/>
      <c r="D350" s="552"/>
      <c r="E350" s="552"/>
      <c r="F350" s="552"/>
      <c r="G350" s="552"/>
      <c r="H350" s="552"/>
      <c r="I350" s="552"/>
      <c r="J350" s="552"/>
      <c r="K350" s="552"/>
      <c r="L350" s="552"/>
      <c r="M350" s="552"/>
      <c r="N350" s="551"/>
      <c r="O350" s="551"/>
      <c r="P350" s="551"/>
      <c r="Q350" s="551"/>
      <c r="R350" s="551"/>
      <c r="S350" s="551"/>
      <c r="T350" s="551"/>
      <c r="U350" s="551"/>
      <c r="V350" s="551"/>
      <c r="W350" s="551"/>
      <c r="X350" s="551"/>
      <c r="Y350" s="551"/>
      <c r="Z350" s="551"/>
      <c r="AA350" s="551"/>
      <c r="AB350" s="551"/>
      <c r="AC350" s="551"/>
      <c r="AD350" s="551"/>
      <c r="AE350" s="551"/>
      <c r="AF350" s="551"/>
    </row>
    <row r="351">
      <c r="A351" s="552"/>
      <c r="B351" s="552"/>
      <c r="C351" s="552"/>
      <c r="D351" s="552"/>
      <c r="E351" s="552"/>
      <c r="F351" s="552"/>
      <c r="G351" s="552"/>
      <c r="H351" s="552"/>
      <c r="I351" s="552"/>
      <c r="J351" s="552"/>
      <c r="K351" s="552"/>
      <c r="L351" s="552"/>
      <c r="M351" s="552"/>
      <c r="N351" s="551"/>
      <c r="O351" s="551"/>
      <c r="P351" s="551"/>
      <c r="Q351" s="551"/>
      <c r="R351" s="551"/>
      <c r="S351" s="551"/>
      <c r="T351" s="551"/>
      <c r="U351" s="551"/>
      <c r="V351" s="551"/>
      <c r="W351" s="551"/>
      <c r="X351" s="551"/>
      <c r="Y351" s="551"/>
      <c r="Z351" s="551"/>
      <c r="AA351" s="551"/>
      <c r="AB351" s="551"/>
      <c r="AC351" s="551"/>
      <c r="AD351" s="551"/>
      <c r="AE351" s="551"/>
      <c r="AF351" s="551"/>
    </row>
    <row r="352">
      <c r="A352" s="552"/>
      <c r="B352" s="552"/>
      <c r="C352" s="552"/>
      <c r="D352" s="552"/>
      <c r="E352" s="552"/>
      <c r="F352" s="552"/>
      <c r="G352" s="552"/>
      <c r="H352" s="552"/>
      <c r="I352" s="552"/>
      <c r="J352" s="552"/>
      <c r="K352" s="552"/>
      <c r="L352" s="552"/>
      <c r="M352" s="552"/>
      <c r="N352" s="551"/>
      <c r="O352" s="551"/>
      <c r="P352" s="551"/>
      <c r="Q352" s="551"/>
      <c r="R352" s="551"/>
      <c r="S352" s="551"/>
      <c r="T352" s="551"/>
      <c r="U352" s="551"/>
      <c r="V352" s="551"/>
      <c r="W352" s="551"/>
      <c r="X352" s="551"/>
      <c r="Y352" s="551"/>
      <c r="Z352" s="551"/>
      <c r="AA352" s="551"/>
      <c r="AB352" s="551"/>
      <c r="AC352" s="551"/>
      <c r="AD352" s="551"/>
      <c r="AE352" s="551"/>
      <c r="AF352" s="551"/>
    </row>
    <row r="353">
      <c r="A353" s="552"/>
      <c r="B353" s="552"/>
      <c r="C353" s="552"/>
      <c r="D353" s="552"/>
      <c r="E353" s="552"/>
      <c r="F353" s="552"/>
      <c r="G353" s="552"/>
      <c r="H353" s="552"/>
      <c r="I353" s="552"/>
      <c r="J353" s="552"/>
      <c r="K353" s="552"/>
      <c r="L353" s="552"/>
      <c r="M353" s="552"/>
      <c r="N353" s="551"/>
      <c r="O353" s="551"/>
      <c r="P353" s="551"/>
      <c r="Q353" s="551"/>
      <c r="R353" s="551"/>
      <c r="S353" s="551"/>
      <c r="T353" s="551"/>
      <c r="U353" s="551"/>
      <c r="V353" s="551"/>
      <c r="W353" s="551"/>
      <c r="X353" s="551"/>
      <c r="Y353" s="551"/>
      <c r="Z353" s="551"/>
      <c r="AA353" s="551"/>
      <c r="AB353" s="551"/>
      <c r="AC353" s="551"/>
      <c r="AD353" s="551"/>
      <c r="AE353" s="551"/>
      <c r="AF353" s="551"/>
    </row>
    <row r="354">
      <c r="A354" s="552"/>
      <c r="B354" s="552"/>
      <c r="C354" s="552"/>
      <c r="D354" s="552"/>
      <c r="E354" s="552"/>
      <c r="F354" s="552"/>
      <c r="G354" s="552"/>
      <c r="H354" s="552"/>
      <c r="I354" s="552"/>
      <c r="J354" s="552"/>
      <c r="K354" s="552"/>
      <c r="L354" s="552"/>
      <c r="M354" s="552"/>
      <c r="N354" s="551"/>
      <c r="O354" s="551"/>
      <c r="P354" s="551"/>
      <c r="Q354" s="551"/>
      <c r="R354" s="551"/>
      <c r="S354" s="551"/>
      <c r="T354" s="551"/>
      <c r="U354" s="551"/>
      <c r="V354" s="551"/>
      <c r="W354" s="551"/>
      <c r="X354" s="551"/>
      <c r="Y354" s="551"/>
      <c r="Z354" s="551"/>
      <c r="AA354" s="551"/>
      <c r="AB354" s="551"/>
      <c r="AC354" s="551"/>
      <c r="AD354" s="551"/>
      <c r="AE354" s="551"/>
      <c r="AF354" s="551"/>
    </row>
    <row r="355">
      <c r="A355" s="552"/>
      <c r="B355" s="552"/>
      <c r="C355" s="552"/>
      <c r="D355" s="552"/>
      <c r="E355" s="552"/>
      <c r="F355" s="552"/>
      <c r="G355" s="552"/>
      <c r="H355" s="552"/>
      <c r="I355" s="552"/>
      <c r="J355" s="552"/>
      <c r="K355" s="552"/>
      <c r="L355" s="552"/>
      <c r="M355" s="552"/>
      <c r="N355" s="551"/>
      <c r="O355" s="551"/>
      <c r="P355" s="551"/>
      <c r="Q355" s="551"/>
      <c r="R355" s="551"/>
      <c r="S355" s="551"/>
      <c r="T355" s="551"/>
      <c r="U355" s="551"/>
      <c r="V355" s="551"/>
      <c r="W355" s="551"/>
      <c r="X355" s="551"/>
      <c r="Y355" s="551"/>
      <c r="Z355" s="551"/>
      <c r="AA355" s="551"/>
      <c r="AB355" s="551"/>
      <c r="AC355" s="551"/>
      <c r="AD355" s="551"/>
      <c r="AE355" s="551"/>
      <c r="AF355" s="551"/>
    </row>
    <row r="356">
      <c r="A356" s="552"/>
      <c r="B356" s="552"/>
      <c r="C356" s="552"/>
      <c r="D356" s="552"/>
      <c r="E356" s="552"/>
      <c r="F356" s="552"/>
      <c r="G356" s="552"/>
      <c r="H356" s="552"/>
      <c r="I356" s="552"/>
      <c r="J356" s="552"/>
      <c r="K356" s="552"/>
      <c r="L356" s="552"/>
      <c r="M356" s="552"/>
      <c r="N356" s="551"/>
      <c r="O356" s="551"/>
      <c r="P356" s="551"/>
      <c r="Q356" s="551"/>
      <c r="R356" s="551"/>
      <c r="S356" s="551"/>
      <c r="T356" s="551"/>
      <c r="U356" s="551"/>
      <c r="V356" s="551"/>
      <c r="W356" s="551"/>
      <c r="X356" s="551"/>
      <c r="Y356" s="551"/>
      <c r="Z356" s="551"/>
      <c r="AA356" s="551"/>
      <c r="AB356" s="551"/>
      <c r="AC356" s="551"/>
      <c r="AD356" s="551"/>
      <c r="AE356" s="551"/>
      <c r="AF356" s="551"/>
    </row>
    <row r="357">
      <c r="A357" s="552"/>
      <c r="B357" s="552"/>
      <c r="C357" s="552"/>
      <c r="D357" s="552"/>
      <c r="E357" s="552"/>
      <c r="F357" s="552"/>
      <c r="G357" s="552"/>
      <c r="H357" s="552"/>
      <c r="I357" s="552"/>
      <c r="J357" s="552"/>
      <c r="K357" s="552"/>
      <c r="L357" s="552"/>
      <c r="M357" s="552"/>
      <c r="N357" s="551"/>
      <c r="O357" s="551"/>
      <c r="P357" s="551"/>
      <c r="Q357" s="551"/>
      <c r="R357" s="551"/>
      <c r="S357" s="551"/>
      <c r="T357" s="551"/>
      <c r="U357" s="551"/>
      <c r="V357" s="551"/>
      <c r="W357" s="551"/>
      <c r="X357" s="551"/>
      <c r="Y357" s="551"/>
      <c r="Z357" s="551"/>
      <c r="AA357" s="551"/>
      <c r="AB357" s="551"/>
      <c r="AC357" s="551"/>
      <c r="AD357" s="551"/>
      <c r="AE357" s="551"/>
      <c r="AF357" s="551"/>
    </row>
    <row r="358">
      <c r="A358" s="552"/>
      <c r="B358" s="552"/>
      <c r="C358" s="552"/>
      <c r="D358" s="552"/>
      <c r="E358" s="552"/>
      <c r="F358" s="552"/>
      <c r="G358" s="552"/>
      <c r="H358" s="552"/>
      <c r="I358" s="552"/>
      <c r="J358" s="552"/>
      <c r="K358" s="552"/>
      <c r="L358" s="552"/>
      <c r="M358" s="552"/>
      <c r="N358" s="551"/>
      <c r="O358" s="551"/>
      <c r="P358" s="551"/>
      <c r="Q358" s="551"/>
      <c r="R358" s="551"/>
      <c r="S358" s="551"/>
      <c r="T358" s="551"/>
      <c r="U358" s="551"/>
      <c r="V358" s="551"/>
      <c r="W358" s="551"/>
      <c r="X358" s="551"/>
      <c r="Y358" s="551"/>
      <c r="Z358" s="551"/>
      <c r="AA358" s="551"/>
      <c r="AB358" s="551"/>
      <c r="AC358" s="551"/>
      <c r="AD358" s="551"/>
      <c r="AE358" s="551"/>
      <c r="AF358" s="551"/>
    </row>
    <row r="359">
      <c r="A359" s="552"/>
      <c r="B359" s="552"/>
      <c r="C359" s="552"/>
      <c r="D359" s="552"/>
      <c r="E359" s="552"/>
      <c r="F359" s="552"/>
      <c r="G359" s="552"/>
      <c r="H359" s="552"/>
      <c r="I359" s="552"/>
      <c r="J359" s="552"/>
      <c r="K359" s="552"/>
      <c r="L359" s="552"/>
      <c r="M359" s="552"/>
      <c r="N359" s="551"/>
      <c r="O359" s="551"/>
      <c r="P359" s="551"/>
      <c r="Q359" s="551"/>
      <c r="R359" s="551"/>
      <c r="S359" s="551"/>
      <c r="T359" s="551"/>
      <c r="U359" s="551"/>
      <c r="V359" s="551"/>
      <c r="W359" s="551"/>
      <c r="X359" s="551"/>
      <c r="Y359" s="551"/>
      <c r="Z359" s="551"/>
      <c r="AA359" s="551"/>
      <c r="AB359" s="551"/>
      <c r="AC359" s="551"/>
      <c r="AD359" s="551"/>
      <c r="AE359" s="551"/>
      <c r="AF359" s="551"/>
    </row>
    <row r="360">
      <c r="A360" s="552"/>
      <c r="B360" s="552"/>
      <c r="C360" s="552"/>
      <c r="D360" s="552"/>
      <c r="E360" s="552"/>
      <c r="F360" s="552"/>
      <c r="G360" s="552"/>
      <c r="H360" s="552"/>
      <c r="I360" s="552"/>
      <c r="J360" s="552"/>
      <c r="K360" s="552"/>
      <c r="L360" s="552"/>
      <c r="M360" s="552"/>
      <c r="N360" s="551"/>
      <c r="O360" s="551"/>
      <c r="P360" s="551"/>
      <c r="Q360" s="551"/>
      <c r="R360" s="551"/>
      <c r="S360" s="551"/>
      <c r="T360" s="551"/>
      <c r="U360" s="551"/>
      <c r="V360" s="551"/>
      <c r="W360" s="551"/>
      <c r="X360" s="551"/>
      <c r="Y360" s="551"/>
      <c r="Z360" s="551"/>
      <c r="AA360" s="551"/>
      <c r="AB360" s="551"/>
      <c r="AC360" s="551"/>
      <c r="AD360" s="551"/>
      <c r="AE360" s="551"/>
      <c r="AF360" s="551"/>
    </row>
    <row r="361">
      <c r="A361" s="552"/>
      <c r="B361" s="552"/>
      <c r="C361" s="552"/>
      <c r="D361" s="552"/>
      <c r="E361" s="552"/>
      <c r="F361" s="552"/>
      <c r="G361" s="552"/>
      <c r="H361" s="552"/>
      <c r="I361" s="552"/>
      <c r="J361" s="552"/>
      <c r="K361" s="552"/>
      <c r="L361" s="552"/>
      <c r="M361" s="552"/>
      <c r="N361" s="551"/>
      <c r="O361" s="551"/>
      <c r="P361" s="551"/>
      <c r="Q361" s="551"/>
      <c r="R361" s="551"/>
      <c r="S361" s="551"/>
      <c r="T361" s="551"/>
      <c r="U361" s="551"/>
      <c r="V361" s="551"/>
      <c r="W361" s="551"/>
      <c r="X361" s="551"/>
      <c r="Y361" s="551"/>
      <c r="Z361" s="551"/>
      <c r="AA361" s="551"/>
      <c r="AB361" s="551"/>
      <c r="AC361" s="551"/>
      <c r="AD361" s="551"/>
      <c r="AE361" s="551"/>
      <c r="AF361" s="551"/>
    </row>
    <row r="362">
      <c r="A362" s="552"/>
      <c r="B362" s="552"/>
      <c r="C362" s="552"/>
      <c r="D362" s="552"/>
      <c r="E362" s="552"/>
      <c r="F362" s="552"/>
      <c r="G362" s="552"/>
      <c r="H362" s="552"/>
      <c r="I362" s="552"/>
      <c r="J362" s="552"/>
      <c r="K362" s="552"/>
      <c r="L362" s="552"/>
      <c r="M362" s="552"/>
      <c r="N362" s="551"/>
      <c r="O362" s="551"/>
      <c r="P362" s="551"/>
      <c r="Q362" s="551"/>
      <c r="R362" s="551"/>
      <c r="S362" s="551"/>
      <c r="T362" s="551"/>
      <c r="U362" s="551"/>
      <c r="V362" s="551"/>
      <c r="W362" s="551"/>
      <c r="X362" s="551"/>
      <c r="Y362" s="551"/>
      <c r="Z362" s="551"/>
      <c r="AA362" s="551"/>
      <c r="AB362" s="551"/>
      <c r="AC362" s="551"/>
      <c r="AD362" s="551"/>
      <c r="AE362" s="551"/>
      <c r="AF362" s="551"/>
    </row>
    <row r="363">
      <c r="A363" s="552"/>
      <c r="B363" s="552"/>
      <c r="C363" s="552"/>
      <c r="D363" s="552"/>
      <c r="E363" s="552"/>
      <c r="F363" s="552"/>
      <c r="G363" s="552"/>
      <c r="H363" s="552"/>
      <c r="I363" s="552"/>
      <c r="J363" s="552"/>
      <c r="K363" s="552"/>
      <c r="L363" s="552"/>
      <c r="M363" s="552"/>
      <c r="N363" s="551"/>
      <c r="O363" s="551"/>
      <c r="P363" s="551"/>
      <c r="Q363" s="551"/>
      <c r="R363" s="551"/>
      <c r="S363" s="551"/>
      <c r="T363" s="551"/>
      <c r="U363" s="551"/>
      <c r="V363" s="551"/>
      <c r="W363" s="551"/>
      <c r="X363" s="551"/>
      <c r="Y363" s="551"/>
      <c r="Z363" s="551"/>
      <c r="AA363" s="551"/>
      <c r="AB363" s="551"/>
      <c r="AC363" s="551"/>
      <c r="AD363" s="551"/>
      <c r="AE363" s="551"/>
      <c r="AF363" s="551"/>
    </row>
    <row r="364">
      <c r="A364" s="552"/>
      <c r="B364" s="552"/>
      <c r="C364" s="552"/>
      <c r="D364" s="552"/>
      <c r="E364" s="552"/>
      <c r="F364" s="552"/>
      <c r="G364" s="552"/>
      <c r="H364" s="552"/>
      <c r="I364" s="552"/>
      <c r="J364" s="552"/>
      <c r="K364" s="552"/>
      <c r="L364" s="552"/>
      <c r="M364" s="552"/>
      <c r="N364" s="551"/>
      <c r="O364" s="551"/>
      <c r="P364" s="551"/>
      <c r="Q364" s="551"/>
      <c r="R364" s="551"/>
      <c r="S364" s="551"/>
      <c r="T364" s="551"/>
      <c r="U364" s="551"/>
      <c r="V364" s="551"/>
      <c r="W364" s="551"/>
      <c r="X364" s="551"/>
      <c r="Y364" s="551"/>
      <c r="Z364" s="551"/>
      <c r="AA364" s="551"/>
      <c r="AB364" s="551"/>
      <c r="AC364" s="551"/>
      <c r="AD364" s="551"/>
      <c r="AE364" s="551"/>
      <c r="AF364" s="551"/>
    </row>
    <row r="365">
      <c r="A365" s="552"/>
      <c r="B365" s="552"/>
      <c r="C365" s="552"/>
      <c r="D365" s="552"/>
      <c r="E365" s="552"/>
      <c r="F365" s="552"/>
      <c r="G365" s="552"/>
      <c r="H365" s="552"/>
      <c r="I365" s="552"/>
      <c r="J365" s="552"/>
      <c r="K365" s="552"/>
      <c r="L365" s="552"/>
      <c r="M365" s="552"/>
      <c r="N365" s="551"/>
      <c r="O365" s="551"/>
      <c r="P365" s="551"/>
      <c r="Q365" s="551"/>
      <c r="R365" s="551"/>
      <c r="S365" s="551"/>
      <c r="T365" s="551"/>
      <c r="U365" s="551"/>
      <c r="V365" s="551"/>
      <c r="W365" s="551"/>
      <c r="X365" s="551"/>
      <c r="Y365" s="551"/>
      <c r="Z365" s="551"/>
      <c r="AA365" s="551"/>
      <c r="AB365" s="551"/>
      <c r="AC365" s="551"/>
      <c r="AD365" s="551"/>
      <c r="AE365" s="551"/>
      <c r="AF365" s="551"/>
    </row>
    <row r="366">
      <c r="A366" s="552"/>
      <c r="B366" s="552"/>
      <c r="C366" s="552"/>
      <c r="D366" s="552"/>
      <c r="E366" s="552"/>
      <c r="F366" s="552"/>
      <c r="G366" s="552"/>
      <c r="H366" s="552"/>
      <c r="I366" s="552"/>
      <c r="J366" s="552"/>
      <c r="K366" s="552"/>
      <c r="L366" s="552"/>
      <c r="M366" s="552"/>
      <c r="N366" s="551"/>
      <c r="O366" s="551"/>
      <c r="P366" s="551"/>
      <c r="Q366" s="551"/>
      <c r="R366" s="551"/>
      <c r="S366" s="551"/>
      <c r="T366" s="551"/>
      <c r="U366" s="551"/>
      <c r="V366" s="551"/>
      <c r="W366" s="551"/>
      <c r="X366" s="551"/>
      <c r="Y366" s="551"/>
      <c r="Z366" s="551"/>
      <c r="AA366" s="551"/>
      <c r="AB366" s="551"/>
      <c r="AC366" s="551"/>
      <c r="AD366" s="551"/>
      <c r="AE366" s="551"/>
      <c r="AF366" s="551"/>
    </row>
    <row r="367">
      <c r="A367" s="552"/>
      <c r="B367" s="552"/>
      <c r="C367" s="552"/>
      <c r="D367" s="552"/>
      <c r="E367" s="552"/>
      <c r="F367" s="552"/>
      <c r="G367" s="552"/>
      <c r="H367" s="552"/>
      <c r="I367" s="552"/>
      <c r="J367" s="552"/>
      <c r="K367" s="552"/>
      <c r="L367" s="552"/>
      <c r="M367" s="552"/>
      <c r="N367" s="551"/>
      <c r="O367" s="551"/>
      <c r="P367" s="551"/>
      <c r="Q367" s="551"/>
      <c r="R367" s="551"/>
      <c r="S367" s="551"/>
      <c r="T367" s="551"/>
      <c r="U367" s="551"/>
      <c r="V367" s="551"/>
      <c r="W367" s="551"/>
      <c r="X367" s="551"/>
      <c r="Y367" s="551"/>
      <c r="Z367" s="551"/>
      <c r="AA367" s="551"/>
      <c r="AB367" s="551"/>
      <c r="AC367" s="551"/>
      <c r="AD367" s="551"/>
      <c r="AE367" s="551"/>
      <c r="AF367" s="551"/>
    </row>
    <row r="368">
      <c r="A368" s="552"/>
      <c r="B368" s="552"/>
      <c r="C368" s="552"/>
      <c r="D368" s="552"/>
      <c r="E368" s="552"/>
      <c r="F368" s="552"/>
      <c r="G368" s="552"/>
      <c r="H368" s="552"/>
      <c r="I368" s="552"/>
      <c r="J368" s="552"/>
      <c r="K368" s="552"/>
      <c r="L368" s="552"/>
      <c r="M368" s="552"/>
      <c r="N368" s="551"/>
      <c r="O368" s="551"/>
      <c r="P368" s="551"/>
      <c r="Q368" s="551"/>
      <c r="R368" s="551"/>
      <c r="S368" s="551"/>
      <c r="T368" s="551"/>
      <c r="U368" s="551"/>
      <c r="V368" s="551"/>
      <c r="W368" s="551"/>
      <c r="X368" s="551"/>
      <c r="Y368" s="551"/>
      <c r="Z368" s="551"/>
      <c r="AA368" s="551"/>
      <c r="AB368" s="551"/>
      <c r="AC368" s="551"/>
      <c r="AD368" s="551"/>
      <c r="AE368" s="551"/>
      <c r="AF368" s="551"/>
    </row>
    <row r="369">
      <c r="A369" s="552"/>
      <c r="B369" s="552"/>
      <c r="C369" s="552"/>
      <c r="D369" s="552"/>
      <c r="E369" s="552"/>
      <c r="F369" s="552"/>
      <c r="G369" s="552"/>
      <c r="H369" s="552"/>
      <c r="I369" s="552"/>
      <c r="J369" s="552"/>
      <c r="K369" s="552"/>
      <c r="L369" s="552"/>
      <c r="M369" s="552"/>
      <c r="N369" s="551"/>
      <c r="O369" s="551"/>
      <c r="P369" s="551"/>
      <c r="Q369" s="551"/>
      <c r="R369" s="551"/>
      <c r="S369" s="551"/>
      <c r="T369" s="551"/>
      <c r="U369" s="551"/>
      <c r="V369" s="551"/>
      <c r="W369" s="551"/>
      <c r="X369" s="551"/>
      <c r="Y369" s="551"/>
      <c r="Z369" s="551"/>
      <c r="AA369" s="551"/>
      <c r="AB369" s="551"/>
      <c r="AC369" s="551"/>
      <c r="AD369" s="551"/>
      <c r="AE369" s="551"/>
      <c r="AF369" s="551"/>
    </row>
    <row r="370">
      <c r="A370" s="552"/>
      <c r="B370" s="552"/>
      <c r="C370" s="552"/>
      <c r="D370" s="552"/>
      <c r="E370" s="552"/>
      <c r="F370" s="552"/>
      <c r="G370" s="552"/>
      <c r="H370" s="552"/>
      <c r="I370" s="552"/>
      <c r="J370" s="552"/>
      <c r="K370" s="552"/>
      <c r="L370" s="552"/>
      <c r="M370" s="552"/>
      <c r="N370" s="551"/>
      <c r="O370" s="551"/>
      <c r="P370" s="551"/>
      <c r="Q370" s="551"/>
      <c r="R370" s="551"/>
      <c r="S370" s="551"/>
      <c r="T370" s="551"/>
      <c r="U370" s="551"/>
      <c r="V370" s="551"/>
      <c r="W370" s="551"/>
      <c r="X370" s="551"/>
      <c r="Y370" s="551"/>
      <c r="Z370" s="551"/>
      <c r="AA370" s="551"/>
      <c r="AB370" s="551"/>
      <c r="AC370" s="551"/>
      <c r="AD370" s="551"/>
      <c r="AE370" s="551"/>
      <c r="AF370" s="551"/>
    </row>
    <row r="371">
      <c r="A371" s="552"/>
      <c r="B371" s="552"/>
      <c r="C371" s="552"/>
      <c r="D371" s="552"/>
      <c r="E371" s="552"/>
      <c r="F371" s="552"/>
      <c r="G371" s="552"/>
      <c r="H371" s="552"/>
      <c r="I371" s="552"/>
      <c r="J371" s="552"/>
      <c r="K371" s="552"/>
      <c r="L371" s="552"/>
      <c r="M371" s="552"/>
      <c r="N371" s="551"/>
      <c r="O371" s="551"/>
      <c r="P371" s="551"/>
      <c r="Q371" s="551"/>
      <c r="R371" s="551"/>
      <c r="S371" s="551"/>
      <c r="T371" s="551"/>
      <c r="U371" s="551"/>
      <c r="V371" s="551"/>
      <c r="W371" s="551"/>
      <c r="X371" s="551"/>
      <c r="Y371" s="551"/>
      <c r="Z371" s="551"/>
      <c r="AA371" s="551"/>
      <c r="AB371" s="551"/>
      <c r="AC371" s="551"/>
      <c r="AD371" s="551"/>
      <c r="AE371" s="551"/>
      <c r="AF371" s="551"/>
    </row>
    <row r="372">
      <c r="A372" s="552"/>
      <c r="B372" s="552"/>
      <c r="C372" s="552"/>
      <c r="D372" s="552"/>
      <c r="E372" s="552"/>
      <c r="F372" s="552"/>
      <c r="G372" s="552"/>
      <c r="H372" s="552"/>
      <c r="I372" s="552"/>
      <c r="J372" s="552"/>
      <c r="K372" s="552"/>
      <c r="L372" s="552"/>
      <c r="M372" s="552"/>
      <c r="N372" s="551"/>
      <c r="O372" s="551"/>
      <c r="P372" s="551"/>
      <c r="Q372" s="551"/>
      <c r="R372" s="551"/>
      <c r="S372" s="551"/>
      <c r="T372" s="551"/>
      <c r="U372" s="551"/>
      <c r="V372" s="551"/>
      <c r="W372" s="551"/>
      <c r="X372" s="551"/>
      <c r="Y372" s="551"/>
      <c r="Z372" s="551"/>
      <c r="AA372" s="551"/>
      <c r="AB372" s="551"/>
      <c r="AC372" s="551"/>
      <c r="AD372" s="551"/>
      <c r="AE372" s="551"/>
      <c r="AF372" s="551"/>
    </row>
    <row r="373">
      <c r="A373" s="552"/>
      <c r="B373" s="552"/>
      <c r="C373" s="552"/>
      <c r="D373" s="552"/>
      <c r="E373" s="552"/>
      <c r="F373" s="552"/>
      <c r="G373" s="552"/>
      <c r="H373" s="552"/>
      <c r="I373" s="552"/>
      <c r="J373" s="552"/>
      <c r="K373" s="552"/>
      <c r="L373" s="552"/>
      <c r="M373" s="552"/>
      <c r="N373" s="551"/>
      <c r="O373" s="551"/>
      <c r="P373" s="551"/>
      <c r="Q373" s="551"/>
      <c r="R373" s="551"/>
      <c r="S373" s="551"/>
      <c r="T373" s="551"/>
      <c r="U373" s="551"/>
      <c r="V373" s="551"/>
      <c r="W373" s="551"/>
      <c r="X373" s="551"/>
      <c r="Y373" s="551"/>
      <c r="Z373" s="551"/>
      <c r="AA373" s="551"/>
      <c r="AB373" s="551"/>
      <c r="AC373" s="551"/>
      <c r="AD373" s="551"/>
      <c r="AE373" s="551"/>
      <c r="AF373" s="551"/>
    </row>
    <row r="374">
      <c r="A374" s="552"/>
      <c r="B374" s="552"/>
      <c r="C374" s="552"/>
      <c r="D374" s="552"/>
      <c r="E374" s="552"/>
      <c r="F374" s="552"/>
      <c r="G374" s="552"/>
      <c r="H374" s="552"/>
      <c r="I374" s="552"/>
      <c r="J374" s="552"/>
      <c r="K374" s="552"/>
      <c r="L374" s="552"/>
      <c r="M374" s="552"/>
      <c r="N374" s="551"/>
      <c r="O374" s="551"/>
      <c r="P374" s="551"/>
      <c r="Q374" s="551"/>
      <c r="R374" s="551"/>
      <c r="S374" s="551"/>
      <c r="T374" s="551"/>
      <c r="U374" s="551"/>
      <c r="V374" s="551"/>
      <c r="W374" s="551"/>
      <c r="X374" s="551"/>
      <c r="Y374" s="551"/>
      <c r="Z374" s="551"/>
      <c r="AA374" s="551"/>
      <c r="AB374" s="551"/>
      <c r="AC374" s="551"/>
      <c r="AD374" s="551"/>
      <c r="AE374" s="551"/>
      <c r="AF374" s="551"/>
    </row>
    <row r="375">
      <c r="A375" s="552"/>
      <c r="B375" s="552"/>
      <c r="C375" s="552"/>
      <c r="D375" s="552"/>
      <c r="E375" s="552"/>
      <c r="F375" s="552"/>
      <c r="G375" s="552"/>
      <c r="H375" s="552"/>
      <c r="I375" s="552"/>
      <c r="J375" s="552"/>
      <c r="K375" s="552"/>
      <c r="L375" s="552"/>
      <c r="M375" s="552"/>
      <c r="N375" s="551"/>
      <c r="O375" s="551"/>
      <c r="P375" s="551"/>
      <c r="Q375" s="551"/>
      <c r="R375" s="551"/>
      <c r="S375" s="551"/>
      <c r="T375" s="551"/>
      <c r="U375" s="551"/>
      <c r="V375" s="551"/>
      <c r="W375" s="551"/>
      <c r="X375" s="551"/>
      <c r="Y375" s="551"/>
      <c r="Z375" s="551"/>
      <c r="AA375" s="551"/>
      <c r="AB375" s="551"/>
      <c r="AC375" s="551"/>
      <c r="AD375" s="551"/>
      <c r="AE375" s="551"/>
      <c r="AF375" s="551"/>
    </row>
    <row r="376">
      <c r="A376" s="552"/>
      <c r="B376" s="552"/>
      <c r="C376" s="552"/>
      <c r="D376" s="552"/>
      <c r="E376" s="552"/>
      <c r="F376" s="552"/>
      <c r="G376" s="552"/>
      <c r="H376" s="552"/>
      <c r="I376" s="552"/>
      <c r="J376" s="552"/>
      <c r="K376" s="552"/>
      <c r="L376" s="552"/>
      <c r="M376" s="552"/>
      <c r="N376" s="551"/>
      <c r="O376" s="551"/>
      <c r="P376" s="551"/>
      <c r="Q376" s="551"/>
      <c r="R376" s="551"/>
      <c r="S376" s="551"/>
      <c r="T376" s="551"/>
      <c r="U376" s="551"/>
      <c r="V376" s="551"/>
      <c r="W376" s="551"/>
      <c r="X376" s="551"/>
      <c r="Y376" s="551"/>
      <c r="Z376" s="551"/>
      <c r="AA376" s="551"/>
      <c r="AB376" s="551"/>
      <c r="AC376" s="551"/>
      <c r="AD376" s="551"/>
      <c r="AE376" s="551"/>
      <c r="AF376" s="551"/>
    </row>
    <row r="377">
      <c r="A377" s="552"/>
      <c r="B377" s="552"/>
      <c r="C377" s="552"/>
      <c r="D377" s="552"/>
      <c r="E377" s="552"/>
      <c r="F377" s="552"/>
      <c r="G377" s="552"/>
      <c r="H377" s="552"/>
      <c r="I377" s="552"/>
      <c r="J377" s="552"/>
      <c r="K377" s="552"/>
      <c r="L377" s="552"/>
      <c r="M377" s="552"/>
      <c r="N377" s="551"/>
      <c r="O377" s="551"/>
      <c r="P377" s="551"/>
      <c r="Q377" s="551"/>
      <c r="R377" s="551"/>
      <c r="S377" s="551"/>
      <c r="T377" s="551"/>
      <c r="U377" s="551"/>
      <c r="V377" s="551"/>
      <c r="W377" s="551"/>
      <c r="X377" s="551"/>
      <c r="Y377" s="551"/>
      <c r="Z377" s="551"/>
      <c r="AA377" s="551"/>
      <c r="AB377" s="551"/>
      <c r="AC377" s="551"/>
      <c r="AD377" s="551"/>
      <c r="AE377" s="551"/>
      <c r="AF377" s="551"/>
    </row>
    <row r="378">
      <c r="A378" s="552"/>
      <c r="B378" s="552"/>
      <c r="C378" s="552"/>
      <c r="D378" s="552"/>
      <c r="E378" s="552"/>
      <c r="F378" s="552"/>
      <c r="G378" s="552"/>
      <c r="H378" s="552"/>
      <c r="I378" s="552"/>
      <c r="J378" s="552"/>
      <c r="K378" s="552"/>
      <c r="L378" s="552"/>
      <c r="M378" s="552"/>
      <c r="N378" s="551"/>
      <c r="O378" s="551"/>
      <c r="P378" s="551"/>
      <c r="Q378" s="551"/>
      <c r="R378" s="551"/>
      <c r="S378" s="551"/>
      <c r="T378" s="551"/>
      <c r="U378" s="551"/>
      <c r="V378" s="551"/>
      <c r="W378" s="551"/>
      <c r="X378" s="551"/>
      <c r="Y378" s="551"/>
      <c r="Z378" s="551"/>
      <c r="AA378" s="551"/>
      <c r="AB378" s="551"/>
      <c r="AC378" s="551"/>
      <c r="AD378" s="551"/>
      <c r="AE378" s="551"/>
      <c r="AF378" s="551"/>
    </row>
    <row r="379">
      <c r="A379" s="552"/>
      <c r="B379" s="552"/>
      <c r="C379" s="552"/>
      <c r="D379" s="552"/>
      <c r="E379" s="552"/>
      <c r="F379" s="552"/>
      <c r="G379" s="552"/>
      <c r="H379" s="552"/>
      <c r="I379" s="552"/>
      <c r="J379" s="552"/>
      <c r="K379" s="552"/>
      <c r="L379" s="552"/>
      <c r="M379" s="552"/>
      <c r="N379" s="551"/>
      <c r="O379" s="551"/>
      <c r="P379" s="551"/>
      <c r="Q379" s="551"/>
      <c r="R379" s="551"/>
      <c r="S379" s="551"/>
      <c r="T379" s="551"/>
      <c r="U379" s="551"/>
      <c r="V379" s="551"/>
      <c r="W379" s="551"/>
      <c r="X379" s="551"/>
      <c r="Y379" s="551"/>
      <c r="Z379" s="551"/>
      <c r="AA379" s="551"/>
      <c r="AB379" s="551"/>
      <c r="AC379" s="551"/>
      <c r="AD379" s="551"/>
      <c r="AE379" s="551"/>
      <c r="AF379" s="551"/>
    </row>
    <row r="380">
      <c r="A380" s="552"/>
      <c r="B380" s="552"/>
      <c r="C380" s="552"/>
      <c r="D380" s="552"/>
      <c r="E380" s="552"/>
      <c r="F380" s="552"/>
      <c r="G380" s="552"/>
      <c r="H380" s="552"/>
      <c r="I380" s="552"/>
      <c r="J380" s="552"/>
      <c r="K380" s="552"/>
      <c r="L380" s="552"/>
      <c r="M380" s="552"/>
      <c r="N380" s="551"/>
      <c r="O380" s="551"/>
      <c r="P380" s="551"/>
      <c r="Q380" s="551"/>
      <c r="R380" s="551"/>
      <c r="S380" s="551"/>
      <c r="T380" s="551"/>
      <c r="U380" s="551"/>
      <c r="V380" s="551"/>
      <c r="W380" s="551"/>
      <c r="X380" s="551"/>
      <c r="Y380" s="551"/>
      <c r="Z380" s="551"/>
      <c r="AA380" s="551"/>
      <c r="AB380" s="551"/>
      <c r="AC380" s="551"/>
      <c r="AD380" s="551"/>
      <c r="AE380" s="551"/>
      <c r="AF380" s="551"/>
    </row>
    <row r="381">
      <c r="A381" s="552"/>
      <c r="B381" s="552"/>
      <c r="C381" s="552"/>
      <c r="D381" s="552"/>
      <c r="E381" s="552"/>
      <c r="F381" s="552"/>
      <c r="G381" s="552"/>
      <c r="H381" s="552"/>
      <c r="I381" s="552"/>
      <c r="J381" s="552"/>
      <c r="K381" s="552"/>
      <c r="L381" s="552"/>
      <c r="M381" s="552"/>
      <c r="N381" s="551"/>
      <c r="O381" s="551"/>
      <c r="P381" s="551"/>
      <c r="Q381" s="551"/>
      <c r="R381" s="551"/>
      <c r="S381" s="551"/>
      <c r="T381" s="551"/>
      <c r="U381" s="551"/>
      <c r="V381" s="551"/>
      <c r="W381" s="551"/>
      <c r="X381" s="551"/>
      <c r="Y381" s="551"/>
      <c r="Z381" s="551"/>
      <c r="AA381" s="551"/>
      <c r="AB381" s="551"/>
      <c r="AC381" s="551"/>
      <c r="AD381" s="551"/>
      <c r="AE381" s="551"/>
      <c r="AF381" s="551"/>
    </row>
    <row r="382">
      <c r="A382" s="552"/>
      <c r="B382" s="552"/>
      <c r="C382" s="552"/>
      <c r="D382" s="552"/>
      <c r="E382" s="552"/>
      <c r="F382" s="552"/>
      <c r="G382" s="552"/>
      <c r="H382" s="552"/>
      <c r="I382" s="552"/>
      <c r="J382" s="552"/>
      <c r="K382" s="552"/>
      <c r="L382" s="552"/>
      <c r="M382" s="552"/>
      <c r="N382" s="551"/>
      <c r="O382" s="551"/>
      <c r="P382" s="551"/>
      <c r="Q382" s="551"/>
      <c r="R382" s="551"/>
      <c r="S382" s="551"/>
      <c r="T382" s="551"/>
      <c r="U382" s="551"/>
      <c r="V382" s="551"/>
      <c r="W382" s="551"/>
      <c r="X382" s="551"/>
      <c r="Y382" s="551"/>
      <c r="Z382" s="551"/>
      <c r="AA382" s="551"/>
      <c r="AB382" s="551"/>
      <c r="AC382" s="551"/>
      <c r="AD382" s="551"/>
      <c r="AE382" s="551"/>
      <c r="AF382" s="551"/>
    </row>
    <row r="383">
      <c r="A383" s="552"/>
      <c r="B383" s="552"/>
      <c r="C383" s="552"/>
      <c r="D383" s="552"/>
      <c r="E383" s="552"/>
      <c r="F383" s="552"/>
      <c r="G383" s="552"/>
      <c r="H383" s="552"/>
      <c r="I383" s="552"/>
      <c r="J383" s="552"/>
      <c r="K383" s="552"/>
      <c r="L383" s="552"/>
      <c r="M383" s="552"/>
      <c r="N383" s="551"/>
      <c r="O383" s="551"/>
      <c r="P383" s="551"/>
      <c r="Q383" s="551"/>
      <c r="R383" s="551"/>
      <c r="S383" s="551"/>
      <c r="T383" s="551"/>
      <c r="U383" s="551"/>
      <c r="V383" s="551"/>
      <c r="W383" s="551"/>
      <c r="X383" s="551"/>
      <c r="Y383" s="551"/>
      <c r="Z383" s="551"/>
      <c r="AA383" s="551"/>
      <c r="AB383" s="551"/>
      <c r="AC383" s="551"/>
      <c r="AD383" s="551"/>
      <c r="AE383" s="551"/>
      <c r="AF383" s="551"/>
    </row>
    <row r="384">
      <c r="A384" s="552"/>
      <c r="B384" s="552"/>
      <c r="C384" s="552"/>
      <c r="D384" s="552"/>
      <c r="E384" s="552"/>
      <c r="F384" s="552"/>
      <c r="G384" s="552"/>
      <c r="H384" s="552"/>
      <c r="I384" s="552"/>
      <c r="J384" s="552"/>
      <c r="K384" s="552"/>
      <c r="L384" s="552"/>
      <c r="M384" s="552"/>
      <c r="N384" s="551"/>
      <c r="O384" s="551"/>
      <c r="P384" s="551"/>
      <c r="Q384" s="551"/>
      <c r="R384" s="551"/>
      <c r="S384" s="551"/>
      <c r="T384" s="551"/>
      <c r="U384" s="551"/>
      <c r="V384" s="551"/>
      <c r="W384" s="551"/>
      <c r="X384" s="551"/>
      <c r="Y384" s="551"/>
      <c r="Z384" s="551"/>
      <c r="AA384" s="551"/>
      <c r="AB384" s="551"/>
      <c r="AC384" s="551"/>
      <c r="AD384" s="551"/>
      <c r="AE384" s="551"/>
      <c r="AF384" s="551"/>
    </row>
    <row r="385">
      <c r="A385" s="552"/>
      <c r="B385" s="552"/>
      <c r="C385" s="552"/>
      <c r="D385" s="552"/>
      <c r="E385" s="552"/>
      <c r="F385" s="552"/>
      <c r="G385" s="552"/>
      <c r="H385" s="552"/>
      <c r="I385" s="552"/>
      <c r="J385" s="552"/>
      <c r="K385" s="552"/>
      <c r="L385" s="552"/>
      <c r="M385" s="552"/>
      <c r="N385" s="551"/>
      <c r="O385" s="551"/>
      <c r="P385" s="551"/>
      <c r="Q385" s="551"/>
      <c r="R385" s="551"/>
      <c r="S385" s="551"/>
      <c r="T385" s="551"/>
      <c r="U385" s="551"/>
      <c r="V385" s="551"/>
      <c r="W385" s="551"/>
      <c r="X385" s="551"/>
      <c r="Y385" s="551"/>
      <c r="Z385" s="551"/>
      <c r="AA385" s="551"/>
      <c r="AB385" s="551"/>
      <c r="AC385" s="551"/>
      <c r="AD385" s="551"/>
      <c r="AE385" s="551"/>
      <c r="AF385" s="551"/>
    </row>
    <row r="386">
      <c r="A386" s="552"/>
      <c r="B386" s="552"/>
      <c r="C386" s="552"/>
      <c r="D386" s="552"/>
      <c r="E386" s="552"/>
      <c r="F386" s="552"/>
      <c r="G386" s="552"/>
      <c r="H386" s="552"/>
      <c r="I386" s="552"/>
      <c r="J386" s="552"/>
      <c r="K386" s="552"/>
      <c r="L386" s="552"/>
      <c r="M386" s="552"/>
      <c r="N386" s="551"/>
      <c r="O386" s="551"/>
      <c r="P386" s="551"/>
      <c r="Q386" s="551"/>
      <c r="R386" s="551"/>
      <c r="S386" s="551"/>
      <c r="T386" s="551"/>
      <c r="U386" s="551"/>
      <c r="V386" s="551"/>
      <c r="W386" s="551"/>
      <c r="X386" s="551"/>
      <c r="Y386" s="551"/>
      <c r="Z386" s="551"/>
      <c r="AA386" s="551"/>
      <c r="AB386" s="551"/>
      <c r="AC386" s="551"/>
      <c r="AD386" s="551"/>
      <c r="AE386" s="551"/>
      <c r="AF386" s="551"/>
    </row>
    <row r="387">
      <c r="A387" s="552"/>
      <c r="B387" s="552"/>
      <c r="C387" s="552"/>
      <c r="D387" s="552"/>
      <c r="E387" s="552"/>
      <c r="F387" s="552"/>
      <c r="G387" s="552"/>
      <c r="H387" s="552"/>
      <c r="I387" s="552"/>
      <c r="J387" s="552"/>
      <c r="K387" s="552"/>
      <c r="L387" s="552"/>
      <c r="M387" s="552"/>
      <c r="N387" s="551"/>
      <c r="O387" s="551"/>
      <c r="P387" s="551"/>
      <c r="Q387" s="551"/>
      <c r="R387" s="551"/>
      <c r="S387" s="551"/>
      <c r="T387" s="551"/>
      <c r="U387" s="551"/>
      <c r="V387" s="551"/>
      <c r="W387" s="551"/>
      <c r="X387" s="551"/>
      <c r="Y387" s="551"/>
      <c r="Z387" s="551"/>
      <c r="AA387" s="551"/>
      <c r="AB387" s="551"/>
      <c r="AC387" s="551"/>
      <c r="AD387" s="551"/>
      <c r="AE387" s="551"/>
      <c r="AF387" s="551"/>
    </row>
    <row r="388">
      <c r="A388" s="552"/>
      <c r="B388" s="552"/>
      <c r="C388" s="552"/>
      <c r="D388" s="552"/>
      <c r="E388" s="552"/>
      <c r="F388" s="552"/>
      <c r="G388" s="552"/>
      <c r="H388" s="552"/>
      <c r="I388" s="552"/>
      <c r="J388" s="552"/>
      <c r="K388" s="552"/>
      <c r="L388" s="552"/>
      <c r="M388" s="552"/>
      <c r="N388" s="551"/>
      <c r="O388" s="551"/>
      <c r="P388" s="551"/>
      <c r="Q388" s="551"/>
      <c r="R388" s="551"/>
      <c r="S388" s="551"/>
      <c r="T388" s="551"/>
      <c r="U388" s="551"/>
      <c r="V388" s="551"/>
      <c r="W388" s="551"/>
      <c r="X388" s="551"/>
      <c r="Y388" s="551"/>
      <c r="Z388" s="551"/>
      <c r="AA388" s="551"/>
      <c r="AB388" s="551"/>
      <c r="AC388" s="551"/>
      <c r="AD388" s="551"/>
      <c r="AE388" s="551"/>
      <c r="AF388" s="551"/>
    </row>
    <row r="389">
      <c r="A389" s="552"/>
      <c r="B389" s="552"/>
      <c r="C389" s="552"/>
      <c r="D389" s="552"/>
      <c r="E389" s="552"/>
      <c r="F389" s="552"/>
      <c r="G389" s="552"/>
      <c r="H389" s="552"/>
      <c r="I389" s="552"/>
      <c r="J389" s="552"/>
      <c r="K389" s="552"/>
      <c r="L389" s="552"/>
      <c r="M389" s="552"/>
      <c r="N389" s="551"/>
      <c r="O389" s="551"/>
      <c r="P389" s="551"/>
      <c r="Q389" s="551"/>
      <c r="R389" s="551"/>
      <c r="S389" s="551"/>
      <c r="T389" s="551"/>
      <c r="U389" s="551"/>
      <c r="V389" s="551"/>
      <c r="W389" s="551"/>
      <c r="X389" s="551"/>
      <c r="Y389" s="551"/>
      <c r="Z389" s="551"/>
      <c r="AA389" s="551"/>
      <c r="AB389" s="551"/>
      <c r="AC389" s="551"/>
      <c r="AD389" s="551"/>
      <c r="AE389" s="551"/>
      <c r="AF389" s="551"/>
    </row>
    <row r="390">
      <c r="A390" s="552"/>
      <c r="B390" s="552"/>
      <c r="C390" s="552"/>
      <c r="D390" s="552"/>
      <c r="E390" s="552"/>
      <c r="F390" s="552"/>
      <c r="G390" s="552"/>
      <c r="H390" s="552"/>
      <c r="I390" s="552"/>
      <c r="J390" s="552"/>
      <c r="K390" s="552"/>
      <c r="L390" s="552"/>
      <c r="M390" s="552"/>
      <c r="N390" s="551"/>
      <c r="O390" s="551"/>
      <c r="P390" s="551"/>
      <c r="Q390" s="551"/>
      <c r="R390" s="551"/>
      <c r="S390" s="551"/>
      <c r="T390" s="551"/>
      <c r="U390" s="551"/>
      <c r="V390" s="551"/>
      <c r="W390" s="551"/>
      <c r="X390" s="551"/>
      <c r="Y390" s="551"/>
      <c r="Z390" s="551"/>
      <c r="AA390" s="551"/>
      <c r="AB390" s="551"/>
      <c r="AC390" s="551"/>
      <c r="AD390" s="551"/>
      <c r="AE390" s="551"/>
      <c r="AF390" s="551"/>
    </row>
    <row r="391">
      <c r="A391" s="552"/>
      <c r="B391" s="552"/>
      <c r="C391" s="552"/>
      <c r="D391" s="552"/>
      <c r="E391" s="552"/>
      <c r="F391" s="552"/>
      <c r="G391" s="552"/>
      <c r="H391" s="552"/>
      <c r="I391" s="552"/>
      <c r="J391" s="552"/>
      <c r="K391" s="552"/>
      <c r="L391" s="552"/>
      <c r="M391" s="552"/>
      <c r="N391" s="551"/>
      <c r="O391" s="551"/>
      <c r="P391" s="551"/>
      <c r="Q391" s="551"/>
      <c r="R391" s="551"/>
      <c r="S391" s="551"/>
      <c r="T391" s="551"/>
      <c r="U391" s="551"/>
      <c r="V391" s="551"/>
      <c r="W391" s="551"/>
      <c r="X391" s="551"/>
      <c r="Y391" s="551"/>
      <c r="Z391" s="551"/>
      <c r="AA391" s="551"/>
      <c r="AB391" s="551"/>
      <c r="AC391" s="551"/>
      <c r="AD391" s="551"/>
      <c r="AE391" s="551"/>
      <c r="AF391" s="551"/>
    </row>
    <row r="392">
      <c r="A392" s="552"/>
      <c r="B392" s="552"/>
      <c r="C392" s="552"/>
      <c r="D392" s="552"/>
      <c r="E392" s="552"/>
      <c r="F392" s="552"/>
      <c r="G392" s="552"/>
      <c r="H392" s="552"/>
      <c r="I392" s="552"/>
      <c r="J392" s="552"/>
      <c r="K392" s="552"/>
      <c r="L392" s="552"/>
      <c r="M392" s="552"/>
      <c r="N392" s="551"/>
      <c r="O392" s="551"/>
      <c r="P392" s="551"/>
      <c r="Q392" s="551"/>
      <c r="R392" s="551"/>
      <c r="S392" s="551"/>
      <c r="T392" s="551"/>
      <c r="U392" s="551"/>
      <c r="V392" s="551"/>
      <c r="W392" s="551"/>
      <c r="X392" s="551"/>
      <c r="Y392" s="551"/>
      <c r="Z392" s="551"/>
      <c r="AA392" s="551"/>
      <c r="AB392" s="551"/>
      <c r="AC392" s="551"/>
      <c r="AD392" s="551"/>
      <c r="AE392" s="551"/>
      <c r="AF392" s="551"/>
    </row>
    <row r="393">
      <c r="A393" s="552"/>
      <c r="B393" s="552"/>
      <c r="C393" s="552"/>
      <c r="D393" s="552"/>
      <c r="E393" s="552"/>
      <c r="F393" s="552"/>
      <c r="G393" s="552"/>
      <c r="H393" s="552"/>
      <c r="I393" s="552"/>
      <c r="J393" s="552"/>
      <c r="K393" s="552"/>
      <c r="L393" s="552"/>
      <c r="M393" s="552"/>
      <c r="N393" s="551"/>
      <c r="O393" s="551"/>
      <c r="P393" s="551"/>
      <c r="Q393" s="551"/>
      <c r="R393" s="551"/>
      <c r="S393" s="551"/>
      <c r="T393" s="551"/>
      <c r="U393" s="551"/>
      <c r="V393" s="551"/>
      <c r="W393" s="551"/>
      <c r="X393" s="551"/>
      <c r="Y393" s="551"/>
      <c r="Z393" s="551"/>
      <c r="AA393" s="551"/>
      <c r="AB393" s="551"/>
      <c r="AC393" s="551"/>
      <c r="AD393" s="551"/>
      <c r="AE393" s="551"/>
      <c r="AF393" s="551"/>
    </row>
    <row r="394">
      <c r="A394" s="552"/>
      <c r="B394" s="552"/>
      <c r="C394" s="552"/>
      <c r="D394" s="552"/>
      <c r="E394" s="552"/>
      <c r="F394" s="552"/>
      <c r="G394" s="552"/>
      <c r="H394" s="552"/>
      <c r="I394" s="552"/>
      <c r="J394" s="552"/>
      <c r="K394" s="552"/>
      <c r="L394" s="552"/>
      <c r="M394" s="552"/>
      <c r="N394" s="551"/>
      <c r="O394" s="551"/>
      <c r="P394" s="551"/>
      <c r="Q394" s="551"/>
      <c r="R394" s="551"/>
      <c r="S394" s="551"/>
      <c r="T394" s="551"/>
      <c r="U394" s="551"/>
      <c r="V394" s="551"/>
      <c r="W394" s="551"/>
      <c r="X394" s="551"/>
      <c r="Y394" s="551"/>
      <c r="Z394" s="551"/>
      <c r="AA394" s="551"/>
      <c r="AB394" s="551"/>
      <c r="AC394" s="551"/>
      <c r="AD394" s="551"/>
      <c r="AE394" s="551"/>
      <c r="AF394" s="551"/>
    </row>
    <row r="395">
      <c r="A395" s="552"/>
      <c r="B395" s="552"/>
      <c r="C395" s="552"/>
      <c r="D395" s="552"/>
      <c r="E395" s="552"/>
      <c r="F395" s="552"/>
      <c r="G395" s="552"/>
      <c r="H395" s="552"/>
      <c r="I395" s="552"/>
      <c r="J395" s="552"/>
      <c r="K395" s="552"/>
      <c r="L395" s="552"/>
      <c r="M395" s="552"/>
      <c r="N395" s="551"/>
      <c r="O395" s="551"/>
      <c r="P395" s="551"/>
      <c r="Q395" s="551"/>
      <c r="R395" s="551"/>
      <c r="S395" s="551"/>
      <c r="T395" s="551"/>
      <c r="U395" s="551"/>
      <c r="V395" s="551"/>
      <c r="W395" s="551"/>
      <c r="X395" s="551"/>
      <c r="Y395" s="551"/>
      <c r="Z395" s="551"/>
      <c r="AA395" s="551"/>
      <c r="AB395" s="551"/>
      <c r="AC395" s="551"/>
      <c r="AD395" s="551"/>
      <c r="AE395" s="551"/>
      <c r="AF395" s="551"/>
    </row>
    <row r="396">
      <c r="A396" s="552"/>
      <c r="B396" s="552"/>
      <c r="C396" s="552"/>
      <c r="D396" s="552"/>
      <c r="E396" s="552"/>
      <c r="F396" s="552"/>
      <c r="G396" s="552"/>
      <c r="H396" s="552"/>
      <c r="I396" s="552"/>
      <c r="J396" s="552"/>
      <c r="K396" s="552"/>
      <c r="L396" s="552"/>
      <c r="M396" s="552"/>
      <c r="N396" s="551"/>
      <c r="O396" s="551"/>
      <c r="P396" s="551"/>
      <c r="Q396" s="551"/>
      <c r="R396" s="551"/>
      <c r="S396" s="551"/>
      <c r="T396" s="551"/>
      <c r="U396" s="551"/>
      <c r="V396" s="551"/>
      <c r="W396" s="551"/>
      <c r="X396" s="551"/>
      <c r="Y396" s="551"/>
      <c r="Z396" s="551"/>
      <c r="AA396" s="551"/>
      <c r="AB396" s="551"/>
      <c r="AC396" s="551"/>
      <c r="AD396" s="551"/>
      <c r="AE396" s="551"/>
      <c r="AF396" s="551"/>
    </row>
    <row r="397">
      <c r="A397" s="552"/>
      <c r="B397" s="552"/>
      <c r="C397" s="552"/>
      <c r="D397" s="552"/>
      <c r="E397" s="552"/>
      <c r="F397" s="552"/>
      <c r="G397" s="552"/>
      <c r="H397" s="552"/>
      <c r="I397" s="552"/>
      <c r="J397" s="552"/>
      <c r="K397" s="552"/>
      <c r="L397" s="552"/>
      <c r="M397" s="552"/>
      <c r="N397" s="551"/>
      <c r="O397" s="551"/>
      <c r="P397" s="551"/>
      <c r="Q397" s="551"/>
      <c r="R397" s="551"/>
      <c r="S397" s="551"/>
      <c r="T397" s="551"/>
      <c r="U397" s="551"/>
      <c r="V397" s="551"/>
      <c r="W397" s="551"/>
      <c r="X397" s="551"/>
      <c r="Y397" s="551"/>
      <c r="Z397" s="551"/>
      <c r="AA397" s="551"/>
      <c r="AB397" s="551"/>
      <c r="AC397" s="551"/>
      <c r="AD397" s="551"/>
      <c r="AE397" s="551"/>
      <c r="AF397" s="551"/>
    </row>
    <row r="398">
      <c r="A398" s="552"/>
      <c r="B398" s="552"/>
      <c r="C398" s="552"/>
      <c r="D398" s="552"/>
      <c r="E398" s="552"/>
      <c r="F398" s="552"/>
      <c r="G398" s="552"/>
      <c r="H398" s="552"/>
      <c r="I398" s="552"/>
      <c r="J398" s="552"/>
      <c r="K398" s="552"/>
      <c r="L398" s="552"/>
      <c r="M398" s="552"/>
      <c r="N398" s="551"/>
      <c r="O398" s="551"/>
      <c r="P398" s="551"/>
      <c r="Q398" s="551"/>
      <c r="R398" s="551"/>
      <c r="S398" s="551"/>
      <c r="T398" s="551"/>
      <c r="U398" s="551"/>
      <c r="V398" s="551"/>
      <c r="W398" s="551"/>
      <c r="X398" s="551"/>
      <c r="Y398" s="551"/>
      <c r="Z398" s="551"/>
      <c r="AA398" s="551"/>
      <c r="AB398" s="551"/>
      <c r="AC398" s="551"/>
      <c r="AD398" s="551"/>
      <c r="AE398" s="551"/>
      <c r="AF398" s="551"/>
    </row>
    <row r="399">
      <c r="A399" s="552"/>
      <c r="B399" s="552"/>
      <c r="C399" s="552"/>
      <c r="D399" s="552"/>
      <c r="E399" s="552"/>
      <c r="F399" s="552"/>
      <c r="G399" s="552"/>
      <c r="H399" s="552"/>
      <c r="I399" s="552"/>
      <c r="J399" s="552"/>
      <c r="K399" s="552"/>
      <c r="L399" s="552"/>
      <c r="M399" s="552"/>
      <c r="N399" s="551"/>
      <c r="O399" s="551"/>
      <c r="P399" s="551"/>
      <c r="Q399" s="551"/>
      <c r="R399" s="551"/>
      <c r="S399" s="551"/>
      <c r="T399" s="551"/>
      <c r="U399" s="551"/>
      <c r="V399" s="551"/>
      <c r="W399" s="551"/>
      <c r="X399" s="551"/>
      <c r="Y399" s="551"/>
      <c r="Z399" s="551"/>
      <c r="AA399" s="551"/>
      <c r="AB399" s="551"/>
      <c r="AC399" s="551"/>
      <c r="AD399" s="551"/>
      <c r="AE399" s="551"/>
      <c r="AF399" s="551"/>
    </row>
    <row r="400">
      <c r="A400" s="552"/>
      <c r="B400" s="552"/>
      <c r="C400" s="552"/>
      <c r="D400" s="552"/>
      <c r="E400" s="552"/>
      <c r="F400" s="552"/>
      <c r="G400" s="552"/>
      <c r="H400" s="552"/>
      <c r="I400" s="552"/>
      <c r="J400" s="552"/>
      <c r="K400" s="552"/>
      <c r="L400" s="552"/>
      <c r="M400" s="552"/>
      <c r="N400" s="551"/>
      <c r="O400" s="551"/>
      <c r="P400" s="551"/>
      <c r="Q400" s="551"/>
      <c r="R400" s="551"/>
      <c r="S400" s="551"/>
      <c r="T400" s="551"/>
      <c r="U400" s="551"/>
      <c r="V400" s="551"/>
      <c r="W400" s="551"/>
      <c r="X400" s="551"/>
      <c r="Y400" s="551"/>
      <c r="Z400" s="551"/>
      <c r="AA400" s="551"/>
      <c r="AB400" s="551"/>
      <c r="AC400" s="551"/>
      <c r="AD400" s="551"/>
      <c r="AE400" s="551"/>
      <c r="AF400" s="551"/>
    </row>
    <row r="401">
      <c r="A401" s="552"/>
      <c r="B401" s="552"/>
      <c r="C401" s="552"/>
      <c r="D401" s="552"/>
      <c r="E401" s="552"/>
      <c r="F401" s="552"/>
      <c r="G401" s="552"/>
      <c r="H401" s="552"/>
      <c r="I401" s="552"/>
      <c r="J401" s="552"/>
      <c r="K401" s="552"/>
      <c r="L401" s="552"/>
      <c r="M401" s="552"/>
      <c r="N401" s="551"/>
      <c r="O401" s="551"/>
      <c r="P401" s="551"/>
      <c r="Q401" s="551"/>
      <c r="R401" s="551"/>
      <c r="S401" s="551"/>
      <c r="T401" s="551"/>
      <c r="U401" s="551"/>
      <c r="V401" s="551"/>
      <c r="W401" s="551"/>
      <c r="X401" s="551"/>
      <c r="Y401" s="551"/>
      <c r="Z401" s="551"/>
      <c r="AA401" s="551"/>
      <c r="AB401" s="551"/>
      <c r="AC401" s="551"/>
      <c r="AD401" s="551"/>
      <c r="AE401" s="551"/>
      <c r="AF401" s="551"/>
    </row>
    <row r="402">
      <c r="A402" s="552"/>
      <c r="B402" s="552"/>
      <c r="C402" s="552"/>
      <c r="D402" s="552"/>
      <c r="E402" s="552"/>
      <c r="F402" s="552"/>
      <c r="G402" s="552"/>
      <c r="H402" s="552"/>
      <c r="I402" s="552"/>
      <c r="J402" s="552"/>
      <c r="K402" s="552"/>
      <c r="L402" s="552"/>
      <c r="M402" s="552"/>
      <c r="N402" s="551"/>
      <c r="O402" s="551"/>
      <c r="P402" s="551"/>
      <c r="Q402" s="551"/>
      <c r="R402" s="551"/>
      <c r="S402" s="551"/>
      <c r="T402" s="551"/>
      <c r="U402" s="551"/>
      <c r="V402" s="551"/>
      <c r="W402" s="551"/>
      <c r="X402" s="551"/>
      <c r="Y402" s="551"/>
      <c r="Z402" s="551"/>
      <c r="AA402" s="551"/>
      <c r="AB402" s="551"/>
      <c r="AC402" s="551"/>
      <c r="AD402" s="551"/>
      <c r="AE402" s="551"/>
      <c r="AF402" s="551"/>
    </row>
    <row r="403">
      <c r="A403" s="552"/>
      <c r="B403" s="552"/>
      <c r="C403" s="552"/>
      <c r="D403" s="552"/>
      <c r="E403" s="552"/>
      <c r="F403" s="552"/>
      <c r="G403" s="552"/>
      <c r="H403" s="552"/>
      <c r="I403" s="552"/>
      <c r="J403" s="552"/>
      <c r="K403" s="552"/>
      <c r="L403" s="552"/>
      <c r="M403" s="552"/>
      <c r="N403" s="551"/>
      <c r="O403" s="551"/>
      <c r="P403" s="551"/>
      <c r="Q403" s="551"/>
      <c r="R403" s="551"/>
      <c r="S403" s="551"/>
      <c r="T403" s="551"/>
      <c r="U403" s="551"/>
      <c r="V403" s="551"/>
      <c r="W403" s="551"/>
      <c r="X403" s="551"/>
      <c r="Y403" s="551"/>
      <c r="Z403" s="551"/>
      <c r="AA403" s="551"/>
      <c r="AB403" s="551"/>
      <c r="AC403" s="551"/>
      <c r="AD403" s="551"/>
      <c r="AE403" s="551"/>
      <c r="AF403" s="551"/>
    </row>
    <row r="404">
      <c r="A404" s="552"/>
      <c r="B404" s="552"/>
      <c r="C404" s="552"/>
      <c r="D404" s="552"/>
      <c r="E404" s="552"/>
      <c r="F404" s="552"/>
      <c r="G404" s="552"/>
      <c r="H404" s="552"/>
      <c r="I404" s="552"/>
      <c r="J404" s="552"/>
      <c r="K404" s="552"/>
      <c r="L404" s="552"/>
      <c r="M404" s="552"/>
      <c r="N404" s="551"/>
      <c r="O404" s="551"/>
      <c r="P404" s="551"/>
      <c r="Q404" s="551"/>
      <c r="R404" s="551"/>
      <c r="S404" s="551"/>
      <c r="T404" s="551"/>
      <c r="U404" s="551"/>
      <c r="V404" s="551"/>
      <c r="W404" s="551"/>
      <c r="X404" s="551"/>
      <c r="Y404" s="551"/>
      <c r="Z404" s="551"/>
      <c r="AA404" s="551"/>
      <c r="AB404" s="551"/>
      <c r="AC404" s="551"/>
      <c r="AD404" s="551"/>
      <c r="AE404" s="551"/>
      <c r="AF404" s="551"/>
    </row>
    <row r="405">
      <c r="A405" s="552"/>
      <c r="B405" s="552"/>
      <c r="C405" s="552"/>
      <c r="D405" s="552"/>
      <c r="E405" s="552"/>
      <c r="F405" s="552"/>
      <c r="G405" s="552"/>
      <c r="H405" s="552"/>
      <c r="I405" s="552"/>
      <c r="J405" s="552"/>
      <c r="K405" s="552"/>
      <c r="L405" s="552"/>
      <c r="M405" s="552"/>
      <c r="N405" s="551"/>
      <c r="O405" s="551"/>
      <c r="P405" s="551"/>
      <c r="Q405" s="551"/>
      <c r="R405" s="551"/>
      <c r="S405" s="551"/>
      <c r="T405" s="551"/>
      <c r="U405" s="551"/>
      <c r="V405" s="551"/>
      <c r="W405" s="551"/>
      <c r="X405" s="551"/>
      <c r="Y405" s="551"/>
      <c r="Z405" s="551"/>
      <c r="AA405" s="551"/>
      <c r="AB405" s="551"/>
      <c r="AC405" s="551"/>
      <c r="AD405" s="551"/>
      <c r="AE405" s="551"/>
      <c r="AF405" s="551"/>
    </row>
    <row r="406">
      <c r="A406" s="552"/>
      <c r="B406" s="552"/>
      <c r="C406" s="552"/>
      <c r="D406" s="552"/>
      <c r="E406" s="552"/>
      <c r="F406" s="552"/>
      <c r="G406" s="552"/>
      <c r="H406" s="552"/>
      <c r="I406" s="552"/>
      <c r="J406" s="552"/>
      <c r="K406" s="552"/>
      <c r="L406" s="552"/>
      <c r="M406" s="552"/>
      <c r="N406" s="551"/>
      <c r="O406" s="551"/>
      <c r="P406" s="551"/>
      <c r="Q406" s="551"/>
      <c r="R406" s="551"/>
      <c r="S406" s="551"/>
      <c r="T406" s="551"/>
      <c r="U406" s="551"/>
      <c r="V406" s="551"/>
      <c r="W406" s="551"/>
      <c r="X406" s="551"/>
      <c r="Y406" s="551"/>
      <c r="Z406" s="551"/>
      <c r="AA406" s="551"/>
      <c r="AB406" s="551"/>
      <c r="AC406" s="551"/>
      <c r="AD406" s="551"/>
      <c r="AE406" s="551"/>
      <c r="AF406" s="551"/>
    </row>
    <row r="407">
      <c r="A407" s="552"/>
      <c r="B407" s="552"/>
      <c r="C407" s="552"/>
      <c r="D407" s="552"/>
      <c r="E407" s="552"/>
      <c r="F407" s="552"/>
      <c r="G407" s="552"/>
      <c r="H407" s="552"/>
      <c r="I407" s="552"/>
      <c r="J407" s="552"/>
      <c r="K407" s="552"/>
      <c r="L407" s="552"/>
      <c r="M407" s="552"/>
      <c r="N407" s="551"/>
      <c r="O407" s="551"/>
      <c r="P407" s="551"/>
      <c r="Q407" s="551"/>
      <c r="R407" s="551"/>
      <c r="S407" s="551"/>
      <c r="T407" s="551"/>
      <c r="U407" s="551"/>
      <c r="V407" s="551"/>
      <c r="W407" s="551"/>
      <c r="X407" s="551"/>
      <c r="Y407" s="551"/>
      <c r="Z407" s="551"/>
      <c r="AA407" s="551"/>
      <c r="AB407" s="551"/>
      <c r="AC407" s="551"/>
      <c r="AD407" s="551"/>
      <c r="AE407" s="551"/>
      <c r="AF407" s="551"/>
    </row>
    <row r="408">
      <c r="A408" s="552"/>
      <c r="B408" s="552"/>
      <c r="C408" s="552"/>
      <c r="D408" s="552"/>
      <c r="E408" s="552"/>
      <c r="F408" s="552"/>
      <c r="G408" s="552"/>
      <c r="H408" s="552"/>
      <c r="I408" s="552"/>
      <c r="J408" s="552"/>
      <c r="K408" s="552"/>
      <c r="L408" s="552"/>
      <c r="M408" s="552"/>
      <c r="N408" s="551"/>
      <c r="O408" s="551"/>
      <c r="P408" s="551"/>
      <c r="Q408" s="551"/>
      <c r="R408" s="551"/>
      <c r="S408" s="551"/>
      <c r="T408" s="551"/>
      <c r="U408" s="551"/>
      <c r="V408" s="551"/>
      <c r="W408" s="551"/>
      <c r="X408" s="551"/>
      <c r="Y408" s="551"/>
      <c r="Z408" s="551"/>
      <c r="AA408" s="551"/>
      <c r="AB408" s="551"/>
      <c r="AC408" s="551"/>
      <c r="AD408" s="551"/>
      <c r="AE408" s="551"/>
      <c r="AF408" s="551"/>
    </row>
    <row r="409">
      <c r="A409" s="552"/>
      <c r="B409" s="552"/>
      <c r="C409" s="552"/>
      <c r="D409" s="552"/>
      <c r="E409" s="552"/>
      <c r="F409" s="552"/>
      <c r="G409" s="552"/>
      <c r="H409" s="552"/>
      <c r="I409" s="552"/>
      <c r="J409" s="552"/>
      <c r="K409" s="552"/>
      <c r="L409" s="552"/>
      <c r="M409" s="552"/>
      <c r="N409" s="551"/>
      <c r="O409" s="551"/>
      <c r="P409" s="551"/>
      <c r="Q409" s="551"/>
      <c r="R409" s="551"/>
      <c r="S409" s="551"/>
      <c r="T409" s="551"/>
      <c r="U409" s="551"/>
      <c r="V409" s="551"/>
      <c r="W409" s="551"/>
      <c r="X409" s="551"/>
      <c r="Y409" s="551"/>
      <c r="Z409" s="551"/>
      <c r="AA409" s="551"/>
      <c r="AB409" s="551"/>
      <c r="AC409" s="551"/>
      <c r="AD409" s="551"/>
      <c r="AE409" s="551"/>
      <c r="AF409" s="551"/>
    </row>
    <row r="410">
      <c r="A410" s="552"/>
      <c r="B410" s="552"/>
      <c r="C410" s="552"/>
      <c r="D410" s="552"/>
      <c r="E410" s="552"/>
      <c r="F410" s="552"/>
      <c r="G410" s="552"/>
      <c r="H410" s="552"/>
      <c r="I410" s="552"/>
      <c r="J410" s="552"/>
      <c r="K410" s="552"/>
      <c r="L410" s="552"/>
      <c r="M410" s="552"/>
      <c r="N410" s="551"/>
      <c r="O410" s="551"/>
      <c r="P410" s="551"/>
      <c r="Q410" s="551"/>
      <c r="R410" s="551"/>
      <c r="S410" s="551"/>
      <c r="T410" s="551"/>
      <c r="U410" s="551"/>
      <c r="V410" s="551"/>
      <c r="W410" s="551"/>
      <c r="X410" s="551"/>
      <c r="Y410" s="551"/>
      <c r="Z410" s="551"/>
      <c r="AA410" s="551"/>
      <c r="AB410" s="551"/>
      <c r="AC410" s="551"/>
      <c r="AD410" s="551"/>
      <c r="AE410" s="551"/>
      <c r="AF410" s="551"/>
    </row>
    <row r="411">
      <c r="A411" s="552"/>
      <c r="B411" s="552"/>
      <c r="C411" s="552"/>
      <c r="D411" s="552"/>
      <c r="E411" s="552"/>
      <c r="F411" s="552"/>
      <c r="G411" s="552"/>
      <c r="H411" s="552"/>
      <c r="I411" s="552"/>
      <c r="J411" s="552"/>
      <c r="K411" s="552"/>
      <c r="L411" s="552"/>
      <c r="M411" s="552"/>
      <c r="N411" s="551"/>
      <c r="O411" s="551"/>
      <c r="P411" s="551"/>
      <c r="Q411" s="551"/>
      <c r="R411" s="551"/>
      <c r="S411" s="551"/>
      <c r="T411" s="551"/>
      <c r="U411" s="551"/>
      <c r="V411" s="551"/>
      <c r="W411" s="551"/>
      <c r="X411" s="551"/>
      <c r="Y411" s="551"/>
      <c r="Z411" s="551"/>
      <c r="AA411" s="551"/>
      <c r="AB411" s="551"/>
      <c r="AC411" s="551"/>
      <c r="AD411" s="551"/>
      <c r="AE411" s="551"/>
      <c r="AF411" s="551"/>
    </row>
    <row r="412">
      <c r="A412" s="552"/>
      <c r="B412" s="552"/>
      <c r="C412" s="552"/>
      <c r="D412" s="552"/>
      <c r="E412" s="552"/>
      <c r="F412" s="552"/>
      <c r="G412" s="552"/>
      <c r="H412" s="552"/>
      <c r="I412" s="552"/>
      <c r="J412" s="552"/>
      <c r="K412" s="552"/>
      <c r="L412" s="552"/>
      <c r="M412" s="552"/>
      <c r="N412" s="551"/>
      <c r="O412" s="551"/>
      <c r="P412" s="551"/>
      <c r="Q412" s="551"/>
      <c r="R412" s="551"/>
      <c r="S412" s="551"/>
      <c r="T412" s="551"/>
      <c r="U412" s="551"/>
      <c r="V412" s="551"/>
      <c r="W412" s="551"/>
      <c r="X412" s="551"/>
      <c r="Y412" s="551"/>
      <c r="Z412" s="551"/>
      <c r="AA412" s="551"/>
      <c r="AB412" s="551"/>
      <c r="AC412" s="551"/>
      <c r="AD412" s="551"/>
      <c r="AE412" s="551"/>
      <c r="AF412" s="551"/>
    </row>
    <row r="413">
      <c r="A413" s="552"/>
      <c r="B413" s="552"/>
      <c r="C413" s="552"/>
      <c r="D413" s="552"/>
      <c r="E413" s="552"/>
      <c r="F413" s="552"/>
      <c r="G413" s="552"/>
      <c r="H413" s="552"/>
      <c r="I413" s="552"/>
      <c r="J413" s="552"/>
      <c r="K413" s="552"/>
      <c r="L413" s="552"/>
      <c r="M413" s="552"/>
      <c r="N413" s="551"/>
      <c r="O413" s="551"/>
      <c r="P413" s="551"/>
      <c r="Q413" s="551"/>
      <c r="R413" s="551"/>
      <c r="S413" s="551"/>
      <c r="T413" s="551"/>
      <c r="U413" s="551"/>
      <c r="V413" s="551"/>
      <c r="W413" s="551"/>
      <c r="X413" s="551"/>
      <c r="Y413" s="551"/>
      <c r="Z413" s="551"/>
      <c r="AA413" s="551"/>
      <c r="AB413" s="551"/>
      <c r="AC413" s="551"/>
      <c r="AD413" s="551"/>
      <c r="AE413" s="551"/>
      <c r="AF413" s="551"/>
    </row>
    <row r="414">
      <c r="A414" s="552"/>
      <c r="B414" s="552"/>
      <c r="C414" s="552"/>
      <c r="D414" s="552"/>
      <c r="E414" s="552"/>
      <c r="F414" s="552"/>
      <c r="G414" s="552"/>
      <c r="H414" s="552"/>
      <c r="I414" s="552"/>
      <c r="J414" s="552"/>
      <c r="K414" s="552"/>
      <c r="L414" s="552"/>
      <c r="M414" s="552"/>
      <c r="N414" s="551"/>
      <c r="O414" s="551"/>
      <c r="P414" s="551"/>
      <c r="Q414" s="551"/>
      <c r="R414" s="551"/>
      <c r="S414" s="551"/>
      <c r="T414" s="551"/>
      <c r="U414" s="551"/>
      <c r="V414" s="551"/>
      <c r="W414" s="551"/>
      <c r="X414" s="551"/>
      <c r="Y414" s="551"/>
      <c r="Z414" s="551"/>
      <c r="AA414" s="551"/>
      <c r="AB414" s="551"/>
      <c r="AC414" s="551"/>
      <c r="AD414" s="551"/>
      <c r="AE414" s="551"/>
      <c r="AF414" s="551"/>
    </row>
    <row r="415">
      <c r="A415" s="552"/>
      <c r="B415" s="552"/>
      <c r="C415" s="552"/>
      <c r="D415" s="552"/>
      <c r="E415" s="552"/>
      <c r="F415" s="552"/>
      <c r="G415" s="552"/>
      <c r="H415" s="552"/>
      <c r="I415" s="552"/>
      <c r="J415" s="552"/>
      <c r="K415" s="552"/>
      <c r="L415" s="552"/>
      <c r="M415" s="552"/>
      <c r="N415" s="551"/>
      <c r="O415" s="551"/>
      <c r="P415" s="551"/>
      <c r="Q415" s="551"/>
      <c r="R415" s="551"/>
      <c r="S415" s="551"/>
      <c r="T415" s="551"/>
      <c r="U415" s="551"/>
      <c r="V415" s="551"/>
      <c r="W415" s="551"/>
      <c r="X415" s="551"/>
      <c r="Y415" s="551"/>
      <c r="Z415" s="551"/>
      <c r="AA415" s="551"/>
      <c r="AB415" s="551"/>
      <c r="AC415" s="551"/>
      <c r="AD415" s="551"/>
      <c r="AE415" s="551"/>
      <c r="AF415" s="551"/>
    </row>
    <row r="416">
      <c r="A416" s="552"/>
      <c r="B416" s="552"/>
      <c r="C416" s="552"/>
      <c r="D416" s="552"/>
      <c r="E416" s="552"/>
      <c r="F416" s="552"/>
      <c r="G416" s="552"/>
      <c r="H416" s="552"/>
      <c r="I416" s="552"/>
      <c r="J416" s="552"/>
      <c r="K416" s="552"/>
      <c r="L416" s="552"/>
      <c r="M416" s="552"/>
      <c r="N416" s="551"/>
      <c r="O416" s="551"/>
      <c r="P416" s="551"/>
      <c r="Q416" s="551"/>
      <c r="R416" s="551"/>
      <c r="S416" s="551"/>
      <c r="T416" s="551"/>
      <c r="U416" s="551"/>
      <c r="V416" s="551"/>
      <c r="W416" s="551"/>
      <c r="X416" s="551"/>
      <c r="Y416" s="551"/>
      <c r="Z416" s="551"/>
      <c r="AA416" s="551"/>
      <c r="AB416" s="551"/>
      <c r="AC416" s="551"/>
      <c r="AD416" s="551"/>
      <c r="AE416" s="551"/>
      <c r="AF416" s="551"/>
    </row>
    <row r="417">
      <c r="A417" s="552"/>
      <c r="B417" s="552"/>
      <c r="C417" s="552"/>
      <c r="D417" s="552"/>
      <c r="E417" s="552"/>
      <c r="F417" s="552"/>
      <c r="G417" s="552"/>
      <c r="H417" s="552"/>
      <c r="I417" s="552"/>
      <c r="J417" s="552"/>
      <c r="K417" s="552"/>
      <c r="L417" s="552"/>
      <c r="M417" s="552"/>
      <c r="N417" s="551"/>
      <c r="O417" s="551"/>
      <c r="P417" s="551"/>
      <c r="Q417" s="551"/>
      <c r="R417" s="551"/>
      <c r="S417" s="551"/>
      <c r="T417" s="551"/>
      <c r="U417" s="551"/>
      <c r="V417" s="551"/>
      <c r="W417" s="551"/>
      <c r="X417" s="551"/>
      <c r="Y417" s="551"/>
      <c r="Z417" s="551"/>
      <c r="AA417" s="551"/>
      <c r="AB417" s="551"/>
      <c r="AC417" s="551"/>
      <c r="AD417" s="551"/>
      <c r="AE417" s="551"/>
      <c r="AF417" s="551"/>
    </row>
    <row r="418">
      <c r="A418" s="552"/>
      <c r="B418" s="552"/>
      <c r="C418" s="552"/>
      <c r="D418" s="552"/>
      <c r="E418" s="552"/>
      <c r="F418" s="552"/>
      <c r="G418" s="552"/>
      <c r="H418" s="552"/>
      <c r="I418" s="552"/>
      <c r="J418" s="552"/>
      <c r="K418" s="552"/>
      <c r="L418" s="552"/>
      <c r="M418" s="552"/>
      <c r="N418" s="551"/>
      <c r="O418" s="551"/>
      <c r="P418" s="551"/>
      <c r="Q418" s="551"/>
      <c r="R418" s="551"/>
      <c r="S418" s="551"/>
      <c r="T418" s="551"/>
      <c r="U418" s="551"/>
      <c r="V418" s="551"/>
      <c r="W418" s="551"/>
      <c r="X418" s="551"/>
      <c r="Y418" s="551"/>
      <c r="Z418" s="551"/>
      <c r="AA418" s="551"/>
      <c r="AB418" s="551"/>
      <c r="AC418" s="551"/>
      <c r="AD418" s="551"/>
      <c r="AE418" s="551"/>
      <c r="AF418" s="551"/>
    </row>
    <row r="419">
      <c r="A419" s="552"/>
      <c r="B419" s="552"/>
      <c r="C419" s="552"/>
      <c r="D419" s="552"/>
      <c r="E419" s="552"/>
      <c r="F419" s="552"/>
      <c r="G419" s="552"/>
      <c r="H419" s="552"/>
      <c r="I419" s="552"/>
      <c r="J419" s="552"/>
      <c r="K419" s="552"/>
      <c r="L419" s="552"/>
      <c r="M419" s="552"/>
      <c r="N419" s="551"/>
      <c r="O419" s="551"/>
      <c r="P419" s="551"/>
      <c r="Q419" s="551"/>
      <c r="R419" s="551"/>
      <c r="S419" s="551"/>
      <c r="T419" s="551"/>
      <c r="U419" s="551"/>
      <c r="V419" s="551"/>
      <c r="W419" s="551"/>
      <c r="X419" s="551"/>
      <c r="Y419" s="551"/>
      <c r="Z419" s="551"/>
      <c r="AA419" s="551"/>
      <c r="AB419" s="551"/>
      <c r="AC419" s="551"/>
      <c r="AD419" s="551"/>
      <c r="AE419" s="551"/>
      <c r="AF419" s="551"/>
    </row>
    <row r="420">
      <c r="A420" s="552"/>
      <c r="B420" s="552"/>
      <c r="C420" s="552"/>
      <c r="D420" s="552"/>
      <c r="E420" s="552"/>
      <c r="F420" s="552"/>
      <c r="G420" s="552"/>
      <c r="H420" s="552"/>
      <c r="I420" s="552"/>
      <c r="J420" s="552"/>
      <c r="K420" s="552"/>
      <c r="L420" s="552"/>
      <c r="M420" s="552"/>
      <c r="N420" s="551"/>
      <c r="O420" s="551"/>
      <c r="P420" s="551"/>
      <c r="Q420" s="551"/>
      <c r="R420" s="551"/>
      <c r="S420" s="551"/>
      <c r="T420" s="551"/>
      <c r="U420" s="551"/>
      <c r="V420" s="551"/>
      <c r="W420" s="551"/>
      <c r="X420" s="551"/>
      <c r="Y420" s="551"/>
      <c r="Z420" s="551"/>
      <c r="AA420" s="551"/>
      <c r="AB420" s="551"/>
      <c r="AC420" s="551"/>
      <c r="AD420" s="551"/>
      <c r="AE420" s="551"/>
      <c r="AF420" s="551"/>
    </row>
    <row r="421">
      <c r="A421" s="552"/>
      <c r="B421" s="552"/>
      <c r="C421" s="552"/>
      <c r="D421" s="552"/>
      <c r="E421" s="552"/>
      <c r="F421" s="552"/>
      <c r="G421" s="552"/>
      <c r="H421" s="552"/>
      <c r="I421" s="552"/>
      <c r="J421" s="552"/>
      <c r="K421" s="552"/>
      <c r="L421" s="552"/>
      <c r="M421" s="552"/>
      <c r="N421" s="551"/>
      <c r="O421" s="551"/>
      <c r="P421" s="551"/>
      <c r="Q421" s="551"/>
      <c r="R421" s="551"/>
      <c r="S421" s="551"/>
      <c r="T421" s="551"/>
      <c r="U421" s="551"/>
      <c r="V421" s="551"/>
      <c r="W421" s="551"/>
      <c r="X421" s="551"/>
      <c r="Y421" s="551"/>
      <c r="Z421" s="551"/>
      <c r="AA421" s="551"/>
      <c r="AB421" s="551"/>
      <c r="AC421" s="551"/>
      <c r="AD421" s="551"/>
      <c r="AE421" s="551"/>
      <c r="AF421" s="551"/>
    </row>
    <row r="422">
      <c r="A422" s="552"/>
      <c r="B422" s="552"/>
      <c r="C422" s="552"/>
      <c r="D422" s="552"/>
      <c r="E422" s="552"/>
      <c r="F422" s="552"/>
      <c r="G422" s="552"/>
      <c r="H422" s="552"/>
      <c r="I422" s="552"/>
      <c r="J422" s="552"/>
      <c r="K422" s="552"/>
      <c r="L422" s="552"/>
      <c r="M422" s="552"/>
      <c r="N422" s="551"/>
      <c r="O422" s="551"/>
      <c r="P422" s="551"/>
      <c r="Q422" s="551"/>
      <c r="R422" s="551"/>
      <c r="S422" s="551"/>
      <c r="T422" s="551"/>
      <c r="U422" s="551"/>
      <c r="V422" s="551"/>
      <c r="W422" s="551"/>
      <c r="X422" s="551"/>
      <c r="Y422" s="551"/>
      <c r="Z422" s="551"/>
      <c r="AA422" s="551"/>
      <c r="AB422" s="551"/>
      <c r="AC422" s="551"/>
      <c r="AD422" s="551"/>
      <c r="AE422" s="551"/>
      <c r="AF422" s="551"/>
    </row>
    <row r="423">
      <c r="A423" s="552"/>
      <c r="B423" s="552"/>
      <c r="C423" s="552"/>
      <c r="D423" s="552"/>
      <c r="E423" s="552"/>
      <c r="F423" s="552"/>
      <c r="G423" s="552"/>
      <c r="H423" s="552"/>
      <c r="I423" s="552"/>
      <c r="J423" s="552"/>
      <c r="K423" s="552"/>
      <c r="L423" s="552"/>
      <c r="M423" s="552"/>
      <c r="N423" s="551"/>
      <c r="O423" s="551"/>
      <c r="P423" s="551"/>
      <c r="Q423" s="551"/>
      <c r="R423" s="551"/>
      <c r="S423" s="551"/>
      <c r="T423" s="551"/>
      <c r="U423" s="551"/>
      <c r="V423" s="551"/>
      <c r="W423" s="551"/>
      <c r="X423" s="551"/>
      <c r="Y423" s="551"/>
      <c r="Z423" s="551"/>
      <c r="AA423" s="551"/>
      <c r="AB423" s="551"/>
      <c r="AC423" s="551"/>
      <c r="AD423" s="551"/>
      <c r="AE423" s="551"/>
      <c r="AF423" s="551"/>
    </row>
    <row r="424">
      <c r="A424" s="552"/>
      <c r="B424" s="552"/>
      <c r="C424" s="552"/>
      <c r="D424" s="552"/>
      <c r="E424" s="552"/>
      <c r="F424" s="552"/>
      <c r="G424" s="552"/>
      <c r="H424" s="552"/>
      <c r="I424" s="552"/>
      <c r="J424" s="552"/>
      <c r="K424" s="552"/>
      <c r="L424" s="552"/>
      <c r="M424" s="552"/>
      <c r="N424" s="551"/>
      <c r="O424" s="551"/>
      <c r="P424" s="551"/>
      <c r="Q424" s="551"/>
      <c r="R424" s="551"/>
      <c r="S424" s="551"/>
      <c r="T424" s="551"/>
      <c r="U424" s="551"/>
      <c r="V424" s="551"/>
      <c r="W424" s="551"/>
      <c r="X424" s="551"/>
      <c r="Y424" s="551"/>
      <c r="Z424" s="551"/>
      <c r="AA424" s="551"/>
      <c r="AB424" s="551"/>
      <c r="AC424" s="551"/>
      <c r="AD424" s="551"/>
      <c r="AE424" s="551"/>
      <c r="AF424" s="551"/>
    </row>
    <row r="425">
      <c r="A425" s="552"/>
      <c r="B425" s="552"/>
      <c r="C425" s="552"/>
      <c r="D425" s="552"/>
      <c r="E425" s="552"/>
      <c r="F425" s="552"/>
      <c r="G425" s="552"/>
      <c r="H425" s="552"/>
      <c r="I425" s="552"/>
      <c r="J425" s="552"/>
      <c r="K425" s="552"/>
      <c r="L425" s="552"/>
      <c r="M425" s="552"/>
      <c r="N425" s="551"/>
      <c r="O425" s="551"/>
      <c r="P425" s="551"/>
      <c r="Q425" s="551"/>
      <c r="R425" s="551"/>
      <c r="S425" s="551"/>
      <c r="T425" s="551"/>
      <c r="U425" s="551"/>
      <c r="V425" s="551"/>
      <c r="W425" s="551"/>
      <c r="X425" s="551"/>
      <c r="Y425" s="551"/>
      <c r="Z425" s="551"/>
      <c r="AA425" s="551"/>
      <c r="AB425" s="551"/>
      <c r="AC425" s="551"/>
      <c r="AD425" s="551"/>
      <c r="AE425" s="551"/>
      <c r="AF425" s="551"/>
    </row>
    <row r="426">
      <c r="A426" s="552"/>
      <c r="B426" s="552"/>
      <c r="C426" s="552"/>
      <c r="D426" s="552"/>
      <c r="E426" s="552"/>
      <c r="F426" s="552"/>
      <c r="G426" s="552"/>
      <c r="H426" s="552"/>
      <c r="I426" s="552"/>
      <c r="J426" s="552"/>
      <c r="K426" s="552"/>
      <c r="L426" s="552"/>
      <c r="M426" s="552"/>
      <c r="N426" s="551"/>
      <c r="O426" s="551"/>
      <c r="P426" s="551"/>
      <c r="Q426" s="551"/>
      <c r="R426" s="551"/>
      <c r="S426" s="551"/>
      <c r="T426" s="551"/>
      <c r="U426" s="551"/>
      <c r="V426" s="551"/>
      <c r="W426" s="551"/>
      <c r="X426" s="551"/>
      <c r="Y426" s="551"/>
      <c r="Z426" s="551"/>
      <c r="AA426" s="551"/>
      <c r="AB426" s="551"/>
      <c r="AC426" s="551"/>
      <c r="AD426" s="551"/>
      <c r="AE426" s="551"/>
      <c r="AF426" s="551"/>
    </row>
    <row r="427">
      <c r="A427" s="552"/>
      <c r="B427" s="552"/>
      <c r="C427" s="552"/>
      <c r="D427" s="552"/>
      <c r="E427" s="552"/>
      <c r="F427" s="552"/>
      <c r="G427" s="552"/>
      <c r="H427" s="552"/>
      <c r="I427" s="552"/>
      <c r="J427" s="552"/>
      <c r="K427" s="552"/>
      <c r="L427" s="552"/>
      <c r="M427" s="552"/>
      <c r="N427" s="551"/>
      <c r="O427" s="551"/>
      <c r="P427" s="551"/>
      <c r="Q427" s="551"/>
      <c r="R427" s="551"/>
      <c r="S427" s="551"/>
      <c r="T427" s="551"/>
      <c r="U427" s="551"/>
      <c r="V427" s="551"/>
      <c r="W427" s="551"/>
      <c r="X427" s="551"/>
      <c r="Y427" s="551"/>
      <c r="Z427" s="551"/>
      <c r="AA427" s="551"/>
      <c r="AB427" s="551"/>
      <c r="AC427" s="551"/>
      <c r="AD427" s="551"/>
      <c r="AE427" s="551"/>
      <c r="AF427" s="551"/>
    </row>
    <row r="428">
      <c r="A428" s="552"/>
      <c r="B428" s="552"/>
      <c r="C428" s="552"/>
      <c r="D428" s="552"/>
      <c r="E428" s="552"/>
      <c r="F428" s="552"/>
      <c r="G428" s="552"/>
      <c r="H428" s="552"/>
      <c r="I428" s="552"/>
      <c r="J428" s="552"/>
      <c r="K428" s="552"/>
      <c r="L428" s="552"/>
      <c r="M428" s="552"/>
      <c r="N428" s="551"/>
      <c r="O428" s="551"/>
      <c r="P428" s="551"/>
      <c r="Q428" s="551"/>
      <c r="R428" s="551"/>
      <c r="S428" s="551"/>
      <c r="T428" s="551"/>
      <c r="U428" s="551"/>
      <c r="V428" s="551"/>
      <c r="W428" s="551"/>
      <c r="X428" s="551"/>
      <c r="Y428" s="551"/>
      <c r="Z428" s="551"/>
      <c r="AA428" s="551"/>
      <c r="AB428" s="551"/>
      <c r="AC428" s="551"/>
      <c r="AD428" s="551"/>
      <c r="AE428" s="551"/>
      <c r="AF428" s="551"/>
    </row>
    <row r="429">
      <c r="A429" s="552"/>
      <c r="B429" s="552"/>
      <c r="C429" s="552"/>
      <c r="D429" s="552"/>
      <c r="E429" s="552"/>
      <c r="F429" s="552"/>
      <c r="G429" s="552"/>
      <c r="H429" s="552"/>
      <c r="I429" s="552"/>
      <c r="J429" s="552"/>
      <c r="K429" s="552"/>
      <c r="L429" s="552"/>
      <c r="M429" s="552"/>
      <c r="N429" s="551"/>
      <c r="O429" s="551"/>
      <c r="P429" s="551"/>
      <c r="Q429" s="551"/>
      <c r="R429" s="551"/>
      <c r="S429" s="551"/>
      <c r="T429" s="551"/>
      <c r="U429" s="551"/>
      <c r="V429" s="551"/>
      <c r="W429" s="551"/>
      <c r="X429" s="551"/>
      <c r="Y429" s="551"/>
      <c r="Z429" s="551"/>
      <c r="AA429" s="551"/>
      <c r="AB429" s="551"/>
      <c r="AC429" s="551"/>
      <c r="AD429" s="551"/>
      <c r="AE429" s="551"/>
      <c r="AF429" s="551"/>
    </row>
    <row r="430">
      <c r="A430" s="552"/>
      <c r="B430" s="552"/>
      <c r="C430" s="552"/>
      <c r="D430" s="552"/>
      <c r="E430" s="552"/>
      <c r="F430" s="552"/>
      <c r="G430" s="552"/>
      <c r="H430" s="552"/>
      <c r="I430" s="552"/>
      <c r="J430" s="552"/>
      <c r="K430" s="552"/>
      <c r="L430" s="552"/>
      <c r="M430" s="552"/>
      <c r="N430" s="551"/>
      <c r="O430" s="551"/>
      <c r="P430" s="551"/>
      <c r="Q430" s="551"/>
      <c r="R430" s="551"/>
      <c r="S430" s="551"/>
      <c r="T430" s="551"/>
      <c r="U430" s="551"/>
      <c r="V430" s="551"/>
      <c r="W430" s="551"/>
      <c r="X430" s="551"/>
      <c r="Y430" s="551"/>
      <c r="Z430" s="551"/>
      <c r="AA430" s="551"/>
      <c r="AB430" s="551"/>
      <c r="AC430" s="551"/>
      <c r="AD430" s="551"/>
      <c r="AE430" s="551"/>
      <c r="AF430" s="551"/>
    </row>
    <row r="431">
      <c r="A431" s="552"/>
      <c r="B431" s="552"/>
      <c r="C431" s="552"/>
      <c r="D431" s="552"/>
      <c r="E431" s="552"/>
      <c r="F431" s="552"/>
      <c r="G431" s="552"/>
      <c r="H431" s="552"/>
      <c r="I431" s="552"/>
      <c r="J431" s="552"/>
      <c r="K431" s="552"/>
      <c r="L431" s="552"/>
      <c r="M431" s="552"/>
      <c r="N431" s="551"/>
      <c r="O431" s="551"/>
      <c r="P431" s="551"/>
      <c r="Q431" s="551"/>
      <c r="R431" s="551"/>
      <c r="S431" s="551"/>
      <c r="T431" s="551"/>
      <c r="U431" s="551"/>
      <c r="V431" s="551"/>
      <c r="W431" s="551"/>
      <c r="X431" s="551"/>
      <c r="Y431" s="551"/>
      <c r="Z431" s="551"/>
      <c r="AA431" s="551"/>
      <c r="AB431" s="551"/>
      <c r="AC431" s="551"/>
      <c r="AD431" s="551"/>
      <c r="AE431" s="551"/>
      <c r="AF431" s="551"/>
    </row>
    <row r="432">
      <c r="A432" s="552"/>
      <c r="B432" s="552"/>
      <c r="C432" s="552"/>
      <c r="D432" s="552"/>
      <c r="E432" s="552"/>
      <c r="F432" s="552"/>
      <c r="G432" s="552"/>
      <c r="H432" s="552"/>
      <c r="I432" s="552"/>
      <c r="J432" s="552"/>
      <c r="K432" s="552"/>
      <c r="L432" s="552"/>
      <c r="M432" s="552"/>
      <c r="N432" s="551"/>
      <c r="O432" s="551"/>
      <c r="P432" s="551"/>
      <c r="Q432" s="551"/>
      <c r="R432" s="551"/>
      <c r="S432" s="551"/>
      <c r="T432" s="551"/>
      <c r="U432" s="551"/>
      <c r="V432" s="551"/>
      <c r="W432" s="551"/>
      <c r="X432" s="551"/>
      <c r="Y432" s="551"/>
      <c r="Z432" s="551"/>
      <c r="AA432" s="551"/>
      <c r="AB432" s="551"/>
      <c r="AC432" s="551"/>
      <c r="AD432" s="551"/>
      <c r="AE432" s="551"/>
      <c r="AF432" s="551"/>
    </row>
    <row r="433">
      <c r="A433" s="552"/>
      <c r="B433" s="552"/>
      <c r="C433" s="552"/>
      <c r="D433" s="552"/>
      <c r="E433" s="552"/>
      <c r="F433" s="552"/>
      <c r="G433" s="552"/>
      <c r="H433" s="552"/>
      <c r="I433" s="552"/>
      <c r="J433" s="552"/>
      <c r="K433" s="552"/>
      <c r="L433" s="552"/>
      <c r="M433" s="552"/>
      <c r="N433" s="551"/>
      <c r="O433" s="551"/>
      <c r="P433" s="551"/>
      <c r="Q433" s="551"/>
      <c r="R433" s="551"/>
      <c r="S433" s="551"/>
      <c r="T433" s="551"/>
      <c r="U433" s="551"/>
      <c r="V433" s="551"/>
      <c r="W433" s="551"/>
      <c r="X433" s="551"/>
      <c r="Y433" s="551"/>
      <c r="Z433" s="551"/>
      <c r="AA433" s="551"/>
      <c r="AB433" s="551"/>
      <c r="AC433" s="551"/>
      <c r="AD433" s="551"/>
      <c r="AE433" s="551"/>
      <c r="AF433" s="551"/>
    </row>
    <row r="434">
      <c r="A434" s="552"/>
      <c r="B434" s="552"/>
      <c r="C434" s="552"/>
      <c r="D434" s="552"/>
      <c r="E434" s="552"/>
      <c r="F434" s="552"/>
      <c r="G434" s="552"/>
      <c r="H434" s="552"/>
      <c r="I434" s="552"/>
      <c r="J434" s="552"/>
      <c r="K434" s="552"/>
      <c r="L434" s="552"/>
      <c r="M434" s="552"/>
      <c r="N434" s="551"/>
      <c r="O434" s="551"/>
      <c r="P434" s="551"/>
      <c r="Q434" s="551"/>
      <c r="R434" s="551"/>
      <c r="S434" s="551"/>
      <c r="T434" s="551"/>
      <c r="U434" s="551"/>
      <c r="V434" s="551"/>
      <c r="W434" s="551"/>
      <c r="X434" s="551"/>
      <c r="Y434" s="551"/>
      <c r="Z434" s="551"/>
      <c r="AA434" s="551"/>
      <c r="AB434" s="551"/>
      <c r="AC434" s="551"/>
      <c r="AD434" s="551"/>
      <c r="AE434" s="551"/>
      <c r="AF434" s="551"/>
    </row>
    <row r="435">
      <c r="A435" s="552"/>
      <c r="B435" s="552"/>
      <c r="C435" s="552"/>
      <c r="D435" s="552"/>
      <c r="E435" s="552"/>
      <c r="F435" s="552"/>
      <c r="G435" s="552"/>
      <c r="H435" s="552"/>
      <c r="I435" s="552"/>
      <c r="J435" s="552"/>
      <c r="K435" s="552"/>
      <c r="L435" s="552"/>
      <c r="M435" s="552"/>
      <c r="N435" s="551"/>
      <c r="O435" s="551"/>
      <c r="P435" s="551"/>
      <c r="Q435" s="551"/>
      <c r="R435" s="551"/>
      <c r="S435" s="551"/>
      <c r="T435" s="551"/>
      <c r="U435" s="551"/>
      <c r="V435" s="551"/>
      <c r="W435" s="551"/>
      <c r="X435" s="551"/>
      <c r="Y435" s="551"/>
      <c r="Z435" s="551"/>
      <c r="AA435" s="551"/>
      <c r="AB435" s="551"/>
      <c r="AC435" s="551"/>
      <c r="AD435" s="551"/>
      <c r="AE435" s="551"/>
      <c r="AF435" s="551"/>
    </row>
    <row r="436">
      <c r="A436" s="552"/>
      <c r="B436" s="552"/>
      <c r="C436" s="552"/>
      <c r="D436" s="552"/>
      <c r="E436" s="552"/>
      <c r="F436" s="552"/>
      <c r="G436" s="552"/>
      <c r="H436" s="552"/>
      <c r="I436" s="552"/>
      <c r="J436" s="552"/>
      <c r="K436" s="552"/>
      <c r="L436" s="552"/>
      <c r="M436" s="552"/>
      <c r="N436" s="551"/>
      <c r="O436" s="551"/>
      <c r="P436" s="551"/>
      <c r="Q436" s="551"/>
      <c r="R436" s="551"/>
      <c r="S436" s="551"/>
      <c r="T436" s="551"/>
      <c r="U436" s="551"/>
      <c r="V436" s="551"/>
      <c r="W436" s="551"/>
      <c r="X436" s="551"/>
      <c r="Y436" s="551"/>
      <c r="Z436" s="551"/>
      <c r="AA436" s="551"/>
      <c r="AB436" s="551"/>
      <c r="AC436" s="551"/>
      <c r="AD436" s="551"/>
      <c r="AE436" s="551"/>
      <c r="AF436" s="551"/>
    </row>
    <row r="437">
      <c r="A437" s="552"/>
      <c r="B437" s="552"/>
      <c r="C437" s="552"/>
      <c r="D437" s="552"/>
      <c r="E437" s="552"/>
      <c r="F437" s="552"/>
      <c r="G437" s="552"/>
      <c r="H437" s="552"/>
      <c r="I437" s="552"/>
      <c r="J437" s="552"/>
      <c r="K437" s="552"/>
      <c r="L437" s="552"/>
      <c r="M437" s="552"/>
      <c r="N437" s="551"/>
      <c r="O437" s="551"/>
      <c r="P437" s="551"/>
      <c r="Q437" s="551"/>
      <c r="R437" s="551"/>
      <c r="S437" s="551"/>
      <c r="T437" s="551"/>
      <c r="U437" s="551"/>
      <c r="V437" s="551"/>
      <c r="W437" s="551"/>
      <c r="X437" s="551"/>
      <c r="Y437" s="551"/>
      <c r="Z437" s="551"/>
      <c r="AA437" s="551"/>
      <c r="AB437" s="551"/>
      <c r="AC437" s="551"/>
      <c r="AD437" s="551"/>
      <c r="AE437" s="551"/>
      <c r="AF437" s="551"/>
    </row>
    <row r="438">
      <c r="A438" s="552"/>
      <c r="B438" s="552"/>
      <c r="C438" s="552"/>
      <c r="D438" s="552"/>
      <c r="E438" s="552"/>
      <c r="F438" s="552"/>
      <c r="G438" s="552"/>
      <c r="H438" s="552"/>
      <c r="I438" s="552"/>
      <c r="J438" s="552"/>
      <c r="K438" s="552"/>
      <c r="L438" s="552"/>
      <c r="M438" s="552"/>
      <c r="N438" s="551"/>
      <c r="O438" s="551"/>
      <c r="P438" s="551"/>
      <c r="Q438" s="551"/>
      <c r="R438" s="551"/>
      <c r="S438" s="551"/>
      <c r="T438" s="551"/>
      <c r="U438" s="551"/>
      <c r="V438" s="551"/>
      <c r="W438" s="551"/>
      <c r="X438" s="551"/>
      <c r="Y438" s="551"/>
      <c r="Z438" s="551"/>
      <c r="AA438" s="551"/>
      <c r="AB438" s="551"/>
      <c r="AC438" s="551"/>
      <c r="AD438" s="551"/>
      <c r="AE438" s="551"/>
      <c r="AF438" s="551"/>
    </row>
    <row r="439">
      <c r="A439" s="552"/>
      <c r="B439" s="552"/>
      <c r="C439" s="552"/>
      <c r="D439" s="552"/>
      <c r="E439" s="552"/>
      <c r="F439" s="552"/>
      <c r="G439" s="552"/>
      <c r="H439" s="552"/>
      <c r="I439" s="552"/>
      <c r="J439" s="552"/>
      <c r="K439" s="552"/>
      <c r="L439" s="552"/>
      <c r="M439" s="552"/>
      <c r="N439" s="551"/>
      <c r="O439" s="551"/>
      <c r="P439" s="551"/>
      <c r="Q439" s="551"/>
      <c r="R439" s="551"/>
      <c r="S439" s="551"/>
      <c r="T439" s="551"/>
      <c r="U439" s="551"/>
      <c r="V439" s="551"/>
      <c r="W439" s="551"/>
      <c r="X439" s="551"/>
      <c r="Y439" s="551"/>
      <c r="Z439" s="551"/>
      <c r="AA439" s="551"/>
      <c r="AB439" s="551"/>
      <c r="AC439" s="551"/>
      <c r="AD439" s="551"/>
      <c r="AE439" s="551"/>
      <c r="AF439" s="551"/>
    </row>
    <row r="440">
      <c r="A440" s="552"/>
      <c r="B440" s="552"/>
      <c r="C440" s="552"/>
      <c r="D440" s="552"/>
      <c r="E440" s="552"/>
      <c r="F440" s="552"/>
      <c r="G440" s="552"/>
      <c r="H440" s="552"/>
      <c r="I440" s="552"/>
      <c r="J440" s="552"/>
      <c r="K440" s="552"/>
      <c r="L440" s="552"/>
      <c r="M440" s="552"/>
      <c r="N440" s="551"/>
      <c r="O440" s="551"/>
      <c r="P440" s="551"/>
      <c r="Q440" s="551"/>
      <c r="R440" s="551"/>
      <c r="S440" s="551"/>
      <c r="T440" s="551"/>
      <c r="U440" s="551"/>
      <c r="V440" s="551"/>
      <c r="W440" s="551"/>
      <c r="X440" s="551"/>
      <c r="Y440" s="551"/>
      <c r="Z440" s="551"/>
      <c r="AA440" s="551"/>
      <c r="AB440" s="551"/>
      <c r="AC440" s="551"/>
      <c r="AD440" s="551"/>
      <c r="AE440" s="551"/>
      <c r="AF440" s="551"/>
    </row>
    <row r="441">
      <c r="A441" s="552"/>
      <c r="B441" s="552"/>
      <c r="C441" s="552"/>
      <c r="D441" s="552"/>
      <c r="E441" s="552"/>
      <c r="F441" s="552"/>
      <c r="G441" s="552"/>
      <c r="H441" s="552"/>
      <c r="I441" s="552"/>
      <c r="J441" s="552"/>
      <c r="K441" s="552"/>
      <c r="L441" s="552"/>
      <c r="M441" s="552"/>
      <c r="N441" s="551"/>
      <c r="O441" s="551"/>
      <c r="P441" s="551"/>
      <c r="Q441" s="551"/>
      <c r="R441" s="551"/>
      <c r="S441" s="551"/>
      <c r="T441" s="551"/>
      <c r="U441" s="551"/>
      <c r="V441" s="551"/>
      <c r="W441" s="551"/>
      <c r="X441" s="551"/>
      <c r="Y441" s="551"/>
      <c r="Z441" s="551"/>
      <c r="AA441" s="551"/>
      <c r="AB441" s="551"/>
      <c r="AC441" s="551"/>
      <c r="AD441" s="551"/>
      <c r="AE441" s="551"/>
      <c r="AF441" s="551"/>
    </row>
    <row r="442">
      <c r="A442" s="552"/>
      <c r="B442" s="552"/>
      <c r="C442" s="552"/>
      <c r="D442" s="552"/>
      <c r="E442" s="552"/>
      <c r="F442" s="552"/>
      <c r="G442" s="552"/>
      <c r="H442" s="552"/>
      <c r="I442" s="552"/>
      <c r="J442" s="552"/>
      <c r="K442" s="552"/>
      <c r="L442" s="552"/>
      <c r="M442" s="552"/>
      <c r="N442" s="551"/>
      <c r="O442" s="551"/>
      <c r="P442" s="551"/>
      <c r="Q442" s="551"/>
      <c r="R442" s="551"/>
      <c r="S442" s="551"/>
      <c r="T442" s="551"/>
      <c r="U442" s="551"/>
      <c r="V442" s="551"/>
      <c r="W442" s="551"/>
      <c r="X442" s="551"/>
      <c r="Y442" s="551"/>
      <c r="Z442" s="551"/>
      <c r="AA442" s="551"/>
      <c r="AB442" s="551"/>
      <c r="AC442" s="551"/>
      <c r="AD442" s="551"/>
      <c r="AE442" s="551"/>
      <c r="AF442" s="551"/>
    </row>
    <row r="443">
      <c r="A443" s="552"/>
      <c r="B443" s="552"/>
      <c r="C443" s="552"/>
      <c r="D443" s="552"/>
      <c r="E443" s="552"/>
      <c r="F443" s="552"/>
      <c r="G443" s="552"/>
      <c r="H443" s="552"/>
      <c r="I443" s="552"/>
      <c r="J443" s="552"/>
      <c r="K443" s="552"/>
      <c r="L443" s="552"/>
      <c r="M443" s="552"/>
      <c r="N443" s="551"/>
      <c r="O443" s="551"/>
      <c r="P443" s="551"/>
      <c r="Q443" s="551"/>
      <c r="R443" s="551"/>
      <c r="S443" s="551"/>
      <c r="T443" s="551"/>
      <c r="U443" s="551"/>
      <c r="V443" s="551"/>
      <c r="W443" s="551"/>
      <c r="X443" s="551"/>
      <c r="Y443" s="551"/>
      <c r="Z443" s="551"/>
      <c r="AA443" s="551"/>
      <c r="AB443" s="551"/>
      <c r="AC443" s="551"/>
      <c r="AD443" s="551"/>
      <c r="AE443" s="551"/>
      <c r="AF443" s="551"/>
    </row>
    <row r="444">
      <c r="A444" s="552"/>
      <c r="B444" s="552"/>
      <c r="C444" s="552"/>
      <c r="D444" s="552"/>
      <c r="E444" s="552"/>
      <c r="F444" s="552"/>
      <c r="G444" s="552"/>
      <c r="H444" s="552"/>
      <c r="I444" s="552"/>
      <c r="J444" s="552"/>
      <c r="K444" s="552"/>
      <c r="L444" s="552"/>
      <c r="M444" s="552"/>
      <c r="N444" s="551"/>
      <c r="O444" s="551"/>
      <c r="P444" s="551"/>
      <c r="Q444" s="551"/>
      <c r="R444" s="551"/>
      <c r="S444" s="551"/>
      <c r="T444" s="551"/>
      <c r="U444" s="551"/>
      <c r="V444" s="551"/>
      <c r="W444" s="551"/>
      <c r="X444" s="551"/>
      <c r="Y444" s="551"/>
      <c r="Z444" s="551"/>
      <c r="AA444" s="551"/>
      <c r="AB444" s="551"/>
      <c r="AC444" s="551"/>
      <c r="AD444" s="551"/>
      <c r="AE444" s="551"/>
      <c r="AF444" s="551"/>
    </row>
    <row r="445">
      <c r="A445" s="552"/>
      <c r="B445" s="552"/>
      <c r="C445" s="552"/>
      <c r="D445" s="552"/>
      <c r="E445" s="552"/>
      <c r="F445" s="552"/>
      <c r="G445" s="552"/>
      <c r="H445" s="552"/>
      <c r="I445" s="552"/>
      <c r="J445" s="552"/>
      <c r="K445" s="552"/>
      <c r="L445" s="552"/>
      <c r="M445" s="552"/>
      <c r="N445" s="551"/>
      <c r="O445" s="551"/>
      <c r="P445" s="551"/>
      <c r="Q445" s="551"/>
      <c r="R445" s="551"/>
      <c r="S445" s="551"/>
      <c r="T445" s="551"/>
      <c r="U445" s="551"/>
      <c r="V445" s="551"/>
      <c r="W445" s="551"/>
      <c r="X445" s="551"/>
      <c r="Y445" s="551"/>
      <c r="Z445" s="551"/>
      <c r="AA445" s="551"/>
      <c r="AB445" s="551"/>
      <c r="AC445" s="551"/>
      <c r="AD445" s="551"/>
      <c r="AE445" s="551"/>
      <c r="AF445" s="551"/>
    </row>
    <row r="446">
      <c r="A446" s="552"/>
      <c r="B446" s="552"/>
      <c r="C446" s="552"/>
      <c r="D446" s="552"/>
      <c r="E446" s="552"/>
      <c r="F446" s="552"/>
      <c r="G446" s="552"/>
      <c r="H446" s="552"/>
      <c r="I446" s="552"/>
      <c r="J446" s="552"/>
      <c r="K446" s="552"/>
      <c r="L446" s="552"/>
      <c r="M446" s="552"/>
      <c r="N446" s="551"/>
      <c r="O446" s="551"/>
      <c r="P446" s="551"/>
      <c r="Q446" s="551"/>
      <c r="R446" s="551"/>
      <c r="S446" s="551"/>
      <c r="T446" s="551"/>
      <c r="U446" s="551"/>
      <c r="V446" s="551"/>
      <c r="W446" s="551"/>
      <c r="X446" s="551"/>
      <c r="Y446" s="551"/>
      <c r="Z446" s="551"/>
      <c r="AA446" s="551"/>
      <c r="AB446" s="551"/>
      <c r="AC446" s="551"/>
      <c r="AD446" s="551"/>
      <c r="AE446" s="551"/>
      <c r="AF446" s="551"/>
    </row>
    <row r="447">
      <c r="A447" s="552"/>
      <c r="B447" s="552"/>
      <c r="C447" s="552"/>
      <c r="D447" s="552"/>
      <c r="E447" s="552"/>
      <c r="F447" s="552"/>
      <c r="G447" s="552"/>
      <c r="H447" s="552"/>
      <c r="I447" s="552"/>
      <c r="J447" s="552"/>
      <c r="K447" s="552"/>
      <c r="L447" s="552"/>
      <c r="M447" s="552"/>
      <c r="N447" s="551"/>
      <c r="O447" s="551"/>
      <c r="P447" s="551"/>
      <c r="Q447" s="551"/>
      <c r="R447" s="551"/>
      <c r="S447" s="551"/>
      <c r="T447" s="551"/>
      <c r="U447" s="551"/>
      <c r="V447" s="551"/>
      <c r="W447" s="551"/>
      <c r="X447" s="551"/>
      <c r="Y447" s="551"/>
      <c r="Z447" s="551"/>
      <c r="AA447" s="551"/>
      <c r="AB447" s="551"/>
      <c r="AC447" s="551"/>
      <c r="AD447" s="551"/>
      <c r="AE447" s="551"/>
      <c r="AF447" s="551"/>
    </row>
    <row r="448">
      <c r="A448" s="552"/>
      <c r="B448" s="552"/>
      <c r="C448" s="552"/>
      <c r="D448" s="552"/>
      <c r="E448" s="552"/>
      <c r="F448" s="552"/>
      <c r="G448" s="552"/>
      <c r="H448" s="552"/>
      <c r="I448" s="552"/>
      <c r="J448" s="552"/>
      <c r="K448" s="552"/>
      <c r="L448" s="552"/>
      <c r="M448" s="552"/>
      <c r="N448" s="551"/>
      <c r="O448" s="551"/>
      <c r="P448" s="551"/>
      <c r="Q448" s="551"/>
      <c r="R448" s="551"/>
      <c r="S448" s="551"/>
      <c r="T448" s="551"/>
      <c r="U448" s="551"/>
      <c r="V448" s="551"/>
      <c r="W448" s="551"/>
      <c r="X448" s="551"/>
      <c r="Y448" s="551"/>
      <c r="Z448" s="551"/>
      <c r="AA448" s="551"/>
      <c r="AB448" s="551"/>
      <c r="AC448" s="551"/>
      <c r="AD448" s="551"/>
      <c r="AE448" s="551"/>
      <c r="AF448" s="551"/>
    </row>
    <row r="449">
      <c r="A449" s="552"/>
      <c r="B449" s="552"/>
      <c r="C449" s="552"/>
      <c r="D449" s="552"/>
      <c r="E449" s="552"/>
      <c r="F449" s="552"/>
      <c r="G449" s="552"/>
      <c r="H449" s="552"/>
      <c r="I449" s="552"/>
      <c r="J449" s="552"/>
      <c r="K449" s="552"/>
      <c r="L449" s="552"/>
      <c r="M449" s="552"/>
      <c r="N449" s="551"/>
      <c r="O449" s="551"/>
      <c r="P449" s="551"/>
      <c r="Q449" s="551"/>
      <c r="R449" s="551"/>
      <c r="S449" s="551"/>
      <c r="T449" s="551"/>
      <c r="U449" s="551"/>
      <c r="V449" s="551"/>
      <c r="W449" s="551"/>
      <c r="X449" s="551"/>
      <c r="Y449" s="551"/>
      <c r="Z449" s="551"/>
      <c r="AA449" s="551"/>
      <c r="AB449" s="551"/>
      <c r="AC449" s="551"/>
      <c r="AD449" s="551"/>
      <c r="AE449" s="551"/>
      <c r="AF449" s="551"/>
    </row>
    <row r="450">
      <c r="A450" s="552"/>
      <c r="B450" s="552"/>
      <c r="C450" s="552"/>
      <c r="D450" s="552"/>
      <c r="E450" s="552"/>
      <c r="F450" s="552"/>
      <c r="G450" s="552"/>
      <c r="H450" s="552"/>
      <c r="I450" s="552"/>
      <c r="J450" s="552"/>
      <c r="K450" s="552"/>
      <c r="L450" s="552"/>
      <c r="M450" s="552"/>
      <c r="N450" s="551"/>
      <c r="O450" s="551"/>
      <c r="P450" s="551"/>
      <c r="Q450" s="551"/>
      <c r="R450" s="551"/>
      <c r="S450" s="551"/>
      <c r="T450" s="551"/>
      <c r="U450" s="551"/>
      <c r="V450" s="551"/>
      <c r="W450" s="551"/>
      <c r="X450" s="551"/>
      <c r="Y450" s="551"/>
      <c r="Z450" s="551"/>
      <c r="AA450" s="551"/>
      <c r="AB450" s="551"/>
      <c r="AC450" s="551"/>
      <c r="AD450" s="551"/>
      <c r="AE450" s="551"/>
      <c r="AF450" s="551"/>
    </row>
    <row r="451">
      <c r="A451" s="552"/>
      <c r="B451" s="552"/>
      <c r="C451" s="552"/>
      <c r="D451" s="552"/>
      <c r="E451" s="552"/>
      <c r="F451" s="552"/>
      <c r="G451" s="552"/>
      <c r="H451" s="552"/>
      <c r="I451" s="552"/>
      <c r="J451" s="552"/>
      <c r="K451" s="552"/>
      <c r="L451" s="552"/>
      <c r="M451" s="552"/>
      <c r="N451" s="551"/>
      <c r="O451" s="551"/>
      <c r="P451" s="551"/>
      <c r="Q451" s="551"/>
      <c r="R451" s="551"/>
      <c r="S451" s="551"/>
      <c r="T451" s="551"/>
      <c r="U451" s="551"/>
      <c r="V451" s="551"/>
      <c r="W451" s="551"/>
      <c r="X451" s="551"/>
      <c r="Y451" s="551"/>
      <c r="Z451" s="551"/>
      <c r="AA451" s="551"/>
      <c r="AB451" s="551"/>
      <c r="AC451" s="551"/>
      <c r="AD451" s="551"/>
      <c r="AE451" s="551"/>
      <c r="AF451" s="551"/>
    </row>
    <row r="452">
      <c r="A452" s="552"/>
      <c r="B452" s="552"/>
      <c r="C452" s="552"/>
      <c r="D452" s="552"/>
      <c r="E452" s="552"/>
      <c r="F452" s="552"/>
      <c r="G452" s="552"/>
      <c r="H452" s="552"/>
      <c r="I452" s="552"/>
      <c r="J452" s="552"/>
      <c r="K452" s="552"/>
      <c r="L452" s="552"/>
      <c r="M452" s="552"/>
      <c r="N452" s="551"/>
      <c r="O452" s="551"/>
      <c r="P452" s="551"/>
      <c r="Q452" s="551"/>
      <c r="R452" s="551"/>
      <c r="S452" s="551"/>
      <c r="T452" s="551"/>
      <c r="U452" s="551"/>
      <c r="V452" s="551"/>
      <c r="W452" s="551"/>
      <c r="X452" s="551"/>
      <c r="Y452" s="551"/>
      <c r="Z452" s="551"/>
      <c r="AA452" s="551"/>
      <c r="AB452" s="551"/>
      <c r="AC452" s="551"/>
      <c r="AD452" s="551"/>
      <c r="AE452" s="551"/>
      <c r="AF452" s="551"/>
    </row>
    <row r="453">
      <c r="A453" s="552"/>
      <c r="B453" s="552"/>
      <c r="C453" s="552"/>
      <c r="D453" s="552"/>
      <c r="E453" s="552"/>
      <c r="F453" s="552"/>
      <c r="G453" s="552"/>
      <c r="H453" s="552"/>
      <c r="I453" s="552"/>
      <c r="J453" s="552"/>
      <c r="K453" s="552"/>
      <c r="L453" s="552"/>
      <c r="M453" s="552"/>
      <c r="N453" s="551"/>
      <c r="O453" s="551"/>
      <c r="P453" s="551"/>
      <c r="Q453" s="551"/>
      <c r="R453" s="551"/>
      <c r="S453" s="551"/>
      <c r="T453" s="551"/>
      <c r="U453" s="551"/>
      <c r="V453" s="551"/>
      <c r="W453" s="551"/>
      <c r="X453" s="551"/>
      <c r="Y453" s="551"/>
      <c r="Z453" s="551"/>
      <c r="AA453" s="551"/>
      <c r="AB453" s="551"/>
      <c r="AC453" s="551"/>
      <c r="AD453" s="551"/>
      <c r="AE453" s="551"/>
      <c r="AF453" s="551"/>
    </row>
    <row r="454">
      <c r="A454" s="552"/>
      <c r="B454" s="552"/>
      <c r="C454" s="552"/>
      <c r="D454" s="552"/>
      <c r="E454" s="552"/>
      <c r="F454" s="552"/>
      <c r="G454" s="552"/>
      <c r="H454" s="552"/>
      <c r="I454" s="552"/>
      <c r="J454" s="552"/>
      <c r="K454" s="552"/>
      <c r="L454" s="552"/>
      <c r="M454" s="552"/>
      <c r="N454" s="551"/>
      <c r="O454" s="551"/>
      <c r="P454" s="551"/>
      <c r="Q454" s="551"/>
      <c r="R454" s="551"/>
      <c r="S454" s="551"/>
      <c r="T454" s="551"/>
      <c r="U454" s="551"/>
      <c r="V454" s="551"/>
      <c r="W454" s="551"/>
      <c r="X454" s="551"/>
      <c r="Y454" s="551"/>
      <c r="Z454" s="551"/>
      <c r="AA454" s="551"/>
      <c r="AB454" s="551"/>
      <c r="AC454" s="551"/>
      <c r="AD454" s="551"/>
      <c r="AE454" s="551"/>
      <c r="AF454" s="551"/>
    </row>
    <row r="455">
      <c r="A455" s="552"/>
      <c r="B455" s="552"/>
      <c r="C455" s="552"/>
      <c r="D455" s="552"/>
      <c r="E455" s="552"/>
      <c r="F455" s="552"/>
      <c r="G455" s="552"/>
      <c r="H455" s="552"/>
      <c r="I455" s="552"/>
      <c r="J455" s="552"/>
      <c r="K455" s="552"/>
      <c r="L455" s="552"/>
      <c r="M455" s="552"/>
      <c r="N455" s="551"/>
      <c r="O455" s="551"/>
      <c r="P455" s="551"/>
      <c r="Q455" s="551"/>
      <c r="R455" s="551"/>
      <c r="S455" s="551"/>
      <c r="T455" s="551"/>
      <c r="U455" s="551"/>
      <c r="V455" s="551"/>
      <c r="W455" s="551"/>
      <c r="X455" s="551"/>
      <c r="Y455" s="551"/>
      <c r="Z455" s="551"/>
      <c r="AA455" s="551"/>
      <c r="AB455" s="551"/>
      <c r="AC455" s="551"/>
      <c r="AD455" s="551"/>
      <c r="AE455" s="551"/>
      <c r="AF455" s="551"/>
    </row>
    <row r="456">
      <c r="A456" s="552"/>
      <c r="B456" s="552"/>
      <c r="C456" s="552"/>
      <c r="D456" s="552"/>
      <c r="E456" s="552"/>
      <c r="F456" s="552"/>
      <c r="G456" s="552"/>
      <c r="H456" s="552"/>
      <c r="I456" s="552"/>
      <c r="J456" s="552"/>
      <c r="K456" s="552"/>
      <c r="L456" s="552"/>
      <c r="M456" s="552"/>
      <c r="N456" s="551"/>
      <c r="O456" s="551"/>
      <c r="P456" s="551"/>
      <c r="Q456" s="551"/>
      <c r="R456" s="551"/>
      <c r="S456" s="551"/>
      <c r="T456" s="551"/>
      <c r="U456" s="551"/>
      <c r="V456" s="551"/>
      <c r="W456" s="551"/>
      <c r="X456" s="551"/>
      <c r="Y456" s="551"/>
      <c r="Z456" s="551"/>
      <c r="AA456" s="551"/>
      <c r="AB456" s="551"/>
      <c r="AC456" s="551"/>
      <c r="AD456" s="551"/>
      <c r="AE456" s="551"/>
      <c r="AF456" s="551"/>
    </row>
    <row r="457">
      <c r="A457" s="552"/>
      <c r="B457" s="552"/>
      <c r="C457" s="552"/>
      <c r="D457" s="552"/>
      <c r="E457" s="552"/>
      <c r="F457" s="552"/>
      <c r="G457" s="552"/>
      <c r="H457" s="552"/>
      <c r="I457" s="552"/>
      <c r="J457" s="552"/>
      <c r="K457" s="552"/>
      <c r="L457" s="552"/>
      <c r="M457" s="552"/>
      <c r="N457" s="551"/>
      <c r="O457" s="551"/>
      <c r="P457" s="551"/>
      <c r="Q457" s="551"/>
      <c r="R457" s="551"/>
      <c r="S457" s="551"/>
      <c r="T457" s="551"/>
      <c r="U457" s="551"/>
      <c r="V457" s="551"/>
      <c r="W457" s="551"/>
      <c r="X457" s="551"/>
      <c r="Y457" s="551"/>
      <c r="Z457" s="551"/>
      <c r="AA457" s="551"/>
      <c r="AB457" s="551"/>
      <c r="AC457" s="551"/>
      <c r="AD457" s="551"/>
      <c r="AE457" s="551"/>
      <c r="AF457" s="551"/>
    </row>
    <row r="458">
      <c r="A458" s="552"/>
      <c r="B458" s="552"/>
      <c r="C458" s="552"/>
      <c r="D458" s="552"/>
      <c r="E458" s="552"/>
      <c r="F458" s="552"/>
      <c r="G458" s="552"/>
      <c r="H458" s="552"/>
      <c r="I458" s="552"/>
      <c r="J458" s="552"/>
      <c r="K458" s="552"/>
      <c r="L458" s="552"/>
      <c r="M458" s="552"/>
      <c r="N458" s="551"/>
      <c r="O458" s="551"/>
      <c r="P458" s="551"/>
      <c r="Q458" s="551"/>
      <c r="R458" s="551"/>
      <c r="S458" s="551"/>
      <c r="T458" s="551"/>
      <c r="U458" s="551"/>
      <c r="V458" s="551"/>
      <c r="W458" s="551"/>
      <c r="X458" s="551"/>
      <c r="Y458" s="551"/>
      <c r="Z458" s="551"/>
      <c r="AA458" s="551"/>
      <c r="AB458" s="551"/>
      <c r="AC458" s="551"/>
      <c r="AD458" s="551"/>
      <c r="AE458" s="551"/>
      <c r="AF458" s="551"/>
    </row>
    <row r="459">
      <c r="A459" s="552"/>
      <c r="B459" s="552"/>
      <c r="C459" s="552"/>
      <c r="D459" s="552"/>
      <c r="E459" s="552"/>
      <c r="F459" s="552"/>
      <c r="G459" s="552"/>
      <c r="H459" s="552"/>
      <c r="I459" s="552"/>
      <c r="J459" s="552"/>
      <c r="K459" s="552"/>
      <c r="L459" s="552"/>
      <c r="M459" s="552"/>
      <c r="N459" s="551"/>
      <c r="O459" s="551"/>
      <c r="P459" s="551"/>
      <c r="Q459" s="551"/>
      <c r="R459" s="551"/>
      <c r="S459" s="551"/>
      <c r="T459" s="551"/>
      <c r="U459" s="551"/>
      <c r="V459" s="551"/>
      <c r="W459" s="551"/>
      <c r="X459" s="551"/>
      <c r="Y459" s="551"/>
      <c r="Z459" s="551"/>
      <c r="AA459" s="551"/>
      <c r="AB459" s="551"/>
      <c r="AC459" s="551"/>
      <c r="AD459" s="551"/>
      <c r="AE459" s="551"/>
      <c r="AF459" s="551"/>
    </row>
    <row r="460">
      <c r="A460" s="552"/>
      <c r="B460" s="552"/>
      <c r="C460" s="552"/>
      <c r="D460" s="552"/>
      <c r="E460" s="552"/>
      <c r="F460" s="552"/>
      <c r="G460" s="552"/>
      <c r="H460" s="552"/>
      <c r="I460" s="552"/>
      <c r="J460" s="552"/>
      <c r="K460" s="552"/>
      <c r="L460" s="552"/>
      <c r="M460" s="552"/>
      <c r="N460" s="551"/>
      <c r="O460" s="551"/>
      <c r="P460" s="551"/>
      <c r="Q460" s="551"/>
      <c r="R460" s="551"/>
      <c r="S460" s="551"/>
      <c r="T460" s="551"/>
      <c r="U460" s="551"/>
      <c r="V460" s="551"/>
      <c r="W460" s="551"/>
      <c r="X460" s="551"/>
      <c r="Y460" s="551"/>
      <c r="Z460" s="551"/>
      <c r="AA460" s="551"/>
      <c r="AB460" s="551"/>
      <c r="AC460" s="551"/>
      <c r="AD460" s="551"/>
      <c r="AE460" s="551"/>
      <c r="AF460" s="551"/>
    </row>
    <row r="461">
      <c r="A461" s="552"/>
      <c r="B461" s="552"/>
      <c r="C461" s="552"/>
      <c r="D461" s="552"/>
      <c r="E461" s="552"/>
      <c r="F461" s="552"/>
      <c r="G461" s="552"/>
      <c r="H461" s="552"/>
      <c r="I461" s="552"/>
      <c r="J461" s="552"/>
      <c r="K461" s="552"/>
      <c r="L461" s="552"/>
      <c r="M461" s="552"/>
      <c r="N461" s="551"/>
      <c r="O461" s="551"/>
      <c r="P461" s="551"/>
      <c r="Q461" s="551"/>
      <c r="R461" s="551"/>
      <c r="S461" s="551"/>
      <c r="T461" s="551"/>
      <c r="U461" s="551"/>
      <c r="V461" s="551"/>
      <c r="W461" s="551"/>
      <c r="X461" s="551"/>
      <c r="Y461" s="551"/>
      <c r="Z461" s="551"/>
      <c r="AA461" s="551"/>
      <c r="AB461" s="551"/>
      <c r="AC461" s="551"/>
      <c r="AD461" s="551"/>
      <c r="AE461" s="551"/>
      <c r="AF461" s="551"/>
    </row>
    <row r="462">
      <c r="A462" s="552"/>
      <c r="B462" s="552"/>
      <c r="C462" s="552"/>
      <c r="D462" s="552"/>
      <c r="E462" s="552"/>
      <c r="F462" s="552"/>
      <c r="G462" s="552"/>
      <c r="H462" s="552"/>
      <c r="I462" s="552"/>
      <c r="J462" s="552"/>
      <c r="K462" s="552"/>
      <c r="L462" s="552"/>
      <c r="M462" s="552"/>
      <c r="N462" s="551"/>
      <c r="O462" s="551"/>
      <c r="P462" s="551"/>
      <c r="Q462" s="551"/>
      <c r="R462" s="551"/>
      <c r="S462" s="551"/>
      <c r="T462" s="551"/>
      <c r="U462" s="551"/>
      <c r="V462" s="551"/>
      <c r="W462" s="551"/>
      <c r="X462" s="551"/>
      <c r="Y462" s="551"/>
      <c r="Z462" s="551"/>
      <c r="AA462" s="551"/>
      <c r="AB462" s="551"/>
      <c r="AC462" s="551"/>
      <c r="AD462" s="551"/>
      <c r="AE462" s="551"/>
      <c r="AF462" s="551"/>
    </row>
    <row r="463">
      <c r="A463" s="552"/>
      <c r="B463" s="552"/>
      <c r="C463" s="552"/>
      <c r="D463" s="552"/>
      <c r="E463" s="552"/>
      <c r="F463" s="552"/>
      <c r="G463" s="552"/>
      <c r="H463" s="552"/>
      <c r="I463" s="552"/>
      <c r="J463" s="552"/>
      <c r="K463" s="552"/>
      <c r="L463" s="552"/>
      <c r="M463" s="552"/>
      <c r="N463" s="551"/>
      <c r="O463" s="551"/>
      <c r="P463" s="551"/>
      <c r="Q463" s="551"/>
      <c r="R463" s="551"/>
      <c r="S463" s="551"/>
      <c r="T463" s="551"/>
      <c r="U463" s="551"/>
      <c r="V463" s="551"/>
      <c r="W463" s="551"/>
      <c r="X463" s="551"/>
      <c r="Y463" s="551"/>
      <c r="Z463" s="551"/>
      <c r="AA463" s="551"/>
      <c r="AB463" s="551"/>
      <c r="AC463" s="551"/>
      <c r="AD463" s="551"/>
      <c r="AE463" s="551"/>
      <c r="AF463" s="551"/>
    </row>
    <row r="464">
      <c r="A464" s="552"/>
      <c r="B464" s="552"/>
      <c r="C464" s="552"/>
      <c r="D464" s="552"/>
      <c r="E464" s="552"/>
      <c r="F464" s="552"/>
      <c r="G464" s="552"/>
      <c r="H464" s="552"/>
      <c r="I464" s="552"/>
      <c r="J464" s="552"/>
      <c r="K464" s="552"/>
      <c r="L464" s="552"/>
      <c r="M464" s="552"/>
      <c r="N464" s="551"/>
      <c r="O464" s="551"/>
      <c r="P464" s="551"/>
      <c r="Q464" s="551"/>
      <c r="R464" s="551"/>
      <c r="S464" s="551"/>
      <c r="T464" s="551"/>
      <c r="U464" s="551"/>
      <c r="V464" s="551"/>
      <c r="W464" s="551"/>
      <c r="X464" s="551"/>
      <c r="Y464" s="551"/>
      <c r="Z464" s="551"/>
      <c r="AA464" s="551"/>
      <c r="AB464" s="551"/>
      <c r="AC464" s="551"/>
      <c r="AD464" s="551"/>
      <c r="AE464" s="551"/>
      <c r="AF464" s="551"/>
    </row>
    <row r="465">
      <c r="A465" s="552"/>
      <c r="B465" s="552"/>
      <c r="C465" s="552"/>
      <c r="D465" s="552"/>
      <c r="E465" s="552"/>
      <c r="F465" s="552"/>
      <c r="G465" s="552"/>
      <c r="H465" s="552"/>
      <c r="I465" s="552"/>
      <c r="J465" s="552"/>
      <c r="K465" s="552"/>
      <c r="L465" s="552"/>
      <c r="M465" s="552"/>
      <c r="N465" s="551"/>
      <c r="O465" s="551"/>
      <c r="P465" s="551"/>
      <c r="Q465" s="551"/>
      <c r="R465" s="551"/>
      <c r="S465" s="551"/>
      <c r="T465" s="551"/>
      <c r="U465" s="551"/>
      <c r="V465" s="551"/>
      <c r="W465" s="551"/>
      <c r="X465" s="551"/>
      <c r="Y465" s="551"/>
      <c r="Z465" s="551"/>
      <c r="AA465" s="551"/>
      <c r="AB465" s="551"/>
      <c r="AC465" s="551"/>
      <c r="AD465" s="551"/>
      <c r="AE465" s="551"/>
      <c r="AF465" s="551"/>
    </row>
    <row r="466">
      <c r="A466" s="552"/>
      <c r="B466" s="552"/>
      <c r="C466" s="552"/>
      <c r="D466" s="552"/>
      <c r="E466" s="552"/>
      <c r="F466" s="552"/>
      <c r="G466" s="552"/>
      <c r="H466" s="552"/>
      <c r="I466" s="552"/>
      <c r="J466" s="552"/>
      <c r="K466" s="552"/>
      <c r="L466" s="552"/>
      <c r="M466" s="552"/>
      <c r="N466" s="551"/>
      <c r="O466" s="551"/>
      <c r="P466" s="551"/>
      <c r="Q466" s="551"/>
      <c r="R466" s="551"/>
      <c r="S466" s="551"/>
      <c r="T466" s="551"/>
      <c r="U466" s="551"/>
      <c r="V466" s="551"/>
      <c r="W466" s="551"/>
      <c r="X466" s="551"/>
      <c r="Y466" s="551"/>
      <c r="Z466" s="551"/>
      <c r="AA466" s="551"/>
      <c r="AB466" s="551"/>
      <c r="AC466" s="551"/>
      <c r="AD466" s="551"/>
      <c r="AE466" s="551"/>
      <c r="AF466" s="551"/>
    </row>
    <row r="467">
      <c r="A467" s="552"/>
      <c r="B467" s="552"/>
      <c r="C467" s="552"/>
      <c r="D467" s="552"/>
      <c r="E467" s="552"/>
      <c r="F467" s="552"/>
      <c r="G467" s="552"/>
      <c r="H467" s="552"/>
      <c r="I467" s="552"/>
      <c r="J467" s="552"/>
      <c r="K467" s="552"/>
      <c r="L467" s="552"/>
      <c r="M467" s="552"/>
      <c r="N467" s="551"/>
      <c r="O467" s="551"/>
      <c r="P467" s="551"/>
      <c r="Q467" s="551"/>
      <c r="R467" s="551"/>
      <c r="S467" s="551"/>
      <c r="T467" s="551"/>
      <c r="U467" s="551"/>
      <c r="V467" s="551"/>
      <c r="W467" s="551"/>
      <c r="X467" s="551"/>
      <c r="Y467" s="551"/>
      <c r="Z467" s="551"/>
      <c r="AA467" s="551"/>
      <c r="AB467" s="551"/>
      <c r="AC467" s="551"/>
      <c r="AD467" s="551"/>
      <c r="AE467" s="551"/>
      <c r="AF467" s="551"/>
    </row>
    <row r="468">
      <c r="A468" s="552"/>
      <c r="B468" s="552"/>
      <c r="C468" s="552"/>
      <c r="D468" s="552"/>
      <c r="E468" s="552"/>
      <c r="F468" s="552"/>
      <c r="G468" s="552"/>
      <c r="H468" s="552"/>
      <c r="I468" s="552"/>
      <c r="J468" s="552"/>
      <c r="K468" s="552"/>
      <c r="L468" s="552"/>
      <c r="M468" s="552"/>
      <c r="N468" s="551"/>
      <c r="O468" s="551"/>
      <c r="P468" s="551"/>
      <c r="Q468" s="551"/>
      <c r="R468" s="551"/>
      <c r="S468" s="551"/>
      <c r="T468" s="551"/>
      <c r="U468" s="551"/>
      <c r="V468" s="551"/>
      <c r="W468" s="551"/>
      <c r="X468" s="551"/>
      <c r="Y468" s="551"/>
      <c r="Z468" s="551"/>
      <c r="AA468" s="551"/>
      <c r="AB468" s="551"/>
      <c r="AC468" s="551"/>
      <c r="AD468" s="551"/>
      <c r="AE468" s="551"/>
      <c r="AF468" s="551"/>
    </row>
    <row r="469">
      <c r="A469" s="552"/>
      <c r="B469" s="552"/>
      <c r="C469" s="552"/>
      <c r="D469" s="552"/>
      <c r="E469" s="552"/>
      <c r="F469" s="552"/>
      <c r="G469" s="552"/>
      <c r="H469" s="552"/>
      <c r="I469" s="552"/>
      <c r="J469" s="552"/>
      <c r="K469" s="552"/>
      <c r="L469" s="552"/>
      <c r="M469" s="552"/>
      <c r="N469" s="551"/>
      <c r="O469" s="551"/>
      <c r="P469" s="551"/>
      <c r="Q469" s="551"/>
      <c r="R469" s="551"/>
      <c r="S469" s="551"/>
      <c r="T469" s="551"/>
      <c r="U469" s="551"/>
      <c r="V469" s="551"/>
      <c r="W469" s="551"/>
      <c r="X469" s="551"/>
      <c r="Y469" s="551"/>
      <c r="Z469" s="551"/>
      <c r="AA469" s="551"/>
      <c r="AB469" s="551"/>
      <c r="AC469" s="551"/>
      <c r="AD469" s="551"/>
      <c r="AE469" s="551"/>
      <c r="AF469" s="551"/>
    </row>
    <row r="470">
      <c r="A470" s="552"/>
      <c r="B470" s="552"/>
      <c r="C470" s="552"/>
      <c r="D470" s="552"/>
      <c r="E470" s="552"/>
      <c r="F470" s="552"/>
      <c r="G470" s="552"/>
      <c r="H470" s="552"/>
      <c r="I470" s="552"/>
      <c r="J470" s="552"/>
      <c r="K470" s="552"/>
      <c r="L470" s="552"/>
      <c r="M470" s="552"/>
      <c r="N470" s="551"/>
      <c r="O470" s="551"/>
      <c r="P470" s="551"/>
      <c r="Q470" s="551"/>
      <c r="R470" s="551"/>
      <c r="S470" s="551"/>
      <c r="T470" s="551"/>
      <c r="U470" s="551"/>
      <c r="V470" s="551"/>
      <c r="W470" s="551"/>
      <c r="X470" s="551"/>
      <c r="Y470" s="551"/>
      <c r="Z470" s="551"/>
      <c r="AA470" s="551"/>
      <c r="AB470" s="551"/>
      <c r="AC470" s="551"/>
      <c r="AD470" s="551"/>
      <c r="AE470" s="551"/>
      <c r="AF470" s="551"/>
    </row>
    <row r="471">
      <c r="A471" s="552"/>
      <c r="B471" s="552"/>
      <c r="C471" s="552"/>
      <c r="D471" s="552"/>
      <c r="E471" s="552"/>
      <c r="F471" s="552"/>
      <c r="G471" s="552"/>
      <c r="H471" s="552"/>
      <c r="I471" s="552"/>
      <c r="J471" s="552"/>
      <c r="K471" s="552"/>
      <c r="L471" s="552"/>
      <c r="M471" s="552"/>
      <c r="N471" s="551"/>
      <c r="O471" s="551"/>
      <c r="P471" s="551"/>
      <c r="Q471" s="551"/>
      <c r="R471" s="551"/>
      <c r="S471" s="551"/>
      <c r="T471" s="551"/>
      <c r="U471" s="551"/>
      <c r="V471" s="551"/>
      <c r="W471" s="551"/>
      <c r="X471" s="551"/>
      <c r="Y471" s="551"/>
      <c r="Z471" s="551"/>
      <c r="AA471" s="551"/>
      <c r="AB471" s="551"/>
      <c r="AC471" s="551"/>
      <c r="AD471" s="551"/>
      <c r="AE471" s="551"/>
      <c r="AF471" s="551"/>
    </row>
    <row r="472">
      <c r="A472" s="552"/>
      <c r="B472" s="552"/>
      <c r="C472" s="552"/>
      <c r="D472" s="552"/>
      <c r="E472" s="552"/>
      <c r="F472" s="552"/>
      <c r="G472" s="552"/>
      <c r="H472" s="552"/>
      <c r="I472" s="552"/>
      <c r="J472" s="552"/>
      <c r="K472" s="552"/>
      <c r="L472" s="552"/>
      <c r="M472" s="552"/>
      <c r="N472" s="551"/>
      <c r="O472" s="551"/>
      <c r="P472" s="551"/>
      <c r="Q472" s="551"/>
      <c r="R472" s="551"/>
      <c r="S472" s="551"/>
      <c r="T472" s="551"/>
      <c r="U472" s="551"/>
      <c r="V472" s="551"/>
      <c r="W472" s="551"/>
      <c r="X472" s="551"/>
      <c r="Y472" s="551"/>
      <c r="Z472" s="551"/>
      <c r="AA472" s="551"/>
      <c r="AB472" s="551"/>
      <c r="AC472" s="551"/>
      <c r="AD472" s="551"/>
      <c r="AE472" s="551"/>
      <c r="AF472" s="551"/>
    </row>
    <row r="473">
      <c r="A473" s="552"/>
      <c r="B473" s="552"/>
      <c r="C473" s="552"/>
      <c r="D473" s="552"/>
      <c r="E473" s="552"/>
      <c r="F473" s="552"/>
      <c r="G473" s="552"/>
      <c r="H473" s="552"/>
      <c r="I473" s="552"/>
      <c r="J473" s="552"/>
      <c r="K473" s="552"/>
      <c r="L473" s="552"/>
      <c r="M473" s="552"/>
      <c r="N473" s="551"/>
      <c r="O473" s="551"/>
      <c r="P473" s="551"/>
      <c r="Q473" s="551"/>
      <c r="R473" s="551"/>
      <c r="S473" s="551"/>
      <c r="T473" s="551"/>
      <c r="U473" s="551"/>
      <c r="V473" s="551"/>
      <c r="W473" s="551"/>
      <c r="X473" s="551"/>
      <c r="Y473" s="551"/>
      <c r="Z473" s="551"/>
      <c r="AA473" s="551"/>
      <c r="AB473" s="551"/>
      <c r="AC473" s="551"/>
      <c r="AD473" s="551"/>
      <c r="AE473" s="551"/>
      <c r="AF473" s="551"/>
    </row>
    <row r="474">
      <c r="A474" s="552"/>
      <c r="B474" s="552"/>
      <c r="C474" s="552"/>
      <c r="D474" s="552"/>
      <c r="E474" s="552"/>
      <c r="F474" s="552"/>
      <c r="G474" s="552"/>
      <c r="H474" s="552"/>
      <c r="I474" s="552"/>
      <c r="J474" s="552"/>
      <c r="K474" s="552"/>
      <c r="L474" s="552"/>
      <c r="M474" s="552"/>
      <c r="N474" s="551"/>
      <c r="O474" s="551"/>
      <c r="P474" s="551"/>
      <c r="Q474" s="551"/>
      <c r="R474" s="551"/>
      <c r="S474" s="551"/>
      <c r="T474" s="551"/>
      <c r="U474" s="551"/>
      <c r="V474" s="551"/>
      <c r="W474" s="551"/>
      <c r="X474" s="551"/>
      <c r="Y474" s="551"/>
      <c r="Z474" s="551"/>
      <c r="AA474" s="551"/>
      <c r="AB474" s="551"/>
      <c r="AC474" s="551"/>
      <c r="AD474" s="551"/>
      <c r="AE474" s="551"/>
      <c r="AF474" s="551"/>
    </row>
    <row r="475">
      <c r="A475" s="552"/>
      <c r="B475" s="552"/>
      <c r="C475" s="552"/>
      <c r="D475" s="552"/>
      <c r="E475" s="552"/>
      <c r="F475" s="552"/>
      <c r="G475" s="552"/>
      <c r="H475" s="552"/>
      <c r="I475" s="552"/>
      <c r="J475" s="552"/>
      <c r="K475" s="552"/>
      <c r="L475" s="552"/>
      <c r="M475" s="552"/>
      <c r="N475" s="551"/>
      <c r="O475" s="551"/>
      <c r="P475" s="551"/>
      <c r="Q475" s="551"/>
      <c r="R475" s="551"/>
      <c r="S475" s="551"/>
      <c r="T475" s="551"/>
      <c r="U475" s="551"/>
      <c r="V475" s="551"/>
      <c r="W475" s="551"/>
      <c r="X475" s="551"/>
      <c r="Y475" s="551"/>
      <c r="Z475" s="551"/>
      <c r="AA475" s="551"/>
      <c r="AB475" s="551"/>
      <c r="AC475" s="551"/>
      <c r="AD475" s="551"/>
      <c r="AE475" s="551"/>
      <c r="AF475" s="551"/>
    </row>
    <row r="476">
      <c r="A476" s="552"/>
      <c r="B476" s="552"/>
      <c r="C476" s="552"/>
      <c r="D476" s="552"/>
      <c r="E476" s="552"/>
      <c r="F476" s="552"/>
      <c r="G476" s="552"/>
      <c r="H476" s="552"/>
      <c r="I476" s="552"/>
      <c r="J476" s="552"/>
      <c r="K476" s="552"/>
      <c r="L476" s="552"/>
      <c r="M476" s="552"/>
      <c r="N476" s="551"/>
      <c r="O476" s="551"/>
      <c r="P476" s="551"/>
      <c r="Q476" s="551"/>
      <c r="R476" s="551"/>
      <c r="S476" s="551"/>
      <c r="T476" s="551"/>
      <c r="U476" s="551"/>
      <c r="V476" s="551"/>
      <c r="W476" s="551"/>
      <c r="X476" s="551"/>
      <c r="Y476" s="551"/>
      <c r="Z476" s="551"/>
      <c r="AA476" s="551"/>
      <c r="AB476" s="551"/>
      <c r="AC476" s="551"/>
      <c r="AD476" s="551"/>
      <c r="AE476" s="551"/>
      <c r="AF476" s="551"/>
    </row>
    <row r="477">
      <c r="A477" s="552"/>
      <c r="B477" s="552"/>
      <c r="C477" s="552"/>
      <c r="D477" s="552"/>
      <c r="E477" s="552"/>
      <c r="F477" s="552"/>
      <c r="G477" s="552"/>
      <c r="H477" s="552"/>
      <c r="I477" s="552"/>
      <c r="J477" s="552"/>
      <c r="K477" s="552"/>
      <c r="L477" s="552"/>
      <c r="M477" s="552"/>
      <c r="N477" s="551"/>
      <c r="O477" s="551"/>
      <c r="P477" s="551"/>
      <c r="Q477" s="551"/>
      <c r="R477" s="551"/>
      <c r="S477" s="551"/>
      <c r="T477" s="551"/>
      <c r="U477" s="551"/>
      <c r="V477" s="551"/>
      <c r="W477" s="551"/>
      <c r="X477" s="551"/>
      <c r="Y477" s="551"/>
      <c r="Z477" s="551"/>
      <c r="AA477" s="551"/>
      <c r="AB477" s="551"/>
      <c r="AC477" s="551"/>
      <c r="AD477" s="551"/>
      <c r="AE477" s="551"/>
      <c r="AF477" s="551"/>
    </row>
    <row r="478">
      <c r="A478" s="552"/>
      <c r="B478" s="552"/>
      <c r="C478" s="552"/>
      <c r="D478" s="552"/>
      <c r="E478" s="552"/>
      <c r="F478" s="552"/>
      <c r="G478" s="552"/>
      <c r="H478" s="552"/>
      <c r="I478" s="552"/>
      <c r="J478" s="552"/>
      <c r="K478" s="552"/>
      <c r="L478" s="552"/>
      <c r="M478" s="552"/>
      <c r="N478" s="551"/>
      <c r="O478" s="551"/>
      <c r="P478" s="551"/>
      <c r="Q478" s="551"/>
      <c r="R478" s="551"/>
      <c r="S478" s="551"/>
      <c r="T478" s="551"/>
      <c r="U478" s="551"/>
      <c r="V478" s="551"/>
      <c r="W478" s="551"/>
      <c r="X478" s="551"/>
      <c r="Y478" s="551"/>
      <c r="Z478" s="551"/>
      <c r="AA478" s="551"/>
      <c r="AB478" s="551"/>
      <c r="AC478" s="551"/>
      <c r="AD478" s="551"/>
      <c r="AE478" s="551"/>
      <c r="AF478" s="551"/>
    </row>
    <row r="479">
      <c r="A479" s="552"/>
      <c r="B479" s="552"/>
      <c r="C479" s="552"/>
      <c r="D479" s="552"/>
      <c r="E479" s="552"/>
      <c r="F479" s="552"/>
      <c r="G479" s="552"/>
      <c r="H479" s="552"/>
      <c r="I479" s="552"/>
      <c r="J479" s="552"/>
      <c r="K479" s="552"/>
      <c r="L479" s="552"/>
      <c r="M479" s="552"/>
      <c r="N479" s="551"/>
      <c r="O479" s="551"/>
      <c r="P479" s="551"/>
      <c r="Q479" s="551"/>
      <c r="R479" s="551"/>
      <c r="S479" s="551"/>
      <c r="T479" s="551"/>
      <c r="U479" s="551"/>
      <c r="V479" s="551"/>
      <c r="W479" s="551"/>
      <c r="X479" s="551"/>
      <c r="Y479" s="551"/>
      <c r="Z479" s="551"/>
      <c r="AA479" s="551"/>
      <c r="AB479" s="551"/>
      <c r="AC479" s="551"/>
      <c r="AD479" s="551"/>
      <c r="AE479" s="551"/>
      <c r="AF479" s="551"/>
    </row>
    <row r="480">
      <c r="A480" s="552"/>
      <c r="B480" s="552"/>
      <c r="C480" s="552"/>
      <c r="D480" s="552"/>
      <c r="E480" s="552"/>
      <c r="F480" s="552"/>
      <c r="G480" s="552"/>
      <c r="H480" s="552"/>
      <c r="I480" s="552"/>
      <c r="J480" s="552"/>
      <c r="K480" s="552"/>
      <c r="L480" s="552"/>
      <c r="M480" s="552"/>
      <c r="N480" s="551"/>
      <c r="O480" s="551"/>
      <c r="P480" s="551"/>
      <c r="Q480" s="551"/>
      <c r="R480" s="551"/>
      <c r="S480" s="551"/>
      <c r="T480" s="551"/>
      <c r="U480" s="551"/>
      <c r="V480" s="551"/>
      <c r="W480" s="551"/>
      <c r="X480" s="551"/>
      <c r="Y480" s="551"/>
      <c r="Z480" s="551"/>
      <c r="AA480" s="551"/>
      <c r="AB480" s="551"/>
      <c r="AC480" s="551"/>
      <c r="AD480" s="551"/>
      <c r="AE480" s="551"/>
      <c r="AF480" s="551"/>
    </row>
    <row r="481">
      <c r="A481" s="552"/>
      <c r="B481" s="552"/>
      <c r="C481" s="552"/>
      <c r="D481" s="552"/>
      <c r="E481" s="552"/>
      <c r="F481" s="552"/>
      <c r="G481" s="552"/>
      <c r="H481" s="552"/>
      <c r="I481" s="552"/>
      <c r="J481" s="552"/>
      <c r="K481" s="552"/>
      <c r="L481" s="552"/>
      <c r="M481" s="552"/>
      <c r="N481" s="551"/>
      <c r="O481" s="551"/>
      <c r="P481" s="551"/>
      <c r="Q481" s="551"/>
      <c r="R481" s="551"/>
      <c r="S481" s="551"/>
      <c r="T481" s="551"/>
      <c r="U481" s="551"/>
      <c r="V481" s="551"/>
      <c r="W481" s="551"/>
      <c r="X481" s="551"/>
      <c r="Y481" s="551"/>
      <c r="Z481" s="551"/>
      <c r="AA481" s="551"/>
      <c r="AB481" s="551"/>
      <c r="AC481" s="551"/>
      <c r="AD481" s="551"/>
      <c r="AE481" s="551"/>
      <c r="AF481" s="551"/>
    </row>
    <row r="482">
      <c r="A482" s="552"/>
      <c r="B482" s="552"/>
      <c r="C482" s="552"/>
      <c r="D482" s="552"/>
      <c r="E482" s="552"/>
      <c r="F482" s="552"/>
      <c r="G482" s="552"/>
      <c r="H482" s="552"/>
      <c r="I482" s="552"/>
      <c r="J482" s="552"/>
      <c r="K482" s="552"/>
      <c r="L482" s="552"/>
      <c r="M482" s="552"/>
      <c r="N482" s="551"/>
      <c r="O482" s="551"/>
      <c r="P482" s="551"/>
      <c r="Q482" s="551"/>
      <c r="R482" s="551"/>
      <c r="S482" s="551"/>
      <c r="T482" s="551"/>
      <c r="U482" s="551"/>
      <c r="V482" s="551"/>
      <c r="W482" s="551"/>
      <c r="X482" s="551"/>
      <c r="Y482" s="551"/>
      <c r="Z482" s="551"/>
      <c r="AA482" s="551"/>
      <c r="AB482" s="551"/>
      <c r="AC482" s="551"/>
      <c r="AD482" s="551"/>
      <c r="AE482" s="551"/>
      <c r="AF482" s="551"/>
    </row>
    <row r="483">
      <c r="A483" s="552"/>
      <c r="B483" s="552"/>
      <c r="C483" s="552"/>
      <c r="D483" s="552"/>
      <c r="E483" s="552"/>
      <c r="F483" s="552"/>
      <c r="G483" s="552"/>
      <c r="H483" s="552"/>
      <c r="I483" s="552"/>
      <c r="J483" s="552"/>
      <c r="K483" s="552"/>
      <c r="L483" s="552"/>
      <c r="M483" s="552"/>
      <c r="N483" s="551"/>
      <c r="O483" s="551"/>
      <c r="P483" s="551"/>
      <c r="Q483" s="551"/>
      <c r="R483" s="551"/>
      <c r="S483" s="551"/>
      <c r="T483" s="551"/>
      <c r="U483" s="551"/>
      <c r="V483" s="551"/>
      <c r="W483" s="551"/>
      <c r="X483" s="551"/>
      <c r="Y483" s="551"/>
      <c r="Z483" s="551"/>
      <c r="AA483" s="551"/>
      <c r="AB483" s="551"/>
      <c r="AC483" s="551"/>
      <c r="AD483" s="551"/>
      <c r="AE483" s="551"/>
      <c r="AF483" s="551"/>
    </row>
    <row r="484">
      <c r="A484" s="552"/>
      <c r="B484" s="552"/>
      <c r="C484" s="552"/>
      <c r="D484" s="552"/>
      <c r="E484" s="552"/>
      <c r="F484" s="552"/>
      <c r="G484" s="552"/>
      <c r="H484" s="552"/>
      <c r="I484" s="552"/>
      <c r="J484" s="552"/>
      <c r="K484" s="552"/>
      <c r="L484" s="552"/>
      <c r="M484" s="552"/>
      <c r="N484" s="551"/>
      <c r="O484" s="551"/>
      <c r="P484" s="551"/>
      <c r="Q484" s="551"/>
      <c r="R484" s="551"/>
      <c r="S484" s="551"/>
      <c r="T484" s="551"/>
      <c r="U484" s="551"/>
      <c r="V484" s="551"/>
      <c r="W484" s="551"/>
      <c r="X484" s="551"/>
      <c r="Y484" s="551"/>
      <c r="Z484" s="551"/>
      <c r="AA484" s="551"/>
      <c r="AB484" s="551"/>
      <c r="AC484" s="551"/>
      <c r="AD484" s="551"/>
      <c r="AE484" s="551"/>
      <c r="AF484" s="551"/>
    </row>
    <row r="485">
      <c r="A485" s="552"/>
      <c r="B485" s="552"/>
      <c r="C485" s="552"/>
      <c r="D485" s="552"/>
      <c r="E485" s="552"/>
      <c r="F485" s="552"/>
      <c r="G485" s="552"/>
      <c r="H485" s="552"/>
      <c r="I485" s="552"/>
      <c r="J485" s="552"/>
      <c r="K485" s="552"/>
      <c r="L485" s="552"/>
      <c r="M485" s="552"/>
      <c r="N485" s="551"/>
      <c r="O485" s="551"/>
      <c r="P485" s="551"/>
      <c r="Q485" s="551"/>
      <c r="R485" s="551"/>
      <c r="S485" s="551"/>
      <c r="T485" s="551"/>
      <c r="U485" s="551"/>
      <c r="V485" s="551"/>
      <c r="W485" s="551"/>
      <c r="X485" s="551"/>
      <c r="Y485" s="551"/>
      <c r="Z485" s="551"/>
      <c r="AA485" s="551"/>
      <c r="AB485" s="551"/>
      <c r="AC485" s="551"/>
      <c r="AD485" s="551"/>
      <c r="AE485" s="551"/>
      <c r="AF485" s="551"/>
    </row>
    <row r="486">
      <c r="A486" s="552"/>
      <c r="B486" s="552"/>
      <c r="C486" s="552"/>
      <c r="D486" s="552"/>
      <c r="E486" s="552"/>
      <c r="F486" s="552"/>
      <c r="G486" s="552"/>
      <c r="H486" s="552"/>
      <c r="I486" s="552"/>
      <c r="J486" s="552"/>
      <c r="K486" s="552"/>
      <c r="L486" s="552"/>
      <c r="M486" s="552"/>
      <c r="N486" s="551"/>
      <c r="O486" s="551"/>
      <c r="P486" s="551"/>
      <c r="Q486" s="551"/>
      <c r="R486" s="551"/>
      <c r="S486" s="551"/>
      <c r="T486" s="551"/>
      <c r="U486" s="551"/>
      <c r="V486" s="551"/>
      <c r="W486" s="551"/>
      <c r="X486" s="551"/>
      <c r="Y486" s="551"/>
      <c r="Z486" s="551"/>
      <c r="AA486" s="551"/>
      <c r="AB486" s="551"/>
      <c r="AC486" s="551"/>
      <c r="AD486" s="551"/>
      <c r="AE486" s="551"/>
      <c r="AF486" s="551"/>
    </row>
    <row r="487">
      <c r="A487" s="552"/>
      <c r="B487" s="552"/>
      <c r="C487" s="552"/>
      <c r="D487" s="552"/>
      <c r="E487" s="552"/>
      <c r="F487" s="552"/>
      <c r="G487" s="552"/>
      <c r="H487" s="552"/>
      <c r="I487" s="552"/>
      <c r="J487" s="552"/>
      <c r="K487" s="552"/>
      <c r="L487" s="552"/>
      <c r="M487" s="552"/>
      <c r="N487" s="551"/>
      <c r="O487" s="551"/>
      <c r="P487" s="551"/>
      <c r="Q487" s="551"/>
      <c r="R487" s="551"/>
      <c r="S487" s="551"/>
      <c r="T487" s="551"/>
      <c r="U487" s="551"/>
      <c r="V487" s="551"/>
      <c r="W487" s="551"/>
      <c r="X487" s="551"/>
      <c r="Y487" s="551"/>
      <c r="Z487" s="551"/>
      <c r="AA487" s="551"/>
      <c r="AB487" s="551"/>
      <c r="AC487" s="551"/>
      <c r="AD487" s="551"/>
      <c r="AE487" s="551"/>
      <c r="AF487" s="551"/>
    </row>
    <row r="488">
      <c r="A488" s="552"/>
      <c r="B488" s="552"/>
      <c r="C488" s="552"/>
      <c r="D488" s="552"/>
      <c r="E488" s="552"/>
      <c r="F488" s="552"/>
      <c r="G488" s="552"/>
      <c r="H488" s="552"/>
      <c r="I488" s="552"/>
      <c r="J488" s="552"/>
      <c r="K488" s="552"/>
      <c r="L488" s="552"/>
      <c r="M488" s="552"/>
      <c r="N488" s="551"/>
      <c r="O488" s="551"/>
      <c r="P488" s="551"/>
      <c r="Q488" s="551"/>
      <c r="R488" s="551"/>
      <c r="S488" s="551"/>
      <c r="T488" s="551"/>
      <c r="U488" s="551"/>
      <c r="V488" s="551"/>
      <c r="W488" s="551"/>
      <c r="X488" s="551"/>
      <c r="Y488" s="551"/>
      <c r="Z488" s="551"/>
      <c r="AA488" s="551"/>
      <c r="AB488" s="551"/>
      <c r="AC488" s="551"/>
      <c r="AD488" s="551"/>
      <c r="AE488" s="551"/>
      <c r="AF488" s="551"/>
    </row>
    <row r="489">
      <c r="A489" s="552"/>
      <c r="B489" s="552"/>
      <c r="C489" s="552"/>
      <c r="D489" s="552"/>
      <c r="E489" s="552"/>
      <c r="F489" s="552"/>
      <c r="G489" s="552"/>
      <c r="H489" s="552"/>
      <c r="I489" s="552"/>
      <c r="J489" s="552"/>
      <c r="K489" s="552"/>
      <c r="L489" s="552"/>
      <c r="M489" s="552"/>
      <c r="N489" s="551"/>
      <c r="O489" s="551"/>
      <c r="P489" s="551"/>
      <c r="Q489" s="551"/>
      <c r="R489" s="551"/>
      <c r="S489" s="551"/>
      <c r="T489" s="551"/>
      <c r="U489" s="551"/>
      <c r="V489" s="551"/>
      <c r="W489" s="551"/>
      <c r="X489" s="551"/>
      <c r="Y489" s="551"/>
      <c r="Z489" s="551"/>
      <c r="AA489" s="551"/>
      <c r="AB489" s="551"/>
      <c r="AC489" s="551"/>
      <c r="AD489" s="551"/>
      <c r="AE489" s="551"/>
      <c r="AF489" s="551"/>
    </row>
    <row r="490">
      <c r="A490" s="552"/>
      <c r="B490" s="552"/>
      <c r="C490" s="552"/>
      <c r="D490" s="552"/>
      <c r="E490" s="552"/>
      <c r="F490" s="552"/>
      <c r="G490" s="552"/>
      <c r="H490" s="552"/>
      <c r="I490" s="552"/>
      <c r="J490" s="552"/>
      <c r="K490" s="552"/>
      <c r="L490" s="552"/>
      <c r="M490" s="552"/>
      <c r="N490" s="551"/>
      <c r="O490" s="551"/>
      <c r="P490" s="551"/>
      <c r="Q490" s="551"/>
      <c r="R490" s="551"/>
      <c r="S490" s="551"/>
      <c r="T490" s="551"/>
      <c r="U490" s="551"/>
      <c r="V490" s="551"/>
      <c r="W490" s="551"/>
      <c r="X490" s="551"/>
      <c r="Y490" s="551"/>
      <c r="Z490" s="551"/>
      <c r="AA490" s="551"/>
      <c r="AB490" s="551"/>
      <c r="AC490" s="551"/>
      <c r="AD490" s="551"/>
      <c r="AE490" s="551"/>
      <c r="AF490" s="551"/>
    </row>
    <row r="491">
      <c r="A491" s="552"/>
      <c r="B491" s="552"/>
      <c r="C491" s="552"/>
      <c r="D491" s="552"/>
      <c r="E491" s="552"/>
      <c r="F491" s="552"/>
      <c r="G491" s="552"/>
      <c r="H491" s="552"/>
      <c r="I491" s="552"/>
      <c r="J491" s="552"/>
      <c r="K491" s="552"/>
      <c r="L491" s="552"/>
      <c r="M491" s="552"/>
      <c r="N491" s="551"/>
      <c r="O491" s="551"/>
      <c r="P491" s="551"/>
      <c r="Q491" s="551"/>
      <c r="R491" s="551"/>
      <c r="S491" s="551"/>
      <c r="T491" s="551"/>
      <c r="U491" s="551"/>
      <c r="V491" s="551"/>
      <c r="W491" s="551"/>
      <c r="X491" s="551"/>
      <c r="Y491" s="551"/>
      <c r="Z491" s="551"/>
      <c r="AA491" s="551"/>
      <c r="AB491" s="551"/>
      <c r="AC491" s="551"/>
      <c r="AD491" s="551"/>
      <c r="AE491" s="551"/>
      <c r="AF491" s="551"/>
    </row>
    <row r="492">
      <c r="A492" s="552"/>
      <c r="B492" s="552"/>
      <c r="C492" s="552"/>
      <c r="D492" s="552"/>
      <c r="E492" s="552"/>
      <c r="F492" s="552"/>
      <c r="G492" s="552"/>
      <c r="H492" s="552"/>
      <c r="I492" s="552"/>
      <c r="J492" s="552"/>
      <c r="K492" s="552"/>
      <c r="L492" s="552"/>
      <c r="M492" s="552"/>
      <c r="N492" s="551"/>
      <c r="O492" s="551"/>
      <c r="P492" s="551"/>
      <c r="Q492" s="551"/>
      <c r="R492" s="551"/>
      <c r="S492" s="551"/>
      <c r="T492" s="551"/>
      <c r="U492" s="551"/>
      <c r="V492" s="551"/>
      <c r="W492" s="551"/>
      <c r="X492" s="551"/>
      <c r="Y492" s="551"/>
      <c r="Z492" s="551"/>
      <c r="AA492" s="551"/>
      <c r="AB492" s="551"/>
      <c r="AC492" s="551"/>
      <c r="AD492" s="551"/>
      <c r="AE492" s="551"/>
      <c r="AF492" s="551"/>
    </row>
    <row r="493">
      <c r="A493" s="552"/>
      <c r="B493" s="552"/>
      <c r="C493" s="552"/>
      <c r="D493" s="552"/>
      <c r="E493" s="552"/>
      <c r="F493" s="552"/>
      <c r="G493" s="552"/>
      <c r="H493" s="552"/>
      <c r="I493" s="552"/>
      <c r="J493" s="552"/>
      <c r="K493" s="552"/>
      <c r="L493" s="552"/>
      <c r="M493" s="552"/>
      <c r="N493" s="551"/>
      <c r="O493" s="551"/>
      <c r="P493" s="551"/>
      <c r="Q493" s="551"/>
      <c r="R493" s="551"/>
      <c r="S493" s="551"/>
      <c r="T493" s="551"/>
      <c r="U493" s="551"/>
      <c r="V493" s="551"/>
      <c r="W493" s="551"/>
      <c r="X493" s="551"/>
      <c r="Y493" s="551"/>
      <c r="Z493" s="551"/>
      <c r="AA493" s="551"/>
      <c r="AB493" s="551"/>
      <c r="AC493" s="551"/>
      <c r="AD493" s="551"/>
      <c r="AE493" s="551"/>
      <c r="AF493" s="551"/>
    </row>
    <row r="494">
      <c r="A494" s="552"/>
      <c r="B494" s="552"/>
      <c r="C494" s="552"/>
      <c r="D494" s="552"/>
      <c r="E494" s="552"/>
      <c r="F494" s="552"/>
      <c r="G494" s="552"/>
      <c r="H494" s="552"/>
      <c r="I494" s="552"/>
      <c r="J494" s="552"/>
      <c r="K494" s="552"/>
      <c r="L494" s="552"/>
      <c r="M494" s="552"/>
      <c r="N494" s="551"/>
      <c r="O494" s="551"/>
      <c r="P494" s="551"/>
      <c r="Q494" s="551"/>
      <c r="R494" s="551"/>
      <c r="S494" s="551"/>
      <c r="T494" s="551"/>
      <c r="U494" s="551"/>
      <c r="V494" s="551"/>
      <c r="W494" s="551"/>
      <c r="X494" s="551"/>
      <c r="Y494" s="551"/>
      <c r="Z494" s="551"/>
      <c r="AA494" s="551"/>
      <c r="AB494" s="551"/>
      <c r="AC494" s="551"/>
      <c r="AD494" s="551"/>
      <c r="AE494" s="551"/>
      <c r="AF494" s="551"/>
    </row>
    <row r="495">
      <c r="A495" s="552"/>
      <c r="B495" s="552"/>
      <c r="C495" s="552"/>
      <c r="D495" s="552"/>
      <c r="E495" s="552"/>
      <c r="F495" s="552"/>
      <c r="G495" s="552"/>
      <c r="H495" s="552"/>
      <c r="I495" s="552"/>
      <c r="J495" s="552"/>
      <c r="K495" s="552"/>
      <c r="L495" s="552"/>
      <c r="M495" s="552"/>
      <c r="N495" s="551"/>
      <c r="O495" s="551"/>
      <c r="P495" s="551"/>
      <c r="Q495" s="551"/>
      <c r="R495" s="551"/>
      <c r="S495" s="551"/>
      <c r="T495" s="551"/>
      <c r="U495" s="551"/>
      <c r="V495" s="551"/>
      <c r="W495" s="551"/>
      <c r="X495" s="551"/>
      <c r="Y495" s="551"/>
      <c r="Z495" s="551"/>
      <c r="AA495" s="551"/>
      <c r="AB495" s="551"/>
      <c r="AC495" s="551"/>
      <c r="AD495" s="551"/>
      <c r="AE495" s="551"/>
      <c r="AF495" s="551"/>
    </row>
    <row r="496">
      <c r="A496" s="552"/>
      <c r="B496" s="552"/>
      <c r="C496" s="552"/>
      <c r="D496" s="552"/>
      <c r="E496" s="552"/>
      <c r="F496" s="552"/>
      <c r="G496" s="552"/>
      <c r="H496" s="552"/>
      <c r="I496" s="552"/>
      <c r="J496" s="552"/>
      <c r="K496" s="552"/>
      <c r="L496" s="552"/>
      <c r="M496" s="552"/>
      <c r="N496" s="551"/>
      <c r="O496" s="551"/>
      <c r="P496" s="551"/>
      <c r="Q496" s="551"/>
      <c r="R496" s="551"/>
      <c r="S496" s="551"/>
      <c r="T496" s="551"/>
      <c r="U496" s="551"/>
      <c r="V496" s="551"/>
      <c r="W496" s="551"/>
      <c r="X496" s="551"/>
      <c r="Y496" s="551"/>
      <c r="Z496" s="551"/>
      <c r="AA496" s="551"/>
      <c r="AB496" s="551"/>
      <c r="AC496" s="551"/>
      <c r="AD496" s="551"/>
      <c r="AE496" s="551"/>
      <c r="AF496" s="551"/>
    </row>
    <row r="497">
      <c r="A497" s="552"/>
      <c r="B497" s="552"/>
      <c r="C497" s="552"/>
      <c r="D497" s="552"/>
      <c r="E497" s="552"/>
      <c r="F497" s="552"/>
      <c r="G497" s="552"/>
      <c r="H497" s="552"/>
      <c r="I497" s="552"/>
      <c r="J497" s="552"/>
      <c r="K497" s="552"/>
      <c r="L497" s="552"/>
      <c r="M497" s="552"/>
      <c r="N497" s="551"/>
      <c r="O497" s="551"/>
      <c r="P497" s="551"/>
      <c r="Q497" s="551"/>
      <c r="R497" s="551"/>
      <c r="S497" s="551"/>
      <c r="T497" s="551"/>
      <c r="U497" s="551"/>
      <c r="V497" s="551"/>
      <c r="W497" s="551"/>
      <c r="X497" s="551"/>
      <c r="Y497" s="551"/>
      <c r="Z497" s="551"/>
      <c r="AA497" s="551"/>
      <c r="AB497" s="551"/>
      <c r="AC497" s="551"/>
      <c r="AD497" s="551"/>
      <c r="AE497" s="551"/>
      <c r="AF497" s="551"/>
    </row>
    <row r="498">
      <c r="A498" s="552"/>
      <c r="B498" s="552"/>
      <c r="C498" s="552"/>
      <c r="D498" s="552"/>
      <c r="E498" s="552"/>
      <c r="F498" s="552"/>
      <c r="G498" s="552"/>
      <c r="H498" s="552"/>
      <c r="I498" s="552"/>
      <c r="J498" s="552"/>
      <c r="K498" s="552"/>
      <c r="L498" s="552"/>
      <c r="M498" s="552"/>
      <c r="N498" s="551"/>
      <c r="O498" s="551"/>
      <c r="P498" s="551"/>
      <c r="Q498" s="551"/>
      <c r="R498" s="551"/>
      <c r="S498" s="551"/>
      <c r="T498" s="551"/>
      <c r="U498" s="551"/>
      <c r="V498" s="551"/>
      <c r="W498" s="551"/>
      <c r="X498" s="551"/>
      <c r="Y498" s="551"/>
      <c r="Z498" s="551"/>
      <c r="AA498" s="551"/>
      <c r="AB498" s="551"/>
      <c r="AC498" s="551"/>
      <c r="AD498" s="551"/>
      <c r="AE498" s="551"/>
      <c r="AF498" s="551"/>
    </row>
    <row r="499">
      <c r="A499" s="552"/>
      <c r="B499" s="552"/>
      <c r="C499" s="552"/>
      <c r="D499" s="552"/>
      <c r="E499" s="552"/>
      <c r="F499" s="552"/>
      <c r="G499" s="552"/>
      <c r="H499" s="552"/>
      <c r="I499" s="552"/>
      <c r="J499" s="552"/>
      <c r="K499" s="552"/>
      <c r="L499" s="552"/>
      <c r="M499" s="552"/>
      <c r="N499" s="551"/>
      <c r="O499" s="551"/>
      <c r="P499" s="551"/>
      <c r="Q499" s="551"/>
      <c r="R499" s="551"/>
      <c r="S499" s="551"/>
      <c r="T499" s="551"/>
      <c r="U499" s="551"/>
      <c r="V499" s="551"/>
      <c r="W499" s="551"/>
      <c r="X499" s="551"/>
      <c r="Y499" s="551"/>
      <c r="Z499" s="551"/>
      <c r="AA499" s="551"/>
      <c r="AB499" s="551"/>
      <c r="AC499" s="551"/>
      <c r="AD499" s="551"/>
      <c r="AE499" s="551"/>
      <c r="AF499" s="551"/>
    </row>
    <row r="500">
      <c r="A500" s="552"/>
      <c r="B500" s="552"/>
      <c r="C500" s="552"/>
      <c r="D500" s="552"/>
      <c r="E500" s="552"/>
      <c r="F500" s="552"/>
      <c r="G500" s="552"/>
      <c r="H500" s="552"/>
      <c r="I500" s="552"/>
      <c r="J500" s="552"/>
      <c r="K500" s="552"/>
      <c r="L500" s="552"/>
      <c r="M500" s="552"/>
      <c r="N500" s="551"/>
      <c r="O500" s="551"/>
      <c r="P500" s="551"/>
      <c r="Q500" s="551"/>
      <c r="R500" s="551"/>
      <c r="S500" s="551"/>
      <c r="T500" s="551"/>
      <c r="U500" s="551"/>
      <c r="V500" s="551"/>
      <c r="W500" s="551"/>
      <c r="X500" s="551"/>
      <c r="Y500" s="551"/>
      <c r="Z500" s="551"/>
      <c r="AA500" s="551"/>
      <c r="AB500" s="551"/>
      <c r="AC500" s="551"/>
      <c r="AD500" s="551"/>
      <c r="AE500" s="551"/>
      <c r="AF500" s="551"/>
    </row>
    <row r="501">
      <c r="A501" s="552"/>
      <c r="B501" s="552"/>
      <c r="C501" s="552"/>
      <c r="D501" s="552"/>
      <c r="E501" s="552"/>
      <c r="F501" s="552"/>
      <c r="G501" s="552"/>
      <c r="H501" s="552"/>
      <c r="I501" s="552"/>
      <c r="J501" s="552"/>
      <c r="K501" s="552"/>
      <c r="L501" s="552"/>
      <c r="M501" s="552"/>
      <c r="N501" s="551"/>
      <c r="O501" s="551"/>
      <c r="P501" s="551"/>
      <c r="Q501" s="551"/>
      <c r="R501" s="551"/>
      <c r="S501" s="551"/>
      <c r="T501" s="551"/>
      <c r="U501" s="551"/>
      <c r="V501" s="551"/>
      <c r="W501" s="551"/>
      <c r="X501" s="551"/>
      <c r="Y501" s="551"/>
      <c r="Z501" s="551"/>
      <c r="AA501" s="551"/>
      <c r="AB501" s="551"/>
      <c r="AC501" s="551"/>
      <c r="AD501" s="551"/>
      <c r="AE501" s="551"/>
      <c r="AF501" s="551"/>
    </row>
    <row r="502">
      <c r="A502" s="552"/>
      <c r="B502" s="552"/>
      <c r="C502" s="552"/>
      <c r="D502" s="552"/>
      <c r="E502" s="552"/>
      <c r="F502" s="552"/>
      <c r="G502" s="552"/>
      <c r="H502" s="552"/>
      <c r="I502" s="552"/>
      <c r="J502" s="552"/>
      <c r="K502" s="552"/>
      <c r="L502" s="552"/>
      <c r="M502" s="552"/>
      <c r="N502" s="551"/>
      <c r="O502" s="551"/>
      <c r="P502" s="551"/>
      <c r="Q502" s="551"/>
      <c r="R502" s="551"/>
      <c r="S502" s="551"/>
      <c r="T502" s="551"/>
      <c r="U502" s="551"/>
      <c r="V502" s="551"/>
      <c r="W502" s="551"/>
      <c r="X502" s="551"/>
      <c r="Y502" s="551"/>
      <c r="Z502" s="551"/>
      <c r="AA502" s="551"/>
      <c r="AB502" s="551"/>
      <c r="AC502" s="551"/>
      <c r="AD502" s="551"/>
      <c r="AE502" s="551"/>
      <c r="AF502" s="551"/>
    </row>
    <row r="503">
      <c r="A503" s="552"/>
      <c r="B503" s="552"/>
      <c r="C503" s="552"/>
      <c r="D503" s="552"/>
      <c r="E503" s="552"/>
      <c r="F503" s="552"/>
      <c r="G503" s="552"/>
      <c r="H503" s="552"/>
      <c r="I503" s="552"/>
      <c r="J503" s="552"/>
      <c r="K503" s="552"/>
      <c r="L503" s="552"/>
      <c r="M503" s="552"/>
      <c r="N503" s="551"/>
      <c r="O503" s="551"/>
      <c r="P503" s="551"/>
      <c r="Q503" s="551"/>
      <c r="R503" s="551"/>
      <c r="S503" s="551"/>
      <c r="T503" s="551"/>
      <c r="U503" s="551"/>
      <c r="V503" s="551"/>
      <c r="W503" s="551"/>
      <c r="X503" s="551"/>
      <c r="Y503" s="551"/>
      <c r="Z503" s="551"/>
      <c r="AA503" s="551"/>
      <c r="AB503" s="551"/>
      <c r="AC503" s="551"/>
      <c r="AD503" s="551"/>
      <c r="AE503" s="551"/>
      <c r="AF503" s="551"/>
    </row>
    <row r="504">
      <c r="A504" s="552"/>
      <c r="B504" s="552"/>
      <c r="C504" s="552"/>
      <c r="D504" s="552"/>
      <c r="E504" s="552"/>
      <c r="F504" s="552"/>
      <c r="G504" s="552"/>
      <c r="H504" s="552"/>
      <c r="I504" s="552"/>
      <c r="J504" s="552"/>
      <c r="K504" s="552"/>
      <c r="L504" s="552"/>
      <c r="M504" s="552"/>
      <c r="N504" s="551"/>
      <c r="O504" s="551"/>
      <c r="P504" s="551"/>
      <c r="Q504" s="551"/>
      <c r="R504" s="551"/>
      <c r="S504" s="551"/>
      <c r="T504" s="551"/>
      <c r="U504" s="551"/>
      <c r="V504" s="551"/>
      <c r="W504" s="551"/>
      <c r="X504" s="551"/>
      <c r="Y504" s="551"/>
      <c r="Z504" s="551"/>
      <c r="AA504" s="551"/>
      <c r="AB504" s="551"/>
      <c r="AC504" s="551"/>
      <c r="AD504" s="551"/>
      <c r="AE504" s="551"/>
      <c r="AF504" s="551"/>
    </row>
    <row r="505">
      <c r="A505" s="552"/>
      <c r="B505" s="552"/>
      <c r="C505" s="552"/>
      <c r="D505" s="552"/>
      <c r="E505" s="552"/>
      <c r="F505" s="552"/>
      <c r="G505" s="552"/>
      <c r="H505" s="552"/>
      <c r="I505" s="552"/>
      <c r="J505" s="552"/>
      <c r="K505" s="552"/>
      <c r="L505" s="552"/>
      <c r="M505" s="552"/>
      <c r="N505" s="551"/>
      <c r="O505" s="551"/>
      <c r="P505" s="551"/>
      <c r="Q505" s="551"/>
      <c r="R505" s="551"/>
      <c r="S505" s="551"/>
      <c r="T505" s="551"/>
      <c r="U505" s="551"/>
      <c r="V505" s="551"/>
      <c r="W505" s="551"/>
      <c r="X505" s="551"/>
      <c r="Y505" s="551"/>
      <c r="Z505" s="551"/>
      <c r="AA505" s="551"/>
      <c r="AB505" s="551"/>
      <c r="AC505" s="551"/>
      <c r="AD505" s="551"/>
      <c r="AE505" s="551"/>
      <c r="AF505" s="551"/>
    </row>
    <row r="506">
      <c r="A506" s="552"/>
      <c r="B506" s="552"/>
      <c r="C506" s="552"/>
      <c r="D506" s="552"/>
      <c r="E506" s="552"/>
      <c r="F506" s="552"/>
      <c r="G506" s="552"/>
      <c r="H506" s="552"/>
      <c r="I506" s="552"/>
      <c r="J506" s="552"/>
      <c r="K506" s="552"/>
      <c r="L506" s="552"/>
      <c r="M506" s="552"/>
      <c r="N506" s="551"/>
      <c r="O506" s="551"/>
      <c r="P506" s="551"/>
      <c r="Q506" s="551"/>
      <c r="R506" s="551"/>
      <c r="S506" s="551"/>
      <c r="T506" s="551"/>
      <c r="U506" s="551"/>
      <c r="V506" s="551"/>
      <c r="W506" s="551"/>
      <c r="X506" s="551"/>
      <c r="Y506" s="551"/>
      <c r="Z506" s="551"/>
      <c r="AA506" s="551"/>
      <c r="AB506" s="551"/>
      <c r="AC506" s="551"/>
      <c r="AD506" s="551"/>
      <c r="AE506" s="551"/>
      <c r="AF506" s="551"/>
    </row>
    <row r="507">
      <c r="A507" s="552"/>
      <c r="B507" s="552"/>
      <c r="C507" s="552"/>
      <c r="D507" s="552"/>
      <c r="E507" s="552"/>
      <c r="F507" s="552"/>
      <c r="G507" s="552"/>
      <c r="H507" s="552"/>
      <c r="I507" s="552"/>
      <c r="J507" s="552"/>
      <c r="K507" s="552"/>
      <c r="L507" s="552"/>
      <c r="M507" s="552"/>
      <c r="N507" s="551"/>
      <c r="O507" s="551"/>
      <c r="P507" s="551"/>
      <c r="Q507" s="551"/>
      <c r="R507" s="551"/>
      <c r="S507" s="551"/>
      <c r="T507" s="551"/>
      <c r="U507" s="551"/>
      <c r="V507" s="551"/>
      <c r="W507" s="551"/>
      <c r="X507" s="551"/>
      <c r="Y507" s="551"/>
      <c r="Z507" s="551"/>
      <c r="AA507" s="551"/>
      <c r="AB507" s="551"/>
      <c r="AC507" s="551"/>
      <c r="AD507" s="551"/>
      <c r="AE507" s="551"/>
      <c r="AF507" s="551"/>
    </row>
    <row r="508">
      <c r="A508" s="552"/>
      <c r="B508" s="552"/>
      <c r="C508" s="552"/>
      <c r="D508" s="552"/>
      <c r="E508" s="552"/>
      <c r="F508" s="552"/>
      <c r="G508" s="552"/>
      <c r="H508" s="552"/>
      <c r="I508" s="552"/>
      <c r="J508" s="552"/>
      <c r="K508" s="552"/>
      <c r="L508" s="552"/>
      <c r="M508" s="552"/>
      <c r="N508" s="551"/>
      <c r="O508" s="551"/>
      <c r="P508" s="551"/>
      <c r="Q508" s="551"/>
      <c r="R508" s="551"/>
      <c r="S508" s="551"/>
      <c r="T508" s="551"/>
      <c r="U508" s="551"/>
      <c r="V508" s="551"/>
      <c r="W508" s="551"/>
      <c r="X508" s="551"/>
      <c r="Y508" s="551"/>
      <c r="Z508" s="551"/>
      <c r="AA508" s="551"/>
      <c r="AB508" s="551"/>
      <c r="AC508" s="551"/>
      <c r="AD508" s="551"/>
      <c r="AE508" s="551"/>
      <c r="AF508" s="551"/>
    </row>
    <row r="509">
      <c r="A509" s="552"/>
      <c r="B509" s="552"/>
      <c r="C509" s="552"/>
      <c r="D509" s="552"/>
      <c r="E509" s="552"/>
      <c r="F509" s="552"/>
      <c r="G509" s="552"/>
      <c r="H509" s="552"/>
      <c r="I509" s="552"/>
      <c r="J509" s="552"/>
      <c r="K509" s="552"/>
      <c r="L509" s="552"/>
      <c r="M509" s="552"/>
      <c r="N509" s="551"/>
      <c r="O509" s="551"/>
      <c r="P509" s="551"/>
      <c r="Q509" s="551"/>
      <c r="R509" s="551"/>
      <c r="S509" s="551"/>
      <c r="T509" s="551"/>
      <c r="U509" s="551"/>
      <c r="V509" s="551"/>
      <c r="W509" s="551"/>
      <c r="X509" s="551"/>
      <c r="Y509" s="551"/>
      <c r="Z509" s="551"/>
      <c r="AA509" s="551"/>
      <c r="AB509" s="551"/>
      <c r="AC509" s="551"/>
      <c r="AD509" s="551"/>
      <c r="AE509" s="551"/>
      <c r="AF509" s="551"/>
    </row>
    <row r="510">
      <c r="A510" s="552"/>
      <c r="B510" s="552"/>
      <c r="C510" s="552"/>
      <c r="D510" s="552"/>
      <c r="E510" s="552"/>
      <c r="F510" s="552"/>
      <c r="G510" s="552"/>
      <c r="H510" s="552"/>
      <c r="I510" s="552"/>
      <c r="J510" s="552"/>
      <c r="K510" s="552"/>
      <c r="L510" s="552"/>
      <c r="M510" s="552"/>
      <c r="N510" s="551"/>
      <c r="O510" s="551"/>
      <c r="P510" s="551"/>
      <c r="Q510" s="551"/>
      <c r="R510" s="551"/>
      <c r="S510" s="551"/>
      <c r="T510" s="551"/>
      <c r="U510" s="551"/>
      <c r="V510" s="551"/>
      <c r="W510" s="551"/>
      <c r="X510" s="551"/>
      <c r="Y510" s="551"/>
      <c r="Z510" s="551"/>
      <c r="AA510" s="551"/>
      <c r="AB510" s="551"/>
      <c r="AC510" s="551"/>
      <c r="AD510" s="551"/>
      <c r="AE510" s="551"/>
      <c r="AF510" s="551"/>
    </row>
    <row r="511">
      <c r="A511" s="552"/>
      <c r="B511" s="552"/>
      <c r="C511" s="552"/>
      <c r="D511" s="552"/>
      <c r="E511" s="552"/>
      <c r="F511" s="552"/>
      <c r="G511" s="552"/>
      <c r="H511" s="552"/>
      <c r="I511" s="552"/>
      <c r="J511" s="552"/>
      <c r="K511" s="552"/>
      <c r="L511" s="552"/>
      <c r="M511" s="552"/>
      <c r="N511" s="551"/>
      <c r="O511" s="551"/>
      <c r="P511" s="551"/>
      <c r="Q511" s="551"/>
      <c r="R511" s="551"/>
      <c r="S511" s="551"/>
      <c r="T511" s="551"/>
      <c r="U511" s="551"/>
      <c r="V511" s="551"/>
      <c r="W511" s="551"/>
      <c r="X511" s="551"/>
      <c r="Y511" s="551"/>
      <c r="Z511" s="551"/>
      <c r="AA511" s="551"/>
      <c r="AB511" s="551"/>
      <c r="AC511" s="551"/>
      <c r="AD511" s="551"/>
      <c r="AE511" s="551"/>
      <c r="AF511" s="551"/>
    </row>
    <row r="512">
      <c r="A512" s="552"/>
      <c r="B512" s="552"/>
      <c r="C512" s="552"/>
      <c r="D512" s="552"/>
      <c r="E512" s="552"/>
      <c r="F512" s="552"/>
      <c r="G512" s="552"/>
      <c r="H512" s="552"/>
      <c r="I512" s="552"/>
      <c r="J512" s="552"/>
      <c r="K512" s="552"/>
      <c r="L512" s="552"/>
      <c r="M512" s="552"/>
      <c r="N512" s="551"/>
      <c r="O512" s="551"/>
      <c r="P512" s="551"/>
      <c r="Q512" s="551"/>
      <c r="R512" s="551"/>
      <c r="S512" s="551"/>
      <c r="T512" s="551"/>
      <c r="U512" s="551"/>
      <c r="V512" s="551"/>
      <c r="W512" s="551"/>
      <c r="X512" s="551"/>
      <c r="Y512" s="551"/>
      <c r="Z512" s="551"/>
      <c r="AA512" s="551"/>
      <c r="AB512" s="551"/>
      <c r="AC512" s="551"/>
      <c r="AD512" s="551"/>
      <c r="AE512" s="551"/>
      <c r="AF512" s="551"/>
    </row>
    <row r="513">
      <c r="A513" s="552"/>
      <c r="B513" s="552"/>
      <c r="C513" s="552"/>
      <c r="D513" s="552"/>
      <c r="E513" s="552"/>
      <c r="F513" s="552"/>
      <c r="G513" s="552"/>
      <c r="H513" s="552"/>
      <c r="I513" s="552"/>
      <c r="J513" s="552"/>
      <c r="K513" s="552"/>
      <c r="L513" s="552"/>
      <c r="M513" s="552"/>
      <c r="N513" s="551"/>
      <c r="O513" s="551"/>
      <c r="P513" s="551"/>
      <c r="Q513" s="551"/>
      <c r="R513" s="551"/>
      <c r="S513" s="551"/>
      <c r="T513" s="551"/>
      <c r="U513" s="551"/>
      <c r="V513" s="551"/>
      <c r="W513" s="551"/>
      <c r="X513" s="551"/>
      <c r="Y513" s="551"/>
      <c r="Z513" s="551"/>
      <c r="AA513" s="551"/>
      <c r="AB513" s="551"/>
      <c r="AC513" s="551"/>
      <c r="AD513" s="551"/>
      <c r="AE513" s="551"/>
      <c r="AF513" s="551"/>
    </row>
    <row r="514">
      <c r="A514" s="552"/>
      <c r="B514" s="552"/>
      <c r="C514" s="552"/>
      <c r="D514" s="552"/>
      <c r="E514" s="552"/>
      <c r="F514" s="552"/>
      <c r="G514" s="552"/>
      <c r="H514" s="552"/>
      <c r="I514" s="552"/>
      <c r="J514" s="552"/>
      <c r="K514" s="552"/>
      <c r="L514" s="552"/>
      <c r="M514" s="552"/>
      <c r="N514" s="551"/>
      <c r="O514" s="551"/>
      <c r="P514" s="551"/>
      <c r="Q514" s="551"/>
      <c r="R514" s="551"/>
      <c r="S514" s="551"/>
      <c r="T514" s="551"/>
      <c r="U514" s="551"/>
      <c r="V514" s="551"/>
      <c r="W514" s="551"/>
      <c r="X514" s="551"/>
      <c r="Y514" s="551"/>
      <c r="Z514" s="551"/>
      <c r="AA514" s="551"/>
      <c r="AB514" s="551"/>
      <c r="AC514" s="551"/>
      <c r="AD514" s="551"/>
      <c r="AE514" s="551"/>
      <c r="AF514" s="551"/>
    </row>
    <row r="515">
      <c r="A515" s="552"/>
      <c r="B515" s="552"/>
      <c r="C515" s="552"/>
      <c r="D515" s="552"/>
      <c r="E515" s="552"/>
      <c r="F515" s="552"/>
      <c r="G515" s="552"/>
      <c r="H515" s="552"/>
      <c r="I515" s="552"/>
      <c r="J515" s="552"/>
      <c r="K515" s="552"/>
      <c r="L515" s="552"/>
      <c r="M515" s="552"/>
      <c r="N515" s="551"/>
      <c r="O515" s="551"/>
      <c r="P515" s="551"/>
      <c r="Q515" s="551"/>
      <c r="R515" s="551"/>
      <c r="S515" s="551"/>
      <c r="T515" s="551"/>
      <c r="U515" s="551"/>
      <c r="V515" s="551"/>
      <c r="W515" s="551"/>
      <c r="X515" s="551"/>
      <c r="Y515" s="551"/>
      <c r="Z515" s="551"/>
      <c r="AA515" s="551"/>
      <c r="AB515" s="551"/>
      <c r="AC515" s="551"/>
      <c r="AD515" s="551"/>
      <c r="AE515" s="551"/>
      <c r="AF515" s="551"/>
    </row>
    <row r="516">
      <c r="A516" s="552"/>
      <c r="B516" s="552"/>
      <c r="C516" s="552"/>
      <c r="D516" s="552"/>
      <c r="E516" s="552"/>
      <c r="F516" s="552"/>
      <c r="G516" s="552"/>
      <c r="H516" s="552"/>
      <c r="I516" s="552"/>
      <c r="J516" s="552"/>
      <c r="K516" s="552"/>
      <c r="L516" s="552"/>
      <c r="M516" s="552"/>
      <c r="N516" s="551"/>
      <c r="O516" s="551"/>
      <c r="P516" s="551"/>
      <c r="Q516" s="551"/>
      <c r="R516" s="551"/>
      <c r="S516" s="551"/>
      <c r="T516" s="551"/>
      <c r="U516" s="551"/>
      <c r="V516" s="551"/>
      <c r="W516" s="551"/>
      <c r="X516" s="551"/>
      <c r="Y516" s="551"/>
      <c r="Z516" s="551"/>
      <c r="AA516" s="551"/>
      <c r="AB516" s="551"/>
      <c r="AC516" s="551"/>
      <c r="AD516" s="551"/>
      <c r="AE516" s="551"/>
      <c r="AF516" s="551"/>
    </row>
    <row r="517">
      <c r="A517" s="552"/>
      <c r="B517" s="552"/>
      <c r="C517" s="552"/>
      <c r="D517" s="552"/>
      <c r="E517" s="552"/>
      <c r="F517" s="552"/>
      <c r="G517" s="552"/>
      <c r="H517" s="552"/>
      <c r="I517" s="552"/>
      <c r="J517" s="552"/>
      <c r="K517" s="552"/>
      <c r="L517" s="552"/>
      <c r="M517" s="552"/>
      <c r="N517" s="551"/>
      <c r="O517" s="551"/>
      <c r="P517" s="551"/>
      <c r="Q517" s="551"/>
      <c r="R517" s="551"/>
      <c r="S517" s="551"/>
      <c r="T517" s="551"/>
      <c r="U517" s="551"/>
      <c r="V517" s="551"/>
      <c r="W517" s="551"/>
      <c r="X517" s="551"/>
      <c r="Y517" s="551"/>
      <c r="Z517" s="551"/>
      <c r="AA517" s="551"/>
      <c r="AB517" s="551"/>
      <c r="AC517" s="551"/>
      <c r="AD517" s="551"/>
      <c r="AE517" s="551"/>
      <c r="AF517" s="551"/>
    </row>
    <row r="518">
      <c r="A518" s="552"/>
      <c r="B518" s="552"/>
      <c r="C518" s="552"/>
      <c r="D518" s="552"/>
      <c r="E518" s="552"/>
      <c r="F518" s="552"/>
      <c r="G518" s="552"/>
      <c r="H518" s="552"/>
      <c r="I518" s="552"/>
      <c r="J518" s="552"/>
      <c r="K518" s="552"/>
      <c r="L518" s="552"/>
      <c r="M518" s="552"/>
      <c r="N518" s="551"/>
      <c r="O518" s="551"/>
      <c r="P518" s="551"/>
      <c r="Q518" s="551"/>
      <c r="R518" s="551"/>
      <c r="S518" s="551"/>
      <c r="T518" s="551"/>
      <c r="U518" s="551"/>
      <c r="V518" s="551"/>
      <c r="W518" s="551"/>
      <c r="X518" s="551"/>
      <c r="Y518" s="551"/>
      <c r="Z518" s="551"/>
      <c r="AA518" s="551"/>
      <c r="AB518" s="551"/>
      <c r="AC518" s="551"/>
      <c r="AD518" s="551"/>
      <c r="AE518" s="551"/>
      <c r="AF518" s="551"/>
    </row>
    <row r="519">
      <c r="A519" s="552"/>
      <c r="B519" s="552"/>
      <c r="C519" s="552"/>
      <c r="D519" s="552"/>
      <c r="E519" s="552"/>
      <c r="F519" s="552"/>
      <c r="G519" s="552"/>
      <c r="H519" s="552"/>
      <c r="I519" s="552"/>
      <c r="J519" s="552"/>
      <c r="K519" s="552"/>
      <c r="L519" s="552"/>
      <c r="M519" s="552"/>
      <c r="N519" s="551"/>
      <c r="O519" s="551"/>
      <c r="P519" s="551"/>
      <c r="Q519" s="551"/>
      <c r="R519" s="551"/>
      <c r="S519" s="551"/>
      <c r="T519" s="551"/>
      <c r="U519" s="551"/>
      <c r="V519" s="551"/>
      <c r="W519" s="551"/>
      <c r="X519" s="551"/>
      <c r="Y519" s="551"/>
      <c r="Z519" s="551"/>
      <c r="AA519" s="551"/>
      <c r="AB519" s="551"/>
      <c r="AC519" s="551"/>
      <c r="AD519" s="551"/>
      <c r="AE519" s="551"/>
      <c r="AF519" s="551"/>
    </row>
    <row r="520">
      <c r="A520" s="552"/>
      <c r="B520" s="552"/>
      <c r="C520" s="552"/>
      <c r="D520" s="552"/>
      <c r="E520" s="552"/>
      <c r="F520" s="552"/>
      <c r="G520" s="552"/>
      <c r="H520" s="552"/>
      <c r="I520" s="552"/>
      <c r="J520" s="552"/>
      <c r="K520" s="552"/>
      <c r="L520" s="552"/>
      <c r="M520" s="552"/>
      <c r="N520" s="551"/>
      <c r="O520" s="551"/>
      <c r="P520" s="551"/>
      <c r="Q520" s="551"/>
      <c r="R520" s="551"/>
      <c r="S520" s="551"/>
      <c r="T520" s="551"/>
      <c r="U520" s="551"/>
      <c r="V520" s="551"/>
      <c r="W520" s="551"/>
      <c r="X520" s="551"/>
      <c r="Y520" s="551"/>
      <c r="Z520" s="551"/>
      <c r="AA520" s="551"/>
      <c r="AB520" s="551"/>
      <c r="AC520" s="551"/>
      <c r="AD520" s="551"/>
      <c r="AE520" s="551"/>
      <c r="AF520" s="551"/>
    </row>
    <row r="521">
      <c r="A521" s="552"/>
      <c r="B521" s="552"/>
      <c r="C521" s="552"/>
      <c r="D521" s="552"/>
      <c r="E521" s="552"/>
      <c r="F521" s="552"/>
      <c r="G521" s="552"/>
      <c r="H521" s="552"/>
      <c r="I521" s="552"/>
      <c r="J521" s="552"/>
      <c r="K521" s="552"/>
      <c r="L521" s="552"/>
      <c r="M521" s="552"/>
      <c r="N521" s="551"/>
      <c r="O521" s="551"/>
      <c r="P521" s="551"/>
      <c r="Q521" s="551"/>
      <c r="R521" s="551"/>
      <c r="S521" s="551"/>
      <c r="T521" s="551"/>
      <c r="U521" s="551"/>
      <c r="V521" s="551"/>
      <c r="W521" s="551"/>
      <c r="X521" s="551"/>
      <c r="Y521" s="551"/>
      <c r="Z521" s="551"/>
      <c r="AA521" s="551"/>
      <c r="AB521" s="551"/>
      <c r="AC521" s="551"/>
      <c r="AD521" s="551"/>
      <c r="AE521" s="551"/>
      <c r="AF521" s="551"/>
    </row>
    <row r="522">
      <c r="A522" s="552"/>
      <c r="B522" s="552"/>
      <c r="C522" s="552"/>
      <c r="D522" s="552"/>
      <c r="E522" s="552"/>
      <c r="F522" s="552"/>
      <c r="G522" s="552"/>
      <c r="H522" s="552"/>
      <c r="I522" s="552"/>
      <c r="J522" s="552"/>
      <c r="K522" s="552"/>
      <c r="L522" s="552"/>
      <c r="M522" s="552"/>
      <c r="N522" s="551"/>
      <c r="O522" s="551"/>
      <c r="P522" s="551"/>
      <c r="Q522" s="551"/>
      <c r="R522" s="551"/>
      <c r="S522" s="551"/>
      <c r="T522" s="551"/>
      <c r="U522" s="551"/>
      <c r="V522" s="551"/>
      <c r="W522" s="551"/>
      <c r="X522" s="551"/>
      <c r="Y522" s="551"/>
      <c r="Z522" s="551"/>
      <c r="AA522" s="551"/>
      <c r="AB522" s="551"/>
      <c r="AC522" s="551"/>
      <c r="AD522" s="551"/>
      <c r="AE522" s="551"/>
      <c r="AF522" s="551"/>
    </row>
    <row r="523">
      <c r="A523" s="552"/>
      <c r="B523" s="552"/>
      <c r="C523" s="552"/>
      <c r="D523" s="552"/>
      <c r="E523" s="552"/>
      <c r="F523" s="552"/>
      <c r="G523" s="552"/>
      <c r="H523" s="552"/>
      <c r="I523" s="552"/>
      <c r="J523" s="552"/>
      <c r="K523" s="552"/>
      <c r="L523" s="552"/>
      <c r="M523" s="552"/>
      <c r="N523" s="551"/>
      <c r="O523" s="551"/>
      <c r="P523" s="551"/>
      <c r="Q523" s="551"/>
      <c r="R523" s="551"/>
      <c r="S523" s="551"/>
      <c r="T523" s="551"/>
      <c r="U523" s="551"/>
      <c r="V523" s="551"/>
      <c r="W523" s="551"/>
      <c r="X523" s="551"/>
      <c r="Y523" s="551"/>
      <c r="Z523" s="551"/>
      <c r="AA523" s="551"/>
      <c r="AB523" s="551"/>
      <c r="AC523" s="551"/>
      <c r="AD523" s="551"/>
      <c r="AE523" s="551"/>
      <c r="AF523" s="551"/>
    </row>
    <row r="524">
      <c r="A524" s="552"/>
      <c r="B524" s="552"/>
      <c r="C524" s="552"/>
      <c r="D524" s="552"/>
      <c r="E524" s="552"/>
      <c r="F524" s="552"/>
      <c r="G524" s="552"/>
      <c r="H524" s="552"/>
      <c r="I524" s="552"/>
      <c r="J524" s="552"/>
      <c r="K524" s="552"/>
      <c r="L524" s="552"/>
      <c r="M524" s="552"/>
      <c r="N524" s="551"/>
      <c r="O524" s="551"/>
      <c r="P524" s="551"/>
      <c r="Q524" s="551"/>
      <c r="R524" s="551"/>
      <c r="S524" s="551"/>
      <c r="T524" s="551"/>
      <c r="U524" s="551"/>
      <c r="V524" s="551"/>
      <c r="W524" s="551"/>
      <c r="X524" s="551"/>
      <c r="Y524" s="551"/>
      <c r="Z524" s="551"/>
      <c r="AA524" s="551"/>
      <c r="AB524" s="551"/>
      <c r="AC524" s="551"/>
      <c r="AD524" s="551"/>
      <c r="AE524" s="551"/>
      <c r="AF524" s="551"/>
    </row>
    <row r="525">
      <c r="A525" s="552"/>
      <c r="B525" s="552"/>
      <c r="C525" s="552"/>
      <c r="D525" s="552"/>
      <c r="E525" s="552"/>
      <c r="F525" s="552"/>
      <c r="G525" s="552"/>
      <c r="H525" s="552"/>
      <c r="I525" s="552"/>
      <c r="J525" s="552"/>
      <c r="K525" s="552"/>
      <c r="L525" s="552"/>
      <c r="M525" s="552"/>
      <c r="N525" s="551"/>
      <c r="O525" s="551"/>
      <c r="P525" s="551"/>
      <c r="Q525" s="551"/>
      <c r="R525" s="551"/>
      <c r="S525" s="551"/>
      <c r="T525" s="551"/>
      <c r="U525" s="551"/>
      <c r="V525" s="551"/>
      <c r="W525" s="551"/>
      <c r="X525" s="551"/>
      <c r="Y525" s="551"/>
      <c r="Z525" s="551"/>
      <c r="AA525" s="551"/>
      <c r="AB525" s="551"/>
      <c r="AC525" s="551"/>
      <c r="AD525" s="551"/>
      <c r="AE525" s="551"/>
      <c r="AF525" s="551"/>
    </row>
    <row r="526">
      <c r="A526" s="552"/>
      <c r="B526" s="552"/>
      <c r="C526" s="552"/>
      <c r="D526" s="552"/>
      <c r="E526" s="552"/>
      <c r="F526" s="552"/>
      <c r="G526" s="552"/>
      <c r="H526" s="552"/>
      <c r="I526" s="552"/>
      <c r="J526" s="552"/>
      <c r="K526" s="552"/>
      <c r="L526" s="552"/>
      <c r="M526" s="552"/>
      <c r="N526" s="551"/>
      <c r="O526" s="551"/>
      <c r="P526" s="551"/>
      <c r="Q526" s="551"/>
      <c r="R526" s="551"/>
      <c r="S526" s="551"/>
      <c r="T526" s="551"/>
      <c r="U526" s="551"/>
      <c r="V526" s="551"/>
      <c r="W526" s="551"/>
      <c r="X526" s="551"/>
      <c r="Y526" s="551"/>
      <c r="Z526" s="551"/>
      <c r="AA526" s="551"/>
      <c r="AB526" s="551"/>
      <c r="AC526" s="551"/>
      <c r="AD526" s="551"/>
      <c r="AE526" s="551"/>
      <c r="AF526" s="551"/>
    </row>
    <row r="527">
      <c r="A527" s="552"/>
      <c r="B527" s="552"/>
      <c r="C527" s="552"/>
      <c r="D527" s="552"/>
      <c r="E527" s="552"/>
      <c r="F527" s="552"/>
      <c r="G527" s="552"/>
      <c r="H527" s="552"/>
      <c r="I527" s="552"/>
      <c r="J527" s="552"/>
      <c r="K527" s="552"/>
      <c r="L527" s="552"/>
      <c r="M527" s="552"/>
      <c r="N527" s="551"/>
      <c r="O527" s="551"/>
      <c r="P527" s="551"/>
      <c r="Q527" s="551"/>
      <c r="R527" s="551"/>
      <c r="S527" s="551"/>
      <c r="T527" s="551"/>
      <c r="U527" s="551"/>
      <c r="V527" s="551"/>
      <c r="W527" s="551"/>
      <c r="X527" s="551"/>
      <c r="Y527" s="551"/>
      <c r="Z527" s="551"/>
      <c r="AA527" s="551"/>
      <c r="AB527" s="551"/>
      <c r="AC527" s="551"/>
      <c r="AD527" s="551"/>
      <c r="AE527" s="551"/>
      <c r="AF527" s="551"/>
    </row>
    <row r="528">
      <c r="A528" s="552"/>
      <c r="B528" s="552"/>
      <c r="C528" s="552"/>
      <c r="D528" s="552"/>
      <c r="E528" s="552"/>
      <c r="F528" s="552"/>
      <c r="G528" s="552"/>
      <c r="H528" s="552"/>
      <c r="I528" s="552"/>
      <c r="J528" s="552"/>
      <c r="K528" s="552"/>
      <c r="L528" s="552"/>
      <c r="M528" s="552"/>
      <c r="N528" s="551"/>
      <c r="O528" s="551"/>
      <c r="P528" s="551"/>
      <c r="Q528" s="551"/>
      <c r="R528" s="551"/>
      <c r="S528" s="551"/>
      <c r="T528" s="551"/>
      <c r="U528" s="551"/>
      <c r="V528" s="551"/>
      <c r="W528" s="551"/>
      <c r="X528" s="551"/>
      <c r="Y528" s="551"/>
      <c r="Z528" s="551"/>
      <c r="AA528" s="551"/>
      <c r="AB528" s="551"/>
      <c r="AC528" s="551"/>
      <c r="AD528" s="551"/>
      <c r="AE528" s="551"/>
      <c r="AF528" s="551"/>
    </row>
    <row r="529">
      <c r="A529" s="552"/>
      <c r="B529" s="552"/>
      <c r="C529" s="552"/>
      <c r="D529" s="552"/>
      <c r="E529" s="552"/>
      <c r="F529" s="552"/>
      <c r="G529" s="552"/>
      <c r="H529" s="552"/>
      <c r="I529" s="552"/>
      <c r="J529" s="552"/>
      <c r="K529" s="552"/>
      <c r="L529" s="552"/>
      <c r="M529" s="552"/>
      <c r="N529" s="551"/>
      <c r="O529" s="551"/>
      <c r="P529" s="551"/>
      <c r="Q529" s="551"/>
      <c r="R529" s="551"/>
      <c r="S529" s="551"/>
      <c r="T529" s="551"/>
      <c r="U529" s="551"/>
      <c r="V529" s="551"/>
      <c r="W529" s="551"/>
      <c r="X529" s="551"/>
      <c r="Y529" s="551"/>
      <c r="Z529" s="551"/>
      <c r="AA529" s="551"/>
      <c r="AB529" s="551"/>
      <c r="AC529" s="551"/>
      <c r="AD529" s="551"/>
      <c r="AE529" s="551"/>
      <c r="AF529" s="551"/>
    </row>
    <row r="530">
      <c r="A530" s="552"/>
      <c r="B530" s="552"/>
      <c r="C530" s="552"/>
      <c r="D530" s="552"/>
      <c r="E530" s="552"/>
      <c r="F530" s="552"/>
      <c r="G530" s="552"/>
      <c r="H530" s="552"/>
      <c r="I530" s="552"/>
      <c r="J530" s="552"/>
      <c r="K530" s="552"/>
      <c r="L530" s="552"/>
      <c r="M530" s="552"/>
      <c r="N530" s="551"/>
      <c r="O530" s="551"/>
      <c r="P530" s="551"/>
      <c r="Q530" s="551"/>
      <c r="R530" s="551"/>
      <c r="S530" s="551"/>
      <c r="T530" s="551"/>
      <c r="U530" s="551"/>
      <c r="V530" s="551"/>
      <c r="W530" s="551"/>
      <c r="X530" s="551"/>
      <c r="Y530" s="551"/>
      <c r="Z530" s="551"/>
      <c r="AA530" s="551"/>
      <c r="AB530" s="551"/>
      <c r="AC530" s="551"/>
      <c r="AD530" s="551"/>
      <c r="AE530" s="551"/>
      <c r="AF530" s="551"/>
    </row>
    <row r="531">
      <c r="A531" s="552"/>
      <c r="B531" s="552"/>
      <c r="C531" s="552"/>
      <c r="D531" s="552"/>
      <c r="E531" s="552"/>
      <c r="F531" s="552"/>
      <c r="G531" s="552"/>
      <c r="H531" s="552"/>
      <c r="I531" s="552"/>
      <c r="J531" s="552"/>
      <c r="K531" s="552"/>
      <c r="L531" s="552"/>
      <c r="M531" s="552"/>
      <c r="N531" s="551"/>
      <c r="O531" s="551"/>
      <c r="P531" s="551"/>
      <c r="Q531" s="551"/>
      <c r="R531" s="551"/>
      <c r="S531" s="551"/>
      <c r="T531" s="551"/>
      <c r="U531" s="551"/>
      <c r="V531" s="551"/>
      <c r="W531" s="551"/>
      <c r="X531" s="551"/>
      <c r="Y531" s="551"/>
      <c r="Z531" s="551"/>
      <c r="AA531" s="551"/>
      <c r="AB531" s="551"/>
      <c r="AC531" s="551"/>
      <c r="AD531" s="551"/>
      <c r="AE531" s="551"/>
      <c r="AF531" s="551"/>
    </row>
    <row r="532">
      <c r="A532" s="552"/>
      <c r="B532" s="552"/>
      <c r="C532" s="552"/>
      <c r="D532" s="552"/>
      <c r="E532" s="552"/>
      <c r="F532" s="552"/>
      <c r="G532" s="552"/>
      <c r="H532" s="552"/>
      <c r="I532" s="552"/>
      <c r="J532" s="552"/>
      <c r="K532" s="552"/>
      <c r="L532" s="552"/>
      <c r="M532" s="552"/>
      <c r="N532" s="551"/>
      <c r="O532" s="551"/>
      <c r="P532" s="551"/>
      <c r="Q532" s="551"/>
      <c r="R532" s="551"/>
      <c r="S532" s="551"/>
      <c r="T532" s="551"/>
      <c r="U532" s="551"/>
      <c r="V532" s="551"/>
      <c r="W532" s="551"/>
      <c r="X532" s="551"/>
      <c r="Y532" s="551"/>
      <c r="Z532" s="551"/>
      <c r="AA532" s="551"/>
      <c r="AB532" s="551"/>
      <c r="AC532" s="551"/>
      <c r="AD532" s="551"/>
      <c r="AE532" s="551"/>
      <c r="AF532" s="551"/>
    </row>
    <row r="533">
      <c r="A533" s="552"/>
      <c r="B533" s="552"/>
      <c r="C533" s="552"/>
      <c r="D533" s="552"/>
      <c r="E533" s="552"/>
      <c r="F533" s="552"/>
      <c r="G533" s="552"/>
      <c r="H533" s="552"/>
      <c r="I533" s="552"/>
      <c r="J533" s="552"/>
      <c r="K533" s="552"/>
      <c r="L533" s="552"/>
      <c r="M533" s="552"/>
      <c r="N533" s="551"/>
      <c r="O533" s="551"/>
      <c r="P533" s="551"/>
      <c r="Q533" s="551"/>
      <c r="R533" s="551"/>
      <c r="S533" s="551"/>
      <c r="T533" s="551"/>
      <c r="U533" s="551"/>
      <c r="V533" s="551"/>
      <c r="W533" s="551"/>
      <c r="X533" s="551"/>
      <c r="Y533" s="551"/>
      <c r="Z533" s="551"/>
      <c r="AA533" s="551"/>
      <c r="AB533" s="551"/>
      <c r="AC533" s="551"/>
      <c r="AD533" s="551"/>
      <c r="AE533" s="551"/>
      <c r="AF533" s="551"/>
    </row>
    <row r="534">
      <c r="A534" s="552"/>
      <c r="B534" s="552"/>
      <c r="C534" s="552"/>
      <c r="D534" s="552"/>
      <c r="E534" s="552"/>
      <c r="F534" s="552"/>
      <c r="G534" s="552"/>
      <c r="H534" s="552"/>
      <c r="I534" s="552"/>
      <c r="J534" s="552"/>
      <c r="K534" s="552"/>
      <c r="L534" s="552"/>
      <c r="M534" s="552"/>
      <c r="N534" s="551"/>
      <c r="O534" s="551"/>
      <c r="P534" s="551"/>
      <c r="Q534" s="551"/>
      <c r="R534" s="551"/>
      <c r="S534" s="551"/>
      <c r="T534" s="551"/>
      <c r="U534" s="551"/>
      <c r="V534" s="551"/>
      <c r="W534" s="551"/>
      <c r="X534" s="551"/>
      <c r="Y534" s="551"/>
      <c r="Z534" s="551"/>
      <c r="AA534" s="551"/>
      <c r="AB534" s="551"/>
      <c r="AC534" s="551"/>
      <c r="AD534" s="551"/>
      <c r="AE534" s="551"/>
      <c r="AF534" s="551"/>
    </row>
    <row r="535">
      <c r="A535" s="552"/>
      <c r="B535" s="552"/>
      <c r="C535" s="552"/>
      <c r="D535" s="552"/>
      <c r="E535" s="552"/>
      <c r="F535" s="552"/>
      <c r="G535" s="552"/>
      <c r="H535" s="552"/>
      <c r="I535" s="552"/>
      <c r="J535" s="552"/>
      <c r="K535" s="552"/>
      <c r="L535" s="552"/>
      <c r="M535" s="552"/>
      <c r="N535" s="551"/>
      <c r="O535" s="551"/>
      <c r="P535" s="551"/>
      <c r="Q535" s="551"/>
      <c r="R535" s="551"/>
      <c r="S535" s="551"/>
      <c r="T535" s="551"/>
      <c r="U535" s="551"/>
      <c r="V535" s="551"/>
      <c r="W535" s="551"/>
      <c r="X535" s="551"/>
      <c r="Y535" s="551"/>
      <c r="Z535" s="551"/>
      <c r="AA535" s="551"/>
      <c r="AB535" s="551"/>
      <c r="AC535" s="551"/>
      <c r="AD535" s="551"/>
      <c r="AE535" s="551"/>
      <c r="AF535" s="551"/>
    </row>
    <row r="536">
      <c r="A536" s="552"/>
      <c r="B536" s="552"/>
      <c r="C536" s="552"/>
      <c r="D536" s="552"/>
      <c r="E536" s="552"/>
      <c r="F536" s="552"/>
      <c r="G536" s="552"/>
      <c r="H536" s="552"/>
      <c r="I536" s="552"/>
      <c r="J536" s="552"/>
      <c r="K536" s="552"/>
      <c r="L536" s="552"/>
      <c r="M536" s="552"/>
      <c r="N536" s="551"/>
      <c r="O536" s="551"/>
      <c r="P536" s="551"/>
      <c r="Q536" s="551"/>
      <c r="R536" s="551"/>
      <c r="S536" s="551"/>
      <c r="T536" s="551"/>
      <c r="U536" s="551"/>
      <c r="V536" s="551"/>
      <c r="W536" s="551"/>
      <c r="X536" s="551"/>
      <c r="Y536" s="551"/>
      <c r="Z536" s="551"/>
      <c r="AA536" s="551"/>
      <c r="AB536" s="551"/>
      <c r="AC536" s="551"/>
      <c r="AD536" s="551"/>
      <c r="AE536" s="551"/>
      <c r="AF536" s="551"/>
    </row>
    <row r="537">
      <c r="A537" s="552"/>
      <c r="B537" s="552"/>
      <c r="C537" s="552"/>
      <c r="D537" s="552"/>
      <c r="E537" s="552"/>
      <c r="F537" s="552"/>
      <c r="G537" s="552"/>
      <c r="H537" s="552"/>
      <c r="I537" s="552"/>
      <c r="J537" s="552"/>
      <c r="K537" s="552"/>
      <c r="L537" s="552"/>
      <c r="M537" s="552"/>
      <c r="N537" s="551"/>
      <c r="O537" s="551"/>
      <c r="P537" s="551"/>
      <c r="Q537" s="551"/>
      <c r="R537" s="551"/>
      <c r="S537" s="551"/>
      <c r="T537" s="551"/>
      <c r="U537" s="551"/>
      <c r="V537" s="551"/>
      <c r="W537" s="551"/>
      <c r="X537" s="551"/>
      <c r="Y537" s="551"/>
      <c r="Z537" s="551"/>
      <c r="AA537" s="551"/>
      <c r="AB537" s="551"/>
      <c r="AC537" s="551"/>
      <c r="AD537" s="551"/>
      <c r="AE537" s="551"/>
      <c r="AF537" s="551"/>
    </row>
    <row r="538">
      <c r="A538" s="552"/>
      <c r="B538" s="552"/>
      <c r="C538" s="552"/>
      <c r="D538" s="552"/>
      <c r="E538" s="552"/>
      <c r="F538" s="552"/>
      <c r="G538" s="552"/>
      <c r="H538" s="552"/>
      <c r="I538" s="552"/>
      <c r="J538" s="552"/>
      <c r="K538" s="552"/>
      <c r="L538" s="552"/>
      <c r="M538" s="552"/>
      <c r="N538" s="551"/>
      <c r="O538" s="551"/>
      <c r="P538" s="551"/>
      <c r="Q538" s="551"/>
      <c r="R538" s="551"/>
      <c r="S538" s="551"/>
      <c r="T538" s="551"/>
      <c r="U538" s="551"/>
      <c r="V538" s="551"/>
      <c r="W538" s="551"/>
      <c r="X538" s="551"/>
      <c r="Y538" s="551"/>
      <c r="Z538" s="551"/>
      <c r="AA538" s="551"/>
      <c r="AB538" s="551"/>
      <c r="AC538" s="551"/>
      <c r="AD538" s="551"/>
      <c r="AE538" s="551"/>
      <c r="AF538" s="551"/>
    </row>
    <row r="539">
      <c r="A539" s="552"/>
      <c r="B539" s="552"/>
      <c r="C539" s="552"/>
      <c r="D539" s="552"/>
      <c r="E539" s="552"/>
      <c r="F539" s="552"/>
      <c r="G539" s="552"/>
      <c r="H539" s="552"/>
      <c r="I539" s="552"/>
      <c r="J539" s="552"/>
      <c r="K539" s="552"/>
      <c r="L539" s="552"/>
      <c r="M539" s="552"/>
      <c r="N539" s="551"/>
      <c r="O539" s="551"/>
      <c r="P539" s="551"/>
      <c r="Q539" s="551"/>
      <c r="R539" s="551"/>
      <c r="S539" s="551"/>
      <c r="T539" s="551"/>
      <c r="U539" s="551"/>
      <c r="V539" s="551"/>
      <c r="W539" s="551"/>
      <c r="X539" s="551"/>
      <c r="Y539" s="551"/>
      <c r="Z539" s="551"/>
      <c r="AA539" s="551"/>
      <c r="AB539" s="551"/>
      <c r="AC539" s="551"/>
      <c r="AD539" s="551"/>
      <c r="AE539" s="551"/>
      <c r="AF539" s="551"/>
    </row>
    <row r="540">
      <c r="A540" s="552"/>
      <c r="B540" s="552"/>
      <c r="C540" s="552"/>
      <c r="D540" s="552"/>
      <c r="E540" s="552"/>
      <c r="F540" s="552"/>
      <c r="G540" s="552"/>
      <c r="H540" s="552"/>
      <c r="I540" s="552"/>
      <c r="J540" s="552"/>
      <c r="K540" s="552"/>
      <c r="L540" s="552"/>
      <c r="M540" s="552"/>
      <c r="N540" s="551"/>
      <c r="O540" s="551"/>
      <c r="P540" s="551"/>
      <c r="Q540" s="551"/>
      <c r="R540" s="551"/>
      <c r="S540" s="551"/>
      <c r="T540" s="551"/>
      <c r="U540" s="551"/>
      <c r="V540" s="551"/>
      <c r="W540" s="551"/>
      <c r="X540" s="551"/>
      <c r="Y540" s="551"/>
      <c r="Z540" s="551"/>
      <c r="AA540" s="551"/>
      <c r="AB540" s="551"/>
      <c r="AC540" s="551"/>
      <c r="AD540" s="551"/>
      <c r="AE540" s="551"/>
      <c r="AF540" s="551"/>
    </row>
    <row r="541">
      <c r="A541" s="552"/>
      <c r="B541" s="552"/>
      <c r="C541" s="552"/>
      <c r="D541" s="552"/>
      <c r="E541" s="552"/>
      <c r="F541" s="552"/>
      <c r="G541" s="552"/>
      <c r="H541" s="552"/>
      <c r="I541" s="552"/>
      <c r="J541" s="552"/>
      <c r="K541" s="552"/>
      <c r="L541" s="552"/>
      <c r="M541" s="552"/>
      <c r="N541" s="551"/>
      <c r="O541" s="551"/>
      <c r="P541" s="551"/>
      <c r="Q541" s="551"/>
      <c r="R541" s="551"/>
      <c r="S541" s="551"/>
      <c r="T541" s="551"/>
      <c r="U541" s="551"/>
      <c r="V541" s="551"/>
      <c r="W541" s="551"/>
      <c r="X541" s="551"/>
      <c r="Y541" s="551"/>
      <c r="Z541" s="551"/>
      <c r="AA541" s="551"/>
      <c r="AB541" s="551"/>
      <c r="AC541" s="551"/>
      <c r="AD541" s="551"/>
      <c r="AE541" s="551"/>
      <c r="AF541" s="551"/>
    </row>
    <row r="542">
      <c r="A542" s="552"/>
      <c r="B542" s="552"/>
      <c r="C542" s="552"/>
      <c r="D542" s="552"/>
      <c r="E542" s="552"/>
      <c r="F542" s="552"/>
      <c r="G542" s="552"/>
      <c r="H542" s="552"/>
      <c r="I542" s="552"/>
      <c r="J542" s="552"/>
      <c r="K542" s="552"/>
      <c r="L542" s="552"/>
      <c r="M542" s="552"/>
      <c r="N542" s="551"/>
      <c r="O542" s="551"/>
      <c r="P542" s="551"/>
      <c r="Q542" s="551"/>
      <c r="R542" s="551"/>
      <c r="S542" s="551"/>
      <c r="T542" s="551"/>
      <c r="U542" s="551"/>
      <c r="V542" s="551"/>
      <c r="W542" s="551"/>
      <c r="X542" s="551"/>
      <c r="Y542" s="551"/>
      <c r="Z542" s="551"/>
      <c r="AA542" s="551"/>
      <c r="AB542" s="551"/>
      <c r="AC542" s="551"/>
      <c r="AD542" s="551"/>
      <c r="AE542" s="551"/>
      <c r="AF542" s="551"/>
    </row>
    <row r="543">
      <c r="A543" s="552"/>
      <c r="B543" s="552"/>
      <c r="C543" s="552"/>
      <c r="D543" s="552"/>
      <c r="E543" s="552"/>
      <c r="F543" s="552"/>
      <c r="G543" s="552"/>
      <c r="H543" s="552"/>
      <c r="I543" s="552"/>
      <c r="J543" s="552"/>
      <c r="K543" s="552"/>
      <c r="L543" s="552"/>
      <c r="M543" s="552"/>
      <c r="N543" s="551"/>
      <c r="O543" s="551"/>
      <c r="P543" s="551"/>
      <c r="Q543" s="551"/>
      <c r="R543" s="551"/>
      <c r="S543" s="551"/>
      <c r="T543" s="551"/>
      <c r="U543" s="551"/>
      <c r="V543" s="551"/>
      <c r="W543" s="551"/>
      <c r="X543" s="551"/>
      <c r="Y543" s="551"/>
      <c r="Z543" s="551"/>
      <c r="AA543" s="551"/>
      <c r="AB543" s="551"/>
      <c r="AC543" s="551"/>
      <c r="AD543" s="551"/>
      <c r="AE543" s="551"/>
      <c r="AF543" s="551"/>
    </row>
    <row r="544">
      <c r="A544" s="552"/>
      <c r="B544" s="552"/>
      <c r="C544" s="552"/>
      <c r="D544" s="552"/>
      <c r="E544" s="552"/>
      <c r="F544" s="552"/>
      <c r="G544" s="552"/>
      <c r="H544" s="552"/>
      <c r="I544" s="552"/>
      <c r="J544" s="552"/>
      <c r="K544" s="552"/>
      <c r="L544" s="552"/>
      <c r="M544" s="552"/>
      <c r="N544" s="551"/>
      <c r="O544" s="551"/>
      <c r="P544" s="551"/>
      <c r="Q544" s="551"/>
      <c r="R544" s="551"/>
      <c r="S544" s="551"/>
      <c r="T544" s="551"/>
      <c r="U544" s="551"/>
      <c r="V544" s="551"/>
      <c r="W544" s="551"/>
      <c r="X544" s="551"/>
      <c r="Y544" s="551"/>
      <c r="Z544" s="551"/>
      <c r="AA544" s="551"/>
      <c r="AB544" s="551"/>
      <c r="AC544" s="551"/>
      <c r="AD544" s="551"/>
      <c r="AE544" s="551"/>
      <c r="AF544" s="551"/>
    </row>
    <row r="545">
      <c r="A545" s="552"/>
      <c r="B545" s="552"/>
      <c r="C545" s="552"/>
      <c r="D545" s="552"/>
      <c r="E545" s="552"/>
      <c r="F545" s="552"/>
      <c r="G545" s="552"/>
      <c r="H545" s="552"/>
      <c r="I545" s="552"/>
      <c r="J545" s="552"/>
      <c r="K545" s="552"/>
      <c r="L545" s="552"/>
      <c r="M545" s="552"/>
      <c r="N545" s="551"/>
      <c r="O545" s="551"/>
      <c r="P545" s="551"/>
      <c r="Q545" s="551"/>
      <c r="R545" s="551"/>
      <c r="S545" s="551"/>
      <c r="T545" s="551"/>
      <c r="U545" s="551"/>
      <c r="V545" s="551"/>
      <c r="W545" s="551"/>
      <c r="X545" s="551"/>
      <c r="Y545" s="551"/>
      <c r="Z545" s="551"/>
      <c r="AA545" s="551"/>
      <c r="AB545" s="551"/>
      <c r="AC545" s="551"/>
      <c r="AD545" s="551"/>
      <c r="AE545" s="551"/>
      <c r="AF545" s="551"/>
    </row>
    <row r="546">
      <c r="A546" s="552"/>
      <c r="B546" s="552"/>
      <c r="C546" s="552"/>
      <c r="D546" s="552"/>
      <c r="E546" s="552"/>
      <c r="F546" s="552"/>
      <c r="G546" s="552"/>
      <c r="H546" s="552"/>
      <c r="I546" s="552"/>
      <c r="J546" s="552"/>
      <c r="K546" s="552"/>
      <c r="L546" s="552"/>
      <c r="M546" s="552"/>
      <c r="N546" s="551"/>
      <c r="O546" s="551"/>
      <c r="P546" s="551"/>
      <c r="Q546" s="551"/>
      <c r="R546" s="551"/>
      <c r="S546" s="551"/>
      <c r="T546" s="551"/>
      <c r="U546" s="551"/>
      <c r="V546" s="551"/>
      <c r="W546" s="551"/>
      <c r="X546" s="551"/>
      <c r="Y546" s="551"/>
      <c r="Z546" s="551"/>
      <c r="AA546" s="551"/>
      <c r="AB546" s="551"/>
      <c r="AC546" s="551"/>
      <c r="AD546" s="551"/>
      <c r="AE546" s="551"/>
      <c r="AF546" s="551"/>
    </row>
    <row r="547">
      <c r="A547" s="552"/>
      <c r="B547" s="552"/>
      <c r="C547" s="552"/>
      <c r="D547" s="552"/>
      <c r="E547" s="552"/>
      <c r="F547" s="552"/>
      <c r="G547" s="552"/>
      <c r="H547" s="552"/>
      <c r="I547" s="552"/>
      <c r="J547" s="552"/>
      <c r="K547" s="552"/>
      <c r="L547" s="552"/>
      <c r="M547" s="552"/>
      <c r="N547" s="551"/>
      <c r="O547" s="551"/>
      <c r="P547" s="551"/>
      <c r="Q547" s="551"/>
      <c r="R547" s="551"/>
      <c r="S547" s="551"/>
      <c r="T547" s="551"/>
      <c r="U547" s="551"/>
      <c r="V547" s="551"/>
      <c r="W547" s="551"/>
      <c r="X547" s="551"/>
      <c r="Y547" s="551"/>
      <c r="Z547" s="551"/>
      <c r="AA547" s="551"/>
      <c r="AB547" s="551"/>
      <c r="AC547" s="551"/>
      <c r="AD547" s="551"/>
      <c r="AE547" s="551"/>
      <c r="AF547" s="551"/>
    </row>
    <row r="548">
      <c r="A548" s="552"/>
      <c r="B548" s="552"/>
      <c r="C548" s="552"/>
      <c r="D548" s="552"/>
      <c r="E548" s="552"/>
      <c r="F548" s="552"/>
      <c r="G548" s="552"/>
      <c r="H548" s="552"/>
      <c r="I548" s="552"/>
      <c r="J548" s="552"/>
      <c r="K548" s="552"/>
      <c r="L548" s="552"/>
      <c r="M548" s="552"/>
      <c r="N548" s="551"/>
      <c r="O548" s="551"/>
      <c r="P548" s="551"/>
      <c r="Q548" s="551"/>
      <c r="R548" s="551"/>
      <c r="S548" s="551"/>
      <c r="T548" s="551"/>
      <c r="U548" s="551"/>
      <c r="V548" s="551"/>
      <c r="W548" s="551"/>
      <c r="X548" s="551"/>
      <c r="Y548" s="551"/>
      <c r="Z548" s="551"/>
      <c r="AA548" s="551"/>
      <c r="AB548" s="551"/>
      <c r="AC548" s="551"/>
      <c r="AD548" s="551"/>
      <c r="AE548" s="551"/>
      <c r="AF548" s="551"/>
    </row>
    <row r="549">
      <c r="A549" s="552"/>
      <c r="B549" s="552"/>
      <c r="C549" s="552"/>
      <c r="D549" s="552"/>
      <c r="E549" s="552"/>
      <c r="F549" s="552"/>
      <c r="G549" s="552"/>
      <c r="H549" s="552"/>
      <c r="I549" s="552"/>
      <c r="J549" s="552"/>
      <c r="K549" s="552"/>
      <c r="L549" s="552"/>
      <c r="M549" s="552"/>
      <c r="N549" s="551"/>
      <c r="O549" s="551"/>
      <c r="P549" s="551"/>
      <c r="Q549" s="551"/>
      <c r="R549" s="551"/>
      <c r="S549" s="551"/>
      <c r="T549" s="551"/>
      <c r="U549" s="551"/>
      <c r="V549" s="551"/>
      <c r="W549" s="551"/>
      <c r="X549" s="551"/>
      <c r="Y549" s="551"/>
      <c r="Z549" s="551"/>
      <c r="AA549" s="551"/>
      <c r="AB549" s="551"/>
      <c r="AC549" s="551"/>
      <c r="AD549" s="551"/>
      <c r="AE549" s="551"/>
      <c r="AF549" s="551"/>
    </row>
    <row r="550">
      <c r="A550" s="552"/>
      <c r="B550" s="552"/>
      <c r="C550" s="552"/>
      <c r="D550" s="552"/>
      <c r="E550" s="552"/>
      <c r="F550" s="552"/>
      <c r="G550" s="552"/>
      <c r="H550" s="552"/>
      <c r="I550" s="552"/>
      <c r="J550" s="552"/>
      <c r="K550" s="552"/>
      <c r="L550" s="552"/>
      <c r="M550" s="552"/>
      <c r="N550" s="551"/>
      <c r="O550" s="551"/>
      <c r="P550" s="551"/>
      <c r="Q550" s="551"/>
      <c r="R550" s="551"/>
      <c r="S550" s="551"/>
      <c r="T550" s="551"/>
      <c r="U550" s="551"/>
      <c r="V550" s="551"/>
      <c r="W550" s="551"/>
      <c r="X550" s="551"/>
      <c r="Y550" s="551"/>
      <c r="Z550" s="551"/>
      <c r="AA550" s="551"/>
      <c r="AB550" s="551"/>
      <c r="AC550" s="551"/>
      <c r="AD550" s="551"/>
      <c r="AE550" s="551"/>
      <c r="AF550" s="551"/>
    </row>
    <row r="551">
      <c r="A551" s="552"/>
      <c r="B551" s="552"/>
      <c r="C551" s="552"/>
      <c r="D551" s="552"/>
      <c r="E551" s="552"/>
      <c r="F551" s="552"/>
      <c r="G551" s="552"/>
      <c r="H551" s="552"/>
      <c r="I551" s="552"/>
      <c r="J551" s="552"/>
      <c r="K551" s="552"/>
      <c r="L551" s="552"/>
      <c r="M551" s="552"/>
      <c r="N551" s="551"/>
      <c r="O551" s="551"/>
      <c r="P551" s="551"/>
      <c r="Q551" s="551"/>
      <c r="R551" s="551"/>
      <c r="S551" s="551"/>
      <c r="T551" s="551"/>
      <c r="U551" s="551"/>
      <c r="V551" s="551"/>
      <c r="W551" s="551"/>
      <c r="X551" s="551"/>
      <c r="Y551" s="551"/>
      <c r="Z551" s="551"/>
      <c r="AA551" s="551"/>
      <c r="AB551" s="551"/>
      <c r="AC551" s="551"/>
      <c r="AD551" s="551"/>
      <c r="AE551" s="551"/>
      <c r="AF551" s="551"/>
    </row>
    <row r="552">
      <c r="A552" s="552"/>
      <c r="B552" s="552"/>
      <c r="C552" s="552"/>
      <c r="D552" s="552"/>
      <c r="E552" s="552"/>
      <c r="F552" s="552"/>
      <c r="G552" s="552"/>
      <c r="H552" s="552"/>
      <c r="I552" s="552"/>
      <c r="J552" s="552"/>
      <c r="K552" s="552"/>
      <c r="L552" s="552"/>
      <c r="M552" s="552"/>
      <c r="N552" s="551"/>
      <c r="O552" s="551"/>
      <c r="P552" s="551"/>
      <c r="Q552" s="551"/>
      <c r="R552" s="551"/>
      <c r="S552" s="551"/>
      <c r="T552" s="551"/>
      <c r="U552" s="551"/>
      <c r="V552" s="551"/>
      <c r="W552" s="551"/>
      <c r="X552" s="551"/>
      <c r="Y552" s="551"/>
      <c r="Z552" s="551"/>
      <c r="AA552" s="551"/>
      <c r="AB552" s="551"/>
      <c r="AC552" s="551"/>
      <c r="AD552" s="551"/>
      <c r="AE552" s="551"/>
      <c r="AF552" s="551"/>
    </row>
    <row r="553">
      <c r="A553" s="552"/>
      <c r="B553" s="552"/>
      <c r="C553" s="552"/>
      <c r="D553" s="552"/>
      <c r="E553" s="552"/>
      <c r="F553" s="552"/>
      <c r="G553" s="552"/>
      <c r="H553" s="552"/>
      <c r="I553" s="552"/>
      <c r="J553" s="552"/>
      <c r="K553" s="552"/>
      <c r="L553" s="552"/>
      <c r="M553" s="552"/>
      <c r="N553" s="551"/>
      <c r="O553" s="551"/>
      <c r="P553" s="551"/>
      <c r="Q553" s="551"/>
      <c r="R553" s="551"/>
      <c r="S553" s="551"/>
      <c r="T553" s="551"/>
      <c r="U553" s="551"/>
      <c r="V553" s="551"/>
      <c r="W553" s="551"/>
      <c r="X553" s="551"/>
      <c r="Y553" s="551"/>
      <c r="Z553" s="551"/>
      <c r="AA553" s="551"/>
      <c r="AB553" s="551"/>
      <c r="AC553" s="551"/>
      <c r="AD553" s="551"/>
      <c r="AE553" s="551"/>
      <c r="AF553" s="551"/>
    </row>
    <row r="554">
      <c r="A554" s="552"/>
      <c r="B554" s="552"/>
      <c r="C554" s="552"/>
      <c r="D554" s="552"/>
      <c r="E554" s="552"/>
      <c r="F554" s="552"/>
      <c r="G554" s="552"/>
      <c r="H554" s="552"/>
      <c r="I554" s="552"/>
      <c r="J554" s="552"/>
      <c r="K554" s="552"/>
      <c r="L554" s="552"/>
      <c r="M554" s="552"/>
      <c r="N554" s="551"/>
      <c r="O554" s="551"/>
      <c r="P554" s="551"/>
      <c r="Q554" s="551"/>
      <c r="R554" s="551"/>
      <c r="S554" s="551"/>
      <c r="T554" s="551"/>
      <c r="U554" s="551"/>
      <c r="V554" s="551"/>
      <c r="W554" s="551"/>
      <c r="X554" s="551"/>
      <c r="Y554" s="551"/>
      <c r="Z554" s="551"/>
      <c r="AA554" s="551"/>
      <c r="AB554" s="551"/>
      <c r="AC554" s="551"/>
      <c r="AD554" s="551"/>
      <c r="AE554" s="551"/>
      <c r="AF554" s="551"/>
    </row>
    <row r="555">
      <c r="A555" s="552"/>
      <c r="B555" s="552"/>
      <c r="C555" s="552"/>
      <c r="D555" s="552"/>
      <c r="E555" s="552"/>
      <c r="F555" s="552"/>
      <c r="G555" s="552"/>
      <c r="H555" s="552"/>
      <c r="I555" s="552"/>
      <c r="J555" s="552"/>
      <c r="K555" s="552"/>
      <c r="L555" s="552"/>
      <c r="M555" s="552"/>
      <c r="N555" s="551"/>
      <c r="O555" s="551"/>
      <c r="P555" s="551"/>
      <c r="Q555" s="551"/>
      <c r="R555" s="551"/>
      <c r="S555" s="551"/>
      <c r="T555" s="551"/>
      <c r="U555" s="551"/>
      <c r="V555" s="551"/>
      <c r="W555" s="551"/>
      <c r="X555" s="551"/>
      <c r="Y555" s="551"/>
      <c r="Z555" s="551"/>
      <c r="AA555" s="551"/>
      <c r="AB555" s="551"/>
      <c r="AC555" s="551"/>
      <c r="AD555" s="551"/>
      <c r="AE555" s="551"/>
      <c r="AF555" s="551"/>
    </row>
    <row r="556">
      <c r="A556" s="552"/>
      <c r="B556" s="552"/>
      <c r="C556" s="552"/>
      <c r="D556" s="552"/>
      <c r="E556" s="552"/>
      <c r="F556" s="552"/>
      <c r="G556" s="552"/>
      <c r="H556" s="552"/>
      <c r="I556" s="552"/>
      <c r="J556" s="552"/>
      <c r="K556" s="552"/>
      <c r="L556" s="552"/>
      <c r="M556" s="552"/>
      <c r="N556" s="551"/>
      <c r="O556" s="551"/>
      <c r="P556" s="551"/>
      <c r="Q556" s="551"/>
      <c r="R556" s="551"/>
      <c r="S556" s="551"/>
      <c r="T556" s="551"/>
      <c r="U556" s="551"/>
      <c r="V556" s="551"/>
      <c r="W556" s="551"/>
      <c r="X556" s="551"/>
      <c r="Y556" s="551"/>
      <c r="Z556" s="551"/>
      <c r="AA556" s="551"/>
      <c r="AB556" s="551"/>
      <c r="AC556" s="551"/>
      <c r="AD556" s="551"/>
      <c r="AE556" s="551"/>
      <c r="AF556" s="551"/>
    </row>
    <row r="557">
      <c r="A557" s="552"/>
      <c r="B557" s="552"/>
      <c r="C557" s="552"/>
      <c r="D557" s="552"/>
      <c r="E557" s="552"/>
      <c r="F557" s="552"/>
      <c r="G557" s="552"/>
      <c r="H557" s="552"/>
      <c r="I557" s="552"/>
      <c r="J557" s="552"/>
      <c r="K557" s="552"/>
      <c r="L557" s="552"/>
      <c r="M557" s="552"/>
      <c r="N557" s="551"/>
      <c r="O557" s="551"/>
      <c r="P557" s="551"/>
      <c r="Q557" s="551"/>
      <c r="R557" s="551"/>
      <c r="S557" s="551"/>
      <c r="T557" s="551"/>
      <c r="U557" s="551"/>
      <c r="V557" s="551"/>
      <c r="W557" s="551"/>
      <c r="X557" s="551"/>
      <c r="Y557" s="551"/>
      <c r="Z557" s="551"/>
      <c r="AA557" s="551"/>
      <c r="AB557" s="551"/>
      <c r="AC557" s="551"/>
      <c r="AD557" s="551"/>
      <c r="AE557" s="551"/>
      <c r="AF557" s="551"/>
    </row>
    <row r="558">
      <c r="A558" s="552"/>
      <c r="B558" s="552"/>
      <c r="C558" s="552"/>
      <c r="D558" s="552"/>
      <c r="E558" s="552"/>
      <c r="F558" s="552"/>
      <c r="G558" s="552"/>
      <c r="H558" s="552"/>
      <c r="I558" s="552"/>
      <c r="J558" s="552"/>
      <c r="K558" s="552"/>
      <c r="L558" s="552"/>
      <c r="M558" s="552"/>
      <c r="N558" s="551"/>
      <c r="O558" s="551"/>
      <c r="P558" s="551"/>
      <c r="Q558" s="551"/>
      <c r="R558" s="551"/>
      <c r="S558" s="551"/>
      <c r="T558" s="551"/>
      <c r="U558" s="551"/>
      <c r="V558" s="551"/>
      <c r="W558" s="551"/>
      <c r="X558" s="551"/>
      <c r="Y558" s="551"/>
      <c r="Z558" s="551"/>
      <c r="AA558" s="551"/>
      <c r="AB558" s="551"/>
      <c r="AC558" s="551"/>
      <c r="AD558" s="551"/>
      <c r="AE558" s="551"/>
      <c r="AF558" s="551"/>
    </row>
    <row r="559">
      <c r="A559" s="552"/>
      <c r="B559" s="552"/>
      <c r="C559" s="552"/>
      <c r="D559" s="552"/>
      <c r="E559" s="552"/>
      <c r="F559" s="552"/>
      <c r="G559" s="552"/>
      <c r="H559" s="552"/>
      <c r="I559" s="552"/>
      <c r="J559" s="552"/>
      <c r="K559" s="552"/>
      <c r="L559" s="552"/>
      <c r="M559" s="552"/>
      <c r="N559" s="551"/>
      <c r="O559" s="551"/>
      <c r="P559" s="551"/>
      <c r="Q559" s="551"/>
      <c r="R559" s="551"/>
      <c r="S559" s="551"/>
      <c r="T559" s="551"/>
      <c r="U559" s="551"/>
      <c r="V559" s="551"/>
      <c r="W559" s="551"/>
      <c r="X559" s="551"/>
      <c r="Y559" s="551"/>
      <c r="Z559" s="551"/>
      <c r="AA559" s="551"/>
      <c r="AB559" s="551"/>
      <c r="AC559" s="551"/>
      <c r="AD559" s="551"/>
      <c r="AE559" s="551"/>
      <c r="AF559" s="551"/>
    </row>
    <row r="560">
      <c r="A560" s="552"/>
      <c r="B560" s="552"/>
      <c r="C560" s="552"/>
      <c r="D560" s="552"/>
      <c r="E560" s="552"/>
      <c r="F560" s="552"/>
      <c r="G560" s="552"/>
      <c r="H560" s="552"/>
      <c r="I560" s="552"/>
      <c r="J560" s="552"/>
      <c r="K560" s="552"/>
      <c r="L560" s="552"/>
      <c r="M560" s="552"/>
      <c r="N560" s="551"/>
      <c r="O560" s="551"/>
      <c r="P560" s="551"/>
      <c r="Q560" s="551"/>
      <c r="R560" s="551"/>
      <c r="S560" s="551"/>
      <c r="T560" s="551"/>
      <c r="U560" s="551"/>
      <c r="V560" s="551"/>
      <c r="W560" s="551"/>
      <c r="X560" s="551"/>
      <c r="Y560" s="551"/>
      <c r="Z560" s="551"/>
      <c r="AA560" s="551"/>
      <c r="AB560" s="551"/>
      <c r="AC560" s="551"/>
      <c r="AD560" s="551"/>
      <c r="AE560" s="551"/>
      <c r="AF560" s="551"/>
    </row>
    <row r="561">
      <c r="A561" s="552"/>
      <c r="B561" s="552"/>
      <c r="C561" s="552"/>
      <c r="D561" s="552"/>
      <c r="E561" s="552"/>
      <c r="F561" s="552"/>
      <c r="G561" s="552"/>
      <c r="H561" s="552"/>
      <c r="I561" s="552"/>
      <c r="J561" s="552"/>
      <c r="K561" s="552"/>
      <c r="L561" s="552"/>
      <c r="M561" s="552"/>
      <c r="N561" s="551"/>
      <c r="O561" s="551"/>
      <c r="P561" s="551"/>
      <c r="Q561" s="551"/>
      <c r="R561" s="551"/>
      <c r="S561" s="551"/>
      <c r="T561" s="551"/>
      <c r="U561" s="551"/>
      <c r="V561" s="551"/>
      <c r="W561" s="551"/>
      <c r="X561" s="551"/>
      <c r="Y561" s="551"/>
      <c r="Z561" s="551"/>
      <c r="AA561" s="551"/>
      <c r="AB561" s="551"/>
      <c r="AC561" s="551"/>
      <c r="AD561" s="551"/>
      <c r="AE561" s="551"/>
      <c r="AF561" s="551"/>
    </row>
    <row r="562">
      <c r="A562" s="552"/>
      <c r="B562" s="552"/>
      <c r="C562" s="552"/>
      <c r="D562" s="552"/>
      <c r="E562" s="552"/>
      <c r="F562" s="552"/>
      <c r="G562" s="552"/>
      <c r="H562" s="552"/>
      <c r="I562" s="552"/>
      <c r="J562" s="552"/>
      <c r="K562" s="552"/>
      <c r="L562" s="552"/>
      <c r="M562" s="552"/>
      <c r="N562" s="551"/>
      <c r="O562" s="551"/>
      <c r="P562" s="551"/>
      <c r="Q562" s="551"/>
      <c r="R562" s="551"/>
      <c r="S562" s="551"/>
      <c r="T562" s="551"/>
      <c r="U562" s="551"/>
      <c r="V562" s="551"/>
      <c r="W562" s="551"/>
      <c r="X562" s="551"/>
      <c r="Y562" s="551"/>
      <c r="Z562" s="551"/>
      <c r="AA562" s="551"/>
      <c r="AB562" s="551"/>
      <c r="AC562" s="551"/>
      <c r="AD562" s="551"/>
      <c r="AE562" s="551"/>
      <c r="AF562" s="551"/>
    </row>
    <row r="563">
      <c r="A563" s="552"/>
      <c r="B563" s="552"/>
      <c r="C563" s="552"/>
      <c r="D563" s="552"/>
      <c r="E563" s="552"/>
      <c r="F563" s="552"/>
      <c r="G563" s="552"/>
      <c r="H563" s="552"/>
      <c r="I563" s="552"/>
      <c r="J563" s="552"/>
      <c r="K563" s="552"/>
      <c r="L563" s="552"/>
      <c r="M563" s="552"/>
      <c r="N563" s="551"/>
      <c r="O563" s="551"/>
      <c r="P563" s="551"/>
      <c r="Q563" s="551"/>
      <c r="R563" s="551"/>
      <c r="S563" s="551"/>
      <c r="T563" s="551"/>
      <c r="U563" s="551"/>
      <c r="V563" s="551"/>
      <c r="W563" s="551"/>
      <c r="X563" s="551"/>
      <c r="Y563" s="551"/>
      <c r="Z563" s="551"/>
      <c r="AA563" s="551"/>
      <c r="AB563" s="551"/>
      <c r="AC563" s="551"/>
      <c r="AD563" s="551"/>
      <c r="AE563" s="551"/>
      <c r="AF563" s="551"/>
    </row>
    <row r="564">
      <c r="A564" s="552"/>
      <c r="B564" s="552"/>
      <c r="C564" s="552"/>
      <c r="D564" s="552"/>
      <c r="E564" s="552"/>
      <c r="F564" s="552"/>
      <c r="G564" s="552"/>
      <c r="H564" s="552"/>
      <c r="I564" s="552"/>
      <c r="J564" s="552"/>
      <c r="K564" s="552"/>
      <c r="L564" s="552"/>
      <c r="M564" s="552"/>
      <c r="N564" s="551"/>
      <c r="O564" s="551"/>
      <c r="P564" s="551"/>
      <c r="Q564" s="551"/>
      <c r="R564" s="551"/>
      <c r="S564" s="551"/>
      <c r="T564" s="551"/>
      <c r="U564" s="551"/>
      <c r="V564" s="551"/>
      <c r="W564" s="551"/>
      <c r="X564" s="551"/>
      <c r="Y564" s="551"/>
      <c r="Z564" s="551"/>
      <c r="AA564" s="551"/>
      <c r="AB564" s="551"/>
      <c r="AC564" s="551"/>
      <c r="AD564" s="551"/>
      <c r="AE564" s="551"/>
      <c r="AF564" s="551"/>
    </row>
    <row r="565">
      <c r="A565" s="552"/>
      <c r="B565" s="552"/>
      <c r="C565" s="552"/>
      <c r="D565" s="552"/>
      <c r="E565" s="552"/>
      <c r="F565" s="552"/>
      <c r="G565" s="552"/>
      <c r="H565" s="552"/>
      <c r="I565" s="552"/>
      <c r="J565" s="552"/>
      <c r="K565" s="552"/>
      <c r="L565" s="552"/>
      <c r="M565" s="552"/>
      <c r="N565" s="551"/>
      <c r="O565" s="551"/>
      <c r="P565" s="551"/>
      <c r="Q565" s="551"/>
      <c r="R565" s="551"/>
      <c r="S565" s="551"/>
      <c r="T565" s="551"/>
      <c r="U565" s="551"/>
      <c r="V565" s="551"/>
      <c r="W565" s="551"/>
      <c r="X565" s="551"/>
      <c r="Y565" s="551"/>
      <c r="Z565" s="551"/>
      <c r="AA565" s="551"/>
      <c r="AB565" s="551"/>
      <c r="AC565" s="551"/>
      <c r="AD565" s="551"/>
      <c r="AE565" s="551"/>
      <c r="AF565" s="551"/>
    </row>
    <row r="566">
      <c r="A566" s="552"/>
      <c r="B566" s="552"/>
      <c r="C566" s="552"/>
      <c r="D566" s="552"/>
      <c r="E566" s="552"/>
      <c r="F566" s="552"/>
      <c r="G566" s="552"/>
      <c r="H566" s="552"/>
      <c r="I566" s="552"/>
      <c r="J566" s="552"/>
      <c r="K566" s="552"/>
      <c r="L566" s="552"/>
      <c r="M566" s="552"/>
      <c r="N566" s="551"/>
      <c r="O566" s="551"/>
      <c r="P566" s="551"/>
      <c r="Q566" s="551"/>
      <c r="R566" s="551"/>
      <c r="S566" s="551"/>
      <c r="T566" s="551"/>
      <c r="U566" s="551"/>
      <c r="V566" s="551"/>
      <c r="W566" s="551"/>
      <c r="X566" s="551"/>
      <c r="Y566" s="551"/>
      <c r="Z566" s="551"/>
      <c r="AA566" s="551"/>
      <c r="AB566" s="551"/>
      <c r="AC566" s="551"/>
      <c r="AD566" s="551"/>
      <c r="AE566" s="551"/>
      <c r="AF566" s="551"/>
    </row>
    <row r="567">
      <c r="A567" s="552"/>
      <c r="B567" s="552"/>
      <c r="C567" s="552"/>
      <c r="D567" s="552"/>
      <c r="E567" s="552"/>
      <c r="F567" s="552"/>
      <c r="G567" s="552"/>
      <c r="H567" s="552"/>
      <c r="I567" s="552"/>
      <c r="J567" s="552"/>
      <c r="K567" s="552"/>
      <c r="L567" s="552"/>
      <c r="M567" s="552"/>
      <c r="N567" s="551"/>
      <c r="O567" s="551"/>
      <c r="P567" s="551"/>
      <c r="Q567" s="551"/>
      <c r="R567" s="551"/>
      <c r="S567" s="551"/>
      <c r="T567" s="551"/>
      <c r="U567" s="551"/>
      <c r="V567" s="551"/>
      <c r="W567" s="551"/>
      <c r="X567" s="551"/>
      <c r="Y567" s="551"/>
      <c r="Z567" s="551"/>
      <c r="AA567" s="551"/>
      <c r="AB567" s="551"/>
      <c r="AC567" s="551"/>
      <c r="AD567" s="551"/>
      <c r="AE567" s="551"/>
      <c r="AF567" s="551"/>
    </row>
    <row r="568">
      <c r="A568" s="552"/>
      <c r="B568" s="552"/>
      <c r="C568" s="552"/>
      <c r="D568" s="552"/>
      <c r="E568" s="552"/>
      <c r="F568" s="552"/>
      <c r="G568" s="552"/>
      <c r="H568" s="552"/>
      <c r="I568" s="552"/>
      <c r="J568" s="552"/>
      <c r="K568" s="552"/>
      <c r="L568" s="552"/>
      <c r="M568" s="552"/>
      <c r="N568" s="551"/>
      <c r="O568" s="551"/>
      <c r="P568" s="551"/>
      <c r="Q568" s="551"/>
      <c r="R568" s="551"/>
      <c r="S568" s="551"/>
      <c r="T568" s="551"/>
      <c r="U568" s="551"/>
      <c r="V568" s="551"/>
      <c r="W568" s="551"/>
      <c r="X568" s="551"/>
      <c r="Y568" s="551"/>
      <c r="Z568" s="551"/>
      <c r="AA568" s="551"/>
      <c r="AB568" s="551"/>
      <c r="AC568" s="551"/>
      <c r="AD568" s="551"/>
      <c r="AE568" s="551"/>
      <c r="AF568" s="551"/>
    </row>
    <row r="569">
      <c r="A569" s="552"/>
      <c r="B569" s="552"/>
      <c r="C569" s="552"/>
      <c r="D569" s="552"/>
      <c r="E569" s="552"/>
      <c r="F569" s="552"/>
      <c r="G569" s="552"/>
      <c r="H569" s="552"/>
      <c r="I569" s="552"/>
      <c r="J569" s="552"/>
      <c r="K569" s="552"/>
      <c r="L569" s="552"/>
      <c r="M569" s="552"/>
      <c r="N569" s="551"/>
      <c r="O569" s="551"/>
      <c r="P569" s="551"/>
      <c r="Q569" s="551"/>
      <c r="R569" s="551"/>
      <c r="S569" s="551"/>
      <c r="T569" s="551"/>
      <c r="U569" s="551"/>
      <c r="V569" s="551"/>
      <c r="W569" s="551"/>
      <c r="X569" s="551"/>
      <c r="Y569" s="551"/>
      <c r="Z569" s="551"/>
      <c r="AA569" s="551"/>
      <c r="AB569" s="551"/>
      <c r="AC569" s="551"/>
      <c r="AD569" s="551"/>
      <c r="AE569" s="551"/>
      <c r="AF569" s="551"/>
    </row>
    <row r="570">
      <c r="A570" s="552"/>
      <c r="B570" s="552"/>
      <c r="C570" s="552"/>
      <c r="D570" s="552"/>
      <c r="E570" s="552"/>
      <c r="F570" s="552"/>
      <c r="G570" s="552"/>
      <c r="H570" s="552"/>
      <c r="I570" s="552"/>
      <c r="J570" s="552"/>
      <c r="K570" s="552"/>
      <c r="L570" s="552"/>
      <c r="M570" s="552"/>
      <c r="N570" s="551"/>
      <c r="O570" s="551"/>
      <c r="P570" s="551"/>
      <c r="Q570" s="551"/>
      <c r="R570" s="551"/>
      <c r="S570" s="551"/>
      <c r="T570" s="551"/>
      <c r="U570" s="551"/>
      <c r="V570" s="551"/>
      <c r="W570" s="551"/>
      <c r="X570" s="551"/>
      <c r="Y570" s="551"/>
      <c r="Z570" s="551"/>
      <c r="AA570" s="551"/>
      <c r="AB570" s="551"/>
      <c r="AC570" s="551"/>
      <c r="AD570" s="551"/>
      <c r="AE570" s="551"/>
      <c r="AF570" s="551"/>
    </row>
    <row r="571">
      <c r="A571" s="552"/>
      <c r="B571" s="552"/>
      <c r="C571" s="552"/>
      <c r="D571" s="552"/>
      <c r="E571" s="552"/>
      <c r="F571" s="552"/>
      <c r="G571" s="552"/>
      <c r="H571" s="552"/>
      <c r="I571" s="552"/>
      <c r="J571" s="552"/>
      <c r="K571" s="552"/>
      <c r="L571" s="552"/>
      <c r="M571" s="552"/>
      <c r="N571" s="551"/>
      <c r="O571" s="551"/>
      <c r="P571" s="551"/>
      <c r="Q571" s="551"/>
      <c r="R571" s="551"/>
      <c r="S571" s="551"/>
      <c r="T571" s="551"/>
      <c r="U571" s="551"/>
      <c r="V571" s="551"/>
      <c r="W571" s="551"/>
      <c r="X571" s="551"/>
      <c r="Y571" s="551"/>
      <c r="Z571" s="551"/>
      <c r="AA571" s="551"/>
      <c r="AB571" s="551"/>
      <c r="AC571" s="551"/>
      <c r="AD571" s="551"/>
      <c r="AE571" s="551"/>
      <c r="AF571" s="551"/>
    </row>
    <row r="572">
      <c r="A572" s="552"/>
      <c r="B572" s="552"/>
      <c r="C572" s="552"/>
      <c r="D572" s="552"/>
      <c r="E572" s="552"/>
      <c r="F572" s="552"/>
      <c r="G572" s="552"/>
      <c r="H572" s="552"/>
      <c r="I572" s="552"/>
      <c r="J572" s="552"/>
      <c r="K572" s="552"/>
      <c r="L572" s="552"/>
      <c r="M572" s="552"/>
      <c r="N572" s="551"/>
      <c r="O572" s="551"/>
      <c r="P572" s="551"/>
      <c r="Q572" s="551"/>
      <c r="R572" s="551"/>
      <c r="S572" s="551"/>
      <c r="T572" s="551"/>
      <c r="U572" s="551"/>
      <c r="V572" s="551"/>
      <c r="W572" s="551"/>
      <c r="X572" s="551"/>
      <c r="Y572" s="551"/>
      <c r="Z572" s="551"/>
      <c r="AA572" s="551"/>
      <c r="AB572" s="551"/>
      <c r="AC572" s="551"/>
      <c r="AD572" s="551"/>
      <c r="AE572" s="551"/>
      <c r="AF572" s="551"/>
    </row>
    <row r="573">
      <c r="A573" s="552"/>
      <c r="B573" s="552"/>
      <c r="C573" s="552"/>
      <c r="D573" s="552"/>
      <c r="E573" s="552"/>
      <c r="F573" s="552"/>
      <c r="G573" s="552"/>
      <c r="H573" s="552"/>
      <c r="I573" s="552"/>
      <c r="J573" s="552"/>
      <c r="K573" s="552"/>
      <c r="L573" s="552"/>
      <c r="M573" s="552"/>
      <c r="N573" s="551"/>
      <c r="O573" s="551"/>
      <c r="P573" s="551"/>
      <c r="Q573" s="551"/>
      <c r="R573" s="551"/>
      <c r="S573" s="551"/>
      <c r="T573" s="551"/>
      <c r="U573" s="551"/>
      <c r="V573" s="551"/>
      <c r="W573" s="551"/>
      <c r="X573" s="551"/>
      <c r="Y573" s="551"/>
      <c r="Z573" s="551"/>
      <c r="AA573" s="551"/>
      <c r="AB573" s="551"/>
      <c r="AC573" s="551"/>
      <c r="AD573" s="551"/>
      <c r="AE573" s="551"/>
      <c r="AF573" s="551"/>
    </row>
    <row r="574">
      <c r="A574" s="552"/>
      <c r="B574" s="552"/>
      <c r="C574" s="552"/>
      <c r="D574" s="552"/>
      <c r="E574" s="552"/>
      <c r="F574" s="552"/>
      <c r="G574" s="552"/>
      <c r="H574" s="552"/>
      <c r="I574" s="552"/>
      <c r="J574" s="552"/>
      <c r="K574" s="552"/>
      <c r="L574" s="552"/>
      <c r="M574" s="552"/>
      <c r="N574" s="551"/>
      <c r="O574" s="551"/>
      <c r="P574" s="551"/>
      <c r="Q574" s="551"/>
      <c r="R574" s="551"/>
      <c r="S574" s="551"/>
      <c r="T574" s="551"/>
      <c r="U574" s="551"/>
      <c r="V574" s="551"/>
      <c r="W574" s="551"/>
      <c r="X574" s="551"/>
      <c r="Y574" s="551"/>
      <c r="Z574" s="551"/>
      <c r="AA574" s="551"/>
      <c r="AB574" s="551"/>
      <c r="AC574" s="551"/>
      <c r="AD574" s="551"/>
      <c r="AE574" s="551"/>
      <c r="AF574" s="551"/>
    </row>
    <row r="575">
      <c r="A575" s="552"/>
      <c r="B575" s="552"/>
      <c r="C575" s="552"/>
      <c r="D575" s="552"/>
      <c r="E575" s="552"/>
      <c r="F575" s="552"/>
      <c r="G575" s="552"/>
      <c r="H575" s="552"/>
      <c r="I575" s="552"/>
      <c r="J575" s="552"/>
      <c r="K575" s="552"/>
      <c r="L575" s="552"/>
      <c r="M575" s="552"/>
      <c r="N575" s="551"/>
      <c r="O575" s="551"/>
      <c r="P575" s="551"/>
      <c r="Q575" s="551"/>
      <c r="R575" s="551"/>
      <c r="S575" s="551"/>
      <c r="T575" s="551"/>
      <c r="U575" s="551"/>
      <c r="V575" s="551"/>
      <c r="W575" s="551"/>
      <c r="X575" s="551"/>
      <c r="Y575" s="551"/>
      <c r="Z575" s="551"/>
      <c r="AA575" s="551"/>
      <c r="AB575" s="551"/>
      <c r="AC575" s="551"/>
      <c r="AD575" s="551"/>
      <c r="AE575" s="551"/>
      <c r="AF575" s="551"/>
    </row>
    <row r="576">
      <c r="A576" s="552"/>
      <c r="B576" s="552"/>
      <c r="C576" s="552"/>
      <c r="D576" s="552"/>
      <c r="E576" s="552"/>
      <c r="F576" s="552"/>
      <c r="G576" s="552"/>
      <c r="H576" s="552"/>
      <c r="I576" s="552"/>
      <c r="J576" s="552"/>
      <c r="K576" s="552"/>
      <c r="L576" s="552"/>
      <c r="M576" s="552"/>
      <c r="N576" s="551"/>
      <c r="O576" s="551"/>
      <c r="P576" s="551"/>
      <c r="Q576" s="551"/>
      <c r="R576" s="551"/>
      <c r="S576" s="551"/>
      <c r="T576" s="551"/>
      <c r="U576" s="551"/>
      <c r="V576" s="551"/>
      <c r="W576" s="551"/>
      <c r="X576" s="551"/>
      <c r="Y576" s="551"/>
      <c r="Z576" s="551"/>
      <c r="AA576" s="551"/>
      <c r="AB576" s="551"/>
      <c r="AC576" s="551"/>
      <c r="AD576" s="551"/>
      <c r="AE576" s="551"/>
      <c r="AF576" s="551"/>
    </row>
    <row r="577">
      <c r="A577" s="552"/>
      <c r="B577" s="552"/>
      <c r="C577" s="552"/>
      <c r="D577" s="552"/>
      <c r="E577" s="552"/>
      <c r="F577" s="552"/>
      <c r="G577" s="552"/>
      <c r="H577" s="552"/>
      <c r="I577" s="552"/>
      <c r="J577" s="552"/>
      <c r="K577" s="552"/>
      <c r="L577" s="552"/>
      <c r="M577" s="552"/>
      <c r="N577" s="551"/>
      <c r="O577" s="551"/>
      <c r="P577" s="551"/>
      <c r="Q577" s="551"/>
      <c r="R577" s="551"/>
      <c r="S577" s="551"/>
      <c r="T577" s="551"/>
      <c r="U577" s="551"/>
      <c r="V577" s="551"/>
      <c r="W577" s="551"/>
      <c r="X577" s="551"/>
      <c r="Y577" s="551"/>
      <c r="Z577" s="551"/>
      <c r="AA577" s="551"/>
      <c r="AB577" s="551"/>
      <c r="AC577" s="551"/>
      <c r="AD577" s="551"/>
      <c r="AE577" s="551"/>
      <c r="AF577" s="551"/>
    </row>
    <row r="578">
      <c r="A578" s="552"/>
      <c r="B578" s="552"/>
      <c r="C578" s="552"/>
      <c r="D578" s="552"/>
      <c r="E578" s="552"/>
      <c r="F578" s="552"/>
      <c r="G578" s="552"/>
      <c r="H578" s="552"/>
      <c r="I578" s="552"/>
      <c r="J578" s="552"/>
      <c r="K578" s="552"/>
      <c r="L578" s="552"/>
      <c r="M578" s="552"/>
      <c r="N578" s="551"/>
      <c r="O578" s="551"/>
      <c r="P578" s="551"/>
      <c r="Q578" s="551"/>
      <c r="R578" s="551"/>
      <c r="S578" s="551"/>
      <c r="T578" s="551"/>
      <c r="U578" s="551"/>
      <c r="V578" s="551"/>
      <c r="W578" s="551"/>
      <c r="X578" s="551"/>
      <c r="Y578" s="551"/>
      <c r="Z578" s="551"/>
      <c r="AA578" s="551"/>
      <c r="AB578" s="551"/>
      <c r="AC578" s="551"/>
      <c r="AD578" s="551"/>
      <c r="AE578" s="551"/>
      <c r="AF578" s="551"/>
    </row>
    <row r="579">
      <c r="A579" s="552"/>
      <c r="B579" s="552"/>
      <c r="C579" s="552"/>
      <c r="D579" s="552"/>
      <c r="E579" s="552"/>
      <c r="F579" s="552"/>
      <c r="G579" s="552"/>
      <c r="H579" s="552"/>
      <c r="I579" s="552"/>
      <c r="J579" s="552"/>
      <c r="K579" s="552"/>
      <c r="L579" s="552"/>
      <c r="M579" s="552"/>
      <c r="N579" s="551"/>
      <c r="O579" s="551"/>
      <c r="P579" s="551"/>
      <c r="Q579" s="551"/>
      <c r="R579" s="551"/>
      <c r="S579" s="551"/>
      <c r="T579" s="551"/>
      <c r="U579" s="551"/>
      <c r="V579" s="551"/>
      <c r="W579" s="551"/>
      <c r="X579" s="551"/>
      <c r="Y579" s="551"/>
      <c r="Z579" s="551"/>
      <c r="AA579" s="551"/>
      <c r="AB579" s="551"/>
      <c r="AC579" s="551"/>
      <c r="AD579" s="551"/>
      <c r="AE579" s="551"/>
      <c r="AF579" s="551"/>
    </row>
    <row r="580">
      <c r="A580" s="552"/>
      <c r="B580" s="552"/>
      <c r="C580" s="552"/>
      <c r="D580" s="552"/>
      <c r="E580" s="552"/>
      <c r="F580" s="552"/>
      <c r="G580" s="552"/>
      <c r="H580" s="552"/>
      <c r="I580" s="552"/>
      <c r="J580" s="552"/>
      <c r="K580" s="552"/>
      <c r="L580" s="552"/>
      <c r="M580" s="552"/>
      <c r="N580" s="551"/>
      <c r="O580" s="551"/>
      <c r="P580" s="551"/>
      <c r="Q580" s="551"/>
      <c r="R580" s="551"/>
      <c r="S580" s="551"/>
      <c r="T580" s="551"/>
      <c r="U580" s="551"/>
      <c r="V580" s="551"/>
      <c r="W580" s="551"/>
      <c r="X580" s="551"/>
      <c r="Y580" s="551"/>
      <c r="Z580" s="551"/>
      <c r="AA580" s="551"/>
      <c r="AB580" s="551"/>
      <c r="AC580" s="551"/>
      <c r="AD580" s="551"/>
      <c r="AE580" s="551"/>
      <c r="AF580" s="551"/>
    </row>
    <row r="581">
      <c r="A581" s="552"/>
      <c r="B581" s="552"/>
      <c r="C581" s="552"/>
      <c r="D581" s="552"/>
      <c r="E581" s="552"/>
      <c r="F581" s="552"/>
      <c r="G581" s="552"/>
      <c r="H581" s="552"/>
      <c r="I581" s="552"/>
      <c r="J581" s="552"/>
      <c r="K581" s="552"/>
      <c r="L581" s="552"/>
      <c r="M581" s="552"/>
      <c r="N581" s="551"/>
      <c r="O581" s="551"/>
      <c r="P581" s="551"/>
      <c r="Q581" s="551"/>
      <c r="R581" s="551"/>
      <c r="S581" s="551"/>
      <c r="T581" s="551"/>
      <c r="U581" s="551"/>
      <c r="V581" s="551"/>
      <c r="W581" s="551"/>
      <c r="X581" s="551"/>
      <c r="Y581" s="551"/>
      <c r="Z581" s="551"/>
      <c r="AA581" s="551"/>
      <c r="AB581" s="551"/>
      <c r="AC581" s="551"/>
      <c r="AD581" s="551"/>
      <c r="AE581" s="551"/>
      <c r="AF581" s="551"/>
    </row>
    <row r="582">
      <c r="A582" s="552"/>
      <c r="B582" s="552"/>
      <c r="C582" s="552"/>
      <c r="D582" s="552"/>
      <c r="E582" s="552"/>
      <c r="F582" s="552"/>
      <c r="G582" s="552"/>
      <c r="H582" s="552"/>
      <c r="I582" s="552"/>
      <c r="J582" s="552"/>
      <c r="K582" s="552"/>
      <c r="L582" s="552"/>
      <c r="M582" s="552"/>
      <c r="N582" s="551"/>
      <c r="O582" s="551"/>
      <c r="P582" s="551"/>
      <c r="Q582" s="551"/>
      <c r="R582" s="551"/>
      <c r="S582" s="551"/>
      <c r="T582" s="551"/>
      <c r="U582" s="551"/>
      <c r="V582" s="551"/>
      <c r="W582" s="551"/>
      <c r="X582" s="551"/>
      <c r="Y582" s="551"/>
      <c r="Z582" s="551"/>
      <c r="AA582" s="551"/>
      <c r="AB582" s="551"/>
      <c r="AC582" s="551"/>
      <c r="AD582" s="551"/>
      <c r="AE582" s="551"/>
      <c r="AF582" s="551"/>
    </row>
    <row r="583">
      <c r="A583" s="552"/>
      <c r="B583" s="552"/>
      <c r="C583" s="552"/>
      <c r="D583" s="552"/>
      <c r="E583" s="552"/>
      <c r="F583" s="552"/>
      <c r="G583" s="552"/>
      <c r="H583" s="552"/>
      <c r="I583" s="552"/>
      <c r="J583" s="552"/>
      <c r="K583" s="552"/>
      <c r="L583" s="552"/>
      <c r="M583" s="552"/>
      <c r="N583" s="551"/>
      <c r="O583" s="551"/>
      <c r="P583" s="551"/>
      <c r="Q583" s="551"/>
      <c r="R583" s="551"/>
      <c r="S583" s="551"/>
      <c r="T583" s="551"/>
      <c r="U583" s="551"/>
      <c r="V583" s="551"/>
      <c r="W583" s="551"/>
      <c r="X583" s="551"/>
      <c r="Y583" s="551"/>
      <c r="Z583" s="551"/>
      <c r="AA583" s="551"/>
      <c r="AB583" s="551"/>
      <c r="AC583" s="551"/>
      <c r="AD583" s="551"/>
      <c r="AE583" s="551"/>
      <c r="AF583" s="551"/>
    </row>
    <row r="584">
      <c r="A584" s="552"/>
      <c r="B584" s="552"/>
      <c r="C584" s="552"/>
      <c r="D584" s="552"/>
      <c r="E584" s="552"/>
      <c r="F584" s="552"/>
      <c r="G584" s="552"/>
      <c r="H584" s="552"/>
      <c r="I584" s="552"/>
      <c r="J584" s="552"/>
      <c r="K584" s="552"/>
      <c r="L584" s="552"/>
      <c r="M584" s="552"/>
      <c r="N584" s="551"/>
      <c r="O584" s="551"/>
      <c r="P584" s="551"/>
      <c r="Q584" s="551"/>
      <c r="R584" s="551"/>
      <c r="S584" s="551"/>
      <c r="T584" s="551"/>
      <c r="U584" s="551"/>
      <c r="V584" s="551"/>
      <c r="W584" s="551"/>
      <c r="X584" s="551"/>
      <c r="Y584" s="551"/>
      <c r="Z584" s="551"/>
      <c r="AA584" s="551"/>
      <c r="AB584" s="551"/>
      <c r="AC584" s="551"/>
      <c r="AD584" s="551"/>
      <c r="AE584" s="551"/>
      <c r="AF584" s="551"/>
    </row>
    <row r="585">
      <c r="A585" s="552"/>
      <c r="B585" s="552"/>
      <c r="C585" s="552"/>
      <c r="D585" s="552"/>
      <c r="E585" s="552"/>
      <c r="F585" s="552"/>
      <c r="G585" s="552"/>
      <c r="H585" s="552"/>
      <c r="I585" s="552"/>
      <c r="J585" s="552"/>
      <c r="K585" s="552"/>
      <c r="L585" s="552"/>
      <c r="M585" s="552"/>
      <c r="N585" s="551"/>
      <c r="O585" s="551"/>
      <c r="P585" s="551"/>
      <c r="Q585" s="551"/>
      <c r="R585" s="551"/>
      <c r="S585" s="551"/>
      <c r="T585" s="551"/>
      <c r="U585" s="551"/>
      <c r="V585" s="551"/>
      <c r="W585" s="551"/>
      <c r="X585" s="551"/>
      <c r="Y585" s="551"/>
      <c r="Z585" s="551"/>
      <c r="AA585" s="551"/>
      <c r="AB585" s="551"/>
      <c r="AC585" s="551"/>
      <c r="AD585" s="551"/>
      <c r="AE585" s="551"/>
      <c r="AF585" s="551"/>
    </row>
    <row r="586">
      <c r="A586" s="552"/>
      <c r="B586" s="552"/>
      <c r="C586" s="552"/>
      <c r="D586" s="552"/>
      <c r="E586" s="552"/>
      <c r="F586" s="552"/>
      <c r="G586" s="552"/>
      <c r="H586" s="552"/>
      <c r="I586" s="552"/>
      <c r="J586" s="552"/>
      <c r="K586" s="552"/>
      <c r="L586" s="552"/>
      <c r="M586" s="552"/>
      <c r="N586" s="551"/>
      <c r="O586" s="551"/>
      <c r="P586" s="551"/>
      <c r="Q586" s="551"/>
      <c r="R586" s="551"/>
      <c r="S586" s="551"/>
      <c r="T586" s="551"/>
      <c r="U586" s="551"/>
      <c r="V586" s="551"/>
      <c r="W586" s="551"/>
      <c r="X586" s="551"/>
      <c r="Y586" s="551"/>
      <c r="Z586" s="551"/>
      <c r="AA586" s="551"/>
      <c r="AB586" s="551"/>
      <c r="AC586" s="551"/>
      <c r="AD586" s="551"/>
      <c r="AE586" s="551"/>
      <c r="AF586" s="551"/>
    </row>
    <row r="587">
      <c r="A587" s="552"/>
      <c r="B587" s="552"/>
      <c r="C587" s="552"/>
      <c r="D587" s="552"/>
      <c r="E587" s="552"/>
      <c r="F587" s="552"/>
      <c r="G587" s="552"/>
      <c r="H587" s="552"/>
      <c r="I587" s="552"/>
      <c r="J587" s="552"/>
      <c r="K587" s="552"/>
      <c r="L587" s="552"/>
      <c r="M587" s="552"/>
      <c r="N587" s="551"/>
      <c r="O587" s="551"/>
      <c r="P587" s="551"/>
      <c r="Q587" s="551"/>
      <c r="R587" s="551"/>
      <c r="S587" s="551"/>
      <c r="T587" s="551"/>
      <c r="U587" s="551"/>
      <c r="V587" s="551"/>
      <c r="W587" s="551"/>
      <c r="X587" s="551"/>
      <c r="Y587" s="551"/>
      <c r="Z587" s="551"/>
      <c r="AA587" s="551"/>
      <c r="AB587" s="551"/>
      <c r="AC587" s="551"/>
      <c r="AD587" s="551"/>
      <c r="AE587" s="551"/>
      <c r="AF587" s="551"/>
    </row>
    <row r="588">
      <c r="A588" s="552"/>
      <c r="B588" s="552"/>
      <c r="C588" s="552"/>
      <c r="D588" s="552"/>
      <c r="E588" s="552"/>
      <c r="F588" s="552"/>
      <c r="G588" s="552"/>
      <c r="H588" s="552"/>
      <c r="I588" s="552"/>
      <c r="J588" s="552"/>
      <c r="K588" s="552"/>
      <c r="L588" s="552"/>
      <c r="M588" s="552"/>
      <c r="N588" s="551"/>
      <c r="O588" s="551"/>
      <c r="P588" s="551"/>
      <c r="Q588" s="551"/>
      <c r="R588" s="551"/>
      <c r="S588" s="551"/>
      <c r="T588" s="551"/>
      <c r="U588" s="551"/>
      <c r="V588" s="551"/>
      <c r="W588" s="551"/>
      <c r="X588" s="551"/>
      <c r="Y588" s="551"/>
      <c r="Z588" s="551"/>
      <c r="AA588" s="551"/>
      <c r="AB588" s="551"/>
      <c r="AC588" s="551"/>
      <c r="AD588" s="551"/>
      <c r="AE588" s="551"/>
      <c r="AF588" s="551"/>
    </row>
    <row r="589">
      <c r="A589" s="552"/>
      <c r="B589" s="552"/>
      <c r="C589" s="552"/>
      <c r="D589" s="552"/>
      <c r="E589" s="552"/>
      <c r="F589" s="552"/>
      <c r="G589" s="552"/>
      <c r="H589" s="552"/>
      <c r="I589" s="552"/>
      <c r="J589" s="552"/>
      <c r="K589" s="552"/>
      <c r="L589" s="552"/>
      <c r="M589" s="552"/>
      <c r="N589" s="551"/>
      <c r="O589" s="551"/>
      <c r="P589" s="551"/>
      <c r="Q589" s="551"/>
      <c r="R589" s="551"/>
      <c r="S589" s="551"/>
      <c r="T589" s="551"/>
      <c r="U589" s="551"/>
      <c r="V589" s="551"/>
      <c r="W589" s="551"/>
      <c r="X589" s="551"/>
      <c r="Y589" s="551"/>
      <c r="Z589" s="551"/>
      <c r="AA589" s="551"/>
      <c r="AB589" s="551"/>
      <c r="AC589" s="551"/>
      <c r="AD589" s="551"/>
      <c r="AE589" s="551"/>
      <c r="AF589" s="551"/>
    </row>
    <row r="590">
      <c r="A590" s="552"/>
      <c r="B590" s="552"/>
      <c r="C590" s="552"/>
      <c r="D590" s="552"/>
      <c r="E590" s="552"/>
      <c r="F590" s="552"/>
      <c r="G590" s="552"/>
      <c r="H590" s="552"/>
      <c r="I590" s="552"/>
      <c r="J590" s="552"/>
      <c r="K590" s="552"/>
      <c r="L590" s="552"/>
      <c r="M590" s="552"/>
      <c r="N590" s="551"/>
      <c r="O590" s="551"/>
      <c r="P590" s="551"/>
      <c r="Q590" s="551"/>
      <c r="R590" s="551"/>
      <c r="S590" s="551"/>
      <c r="T590" s="551"/>
      <c r="U590" s="551"/>
      <c r="V590" s="551"/>
      <c r="W590" s="551"/>
      <c r="X590" s="551"/>
      <c r="Y590" s="551"/>
      <c r="Z590" s="551"/>
      <c r="AA590" s="551"/>
      <c r="AB590" s="551"/>
      <c r="AC590" s="551"/>
      <c r="AD590" s="551"/>
      <c r="AE590" s="551"/>
      <c r="AF590" s="551"/>
    </row>
    <row r="591">
      <c r="A591" s="552"/>
      <c r="B591" s="552"/>
      <c r="C591" s="552"/>
      <c r="D591" s="552"/>
      <c r="E591" s="552"/>
      <c r="F591" s="552"/>
      <c r="G591" s="552"/>
      <c r="H591" s="552"/>
      <c r="I591" s="552"/>
      <c r="J591" s="552"/>
      <c r="K591" s="552"/>
      <c r="L591" s="552"/>
      <c r="M591" s="552"/>
      <c r="N591" s="551"/>
      <c r="O591" s="551"/>
      <c r="P591" s="551"/>
      <c r="Q591" s="551"/>
      <c r="R591" s="551"/>
      <c r="S591" s="551"/>
      <c r="T591" s="551"/>
      <c r="U591" s="551"/>
      <c r="V591" s="551"/>
      <c r="W591" s="551"/>
      <c r="X591" s="551"/>
      <c r="Y591" s="551"/>
      <c r="Z591" s="551"/>
      <c r="AA591" s="551"/>
      <c r="AB591" s="551"/>
      <c r="AC591" s="551"/>
      <c r="AD591" s="551"/>
      <c r="AE591" s="551"/>
      <c r="AF591" s="551"/>
    </row>
    <row r="592">
      <c r="A592" s="552"/>
      <c r="B592" s="552"/>
      <c r="C592" s="552"/>
      <c r="D592" s="552"/>
      <c r="E592" s="552"/>
      <c r="F592" s="552"/>
      <c r="G592" s="552"/>
      <c r="H592" s="552"/>
      <c r="I592" s="552"/>
      <c r="J592" s="552"/>
      <c r="K592" s="552"/>
      <c r="L592" s="552"/>
      <c r="M592" s="552"/>
      <c r="N592" s="551"/>
      <c r="O592" s="551"/>
      <c r="P592" s="551"/>
      <c r="Q592" s="551"/>
      <c r="R592" s="551"/>
      <c r="S592" s="551"/>
      <c r="T592" s="551"/>
      <c r="U592" s="551"/>
      <c r="V592" s="551"/>
      <c r="W592" s="551"/>
      <c r="X592" s="551"/>
      <c r="Y592" s="551"/>
      <c r="Z592" s="551"/>
      <c r="AA592" s="551"/>
      <c r="AB592" s="551"/>
      <c r="AC592" s="551"/>
      <c r="AD592" s="551"/>
      <c r="AE592" s="551"/>
      <c r="AF592" s="551"/>
    </row>
    <row r="593">
      <c r="A593" s="552"/>
      <c r="B593" s="552"/>
      <c r="C593" s="552"/>
      <c r="D593" s="552"/>
      <c r="E593" s="552"/>
      <c r="F593" s="552"/>
      <c r="G593" s="552"/>
      <c r="H593" s="552"/>
      <c r="I593" s="552"/>
      <c r="J593" s="552"/>
      <c r="K593" s="552"/>
      <c r="L593" s="552"/>
      <c r="M593" s="552"/>
      <c r="N593" s="551"/>
      <c r="O593" s="551"/>
      <c r="P593" s="551"/>
      <c r="Q593" s="551"/>
      <c r="R593" s="551"/>
      <c r="S593" s="551"/>
      <c r="T593" s="551"/>
      <c r="U593" s="551"/>
      <c r="V593" s="551"/>
      <c r="W593" s="551"/>
      <c r="X593" s="551"/>
      <c r="Y593" s="551"/>
      <c r="Z593" s="551"/>
      <c r="AA593" s="551"/>
      <c r="AB593" s="551"/>
      <c r="AC593" s="551"/>
      <c r="AD593" s="551"/>
      <c r="AE593" s="551"/>
      <c r="AF593" s="551"/>
    </row>
    <row r="594">
      <c r="A594" s="552"/>
      <c r="B594" s="552"/>
      <c r="C594" s="552"/>
      <c r="D594" s="552"/>
      <c r="E594" s="552"/>
      <c r="F594" s="552"/>
      <c r="G594" s="552"/>
      <c r="H594" s="552"/>
      <c r="I594" s="552"/>
      <c r="J594" s="552"/>
      <c r="K594" s="552"/>
      <c r="L594" s="552"/>
      <c r="M594" s="552"/>
      <c r="N594" s="551"/>
      <c r="O594" s="551"/>
      <c r="P594" s="551"/>
      <c r="Q594" s="551"/>
      <c r="R594" s="551"/>
      <c r="S594" s="551"/>
      <c r="T594" s="551"/>
      <c r="U594" s="551"/>
      <c r="V594" s="551"/>
      <c r="W594" s="551"/>
      <c r="X594" s="551"/>
      <c r="Y594" s="551"/>
      <c r="Z594" s="551"/>
      <c r="AA594" s="551"/>
      <c r="AB594" s="551"/>
      <c r="AC594" s="551"/>
      <c r="AD594" s="551"/>
      <c r="AE594" s="551"/>
      <c r="AF594" s="551"/>
    </row>
    <row r="595">
      <c r="A595" s="552"/>
      <c r="B595" s="552"/>
      <c r="C595" s="552"/>
      <c r="D595" s="552"/>
      <c r="E595" s="552"/>
      <c r="F595" s="552"/>
      <c r="G595" s="552"/>
      <c r="H595" s="552"/>
      <c r="I595" s="552"/>
      <c r="J595" s="552"/>
      <c r="K595" s="552"/>
      <c r="L595" s="552"/>
      <c r="M595" s="552"/>
      <c r="N595" s="551"/>
      <c r="O595" s="551"/>
      <c r="P595" s="551"/>
      <c r="Q595" s="551"/>
      <c r="R595" s="551"/>
      <c r="S595" s="551"/>
      <c r="T595" s="551"/>
      <c r="U595" s="551"/>
      <c r="V595" s="551"/>
      <c r="W595" s="551"/>
      <c r="X595" s="551"/>
      <c r="Y595" s="551"/>
      <c r="Z595" s="551"/>
      <c r="AA595" s="551"/>
      <c r="AB595" s="551"/>
      <c r="AC595" s="551"/>
      <c r="AD595" s="551"/>
      <c r="AE595" s="551"/>
      <c r="AF595" s="551"/>
    </row>
    <row r="596">
      <c r="A596" s="552"/>
      <c r="B596" s="552"/>
      <c r="C596" s="552"/>
      <c r="D596" s="552"/>
      <c r="E596" s="552"/>
      <c r="F596" s="552"/>
      <c r="G596" s="552"/>
      <c r="H596" s="552"/>
      <c r="I596" s="552"/>
      <c r="J596" s="552"/>
      <c r="K596" s="552"/>
      <c r="L596" s="552"/>
      <c r="M596" s="552"/>
      <c r="N596" s="551"/>
      <c r="O596" s="551"/>
      <c r="P596" s="551"/>
      <c r="Q596" s="551"/>
      <c r="R596" s="551"/>
      <c r="S596" s="551"/>
      <c r="T596" s="551"/>
      <c r="U596" s="551"/>
      <c r="V596" s="551"/>
      <c r="W596" s="551"/>
      <c r="X596" s="551"/>
      <c r="Y596" s="551"/>
      <c r="Z596" s="551"/>
      <c r="AA596" s="551"/>
      <c r="AB596" s="551"/>
      <c r="AC596" s="551"/>
      <c r="AD596" s="551"/>
      <c r="AE596" s="551"/>
      <c r="AF596" s="551"/>
    </row>
    <row r="597">
      <c r="A597" s="552"/>
      <c r="B597" s="552"/>
      <c r="C597" s="552"/>
      <c r="D597" s="552"/>
      <c r="E597" s="552"/>
      <c r="F597" s="552"/>
      <c r="G597" s="552"/>
      <c r="H597" s="552"/>
      <c r="I597" s="552"/>
      <c r="J597" s="552"/>
      <c r="K597" s="552"/>
      <c r="L597" s="552"/>
      <c r="M597" s="552"/>
      <c r="N597" s="551"/>
      <c r="O597" s="551"/>
      <c r="P597" s="551"/>
      <c r="Q597" s="551"/>
      <c r="R597" s="551"/>
      <c r="S597" s="551"/>
      <c r="T597" s="551"/>
      <c r="U597" s="551"/>
      <c r="V597" s="551"/>
      <c r="W597" s="551"/>
      <c r="X597" s="551"/>
      <c r="Y597" s="551"/>
      <c r="Z597" s="551"/>
      <c r="AA597" s="551"/>
      <c r="AB597" s="551"/>
      <c r="AC597" s="551"/>
      <c r="AD597" s="551"/>
      <c r="AE597" s="551"/>
      <c r="AF597" s="551"/>
    </row>
    <row r="598">
      <c r="A598" s="552"/>
      <c r="B598" s="552"/>
      <c r="C598" s="552"/>
      <c r="D598" s="552"/>
      <c r="E598" s="552"/>
      <c r="F598" s="552"/>
      <c r="G598" s="552"/>
      <c r="H598" s="552"/>
      <c r="I598" s="552"/>
      <c r="J598" s="552"/>
      <c r="K598" s="552"/>
      <c r="L598" s="552"/>
      <c r="M598" s="552"/>
      <c r="N598" s="551"/>
      <c r="O598" s="551"/>
      <c r="P598" s="551"/>
      <c r="Q598" s="551"/>
      <c r="R598" s="551"/>
      <c r="S598" s="551"/>
      <c r="T598" s="551"/>
      <c r="U598" s="551"/>
      <c r="V598" s="551"/>
      <c r="W598" s="551"/>
      <c r="X598" s="551"/>
      <c r="Y598" s="551"/>
      <c r="Z598" s="551"/>
      <c r="AA598" s="551"/>
      <c r="AB598" s="551"/>
      <c r="AC598" s="551"/>
      <c r="AD598" s="551"/>
      <c r="AE598" s="551"/>
      <c r="AF598" s="551"/>
    </row>
    <row r="599">
      <c r="A599" s="552"/>
      <c r="B599" s="552"/>
      <c r="C599" s="552"/>
      <c r="D599" s="552"/>
      <c r="E599" s="552"/>
      <c r="F599" s="552"/>
      <c r="G599" s="552"/>
      <c r="H599" s="552"/>
      <c r="I599" s="552"/>
      <c r="J599" s="552"/>
      <c r="K599" s="552"/>
      <c r="L599" s="552"/>
      <c r="M599" s="552"/>
      <c r="N599" s="551"/>
      <c r="O599" s="551"/>
      <c r="P599" s="551"/>
      <c r="Q599" s="551"/>
      <c r="R599" s="551"/>
      <c r="S599" s="551"/>
      <c r="T599" s="551"/>
      <c r="U599" s="551"/>
      <c r="V599" s="551"/>
      <c r="W599" s="551"/>
      <c r="X599" s="551"/>
      <c r="Y599" s="551"/>
      <c r="Z599" s="551"/>
      <c r="AA599" s="551"/>
      <c r="AB599" s="551"/>
      <c r="AC599" s="551"/>
      <c r="AD599" s="551"/>
      <c r="AE599" s="551"/>
      <c r="AF599" s="551"/>
    </row>
    <row r="600">
      <c r="A600" s="552"/>
      <c r="B600" s="552"/>
      <c r="C600" s="552"/>
      <c r="D600" s="552"/>
      <c r="E600" s="552"/>
      <c r="F600" s="552"/>
      <c r="G600" s="552"/>
      <c r="H600" s="552"/>
      <c r="I600" s="552"/>
      <c r="J600" s="552"/>
      <c r="K600" s="552"/>
      <c r="L600" s="552"/>
      <c r="M600" s="552"/>
      <c r="N600" s="551"/>
      <c r="O600" s="551"/>
      <c r="P600" s="551"/>
      <c r="Q600" s="551"/>
      <c r="R600" s="551"/>
      <c r="S600" s="551"/>
      <c r="T600" s="551"/>
      <c r="U600" s="551"/>
      <c r="V600" s="551"/>
      <c r="W600" s="551"/>
      <c r="X600" s="551"/>
      <c r="Y600" s="551"/>
      <c r="Z600" s="551"/>
      <c r="AA600" s="551"/>
      <c r="AB600" s="551"/>
      <c r="AC600" s="551"/>
      <c r="AD600" s="551"/>
      <c r="AE600" s="551"/>
      <c r="AF600" s="551"/>
    </row>
    <row r="601">
      <c r="A601" s="552"/>
      <c r="B601" s="552"/>
      <c r="C601" s="552"/>
      <c r="D601" s="552"/>
      <c r="E601" s="552"/>
      <c r="F601" s="552"/>
      <c r="G601" s="552"/>
      <c r="H601" s="552"/>
      <c r="I601" s="552"/>
      <c r="J601" s="552"/>
      <c r="K601" s="552"/>
      <c r="L601" s="552"/>
      <c r="M601" s="552"/>
      <c r="N601" s="551"/>
      <c r="O601" s="551"/>
      <c r="P601" s="551"/>
      <c r="Q601" s="551"/>
      <c r="R601" s="551"/>
      <c r="S601" s="551"/>
      <c r="T601" s="551"/>
      <c r="U601" s="551"/>
      <c r="V601" s="551"/>
      <c r="W601" s="551"/>
      <c r="X601" s="551"/>
      <c r="Y601" s="551"/>
      <c r="Z601" s="551"/>
      <c r="AA601" s="551"/>
      <c r="AB601" s="551"/>
      <c r="AC601" s="551"/>
      <c r="AD601" s="551"/>
      <c r="AE601" s="551"/>
      <c r="AF601" s="551"/>
    </row>
    <row r="602">
      <c r="A602" s="552"/>
      <c r="B602" s="552"/>
      <c r="C602" s="552"/>
      <c r="D602" s="552"/>
      <c r="E602" s="552"/>
      <c r="F602" s="552"/>
      <c r="G602" s="552"/>
      <c r="H602" s="552"/>
      <c r="I602" s="552"/>
      <c r="J602" s="552"/>
      <c r="K602" s="552"/>
      <c r="L602" s="552"/>
      <c r="M602" s="552"/>
      <c r="N602" s="551"/>
      <c r="O602" s="551"/>
      <c r="P602" s="551"/>
      <c r="Q602" s="551"/>
      <c r="R602" s="551"/>
      <c r="S602" s="551"/>
      <c r="T602" s="551"/>
      <c r="U602" s="551"/>
      <c r="V602" s="551"/>
      <c r="W602" s="551"/>
      <c r="X602" s="551"/>
      <c r="Y602" s="551"/>
      <c r="Z602" s="551"/>
      <c r="AA602" s="551"/>
      <c r="AB602" s="551"/>
      <c r="AC602" s="551"/>
      <c r="AD602" s="551"/>
      <c r="AE602" s="551"/>
      <c r="AF602" s="551"/>
    </row>
    <row r="603">
      <c r="A603" s="552"/>
      <c r="B603" s="552"/>
      <c r="C603" s="552"/>
      <c r="D603" s="552"/>
      <c r="E603" s="552"/>
      <c r="F603" s="552"/>
      <c r="G603" s="552"/>
      <c r="H603" s="552"/>
      <c r="I603" s="552"/>
      <c r="J603" s="552"/>
      <c r="K603" s="552"/>
      <c r="L603" s="552"/>
      <c r="M603" s="552"/>
      <c r="N603" s="551"/>
      <c r="O603" s="551"/>
      <c r="P603" s="551"/>
      <c r="Q603" s="551"/>
      <c r="R603" s="551"/>
      <c r="S603" s="551"/>
      <c r="T603" s="551"/>
      <c r="U603" s="551"/>
      <c r="V603" s="551"/>
      <c r="W603" s="551"/>
      <c r="X603" s="551"/>
      <c r="Y603" s="551"/>
      <c r="Z603" s="551"/>
      <c r="AA603" s="551"/>
      <c r="AB603" s="551"/>
      <c r="AC603" s="551"/>
      <c r="AD603" s="551"/>
      <c r="AE603" s="551"/>
      <c r="AF603" s="551"/>
    </row>
    <row r="604">
      <c r="A604" s="552"/>
      <c r="B604" s="552"/>
      <c r="C604" s="552"/>
      <c r="D604" s="552"/>
      <c r="E604" s="552"/>
      <c r="F604" s="552"/>
      <c r="G604" s="552"/>
      <c r="H604" s="552"/>
      <c r="I604" s="552"/>
      <c r="J604" s="552"/>
      <c r="K604" s="552"/>
      <c r="L604" s="552"/>
      <c r="M604" s="552"/>
      <c r="N604" s="551"/>
      <c r="O604" s="551"/>
      <c r="P604" s="551"/>
      <c r="Q604" s="551"/>
      <c r="R604" s="551"/>
      <c r="S604" s="551"/>
      <c r="T604" s="551"/>
      <c r="U604" s="551"/>
      <c r="V604" s="551"/>
      <c r="W604" s="551"/>
      <c r="X604" s="551"/>
      <c r="Y604" s="551"/>
      <c r="Z604" s="551"/>
      <c r="AA604" s="551"/>
      <c r="AB604" s="551"/>
      <c r="AC604" s="551"/>
      <c r="AD604" s="551"/>
      <c r="AE604" s="551"/>
      <c r="AF604" s="551"/>
    </row>
    <row r="605">
      <c r="A605" s="552"/>
      <c r="B605" s="552"/>
      <c r="C605" s="552"/>
      <c r="D605" s="552"/>
      <c r="E605" s="552"/>
      <c r="F605" s="552"/>
      <c r="G605" s="552"/>
      <c r="H605" s="552"/>
      <c r="I605" s="552"/>
      <c r="J605" s="552"/>
      <c r="K605" s="552"/>
      <c r="L605" s="552"/>
      <c r="M605" s="552"/>
      <c r="N605" s="551"/>
      <c r="O605" s="551"/>
      <c r="P605" s="551"/>
      <c r="Q605" s="551"/>
      <c r="R605" s="551"/>
      <c r="S605" s="551"/>
      <c r="T605" s="551"/>
      <c r="U605" s="551"/>
      <c r="V605" s="551"/>
      <c r="W605" s="551"/>
      <c r="X605" s="551"/>
      <c r="Y605" s="551"/>
      <c r="Z605" s="551"/>
      <c r="AA605" s="551"/>
      <c r="AB605" s="551"/>
      <c r="AC605" s="551"/>
      <c r="AD605" s="551"/>
      <c r="AE605" s="551"/>
      <c r="AF605" s="551"/>
    </row>
    <row r="606">
      <c r="A606" s="552"/>
      <c r="B606" s="552"/>
      <c r="C606" s="552"/>
      <c r="D606" s="552"/>
      <c r="E606" s="552"/>
      <c r="F606" s="552"/>
      <c r="G606" s="552"/>
      <c r="H606" s="552"/>
      <c r="I606" s="552"/>
      <c r="J606" s="552"/>
      <c r="K606" s="552"/>
      <c r="L606" s="552"/>
      <c r="M606" s="552"/>
      <c r="N606" s="551"/>
      <c r="O606" s="551"/>
      <c r="P606" s="551"/>
      <c r="Q606" s="551"/>
      <c r="R606" s="551"/>
      <c r="S606" s="551"/>
      <c r="T606" s="551"/>
      <c r="U606" s="551"/>
      <c r="V606" s="551"/>
      <c r="W606" s="551"/>
      <c r="X606" s="551"/>
      <c r="Y606" s="551"/>
      <c r="Z606" s="551"/>
      <c r="AA606" s="551"/>
      <c r="AB606" s="551"/>
      <c r="AC606" s="551"/>
      <c r="AD606" s="551"/>
      <c r="AE606" s="551"/>
      <c r="AF606" s="551"/>
    </row>
    <row r="607">
      <c r="A607" s="552"/>
      <c r="B607" s="552"/>
      <c r="C607" s="552"/>
      <c r="D607" s="552"/>
      <c r="E607" s="552"/>
      <c r="F607" s="552"/>
      <c r="G607" s="552"/>
      <c r="H607" s="552"/>
      <c r="I607" s="552"/>
      <c r="J607" s="552"/>
      <c r="K607" s="552"/>
      <c r="L607" s="552"/>
      <c r="M607" s="552"/>
      <c r="N607" s="551"/>
      <c r="O607" s="551"/>
      <c r="P607" s="551"/>
      <c r="Q607" s="551"/>
      <c r="R607" s="551"/>
      <c r="S607" s="551"/>
      <c r="T607" s="551"/>
      <c r="U607" s="551"/>
      <c r="V607" s="551"/>
      <c r="W607" s="551"/>
      <c r="X607" s="551"/>
      <c r="Y607" s="551"/>
      <c r="Z607" s="551"/>
      <c r="AA607" s="551"/>
      <c r="AB607" s="551"/>
      <c r="AC607" s="551"/>
      <c r="AD607" s="551"/>
      <c r="AE607" s="551"/>
      <c r="AF607" s="551"/>
    </row>
    <row r="608">
      <c r="A608" s="552"/>
      <c r="B608" s="552"/>
      <c r="C608" s="552"/>
      <c r="D608" s="552"/>
      <c r="E608" s="552"/>
      <c r="F608" s="552"/>
      <c r="G608" s="552"/>
      <c r="H608" s="552"/>
      <c r="I608" s="552"/>
      <c r="J608" s="552"/>
      <c r="K608" s="552"/>
      <c r="L608" s="552"/>
      <c r="M608" s="552"/>
      <c r="N608" s="551"/>
      <c r="O608" s="551"/>
      <c r="P608" s="551"/>
      <c r="Q608" s="551"/>
      <c r="R608" s="551"/>
      <c r="S608" s="551"/>
      <c r="T608" s="551"/>
      <c r="U608" s="551"/>
      <c r="V608" s="551"/>
      <c r="W608" s="551"/>
      <c r="X608" s="551"/>
      <c r="Y608" s="551"/>
      <c r="Z608" s="551"/>
      <c r="AA608" s="551"/>
      <c r="AB608" s="551"/>
      <c r="AC608" s="551"/>
      <c r="AD608" s="551"/>
      <c r="AE608" s="551"/>
      <c r="AF608" s="551"/>
    </row>
    <row r="609">
      <c r="A609" s="552"/>
      <c r="B609" s="552"/>
      <c r="C609" s="552"/>
      <c r="D609" s="552"/>
      <c r="E609" s="552"/>
      <c r="F609" s="552"/>
      <c r="G609" s="552"/>
      <c r="H609" s="552"/>
      <c r="I609" s="552"/>
      <c r="J609" s="552"/>
      <c r="K609" s="552"/>
      <c r="L609" s="552"/>
      <c r="M609" s="552"/>
      <c r="N609" s="551"/>
      <c r="O609" s="551"/>
      <c r="P609" s="551"/>
      <c r="Q609" s="551"/>
      <c r="R609" s="551"/>
      <c r="S609" s="551"/>
      <c r="T609" s="551"/>
      <c r="U609" s="551"/>
      <c r="V609" s="551"/>
      <c r="W609" s="551"/>
      <c r="X609" s="551"/>
      <c r="Y609" s="551"/>
      <c r="Z609" s="551"/>
      <c r="AA609" s="551"/>
      <c r="AB609" s="551"/>
      <c r="AC609" s="551"/>
      <c r="AD609" s="551"/>
      <c r="AE609" s="551"/>
      <c r="AF609" s="551"/>
    </row>
    <row r="610">
      <c r="A610" s="552"/>
      <c r="B610" s="552"/>
      <c r="C610" s="552"/>
      <c r="D610" s="552"/>
      <c r="E610" s="552"/>
      <c r="F610" s="552"/>
      <c r="G610" s="552"/>
      <c r="H610" s="552"/>
      <c r="I610" s="552"/>
      <c r="J610" s="552"/>
      <c r="K610" s="552"/>
      <c r="L610" s="552"/>
      <c r="M610" s="552"/>
      <c r="N610" s="551"/>
      <c r="O610" s="551"/>
      <c r="P610" s="551"/>
      <c r="Q610" s="551"/>
      <c r="R610" s="551"/>
      <c r="S610" s="551"/>
      <c r="T610" s="551"/>
      <c r="U610" s="551"/>
      <c r="V610" s="551"/>
      <c r="W610" s="551"/>
      <c r="X610" s="551"/>
      <c r="Y610" s="551"/>
      <c r="Z610" s="551"/>
      <c r="AA610" s="551"/>
      <c r="AB610" s="551"/>
      <c r="AC610" s="551"/>
      <c r="AD610" s="551"/>
      <c r="AE610" s="551"/>
      <c r="AF610" s="551"/>
    </row>
    <row r="611">
      <c r="A611" s="552"/>
      <c r="B611" s="552"/>
      <c r="C611" s="552"/>
      <c r="D611" s="552"/>
      <c r="E611" s="552"/>
      <c r="F611" s="552"/>
      <c r="G611" s="552"/>
      <c r="H611" s="552"/>
      <c r="I611" s="552"/>
      <c r="J611" s="552"/>
      <c r="K611" s="552"/>
      <c r="L611" s="552"/>
      <c r="M611" s="552"/>
      <c r="N611" s="551"/>
      <c r="O611" s="551"/>
      <c r="P611" s="551"/>
      <c r="Q611" s="551"/>
      <c r="R611" s="551"/>
      <c r="S611" s="551"/>
      <c r="T611" s="551"/>
      <c r="U611" s="551"/>
      <c r="V611" s="551"/>
      <c r="W611" s="551"/>
      <c r="X611" s="551"/>
      <c r="Y611" s="551"/>
      <c r="Z611" s="551"/>
      <c r="AA611" s="551"/>
      <c r="AB611" s="551"/>
      <c r="AC611" s="551"/>
      <c r="AD611" s="551"/>
      <c r="AE611" s="551"/>
      <c r="AF611" s="551"/>
    </row>
    <row r="612">
      <c r="A612" s="552"/>
      <c r="B612" s="552"/>
      <c r="C612" s="552"/>
      <c r="D612" s="552"/>
      <c r="E612" s="552"/>
      <c r="F612" s="552"/>
      <c r="G612" s="552"/>
      <c r="H612" s="552"/>
      <c r="I612" s="552"/>
      <c r="J612" s="552"/>
      <c r="K612" s="552"/>
      <c r="L612" s="552"/>
      <c r="M612" s="552"/>
      <c r="N612" s="551"/>
      <c r="O612" s="551"/>
      <c r="P612" s="551"/>
      <c r="Q612" s="551"/>
      <c r="R612" s="551"/>
      <c r="S612" s="551"/>
      <c r="T612" s="551"/>
      <c r="U612" s="551"/>
      <c r="V612" s="551"/>
      <c r="W612" s="551"/>
      <c r="X612" s="551"/>
      <c r="Y612" s="551"/>
      <c r="Z612" s="551"/>
      <c r="AA612" s="551"/>
      <c r="AB612" s="551"/>
      <c r="AC612" s="551"/>
      <c r="AD612" s="551"/>
      <c r="AE612" s="551"/>
      <c r="AF612" s="551"/>
    </row>
    <row r="613">
      <c r="A613" s="552"/>
      <c r="B613" s="552"/>
      <c r="C613" s="552"/>
      <c r="D613" s="552"/>
      <c r="E613" s="552"/>
      <c r="F613" s="552"/>
      <c r="G613" s="552"/>
      <c r="H613" s="552"/>
      <c r="I613" s="552"/>
      <c r="J613" s="552"/>
      <c r="K613" s="552"/>
      <c r="L613" s="552"/>
      <c r="M613" s="552"/>
      <c r="N613" s="551"/>
      <c r="O613" s="551"/>
      <c r="P613" s="551"/>
      <c r="Q613" s="551"/>
      <c r="R613" s="551"/>
      <c r="S613" s="551"/>
      <c r="T613" s="551"/>
      <c r="U613" s="551"/>
      <c r="V613" s="551"/>
      <c r="W613" s="551"/>
      <c r="X613" s="551"/>
      <c r="Y613" s="551"/>
      <c r="Z613" s="551"/>
      <c r="AA613" s="551"/>
      <c r="AB613" s="551"/>
      <c r="AC613" s="551"/>
      <c r="AD613" s="551"/>
      <c r="AE613" s="551"/>
      <c r="AF613" s="551"/>
    </row>
    <row r="614">
      <c r="A614" s="552"/>
      <c r="B614" s="552"/>
      <c r="C614" s="552"/>
      <c r="D614" s="552"/>
      <c r="E614" s="552"/>
      <c r="F614" s="552"/>
      <c r="G614" s="552"/>
      <c r="H614" s="552"/>
      <c r="I614" s="552"/>
      <c r="J614" s="552"/>
      <c r="K614" s="552"/>
      <c r="L614" s="552"/>
      <c r="M614" s="552"/>
      <c r="N614" s="551"/>
      <c r="O614" s="551"/>
      <c r="P614" s="551"/>
      <c r="Q614" s="551"/>
      <c r="R614" s="551"/>
      <c r="S614" s="551"/>
      <c r="T614" s="551"/>
      <c r="U614" s="551"/>
      <c r="V614" s="551"/>
      <c r="W614" s="551"/>
      <c r="X614" s="551"/>
      <c r="Y614" s="551"/>
      <c r="Z614" s="551"/>
      <c r="AA614" s="551"/>
      <c r="AB614" s="551"/>
      <c r="AC614" s="551"/>
      <c r="AD614" s="551"/>
      <c r="AE614" s="551"/>
      <c r="AF614" s="551"/>
    </row>
    <row r="615">
      <c r="A615" s="552"/>
      <c r="B615" s="552"/>
      <c r="C615" s="552"/>
      <c r="D615" s="552"/>
      <c r="E615" s="552"/>
      <c r="F615" s="552"/>
      <c r="G615" s="552"/>
      <c r="H615" s="552"/>
      <c r="I615" s="552"/>
      <c r="J615" s="552"/>
      <c r="K615" s="552"/>
      <c r="L615" s="552"/>
      <c r="M615" s="552"/>
      <c r="N615" s="551"/>
      <c r="O615" s="551"/>
      <c r="P615" s="551"/>
      <c r="Q615" s="551"/>
      <c r="R615" s="551"/>
      <c r="S615" s="551"/>
      <c r="T615" s="551"/>
      <c r="U615" s="551"/>
      <c r="V615" s="551"/>
      <c r="W615" s="551"/>
      <c r="X615" s="551"/>
      <c r="Y615" s="551"/>
      <c r="Z615" s="551"/>
      <c r="AA615" s="551"/>
      <c r="AB615" s="551"/>
      <c r="AC615" s="551"/>
      <c r="AD615" s="551"/>
      <c r="AE615" s="551"/>
      <c r="AF615" s="551"/>
    </row>
    <row r="616">
      <c r="A616" s="552"/>
      <c r="B616" s="552"/>
      <c r="C616" s="552"/>
      <c r="D616" s="552"/>
      <c r="E616" s="552"/>
      <c r="F616" s="552"/>
      <c r="G616" s="552"/>
      <c r="H616" s="552"/>
      <c r="I616" s="552"/>
      <c r="J616" s="552"/>
      <c r="K616" s="552"/>
      <c r="L616" s="552"/>
      <c r="M616" s="552"/>
      <c r="N616" s="551"/>
      <c r="O616" s="551"/>
      <c r="P616" s="551"/>
      <c r="Q616" s="551"/>
      <c r="R616" s="551"/>
      <c r="S616" s="551"/>
      <c r="T616" s="551"/>
      <c r="U616" s="551"/>
      <c r="V616" s="551"/>
      <c r="W616" s="551"/>
      <c r="X616" s="551"/>
      <c r="Y616" s="551"/>
      <c r="Z616" s="551"/>
      <c r="AA616" s="551"/>
      <c r="AB616" s="551"/>
      <c r="AC616" s="551"/>
      <c r="AD616" s="551"/>
      <c r="AE616" s="551"/>
      <c r="AF616" s="551"/>
    </row>
    <row r="617">
      <c r="A617" s="552"/>
      <c r="B617" s="552"/>
      <c r="C617" s="552"/>
      <c r="D617" s="552"/>
      <c r="E617" s="552"/>
      <c r="F617" s="552"/>
      <c r="G617" s="552"/>
      <c r="H617" s="552"/>
      <c r="I617" s="552"/>
      <c r="J617" s="552"/>
      <c r="K617" s="552"/>
      <c r="L617" s="552"/>
      <c r="M617" s="552"/>
      <c r="N617" s="551"/>
      <c r="O617" s="551"/>
      <c r="P617" s="551"/>
      <c r="Q617" s="551"/>
      <c r="R617" s="551"/>
      <c r="S617" s="551"/>
      <c r="T617" s="551"/>
      <c r="U617" s="551"/>
      <c r="V617" s="551"/>
      <c r="W617" s="551"/>
      <c r="X617" s="551"/>
      <c r="Y617" s="551"/>
      <c r="Z617" s="551"/>
      <c r="AA617" s="551"/>
      <c r="AB617" s="551"/>
      <c r="AC617" s="551"/>
      <c r="AD617" s="551"/>
      <c r="AE617" s="551"/>
      <c r="AF617" s="551"/>
    </row>
    <row r="618">
      <c r="A618" s="552"/>
      <c r="B618" s="552"/>
      <c r="C618" s="552"/>
      <c r="D618" s="552"/>
      <c r="E618" s="552"/>
      <c r="F618" s="552"/>
      <c r="G618" s="552"/>
      <c r="H618" s="552"/>
      <c r="I618" s="552"/>
      <c r="J618" s="552"/>
      <c r="K618" s="552"/>
      <c r="L618" s="552"/>
      <c r="M618" s="552"/>
      <c r="N618" s="551"/>
      <c r="O618" s="551"/>
      <c r="P618" s="551"/>
      <c r="Q618" s="551"/>
      <c r="R618" s="551"/>
      <c r="S618" s="551"/>
      <c r="T618" s="551"/>
      <c r="U618" s="551"/>
      <c r="V618" s="551"/>
      <c r="W618" s="551"/>
      <c r="X618" s="551"/>
      <c r="Y618" s="551"/>
      <c r="Z618" s="551"/>
      <c r="AA618" s="551"/>
      <c r="AB618" s="551"/>
      <c r="AC618" s="551"/>
      <c r="AD618" s="551"/>
      <c r="AE618" s="551"/>
      <c r="AF618" s="551"/>
    </row>
    <row r="619">
      <c r="A619" s="552"/>
      <c r="B619" s="552"/>
      <c r="C619" s="552"/>
      <c r="D619" s="552"/>
      <c r="E619" s="552"/>
      <c r="F619" s="552"/>
      <c r="G619" s="552"/>
      <c r="H619" s="552"/>
      <c r="I619" s="552"/>
      <c r="J619" s="552"/>
      <c r="K619" s="552"/>
      <c r="L619" s="552"/>
      <c r="M619" s="552"/>
      <c r="N619" s="551"/>
      <c r="O619" s="551"/>
      <c r="P619" s="551"/>
      <c r="Q619" s="551"/>
      <c r="R619" s="551"/>
      <c r="S619" s="551"/>
      <c r="T619" s="551"/>
      <c r="U619" s="551"/>
      <c r="V619" s="551"/>
      <c r="W619" s="551"/>
      <c r="X619" s="551"/>
      <c r="Y619" s="551"/>
      <c r="Z619" s="551"/>
      <c r="AA619" s="551"/>
      <c r="AB619" s="551"/>
      <c r="AC619" s="551"/>
      <c r="AD619" s="551"/>
      <c r="AE619" s="551"/>
      <c r="AF619" s="551"/>
    </row>
    <row r="620">
      <c r="A620" s="552"/>
      <c r="B620" s="552"/>
      <c r="C620" s="552"/>
      <c r="D620" s="552"/>
      <c r="E620" s="552"/>
      <c r="F620" s="552"/>
      <c r="G620" s="552"/>
      <c r="H620" s="552"/>
      <c r="I620" s="552"/>
      <c r="J620" s="552"/>
      <c r="K620" s="552"/>
      <c r="L620" s="552"/>
      <c r="M620" s="552"/>
      <c r="N620" s="551"/>
      <c r="O620" s="551"/>
      <c r="P620" s="551"/>
      <c r="Q620" s="551"/>
      <c r="R620" s="551"/>
      <c r="S620" s="551"/>
      <c r="T620" s="551"/>
      <c r="U620" s="551"/>
      <c r="V620" s="551"/>
      <c r="W620" s="551"/>
      <c r="X620" s="551"/>
      <c r="Y620" s="551"/>
      <c r="Z620" s="551"/>
      <c r="AA620" s="551"/>
      <c r="AB620" s="551"/>
      <c r="AC620" s="551"/>
      <c r="AD620" s="551"/>
      <c r="AE620" s="551"/>
      <c r="AF620" s="551"/>
    </row>
    <row r="621">
      <c r="A621" s="552"/>
      <c r="B621" s="552"/>
      <c r="C621" s="552"/>
      <c r="D621" s="552"/>
      <c r="E621" s="552"/>
      <c r="F621" s="552"/>
      <c r="G621" s="552"/>
      <c r="H621" s="552"/>
      <c r="I621" s="552"/>
      <c r="J621" s="552"/>
      <c r="K621" s="552"/>
      <c r="L621" s="552"/>
      <c r="M621" s="552"/>
      <c r="N621" s="551"/>
      <c r="O621" s="551"/>
      <c r="P621" s="551"/>
      <c r="Q621" s="551"/>
      <c r="R621" s="551"/>
      <c r="S621" s="551"/>
      <c r="T621" s="551"/>
      <c r="U621" s="551"/>
      <c r="V621" s="551"/>
      <c r="W621" s="551"/>
      <c r="X621" s="551"/>
      <c r="Y621" s="551"/>
      <c r="Z621" s="551"/>
      <c r="AA621" s="551"/>
      <c r="AB621" s="551"/>
      <c r="AC621" s="551"/>
      <c r="AD621" s="551"/>
      <c r="AE621" s="551"/>
      <c r="AF621" s="551"/>
    </row>
    <row r="622">
      <c r="A622" s="552"/>
      <c r="B622" s="552"/>
      <c r="C622" s="552"/>
      <c r="D622" s="552"/>
      <c r="E622" s="552"/>
      <c r="F622" s="552"/>
      <c r="G622" s="552"/>
      <c r="H622" s="552"/>
      <c r="I622" s="552"/>
      <c r="J622" s="552"/>
      <c r="K622" s="552"/>
      <c r="L622" s="552"/>
      <c r="M622" s="552"/>
      <c r="N622" s="551"/>
      <c r="O622" s="551"/>
      <c r="P622" s="551"/>
      <c r="Q622" s="551"/>
      <c r="R622" s="551"/>
      <c r="S622" s="551"/>
      <c r="T622" s="551"/>
      <c r="U622" s="551"/>
      <c r="V622" s="551"/>
      <c r="W622" s="551"/>
      <c r="X622" s="551"/>
      <c r="Y622" s="551"/>
      <c r="Z622" s="551"/>
      <c r="AA622" s="551"/>
      <c r="AB622" s="551"/>
      <c r="AC622" s="551"/>
      <c r="AD622" s="551"/>
      <c r="AE622" s="551"/>
      <c r="AF622" s="551"/>
    </row>
    <row r="623">
      <c r="A623" s="552"/>
      <c r="B623" s="552"/>
      <c r="C623" s="552"/>
      <c r="D623" s="552"/>
      <c r="E623" s="552"/>
      <c r="F623" s="552"/>
      <c r="G623" s="552"/>
      <c r="H623" s="552"/>
      <c r="I623" s="552"/>
      <c r="J623" s="552"/>
      <c r="K623" s="552"/>
      <c r="L623" s="552"/>
      <c r="M623" s="552"/>
      <c r="N623" s="551"/>
      <c r="O623" s="551"/>
      <c r="P623" s="551"/>
      <c r="Q623" s="551"/>
      <c r="R623" s="551"/>
      <c r="S623" s="551"/>
      <c r="T623" s="551"/>
      <c r="U623" s="551"/>
      <c r="V623" s="551"/>
      <c r="W623" s="551"/>
      <c r="X623" s="551"/>
      <c r="Y623" s="551"/>
      <c r="Z623" s="551"/>
      <c r="AA623" s="551"/>
      <c r="AB623" s="551"/>
      <c r="AC623" s="551"/>
      <c r="AD623" s="551"/>
      <c r="AE623" s="551"/>
      <c r="AF623" s="551"/>
    </row>
    <row r="624">
      <c r="A624" s="552"/>
      <c r="B624" s="552"/>
      <c r="C624" s="552"/>
      <c r="D624" s="552"/>
      <c r="E624" s="552"/>
      <c r="F624" s="552"/>
      <c r="G624" s="552"/>
      <c r="H624" s="552"/>
      <c r="I624" s="552"/>
      <c r="J624" s="552"/>
      <c r="K624" s="552"/>
      <c r="L624" s="552"/>
      <c r="M624" s="552"/>
      <c r="N624" s="551"/>
      <c r="O624" s="551"/>
      <c r="P624" s="551"/>
      <c r="Q624" s="551"/>
      <c r="R624" s="551"/>
      <c r="S624" s="551"/>
      <c r="T624" s="551"/>
      <c r="U624" s="551"/>
      <c r="V624" s="551"/>
      <c r="W624" s="551"/>
      <c r="X624" s="551"/>
      <c r="Y624" s="551"/>
      <c r="Z624" s="551"/>
      <c r="AA624" s="551"/>
      <c r="AB624" s="551"/>
      <c r="AC624" s="551"/>
      <c r="AD624" s="551"/>
      <c r="AE624" s="551"/>
      <c r="AF624" s="551"/>
    </row>
    <row r="625">
      <c r="A625" s="552"/>
      <c r="B625" s="552"/>
      <c r="C625" s="552"/>
      <c r="D625" s="552"/>
      <c r="E625" s="552"/>
      <c r="F625" s="552"/>
      <c r="G625" s="552"/>
      <c r="H625" s="552"/>
      <c r="I625" s="552"/>
      <c r="J625" s="552"/>
      <c r="K625" s="552"/>
      <c r="L625" s="552"/>
      <c r="M625" s="552"/>
      <c r="N625" s="551"/>
      <c r="O625" s="551"/>
      <c r="P625" s="551"/>
      <c r="Q625" s="551"/>
      <c r="R625" s="551"/>
      <c r="S625" s="551"/>
      <c r="T625" s="551"/>
      <c r="U625" s="551"/>
      <c r="V625" s="551"/>
      <c r="W625" s="551"/>
      <c r="X625" s="551"/>
      <c r="Y625" s="551"/>
      <c r="Z625" s="551"/>
      <c r="AA625" s="551"/>
      <c r="AB625" s="551"/>
      <c r="AC625" s="551"/>
      <c r="AD625" s="551"/>
      <c r="AE625" s="551"/>
      <c r="AF625" s="551"/>
    </row>
    <row r="626">
      <c r="A626" s="552"/>
      <c r="B626" s="552"/>
      <c r="C626" s="552"/>
      <c r="D626" s="552"/>
      <c r="E626" s="552"/>
      <c r="F626" s="552"/>
      <c r="G626" s="552"/>
      <c r="H626" s="552"/>
      <c r="I626" s="552"/>
      <c r="J626" s="552"/>
      <c r="K626" s="552"/>
      <c r="L626" s="552"/>
      <c r="M626" s="552"/>
      <c r="N626" s="551"/>
      <c r="O626" s="551"/>
      <c r="P626" s="551"/>
      <c r="Q626" s="551"/>
      <c r="R626" s="551"/>
      <c r="S626" s="551"/>
      <c r="T626" s="551"/>
      <c r="U626" s="551"/>
      <c r="V626" s="551"/>
      <c r="W626" s="551"/>
      <c r="X626" s="551"/>
      <c r="Y626" s="551"/>
      <c r="Z626" s="551"/>
      <c r="AA626" s="551"/>
      <c r="AB626" s="551"/>
      <c r="AC626" s="551"/>
      <c r="AD626" s="551"/>
      <c r="AE626" s="551"/>
      <c r="AF626" s="551"/>
    </row>
    <row r="627">
      <c r="A627" s="552"/>
      <c r="B627" s="552"/>
      <c r="C627" s="552"/>
      <c r="D627" s="552"/>
      <c r="E627" s="552"/>
      <c r="F627" s="552"/>
      <c r="G627" s="552"/>
      <c r="H627" s="552"/>
      <c r="I627" s="552"/>
      <c r="J627" s="552"/>
      <c r="K627" s="552"/>
      <c r="L627" s="552"/>
      <c r="M627" s="552"/>
      <c r="N627" s="551"/>
      <c r="O627" s="551"/>
      <c r="P627" s="551"/>
      <c r="Q627" s="551"/>
      <c r="R627" s="551"/>
      <c r="S627" s="551"/>
      <c r="T627" s="551"/>
      <c r="U627" s="551"/>
      <c r="V627" s="551"/>
      <c r="W627" s="551"/>
      <c r="X627" s="551"/>
      <c r="Y627" s="551"/>
      <c r="Z627" s="551"/>
      <c r="AA627" s="551"/>
      <c r="AB627" s="551"/>
      <c r="AC627" s="551"/>
      <c r="AD627" s="551"/>
      <c r="AE627" s="551"/>
      <c r="AF627" s="551"/>
    </row>
    <row r="628">
      <c r="A628" s="552"/>
      <c r="B628" s="552"/>
      <c r="C628" s="552"/>
      <c r="D628" s="552"/>
      <c r="E628" s="552"/>
      <c r="F628" s="552"/>
      <c r="G628" s="552"/>
      <c r="H628" s="552"/>
      <c r="I628" s="552"/>
      <c r="J628" s="552"/>
      <c r="K628" s="552"/>
      <c r="L628" s="552"/>
      <c r="M628" s="552"/>
      <c r="N628" s="551"/>
      <c r="O628" s="551"/>
      <c r="P628" s="551"/>
      <c r="Q628" s="551"/>
      <c r="R628" s="551"/>
      <c r="S628" s="551"/>
      <c r="T628" s="551"/>
      <c r="U628" s="551"/>
      <c r="V628" s="551"/>
      <c r="W628" s="551"/>
      <c r="X628" s="551"/>
      <c r="Y628" s="551"/>
      <c r="Z628" s="551"/>
      <c r="AA628" s="551"/>
      <c r="AB628" s="551"/>
      <c r="AC628" s="551"/>
      <c r="AD628" s="551"/>
      <c r="AE628" s="551"/>
      <c r="AF628" s="551"/>
    </row>
    <row r="629">
      <c r="A629" s="552"/>
      <c r="B629" s="552"/>
      <c r="C629" s="552"/>
      <c r="D629" s="552"/>
      <c r="E629" s="552"/>
      <c r="F629" s="552"/>
      <c r="G629" s="552"/>
      <c r="H629" s="552"/>
      <c r="I629" s="552"/>
      <c r="J629" s="552"/>
      <c r="K629" s="552"/>
      <c r="L629" s="552"/>
      <c r="M629" s="552"/>
      <c r="N629" s="551"/>
      <c r="O629" s="551"/>
      <c r="P629" s="551"/>
      <c r="Q629" s="551"/>
      <c r="R629" s="551"/>
      <c r="S629" s="551"/>
      <c r="T629" s="551"/>
      <c r="U629" s="551"/>
      <c r="V629" s="551"/>
      <c r="W629" s="551"/>
      <c r="X629" s="551"/>
      <c r="Y629" s="551"/>
      <c r="Z629" s="551"/>
      <c r="AA629" s="551"/>
      <c r="AB629" s="551"/>
      <c r="AC629" s="551"/>
      <c r="AD629" s="551"/>
      <c r="AE629" s="551"/>
      <c r="AF629" s="551"/>
    </row>
    <row r="630">
      <c r="A630" s="552"/>
      <c r="B630" s="552"/>
      <c r="C630" s="552"/>
      <c r="D630" s="552"/>
      <c r="E630" s="552"/>
      <c r="F630" s="552"/>
      <c r="G630" s="552"/>
      <c r="H630" s="552"/>
      <c r="I630" s="552"/>
      <c r="J630" s="552"/>
      <c r="K630" s="552"/>
      <c r="L630" s="552"/>
      <c r="M630" s="552"/>
      <c r="N630" s="551"/>
      <c r="O630" s="551"/>
      <c r="P630" s="551"/>
      <c r="Q630" s="551"/>
      <c r="R630" s="551"/>
      <c r="S630" s="551"/>
      <c r="T630" s="551"/>
      <c r="U630" s="551"/>
      <c r="V630" s="551"/>
      <c r="W630" s="551"/>
      <c r="X630" s="551"/>
      <c r="Y630" s="551"/>
      <c r="Z630" s="551"/>
      <c r="AA630" s="551"/>
      <c r="AB630" s="551"/>
      <c r="AC630" s="551"/>
      <c r="AD630" s="551"/>
      <c r="AE630" s="551"/>
      <c r="AF630" s="551"/>
    </row>
    <row r="631">
      <c r="A631" s="552"/>
      <c r="B631" s="552"/>
      <c r="C631" s="552"/>
      <c r="D631" s="552"/>
      <c r="E631" s="552"/>
      <c r="F631" s="552"/>
      <c r="G631" s="552"/>
      <c r="H631" s="552"/>
      <c r="I631" s="552"/>
      <c r="J631" s="552"/>
      <c r="K631" s="552"/>
      <c r="L631" s="552"/>
      <c r="M631" s="552"/>
      <c r="N631" s="551"/>
      <c r="O631" s="551"/>
      <c r="P631" s="551"/>
      <c r="Q631" s="551"/>
      <c r="R631" s="551"/>
      <c r="S631" s="551"/>
      <c r="T631" s="551"/>
      <c r="U631" s="551"/>
      <c r="V631" s="551"/>
      <c r="W631" s="551"/>
      <c r="X631" s="551"/>
      <c r="Y631" s="551"/>
      <c r="Z631" s="551"/>
      <c r="AA631" s="551"/>
      <c r="AB631" s="551"/>
      <c r="AC631" s="551"/>
      <c r="AD631" s="551"/>
      <c r="AE631" s="551"/>
      <c r="AF631" s="551"/>
    </row>
    <row r="632">
      <c r="A632" s="552"/>
      <c r="B632" s="552"/>
      <c r="C632" s="552"/>
      <c r="D632" s="552"/>
      <c r="E632" s="552"/>
      <c r="F632" s="552"/>
      <c r="G632" s="552"/>
      <c r="H632" s="552"/>
      <c r="I632" s="552"/>
      <c r="J632" s="552"/>
      <c r="K632" s="552"/>
      <c r="L632" s="552"/>
      <c r="M632" s="552"/>
      <c r="N632" s="551"/>
      <c r="O632" s="551"/>
      <c r="P632" s="551"/>
      <c r="Q632" s="551"/>
      <c r="R632" s="551"/>
      <c r="S632" s="551"/>
      <c r="T632" s="551"/>
      <c r="U632" s="551"/>
      <c r="V632" s="551"/>
      <c r="W632" s="551"/>
      <c r="X632" s="551"/>
      <c r="Y632" s="551"/>
      <c r="Z632" s="551"/>
      <c r="AA632" s="551"/>
      <c r="AB632" s="551"/>
      <c r="AC632" s="551"/>
      <c r="AD632" s="551"/>
      <c r="AE632" s="551"/>
      <c r="AF632" s="551"/>
    </row>
    <row r="633">
      <c r="A633" s="552"/>
      <c r="B633" s="552"/>
      <c r="C633" s="552"/>
      <c r="D633" s="552"/>
      <c r="E633" s="552"/>
      <c r="F633" s="552"/>
      <c r="G633" s="552"/>
      <c r="H633" s="552"/>
      <c r="I633" s="552"/>
      <c r="J633" s="552"/>
      <c r="K633" s="552"/>
      <c r="L633" s="552"/>
      <c r="M633" s="552"/>
      <c r="N633" s="551"/>
      <c r="O633" s="551"/>
      <c r="P633" s="551"/>
      <c r="Q633" s="551"/>
      <c r="R633" s="551"/>
      <c r="S633" s="551"/>
      <c r="T633" s="551"/>
      <c r="U633" s="551"/>
      <c r="V633" s="551"/>
      <c r="W633" s="551"/>
      <c r="X633" s="551"/>
      <c r="Y633" s="551"/>
      <c r="Z633" s="551"/>
      <c r="AA633" s="551"/>
      <c r="AB633" s="551"/>
      <c r="AC633" s="551"/>
      <c r="AD633" s="551"/>
      <c r="AE633" s="551"/>
      <c r="AF633" s="551"/>
    </row>
    <row r="634">
      <c r="A634" s="552"/>
      <c r="B634" s="552"/>
      <c r="C634" s="552"/>
      <c r="D634" s="552"/>
      <c r="E634" s="552"/>
      <c r="F634" s="552"/>
      <c r="G634" s="552"/>
      <c r="H634" s="552"/>
      <c r="I634" s="552"/>
      <c r="J634" s="552"/>
      <c r="K634" s="552"/>
      <c r="L634" s="552"/>
      <c r="M634" s="552"/>
      <c r="N634" s="551"/>
      <c r="O634" s="551"/>
      <c r="P634" s="551"/>
      <c r="Q634" s="551"/>
      <c r="R634" s="551"/>
      <c r="S634" s="551"/>
      <c r="T634" s="551"/>
      <c r="U634" s="551"/>
      <c r="V634" s="551"/>
      <c r="W634" s="551"/>
      <c r="X634" s="551"/>
      <c r="Y634" s="551"/>
      <c r="Z634" s="551"/>
      <c r="AA634" s="551"/>
      <c r="AB634" s="551"/>
      <c r="AC634" s="551"/>
      <c r="AD634" s="551"/>
      <c r="AE634" s="551"/>
      <c r="AF634" s="551"/>
    </row>
    <row r="635">
      <c r="A635" s="552"/>
      <c r="B635" s="552"/>
      <c r="C635" s="552"/>
      <c r="D635" s="552"/>
      <c r="E635" s="552"/>
      <c r="F635" s="552"/>
      <c r="G635" s="552"/>
      <c r="H635" s="552"/>
      <c r="I635" s="552"/>
      <c r="J635" s="552"/>
      <c r="K635" s="552"/>
      <c r="L635" s="552"/>
      <c r="M635" s="552"/>
      <c r="N635" s="551"/>
      <c r="O635" s="551"/>
      <c r="P635" s="551"/>
      <c r="Q635" s="551"/>
      <c r="R635" s="551"/>
      <c r="S635" s="551"/>
      <c r="T635" s="551"/>
      <c r="U635" s="551"/>
      <c r="V635" s="551"/>
      <c r="W635" s="551"/>
      <c r="X635" s="551"/>
      <c r="Y635" s="551"/>
      <c r="Z635" s="551"/>
      <c r="AA635" s="551"/>
      <c r="AB635" s="551"/>
      <c r="AC635" s="551"/>
      <c r="AD635" s="551"/>
      <c r="AE635" s="551"/>
      <c r="AF635" s="551"/>
    </row>
    <row r="636">
      <c r="A636" s="552"/>
      <c r="B636" s="552"/>
      <c r="C636" s="552"/>
      <c r="D636" s="552"/>
      <c r="E636" s="552"/>
      <c r="F636" s="552"/>
      <c r="G636" s="552"/>
      <c r="H636" s="552"/>
      <c r="I636" s="552"/>
      <c r="J636" s="552"/>
      <c r="K636" s="552"/>
      <c r="L636" s="552"/>
      <c r="M636" s="552"/>
      <c r="N636" s="551"/>
      <c r="O636" s="551"/>
      <c r="P636" s="551"/>
      <c r="Q636" s="551"/>
      <c r="R636" s="551"/>
      <c r="S636" s="551"/>
      <c r="T636" s="551"/>
      <c r="U636" s="551"/>
      <c r="V636" s="551"/>
      <c r="W636" s="551"/>
      <c r="X636" s="551"/>
      <c r="Y636" s="551"/>
      <c r="Z636" s="551"/>
      <c r="AA636" s="551"/>
      <c r="AB636" s="551"/>
      <c r="AC636" s="551"/>
      <c r="AD636" s="551"/>
      <c r="AE636" s="551"/>
      <c r="AF636" s="551"/>
    </row>
    <row r="637">
      <c r="A637" s="552"/>
      <c r="B637" s="552"/>
      <c r="C637" s="552"/>
      <c r="D637" s="552"/>
      <c r="E637" s="552"/>
      <c r="F637" s="552"/>
      <c r="G637" s="552"/>
      <c r="H637" s="552"/>
      <c r="I637" s="552"/>
      <c r="J637" s="552"/>
      <c r="K637" s="552"/>
      <c r="L637" s="552"/>
      <c r="M637" s="552"/>
      <c r="N637" s="551"/>
      <c r="O637" s="551"/>
      <c r="P637" s="551"/>
      <c r="Q637" s="551"/>
      <c r="R637" s="551"/>
      <c r="S637" s="551"/>
      <c r="T637" s="551"/>
      <c r="U637" s="551"/>
      <c r="V637" s="551"/>
      <c r="W637" s="551"/>
      <c r="X637" s="551"/>
      <c r="Y637" s="551"/>
      <c r="Z637" s="551"/>
      <c r="AA637" s="551"/>
      <c r="AB637" s="551"/>
      <c r="AC637" s="551"/>
      <c r="AD637" s="551"/>
      <c r="AE637" s="551"/>
      <c r="AF637" s="551"/>
    </row>
    <row r="638">
      <c r="A638" s="552"/>
      <c r="B638" s="552"/>
      <c r="C638" s="552"/>
      <c r="D638" s="552"/>
      <c r="E638" s="552"/>
      <c r="F638" s="552"/>
      <c r="G638" s="552"/>
      <c r="H638" s="552"/>
      <c r="I638" s="552"/>
      <c r="J638" s="552"/>
      <c r="K638" s="552"/>
      <c r="L638" s="552"/>
      <c r="M638" s="552"/>
      <c r="N638" s="551"/>
      <c r="O638" s="551"/>
      <c r="P638" s="551"/>
      <c r="Q638" s="551"/>
      <c r="R638" s="551"/>
      <c r="S638" s="551"/>
      <c r="T638" s="551"/>
      <c r="U638" s="551"/>
      <c r="V638" s="551"/>
      <c r="W638" s="551"/>
      <c r="X638" s="551"/>
      <c r="Y638" s="551"/>
      <c r="Z638" s="551"/>
      <c r="AA638" s="551"/>
      <c r="AB638" s="551"/>
      <c r="AC638" s="551"/>
      <c r="AD638" s="551"/>
      <c r="AE638" s="551"/>
      <c r="AF638" s="551"/>
    </row>
    <row r="639">
      <c r="A639" s="552"/>
      <c r="B639" s="552"/>
      <c r="C639" s="552"/>
      <c r="D639" s="552"/>
      <c r="E639" s="552"/>
      <c r="F639" s="552"/>
      <c r="G639" s="552"/>
      <c r="H639" s="552"/>
      <c r="I639" s="552"/>
      <c r="J639" s="552"/>
      <c r="K639" s="552"/>
      <c r="L639" s="552"/>
      <c r="M639" s="552"/>
      <c r="N639" s="551"/>
      <c r="O639" s="551"/>
      <c r="P639" s="551"/>
      <c r="Q639" s="551"/>
      <c r="R639" s="551"/>
      <c r="S639" s="551"/>
      <c r="T639" s="551"/>
      <c r="U639" s="551"/>
      <c r="V639" s="551"/>
      <c r="W639" s="551"/>
      <c r="X639" s="551"/>
      <c r="Y639" s="551"/>
      <c r="Z639" s="551"/>
      <c r="AA639" s="551"/>
      <c r="AB639" s="551"/>
      <c r="AC639" s="551"/>
      <c r="AD639" s="551"/>
      <c r="AE639" s="551"/>
      <c r="AF639" s="551"/>
    </row>
    <row r="640">
      <c r="A640" s="552"/>
      <c r="B640" s="552"/>
      <c r="C640" s="552"/>
      <c r="D640" s="552"/>
      <c r="E640" s="552"/>
      <c r="F640" s="552"/>
      <c r="G640" s="552"/>
      <c r="H640" s="552"/>
      <c r="I640" s="552"/>
      <c r="J640" s="552"/>
      <c r="K640" s="552"/>
      <c r="L640" s="552"/>
      <c r="M640" s="552"/>
      <c r="N640" s="551"/>
      <c r="O640" s="551"/>
      <c r="P640" s="551"/>
      <c r="Q640" s="551"/>
      <c r="R640" s="551"/>
      <c r="S640" s="551"/>
      <c r="T640" s="551"/>
      <c r="U640" s="551"/>
      <c r="V640" s="551"/>
      <c r="W640" s="551"/>
      <c r="X640" s="551"/>
      <c r="Y640" s="551"/>
      <c r="Z640" s="551"/>
      <c r="AA640" s="551"/>
      <c r="AB640" s="551"/>
      <c r="AC640" s="551"/>
      <c r="AD640" s="551"/>
      <c r="AE640" s="551"/>
      <c r="AF640" s="551"/>
    </row>
    <row r="641">
      <c r="A641" s="552"/>
      <c r="B641" s="552"/>
      <c r="C641" s="552"/>
      <c r="D641" s="552"/>
      <c r="E641" s="552"/>
      <c r="F641" s="552"/>
      <c r="G641" s="552"/>
      <c r="H641" s="552"/>
      <c r="I641" s="552"/>
      <c r="J641" s="552"/>
      <c r="K641" s="552"/>
      <c r="L641" s="552"/>
      <c r="M641" s="552"/>
      <c r="N641" s="551"/>
      <c r="O641" s="551"/>
      <c r="P641" s="551"/>
      <c r="Q641" s="551"/>
      <c r="R641" s="551"/>
      <c r="S641" s="551"/>
      <c r="T641" s="551"/>
      <c r="U641" s="551"/>
      <c r="V641" s="551"/>
      <c r="W641" s="551"/>
      <c r="X641" s="551"/>
      <c r="Y641" s="551"/>
      <c r="Z641" s="551"/>
      <c r="AA641" s="551"/>
      <c r="AB641" s="551"/>
      <c r="AC641" s="551"/>
      <c r="AD641" s="551"/>
      <c r="AE641" s="551"/>
      <c r="AF641" s="551"/>
    </row>
    <row r="642">
      <c r="A642" s="552"/>
      <c r="B642" s="552"/>
      <c r="C642" s="552"/>
      <c r="D642" s="552"/>
      <c r="E642" s="552"/>
      <c r="F642" s="552"/>
      <c r="G642" s="552"/>
      <c r="H642" s="552"/>
      <c r="I642" s="552"/>
      <c r="J642" s="552"/>
      <c r="K642" s="552"/>
      <c r="L642" s="552"/>
      <c r="M642" s="552"/>
      <c r="N642" s="551"/>
      <c r="O642" s="551"/>
      <c r="P642" s="551"/>
      <c r="Q642" s="551"/>
      <c r="R642" s="551"/>
      <c r="S642" s="551"/>
      <c r="T642" s="551"/>
      <c r="U642" s="551"/>
      <c r="V642" s="551"/>
      <c r="W642" s="551"/>
      <c r="X642" s="551"/>
      <c r="Y642" s="551"/>
      <c r="Z642" s="551"/>
      <c r="AA642" s="551"/>
      <c r="AB642" s="551"/>
      <c r="AC642" s="551"/>
      <c r="AD642" s="551"/>
      <c r="AE642" s="551"/>
      <c r="AF642" s="551"/>
    </row>
    <row r="643">
      <c r="A643" s="552"/>
      <c r="B643" s="552"/>
      <c r="C643" s="552"/>
      <c r="D643" s="552"/>
      <c r="E643" s="552"/>
      <c r="F643" s="552"/>
      <c r="G643" s="552"/>
      <c r="H643" s="552"/>
      <c r="I643" s="552"/>
      <c r="J643" s="552"/>
      <c r="K643" s="552"/>
      <c r="L643" s="552"/>
      <c r="M643" s="552"/>
      <c r="N643" s="551"/>
      <c r="O643" s="551"/>
      <c r="P643" s="551"/>
      <c r="Q643" s="551"/>
      <c r="R643" s="551"/>
      <c r="S643" s="551"/>
      <c r="T643" s="551"/>
      <c r="U643" s="551"/>
      <c r="V643" s="551"/>
      <c r="W643" s="551"/>
      <c r="X643" s="551"/>
      <c r="Y643" s="551"/>
      <c r="Z643" s="551"/>
      <c r="AA643" s="551"/>
      <c r="AB643" s="551"/>
      <c r="AC643" s="551"/>
      <c r="AD643" s="551"/>
      <c r="AE643" s="551"/>
      <c r="AF643" s="551"/>
    </row>
    <row r="644">
      <c r="A644" s="552"/>
      <c r="B644" s="552"/>
      <c r="C644" s="552"/>
      <c r="D644" s="552"/>
      <c r="E644" s="552"/>
      <c r="F644" s="552"/>
      <c r="G644" s="552"/>
      <c r="H644" s="552"/>
      <c r="I644" s="552"/>
      <c r="J644" s="552"/>
      <c r="K644" s="552"/>
      <c r="L644" s="552"/>
      <c r="M644" s="552"/>
      <c r="N644" s="551"/>
      <c r="O644" s="551"/>
      <c r="P644" s="551"/>
      <c r="Q644" s="551"/>
      <c r="R644" s="551"/>
      <c r="S644" s="551"/>
      <c r="T644" s="551"/>
      <c r="U644" s="551"/>
      <c r="V644" s="551"/>
      <c r="W644" s="551"/>
      <c r="X644" s="551"/>
      <c r="Y644" s="551"/>
      <c r="Z644" s="551"/>
      <c r="AA644" s="551"/>
      <c r="AB644" s="551"/>
      <c r="AC644" s="551"/>
      <c r="AD644" s="551"/>
      <c r="AE644" s="551"/>
      <c r="AF644" s="551"/>
    </row>
    <row r="645">
      <c r="A645" s="552"/>
      <c r="B645" s="552"/>
      <c r="C645" s="552"/>
      <c r="D645" s="552"/>
      <c r="E645" s="552"/>
      <c r="F645" s="552"/>
      <c r="G645" s="552"/>
      <c r="H645" s="552"/>
      <c r="I645" s="552"/>
      <c r="J645" s="552"/>
      <c r="K645" s="552"/>
      <c r="L645" s="552"/>
      <c r="M645" s="552"/>
      <c r="N645" s="551"/>
      <c r="O645" s="551"/>
      <c r="P645" s="551"/>
      <c r="Q645" s="551"/>
      <c r="R645" s="551"/>
      <c r="S645" s="551"/>
      <c r="T645" s="551"/>
      <c r="U645" s="551"/>
      <c r="V645" s="551"/>
      <c r="W645" s="551"/>
      <c r="X645" s="551"/>
      <c r="Y645" s="551"/>
      <c r="Z645" s="551"/>
      <c r="AA645" s="551"/>
      <c r="AB645" s="551"/>
      <c r="AC645" s="551"/>
      <c r="AD645" s="551"/>
      <c r="AE645" s="551"/>
      <c r="AF645" s="551"/>
    </row>
    <row r="646">
      <c r="A646" s="552"/>
      <c r="B646" s="552"/>
      <c r="C646" s="552"/>
      <c r="D646" s="552"/>
      <c r="E646" s="552"/>
      <c r="F646" s="552"/>
      <c r="G646" s="552"/>
      <c r="H646" s="552"/>
      <c r="I646" s="552"/>
      <c r="J646" s="552"/>
      <c r="K646" s="552"/>
      <c r="L646" s="552"/>
      <c r="M646" s="552"/>
      <c r="N646" s="551"/>
      <c r="O646" s="551"/>
      <c r="P646" s="551"/>
      <c r="Q646" s="551"/>
      <c r="R646" s="551"/>
      <c r="S646" s="551"/>
      <c r="T646" s="551"/>
      <c r="U646" s="551"/>
      <c r="V646" s="551"/>
      <c r="W646" s="551"/>
      <c r="X646" s="551"/>
      <c r="Y646" s="551"/>
      <c r="Z646" s="551"/>
      <c r="AA646" s="551"/>
      <c r="AB646" s="551"/>
      <c r="AC646" s="551"/>
      <c r="AD646" s="551"/>
      <c r="AE646" s="551"/>
      <c r="AF646" s="551"/>
    </row>
    <row r="647">
      <c r="A647" s="552"/>
      <c r="B647" s="552"/>
      <c r="C647" s="552"/>
      <c r="D647" s="552"/>
      <c r="E647" s="552"/>
      <c r="F647" s="552"/>
      <c r="G647" s="552"/>
      <c r="H647" s="552"/>
      <c r="I647" s="552"/>
      <c r="J647" s="552"/>
      <c r="K647" s="552"/>
      <c r="L647" s="552"/>
      <c r="M647" s="552"/>
      <c r="N647" s="551"/>
      <c r="O647" s="551"/>
      <c r="P647" s="551"/>
      <c r="Q647" s="551"/>
      <c r="R647" s="551"/>
      <c r="S647" s="551"/>
      <c r="T647" s="551"/>
      <c r="U647" s="551"/>
      <c r="V647" s="551"/>
      <c r="W647" s="551"/>
      <c r="X647" s="551"/>
      <c r="Y647" s="551"/>
      <c r="Z647" s="551"/>
      <c r="AA647" s="551"/>
      <c r="AB647" s="551"/>
      <c r="AC647" s="551"/>
      <c r="AD647" s="551"/>
      <c r="AE647" s="551"/>
      <c r="AF647" s="551"/>
    </row>
    <row r="648">
      <c r="A648" s="552"/>
      <c r="B648" s="552"/>
      <c r="C648" s="552"/>
      <c r="D648" s="552"/>
      <c r="E648" s="552"/>
      <c r="F648" s="552"/>
      <c r="G648" s="552"/>
      <c r="H648" s="552"/>
      <c r="I648" s="552"/>
      <c r="J648" s="552"/>
      <c r="K648" s="552"/>
      <c r="L648" s="552"/>
      <c r="M648" s="552"/>
      <c r="N648" s="551"/>
      <c r="O648" s="551"/>
      <c r="P648" s="551"/>
      <c r="Q648" s="551"/>
      <c r="R648" s="551"/>
      <c r="S648" s="551"/>
      <c r="T648" s="551"/>
      <c r="U648" s="551"/>
      <c r="V648" s="551"/>
      <c r="W648" s="551"/>
      <c r="X648" s="551"/>
      <c r="Y648" s="551"/>
      <c r="Z648" s="551"/>
      <c r="AA648" s="551"/>
      <c r="AB648" s="551"/>
      <c r="AC648" s="551"/>
      <c r="AD648" s="551"/>
      <c r="AE648" s="551"/>
      <c r="AF648" s="551"/>
    </row>
    <row r="649">
      <c r="A649" s="552"/>
      <c r="B649" s="552"/>
      <c r="C649" s="552"/>
      <c r="D649" s="552"/>
      <c r="E649" s="552"/>
      <c r="F649" s="552"/>
      <c r="G649" s="552"/>
      <c r="H649" s="552"/>
      <c r="I649" s="552"/>
      <c r="J649" s="552"/>
      <c r="K649" s="552"/>
      <c r="L649" s="552"/>
      <c r="M649" s="552"/>
      <c r="N649" s="551"/>
      <c r="O649" s="551"/>
      <c r="P649" s="551"/>
      <c r="Q649" s="551"/>
      <c r="R649" s="551"/>
      <c r="S649" s="551"/>
      <c r="T649" s="551"/>
      <c r="U649" s="551"/>
      <c r="V649" s="551"/>
      <c r="W649" s="551"/>
      <c r="X649" s="551"/>
      <c r="Y649" s="551"/>
      <c r="Z649" s="551"/>
      <c r="AA649" s="551"/>
      <c r="AB649" s="551"/>
      <c r="AC649" s="551"/>
      <c r="AD649" s="551"/>
      <c r="AE649" s="551"/>
      <c r="AF649" s="551"/>
    </row>
    <row r="650">
      <c r="A650" s="552"/>
      <c r="B650" s="552"/>
      <c r="C650" s="552"/>
      <c r="D650" s="552"/>
      <c r="E650" s="552"/>
      <c r="F650" s="552"/>
      <c r="G650" s="552"/>
      <c r="H650" s="552"/>
      <c r="I650" s="552"/>
      <c r="J650" s="552"/>
      <c r="K650" s="552"/>
      <c r="L650" s="552"/>
      <c r="M650" s="552"/>
      <c r="N650" s="551"/>
      <c r="O650" s="551"/>
      <c r="P650" s="551"/>
      <c r="Q650" s="551"/>
      <c r="R650" s="551"/>
      <c r="S650" s="551"/>
      <c r="T650" s="551"/>
      <c r="U650" s="551"/>
      <c r="V650" s="551"/>
      <c r="W650" s="551"/>
      <c r="X650" s="551"/>
      <c r="Y650" s="551"/>
      <c r="Z650" s="551"/>
      <c r="AA650" s="551"/>
      <c r="AB650" s="551"/>
      <c r="AC650" s="551"/>
      <c r="AD650" s="551"/>
      <c r="AE650" s="551"/>
      <c r="AF650" s="551"/>
    </row>
    <row r="651">
      <c r="A651" s="552"/>
      <c r="B651" s="552"/>
      <c r="C651" s="552"/>
      <c r="D651" s="552"/>
      <c r="E651" s="552"/>
      <c r="F651" s="552"/>
      <c r="G651" s="552"/>
      <c r="H651" s="552"/>
      <c r="I651" s="552"/>
      <c r="J651" s="552"/>
      <c r="K651" s="552"/>
      <c r="L651" s="552"/>
      <c r="M651" s="552"/>
      <c r="N651" s="551"/>
      <c r="O651" s="551"/>
      <c r="P651" s="551"/>
      <c r="Q651" s="551"/>
      <c r="R651" s="551"/>
      <c r="S651" s="551"/>
      <c r="T651" s="551"/>
      <c r="U651" s="551"/>
      <c r="V651" s="551"/>
      <c r="W651" s="551"/>
      <c r="X651" s="551"/>
      <c r="Y651" s="551"/>
      <c r="Z651" s="551"/>
      <c r="AA651" s="551"/>
      <c r="AB651" s="551"/>
      <c r="AC651" s="551"/>
      <c r="AD651" s="551"/>
      <c r="AE651" s="551"/>
      <c r="AF651" s="551"/>
    </row>
    <row r="652">
      <c r="A652" s="552"/>
      <c r="B652" s="552"/>
      <c r="C652" s="552"/>
      <c r="D652" s="552"/>
      <c r="E652" s="552"/>
      <c r="F652" s="552"/>
      <c r="G652" s="552"/>
      <c r="H652" s="552"/>
      <c r="I652" s="552"/>
      <c r="J652" s="552"/>
      <c r="K652" s="552"/>
      <c r="L652" s="552"/>
      <c r="M652" s="552"/>
      <c r="N652" s="551"/>
      <c r="O652" s="551"/>
      <c r="P652" s="551"/>
      <c r="Q652" s="551"/>
      <c r="R652" s="551"/>
      <c r="S652" s="551"/>
      <c r="T652" s="551"/>
      <c r="U652" s="551"/>
      <c r="V652" s="551"/>
      <c r="W652" s="551"/>
      <c r="X652" s="551"/>
      <c r="Y652" s="551"/>
      <c r="Z652" s="551"/>
      <c r="AA652" s="551"/>
      <c r="AB652" s="551"/>
      <c r="AC652" s="551"/>
      <c r="AD652" s="551"/>
      <c r="AE652" s="551"/>
      <c r="AF652" s="551"/>
    </row>
    <row r="653">
      <c r="A653" s="552"/>
      <c r="B653" s="552"/>
      <c r="C653" s="552"/>
      <c r="D653" s="552"/>
      <c r="E653" s="552"/>
      <c r="F653" s="552"/>
      <c r="G653" s="552"/>
      <c r="H653" s="552"/>
      <c r="I653" s="552"/>
      <c r="J653" s="552"/>
      <c r="K653" s="552"/>
      <c r="L653" s="552"/>
      <c r="M653" s="552"/>
      <c r="N653" s="551"/>
      <c r="O653" s="551"/>
      <c r="P653" s="551"/>
      <c r="Q653" s="551"/>
      <c r="R653" s="551"/>
      <c r="S653" s="551"/>
      <c r="T653" s="551"/>
      <c r="U653" s="551"/>
      <c r="V653" s="551"/>
      <c r="W653" s="551"/>
      <c r="X653" s="551"/>
      <c r="Y653" s="551"/>
      <c r="Z653" s="551"/>
      <c r="AA653" s="551"/>
      <c r="AB653" s="551"/>
      <c r="AC653" s="551"/>
      <c r="AD653" s="551"/>
      <c r="AE653" s="551"/>
      <c r="AF653" s="551"/>
    </row>
    <row r="654">
      <c r="A654" s="552"/>
      <c r="B654" s="552"/>
      <c r="C654" s="552"/>
      <c r="D654" s="552"/>
      <c r="E654" s="552"/>
      <c r="F654" s="552"/>
      <c r="G654" s="552"/>
      <c r="H654" s="552"/>
      <c r="I654" s="552"/>
      <c r="J654" s="552"/>
      <c r="K654" s="552"/>
      <c r="L654" s="552"/>
      <c r="M654" s="552"/>
      <c r="N654" s="551"/>
      <c r="O654" s="551"/>
      <c r="P654" s="551"/>
      <c r="Q654" s="551"/>
      <c r="R654" s="551"/>
      <c r="S654" s="551"/>
      <c r="T654" s="551"/>
      <c r="U654" s="551"/>
      <c r="V654" s="551"/>
      <c r="W654" s="551"/>
      <c r="X654" s="551"/>
      <c r="Y654" s="551"/>
      <c r="Z654" s="551"/>
      <c r="AA654" s="551"/>
      <c r="AB654" s="551"/>
      <c r="AC654" s="551"/>
      <c r="AD654" s="551"/>
      <c r="AE654" s="551"/>
      <c r="AF654" s="551"/>
    </row>
    <row r="655">
      <c r="A655" s="552"/>
      <c r="B655" s="552"/>
      <c r="C655" s="552"/>
      <c r="D655" s="552"/>
      <c r="E655" s="552"/>
      <c r="F655" s="552"/>
      <c r="G655" s="552"/>
      <c r="H655" s="552"/>
      <c r="I655" s="552"/>
      <c r="J655" s="552"/>
      <c r="K655" s="552"/>
      <c r="L655" s="552"/>
      <c r="M655" s="552"/>
      <c r="N655" s="551"/>
      <c r="O655" s="551"/>
      <c r="P655" s="551"/>
      <c r="Q655" s="551"/>
      <c r="R655" s="551"/>
      <c r="S655" s="551"/>
      <c r="T655" s="551"/>
      <c r="U655" s="551"/>
      <c r="V655" s="551"/>
      <c r="W655" s="551"/>
      <c r="X655" s="551"/>
      <c r="Y655" s="551"/>
      <c r="Z655" s="551"/>
      <c r="AA655" s="551"/>
      <c r="AB655" s="551"/>
      <c r="AC655" s="551"/>
      <c r="AD655" s="551"/>
      <c r="AE655" s="551"/>
      <c r="AF655" s="551"/>
    </row>
    <row r="656">
      <c r="A656" s="552"/>
      <c r="B656" s="552"/>
      <c r="C656" s="552"/>
      <c r="D656" s="552"/>
      <c r="E656" s="552"/>
      <c r="F656" s="552"/>
      <c r="G656" s="552"/>
      <c r="H656" s="552"/>
      <c r="I656" s="552"/>
      <c r="J656" s="552"/>
      <c r="K656" s="552"/>
      <c r="L656" s="552"/>
      <c r="M656" s="552"/>
      <c r="N656" s="551"/>
      <c r="O656" s="551"/>
      <c r="P656" s="551"/>
      <c r="Q656" s="551"/>
      <c r="R656" s="551"/>
      <c r="S656" s="551"/>
      <c r="T656" s="551"/>
      <c r="U656" s="551"/>
      <c r="V656" s="551"/>
      <c r="W656" s="551"/>
      <c r="X656" s="551"/>
      <c r="Y656" s="551"/>
      <c r="Z656" s="551"/>
      <c r="AA656" s="551"/>
      <c r="AB656" s="551"/>
      <c r="AC656" s="551"/>
      <c r="AD656" s="551"/>
      <c r="AE656" s="551"/>
      <c r="AF656" s="551"/>
    </row>
    <row r="657">
      <c r="A657" s="552"/>
      <c r="B657" s="552"/>
      <c r="C657" s="552"/>
      <c r="D657" s="552"/>
      <c r="E657" s="552"/>
      <c r="F657" s="552"/>
      <c r="G657" s="552"/>
      <c r="H657" s="552"/>
      <c r="I657" s="552"/>
      <c r="J657" s="552"/>
      <c r="K657" s="552"/>
      <c r="L657" s="552"/>
      <c r="M657" s="552"/>
      <c r="N657" s="551"/>
      <c r="O657" s="551"/>
      <c r="P657" s="551"/>
      <c r="Q657" s="551"/>
      <c r="R657" s="551"/>
      <c r="S657" s="551"/>
      <c r="T657" s="551"/>
      <c r="U657" s="551"/>
      <c r="V657" s="551"/>
      <c r="W657" s="551"/>
      <c r="X657" s="551"/>
      <c r="Y657" s="551"/>
      <c r="Z657" s="551"/>
      <c r="AA657" s="551"/>
      <c r="AB657" s="551"/>
      <c r="AC657" s="551"/>
      <c r="AD657" s="551"/>
      <c r="AE657" s="551"/>
      <c r="AF657" s="551"/>
    </row>
    <row r="658">
      <c r="A658" s="552"/>
      <c r="B658" s="552"/>
      <c r="C658" s="552"/>
      <c r="D658" s="552"/>
      <c r="E658" s="552"/>
      <c r="F658" s="552"/>
      <c r="G658" s="552"/>
      <c r="H658" s="552"/>
      <c r="I658" s="552"/>
      <c r="J658" s="552"/>
      <c r="K658" s="552"/>
      <c r="L658" s="552"/>
      <c r="M658" s="552"/>
      <c r="N658" s="551"/>
      <c r="O658" s="551"/>
      <c r="P658" s="551"/>
      <c r="Q658" s="551"/>
      <c r="R658" s="551"/>
      <c r="S658" s="551"/>
      <c r="T658" s="551"/>
      <c r="U658" s="551"/>
      <c r="V658" s="551"/>
      <c r="W658" s="551"/>
      <c r="X658" s="551"/>
      <c r="Y658" s="551"/>
      <c r="Z658" s="551"/>
      <c r="AA658" s="551"/>
      <c r="AB658" s="551"/>
      <c r="AC658" s="551"/>
      <c r="AD658" s="551"/>
      <c r="AE658" s="551"/>
      <c r="AF658" s="551"/>
    </row>
    <row r="659">
      <c r="A659" s="552"/>
      <c r="B659" s="552"/>
      <c r="C659" s="552"/>
      <c r="D659" s="552"/>
      <c r="E659" s="552"/>
      <c r="F659" s="552"/>
      <c r="G659" s="552"/>
      <c r="H659" s="552"/>
      <c r="I659" s="552"/>
      <c r="J659" s="552"/>
      <c r="K659" s="552"/>
      <c r="L659" s="552"/>
      <c r="M659" s="552"/>
      <c r="N659" s="551"/>
      <c r="O659" s="551"/>
      <c r="P659" s="551"/>
      <c r="Q659" s="551"/>
      <c r="R659" s="551"/>
      <c r="S659" s="551"/>
      <c r="T659" s="551"/>
      <c r="U659" s="551"/>
      <c r="V659" s="551"/>
      <c r="W659" s="551"/>
      <c r="X659" s="551"/>
      <c r="Y659" s="551"/>
      <c r="Z659" s="551"/>
      <c r="AA659" s="551"/>
      <c r="AB659" s="551"/>
      <c r="AC659" s="551"/>
      <c r="AD659" s="551"/>
      <c r="AE659" s="551"/>
      <c r="AF659" s="551"/>
    </row>
    <row r="660">
      <c r="A660" s="552"/>
      <c r="B660" s="552"/>
      <c r="C660" s="552"/>
      <c r="D660" s="552"/>
      <c r="E660" s="552"/>
      <c r="F660" s="552"/>
      <c r="G660" s="552"/>
      <c r="H660" s="552"/>
      <c r="I660" s="552"/>
      <c r="J660" s="552"/>
      <c r="K660" s="552"/>
      <c r="L660" s="552"/>
      <c r="M660" s="552"/>
      <c r="N660" s="551"/>
      <c r="O660" s="551"/>
      <c r="P660" s="551"/>
      <c r="Q660" s="551"/>
      <c r="R660" s="551"/>
      <c r="S660" s="551"/>
      <c r="T660" s="551"/>
      <c r="U660" s="551"/>
      <c r="V660" s="551"/>
      <c r="W660" s="551"/>
      <c r="X660" s="551"/>
      <c r="Y660" s="551"/>
      <c r="Z660" s="551"/>
      <c r="AA660" s="551"/>
      <c r="AB660" s="551"/>
      <c r="AC660" s="551"/>
      <c r="AD660" s="551"/>
      <c r="AE660" s="551"/>
      <c r="AF660" s="551"/>
    </row>
    <row r="661">
      <c r="A661" s="552"/>
      <c r="B661" s="552"/>
      <c r="C661" s="552"/>
      <c r="D661" s="552"/>
      <c r="E661" s="552"/>
      <c r="F661" s="552"/>
      <c r="G661" s="552"/>
      <c r="H661" s="552"/>
      <c r="I661" s="552"/>
      <c r="J661" s="552"/>
      <c r="K661" s="552"/>
      <c r="L661" s="552"/>
      <c r="M661" s="552"/>
      <c r="N661" s="551"/>
      <c r="O661" s="551"/>
      <c r="P661" s="551"/>
      <c r="Q661" s="551"/>
      <c r="R661" s="551"/>
      <c r="S661" s="551"/>
      <c r="T661" s="551"/>
      <c r="U661" s="551"/>
      <c r="V661" s="551"/>
      <c r="W661" s="551"/>
      <c r="X661" s="551"/>
      <c r="Y661" s="551"/>
      <c r="Z661" s="551"/>
      <c r="AA661" s="551"/>
      <c r="AB661" s="551"/>
      <c r="AC661" s="551"/>
      <c r="AD661" s="551"/>
      <c r="AE661" s="551"/>
      <c r="AF661" s="551"/>
    </row>
    <row r="662">
      <c r="A662" s="552"/>
      <c r="B662" s="552"/>
      <c r="C662" s="552"/>
      <c r="D662" s="552"/>
      <c r="E662" s="552"/>
      <c r="F662" s="552"/>
      <c r="G662" s="552"/>
      <c r="H662" s="552"/>
      <c r="I662" s="552"/>
      <c r="J662" s="552"/>
      <c r="K662" s="552"/>
      <c r="L662" s="552"/>
      <c r="M662" s="552"/>
      <c r="N662" s="551"/>
      <c r="O662" s="551"/>
      <c r="P662" s="551"/>
      <c r="Q662" s="551"/>
      <c r="R662" s="551"/>
      <c r="S662" s="551"/>
      <c r="T662" s="551"/>
      <c r="U662" s="551"/>
      <c r="V662" s="551"/>
      <c r="W662" s="551"/>
      <c r="X662" s="551"/>
      <c r="Y662" s="551"/>
      <c r="Z662" s="551"/>
      <c r="AA662" s="551"/>
      <c r="AB662" s="551"/>
      <c r="AC662" s="551"/>
      <c r="AD662" s="551"/>
      <c r="AE662" s="551"/>
      <c r="AF662" s="551"/>
    </row>
    <row r="663">
      <c r="A663" s="552"/>
      <c r="B663" s="552"/>
      <c r="C663" s="552"/>
      <c r="D663" s="552"/>
      <c r="E663" s="552"/>
      <c r="F663" s="552"/>
      <c r="G663" s="552"/>
      <c r="H663" s="552"/>
      <c r="I663" s="552"/>
      <c r="J663" s="552"/>
      <c r="K663" s="552"/>
      <c r="L663" s="552"/>
      <c r="M663" s="552"/>
      <c r="N663" s="551"/>
      <c r="O663" s="551"/>
      <c r="P663" s="551"/>
      <c r="Q663" s="551"/>
      <c r="R663" s="551"/>
      <c r="S663" s="551"/>
      <c r="T663" s="551"/>
      <c r="U663" s="551"/>
      <c r="V663" s="551"/>
      <c r="W663" s="551"/>
      <c r="X663" s="551"/>
      <c r="Y663" s="551"/>
      <c r="Z663" s="551"/>
      <c r="AA663" s="551"/>
      <c r="AB663" s="551"/>
      <c r="AC663" s="551"/>
      <c r="AD663" s="551"/>
      <c r="AE663" s="551"/>
      <c r="AF663" s="551"/>
    </row>
    <row r="664">
      <c r="A664" s="552"/>
      <c r="B664" s="552"/>
      <c r="C664" s="552"/>
      <c r="D664" s="552"/>
      <c r="E664" s="552"/>
      <c r="F664" s="552"/>
      <c r="G664" s="552"/>
      <c r="H664" s="552"/>
      <c r="I664" s="552"/>
      <c r="J664" s="552"/>
      <c r="K664" s="552"/>
      <c r="L664" s="552"/>
      <c r="M664" s="552"/>
      <c r="N664" s="551"/>
      <c r="O664" s="551"/>
      <c r="P664" s="551"/>
      <c r="Q664" s="551"/>
      <c r="R664" s="551"/>
      <c r="S664" s="551"/>
      <c r="T664" s="551"/>
      <c r="U664" s="551"/>
      <c r="V664" s="551"/>
      <c r="W664" s="551"/>
      <c r="X664" s="551"/>
      <c r="Y664" s="551"/>
      <c r="Z664" s="551"/>
      <c r="AA664" s="551"/>
      <c r="AB664" s="551"/>
      <c r="AC664" s="551"/>
      <c r="AD664" s="551"/>
      <c r="AE664" s="551"/>
      <c r="AF664" s="551"/>
    </row>
    <row r="665">
      <c r="A665" s="552"/>
      <c r="B665" s="552"/>
      <c r="C665" s="552"/>
      <c r="D665" s="552"/>
      <c r="E665" s="552"/>
      <c r="F665" s="552"/>
      <c r="G665" s="552"/>
      <c r="H665" s="552"/>
      <c r="I665" s="552"/>
      <c r="J665" s="552"/>
      <c r="K665" s="552"/>
      <c r="L665" s="552"/>
      <c r="M665" s="552"/>
      <c r="N665" s="551"/>
      <c r="O665" s="551"/>
      <c r="P665" s="551"/>
      <c r="Q665" s="551"/>
      <c r="R665" s="551"/>
      <c r="S665" s="551"/>
      <c r="T665" s="551"/>
      <c r="U665" s="551"/>
      <c r="V665" s="551"/>
      <c r="W665" s="551"/>
      <c r="X665" s="551"/>
      <c r="Y665" s="551"/>
      <c r="Z665" s="551"/>
      <c r="AA665" s="551"/>
      <c r="AB665" s="551"/>
      <c r="AC665" s="551"/>
      <c r="AD665" s="551"/>
      <c r="AE665" s="551"/>
      <c r="AF665" s="551"/>
    </row>
    <row r="666">
      <c r="A666" s="552"/>
      <c r="B666" s="552"/>
      <c r="C666" s="552"/>
      <c r="D666" s="552"/>
      <c r="E666" s="552"/>
      <c r="F666" s="552"/>
      <c r="G666" s="552"/>
      <c r="H666" s="552"/>
      <c r="I666" s="552"/>
      <c r="J666" s="552"/>
      <c r="K666" s="552"/>
      <c r="L666" s="552"/>
      <c r="M666" s="552"/>
      <c r="N666" s="551"/>
      <c r="O666" s="551"/>
      <c r="P666" s="551"/>
      <c r="Q666" s="551"/>
      <c r="R666" s="551"/>
      <c r="S666" s="551"/>
      <c r="T666" s="551"/>
      <c r="U666" s="551"/>
      <c r="V666" s="551"/>
      <c r="W666" s="551"/>
      <c r="X666" s="551"/>
      <c r="Y666" s="551"/>
      <c r="Z666" s="551"/>
      <c r="AA666" s="551"/>
      <c r="AB666" s="551"/>
      <c r="AC666" s="551"/>
      <c r="AD666" s="551"/>
      <c r="AE666" s="551"/>
      <c r="AF666" s="551"/>
    </row>
    <row r="667">
      <c r="A667" s="552"/>
      <c r="B667" s="552"/>
      <c r="C667" s="552"/>
      <c r="D667" s="552"/>
      <c r="E667" s="552"/>
      <c r="F667" s="552"/>
      <c r="G667" s="552"/>
      <c r="H667" s="552"/>
      <c r="I667" s="552"/>
      <c r="J667" s="552"/>
      <c r="K667" s="552"/>
      <c r="L667" s="552"/>
      <c r="M667" s="552"/>
      <c r="N667" s="551"/>
      <c r="O667" s="551"/>
      <c r="P667" s="551"/>
      <c r="Q667" s="551"/>
      <c r="R667" s="551"/>
      <c r="S667" s="551"/>
      <c r="T667" s="551"/>
      <c r="U667" s="551"/>
      <c r="V667" s="551"/>
      <c r="W667" s="551"/>
      <c r="X667" s="551"/>
      <c r="Y667" s="551"/>
      <c r="Z667" s="551"/>
      <c r="AA667" s="551"/>
      <c r="AB667" s="551"/>
      <c r="AC667" s="551"/>
      <c r="AD667" s="551"/>
      <c r="AE667" s="551"/>
      <c r="AF667" s="551"/>
    </row>
    <row r="668">
      <c r="A668" s="552"/>
      <c r="B668" s="552"/>
      <c r="C668" s="552"/>
      <c r="D668" s="552"/>
      <c r="E668" s="552"/>
      <c r="F668" s="552"/>
      <c r="G668" s="552"/>
      <c r="H668" s="552"/>
      <c r="I668" s="552"/>
      <c r="J668" s="552"/>
      <c r="K668" s="552"/>
      <c r="L668" s="552"/>
      <c r="M668" s="552"/>
      <c r="N668" s="551"/>
      <c r="O668" s="551"/>
      <c r="P668" s="551"/>
      <c r="Q668" s="551"/>
      <c r="R668" s="551"/>
      <c r="S668" s="551"/>
      <c r="T668" s="551"/>
      <c r="U668" s="551"/>
      <c r="V668" s="551"/>
      <c r="W668" s="551"/>
      <c r="X668" s="551"/>
      <c r="Y668" s="551"/>
      <c r="Z668" s="551"/>
      <c r="AA668" s="551"/>
      <c r="AB668" s="551"/>
      <c r="AC668" s="551"/>
      <c r="AD668" s="551"/>
      <c r="AE668" s="551"/>
      <c r="AF668" s="551"/>
    </row>
    <row r="669">
      <c r="A669" s="552"/>
      <c r="B669" s="552"/>
      <c r="C669" s="552"/>
      <c r="D669" s="552"/>
      <c r="E669" s="552"/>
      <c r="F669" s="552"/>
      <c r="G669" s="552"/>
      <c r="H669" s="552"/>
      <c r="I669" s="552"/>
      <c r="J669" s="552"/>
      <c r="K669" s="552"/>
      <c r="L669" s="552"/>
      <c r="M669" s="552"/>
      <c r="N669" s="551"/>
      <c r="O669" s="551"/>
      <c r="P669" s="551"/>
      <c r="Q669" s="551"/>
      <c r="R669" s="551"/>
      <c r="S669" s="551"/>
      <c r="T669" s="551"/>
      <c r="U669" s="551"/>
      <c r="V669" s="551"/>
      <c r="W669" s="551"/>
      <c r="X669" s="551"/>
      <c r="Y669" s="551"/>
      <c r="Z669" s="551"/>
      <c r="AA669" s="551"/>
      <c r="AB669" s="551"/>
      <c r="AC669" s="551"/>
      <c r="AD669" s="551"/>
      <c r="AE669" s="551"/>
      <c r="AF669" s="551"/>
    </row>
    <row r="670">
      <c r="A670" s="552"/>
      <c r="B670" s="552"/>
      <c r="C670" s="552"/>
      <c r="D670" s="552"/>
      <c r="E670" s="552"/>
      <c r="F670" s="552"/>
      <c r="G670" s="552"/>
      <c r="H670" s="552"/>
      <c r="I670" s="552"/>
      <c r="J670" s="552"/>
      <c r="K670" s="552"/>
      <c r="L670" s="552"/>
      <c r="M670" s="552"/>
      <c r="N670" s="551"/>
      <c r="O670" s="551"/>
      <c r="P670" s="551"/>
      <c r="Q670" s="551"/>
      <c r="R670" s="551"/>
      <c r="S670" s="551"/>
      <c r="T670" s="551"/>
      <c r="U670" s="551"/>
      <c r="V670" s="551"/>
      <c r="W670" s="551"/>
      <c r="X670" s="551"/>
      <c r="Y670" s="551"/>
      <c r="Z670" s="551"/>
      <c r="AA670" s="551"/>
      <c r="AB670" s="551"/>
      <c r="AC670" s="551"/>
      <c r="AD670" s="551"/>
      <c r="AE670" s="551"/>
      <c r="AF670" s="551"/>
    </row>
    <row r="671">
      <c r="A671" s="552"/>
      <c r="B671" s="552"/>
      <c r="C671" s="552"/>
      <c r="D671" s="552"/>
      <c r="E671" s="552"/>
      <c r="F671" s="552"/>
      <c r="G671" s="552"/>
      <c r="H671" s="552"/>
      <c r="I671" s="552"/>
      <c r="J671" s="552"/>
      <c r="K671" s="552"/>
      <c r="L671" s="552"/>
      <c r="M671" s="552"/>
      <c r="N671" s="551"/>
      <c r="O671" s="551"/>
      <c r="P671" s="551"/>
      <c r="Q671" s="551"/>
      <c r="R671" s="551"/>
      <c r="S671" s="551"/>
      <c r="T671" s="551"/>
      <c r="U671" s="551"/>
      <c r="V671" s="551"/>
      <c r="W671" s="551"/>
      <c r="X671" s="551"/>
      <c r="Y671" s="551"/>
      <c r="Z671" s="551"/>
      <c r="AA671" s="551"/>
      <c r="AB671" s="551"/>
      <c r="AC671" s="551"/>
      <c r="AD671" s="551"/>
      <c r="AE671" s="551"/>
      <c r="AF671" s="551"/>
    </row>
    <row r="672">
      <c r="A672" s="552"/>
      <c r="B672" s="552"/>
      <c r="C672" s="552"/>
      <c r="D672" s="552"/>
      <c r="E672" s="552"/>
      <c r="F672" s="552"/>
      <c r="G672" s="552"/>
      <c r="H672" s="552"/>
      <c r="I672" s="552"/>
      <c r="J672" s="552"/>
      <c r="K672" s="552"/>
      <c r="L672" s="552"/>
      <c r="M672" s="552"/>
      <c r="N672" s="551"/>
      <c r="O672" s="551"/>
      <c r="P672" s="551"/>
      <c r="Q672" s="551"/>
      <c r="R672" s="551"/>
      <c r="S672" s="551"/>
      <c r="T672" s="551"/>
      <c r="U672" s="551"/>
      <c r="V672" s="551"/>
      <c r="W672" s="551"/>
      <c r="X672" s="551"/>
      <c r="Y672" s="551"/>
      <c r="Z672" s="551"/>
      <c r="AA672" s="551"/>
      <c r="AB672" s="551"/>
      <c r="AC672" s="551"/>
      <c r="AD672" s="551"/>
      <c r="AE672" s="551"/>
      <c r="AF672" s="551"/>
    </row>
    <row r="673">
      <c r="A673" s="552"/>
      <c r="B673" s="552"/>
      <c r="C673" s="552"/>
      <c r="D673" s="552"/>
      <c r="E673" s="552"/>
      <c r="F673" s="552"/>
      <c r="G673" s="552"/>
      <c r="H673" s="552"/>
      <c r="I673" s="552"/>
      <c r="J673" s="552"/>
      <c r="K673" s="552"/>
      <c r="L673" s="552"/>
      <c r="M673" s="552"/>
      <c r="N673" s="551"/>
      <c r="O673" s="551"/>
      <c r="P673" s="551"/>
      <c r="Q673" s="551"/>
      <c r="R673" s="551"/>
      <c r="S673" s="551"/>
      <c r="T673" s="551"/>
      <c r="U673" s="551"/>
      <c r="V673" s="551"/>
      <c r="W673" s="551"/>
      <c r="X673" s="551"/>
      <c r="Y673" s="551"/>
      <c r="Z673" s="551"/>
      <c r="AA673" s="551"/>
      <c r="AB673" s="551"/>
      <c r="AC673" s="551"/>
      <c r="AD673" s="551"/>
      <c r="AE673" s="551"/>
      <c r="AF673" s="551"/>
    </row>
    <row r="674">
      <c r="A674" s="552"/>
      <c r="B674" s="552"/>
      <c r="C674" s="552"/>
      <c r="D674" s="552"/>
      <c r="E674" s="552"/>
      <c r="F674" s="552"/>
      <c r="G674" s="552"/>
      <c r="H674" s="552"/>
      <c r="I674" s="552"/>
      <c r="J674" s="552"/>
      <c r="K674" s="552"/>
      <c r="L674" s="552"/>
      <c r="M674" s="552"/>
      <c r="N674" s="551"/>
      <c r="O674" s="551"/>
      <c r="P674" s="551"/>
      <c r="Q674" s="551"/>
      <c r="R674" s="551"/>
      <c r="S674" s="551"/>
      <c r="T674" s="551"/>
      <c r="U674" s="551"/>
      <c r="V674" s="551"/>
      <c r="W674" s="551"/>
      <c r="X674" s="551"/>
      <c r="Y674" s="551"/>
      <c r="Z674" s="551"/>
      <c r="AA674" s="551"/>
      <c r="AB674" s="551"/>
      <c r="AC674" s="551"/>
      <c r="AD674" s="551"/>
      <c r="AE674" s="551"/>
      <c r="AF674" s="551"/>
    </row>
    <row r="675">
      <c r="A675" s="552"/>
      <c r="B675" s="552"/>
      <c r="C675" s="552"/>
      <c r="D675" s="552"/>
      <c r="E675" s="552"/>
      <c r="F675" s="552"/>
      <c r="G675" s="552"/>
      <c r="H675" s="552"/>
      <c r="I675" s="552"/>
      <c r="J675" s="552"/>
      <c r="K675" s="552"/>
      <c r="L675" s="552"/>
      <c r="M675" s="552"/>
      <c r="N675" s="551"/>
      <c r="O675" s="551"/>
      <c r="P675" s="551"/>
      <c r="Q675" s="551"/>
      <c r="R675" s="551"/>
      <c r="S675" s="551"/>
      <c r="T675" s="551"/>
      <c r="U675" s="551"/>
      <c r="V675" s="551"/>
      <c r="W675" s="551"/>
      <c r="X675" s="551"/>
      <c r="Y675" s="551"/>
      <c r="Z675" s="551"/>
      <c r="AA675" s="551"/>
      <c r="AB675" s="551"/>
      <c r="AC675" s="551"/>
      <c r="AD675" s="551"/>
      <c r="AE675" s="551"/>
      <c r="AF675" s="551"/>
    </row>
    <row r="676">
      <c r="A676" s="552"/>
      <c r="B676" s="552"/>
      <c r="C676" s="552"/>
      <c r="D676" s="552"/>
      <c r="E676" s="552"/>
      <c r="F676" s="552"/>
      <c r="G676" s="552"/>
      <c r="H676" s="552"/>
      <c r="I676" s="552"/>
      <c r="J676" s="552"/>
      <c r="K676" s="552"/>
      <c r="L676" s="552"/>
      <c r="M676" s="552"/>
      <c r="N676" s="551"/>
      <c r="O676" s="551"/>
      <c r="P676" s="551"/>
      <c r="Q676" s="551"/>
      <c r="R676" s="551"/>
      <c r="S676" s="551"/>
      <c r="T676" s="551"/>
      <c r="U676" s="551"/>
      <c r="V676" s="551"/>
      <c r="W676" s="551"/>
      <c r="X676" s="551"/>
      <c r="Y676" s="551"/>
      <c r="Z676" s="551"/>
      <c r="AA676" s="551"/>
      <c r="AB676" s="551"/>
      <c r="AC676" s="551"/>
      <c r="AD676" s="551"/>
      <c r="AE676" s="551"/>
      <c r="AF676" s="551"/>
    </row>
    <row r="677">
      <c r="A677" s="552"/>
      <c r="B677" s="552"/>
      <c r="C677" s="552"/>
      <c r="D677" s="552"/>
      <c r="E677" s="552"/>
      <c r="F677" s="552"/>
      <c r="G677" s="552"/>
      <c r="H677" s="552"/>
      <c r="I677" s="552"/>
      <c r="J677" s="552"/>
      <c r="K677" s="552"/>
      <c r="L677" s="552"/>
      <c r="M677" s="552"/>
      <c r="N677" s="551"/>
      <c r="O677" s="551"/>
      <c r="P677" s="551"/>
      <c r="Q677" s="551"/>
      <c r="R677" s="551"/>
      <c r="S677" s="551"/>
      <c r="T677" s="551"/>
      <c r="U677" s="551"/>
      <c r="V677" s="551"/>
      <c r="W677" s="551"/>
      <c r="X677" s="551"/>
      <c r="Y677" s="551"/>
      <c r="Z677" s="551"/>
      <c r="AA677" s="551"/>
      <c r="AB677" s="551"/>
      <c r="AC677" s="551"/>
      <c r="AD677" s="551"/>
      <c r="AE677" s="551"/>
      <c r="AF677" s="551"/>
    </row>
    <row r="678">
      <c r="A678" s="552"/>
      <c r="B678" s="552"/>
      <c r="C678" s="552"/>
      <c r="D678" s="552"/>
      <c r="E678" s="552"/>
      <c r="F678" s="552"/>
      <c r="G678" s="552"/>
      <c r="H678" s="552"/>
      <c r="I678" s="552"/>
      <c r="J678" s="552"/>
      <c r="K678" s="552"/>
      <c r="L678" s="552"/>
      <c r="M678" s="552"/>
      <c r="N678" s="551"/>
      <c r="O678" s="551"/>
      <c r="P678" s="551"/>
      <c r="Q678" s="551"/>
      <c r="R678" s="551"/>
      <c r="S678" s="551"/>
      <c r="T678" s="551"/>
      <c r="U678" s="551"/>
      <c r="V678" s="551"/>
      <c r="W678" s="551"/>
      <c r="X678" s="551"/>
      <c r="Y678" s="551"/>
      <c r="Z678" s="551"/>
      <c r="AA678" s="551"/>
      <c r="AB678" s="551"/>
      <c r="AC678" s="551"/>
      <c r="AD678" s="551"/>
      <c r="AE678" s="551"/>
      <c r="AF678" s="551"/>
    </row>
    <row r="679">
      <c r="A679" s="552"/>
      <c r="B679" s="552"/>
      <c r="C679" s="552"/>
      <c r="D679" s="552"/>
      <c r="E679" s="552"/>
      <c r="F679" s="552"/>
      <c r="G679" s="552"/>
      <c r="H679" s="552"/>
      <c r="I679" s="552"/>
      <c r="J679" s="552"/>
      <c r="K679" s="552"/>
      <c r="L679" s="552"/>
      <c r="M679" s="552"/>
      <c r="N679" s="551"/>
      <c r="O679" s="551"/>
      <c r="P679" s="551"/>
      <c r="Q679" s="551"/>
      <c r="R679" s="551"/>
      <c r="S679" s="551"/>
      <c r="T679" s="551"/>
      <c r="U679" s="551"/>
      <c r="V679" s="551"/>
      <c r="W679" s="551"/>
      <c r="X679" s="551"/>
      <c r="Y679" s="551"/>
      <c r="Z679" s="551"/>
      <c r="AA679" s="551"/>
      <c r="AB679" s="551"/>
      <c r="AC679" s="551"/>
      <c r="AD679" s="551"/>
      <c r="AE679" s="551"/>
      <c r="AF679" s="551"/>
    </row>
    <row r="680">
      <c r="A680" s="552"/>
      <c r="B680" s="552"/>
      <c r="C680" s="552"/>
      <c r="D680" s="552"/>
      <c r="E680" s="552"/>
      <c r="F680" s="552"/>
      <c r="G680" s="552"/>
      <c r="H680" s="552"/>
      <c r="I680" s="552"/>
      <c r="J680" s="552"/>
      <c r="K680" s="552"/>
      <c r="L680" s="552"/>
      <c r="M680" s="552"/>
      <c r="N680" s="551"/>
      <c r="O680" s="551"/>
      <c r="P680" s="551"/>
      <c r="Q680" s="551"/>
      <c r="R680" s="551"/>
      <c r="S680" s="551"/>
      <c r="T680" s="551"/>
      <c r="U680" s="551"/>
      <c r="V680" s="551"/>
      <c r="W680" s="551"/>
      <c r="X680" s="551"/>
      <c r="Y680" s="551"/>
      <c r="Z680" s="551"/>
      <c r="AA680" s="551"/>
      <c r="AB680" s="551"/>
      <c r="AC680" s="551"/>
      <c r="AD680" s="551"/>
      <c r="AE680" s="551"/>
      <c r="AF680" s="551"/>
    </row>
    <row r="681">
      <c r="A681" s="552"/>
      <c r="B681" s="552"/>
      <c r="C681" s="552"/>
      <c r="D681" s="552"/>
      <c r="E681" s="552"/>
      <c r="F681" s="552"/>
      <c r="G681" s="552"/>
      <c r="H681" s="552"/>
      <c r="I681" s="552"/>
      <c r="J681" s="552"/>
      <c r="K681" s="552"/>
      <c r="L681" s="552"/>
      <c r="M681" s="552"/>
      <c r="N681" s="551"/>
      <c r="O681" s="551"/>
      <c r="P681" s="551"/>
      <c r="Q681" s="551"/>
      <c r="R681" s="551"/>
      <c r="S681" s="551"/>
      <c r="T681" s="551"/>
      <c r="U681" s="551"/>
      <c r="V681" s="551"/>
      <c r="W681" s="551"/>
      <c r="X681" s="551"/>
      <c r="Y681" s="551"/>
      <c r="Z681" s="551"/>
      <c r="AA681" s="551"/>
      <c r="AB681" s="551"/>
      <c r="AC681" s="551"/>
      <c r="AD681" s="551"/>
      <c r="AE681" s="551"/>
      <c r="AF681" s="551"/>
    </row>
    <row r="682">
      <c r="A682" s="552"/>
      <c r="B682" s="552"/>
      <c r="C682" s="552"/>
      <c r="D682" s="552"/>
      <c r="E682" s="552"/>
      <c r="F682" s="552"/>
      <c r="G682" s="552"/>
      <c r="H682" s="552"/>
      <c r="I682" s="552"/>
      <c r="J682" s="552"/>
      <c r="K682" s="552"/>
      <c r="L682" s="552"/>
      <c r="M682" s="552"/>
      <c r="N682" s="551"/>
      <c r="O682" s="551"/>
      <c r="P682" s="551"/>
      <c r="Q682" s="551"/>
      <c r="R682" s="551"/>
      <c r="S682" s="551"/>
      <c r="T682" s="551"/>
      <c r="U682" s="551"/>
      <c r="V682" s="551"/>
      <c r="W682" s="551"/>
      <c r="X682" s="551"/>
      <c r="Y682" s="551"/>
      <c r="Z682" s="551"/>
      <c r="AA682" s="551"/>
      <c r="AB682" s="551"/>
      <c r="AC682" s="551"/>
      <c r="AD682" s="551"/>
      <c r="AE682" s="551"/>
      <c r="AF682" s="551"/>
    </row>
    <row r="683">
      <c r="A683" s="552"/>
      <c r="B683" s="552"/>
      <c r="C683" s="552"/>
      <c r="D683" s="552"/>
      <c r="E683" s="552"/>
      <c r="F683" s="552"/>
      <c r="G683" s="552"/>
      <c r="H683" s="552"/>
      <c r="I683" s="552"/>
      <c r="J683" s="552"/>
      <c r="K683" s="552"/>
      <c r="L683" s="552"/>
      <c r="M683" s="552"/>
      <c r="N683" s="551"/>
      <c r="O683" s="551"/>
      <c r="P683" s="551"/>
      <c r="Q683" s="551"/>
      <c r="R683" s="551"/>
      <c r="S683" s="551"/>
      <c r="T683" s="551"/>
      <c r="U683" s="551"/>
      <c r="V683" s="551"/>
      <c r="W683" s="551"/>
      <c r="X683" s="551"/>
      <c r="Y683" s="551"/>
      <c r="Z683" s="551"/>
      <c r="AA683" s="551"/>
      <c r="AB683" s="551"/>
      <c r="AC683" s="551"/>
      <c r="AD683" s="551"/>
      <c r="AE683" s="551"/>
      <c r="AF683" s="551"/>
    </row>
    <row r="684">
      <c r="A684" s="552"/>
      <c r="B684" s="552"/>
      <c r="C684" s="552"/>
      <c r="D684" s="552"/>
      <c r="E684" s="552"/>
      <c r="F684" s="552"/>
      <c r="G684" s="552"/>
      <c r="H684" s="552"/>
      <c r="I684" s="552"/>
      <c r="J684" s="552"/>
      <c r="K684" s="552"/>
      <c r="L684" s="552"/>
      <c r="M684" s="552"/>
      <c r="N684" s="551"/>
      <c r="O684" s="551"/>
      <c r="P684" s="551"/>
      <c r="Q684" s="551"/>
      <c r="R684" s="551"/>
      <c r="S684" s="551"/>
      <c r="T684" s="551"/>
      <c r="U684" s="551"/>
      <c r="V684" s="551"/>
      <c r="W684" s="551"/>
      <c r="X684" s="551"/>
      <c r="Y684" s="551"/>
      <c r="Z684" s="551"/>
      <c r="AA684" s="551"/>
      <c r="AB684" s="551"/>
      <c r="AC684" s="551"/>
      <c r="AD684" s="551"/>
      <c r="AE684" s="551"/>
      <c r="AF684" s="551"/>
    </row>
    <row r="685">
      <c r="A685" s="552"/>
      <c r="B685" s="552"/>
      <c r="C685" s="552"/>
      <c r="D685" s="552"/>
      <c r="E685" s="552"/>
      <c r="F685" s="552"/>
      <c r="G685" s="552"/>
      <c r="H685" s="552"/>
      <c r="I685" s="552"/>
      <c r="J685" s="552"/>
      <c r="K685" s="552"/>
      <c r="L685" s="552"/>
      <c r="M685" s="552"/>
      <c r="N685" s="551"/>
      <c r="O685" s="551"/>
      <c r="P685" s="551"/>
      <c r="Q685" s="551"/>
      <c r="R685" s="551"/>
      <c r="S685" s="551"/>
      <c r="T685" s="551"/>
      <c r="U685" s="551"/>
      <c r="V685" s="551"/>
      <c r="W685" s="551"/>
      <c r="X685" s="551"/>
      <c r="Y685" s="551"/>
      <c r="Z685" s="551"/>
      <c r="AA685" s="551"/>
      <c r="AB685" s="551"/>
      <c r="AC685" s="551"/>
      <c r="AD685" s="551"/>
      <c r="AE685" s="551"/>
      <c r="AF685" s="551"/>
    </row>
    <row r="686">
      <c r="A686" s="552"/>
      <c r="B686" s="552"/>
      <c r="C686" s="552"/>
      <c r="D686" s="552"/>
      <c r="E686" s="552"/>
      <c r="F686" s="552"/>
      <c r="G686" s="552"/>
      <c r="H686" s="552"/>
      <c r="I686" s="552"/>
      <c r="J686" s="552"/>
      <c r="K686" s="552"/>
      <c r="L686" s="552"/>
      <c r="M686" s="552"/>
      <c r="N686" s="551"/>
      <c r="O686" s="551"/>
      <c r="P686" s="551"/>
      <c r="Q686" s="551"/>
      <c r="R686" s="551"/>
      <c r="S686" s="551"/>
      <c r="T686" s="551"/>
      <c r="U686" s="551"/>
      <c r="V686" s="551"/>
      <c r="W686" s="551"/>
      <c r="X686" s="551"/>
      <c r="Y686" s="551"/>
      <c r="Z686" s="551"/>
      <c r="AA686" s="551"/>
      <c r="AB686" s="551"/>
      <c r="AC686" s="551"/>
      <c r="AD686" s="551"/>
      <c r="AE686" s="551"/>
      <c r="AF686" s="551"/>
    </row>
    <row r="687">
      <c r="A687" s="552"/>
      <c r="B687" s="552"/>
      <c r="C687" s="552"/>
      <c r="D687" s="552"/>
      <c r="E687" s="552"/>
      <c r="F687" s="552"/>
      <c r="G687" s="552"/>
      <c r="H687" s="552"/>
      <c r="I687" s="552"/>
      <c r="J687" s="552"/>
      <c r="K687" s="552"/>
      <c r="L687" s="552"/>
      <c r="M687" s="552"/>
      <c r="N687" s="551"/>
      <c r="O687" s="551"/>
      <c r="P687" s="551"/>
      <c r="Q687" s="551"/>
      <c r="R687" s="551"/>
      <c r="S687" s="551"/>
      <c r="T687" s="551"/>
      <c r="U687" s="551"/>
      <c r="V687" s="551"/>
      <c r="W687" s="551"/>
      <c r="X687" s="551"/>
      <c r="Y687" s="551"/>
      <c r="Z687" s="551"/>
      <c r="AA687" s="551"/>
      <c r="AB687" s="551"/>
      <c r="AC687" s="551"/>
      <c r="AD687" s="551"/>
      <c r="AE687" s="551"/>
      <c r="AF687" s="551"/>
    </row>
    <row r="688">
      <c r="A688" s="552"/>
      <c r="B688" s="552"/>
      <c r="C688" s="552"/>
      <c r="D688" s="552"/>
      <c r="E688" s="552"/>
      <c r="F688" s="552"/>
      <c r="G688" s="552"/>
      <c r="H688" s="552"/>
      <c r="I688" s="552"/>
      <c r="J688" s="552"/>
      <c r="K688" s="552"/>
      <c r="L688" s="552"/>
      <c r="M688" s="552"/>
      <c r="N688" s="551"/>
      <c r="O688" s="551"/>
      <c r="P688" s="551"/>
      <c r="Q688" s="551"/>
      <c r="R688" s="551"/>
      <c r="S688" s="551"/>
      <c r="T688" s="551"/>
      <c r="U688" s="551"/>
      <c r="V688" s="551"/>
      <c r="W688" s="551"/>
      <c r="X688" s="551"/>
      <c r="Y688" s="551"/>
      <c r="Z688" s="551"/>
      <c r="AA688" s="551"/>
      <c r="AB688" s="551"/>
      <c r="AC688" s="551"/>
      <c r="AD688" s="551"/>
      <c r="AE688" s="551"/>
      <c r="AF688" s="551"/>
    </row>
    <row r="689">
      <c r="A689" s="552"/>
      <c r="B689" s="552"/>
      <c r="C689" s="552"/>
      <c r="D689" s="552"/>
      <c r="E689" s="552"/>
      <c r="F689" s="552"/>
      <c r="G689" s="552"/>
      <c r="H689" s="552"/>
      <c r="I689" s="552"/>
      <c r="J689" s="552"/>
      <c r="K689" s="552"/>
      <c r="L689" s="552"/>
      <c r="M689" s="552"/>
      <c r="N689" s="551"/>
      <c r="O689" s="551"/>
      <c r="P689" s="551"/>
      <c r="Q689" s="551"/>
      <c r="R689" s="551"/>
      <c r="S689" s="551"/>
      <c r="T689" s="551"/>
      <c r="U689" s="551"/>
      <c r="V689" s="551"/>
      <c r="W689" s="551"/>
      <c r="X689" s="551"/>
      <c r="Y689" s="551"/>
      <c r="Z689" s="551"/>
      <c r="AA689" s="551"/>
      <c r="AB689" s="551"/>
      <c r="AC689" s="551"/>
      <c r="AD689" s="551"/>
      <c r="AE689" s="551"/>
      <c r="AF689" s="551"/>
    </row>
    <row r="690">
      <c r="A690" s="552"/>
      <c r="B690" s="552"/>
      <c r="C690" s="552"/>
      <c r="D690" s="552"/>
      <c r="E690" s="552"/>
      <c r="F690" s="552"/>
      <c r="G690" s="552"/>
      <c r="H690" s="552"/>
      <c r="I690" s="552"/>
      <c r="J690" s="552"/>
      <c r="K690" s="552"/>
      <c r="L690" s="552"/>
      <c r="M690" s="552"/>
      <c r="N690" s="551"/>
      <c r="O690" s="551"/>
      <c r="P690" s="551"/>
      <c r="Q690" s="551"/>
      <c r="R690" s="551"/>
      <c r="S690" s="551"/>
      <c r="T690" s="551"/>
      <c r="U690" s="551"/>
      <c r="V690" s="551"/>
      <c r="W690" s="551"/>
      <c r="X690" s="551"/>
      <c r="Y690" s="551"/>
      <c r="Z690" s="551"/>
      <c r="AA690" s="551"/>
      <c r="AB690" s="551"/>
      <c r="AC690" s="551"/>
      <c r="AD690" s="551"/>
      <c r="AE690" s="551"/>
      <c r="AF690" s="551"/>
    </row>
    <row r="691">
      <c r="A691" s="552"/>
      <c r="B691" s="552"/>
      <c r="C691" s="552"/>
      <c r="D691" s="552"/>
      <c r="E691" s="552"/>
      <c r="F691" s="552"/>
      <c r="G691" s="552"/>
      <c r="H691" s="552"/>
      <c r="I691" s="552"/>
      <c r="J691" s="552"/>
      <c r="K691" s="552"/>
      <c r="L691" s="552"/>
      <c r="M691" s="552"/>
      <c r="N691" s="551"/>
      <c r="O691" s="551"/>
      <c r="P691" s="551"/>
      <c r="Q691" s="551"/>
      <c r="R691" s="551"/>
      <c r="S691" s="551"/>
      <c r="T691" s="551"/>
      <c r="U691" s="551"/>
      <c r="V691" s="551"/>
      <c r="W691" s="551"/>
      <c r="X691" s="551"/>
      <c r="Y691" s="551"/>
      <c r="Z691" s="551"/>
      <c r="AA691" s="551"/>
      <c r="AB691" s="551"/>
      <c r="AC691" s="551"/>
      <c r="AD691" s="551"/>
      <c r="AE691" s="551"/>
      <c r="AF691" s="551"/>
    </row>
    <row r="692">
      <c r="A692" s="552"/>
      <c r="B692" s="552"/>
      <c r="C692" s="552"/>
      <c r="D692" s="552"/>
      <c r="E692" s="552"/>
      <c r="F692" s="552"/>
      <c r="G692" s="552"/>
      <c r="H692" s="552"/>
      <c r="I692" s="552"/>
      <c r="J692" s="552"/>
      <c r="K692" s="552"/>
      <c r="L692" s="552"/>
      <c r="M692" s="552"/>
      <c r="N692" s="551"/>
      <c r="O692" s="551"/>
      <c r="P692" s="551"/>
      <c r="Q692" s="551"/>
      <c r="R692" s="551"/>
      <c r="S692" s="551"/>
      <c r="T692" s="551"/>
      <c r="U692" s="551"/>
      <c r="V692" s="551"/>
      <c r="W692" s="551"/>
      <c r="X692" s="551"/>
      <c r="Y692" s="551"/>
      <c r="Z692" s="551"/>
      <c r="AA692" s="551"/>
      <c r="AB692" s="551"/>
      <c r="AC692" s="551"/>
      <c r="AD692" s="551"/>
      <c r="AE692" s="551"/>
      <c r="AF692" s="551"/>
    </row>
    <row r="693">
      <c r="A693" s="552"/>
      <c r="B693" s="552"/>
      <c r="C693" s="552"/>
      <c r="D693" s="552"/>
      <c r="E693" s="552"/>
      <c r="F693" s="552"/>
      <c r="G693" s="552"/>
      <c r="H693" s="552"/>
      <c r="I693" s="552"/>
      <c r="J693" s="552"/>
      <c r="K693" s="552"/>
      <c r="L693" s="552"/>
      <c r="M693" s="552"/>
      <c r="N693" s="551"/>
      <c r="O693" s="551"/>
      <c r="P693" s="551"/>
      <c r="Q693" s="551"/>
      <c r="R693" s="551"/>
      <c r="S693" s="551"/>
      <c r="T693" s="551"/>
      <c r="U693" s="551"/>
      <c r="V693" s="551"/>
      <c r="W693" s="551"/>
      <c r="X693" s="551"/>
      <c r="Y693" s="551"/>
      <c r="Z693" s="551"/>
      <c r="AA693" s="551"/>
      <c r="AB693" s="551"/>
      <c r="AC693" s="551"/>
      <c r="AD693" s="551"/>
      <c r="AE693" s="551"/>
      <c r="AF693" s="551"/>
    </row>
    <row r="694">
      <c r="A694" s="552"/>
      <c r="B694" s="552"/>
      <c r="C694" s="552"/>
      <c r="D694" s="552"/>
      <c r="E694" s="552"/>
      <c r="F694" s="552"/>
      <c r="G694" s="552"/>
      <c r="H694" s="552"/>
      <c r="I694" s="552"/>
      <c r="J694" s="552"/>
      <c r="K694" s="552"/>
      <c r="L694" s="552"/>
      <c r="M694" s="552"/>
      <c r="N694" s="551"/>
      <c r="O694" s="551"/>
      <c r="P694" s="551"/>
      <c r="Q694" s="551"/>
      <c r="R694" s="551"/>
      <c r="S694" s="551"/>
      <c r="T694" s="551"/>
      <c r="U694" s="551"/>
      <c r="V694" s="551"/>
      <c r="W694" s="551"/>
      <c r="X694" s="551"/>
      <c r="Y694" s="551"/>
      <c r="Z694" s="551"/>
      <c r="AA694" s="551"/>
      <c r="AB694" s="551"/>
      <c r="AC694" s="551"/>
      <c r="AD694" s="551"/>
      <c r="AE694" s="551"/>
      <c r="AF694" s="551"/>
    </row>
    <row r="695">
      <c r="A695" s="552"/>
      <c r="B695" s="552"/>
      <c r="C695" s="552"/>
      <c r="D695" s="552"/>
      <c r="E695" s="552"/>
      <c r="F695" s="552"/>
      <c r="G695" s="552"/>
      <c r="H695" s="552"/>
      <c r="I695" s="552"/>
      <c r="J695" s="552"/>
      <c r="K695" s="552"/>
      <c r="L695" s="552"/>
      <c r="M695" s="552"/>
      <c r="N695" s="551"/>
      <c r="O695" s="551"/>
      <c r="P695" s="551"/>
      <c r="Q695" s="551"/>
      <c r="R695" s="551"/>
      <c r="S695" s="551"/>
      <c r="T695" s="551"/>
      <c r="U695" s="551"/>
      <c r="V695" s="551"/>
      <c r="W695" s="551"/>
      <c r="X695" s="551"/>
      <c r="Y695" s="551"/>
      <c r="Z695" s="551"/>
      <c r="AA695" s="551"/>
      <c r="AB695" s="551"/>
      <c r="AC695" s="551"/>
      <c r="AD695" s="551"/>
      <c r="AE695" s="551"/>
      <c r="AF695" s="551"/>
    </row>
    <row r="696">
      <c r="A696" s="552"/>
      <c r="B696" s="552"/>
      <c r="C696" s="552"/>
      <c r="D696" s="552"/>
      <c r="E696" s="552"/>
      <c r="F696" s="552"/>
      <c r="G696" s="552"/>
      <c r="H696" s="552"/>
      <c r="I696" s="552"/>
      <c r="J696" s="552"/>
      <c r="K696" s="552"/>
      <c r="L696" s="552"/>
      <c r="M696" s="552"/>
      <c r="N696" s="551"/>
      <c r="O696" s="551"/>
      <c r="P696" s="551"/>
      <c r="Q696" s="551"/>
      <c r="R696" s="551"/>
      <c r="S696" s="551"/>
      <c r="T696" s="551"/>
      <c r="U696" s="551"/>
      <c r="V696" s="551"/>
      <c r="W696" s="551"/>
      <c r="X696" s="551"/>
      <c r="Y696" s="551"/>
      <c r="Z696" s="551"/>
      <c r="AA696" s="551"/>
      <c r="AB696" s="551"/>
      <c r="AC696" s="551"/>
      <c r="AD696" s="551"/>
      <c r="AE696" s="551"/>
      <c r="AF696" s="551"/>
    </row>
    <row r="697">
      <c r="A697" s="552"/>
      <c r="B697" s="552"/>
      <c r="C697" s="552"/>
      <c r="D697" s="552"/>
      <c r="E697" s="552"/>
      <c r="F697" s="552"/>
      <c r="G697" s="552"/>
      <c r="H697" s="552"/>
      <c r="I697" s="552"/>
      <c r="J697" s="552"/>
      <c r="K697" s="552"/>
      <c r="L697" s="552"/>
      <c r="M697" s="552"/>
      <c r="N697" s="551"/>
      <c r="O697" s="551"/>
      <c r="P697" s="551"/>
      <c r="Q697" s="551"/>
      <c r="R697" s="551"/>
      <c r="S697" s="551"/>
      <c r="T697" s="551"/>
      <c r="U697" s="551"/>
      <c r="V697" s="551"/>
      <c r="W697" s="551"/>
      <c r="X697" s="551"/>
      <c r="Y697" s="551"/>
      <c r="Z697" s="551"/>
      <c r="AA697" s="551"/>
      <c r="AB697" s="551"/>
      <c r="AC697" s="551"/>
      <c r="AD697" s="551"/>
      <c r="AE697" s="551"/>
      <c r="AF697" s="551"/>
    </row>
    <row r="698">
      <c r="A698" s="552"/>
      <c r="B698" s="552"/>
      <c r="C698" s="552"/>
      <c r="D698" s="552"/>
      <c r="E698" s="552"/>
      <c r="F698" s="552"/>
      <c r="G698" s="552"/>
      <c r="H698" s="552"/>
      <c r="I698" s="552"/>
      <c r="J698" s="552"/>
      <c r="K698" s="552"/>
      <c r="L698" s="552"/>
      <c r="M698" s="552"/>
      <c r="N698" s="551"/>
      <c r="O698" s="551"/>
      <c r="P698" s="551"/>
      <c r="Q698" s="551"/>
      <c r="R698" s="551"/>
      <c r="S698" s="551"/>
      <c r="T698" s="551"/>
      <c r="U698" s="551"/>
      <c r="V698" s="551"/>
      <c r="W698" s="551"/>
      <c r="X698" s="551"/>
      <c r="Y698" s="551"/>
      <c r="Z698" s="551"/>
      <c r="AA698" s="551"/>
      <c r="AB698" s="551"/>
      <c r="AC698" s="551"/>
      <c r="AD698" s="551"/>
      <c r="AE698" s="551"/>
      <c r="AF698" s="551"/>
    </row>
    <row r="699">
      <c r="A699" s="552"/>
      <c r="B699" s="552"/>
      <c r="C699" s="552"/>
      <c r="D699" s="552"/>
      <c r="E699" s="552"/>
      <c r="F699" s="552"/>
      <c r="G699" s="552"/>
      <c r="H699" s="552"/>
      <c r="I699" s="552"/>
      <c r="J699" s="552"/>
      <c r="K699" s="552"/>
      <c r="L699" s="552"/>
      <c r="M699" s="552"/>
      <c r="N699" s="551"/>
      <c r="O699" s="551"/>
      <c r="P699" s="551"/>
      <c r="Q699" s="551"/>
      <c r="R699" s="551"/>
      <c r="S699" s="551"/>
      <c r="T699" s="551"/>
      <c r="U699" s="551"/>
      <c r="V699" s="551"/>
      <c r="W699" s="551"/>
      <c r="X699" s="551"/>
      <c r="Y699" s="551"/>
      <c r="Z699" s="551"/>
      <c r="AA699" s="551"/>
      <c r="AB699" s="551"/>
      <c r="AC699" s="551"/>
      <c r="AD699" s="551"/>
      <c r="AE699" s="551"/>
      <c r="AF699" s="551"/>
    </row>
    <row r="700">
      <c r="A700" s="552"/>
      <c r="B700" s="552"/>
      <c r="C700" s="552"/>
      <c r="D700" s="552"/>
      <c r="E700" s="552"/>
      <c r="F700" s="552"/>
      <c r="G700" s="552"/>
      <c r="H700" s="552"/>
      <c r="I700" s="552"/>
      <c r="J700" s="552"/>
      <c r="K700" s="552"/>
      <c r="L700" s="552"/>
      <c r="M700" s="552"/>
      <c r="N700" s="551"/>
      <c r="O700" s="551"/>
      <c r="P700" s="551"/>
      <c r="Q700" s="551"/>
      <c r="R700" s="551"/>
      <c r="S700" s="551"/>
      <c r="T700" s="551"/>
      <c r="U700" s="551"/>
      <c r="V700" s="551"/>
      <c r="W700" s="551"/>
      <c r="X700" s="551"/>
      <c r="Y700" s="551"/>
      <c r="Z700" s="551"/>
      <c r="AA700" s="551"/>
      <c r="AB700" s="551"/>
      <c r="AC700" s="551"/>
      <c r="AD700" s="551"/>
      <c r="AE700" s="551"/>
      <c r="AF700" s="551"/>
    </row>
    <row r="701">
      <c r="A701" s="552"/>
      <c r="B701" s="552"/>
      <c r="C701" s="552"/>
      <c r="D701" s="552"/>
      <c r="E701" s="552"/>
      <c r="F701" s="552"/>
      <c r="G701" s="552"/>
      <c r="H701" s="552"/>
      <c r="I701" s="552"/>
      <c r="J701" s="552"/>
      <c r="K701" s="552"/>
      <c r="L701" s="552"/>
      <c r="M701" s="552"/>
      <c r="N701" s="551"/>
      <c r="O701" s="551"/>
      <c r="P701" s="551"/>
      <c r="Q701" s="551"/>
      <c r="R701" s="551"/>
      <c r="S701" s="551"/>
      <c r="T701" s="551"/>
      <c r="U701" s="551"/>
      <c r="V701" s="551"/>
      <c r="W701" s="551"/>
      <c r="X701" s="551"/>
      <c r="Y701" s="551"/>
      <c r="Z701" s="551"/>
      <c r="AA701" s="551"/>
      <c r="AB701" s="551"/>
      <c r="AC701" s="551"/>
      <c r="AD701" s="551"/>
      <c r="AE701" s="551"/>
      <c r="AF701" s="551"/>
    </row>
    <row r="702">
      <c r="A702" s="552"/>
      <c r="B702" s="552"/>
      <c r="C702" s="552"/>
      <c r="D702" s="552"/>
      <c r="E702" s="552"/>
      <c r="F702" s="552"/>
      <c r="G702" s="552"/>
      <c r="H702" s="552"/>
      <c r="I702" s="552"/>
      <c r="J702" s="552"/>
      <c r="K702" s="552"/>
      <c r="L702" s="552"/>
      <c r="M702" s="552"/>
      <c r="N702" s="551"/>
      <c r="O702" s="551"/>
      <c r="P702" s="551"/>
      <c r="Q702" s="551"/>
      <c r="R702" s="551"/>
      <c r="S702" s="551"/>
      <c r="T702" s="551"/>
      <c r="U702" s="551"/>
      <c r="V702" s="551"/>
      <c r="W702" s="551"/>
      <c r="X702" s="551"/>
      <c r="Y702" s="551"/>
      <c r="Z702" s="551"/>
      <c r="AA702" s="551"/>
      <c r="AB702" s="551"/>
      <c r="AC702" s="551"/>
      <c r="AD702" s="551"/>
      <c r="AE702" s="551"/>
      <c r="AF702" s="551"/>
    </row>
    <row r="703">
      <c r="A703" s="552"/>
      <c r="B703" s="552"/>
      <c r="C703" s="552"/>
      <c r="D703" s="552"/>
      <c r="E703" s="552"/>
      <c r="F703" s="552"/>
      <c r="G703" s="552"/>
      <c r="H703" s="552"/>
      <c r="I703" s="552"/>
      <c r="J703" s="552"/>
      <c r="K703" s="552"/>
      <c r="L703" s="552"/>
      <c r="M703" s="552"/>
      <c r="N703" s="551"/>
      <c r="O703" s="551"/>
      <c r="P703" s="551"/>
      <c r="Q703" s="551"/>
      <c r="R703" s="551"/>
      <c r="S703" s="551"/>
      <c r="T703" s="551"/>
      <c r="U703" s="551"/>
      <c r="V703" s="551"/>
      <c r="W703" s="551"/>
      <c r="X703" s="551"/>
      <c r="Y703" s="551"/>
      <c r="Z703" s="551"/>
      <c r="AA703" s="551"/>
      <c r="AB703" s="551"/>
      <c r="AC703" s="551"/>
      <c r="AD703" s="551"/>
      <c r="AE703" s="551"/>
      <c r="AF703" s="551"/>
    </row>
    <row r="704">
      <c r="A704" s="552"/>
      <c r="B704" s="552"/>
      <c r="C704" s="552"/>
      <c r="D704" s="552"/>
      <c r="E704" s="552"/>
      <c r="F704" s="552"/>
      <c r="G704" s="552"/>
      <c r="H704" s="552"/>
      <c r="I704" s="552"/>
      <c r="J704" s="552"/>
      <c r="K704" s="552"/>
      <c r="L704" s="552"/>
      <c r="M704" s="552"/>
      <c r="N704" s="551"/>
      <c r="O704" s="551"/>
      <c r="P704" s="551"/>
      <c r="Q704" s="551"/>
      <c r="R704" s="551"/>
      <c r="S704" s="551"/>
      <c r="T704" s="551"/>
      <c r="U704" s="551"/>
      <c r="V704" s="551"/>
      <c r="W704" s="551"/>
      <c r="X704" s="551"/>
      <c r="Y704" s="551"/>
      <c r="Z704" s="551"/>
      <c r="AA704" s="551"/>
      <c r="AB704" s="551"/>
      <c r="AC704" s="551"/>
      <c r="AD704" s="551"/>
      <c r="AE704" s="551"/>
      <c r="AF704" s="551"/>
    </row>
    <row r="705">
      <c r="A705" s="552"/>
      <c r="B705" s="552"/>
      <c r="C705" s="552"/>
      <c r="D705" s="552"/>
      <c r="E705" s="552"/>
      <c r="F705" s="552"/>
      <c r="G705" s="552"/>
      <c r="H705" s="552"/>
      <c r="I705" s="552"/>
      <c r="J705" s="552"/>
      <c r="K705" s="552"/>
      <c r="L705" s="552"/>
      <c r="M705" s="552"/>
      <c r="N705" s="551"/>
      <c r="O705" s="551"/>
      <c r="P705" s="551"/>
      <c r="Q705" s="551"/>
      <c r="R705" s="551"/>
      <c r="S705" s="551"/>
      <c r="T705" s="551"/>
      <c r="U705" s="551"/>
      <c r="V705" s="551"/>
      <c r="W705" s="551"/>
      <c r="X705" s="551"/>
      <c r="Y705" s="551"/>
      <c r="Z705" s="551"/>
      <c r="AA705" s="551"/>
      <c r="AB705" s="551"/>
      <c r="AC705" s="551"/>
      <c r="AD705" s="551"/>
      <c r="AE705" s="551"/>
      <c r="AF705" s="551"/>
    </row>
    <row r="706">
      <c r="A706" s="552"/>
      <c r="B706" s="552"/>
      <c r="C706" s="552"/>
      <c r="D706" s="552"/>
      <c r="E706" s="552"/>
      <c r="F706" s="552"/>
      <c r="G706" s="552"/>
      <c r="H706" s="552"/>
      <c r="I706" s="552"/>
      <c r="J706" s="552"/>
      <c r="K706" s="552"/>
      <c r="L706" s="552"/>
      <c r="M706" s="552"/>
      <c r="N706" s="551"/>
      <c r="O706" s="551"/>
      <c r="P706" s="551"/>
      <c r="Q706" s="551"/>
      <c r="R706" s="551"/>
      <c r="S706" s="551"/>
      <c r="T706" s="551"/>
      <c r="U706" s="551"/>
      <c r="V706" s="551"/>
      <c r="W706" s="551"/>
      <c r="X706" s="551"/>
      <c r="Y706" s="551"/>
      <c r="Z706" s="551"/>
      <c r="AA706" s="551"/>
      <c r="AB706" s="551"/>
      <c r="AC706" s="551"/>
      <c r="AD706" s="551"/>
      <c r="AE706" s="551"/>
      <c r="AF706" s="551"/>
    </row>
    <row r="707">
      <c r="A707" s="552"/>
      <c r="B707" s="552"/>
      <c r="C707" s="552"/>
      <c r="D707" s="552"/>
      <c r="E707" s="552"/>
      <c r="F707" s="552"/>
      <c r="G707" s="552"/>
      <c r="H707" s="552"/>
      <c r="I707" s="552"/>
      <c r="J707" s="552"/>
      <c r="K707" s="552"/>
      <c r="L707" s="552"/>
      <c r="M707" s="552"/>
      <c r="N707" s="551"/>
      <c r="O707" s="551"/>
      <c r="P707" s="551"/>
      <c r="Q707" s="551"/>
      <c r="R707" s="551"/>
      <c r="S707" s="551"/>
      <c r="T707" s="551"/>
      <c r="U707" s="551"/>
      <c r="V707" s="551"/>
      <c r="W707" s="551"/>
      <c r="X707" s="551"/>
      <c r="Y707" s="551"/>
      <c r="Z707" s="551"/>
      <c r="AA707" s="551"/>
      <c r="AB707" s="551"/>
      <c r="AC707" s="551"/>
      <c r="AD707" s="551"/>
      <c r="AE707" s="551"/>
      <c r="AF707" s="551"/>
    </row>
    <row r="708">
      <c r="A708" s="552"/>
      <c r="B708" s="552"/>
      <c r="C708" s="552"/>
      <c r="D708" s="552"/>
      <c r="E708" s="552"/>
      <c r="F708" s="552"/>
      <c r="G708" s="552"/>
      <c r="H708" s="552"/>
      <c r="I708" s="552"/>
      <c r="J708" s="552"/>
      <c r="K708" s="552"/>
      <c r="L708" s="552"/>
      <c r="M708" s="552"/>
      <c r="N708" s="551"/>
      <c r="O708" s="551"/>
      <c r="P708" s="551"/>
      <c r="Q708" s="551"/>
      <c r="R708" s="551"/>
      <c r="S708" s="551"/>
      <c r="T708" s="551"/>
      <c r="U708" s="551"/>
      <c r="V708" s="551"/>
      <c r="W708" s="551"/>
      <c r="X708" s="551"/>
      <c r="Y708" s="551"/>
      <c r="Z708" s="551"/>
      <c r="AA708" s="551"/>
      <c r="AB708" s="551"/>
      <c r="AC708" s="551"/>
      <c r="AD708" s="551"/>
      <c r="AE708" s="551"/>
      <c r="AF708" s="551"/>
    </row>
    <row r="709">
      <c r="A709" s="552"/>
      <c r="B709" s="552"/>
      <c r="C709" s="552"/>
      <c r="D709" s="552"/>
      <c r="E709" s="552"/>
      <c r="F709" s="552"/>
      <c r="G709" s="552"/>
      <c r="H709" s="552"/>
      <c r="I709" s="552"/>
      <c r="J709" s="552"/>
      <c r="K709" s="552"/>
      <c r="L709" s="552"/>
      <c r="M709" s="552"/>
      <c r="N709" s="551"/>
      <c r="O709" s="551"/>
      <c r="P709" s="551"/>
      <c r="Q709" s="551"/>
      <c r="R709" s="551"/>
      <c r="S709" s="551"/>
      <c r="T709" s="551"/>
      <c r="U709" s="551"/>
      <c r="V709" s="551"/>
      <c r="W709" s="551"/>
      <c r="X709" s="551"/>
      <c r="Y709" s="551"/>
      <c r="Z709" s="551"/>
      <c r="AA709" s="551"/>
      <c r="AB709" s="551"/>
      <c r="AC709" s="551"/>
      <c r="AD709" s="551"/>
      <c r="AE709" s="551"/>
      <c r="AF709" s="551"/>
    </row>
    <row r="710">
      <c r="A710" s="552"/>
      <c r="B710" s="552"/>
      <c r="C710" s="552"/>
      <c r="D710" s="552"/>
      <c r="E710" s="552"/>
      <c r="F710" s="552"/>
      <c r="G710" s="552"/>
      <c r="H710" s="552"/>
      <c r="I710" s="552"/>
      <c r="J710" s="552"/>
      <c r="K710" s="552"/>
      <c r="L710" s="552"/>
      <c r="M710" s="552"/>
      <c r="N710" s="551"/>
      <c r="O710" s="551"/>
      <c r="P710" s="551"/>
      <c r="Q710" s="551"/>
      <c r="R710" s="551"/>
      <c r="S710" s="551"/>
      <c r="T710" s="551"/>
      <c r="U710" s="551"/>
      <c r="V710" s="551"/>
      <c r="W710" s="551"/>
      <c r="X710" s="551"/>
      <c r="Y710" s="551"/>
      <c r="Z710" s="551"/>
      <c r="AA710" s="551"/>
      <c r="AB710" s="551"/>
      <c r="AC710" s="551"/>
      <c r="AD710" s="551"/>
      <c r="AE710" s="551"/>
      <c r="AF710" s="551"/>
    </row>
    <row r="711">
      <c r="A711" s="552"/>
      <c r="B711" s="552"/>
      <c r="C711" s="552"/>
      <c r="D711" s="552"/>
      <c r="E711" s="552"/>
      <c r="F711" s="552"/>
      <c r="G711" s="552"/>
      <c r="H711" s="552"/>
      <c r="I711" s="552"/>
      <c r="J711" s="552"/>
      <c r="K711" s="552"/>
      <c r="L711" s="552"/>
      <c r="M711" s="552"/>
      <c r="N711" s="551"/>
      <c r="O711" s="551"/>
      <c r="P711" s="551"/>
      <c r="Q711" s="551"/>
      <c r="R711" s="551"/>
      <c r="S711" s="551"/>
      <c r="T711" s="551"/>
      <c r="U711" s="551"/>
      <c r="V711" s="551"/>
      <c r="W711" s="551"/>
      <c r="X711" s="551"/>
      <c r="Y711" s="551"/>
      <c r="Z711" s="551"/>
      <c r="AA711" s="551"/>
      <c r="AB711" s="551"/>
      <c r="AC711" s="551"/>
      <c r="AD711" s="551"/>
      <c r="AE711" s="551"/>
      <c r="AF711" s="551"/>
    </row>
    <row r="712">
      <c r="A712" s="552"/>
      <c r="B712" s="552"/>
      <c r="C712" s="552"/>
      <c r="D712" s="552"/>
      <c r="E712" s="552"/>
      <c r="F712" s="552"/>
      <c r="G712" s="552"/>
      <c r="H712" s="552"/>
      <c r="I712" s="552"/>
      <c r="J712" s="552"/>
      <c r="K712" s="552"/>
      <c r="L712" s="552"/>
      <c r="M712" s="552"/>
      <c r="N712" s="551"/>
      <c r="O712" s="551"/>
      <c r="P712" s="551"/>
      <c r="Q712" s="551"/>
      <c r="R712" s="551"/>
      <c r="S712" s="551"/>
      <c r="T712" s="551"/>
      <c r="U712" s="551"/>
      <c r="V712" s="551"/>
      <c r="W712" s="551"/>
      <c r="X712" s="551"/>
      <c r="Y712" s="551"/>
      <c r="Z712" s="551"/>
      <c r="AA712" s="551"/>
      <c r="AB712" s="551"/>
      <c r="AC712" s="551"/>
      <c r="AD712" s="551"/>
      <c r="AE712" s="551"/>
      <c r="AF712" s="551"/>
    </row>
    <row r="713">
      <c r="A713" s="552"/>
      <c r="B713" s="552"/>
      <c r="C713" s="552"/>
      <c r="D713" s="552"/>
      <c r="E713" s="552"/>
      <c r="F713" s="552"/>
      <c r="G713" s="552"/>
      <c r="H713" s="552"/>
      <c r="I713" s="552"/>
      <c r="J713" s="552"/>
      <c r="K713" s="552"/>
      <c r="L713" s="552"/>
      <c r="M713" s="552"/>
      <c r="N713" s="551"/>
      <c r="O713" s="551"/>
      <c r="P713" s="551"/>
      <c r="Q713" s="551"/>
      <c r="R713" s="551"/>
      <c r="S713" s="551"/>
      <c r="T713" s="551"/>
      <c r="U713" s="551"/>
      <c r="V713" s="551"/>
      <c r="W713" s="551"/>
      <c r="X713" s="551"/>
      <c r="Y713" s="551"/>
      <c r="Z713" s="551"/>
      <c r="AA713" s="551"/>
      <c r="AB713" s="551"/>
      <c r="AC713" s="551"/>
      <c r="AD713" s="551"/>
      <c r="AE713" s="551"/>
      <c r="AF713" s="551"/>
    </row>
    <row r="714">
      <c r="A714" s="552"/>
      <c r="B714" s="552"/>
      <c r="C714" s="552"/>
      <c r="D714" s="552"/>
      <c r="E714" s="552"/>
      <c r="F714" s="552"/>
      <c r="G714" s="552"/>
      <c r="H714" s="552"/>
      <c r="I714" s="552"/>
      <c r="J714" s="552"/>
      <c r="K714" s="552"/>
      <c r="L714" s="552"/>
      <c r="M714" s="552"/>
      <c r="N714" s="551"/>
      <c r="O714" s="551"/>
      <c r="P714" s="551"/>
      <c r="Q714" s="551"/>
      <c r="R714" s="551"/>
      <c r="S714" s="551"/>
      <c r="T714" s="551"/>
      <c r="U714" s="551"/>
      <c r="V714" s="551"/>
      <c r="W714" s="551"/>
      <c r="X714" s="551"/>
      <c r="Y714" s="551"/>
      <c r="Z714" s="551"/>
      <c r="AA714" s="551"/>
      <c r="AB714" s="551"/>
      <c r="AC714" s="551"/>
      <c r="AD714" s="551"/>
      <c r="AE714" s="551"/>
      <c r="AF714" s="551"/>
    </row>
    <row r="715">
      <c r="A715" s="552"/>
      <c r="B715" s="552"/>
      <c r="C715" s="552"/>
      <c r="D715" s="552"/>
      <c r="E715" s="552"/>
      <c r="F715" s="552"/>
      <c r="G715" s="552"/>
      <c r="H715" s="552"/>
      <c r="I715" s="552"/>
      <c r="J715" s="552"/>
      <c r="K715" s="552"/>
      <c r="L715" s="552"/>
      <c r="M715" s="552"/>
      <c r="N715" s="551"/>
      <c r="O715" s="551"/>
      <c r="P715" s="551"/>
      <c r="Q715" s="551"/>
      <c r="R715" s="551"/>
      <c r="S715" s="551"/>
      <c r="T715" s="551"/>
      <c r="U715" s="551"/>
      <c r="V715" s="551"/>
      <c r="W715" s="551"/>
      <c r="X715" s="551"/>
      <c r="Y715" s="551"/>
      <c r="Z715" s="551"/>
      <c r="AA715" s="551"/>
      <c r="AB715" s="551"/>
      <c r="AC715" s="551"/>
      <c r="AD715" s="551"/>
      <c r="AE715" s="551"/>
      <c r="AF715" s="551"/>
    </row>
    <row r="716">
      <c r="A716" s="552"/>
      <c r="B716" s="552"/>
      <c r="C716" s="552"/>
      <c r="D716" s="552"/>
      <c r="E716" s="552"/>
      <c r="F716" s="552"/>
      <c r="G716" s="552"/>
      <c r="H716" s="552"/>
      <c r="I716" s="552"/>
      <c r="J716" s="552"/>
      <c r="K716" s="552"/>
      <c r="L716" s="552"/>
      <c r="M716" s="552"/>
      <c r="N716" s="551"/>
      <c r="O716" s="551"/>
      <c r="P716" s="551"/>
      <c r="Q716" s="551"/>
      <c r="R716" s="551"/>
      <c r="S716" s="551"/>
      <c r="T716" s="551"/>
      <c r="U716" s="551"/>
      <c r="V716" s="551"/>
      <c r="W716" s="551"/>
      <c r="X716" s="551"/>
      <c r="Y716" s="551"/>
      <c r="Z716" s="551"/>
      <c r="AA716" s="551"/>
      <c r="AB716" s="551"/>
      <c r="AC716" s="551"/>
      <c r="AD716" s="551"/>
      <c r="AE716" s="551"/>
      <c r="AF716" s="551"/>
    </row>
    <row r="717">
      <c r="A717" s="552"/>
      <c r="B717" s="552"/>
      <c r="C717" s="552"/>
      <c r="D717" s="552"/>
      <c r="E717" s="552"/>
      <c r="F717" s="552"/>
      <c r="G717" s="552"/>
      <c r="H717" s="552"/>
      <c r="I717" s="552"/>
      <c r="J717" s="552"/>
      <c r="K717" s="552"/>
      <c r="L717" s="552"/>
      <c r="M717" s="552"/>
      <c r="N717" s="551"/>
      <c r="O717" s="551"/>
      <c r="P717" s="551"/>
      <c r="Q717" s="551"/>
      <c r="R717" s="551"/>
      <c r="S717" s="551"/>
      <c r="T717" s="551"/>
      <c r="U717" s="551"/>
      <c r="V717" s="551"/>
      <c r="W717" s="551"/>
      <c r="X717" s="551"/>
      <c r="Y717" s="551"/>
      <c r="Z717" s="551"/>
      <c r="AA717" s="551"/>
      <c r="AB717" s="551"/>
      <c r="AC717" s="551"/>
      <c r="AD717" s="551"/>
      <c r="AE717" s="551"/>
      <c r="AF717" s="551"/>
    </row>
    <row r="718">
      <c r="A718" s="552"/>
      <c r="B718" s="552"/>
      <c r="C718" s="552"/>
      <c r="D718" s="552"/>
      <c r="E718" s="552"/>
      <c r="F718" s="552"/>
      <c r="G718" s="552"/>
      <c r="H718" s="552"/>
      <c r="I718" s="552"/>
      <c r="J718" s="552"/>
      <c r="K718" s="552"/>
      <c r="L718" s="552"/>
      <c r="M718" s="552"/>
      <c r="N718" s="551"/>
      <c r="O718" s="551"/>
      <c r="P718" s="551"/>
      <c r="Q718" s="551"/>
      <c r="R718" s="551"/>
      <c r="S718" s="551"/>
      <c r="T718" s="551"/>
      <c r="U718" s="551"/>
      <c r="V718" s="551"/>
      <c r="W718" s="551"/>
      <c r="X718" s="551"/>
      <c r="Y718" s="551"/>
      <c r="Z718" s="551"/>
      <c r="AA718" s="551"/>
      <c r="AB718" s="551"/>
      <c r="AC718" s="551"/>
      <c r="AD718" s="551"/>
      <c r="AE718" s="551"/>
      <c r="AF718" s="551"/>
    </row>
    <row r="719">
      <c r="A719" s="552"/>
      <c r="B719" s="552"/>
      <c r="C719" s="552"/>
      <c r="D719" s="552"/>
      <c r="E719" s="552"/>
      <c r="F719" s="552"/>
      <c r="G719" s="552"/>
      <c r="H719" s="552"/>
      <c r="I719" s="552"/>
      <c r="J719" s="552"/>
      <c r="K719" s="552"/>
      <c r="L719" s="552"/>
      <c r="M719" s="552"/>
      <c r="N719" s="551"/>
      <c r="O719" s="551"/>
      <c r="P719" s="551"/>
      <c r="Q719" s="551"/>
      <c r="R719" s="551"/>
      <c r="S719" s="551"/>
      <c r="T719" s="551"/>
      <c r="U719" s="551"/>
      <c r="V719" s="551"/>
      <c r="W719" s="551"/>
      <c r="X719" s="551"/>
      <c r="Y719" s="551"/>
      <c r="Z719" s="551"/>
      <c r="AA719" s="551"/>
      <c r="AB719" s="551"/>
      <c r="AC719" s="551"/>
      <c r="AD719" s="551"/>
      <c r="AE719" s="551"/>
      <c r="AF719" s="551"/>
    </row>
    <row r="720">
      <c r="A720" s="552"/>
      <c r="B720" s="552"/>
      <c r="C720" s="552"/>
      <c r="D720" s="552"/>
      <c r="E720" s="552"/>
      <c r="F720" s="552"/>
      <c r="G720" s="552"/>
      <c r="H720" s="552"/>
      <c r="I720" s="552"/>
      <c r="J720" s="552"/>
      <c r="K720" s="552"/>
      <c r="L720" s="552"/>
      <c r="M720" s="552"/>
      <c r="N720" s="551"/>
      <c r="O720" s="551"/>
      <c r="P720" s="551"/>
      <c r="Q720" s="551"/>
      <c r="R720" s="551"/>
      <c r="S720" s="551"/>
      <c r="T720" s="551"/>
      <c r="U720" s="551"/>
      <c r="V720" s="551"/>
      <c r="W720" s="551"/>
      <c r="X720" s="551"/>
      <c r="Y720" s="551"/>
      <c r="Z720" s="551"/>
      <c r="AA720" s="551"/>
      <c r="AB720" s="551"/>
      <c r="AC720" s="551"/>
      <c r="AD720" s="551"/>
      <c r="AE720" s="551"/>
      <c r="AF720" s="551"/>
    </row>
    <row r="721">
      <c r="A721" s="552"/>
      <c r="B721" s="552"/>
      <c r="C721" s="552"/>
      <c r="D721" s="552"/>
      <c r="E721" s="552"/>
      <c r="F721" s="552"/>
      <c r="G721" s="552"/>
      <c r="H721" s="552"/>
      <c r="I721" s="552"/>
      <c r="J721" s="552"/>
      <c r="K721" s="552"/>
      <c r="L721" s="552"/>
      <c r="M721" s="552"/>
      <c r="N721" s="551"/>
      <c r="O721" s="551"/>
      <c r="P721" s="551"/>
      <c r="Q721" s="551"/>
      <c r="R721" s="551"/>
      <c r="S721" s="551"/>
      <c r="T721" s="551"/>
      <c r="U721" s="551"/>
      <c r="V721" s="551"/>
      <c r="W721" s="551"/>
      <c r="X721" s="551"/>
      <c r="Y721" s="551"/>
      <c r="Z721" s="551"/>
      <c r="AA721" s="551"/>
      <c r="AB721" s="551"/>
      <c r="AC721" s="551"/>
      <c r="AD721" s="551"/>
      <c r="AE721" s="551"/>
      <c r="AF721" s="551"/>
    </row>
    <row r="722">
      <c r="A722" s="552"/>
      <c r="B722" s="552"/>
      <c r="C722" s="552"/>
      <c r="D722" s="552"/>
      <c r="E722" s="552"/>
      <c r="F722" s="552"/>
      <c r="G722" s="552"/>
      <c r="H722" s="552"/>
      <c r="I722" s="552"/>
      <c r="J722" s="552"/>
      <c r="K722" s="552"/>
      <c r="L722" s="552"/>
      <c r="M722" s="552"/>
      <c r="N722" s="551"/>
      <c r="O722" s="551"/>
      <c r="P722" s="551"/>
      <c r="Q722" s="551"/>
      <c r="R722" s="551"/>
      <c r="S722" s="551"/>
      <c r="T722" s="551"/>
      <c r="U722" s="551"/>
      <c r="V722" s="551"/>
      <c r="W722" s="551"/>
      <c r="X722" s="551"/>
      <c r="Y722" s="551"/>
      <c r="Z722" s="551"/>
      <c r="AA722" s="551"/>
      <c r="AB722" s="551"/>
      <c r="AC722" s="551"/>
      <c r="AD722" s="551"/>
      <c r="AE722" s="551"/>
      <c r="AF722" s="551"/>
    </row>
    <row r="723">
      <c r="A723" s="552"/>
      <c r="B723" s="552"/>
      <c r="C723" s="552"/>
      <c r="D723" s="552"/>
      <c r="E723" s="552"/>
      <c r="F723" s="552"/>
      <c r="G723" s="552"/>
      <c r="H723" s="552"/>
      <c r="I723" s="552"/>
      <c r="J723" s="552"/>
      <c r="K723" s="552"/>
      <c r="L723" s="552"/>
      <c r="M723" s="552"/>
      <c r="N723" s="551"/>
      <c r="O723" s="551"/>
      <c r="P723" s="551"/>
      <c r="Q723" s="551"/>
      <c r="R723" s="551"/>
      <c r="S723" s="551"/>
      <c r="T723" s="551"/>
      <c r="U723" s="551"/>
      <c r="V723" s="551"/>
      <c r="W723" s="551"/>
      <c r="X723" s="551"/>
      <c r="Y723" s="551"/>
      <c r="Z723" s="551"/>
      <c r="AA723" s="551"/>
      <c r="AB723" s="551"/>
      <c r="AC723" s="551"/>
      <c r="AD723" s="551"/>
      <c r="AE723" s="551"/>
      <c r="AF723" s="551"/>
    </row>
    <row r="724">
      <c r="A724" s="552"/>
      <c r="B724" s="552"/>
      <c r="C724" s="552"/>
      <c r="D724" s="552"/>
      <c r="E724" s="552"/>
      <c r="F724" s="552"/>
      <c r="G724" s="552"/>
      <c r="H724" s="552"/>
      <c r="I724" s="552"/>
      <c r="J724" s="552"/>
      <c r="K724" s="552"/>
      <c r="L724" s="552"/>
      <c r="M724" s="552"/>
      <c r="N724" s="551"/>
      <c r="O724" s="551"/>
      <c r="P724" s="551"/>
      <c r="Q724" s="551"/>
      <c r="R724" s="551"/>
      <c r="S724" s="551"/>
      <c r="T724" s="551"/>
      <c r="U724" s="551"/>
      <c r="V724" s="551"/>
      <c r="W724" s="551"/>
      <c r="X724" s="551"/>
      <c r="Y724" s="551"/>
      <c r="Z724" s="551"/>
      <c r="AA724" s="551"/>
      <c r="AB724" s="551"/>
      <c r="AC724" s="551"/>
      <c r="AD724" s="551"/>
      <c r="AE724" s="551"/>
      <c r="AF724" s="551"/>
    </row>
    <row r="725">
      <c r="A725" s="552"/>
      <c r="B725" s="552"/>
      <c r="C725" s="552"/>
      <c r="D725" s="552"/>
      <c r="E725" s="552"/>
      <c r="F725" s="552"/>
      <c r="G725" s="552"/>
      <c r="H725" s="552"/>
      <c r="I725" s="552"/>
      <c r="J725" s="552"/>
      <c r="K725" s="552"/>
      <c r="L725" s="552"/>
      <c r="M725" s="552"/>
      <c r="N725" s="551"/>
      <c r="O725" s="551"/>
      <c r="P725" s="551"/>
      <c r="Q725" s="551"/>
      <c r="R725" s="551"/>
      <c r="S725" s="551"/>
      <c r="T725" s="551"/>
      <c r="U725" s="551"/>
      <c r="V725" s="551"/>
      <c r="W725" s="551"/>
      <c r="X725" s="551"/>
      <c r="Y725" s="551"/>
      <c r="Z725" s="551"/>
      <c r="AA725" s="551"/>
      <c r="AB725" s="551"/>
      <c r="AC725" s="551"/>
      <c r="AD725" s="551"/>
      <c r="AE725" s="551"/>
      <c r="AF725" s="551"/>
    </row>
    <row r="726">
      <c r="A726" s="552"/>
      <c r="B726" s="552"/>
      <c r="C726" s="552"/>
      <c r="D726" s="552"/>
      <c r="E726" s="552"/>
      <c r="F726" s="552"/>
      <c r="G726" s="552"/>
      <c r="H726" s="552"/>
      <c r="I726" s="552"/>
      <c r="J726" s="552"/>
      <c r="K726" s="552"/>
      <c r="L726" s="552"/>
      <c r="M726" s="552"/>
      <c r="N726" s="551"/>
      <c r="O726" s="551"/>
      <c r="P726" s="551"/>
      <c r="Q726" s="551"/>
      <c r="R726" s="551"/>
      <c r="S726" s="551"/>
      <c r="T726" s="551"/>
      <c r="U726" s="551"/>
      <c r="V726" s="551"/>
      <c r="W726" s="551"/>
      <c r="X726" s="551"/>
      <c r="Y726" s="551"/>
      <c r="Z726" s="551"/>
      <c r="AA726" s="551"/>
      <c r="AB726" s="551"/>
      <c r="AC726" s="551"/>
      <c r="AD726" s="551"/>
      <c r="AE726" s="551"/>
      <c r="AF726" s="551"/>
    </row>
    <row r="727">
      <c r="A727" s="552"/>
      <c r="B727" s="552"/>
      <c r="C727" s="552"/>
      <c r="D727" s="552"/>
      <c r="E727" s="552"/>
      <c r="F727" s="552"/>
      <c r="G727" s="552"/>
      <c r="H727" s="552"/>
      <c r="I727" s="552"/>
      <c r="J727" s="552"/>
      <c r="K727" s="552"/>
      <c r="L727" s="552"/>
      <c r="M727" s="552"/>
      <c r="N727" s="551"/>
      <c r="O727" s="551"/>
      <c r="P727" s="551"/>
      <c r="Q727" s="551"/>
      <c r="R727" s="551"/>
      <c r="S727" s="551"/>
      <c r="T727" s="551"/>
      <c r="U727" s="551"/>
      <c r="V727" s="551"/>
      <c r="W727" s="551"/>
      <c r="X727" s="551"/>
      <c r="Y727" s="551"/>
      <c r="Z727" s="551"/>
      <c r="AA727" s="551"/>
      <c r="AB727" s="551"/>
      <c r="AC727" s="551"/>
      <c r="AD727" s="551"/>
      <c r="AE727" s="551"/>
      <c r="AF727" s="551"/>
    </row>
    <row r="728">
      <c r="A728" s="552"/>
      <c r="B728" s="552"/>
      <c r="C728" s="552"/>
      <c r="D728" s="552"/>
      <c r="E728" s="552"/>
      <c r="F728" s="552"/>
      <c r="G728" s="552"/>
      <c r="H728" s="552"/>
      <c r="I728" s="552"/>
      <c r="J728" s="552"/>
      <c r="K728" s="552"/>
      <c r="L728" s="552"/>
      <c r="M728" s="552"/>
      <c r="N728" s="551"/>
      <c r="O728" s="551"/>
      <c r="P728" s="551"/>
      <c r="Q728" s="551"/>
      <c r="R728" s="551"/>
      <c r="S728" s="551"/>
      <c r="T728" s="551"/>
      <c r="U728" s="551"/>
      <c r="V728" s="551"/>
      <c r="W728" s="551"/>
      <c r="X728" s="551"/>
      <c r="Y728" s="551"/>
      <c r="Z728" s="551"/>
      <c r="AA728" s="551"/>
      <c r="AB728" s="551"/>
      <c r="AC728" s="551"/>
      <c r="AD728" s="551"/>
      <c r="AE728" s="551"/>
      <c r="AF728" s="551"/>
    </row>
    <row r="729">
      <c r="A729" s="552"/>
      <c r="B729" s="552"/>
      <c r="C729" s="552"/>
      <c r="D729" s="552"/>
      <c r="E729" s="552"/>
      <c r="F729" s="552"/>
      <c r="G729" s="552"/>
      <c r="H729" s="552"/>
      <c r="I729" s="552"/>
      <c r="J729" s="552"/>
      <c r="K729" s="552"/>
      <c r="L729" s="552"/>
      <c r="M729" s="552"/>
      <c r="N729" s="551"/>
      <c r="O729" s="551"/>
      <c r="P729" s="551"/>
      <c r="Q729" s="551"/>
      <c r="R729" s="551"/>
      <c r="S729" s="551"/>
      <c r="T729" s="551"/>
      <c r="U729" s="551"/>
      <c r="V729" s="551"/>
      <c r="W729" s="551"/>
      <c r="X729" s="551"/>
      <c r="Y729" s="551"/>
      <c r="Z729" s="551"/>
      <c r="AA729" s="551"/>
      <c r="AB729" s="551"/>
      <c r="AC729" s="551"/>
      <c r="AD729" s="551"/>
      <c r="AE729" s="551"/>
      <c r="AF729" s="551"/>
    </row>
    <row r="730">
      <c r="A730" s="552"/>
      <c r="B730" s="552"/>
      <c r="C730" s="552"/>
      <c r="D730" s="552"/>
      <c r="E730" s="552"/>
      <c r="F730" s="552"/>
      <c r="G730" s="552"/>
      <c r="H730" s="552"/>
      <c r="I730" s="552"/>
      <c r="J730" s="552"/>
      <c r="K730" s="552"/>
      <c r="L730" s="552"/>
      <c r="M730" s="552"/>
      <c r="N730" s="551"/>
      <c r="O730" s="551"/>
      <c r="P730" s="551"/>
      <c r="Q730" s="551"/>
      <c r="R730" s="551"/>
      <c r="S730" s="551"/>
      <c r="T730" s="551"/>
      <c r="U730" s="551"/>
      <c r="V730" s="551"/>
      <c r="W730" s="551"/>
      <c r="X730" s="551"/>
      <c r="Y730" s="551"/>
      <c r="Z730" s="551"/>
      <c r="AA730" s="551"/>
      <c r="AB730" s="551"/>
      <c r="AC730" s="551"/>
      <c r="AD730" s="551"/>
      <c r="AE730" s="551"/>
      <c r="AF730" s="551"/>
    </row>
    <row r="731">
      <c r="A731" s="552"/>
      <c r="B731" s="552"/>
      <c r="C731" s="552"/>
      <c r="D731" s="552"/>
      <c r="E731" s="552"/>
      <c r="F731" s="552"/>
      <c r="G731" s="552"/>
      <c r="H731" s="552"/>
      <c r="I731" s="552"/>
      <c r="J731" s="552"/>
      <c r="K731" s="552"/>
      <c r="L731" s="552"/>
      <c r="M731" s="552"/>
      <c r="N731" s="551"/>
      <c r="O731" s="551"/>
      <c r="P731" s="551"/>
      <c r="Q731" s="551"/>
      <c r="R731" s="551"/>
      <c r="S731" s="551"/>
      <c r="T731" s="551"/>
      <c r="U731" s="551"/>
      <c r="V731" s="551"/>
      <c r="W731" s="551"/>
      <c r="X731" s="551"/>
      <c r="Y731" s="551"/>
      <c r="Z731" s="551"/>
      <c r="AA731" s="551"/>
      <c r="AB731" s="551"/>
      <c r="AC731" s="551"/>
      <c r="AD731" s="551"/>
      <c r="AE731" s="551"/>
      <c r="AF731" s="551"/>
    </row>
    <row r="732">
      <c r="A732" s="552"/>
      <c r="B732" s="552"/>
      <c r="C732" s="552"/>
      <c r="D732" s="552"/>
      <c r="E732" s="552"/>
      <c r="F732" s="552"/>
      <c r="G732" s="552"/>
      <c r="H732" s="552"/>
      <c r="I732" s="552"/>
      <c r="J732" s="552"/>
      <c r="K732" s="552"/>
      <c r="L732" s="552"/>
      <c r="M732" s="552"/>
      <c r="N732" s="551"/>
      <c r="O732" s="551"/>
      <c r="P732" s="551"/>
      <c r="Q732" s="551"/>
      <c r="R732" s="551"/>
      <c r="S732" s="551"/>
      <c r="T732" s="551"/>
      <c r="U732" s="551"/>
      <c r="V732" s="551"/>
      <c r="W732" s="551"/>
      <c r="X732" s="551"/>
      <c r="Y732" s="551"/>
      <c r="Z732" s="551"/>
      <c r="AA732" s="551"/>
      <c r="AB732" s="551"/>
      <c r="AC732" s="551"/>
      <c r="AD732" s="551"/>
      <c r="AE732" s="551"/>
      <c r="AF732" s="551"/>
    </row>
    <row r="733">
      <c r="A733" s="552"/>
      <c r="B733" s="552"/>
      <c r="C733" s="552"/>
      <c r="D733" s="552"/>
      <c r="E733" s="552"/>
      <c r="F733" s="552"/>
      <c r="G733" s="552"/>
      <c r="H733" s="552"/>
      <c r="I733" s="552"/>
      <c r="J733" s="552"/>
      <c r="K733" s="552"/>
      <c r="L733" s="552"/>
      <c r="M733" s="552"/>
      <c r="N733" s="551"/>
      <c r="O733" s="551"/>
      <c r="P733" s="551"/>
      <c r="Q733" s="551"/>
      <c r="R733" s="551"/>
      <c r="S733" s="551"/>
      <c r="T733" s="551"/>
      <c r="U733" s="551"/>
      <c r="V733" s="551"/>
      <c r="W733" s="551"/>
      <c r="X733" s="551"/>
      <c r="Y733" s="551"/>
      <c r="Z733" s="551"/>
      <c r="AA733" s="551"/>
      <c r="AB733" s="551"/>
      <c r="AC733" s="551"/>
      <c r="AD733" s="551"/>
      <c r="AE733" s="551"/>
      <c r="AF733" s="551"/>
    </row>
    <row r="734">
      <c r="A734" s="552"/>
      <c r="B734" s="552"/>
      <c r="C734" s="552"/>
      <c r="D734" s="552"/>
      <c r="E734" s="552"/>
      <c r="F734" s="552"/>
      <c r="G734" s="552"/>
      <c r="H734" s="552"/>
      <c r="I734" s="552"/>
      <c r="J734" s="552"/>
      <c r="K734" s="552"/>
      <c r="L734" s="552"/>
      <c r="M734" s="552"/>
      <c r="N734" s="551"/>
      <c r="O734" s="551"/>
      <c r="P734" s="551"/>
      <c r="Q734" s="551"/>
      <c r="R734" s="551"/>
      <c r="S734" s="551"/>
      <c r="T734" s="551"/>
      <c r="U734" s="551"/>
      <c r="V734" s="551"/>
      <c r="W734" s="551"/>
      <c r="X734" s="551"/>
      <c r="Y734" s="551"/>
      <c r="Z734" s="551"/>
      <c r="AA734" s="551"/>
      <c r="AB734" s="551"/>
      <c r="AC734" s="551"/>
      <c r="AD734" s="551"/>
      <c r="AE734" s="551"/>
      <c r="AF734" s="551"/>
    </row>
    <row r="735">
      <c r="A735" s="552"/>
      <c r="B735" s="552"/>
      <c r="C735" s="552"/>
      <c r="D735" s="552"/>
      <c r="E735" s="552"/>
      <c r="F735" s="552"/>
      <c r="G735" s="552"/>
      <c r="H735" s="552"/>
      <c r="I735" s="552"/>
      <c r="J735" s="552"/>
      <c r="K735" s="552"/>
      <c r="L735" s="552"/>
      <c r="M735" s="552"/>
      <c r="N735" s="551"/>
      <c r="O735" s="551"/>
      <c r="P735" s="551"/>
      <c r="Q735" s="551"/>
      <c r="R735" s="551"/>
      <c r="S735" s="551"/>
      <c r="T735" s="551"/>
      <c r="U735" s="551"/>
      <c r="V735" s="551"/>
      <c r="W735" s="551"/>
      <c r="X735" s="551"/>
      <c r="Y735" s="551"/>
      <c r="Z735" s="551"/>
      <c r="AA735" s="551"/>
      <c r="AB735" s="551"/>
      <c r="AC735" s="551"/>
      <c r="AD735" s="551"/>
      <c r="AE735" s="551"/>
      <c r="AF735" s="551"/>
    </row>
    <row r="736">
      <c r="A736" s="552"/>
      <c r="B736" s="552"/>
      <c r="C736" s="552"/>
      <c r="D736" s="552"/>
      <c r="E736" s="552"/>
      <c r="F736" s="552"/>
      <c r="G736" s="552"/>
      <c r="H736" s="552"/>
      <c r="I736" s="552"/>
      <c r="J736" s="552"/>
      <c r="K736" s="552"/>
      <c r="L736" s="552"/>
      <c r="M736" s="552"/>
      <c r="N736" s="551"/>
      <c r="O736" s="551"/>
      <c r="P736" s="551"/>
      <c r="Q736" s="551"/>
      <c r="R736" s="551"/>
      <c r="S736" s="551"/>
      <c r="T736" s="551"/>
      <c r="U736" s="551"/>
      <c r="V736" s="551"/>
      <c r="W736" s="551"/>
      <c r="X736" s="551"/>
      <c r="Y736" s="551"/>
      <c r="Z736" s="551"/>
      <c r="AA736" s="551"/>
      <c r="AB736" s="551"/>
      <c r="AC736" s="551"/>
      <c r="AD736" s="551"/>
      <c r="AE736" s="551"/>
      <c r="AF736" s="551"/>
    </row>
    <row r="737">
      <c r="A737" s="552"/>
      <c r="B737" s="552"/>
      <c r="C737" s="552"/>
      <c r="D737" s="552"/>
      <c r="E737" s="552"/>
      <c r="F737" s="552"/>
      <c r="G737" s="552"/>
      <c r="H737" s="552"/>
      <c r="I737" s="552"/>
      <c r="J737" s="552"/>
      <c r="K737" s="552"/>
      <c r="L737" s="552"/>
      <c r="M737" s="552"/>
      <c r="N737" s="551"/>
      <c r="O737" s="551"/>
      <c r="P737" s="551"/>
      <c r="Q737" s="551"/>
      <c r="R737" s="551"/>
      <c r="S737" s="551"/>
      <c r="T737" s="551"/>
      <c r="U737" s="551"/>
      <c r="V737" s="551"/>
      <c r="W737" s="551"/>
      <c r="X737" s="551"/>
      <c r="Y737" s="551"/>
      <c r="Z737" s="551"/>
      <c r="AA737" s="551"/>
      <c r="AB737" s="551"/>
      <c r="AC737" s="551"/>
      <c r="AD737" s="551"/>
      <c r="AE737" s="551"/>
      <c r="AF737" s="551"/>
    </row>
    <row r="738">
      <c r="A738" s="552"/>
      <c r="B738" s="552"/>
      <c r="C738" s="552"/>
      <c r="D738" s="552"/>
      <c r="E738" s="552"/>
      <c r="F738" s="552"/>
      <c r="G738" s="552"/>
      <c r="H738" s="552"/>
      <c r="I738" s="552"/>
      <c r="J738" s="552"/>
      <c r="K738" s="552"/>
      <c r="L738" s="552"/>
      <c r="M738" s="552"/>
      <c r="N738" s="551"/>
      <c r="O738" s="551"/>
      <c r="P738" s="551"/>
      <c r="Q738" s="551"/>
      <c r="R738" s="551"/>
      <c r="S738" s="551"/>
      <c r="T738" s="551"/>
      <c r="U738" s="551"/>
      <c r="V738" s="551"/>
      <c r="W738" s="551"/>
      <c r="X738" s="551"/>
      <c r="Y738" s="551"/>
      <c r="Z738" s="551"/>
      <c r="AA738" s="551"/>
      <c r="AB738" s="551"/>
      <c r="AC738" s="551"/>
      <c r="AD738" s="551"/>
      <c r="AE738" s="551"/>
      <c r="AF738" s="551"/>
    </row>
    <row r="739">
      <c r="A739" s="552"/>
      <c r="B739" s="552"/>
      <c r="C739" s="552"/>
      <c r="D739" s="552"/>
      <c r="E739" s="552"/>
      <c r="F739" s="552"/>
      <c r="G739" s="552"/>
      <c r="H739" s="552"/>
      <c r="I739" s="552"/>
      <c r="J739" s="552"/>
      <c r="K739" s="552"/>
      <c r="L739" s="552"/>
      <c r="M739" s="552"/>
      <c r="N739" s="551"/>
      <c r="O739" s="551"/>
      <c r="P739" s="551"/>
      <c r="Q739" s="551"/>
      <c r="R739" s="551"/>
      <c r="S739" s="551"/>
      <c r="T739" s="551"/>
      <c r="U739" s="551"/>
      <c r="V739" s="551"/>
      <c r="W739" s="551"/>
      <c r="X739" s="551"/>
      <c r="Y739" s="551"/>
      <c r="Z739" s="551"/>
      <c r="AA739" s="551"/>
      <c r="AB739" s="551"/>
      <c r="AC739" s="551"/>
      <c r="AD739" s="551"/>
      <c r="AE739" s="551"/>
      <c r="AF739" s="551"/>
    </row>
    <row r="740">
      <c r="A740" s="552"/>
      <c r="B740" s="552"/>
      <c r="C740" s="552"/>
      <c r="D740" s="552"/>
      <c r="E740" s="552"/>
      <c r="F740" s="552"/>
      <c r="G740" s="552"/>
      <c r="H740" s="552"/>
      <c r="I740" s="552"/>
      <c r="J740" s="552"/>
      <c r="K740" s="552"/>
      <c r="L740" s="552"/>
      <c r="M740" s="552"/>
      <c r="N740" s="551"/>
      <c r="O740" s="551"/>
      <c r="P740" s="551"/>
      <c r="Q740" s="551"/>
      <c r="R740" s="551"/>
      <c r="S740" s="551"/>
      <c r="T740" s="551"/>
      <c r="U740" s="551"/>
      <c r="V740" s="551"/>
      <c r="W740" s="551"/>
      <c r="X740" s="551"/>
      <c r="Y740" s="551"/>
      <c r="Z740" s="551"/>
      <c r="AA740" s="551"/>
      <c r="AB740" s="551"/>
      <c r="AC740" s="551"/>
      <c r="AD740" s="551"/>
      <c r="AE740" s="551"/>
      <c r="AF740" s="551"/>
    </row>
    <row r="741">
      <c r="A741" s="552"/>
      <c r="B741" s="552"/>
      <c r="C741" s="552"/>
      <c r="D741" s="552"/>
      <c r="E741" s="552"/>
      <c r="F741" s="552"/>
      <c r="G741" s="552"/>
      <c r="H741" s="552"/>
      <c r="I741" s="552"/>
      <c r="J741" s="552"/>
      <c r="K741" s="552"/>
      <c r="L741" s="552"/>
      <c r="M741" s="552"/>
      <c r="N741" s="551"/>
      <c r="O741" s="551"/>
      <c r="P741" s="551"/>
      <c r="Q741" s="551"/>
      <c r="R741" s="551"/>
      <c r="S741" s="551"/>
      <c r="T741" s="551"/>
      <c r="U741" s="551"/>
      <c r="V741" s="551"/>
      <c r="W741" s="551"/>
      <c r="X741" s="551"/>
      <c r="Y741" s="551"/>
      <c r="Z741" s="551"/>
      <c r="AA741" s="551"/>
      <c r="AB741" s="551"/>
      <c r="AC741" s="551"/>
      <c r="AD741" s="551"/>
      <c r="AE741" s="551"/>
      <c r="AF741" s="551"/>
    </row>
    <row r="742">
      <c r="A742" s="552"/>
      <c r="B742" s="552"/>
      <c r="C742" s="552"/>
      <c r="D742" s="552"/>
      <c r="E742" s="552"/>
      <c r="F742" s="552"/>
      <c r="G742" s="552"/>
      <c r="H742" s="552"/>
      <c r="I742" s="552"/>
      <c r="J742" s="552"/>
      <c r="K742" s="552"/>
      <c r="L742" s="552"/>
      <c r="M742" s="552"/>
      <c r="N742" s="551"/>
      <c r="O742" s="551"/>
      <c r="P742" s="551"/>
      <c r="Q742" s="551"/>
      <c r="R742" s="551"/>
      <c r="S742" s="551"/>
      <c r="T742" s="551"/>
      <c r="U742" s="551"/>
      <c r="V742" s="551"/>
      <c r="W742" s="551"/>
      <c r="X742" s="551"/>
      <c r="Y742" s="551"/>
      <c r="Z742" s="551"/>
      <c r="AA742" s="551"/>
      <c r="AB742" s="551"/>
      <c r="AC742" s="551"/>
      <c r="AD742" s="551"/>
      <c r="AE742" s="551"/>
      <c r="AF742" s="551"/>
    </row>
    <row r="743">
      <c r="A743" s="552"/>
      <c r="B743" s="552"/>
      <c r="C743" s="552"/>
      <c r="D743" s="552"/>
      <c r="E743" s="552"/>
      <c r="F743" s="552"/>
      <c r="G743" s="552"/>
      <c r="H743" s="552"/>
      <c r="I743" s="552"/>
      <c r="J743" s="552"/>
      <c r="K743" s="552"/>
      <c r="L743" s="552"/>
      <c r="M743" s="552"/>
      <c r="N743" s="551"/>
      <c r="O743" s="551"/>
      <c r="P743" s="551"/>
      <c r="Q743" s="551"/>
      <c r="R743" s="551"/>
      <c r="S743" s="551"/>
      <c r="T743" s="551"/>
      <c r="U743" s="551"/>
      <c r="V743" s="551"/>
      <c r="W743" s="551"/>
      <c r="X743" s="551"/>
      <c r="Y743" s="551"/>
      <c r="Z743" s="551"/>
      <c r="AA743" s="551"/>
      <c r="AB743" s="551"/>
      <c r="AC743" s="551"/>
      <c r="AD743" s="551"/>
      <c r="AE743" s="551"/>
      <c r="AF743" s="551"/>
    </row>
    <row r="744">
      <c r="A744" s="552"/>
      <c r="B744" s="552"/>
      <c r="C744" s="552"/>
      <c r="D744" s="552"/>
      <c r="E744" s="552"/>
      <c r="F744" s="552"/>
      <c r="G744" s="552"/>
      <c r="H744" s="552"/>
      <c r="I744" s="552"/>
      <c r="J744" s="552"/>
      <c r="K744" s="552"/>
      <c r="L744" s="552"/>
      <c r="M744" s="552"/>
      <c r="N744" s="551"/>
      <c r="O744" s="551"/>
      <c r="P744" s="551"/>
      <c r="Q744" s="551"/>
      <c r="R744" s="551"/>
      <c r="S744" s="551"/>
      <c r="T744" s="551"/>
      <c r="U744" s="551"/>
      <c r="V744" s="551"/>
      <c r="W744" s="551"/>
      <c r="X744" s="551"/>
      <c r="Y744" s="551"/>
      <c r="Z744" s="551"/>
      <c r="AA744" s="551"/>
      <c r="AB744" s="551"/>
      <c r="AC744" s="551"/>
      <c r="AD744" s="551"/>
      <c r="AE744" s="551"/>
      <c r="AF744" s="551"/>
    </row>
    <row r="745">
      <c r="A745" s="552"/>
      <c r="B745" s="552"/>
      <c r="C745" s="552"/>
      <c r="D745" s="552"/>
      <c r="E745" s="552"/>
      <c r="F745" s="552"/>
      <c r="G745" s="552"/>
      <c r="H745" s="552"/>
      <c r="I745" s="552"/>
      <c r="J745" s="552"/>
      <c r="K745" s="552"/>
      <c r="L745" s="552"/>
      <c r="M745" s="552"/>
      <c r="N745" s="551"/>
      <c r="O745" s="551"/>
      <c r="P745" s="551"/>
      <c r="Q745" s="551"/>
      <c r="R745" s="551"/>
      <c r="S745" s="551"/>
      <c r="T745" s="551"/>
      <c r="U745" s="551"/>
      <c r="V745" s="551"/>
      <c r="W745" s="551"/>
      <c r="X745" s="551"/>
      <c r="Y745" s="551"/>
      <c r="Z745" s="551"/>
      <c r="AA745" s="551"/>
      <c r="AB745" s="551"/>
      <c r="AC745" s="551"/>
      <c r="AD745" s="551"/>
      <c r="AE745" s="551"/>
      <c r="AF745" s="551"/>
    </row>
    <row r="746">
      <c r="A746" s="552"/>
      <c r="B746" s="552"/>
      <c r="C746" s="552"/>
      <c r="D746" s="552"/>
      <c r="E746" s="552"/>
      <c r="F746" s="552"/>
      <c r="G746" s="552"/>
      <c r="H746" s="552"/>
      <c r="I746" s="552"/>
      <c r="J746" s="552"/>
      <c r="K746" s="552"/>
      <c r="L746" s="552"/>
      <c r="M746" s="552"/>
      <c r="N746" s="551"/>
      <c r="O746" s="551"/>
      <c r="P746" s="551"/>
      <c r="Q746" s="551"/>
      <c r="R746" s="551"/>
      <c r="S746" s="551"/>
      <c r="T746" s="551"/>
      <c r="U746" s="551"/>
      <c r="V746" s="551"/>
      <c r="W746" s="551"/>
      <c r="X746" s="551"/>
      <c r="Y746" s="551"/>
      <c r="Z746" s="551"/>
      <c r="AA746" s="551"/>
      <c r="AB746" s="551"/>
      <c r="AC746" s="551"/>
      <c r="AD746" s="551"/>
      <c r="AE746" s="551"/>
      <c r="AF746" s="551"/>
    </row>
    <row r="747">
      <c r="A747" s="552"/>
      <c r="B747" s="552"/>
      <c r="C747" s="552"/>
      <c r="D747" s="552"/>
      <c r="E747" s="552"/>
      <c r="F747" s="552"/>
      <c r="G747" s="552"/>
      <c r="H747" s="552"/>
      <c r="I747" s="552"/>
      <c r="J747" s="552"/>
      <c r="K747" s="552"/>
      <c r="L747" s="552"/>
      <c r="M747" s="552"/>
      <c r="N747" s="551"/>
      <c r="O747" s="551"/>
      <c r="P747" s="551"/>
      <c r="Q747" s="551"/>
      <c r="R747" s="551"/>
      <c r="S747" s="551"/>
      <c r="T747" s="551"/>
      <c r="U747" s="551"/>
      <c r="V747" s="551"/>
      <c r="W747" s="551"/>
      <c r="X747" s="551"/>
      <c r="Y747" s="551"/>
      <c r="Z747" s="551"/>
      <c r="AA747" s="551"/>
      <c r="AB747" s="551"/>
      <c r="AC747" s="551"/>
      <c r="AD747" s="551"/>
      <c r="AE747" s="551"/>
      <c r="AF747" s="551"/>
    </row>
    <row r="748">
      <c r="A748" s="552"/>
      <c r="B748" s="552"/>
      <c r="C748" s="552"/>
      <c r="D748" s="552"/>
      <c r="E748" s="552"/>
      <c r="F748" s="552"/>
      <c r="G748" s="552"/>
      <c r="H748" s="552"/>
      <c r="I748" s="552"/>
      <c r="J748" s="552"/>
      <c r="K748" s="552"/>
      <c r="L748" s="552"/>
      <c r="M748" s="552"/>
      <c r="N748" s="551"/>
      <c r="O748" s="551"/>
      <c r="P748" s="551"/>
      <c r="Q748" s="551"/>
      <c r="R748" s="551"/>
      <c r="S748" s="551"/>
      <c r="T748" s="551"/>
      <c r="U748" s="551"/>
      <c r="V748" s="551"/>
      <c r="W748" s="551"/>
      <c r="X748" s="551"/>
      <c r="Y748" s="551"/>
      <c r="Z748" s="551"/>
      <c r="AA748" s="551"/>
      <c r="AB748" s="551"/>
      <c r="AC748" s="551"/>
      <c r="AD748" s="551"/>
      <c r="AE748" s="551"/>
      <c r="AF748" s="551"/>
    </row>
    <row r="749">
      <c r="A749" s="552"/>
      <c r="B749" s="552"/>
      <c r="C749" s="552"/>
      <c r="D749" s="552"/>
      <c r="E749" s="552"/>
      <c r="F749" s="552"/>
      <c r="G749" s="552"/>
      <c r="H749" s="552"/>
      <c r="I749" s="552"/>
      <c r="J749" s="552"/>
      <c r="K749" s="552"/>
      <c r="L749" s="552"/>
      <c r="M749" s="552"/>
      <c r="N749" s="551"/>
      <c r="O749" s="551"/>
      <c r="P749" s="551"/>
      <c r="Q749" s="551"/>
      <c r="R749" s="551"/>
      <c r="S749" s="551"/>
      <c r="T749" s="551"/>
      <c r="U749" s="551"/>
      <c r="V749" s="551"/>
      <c r="W749" s="551"/>
      <c r="X749" s="551"/>
      <c r="Y749" s="551"/>
      <c r="Z749" s="551"/>
      <c r="AA749" s="551"/>
      <c r="AB749" s="551"/>
      <c r="AC749" s="551"/>
      <c r="AD749" s="551"/>
      <c r="AE749" s="551"/>
      <c r="AF749" s="551"/>
    </row>
    <row r="750">
      <c r="A750" s="552"/>
      <c r="B750" s="552"/>
      <c r="C750" s="552"/>
      <c r="D750" s="552"/>
      <c r="E750" s="552"/>
      <c r="F750" s="552"/>
      <c r="G750" s="552"/>
      <c r="H750" s="552"/>
      <c r="I750" s="552"/>
      <c r="J750" s="552"/>
      <c r="K750" s="552"/>
      <c r="L750" s="552"/>
      <c r="M750" s="552"/>
      <c r="N750" s="551"/>
      <c r="O750" s="551"/>
      <c r="P750" s="551"/>
      <c r="Q750" s="551"/>
      <c r="R750" s="551"/>
      <c r="S750" s="551"/>
      <c r="T750" s="551"/>
      <c r="U750" s="551"/>
      <c r="V750" s="551"/>
      <c r="W750" s="551"/>
      <c r="X750" s="551"/>
      <c r="Y750" s="551"/>
      <c r="Z750" s="551"/>
      <c r="AA750" s="551"/>
      <c r="AB750" s="551"/>
      <c r="AC750" s="551"/>
      <c r="AD750" s="551"/>
      <c r="AE750" s="551"/>
      <c r="AF750" s="551"/>
    </row>
    <row r="751">
      <c r="A751" s="552"/>
      <c r="B751" s="552"/>
      <c r="C751" s="552"/>
      <c r="D751" s="552"/>
      <c r="E751" s="552"/>
      <c r="F751" s="552"/>
      <c r="G751" s="552"/>
      <c r="H751" s="552"/>
      <c r="I751" s="552"/>
      <c r="J751" s="552"/>
      <c r="K751" s="552"/>
      <c r="L751" s="552"/>
      <c r="M751" s="552"/>
      <c r="N751" s="551"/>
      <c r="O751" s="551"/>
      <c r="P751" s="551"/>
      <c r="Q751" s="551"/>
      <c r="R751" s="551"/>
      <c r="S751" s="551"/>
      <c r="T751" s="551"/>
      <c r="U751" s="551"/>
      <c r="V751" s="551"/>
      <c r="W751" s="551"/>
      <c r="X751" s="551"/>
      <c r="Y751" s="551"/>
      <c r="Z751" s="551"/>
      <c r="AA751" s="551"/>
      <c r="AB751" s="551"/>
      <c r="AC751" s="551"/>
      <c r="AD751" s="551"/>
      <c r="AE751" s="551"/>
      <c r="AF751" s="551"/>
    </row>
    <row r="752">
      <c r="A752" s="552"/>
      <c r="B752" s="552"/>
      <c r="C752" s="552"/>
      <c r="D752" s="552"/>
      <c r="E752" s="552"/>
      <c r="F752" s="552"/>
      <c r="G752" s="552"/>
      <c r="H752" s="552"/>
      <c r="I752" s="552"/>
      <c r="J752" s="552"/>
      <c r="K752" s="552"/>
      <c r="L752" s="552"/>
      <c r="M752" s="552"/>
      <c r="N752" s="551"/>
      <c r="O752" s="551"/>
      <c r="P752" s="551"/>
      <c r="Q752" s="551"/>
      <c r="R752" s="551"/>
      <c r="S752" s="551"/>
      <c r="T752" s="551"/>
      <c r="U752" s="551"/>
      <c r="V752" s="551"/>
      <c r="W752" s="551"/>
      <c r="X752" s="551"/>
      <c r="Y752" s="551"/>
      <c r="Z752" s="551"/>
      <c r="AA752" s="551"/>
      <c r="AB752" s="551"/>
      <c r="AC752" s="551"/>
      <c r="AD752" s="551"/>
      <c r="AE752" s="551"/>
      <c r="AF752" s="551"/>
    </row>
    <row r="753">
      <c r="A753" s="552"/>
      <c r="B753" s="552"/>
      <c r="C753" s="552"/>
      <c r="D753" s="552"/>
      <c r="E753" s="552"/>
      <c r="F753" s="552"/>
      <c r="G753" s="552"/>
      <c r="H753" s="552"/>
      <c r="I753" s="552"/>
      <c r="J753" s="552"/>
      <c r="K753" s="552"/>
      <c r="L753" s="552"/>
      <c r="M753" s="552"/>
      <c r="N753" s="551"/>
      <c r="O753" s="551"/>
      <c r="P753" s="551"/>
      <c r="Q753" s="551"/>
      <c r="R753" s="551"/>
      <c r="S753" s="551"/>
      <c r="T753" s="551"/>
      <c r="U753" s="551"/>
      <c r="V753" s="551"/>
      <c r="W753" s="551"/>
      <c r="X753" s="551"/>
      <c r="Y753" s="551"/>
      <c r="Z753" s="551"/>
      <c r="AA753" s="551"/>
      <c r="AB753" s="551"/>
      <c r="AC753" s="551"/>
      <c r="AD753" s="551"/>
      <c r="AE753" s="551"/>
      <c r="AF753" s="551"/>
    </row>
    <row r="754">
      <c r="A754" s="552"/>
      <c r="B754" s="552"/>
      <c r="C754" s="552"/>
      <c r="D754" s="552"/>
      <c r="E754" s="552"/>
      <c r="F754" s="552"/>
      <c r="G754" s="552"/>
      <c r="H754" s="552"/>
      <c r="I754" s="552"/>
      <c r="J754" s="552"/>
      <c r="K754" s="552"/>
      <c r="L754" s="552"/>
      <c r="M754" s="552"/>
      <c r="N754" s="551"/>
      <c r="O754" s="551"/>
      <c r="P754" s="551"/>
      <c r="Q754" s="551"/>
      <c r="R754" s="551"/>
      <c r="S754" s="551"/>
      <c r="T754" s="551"/>
      <c r="U754" s="551"/>
      <c r="V754" s="551"/>
      <c r="W754" s="551"/>
      <c r="X754" s="551"/>
      <c r="Y754" s="551"/>
      <c r="Z754" s="551"/>
      <c r="AA754" s="551"/>
      <c r="AB754" s="551"/>
      <c r="AC754" s="551"/>
      <c r="AD754" s="551"/>
      <c r="AE754" s="551"/>
      <c r="AF754" s="551"/>
    </row>
    <row r="755">
      <c r="A755" s="552"/>
      <c r="B755" s="552"/>
      <c r="C755" s="552"/>
      <c r="D755" s="552"/>
      <c r="E755" s="552"/>
      <c r="F755" s="552"/>
      <c r="G755" s="552"/>
      <c r="H755" s="552"/>
      <c r="I755" s="552"/>
      <c r="J755" s="552"/>
      <c r="K755" s="552"/>
      <c r="L755" s="552"/>
      <c r="M755" s="552"/>
      <c r="N755" s="551"/>
      <c r="O755" s="551"/>
      <c r="P755" s="551"/>
      <c r="Q755" s="551"/>
      <c r="R755" s="551"/>
      <c r="S755" s="551"/>
      <c r="T755" s="551"/>
      <c r="U755" s="551"/>
      <c r="V755" s="551"/>
      <c r="W755" s="551"/>
      <c r="X755" s="551"/>
      <c r="Y755" s="551"/>
      <c r="Z755" s="551"/>
      <c r="AA755" s="551"/>
      <c r="AB755" s="551"/>
      <c r="AC755" s="551"/>
      <c r="AD755" s="551"/>
      <c r="AE755" s="551"/>
      <c r="AF755" s="551"/>
    </row>
    <row r="756">
      <c r="A756" s="552"/>
      <c r="B756" s="552"/>
      <c r="C756" s="552"/>
      <c r="D756" s="552"/>
      <c r="E756" s="552"/>
      <c r="F756" s="552"/>
      <c r="G756" s="552"/>
      <c r="H756" s="552"/>
      <c r="I756" s="552"/>
      <c r="J756" s="552"/>
      <c r="K756" s="552"/>
      <c r="L756" s="552"/>
      <c r="M756" s="552"/>
      <c r="N756" s="551"/>
      <c r="O756" s="551"/>
      <c r="P756" s="551"/>
      <c r="Q756" s="551"/>
      <c r="R756" s="551"/>
      <c r="S756" s="551"/>
      <c r="T756" s="551"/>
      <c r="U756" s="551"/>
      <c r="V756" s="551"/>
      <c r="W756" s="551"/>
      <c r="X756" s="551"/>
      <c r="Y756" s="551"/>
      <c r="Z756" s="551"/>
      <c r="AA756" s="551"/>
      <c r="AB756" s="551"/>
      <c r="AC756" s="551"/>
      <c r="AD756" s="551"/>
      <c r="AE756" s="551"/>
      <c r="AF756" s="551"/>
    </row>
    <row r="757">
      <c r="A757" s="552"/>
      <c r="B757" s="552"/>
      <c r="C757" s="552"/>
      <c r="D757" s="552"/>
      <c r="E757" s="552"/>
      <c r="F757" s="552"/>
      <c r="G757" s="552"/>
      <c r="H757" s="552"/>
      <c r="I757" s="552"/>
      <c r="J757" s="552"/>
      <c r="K757" s="552"/>
      <c r="L757" s="552"/>
      <c r="M757" s="552"/>
      <c r="N757" s="551"/>
      <c r="O757" s="551"/>
      <c r="P757" s="551"/>
      <c r="Q757" s="551"/>
      <c r="R757" s="551"/>
      <c r="S757" s="551"/>
      <c r="T757" s="551"/>
      <c r="U757" s="551"/>
      <c r="V757" s="551"/>
      <c r="W757" s="551"/>
      <c r="X757" s="551"/>
      <c r="Y757" s="551"/>
      <c r="Z757" s="551"/>
      <c r="AA757" s="551"/>
      <c r="AB757" s="551"/>
      <c r="AC757" s="551"/>
      <c r="AD757" s="551"/>
      <c r="AE757" s="551"/>
      <c r="AF757" s="551"/>
    </row>
    <row r="758">
      <c r="A758" s="552"/>
      <c r="B758" s="552"/>
      <c r="C758" s="552"/>
      <c r="D758" s="552"/>
      <c r="E758" s="552"/>
      <c r="F758" s="552"/>
      <c r="G758" s="552"/>
      <c r="H758" s="552"/>
      <c r="I758" s="552"/>
      <c r="J758" s="552"/>
      <c r="K758" s="552"/>
      <c r="L758" s="552"/>
      <c r="M758" s="552"/>
      <c r="N758" s="551"/>
      <c r="O758" s="551"/>
      <c r="P758" s="551"/>
      <c r="Q758" s="551"/>
      <c r="R758" s="551"/>
      <c r="S758" s="551"/>
      <c r="T758" s="551"/>
      <c r="U758" s="551"/>
      <c r="V758" s="551"/>
      <c r="W758" s="551"/>
      <c r="X758" s="551"/>
      <c r="Y758" s="551"/>
      <c r="Z758" s="551"/>
      <c r="AA758" s="551"/>
      <c r="AB758" s="551"/>
      <c r="AC758" s="551"/>
      <c r="AD758" s="551"/>
      <c r="AE758" s="551"/>
      <c r="AF758" s="551"/>
    </row>
    <row r="759">
      <c r="A759" s="552"/>
      <c r="B759" s="552"/>
      <c r="C759" s="552"/>
      <c r="D759" s="552"/>
      <c r="E759" s="552"/>
      <c r="F759" s="552"/>
      <c r="G759" s="552"/>
      <c r="H759" s="552"/>
      <c r="I759" s="552"/>
      <c r="J759" s="552"/>
      <c r="K759" s="552"/>
      <c r="L759" s="552"/>
      <c r="M759" s="552"/>
      <c r="N759" s="551"/>
      <c r="O759" s="551"/>
      <c r="P759" s="551"/>
      <c r="Q759" s="551"/>
      <c r="R759" s="551"/>
      <c r="S759" s="551"/>
      <c r="T759" s="551"/>
      <c r="U759" s="551"/>
      <c r="V759" s="551"/>
      <c r="W759" s="551"/>
      <c r="X759" s="551"/>
      <c r="Y759" s="551"/>
      <c r="Z759" s="551"/>
      <c r="AA759" s="551"/>
      <c r="AB759" s="551"/>
      <c r="AC759" s="551"/>
      <c r="AD759" s="551"/>
      <c r="AE759" s="551"/>
      <c r="AF759" s="551"/>
    </row>
    <row r="760">
      <c r="A760" s="552"/>
      <c r="B760" s="552"/>
      <c r="C760" s="552"/>
      <c r="D760" s="552"/>
      <c r="E760" s="552"/>
      <c r="F760" s="552"/>
      <c r="G760" s="552"/>
      <c r="H760" s="552"/>
      <c r="I760" s="552"/>
      <c r="J760" s="552"/>
      <c r="K760" s="552"/>
      <c r="L760" s="552"/>
      <c r="M760" s="552"/>
      <c r="N760" s="551"/>
      <c r="O760" s="551"/>
      <c r="P760" s="551"/>
      <c r="Q760" s="551"/>
      <c r="R760" s="551"/>
      <c r="S760" s="551"/>
      <c r="T760" s="551"/>
      <c r="U760" s="551"/>
      <c r="V760" s="551"/>
      <c r="W760" s="551"/>
      <c r="X760" s="551"/>
      <c r="Y760" s="551"/>
      <c r="Z760" s="551"/>
      <c r="AA760" s="551"/>
      <c r="AB760" s="551"/>
      <c r="AC760" s="551"/>
      <c r="AD760" s="551"/>
      <c r="AE760" s="551"/>
      <c r="AF760" s="551"/>
    </row>
    <row r="761">
      <c r="A761" s="552"/>
      <c r="B761" s="552"/>
      <c r="C761" s="552"/>
      <c r="D761" s="552"/>
      <c r="E761" s="552"/>
      <c r="F761" s="552"/>
      <c r="G761" s="552"/>
      <c r="H761" s="552"/>
      <c r="I761" s="552"/>
      <c r="J761" s="552"/>
      <c r="K761" s="552"/>
      <c r="L761" s="552"/>
      <c r="M761" s="552"/>
      <c r="N761" s="551"/>
      <c r="O761" s="551"/>
      <c r="P761" s="551"/>
      <c r="Q761" s="551"/>
      <c r="R761" s="551"/>
      <c r="S761" s="551"/>
      <c r="T761" s="551"/>
      <c r="U761" s="551"/>
      <c r="V761" s="551"/>
      <c r="W761" s="551"/>
      <c r="X761" s="551"/>
      <c r="Y761" s="551"/>
      <c r="Z761" s="551"/>
      <c r="AA761" s="551"/>
      <c r="AB761" s="551"/>
      <c r="AC761" s="551"/>
      <c r="AD761" s="551"/>
      <c r="AE761" s="551"/>
      <c r="AF761" s="551"/>
    </row>
    <row r="762">
      <c r="A762" s="552"/>
      <c r="B762" s="552"/>
      <c r="C762" s="552"/>
      <c r="D762" s="552"/>
      <c r="E762" s="552"/>
      <c r="F762" s="552"/>
      <c r="G762" s="552"/>
      <c r="H762" s="552"/>
      <c r="I762" s="552"/>
      <c r="J762" s="552"/>
      <c r="K762" s="552"/>
      <c r="L762" s="552"/>
      <c r="M762" s="552"/>
      <c r="N762" s="551"/>
      <c r="O762" s="551"/>
      <c r="P762" s="551"/>
      <c r="Q762" s="551"/>
      <c r="R762" s="551"/>
      <c r="S762" s="551"/>
      <c r="T762" s="551"/>
      <c r="U762" s="551"/>
      <c r="V762" s="551"/>
      <c r="W762" s="551"/>
      <c r="X762" s="551"/>
      <c r="Y762" s="551"/>
      <c r="Z762" s="551"/>
      <c r="AA762" s="551"/>
      <c r="AB762" s="551"/>
      <c r="AC762" s="551"/>
      <c r="AD762" s="551"/>
      <c r="AE762" s="551"/>
      <c r="AF762" s="551"/>
    </row>
    <row r="763">
      <c r="A763" s="552"/>
      <c r="B763" s="552"/>
      <c r="C763" s="552"/>
      <c r="D763" s="552"/>
      <c r="E763" s="552"/>
      <c r="F763" s="552"/>
      <c r="G763" s="552"/>
      <c r="H763" s="552"/>
      <c r="I763" s="552"/>
      <c r="J763" s="552"/>
      <c r="K763" s="552"/>
      <c r="L763" s="552"/>
      <c r="M763" s="552"/>
      <c r="N763" s="551"/>
      <c r="O763" s="551"/>
      <c r="P763" s="551"/>
      <c r="Q763" s="551"/>
      <c r="R763" s="551"/>
      <c r="S763" s="551"/>
      <c r="T763" s="551"/>
      <c r="U763" s="551"/>
      <c r="V763" s="551"/>
      <c r="W763" s="551"/>
      <c r="X763" s="551"/>
      <c r="Y763" s="551"/>
      <c r="Z763" s="551"/>
      <c r="AA763" s="551"/>
      <c r="AB763" s="551"/>
      <c r="AC763" s="551"/>
      <c r="AD763" s="551"/>
      <c r="AE763" s="551"/>
      <c r="AF763" s="551"/>
    </row>
    <row r="764">
      <c r="A764" s="552"/>
      <c r="B764" s="552"/>
      <c r="C764" s="552"/>
      <c r="D764" s="552"/>
      <c r="E764" s="552"/>
      <c r="F764" s="552"/>
      <c r="G764" s="552"/>
      <c r="H764" s="552"/>
      <c r="I764" s="552"/>
      <c r="J764" s="552"/>
      <c r="K764" s="552"/>
      <c r="L764" s="552"/>
      <c r="M764" s="552"/>
      <c r="N764" s="551"/>
      <c r="O764" s="551"/>
      <c r="P764" s="551"/>
      <c r="Q764" s="551"/>
      <c r="R764" s="551"/>
      <c r="S764" s="551"/>
      <c r="T764" s="551"/>
      <c r="U764" s="551"/>
      <c r="V764" s="551"/>
      <c r="W764" s="551"/>
      <c r="X764" s="551"/>
      <c r="Y764" s="551"/>
      <c r="Z764" s="551"/>
      <c r="AA764" s="551"/>
      <c r="AB764" s="551"/>
      <c r="AC764" s="551"/>
      <c r="AD764" s="551"/>
      <c r="AE764" s="551"/>
      <c r="AF764" s="551"/>
    </row>
    <row r="765">
      <c r="A765" s="552"/>
      <c r="B765" s="552"/>
      <c r="C765" s="552"/>
      <c r="D765" s="552"/>
      <c r="E765" s="552"/>
      <c r="F765" s="552"/>
      <c r="G765" s="552"/>
      <c r="H765" s="552"/>
      <c r="I765" s="552"/>
      <c r="J765" s="552"/>
      <c r="K765" s="552"/>
      <c r="L765" s="552"/>
      <c r="M765" s="552"/>
      <c r="N765" s="551"/>
      <c r="O765" s="551"/>
      <c r="P765" s="551"/>
      <c r="Q765" s="551"/>
      <c r="R765" s="551"/>
      <c r="S765" s="551"/>
      <c r="T765" s="551"/>
      <c r="U765" s="551"/>
      <c r="V765" s="551"/>
      <c r="W765" s="551"/>
      <c r="X765" s="551"/>
      <c r="Y765" s="551"/>
      <c r="Z765" s="551"/>
      <c r="AA765" s="551"/>
      <c r="AB765" s="551"/>
      <c r="AC765" s="551"/>
      <c r="AD765" s="551"/>
      <c r="AE765" s="551"/>
      <c r="AF765" s="551"/>
    </row>
    <row r="766">
      <c r="A766" s="552"/>
      <c r="B766" s="552"/>
      <c r="C766" s="552"/>
      <c r="D766" s="552"/>
      <c r="E766" s="552"/>
      <c r="F766" s="552"/>
      <c r="G766" s="552"/>
      <c r="H766" s="552"/>
      <c r="I766" s="552"/>
      <c r="J766" s="552"/>
      <c r="K766" s="552"/>
      <c r="L766" s="552"/>
      <c r="M766" s="552"/>
      <c r="N766" s="551"/>
      <c r="O766" s="551"/>
      <c r="P766" s="551"/>
      <c r="Q766" s="551"/>
      <c r="R766" s="551"/>
      <c r="S766" s="551"/>
      <c r="T766" s="551"/>
      <c r="U766" s="551"/>
      <c r="V766" s="551"/>
      <c r="W766" s="551"/>
      <c r="X766" s="551"/>
      <c r="Y766" s="551"/>
      <c r="Z766" s="551"/>
      <c r="AA766" s="551"/>
      <c r="AB766" s="551"/>
      <c r="AC766" s="551"/>
      <c r="AD766" s="551"/>
      <c r="AE766" s="551"/>
      <c r="AF766" s="551"/>
    </row>
    <row r="767">
      <c r="A767" s="552"/>
      <c r="B767" s="552"/>
      <c r="C767" s="552"/>
      <c r="D767" s="552"/>
      <c r="E767" s="552"/>
      <c r="F767" s="552"/>
      <c r="G767" s="552"/>
      <c r="H767" s="552"/>
      <c r="I767" s="552"/>
      <c r="J767" s="552"/>
      <c r="K767" s="552"/>
      <c r="L767" s="552"/>
      <c r="M767" s="552"/>
      <c r="N767" s="551"/>
      <c r="O767" s="551"/>
      <c r="P767" s="551"/>
      <c r="Q767" s="551"/>
      <c r="R767" s="551"/>
      <c r="S767" s="551"/>
      <c r="T767" s="551"/>
      <c r="U767" s="551"/>
      <c r="V767" s="551"/>
      <c r="W767" s="551"/>
      <c r="X767" s="551"/>
      <c r="Y767" s="551"/>
      <c r="Z767" s="551"/>
      <c r="AA767" s="551"/>
      <c r="AB767" s="551"/>
      <c r="AC767" s="551"/>
      <c r="AD767" s="551"/>
      <c r="AE767" s="551"/>
      <c r="AF767" s="551"/>
    </row>
    <row r="768">
      <c r="A768" s="552"/>
      <c r="B768" s="552"/>
      <c r="C768" s="552"/>
      <c r="D768" s="552"/>
      <c r="E768" s="552"/>
      <c r="F768" s="552"/>
      <c r="G768" s="552"/>
      <c r="H768" s="552"/>
      <c r="I768" s="552"/>
      <c r="J768" s="552"/>
      <c r="K768" s="552"/>
      <c r="L768" s="552"/>
      <c r="M768" s="552"/>
      <c r="N768" s="551"/>
      <c r="O768" s="551"/>
      <c r="P768" s="551"/>
      <c r="Q768" s="551"/>
      <c r="R768" s="551"/>
      <c r="S768" s="551"/>
      <c r="T768" s="551"/>
      <c r="U768" s="551"/>
      <c r="V768" s="551"/>
      <c r="W768" s="551"/>
      <c r="X768" s="551"/>
      <c r="Y768" s="551"/>
      <c r="Z768" s="551"/>
      <c r="AA768" s="551"/>
      <c r="AB768" s="551"/>
      <c r="AC768" s="551"/>
      <c r="AD768" s="551"/>
      <c r="AE768" s="551"/>
      <c r="AF768" s="551"/>
    </row>
    <row r="769">
      <c r="A769" s="552"/>
      <c r="B769" s="552"/>
      <c r="C769" s="552"/>
      <c r="D769" s="552"/>
      <c r="E769" s="552"/>
      <c r="F769" s="552"/>
      <c r="G769" s="552"/>
      <c r="H769" s="552"/>
      <c r="I769" s="552"/>
      <c r="J769" s="552"/>
      <c r="K769" s="552"/>
      <c r="L769" s="552"/>
      <c r="M769" s="552"/>
      <c r="N769" s="551"/>
      <c r="O769" s="551"/>
      <c r="P769" s="551"/>
      <c r="Q769" s="551"/>
      <c r="R769" s="551"/>
      <c r="S769" s="551"/>
      <c r="T769" s="551"/>
      <c r="U769" s="551"/>
      <c r="V769" s="551"/>
      <c r="W769" s="551"/>
      <c r="X769" s="551"/>
      <c r="Y769" s="551"/>
      <c r="Z769" s="551"/>
      <c r="AA769" s="551"/>
      <c r="AB769" s="551"/>
      <c r="AC769" s="551"/>
      <c r="AD769" s="551"/>
      <c r="AE769" s="551"/>
      <c r="AF769" s="551"/>
    </row>
    <row r="770">
      <c r="A770" s="552"/>
      <c r="B770" s="552"/>
      <c r="C770" s="552"/>
      <c r="D770" s="552"/>
      <c r="E770" s="552"/>
      <c r="F770" s="552"/>
      <c r="G770" s="552"/>
      <c r="H770" s="552"/>
      <c r="I770" s="552"/>
      <c r="J770" s="552"/>
      <c r="K770" s="552"/>
      <c r="L770" s="552"/>
      <c r="M770" s="552"/>
      <c r="N770" s="551"/>
      <c r="O770" s="551"/>
      <c r="P770" s="551"/>
      <c r="Q770" s="551"/>
      <c r="R770" s="551"/>
      <c r="S770" s="551"/>
      <c r="T770" s="551"/>
      <c r="U770" s="551"/>
      <c r="V770" s="551"/>
      <c r="W770" s="551"/>
      <c r="X770" s="551"/>
      <c r="Y770" s="551"/>
      <c r="Z770" s="551"/>
      <c r="AA770" s="551"/>
      <c r="AB770" s="551"/>
      <c r="AC770" s="551"/>
      <c r="AD770" s="551"/>
      <c r="AE770" s="551"/>
      <c r="AF770" s="551"/>
    </row>
    <row r="771">
      <c r="A771" s="552"/>
      <c r="B771" s="552"/>
      <c r="C771" s="552"/>
      <c r="D771" s="552"/>
      <c r="E771" s="552"/>
      <c r="F771" s="552"/>
      <c r="G771" s="552"/>
      <c r="H771" s="552"/>
      <c r="I771" s="552"/>
      <c r="J771" s="552"/>
      <c r="K771" s="552"/>
      <c r="L771" s="552"/>
      <c r="M771" s="552"/>
      <c r="N771" s="551"/>
      <c r="O771" s="551"/>
      <c r="P771" s="551"/>
      <c r="Q771" s="551"/>
      <c r="R771" s="551"/>
      <c r="S771" s="551"/>
      <c r="T771" s="551"/>
      <c r="U771" s="551"/>
      <c r="V771" s="551"/>
      <c r="W771" s="551"/>
      <c r="X771" s="551"/>
      <c r="Y771" s="551"/>
      <c r="Z771" s="551"/>
      <c r="AA771" s="551"/>
      <c r="AB771" s="551"/>
      <c r="AC771" s="551"/>
      <c r="AD771" s="551"/>
      <c r="AE771" s="551"/>
      <c r="AF771" s="551"/>
    </row>
    <row r="772">
      <c r="A772" s="552"/>
      <c r="B772" s="552"/>
      <c r="C772" s="552"/>
      <c r="D772" s="552"/>
      <c r="E772" s="552"/>
      <c r="F772" s="552"/>
      <c r="G772" s="552"/>
      <c r="H772" s="552"/>
      <c r="I772" s="552"/>
      <c r="J772" s="552"/>
      <c r="K772" s="552"/>
      <c r="L772" s="552"/>
      <c r="M772" s="552"/>
      <c r="N772" s="551"/>
      <c r="O772" s="551"/>
      <c r="P772" s="551"/>
      <c r="Q772" s="551"/>
      <c r="R772" s="551"/>
      <c r="S772" s="551"/>
      <c r="T772" s="551"/>
      <c r="U772" s="551"/>
      <c r="V772" s="551"/>
      <c r="W772" s="551"/>
      <c r="X772" s="551"/>
      <c r="Y772" s="551"/>
      <c r="Z772" s="551"/>
      <c r="AA772" s="551"/>
      <c r="AB772" s="551"/>
      <c r="AC772" s="551"/>
      <c r="AD772" s="551"/>
      <c r="AE772" s="551"/>
      <c r="AF772" s="551"/>
    </row>
    <row r="773">
      <c r="A773" s="552"/>
      <c r="B773" s="552"/>
      <c r="C773" s="552"/>
      <c r="D773" s="552"/>
      <c r="E773" s="552"/>
      <c r="F773" s="552"/>
      <c r="G773" s="552"/>
      <c r="H773" s="552"/>
      <c r="I773" s="552"/>
      <c r="J773" s="552"/>
      <c r="K773" s="552"/>
      <c r="L773" s="552"/>
      <c r="M773" s="552"/>
      <c r="N773" s="551"/>
      <c r="O773" s="551"/>
      <c r="P773" s="551"/>
      <c r="Q773" s="551"/>
      <c r="R773" s="551"/>
      <c r="S773" s="551"/>
      <c r="T773" s="551"/>
      <c r="U773" s="551"/>
      <c r="V773" s="551"/>
      <c r="W773" s="551"/>
      <c r="X773" s="551"/>
      <c r="Y773" s="551"/>
      <c r="Z773" s="551"/>
      <c r="AA773" s="551"/>
      <c r="AB773" s="551"/>
      <c r="AC773" s="551"/>
      <c r="AD773" s="551"/>
      <c r="AE773" s="551"/>
      <c r="AF773" s="551"/>
    </row>
    <row r="774">
      <c r="A774" s="552"/>
      <c r="B774" s="552"/>
      <c r="C774" s="552"/>
      <c r="D774" s="552"/>
      <c r="E774" s="552"/>
      <c r="F774" s="552"/>
      <c r="G774" s="552"/>
      <c r="H774" s="552"/>
      <c r="I774" s="552"/>
      <c r="J774" s="552"/>
      <c r="K774" s="552"/>
      <c r="L774" s="552"/>
      <c r="M774" s="552"/>
      <c r="N774" s="551"/>
      <c r="O774" s="551"/>
      <c r="P774" s="551"/>
      <c r="Q774" s="551"/>
      <c r="R774" s="551"/>
      <c r="S774" s="551"/>
      <c r="T774" s="551"/>
      <c r="U774" s="551"/>
      <c r="V774" s="551"/>
      <c r="W774" s="551"/>
      <c r="X774" s="551"/>
      <c r="Y774" s="551"/>
      <c r="Z774" s="551"/>
      <c r="AA774" s="551"/>
      <c r="AB774" s="551"/>
      <c r="AC774" s="551"/>
      <c r="AD774" s="551"/>
      <c r="AE774" s="551"/>
      <c r="AF774" s="551"/>
    </row>
    <row r="775">
      <c r="A775" s="552"/>
      <c r="B775" s="552"/>
      <c r="C775" s="552"/>
      <c r="D775" s="552"/>
      <c r="E775" s="552"/>
      <c r="F775" s="552"/>
      <c r="G775" s="552"/>
      <c r="H775" s="552"/>
      <c r="I775" s="552"/>
      <c r="J775" s="552"/>
      <c r="K775" s="552"/>
      <c r="L775" s="552"/>
      <c r="M775" s="552"/>
      <c r="N775" s="551"/>
      <c r="O775" s="551"/>
      <c r="P775" s="551"/>
      <c r="Q775" s="551"/>
      <c r="R775" s="551"/>
      <c r="S775" s="551"/>
      <c r="T775" s="551"/>
      <c r="U775" s="551"/>
      <c r="V775" s="551"/>
      <c r="W775" s="551"/>
      <c r="X775" s="551"/>
      <c r="Y775" s="551"/>
      <c r="Z775" s="551"/>
      <c r="AA775" s="551"/>
      <c r="AB775" s="551"/>
      <c r="AC775" s="551"/>
      <c r="AD775" s="551"/>
      <c r="AE775" s="551"/>
      <c r="AF775" s="551"/>
    </row>
    <row r="776">
      <c r="A776" s="552"/>
      <c r="B776" s="552"/>
      <c r="C776" s="552"/>
      <c r="D776" s="552"/>
      <c r="E776" s="552"/>
      <c r="F776" s="552"/>
      <c r="G776" s="552"/>
      <c r="H776" s="552"/>
      <c r="I776" s="552"/>
      <c r="J776" s="552"/>
      <c r="K776" s="552"/>
      <c r="L776" s="552"/>
      <c r="M776" s="552"/>
      <c r="N776" s="551"/>
      <c r="O776" s="551"/>
      <c r="P776" s="551"/>
      <c r="Q776" s="551"/>
      <c r="R776" s="551"/>
      <c r="S776" s="551"/>
      <c r="T776" s="551"/>
      <c r="U776" s="551"/>
      <c r="V776" s="551"/>
      <c r="W776" s="551"/>
      <c r="X776" s="551"/>
      <c r="Y776" s="551"/>
      <c r="Z776" s="551"/>
      <c r="AA776" s="551"/>
      <c r="AB776" s="551"/>
      <c r="AC776" s="551"/>
      <c r="AD776" s="551"/>
      <c r="AE776" s="551"/>
      <c r="AF776" s="551"/>
    </row>
    <row r="777">
      <c r="A777" s="552"/>
      <c r="B777" s="552"/>
      <c r="C777" s="552"/>
      <c r="D777" s="552"/>
      <c r="E777" s="552"/>
      <c r="F777" s="552"/>
      <c r="G777" s="552"/>
      <c r="H777" s="552"/>
      <c r="I777" s="552"/>
      <c r="J777" s="552"/>
      <c r="K777" s="552"/>
      <c r="L777" s="552"/>
      <c r="M777" s="552"/>
      <c r="N777" s="551"/>
      <c r="O777" s="551"/>
      <c r="P777" s="551"/>
      <c r="Q777" s="551"/>
      <c r="R777" s="551"/>
      <c r="S777" s="551"/>
      <c r="T777" s="551"/>
      <c r="U777" s="551"/>
      <c r="V777" s="551"/>
      <c r="W777" s="551"/>
      <c r="X777" s="551"/>
      <c r="Y777" s="551"/>
      <c r="Z777" s="551"/>
      <c r="AA777" s="551"/>
      <c r="AB777" s="551"/>
      <c r="AC777" s="551"/>
      <c r="AD777" s="551"/>
      <c r="AE777" s="551"/>
      <c r="AF777" s="551"/>
    </row>
    <row r="778">
      <c r="A778" s="552"/>
      <c r="B778" s="552"/>
      <c r="C778" s="552"/>
      <c r="D778" s="552"/>
      <c r="E778" s="552"/>
      <c r="F778" s="552"/>
      <c r="G778" s="552"/>
      <c r="H778" s="552"/>
      <c r="I778" s="552"/>
      <c r="J778" s="552"/>
      <c r="K778" s="552"/>
      <c r="L778" s="552"/>
      <c r="M778" s="552"/>
      <c r="N778" s="551"/>
      <c r="O778" s="551"/>
      <c r="P778" s="551"/>
      <c r="Q778" s="551"/>
      <c r="R778" s="551"/>
      <c r="S778" s="551"/>
      <c r="T778" s="551"/>
      <c r="U778" s="551"/>
      <c r="V778" s="551"/>
      <c r="W778" s="551"/>
      <c r="X778" s="551"/>
      <c r="Y778" s="551"/>
      <c r="Z778" s="551"/>
      <c r="AA778" s="551"/>
      <c r="AB778" s="551"/>
      <c r="AC778" s="551"/>
      <c r="AD778" s="551"/>
      <c r="AE778" s="551"/>
      <c r="AF778" s="551"/>
    </row>
    <row r="779">
      <c r="A779" s="552"/>
      <c r="B779" s="552"/>
      <c r="C779" s="552"/>
      <c r="D779" s="552"/>
      <c r="E779" s="552"/>
      <c r="F779" s="552"/>
      <c r="G779" s="552"/>
      <c r="H779" s="552"/>
      <c r="I779" s="552"/>
      <c r="J779" s="552"/>
      <c r="K779" s="552"/>
      <c r="L779" s="552"/>
      <c r="M779" s="552"/>
      <c r="N779" s="551"/>
      <c r="O779" s="551"/>
      <c r="P779" s="551"/>
      <c r="Q779" s="551"/>
      <c r="R779" s="551"/>
      <c r="S779" s="551"/>
      <c r="T779" s="551"/>
      <c r="U779" s="551"/>
      <c r="V779" s="551"/>
      <c r="W779" s="551"/>
      <c r="X779" s="551"/>
      <c r="Y779" s="551"/>
      <c r="Z779" s="551"/>
      <c r="AA779" s="551"/>
      <c r="AB779" s="551"/>
      <c r="AC779" s="551"/>
      <c r="AD779" s="551"/>
      <c r="AE779" s="551"/>
      <c r="AF779" s="551"/>
    </row>
    <row r="780">
      <c r="A780" s="552"/>
      <c r="B780" s="552"/>
      <c r="C780" s="552"/>
      <c r="D780" s="552"/>
      <c r="E780" s="552"/>
      <c r="F780" s="552"/>
      <c r="G780" s="552"/>
      <c r="H780" s="552"/>
      <c r="I780" s="552"/>
      <c r="J780" s="552"/>
      <c r="K780" s="552"/>
      <c r="L780" s="552"/>
      <c r="M780" s="552"/>
      <c r="N780" s="551"/>
      <c r="O780" s="551"/>
      <c r="P780" s="551"/>
      <c r="Q780" s="551"/>
      <c r="R780" s="551"/>
      <c r="S780" s="551"/>
      <c r="T780" s="551"/>
      <c r="U780" s="551"/>
      <c r="V780" s="551"/>
      <c r="W780" s="551"/>
      <c r="X780" s="551"/>
      <c r="Y780" s="551"/>
      <c r="Z780" s="551"/>
      <c r="AA780" s="551"/>
      <c r="AB780" s="551"/>
      <c r="AC780" s="551"/>
      <c r="AD780" s="551"/>
      <c r="AE780" s="551"/>
      <c r="AF780" s="551"/>
    </row>
    <row r="781">
      <c r="A781" s="552"/>
      <c r="B781" s="552"/>
      <c r="C781" s="552"/>
      <c r="D781" s="552"/>
      <c r="E781" s="552"/>
      <c r="F781" s="552"/>
      <c r="G781" s="552"/>
      <c r="H781" s="552"/>
      <c r="I781" s="552"/>
      <c r="J781" s="552"/>
      <c r="K781" s="552"/>
      <c r="L781" s="552"/>
      <c r="M781" s="552"/>
      <c r="N781" s="551"/>
      <c r="O781" s="551"/>
      <c r="P781" s="551"/>
      <c r="Q781" s="551"/>
      <c r="R781" s="551"/>
      <c r="S781" s="551"/>
      <c r="T781" s="551"/>
      <c r="U781" s="551"/>
      <c r="V781" s="551"/>
      <c r="W781" s="551"/>
      <c r="X781" s="551"/>
      <c r="Y781" s="551"/>
      <c r="Z781" s="551"/>
      <c r="AA781" s="551"/>
      <c r="AB781" s="551"/>
      <c r="AC781" s="551"/>
      <c r="AD781" s="551"/>
      <c r="AE781" s="551"/>
      <c r="AF781" s="551"/>
    </row>
    <row r="782">
      <c r="A782" s="552"/>
      <c r="B782" s="552"/>
      <c r="C782" s="552"/>
      <c r="D782" s="552"/>
      <c r="E782" s="552"/>
      <c r="F782" s="552"/>
      <c r="G782" s="552"/>
      <c r="H782" s="552"/>
      <c r="I782" s="552"/>
      <c r="J782" s="552"/>
      <c r="K782" s="552"/>
      <c r="L782" s="552"/>
      <c r="M782" s="552"/>
      <c r="N782" s="551"/>
      <c r="O782" s="551"/>
      <c r="P782" s="551"/>
      <c r="Q782" s="551"/>
      <c r="R782" s="551"/>
      <c r="S782" s="551"/>
      <c r="T782" s="551"/>
      <c r="U782" s="551"/>
      <c r="V782" s="551"/>
      <c r="W782" s="551"/>
      <c r="X782" s="551"/>
      <c r="Y782" s="551"/>
      <c r="Z782" s="551"/>
      <c r="AA782" s="551"/>
      <c r="AB782" s="551"/>
      <c r="AC782" s="551"/>
      <c r="AD782" s="551"/>
      <c r="AE782" s="551"/>
      <c r="AF782" s="551"/>
    </row>
    <row r="783">
      <c r="A783" s="552"/>
      <c r="B783" s="552"/>
      <c r="C783" s="552"/>
      <c r="D783" s="552"/>
      <c r="E783" s="552"/>
      <c r="F783" s="552"/>
      <c r="G783" s="552"/>
      <c r="H783" s="552"/>
      <c r="I783" s="552"/>
      <c r="J783" s="552"/>
      <c r="K783" s="552"/>
      <c r="L783" s="552"/>
      <c r="M783" s="552"/>
      <c r="N783" s="551"/>
      <c r="O783" s="551"/>
      <c r="P783" s="551"/>
      <c r="Q783" s="551"/>
      <c r="R783" s="551"/>
      <c r="S783" s="551"/>
      <c r="T783" s="551"/>
      <c r="U783" s="551"/>
      <c r="V783" s="551"/>
      <c r="W783" s="551"/>
      <c r="X783" s="551"/>
      <c r="Y783" s="551"/>
      <c r="Z783" s="551"/>
      <c r="AA783" s="551"/>
      <c r="AB783" s="551"/>
      <c r="AC783" s="551"/>
      <c r="AD783" s="551"/>
      <c r="AE783" s="551"/>
      <c r="AF783" s="551"/>
    </row>
    <row r="784">
      <c r="A784" s="552"/>
      <c r="B784" s="552"/>
      <c r="C784" s="552"/>
      <c r="D784" s="552"/>
      <c r="E784" s="552"/>
      <c r="F784" s="552"/>
      <c r="G784" s="552"/>
      <c r="H784" s="552"/>
      <c r="I784" s="552"/>
      <c r="J784" s="552"/>
      <c r="K784" s="552"/>
      <c r="L784" s="552"/>
      <c r="M784" s="552"/>
      <c r="N784" s="551"/>
      <c r="O784" s="551"/>
      <c r="P784" s="551"/>
      <c r="Q784" s="551"/>
      <c r="R784" s="551"/>
      <c r="S784" s="551"/>
      <c r="T784" s="551"/>
      <c r="U784" s="551"/>
      <c r="V784" s="551"/>
      <c r="W784" s="551"/>
      <c r="X784" s="551"/>
      <c r="Y784" s="551"/>
      <c r="Z784" s="551"/>
      <c r="AA784" s="551"/>
      <c r="AB784" s="551"/>
      <c r="AC784" s="551"/>
      <c r="AD784" s="551"/>
      <c r="AE784" s="551"/>
      <c r="AF784" s="551"/>
    </row>
    <row r="785">
      <c r="A785" s="552"/>
      <c r="B785" s="552"/>
      <c r="C785" s="552"/>
      <c r="D785" s="552"/>
      <c r="E785" s="552"/>
      <c r="F785" s="552"/>
      <c r="G785" s="552"/>
      <c r="H785" s="552"/>
      <c r="I785" s="552"/>
      <c r="J785" s="552"/>
      <c r="K785" s="552"/>
      <c r="L785" s="552"/>
      <c r="M785" s="552"/>
      <c r="N785" s="551"/>
      <c r="O785" s="551"/>
      <c r="P785" s="551"/>
      <c r="Q785" s="551"/>
      <c r="R785" s="551"/>
      <c r="S785" s="551"/>
      <c r="T785" s="551"/>
      <c r="U785" s="551"/>
      <c r="V785" s="551"/>
      <c r="W785" s="551"/>
      <c r="X785" s="551"/>
      <c r="Y785" s="551"/>
      <c r="Z785" s="551"/>
      <c r="AA785" s="551"/>
      <c r="AB785" s="551"/>
      <c r="AC785" s="551"/>
      <c r="AD785" s="551"/>
      <c r="AE785" s="551"/>
      <c r="AF785" s="551"/>
    </row>
    <row r="786">
      <c r="A786" s="552"/>
      <c r="B786" s="552"/>
      <c r="C786" s="552"/>
      <c r="D786" s="552"/>
      <c r="E786" s="552"/>
      <c r="F786" s="552"/>
      <c r="G786" s="552"/>
      <c r="H786" s="552"/>
      <c r="I786" s="552"/>
      <c r="J786" s="552"/>
      <c r="K786" s="552"/>
      <c r="L786" s="552"/>
      <c r="M786" s="552"/>
      <c r="N786" s="551"/>
      <c r="O786" s="551"/>
      <c r="P786" s="551"/>
      <c r="Q786" s="551"/>
      <c r="R786" s="551"/>
      <c r="S786" s="551"/>
      <c r="T786" s="551"/>
      <c r="U786" s="551"/>
      <c r="V786" s="551"/>
      <c r="W786" s="551"/>
      <c r="X786" s="551"/>
      <c r="Y786" s="551"/>
      <c r="Z786" s="551"/>
      <c r="AA786" s="551"/>
      <c r="AB786" s="551"/>
      <c r="AC786" s="551"/>
      <c r="AD786" s="551"/>
      <c r="AE786" s="551"/>
      <c r="AF786" s="551"/>
    </row>
    <row r="787">
      <c r="A787" s="552"/>
      <c r="B787" s="552"/>
      <c r="C787" s="552"/>
      <c r="D787" s="552"/>
      <c r="E787" s="552"/>
      <c r="F787" s="552"/>
      <c r="G787" s="552"/>
      <c r="H787" s="552"/>
      <c r="I787" s="552"/>
      <c r="J787" s="552"/>
      <c r="K787" s="552"/>
      <c r="L787" s="552"/>
      <c r="M787" s="552"/>
      <c r="N787" s="551"/>
      <c r="O787" s="551"/>
      <c r="P787" s="551"/>
      <c r="Q787" s="551"/>
      <c r="R787" s="551"/>
      <c r="S787" s="551"/>
      <c r="T787" s="551"/>
      <c r="U787" s="551"/>
      <c r="V787" s="551"/>
      <c r="W787" s="551"/>
      <c r="X787" s="551"/>
      <c r="Y787" s="551"/>
      <c r="Z787" s="551"/>
      <c r="AA787" s="551"/>
      <c r="AB787" s="551"/>
      <c r="AC787" s="551"/>
      <c r="AD787" s="551"/>
      <c r="AE787" s="551"/>
      <c r="AF787" s="551"/>
    </row>
    <row r="788">
      <c r="A788" s="552"/>
      <c r="B788" s="552"/>
      <c r="C788" s="552"/>
      <c r="D788" s="552"/>
      <c r="E788" s="552"/>
      <c r="F788" s="552"/>
      <c r="G788" s="552"/>
      <c r="H788" s="552"/>
      <c r="I788" s="552"/>
      <c r="J788" s="552"/>
      <c r="K788" s="552"/>
      <c r="L788" s="552"/>
      <c r="M788" s="552"/>
      <c r="N788" s="551"/>
      <c r="O788" s="551"/>
      <c r="P788" s="551"/>
      <c r="Q788" s="551"/>
      <c r="R788" s="551"/>
      <c r="S788" s="551"/>
      <c r="T788" s="551"/>
      <c r="U788" s="551"/>
      <c r="V788" s="551"/>
      <c r="W788" s="551"/>
      <c r="X788" s="551"/>
      <c r="Y788" s="551"/>
      <c r="Z788" s="551"/>
      <c r="AA788" s="551"/>
      <c r="AB788" s="551"/>
      <c r="AC788" s="551"/>
      <c r="AD788" s="551"/>
      <c r="AE788" s="551"/>
      <c r="AF788" s="551"/>
    </row>
    <row r="789">
      <c r="A789" s="552"/>
      <c r="B789" s="552"/>
      <c r="C789" s="552"/>
      <c r="D789" s="552"/>
      <c r="E789" s="552"/>
      <c r="F789" s="552"/>
      <c r="G789" s="552"/>
      <c r="H789" s="552"/>
      <c r="I789" s="552"/>
      <c r="J789" s="552"/>
      <c r="K789" s="552"/>
      <c r="L789" s="552"/>
      <c r="M789" s="552"/>
      <c r="N789" s="551"/>
      <c r="O789" s="551"/>
      <c r="P789" s="551"/>
      <c r="Q789" s="551"/>
      <c r="R789" s="551"/>
      <c r="S789" s="551"/>
      <c r="T789" s="551"/>
      <c r="U789" s="551"/>
      <c r="V789" s="551"/>
      <c r="W789" s="551"/>
      <c r="X789" s="551"/>
      <c r="Y789" s="551"/>
      <c r="Z789" s="551"/>
      <c r="AA789" s="551"/>
      <c r="AB789" s="551"/>
      <c r="AC789" s="551"/>
      <c r="AD789" s="551"/>
      <c r="AE789" s="551"/>
      <c r="AF789" s="551"/>
    </row>
    <row r="790">
      <c r="A790" s="552"/>
      <c r="B790" s="552"/>
      <c r="C790" s="552"/>
      <c r="D790" s="552"/>
      <c r="E790" s="552"/>
      <c r="F790" s="552"/>
      <c r="G790" s="552"/>
      <c r="H790" s="552"/>
      <c r="I790" s="552"/>
      <c r="J790" s="552"/>
      <c r="K790" s="552"/>
      <c r="L790" s="552"/>
      <c r="M790" s="552"/>
      <c r="N790" s="551"/>
      <c r="O790" s="551"/>
      <c r="P790" s="551"/>
      <c r="Q790" s="551"/>
      <c r="R790" s="551"/>
      <c r="S790" s="551"/>
      <c r="T790" s="551"/>
      <c r="U790" s="551"/>
      <c r="V790" s="551"/>
      <c r="W790" s="551"/>
      <c r="X790" s="551"/>
      <c r="Y790" s="551"/>
      <c r="Z790" s="551"/>
      <c r="AA790" s="551"/>
      <c r="AB790" s="551"/>
      <c r="AC790" s="551"/>
      <c r="AD790" s="551"/>
      <c r="AE790" s="551"/>
      <c r="AF790" s="551"/>
    </row>
    <row r="791">
      <c r="A791" s="552"/>
      <c r="B791" s="552"/>
      <c r="C791" s="552"/>
      <c r="D791" s="552"/>
      <c r="E791" s="552"/>
      <c r="F791" s="552"/>
      <c r="G791" s="552"/>
      <c r="H791" s="552"/>
      <c r="I791" s="552"/>
      <c r="J791" s="552"/>
      <c r="K791" s="552"/>
      <c r="L791" s="552"/>
      <c r="M791" s="552"/>
      <c r="N791" s="551"/>
      <c r="O791" s="551"/>
      <c r="P791" s="551"/>
      <c r="Q791" s="551"/>
      <c r="R791" s="551"/>
      <c r="S791" s="551"/>
      <c r="T791" s="551"/>
      <c r="U791" s="551"/>
      <c r="V791" s="551"/>
      <c r="W791" s="551"/>
      <c r="X791" s="551"/>
      <c r="Y791" s="551"/>
      <c r="Z791" s="551"/>
      <c r="AA791" s="551"/>
      <c r="AB791" s="551"/>
      <c r="AC791" s="551"/>
      <c r="AD791" s="551"/>
      <c r="AE791" s="551"/>
      <c r="AF791" s="551"/>
    </row>
    <row r="792">
      <c r="A792" s="552"/>
      <c r="B792" s="552"/>
      <c r="C792" s="552"/>
      <c r="D792" s="552"/>
      <c r="E792" s="552"/>
      <c r="F792" s="552"/>
      <c r="G792" s="552"/>
      <c r="H792" s="552"/>
      <c r="I792" s="552"/>
      <c r="J792" s="552"/>
      <c r="K792" s="552"/>
      <c r="L792" s="552"/>
      <c r="M792" s="552"/>
      <c r="N792" s="551"/>
      <c r="O792" s="551"/>
      <c r="P792" s="551"/>
      <c r="Q792" s="551"/>
      <c r="R792" s="551"/>
      <c r="S792" s="551"/>
      <c r="T792" s="551"/>
      <c r="U792" s="551"/>
      <c r="V792" s="551"/>
      <c r="W792" s="551"/>
      <c r="X792" s="551"/>
      <c r="Y792" s="551"/>
      <c r="Z792" s="551"/>
      <c r="AA792" s="551"/>
      <c r="AB792" s="551"/>
      <c r="AC792" s="551"/>
      <c r="AD792" s="551"/>
      <c r="AE792" s="551"/>
      <c r="AF792" s="551"/>
    </row>
    <row r="793">
      <c r="A793" s="552"/>
      <c r="B793" s="552"/>
      <c r="C793" s="552"/>
      <c r="D793" s="552"/>
      <c r="E793" s="552"/>
      <c r="F793" s="552"/>
      <c r="G793" s="552"/>
      <c r="H793" s="552"/>
      <c r="I793" s="552"/>
      <c r="J793" s="552"/>
      <c r="K793" s="552"/>
      <c r="L793" s="552"/>
      <c r="M793" s="552"/>
      <c r="N793" s="551"/>
      <c r="O793" s="551"/>
      <c r="P793" s="551"/>
      <c r="Q793" s="551"/>
      <c r="R793" s="551"/>
      <c r="S793" s="551"/>
      <c r="T793" s="551"/>
      <c r="U793" s="551"/>
      <c r="V793" s="551"/>
      <c r="W793" s="551"/>
      <c r="X793" s="551"/>
      <c r="Y793" s="551"/>
      <c r="Z793" s="551"/>
      <c r="AA793" s="551"/>
      <c r="AB793" s="551"/>
      <c r="AC793" s="551"/>
      <c r="AD793" s="551"/>
      <c r="AE793" s="551"/>
      <c r="AF793" s="551"/>
    </row>
    <row r="794">
      <c r="A794" s="552"/>
      <c r="B794" s="552"/>
      <c r="C794" s="552"/>
      <c r="D794" s="552"/>
      <c r="E794" s="552"/>
      <c r="F794" s="552"/>
      <c r="G794" s="552"/>
      <c r="H794" s="552"/>
      <c r="I794" s="552"/>
      <c r="J794" s="552"/>
      <c r="K794" s="552"/>
      <c r="L794" s="552"/>
      <c r="M794" s="552"/>
      <c r="N794" s="551"/>
      <c r="O794" s="551"/>
      <c r="P794" s="551"/>
      <c r="Q794" s="551"/>
      <c r="R794" s="551"/>
      <c r="S794" s="551"/>
      <c r="T794" s="551"/>
      <c r="U794" s="551"/>
      <c r="V794" s="551"/>
      <c r="W794" s="551"/>
      <c r="X794" s="551"/>
      <c r="Y794" s="551"/>
      <c r="Z794" s="551"/>
      <c r="AA794" s="551"/>
      <c r="AB794" s="551"/>
      <c r="AC794" s="551"/>
      <c r="AD794" s="551"/>
      <c r="AE794" s="551"/>
      <c r="AF794" s="551"/>
    </row>
    <row r="795">
      <c r="A795" s="552"/>
      <c r="B795" s="552"/>
      <c r="C795" s="552"/>
      <c r="D795" s="552"/>
      <c r="E795" s="552"/>
      <c r="F795" s="552"/>
      <c r="G795" s="552"/>
      <c r="H795" s="552"/>
      <c r="I795" s="552"/>
      <c r="J795" s="552"/>
      <c r="K795" s="552"/>
      <c r="L795" s="552"/>
      <c r="M795" s="552"/>
      <c r="N795" s="551"/>
      <c r="O795" s="551"/>
      <c r="P795" s="551"/>
      <c r="Q795" s="551"/>
      <c r="R795" s="551"/>
      <c r="S795" s="551"/>
      <c r="T795" s="551"/>
      <c r="U795" s="551"/>
      <c r="V795" s="551"/>
      <c r="W795" s="551"/>
      <c r="X795" s="551"/>
      <c r="Y795" s="551"/>
      <c r="Z795" s="551"/>
      <c r="AA795" s="551"/>
      <c r="AB795" s="551"/>
      <c r="AC795" s="551"/>
      <c r="AD795" s="551"/>
      <c r="AE795" s="551"/>
      <c r="AF795" s="551"/>
    </row>
    <row r="796">
      <c r="A796" s="552"/>
      <c r="B796" s="552"/>
      <c r="C796" s="552"/>
      <c r="D796" s="552"/>
      <c r="E796" s="552"/>
      <c r="F796" s="552"/>
      <c r="G796" s="552"/>
      <c r="H796" s="552"/>
      <c r="I796" s="552"/>
      <c r="J796" s="552"/>
      <c r="K796" s="552"/>
      <c r="L796" s="552"/>
      <c r="M796" s="552"/>
      <c r="N796" s="551"/>
      <c r="O796" s="551"/>
      <c r="P796" s="551"/>
      <c r="Q796" s="551"/>
      <c r="R796" s="551"/>
      <c r="S796" s="551"/>
      <c r="T796" s="551"/>
      <c r="U796" s="551"/>
      <c r="V796" s="551"/>
      <c r="W796" s="551"/>
      <c r="X796" s="551"/>
      <c r="Y796" s="551"/>
      <c r="Z796" s="551"/>
      <c r="AA796" s="551"/>
      <c r="AB796" s="551"/>
      <c r="AC796" s="551"/>
      <c r="AD796" s="551"/>
      <c r="AE796" s="551"/>
      <c r="AF796" s="551"/>
    </row>
    <row r="797">
      <c r="A797" s="552"/>
      <c r="B797" s="552"/>
      <c r="C797" s="552"/>
      <c r="D797" s="552"/>
      <c r="E797" s="552"/>
      <c r="F797" s="552"/>
      <c r="G797" s="552"/>
      <c r="H797" s="552"/>
      <c r="I797" s="552"/>
      <c r="J797" s="552"/>
      <c r="K797" s="552"/>
      <c r="L797" s="552"/>
      <c r="M797" s="552"/>
      <c r="N797" s="551"/>
      <c r="O797" s="551"/>
      <c r="P797" s="551"/>
      <c r="Q797" s="551"/>
      <c r="R797" s="551"/>
      <c r="S797" s="551"/>
      <c r="T797" s="551"/>
      <c r="U797" s="551"/>
      <c r="V797" s="551"/>
      <c r="W797" s="551"/>
      <c r="X797" s="551"/>
      <c r="Y797" s="551"/>
      <c r="Z797" s="551"/>
      <c r="AA797" s="551"/>
      <c r="AB797" s="551"/>
      <c r="AC797" s="551"/>
      <c r="AD797" s="551"/>
      <c r="AE797" s="551"/>
      <c r="AF797" s="551"/>
    </row>
    <row r="798">
      <c r="A798" s="552"/>
      <c r="B798" s="552"/>
      <c r="C798" s="552"/>
      <c r="D798" s="552"/>
      <c r="E798" s="552"/>
      <c r="F798" s="552"/>
      <c r="G798" s="552"/>
      <c r="H798" s="552"/>
      <c r="I798" s="552"/>
      <c r="J798" s="552"/>
      <c r="K798" s="552"/>
      <c r="L798" s="552"/>
      <c r="M798" s="552"/>
      <c r="N798" s="551"/>
      <c r="O798" s="551"/>
      <c r="P798" s="551"/>
      <c r="Q798" s="551"/>
      <c r="R798" s="551"/>
      <c r="S798" s="551"/>
      <c r="T798" s="551"/>
      <c r="U798" s="551"/>
      <c r="V798" s="551"/>
      <c r="W798" s="551"/>
      <c r="X798" s="551"/>
      <c r="Y798" s="551"/>
      <c r="Z798" s="551"/>
      <c r="AA798" s="551"/>
      <c r="AB798" s="551"/>
      <c r="AC798" s="551"/>
      <c r="AD798" s="551"/>
      <c r="AE798" s="551"/>
      <c r="AF798" s="551"/>
    </row>
    <row r="799">
      <c r="A799" s="552"/>
      <c r="B799" s="552"/>
      <c r="C799" s="552"/>
      <c r="D799" s="552"/>
      <c r="E799" s="552"/>
      <c r="F799" s="552"/>
      <c r="G799" s="552"/>
      <c r="H799" s="552"/>
      <c r="I799" s="552"/>
      <c r="J799" s="552"/>
      <c r="K799" s="552"/>
      <c r="L799" s="552"/>
      <c r="M799" s="552"/>
      <c r="N799" s="551"/>
      <c r="O799" s="551"/>
      <c r="P799" s="551"/>
      <c r="Q799" s="551"/>
      <c r="R799" s="551"/>
      <c r="S799" s="551"/>
      <c r="T799" s="551"/>
      <c r="U799" s="551"/>
      <c r="V799" s="551"/>
      <c r="W799" s="551"/>
      <c r="X799" s="551"/>
      <c r="Y799" s="551"/>
      <c r="Z799" s="551"/>
      <c r="AA799" s="551"/>
      <c r="AB799" s="551"/>
      <c r="AC799" s="551"/>
      <c r="AD799" s="551"/>
      <c r="AE799" s="551"/>
      <c r="AF799" s="551"/>
    </row>
    <row r="800">
      <c r="A800" s="552"/>
      <c r="B800" s="552"/>
      <c r="C800" s="552"/>
      <c r="D800" s="552"/>
      <c r="E800" s="552"/>
      <c r="F800" s="552"/>
      <c r="G800" s="552"/>
      <c r="H800" s="552"/>
      <c r="I800" s="552"/>
      <c r="J800" s="552"/>
      <c r="K800" s="552"/>
      <c r="L800" s="552"/>
      <c r="M800" s="552"/>
      <c r="N800" s="551"/>
      <c r="O800" s="551"/>
      <c r="P800" s="551"/>
      <c r="Q800" s="551"/>
      <c r="R800" s="551"/>
      <c r="S800" s="551"/>
      <c r="T800" s="551"/>
      <c r="U800" s="551"/>
      <c r="V800" s="551"/>
      <c r="W800" s="551"/>
      <c r="X800" s="551"/>
      <c r="Y800" s="551"/>
      <c r="Z800" s="551"/>
      <c r="AA800" s="551"/>
      <c r="AB800" s="551"/>
      <c r="AC800" s="551"/>
      <c r="AD800" s="551"/>
      <c r="AE800" s="551"/>
      <c r="AF800" s="551"/>
    </row>
    <row r="801">
      <c r="A801" s="552"/>
      <c r="B801" s="552"/>
      <c r="C801" s="552"/>
      <c r="D801" s="552"/>
      <c r="E801" s="552"/>
      <c r="F801" s="552"/>
      <c r="G801" s="552"/>
      <c r="H801" s="552"/>
      <c r="I801" s="552"/>
      <c r="J801" s="552"/>
      <c r="K801" s="552"/>
      <c r="L801" s="552"/>
      <c r="M801" s="552"/>
      <c r="N801" s="551"/>
      <c r="O801" s="551"/>
      <c r="P801" s="551"/>
      <c r="Q801" s="551"/>
      <c r="R801" s="551"/>
      <c r="S801" s="551"/>
      <c r="T801" s="551"/>
      <c r="U801" s="551"/>
      <c r="V801" s="551"/>
      <c r="W801" s="551"/>
      <c r="X801" s="551"/>
      <c r="Y801" s="551"/>
      <c r="Z801" s="551"/>
      <c r="AA801" s="551"/>
      <c r="AB801" s="551"/>
      <c r="AC801" s="551"/>
      <c r="AD801" s="551"/>
      <c r="AE801" s="551"/>
      <c r="AF801" s="551"/>
    </row>
    <row r="802">
      <c r="A802" s="552"/>
      <c r="B802" s="552"/>
      <c r="C802" s="552"/>
      <c r="D802" s="552"/>
      <c r="E802" s="552"/>
      <c r="F802" s="552"/>
      <c r="G802" s="552"/>
      <c r="H802" s="552"/>
      <c r="I802" s="552"/>
      <c r="J802" s="552"/>
      <c r="K802" s="552"/>
      <c r="L802" s="552"/>
      <c r="M802" s="552"/>
      <c r="N802" s="551"/>
      <c r="O802" s="551"/>
      <c r="P802" s="551"/>
      <c r="Q802" s="551"/>
      <c r="R802" s="551"/>
      <c r="S802" s="551"/>
      <c r="T802" s="551"/>
      <c r="U802" s="551"/>
      <c r="V802" s="551"/>
      <c r="W802" s="551"/>
      <c r="X802" s="551"/>
      <c r="Y802" s="551"/>
      <c r="Z802" s="551"/>
      <c r="AA802" s="551"/>
      <c r="AB802" s="551"/>
      <c r="AC802" s="551"/>
      <c r="AD802" s="551"/>
      <c r="AE802" s="551"/>
      <c r="AF802" s="551"/>
    </row>
    <row r="803">
      <c r="A803" s="552"/>
      <c r="B803" s="552"/>
      <c r="C803" s="552"/>
      <c r="D803" s="552"/>
      <c r="E803" s="552"/>
      <c r="F803" s="552"/>
      <c r="G803" s="552"/>
      <c r="H803" s="552"/>
      <c r="I803" s="552"/>
      <c r="J803" s="552"/>
      <c r="K803" s="552"/>
      <c r="L803" s="552"/>
      <c r="M803" s="552"/>
      <c r="N803" s="551"/>
      <c r="O803" s="551"/>
      <c r="P803" s="551"/>
      <c r="Q803" s="551"/>
      <c r="R803" s="551"/>
      <c r="S803" s="551"/>
      <c r="T803" s="551"/>
      <c r="U803" s="551"/>
      <c r="V803" s="551"/>
      <c r="W803" s="551"/>
      <c r="X803" s="551"/>
      <c r="Y803" s="551"/>
      <c r="Z803" s="551"/>
      <c r="AA803" s="551"/>
      <c r="AB803" s="551"/>
      <c r="AC803" s="551"/>
      <c r="AD803" s="551"/>
      <c r="AE803" s="551"/>
      <c r="AF803" s="551"/>
    </row>
    <row r="804">
      <c r="A804" s="552"/>
      <c r="B804" s="552"/>
      <c r="C804" s="552"/>
      <c r="D804" s="552"/>
      <c r="E804" s="552"/>
      <c r="F804" s="552"/>
      <c r="G804" s="552"/>
      <c r="H804" s="552"/>
      <c r="I804" s="552"/>
      <c r="J804" s="552"/>
      <c r="K804" s="552"/>
      <c r="L804" s="552"/>
      <c r="M804" s="552"/>
      <c r="N804" s="551"/>
      <c r="O804" s="551"/>
      <c r="P804" s="551"/>
      <c r="Q804" s="551"/>
      <c r="R804" s="551"/>
      <c r="S804" s="551"/>
      <c r="T804" s="551"/>
      <c r="U804" s="551"/>
      <c r="V804" s="551"/>
      <c r="W804" s="551"/>
      <c r="X804" s="551"/>
      <c r="Y804" s="551"/>
      <c r="Z804" s="551"/>
      <c r="AA804" s="551"/>
      <c r="AB804" s="551"/>
      <c r="AC804" s="551"/>
      <c r="AD804" s="551"/>
      <c r="AE804" s="551"/>
      <c r="AF804" s="551"/>
    </row>
    <row r="805">
      <c r="A805" s="552"/>
      <c r="B805" s="552"/>
      <c r="C805" s="552"/>
      <c r="D805" s="552"/>
      <c r="E805" s="552"/>
      <c r="F805" s="552"/>
      <c r="G805" s="552"/>
      <c r="H805" s="552"/>
      <c r="I805" s="552"/>
      <c r="J805" s="552"/>
      <c r="K805" s="552"/>
      <c r="L805" s="552"/>
      <c r="M805" s="552"/>
      <c r="N805" s="551"/>
      <c r="O805" s="551"/>
      <c r="P805" s="551"/>
      <c r="Q805" s="551"/>
      <c r="R805" s="551"/>
      <c r="S805" s="551"/>
      <c r="T805" s="551"/>
      <c r="U805" s="551"/>
      <c r="V805" s="551"/>
      <c r="W805" s="551"/>
      <c r="X805" s="551"/>
      <c r="Y805" s="551"/>
      <c r="Z805" s="551"/>
      <c r="AA805" s="551"/>
      <c r="AB805" s="551"/>
      <c r="AC805" s="551"/>
      <c r="AD805" s="551"/>
      <c r="AE805" s="551"/>
      <c r="AF805" s="551"/>
    </row>
    <row r="806">
      <c r="A806" s="552"/>
      <c r="B806" s="552"/>
      <c r="C806" s="552"/>
      <c r="D806" s="552"/>
      <c r="E806" s="552"/>
      <c r="F806" s="552"/>
      <c r="G806" s="552"/>
      <c r="H806" s="552"/>
      <c r="I806" s="552"/>
      <c r="J806" s="552"/>
      <c r="K806" s="552"/>
      <c r="L806" s="552"/>
      <c r="M806" s="552"/>
      <c r="N806" s="551"/>
      <c r="O806" s="551"/>
      <c r="P806" s="551"/>
      <c r="Q806" s="551"/>
      <c r="R806" s="551"/>
      <c r="S806" s="551"/>
      <c r="T806" s="551"/>
      <c r="U806" s="551"/>
      <c r="V806" s="551"/>
      <c r="W806" s="551"/>
      <c r="X806" s="551"/>
      <c r="Y806" s="551"/>
      <c r="Z806" s="551"/>
      <c r="AA806" s="551"/>
      <c r="AB806" s="551"/>
      <c r="AC806" s="551"/>
      <c r="AD806" s="551"/>
      <c r="AE806" s="551"/>
      <c r="AF806" s="551"/>
    </row>
    <row r="807">
      <c r="A807" s="552"/>
      <c r="B807" s="552"/>
      <c r="C807" s="552"/>
      <c r="D807" s="552"/>
      <c r="E807" s="552"/>
      <c r="F807" s="552"/>
      <c r="G807" s="552"/>
      <c r="H807" s="552"/>
      <c r="I807" s="552"/>
      <c r="J807" s="552"/>
      <c r="K807" s="552"/>
      <c r="L807" s="552"/>
      <c r="M807" s="552"/>
      <c r="N807" s="551"/>
      <c r="O807" s="551"/>
      <c r="P807" s="551"/>
      <c r="Q807" s="551"/>
      <c r="R807" s="551"/>
      <c r="S807" s="551"/>
      <c r="T807" s="551"/>
      <c r="U807" s="551"/>
      <c r="V807" s="551"/>
      <c r="W807" s="551"/>
      <c r="X807" s="551"/>
      <c r="Y807" s="551"/>
      <c r="Z807" s="551"/>
      <c r="AA807" s="551"/>
      <c r="AB807" s="551"/>
      <c r="AC807" s="551"/>
      <c r="AD807" s="551"/>
      <c r="AE807" s="551"/>
      <c r="AF807" s="551"/>
    </row>
    <row r="808">
      <c r="A808" s="552"/>
      <c r="B808" s="552"/>
      <c r="C808" s="552"/>
      <c r="D808" s="552"/>
      <c r="E808" s="552"/>
      <c r="F808" s="552"/>
      <c r="G808" s="552"/>
      <c r="H808" s="552"/>
      <c r="I808" s="552"/>
      <c r="J808" s="552"/>
      <c r="K808" s="552"/>
      <c r="L808" s="552"/>
      <c r="M808" s="552"/>
      <c r="N808" s="551"/>
      <c r="O808" s="551"/>
      <c r="P808" s="551"/>
      <c r="Q808" s="551"/>
      <c r="R808" s="551"/>
      <c r="S808" s="551"/>
      <c r="T808" s="551"/>
      <c r="U808" s="551"/>
      <c r="V808" s="551"/>
      <c r="W808" s="551"/>
      <c r="X808" s="551"/>
      <c r="Y808" s="551"/>
      <c r="Z808" s="551"/>
      <c r="AA808" s="551"/>
      <c r="AB808" s="551"/>
      <c r="AC808" s="551"/>
      <c r="AD808" s="551"/>
      <c r="AE808" s="551"/>
      <c r="AF808" s="551"/>
    </row>
    <row r="809">
      <c r="A809" s="552"/>
      <c r="B809" s="552"/>
      <c r="C809" s="552"/>
      <c r="D809" s="552"/>
      <c r="E809" s="552"/>
      <c r="F809" s="552"/>
      <c r="G809" s="552"/>
      <c r="H809" s="552"/>
      <c r="I809" s="552"/>
      <c r="J809" s="552"/>
      <c r="K809" s="552"/>
      <c r="L809" s="552"/>
      <c r="M809" s="552"/>
      <c r="N809" s="551"/>
      <c r="O809" s="551"/>
      <c r="P809" s="551"/>
      <c r="Q809" s="551"/>
      <c r="R809" s="551"/>
      <c r="S809" s="551"/>
      <c r="T809" s="551"/>
      <c r="U809" s="551"/>
      <c r="V809" s="551"/>
      <c r="W809" s="551"/>
      <c r="X809" s="551"/>
      <c r="Y809" s="551"/>
      <c r="Z809" s="551"/>
      <c r="AA809" s="551"/>
      <c r="AB809" s="551"/>
      <c r="AC809" s="551"/>
      <c r="AD809" s="551"/>
      <c r="AE809" s="551"/>
      <c r="AF809" s="551"/>
    </row>
    <row r="810">
      <c r="A810" s="552"/>
      <c r="B810" s="552"/>
      <c r="C810" s="552"/>
      <c r="D810" s="552"/>
      <c r="E810" s="552"/>
      <c r="F810" s="552"/>
      <c r="G810" s="552"/>
      <c r="H810" s="552"/>
      <c r="I810" s="552"/>
      <c r="J810" s="552"/>
      <c r="K810" s="552"/>
      <c r="L810" s="552"/>
      <c r="M810" s="552"/>
      <c r="N810" s="551"/>
      <c r="O810" s="551"/>
      <c r="P810" s="551"/>
      <c r="Q810" s="551"/>
      <c r="R810" s="551"/>
      <c r="S810" s="551"/>
      <c r="T810" s="551"/>
      <c r="U810" s="551"/>
      <c r="V810" s="551"/>
      <c r="W810" s="551"/>
      <c r="X810" s="551"/>
      <c r="Y810" s="551"/>
      <c r="Z810" s="551"/>
      <c r="AA810" s="551"/>
      <c r="AB810" s="551"/>
      <c r="AC810" s="551"/>
      <c r="AD810" s="551"/>
      <c r="AE810" s="551"/>
      <c r="AF810" s="551"/>
    </row>
    <row r="811">
      <c r="A811" s="552"/>
      <c r="B811" s="552"/>
      <c r="C811" s="552"/>
      <c r="D811" s="552"/>
      <c r="E811" s="552"/>
      <c r="F811" s="552"/>
      <c r="G811" s="552"/>
      <c r="H811" s="552"/>
      <c r="I811" s="552"/>
      <c r="J811" s="552"/>
      <c r="K811" s="552"/>
      <c r="L811" s="552"/>
      <c r="M811" s="552"/>
      <c r="N811" s="551"/>
      <c r="O811" s="551"/>
      <c r="P811" s="551"/>
      <c r="Q811" s="551"/>
      <c r="R811" s="551"/>
      <c r="S811" s="551"/>
      <c r="T811" s="551"/>
      <c r="U811" s="551"/>
      <c r="V811" s="551"/>
      <c r="W811" s="551"/>
      <c r="X811" s="551"/>
      <c r="Y811" s="551"/>
      <c r="Z811" s="551"/>
      <c r="AA811" s="551"/>
      <c r="AB811" s="551"/>
      <c r="AC811" s="551"/>
      <c r="AD811" s="551"/>
      <c r="AE811" s="551"/>
      <c r="AF811" s="551"/>
    </row>
    <row r="812">
      <c r="A812" s="552"/>
      <c r="B812" s="552"/>
      <c r="C812" s="552"/>
      <c r="D812" s="552"/>
      <c r="E812" s="552"/>
      <c r="F812" s="552"/>
      <c r="G812" s="552"/>
      <c r="H812" s="552"/>
      <c r="I812" s="552"/>
      <c r="J812" s="552"/>
      <c r="K812" s="552"/>
      <c r="L812" s="552"/>
      <c r="M812" s="552"/>
      <c r="N812" s="551"/>
      <c r="O812" s="551"/>
      <c r="P812" s="551"/>
      <c r="Q812" s="551"/>
      <c r="R812" s="551"/>
      <c r="S812" s="551"/>
      <c r="T812" s="551"/>
      <c r="U812" s="551"/>
      <c r="V812" s="551"/>
      <c r="W812" s="551"/>
      <c r="X812" s="551"/>
      <c r="Y812" s="551"/>
      <c r="Z812" s="551"/>
      <c r="AA812" s="551"/>
      <c r="AB812" s="551"/>
      <c r="AC812" s="551"/>
      <c r="AD812" s="551"/>
      <c r="AE812" s="551"/>
      <c r="AF812" s="551"/>
    </row>
    <row r="813">
      <c r="A813" s="552"/>
      <c r="B813" s="552"/>
      <c r="C813" s="552"/>
      <c r="D813" s="552"/>
      <c r="E813" s="552"/>
      <c r="F813" s="552"/>
      <c r="G813" s="552"/>
      <c r="H813" s="552"/>
      <c r="I813" s="552"/>
      <c r="J813" s="552"/>
      <c r="K813" s="552"/>
      <c r="L813" s="552"/>
      <c r="M813" s="552"/>
      <c r="N813" s="551"/>
      <c r="O813" s="551"/>
      <c r="P813" s="551"/>
      <c r="Q813" s="551"/>
      <c r="R813" s="551"/>
      <c r="S813" s="551"/>
      <c r="T813" s="551"/>
      <c r="U813" s="551"/>
      <c r="V813" s="551"/>
      <c r="W813" s="551"/>
      <c r="X813" s="551"/>
      <c r="Y813" s="551"/>
      <c r="Z813" s="551"/>
      <c r="AA813" s="551"/>
      <c r="AB813" s="551"/>
      <c r="AC813" s="551"/>
      <c r="AD813" s="551"/>
      <c r="AE813" s="551"/>
      <c r="AF813" s="551"/>
    </row>
    <row r="814">
      <c r="A814" s="552"/>
      <c r="B814" s="552"/>
      <c r="C814" s="552"/>
      <c r="D814" s="552"/>
      <c r="E814" s="552"/>
      <c r="F814" s="552"/>
      <c r="G814" s="552"/>
      <c r="H814" s="552"/>
      <c r="I814" s="552"/>
      <c r="J814" s="552"/>
      <c r="K814" s="552"/>
      <c r="L814" s="552"/>
      <c r="M814" s="552"/>
      <c r="N814" s="551"/>
      <c r="O814" s="551"/>
      <c r="P814" s="551"/>
      <c r="Q814" s="551"/>
      <c r="R814" s="551"/>
      <c r="S814" s="551"/>
      <c r="T814" s="551"/>
      <c r="U814" s="551"/>
      <c r="V814" s="551"/>
      <c r="W814" s="551"/>
      <c r="X814" s="551"/>
      <c r="Y814" s="551"/>
      <c r="Z814" s="551"/>
      <c r="AA814" s="551"/>
      <c r="AB814" s="551"/>
      <c r="AC814" s="551"/>
      <c r="AD814" s="551"/>
      <c r="AE814" s="551"/>
      <c r="AF814" s="551"/>
    </row>
    <row r="815">
      <c r="A815" s="552"/>
      <c r="B815" s="552"/>
      <c r="C815" s="552"/>
      <c r="D815" s="552"/>
      <c r="E815" s="552"/>
      <c r="F815" s="552"/>
      <c r="G815" s="552"/>
      <c r="H815" s="552"/>
      <c r="I815" s="552"/>
      <c r="J815" s="552"/>
      <c r="K815" s="552"/>
      <c r="L815" s="552"/>
      <c r="M815" s="552"/>
      <c r="N815" s="551"/>
      <c r="O815" s="551"/>
      <c r="P815" s="551"/>
      <c r="Q815" s="551"/>
      <c r="R815" s="551"/>
      <c r="S815" s="551"/>
      <c r="T815" s="551"/>
      <c r="U815" s="551"/>
      <c r="V815" s="551"/>
      <c r="W815" s="551"/>
      <c r="X815" s="551"/>
      <c r="Y815" s="551"/>
      <c r="Z815" s="551"/>
      <c r="AA815" s="551"/>
      <c r="AB815" s="551"/>
      <c r="AC815" s="551"/>
      <c r="AD815" s="551"/>
      <c r="AE815" s="551"/>
      <c r="AF815" s="551"/>
    </row>
    <row r="816">
      <c r="A816" s="552"/>
      <c r="B816" s="552"/>
      <c r="C816" s="552"/>
      <c r="D816" s="552"/>
      <c r="E816" s="552"/>
      <c r="F816" s="552"/>
      <c r="G816" s="552"/>
      <c r="H816" s="552"/>
      <c r="I816" s="552"/>
      <c r="J816" s="552"/>
      <c r="K816" s="552"/>
      <c r="L816" s="552"/>
      <c r="M816" s="552"/>
      <c r="N816" s="551"/>
      <c r="O816" s="551"/>
      <c r="P816" s="551"/>
      <c r="Q816" s="551"/>
      <c r="R816" s="551"/>
      <c r="S816" s="551"/>
      <c r="T816" s="551"/>
      <c r="U816" s="551"/>
      <c r="V816" s="551"/>
      <c r="W816" s="551"/>
      <c r="X816" s="551"/>
      <c r="Y816" s="551"/>
      <c r="Z816" s="551"/>
      <c r="AA816" s="551"/>
      <c r="AB816" s="551"/>
      <c r="AC816" s="551"/>
      <c r="AD816" s="551"/>
      <c r="AE816" s="551"/>
      <c r="AF816" s="551"/>
    </row>
    <row r="817">
      <c r="A817" s="552"/>
      <c r="B817" s="552"/>
      <c r="C817" s="552"/>
      <c r="D817" s="552"/>
      <c r="E817" s="552"/>
      <c r="F817" s="552"/>
      <c r="G817" s="552"/>
      <c r="H817" s="552"/>
      <c r="I817" s="552"/>
      <c r="J817" s="552"/>
      <c r="K817" s="552"/>
      <c r="L817" s="552"/>
      <c r="M817" s="552"/>
      <c r="N817" s="551"/>
      <c r="O817" s="551"/>
      <c r="P817" s="551"/>
      <c r="Q817" s="551"/>
      <c r="R817" s="551"/>
      <c r="S817" s="551"/>
      <c r="T817" s="551"/>
      <c r="U817" s="551"/>
      <c r="V817" s="551"/>
      <c r="W817" s="551"/>
      <c r="X817" s="551"/>
      <c r="Y817" s="551"/>
      <c r="Z817" s="551"/>
      <c r="AA817" s="551"/>
      <c r="AB817" s="551"/>
      <c r="AC817" s="551"/>
      <c r="AD817" s="551"/>
      <c r="AE817" s="551"/>
      <c r="AF817" s="551"/>
    </row>
    <row r="818">
      <c r="A818" s="552"/>
      <c r="B818" s="552"/>
      <c r="C818" s="552"/>
      <c r="D818" s="552"/>
      <c r="E818" s="552"/>
      <c r="F818" s="552"/>
      <c r="G818" s="552"/>
      <c r="H818" s="552"/>
      <c r="I818" s="552"/>
      <c r="J818" s="552"/>
      <c r="K818" s="552"/>
      <c r="L818" s="552"/>
      <c r="M818" s="552"/>
      <c r="N818" s="551"/>
      <c r="O818" s="551"/>
      <c r="P818" s="551"/>
      <c r="Q818" s="551"/>
      <c r="R818" s="551"/>
      <c r="S818" s="551"/>
      <c r="T818" s="551"/>
      <c r="U818" s="551"/>
      <c r="V818" s="551"/>
      <c r="W818" s="551"/>
      <c r="X818" s="551"/>
      <c r="Y818" s="551"/>
      <c r="Z818" s="551"/>
      <c r="AA818" s="551"/>
      <c r="AB818" s="551"/>
      <c r="AC818" s="551"/>
      <c r="AD818" s="551"/>
      <c r="AE818" s="551"/>
      <c r="AF818" s="551"/>
    </row>
    <row r="819">
      <c r="A819" s="552"/>
      <c r="B819" s="552"/>
      <c r="C819" s="552"/>
      <c r="D819" s="552"/>
      <c r="E819" s="552"/>
      <c r="F819" s="552"/>
      <c r="G819" s="552"/>
      <c r="H819" s="552"/>
      <c r="I819" s="552"/>
      <c r="J819" s="552"/>
      <c r="K819" s="552"/>
      <c r="L819" s="552"/>
      <c r="M819" s="552"/>
      <c r="N819" s="551"/>
      <c r="O819" s="551"/>
      <c r="P819" s="551"/>
      <c r="Q819" s="551"/>
      <c r="R819" s="551"/>
      <c r="S819" s="551"/>
      <c r="T819" s="551"/>
      <c r="U819" s="551"/>
      <c r="V819" s="551"/>
      <c r="W819" s="551"/>
      <c r="X819" s="551"/>
      <c r="Y819" s="551"/>
      <c r="Z819" s="551"/>
      <c r="AA819" s="551"/>
      <c r="AB819" s="551"/>
      <c r="AC819" s="551"/>
      <c r="AD819" s="551"/>
      <c r="AE819" s="551"/>
      <c r="AF819" s="551"/>
    </row>
    <row r="820">
      <c r="A820" s="552"/>
      <c r="B820" s="552"/>
      <c r="C820" s="552"/>
      <c r="D820" s="552"/>
      <c r="E820" s="552"/>
      <c r="F820" s="552"/>
      <c r="G820" s="552"/>
      <c r="H820" s="552"/>
      <c r="I820" s="552"/>
      <c r="J820" s="552"/>
      <c r="K820" s="552"/>
      <c r="L820" s="552"/>
      <c r="M820" s="552"/>
      <c r="N820" s="551"/>
      <c r="O820" s="551"/>
      <c r="P820" s="551"/>
      <c r="Q820" s="551"/>
      <c r="R820" s="551"/>
      <c r="S820" s="551"/>
      <c r="T820" s="551"/>
      <c r="U820" s="551"/>
      <c r="V820" s="551"/>
      <c r="W820" s="551"/>
      <c r="X820" s="551"/>
      <c r="Y820" s="551"/>
      <c r="Z820" s="551"/>
      <c r="AA820" s="551"/>
      <c r="AB820" s="551"/>
      <c r="AC820" s="551"/>
      <c r="AD820" s="551"/>
      <c r="AE820" s="551"/>
      <c r="AF820" s="551"/>
    </row>
    <row r="821">
      <c r="A821" s="552"/>
      <c r="B821" s="552"/>
      <c r="C821" s="552"/>
      <c r="D821" s="552"/>
      <c r="E821" s="552"/>
      <c r="F821" s="552"/>
      <c r="G821" s="552"/>
      <c r="H821" s="552"/>
      <c r="I821" s="552"/>
      <c r="J821" s="552"/>
      <c r="K821" s="552"/>
      <c r="L821" s="552"/>
      <c r="M821" s="552"/>
      <c r="N821" s="551"/>
      <c r="O821" s="551"/>
      <c r="P821" s="551"/>
      <c r="Q821" s="551"/>
      <c r="R821" s="551"/>
      <c r="S821" s="551"/>
      <c r="T821" s="551"/>
      <c r="U821" s="551"/>
      <c r="V821" s="551"/>
      <c r="W821" s="551"/>
      <c r="X821" s="551"/>
      <c r="Y821" s="551"/>
      <c r="Z821" s="551"/>
      <c r="AA821" s="551"/>
      <c r="AB821" s="551"/>
      <c r="AC821" s="551"/>
      <c r="AD821" s="551"/>
      <c r="AE821" s="551"/>
      <c r="AF821" s="551"/>
    </row>
    <row r="822">
      <c r="A822" s="552"/>
      <c r="B822" s="552"/>
      <c r="C822" s="552"/>
      <c r="D822" s="552"/>
      <c r="E822" s="552"/>
      <c r="F822" s="552"/>
      <c r="G822" s="552"/>
      <c r="H822" s="552"/>
      <c r="I822" s="552"/>
      <c r="J822" s="552"/>
      <c r="K822" s="552"/>
      <c r="L822" s="552"/>
      <c r="M822" s="552"/>
      <c r="N822" s="551"/>
      <c r="O822" s="551"/>
      <c r="P822" s="551"/>
      <c r="Q822" s="551"/>
      <c r="R822" s="551"/>
      <c r="S822" s="551"/>
      <c r="T822" s="551"/>
      <c r="U822" s="551"/>
      <c r="V822" s="551"/>
      <c r="W822" s="551"/>
      <c r="X822" s="551"/>
      <c r="Y822" s="551"/>
      <c r="Z822" s="551"/>
      <c r="AA822" s="551"/>
      <c r="AB822" s="551"/>
      <c r="AC822" s="551"/>
      <c r="AD822" s="551"/>
      <c r="AE822" s="551"/>
      <c r="AF822" s="551"/>
    </row>
    <row r="823">
      <c r="A823" s="552"/>
      <c r="B823" s="552"/>
      <c r="C823" s="552"/>
      <c r="D823" s="552"/>
      <c r="E823" s="552"/>
      <c r="F823" s="552"/>
      <c r="G823" s="552"/>
      <c r="H823" s="552"/>
      <c r="I823" s="552"/>
      <c r="J823" s="552"/>
      <c r="K823" s="552"/>
      <c r="L823" s="552"/>
      <c r="M823" s="552"/>
      <c r="N823" s="551"/>
      <c r="O823" s="551"/>
      <c r="P823" s="551"/>
      <c r="Q823" s="551"/>
      <c r="R823" s="551"/>
      <c r="S823" s="551"/>
      <c r="T823" s="551"/>
      <c r="U823" s="551"/>
      <c r="V823" s="551"/>
      <c r="W823" s="551"/>
      <c r="X823" s="551"/>
      <c r="Y823" s="551"/>
      <c r="Z823" s="551"/>
      <c r="AA823" s="551"/>
      <c r="AB823" s="551"/>
      <c r="AC823" s="551"/>
      <c r="AD823" s="551"/>
      <c r="AE823" s="551"/>
      <c r="AF823" s="551"/>
    </row>
    <row r="824">
      <c r="A824" s="552"/>
      <c r="B824" s="552"/>
      <c r="C824" s="552"/>
      <c r="D824" s="552"/>
      <c r="E824" s="552"/>
      <c r="F824" s="552"/>
      <c r="G824" s="552"/>
      <c r="H824" s="552"/>
      <c r="I824" s="552"/>
      <c r="J824" s="552"/>
      <c r="K824" s="552"/>
      <c r="L824" s="552"/>
      <c r="M824" s="552"/>
      <c r="N824" s="551"/>
      <c r="O824" s="551"/>
      <c r="P824" s="551"/>
      <c r="Q824" s="551"/>
      <c r="R824" s="551"/>
      <c r="S824" s="551"/>
      <c r="T824" s="551"/>
      <c r="U824" s="551"/>
      <c r="V824" s="551"/>
      <c r="W824" s="551"/>
      <c r="X824" s="551"/>
      <c r="Y824" s="551"/>
      <c r="Z824" s="551"/>
      <c r="AA824" s="551"/>
      <c r="AB824" s="551"/>
      <c r="AC824" s="551"/>
      <c r="AD824" s="551"/>
      <c r="AE824" s="551"/>
      <c r="AF824" s="551"/>
    </row>
    <row r="825">
      <c r="A825" s="552"/>
      <c r="B825" s="552"/>
      <c r="C825" s="552"/>
      <c r="D825" s="552"/>
      <c r="E825" s="552"/>
      <c r="F825" s="552"/>
      <c r="G825" s="552"/>
      <c r="H825" s="552"/>
      <c r="I825" s="552"/>
      <c r="J825" s="552"/>
      <c r="K825" s="552"/>
      <c r="L825" s="552"/>
      <c r="M825" s="552"/>
      <c r="N825" s="551"/>
      <c r="O825" s="551"/>
      <c r="P825" s="551"/>
      <c r="Q825" s="551"/>
      <c r="R825" s="551"/>
      <c r="S825" s="551"/>
      <c r="T825" s="551"/>
      <c r="U825" s="551"/>
      <c r="V825" s="551"/>
      <c r="W825" s="551"/>
      <c r="X825" s="551"/>
      <c r="Y825" s="551"/>
      <c r="Z825" s="551"/>
      <c r="AA825" s="551"/>
      <c r="AB825" s="551"/>
      <c r="AC825" s="551"/>
      <c r="AD825" s="551"/>
      <c r="AE825" s="551"/>
      <c r="AF825" s="551"/>
    </row>
    <row r="826">
      <c r="A826" s="552"/>
      <c r="B826" s="552"/>
      <c r="C826" s="552"/>
      <c r="D826" s="552"/>
      <c r="E826" s="552"/>
      <c r="F826" s="552"/>
      <c r="G826" s="552"/>
      <c r="H826" s="552"/>
      <c r="I826" s="552"/>
      <c r="J826" s="552"/>
      <c r="K826" s="552"/>
      <c r="L826" s="552"/>
      <c r="M826" s="552"/>
      <c r="N826" s="551"/>
      <c r="O826" s="551"/>
      <c r="P826" s="551"/>
      <c r="Q826" s="551"/>
      <c r="R826" s="551"/>
      <c r="S826" s="551"/>
      <c r="T826" s="551"/>
      <c r="U826" s="551"/>
      <c r="V826" s="551"/>
      <c r="W826" s="551"/>
      <c r="X826" s="551"/>
      <c r="Y826" s="551"/>
      <c r="Z826" s="551"/>
      <c r="AA826" s="551"/>
      <c r="AB826" s="551"/>
      <c r="AC826" s="551"/>
      <c r="AD826" s="551"/>
      <c r="AE826" s="551"/>
      <c r="AF826" s="551"/>
    </row>
    <row r="827">
      <c r="A827" s="552"/>
      <c r="B827" s="552"/>
      <c r="C827" s="552"/>
      <c r="D827" s="552"/>
      <c r="E827" s="552"/>
      <c r="F827" s="552"/>
      <c r="G827" s="552"/>
      <c r="H827" s="552"/>
      <c r="I827" s="552"/>
      <c r="J827" s="552"/>
      <c r="K827" s="552"/>
      <c r="L827" s="552"/>
      <c r="M827" s="552"/>
      <c r="N827" s="551"/>
      <c r="O827" s="551"/>
      <c r="P827" s="551"/>
      <c r="Q827" s="551"/>
      <c r="R827" s="551"/>
      <c r="S827" s="551"/>
      <c r="T827" s="551"/>
      <c r="U827" s="551"/>
      <c r="V827" s="551"/>
      <c r="W827" s="551"/>
      <c r="X827" s="551"/>
      <c r="Y827" s="551"/>
      <c r="Z827" s="551"/>
      <c r="AA827" s="551"/>
      <c r="AB827" s="551"/>
      <c r="AC827" s="551"/>
      <c r="AD827" s="551"/>
      <c r="AE827" s="551"/>
      <c r="AF827" s="551"/>
    </row>
    <row r="828">
      <c r="A828" s="552"/>
      <c r="B828" s="552"/>
      <c r="C828" s="552"/>
      <c r="D828" s="552"/>
      <c r="E828" s="552"/>
      <c r="F828" s="552"/>
      <c r="G828" s="552"/>
      <c r="H828" s="552"/>
      <c r="I828" s="552"/>
      <c r="J828" s="552"/>
      <c r="K828" s="552"/>
      <c r="L828" s="552"/>
      <c r="M828" s="552"/>
      <c r="N828" s="551"/>
      <c r="O828" s="551"/>
      <c r="P828" s="551"/>
      <c r="Q828" s="551"/>
      <c r="R828" s="551"/>
      <c r="S828" s="551"/>
      <c r="T828" s="551"/>
      <c r="U828" s="551"/>
      <c r="V828" s="551"/>
      <c r="W828" s="551"/>
      <c r="X828" s="551"/>
      <c r="Y828" s="551"/>
      <c r="Z828" s="551"/>
      <c r="AA828" s="551"/>
      <c r="AB828" s="551"/>
      <c r="AC828" s="551"/>
      <c r="AD828" s="551"/>
      <c r="AE828" s="551"/>
      <c r="AF828" s="551"/>
    </row>
    <row r="829">
      <c r="A829" s="552"/>
      <c r="B829" s="552"/>
      <c r="C829" s="552"/>
      <c r="D829" s="552"/>
      <c r="E829" s="552"/>
      <c r="F829" s="552"/>
      <c r="G829" s="552"/>
      <c r="H829" s="552"/>
      <c r="I829" s="552"/>
      <c r="J829" s="552"/>
      <c r="K829" s="552"/>
      <c r="L829" s="552"/>
      <c r="M829" s="552"/>
      <c r="N829" s="551"/>
      <c r="O829" s="551"/>
      <c r="P829" s="551"/>
      <c r="Q829" s="551"/>
      <c r="R829" s="551"/>
      <c r="S829" s="551"/>
      <c r="T829" s="551"/>
      <c r="U829" s="551"/>
      <c r="V829" s="551"/>
      <c r="W829" s="551"/>
      <c r="X829" s="551"/>
      <c r="Y829" s="551"/>
      <c r="Z829" s="551"/>
      <c r="AA829" s="551"/>
      <c r="AB829" s="551"/>
      <c r="AC829" s="551"/>
      <c r="AD829" s="551"/>
      <c r="AE829" s="551"/>
      <c r="AF829" s="551"/>
    </row>
    <row r="830">
      <c r="A830" s="552"/>
      <c r="B830" s="552"/>
      <c r="C830" s="552"/>
      <c r="D830" s="552"/>
      <c r="E830" s="552"/>
      <c r="F830" s="552"/>
      <c r="G830" s="552"/>
      <c r="H830" s="552"/>
      <c r="I830" s="552"/>
      <c r="J830" s="552"/>
      <c r="K830" s="552"/>
      <c r="L830" s="552"/>
      <c r="M830" s="552"/>
      <c r="N830" s="551"/>
      <c r="O830" s="551"/>
      <c r="P830" s="551"/>
      <c r="Q830" s="551"/>
      <c r="R830" s="551"/>
      <c r="S830" s="551"/>
      <c r="T830" s="551"/>
      <c r="U830" s="551"/>
      <c r="V830" s="551"/>
      <c r="W830" s="551"/>
      <c r="X830" s="551"/>
      <c r="Y830" s="551"/>
      <c r="Z830" s="551"/>
      <c r="AA830" s="551"/>
      <c r="AB830" s="551"/>
      <c r="AC830" s="551"/>
      <c r="AD830" s="551"/>
      <c r="AE830" s="551"/>
      <c r="AF830" s="551"/>
    </row>
    <row r="831">
      <c r="A831" s="552"/>
      <c r="B831" s="552"/>
      <c r="C831" s="552"/>
      <c r="D831" s="552"/>
      <c r="E831" s="552"/>
      <c r="F831" s="552"/>
      <c r="G831" s="552"/>
      <c r="H831" s="552"/>
      <c r="I831" s="552"/>
      <c r="J831" s="552"/>
      <c r="K831" s="552"/>
      <c r="L831" s="552"/>
      <c r="M831" s="552"/>
      <c r="N831" s="551"/>
      <c r="O831" s="551"/>
      <c r="P831" s="551"/>
      <c r="Q831" s="551"/>
      <c r="R831" s="551"/>
      <c r="S831" s="551"/>
      <c r="T831" s="551"/>
      <c r="U831" s="551"/>
      <c r="V831" s="551"/>
      <c r="W831" s="551"/>
      <c r="X831" s="551"/>
      <c r="Y831" s="551"/>
      <c r="Z831" s="551"/>
      <c r="AA831" s="551"/>
      <c r="AB831" s="551"/>
      <c r="AC831" s="551"/>
      <c r="AD831" s="551"/>
      <c r="AE831" s="551"/>
      <c r="AF831" s="551"/>
    </row>
    <row r="832">
      <c r="A832" s="552"/>
      <c r="B832" s="552"/>
      <c r="C832" s="552"/>
      <c r="D832" s="552"/>
      <c r="E832" s="552"/>
      <c r="F832" s="552"/>
      <c r="G832" s="552"/>
      <c r="H832" s="552"/>
      <c r="I832" s="552"/>
      <c r="J832" s="552"/>
      <c r="K832" s="552"/>
      <c r="L832" s="552"/>
      <c r="M832" s="552"/>
      <c r="N832" s="551"/>
      <c r="O832" s="551"/>
      <c r="P832" s="551"/>
      <c r="Q832" s="551"/>
      <c r="R832" s="551"/>
      <c r="S832" s="551"/>
      <c r="T832" s="551"/>
      <c r="U832" s="551"/>
      <c r="V832" s="551"/>
      <c r="W832" s="551"/>
      <c r="X832" s="551"/>
      <c r="Y832" s="551"/>
      <c r="Z832" s="551"/>
      <c r="AA832" s="551"/>
      <c r="AB832" s="551"/>
      <c r="AC832" s="551"/>
      <c r="AD832" s="551"/>
      <c r="AE832" s="551"/>
      <c r="AF832" s="551"/>
    </row>
    <row r="833">
      <c r="A833" s="552"/>
      <c r="B833" s="552"/>
      <c r="C833" s="552"/>
      <c r="D833" s="552"/>
      <c r="E833" s="552"/>
      <c r="F833" s="552"/>
      <c r="G833" s="552"/>
      <c r="H833" s="552"/>
      <c r="I833" s="552"/>
      <c r="J833" s="552"/>
      <c r="K833" s="552"/>
      <c r="L833" s="552"/>
      <c r="M833" s="552"/>
      <c r="N833" s="551"/>
      <c r="O833" s="551"/>
      <c r="P833" s="551"/>
      <c r="Q833" s="551"/>
      <c r="R833" s="551"/>
      <c r="S833" s="551"/>
      <c r="T833" s="551"/>
      <c r="U833" s="551"/>
      <c r="V833" s="551"/>
      <c r="W833" s="551"/>
      <c r="X833" s="551"/>
      <c r="Y833" s="551"/>
      <c r="Z833" s="551"/>
      <c r="AA833" s="551"/>
      <c r="AB833" s="551"/>
      <c r="AC833" s="551"/>
      <c r="AD833" s="551"/>
      <c r="AE833" s="551"/>
      <c r="AF833" s="551"/>
    </row>
    <row r="834">
      <c r="A834" s="552"/>
      <c r="B834" s="552"/>
      <c r="C834" s="552"/>
      <c r="D834" s="552"/>
      <c r="E834" s="552"/>
      <c r="F834" s="552"/>
      <c r="G834" s="552"/>
      <c r="H834" s="552"/>
      <c r="I834" s="552"/>
      <c r="J834" s="552"/>
      <c r="K834" s="552"/>
      <c r="L834" s="552"/>
      <c r="M834" s="552"/>
      <c r="N834" s="551"/>
      <c r="O834" s="551"/>
      <c r="P834" s="551"/>
      <c r="Q834" s="551"/>
      <c r="R834" s="551"/>
      <c r="S834" s="551"/>
      <c r="T834" s="551"/>
      <c r="U834" s="551"/>
      <c r="V834" s="551"/>
      <c r="W834" s="551"/>
      <c r="X834" s="551"/>
      <c r="Y834" s="551"/>
      <c r="Z834" s="551"/>
      <c r="AA834" s="551"/>
      <c r="AB834" s="551"/>
      <c r="AC834" s="551"/>
      <c r="AD834" s="551"/>
      <c r="AE834" s="551"/>
      <c r="AF834" s="551"/>
    </row>
    <row r="835">
      <c r="A835" s="552"/>
      <c r="B835" s="552"/>
      <c r="C835" s="552"/>
      <c r="D835" s="552"/>
      <c r="E835" s="552"/>
      <c r="F835" s="552"/>
      <c r="G835" s="552"/>
      <c r="H835" s="552"/>
      <c r="I835" s="552"/>
      <c r="J835" s="552"/>
      <c r="K835" s="552"/>
      <c r="L835" s="552"/>
      <c r="M835" s="552"/>
      <c r="N835" s="551"/>
      <c r="O835" s="551"/>
      <c r="P835" s="551"/>
      <c r="Q835" s="551"/>
      <c r="R835" s="551"/>
      <c r="S835" s="551"/>
      <c r="T835" s="551"/>
      <c r="U835" s="551"/>
      <c r="V835" s="551"/>
      <c r="W835" s="551"/>
      <c r="X835" s="551"/>
      <c r="Y835" s="551"/>
      <c r="Z835" s="551"/>
      <c r="AA835" s="551"/>
      <c r="AB835" s="551"/>
      <c r="AC835" s="551"/>
      <c r="AD835" s="551"/>
      <c r="AE835" s="551"/>
      <c r="AF835" s="551"/>
    </row>
    <row r="836">
      <c r="A836" s="552"/>
      <c r="B836" s="552"/>
      <c r="C836" s="552"/>
      <c r="D836" s="552"/>
      <c r="E836" s="552"/>
      <c r="F836" s="552"/>
      <c r="G836" s="552"/>
      <c r="H836" s="552"/>
      <c r="I836" s="552"/>
      <c r="J836" s="552"/>
      <c r="K836" s="552"/>
      <c r="L836" s="552"/>
      <c r="M836" s="552"/>
      <c r="N836" s="551"/>
      <c r="O836" s="551"/>
      <c r="P836" s="551"/>
      <c r="Q836" s="551"/>
      <c r="R836" s="551"/>
      <c r="S836" s="551"/>
      <c r="T836" s="551"/>
      <c r="U836" s="551"/>
      <c r="V836" s="551"/>
      <c r="W836" s="551"/>
      <c r="X836" s="551"/>
      <c r="Y836" s="551"/>
      <c r="Z836" s="551"/>
      <c r="AA836" s="551"/>
      <c r="AB836" s="551"/>
      <c r="AC836" s="551"/>
      <c r="AD836" s="551"/>
      <c r="AE836" s="551"/>
      <c r="AF836" s="551"/>
    </row>
    <row r="837">
      <c r="A837" s="552"/>
      <c r="B837" s="552"/>
      <c r="C837" s="552"/>
      <c r="D837" s="552"/>
      <c r="E837" s="552"/>
      <c r="F837" s="552"/>
      <c r="G837" s="552"/>
      <c r="H837" s="552"/>
      <c r="I837" s="552"/>
      <c r="J837" s="552"/>
      <c r="K837" s="552"/>
      <c r="L837" s="552"/>
      <c r="M837" s="552"/>
      <c r="N837" s="551"/>
      <c r="O837" s="551"/>
      <c r="P837" s="551"/>
      <c r="Q837" s="551"/>
      <c r="R837" s="551"/>
      <c r="S837" s="551"/>
      <c r="T837" s="551"/>
      <c r="U837" s="551"/>
      <c r="V837" s="551"/>
      <c r="W837" s="551"/>
      <c r="X837" s="551"/>
      <c r="Y837" s="551"/>
      <c r="Z837" s="551"/>
      <c r="AA837" s="551"/>
      <c r="AB837" s="551"/>
      <c r="AC837" s="551"/>
      <c r="AD837" s="551"/>
      <c r="AE837" s="551"/>
      <c r="AF837" s="551"/>
    </row>
    <row r="838">
      <c r="A838" s="552"/>
      <c r="B838" s="552"/>
      <c r="C838" s="552"/>
      <c r="D838" s="552"/>
      <c r="E838" s="552"/>
      <c r="F838" s="552"/>
      <c r="G838" s="552"/>
      <c r="H838" s="552"/>
      <c r="I838" s="552"/>
      <c r="J838" s="552"/>
      <c r="K838" s="552"/>
      <c r="L838" s="552"/>
      <c r="M838" s="552"/>
      <c r="N838" s="551"/>
      <c r="O838" s="551"/>
      <c r="P838" s="551"/>
      <c r="Q838" s="551"/>
      <c r="R838" s="551"/>
      <c r="S838" s="551"/>
      <c r="T838" s="551"/>
      <c r="U838" s="551"/>
      <c r="V838" s="551"/>
      <c r="W838" s="551"/>
      <c r="X838" s="551"/>
      <c r="Y838" s="551"/>
      <c r="Z838" s="551"/>
      <c r="AA838" s="551"/>
      <c r="AB838" s="551"/>
      <c r="AC838" s="551"/>
      <c r="AD838" s="551"/>
      <c r="AE838" s="551"/>
      <c r="AF838" s="551"/>
    </row>
    <row r="839">
      <c r="A839" s="552"/>
      <c r="B839" s="552"/>
      <c r="C839" s="552"/>
      <c r="D839" s="552"/>
      <c r="E839" s="552"/>
      <c r="F839" s="552"/>
      <c r="G839" s="552"/>
      <c r="H839" s="552"/>
      <c r="I839" s="552"/>
      <c r="J839" s="552"/>
      <c r="K839" s="552"/>
      <c r="L839" s="552"/>
      <c r="M839" s="552"/>
      <c r="N839" s="551"/>
      <c r="O839" s="551"/>
      <c r="P839" s="551"/>
      <c r="Q839" s="551"/>
      <c r="R839" s="551"/>
      <c r="S839" s="551"/>
      <c r="T839" s="551"/>
      <c r="U839" s="551"/>
      <c r="V839" s="551"/>
      <c r="W839" s="551"/>
      <c r="X839" s="551"/>
      <c r="Y839" s="551"/>
      <c r="Z839" s="551"/>
      <c r="AA839" s="551"/>
      <c r="AB839" s="551"/>
      <c r="AC839" s="551"/>
      <c r="AD839" s="551"/>
      <c r="AE839" s="551"/>
      <c r="AF839" s="551"/>
    </row>
    <row r="840">
      <c r="A840" s="552"/>
      <c r="B840" s="552"/>
      <c r="C840" s="552"/>
      <c r="D840" s="552"/>
      <c r="E840" s="552"/>
      <c r="F840" s="552"/>
      <c r="G840" s="552"/>
      <c r="H840" s="552"/>
      <c r="I840" s="552"/>
      <c r="J840" s="552"/>
      <c r="K840" s="552"/>
      <c r="L840" s="552"/>
      <c r="M840" s="552"/>
      <c r="N840" s="551"/>
      <c r="O840" s="551"/>
      <c r="P840" s="551"/>
      <c r="Q840" s="551"/>
      <c r="R840" s="551"/>
      <c r="S840" s="551"/>
      <c r="T840" s="551"/>
      <c r="U840" s="551"/>
      <c r="V840" s="551"/>
      <c r="W840" s="551"/>
      <c r="X840" s="551"/>
      <c r="Y840" s="551"/>
      <c r="Z840" s="551"/>
      <c r="AA840" s="551"/>
      <c r="AB840" s="551"/>
      <c r="AC840" s="551"/>
      <c r="AD840" s="551"/>
      <c r="AE840" s="551"/>
      <c r="AF840" s="551"/>
    </row>
    <row r="841">
      <c r="A841" s="552"/>
      <c r="B841" s="552"/>
      <c r="C841" s="552"/>
      <c r="D841" s="552"/>
      <c r="E841" s="552"/>
      <c r="F841" s="552"/>
      <c r="G841" s="552"/>
      <c r="H841" s="552"/>
      <c r="I841" s="552"/>
      <c r="J841" s="552"/>
      <c r="K841" s="552"/>
      <c r="L841" s="552"/>
      <c r="M841" s="552"/>
      <c r="N841" s="551"/>
      <c r="O841" s="551"/>
      <c r="P841" s="551"/>
      <c r="Q841" s="551"/>
      <c r="R841" s="551"/>
      <c r="S841" s="551"/>
      <c r="T841" s="551"/>
      <c r="U841" s="551"/>
      <c r="V841" s="551"/>
      <c r="W841" s="551"/>
      <c r="X841" s="551"/>
      <c r="Y841" s="551"/>
      <c r="Z841" s="551"/>
      <c r="AA841" s="551"/>
      <c r="AB841" s="551"/>
      <c r="AC841" s="551"/>
      <c r="AD841" s="551"/>
      <c r="AE841" s="551"/>
      <c r="AF841" s="551"/>
    </row>
    <row r="842">
      <c r="A842" s="552"/>
      <c r="B842" s="552"/>
      <c r="C842" s="552"/>
      <c r="D842" s="552"/>
      <c r="E842" s="552"/>
      <c r="F842" s="552"/>
      <c r="G842" s="552"/>
      <c r="H842" s="552"/>
      <c r="I842" s="552"/>
      <c r="J842" s="552"/>
      <c r="K842" s="552"/>
      <c r="L842" s="552"/>
      <c r="M842" s="552"/>
      <c r="N842" s="551"/>
      <c r="O842" s="551"/>
      <c r="P842" s="551"/>
      <c r="Q842" s="551"/>
      <c r="R842" s="551"/>
      <c r="S842" s="551"/>
      <c r="T842" s="551"/>
      <c r="U842" s="551"/>
      <c r="V842" s="551"/>
      <c r="W842" s="551"/>
      <c r="X842" s="551"/>
      <c r="Y842" s="551"/>
      <c r="Z842" s="551"/>
      <c r="AA842" s="551"/>
      <c r="AB842" s="551"/>
      <c r="AC842" s="551"/>
      <c r="AD842" s="551"/>
      <c r="AE842" s="551"/>
      <c r="AF842" s="551"/>
    </row>
    <row r="843">
      <c r="A843" s="552"/>
      <c r="B843" s="552"/>
      <c r="C843" s="552"/>
      <c r="D843" s="552"/>
      <c r="E843" s="552"/>
      <c r="F843" s="552"/>
      <c r="G843" s="552"/>
      <c r="H843" s="552"/>
      <c r="I843" s="552"/>
      <c r="J843" s="552"/>
      <c r="K843" s="552"/>
      <c r="L843" s="552"/>
      <c r="M843" s="552"/>
      <c r="N843" s="551"/>
      <c r="O843" s="551"/>
      <c r="P843" s="551"/>
      <c r="Q843" s="551"/>
      <c r="R843" s="551"/>
      <c r="S843" s="551"/>
      <c r="T843" s="551"/>
      <c r="U843" s="551"/>
      <c r="V843" s="551"/>
      <c r="W843" s="551"/>
      <c r="X843" s="551"/>
      <c r="Y843" s="551"/>
      <c r="Z843" s="551"/>
      <c r="AA843" s="551"/>
      <c r="AB843" s="551"/>
      <c r="AC843" s="551"/>
      <c r="AD843" s="551"/>
      <c r="AE843" s="551"/>
      <c r="AF843" s="551"/>
    </row>
    <row r="844">
      <c r="A844" s="552"/>
      <c r="B844" s="552"/>
      <c r="C844" s="552"/>
      <c r="D844" s="552"/>
      <c r="E844" s="552"/>
      <c r="F844" s="552"/>
      <c r="G844" s="552"/>
      <c r="H844" s="552"/>
      <c r="I844" s="552"/>
      <c r="J844" s="552"/>
      <c r="K844" s="552"/>
      <c r="L844" s="552"/>
      <c r="M844" s="552"/>
      <c r="N844" s="551"/>
      <c r="O844" s="551"/>
      <c r="P844" s="551"/>
      <c r="Q844" s="551"/>
      <c r="R844" s="551"/>
      <c r="S844" s="551"/>
      <c r="T844" s="551"/>
      <c r="U844" s="551"/>
      <c r="V844" s="551"/>
      <c r="W844" s="551"/>
      <c r="X844" s="551"/>
      <c r="Y844" s="551"/>
      <c r="Z844" s="551"/>
      <c r="AA844" s="551"/>
      <c r="AB844" s="551"/>
      <c r="AC844" s="551"/>
      <c r="AD844" s="551"/>
      <c r="AE844" s="551"/>
      <c r="AF844" s="551"/>
    </row>
    <row r="845">
      <c r="A845" s="552"/>
      <c r="B845" s="552"/>
      <c r="C845" s="552"/>
      <c r="D845" s="552"/>
      <c r="E845" s="552"/>
      <c r="F845" s="552"/>
      <c r="G845" s="552"/>
      <c r="H845" s="552"/>
      <c r="I845" s="552"/>
      <c r="J845" s="552"/>
      <c r="K845" s="552"/>
      <c r="L845" s="552"/>
      <c r="M845" s="552"/>
      <c r="N845" s="551"/>
      <c r="O845" s="551"/>
      <c r="P845" s="551"/>
      <c r="Q845" s="551"/>
      <c r="R845" s="551"/>
      <c r="S845" s="551"/>
      <c r="T845" s="551"/>
      <c r="U845" s="551"/>
      <c r="V845" s="551"/>
      <c r="W845" s="551"/>
      <c r="X845" s="551"/>
      <c r="Y845" s="551"/>
      <c r="Z845" s="551"/>
      <c r="AA845" s="551"/>
      <c r="AB845" s="551"/>
      <c r="AC845" s="551"/>
      <c r="AD845" s="551"/>
      <c r="AE845" s="551"/>
      <c r="AF845" s="551"/>
    </row>
    <row r="846">
      <c r="A846" s="552"/>
      <c r="B846" s="552"/>
      <c r="C846" s="552"/>
      <c r="D846" s="552"/>
      <c r="E846" s="552"/>
      <c r="F846" s="552"/>
      <c r="G846" s="552"/>
      <c r="H846" s="552"/>
      <c r="I846" s="552"/>
      <c r="J846" s="552"/>
      <c r="K846" s="552"/>
      <c r="L846" s="552"/>
      <c r="M846" s="552"/>
      <c r="N846" s="551"/>
      <c r="O846" s="551"/>
      <c r="P846" s="551"/>
      <c r="Q846" s="551"/>
      <c r="R846" s="551"/>
      <c r="S846" s="551"/>
      <c r="T846" s="551"/>
      <c r="U846" s="551"/>
      <c r="V846" s="551"/>
      <c r="W846" s="551"/>
      <c r="X846" s="551"/>
      <c r="Y846" s="551"/>
      <c r="Z846" s="551"/>
      <c r="AA846" s="551"/>
      <c r="AB846" s="551"/>
      <c r="AC846" s="551"/>
      <c r="AD846" s="551"/>
      <c r="AE846" s="551"/>
      <c r="AF846" s="551"/>
    </row>
    <row r="847">
      <c r="A847" s="552"/>
      <c r="B847" s="552"/>
      <c r="C847" s="552"/>
      <c r="D847" s="552"/>
      <c r="E847" s="552"/>
      <c r="F847" s="552"/>
      <c r="G847" s="552"/>
      <c r="H847" s="552"/>
      <c r="I847" s="552"/>
      <c r="J847" s="552"/>
      <c r="K847" s="552"/>
      <c r="L847" s="552"/>
      <c r="M847" s="552"/>
      <c r="N847" s="551"/>
      <c r="O847" s="551"/>
      <c r="P847" s="551"/>
      <c r="Q847" s="551"/>
      <c r="R847" s="551"/>
      <c r="S847" s="551"/>
      <c r="T847" s="551"/>
      <c r="U847" s="551"/>
      <c r="V847" s="551"/>
      <c r="W847" s="551"/>
      <c r="X847" s="551"/>
      <c r="Y847" s="551"/>
      <c r="Z847" s="551"/>
      <c r="AA847" s="551"/>
      <c r="AB847" s="551"/>
      <c r="AC847" s="551"/>
      <c r="AD847" s="551"/>
      <c r="AE847" s="551"/>
      <c r="AF847" s="551"/>
    </row>
    <row r="848">
      <c r="A848" s="552"/>
      <c r="B848" s="552"/>
      <c r="C848" s="552"/>
      <c r="D848" s="552"/>
      <c r="E848" s="552"/>
      <c r="F848" s="552"/>
      <c r="G848" s="552"/>
      <c r="H848" s="552"/>
      <c r="I848" s="552"/>
      <c r="J848" s="552"/>
      <c r="K848" s="552"/>
      <c r="L848" s="552"/>
      <c r="M848" s="552"/>
      <c r="N848" s="551"/>
      <c r="O848" s="551"/>
      <c r="P848" s="551"/>
      <c r="Q848" s="551"/>
      <c r="R848" s="551"/>
      <c r="S848" s="551"/>
      <c r="T848" s="551"/>
      <c r="U848" s="551"/>
      <c r="V848" s="551"/>
      <c r="W848" s="551"/>
      <c r="X848" s="551"/>
      <c r="Y848" s="551"/>
      <c r="Z848" s="551"/>
      <c r="AA848" s="551"/>
      <c r="AB848" s="551"/>
      <c r="AC848" s="551"/>
      <c r="AD848" s="551"/>
      <c r="AE848" s="551"/>
      <c r="AF848" s="551"/>
    </row>
    <row r="849">
      <c r="A849" s="552"/>
      <c r="B849" s="552"/>
      <c r="C849" s="552"/>
      <c r="D849" s="552"/>
      <c r="E849" s="552"/>
      <c r="F849" s="552"/>
      <c r="G849" s="552"/>
      <c r="H849" s="552"/>
      <c r="I849" s="552"/>
      <c r="J849" s="552"/>
      <c r="K849" s="552"/>
      <c r="L849" s="552"/>
      <c r="M849" s="552"/>
      <c r="N849" s="551"/>
      <c r="O849" s="551"/>
      <c r="P849" s="551"/>
      <c r="Q849" s="551"/>
      <c r="R849" s="551"/>
      <c r="S849" s="551"/>
      <c r="T849" s="551"/>
      <c r="U849" s="551"/>
      <c r="V849" s="551"/>
      <c r="W849" s="551"/>
      <c r="X849" s="551"/>
      <c r="Y849" s="551"/>
      <c r="Z849" s="551"/>
      <c r="AA849" s="551"/>
      <c r="AB849" s="551"/>
      <c r="AC849" s="551"/>
      <c r="AD849" s="551"/>
      <c r="AE849" s="551"/>
      <c r="AF849" s="551"/>
    </row>
    <row r="850">
      <c r="A850" s="552"/>
      <c r="B850" s="552"/>
      <c r="C850" s="552"/>
      <c r="D850" s="552"/>
      <c r="E850" s="552"/>
      <c r="F850" s="552"/>
      <c r="G850" s="552"/>
      <c r="H850" s="552"/>
      <c r="I850" s="552"/>
      <c r="J850" s="552"/>
      <c r="K850" s="552"/>
      <c r="L850" s="552"/>
      <c r="M850" s="552"/>
      <c r="N850" s="551"/>
      <c r="O850" s="551"/>
      <c r="P850" s="551"/>
      <c r="Q850" s="551"/>
      <c r="R850" s="551"/>
      <c r="S850" s="551"/>
      <c r="T850" s="551"/>
      <c r="U850" s="551"/>
      <c r="V850" s="551"/>
      <c r="W850" s="551"/>
      <c r="X850" s="551"/>
      <c r="Y850" s="551"/>
      <c r="Z850" s="551"/>
      <c r="AA850" s="551"/>
      <c r="AB850" s="551"/>
      <c r="AC850" s="551"/>
      <c r="AD850" s="551"/>
      <c r="AE850" s="551"/>
      <c r="AF850" s="551"/>
    </row>
    <row r="851">
      <c r="A851" s="552"/>
      <c r="B851" s="552"/>
      <c r="C851" s="552"/>
      <c r="D851" s="552"/>
      <c r="E851" s="552"/>
      <c r="F851" s="552"/>
      <c r="G851" s="552"/>
      <c r="H851" s="552"/>
      <c r="I851" s="552"/>
      <c r="J851" s="552"/>
      <c r="K851" s="552"/>
      <c r="L851" s="552"/>
      <c r="M851" s="552"/>
      <c r="N851" s="551"/>
      <c r="O851" s="551"/>
      <c r="P851" s="551"/>
      <c r="Q851" s="551"/>
      <c r="R851" s="551"/>
      <c r="S851" s="551"/>
      <c r="T851" s="551"/>
      <c r="U851" s="551"/>
      <c r="V851" s="551"/>
      <c r="W851" s="551"/>
      <c r="X851" s="551"/>
      <c r="Y851" s="551"/>
      <c r="Z851" s="551"/>
      <c r="AA851" s="551"/>
      <c r="AB851" s="551"/>
      <c r="AC851" s="551"/>
      <c r="AD851" s="551"/>
      <c r="AE851" s="551"/>
      <c r="AF851" s="551"/>
    </row>
    <row r="852">
      <c r="A852" s="552"/>
      <c r="B852" s="552"/>
      <c r="C852" s="552"/>
      <c r="D852" s="552"/>
      <c r="E852" s="552"/>
      <c r="F852" s="552"/>
      <c r="G852" s="552"/>
      <c r="H852" s="552"/>
      <c r="I852" s="552"/>
      <c r="J852" s="552"/>
      <c r="K852" s="552"/>
      <c r="L852" s="552"/>
      <c r="M852" s="552"/>
      <c r="N852" s="551"/>
      <c r="O852" s="551"/>
      <c r="P852" s="551"/>
      <c r="Q852" s="551"/>
      <c r="R852" s="551"/>
      <c r="S852" s="551"/>
      <c r="T852" s="551"/>
      <c r="U852" s="551"/>
      <c r="V852" s="551"/>
      <c r="W852" s="551"/>
      <c r="X852" s="551"/>
      <c r="Y852" s="551"/>
      <c r="Z852" s="551"/>
      <c r="AA852" s="551"/>
      <c r="AB852" s="551"/>
      <c r="AC852" s="551"/>
      <c r="AD852" s="551"/>
      <c r="AE852" s="551"/>
      <c r="AF852" s="551"/>
    </row>
    <row r="853">
      <c r="A853" s="552"/>
      <c r="B853" s="552"/>
      <c r="C853" s="552"/>
      <c r="D853" s="552"/>
      <c r="E853" s="552"/>
      <c r="F853" s="552"/>
      <c r="G853" s="552"/>
      <c r="H853" s="552"/>
      <c r="I853" s="552"/>
      <c r="J853" s="552"/>
      <c r="K853" s="552"/>
      <c r="L853" s="552"/>
      <c r="M853" s="552"/>
      <c r="N853" s="551"/>
      <c r="O853" s="551"/>
      <c r="P853" s="551"/>
      <c r="Q853" s="551"/>
      <c r="R853" s="551"/>
      <c r="S853" s="551"/>
      <c r="T853" s="551"/>
      <c r="U853" s="551"/>
      <c r="V853" s="551"/>
      <c r="W853" s="551"/>
      <c r="X853" s="551"/>
      <c r="Y853" s="551"/>
      <c r="Z853" s="551"/>
      <c r="AA853" s="551"/>
      <c r="AB853" s="551"/>
      <c r="AC853" s="551"/>
      <c r="AD853" s="551"/>
      <c r="AE853" s="551"/>
      <c r="AF853" s="551"/>
    </row>
    <row r="854">
      <c r="A854" s="552"/>
      <c r="B854" s="552"/>
      <c r="C854" s="552"/>
      <c r="D854" s="552"/>
      <c r="E854" s="552"/>
      <c r="F854" s="552"/>
      <c r="G854" s="552"/>
      <c r="H854" s="552"/>
      <c r="I854" s="552"/>
      <c r="J854" s="552"/>
      <c r="K854" s="552"/>
      <c r="L854" s="552"/>
      <c r="M854" s="552"/>
      <c r="N854" s="551"/>
      <c r="O854" s="551"/>
      <c r="P854" s="551"/>
      <c r="Q854" s="551"/>
      <c r="R854" s="551"/>
      <c r="S854" s="551"/>
      <c r="T854" s="551"/>
      <c r="U854" s="551"/>
      <c r="V854" s="551"/>
      <c r="W854" s="551"/>
      <c r="X854" s="551"/>
      <c r="Y854" s="551"/>
      <c r="Z854" s="551"/>
      <c r="AA854" s="551"/>
      <c r="AB854" s="551"/>
      <c r="AC854" s="551"/>
      <c r="AD854" s="551"/>
      <c r="AE854" s="551"/>
      <c r="AF854" s="551"/>
    </row>
    <row r="855">
      <c r="A855" s="552"/>
      <c r="B855" s="552"/>
      <c r="C855" s="552"/>
      <c r="D855" s="552"/>
      <c r="E855" s="552"/>
      <c r="F855" s="552"/>
      <c r="G855" s="552"/>
      <c r="H855" s="552"/>
      <c r="I855" s="552"/>
      <c r="J855" s="552"/>
      <c r="K855" s="552"/>
      <c r="L855" s="552"/>
      <c r="M855" s="552"/>
      <c r="N855" s="551"/>
      <c r="O855" s="551"/>
      <c r="P855" s="551"/>
      <c r="Q855" s="551"/>
      <c r="R855" s="551"/>
      <c r="S855" s="551"/>
      <c r="T855" s="551"/>
      <c r="U855" s="551"/>
      <c r="V855" s="551"/>
      <c r="W855" s="551"/>
      <c r="X855" s="551"/>
      <c r="Y855" s="551"/>
      <c r="Z855" s="551"/>
      <c r="AA855" s="551"/>
      <c r="AB855" s="551"/>
      <c r="AC855" s="551"/>
      <c r="AD855" s="551"/>
      <c r="AE855" s="551"/>
      <c r="AF855" s="551"/>
    </row>
    <row r="856">
      <c r="A856" s="552"/>
      <c r="B856" s="552"/>
      <c r="C856" s="552"/>
      <c r="D856" s="552"/>
      <c r="E856" s="552"/>
      <c r="F856" s="552"/>
      <c r="G856" s="552"/>
      <c r="H856" s="552"/>
      <c r="I856" s="552"/>
      <c r="J856" s="552"/>
      <c r="K856" s="552"/>
      <c r="L856" s="552"/>
      <c r="M856" s="552"/>
      <c r="N856" s="551"/>
      <c r="O856" s="551"/>
      <c r="P856" s="551"/>
      <c r="Q856" s="551"/>
      <c r="R856" s="551"/>
      <c r="S856" s="551"/>
      <c r="T856" s="551"/>
      <c r="U856" s="551"/>
      <c r="V856" s="551"/>
      <c r="W856" s="551"/>
      <c r="X856" s="551"/>
      <c r="Y856" s="551"/>
      <c r="Z856" s="551"/>
      <c r="AA856" s="551"/>
      <c r="AB856" s="551"/>
      <c r="AC856" s="551"/>
      <c r="AD856" s="551"/>
      <c r="AE856" s="551"/>
      <c r="AF856" s="551"/>
    </row>
    <row r="857">
      <c r="A857" s="552"/>
      <c r="B857" s="552"/>
      <c r="C857" s="552"/>
      <c r="D857" s="552"/>
      <c r="E857" s="552"/>
      <c r="F857" s="552"/>
      <c r="G857" s="552"/>
      <c r="H857" s="552"/>
      <c r="I857" s="552"/>
      <c r="J857" s="552"/>
      <c r="K857" s="552"/>
      <c r="L857" s="552"/>
      <c r="M857" s="552"/>
      <c r="N857" s="551"/>
      <c r="O857" s="551"/>
      <c r="P857" s="551"/>
      <c r="Q857" s="551"/>
      <c r="R857" s="551"/>
      <c r="S857" s="551"/>
      <c r="T857" s="551"/>
      <c r="U857" s="551"/>
      <c r="V857" s="551"/>
      <c r="W857" s="551"/>
      <c r="X857" s="551"/>
      <c r="Y857" s="551"/>
      <c r="Z857" s="551"/>
      <c r="AA857" s="551"/>
      <c r="AB857" s="551"/>
      <c r="AC857" s="551"/>
      <c r="AD857" s="551"/>
      <c r="AE857" s="551"/>
      <c r="AF857" s="551"/>
    </row>
    <row r="858">
      <c r="A858" s="552"/>
      <c r="B858" s="552"/>
      <c r="C858" s="552"/>
      <c r="D858" s="552"/>
      <c r="E858" s="552"/>
      <c r="F858" s="552"/>
      <c r="G858" s="552"/>
      <c r="H858" s="552"/>
      <c r="I858" s="552"/>
      <c r="J858" s="552"/>
      <c r="K858" s="552"/>
      <c r="L858" s="552"/>
      <c r="M858" s="552"/>
      <c r="N858" s="551"/>
      <c r="O858" s="551"/>
      <c r="P858" s="551"/>
      <c r="Q858" s="551"/>
      <c r="R858" s="551"/>
      <c r="S858" s="551"/>
      <c r="T858" s="551"/>
      <c r="U858" s="551"/>
      <c r="V858" s="551"/>
      <c r="W858" s="551"/>
      <c r="X858" s="551"/>
      <c r="Y858" s="551"/>
      <c r="Z858" s="551"/>
      <c r="AA858" s="551"/>
      <c r="AB858" s="551"/>
      <c r="AC858" s="551"/>
      <c r="AD858" s="551"/>
      <c r="AE858" s="551"/>
      <c r="AF858" s="551"/>
    </row>
    <row r="859">
      <c r="A859" s="552"/>
      <c r="B859" s="552"/>
      <c r="C859" s="552"/>
      <c r="D859" s="552"/>
      <c r="E859" s="552"/>
      <c r="F859" s="552"/>
      <c r="G859" s="552"/>
      <c r="H859" s="552"/>
      <c r="I859" s="552"/>
      <c r="J859" s="552"/>
      <c r="K859" s="552"/>
      <c r="L859" s="552"/>
      <c r="M859" s="552"/>
      <c r="N859" s="551"/>
      <c r="O859" s="551"/>
      <c r="P859" s="551"/>
      <c r="Q859" s="551"/>
      <c r="R859" s="551"/>
      <c r="S859" s="551"/>
      <c r="T859" s="551"/>
      <c r="U859" s="551"/>
      <c r="V859" s="551"/>
      <c r="W859" s="551"/>
      <c r="X859" s="551"/>
      <c r="Y859" s="551"/>
      <c r="Z859" s="551"/>
      <c r="AA859" s="551"/>
      <c r="AB859" s="551"/>
      <c r="AC859" s="551"/>
      <c r="AD859" s="551"/>
      <c r="AE859" s="551"/>
      <c r="AF859" s="551"/>
    </row>
    <row r="860">
      <c r="A860" s="552"/>
      <c r="B860" s="552"/>
      <c r="C860" s="552"/>
      <c r="D860" s="552"/>
      <c r="E860" s="552"/>
      <c r="F860" s="552"/>
      <c r="G860" s="552"/>
      <c r="H860" s="552"/>
      <c r="I860" s="552"/>
      <c r="J860" s="552"/>
      <c r="K860" s="552"/>
      <c r="L860" s="552"/>
      <c r="M860" s="552"/>
      <c r="N860" s="551"/>
      <c r="O860" s="551"/>
      <c r="P860" s="551"/>
      <c r="Q860" s="551"/>
      <c r="R860" s="551"/>
      <c r="S860" s="551"/>
      <c r="T860" s="551"/>
      <c r="U860" s="551"/>
      <c r="V860" s="551"/>
      <c r="W860" s="551"/>
      <c r="X860" s="551"/>
      <c r="Y860" s="551"/>
      <c r="Z860" s="551"/>
      <c r="AA860" s="551"/>
      <c r="AB860" s="551"/>
      <c r="AC860" s="551"/>
      <c r="AD860" s="551"/>
      <c r="AE860" s="551"/>
      <c r="AF860" s="551"/>
    </row>
    <row r="861">
      <c r="A861" s="552"/>
      <c r="B861" s="552"/>
      <c r="C861" s="552"/>
      <c r="D861" s="552"/>
      <c r="E861" s="552"/>
      <c r="F861" s="552"/>
      <c r="G861" s="552"/>
      <c r="H861" s="552"/>
      <c r="I861" s="552"/>
      <c r="J861" s="552"/>
      <c r="K861" s="552"/>
      <c r="L861" s="552"/>
      <c r="M861" s="552"/>
      <c r="N861" s="551"/>
      <c r="O861" s="551"/>
      <c r="P861" s="551"/>
      <c r="Q861" s="551"/>
      <c r="R861" s="551"/>
      <c r="S861" s="551"/>
      <c r="T861" s="551"/>
      <c r="U861" s="551"/>
      <c r="V861" s="551"/>
      <c r="W861" s="551"/>
      <c r="X861" s="551"/>
      <c r="Y861" s="551"/>
      <c r="Z861" s="551"/>
      <c r="AA861" s="551"/>
      <c r="AB861" s="551"/>
      <c r="AC861" s="551"/>
      <c r="AD861" s="551"/>
      <c r="AE861" s="551"/>
      <c r="AF861" s="551"/>
    </row>
    <row r="862">
      <c r="A862" s="552"/>
      <c r="B862" s="552"/>
      <c r="C862" s="552"/>
      <c r="D862" s="552"/>
      <c r="E862" s="552"/>
      <c r="F862" s="552"/>
      <c r="G862" s="552"/>
      <c r="H862" s="552"/>
      <c r="I862" s="552"/>
      <c r="J862" s="552"/>
      <c r="K862" s="552"/>
      <c r="L862" s="552"/>
      <c r="M862" s="552"/>
      <c r="N862" s="551"/>
      <c r="O862" s="551"/>
      <c r="P862" s="551"/>
      <c r="Q862" s="551"/>
      <c r="R862" s="551"/>
      <c r="S862" s="551"/>
      <c r="T862" s="551"/>
      <c r="U862" s="551"/>
      <c r="V862" s="551"/>
      <c r="W862" s="551"/>
      <c r="X862" s="551"/>
      <c r="Y862" s="551"/>
      <c r="Z862" s="551"/>
      <c r="AA862" s="551"/>
      <c r="AB862" s="551"/>
      <c r="AC862" s="551"/>
      <c r="AD862" s="551"/>
      <c r="AE862" s="551"/>
      <c r="AF862" s="551"/>
    </row>
    <row r="863">
      <c r="A863" s="552"/>
      <c r="B863" s="552"/>
      <c r="C863" s="552"/>
      <c r="D863" s="552"/>
      <c r="E863" s="552"/>
      <c r="F863" s="552"/>
      <c r="G863" s="552"/>
      <c r="H863" s="552"/>
      <c r="I863" s="552"/>
      <c r="J863" s="552"/>
      <c r="K863" s="552"/>
      <c r="L863" s="552"/>
      <c r="M863" s="552"/>
      <c r="N863" s="551"/>
      <c r="O863" s="551"/>
      <c r="P863" s="551"/>
      <c r="Q863" s="551"/>
      <c r="R863" s="551"/>
      <c r="S863" s="551"/>
      <c r="T863" s="551"/>
      <c r="U863" s="551"/>
      <c r="V863" s="551"/>
      <c r="W863" s="551"/>
      <c r="X863" s="551"/>
      <c r="Y863" s="551"/>
      <c r="Z863" s="551"/>
      <c r="AA863" s="551"/>
      <c r="AB863" s="551"/>
      <c r="AC863" s="551"/>
      <c r="AD863" s="551"/>
      <c r="AE863" s="551"/>
      <c r="AF863" s="551"/>
    </row>
    <row r="864">
      <c r="A864" s="552"/>
      <c r="B864" s="552"/>
      <c r="C864" s="552"/>
      <c r="D864" s="552"/>
      <c r="E864" s="552"/>
      <c r="F864" s="552"/>
      <c r="G864" s="552"/>
      <c r="H864" s="552"/>
      <c r="I864" s="552"/>
      <c r="J864" s="552"/>
      <c r="K864" s="552"/>
      <c r="L864" s="552"/>
      <c r="M864" s="552"/>
      <c r="N864" s="551"/>
      <c r="O864" s="551"/>
      <c r="P864" s="551"/>
      <c r="Q864" s="551"/>
      <c r="R864" s="551"/>
      <c r="S864" s="551"/>
      <c r="T864" s="551"/>
      <c r="U864" s="551"/>
      <c r="V864" s="551"/>
      <c r="W864" s="551"/>
      <c r="X864" s="551"/>
      <c r="Y864" s="551"/>
      <c r="Z864" s="551"/>
      <c r="AA864" s="551"/>
      <c r="AB864" s="551"/>
      <c r="AC864" s="551"/>
      <c r="AD864" s="551"/>
      <c r="AE864" s="551"/>
      <c r="AF864" s="551"/>
    </row>
    <row r="865">
      <c r="A865" s="552"/>
      <c r="B865" s="552"/>
      <c r="C865" s="552"/>
      <c r="D865" s="552"/>
      <c r="E865" s="552"/>
      <c r="F865" s="552"/>
      <c r="G865" s="552"/>
      <c r="H865" s="552"/>
      <c r="I865" s="552"/>
      <c r="J865" s="552"/>
      <c r="K865" s="552"/>
      <c r="L865" s="552"/>
      <c r="M865" s="552"/>
      <c r="N865" s="551"/>
      <c r="O865" s="551"/>
      <c r="P865" s="551"/>
      <c r="Q865" s="551"/>
      <c r="R865" s="551"/>
      <c r="S865" s="551"/>
      <c r="T865" s="551"/>
      <c r="U865" s="551"/>
      <c r="V865" s="551"/>
      <c r="W865" s="551"/>
      <c r="X865" s="551"/>
      <c r="Y865" s="551"/>
      <c r="Z865" s="551"/>
      <c r="AA865" s="551"/>
      <c r="AB865" s="551"/>
      <c r="AC865" s="551"/>
      <c r="AD865" s="551"/>
      <c r="AE865" s="551"/>
      <c r="AF865" s="551"/>
    </row>
    <row r="866">
      <c r="A866" s="552"/>
      <c r="B866" s="552"/>
      <c r="C866" s="552"/>
      <c r="D866" s="552"/>
      <c r="E866" s="552"/>
      <c r="F866" s="552"/>
      <c r="G866" s="552"/>
      <c r="H866" s="552"/>
      <c r="I866" s="552"/>
      <c r="J866" s="552"/>
      <c r="K866" s="552"/>
      <c r="L866" s="552"/>
      <c r="M866" s="552"/>
      <c r="N866" s="551"/>
      <c r="O866" s="551"/>
      <c r="P866" s="551"/>
      <c r="Q866" s="551"/>
      <c r="R866" s="551"/>
      <c r="S866" s="551"/>
      <c r="T866" s="551"/>
      <c r="U866" s="551"/>
      <c r="V866" s="551"/>
      <c r="W866" s="551"/>
      <c r="X866" s="551"/>
      <c r="Y866" s="551"/>
      <c r="Z866" s="551"/>
      <c r="AA866" s="551"/>
      <c r="AB866" s="551"/>
      <c r="AC866" s="551"/>
      <c r="AD866" s="551"/>
      <c r="AE866" s="551"/>
      <c r="AF866" s="551"/>
    </row>
    <row r="867">
      <c r="A867" s="552"/>
      <c r="B867" s="552"/>
      <c r="C867" s="552"/>
      <c r="D867" s="552"/>
      <c r="E867" s="552"/>
      <c r="F867" s="552"/>
      <c r="G867" s="552"/>
      <c r="H867" s="552"/>
      <c r="I867" s="552"/>
      <c r="J867" s="552"/>
      <c r="K867" s="552"/>
      <c r="L867" s="552"/>
      <c r="M867" s="552"/>
      <c r="N867" s="551"/>
      <c r="O867" s="551"/>
      <c r="P867" s="551"/>
      <c r="Q867" s="551"/>
      <c r="R867" s="551"/>
      <c r="S867" s="551"/>
      <c r="T867" s="551"/>
      <c r="U867" s="551"/>
      <c r="V867" s="551"/>
      <c r="W867" s="551"/>
      <c r="X867" s="551"/>
      <c r="Y867" s="551"/>
      <c r="Z867" s="551"/>
      <c r="AA867" s="551"/>
      <c r="AB867" s="551"/>
      <c r="AC867" s="551"/>
      <c r="AD867" s="551"/>
      <c r="AE867" s="551"/>
      <c r="AF867" s="551"/>
    </row>
    <row r="868">
      <c r="A868" s="552"/>
      <c r="B868" s="552"/>
      <c r="C868" s="552"/>
      <c r="D868" s="552"/>
      <c r="E868" s="552"/>
      <c r="F868" s="552"/>
      <c r="G868" s="552"/>
      <c r="H868" s="552"/>
      <c r="I868" s="552"/>
      <c r="J868" s="552"/>
      <c r="K868" s="552"/>
      <c r="L868" s="552"/>
      <c r="M868" s="552"/>
      <c r="N868" s="551"/>
      <c r="O868" s="551"/>
      <c r="P868" s="551"/>
      <c r="Q868" s="551"/>
      <c r="R868" s="551"/>
      <c r="S868" s="551"/>
      <c r="T868" s="551"/>
      <c r="U868" s="551"/>
      <c r="V868" s="551"/>
      <c r="W868" s="551"/>
      <c r="X868" s="551"/>
      <c r="Y868" s="551"/>
      <c r="Z868" s="551"/>
      <c r="AA868" s="551"/>
      <c r="AB868" s="551"/>
      <c r="AC868" s="551"/>
      <c r="AD868" s="551"/>
      <c r="AE868" s="551"/>
      <c r="AF868" s="551"/>
    </row>
    <row r="869">
      <c r="A869" s="552"/>
      <c r="B869" s="552"/>
      <c r="C869" s="552"/>
      <c r="D869" s="552"/>
      <c r="E869" s="552"/>
      <c r="F869" s="552"/>
      <c r="G869" s="552"/>
      <c r="H869" s="552"/>
      <c r="I869" s="552"/>
      <c r="J869" s="552"/>
      <c r="K869" s="552"/>
      <c r="L869" s="552"/>
      <c r="M869" s="552"/>
      <c r="N869" s="551"/>
      <c r="O869" s="551"/>
      <c r="P869" s="551"/>
      <c r="Q869" s="551"/>
      <c r="R869" s="551"/>
      <c r="S869" s="551"/>
      <c r="T869" s="551"/>
      <c r="U869" s="551"/>
      <c r="V869" s="551"/>
      <c r="W869" s="551"/>
      <c r="X869" s="551"/>
      <c r="Y869" s="551"/>
      <c r="Z869" s="551"/>
      <c r="AA869" s="551"/>
      <c r="AB869" s="551"/>
      <c r="AC869" s="551"/>
      <c r="AD869" s="551"/>
      <c r="AE869" s="551"/>
      <c r="AF869" s="551"/>
    </row>
    <row r="870">
      <c r="A870" s="552"/>
      <c r="B870" s="552"/>
      <c r="C870" s="552"/>
      <c r="D870" s="552"/>
      <c r="E870" s="552"/>
      <c r="F870" s="552"/>
      <c r="G870" s="552"/>
      <c r="H870" s="552"/>
      <c r="I870" s="552"/>
      <c r="J870" s="552"/>
      <c r="K870" s="552"/>
      <c r="L870" s="552"/>
      <c r="M870" s="552"/>
      <c r="N870" s="551"/>
      <c r="O870" s="551"/>
      <c r="P870" s="551"/>
      <c r="Q870" s="551"/>
      <c r="R870" s="551"/>
      <c r="S870" s="551"/>
      <c r="T870" s="551"/>
      <c r="U870" s="551"/>
      <c r="V870" s="551"/>
      <c r="W870" s="551"/>
      <c r="X870" s="551"/>
      <c r="Y870" s="551"/>
      <c r="Z870" s="551"/>
      <c r="AA870" s="551"/>
      <c r="AB870" s="551"/>
      <c r="AC870" s="551"/>
      <c r="AD870" s="551"/>
      <c r="AE870" s="551"/>
      <c r="AF870" s="551"/>
    </row>
    <row r="871">
      <c r="A871" s="552"/>
      <c r="B871" s="552"/>
      <c r="C871" s="552"/>
      <c r="D871" s="552"/>
      <c r="E871" s="552"/>
      <c r="F871" s="552"/>
      <c r="G871" s="552"/>
      <c r="H871" s="552"/>
      <c r="I871" s="552"/>
      <c r="J871" s="552"/>
      <c r="K871" s="552"/>
      <c r="L871" s="552"/>
      <c r="M871" s="552"/>
      <c r="N871" s="551"/>
      <c r="O871" s="551"/>
      <c r="P871" s="551"/>
      <c r="Q871" s="551"/>
      <c r="R871" s="551"/>
      <c r="S871" s="551"/>
      <c r="T871" s="551"/>
      <c r="U871" s="551"/>
      <c r="V871" s="551"/>
      <c r="W871" s="551"/>
      <c r="X871" s="551"/>
      <c r="Y871" s="551"/>
      <c r="Z871" s="551"/>
      <c r="AA871" s="551"/>
      <c r="AB871" s="551"/>
      <c r="AC871" s="551"/>
      <c r="AD871" s="551"/>
      <c r="AE871" s="551"/>
      <c r="AF871" s="551"/>
    </row>
    <row r="872">
      <c r="A872" s="552"/>
      <c r="B872" s="552"/>
      <c r="C872" s="552"/>
      <c r="D872" s="552"/>
      <c r="E872" s="552"/>
      <c r="F872" s="552"/>
      <c r="G872" s="552"/>
      <c r="H872" s="552"/>
      <c r="I872" s="552"/>
      <c r="J872" s="552"/>
      <c r="K872" s="552"/>
      <c r="L872" s="552"/>
      <c r="M872" s="552"/>
      <c r="N872" s="551"/>
      <c r="O872" s="551"/>
      <c r="P872" s="551"/>
      <c r="Q872" s="551"/>
      <c r="R872" s="551"/>
      <c r="S872" s="551"/>
      <c r="T872" s="551"/>
      <c r="U872" s="551"/>
      <c r="V872" s="551"/>
      <c r="W872" s="551"/>
      <c r="X872" s="551"/>
      <c r="Y872" s="551"/>
      <c r="Z872" s="551"/>
      <c r="AA872" s="551"/>
      <c r="AB872" s="551"/>
      <c r="AC872" s="551"/>
      <c r="AD872" s="551"/>
      <c r="AE872" s="551"/>
      <c r="AF872" s="551"/>
    </row>
    <row r="873">
      <c r="A873" s="552"/>
      <c r="B873" s="552"/>
      <c r="C873" s="552"/>
      <c r="D873" s="552"/>
      <c r="E873" s="552"/>
      <c r="F873" s="552"/>
      <c r="G873" s="552"/>
      <c r="H873" s="552"/>
      <c r="I873" s="552"/>
      <c r="J873" s="552"/>
      <c r="K873" s="552"/>
      <c r="L873" s="552"/>
      <c r="M873" s="552"/>
      <c r="N873" s="551"/>
      <c r="O873" s="551"/>
      <c r="P873" s="551"/>
      <c r="Q873" s="551"/>
      <c r="R873" s="551"/>
      <c r="S873" s="551"/>
      <c r="T873" s="551"/>
      <c r="U873" s="551"/>
      <c r="V873" s="551"/>
      <c r="W873" s="551"/>
      <c r="X873" s="551"/>
      <c r="Y873" s="551"/>
      <c r="Z873" s="551"/>
      <c r="AA873" s="551"/>
      <c r="AB873" s="551"/>
      <c r="AC873" s="551"/>
      <c r="AD873" s="551"/>
      <c r="AE873" s="551"/>
      <c r="AF873" s="551"/>
    </row>
    <row r="874">
      <c r="A874" s="552"/>
      <c r="B874" s="552"/>
      <c r="C874" s="552"/>
      <c r="D874" s="552"/>
      <c r="E874" s="552"/>
      <c r="F874" s="552"/>
      <c r="G874" s="552"/>
      <c r="H874" s="552"/>
      <c r="I874" s="552"/>
      <c r="J874" s="552"/>
      <c r="K874" s="552"/>
      <c r="L874" s="552"/>
      <c r="M874" s="552"/>
      <c r="N874" s="551"/>
      <c r="O874" s="551"/>
      <c r="P874" s="551"/>
      <c r="Q874" s="551"/>
      <c r="R874" s="551"/>
      <c r="S874" s="551"/>
      <c r="T874" s="551"/>
      <c r="U874" s="551"/>
      <c r="V874" s="551"/>
      <c r="W874" s="551"/>
      <c r="X874" s="551"/>
      <c r="Y874" s="551"/>
      <c r="Z874" s="551"/>
      <c r="AA874" s="551"/>
      <c r="AB874" s="551"/>
      <c r="AC874" s="551"/>
      <c r="AD874" s="551"/>
      <c r="AE874" s="551"/>
      <c r="AF874" s="551"/>
    </row>
    <row r="875">
      <c r="A875" s="552"/>
      <c r="B875" s="552"/>
      <c r="C875" s="552"/>
      <c r="D875" s="552"/>
      <c r="E875" s="552"/>
      <c r="F875" s="552"/>
      <c r="G875" s="552"/>
      <c r="H875" s="552"/>
      <c r="I875" s="552"/>
      <c r="J875" s="552"/>
      <c r="K875" s="552"/>
      <c r="L875" s="552"/>
      <c r="M875" s="552"/>
      <c r="N875" s="551"/>
      <c r="O875" s="551"/>
      <c r="P875" s="551"/>
      <c r="Q875" s="551"/>
      <c r="R875" s="551"/>
      <c r="S875" s="551"/>
      <c r="T875" s="551"/>
      <c r="U875" s="551"/>
      <c r="V875" s="551"/>
      <c r="W875" s="551"/>
      <c r="X875" s="551"/>
      <c r="Y875" s="551"/>
      <c r="Z875" s="551"/>
      <c r="AA875" s="551"/>
      <c r="AB875" s="551"/>
      <c r="AC875" s="551"/>
      <c r="AD875" s="551"/>
      <c r="AE875" s="551"/>
      <c r="AF875" s="551"/>
    </row>
    <row r="876">
      <c r="A876" s="552"/>
      <c r="B876" s="552"/>
      <c r="C876" s="552"/>
      <c r="D876" s="552"/>
      <c r="E876" s="552"/>
      <c r="F876" s="552"/>
      <c r="G876" s="552"/>
      <c r="H876" s="552"/>
      <c r="I876" s="552"/>
      <c r="J876" s="552"/>
      <c r="K876" s="552"/>
      <c r="L876" s="552"/>
      <c r="M876" s="552"/>
      <c r="N876" s="551"/>
      <c r="O876" s="551"/>
      <c r="P876" s="551"/>
      <c r="Q876" s="551"/>
      <c r="R876" s="551"/>
      <c r="S876" s="551"/>
      <c r="T876" s="551"/>
      <c r="U876" s="551"/>
      <c r="V876" s="551"/>
      <c r="W876" s="551"/>
      <c r="X876" s="551"/>
      <c r="Y876" s="551"/>
      <c r="Z876" s="551"/>
      <c r="AA876" s="551"/>
      <c r="AB876" s="551"/>
      <c r="AC876" s="551"/>
      <c r="AD876" s="551"/>
      <c r="AE876" s="551"/>
      <c r="AF876" s="551"/>
    </row>
    <row r="877">
      <c r="A877" s="552"/>
      <c r="B877" s="552"/>
      <c r="C877" s="552"/>
      <c r="D877" s="552"/>
      <c r="E877" s="552"/>
      <c r="F877" s="552"/>
      <c r="G877" s="552"/>
      <c r="H877" s="552"/>
      <c r="I877" s="552"/>
      <c r="J877" s="552"/>
      <c r="K877" s="552"/>
      <c r="L877" s="552"/>
      <c r="M877" s="552"/>
      <c r="N877" s="551"/>
      <c r="O877" s="551"/>
      <c r="P877" s="551"/>
      <c r="Q877" s="551"/>
      <c r="R877" s="551"/>
      <c r="S877" s="551"/>
      <c r="T877" s="551"/>
      <c r="U877" s="551"/>
      <c r="V877" s="551"/>
      <c r="W877" s="551"/>
      <c r="X877" s="551"/>
      <c r="Y877" s="551"/>
      <c r="Z877" s="551"/>
      <c r="AA877" s="551"/>
      <c r="AB877" s="551"/>
      <c r="AC877" s="551"/>
      <c r="AD877" s="551"/>
      <c r="AE877" s="551"/>
      <c r="AF877" s="551"/>
    </row>
    <row r="878">
      <c r="A878" s="552"/>
      <c r="B878" s="552"/>
      <c r="C878" s="552"/>
      <c r="D878" s="552"/>
      <c r="E878" s="552"/>
      <c r="F878" s="552"/>
      <c r="G878" s="552"/>
      <c r="H878" s="552"/>
      <c r="I878" s="552"/>
      <c r="J878" s="552"/>
      <c r="K878" s="552"/>
      <c r="L878" s="552"/>
      <c r="M878" s="552"/>
      <c r="N878" s="551"/>
      <c r="O878" s="551"/>
      <c r="P878" s="551"/>
      <c r="Q878" s="551"/>
      <c r="R878" s="551"/>
      <c r="S878" s="551"/>
      <c r="T878" s="551"/>
      <c r="U878" s="551"/>
      <c r="V878" s="551"/>
      <c r="W878" s="551"/>
      <c r="X878" s="551"/>
      <c r="Y878" s="551"/>
      <c r="Z878" s="551"/>
      <c r="AA878" s="551"/>
      <c r="AB878" s="551"/>
      <c r="AC878" s="551"/>
      <c r="AD878" s="551"/>
      <c r="AE878" s="551"/>
      <c r="AF878" s="551"/>
    </row>
    <row r="879">
      <c r="A879" s="552"/>
      <c r="B879" s="552"/>
      <c r="C879" s="552"/>
      <c r="D879" s="552"/>
      <c r="E879" s="552"/>
      <c r="F879" s="552"/>
      <c r="G879" s="552"/>
      <c r="H879" s="552"/>
      <c r="I879" s="552"/>
      <c r="J879" s="552"/>
      <c r="K879" s="552"/>
      <c r="L879" s="552"/>
      <c r="M879" s="552"/>
      <c r="N879" s="551"/>
      <c r="O879" s="551"/>
      <c r="P879" s="551"/>
      <c r="Q879" s="551"/>
      <c r="R879" s="551"/>
      <c r="S879" s="551"/>
      <c r="T879" s="551"/>
      <c r="U879" s="551"/>
      <c r="V879" s="551"/>
      <c r="W879" s="551"/>
      <c r="X879" s="551"/>
      <c r="Y879" s="551"/>
      <c r="Z879" s="551"/>
      <c r="AA879" s="551"/>
      <c r="AB879" s="551"/>
      <c r="AC879" s="551"/>
      <c r="AD879" s="551"/>
      <c r="AE879" s="551"/>
      <c r="AF879" s="551"/>
    </row>
    <row r="880">
      <c r="A880" s="552"/>
      <c r="B880" s="552"/>
      <c r="C880" s="552"/>
      <c r="D880" s="552"/>
      <c r="E880" s="552"/>
      <c r="F880" s="552"/>
      <c r="G880" s="552"/>
      <c r="H880" s="552"/>
      <c r="I880" s="552"/>
      <c r="J880" s="552"/>
      <c r="K880" s="552"/>
      <c r="L880" s="552"/>
      <c r="M880" s="552"/>
      <c r="N880" s="551"/>
      <c r="O880" s="551"/>
      <c r="P880" s="551"/>
      <c r="Q880" s="551"/>
      <c r="R880" s="551"/>
      <c r="S880" s="551"/>
      <c r="T880" s="551"/>
      <c r="U880" s="551"/>
      <c r="V880" s="551"/>
      <c r="W880" s="551"/>
      <c r="X880" s="551"/>
      <c r="Y880" s="551"/>
      <c r="Z880" s="551"/>
      <c r="AA880" s="551"/>
      <c r="AB880" s="551"/>
      <c r="AC880" s="551"/>
      <c r="AD880" s="551"/>
      <c r="AE880" s="551"/>
      <c r="AF880" s="551"/>
    </row>
    <row r="881">
      <c r="A881" s="552"/>
      <c r="B881" s="552"/>
      <c r="C881" s="552"/>
      <c r="D881" s="552"/>
      <c r="E881" s="552"/>
      <c r="F881" s="552"/>
      <c r="G881" s="552"/>
      <c r="H881" s="552"/>
      <c r="I881" s="552"/>
      <c r="J881" s="552"/>
      <c r="K881" s="552"/>
      <c r="L881" s="552"/>
      <c r="M881" s="552"/>
      <c r="N881" s="551"/>
      <c r="O881" s="551"/>
      <c r="P881" s="551"/>
      <c r="Q881" s="551"/>
      <c r="R881" s="551"/>
      <c r="S881" s="551"/>
      <c r="T881" s="551"/>
      <c r="U881" s="551"/>
      <c r="V881" s="551"/>
      <c r="W881" s="551"/>
      <c r="X881" s="551"/>
      <c r="Y881" s="551"/>
      <c r="Z881" s="551"/>
      <c r="AA881" s="551"/>
      <c r="AB881" s="551"/>
      <c r="AC881" s="551"/>
      <c r="AD881" s="551"/>
      <c r="AE881" s="551"/>
      <c r="AF881" s="551"/>
    </row>
    <row r="882">
      <c r="A882" s="552"/>
      <c r="B882" s="552"/>
      <c r="C882" s="552"/>
      <c r="D882" s="552"/>
      <c r="E882" s="552"/>
      <c r="F882" s="552"/>
      <c r="G882" s="552"/>
      <c r="H882" s="552"/>
      <c r="I882" s="552"/>
      <c r="J882" s="552"/>
      <c r="K882" s="552"/>
      <c r="L882" s="552"/>
      <c r="M882" s="552"/>
      <c r="N882" s="551"/>
      <c r="O882" s="551"/>
      <c r="P882" s="551"/>
      <c r="Q882" s="551"/>
      <c r="R882" s="551"/>
      <c r="S882" s="551"/>
      <c r="T882" s="551"/>
      <c r="U882" s="551"/>
      <c r="V882" s="551"/>
      <c r="W882" s="551"/>
      <c r="X882" s="551"/>
      <c r="Y882" s="551"/>
      <c r="Z882" s="551"/>
      <c r="AA882" s="551"/>
      <c r="AB882" s="551"/>
      <c r="AC882" s="551"/>
      <c r="AD882" s="551"/>
      <c r="AE882" s="551"/>
      <c r="AF882" s="551"/>
    </row>
    <row r="883">
      <c r="A883" s="552"/>
      <c r="B883" s="552"/>
      <c r="C883" s="552"/>
      <c r="D883" s="552"/>
      <c r="E883" s="552"/>
      <c r="F883" s="552"/>
      <c r="G883" s="552"/>
      <c r="H883" s="552"/>
      <c r="I883" s="552"/>
      <c r="J883" s="552"/>
      <c r="K883" s="552"/>
      <c r="L883" s="552"/>
      <c r="M883" s="552"/>
      <c r="N883" s="551"/>
      <c r="O883" s="551"/>
      <c r="P883" s="551"/>
      <c r="Q883" s="551"/>
      <c r="R883" s="551"/>
      <c r="S883" s="551"/>
      <c r="T883" s="551"/>
      <c r="U883" s="551"/>
      <c r="V883" s="551"/>
      <c r="W883" s="551"/>
      <c r="X883" s="551"/>
      <c r="Y883" s="551"/>
      <c r="Z883" s="551"/>
      <c r="AA883" s="551"/>
      <c r="AB883" s="551"/>
      <c r="AC883" s="551"/>
      <c r="AD883" s="551"/>
      <c r="AE883" s="551"/>
      <c r="AF883" s="551"/>
    </row>
    <row r="884">
      <c r="A884" s="552"/>
      <c r="B884" s="552"/>
      <c r="C884" s="552"/>
      <c r="D884" s="552"/>
      <c r="E884" s="552"/>
      <c r="F884" s="552"/>
      <c r="G884" s="552"/>
      <c r="H884" s="552"/>
      <c r="I884" s="552"/>
      <c r="J884" s="552"/>
      <c r="K884" s="552"/>
      <c r="L884" s="552"/>
      <c r="M884" s="552"/>
      <c r="N884" s="551"/>
      <c r="O884" s="551"/>
      <c r="P884" s="551"/>
      <c r="Q884" s="551"/>
      <c r="R884" s="551"/>
      <c r="S884" s="551"/>
      <c r="T884" s="551"/>
      <c r="U884" s="551"/>
      <c r="V884" s="551"/>
      <c r="W884" s="551"/>
      <c r="X884" s="551"/>
      <c r="Y884" s="551"/>
      <c r="Z884" s="551"/>
      <c r="AA884" s="551"/>
      <c r="AB884" s="551"/>
      <c r="AC884" s="551"/>
      <c r="AD884" s="551"/>
      <c r="AE884" s="551"/>
      <c r="AF884" s="551"/>
    </row>
    <row r="885">
      <c r="A885" s="552"/>
      <c r="B885" s="552"/>
      <c r="C885" s="552"/>
      <c r="D885" s="552"/>
      <c r="E885" s="552"/>
      <c r="F885" s="552"/>
      <c r="G885" s="552"/>
      <c r="H885" s="552"/>
      <c r="I885" s="552"/>
      <c r="J885" s="552"/>
      <c r="K885" s="552"/>
      <c r="L885" s="552"/>
      <c r="M885" s="552"/>
      <c r="N885" s="551"/>
      <c r="O885" s="551"/>
      <c r="P885" s="551"/>
      <c r="Q885" s="551"/>
      <c r="R885" s="551"/>
      <c r="S885" s="551"/>
      <c r="T885" s="551"/>
      <c r="U885" s="551"/>
      <c r="V885" s="551"/>
      <c r="W885" s="551"/>
      <c r="X885" s="551"/>
      <c r="Y885" s="551"/>
      <c r="Z885" s="551"/>
      <c r="AA885" s="551"/>
      <c r="AB885" s="551"/>
      <c r="AC885" s="551"/>
      <c r="AD885" s="551"/>
      <c r="AE885" s="551"/>
      <c r="AF885" s="551"/>
    </row>
    <row r="886">
      <c r="A886" s="552"/>
      <c r="B886" s="552"/>
      <c r="C886" s="552"/>
      <c r="D886" s="552"/>
      <c r="E886" s="552"/>
      <c r="F886" s="552"/>
      <c r="G886" s="552"/>
      <c r="H886" s="552"/>
      <c r="I886" s="552"/>
      <c r="J886" s="552"/>
      <c r="K886" s="552"/>
      <c r="L886" s="552"/>
      <c r="M886" s="552"/>
      <c r="N886" s="551"/>
      <c r="O886" s="551"/>
      <c r="P886" s="551"/>
      <c r="Q886" s="551"/>
      <c r="R886" s="551"/>
      <c r="S886" s="551"/>
      <c r="T886" s="551"/>
      <c r="U886" s="551"/>
      <c r="V886" s="551"/>
      <c r="W886" s="551"/>
      <c r="X886" s="551"/>
      <c r="Y886" s="551"/>
      <c r="Z886" s="551"/>
      <c r="AA886" s="551"/>
      <c r="AB886" s="551"/>
      <c r="AC886" s="551"/>
      <c r="AD886" s="551"/>
      <c r="AE886" s="551"/>
      <c r="AF886" s="551"/>
    </row>
    <row r="887">
      <c r="A887" s="552"/>
      <c r="B887" s="552"/>
      <c r="C887" s="552"/>
      <c r="D887" s="552"/>
      <c r="E887" s="552"/>
      <c r="F887" s="552"/>
      <c r="G887" s="552"/>
      <c r="H887" s="552"/>
      <c r="I887" s="552"/>
      <c r="J887" s="552"/>
      <c r="K887" s="552"/>
      <c r="L887" s="552"/>
      <c r="M887" s="552"/>
      <c r="N887" s="551"/>
      <c r="O887" s="551"/>
      <c r="P887" s="551"/>
      <c r="Q887" s="551"/>
      <c r="R887" s="551"/>
      <c r="S887" s="551"/>
      <c r="T887" s="551"/>
      <c r="U887" s="551"/>
      <c r="V887" s="551"/>
      <c r="W887" s="551"/>
      <c r="X887" s="551"/>
      <c r="Y887" s="551"/>
      <c r="Z887" s="551"/>
      <c r="AA887" s="551"/>
      <c r="AB887" s="551"/>
      <c r="AC887" s="551"/>
      <c r="AD887" s="551"/>
      <c r="AE887" s="551"/>
      <c r="AF887" s="551"/>
    </row>
    <row r="888">
      <c r="A888" s="552"/>
      <c r="B888" s="552"/>
      <c r="C888" s="552"/>
      <c r="D888" s="552"/>
      <c r="E888" s="552"/>
      <c r="F888" s="552"/>
      <c r="G888" s="552"/>
      <c r="H888" s="552"/>
      <c r="I888" s="552"/>
      <c r="J888" s="552"/>
      <c r="K888" s="552"/>
      <c r="L888" s="552"/>
      <c r="M888" s="552"/>
      <c r="N888" s="551"/>
      <c r="O888" s="551"/>
      <c r="P888" s="551"/>
      <c r="Q888" s="551"/>
      <c r="R888" s="551"/>
      <c r="S888" s="551"/>
      <c r="T888" s="551"/>
      <c r="U888" s="551"/>
      <c r="V888" s="551"/>
      <c r="W888" s="551"/>
      <c r="X888" s="551"/>
      <c r="Y888" s="551"/>
      <c r="Z888" s="551"/>
      <c r="AA888" s="551"/>
      <c r="AB888" s="551"/>
      <c r="AC888" s="551"/>
      <c r="AD888" s="551"/>
      <c r="AE888" s="551"/>
      <c r="AF888" s="551"/>
    </row>
    <row r="889">
      <c r="A889" s="552"/>
      <c r="B889" s="552"/>
      <c r="C889" s="552"/>
      <c r="D889" s="552"/>
      <c r="E889" s="552"/>
      <c r="F889" s="552"/>
      <c r="G889" s="552"/>
      <c r="H889" s="552"/>
      <c r="I889" s="552"/>
      <c r="J889" s="552"/>
      <c r="K889" s="552"/>
      <c r="L889" s="552"/>
      <c r="M889" s="552"/>
      <c r="N889" s="551"/>
      <c r="O889" s="551"/>
      <c r="P889" s="551"/>
      <c r="Q889" s="551"/>
      <c r="R889" s="551"/>
      <c r="S889" s="551"/>
      <c r="T889" s="551"/>
      <c r="U889" s="551"/>
      <c r="V889" s="551"/>
      <c r="W889" s="551"/>
      <c r="X889" s="551"/>
      <c r="Y889" s="551"/>
      <c r="Z889" s="551"/>
      <c r="AA889" s="551"/>
      <c r="AB889" s="551"/>
      <c r="AC889" s="551"/>
      <c r="AD889" s="551"/>
      <c r="AE889" s="551"/>
      <c r="AF889" s="551"/>
    </row>
    <row r="890">
      <c r="A890" s="552"/>
      <c r="B890" s="552"/>
      <c r="C890" s="552"/>
      <c r="D890" s="552"/>
      <c r="E890" s="552"/>
      <c r="F890" s="552"/>
      <c r="G890" s="552"/>
      <c r="H890" s="552"/>
      <c r="I890" s="552"/>
      <c r="J890" s="552"/>
      <c r="K890" s="552"/>
      <c r="L890" s="552"/>
      <c r="M890" s="552"/>
      <c r="N890" s="551"/>
      <c r="O890" s="551"/>
      <c r="P890" s="551"/>
      <c r="Q890" s="551"/>
      <c r="R890" s="551"/>
      <c r="S890" s="551"/>
      <c r="T890" s="551"/>
      <c r="U890" s="551"/>
      <c r="V890" s="551"/>
      <c r="W890" s="551"/>
      <c r="X890" s="551"/>
      <c r="Y890" s="551"/>
      <c r="Z890" s="551"/>
      <c r="AA890" s="551"/>
      <c r="AB890" s="551"/>
      <c r="AC890" s="551"/>
      <c r="AD890" s="551"/>
      <c r="AE890" s="551"/>
      <c r="AF890" s="551"/>
    </row>
    <row r="891">
      <c r="A891" s="552"/>
      <c r="B891" s="552"/>
      <c r="C891" s="552"/>
      <c r="D891" s="552"/>
      <c r="E891" s="552"/>
      <c r="F891" s="552"/>
      <c r="G891" s="552"/>
      <c r="H891" s="552"/>
      <c r="I891" s="552"/>
      <c r="J891" s="552"/>
      <c r="K891" s="552"/>
      <c r="L891" s="552"/>
      <c r="M891" s="552"/>
      <c r="N891" s="551"/>
      <c r="O891" s="551"/>
      <c r="P891" s="551"/>
      <c r="Q891" s="551"/>
      <c r="R891" s="551"/>
      <c r="S891" s="551"/>
      <c r="T891" s="551"/>
      <c r="U891" s="551"/>
      <c r="V891" s="551"/>
      <c r="W891" s="551"/>
      <c r="X891" s="551"/>
      <c r="Y891" s="551"/>
      <c r="Z891" s="551"/>
      <c r="AA891" s="551"/>
      <c r="AB891" s="551"/>
      <c r="AC891" s="551"/>
      <c r="AD891" s="551"/>
      <c r="AE891" s="551"/>
      <c r="AF891" s="551"/>
    </row>
    <row r="892">
      <c r="A892" s="552"/>
      <c r="B892" s="552"/>
      <c r="C892" s="552"/>
      <c r="D892" s="552"/>
      <c r="E892" s="552"/>
      <c r="F892" s="552"/>
      <c r="G892" s="552"/>
      <c r="H892" s="552"/>
      <c r="I892" s="552"/>
      <c r="J892" s="552"/>
      <c r="K892" s="552"/>
      <c r="L892" s="552"/>
      <c r="M892" s="552"/>
      <c r="N892" s="551"/>
      <c r="O892" s="551"/>
      <c r="P892" s="551"/>
      <c r="Q892" s="551"/>
      <c r="R892" s="551"/>
      <c r="S892" s="551"/>
      <c r="T892" s="551"/>
      <c r="U892" s="551"/>
      <c r="V892" s="551"/>
      <c r="W892" s="551"/>
      <c r="X892" s="551"/>
      <c r="Y892" s="551"/>
      <c r="Z892" s="551"/>
      <c r="AA892" s="551"/>
      <c r="AB892" s="551"/>
      <c r="AC892" s="551"/>
      <c r="AD892" s="551"/>
      <c r="AE892" s="551"/>
      <c r="AF892" s="551"/>
    </row>
    <row r="893">
      <c r="A893" s="552"/>
      <c r="B893" s="552"/>
      <c r="C893" s="552"/>
      <c r="D893" s="552"/>
      <c r="E893" s="552"/>
      <c r="F893" s="552"/>
      <c r="G893" s="552"/>
      <c r="H893" s="552"/>
      <c r="I893" s="552"/>
      <c r="J893" s="552"/>
      <c r="K893" s="552"/>
      <c r="L893" s="552"/>
      <c r="M893" s="552"/>
      <c r="N893" s="551"/>
      <c r="O893" s="551"/>
      <c r="P893" s="551"/>
      <c r="Q893" s="551"/>
      <c r="R893" s="551"/>
      <c r="S893" s="551"/>
      <c r="T893" s="551"/>
      <c r="U893" s="551"/>
      <c r="V893" s="551"/>
      <c r="W893" s="551"/>
      <c r="X893" s="551"/>
      <c r="Y893" s="551"/>
      <c r="Z893" s="551"/>
      <c r="AA893" s="551"/>
      <c r="AB893" s="551"/>
      <c r="AC893" s="551"/>
      <c r="AD893" s="551"/>
      <c r="AE893" s="551"/>
      <c r="AF893" s="551"/>
    </row>
    <row r="894">
      <c r="A894" s="552"/>
      <c r="B894" s="552"/>
      <c r="C894" s="552"/>
      <c r="D894" s="552"/>
      <c r="E894" s="552"/>
      <c r="F894" s="552"/>
      <c r="G894" s="552"/>
      <c r="H894" s="552"/>
      <c r="I894" s="552"/>
      <c r="J894" s="552"/>
      <c r="K894" s="552"/>
      <c r="L894" s="552"/>
      <c r="M894" s="552"/>
      <c r="N894" s="551"/>
      <c r="O894" s="551"/>
      <c r="P894" s="551"/>
      <c r="Q894" s="551"/>
      <c r="R894" s="551"/>
      <c r="S894" s="551"/>
      <c r="T894" s="551"/>
      <c r="U894" s="551"/>
      <c r="V894" s="551"/>
      <c r="W894" s="551"/>
      <c r="X894" s="551"/>
      <c r="Y894" s="551"/>
      <c r="Z894" s="551"/>
      <c r="AA894" s="551"/>
      <c r="AB894" s="551"/>
      <c r="AC894" s="551"/>
      <c r="AD894" s="551"/>
      <c r="AE894" s="551"/>
      <c r="AF894" s="551"/>
    </row>
    <row r="895">
      <c r="A895" s="552"/>
      <c r="B895" s="552"/>
      <c r="C895" s="552"/>
      <c r="D895" s="552"/>
      <c r="E895" s="552"/>
      <c r="F895" s="552"/>
      <c r="G895" s="552"/>
      <c r="H895" s="552"/>
      <c r="I895" s="552"/>
      <c r="J895" s="552"/>
      <c r="K895" s="552"/>
      <c r="L895" s="552"/>
      <c r="M895" s="552"/>
      <c r="N895" s="551"/>
      <c r="O895" s="551"/>
      <c r="P895" s="551"/>
      <c r="Q895" s="551"/>
      <c r="R895" s="551"/>
      <c r="S895" s="551"/>
      <c r="T895" s="551"/>
      <c r="U895" s="551"/>
      <c r="V895" s="551"/>
      <c r="W895" s="551"/>
      <c r="X895" s="551"/>
      <c r="Y895" s="551"/>
      <c r="Z895" s="551"/>
      <c r="AA895" s="551"/>
      <c r="AB895" s="551"/>
      <c r="AC895" s="551"/>
      <c r="AD895" s="551"/>
      <c r="AE895" s="551"/>
      <c r="AF895" s="551"/>
    </row>
    <row r="896">
      <c r="A896" s="552"/>
      <c r="B896" s="552"/>
      <c r="C896" s="552"/>
      <c r="D896" s="552"/>
      <c r="E896" s="552"/>
      <c r="F896" s="552"/>
      <c r="G896" s="552"/>
      <c r="H896" s="552"/>
      <c r="I896" s="552"/>
      <c r="J896" s="552"/>
      <c r="K896" s="552"/>
      <c r="L896" s="552"/>
      <c r="M896" s="552"/>
      <c r="N896" s="551"/>
      <c r="O896" s="551"/>
      <c r="P896" s="551"/>
      <c r="Q896" s="551"/>
      <c r="R896" s="551"/>
      <c r="S896" s="551"/>
      <c r="T896" s="551"/>
      <c r="U896" s="551"/>
      <c r="V896" s="551"/>
      <c r="W896" s="551"/>
      <c r="X896" s="551"/>
      <c r="Y896" s="551"/>
      <c r="Z896" s="551"/>
      <c r="AA896" s="551"/>
      <c r="AB896" s="551"/>
      <c r="AC896" s="551"/>
      <c r="AD896" s="551"/>
      <c r="AE896" s="551"/>
      <c r="AF896" s="551"/>
    </row>
    <row r="897">
      <c r="A897" s="552"/>
      <c r="B897" s="552"/>
      <c r="C897" s="552"/>
      <c r="D897" s="552"/>
      <c r="E897" s="552"/>
      <c r="F897" s="552"/>
      <c r="G897" s="552"/>
      <c r="H897" s="552"/>
      <c r="I897" s="552"/>
      <c r="J897" s="552"/>
      <c r="K897" s="552"/>
      <c r="L897" s="552"/>
      <c r="M897" s="552"/>
      <c r="N897" s="551"/>
      <c r="O897" s="551"/>
      <c r="P897" s="551"/>
      <c r="Q897" s="551"/>
      <c r="R897" s="551"/>
      <c r="S897" s="551"/>
      <c r="T897" s="551"/>
      <c r="U897" s="551"/>
      <c r="V897" s="551"/>
      <c r="W897" s="551"/>
      <c r="X897" s="551"/>
      <c r="Y897" s="551"/>
      <c r="Z897" s="551"/>
      <c r="AA897" s="551"/>
      <c r="AB897" s="551"/>
      <c r="AC897" s="551"/>
      <c r="AD897" s="551"/>
      <c r="AE897" s="551"/>
      <c r="AF897" s="551"/>
    </row>
    <row r="898">
      <c r="A898" s="552"/>
      <c r="B898" s="552"/>
      <c r="C898" s="552"/>
      <c r="D898" s="552"/>
      <c r="E898" s="552"/>
      <c r="F898" s="552"/>
      <c r="G898" s="552"/>
      <c r="H898" s="552"/>
      <c r="I898" s="552"/>
      <c r="J898" s="552"/>
      <c r="K898" s="552"/>
      <c r="L898" s="552"/>
      <c r="M898" s="552"/>
      <c r="N898" s="551"/>
      <c r="O898" s="551"/>
      <c r="P898" s="551"/>
      <c r="Q898" s="551"/>
      <c r="R898" s="551"/>
      <c r="S898" s="551"/>
      <c r="T898" s="551"/>
      <c r="U898" s="551"/>
      <c r="V898" s="551"/>
      <c r="W898" s="551"/>
      <c r="X898" s="551"/>
      <c r="Y898" s="551"/>
      <c r="Z898" s="551"/>
      <c r="AA898" s="551"/>
      <c r="AB898" s="551"/>
      <c r="AC898" s="551"/>
      <c r="AD898" s="551"/>
      <c r="AE898" s="551"/>
      <c r="AF898" s="551"/>
    </row>
    <row r="899">
      <c r="A899" s="552"/>
      <c r="B899" s="552"/>
      <c r="C899" s="552"/>
      <c r="D899" s="552"/>
      <c r="E899" s="552"/>
      <c r="F899" s="552"/>
      <c r="G899" s="552"/>
      <c r="H899" s="552"/>
      <c r="I899" s="552"/>
      <c r="J899" s="552"/>
      <c r="K899" s="552"/>
      <c r="L899" s="552"/>
      <c r="M899" s="552"/>
      <c r="N899" s="551"/>
      <c r="O899" s="551"/>
      <c r="P899" s="551"/>
      <c r="Q899" s="551"/>
      <c r="R899" s="551"/>
      <c r="S899" s="551"/>
      <c r="T899" s="551"/>
      <c r="U899" s="551"/>
      <c r="V899" s="551"/>
      <c r="W899" s="551"/>
      <c r="X899" s="551"/>
      <c r="Y899" s="551"/>
      <c r="Z899" s="551"/>
      <c r="AA899" s="551"/>
      <c r="AB899" s="551"/>
      <c r="AC899" s="551"/>
      <c r="AD899" s="551"/>
      <c r="AE899" s="551"/>
      <c r="AF899" s="551"/>
    </row>
    <row r="900">
      <c r="A900" s="552"/>
      <c r="B900" s="552"/>
      <c r="C900" s="552"/>
      <c r="D900" s="552"/>
      <c r="E900" s="552"/>
      <c r="F900" s="552"/>
      <c r="G900" s="552"/>
      <c r="H900" s="552"/>
      <c r="I900" s="552"/>
      <c r="J900" s="552"/>
      <c r="K900" s="552"/>
      <c r="L900" s="552"/>
      <c r="M900" s="552"/>
      <c r="N900" s="551"/>
      <c r="O900" s="551"/>
      <c r="P900" s="551"/>
      <c r="Q900" s="551"/>
      <c r="R900" s="551"/>
      <c r="S900" s="551"/>
      <c r="T900" s="551"/>
      <c r="U900" s="551"/>
      <c r="V900" s="551"/>
      <c r="W900" s="551"/>
      <c r="X900" s="551"/>
      <c r="Y900" s="551"/>
      <c r="Z900" s="551"/>
      <c r="AA900" s="551"/>
      <c r="AB900" s="551"/>
      <c r="AC900" s="551"/>
      <c r="AD900" s="551"/>
      <c r="AE900" s="551"/>
      <c r="AF900" s="551"/>
    </row>
    <row r="901">
      <c r="A901" s="552"/>
      <c r="B901" s="552"/>
      <c r="C901" s="552"/>
      <c r="D901" s="552"/>
      <c r="E901" s="552"/>
      <c r="F901" s="552"/>
      <c r="G901" s="552"/>
      <c r="H901" s="552"/>
      <c r="I901" s="552"/>
      <c r="J901" s="552"/>
      <c r="K901" s="552"/>
      <c r="L901" s="552"/>
      <c r="M901" s="552"/>
      <c r="N901" s="551"/>
      <c r="O901" s="551"/>
      <c r="P901" s="551"/>
      <c r="Q901" s="551"/>
      <c r="R901" s="551"/>
      <c r="S901" s="551"/>
      <c r="T901" s="551"/>
      <c r="U901" s="551"/>
      <c r="V901" s="551"/>
      <c r="W901" s="551"/>
      <c r="X901" s="551"/>
      <c r="Y901" s="551"/>
      <c r="Z901" s="551"/>
      <c r="AA901" s="551"/>
      <c r="AB901" s="551"/>
      <c r="AC901" s="551"/>
      <c r="AD901" s="551"/>
      <c r="AE901" s="551"/>
      <c r="AF901" s="551"/>
    </row>
    <row r="902">
      <c r="A902" s="552"/>
      <c r="B902" s="552"/>
      <c r="C902" s="552"/>
      <c r="D902" s="552"/>
      <c r="E902" s="552"/>
      <c r="F902" s="552"/>
      <c r="G902" s="552"/>
      <c r="H902" s="552"/>
      <c r="I902" s="552"/>
      <c r="J902" s="552"/>
      <c r="K902" s="552"/>
      <c r="L902" s="552"/>
      <c r="M902" s="552"/>
      <c r="N902" s="551"/>
      <c r="O902" s="551"/>
      <c r="P902" s="551"/>
      <c r="Q902" s="551"/>
      <c r="R902" s="551"/>
      <c r="S902" s="551"/>
      <c r="T902" s="551"/>
      <c r="U902" s="551"/>
      <c r="V902" s="551"/>
      <c r="W902" s="551"/>
      <c r="X902" s="551"/>
      <c r="Y902" s="551"/>
      <c r="Z902" s="551"/>
      <c r="AA902" s="551"/>
      <c r="AB902" s="551"/>
      <c r="AC902" s="551"/>
      <c r="AD902" s="551"/>
      <c r="AE902" s="551"/>
      <c r="AF902" s="551"/>
    </row>
    <row r="903">
      <c r="A903" s="552"/>
      <c r="B903" s="552"/>
      <c r="C903" s="552"/>
      <c r="D903" s="552"/>
      <c r="E903" s="552"/>
      <c r="F903" s="552"/>
      <c r="G903" s="552"/>
      <c r="H903" s="552"/>
      <c r="I903" s="552"/>
      <c r="J903" s="552"/>
      <c r="K903" s="552"/>
      <c r="L903" s="552"/>
      <c r="M903" s="552"/>
      <c r="N903" s="551"/>
      <c r="O903" s="551"/>
      <c r="P903" s="551"/>
      <c r="Q903" s="551"/>
      <c r="R903" s="551"/>
      <c r="S903" s="551"/>
      <c r="T903" s="551"/>
      <c r="U903" s="551"/>
      <c r="V903" s="551"/>
      <c r="W903" s="551"/>
      <c r="X903" s="551"/>
      <c r="Y903" s="551"/>
      <c r="Z903" s="551"/>
      <c r="AA903" s="551"/>
      <c r="AB903" s="551"/>
      <c r="AC903" s="551"/>
      <c r="AD903" s="551"/>
      <c r="AE903" s="551"/>
      <c r="AF903" s="551"/>
    </row>
    <row r="904">
      <c r="A904" s="552"/>
      <c r="B904" s="552"/>
      <c r="C904" s="552"/>
      <c r="D904" s="552"/>
      <c r="E904" s="552"/>
      <c r="F904" s="552"/>
      <c r="G904" s="552"/>
      <c r="H904" s="552"/>
      <c r="I904" s="552"/>
      <c r="J904" s="552"/>
      <c r="K904" s="552"/>
      <c r="L904" s="552"/>
      <c r="M904" s="552"/>
      <c r="N904" s="551"/>
      <c r="O904" s="551"/>
      <c r="P904" s="551"/>
      <c r="Q904" s="551"/>
      <c r="R904" s="551"/>
      <c r="S904" s="551"/>
      <c r="T904" s="551"/>
      <c r="U904" s="551"/>
      <c r="V904" s="551"/>
      <c r="W904" s="551"/>
      <c r="X904" s="551"/>
      <c r="Y904" s="551"/>
      <c r="Z904" s="551"/>
      <c r="AA904" s="551"/>
      <c r="AB904" s="551"/>
      <c r="AC904" s="551"/>
      <c r="AD904" s="551"/>
      <c r="AE904" s="551"/>
      <c r="AF904" s="551"/>
    </row>
    <row r="905">
      <c r="A905" s="552"/>
      <c r="B905" s="552"/>
      <c r="C905" s="552"/>
      <c r="D905" s="552"/>
      <c r="E905" s="552"/>
      <c r="F905" s="552"/>
      <c r="G905" s="552"/>
      <c r="H905" s="552"/>
      <c r="I905" s="552"/>
      <c r="J905" s="552"/>
      <c r="K905" s="552"/>
      <c r="L905" s="552"/>
      <c r="M905" s="552"/>
      <c r="N905" s="551"/>
      <c r="O905" s="551"/>
      <c r="P905" s="551"/>
      <c r="Q905" s="551"/>
      <c r="R905" s="551"/>
      <c r="S905" s="551"/>
      <c r="T905" s="551"/>
      <c r="U905" s="551"/>
      <c r="V905" s="551"/>
      <c r="W905" s="551"/>
      <c r="X905" s="551"/>
      <c r="Y905" s="551"/>
      <c r="Z905" s="551"/>
      <c r="AA905" s="551"/>
      <c r="AB905" s="551"/>
      <c r="AC905" s="551"/>
      <c r="AD905" s="551"/>
      <c r="AE905" s="551"/>
      <c r="AF905" s="551"/>
    </row>
    <row r="906">
      <c r="A906" s="552"/>
      <c r="B906" s="552"/>
      <c r="C906" s="552"/>
      <c r="D906" s="552"/>
      <c r="E906" s="552"/>
      <c r="F906" s="552"/>
      <c r="G906" s="552"/>
      <c r="H906" s="552"/>
      <c r="I906" s="552"/>
      <c r="J906" s="552"/>
      <c r="K906" s="552"/>
      <c r="L906" s="552"/>
      <c r="M906" s="552"/>
      <c r="N906" s="551"/>
      <c r="O906" s="551"/>
      <c r="P906" s="551"/>
      <c r="Q906" s="551"/>
      <c r="R906" s="551"/>
      <c r="S906" s="551"/>
      <c r="T906" s="551"/>
      <c r="U906" s="551"/>
      <c r="V906" s="551"/>
      <c r="W906" s="551"/>
      <c r="X906" s="551"/>
      <c r="Y906" s="551"/>
      <c r="Z906" s="551"/>
      <c r="AA906" s="551"/>
      <c r="AB906" s="551"/>
      <c r="AC906" s="551"/>
      <c r="AD906" s="551"/>
      <c r="AE906" s="551"/>
      <c r="AF906" s="551"/>
    </row>
    <row r="907">
      <c r="A907" s="552"/>
      <c r="B907" s="552"/>
      <c r="C907" s="552"/>
      <c r="D907" s="552"/>
      <c r="E907" s="552"/>
      <c r="F907" s="552"/>
      <c r="G907" s="552"/>
      <c r="H907" s="552"/>
      <c r="I907" s="552"/>
      <c r="J907" s="552"/>
      <c r="K907" s="552"/>
      <c r="L907" s="552"/>
      <c r="M907" s="552"/>
      <c r="N907" s="551"/>
      <c r="O907" s="551"/>
      <c r="P907" s="551"/>
      <c r="Q907" s="551"/>
      <c r="R907" s="551"/>
      <c r="S907" s="551"/>
      <c r="T907" s="551"/>
      <c r="U907" s="551"/>
      <c r="V907" s="551"/>
      <c r="W907" s="551"/>
      <c r="X907" s="551"/>
      <c r="Y907" s="551"/>
      <c r="Z907" s="551"/>
      <c r="AA907" s="551"/>
      <c r="AB907" s="551"/>
      <c r="AC907" s="551"/>
      <c r="AD907" s="551"/>
      <c r="AE907" s="551"/>
      <c r="AF907" s="551"/>
    </row>
    <row r="908">
      <c r="A908" s="552"/>
      <c r="B908" s="552"/>
      <c r="C908" s="552"/>
      <c r="D908" s="552"/>
      <c r="E908" s="552"/>
      <c r="F908" s="552"/>
      <c r="G908" s="552"/>
      <c r="H908" s="552"/>
      <c r="I908" s="552"/>
      <c r="J908" s="552"/>
      <c r="K908" s="552"/>
      <c r="L908" s="552"/>
      <c r="M908" s="552"/>
      <c r="N908" s="551"/>
      <c r="O908" s="551"/>
      <c r="P908" s="551"/>
      <c r="Q908" s="551"/>
      <c r="R908" s="551"/>
      <c r="S908" s="551"/>
      <c r="T908" s="551"/>
      <c r="U908" s="551"/>
      <c r="V908" s="551"/>
      <c r="W908" s="551"/>
      <c r="X908" s="551"/>
      <c r="Y908" s="551"/>
      <c r="Z908" s="551"/>
      <c r="AA908" s="551"/>
      <c r="AB908" s="551"/>
      <c r="AC908" s="551"/>
      <c r="AD908" s="551"/>
      <c r="AE908" s="551"/>
      <c r="AF908" s="551"/>
    </row>
    <row r="909">
      <c r="A909" s="552"/>
      <c r="B909" s="552"/>
      <c r="C909" s="552"/>
      <c r="D909" s="552"/>
      <c r="E909" s="552"/>
      <c r="F909" s="552"/>
      <c r="G909" s="552"/>
      <c r="H909" s="552"/>
      <c r="I909" s="552"/>
      <c r="J909" s="552"/>
      <c r="K909" s="552"/>
      <c r="L909" s="552"/>
      <c r="M909" s="552"/>
      <c r="N909" s="551"/>
      <c r="O909" s="551"/>
      <c r="P909" s="551"/>
      <c r="Q909" s="551"/>
      <c r="R909" s="551"/>
      <c r="S909" s="551"/>
      <c r="T909" s="551"/>
      <c r="U909" s="551"/>
      <c r="V909" s="551"/>
      <c r="W909" s="551"/>
      <c r="X909" s="551"/>
      <c r="Y909" s="551"/>
      <c r="Z909" s="551"/>
      <c r="AA909" s="551"/>
      <c r="AB909" s="551"/>
      <c r="AC909" s="551"/>
      <c r="AD909" s="551"/>
      <c r="AE909" s="551"/>
      <c r="AF909" s="551"/>
    </row>
    <row r="910">
      <c r="A910" s="552"/>
      <c r="B910" s="552"/>
      <c r="C910" s="552"/>
      <c r="D910" s="552"/>
      <c r="E910" s="552"/>
      <c r="F910" s="552"/>
      <c r="G910" s="552"/>
      <c r="H910" s="552"/>
      <c r="I910" s="552"/>
      <c r="J910" s="552"/>
      <c r="K910" s="552"/>
      <c r="L910" s="552"/>
      <c r="M910" s="552"/>
      <c r="N910" s="551"/>
      <c r="O910" s="551"/>
      <c r="P910" s="551"/>
      <c r="Q910" s="551"/>
      <c r="R910" s="551"/>
      <c r="S910" s="551"/>
      <c r="T910" s="551"/>
      <c r="U910" s="551"/>
      <c r="V910" s="551"/>
      <c r="W910" s="551"/>
      <c r="X910" s="551"/>
      <c r="Y910" s="551"/>
      <c r="Z910" s="551"/>
      <c r="AA910" s="551"/>
      <c r="AB910" s="551"/>
      <c r="AC910" s="551"/>
      <c r="AD910" s="551"/>
      <c r="AE910" s="551"/>
      <c r="AF910" s="551"/>
    </row>
    <row r="911">
      <c r="A911" s="552"/>
      <c r="B911" s="552"/>
      <c r="C911" s="552"/>
      <c r="D911" s="552"/>
      <c r="E911" s="552"/>
      <c r="F911" s="552"/>
      <c r="G911" s="552"/>
      <c r="H911" s="552"/>
      <c r="I911" s="552"/>
      <c r="J911" s="552"/>
      <c r="K911" s="552"/>
      <c r="L911" s="552"/>
      <c r="M911" s="552"/>
      <c r="N911" s="551"/>
      <c r="O911" s="551"/>
      <c r="P911" s="551"/>
      <c r="Q911" s="551"/>
      <c r="R911" s="551"/>
      <c r="S911" s="551"/>
      <c r="T911" s="551"/>
      <c r="U911" s="551"/>
      <c r="V911" s="551"/>
      <c r="W911" s="551"/>
      <c r="X911" s="551"/>
      <c r="Y911" s="551"/>
      <c r="Z911" s="551"/>
      <c r="AA911" s="551"/>
      <c r="AB911" s="551"/>
      <c r="AC911" s="551"/>
      <c r="AD911" s="551"/>
      <c r="AE911" s="551"/>
      <c r="AF911" s="551"/>
    </row>
    <row r="912">
      <c r="A912" s="552"/>
      <c r="B912" s="552"/>
      <c r="C912" s="552"/>
      <c r="D912" s="552"/>
      <c r="E912" s="552"/>
      <c r="F912" s="552"/>
      <c r="G912" s="552"/>
      <c r="H912" s="552"/>
      <c r="I912" s="552"/>
      <c r="J912" s="552"/>
      <c r="K912" s="552"/>
      <c r="L912" s="552"/>
      <c r="M912" s="552"/>
      <c r="N912" s="551"/>
      <c r="O912" s="551"/>
      <c r="P912" s="551"/>
      <c r="Q912" s="551"/>
      <c r="R912" s="551"/>
      <c r="S912" s="551"/>
      <c r="T912" s="551"/>
      <c r="U912" s="551"/>
      <c r="V912" s="551"/>
      <c r="W912" s="551"/>
      <c r="X912" s="551"/>
      <c r="Y912" s="551"/>
      <c r="Z912" s="551"/>
      <c r="AA912" s="551"/>
      <c r="AB912" s="551"/>
      <c r="AC912" s="551"/>
      <c r="AD912" s="551"/>
      <c r="AE912" s="551"/>
      <c r="AF912" s="551"/>
    </row>
    <row r="913">
      <c r="A913" s="552"/>
      <c r="B913" s="552"/>
      <c r="C913" s="552"/>
      <c r="D913" s="552"/>
      <c r="E913" s="552"/>
      <c r="F913" s="552"/>
      <c r="G913" s="552"/>
      <c r="H913" s="552"/>
      <c r="I913" s="552"/>
      <c r="J913" s="552"/>
      <c r="K913" s="552"/>
      <c r="L913" s="552"/>
      <c r="M913" s="552"/>
      <c r="N913" s="551"/>
      <c r="O913" s="551"/>
      <c r="P913" s="551"/>
      <c r="Q913" s="551"/>
      <c r="R913" s="551"/>
      <c r="S913" s="551"/>
      <c r="T913" s="551"/>
      <c r="U913" s="551"/>
      <c r="V913" s="551"/>
      <c r="W913" s="551"/>
      <c r="X913" s="551"/>
      <c r="Y913" s="551"/>
      <c r="Z913" s="551"/>
      <c r="AA913" s="551"/>
      <c r="AB913" s="551"/>
      <c r="AC913" s="551"/>
      <c r="AD913" s="551"/>
      <c r="AE913" s="551"/>
      <c r="AF913" s="551"/>
    </row>
    <row r="914">
      <c r="A914" s="552"/>
      <c r="B914" s="552"/>
      <c r="C914" s="552"/>
      <c r="D914" s="552"/>
      <c r="E914" s="552"/>
      <c r="F914" s="552"/>
      <c r="G914" s="552"/>
      <c r="H914" s="552"/>
      <c r="I914" s="552"/>
      <c r="J914" s="552"/>
      <c r="K914" s="552"/>
      <c r="L914" s="552"/>
      <c r="M914" s="552"/>
      <c r="N914" s="551"/>
      <c r="O914" s="551"/>
      <c r="P914" s="551"/>
      <c r="Q914" s="551"/>
      <c r="R914" s="551"/>
      <c r="S914" s="551"/>
      <c r="T914" s="551"/>
      <c r="U914" s="551"/>
      <c r="V914" s="551"/>
      <c r="W914" s="551"/>
      <c r="X914" s="551"/>
      <c r="Y914" s="551"/>
      <c r="Z914" s="551"/>
      <c r="AA914" s="551"/>
      <c r="AB914" s="551"/>
      <c r="AC914" s="551"/>
      <c r="AD914" s="551"/>
      <c r="AE914" s="551"/>
      <c r="AF914" s="551"/>
    </row>
    <row r="915">
      <c r="A915" s="552"/>
      <c r="B915" s="552"/>
      <c r="C915" s="552"/>
      <c r="D915" s="552"/>
      <c r="E915" s="552"/>
      <c r="F915" s="552"/>
      <c r="G915" s="552"/>
      <c r="H915" s="552"/>
      <c r="I915" s="552"/>
      <c r="J915" s="552"/>
      <c r="K915" s="552"/>
      <c r="L915" s="552"/>
      <c r="M915" s="552"/>
      <c r="N915" s="551"/>
      <c r="O915" s="551"/>
      <c r="P915" s="551"/>
      <c r="Q915" s="551"/>
      <c r="R915" s="551"/>
      <c r="S915" s="551"/>
      <c r="T915" s="551"/>
      <c r="U915" s="551"/>
      <c r="V915" s="551"/>
      <c r="W915" s="551"/>
      <c r="X915" s="551"/>
      <c r="Y915" s="551"/>
      <c r="Z915" s="551"/>
      <c r="AA915" s="551"/>
      <c r="AB915" s="551"/>
      <c r="AC915" s="551"/>
      <c r="AD915" s="551"/>
      <c r="AE915" s="551"/>
      <c r="AF915" s="551"/>
    </row>
    <row r="916">
      <c r="A916" s="552"/>
      <c r="B916" s="552"/>
      <c r="C916" s="552"/>
      <c r="D916" s="552"/>
      <c r="E916" s="552"/>
      <c r="F916" s="552"/>
      <c r="G916" s="552"/>
      <c r="H916" s="552"/>
      <c r="I916" s="552"/>
      <c r="J916" s="552"/>
      <c r="K916" s="552"/>
      <c r="L916" s="552"/>
      <c r="M916" s="552"/>
      <c r="N916" s="551"/>
      <c r="O916" s="551"/>
      <c r="P916" s="551"/>
      <c r="Q916" s="551"/>
      <c r="R916" s="551"/>
      <c r="S916" s="551"/>
      <c r="T916" s="551"/>
      <c r="U916" s="551"/>
      <c r="V916" s="551"/>
      <c r="W916" s="551"/>
      <c r="X916" s="551"/>
      <c r="Y916" s="551"/>
      <c r="Z916" s="551"/>
      <c r="AA916" s="551"/>
      <c r="AB916" s="551"/>
      <c r="AC916" s="551"/>
      <c r="AD916" s="551"/>
      <c r="AE916" s="551"/>
      <c r="AF916" s="551"/>
    </row>
    <row r="917">
      <c r="A917" s="552"/>
      <c r="B917" s="552"/>
      <c r="C917" s="552"/>
      <c r="D917" s="552"/>
      <c r="E917" s="552"/>
      <c r="F917" s="552"/>
      <c r="G917" s="552"/>
      <c r="H917" s="552"/>
      <c r="I917" s="552"/>
      <c r="J917" s="552"/>
      <c r="K917" s="552"/>
      <c r="L917" s="552"/>
      <c r="M917" s="552"/>
      <c r="N917" s="551"/>
      <c r="O917" s="551"/>
      <c r="P917" s="551"/>
      <c r="Q917" s="551"/>
      <c r="R917" s="551"/>
      <c r="S917" s="551"/>
      <c r="T917" s="551"/>
      <c r="U917" s="551"/>
      <c r="V917" s="551"/>
      <c r="W917" s="551"/>
      <c r="X917" s="551"/>
      <c r="Y917" s="551"/>
      <c r="Z917" s="551"/>
      <c r="AA917" s="551"/>
      <c r="AB917" s="551"/>
      <c r="AC917" s="551"/>
      <c r="AD917" s="551"/>
      <c r="AE917" s="551"/>
      <c r="AF917" s="551"/>
    </row>
    <row r="918">
      <c r="A918" s="552"/>
      <c r="B918" s="552"/>
      <c r="C918" s="552"/>
      <c r="D918" s="552"/>
      <c r="E918" s="552"/>
      <c r="F918" s="552"/>
      <c r="G918" s="552"/>
      <c r="H918" s="552"/>
      <c r="I918" s="552"/>
      <c r="J918" s="552"/>
      <c r="K918" s="552"/>
      <c r="L918" s="552"/>
      <c r="M918" s="552"/>
      <c r="N918" s="551"/>
      <c r="O918" s="551"/>
      <c r="P918" s="551"/>
      <c r="Q918" s="551"/>
      <c r="R918" s="551"/>
      <c r="S918" s="551"/>
      <c r="T918" s="551"/>
      <c r="U918" s="551"/>
      <c r="V918" s="551"/>
      <c r="W918" s="551"/>
      <c r="X918" s="551"/>
      <c r="Y918" s="551"/>
      <c r="Z918" s="551"/>
      <c r="AA918" s="551"/>
      <c r="AB918" s="551"/>
      <c r="AC918" s="551"/>
      <c r="AD918" s="551"/>
      <c r="AE918" s="551"/>
      <c r="AF918" s="551"/>
    </row>
    <row r="919">
      <c r="A919" s="552"/>
      <c r="B919" s="552"/>
      <c r="C919" s="552"/>
      <c r="D919" s="552"/>
      <c r="E919" s="552"/>
      <c r="F919" s="552"/>
      <c r="G919" s="552"/>
      <c r="H919" s="552"/>
      <c r="I919" s="552"/>
      <c r="J919" s="552"/>
      <c r="K919" s="552"/>
      <c r="L919" s="552"/>
      <c r="M919" s="552"/>
      <c r="N919" s="551"/>
      <c r="O919" s="551"/>
      <c r="P919" s="551"/>
      <c r="Q919" s="551"/>
      <c r="R919" s="551"/>
      <c r="S919" s="551"/>
      <c r="T919" s="551"/>
      <c r="U919" s="551"/>
      <c r="V919" s="551"/>
      <c r="W919" s="551"/>
      <c r="X919" s="551"/>
      <c r="Y919" s="551"/>
      <c r="Z919" s="551"/>
      <c r="AA919" s="551"/>
      <c r="AB919" s="551"/>
      <c r="AC919" s="551"/>
      <c r="AD919" s="551"/>
      <c r="AE919" s="551"/>
      <c r="AF919" s="551"/>
    </row>
    <row r="920">
      <c r="A920" s="552"/>
      <c r="B920" s="552"/>
      <c r="C920" s="552"/>
      <c r="D920" s="552"/>
      <c r="E920" s="552"/>
      <c r="F920" s="552"/>
      <c r="G920" s="552"/>
      <c r="H920" s="552"/>
      <c r="I920" s="552"/>
      <c r="J920" s="552"/>
      <c r="K920" s="552"/>
      <c r="L920" s="552"/>
      <c r="M920" s="552"/>
      <c r="N920" s="551"/>
      <c r="O920" s="551"/>
      <c r="P920" s="551"/>
      <c r="Q920" s="551"/>
      <c r="R920" s="551"/>
      <c r="S920" s="551"/>
      <c r="T920" s="551"/>
      <c r="U920" s="551"/>
      <c r="V920" s="551"/>
      <c r="W920" s="551"/>
      <c r="X920" s="551"/>
      <c r="Y920" s="551"/>
      <c r="Z920" s="551"/>
      <c r="AA920" s="551"/>
      <c r="AB920" s="551"/>
      <c r="AC920" s="551"/>
      <c r="AD920" s="551"/>
      <c r="AE920" s="551"/>
      <c r="AF920" s="551"/>
    </row>
    <row r="921">
      <c r="A921" s="552"/>
      <c r="B921" s="552"/>
      <c r="C921" s="552"/>
      <c r="D921" s="552"/>
      <c r="E921" s="552"/>
      <c r="F921" s="552"/>
      <c r="G921" s="552"/>
      <c r="H921" s="552"/>
      <c r="I921" s="552"/>
      <c r="J921" s="552"/>
      <c r="K921" s="552"/>
      <c r="L921" s="552"/>
      <c r="M921" s="552"/>
      <c r="N921" s="551"/>
      <c r="O921" s="551"/>
      <c r="P921" s="551"/>
      <c r="Q921" s="551"/>
      <c r="R921" s="551"/>
      <c r="S921" s="551"/>
      <c r="T921" s="551"/>
      <c r="U921" s="551"/>
      <c r="V921" s="551"/>
      <c r="W921" s="551"/>
      <c r="X921" s="551"/>
      <c r="Y921" s="551"/>
      <c r="Z921" s="551"/>
      <c r="AA921" s="551"/>
      <c r="AB921" s="551"/>
      <c r="AC921" s="551"/>
      <c r="AD921" s="551"/>
      <c r="AE921" s="551"/>
      <c r="AF921" s="551"/>
    </row>
    <row r="922">
      <c r="A922" s="552"/>
      <c r="B922" s="552"/>
      <c r="C922" s="552"/>
      <c r="D922" s="552"/>
      <c r="E922" s="552"/>
      <c r="F922" s="552"/>
      <c r="G922" s="552"/>
      <c r="H922" s="552"/>
      <c r="I922" s="552"/>
      <c r="J922" s="552"/>
      <c r="K922" s="552"/>
      <c r="L922" s="552"/>
      <c r="M922" s="552"/>
      <c r="N922" s="551"/>
      <c r="O922" s="551"/>
      <c r="P922" s="551"/>
      <c r="Q922" s="551"/>
      <c r="R922" s="551"/>
      <c r="S922" s="551"/>
      <c r="T922" s="551"/>
      <c r="U922" s="551"/>
      <c r="V922" s="551"/>
      <c r="W922" s="551"/>
      <c r="X922" s="551"/>
      <c r="Y922" s="551"/>
      <c r="Z922" s="551"/>
      <c r="AA922" s="551"/>
      <c r="AB922" s="551"/>
      <c r="AC922" s="551"/>
      <c r="AD922" s="551"/>
      <c r="AE922" s="551"/>
      <c r="AF922" s="551"/>
    </row>
    <row r="923">
      <c r="A923" s="552"/>
      <c r="B923" s="552"/>
      <c r="C923" s="552"/>
      <c r="D923" s="552"/>
      <c r="E923" s="552"/>
      <c r="F923" s="552"/>
      <c r="G923" s="552"/>
      <c r="H923" s="552"/>
      <c r="I923" s="552"/>
      <c r="J923" s="552"/>
      <c r="K923" s="552"/>
      <c r="L923" s="552"/>
      <c r="M923" s="552"/>
      <c r="N923" s="551"/>
      <c r="O923" s="551"/>
      <c r="P923" s="551"/>
      <c r="Q923" s="551"/>
      <c r="R923" s="551"/>
      <c r="S923" s="551"/>
      <c r="T923" s="551"/>
      <c r="U923" s="551"/>
      <c r="V923" s="551"/>
      <c r="W923" s="551"/>
      <c r="X923" s="551"/>
      <c r="Y923" s="551"/>
      <c r="Z923" s="551"/>
      <c r="AA923" s="551"/>
      <c r="AB923" s="551"/>
      <c r="AC923" s="551"/>
      <c r="AD923" s="551"/>
      <c r="AE923" s="551"/>
      <c r="AF923" s="551"/>
    </row>
    <row r="924">
      <c r="A924" s="552"/>
      <c r="B924" s="552"/>
      <c r="C924" s="552"/>
      <c r="D924" s="552"/>
      <c r="E924" s="552"/>
      <c r="F924" s="552"/>
      <c r="G924" s="552"/>
      <c r="H924" s="552"/>
      <c r="I924" s="552"/>
      <c r="J924" s="552"/>
      <c r="K924" s="552"/>
      <c r="L924" s="552"/>
      <c r="M924" s="552"/>
      <c r="N924" s="551"/>
      <c r="O924" s="551"/>
      <c r="P924" s="551"/>
      <c r="Q924" s="551"/>
      <c r="R924" s="551"/>
      <c r="S924" s="551"/>
      <c r="T924" s="551"/>
      <c r="U924" s="551"/>
      <c r="V924" s="551"/>
      <c r="W924" s="551"/>
      <c r="X924" s="551"/>
      <c r="Y924" s="551"/>
      <c r="Z924" s="551"/>
      <c r="AA924" s="551"/>
      <c r="AB924" s="551"/>
      <c r="AC924" s="551"/>
      <c r="AD924" s="551"/>
      <c r="AE924" s="551"/>
      <c r="AF924" s="551"/>
    </row>
    <row r="925">
      <c r="A925" s="552"/>
      <c r="B925" s="552"/>
      <c r="C925" s="552"/>
      <c r="D925" s="552"/>
      <c r="E925" s="552"/>
      <c r="F925" s="552"/>
      <c r="G925" s="552"/>
      <c r="H925" s="552"/>
      <c r="I925" s="552"/>
      <c r="J925" s="552"/>
      <c r="K925" s="552"/>
      <c r="L925" s="552"/>
      <c r="M925" s="552"/>
      <c r="N925" s="551"/>
      <c r="O925" s="551"/>
      <c r="P925" s="551"/>
      <c r="Q925" s="551"/>
      <c r="R925" s="551"/>
      <c r="S925" s="551"/>
      <c r="T925" s="551"/>
      <c r="U925" s="551"/>
      <c r="V925" s="551"/>
      <c r="W925" s="551"/>
      <c r="X925" s="551"/>
      <c r="Y925" s="551"/>
      <c r="Z925" s="551"/>
      <c r="AA925" s="551"/>
      <c r="AB925" s="551"/>
      <c r="AC925" s="551"/>
      <c r="AD925" s="551"/>
      <c r="AE925" s="551"/>
      <c r="AF925" s="551"/>
    </row>
    <row r="926">
      <c r="A926" s="552"/>
      <c r="B926" s="552"/>
      <c r="C926" s="552"/>
      <c r="D926" s="552"/>
      <c r="E926" s="552"/>
      <c r="F926" s="552"/>
      <c r="G926" s="552"/>
      <c r="H926" s="552"/>
      <c r="I926" s="552"/>
      <c r="J926" s="552"/>
      <c r="K926" s="552"/>
      <c r="L926" s="552"/>
      <c r="M926" s="552"/>
      <c r="N926" s="551"/>
      <c r="O926" s="551"/>
      <c r="P926" s="551"/>
      <c r="Q926" s="551"/>
      <c r="R926" s="551"/>
      <c r="S926" s="551"/>
      <c r="T926" s="551"/>
      <c r="U926" s="551"/>
      <c r="V926" s="551"/>
      <c r="W926" s="551"/>
      <c r="X926" s="551"/>
      <c r="Y926" s="551"/>
      <c r="Z926" s="551"/>
      <c r="AA926" s="551"/>
      <c r="AB926" s="551"/>
      <c r="AC926" s="551"/>
      <c r="AD926" s="551"/>
      <c r="AE926" s="551"/>
      <c r="AF926" s="551"/>
    </row>
    <row r="927">
      <c r="A927" s="552"/>
      <c r="B927" s="552"/>
      <c r="C927" s="552"/>
      <c r="D927" s="552"/>
      <c r="E927" s="552"/>
      <c r="F927" s="552"/>
      <c r="G927" s="552"/>
      <c r="H927" s="552"/>
      <c r="I927" s="552"/>
      <c r="J927" s="552"/>
      <c r="K927" s="552"/>
      <c r="L927" s="552"/>
      <c r="M927" s="552"/>
      <c r="N927" s="551"/>
      <c r="O927" s="551"/>
      <c r="P927" s="551"/>
      <c r="Q927" s="551"/>
      <c r="R927" s="551"/>
      <c r="S927" s="551"/>
      <c r="T927" s="551"/>
      <c r="U927" s="551"/>
      <c r="V927" s="551"/>
      <c r="W927" s="551"/>
      <c r="X927" s="551"/>
      <c r="Y927" s="551"/>
      <c r="Z927" s="551"/>
      <c r="AA927" s="551"/>
      <c r="AB927" s="551"/>
      <c r="AC927" s="551"/>
      <c r="AD927" s="551"/>
      <c r="AE927" s="551"/>
      <c r="AF927" s="551"/>
    </row>
    <row r="928">
      <c r="A928" s="552"/>
      <c r="B928" s="552"/>
      <c r="C928" s="552"/>
      <c r="D928" s="552"/>
      <c r="E928" s="552"/>
      <c r="F928" s="552"/>
      <c r="G928" s="552"/>
      <c r="H928" s="552"/>
      <c r="I928" s="552"/>
      <c r="J928" s="552"/>
      <c r="K928" s="552"/>
      <c r="L928" s="552"/>
      <c r="M928" s="552"/>
      <c r="N928" s="551"/>
      <c r="O928" s="551"/>
      <c r="P928" s="551"/>
      <c r="Q928" s="551"/>
      <c r="R928" s="551"/>
      <c r="S928" s="551"/>
      <c r="T928" s="551"/>
      <c r="U928" s="551"/>
      <c r="V928" s="551"/>
      <c r="W928" s="551"/>
      <c r="X928" s="551"/>
      <c r="Y928" s="551"/>
      <c r="Z928" s="551"/>
      <c r="AA928" s="551"/>
      <c r="AB928" s="551"/>
      <c r="AC928" s="551"/>
      <c r="AD928" s="551"/>
      <c r="AE928" s="551"/>
      <c r="AF928" s="551"/>
    </row>
    <row r="929">
      <c r="A929" s="552"/>
      <c r="B929" s="552"/>
      <c r="C929" s="552"/>
      <c r="D929" s="552"/>
      <c r="E929" s="552"/>
      <c r="F929" s="552"/>
      <c r="G929" s="552"/>
      <c r="H929" s="552"/>
      <c r="I929" s="552"/>
      <c r="J929" s="552"/>
      <c r="K929" s="552"/>
      <c r="L929" s="552"/>
      <c r="M929" s="552"/>
      <c r="N929" s="551"/>
      <c r="O929" s="551"/>
      <c r="P929" s="551"/>
      <c r="Q929" s="551"/>
      <c r="R929" s="551"/>
      <c r="S929" s="551"/>
      <c r="T929" s="551"/>
      <c r="U929" s="551"/>
      <c r="V929" s="551"/>
      <c r="W929" s="551"/>
      <c r="X929" s="551"/>
      <c r="Y929" s="551"/>
      <c r="Z929" s="551"/>
      <c r="AA929" s="551"/>
      <c r="AB929" s="551"/>
      <c r="AC929" s="551"/>
      <c r="AD929" s="551"/>
      <c r="AE929" s="551"/>
      <c r="AF929" s="551"/>
    </row>
    <row r="930">
      <c r="A930" s="552"/>
      <c r="B930" s="552"/>
      <c r="C930" s="552"/>
      <c r="D930" s="552"/>
      <c r="E930" s="552"/>
      <c r="F930" s="552"/>
      <c r="G930" s="552"/>
      <c r="H930" s="552"/>
      <c r="I930" s="552"/>
      <c r="J930" s="552"/>
      <c r="K930" s="552"/>
      <c r="L930" s="552"/>
      <c r="M930" s="552"/>
      <c r="N930" s="551"/>
      <c r="O930" s="551"/>
      <c r="P930" s="551"/>
      <c r="Q930" s="551"/>
      <c r="R930" s="551"/>
      <c r="S930" s="551"/>
      <c r="T930" s="551"/>
      <c r="U930" s="551"/>
      <c r="V930" s="551"/>
      <c r="W930" s="551"/>
      <c r="X930" s="551"/>
      <c r="Y930" s="551"/>
      <c r="Z930" s="551"/>
      <c r="AA930" s="551"/>
      <c r="AB930" s="551"/>
      <c r="AC930" s="551"/>
      <c r="AD930" s="551"/>
      <c r="AE930" s="551"/>
      <c r="AF930" s="551"/>
    </row>
    <row r="931">
      <c r="A931" s="552"/>
      <c r="B931" s="552"/>
      <c r="C931" s="552"/>
      <c r="D931" s="552"/>
      <c r="E931" s="552"/>
      <c r="F931" s="552"/>
      <c r="G931" s="552"/>
      <c r="H931" s="552"/>
      <c r="I931" s="552"/>
      <c r="J931" s="552"/>
      <c r="K931" s="552"/>
      <c r="L931" s="552"/>
      <c r="M931" s="552"/>
      <c r="N931" s="551"/>
      <c r="O931" s="551"/>
      <c r="P931" s="551"/>
      <c r="Q931" s="551"/>
      <c r="R931" s="551"/>
      <c r="S931" s="551"/>
      <c r="T931" s="551"/>
      <c r="U931" s="551"/>
      <c r="V931" s="551"/>
      <c r="W931" s="551"/>
      <c r="X931" s="551"/>
      <c r="Y931" s="551"/>
      <c r="Z931" s="551"/>
      <c r="AA931" s="551"/>
      <c r="AB931" s="551"/>
      <c r="AC931" s="551"/>
      <c r="AD931" s="551"/>
      <c r="AE931" s="551"/>
      <c r="AF931" s="551"/>
    </row>
    <row r="932">
      <c r="A932" s="552"/>
      <c r="B932" s="552"/>
      <c r="C932" s="552"/>
      <c r="D932" s="552"/>
      <c r="E932" s="552"/>
      <c r="F932" s="552"/>
      <c r="G932" s="552"/>
      <c r="H932" s="552"/>
      <c r="I932" s="552"/>
      <c r="J932" s="552"/>
      <c r="K932" s="552"/>
      <c r="L932" s="552"/>
      <c r="M932" s="552"/>
      <c r="N932" s="551"/>
      <c r="O932" s="551"/>
      <c r="P932" s="551"/>
      <c r="Q932" s="551"/>
      <c r="R932" s="551"/>
      <c r="S932" s="551"/>
      <c r="T932" s="551"/>
      <c r="U932" s="551"/>
      <c r="V932" s="551"/>
      <c r="W932" s="551"/>
      <c r="X932" s="551"/>
      <c r="Y932" s="551"/>
      <c r="Z932" s="551"/>
      <c r="AA932" s="551"/>
      <c r="AB932" s="551"/>
      <c r="AC932" s="551"/>
      <c r="AD932" s="551"/>
      <c r="AE932" s="551"/>
      <c r="AF932" s="551"/>
    </row>
    <row r="933">
      <c r="A933" s="552"/>
      <c r="B933" s="552"/>
      <c r="C933" s="552"/>
      <c r="D933" s="552"/>
      <c r="E933" s="552"/>
      <c r="F933" s="552"/>
      <c r="G933" s="552"/>
      <c r="H933" s="552"/>
      <c r="I933" s="552"/>
      <c r="J933" s="552"/>
      <c r="K933" s="552"/>
      <c r="L933" s="552"/>
      <c r="M933" s="552"/>
      <c r="N933" s="551"/>
      <c r="O933" s="551"/>
      <c r="P933" s="551"/>
      <c r="Q933" s="551"/>
      <c r="R933" s="551"/>
      <c r="S933" s="551"/>
      <c r="T933" s="551"/>
      <c r="U933" s="551"/>
      <c r="V933" s="551"/>
      <c r="W933" s="551"/>
      <c r="X933" s="551"/>
      <c r="Y933" s="551"/>
      <c r="Z933" s="551"/>
      <c r="AA933" s="551"/>
      <c r="AB933" s="551"/>
      <c r="AC933" s="551"/>
      <c r="AD933" s="551"/>
      <c r="AE933" s="551"/>
      <c r="AF933" s="551"/>
    </row>
    <row r="934">
      <c r="A934" s="552"/>
      <c r="B934" s="552"/>
      <c r="C934" s="552"/>
      <c r="D934" s="552"/>
      <c r="E934" s="552"/>
      <c r="F934" s="552"/>
      <c r="G934" s="552"/>
      <c r="H934" s="552"/>
      <c r="I934" s="552"/>
      <c r="J934" s="552"/>
      <c r="K934" s="552"/>
      <c r="L934" s="552"/>
      <c r="M934" s="552"/>
      <c r="N934" s="551"/>
      <c r="O934" s="551"/>
      <c r="P934" s="551"/>
      <c r="Q934" s="551"/>
      <c r="R934" s="551"/>
      <c r="S934" s="551"/>
      <c r="T934" s="551"/>
      <c r="U934" s="551"/>
      <c r="V934" s="551"/>
      <c r="W934" s="551"/>
      <c r="X934" s="551"/>
      <c r="Y934" s="551"/>
      <c r="Z934" s="551"/>
      <c r="AA934" s="551"/>
      <c r="AB934" s="551"/>
      <c r="AC934" s="551"/>
      <c r="AD934" s="551"/>
      <c r="AE934" s="551"/>
      <c r="AF934" s="551"/>
    </row>
    <row r="935">
      <c r="A935" s="552"/>
      <c r="B935" s="552"/>
      <c r="C935" s="552"/>
      <c r="D935" s="552"/>
      <c r="E935" s="552"/>
      <c r="F935" s="552"/>
      <c r="G935" s="552"/>
      <c r="H935" s="552"/>
      <c r="I935" s="552"/>
      <c r="J935" s="552"/>
      <c r="K935" s="552"/>
      <c r="L935" s="552"/>
      <c r="M935" s="552"/>
      <c r="N935" s="551"/>
      <c r="O935" s="551"/>
      <c r="P935" s="551"/>
      <c r="Q935" s="551"/>
      <c r="R935" s="551"/>
      <c r="S935" s="551"/>
      <c r="T935" s="551"/>
      <c r="U935" s="551"/>
      <c r="V935" s="551"/>
      <c r="W935" s="551"/>
      <c r="X935" s="551"/>
      <c r="Y935" s="551"/>
      <c r="Z935" s="551"/>
      <c r="AA935" s="551"/>
      <c r="AB935" s="551"/>
      <c r="AC935" s="551"/>
      <c r="AD935" s="551"/>
      <c r="AE935" s="551"/>
      <c r="AF935" s="551"/>
    </row>
    <row r="936">
      <c r="A936" s="552"/>
      <c r="B936" s="552"/>
      <c r="C936" s="552"/>
      <c r="D936" s="552"/>
      <c r="E936" s="552"/>
      <c r="F936" s="552"/>
      <c r="G936" s="552"/>
      <c r="H936" s="552"/>
      <c r="I936" s="552"/>
      <c r="J936" s="552"/>
      <c r="K936" s="552"/>
      <c r="L936" s="552"/>
      <c r="M936" s="552"/>
      <c r="N936" s="551"/>
      <c r="O936" s="551"/>
      <c r="P936" s="551"/>
      <c r="Q936" s="551"/>
      <c r="R936" s="551"/>
      <c r="S936" s="551"/>
      <c r="T936" s="551"/>
      <c r="U936" s="551"/>
      <c r="V936" s="551"/>
      <c r="W936" s="551"/>
      <c r="X936" s="551"/>
      <c r="Y936" s="551"/>
      <c r="Z936" s="551"/>
      <c r="AA936" s="551"/>
      <c r="AB936" s="551"/>
      <c r="AC936" s="551"/>
      <c r="AD936" s="551"/>
      <c r="AE936" s="551"/>
      <c r="AF936" s="551"/>
    </row>
    <row r="937">
      <c r="A937" s="552"/>
      <c r="B937" s="552"/>
      <c r="C937" s="552"/>
      <c r="D937" s="552"/>
      <c r="E937" s="552"/>
      <c r="F937" s="552"/>
      <c r="G937" s="552"/>
      <c r="H937" s="552"/>
      <c r="I937" s="552"/>
      <c r="J937" s="552"/>
      <c r="K937" s="552"/>
      <c r="L937" s="552"/>
      <c r="M937" s="552"/>
      <c r="N937" s="551"/>
      <c r="O937" s="551"/>
      <c r="P937" s="551"/>
      <c r="Q937" s="551"/>
      <c r="R937" s="551"/>
      <c r="S937" s="551"/>
      <c r="T937" s="551"/>
      <c r="U937" s="551"/>
      <c r="V937" s="551"/>
      <c r="W937" s="551"/>
      <c r="X937" s="551"/>
      <c r="Y937" s="551"/>
      <c r="Z937" s="551"/>
      <c r="AA937" s="551"/>
      <c r="AB937" s="551"/>
      <c r="AC937" s="551"/>
      <c r="AD937" s="551"/>
      <c r="AE937" s="551"/>
      <c r="AF937" s="551"/>
    </row>
    <row r="938">
      <c r="A938" s="552"/>
      <c r="B938" s="552"/>
      <c r="C938" s="552"/>
      <c r="D938" s="552"/>
      <c r="E938" s="552"/>
      <c r="F938" s="552"/>
      <c r="G938" s="552"/>
      <c r="H938" s="552"/>
      <c r="I938" s="552"/>
      <c r="J938" s="552"/>
      <c r="K938" s="552"/>
      <c r="L938" s="552"/>
      <c r="M938" s="552"/>
      <c r="N938" s="551"/>
      <c r="O938" s="551"/>
      <c r="P938" s="551"/>
      <c r="Q938" s="551"/>
      <c r="R938" s="551"/>
      <c r="S938" s="551"/>
      <c r="T938" s="551"/>
      <c r="U938" s="551"/>
      <c r="V938" s="551"/>
      <c r="W938" s="551"/>
      <c r="X938" s="551"/>
      <c r="Y938" s="551"/>
      <c r="Z938" s="551"/>
      <c r="AA938" s="551"/>
      <c r="AB938" s="551"/>
      <c r="AC938" s="551"/>
      <c r="AD938" s="551"/>
      <c r="AE938" s="551"/>
      <c r="AF938" s="551"/>
    </row>
    <row r="939">
      <c r="A939" s="552"/>
      <c r="B939" s="552"/>
      <c r="C939" s="552"/>
      <c r="D939" s="552"/>
      <c r="E939" s="552"/>
      <c r="F939" s="552"/>
      <c r="G939" s="552"/>
      <c r="H939" s="552"/>
      <c r="I939" s="552"/>
      <c r="J939" s="552"/>
      <c r="K939" s="552"/>
      <c r="L939" s="552"/>
      <c r="M939" s="552"/>
      <c r="N939" s="551"/>
      <c r="O939" s="551"/>
      <c r="P939" s="551"/>
      <c r="Q939" s="551"/>
      <c r="R939" s="551"/>
      <c r="S939" s="551"/>
      <c r="T939" s="551"/>
      <c r="U939" s="551"/>
      <c r="V939" s="551"/>
      <c r="W939" s="551"/>
      <c r="X939" s="551"/>
      <c r="Y939" s="551"/>
      <c r="Z939" s="551"/>
      <c r="AA939" s="551"/>
      <c r="AB939" s="551"/>
      <c r="AC939" s="551"/>
      <c r="AD939" s="551"/>
      <c r="AE939" s="551"/>
      <c r="AF939" s="551"/>
    </row>
    <row r="940">
      <c r="A940" s="552"/>
      <c r="B940" s="552"/>
      <c r="C940" s="552"/>
      <c r="D940" s="552"/>
      <c r="E940" s="552"/>
      <c r="F940" s="552"/>
      <c r="G940" s="552"/>
      <c r="H940" s="552"/>
      <c r="I940" s="552"/>
      <c r="J940" s="552"/>
      <c r="K940" s="552"/>
      <c r="L940" s="552"/>
      <c r="M940" s="552"/>
      <c r="N940" s="551"/>
      <c r="O940" s="551"/>
      <c r="P940" s="551"/>
      <c r="Q940" s="551"/>
      <c r="R940" s="551"/>
      <c r="S940" s="551"/>
      <c r="T940" s="551"/>
      <c r="U940" s="551"/>
      <c r="V940" s="551"/>
      <c r="W940" s="551"/>
      <c r="X940" s="551"/>
      <c r="Y940" s="551"/>
      <c r="Z940" s="551"/>
      <c r="AA940" s="551"/>
      <c r="AB940" s="551"/>
      <c r="AC940" s="551"/>
      <c r="AD940" s="551"/>
      <c r="AE940" s="551"/>
      <c r="AF940" s="551"/>
    </row>
    <row r="941">
      <c r="A941" s="552"/>
      <c r="B941" s="552"/>
      <c r="C941" s="552"/>
      <c r="D941" s="552"/>
      <c r="E941" s="552"/>
      <c r="F941" s="552"/>
      <c r="G941" s="552"/>
      <c r="H941" s="552"/>
      <c r="I941" s="552"/>
      <c r="J941" s="552"/>
      <c r="K941" s="552"/>
      <c r="L941" s="552"/>
      <c r="M941" s="552"/>
      <c r="N941" s="551"/>
      <c r="O941" s="551"/>
      <c r="P941" s="551"/>
      <c r="Q941" s="551"/>
      <c r="R941" s="551"/>
      <c r="S941" s="551"/>
      <c r="T941" s="551"/>
      <c r="U941" s="551"/>
      <c r="V941" s="551"/>
      <c r="W941" s="551"/>
      <c r="X941" s="551"/>
      <c r="Y941" s="551"/>
      <c r="Z941" s="551"/>
      <c r="AA941" s="551"/>
      <c r="AB941" s="551"/>
      <c r="AC941" s="551"/>
      <c r="AD941" s="551"/>
      <c r="AE941" s="551"/>
      <c r="AF941" s="551"/>
    </row>
    <row r="942">
      <c r="A942" s="552"/>
      <c r="B942" s="552"/>
      <c r="C942" s="552"/>
      <c r="D942" s="552"/>
      <c r="E942" s="552"/>
      <c r="F942" s="552"/>
      <c r="G942" s="552"/>
      <c r="H942" s="552"/>
      <c r="I942" s="552"/>
      <c r="J942" s="552"/>
      <c r="K942" s="552"/>
      <c r="L942" s="552"/>
      <c r="M942" s="552"/>
      <c r="N942" s="551"/>
      <c r="O942" s="551"/>
      <c r="P942" s="551"/>
      <c r="Q942" s="551"/>
      <c r="R942" s="551"/>
      <c r="S942" s="551"/>
      <c r="T942" s="551"/>
      <c r="U942" s="551"/>
      <c r="V942" s="551"/>
      <c r="W942" s="551"/>
      <c r="X942" s="551"/>
      <c r="Y942" s="551"/>
      <c r="Z942" s="551"/>
      <c r="AA942" s="551"/>
      <c r="AB942" s="551"/>
      <c r="AC942" s="551"/>
      <c r="AD942" s="551"/>
      <c r="AE942" s="551"/>
      <c r="AF942" s="551"/>
    </row>
    <row r="943">
      <c r="A943" s="552"/>
      <c r="B943" s="552"/>
      <c r="C943" s="552"/>
      <c r="D943" s="552"/>
      <c r="E943" s="552"/>
      <c r="F943" s="552"/>
      <c r="G943" s="552"/>
      <c r="H943" s="552"/>
      <c r="I943" s="552"/>
      <c r="J943" s="552"/>
      <c r="K943" s="552"/>
      <c r="L943" s="552"/>
      <c r="M943" s="552"/>
      <c r="N943" s="551"/>
      <c r="O943" s="551"/>
      <c r="P943" s="551"/>
      <c r="Q943" s="551"/>
      <c r="R943" s="551"/>
      <c r="S943" s="551"/>
      <c r="T943" s="551"/>
      <c r="U943" s="551"/>
      <c r="V943" s="551"/>
      <c r="W943" s="551"/>
      <c r="X943" s="551"/>
      <c r="Y943" s="551"/>
      <c r="Z943" s="551"/>
      <c r="AA943" s="551"/>
      <c r="AB943" s="551"/>
      <c r="AC943" s="551"/>
      <c r="AD943" s="551"/>
      <c r="AE943" s="551"/>
      <c r="AF943" s="551"/>
    </row>
    <row r="944">
      <c r="A944" s="552"/>
      <c r="B944" s="552"/>
      <c r="C944" s="552"/>
      <c r="D944" s="552"/>
      <c r="E944" s="552"/>
      <c r="F944" s="552"/>
      <c r="G944" s="552"/>
      <c r="H944" s="552"/>
      <c r="I944" s="552"/>
      <c r="J944" s="552"/>
      <c r="K944" s="552"/>
      <c r="L944" s="552"/>
      <c r="M944" s="552"/>
      <c r="N944" s="551"/>
      <c r="O944" s="551"/>
      <c r="P944" s="551"/>
      <c r="Q944" s="551"/>
      <c r="R944" s="551"/>
      <c r="S944" s="551"/>
      <c r="T944" s="551"/>
      <c r="U944" s="551"/>
      <c r="V944" s="551"/>
      <c r="W944" s="551"/>
      <c r="X944" s="551"/>
      <c r="Y944" s="551"/>
      <c r="Z944" s="551"/>
      <c r="AA944" s="551"/>
      <c r="AB944" s="551"/>
      <c r="AC944" s="551"/>
      <c r="AD944" s="551"/>
      <c r="AE944" s="551"/>
      <c r="AF944" s="551"/>
    </row>
    <row r="945">
      <c r="A945" s="552"/>
      <c r="B945" s="552"/>
      <c r="C945" s="552"/>
      <c r="D945" s="552"/>
      <c r="E945" s="552"/>
      <c r="F945" s="552"/>
      <c r="G945" s="552"/>
      <c r="H945" s="552"/>
      <c r="I945" s="552"/>
      <c r="J945" s="552"/>
      <c r="K945" s="552"/>
      <c r="L945" s="552"/>
      <c r="M945" s="552"/>
      <c r="N945" s="551"/>
      <c r="O945" s="551"/>
      <c r="P945" s="551"/>
      <c r="Q945" s="551"/>
      <c r="R945" s="551"/>
      <c r="S945" s="551"/>
      <c r="T945" s="551"/>
      <c r="U945" s="551"/>
      <c r="V945" s="551"/>
      <c r="W945" s="551"/>
      <c r="X945" s="551"/>
      <c r="Y945" s="551"/>
      <c r="Z945" s="551"/>
      <c r="AA945" s="551"/>
      <c r="AB945" s="551"/>
      <c r="AC945" s="551"/>
      <c r="AD945" s="551"/>
      <c r="AE945" s="551"/>
      <c r="AF945" s="551"/>
    </row>
    <row r="946">
      <c r="A946" s="552"/>
      <c r="B946" s="552"/>
      <c r="C946" s="552"/>
      <c r="D946" s="552"/>
      <c r="E946" s="552"/>
      <c r="F946" s="552"/>
      <c r="G946" s="552"/>
      <c r="H946" s="552"/>
      <c r="I946" s="552"/>
      <c r="J946" s="552"/>
      <c r="K946" s="552"/>
      <c r="L946" s="552"/>
      <c r="M946" s="552"/>
      <c r="N946" s="551"/>
      <c r="O946" s="551"/>
      <c r="P946" s="551"/>
      <c r="Q946" s="551"/>
      <c r="R946" s="551"/>
      <c r="S946" s="551"/>
      <c r="T946" s="551"/>
      <c r="U946" s="551"/>
      <c r="V946" s="551"/>
      <c r="W946" s="551"/>
      <c r="X946" s="551"/>
      <c r="Y946" s="551"/>
      <c r="Z946" s="551"/>
      <c r="AA946" s="551"/>
      <c r="AB946" s="551"/>
      <c r="AC946" s="551"/>
      <c r="AD946" s="551"/>
      <c r="AE946" s="551"/>
      <c r="AF946" s="551"/>
    </row>
    <row r="947">
      <c r="A947" s="552"/>
      <c r="B947" s="552"/>
      <c r="C947" s="552"/>
      <c r="D947" s="552"/>
      <c r="E947" s="552"/>
      <c r="F947" s="552"/>
      <c r="G947" s="552"/>
      <c r="H947" s="552"/>
      <c r="I947" s="552"/>
      <c r="J947" s="552"/>
      <c r="K947" s="552"/>
      <c r="L947" s="552"/>
      <c r="M947" s="552"/>
      <c r="N947" s="551"/>
      <c r="O947" s="551"/>
      <c r="P947" s="551"/>
      <c r="Q947" s="551"/>
      <c r="R947" s="551"/>
      <c r="S947" s="551"/>
      <c r="T947" s="551"/>
      <c r="U947" s="551"/>
      <c r="V947" s="551"/>
      <c r="W947" s="551"/>
      <c r="X947" s="551"/>
      <c r="Y947" s="551"/>
      <c r="Z947" s="551"/>
      <c r="AA947" s="551"/>
      <c r="AB947" s="551"/>
      <c r="AC947" s="551"/>
      <c r="AD947" s="551"/>
      <c r="AE947" s="551"/>
      <c r="AF947" s="551"/>
    </row>
    <row r="948">
      <c r="A948" s="552"/>
      <c r="B948" s="552"/>
      <c r="C948" s="552"/>
      <c r="D948" s="552"/>
      <c r="E948" s="552"/>
      <c r="F948" s="552"/>
      <c r="G948" s="552"/>
      <c r="H948" s="552"/>
      <c r="I948" s="552"/>
      <c r="J948" s="552"/>
      <c r="K948" s="552"/>
      <c r="L948" s="552"/>
      <c r="M948" s="552"/>
      <c r="N948" s="551"/>
      <c r="O948" s="551"/>
      <c r="P948" s="551"/>
      <c r="Q948" s="551"/>
      <c r="R948" s="551"/>
      <c r="S948" s="551"/>
      <c r="T948" s="551"/>
      <c r="U948" s="551"/>
      <c r="V948" s="551"/>
      <c r="W948" s="551"/>
      <c r="X948" s="551"/>
      <c r="Y948" s="551"/>
      <c r="Z948" s="551"/>
      <c r="AA948" s="551"/>
      <c r="AB948" s="551"/>
      <c r="AC948" s="551"/>
      <c r="AD948" s="551"/>
      <c r="AE948" s="551"/>
      <c r="AF948" s="551"/>
    </row>
    <row r="949">
      <c r="A949" s="552"/>
      <c r="B949" s="552"/>
      <c r="C949" s="552"/>
      <c r="D949" s="552"/>
      <c r="E949" s="552"/>
      <c r="F949" s="552"/>
      <c r="G949" s="552"/>
      <c r="H949" s="552"/>
      <c r="I949" s="552"/>
      <c r="J949" s="552"/>
      <c r="K949" s="552"/>
      <c r="L949" s="552"/>
      <c r="M949" s="552"/>
      <c r="N949" s="551"/>
      <c r="O949" s="551"/>
      <c r="P949" s="551"/>
      <c r="Q949" s="551"/>
      <c r="R949" s="551"/>
      <c r="S949" s="551"/>
      <c r="T949" s="551"/>
      <c r="U949" s="551"/>
      <c r="V949" s="551"/>
      <c r="W949" s="551"/>
      <c r="X949" s="551"/>
      <c r="Y949" s="551"/>
      <c r="Z949" s="551"/>
      <c r="AA949" s="551"/>
      <c r="AB949" s="551"/>
      <c r="AC949" s="551"/>
      <c r="AD949" s="551"/>
      <c r="AE949" s="551"/>
      <c r="AF949" s="551"/>
    </row>
    <row r="950">
      <c r="A950" s="552"/>
      <c r="B950" s="552"/>
      <c r="C950" s="552"/>
      <c r="D950" s="552"/>
      <c r="E950" s="552"/>
      <c r="F950" s="552"/>
      <c r="G950" s="552"/>
      <c r="H950" s="552"/>
      <c r="I950" s="552"/>
      <c r="J950" s="552"/>
      <c r="K950" s="552"/>
      <c r="L950" s="552"/>
      <c r="M950" s="552"/>
      <c r="N950" s="551"/>
      <c r="O950" s="551"/>
      <c r="P950" s="551"/>
      <c r="Q950" s="551"/>
      <c r="R950" s="551"/>
      <c r="S950" s="551"/>
      <c r="T950" s="551"/>
      <c r="U950" s="551"/>
      <c r="V950" s="551"/>
      <c r="W950" s="551"/>
      <c r="X950" s="551"/>
      <c r="Y950" s="551"/>
      <c r="Z950" s="551"/>
      <c r="AA950" s="551"/>
      <c r="AB950" s="551"/>
      <c r="AC950" s="551"/>
      <c r="AD950" s="551"/>
      <c r="AE950" s="551"/>
      <c r="AF950" s="551"/>
    </row>
    <row r="951">
      <c r="A951" s="552"/>
      <c r="B951" s="552"/>
      <c r="C951" s="552"/>
      <c r="D951" s="552"/>
      <c r="E951" s="552"/>
      <c r="F951" s="552"/>
      <c r="G951" s="552"/>
      <c r="H951" s="552"/>
      <c r="I951" s="552"/>
      <c r="J951" s="552"/>
      <c r="K951" s="552"/>
      <c r="L951" s="552"/>
      <c r="M951" s="552"/>
      <c r="N951" s="551"/>
      <c r="O951" s="551"/>
      <c r="P951" s="551"/>
      <c r="Q951" s="551"/>
      <c r="R951" s="551"/>
      <c r="S951" s="551"/>
      <c r="T951" s="551"/>
      <c r="U951" s="551"/>
      <c r="V951" s="551"/>
      <c r="W951" s="551"/>
      <c r="X951" s="551"/>
      <c r="Y951" s="551"/>
      <c r="Z951" s="551"/>
      <c r="AA951" s="551"/>
      <c r="AB951" s="551"/>
      <c r="AC951" s="551"/>
      <c r="AD951" s="551"/>
      <c r="AE951" s="551"/>
      <c r="AF951" s="551"/>
    </row>
    <row r="952">
      <c r="A952" s="552"/>
      <c r="B952" s="552"/>
      <c r="C952" s="552"/>
      <c r="D952" s="552"/>
      <c r="E952" s="552"/>
      <c r="F952" s="552"/>
      <c r="G952" s="552"/>
      <c r="H952" s="552"/>
      <c r="I952" s="552"/>
      <c r="J952" s="552"/>
      <c r="K952" s="552"/>
      <c r="L952" s="552"/>
      <c r="M952" s="552"/>
      <c r="N952" s="551"/>
      <c r="O952" s="551"/>
      <c r="P952" s="551"/>
      <c r="Q952" s="551"/>
      <c r="R952" s="551"/>
      <c r="S952" s="551"/>
      <c r="T952" s="551"/>
      <c r="U952" s="551"/>
      <c r="V952" s="551"/>
      <c r="W952" s="551"/>
      <c r="X952" s="551"/>
      <c r="Y952" s="551"/>
      <c r="Z952" s="551"/>
      <c r="AA952" s="551"/>
      <c r="AB952" s="551"/>
      <c r="AC952" s="551"/>
      <c r="AD952" s="551"/>
      <c r="AE952" s="551"/>
      <c r="AF952" s="551"/>
    </row>
    <row r="953">
      <c r="A953" s="552"/>
      <c r="B953" s="552"/>
      <c r="C953" s="552"/>
      <c r="D953" s="552"/>
      <c r="E953" s="552"/>
      <c r="F953" s="552"/>
      <c r="G953" s="552"/>
      <c r="H953" s="552"/>
      <c r="I953" s="552"/>
      <c r="J953" s="552"/>
      <c r="K953" s="552"/>
      <c r="L953" s="552"/>
      <c r="M953" s="552"/>
      <c r="N953" s="551"/>
      <c r="O953" s="551"/>
      <c r="P953" s="551"/>
      <c r="Q953" s="551"/>
      <c r="R953" s="551"/>
      <c r="S953" s="551"/>
      <c r="T953" s="551"/>
      <c r="U953" s="551"/>
      <c r="V953" s="551"/>
      <c r="W953" s="551"/>
      <c r="X953" s="551"/>
      <c r="Y953" s="551"/>
      <c r="Z953" s="551"/>
      <c r="AA953" s="551"/>
      <c r="AB953" s="551"/>
      <c r="AC953" s="551"/>
      <c r="AD953" s="551"/>
      <c r="AE953" s="551"/>
      <c r="AF953" s="551"/>
    </row>
    <row r="954">
      <c r="A954" s="552"/>
      <c r="B954" s="552"/>
      <c r="C954" s="552"/>
      <c r="D954" s="552"/>
      <c r="E954" s="552"/>
      <c r="F954" s="552"/>
      <c r="G954" s="552"/>
      <c r="H954" s="552"/>
      <c r="I954" s="552"/>
      <c r="J954" s="552"/>
      <c r="K954" s="552"/>
      <c r="L954" s="552"/>
      <c r="M954" s="552"/>
      <c r="N954" s="551"/>
      <c r="O954" s="551"/>
      <c r="P954" s="551"/>
      <c r="Q954" s="551"/>
      <c r="R954" s="551"/>
      <c r="S954" s="551"/>
      <c r="T954" s="551"/>
      <c r="U954" s="551"/>
      <c r="V954" s="551"/>
      <c r="W954" s="551"/>
      <c r="X954" s="551"/>
      <c r="Y954" s="551"/>
      <c r="Z954" s="551"/>
      <c r="AA954" s="551"/>
      <c r="AB954" s="551"/>
      <c r="AC954" s="551"/>
      <c r="AD954" s="551"/>
      <c r="AE954" s="551"/>
      <c r="AF954" s="551"/>
    </row>
    <row r="955">
      <c r="A955" s="552"/>
      <c r="B955" s="552"/>
      <c r="C955" s="552"/>
      <c r="D955" s="552"/>
      <c r="E955" s="552"/>
      <c r="F955" s="552"/>
      <c r="G955" s="552"/>
      <c r="H955" s="552"/>
      <c r="I955" s="552"/>
      <c r="J955" s="552"/>
      <c r="K955" s="552"/>
      <c r="L955" s="552"/>
      <c r="M955" s="552"/>
      <c r="N955" s="551"/>
      <c r="O955" s="551"/>
      <c r="P955" s="551"/>
      <c r="Q955" s="551"/>
      <c r="R955" s="551"/>
      <c r="S955" s="551"/>
      <c r="T955" s="551"/>
      <c r="U955" s="551"/>
      <c r="V955" s="551"/>
      <c r="W955" s="551"/>
      <c r="X955" s="551"/>
      <c r="Y955" s="551"/>
      <c r="Z955" s="551"/>
      <c r="AA955" s="551"/>
      <c r="AB955" s="551"/>
      <c r="AC955" s="551"/>
      <c r="AD955" s="551"/>
      <c r="AE955" s="551"/>
      <c r="AF955" s="551"/>
    </row>
    <row r="956">
      <c r="A956" s="552"/>
      <c r="B956" s="552"/>
      <c r="C956" s="552"/>
      <c r="D956" s="552"/>
      <c r="E956" s="552"/>
      <c r="F956" s="552"/>
      <c r="G956" s="552"/>
      <c r="H956" s="552"/>
      <c r="I956" s="552"/>
      <c r="J956" s="552"/>
      <c r="K956" s="552"/>
      <c r="L956" s="552"/>
      <c r="M956" s="552"/>
      <c r="N956" s="551"/>
      <c r="O956" s="551"/>
      <c r="P956" s="551"/>
      <c r="Q956" s="551"/>
      <c r="R956" s="551"/>
      <c r="S956" s="551"/>
      <c r="T956" s="551"/>
      <c r="U956" s="551"/>
      <c r="V956" s="551"/>
      <c r="W956" s="551"/>
      <c r="X956" s="551"/>
      <c r="Y956" s="551"/>
      <c r="Z956" s="551"/>
      <c r="AA956" s="551"/>
      <c r="AB956" s="551"/>
      <c r="AC956" s="551"/>
      <c r="AD956" s="551"/>
      <c r="AE956" s="551"/>
      <c r="AF956" s="551"/>
    </row>
    <row r="957">
      <c r="A957" s="552"/>
      <c r="B957" s="552"/>
      <c r="C957" s="552"/>
      <c r="D957" s="552"/>
      <c r="E957" s="552"/>
      <c r="F957" s="552"/>
      <c r="G957" s="552"/>
      <c r="H957" s="552"/>
      <c r="I957" s="552"/>
      <c r="J957" s="552"/>
      <c r="K957" s="552"/>
      <c r="L957" s="552"/>
      <c r="M957" s="552"/>
      <c r="N957" s="551"/>
      <c r="O957" s="551"/>
      <c r="P957" s="551"/>
      <c r="Q957" s="551"/>
      <c r="R957" s="551"/>
      <c r="S957" s="551"/>
      <c r="T957" s="551"/>
      <c r="U957" s="551"/>
      <c r="V957" s="551"/>
      <c r="W957" s="551"/>
      <c r="X957" s="551"/>
      <c r="Y957" s="551"/>
      <c r="Z957" s="551"/>
      <c r="AA957" s="551"/>
      <c r="AB957" s="551"/>
      <c r="AC957" s="551"/>
      <c r="AD957" s="551"/>
      <c r="AE957" s="551"/>
      <c r="AF957" s="551"/>
    </row>
    <row r="958">
      <c r="A958" s="552"/>
      <c r="B958" s="552"/>
      <c r="C958" s="552"/>
      <c r="D958" s="552"/>
      <c r="E958" s="552"/>
      <c r="F958" s="552"/>
      <c r="G958" s="552"/>
      <c r="H958" s="552"/>
      <c r="I958" s="552"/>
      <c r="J958" s="552"/>
      <c r="K958" s="552"/>
      <c r="L958" s="552"/>
      <c r="M958" s="552"/>
      <c r="N958" s="551"/>
      <c r="O958" s="551"/>
      <c r="P958" s="551"/>
      <c r="Q958" s="551"/>
      <c r="R958" s="551"/>
      <c r="S958" s="551"/>
      <c r="T958" s="551"/>
      <c r="U958" s="551"/>
      <c r="V958" s="551"/>
      <c r="W958" s="551"/>
      <c r="X958" s="551"/>
      <c r="Y958" s="551"/>
      <c r="Z958" s="551"/>
      <c r="AA958" s="551"/>
      <c r="AB958" s="551"/>
      <c r="AC958" s="551"/>
      <c r="AD958" s="551"/>
      <c r="AE958" s="551"/>
      <c r="AF958" s="551"/>
    </row>
    <row r="959">
      <c r="A959" s="552"/>
      <c r="B959" s="552"/>
      <c r="C959" s="552"/>
      <c r="D959" s="552"/>
      <c r="E959" s="552"/>
      <c r="F959" s="552"/>
      <c r="G959" s="552"/>
      <c r="H959" s="552"/>
      <c r="I959" s="552"/>
      <c r="J959" s="552"/>
      <c r="K959" s="552"/>
      <c r="L959" s="552"/>
      <c r="M959" s="552"/>
      <c r="N959" s="551"/>
      <c r="O959" s="551"/>
      <c r="P959" s="551"/>
      <c r="Q959" s="551"/>
      <c r="R959" s="551"/>
      <c r="S959" s="551"/>
      <c r="T959" s="551"/>
      <c r="U959" s="551"/>
      <c r="V959" s="551"/>
      <c r="W959" s="551"/>
      <c r="X959" s="551"/>
      <c r="Y959" s="551"/>
      <c r="Z959" s="551"/>
      <c r="AA959" s="551"/>
      <c r="AB959" s="551"/>
      <c r="AC959" s="551"/>
      <c r="AD959" s="551"/>
      <c r="AE959" s="551"/>
      <c r="AF959" s="551"/>
    </row>
    <row r="960">
      <c r="A960" s="552"/>
      <c r="B960" s="552"/>
      <c r="C960" s="552"/>
      <c r="D960" s="552"/>
      <c r="E960" s="552"/>
      <c r="F960" s="552"/>
      <c r="G960" s="552"/>
      <c r="H960" s="552"/>
      <c r="I960" s="552"/>
      <c r="J960" s="552"/>
      <c r="K960" s="552"/>
      <c r="L960" s="552"/>
      <c r="M960" s="552"/>
      <c r="N960" s="551"/>
      <c r="O960" s="551"/>
      <c r="P960" s="551"/>
      <c r="Q960" s="551"/>
      <c r="R960" s="551"/>
      <c r="S960" s="551"/>
      <c r="T960" s="551"/>
      <c r="U960" s="551"/>
      <c r="V960" s="551"/>
      <c r="W960" s="551"/>
      <c r="X960" s="551"/>
      <c r="Y960" s="551"/>
      <c r="Z960" s="551"/>
      <c r="AA960" s="551"/>
      <c r="AB960" s="551"/>
      <c r="AC960" s="551"/>
      <c r="AD960" s="551"/>
      <c r="AE960" s="551"/>
      <c r="AF960" s="551"/>
    </row>
    <row r="961">
      <c r="A961" s="552"/>
      <c r="B961" s="552"/>
      <c r="C961" s="552"/>
      <c r="D961" s="552"/>
      <c r="E961" s="552"/>
      <c r="F961" s="552"/>
      <c r="G961" s="552"/>
      <c r="H961" s="552"/>
      <c r="I961" s="552"/>
      <c r="J961" s="552"/>
      <c r="K961" s="552"/>
      <c r="L961" s="552"/>
      <c r="M961" s="552"/>
      <c r="N961" s="551"/>
      <c r="O961" s="551"/>
      <c r="P961" s="551"/>
      <c r="Q961" s="551"/>
      <c r="R961" s="551"/>
      <c r="S961" s="551"/>
      <c r="T961" s="551"/>
      <c r="U961" s="551"/>
      <c r="V961" s="551"/>
      <c r="W961" s="551"/>
      <c r="X961" s="551"/>
      <c r="Y961" s="551"/>
      <c r="Z961" s="551"/>
      <c r="AA961" s="551"/>
      <c r="AB961" s="551"/>
      <c r="AC961" s="551"/>
      <c r="AD961" s="551"/>
      <c r="AE961" s="551"/>
      <c r="AF961" s="551"/>
    </row>
    <row r="962">
      <c r="A962" s="552"/>
      <c r="B962" s="552"/>
      <c r="C962" s="552"/>
      <c r="D962" s="552"/>
      <c r="E962" s="552"/>
      <c r="F962" s="552"/>
      <c r="G962" s="552"/>
      <c r="H962" s="552"/>
      <c r="I962" s="552"/>
      <c r="J962" s="552"/>
      <c r="K962" s="552"/>
      <c r="L962" s="552"/>
      <c r="M962" s="552"/>
      <c r="N962" s="551"/>
      <c r="O962" s="551"/>
      <c r="P962" s="551"/>
      <c r="Q962" s="551"/>
      <c r="R962" s="551"/>
      <c r="S962" s="551"/>
      <c r="T962" s="551"/>
      <c r="U962" s="551"/>
      <c r="V962" s="551"/>
      <c r="W962" s="551"/>
      <c r="X962" s="551"/>
      <c r="Y962" s="551"/>
      <c r="Z962" s="551"/>
      <c r="AA962" s="551"/>
      <c r="AB962" s="551"/>
      <c r="AC962" s="551"/>
      <c r="AD962" s="551"/>
      <c r="AE962" s="551"/>
      <c r="AF962" s="551"/>
    </row>
    <row r="963">
      <c r="A963" s="552"/>
      <c r="B963" s="552"/>
      <c r="C963" s="552"/>
      <c r="D963" s="552"/>
      <c r="E963" s="552"/>
      <c r="F963" s="552"/>
      <c r="G963" s="552"/>
      <c r="H963" s="552"/>
      <c r="I963" s="552"/>
      <c r="J963" s="552"/>
      <c r="K963" s="552"/>
      <c r="L963" s="552"/>
      <c r="M963" s="552"/>
      <c r="N963" s="551"/>
      <c r="O963" s="551"/>
      <c r="P963" s="551"/>
      <c r="Q963" s="551"/>
      <c r="R963" s="551"/>
      <c r="S963" s="551"/>
      <c r="T963" s="551"/>
      <c r="U963" s="551"/>
      <c r="V963" s="551"/>
      <c r="W963" s="551"/>
      <c r="X963" s="551"/>
      <c r="Y963" s="551"/>
      <c r="Z963" s="551"/>
      <c r="AA963" s="551"/>
      <c r="AB963" s="551"/>
      <c r="AC963" s="551"/>
      <c r="AD963" s="551"/>
      <c r="AE963" s="551"/>
      <c r="AF963" s="551"/>
    </row>
    <row r="964">
      <c r="A964" s="552"/>
      <c r="B964" s="552"/>
      <c r="C964" s="552"/>
      <c r="D964" s="552"/>
      <c r="E964" s="552"/>
      <c r="F964" s="552"/>
      <c r="G964" s="552"/>
      <c r="H964" s="552"/>
      <c r="I964" s="552"/>
      <c r="J964" s="552"/>
      <c r="K964" s="552"/>
      <c r="L964" s="552"/>
      <c r="M964" s="552"/>
      <c r="N964" s="551"/>
      <c r="O964" s="551"/>
      <c r="P964" s="551"/>
      <c r="Q964" s="551"/>
      <c r="R964" s="551"/>
      <c r="S964" s="551"/>
      <c r="T964" s="551"/>
      <c r="U964" s="551"/>
      <c r="V964" s="551"/>
      <c r="W964" s="551"/>
      <c r="X964" s="551"/>
      <c r="Y964" s="551"/>
      <c r="Z964" s="551"/>
      <c r="AA964" s="551"/>
      <c r="AB964" s="551"/>
      <c r="AC964" s="551"/>
      <c r="AD964" s="551"/>
      <c r="AE964" s="551"/>
      <c r="AF964" s="551"/>
    </row>
    <row r="965">
      <c r="A965" s="552"/>
      <c r="B965" s="552"/>
      <c r="C965" s="552"/>
      <c r="D965" s="552"/>
      <c r="E965" s="552"/>
      <c r="F965" s="552"/>
      <c r="G965" s="552"/>
      <c r="H965" s="552"/>
      <c r="I965" s="552"/>
      <c r="J965" s="552"/>
      <c r="K965" s="552"/>
      <c r="L965" s="552"/>
      <c r="M965" s="552"/>
      <c r="N965" s="551"/>
      <c r="O965" s="551"/>
      <c r="P965" s="551"/>
      <c r="Q965" s="551"/>
      <c r="R965" s="551"/>
      <c r="S965" s="551"/>
      <c r="T965" s="551"/>
      <c r="U965" s="551"/>
      <c r="V965" s="551"/>
      <c r="W965" s="551"/>
      <c r="X965" s="551"/>
      <c r="Y965" s="551"/>
      <c r="Z965" s="551"/>
      <c r="AA965" s="551"/>
      <c r="AB965" s="551"/>
      <c r="AC965" s="551"/>
      <c r="AD965" s="551"/>
      <c r="AE965" s="551"/>
      <c r="AF965" s="551"/>
    </row>
    <row r="966">
      <c r="A966" s="552"/>
      <c r="B966" s="552"/>
      <c r="C966" s="552"/>
      <c r="D966" s="552"/>
      <c r="E966" s="552"/>
      <c r="F966" s="552"/>
      <c r="G966" s="552"/>
      <c r="H966" s="552"/>
      <c r="I966" s="552"/>
      <c r="J966" s="552"/>
      <c r="K966" s="552"/>
      <c r="L966" s="552"/>
      <c r="M966" s="552"/>
      <c r="N966" s="551"/>
      <c r="O966" s="551"/>
      <c r="P966" s="551"/>
      <c r="Q966" s="551"/>
      <c r="R966" s="551"/>
      <c r="S966" s="551"/>
      <c r="T966" s="551"/>
      <c r="U966" s="551"/>
      <c r="V966" s="551"/>
      <c r="W966" s="551"/>
      <c r="X966" s="551"/>
      <c r="Y966" s="551"/>
      <c r="Z966" s="551"/>
      <c r="AA966" s="551"/>
      <c r="AB966" s="551"/>
      <c r="AC966" s="551"/>
      <c r="AD966" s="551"/>
      <c r="AE966" s="551"/>
      <c r="AF966" s="551"/>
    </row>
    <row r="967">
      <c r="A967" s="552"/>
      <c r="B967" s="552"/>
      <c r="C967" s="552"/>
      <c r="D967" s="552"/>
      <c r="E967" s="552"/>
      <c r="F967" s="552"/>
      <c r="G967" s="552"/>
      <c r="H967" s="552"/>
      <c r="I967" s="552"/>
      <c r="J967" s="552"/>
      <c r="K967" s="552"/>
      <c r="L967" s="552"/>
      <c r="M967" s="552"/>
      <c r="N967" s="551"/>
      <c r="O967" s="551"/>
      <c r="P967" s="551"/>
      <c r="Q967" s="551"/>
      <c r="R967" s="551"/>
      <c r="S967" s="551"/>
      <c r="T967" s="551"/>
      <c r="U967" s="551"/>
      <c r="V967" s="551"/>
      <c r="W967" s="551"/>
      <c r="X967" s="551"/>
      <c r="Y967" s="551"/>
      <c r="Z967" s="551"/>
      <c r="AA967" s="551"/>
      <c r="AB967" s="551"/>
      <c r="AC967" s="551"/>
      <c r="AD967" s="551"/>
      <c r="AE967" s="551"/>
      <c r="AF967" s="551"/>
    </row>
    <row r="968">
      <c r="A968" s="552"/>
      <c r="B968" s="552"/>
      <c r="C968" s="552"/>
      <c r="D968" s="552"/>
      <c r="E968" s="552"/>
      <c r="F968" s="552"/>
      <c r="G968" s="552"/>
      <c r="H968" s="552"/>
      <c r="I968" s="552"/>
      <c r="J968" s="552"/>
      <c r="K968" s="552"/>
      <c r="L968" s="552"/>
      <c r="M968" s="552"/>
      <c r="N968" s="551"/>
      <c r="O968" s="551"/>
      <c r="P968" s="551"/>
      <c r="Q968" s="551"/>
      <c r="R968" s="551"/>
      <c r="S968" s="551"/>
      <c r="T968" s="551"/>
      <c r="U968" s="551"/>
      <c r="V968" s="551"/>
      <c r="W968" s="551"/>
      <c r="X968" s="551"/>
      <c r="Y968" s="551"/>
      <c r="Z968" s="551"/>
      <c r="AA968" s="551"/>
      <c r="AB968" s="551"/>
      <c r="AC968" s="551"/>
      <c r="AD968" s="551"/>
      <c r="AE968" s="551"/>
      <c r="AF968" s="551"/>
    </row>
    <row r="969">
      <c r="A969" s="552"/>
      <c r="B969" s="552"/>
      <c r="C969" s="552"/>
      <c r="D969" s="552"/>
      <c r="E969" s="552"/>
      <c r="F969" s="552"/>
      <c r="G969" s="552"/>
      <c r="H969" s="552"/>
      <c r="I969" s="552"/>
      <c r="J969" s="552"/>
      <c r="K969" s="552"/>
      <c r="L969" s="552"/>
      <c r="M969" s="552"/>
      <c r="N969" s="551"/>
      <c r="O969" s="551"/>
      <c r="P969" s="551"/>
      <c r="Q969" s="551"/>
      <c r="R969" s="551"/>
      <c r="S969" s="551"/>
      <c r="T969" s="551"/>
      <c r="U969" s="551"/>
      <c r="V969" s="551"/>
      <c r="W969" s="551"/>
      <c r="X969" s="551"/>
      <c r="Y969" s="551"/>
      <c r="Z969" s="551"/>
      <c r="AA969" s="551"/>
      <c r="AB969" s="551"/>
      <c r="AC969" s="551"/>
      <c r="AD969" s="551"/>
      <c r="AE969" s="551"/>
      <c r="AF969" s="551"/>
    </row>
    <row r="970">
      <c r="A970" s="552"/>
      <c r="B970" s="552"/>
      <c r="C970" s="552"/>
      <c r="D970" s="552"/>
      <c r="E970" s="552"/>
      <c r="F970" s="552"/>
      <c r="G970" s="552"/>
      <c r="H970" s="552"/>
      <c r="I970" s="552"/>
      <c r="J970" s="552"/>
      <c r="K970" s="552"/>
      <c r="L970" s="552"/>
      <c r="M970" s="552"/>
      <c r="N970" s="551"/>
      <c r="O970" s="551"/>
      <c r="P970" s="551"/>
      <c r="Q970" s="551"/>
      <c r="R970" s="551"/>
      <c r="S970" s="551"/>
      <c r="T970" s="551"/>
      <c r="U970" s="551"/>
      <c r="V970" s="551"/>
      <c r="W970" s="551"/>
      <c r="X970" s="551"/>
      <c r="Y970" s="551"/>
      <c r="Z970" s="551"/>
      <c r="AA970" s="551"/>
      <c r="AB970" s="551"/>
      <c r="AC970" s="551"/>
      <c r="AD970" s="551"/>
      <c r="AE970" s="551"/>
      <c r="AF970" s="551"/>
    </row>
    <row r="971">
      <c r="A971" s="552"/>
      <c r="B971" s="552"/>
      <c r="C971" s="552"/>
      <c r="D971" s="552"/>
      <c r="E971" s="552"/>
      <c r="F971" s="552"/>
      <c r="G971" s="552"/>
      <c r="H971" s="552"/>
      <c r="I971" s="552"/>
      <c r="J971" s="552"/>
      <c r="K971" s="552"/>
      <c r="L971" s="552"/>
      <c r="M971" s="552"/>
      <c r="N971" s="551"/>
      <c r="O971" s="551"/>
      <c r="P971" s="551"/>
      <c r="Q971" s="551"/>
      <c r="R971" s="551"/>
      <c r="S971" s="551"/>
      <c r="T971" s="551"/>
      <c r="U971" s="551"/>
      <c r="V971" s="551"/>
      <c r="W971" s="551"/>
      <c r="X971" s="551"/>
      <c r="Y971" s="551"/>
      <c r="Z971" s="551"/>
      <c r="AA971" s="551"/>
      <c r="AB971" s="551"/>
      <c r="AC971" s="551"/>
      <c r="AD971" s="551"/>
      <c r="AE971" s="551"/>
      <c r="AF971" s="551"/>
    </row>
    <row r="972">
      <c r="A972" s="552"/>
      <c r="B972" s="552"/>
      <c r="C972" s="552"/>
      <c r="D972" s="552"/>
      <c r="E972" s="552"/>
      <c r="F972" s="552"/>
      <c r="G972" s="552"/>
      <c r="H972" s="552"/>
      <c r="I972" s="552"/>
      <c r="J972" s="552"/>
      <c r="K972" s="552"/>
      <c r="L972" s="552"/>
      <c r="M972" s="552"/>
      <c r="N972" s="551"/>
      <c r="O972" s="551"/>
      <c r="P972" s="551"/>
      <c r="Q972" s="551"/>
      <c r="R972" s="551"/>
      <c r="S972" s="551"/>
      <c r="T972" s="551"/>
      <c r="U972" s="551"/>
      <c r="V972" s="551"/>
      <c r="W972" s="551"/>
      <c r="X972" s="551"/>
      <c r="Y972" s="551"/>
      <c r="Z972" s="551"/>
      <c r="AA972" s="551"/>
      <c r="AB972" s="551"/>
      <c r="AC972" s="551"/>
      <c r="AD972" s="551"/>
      <c r="AE972" s="551"/>
      <c r="AF972" s="551"/>
    </row>
    <row r="973">
      <c r="A973" s="552"/>
      <c r="B973" s="552"/>
      <c r="C973" s="552"/>
      <c r="D973" s="552"/>
      <c r="E973" s="552"/>
      <c r="F973" s="552"/>
      <c r="G973" s="552"/>
      <c r="H973" s="552"/>
      <c r="I973" s="552"/>
      <c r="J973" s="552"/>
      <c r="K973" s="552"/>
      <c r="L973" s="552"/>
      <c r="M973" s="552"/>
      <c r="N973" s="551"/>
      <c r="O973" s="551"/>
      <c r="P973" s="551"/>
      <c r="Q973" s="551"/>
      <c r="R973" s="551"/>
      <c r="S973" s="551"/>
      <c r="T973" s="551"/>
      <c r="U973" s="551"/>
      <c r="V973" s="551"/>
      <c r="W973" s="551"/>
      <c r="X973" s="551"/>
      <c r="Y973" s="551"/>
      <c r="Z973" s="551"/>
      <c r="AA973" s="551"/>
      <c r="AB973" s="551"/>
      <c r="AC973" s="551"/>
      <c r="AD973" s="551"/>
      <c r="AE973" s="551"/>
      <c r="AF973" s="551"/>
    </row>
    <row r="974">
      <c r="A974" s="552"/>
      <c r="B974" s="552"/>
      <c r="C974" s="552"/>
      <c r="D974" s="552"/>
      <c r="E974" s="552"/>
      <c r="F974" s="552"/>
      <c r="G974" s="552"/>
      <c r="H974" s="552"/>
      <c r="I974" s="552"/>
      <c r="J974" s="552"/>
      <c r="K974" s="552"/>
      <c r="L974" s="552"/>
      <c r="M974" s="552"/>
      <c r="N974" s="551"/>
      <c r="O974" s="551"/>
      <c r="P974" s="551"/>
      <c r="Q974" s="551"/>
      <c r="R974" s="551"/>
      <c r="S974" s="551"/>
      <c r="T974" s="551"/>
      <c r="U974" s="551"/>
      <c r="V974" s="551"/>
      <c r="W974" s="551"/>
      <c r="X974" s="551"/>
      <c r="Y974" s="551"/>
      <c r="Z974" s="551"/>
      <c r="AA974" s="551"/>
      <c r="AB974" s="551"/>
      <c r="AC974" s="551"/>
      <c r="AD974" s="551"/>
      <c r="AE974" s="551"/>
      <c r="AF974" s="551"/>
    </row>
    <row r="975">
      <c r="A975" s="552"/>
      <c r="B975" s="552"/>
      <c r="C975" s="552"/>
      <c r="D975" s="552"/>
      <c r="E975" s="552"/>
      <c r="F975" s="552"/>
      <c r="G975" s="552"/>
      <c r="H975" s="552"/>
      <c r="I975" s="552"/>
      <c r="J975" s="552"/>
      <c r="K975" s="552"/>
      <c r="L975" s="552"/>
      <c r="M975" s="552"/>
      <c r="N975" s="551"/>
      <c r="O975" s="551"/>
      <c r="P975" s="551"/>
      <c r="Q975" s="551"/>
      <c r="R975" s="551"/>
      <c r="S975" s="551"/>
      <c r="T975" s="551"/>
      <c r="U975" s="551"/>
      <c r="V975" s="551"/>
      <c r="W975" s="551"/>
      <c r="X975" s="551"/>
      <c r="Y975" s="551"/>
      <c r="Z975" s="551"/>
      <c r="AA975" s="551"/>
      <c r="AB975" s="551"/>
      <c r="AC975" s="551"/>
      <c r="AD975" s="551"/>
      <c r="AE975" s="551"/>
      <c r="AF975" s="551"/>
    </row>
    <row r="976">
      <c r="A976" s="552"/>
      <c r="B976" s="552"/>
      <c r="C976" s="552"/>
      <c r="D976" s="552"/>
      <c r="E976" s="552"/>
      <c r="F976" s="552"/>
      <c r="G976" s="552"/>
      <c r="H976" s="552"/>
      <c r="I976" s="552"/>
      <c r="J976" s="552"/>
      <c r="K976" s="552"/>
      <c r="L976" s="552"/>
      <c r="M976" s="552"/>
      <c r="N976" s="551"/>
      <c r="O976" s="551"/>
      <c r="P976" s="551"/>
      <c r="Q976" s="551"/>
      <c r="R976" s="551"/>
      <c r="S976" s="551"/>
      <c r="T976" s="551"/>
      <c r="U976" s="551"/>
      <c r="V976" s="551"/>
      <c r="W976" s="551"/>
      <c r="X976" s="551"/>
      <c r="Y976" s="551"/>
      <c r="Z976" s="551"/>
      <c r="AA976" s="551"/>
      <c r="AB976" s="551"/>
      <c r="AC976" s="551"/>
      <c r="AD976" s="551"/>
      <c r="AE976" s="551"/>
      <c r="AF976" s="551"/>
    </row>
    <row r="977">
      <c r="A977" s="552"/>
      <c r="B977" s="552"/>
      <c r="C977" s="552"/>
      <c r="D977" s="552"/>
      <c r="E977" s="552"/>
      <c r="F977" s="552"/>
      <c r="G977" s="552"/>
      <c r="H977" s="552"/>
      <c r="I977" s="552"/>
      <c r="J977" s="552"/>
      <c r="K977" s="552"/>
      <c r="L977" s="552"/>
      <c r="M977" s="552"/>
      <c r="N977" s="551"/>
      <c r="O977" s="551"/>
      <c r="P977" s="551"/>
      <c r="Q977" s="551"/>
      <c r="R977" s="551"/>
      <c r="S977" s="551"/>
      <c r="T977" s="551"/>
      <c r="U977" s="551"/>
      <c r="V977" s="551"/>
      <c r="W977" s="551"/>
      <c r="X977" s="551"/>
      <c r="Y977" s="551"/>
      <c r="Z977" s="551"/>
      <c r="AA977" s="551"/>
      <c r="AB977" s="551"/>
      <c r="AC977" s="551"/>
      <c r="AD977" s="551"/>
      <c r="AE977" s="551"/>
      <c r="AF977" s="551"/>
    </row>
    <row r="978">
      <c r="A978" s="552"/>
      <c r="B978" s="552"/>
      <c r="C978" s="552"/>
      <c r="D978" s="552"/>
      <c r="E978" s="552"/>
      <c r="F978" s="552"/>
      <c r="G978" s="552"/>
      <c r="H978" s="552"/>
      <c r="I978" s="552"/>
      <c r="J978" s="552"/>
      <c r="K978" s="552"/>
      <c r="L978" s="552"/>
      <c r="M978" s="552"/>
      <c r="N978" s="551"/>
      <c r="O978" s="551"/>
      <c r="P978" s="551"/>
      <c r="Q978" s="551"/>
      <c r="R978" s="551"/>
      <c r="S978" s="551"/>
      <c r="T978" s="551"/>
      <c r="U978" s="551"/>
      <c r="V978" s="551"/>
      <c r="W978" s="551"/>
      <c r="X978" s="551"/>
      <c r="Y978" s="551"/>
      <c r="Z978" s="551"/>
      <c r="AA978" s="551"/>
      <c r="AB978" s="551"/>
      <c r="AC978" s="551"/>
      <c r="AD978" s="551"/>
      <c r="AE978" s="551"/>
      <c r="AF978" s="551"/>
    </row>
    <row r="979">
      <c r="A979" s="552"/>
      <c r="B979" s="552"/>
      <c r="C979" s="552"/>
      <c r="D979" s="552"/>
      <c r="E979" s="552"/>
      <c r="F979" s="552"/>
      <c r="G979" s="552"/>
      <c r="H979" s="552"/>
      <c r="I979" s="552"/>
      <c r="J979" s="552"/>
      <c r="K979" s="552"/>
      <c r="L979" s="552"/>
      <c r="M979" s="552"/>
      <c r="N979" s="551"/>
      <c r="O979" s="551"/>
      <c r="P979" s="551"/>
      <c r="Q979" s="551"/>
      <c r="R979" s="551"/>
      <c r="S979" s="551"/>
      <c r="T979" s="551"/>
      <c r="U979" s="551"/>
      <c r="V979" s="551"/>
      <c r="W979" s="551"/>
      <c r="X979" s="551"/>
      <c r="Y979" s="551"/>
      <c r="Z979" s="551"/>
      <c r="AA979" s="551"/>
      <c r="AB979" s="551"/>
      <c r="AC979" s="551"/>
      <c r="AD979" s="551"/>
      <c r="AE979" s="551"/>
      <c r="AF979" s="551"/>
    </row>
    <row r="980">
      <c r="A980" s="552"/>
      <c r="B980" s="552"/>
      <c r="C980" s="552"/>
      <c r="D980" s="552"/>
      <c r="E980" s="552"/>
      <c r="F980" s="552"/>
      <c r="G980" s="552"/>
      <c r="H980" s="552"/>
      <c r="I980" s="552"/>
      <c r="J980" s="552"/>
      <c r="K980" s="552"/>
      <c r="L980" s="552"/>
      <c r="M980" s="552"/>
      <c r="N980" s="551"/>
      <c r="O980" s="551"/>
      <c r="P980" s="551"/>
      <c r="Q980" s="551"/>
      <c r="R980" s="551"/>
      <c r="S980" s="551"/>
      <c r="T980" s="551"/>
      <c r="U980" s="551"/>
      <c r="V980" s="551"/>
      <c r="W980" s="551"/>
      <c r="X980" s="551"/>
      <c r="Y980" s="551"/>
      <c r="Z980" s="551"/>
      <c r="AA980" s="551"/>
      <c r="AB980" s="551"/>
      <c r="AC980" s="551"/>
      <c r="AD980" s="551"/>
      <c r="AE980" s="551"/>
      <c r="AF980" s="551"/>
    </row>
    <row r="981">
      <c r="A981" s="552"/>
      <c r="B981" s="552"/>
      <c r="C981" s="552"/>
      <c r="D981" s="552"/>
      <c r="E981" s="552"/>
      <c r="F981" s="552"/>
      <c r="G981" s="552"/>
      <c r="H981" s="552"/>
      <c r="I981" s="552"/>
      <c r="J981" s="552"/>
      <c r="K981" s="552"/>
      <c r="L981" s="552"/>
      <c r="M981" s="552"/>
      <c r="N981" s="551"/>
      <c r="O981" s="551"/>
      <c r="P981" s="551"/>
      <c r="Q981" s="551"/>
      <c r="R981" s="551"/>
      <c r="S981" s="551"/>
      <c r="T981" s="551"/>
      <c r="U981" s="551"/>
      <c r="V981" s="551"/>
      <c r="W981" s="551"/>
      <c r="X981" s="551"/>
      <c r="Y981" s="551"/>
      <c r="Z981" s="551"/>
      <c r="AA981" s="551"/>
      <c r="AB981" s="551"/>
      <c r="AC981" s="551"/>
      <c r="AD981" s="551"/>
      <c r="AE981" s="551"/>
      <c r="AF981" s="551"/>
    </row>
    <row r="982">
      <c r="A982" s="552"/>
      <c r="B982" s="552"/>
      <c r="C982" s="552"/>
      <c r="D982" s="552"/>
      <c r="E982" s="552"/>
      <c r="F982" s="552"/>
      <c r="G982" s="552"/>
      <c r="H982" s="552"/>
      <c r="I982" s="552"/>
      <c r="J982" s="552"/>
      <c r="K982" s="552"/>
      <c r="L982" s="552"/>
      <c r="M982" s="552"/>
      <c r="N982" s="551"/>
      <c r="O982" s="551"/>
      <c r="P982" s="551"/>
      <c r="Q982" s="551"/>
      <c r="R982" s="551"/>
      <c r="S982" s="551"/>
      <c r="T982" s="551"/>
      <c r="U982" s="551"/>
      <c r="V982" s="551"/>
      <c r="W982" s="551"/>
      <c r="X982" s="551"/>
      <c r="Y982" s="551"/>
      <c r="Z982" s="551"/>
      <c r="AA982" s="551"/>
      <c r="AB982" s="551"/>
      <c r="AC982" s="551"/>
      <c r="AD982" s="551"/>
      <c r="AE982" s="551"/>
      <c r="AF982" s="551"/>
    </row>
    <row r="983">
      <c r="A983" s="552"/>
      <c r="B983" s="552"/>
      <c r="C983" s="552"/>
      <c r="D983" s="552"/>
      <c r="E983" s="552"/>
      <c r="F983" s="552"/>
      <c r="G983" s="552"/>
      <c r="H983" s="552"/>
      <c r="I983" s="552"/>
      <c r="J983" s="552"/>
      <c r="K983" s="552"/>
      <c r="L983" s="552"/>
      <c r="M983" s="552"/>
      <c r="N983" s="551"/>
      <c r="O983" s="551"/>
      <c r="P983" s="551"/>
      <c r="Q983" s="551"/>
      <c r="R983" s="551"/>
      <c r="S983" s="551"/>
      <c r="T983" s="551"/>
      <c r="U983" s="551"/>
      <c r="V983" s="551"/>
      <c r="W983" s="551"/>
      <c r="X983" s="551"/>
      <c r="Y983" s="551"/>
      <c r="Z983" s="551"/>
      <c r="AA983" s="551"/>
      <c r="AB983" s="551"/>
      <c r="AC983" s="551"/>
      <c r="AD983" s="551"/>
      <c r="AE983" s="551"/>
      <c r="AF983" s="551"/>
    </row>
    <row r="984">
      <c r="A984" s="552"/>
      <c r="B984" s="552"/>
      <c r="C984" s="552"/>
      <c r="D984" s="552"/>
      <c r="E984" s="552"/>
      <c r="F984" s="552"/>
      <c r="G984" s="552"/>
      <c r="H984" s="552"/>
      <c r="I984" s="552"/>
      <c r="J984" s="552"/>
      <c r="K984" s="552"/>
      <c r="L984" s="552"/>
      <c r="M984" s="552"/>
      <c r="N984" s="551"/>
      <c r="O984" s="551"/>
      <c r="P984" s="551"/>
      <c r="Q984" s="551"/>
      <c r="R984" s="551"/>
      <c r="S984" s="551"/>
      <c r="T984" s="551"/>
      <c r="U984" s="551"/>
      <c r="V984" s="551"/>
      <c r="W984" s="551"/>
      <c r="X984" s="551"/>
      <c r="Y984" s="551"/>
      <c r="Z984" s="551"/>
      <c r="AA984" s="551"/>
      <c r="AB984" s="551"/>
      <c r="AC984" s="551"/>
      <c r="AD984" s="551"/>
      <c r="AE984" s="551"/>
      <c r="AF984" s="551"/>
    </row>
    <row r="985">
      <c r="A985" s="552"/>
      <c r="B985" s="552"/>
      <c r="C985" s="552"/>
      <c r="D985" s="552"/>
      <c r="E985" s="552"/>
      <c r="F985" s="552"/>
      <c r="G985" s="552"/>
      <c r="H985" s="552"/>
      <c r="I985" s="552"/>
      <c r="J985" s="552"/>
      <c r="K985" s="552"/>
      <c r="L985" s="552"/>
      <c r="M985" s="552"/>
      <c r="N985" s="551"/>
      <c r="O985" s="551"/>
      <c r="P985" s="551"/>
      <c r="Q985" s="551"/>
      <c r="R985" s="551"/>
      <c r="S985" s="551"/>
      <c r="T985" s="551"/>
      <c r="U985" s="551"/>
      <c r="V985" s="551"/>
      <c r="W985" s="551"/>
      <c r="X985" s="551"/>
      <c r="Y985" s="551"/>
      <c r="Z985" s="551"/>
      <c r="AA985" s="551"/>
      <c r="AB985" s="551"/>
      <c r="AC985" s="551"/>
      <c r="AD985" s="551"/>
      <c r="AE985" s="551"/>
      <c r="AF985" s="551"/>
    </row>
    <row r="986">
      <c r="A986" s="552"/>
      <c r="B986" s="552"/>
      <c r="C986" s="552"/>
      <c r="D986" s="552"/>
      <c r="E986" s="552"/>
      <c r="F986" s="552"/>
      <c r="G986" s="552"/>
      <c r="H986" s="552"/>
      <c r="I986" s="552"/>
      <c r="J986" s="552"/>
      <c r="K986" s="552"/>
      <c r="L986" s="552"/>
      <c r="M986" s="552"/>
      <c r="N986" s="551"/>
      <c r="O986" s="551"/>
      <c r="P986" s="551"/>
      <c r="Q986" s="551"/>
      <c r="R986" s="551"/>
      <c r="S986" s="551"/>
      <c r="T986" s="551"/>
      <c r="U986" s="551"/>
      <c r="V986" s="551"/>
      <c r="W986" s="551"/>
      <c r="X986" s="551"/>
      <c r="Y986" s="551"/>
      <c r="Z986" s="551"/>
      <c r="AA986" s="551"/>
      <c r="AB986" s="551"/>
      <c r="AC986" s="551"/>
      <c r="AD986" s="551"/>
      <c r="AE986" s="551"/>
      <c r="AF986" s="551"/>
    </row>
    <row r="987">
      <c r="A987" s="552"/>
      <c r="B987" s="552"/>
      <c r="C987" s="552"/>
      <c r="D987" s="552"/>
      <c r="E987" s="552"/>
      <c r="F987" s="552"/>
      <c r="G987" s="552"/>
      <c r="H987" s="552"/>
      <c r="I987" s="552"/>
      <c r="J987" s="552"/>
      <c r="K987" s="552"/>
      <c r="L987" s="552"/>
      <c r="M987" s="552"/>
      <c r="N987" s="551"/>
      <c r="O987" s="551"/>
      <c r="P987" s="551"/>
      <c r="Q987" s="551"/>
      <c r="R987" s="551"/>
      <c r="S987" s="551"/>
      <c r="T987" s="551"/>
      <c r="U987" s="551"/>
      <c r="V987" s="551"/>
      <c r="W987" s="551"/>
      <c r="X987" s="551"/>
      <c r="Y987" s="551"/>
      <c r="Z987" s="551"/>
      <c r="AA987" s="551"/>
      <c r="AB987" s="551"/>
      <c r="AC987" s="551"/>
      <c r="AD987" s="551"/>
      <c r="AE987" s="551"/>
      <c r="AF987" s="551"/>
    </row>
    <row r="988">
      <c r="A988" s="552"/>
      <c r="B988" s="552"/>
      <c r="C988" s="552"/>
      <c r="D988" s="552"/>
      <c r="E988" s="552"/>
      <c r="F988" s="552"/>
      <c r="G988" s="552"/>
      <c r="H988" s="552"/>
      <c r="I988" s="552"/>
      <c r="J988" s="552"/>
      <c r="K988" s="552"/>
      <c r="L988" s="552"/>
      <c r="M988" s="552"/>
      <c r="N988" s="551"/>
      <c r="O988" s="551"/>
      <c r="P988" s="551"/>
      <c r="Q988" s="551"/>
      <c r="R988" s="551"/>
      <c r="S988" s="551"/>
      <c r="T988" s="551"/>
      <c r="U988" s="551"/>
      <c r="V988" s="551"/>
      <c r="W988" s="551"/>
      <c r="X988" s="551"/>
      <c r="Y988" s="551"/>
      <c r="Z988" s="551"/>
      <c r="AA988" s="551"/>
      <c r="AB988" s="551"/>
      <c r="AC988" s="551"/>
      <c r="AD988" s="551"/>
      <c r="AE988" s="551"/>
      <c r="AF988" s="551"/>
    </row>
    <row r="989">
      <c r="A989" s="552"/>
      <c r="B989" s="552"/>
      <c r="C989" s="552"/>
      <c r="D989" s="552"/>
      <c r="E989" s="552"/>
      <c r="F989" s="552"/>
      <c r="G989" s="552"/>
      <c r="H989" s="552"/>
      <c r="I989" s="552"/>
      <c r="J989" s="552"/>
      <c r="K989" s="552"/>
      <c r="L989" s="552"/>
      <c r="M989" s="552"/>
      <c r="N989" s="551"/>
      <c r="O989" s="551"/>
      <c r="P989" s="551"/>
      <c r="Q989" s="551"/>
      <c r="R989" s="551"/>
      <c r="S989" s="551"/>
      <c r="T989" s="551"/>
      <c r="U989" s="551"/>
      <c r="V989" s="551"/>
      <c r="W989" s="551"/>
      <c r="X989" s="551"/>
      <c r="Y989" s="551"/>
      <c r="Z989" s="551"/>
      <c r="AA989" s="551"/>
      <c r="AB989" s="551"/>
      <c r="AC989" s="551"/>
      <c r="AD989" s="551"/>
      <c r="AE989" s="551"/>
      <c r="AF989" s="551"/>
    </row>
    <row r="990">
      <c r="A990" s="552"/>
      <c r="B990" s="552"/>
      <c r="C990" s="552"/>
      <c r="D990" s="552"/>
      <c r="E990" s="552"/>
      <c r="F990" s="552"/>
      <c r="G990" s="552"/>
      <c r="H990" s="552"/>
      <c r="I990" s="552"/>
      <c r="J990" s="552"/>
      <c r="K990" s="552"/>
      <c r="L990" s="552"/>
      <c r="M990" s="552"/>
      <c r="N990" s="551"/>
      <c r="O990" s="551"/>
      <c r="P990" s="551"/>
      <c r="Q990" s="551"/>
      <c r="R990" s="551"/>
      <c r="S990" s="551"/>
      <c r="T990" s="551"/>
      <c r="U990" s="551"/>
      <c r="V990" s="551"/>
      <c r="W990" s="551"/>
      <c r="X990" s="551"/>
      <c r="Y990" s="551"/>
      <c r="Z990" s="551"/>
      <c r="AA990" s="551"/>
      <c r="AB990" s="551"/>
      <c r="AC990" s="551"/>
      <c r="AD990" s="551"/>
      <c r="AE990" s="551"/>
      <c r="AF990" s="551"/>
    </row>
    <row r="991">
      <c r="A991" s="552"/>
      <c r="B991" s="552"/>
      <c r="C991" s="552"/>
      <c r="D991" s="552"/>
      <c r="E991" s="552"/>
      <c r="F991" s="552"/>
      <c r="G991" s="552"/>
      <c r="H991" s="552"/>
      <c r="I991" s="552"/>
      <c r="J991" s="552"/>
      <c r="K991" s="552"/>
      <c r="L991" s="552"/>
      <c r="M991" s="552"/>
      <c r="N991" s="551"/>
      <c r="O991" s="551"/>
      <c r="P991" s="551"/>
      <c r="Q991" s="551"/>
      <c r="R991" s="551"/>
      <c r="S991" s="551"/>
      <c r="T991" s="551"/>
      <c r="U991" s="551"/>
      <c r="V991" s="551"/>
      <c r="W991" s="551"/>
      <c r="X991" s="551"/>
      <c r="Y991" s="551"/>
      <c r="Z991" s="551"/>
      <c r="AA991" s="551"/>
      <c r="AB991" s="551"/>
      <c r="AC991" s="551"/>
      <c r="AD991" s="551"/>
      <c r="AE991" s="551"/>
      <c r="AF991" s="551"/>
    </row>
    <row r="992">
      <c r="A992" s="552"/>
      <c r="B992" s="552"/>
      <c r="C992" s="552"/>
      <c r="D992" s="552"/>
      <c r="E992" s="552"/>
      <c r="F992" s="552"/>
      <c r="G992" s="552"/>
      <c r="H992" s="552"/>
      <c r="I992" s="552"/>
      <c r="J992" s="552"/>
      <c r="K992" s="552"/>
      <c r="L992" s="552"/>
      <c r="M992" s="552"/>
      <c r="N992" s="551"/>
      <c r="O992" s="551"/>
      <c r="P992" s="551"/>
      <c r="Q992" s="551"/>
      <c r="R992" s="551"/>
      <c r="S992" s="551"/>
      <c r="T992" s="551"/>
      <c r="U992" s="551"/>
      <c r="V992" s="551"/>
      <c r="W992" s="551"/>
      <c r="X992" s="551"/>
      <c r="Y992" s="551"/>
      <c r="Z992" s="551"/>
      <c r="AA992" s="551"/>
      <c r="AB992" s="551"/>
      <c r="AC992" s="551"/>
      <c r="AD992" s="551"/>
      <c r="AE992" s="551"/>
      <c r="AF992" s="551"/>
    </row>
    <row r="993">
      <c r="A993" s="552"/>
      <c r="B993" s="552"/>
      <c r="C993" s="552"/>
      <c r="D993" s="552"/>
      <c r="E993" s="552"/>
      <c r="F993" s="552"/>
      <c r="G993" s="552"/>
      <c r="H993" s="552"/>
      <c r="I993" s="552"/>
      <c r="J993" s="552"/>
      <c r="K993" s="552"/>
      <c r="L993" s="552"/>
      <c r="M993" s="552"/>
      <c r="N993" s="551"/>
      <c r="O993" s="551"/>
      <c r="P993" s="551"/>
      <c r="Q993" s="551"/>
      <c r="R993" s="551"/>
      <c r="S993" s="551"/>
      <c r="T993" s="551"/>
      <c r="U993" s="551"/>
      <c r="V993" s="551"/>
      <c r="W993" s="551"/>
      <c r="X993" s="551"/>
      <c r="Y993" s="551"/>
      <c r="Z993" s="551"/>
      <c r="AA993" s="551"/>
      <c r="AB993" s="551"/>
      <c r="AC993" s="551"/>
      <c r="AD993" s="551"/>
      <c r="AE993" s="551"/>
      <c r="AF993" s="551"/>
    </row>
    <row r="994">
      <c r="A994" s="552"/>
      <c r="B994" s="552"/>
      <c r="C994" s="552"/>
      <c r="D994" s="552"/>
      <c r="E994" s="552"/>
      <c r="F994" s="552"/>
      <c r="G994" s="552"/>
      <c r="H994" s="552"/>
      <c r="I994" s="552"/>
      <c r="J994" s="552"/>
      <c r="K994" s="552"/>
      <c r="L994" s="552"/>
      <c r="M994" s="552"/>
      <c r="N994" s="551"/>
      <c r="O994" s="551"/>
      <c r="P994" s="551"/>
      <c r="Q994" s="551"/>
      <c r="R994" s="551"/>
      <c r="S994" s="551"/>
      <c r="T994" s="551"/>
      <c r="U994" s="551"/>
      <c r="V994" s="551"/>
      <c r="W994" s="551"/>
      <c r="X994" s="551"/>
      <c r="Y994" s="551"/>
      <c r="Z994" s="551"/>
      <c r="AA994" s="551"/>
      <c r="AB994" s="551"/>
      <c r="AC994" s="551"/>
      <c r="AD994" s="551"/>
      <c r="AE994" s="551"/>
      <c r="AF994" s="551"/>
    </row>
    <row r="995">
      <c r="A995" s="552"/>
      <c r="B995" s="552"/>
      <c r="C995" s="552"/>
      <c r="D995" s="552"/>
      <c r="E995" s="552"/>
      <c r="F995" s="552"/>
      <c r="G995" s="552"/>
      <c r="H995" s="552"/>
      <c r="I995" s="552"/>
      <c r="J995" s="552"/>
      <c r="K995" s="552"/>
      <c r="L995" s="552"/>
      <c r="M995" s="552"/>
      <c r="N995" s="551"/>
      <c r="O995" s="551"/>
      <c r="P995" s="551"/>
      <c r="Q995" s="551"/>
      <c r="R995" s="551"/>
      <c r="S995" s="551"/>
      <c r="T995" s="551"/>
      <c r="U995" s="551"/>
      <c r="V995" s="551"/>
      <c r="W995" s="551"/>
      <c r="X995" s="551"/>
      <c r="Y995" s="551"/>
      <c r="Z995" s="551"/>
      <c r="AA995" s="551"/>
      <c r="AB995" s="551"/>
      <c r="AC995" s="551"/>
      <c r="AD995" s="551"/>
      <c r="AE995" s="551"/>
      <c r="AF995" s="551"/>
    </row>
    <row r="996">
      <c r="A996" s="552"/>
      <c r="B996" s="552"/>
      <c r="C996" s="552"/>
      <c r="D996" s="552"/>
      <c r="E996" s="552"/>
      <c r="F996" s="552"/>
      <c r="G996" s="552"/>
      <c r="H996" s="552"/>
      <c r="I996" s="552"/>
      <c r="J996" s="552"/>
      <c r="K996" s="552"/>
      <c r="L996" s="552"/>
      <c r="M996" s="552"/>
      <c r="N996" s="551"/>
      <c r="O996" s="551"/>
      <c r="P996" s="551"/>
      <c r="Q996" s="551"/>
      <c r="R996" s="551"/>
      <c r="S996" s="551"/>
      <c r="T996" s="551"/>
      <c r="U996" s="551"/>
      <c r="V996" s="551"/>
      <c r="W996" s="551"/>
      <c r="X996" s="551"/>
      <c r="Y996" s="551"/>
      <c r="Z996" s="551"/>
      <c r="AA996" s="551"/>
      <c r="AB996" s="551"/>
      <c r="AC996" s="551"/>
      <c r="AD996" s="551"/>
      <c r="AE996" s="551"/>
      <c r="AF996" s="551"/>
    </row>
    <row r="997">
      <c r="A997" s="552"/>
      <c r="B997" s="552"/>
      <c r="C997" s="552"/>
      <c r="D997" s="552"/>
      <c r="E997" s="552"/>
      <c r="F997" s="552"/>
      <c r="G997" s="552"/>
      <c r="H997" s="552"/>
      <c r="I997" s="552"/>
      <c r="J997" s="552"/>
      <c r="K997" s="552"/>
      <c r="L997" s="552"/>
      <c r="M997" s="552"/>
      <c r="N997" s="551"/>
      <c r="O997" s="551"/>
      <c r="P997" s="551"/>
      <c r="Q997" s="551"/>
      <c r="R997" s="551"/>
      <c r="S997" s="551"/>
      <c r="T997" s="551"/>
      <c r="U997" s="551"/>
      <c r="V997" s="551"/>
      <c r="W997" s="551"/>
      <c r="X997" s="551"/>
      <c r="Y997" s="551"/>
      <c r="Z997" s="551"/>
      <c r="AA997" s="551"/>
      <c r="AB997" s="551"/>
      <c r="AC997" s="551"/>
      <c r="AD997" s="551"/>
      <c r="AE997" s="551"/>
      <c r="AF997" s="551"/>
    </row>
    <row r="998">
      <c r="A998" s="552"/>
      <c r="B998" s="552"/>
      <c r="C998" s="552"/>
      <c r="D998" s="552"/>
      <c r="E998" s="552"/>
      <c r="F998" s="552"/>
      <c r="G998" s="552"/>
      <c r="H998" s="552"/>
      <c r="I998" s="552"/>
      <c r="J998" s="552"/>
      <c r="K998" s="552"/>
      <c r="L998" s="552"/>
      <c r="M998" s="552"/>
      <c r="N998" s="551"/>
      <c r="O998" s="551"/>
      <c r="P998" s="551"/>
      <c r="Q998" s="551"/>
      <c r="R998" s="551"/>
      <c r="S998" s="551"/>
      <c r="T998" s="551"/>
      <c r="U998" s="551"/>
      <c r="V998" s="551"/>
      <c r="W998" s="551"/>
      <c r="X998" s="551"/>
      <c r="Y998" s="551"/>
      <c r="Z998" s="551"/>
      <c r="AA998" s="551"/>
      <c r="AB998" s="551"/>
      <c r="AC998" s="551"/>
      <c r="AD998" s="551"/>
      <c r="AE998" s="551"/>
      <c r="AF998" s="551"/>
    </row>
    <row r="999">
      <c r="A999" s="552"/>
      <c r="B999" s="552"/>
      <c r="C999" s="552"/>
      <c r="D999" s="552"/>
      <c r="E999" s="552"/>
      <c r="F999" s="552"/>
      <c r="G999" s="552"/>
      <c r="H999" s="552"/>
      <c r="I999" s="552"/>
      <c r="J999" s="552"/>
      <c r="K999" s="552"/>
      <c r="L999" s="552"/>
      <c r="M999" s="552"/>
      <c r="N999" s="551"/>
      <c r="O999" s="551"/>
      <c r="P999" s="551"/>
      <c r="Q999" s="551"/>
      <c r="R999" s="551"/>
      <c r="S999" s="551"/>
      <c r="T999" s="551"/>
      <c r="U999" s="551"/>
      <c r="V999" s="551"/>
      <c r="W999" s="551"/>
      <c r="X999" s="551"/>
      <c r="Y999" s="551"/>
      <c r="Z999" s="551"/>
      <c r="AA999" s="551"/>
      <c r="AB999" s="551"/>
      <c r="AC999" s="551"/>
      <c r="AD999" s="551"/>
      <c r="AE999" s="551"/>
      <c r="AF999" s="551"/>
    </row>
    <row r="1000">
      <c r="A1000" s="552"/>
      <c r="B1000" s="552"/>
      <c r="C1000" s="552"/>
      <c r="D1000" s="552"/>
      <c r="E1000" s="552"/>
      <c r="F1000" s="552"/>
      <c r="G1000" s="552"/>
      <c r="H1000" s="552"/>
      <c r="I1000" s="552"/>
      <c r="J1000" s="552"/>
      <c r="K1000" s="552"/>
      <c r="L1000" s="552"/>
      <c r="M1000" s="552"/>
      <c r="N1000" s="551"/>
      <c r="O1000" s="551"/>
      <c r="P1000" s="551"/>
      <c r="Q1000" s="551"/>
      <c r="R1000" s="551"/>
      <c r="S1000" s="551"/>
      <c r="T1000" s="551"/>
      <c r="U1000" s="551"/>
      <c r="V1000" s="551"/>
      <c r="W1000" s="551"/>
      <c r="X1000" s="551"/>
      <c r="Y1000" s="551"/>
      <c r="Z1000" s="551"/>
      <c r="AA1000" s="551"/>
      <c r="AB1000" s="551"/>
      <c r="AC1000" s="551"/>
      <c r="AD1000" s="551"/>
      <c r="AE1000" s="551"/>
      <c r="AF1000" s="551"/>
    </row>
    <row r="1001">
      <c r="A1001" s="552"/>
      <c r="B1001" s="552"/>
      <c r="C1001" s="552"/>
      <c r="D1001" s="552"/>
      <c r="E1001" s="552"/>
      <c r="F1001" s="552"/>
      <c r="G1001" s="552"/>
      <c r="H1001" s="552"/>
      <c r="I1001" s="552"/>
      <c r="J1001" s="552"/>
      <c r="K1001" s="552"/>
      <c r="L1001" s="552"/>
      <c r="M1001" s="552"/>
      <c r="N1001" s="551"/>
      <c r="O1001" s="551"/>
      <c r="P1001" s="551"/>
      <c r="Q1001" s="551"/>
      <c r="R1001" s="551"/>
      <c r="S1001" s="551"/>
      <c r="T1001" s="551"/>
      <c r="U1001" s="551"/>
      <c r="V1001" s="551"/>
      <c r="W1001" s="551"/>
      <c r="X1001" s="551"/>
      <c r="Y1001" s="551"/>
      <c r="Z1001" s="551"/>
      <c r="AA1001" s="551"/>
      <c r="AB1001" s="551"/>
      <c r="AC1001" s="551"/>
      <c r="AD1001" s="551"/>
      <c r="AE1001" s="551"/>
      <c r="AF1001" s="551"/>
    </row>
    <row r="1002">
      <c r="A1002" s="552"/>
      <c r="B1002" s="552"/>
      <c r="C1002" s="552"/>
      <c r="D1002" s="552"/>
      <c r="E1002" s="552"/>
      <c r="F1002" s="552"/>
      <c r="G1002" s="552"/>
      <c r="H1002" s="552"/>
      <c r="I1002" s="552"/>
      <c r="J1002" s="552"/>
      <c r="K1002" s="552"/>
      <c r="L1002" s="552"/>
      <c r="M1002" s="552"/>
      <c r="N1002" s="551"/>
      <c r="O1002" s="551"/>
      <c r="P1002" s="551"/>
      <c r="Q1002" s="551"/>
      <c r="R1002" s="551"/>
      <c r="S1002" s="551"/>
      <c r="T1002" s="551"/>
      <c r="U1002" s="551"/>
      <c r="V1002" s="551"/>
      <c r="W1002" s="551"/>
      <c r="X1002" s="551"/>
      <c r="Y1002" s="551"/>
      <c r="Z1002" s="551"/>
      <c r="AA1002" s="551"/>
      <c r="AB1002" s="551"/>
      <c r="AC1002" s="551"/>
      <c r="AD1002" s="551"/>
      <c r="AE1002" s="551"/>
      <c r="AF1002" s="551"/>
    </row>
    <row r="1003">
      <c r="A1003" s="552"/>
      <c r="B1003" s="552"/>
      <c r="C1003" s="552"/>
      <c r="D1003" s="552"/>
      <c r="E1003" s="552"/>
      <c r="F1003" s="552"/>
      <c r="G1003" s="552"/>
      <c r="H1003" s="552"/>
      <c r="I1003" s="552"/>
      <c r="J1003" s="552"/>
      <c r="K1003" s="552"/>
      <c r="L1003" s="552"/>
      <c r="M1003" s="552"/>
      <c r="N1003" s="551"/>
      <c r="O1003" s="551"/>
      <c r="P1003" s="551"/>
      <c r="Q1003" s="551"/>
      <c r="R1003" s="551"/>
      <c r="S1003" s="551"/>
      <c r="T1003" s="551"/>
      <c r="U1003" s="551"/>
      <c r="V1003" s="551"/>
      <c r="W1003" s="551"/>
      <c r="X1003" s="551"/>
      <c r="Y1003" s="551"/>
      <c r="Z1003" s="551"/>
      <c r="AA1003" s="551"/>
      <c r="AB1003" s="551"/>
      <c r="AC1003" s="551"/>
      <c r="AD1003" s="551"/>
      <c r="AE1003" s="551"/>
      <c r="AF1003" s="551"/>
    </row>
    <row r="1004">
      <c r="A1004" s="552"/>
      <c r="B1004" s="552"/>
      <c r="C1004" s="552"/>
      <c r="D1004" s="552"/>
      <c r="E1004" s="552"/>
      <c r="F1004" s="552"/>
      <c r="G1004" s="552"/>
      <c r="H1004" s="552"/>
      <c r="I1004" s="552"/>
      <c r="J1004" s="552"/>
      <c r="K1004" s="552"/>
      <c r="L1004" s="552"/>
      <c r="M1004" s="552"/>
      <c r="N1004" s="551"/>
      <c r="O1004" s="551"/>
      <c r="P1004" s="551"/>
      <c r="Q1004" s="551"/>
      <c r="R1004" s="551"/>
      <c r="S1004" s="551"/>
      <c r="T1004" s="551"/>
      <c r="U1004" s="551"/>
      <c r="V1004" s="551"/>
      <c r="W1004" s="551"/>
      <c r="X1004" s="551"/>
      <c r="Y1004" s="551"/>
      <c r="Z1004" s="551"/>
      <c r="AA1004" s="551"/>
      <c r="AB1004" s="551"/>
      <c r="AC1004" s="551"/>
      <c r="AD1004" s="551"/>
      <c r="AE1004" s="551"/>
      <c r="AF1004" s="551"/>
    </row>
    <row r="1005">
      <c r="A1005" s="552"/>
      <c r="B1005" s="552"/>
      <c r="C1005" s="552"/>
      <c r="D1005" s="552"/>
      <c r="E1005" s="552"/>
      <c r="F1005" s="552"/>
      <c r="G1005" s="552"/>
      <c r="H1005" s="552"/>
      <c r="I1005" s="552"/>
      <c r="J1005" s="552"/>
      <c r="K1005" s="552"/>
      <c r="L1005" s="552"/>
      <c r="M1005" s="552"/>
      <c r="N1005" s="551"/>
      <c r="O1005" s="551"/>
      <c r="P1005" s="551"/>
      <c r="Q1005" s="551"/>
      <c r="R1005" s="551"/>
      <c r="S1005" s="551"/>
      <c r="T1005" s="551"/>
      <c r="U1005" s="551"/>
      <c r="V1005" s="551"/>
      <c r="W1005" s="551"/>
      <c r="X1005" s="551"/>
      <c r="Y1005" s="551"/>
      <c r="Z1005" s="551"/>
      <c r="AA1005" s="551"/>
      <c r="AB1005" s="551"/>
      <c r="AC1005" s="551"/>
      <c r="AD1005" s="551"/>
      <c r="AE1005" s="551"/>
      <c r="AF1005" s="551"/>
    </row>
    <row r="1006">
      <c r="A1006" s="552"/>
      <c r="B1006" s="552"/>
      <c r="C1006" s="552"/>
      <c r="D1006" s="552"/>
      <c r="E1006" s="552"/>
      <c r="F1006" s="552"/>
      <c r="G1006" s="552"/>
      <c r="H1006" s="552"/>
      <c r="I1006" s="552"/>
      <c r="J1006" s="552"/>
      <c r="K1006" s="552"/>
      <c r="L1006" s="552"/>
      <c r="M1006" s="552"/>
      <c r="N1006" s="551"/>
      <c r="O1006" s="551"/>
      <c r="P1006" s="551"/>
      <c r="Q1006" s="551"/>
      <c r="R1006" s="551"/>
      <c r="S1006" s="551"/>
      <c r="T1006" s="551"/>
      <c r="U1006" s="551"/>
      <c r="V1006" s="551"/>
      <c r="W1006" s="551"/>
      <c r="X1006" s="551"/>
      <c r="Y1006" s="551"/>
      <c r="Z1006" s="551"/>
      <c r="AA1006" s="551"/>
      <c r="AB1006" s="551"/>
      <c r="AC1006" s="551"/>
      <c r="AD1006" s="551"/>
      <c r="AE1006" s="551"/>
      <c r="AF1006" s="551"/>
    </row>
    <row r="1007">
      <c r="A1007" s="552"/>
      <c r="B1007" s="552"/>
      <c r="C1007" s="552"/>
      <c r="D1007" s="552"/>
      <c r="E1007" s="552"/>
      <c r="F1007" s="552"/>
      <c r="G1007" s="552"/>
      <c r="H1007" s="552"/>
      <c r="I1007" s="552"/>
      <c r="J1007" s="552"/>
      <c r="K1007" s="552"/>
      <c r="L1007" s="552"/>
      <c r="M1007" s="552"/>
      <c r="N1007" s="551"/>
      <c r="O1007" s="551"/>
      <c r="P1007" s="551"/>
      <c r="Q1007" s="551"/>
      <c r="R1007" s="551"/>
      <c r="S1007" s="551"/>
      <c r="T1007" s="551"/>
      <c r="U1007" s="551"/>
      <c r="V1007" s="551"/>
      <c r="W1007" s="551"/>
      <c r="X1007" s="551"/>
      <c r="Y1007" s="551"/>
      <c r="Z1007" s="551"/>
      <c r="AA1007" s="551"/>
      <c r="AB1007" s="551"/>
      <c r="AC1007" s="551"/>
      <c r="AD1007" s="551"/>
      <c r="AE1007" s="551"/>
      <c r="AF1007" s="551"/>
    </row>
    <row r="1008">
      <c r="A1008" s="552"/>
      <c r="B1008" s="552"/>
      <c r="C1008" s="552"/>
      <c r="D1008" s="552"/>
      <c r="E1008" s="552"/>
      <c r="F1008" s="552"/>
      <c r="G1008" s="552"/>
      <c r="H1008" s="552"/>
      <c r="I1008" s="552"/>
      <c r="J1008" s="552"/>
      <c r="K1008" s="552"/>
      <c r="L1008" s="552"/>
      <c r="M1008" s="552"/>
      <c r="N1008" s="551"/>
      <c r="O1008" s="551"/>
      <c r="P1008" s="551"/>
      <c r="Q1008" s="551"/>
      <c r="R1008" s="551"/>
      <c r="S1008" s="551"/>
      <c r="T1008" s="551"/>
      <c r="U1008" s="551"/>
      <c r="V1008" s="551"/>
      <c r="W1008" s="551"/>
      <c r="X1008" s="551"/>
      <c r="Y1008" s="551"/>
      <c r="Z1008" s="551"/>
      <c r="AA1008" s="551"/>
      <c r="AB1008" s="551"/>
      <c r="AC1008" s="551"/>
      <c r="AD1008" s="551"/>
      <c r="AE1008" s="551"/>
      <c r="AF1008" s="551"/>
    </row>
    <row r="1009">
      <c r="A1009" s="552"/>
      <c r="B1009" s="552"/>
      <c r="C1009" s="552"/>
      <c r="D1009" s="552"/>
      <c r="E1009" s="552"/>
      <c r="F1009" s="552"/>
      <c r="G1009" s="552"/>
      <c r="H1009" s="552"/>
      <c r="I1009" s="552"/>
      <c r="J1009" s="552"/>
      <c r="K1009" s="552"/>
      <c r="L1009" s="552"/>
      <c r="M1009" s="552"/>
      <c r="N1009" s="551"/>
      <c r="O1009" s="551"/>
      <c r="P1009" s="551"/>
      <c r="Q1009" s="551"/>
      <c r="R1009" s="551"/>
      <c r="S1009" s="551"/>
      <c r="T1009" s="551"/>
      <c r="U1009" s="551"/>
      <c r="V1009" s="551"/>
      <c r="W1009" s="551"/>
      <c r="X1009" s="551"/>
      <c r="Y1009" s="551"/>
      <c r="Z1009" s="551"/>
      <c r="AA1009" s="551"/>
      <c r="AB1009" s="551"/>
      <c r="AC1009" s="551"/>
      <c r="AD1009" s="551"/>
      <c r="AE1009" s="551"/>
      <c r="AF1009" s="551"/>
    </row>
    <row r="1010">
      <c r="A1010" s="552"/>
      <c r="B1010" s="552"/>
      <c r="C1010" s="552"/>
      <c r="D1010" s="552"/>
      <c r="E1010" s="552"/>
      <c r="F1010" s="552"/>
      <c r="G1010" s="552"/>
      <c r="H1010" s="552"/>
      <c r="I1010" s="552"/>
      <c r="J1010" s="552"/>
      <c r="K1010" s="552"/>
      <c r="L1010" s="552"/>
      <c r="M1010" s="552"/>
      <c r="N1010" s="551"/>
      <c r="O1010" s="551"/>
      <c r="P1010" s="551"/>
      <c r="Q1010" s="551"/>
      <c r="R1010" s="551"/>
      <c r="S1010" s="551"/>
      <c r="T1010" s="551"/>
      <c r="U1010" s="551"/>
      <c r="V1010" s="551"/>
      <c r="W1010" s="551"/>
      <c r="X1010" s="551"/>
      <c r="Y1010" s="551"/>
      <c r="Z1010" s="551"/>
      <c r="AA1010" s="551"/>
      <c r="AB1010" s="551"/>
      <c r="AC1010" s="551"/>
      <c r="AD1010" s="551"/>
      <c r="AE1010" s="551"/>
      <c r="AF1010" s="551"/>
    </row>
    <row r="1011">
      <c r="A1011" s="552"/>
      <c r="B1011" s="552"/>
      <c r="C1011" s="552"/>
      <c r="D1011" s="552"/>
      <c r="E1011" s="552"/>
      <c r="F1011" s="552"/>
      <c r="G1011" s="552"/>
      <c r="H1011" s="552"/>
      <c r="I1011" s="552"/>
      <c r="J1011" s="552"/>
      <c r="K1011" s="552"/>
      <c r="L1011" s="552"/>
      <c r="M1011" s="552"/>
      <c r="N1011" s="551"/>
      <c r="O1011" s="551"/>
      <c r="P1011" s="551"/>
      <c r="Q1011" s="551"/>
      <c r="R1011" s="551"/>
      <c r="S1011" s="551"/>
      <c r="T1011" s="551"/>
      <c r="U1011" s="551"/>
      <c r="V1011" s="551"/>
      <c r="W1011" s="551"/>
      <c r="X1011" s="551"/>
      <c r="Y1011" s="551"/>
      <c r="Z1011" s="551"/>
      <c r="AA1011" s="551"/>
      <c r="AB1011" s="551"/>
      <c r="AC1011" s="551"/>
      <c r="AD1011" s="551"/>
      <c r="AE1011" s="551"/>
      <c r="AF1011" s="551"/>
    </row>
    <row r="1012">
      <c r="A1012" s="552"/>
      <c r="B1012" s="552"/>
      <c r="C1012" s="552"/>
      <c r="D1012" s="552"/>
      <c r="E1012" s="552"/>
      <c r="F1012" s="552"/>
      <c r="G1012" s="552"/>
      <c r="H1012" s="552"/>
      <c r="I1012" s="552"/>
      <c r="J1012" s="552"/>
      <c r="K1012" s="552"/>
      <c r="L1012" s="552"/>
      <c r="M1012" s="552"/>
      <c r="N1012" s="551"/>
      <c r="O1012" s="551"/>
      <c r="P1012" s="551"/>
      <c r="Q1012" s="551"/>
      <c r="R1012" s="551"/>
      <c r="S1012" s="551"/>
      <c r="T1012" s="551"/>
      <c r="U1012" s="551"/>
      <c r="V1012" s="551"/>
      <c r="W1012" s="551"/>
      <c r="X1012" s="551"/>
      <c r="Y1012" s="551"/>
      <c r="Z1012" s="551"/>
      <c r="AA1012" s="551"/>
      <c r="AB1012" s="551"/>
      <c r="AC1012" s="551"/>
      <c r="AD1012" s="551"/>
      <c r="AE1012" s="551"/>
      <c r="AF1012" s="551"/>
    </row>
    <row r="1013">
      <c r="A1013" s="552"/>
      <c r="B1013" s="552"/>
      <c r="C1013" s="552"/>
      <c r="D1013" s="552"/>
      <c r="E1013" s="552"/>
      <c r="F1013" s="552"/>
      <c r="G1013" s="552"/>
      <c r="H1013" s="552"/>
      <c r="I1013" s="552"/>
      <c r="J1013" s="552"/>
      <c r="K1013" s="552"/>
      <c r="L1013" s="552"/>
      <c r="M1013" s="552"/>
      <c r="N1013" s="551"/>
      <c r="O1013" s="551"/>
      <c r="P1013" s="551"/>
      <c r="Q1013" s="551"/>
      <c r="R1013" s="551"/>
      <c r="S1013" s="551"/>
      <c r="T1013" s="551"/>
      <c r="U1013" s="551"/>
      <c r="V1013" s="551"/>
      <c r="W1013" s="551"/>
      <c r="X1013" s="551"/>
      <c r="Y1013" s="551"/>
      <c r="Z1013" s="551"/>
      <c r="AA1013" s="551"/>
      <c r="AB1013" s="551"/>
      <c r="AC1013" s="551"/>
      <c r="AD1013" s="551"/>
      <c r="AE1013" s="551"/>
      <c r="AF1013" s="551"/>
    </row>
    <row r="1014">
      <c r="A1014" s="552"/>
      <c r="B1014" s="552"/>
      <c r="C1014" s="552"/>
      <c r="D1014" s="552"/>
      <c r="E1014" s="552"/>
      <c r="F1014" s="552"/>
      <c r="G1014" s="552"/>
      <c r="H1014" s="552"/>
      <c r="I1014" s="552"/>
      <c r="J1014" s="552"/>
      <c r="K1014" s="552"/>
      <c r="L1014" s="552"/>
      <c r="M1014" s="552"/>
      <c r="N1014" s="551"/>
      <c r="O1014" s="551"/>
      <c r="P1014" s="551"/>
      <c r="Q1014" s="551"/>
      <c r="R1014" s="551"/>
      <c r="S1014" s="551"/>
      <c r="T1014" s="551"/>
      <c r="U1014" s="551"/>
      <c r="V1014" s="551"/>
      <c r="W1014" s="551"/>
      <c r="X1014" s="551"/>
      <c r="Y1014" s="551"/>
      <c r="Z1014" s="551"/>
      <c r="AA1014" s="551"/>
      <c r="AB1014" s="551"/>
      <c r="AC1014" s="551"/>
      <c r="AD1014" s="551"/>
      <c r="AE1014" s="551"/>
      <c r="AF1014" s="551"/>
    </row>
    <row r="1015">
      <c r="A1015" s="552"/>
      <c r="B1015" s="552"/>
      <c r="C1015" s="552"/>
      <c r="D1015" s="552"/>
      <c r="E1015" s="552"/>
      <c r="F1015" s="552"/>
      <c r="G1015" s="552"/>
      <c r="H1015" s="552"/>
      <c r="I1015" s="552"/>
      <c r="J1015" s="552"/>
      <c r="K1015" s="552"/>
      <c r="L1015" s="552"/>
      <c r="M1015" s="552"/>
      <c r="N1015" s="551"/>
      <c r="O1015" s="551"/>
      <c r="P1015" s="551"/>
      <c r="Q1015" s="551"/>
      <c r="R1015" s="551"/>
      <c r="S1015" s="551"/>
      <c r="T1015" s="551"/>
      <c r="U1015" s="551"/>
      <c r="V1015" s="551"/>
      <c r="W1015" s="551"/>
      <c r="X1015" s="551"/>
      <c r="Y1015" s="551"/>
      <c r="Z1015" s="551"/>
      <c r="AA1015" s="551"/>
      <c r="AB1015" s="551"/>
      <c r="AC1015" s="551"/>
      <c r="AD1015" s="551"/>
      <c r="AE1015" s="551"/>
      <c r="AF1015" s="551"/>
    </row>
    <row r="1016">
      <c r="A1016" s="552"/>
      <c r="B1016" s="552"/>
      <c r="C1016" s="552"/>
      <c r="D1016" s="552"/>
      <c r="E1016" s="552"/>
      <c r="F1016" s="552"/>
      <c r="G1016" s="552"/>
      <c r="H1016" s="552"/>
      <c r="I1016" s="552"/>
      <c r="J1016" s="552"/>
      <c r="K1016" s="552"/>
      <c r="L1016" s="552"/>
      <c r="M1016" s="552"/>
      <c r="N1016" s="551"/>
      <c r="O1016" s="551"/>
      <c r="P1016" s="551"/>
      <c r="Q1016" s="551"/>
      <c r="R1016" s="551"/>
      <c r="S1016" s="551"/>
      <c r="T1016" s="551"/>
      <c r="U1016" s="551"/>
      <c r="V1016" s="551"/>
      <c r="W1016" s="551"/>
      <c r="X1016" s="551"/>
      <c r="Y1016" s="551"/>
      <c r="Z1016" s="551"/>
      <c r="AA1016" s="551"/>
      <c r="AB1016" s="551"/>
      <c r="AC1016" s="551"/>
      <c r="AD1016" s="551"/>
      <c r="AE1016" s="551"/>
      <c r="AF1016" s="551"/>
    </row>
    <row r="1017">
      <c r="A1017" s="552"/>
      <c r="B1017" s="552"/>
      <c r="C1017" s="552"/>
      <c r="D1017" s="552"/>
      <c r="E1017" s="552"/>
      <c r="F1017" s="552"/>
      <c r="G1017" s="552"/>
      <c r="H1017" s="552"/>
      <c r="I1017" s="552"/>
      <c r="J1017" s="552"/>
      <c r="K1017" s="552"/>
      <c r="L1017" s="552"/>
      <c r="M1017" s="552"/>
      <c r="N1017" s="551"/>
      <c r="O1017" s="551"/>
      <c r="P1017" s="551"/>
      <c r="Q1017" s="551"/>
      <c r="R1017" s="551"/>
      <c r="S1017" s="551"/>
      <c r="T1017" s="551"/>
      <c r="U1017" s="551"/>
      <c r="V1017" s="551"/>
      <c r="W1017" s="551"/>
      <c r="X1017" s="551"/>
      <c r="Y1017" s="551"/>
      <c r="Z1017" s="551"/>
      <c r="AA1017" s="551"/>
      <c r="AB1017" s="551"/>
      <c r="AC1017" s="551"/>
      <c r="AD1017" s="551"/>
      <c r="AE1017" s="551"/>
      <c r="AF1017" s="551"/>
    </row>
    <row r="1018">
      <c r="A1018" s="552"/>
      <c r="B1018" s="552"/>
      <c r="C1018" s="552"/>
      <c r="D1018" s="552"/>
      <c r="E1018" s="552"/>
      <c r="F1018" s="552"/>
      <c r="G1018" s="552"/>
      <c r="H1018" s="552"/>
      <c r="I1018" s="552"/>
      <c r="J1018" s="552"/>
      <c r="K1018" s="552"/>
      <c r="L1018" s="552"/>
      <c r="M1018" s="552"/>
      <c r="N1018" s="551"/>
      <c r="O1018" s="551"/>
      <c r="P1018" s="551"/>
      <c r="Q1018" s="551"/>
      <c r="R1018" s="551"/>
      <c r="S1018" s="551"/>
      <c r="T1018" s="551"/>
      <c r="U1018" s="551"/>
      <c r="V1018" s="551"/>
      <c r="W1018" s="551"/>
      <c r="X1018" s="551"/>
      <c r="Y1018" s="551"/>
      <c r="Z1018" s="551"/>
      <c r="AA1018" s="551"/>
      <c r="AB1018" s="551"/>
      <c r="AC1018" s="551"/>
      <c r="AD1018" s="551"/>
      <c r="AE1018" s="551"/>
      <c r="AF1018" s="551"/>
    </row>
    <row r="1019">
      <c r="A1019" s="552"/>
      <c r="B1019" s="552"/>
      <c r="C1019" s="552"/>
      <c r="D1019" s="552"/>
      <c r="E1019" s="552"/>
      <c r="F1019" s="552"/>
      <c r="G1019" s="552"/>
      <c r="H1019" s="552"/>
      <c r="I1019" s="552"/>
      <c r="J1019" s="552"/>
      <c r="K1019" s="552"/>
      <c r="L1019" s="552"/>
      <c r="M1019" s="552"/>
      <c r="N1019" s="551"/>
      <c r="O1019" s="551"/>
      <c r="P1019" s="551"/>
      <c r="Q1019" s="551"/>
      <c r="R1019" s="551"/>
      <c r="S1019" s="551"/>
      <c r="T1019" s="551"/>
      <c r="U1019" s="551"/>
      <c r="V1019" s="551"/>
      <c r="W1019" s="551"/>
      <c r="X1019" s="551"/>
      <c r="Y1019" s="551"/>
      <c r="Z1019" s="551"/>
      <c r="AA1019" s="551"/>
      <c r="AB1019" s="551"/>
      <c r="AC1019" s="551"/>
      <c r="AD1019" s="551"/>
      <c r="AE1019" s="551"/>
      <c r="AF1019" s="551"/>
    </row>
    <row r="1020">
      <c r="A1020" s="552"/>
      <c r="B1020" s="552"/>
      <c r="C1020" s="552"/>
      <c r="D1020" s="552"/>
      <c r="E1020" s="552"/>
      <c r="F1020" s="552"/>
      <c r="G1020" s="552"/>
      <c r="H1020" s="552"/>
      <c r="I1020" s="552"/>
      <c r="J1020" s="552"/>
      <c r="K1020" s="552"/>
      <c r="L1020" s="552"/>
      <c r="M1020" s="552"/>
      <c r="N1020" s="551"/>
      <c r="O1020" s="551"/>
      <c r="P1020" s="551"/>
      <c r="Q1020" s="551"/>
      <c r="R1020" s="551"/>
      <c r="S1020" s="551"/>
      <c r="T1020" s="551"/>
      <c r="U1020" s="551"/>
      <c r="V1020" s="551"/>
      <c r="W1020" s="551"/>
      <c r="X1020" s="551"/>
      <c r="Y1020" s="551"/>
      <c r="Z1020" s="551"/>
      <c r="AA1020" s="551"/>
      <c r="AB1020" s="551"/>
      <c r="AC1020" s="551"/>
      <c r="AD1020" s="551"/>
      <c r="AE1020" s="551"/>
      <c r="AF1020" s="551"/>
    </row>
    <row r="1021">
      <c r="A1021" s="552"/>
      <c r="B1021" s="552"/>
      <c r="C1021" s="552"/>
      <c r="D1021" s="552"/>
      <c r="E1021" s="552"/>
      <c r="F1021" s="552"/>
      <c r="G1021" s="552"/>
      <c r="H1021" s="552"/>
      <c r="I1021" s="552"/>
      <c r="J1021" s="552"/>
      <c r="K1021" s="552"/>
      <c r="L1021" s="552"/>
      <c r="M1021" s="552"/>
      <c r="N1021" s="551"/>
      <c r="O1021" s="551"/>
      <c r="P1021" s="551"/>
      <c r="Q1021" s="551"/>
      <c r="R1021" s="551"/>
      <c r="S1021" s="551"/>
      <c r="T1021" s="551"/>
      <c r="U1021" s="551"/>
      <c r="V1021" s="551"/>
      <c r="W1021" s="551"/>
      <c r="X1021" s="551"/>
      <c r="Y1021" s="551"/>
      <c r="Z1021" s="551"/>
      <c r="AA1021" s="551"/>
      <c r="AB1021" s="551"/>
      <c r="AC1021" s="551"/>
      <c r="AD1021" s="551"/>
      <c r="AE1021" s="551"/>
      <c r="AF1021" s="551"/>
    </row>
    <row r="1022">
      <c r="A1022" s="552"/>
      <c r="B1022" s="552"/>
      <c r="C1022" s="552"/>
      <c r="D1022" s="552"/>
      <c r="E1022" s="552"/>
      <c r="F1022" s="552"/>
      <c r="G1022" s="552"/>
      <c r="H1022" s="552"/>
      <c r="I1022" s="552"/>
      <c r="J1022" s="552"/>
      <c r="K1022" s="552"/>
      <c r="L1022" s="552"/>
      <c r="M1022" s="552"/>
      <c r="N1022" s="551"/>
      <c r="O1022" s="551"/>
      <c r="P1022" s="551"/>
      <c r="Q1022" s="551"/>
      <c r="R1022" s="551"/>
      <c r="S1022" s="551"/>
      <c r="T1022" s="551"/>
      <c r="U1022" s="551"/>
      <c r="V1022" s="551"/>
      <c r="W1022" s="551"/>
      <c r="X1022" s="551"/>
      <c r="Y1022" s="551"/>
      <c r="Z1022" s="551"/>
      <c r="AA1022" s="551"/>
      <c r="AB1022" s="551"/>
      <c r="AC1022" s="551"/>
      <c r="AD1022" s="551"/>
      <c r="AE1022" s="551"/>
      <c r="AF1022" s="551"/>
    </row>
    <row r="1023">
      <c r="A1023" s="552"/>
      <c r="B1023" s="552"/>
      <c r="C1023" s="552"/>
      <c r="D1023" s="552"/>
      <c r="E1023" s="552"/>
      <c r="F1023" s="552"/>
      <c r="G1023" s="552"/>
      <c r="H1023" s="552"/>
      <c r="I1023" s="552"/>
      <c r="J1023" s="552"/>
      <c r="K1023" s="552"/>
      <c r="L1023" s="552"/>
      <c r="M1023" s="552"/>
      <c r="N1023" s="551"/>
      <c r="O1023" s="551"/>
      <c r="P1023" s="551"/>
      <c r="Q1023" s="551"/>
      <c r="R1023" s="551"/>
      <c r="S1023" s="551"/>
      <c r="T1023" s="551"/>
      <c r="U1023" s="551"/>
      <c r="V1023" s="551"/>
      <c r="W1023" s="551"/>
      <c r="X1023" s="551"/>
      <c r="Y1023" s="551"/>
      <c r="Z1023" s="551"/>
      <c r="AA1023" s="551"/>
      <c r="AB1023" s="551"/>
      <c r="AC1023" s="551"/>
      <c r="AD1023" s="551"/>
      <c r="AE1023" s="551"/>
      <c r="AF1023" s="551"/>
    </row>
    <row r="1024">
      <c r="A1024" s="552"/>
      <c r="B1024" s="552"/>
      <c r="C1024" s="552"/>
      <c r="D1024" s="552"/>
      <c r="E1024" s="552"/>
      <c r="F1024" s="552"/>
      <c r="G1024" s="552"/>
      <c r="H1024" s="552"/>
      <c r="I1024" s="552"/>
      <c r="J1024" s="552"/>
      <c r="K1024" s="552"/>
      <c r="L1024" s="552"/>
      <c r="M1024" s="552"/>
      <c r="N1024" s="551"/>
      <c r="O1024" s="551"/>
      <c r="P1024" s="551"/>
      <c r="Q1024" s="551"/>
      <c r="R1024" s="551"/>
      <c r="S1024" s="551"/>
      <c r="T1024" s="551"/>
      <c r="U1024" s="551"/>
      <c r="V1024" s="551"/>
      <c r="W1024" s="551"/>
      <c r="X1024" s="551"/>
      <c r="Y1024" s="551"/>
      <c r="Z1024" s="551"/>
      <c r="AA1024" s="551"/>
      <c r="AB1024" s="551"/>
      <c r="AC1024" s="551"/>
      <c r="AD1024" s="551"/>
      <c r="AE1024" s="551"/>
      <c r="AF1024" s="551"/>
    </row>
    <row r="1025">
      <c r="A1025" s="552"/>
      <c r="B1025" s="552"/>
      <c r="C1025" s="552"/>
      <c r="D1025" s="552"/>
      <c r="E1025" s="552"/>
      <c r="F1025" s="552"/>
      <c r="G1025" s="552"/>
      <c r="H1025" s="552"/>
      <c r="I1025" s="552"/>
      <c r="J1025" s="552"/>
      <c r="K1025" s="552"/>
      <c r="L1025" s="552"/>
      <c r="M1025" s="552"/>
      <c r="N1025" s="551"/>
      <c r="O1025" s="551"/>
      <c r="P1025" s="551"/>
      <c r="Q1025" s="551"/>
      <c r="R1025" s="551"/>
      <c r="S1025" s="551"/>
      <c r="T1025" s="551"/>
      <c r="U1025" s="551"/>
      <c r="V1025" s="551"/>
      <c r="W1025" s="551"/>
      <c r="X1025" s="551"/>
      <c r="Y1025" s="551"/>
      <c r="Z1025" s="551"/>
      <c r="AA1025" s="551"/>
      <c r="AB1025" s="551"/>
      <c r="AC1025" s="551"/>
      <c r="AD1025" s="551"/>
      <c r="AE1025" s="551"/>
      <c r="AF1025" s="551"/>
    </row>
    <row r="1026">
      <c r="A1026" s="552"/>
      <c r="B1026" s="552"/>
      <c r="C1026" s="552"/>
      <c r="D1026" s="552"/>
      <c r="E1026" s="552"/>
      <c r="F1026" s="552"/>
      <c r="G1026" s="552"/>
      <c r="H1026" s="552"/>
      <c r="I1026" s="552"/>
      <c r="J1026" s="552"/>
      <c r="K1026" s="552"/>
      <c r="L1026" s="552"/>
      <c r="M1026" s="552"/>
      <c r="N1026" s="551"/>
      <c r="O1026" s="551"/>
      <c r="P1026" s="551"/>
      <c r="Q1026" s="551"/>
      <c r="R1026" s="551"/>
      <c r="S1026" s="551"/>
      <c r="T1026" s="551"/>
      <c r="U1026" s="551"/>
      <c r="V1026" s="551"/>
      <c r="W1026" s="551"/>
      <c r="X1026" s="551"/>
      <c r="Y1026" s="551"/>
      <c r="Z1026" s="551"/>
      <c r="AA1026" s="551"/>
      <c r="AB1026" s="551"/>
      <c r="AC1026" s="551"/>
      <c r="AD1026" s="551"/>
      <c r="AE1026" s="551"/>
      <c r="AF1026" s="551"/>
    </row>
    <row r="1027">
      <c r="A1027" s="552"/>
      <c r="B1027" s="552"/>
      <c r="C1027" s="552"/>
      <c r="D1027" s="552"/>
      <c r="E1027" s="552"/>
      <c r="F1027" s="552"/>
      <c r="G1027" s="552"/>
      <c r="H1027" s="552"/>
      <c r="I1027" s="552"/>
      <c r="J1027" s="552"/>
      <c r="K1027" s="552"/>
      <c r="L1027" s="552"/>
      <c r="M1027" s="552"/>
      <c r="N1027" s="551"/>
      <c r="O1027" s="551"/>
      <c r="P1027" s="551"/>
      <c r="Q1027" s="551"/>
      <c r="R1027" s="551"/>
      <c r="S1027" s="551"/>
      <c r="T1027" s="551"/>
      <c r="U1027" s="551"/>
      <c r="V1027" s="551"/>
      <c r="W1027" s="551"/>
      <c r="X1027" s="551"/>
      <c r="Y1027" s="551"/>
      <c r="Z1027" s="551"/>
      <c r="AA1027" s="551"/>
      <c r="AB1027" s="551"/>
      <c r="AC1027" s="551"/>
      <c r="AD1027" s="551"/>
      <c r="AE1027" s="551"/>
      <c r="AF1027" s="551"/>
    </row>
    <row r="1028">
      <c r="A1028" s="552"/>
      <c r="B1028" s="552"/>
      <c r="C1028" s="552"/>
      <c r="D1028" s="552"/>
      <c r="E1028" s="552"/>
      <c r="F1028" s="552"/>
      <c r="G1028" s="552"/>
      <c r="H1028" s="552"/>
      <c r="I1028" s="552"/>
      <c r="J1028" s="552"/>
      <c r="K1028" s="552"/>
      <c r="L1028" s="552"/>
      <c r="M1028" s="552"/>
      <c r="N1028" s="551"/>
      <c r="O1028" s="551"/>
      <c r="P1028" s="551"/>
      <c r="Q1028" s="551"/>
      <c r="R1028" s="551"/>
      <c r="S1028" s="551"/>
      <c r="T1028" s="551"/>
      <c r="U1028" s="551"/>
      <c r="V1028" s="551"/>
      <c r="W1028" s="551"/>
      <c r="X1028" s="551"/>
      <c r="Y1028" s="551"/>
      <c r="Z1028" s="551"/>
      <c r="AA1028" s="551"/>
      <c r="AB1028" s="551"/>
      <c r="AC1028" s="551"/>
      <c r="AD1028" s="551"/>
      <c r="AE1028" s="551"/>
      <c r="AF1028" s="551"/>
    </row>
    <row r="1029">
      <c r="A1029" s="552"/>
      <c r="B1029" s="552"/>
      <c r="C1029" s="552"/>
      <c r="D1029" s="552"/>
      <c r="E1029" s="552"/>
      <c r="F1029" s="552"/>
      <c r="G1029" s="552"/>
      <c r="H1029" s="552"/>
      <c r="I1029" s="552"/>
      <c r="J1029" s="552"/>
      <c r="K1029" s="552"/>
      <c r="L1029" s="552"/>
      <c r="M1029" s="552"/>
      <c r="N1029" s="551"/>
      <c r="O1029" s="551"/>
      <c r="P1029" s="551"/>
      <c r="Q1029" s="551"/>
      <c r="R1029" s="551"/>
      <c r="S1029" s="551"/>
      <c r="T1029" s="551"/>
      <c r="U1029" s="551"/>
      <c r="V1029" s="551"/>
      <c r="W1029" s="551"/>
      <c r="X1029" s="551"/>
      <c r="Y1029" s="551"/>
      <c r="Z1029" s="551"/>
      <c r="AA1029" s="551"/>
      <c r="AB1029" s="551"/>
      <c r="AC1029" s="551"/>
      <c r="AD1029" s="551"/>
      <c r="AE1029" s="551"/>
      <c r="AF1029" s="551"/>
    </row>
    <row r="1030">
      <c r="A1030" s="552"/>
      <c r="B1030" s="552"/>
      <c r="C1030" s="552"/>
      <c r="D1030" s="552"/>
      <c r="E1030" s="552"/>
      <c r="F1030" s="552"/>
      <c r="G1030" s="552"/>
      <c r="H1030" s="552"/>
      <c r="I1030" s="552"/>
      <c r="J1030" s="552"/>
      <c r="K1030" s="552"/>
      <c r="L1030" s="552"/>
      <c r="M1030" s="552"/>
      <c r="N1030" s="551"/>
      <c r="O1030" s="551"/>
      <c r="P1030" s="551"/>
      <c r="Q1030" s="551"/>
      <c r="R1030" s="551"/>
      <c r="S1030" s="551"/>
      <c r="T1030" s="551"/>
      <c r="U1030" s="551"/>
      <c r="V1030" s="551"/>
      <c r="W1030" s="551"/>
      <c r="X1030" s="551"/>
      <c r="Y1030" s="551"/>
      <c r="Z1030" s="551"/>
      <c r="AA1030" s="551"/>
      <c r="AB1030" s="551"/>
      <c r="AC1030" s="551"/>
      <c r="AD1030" s="551"/>
      <c r="AE1030" s="551"/>
      <c r="AF1030" s="551"/>
    </row>
    <row r="1031">
      <c r="A1031" s="552"/>
      <c r="B1031" s="552"/>
      <c r="C1031" s="552"/>
      <c r="D1031" s="552"/>
      <c r="E1031" s="552"/>
      <c r="F1031" s="552"/>
      <c r="G1031" s="552"/>
      <c r="H1031" s="552"/>
      <c r="I1031" s="552"/>
      <c r="J1031" s="552"/>
      <c r="K1031" s="552"/>
      <c r="L1031" s="552"/>
      <c r="M1031" s="552"/>
      <c r="N1031" s="551"/>
      <c r="O1031" s="551"/>
      <c r="P1031" s="551"/>
      <c r="Q1031" s="551"/>
      <c r="R1031" s="551"/>
      <c r="S1031" s="551"/>
      <c r="T1031" s="551"/>
      <c r="U1031" s="551"/>
      <c r="V1031" s="551"/>
      <c r="W1031" s="551"/>
      <c r="X1031" s="551"/>
      <c r="Y1031" s="551"/>
      <c r="Z1031" s="551"/>
      <c r="AA1031" s="551"/>
      <c r="AB1031" s="551"/>
      <c r="AC1031" s="551"/>
      <c r="AD1031" s="551"/>
      <c r="AE1031" s="551"/>
      <c r="AF1031" s="551"/>
    </row>
    <row r="1032">
      <c r="A1032" s="552"/>
      <c r="B1032" s="552"/>
      <c r="C1032" s="552"/>
      <c r="D1032" s="552"/>
      <c r="E1032" s="552"/>
      <c r="F1032" s="552"/>
      <c r="G1032" s="552"/>
      <c r="H1032" s="552"/>
      <c r="I1032" s="552"/>
      <c r="J1032" s="552"/>
      <c r="K1032" s="552"/>
      <c r="L1032" s="552"/>
      <c r="M1032" s="552"/>
      <c r="N1032" s="551"/>
      <c r="O1032" s="551"/>
      <c r="P1032" s="551"/>
      <c r="Q1032" s="551"/>
      <c r="R1032" s="551"/>
      <c r="S1032" s="551"/>
      <c r="T1032" s="551"/>
      <c r="U1032" s="551"/>
      <c r="V1032" s="551"/>
      <c r="W1032" s="551"/>
      <c r="X1032" s="551"/>
      <c r="Y1032" s="551"/>
      <c r="Z1032" s="551"/>
      <c r="AA1032" s="551"/>
      <c r="AB1032" s="551"/>
      <c r="AC1032" s="551"/>
      <c r="AD1032" s="551"/>
      <c r="AE1032" s="551"/>
      <c r="AF1032" s="551"/>
    </row>
    <row r="1033">
      <c r="A1033" s="552"/>
      <c r="B1033" s="552"/>
      <c r="C1033" s="552"/>
      <c r="D1033" s="552"/>
      <c r="E1033" s="552"/>
      <c r="F1033" s="552"/>
      <c r="G1033" s="552"/>
      <c r="H1033" s="552"/>
      <c r="I1033" s="552"/>
      <c r="J1033" s="552"/>
      <c r="K1033" s="552"/>
      <c r="L1033" s="552"/>
      <c r="M1033" s="552"/>
      <c r="N1033" s="551"/>
      <c r="O1033" s="551"/>
      <c r="P1033" s="551"/>
      <c r="Q1033" s="551"/>
      <c r="R1033" s="551"/>
      <c r="S1033" s="551"/>
      <c r="T1033" s="551"/>
      <c r="U1033" s="551"/>
      <c r="V1033" s="551"/>
      <c r="W1033" s="551"/>
      <c r="X1033" s="551"/>
      <c r="Y1033" s="551"/>
      <c r="Z1033" s="551"/>
      <c r="AA1033" s="551"/>
      <c r="AB1033" s="551"/>
      <c r="AC1033" s="551"/>
      <c r="AD1033" s="551"/>
      <c r="AE1033" s="551"/>
      <c r="AF1033" s="551"/>
    </row>
    <row r="1034">
      <c r="A1034" s="552"/>
      <c r="B1034" s="552"/>
      <c r="C1034" s="552"/>
      <c r="D1034" s="552"/>
      <c r="E1034" s="552"/>
      <c r="F1034" s="552"/>
      <c r="G1034" s="552"/>
      <c r="H1034" s="552"/>
      <c r="I1034" s="552"/>
      <c r="J1034" s="552"/>
      <c r="K1034" s="552"/>
      <c r="L1034" s="552"/>
      <c r="M1034" s="552"/>
      <c r="N1034" s="551"/>
      <c r="O1034" s="551"/>
      <c r="P1034" s="551"/>
      <c r="Q1034" s="551"/>
      <c r="R1034" s="551"/>
      <c r="S1034" s="551"/>
      <c r="T1034" s="551"/>
      <c r="U1034" s="551"/>
      <c r="V1034" s="551"/>
      <c r="W1034" s="551"/>
      <c r="X1034" s="551"/>
      <c r="Y1034" s="551"/>
      <c r="Z1034" s="551"/>
      <c r="AA1034" s="551"/>
      <c r="AB1034" s="551"/>
      <c r="AC1034" s="551"/>
      <c r="AD1034" s="551"/>
      <c r="AE1034" s="551"/>
      <c r="AF1034" s="551"/>
    </row>
    <row r="1035">
      <c r="A1035" s="552"/>
      <c r="B1035" s="552"/>
      <c r="C1035" s="552"/>
      <c r="D1035" s="552"/>
      <c r="E1035" s="552"/>
      <c r="F1035" s="552"/>
      <c r="G1035" s="552"/>
      <c r="H1035" s="552"/>
      <c r="I1035" s="552"/>
      <c r="J1035" s="552"/>
      <c r="K1035" s="552"/>
      <c r="L1035" s="552"/>
      <c r="M1035" s="552"/>
      <c r="N1035" s="551"/>
      <c r="O1035" s="551"/>
      <c r="P1035" s="551"/>
      <c r="Q1035" s="551"/>
      <c r="R1035" s="551"/>
      <c r="S1035" s="551"/>
      <c r="T1035" s="551"/>
      <c r="U1035" s="551"/>
      <c r="V1035" s="551"/>
      <c r="W1035" s="551"/>
      <c r="X1035" s="551"/>
      <c r="Y1035" s="551"/>
      <c r="Z1035" s="551"/>
      <c r="AA1035" s="551"/>
      <c r="AB1035" s="551"/>
      <c r="AC1035" s="551"/>
      <c r="AD1035" s="551"/>
      <c r="AE1035" s="551"/>
      <c r="AF1035" s="551"/>
    </row>
    <row r="1036">
      <c r="A1036" s="552"/>
      <c r="B1036" s="552"/>
      <c r="C1036" s="552"/>
      <c r="D1036" s="552"/>
      <c r="E1036" s="552"/>
      <c r="F1036" s="552"/>
      <c r="G1036" s="552"/>
      <c r="H1036" s="552"/>
      <c r="I1036" s="552"/>
      <c r="J1036" s="552"/>
      <c r="K1036" s="552"/>
      <c r="L1036" s="552"/>
      <c r="M1036" s="552"/>
      <c r="N1036" s="551"/>
      <c r="O1036" s="551"/>
      <c r="P1036" s="551"/>
      <c r="Q1036" s="551"/>
      <c r="R1036" s="551"/>
      <c r="S1036" s="551"/>
      <c r="T1036" s="551"/>
      <c r="U1036" s="551"/>
      <c r="V1036" s="551"/>
      <c r="W1036" s="551"/>
      <c r="X1036" s="551"/>
      <c r="Y1036" s="551"/>
      <c r="Z1036" s="551"/>
      <c r="AA1036" s="551"/>
      <c r="AB1036" s="551"/>
      <c r="AC1036" s="551"/>
      <c r="AD1036" s="551"/>
      <c r="AE1036" s="551"/>
      <c r="AF1036" s="551"/>
    </row>
    <row r="1037">
      <c r="A1037" s="552"/>
      <c r="B1037" s="552"/>
      <c r="C1037" s="552"/>
      <c r="D1037" s="552"/>
      <c r="E1037" s="552"/>
      <c r="F1037" s="552"/>
      <c r="G1037" s="552"/>
      <c r="H1037" s="552"/>
      <c r="I1037" s="552"/>
      <c r="J1037" s="552"/>
      <c r="K1037" s="552"/>
      <c r="L1037" s="552"/>
      <c r="M1037" s="552"/>
      <c r="N1037" s="551"/>
      <c r="O1037" s="551"/>
      <c r="P1037" s="551"/>
      <c r="Q1037" s="551"/>
      <c r="R1037" s="551"/>
      <c r="S1037" s="551"/>
      <c r="T1037" s="551"/>
      <c r="U1037" s="551"/>
      <c r="V1037" s="551"/>
      <c r="W1037" s="551"/>
      <c r="X1037" s="551"/>
      <c r="Y1037" s="551"/>
      <c r="Z1037" s="551"/>
      <c r="AA1037" s="551"/>
      <c r="AB1037" s="551"/>
      <c r="AC1037" s="551"/>
      <c r="AD1037" s="551"/>
      <c r="AE1037" s="551"/>
      <c r="AF1037" s="551"/>
    </row>
    <row r="1038">
      <c r="A1038" s="552"/>
      <c r="B1038" s="552"/>
      <c r="C1038" s="552"/>
      <c r="D1038" s="552"/>
      <c r="E1038" s="552"/>
      <c r="F1038" s="552"/>
      <c r="G1038" s="552"/>
      <c r="H1038" s="552"/>
      <c r="I1038" s="552"/>
      <c r="J1038" s="552"/>
      <c r="K1038" s="552"/>
      <c r="L1038" s="552"/>
      <c r="M1038" s="552"/>
      <c r="N1038" s="551"/>
      <c r="O1038" s="551"/>
      <c r="P1038" s="551"/>
      <c r="Q1038" s="551"/>
      <c r="R1038" s="551"/>
      <c r="S1038" s="551"/>
      <c r="T1038" s="551"/>
      <c r="U1038" s="551"/>
      <c r="V1038" s="551"/>
      <c r="W1038" s="551"/>
      <c r="X1038" s="551"/>
      <c r="Y1038" s="551"/>
      <c r="Z1038" s="551"/>
      <c r="AA1038" s="551"/>
      <c r="AB1038" s="551"/>
      <c r="AC1038" s="551"/>
      <c r="AD1038" s="551"/>
      <c r="AE1038" s="551"/>
      <c r="AF1038" s="551"/>
    </row>
    <row r="1039">
      <c r="A1039" s="552"/>
      <c r="B1039" s="552"/>
      <c r="C1039" s="552"/>
      <c r="D1039" s="552"/>
      <c r="E1039" s="552"/>
      <c r="F1039" s="552"/>
      <c r="G1039" s="552"/>
      <c r="H1039" s="552"/>
      <c r="I1039" s="552"/>
      <c r="J1039" s="552"/>
      <c r="K1039" s="552"/>
      <c r="L1039" s="552"/>
      <c r="M1039" s="552"/>
      <c r="N1039" s="551"/>
      <c r="O1039" s="551"/>
      <c r="P1039" s="551"/>
      <c r="Q1039" s="551"/>
      <c r="R1039" s="551"/>
      <c r="S1039" s="551"/>
      <c r="T1039" s="551"/>
      <c r="U1039" s="551"/>
      <c r="V1039" s="551"/>
      <c r="W1039" s="551"/>
      <c r="X1039" s="551"/>
      <c r="Y1039" s="551"/>
      <c r="Z1039" s="551"/>
      <c r="AA1039" s="551"/>
      <c r="AB1039" s="551"/>
      <c r="AC1039" s="551"/>
      <c r="AD1039" s="551"/>
      <c r="AE1039" s="551"/>
      <c r="AF1039" s="551"/>
    </row>
    <row r="1040">
      <c r="A1040" s="552"/>
      <c r="B1040" s="552"/>
      <c r="C1040" s="552"/>
      <c r="D1040" s="552"/>
      <c r="E1040" s="552"/>
      <c r="F1040" s="552"/>
      <c r="G1040" s="552"/>
      <c r="H1040" s="552"/>
      <c r="I1040" s="552"/>
      <c r="J1040" s="552"/>
      <c r="K1040" s="552"/>
      <c r="L1040" s="552"/>
      <c r="M1040" s="552"/>
      <c r="N1040" s="551"/>
      <c r="O1040" s="551"/>
      <c r="P1040" s="551"/>
      <c r="Q1040" s="551"/>
      <c r="R1040" s="551"/>
      <c r="S1040" s="551"/>
      <c r="T1040" s="551"/>
      <c r="U1040" s="551"/>
      <c r="V1040" s="551"/>
      <c r="W1040" s="551"/>
      <c r="X1040" s="551"/>
      <c r="Y1040" s="551"/>
      <c r="Z1040" s="551"/>
      <c r="AA1040" s="551"/>
      <c r="AB1040" s="551"/>
      <c r="AC1040" s="551"/>
      <c r="AD1040" s="551"/>
      <c r="AE1040" s="551"/>
      <c r="AF1040" s="551"/>
    </row>
    <row r="1041">
      <c r="A1041" s="552"/>
      <c r="B1041" s="552"/>
      <c r="C1041" s="552"/>
      <c r="D1041" s="552"/>
      <c r="E1041" s="552"/>
      <c r="F1041" s="552"/>
      <c r="G1041" s="552"/>
      <c r="H1041" s="552"/>
      <c r="I1041" s="552"/>
      <c r="J1041" s="552"/>
      <c r="K1041" s="552"/>
      <c r="L1041" s="552"/>
      <c r="M1041" s="552"/>
      <c r="N1041" s="551"/>
      <c r="O1041" s="551"/>
      <c r="P1041" s="551"/>
      <c r="Q1041" s="551"/>
      <c r="R1041" s="551"/>
      <c r="S1041" s="551"/>
      <c r="T1041" s="551"/>
      <c r="U1041" s="551"/>
      <c r="V1041" s="551"/>
      <c r="W1041" s="551"/>
      <c r="X1041" s="551"/>
      <c r="Y1041" s="551"/>
      <c r="Z1041" s="551"/>
      <c r="AA1041" s="551"/>
      <c r="AB1041" s="551"/>
      <c r="AC1041" s="551"/>
      <c r="AD1041" s="551"/>
      <c r="AE1041" s="551"/>
      <c r="AF1041" s="551"/>
    </row>
    <row r="1042">
      <c r="A1042" s="552"/>
      <c r="B1042" s="552"/>
      <c r="C1042" s="552"/>
      <c r="D1042" s="552"/>
      <c r="E1042" s="552"/>
      <c r="F1042" s="552"/>
      <c r="G1042" s="552"/>
      <c r="H1042" s="552"/>
      <c r="I1042" s="552"/>
      <c r="J1042" s="552"/>
      <c r="K1042" s="552"/>
      <c r="L1042" s="552"/>
      <c r="M1042" s="552"/>
      <c r="N1042" s="551"/>
      <c r="O1042" s="551"/>
      <c r="P1042" s="551"/>
      <c r="Q1042" s="551"/>
      <c r="R1042" s="551"/>
      <c r="S1042" s="551"/>
      <c r="T1042" s="551"/>
      <c r="U1042" s="551"/>
      <c r="V1042" s="551"/>
      <c r="W1042" s="551"/>
      <c r="X1042" s="551"/>
      <c r="Y1042" s="551"/>
      <c r="Z1042" s="551"/>
      <c r="AA1042" s="551"/>
      <c r="AB1042" s="551"/>
      <c r="AC1042" s="551"/>
      <c r="AD1042" s="551"/>
      <c r="AE1042" s="551"/>
      <c r="AF1042" s="551"/>
    </row>
    <row r="1043">
      <c r="A1043" s="552"/>
      <c r="B1043" s="552"/>
      <c r="C1043" s="552"/>
      <c r="D1043" s="552"/>
      <c r="E1043" s="552"/>
      <c r="F1043" s="552"/>
      <c r="G1043" s="552"/>
      <c r="H1043" s="552"/>
      <c r="I1043" s="552"/>
      <c r="J1043" s="552"/>
      <c r="K1043" s="552"/>
      <c r="L1043" s="552"/>
      <c r="M1043" s="552"/>
      <c r="N1043" s="551"/>
      <c r="O1043" s="551"/>
      <c r="P1043" s="551"/>
      <c r="Q1043" s="551"/>
      <c r="R1043" s="551"/>
      <c r="S1043" s="551"/>
      <c r="T1043" s="551"/>
      <c r="U1043" s="551"/>
      <c r="V1043" s="551"/>
      <c r="W1043" s="551"/>
      <c r="X1043" s="551"/>
      <c r="Y1043" s="551"/>
      <c r="Z1043" s="551"/>
      <c r="AA1043" s="551"/>
      <c r="AB1043" s="551"/>
      <c r="AC1043" s="551"/>
      <c r="AD1043" s="551"/>
      <c r="AE1043" s="551"/>
      <c r="AF1043" s="551"/>
    </row>
    <row r="1044">
      <c r="A1044" s="552"/>
      <c r="B1044" s="552"/>
      <c r="C1044" s="552"/>
      <c r="D1044" s="552"/>
      <c r="E1044" s="552"/>
      <c r="F1044" s="552"/>
      <c r="G1044" s="552"/>
      <c r="H1044" s="552"/>
      <c r="I1044" s="552"/>
      <c r="J1044" s="552"/>
      <c r="K1044" s="552"/>
      <c r="L1044" s="552"/>
      <c r="M1044" s="552"/>
      <c r="N1044" s="551"/>
      <c r="O1044" s="551"/>
      <c r="P1044" s="551"/>
      <c r="Q1044" s="551"/>
      <c r="R1044" s="551"/>
      <c r="S1044" s="551"/>
      <c r="T1044" s="551"/>
      <c r="U1044" s="551"/>
      <c r="V1044" s="551"/>
      <c r="W1044" s="551"/>
      <c r="X1044" s="551"/>
      <c r="Y1044" s="551"/>
      <c r="Z1044" s="551"/>
      <c r="AA1044" s="551"/>
      <c r="AB1044" s="551"/>
      <c r="AC1044" s="551"/>
      <c r="AD1044" s="551"/>
      <c r="AE1044" s="551"/>
      <c r="AF1044" s="551"/>
    </row>
    <row r="1045">
      <c r="A1045" s="552"/>
      <c r="B1045" s="552"/>
      <c r="C1045" s="552"/>
      <c r="D1045" s="552"/>
      <c r="E1045" s="552"/>
      <c r="F1045" s="552"/>
      <c r="G1045" s="552"/>
      <c r="H1045" s="552"/>
      <c r="I1045" s="552"/>
      <c r="J1045" s="552"/>
      <c r="K1045" s="552"/>
      <c r="L1045" s="552"/>
      <c r="M1045" s="552"/>
      <c r="N1045" s="551"/>
      <c r="O1045" s="551"/>
      <c r="P1045" s="551"/>
      <c r="Q1045" s="551"/>
      <c r="R1045" s="551"/>
      <c r="S1045" s="551"/>
      <c r="T1045" s="551"/>
      <c r="U1045" s="551"/>
      <c r="V1045" s="551"/>
      <c r="W1045" s="551"/>
      <c r="X1045" s="551"/>
      <c r="Y1045" s="551"/>
      <c r="Z1045" s="551"/>
      <c r="AA1045" s="551"/>
      <c r="AB1045" s="551"/>
      <c r="AC1045" s="551"/>
      <c r="AD1045" s="551"/>
      <c r="AE1045" s="551"/>
      <c r="AF1045" s="551"/>
    </row>
    <row r="1046">
      <c r="A1046" s="552"/>
      <c r="B1046" s="552"/>
      <c r="C1046" s="552"/>
      <c r="D1046" s="552"/>
      <c r="E1046" s="552"/>
      <c r="F1046" s="552"/>
      <c r="G1046" s="552"/>
      <c r="H1046" s="552"/>
      <c r="I1046" s="552"/>
      <c r="J1046" s="552"/>
      <c r="K1046" s="552"/>
      <c r="L1046" s="552"/>
      <c r="M1046" s="552"/>
      <c r="N1046" s="551"/>
      <c r="O1046" s="551"/>
      <c r="P1046" s="551"/>
      <c r="Q1046" s="551"/>
      <c r="R1046" s="551"/>
      <c r="S1046" s="551"/>
      <c r="T1046" s="551"/>
      <c r="U1046" s="551"/>
      <c r="V1046" s="551"/>
      <c r="W1046" s="551"/>
      <c r="X1046" s="551"/>
      <c r="Y1046" s="551"/>
      <c r="Z1046" s="551"/>
      <c r="AA1046" s="551"/>
      <c r="AB1046" s="551"/>
      <c r="AC1046" s="551"/>
      <c r="AD1046" s="551"/>
      <c r="AE1046" s="551"/>
      <c r="AF1046" s="551"/>
    </row>
    <row r="1047">
      <c r="A1047" s="552"/>
      <c r="B1047" s="552"/>
      <c r="C1047" s="552"/>
      <c r="D1047" s="552"/>
      <c r="E1047" s="552"/>
      <c r="F1047" s="552"/>
      <c r="G1047" s="552"/>
      <c r="H1047" s="552"/>
      <c r="I1047" s="552"/>
      <c r="J1047" s="552"/>
      <c r="K1047" s="552"/>
      <c r="L1047" s="552"/>
      <c r="M1047" s="552"/>
      <c r="N1047" s="551"/>
      <c r="O1047" s="551"/>
      <c r="P1047" s="551"/>
      <c r="Q1047" s="551"/>
      <c r="R1047" s="551"/>
      <c r="S1047" s="551"/>
      <c r="T1047" s="551"/>
      <c r="U1047" s="551"/>
      <c r="V1047" s="551"/>
      <c r="W1047" s="551"/>
      <c r="X1047" s="551"/>
      <c r="Y1047" s="551"/>
      <c r="Z1047" s="551"/>
      <c r="AA1047" s="551"/>
      <c r="AB1047" s="551"/>
      <c r="AC1047" s="551"/>
      <c r="AD1047" s="551"/>
      <c r="AE1047" s="551"/>
      <c r="AF1047" s="551"/>
    </row>
    <row r="1048">
      <c r="A1048" s="552"/>
      <c r="B1048" s="552"/>
      <c r="C1048" s="552"/>
      <c r="D1048" s="552"/>
      <c r="E1048" s="552"/>
      <c r="F1048" s="552"/>
      <c r="G1048" s="552"/>
      <c r="H1048" s="552"/>
      <c r="I1048" s="552"/>
      <c r="J1048" s="552"/>
      <c r="K1048" s="552"/>
      <c r="L1048" s="552"/>
      <c r="M1048" s="552"/>
      <c r="N1048" s="551"/>
      <c r="O1048" s="551"/>
      <c r="P1048" s="551"/>
      <c r="Q1048" s="551"/>
      <c r="R1048" s="551"/>
      <c r="S1048" s="551"/>
      <c r="T1048" s="551"/>
      <c r="U1048" s="551"/>
      <c r="V1048" s="551"/>
      <c r="W1048" s="551"/>
      <c r="X1048" s="551"/>
      <c r="Y1048" s="551"/>
      <c r="Z1048" s="551"/>
      <c r="AA1048" s="551"/>
      <c r="AB1048" s="551"/>
      <c r="AC1048" s="551"/>
      <c r="AD1048" s="551"/>
      <c r="AE1048" s="551"/>
      <c r="AF1048" s="551"/>
    </row>
    <row r="1049">
      <c r="A1049" s="552"/>
      <c r="B1049" s="552"/>
      <c r="C1049" s="552"/>
      <c r="D1049" s="552"/>
      <c r="E1049" s="552"/>
      <c r="F1049" s="552"/>
      <c r="G1049" s="552"/>
      <c r="H1049" s="552"/>
      <c r="I1049" s="552"/>
      <c r="J1049" s="552"/>
      <c r="K1049" s="552"/>
      <c r="L1049" s="552"/>
      <c r="M1049" s="552"/>
      <c r="N1049" s="551"/>
      <c r="O1049" s="551"/>
      <c r="P1049" s="551"/>
      <c r="Q1049" s="551"/>
      <c r="R1049" s="551"/>
      <c r="S1049" s="551"/>
      <c r="T1049" s="551"/>
      <c r="U1049" s="551"/>
      <c r="V1049" s="551"/>
      <c r="W1049" s="551"/>
      <c r="X1049" s="551"/>
      <c r="Y1049" s="551"/>
      <c r="Z1049" s="551"/>
      <c r="AA1049" s="551"/>
      <c r="AB1049" s="551"/>
      <c r="AC1049" s="551"/>
      <c r="AD1049" s="551"/>
      <c r="AE1049" s="551"/>
      <c r="AF1049" s="551"/>
    </row>
    <row r="1050">
      <c r="A1050" s="552"/>
      <c r="B1050" s="552"/>
      <c r="C1050" s="552"/>
      <c r="D1050" s="552"/>
      <c r="E1050" s="552"/>
      <c r="F1050" s="552"/>
      <c r="G1050" s="552"/>
      <c r="H1050" s="552"/>
      <c r="I1050" s="552"/>
      <c r="J1050" s="552"/>
      <c r="K1050" s="552"/>
      <c r="L1050" s="552"/>
      <c r="M1050" s="552"/>
      <c r="N1050" s="551"/>
      <c r="O1050" s="551"/>
      <c r="P1050" s="551"/>
      <c r="Q1050" s="551"/>
      <c r="R1050" s="551"/>
      <c r="S1050" s="551"/>
      <c r="T1050" s="551"/>
      <c r="U1050" s="551"/>
      <c r="V1050" s="551"/>
      <c r="W1050" s="551"/>
      <c r="X1050" s="551"/>
      <c r="Y1050" s="551"/>
      <c r="Z1050" s="551"/>
      <c r="AA1050" s="551"/>
      <c r="AB1050" s="551"/>
      <c r="AC1050" s="551"/>
      <c r="AD1050" s="551"/>
      <c r="AE1050" s="551"/>
      <c r="AF1050" s="551"/>
    </row>
    <row r="1051">
      <c r="A1051" s="552"/>
      <c r="B1051" s="552"/>
      <c r="C1051" s="552"/>
      <c r="D1051" s="552"/>
      <c r="E1051" s="552"/>
      <c r="F1051" s="552"/>
      <c r="G1051" s="552"/>
      <c r="H1051" s="552"/>
      <c r="I1051" s="552"/>
      <c r="J1051" s="552"/>
      <c r="K1051" s="552"/>
      <c r="L1051" s="552"/>
      <c r="M1051" s="552"/>
      <c r="N1051" s="551"/>
      <c r="O1051" s="551"/>
      <c r="P1051" s="551"/>
      <c r="Q1051" s="551"/>
      <c r="R1051" s="551"/>
      <c r="S1051" s="551"/>
      <c r="T1051" s="551"/>
      <c r="U1051" s="551"/>
      <c r="V1051" s="551"/>
      <c r="W1051" s="551"/>
      <c r="X1051" s="551"/>
      <c r="Y1051" s="551"/>
      <c r="Z1051" s="551"/>
      <c r="AA1051" s="551"/>
      <c r="AB1051" s="551"/>
      <c r="AC1051" s="551"/>
      <c r="AD1051" s="551"/>
      <c r="AE1051" s="551"/>
      <c r="AF1051" s="551"/>
    </row>
    <row r="1052">
      <c r="A1052" s="552"/>
      <c r="B1052" s="552"/>
      <c r="C1052" s="552"/>
      <c r="D1052" s="552"/>
      <c r="E1052" s="552"/>
      <c r="F1052" s="552"/>
      <c r="G1052" s="552"/>
      <c r="H1052" s="552"/>
      <c r="I1052" s="552"/>
      <c r="J1052" s="552"/>
      <c r="K1052" s="552"/>
      <c r="L1052" s="552"/>
      <c r="M1052" s="552"/>
      <c r="N1052" s="551"/>
      <c r="O1052" s="551"/>
      <c r="P1052" s="551"/>
      <c r="Q1052" s="551"/>
      <c r="R1052" s="551"/>
      <c r="S1052" s="551"/>
      <c r="T1052" s="551"/>
      <c r="U1052" s="551"/>
      <c r="V1052" s="551"/>
      <c r="W1052" s="551"/>
      <c r="X1052" s="551"/>
      <c r="Y1052" s="551"/>
      <c r="Z1052" s="551"/>
      <c r="AA1052" s="551"/>
      <c r="AB1052" s="551"/>
      <c r="AC1052" s="551"/>
      <c r="AD1052" s="551"/>
      <c r="AE1052" s="551"/>
      <c r="AF1052" s="551"/>
    </row>
    <row r="1053">
      <c r="A1053" s="552"/>
      <c r="B1053" s="552"/>
      <c r="C1053" s="552"/>
      <c r="D1053" s="552"/>
      <c r="E1053" s="552"/>
      <c r="F1053" s="552"/>
      <c r="G1053" s="552"/>
      <c r="H1053" s="552"/>
      <c r="I1053" s="552"/>
      <c r="J1053" s="552"/>
      <c r="K1053" s="552"/>
      <c r="L1053" s="552"/>
      <c r="M1053" s="552"/>
      <c r="N1053" s="551"/>
      <c r="O1053" s="551"/>
      <c r="P1053" s="551"/>
      <c r="Q1053" s="551"/>
      <c r="R1053" s="551"/>
      <c r="S1053" s="551"/>
      <c r="T1053" s="551"/>
      <c r="U1053" s="551"/>
      <c r="V1053" s="551"/>
      <c r="W1053" s="551"/>
      <c r="X1053" s="551"/>
      <c r="Y1053" s="551"/>
      <c r="Z1053" s="551"/>
      <c r="AA1053" s="551"/>
      <c r="AB1053" s="551"/>
      <c r="AC1053" s="551"/>
      <c r="AD1053" s="551"/>
      <c r="AE1053" s="551"/>
      <c r="AF1053" s="551"/>
    </row>
    <row r="1054">
      <c r="A1054" s="552"/>
      <c r="B1054" s="552"/>
      <c r="C1054" s="552"/>
      <c r="D1054" s="552"/>
      <c r="E1054" s="552"/>
      <c r="F1054" s="552"/>
      <c r="G1054" s="552"/>
      <c r="H1054" s="552"/>
      <c r="I1054" s="552"/>
      <c r="J1054" s="552"/>
      <c r="K1054" s="552"/>
      <c r="L1054" s="552"/>
      <c r="M1054" s="552"/>
      <c r="N1054" s="551"/>
      <c r="O1054" s="551"/>
      <c r="P1054" s="551"/>
      <c r="Q1054" s="551"/>
      <c r="R1054" s="551"/>
      <c r="S1054" s="551"/>
      <c r="T1054" s="551"/>
      <c r="U1054" s="551"/>
      <c r="V1054" s="551"/>
      <c r="W1054" s="551"/>
      <c r="X1054" s="551"/>
      <c r="Y1054" s="551"/>
      <c r="Z1054" s="551"/>
      <c r="AA1054" s="551"/>
      <c r="AB1054" s="551"/>
      <c r="AC1054" s="551"/>
      <c r="AD1054" s="551"/>
      <c r="AE1054" s="551"/>
      <c r="AF1054" s="551"/>
    </row>
    <row r="1055">
      <c r="A1055" s="552"/>
      <c r="B1055" s="552"/>
      <c r="C1055" s="552"/>
      <c r="D1055" s="552"/>
      <c r="E1055" s="552"/>
      <c r="F1055" s="552"/>
      <c r="G1055" s="552"/>
      <c r="H1055" s="552"/>
      <c r="I1055" s="552"/>
      <c r="J1055" s="552"/>
      <c r="K1055" s="552"/>
      <c r="L1055" s="552"/>
      <c r="M1055" s="552"/>
      <c r="N1055" s="551"/>
      <c r="O1055" s="551"/>
      <c r="P1055" s="551"/>
      <c r="Q1055" s="551"/>
      <c r="R1055" s="551"/>
      <c r="S1055" s="551"/>
      <c r="T1055" s="551"/>
      <c r="U1055" s="551"/>
      <c r="V1055" s="551"/>
      <c r="W1055" s="551"/>
      <c r="X1055" s="551"/>
      <c r="Y1055" s="551"/>
      <c r="Z1055" s="551"/>
      <c r="AA1055" s="551"/>
      <c r="AB1055" s="551"/>
      <c r="AC1055" s="551"/>
      <c r="AD1055" s="551"/>
      <c r="AE1055" s="551"/>
      <c r="AF1055" s="551"/>
    </row>
    <row r="1056">
      <c r="A1056" s="552"/>
      <c r="B1056" s="552"/>
      <c r="C1056" s="552"/>
      <c r="D1056" s="552"/>
      <c r="E1056" s="552"/>
      <c r="F1056" s="552"/>
      <c r="G1056" s="552"/>
      <c r="H1056" s="552"/>
      <c r="I1056" s="552"/>
      <c r="J1056" s="552"/>
      <c r="K1056" s="552"/>
      <c r="L1056" s="552"/>
      <c r="M1056" s="552"/>
      <c r="N1056" s="551"/>
      <c r="O1056" s="551"/>
      <c r="P1056" s="551"/>
      <c r="Q1056" s="551"/>
      <c r="R1056" s="551"/>
      <c r="S1056" s="551"/>
      <c r="T1056" s="551"/>
      <c r="U1056" s="551"/>
      <c r="V1056" s="551"/>
      <c r="W1056" s="551"/>
      <c r="X1056" s="551"/>
      <c r="Y1056" s="551"/>
      <c r="Z1056" s="551"/>
      <c r="AA1056" s="551"/>
      <c r="AB1056" s="551"/>
      <c r="AC1056" s="551"/>
      <c r="AD1056" s="551"/>
      <c r="AE1056" s="551"/>
      <c r="AF1056" s="551"/>
    </row>
    <row r="1057">
      <c r="A1057" s="552"/>
      <c r="B1057" s="552"/>
      <c r="C1057" s="552"/>
      <c r="D1057" s="552"/>
      <c r="E1057" s="552"/>
      <c r="F1057" s="552"/>
      <c r="G1057" s="552"/>
      <c r="H1057" s="552"/>
      <c r="I1057" s="552"/>
      <c r="J1057" s="552"/>
      <c r="K1057" s="552"/>
      <c r="L1057" s="552"/>
      <c r="M1057" s="552"/>
      <c r="N1057" s="551"/>
      <c r="O1057" s="551"/>
      <c r="P1057" s="551"/>
      <c r="Q1057" s="551"/>
      <c r="R1057" s="551"/>
      <c r="S1057" s="551"/>
      <c r="T1057" s="551"/>
      <c r="U1057" s="551"/>
      <c r="V1057" s="551"/>
      <c r="W1057" s="551"/>
      <c r="X1057" s="551"/>
      <c r="Y1057" s="551"/>
      <c r="Z1057" s="551"/>
      <c r="AA1057" s="551"/>
      <c r="AB1057" s="551"/>
      <c r="AC1057" s="551"/>
      <c r="AD1057" s="551"/>
      <c r="AE1057" s="551"/>
      <c r="AF1057" s="551"/>
    </row>
    <row r="1058">
      <c r="A1058" s="552"/>
      <c r="B1058" s="552"/>
      <c r="C1058" s="552"/>
      <c r="D1058" s="552"/>
      <c r="E1058" s="552"/>
      <c r="F1058" s="552"/>
      <c r="G1058" s="552"/>
      <c r="H1058" s="552"/>
      <c r="I1058" s="552"/>
      <c r="J1058" s="552"/>
      <c r="K1058" s="552"/>
      <c r="L1058" s="552"/>
      <c r="M1058" s="552"/>
      <c r="N1058" s="551"/>
      <c r="O1058" s="551"/>
      <c r="P1058" s="551"/>
      <c r="Q1058" s="551"/>
      <c r="R1058" s="551"/>
      <c r="S1058" s="551"/>
      <c r="T1058" s="551"/>
      <c r="U1058" s="551"/>
      <c r="V1058" s="551"/>
      <c r="W1058" s="551"/>
      <c r="X1058" s="551"/>
      <c r="Y1058" s="551"/>
      <c r="Z1058" s="551"/>
      <c r="AA1058" s="551"/>
      <c r="AB1058" s="551"/>
      <c r="AC1058" s="551"/>
      <c r="AD1058" s="551"/>
      <c r="AE1058" s="551"/>
      <c r="AF1058" s="551"/>
    </row>
    <row r="1059">
      <c r="A1059" s="552"/>
      <c r="B1059" s="552"/>
      <c r="C1059" s="552"/>
      <c r="D1059" s="552"/>
      <c r="E1059" s="552"/>
      <c r="F1059" s="552"/>
      <c r="G1059" s="552"/>
      <c r="H1059" s="552"/>
      <c r="I1059" s="552"/>
      <c r="J1059" s="552"/>
      <c r="K1059" s="552"/>
      <c r="L1059" s="552"/>
      <c r="M1059" s="552"/>
      <c r="N1059" s="551"/>
      <c r="O1059" s="551"/>
      <c r="P1059" s="551"/>
      <c r="Q1059" s="551"/>
      <c r="R1059" s="551"/>
      <c r="S1059" s="551"/>
      <c r="T1059" s="551"/>
      <c r="U1059" s="551"/>
      <c r="V1059" s="551"/>
      <c r="W1059" s="551"/>
      <c r="X1059" s="551"/>
      <c r="Y1059" s="551"/>
      <c r="Z1059" s="551"/>
      <c r="AA1059" s="551"/>
      <c r="AB1059" s="551"/>
      <c r="AC1059" s="551"/>
      <c r="AD1059" s="551"/>
      <c r="AE1059" s="551"/>
      <c r="AF1059" s="551"/>
    </row>
    <row r="1060">
      <c r="A1060" s="552"/>
      <c r="B1060" s="552"/>
      <c r="C1060" s="552"/>
      <c r="D1060" s="552"/>
      <c r="E1060" s="552"/>
      <c r="F1060" s="552"/>
      <c r="G1060" s="552"/>
      <c r="H1060" s="552"/>
      <c r="I1060" s="552"/>
      <c r="J1060" s="552"/>
      <c r="K1060" s="552"/>
      <c r="L1060" s="552"/>
      <c r="M1060" s="552"/>
      <c r="N1060" s="551"/>
      <c r="O1060" s="551"/>
      <c r="P1060" s="551"/>
      <c r="Q1060" s="551"/>
      <c r="R1060" s="551"/>
      <c r="S1060" s="551"/>
      <c r="T1060" s="551"/>
      <c r="U1060" s="551"/>
      <c r="V1060" s="551"/>
      <c r="W1060" s="551"/>
      <c r="X1060" s="551"/>
      <c r="Y1060" s="551"/>
      <c r="Z1060" s="551"/>
      <c r="AA1060" s="551"/>
      <c r="AB1060" s="551"/>
      <c r="AC1060" s="551"/>
      <c r="AD1060" s="551"/>
      <c r="AE1060" s="551"/>
      <c r="AF1060" s="551"/>
    </row>
    <row r="1061">
      <c r="A1061" s="552"/>
      <c r="B1061" s="552"/>
      <c r="C1061" s="552"/>
      <c r="D1061" s="552"/>
      <c r="E1061" s="552"/>
      <c r="F1061" s="552"/>
      <c r="G1061" s="552"/>
      <c r="H1061" s="552"/>
      <c r="I1061" s="552"/>
      <c r="J1061" s="552"/>
      <c r="K1061" s="552"/>
      <c r="L1061" s="552"/>
      <c r="M1061" s="552"/>
      <c r="N1061" s="551"/>
      <c r="O1061" s="551"/>
      <c r="P1061" s="551"/>
      <c r="Q1061" s="551"/>
      <c r="R1061" s="551"/>
      <c r="S1061" s="551"/>
      <c r="T1061" s="551"/>
      <c r="U1061" s="551"/>
      <c r="V1061" s="551"/>
      <c r="W1061" s="551"/>
      <c r="X1061" s="551"/>
      <c r="Y1061" s="551"/>
      <c r="Z1061" s="551"/>
      <c r="AA1061" s="551"/>
      <c r="AB1061" s="551"/>
      <c r="AC1061" s="551"/>
      <c r="AD1061" s="551"/>
      <c r="AE1061" s="551"/>
      <c r="AF1061" s="551"/>
    </row>
    <row r="1062">
      <c r="A1062" s="552"/>
      <c r="B1062" s="552"/>
      <c r="C1062" s="552"/>
      <c r="D1062" s="552"/>
      <c r="E1062" s="552"/>
      <c r="F1062" s="552"/>
      <c r="G1062" s="552"/>
      <c r="H1062" s="552"/>
      <c r="I1062" s="552"/>
      <c r="J1062" s="552"/>
      <c r="K1062" s="552"/>
      <c r="L1062" s="552"/>
      <c r="M1062" s="552"/>
      <c r="N1062" s="551"/>
      <c r="O1062" s="551"/>
      <c r="P1062" s="551"/>
      <c r="Q1062" s="551"/>
      <c r="R1062" s="551"/>
      <c r="S1062" s="551"/>
      <c r="T1062" s="551"/>
      <c r="U1062" s="551"/>
      <c r="V1062" s="551"/>
      <c r="W1062" s="551"/>
      <c r="X1062" s="551"/>
      <c r="Y1062" s="551"/>
      <c r="Z1062" s="551"/>
      <c r="AA1062" s="551"/>
      <c r="AB1062" s="551"/>
      <c r="AC1062" s="551"/>
      <c r="AD1062" s="551"/>
      <c r="AE1062" s="551"/>
      <c r="AF1062" s="551"/>
    </row>
    <row r="1063">
      <c r="A1063" s="552"/>
      <c r="B1063" s="552"/>
      <c r="C1063" s="552"/>
      <c r="D1063" s="552"/>
      <c r="E1063" s="552"/>
      <c r="F1063" s="552"/>
      <c r="G1063" s="552"/>
      <c r="H1063" s="552"/>
      <c r="I1063" s="552"/>
      <c r="J1063" s="552"/>
      <c r="K1063" s="552"/>
      <c r="L1063" s="552"/>
      <c r="M1063" s="552"/>
      <c r="N1063" s="551"/>
      <c r="O1063" s="551"/>
      <c r="P1063" s="551"/>
      <c r="Q1063" s="551"/>
      <c r="R1063" s="551"/>
      <c r="S1063" s="551"/>
      <c r="T1063" s="551"/>
      <c r="U1063" s="551"/>
      <c r="V1063" s="551"/>
      <c r="W1063" s="551"/>
      <c r="X1063" s="551"/>
      <c r="Y1063" s="551"/>
      <c r="Z1063" s="551"/>
      <c r="AA1063" s="551"/>
      <c r="AB1063" s="551"/>
      <c r="AC1063" s="551"/>
      <c r="AD1063" s="551"/>
      <c r="AE1063" s="551"/>
      <c r="AF1063" s="551"/>
    </row>
    <row r="1064">
      <c r="A1064" s="552"/>
      <c r="B1064" s="552"/>
      <c r="C1064" s="552"/>
      <c r="D1064" s="552"/>
      <c r="E1064" s="552"/>
      <c r="F1064" s="552"/>
      <c r="G1064" s="552"/>
      <c r="H1064" s="552"/>
      <c r="I1064" s="552"/>
      <c r="J1064" s="552"/>
      <c r="K1064" s="552"/>
      <c r="L1064" s="552"/>
      <c r="M1064" s="552"/>
      <c r="N1064" s="551"/>
      <c r="O1064" s="551"/>
      <c r="P1064" s="551"/>
      <c r="Q1064" s="551"/>
      <c r="R1064" s="551"/>
      <c r="S1064" s="551"/>
      <c r="T1064" s="551"/>
      <c r="U1064" s="551"/>
      <c r="V1064" s="551"/>
      <c r="W1064" s="551"/>
      <c r="X1064" s="551"/>
      <c r="Y1064" s="551"/>
      <c r="Z1064" s="551"/>
      <c r="AA1064" s="551"/>
      <c r="AB1064" s="551"/>
      <c r="AC1064" s="551"/>
      <c r="AD1064" s="551"/>
      <c r="AE1064" s="551"/>
      <c r="AF1064" s="551"/>
    </row>
    <row r="1065">
      <c r="A1065" s="552"/>
      <c r="B1065" s="552"/>
      <c r="C1065" s="552"/>
      <c r="D1065" s="552"/>
      <c r="E1065" s="552"/>
      <c r="F1065" s="552"/>
      <c r="G1065" s="552"/>
      <c r="H1065" s="552"/>
      <c r="I1065" s="552"/>
      <c r="J1065" s="552"/>
      <c r="K1065" s="552"/>
      <c r="L1065" s="552"/>
      <c r="M1065" s="552"/>
      <c r="N1065" s="551"/>
      <c r="O1065" s="551"/>
      <c r="P1065" s="551"/>
      <c r="Q1065" s="551"/>
      <c r="R1065" s="551"/>
      <c r="S1065" s="551"/>
      <c r="T1065" s="551"/>
      <c r="U1065" s="551"/>
      <c r="V1065" s="551"/>
      <c r="W1065" s="551"/>
      <c r="X1065" s="551"/>
      <c r="Y1065" s="551"/>
      <c r="Z1065" s="551"/>
      <c r="AA1065" s="551"/>
      <c r="AB1065" s="551"/>
      <c r="AC1065" s="551"/>
      <c r="AD1065" s="551"/>
      <c r="AE1065" s="551"/>
      <c r="AF1065" s="551"/>
    </row>
    <row r="1066">
      <c r="A1066" s="552"/>
      <c r="B1066" s="552"/>
      <c r="C1066" s="552"/>
      <c r="D1066" s="552"/>
      <c r="E1066" s="552"/>
      <c r="F1066" s="552"/>
      <c r="G1066" s="552"/>
      <c r="H1066" s="552"/>
      <c r="I1066" s="552"/>
      <c r="J1066" s="552"/>
      <c r="K1066" s="552"/>
      <c r="L1066" s="552"/>
      <c r="M1066" s="552"/>
      <c r="N1066" s="551"/>
      <c r="O1066" s="551"/>
      <c r="P1066" s="551"/>
      <c r="Q1066" s="551"/>
      <c r="R1066" s="551"/>
      <c r="S1066" s="551"/>
      <c r="T1066" s="551"/>
      <c r="U1066" s="551"/>
      <c r="V1066" s="551"/>
      <c r="W1066" s="551"/>
      <c r="X1066" s="551"/>
      <c r="Y1066" s="551"/>
      <c r="Z1066" s="551"/>
      <c r="AA1066" s="551"/>
      <c r="AB1066" s="551"/>
      <c r="AC1066" s="551"/>
      <c r="AD1066" s="551"/>
      <c r="AE1066" s="551"/>
      <c r="AF1066" s="551"/>
    </row>
    <row r="1067">
      <c r="A1067" s="552"/>
      <c r="B1067" s="552"/>
      <c r="C1067" s="552"/>
      <c r="D1067" s="552"/>
      <c r="E1067" s="552"/>
      <c r="F1067" s="552"/>
      <c r="G1067" s="552"/>
      <c r="H1067" s="552"/>
      <c r="I1067" s="552"/>
      <c r="J1067" s="552"/>
      <c r="K1067" s="552"/>
      <c r="L1067" s="552"/>
      <c r="M1067" s="552"/>
      <c r="N1067" s="551"/>
      <c r="O1067" s="551"/>
      <c r="P1067" s="551"/>
      <c r="Q1067" s="551"/>
      <c r="R1067" s="551"/>
      <c r="S1067" s="551"/>
      <c r="T1067" s="551"/>
      <c r="U1067" s="551"/>
      <c r="V1067" s="551"/>
      <c r="W1067" s="551"/>
      <c r="X1067" s="551"/>
      <c r="Y1067" s="551"/>
      <c r="Z1067" s="551"/>
      <c r="AA1067" s="551"/>
      <c r="AB1067" s="551"/>
      <c r="AC1067" s="551"/>
      <c r="AD1067" s="551"/>
      <c r="AE1067" s="551"/>
      <c r="AF1067" s="551"/>
    </row>
    <row r="1068">
      <c r="A1068" s="552"/>
      <c r="B1068" s="552"/>
      <c r="C1068" s="552"/>
      <c r="D1068" s="552"/>
      <c r="E1068" s="552"/>
      <c r="F1068" s="552"/>
      <c r="G1068" s="552"/>
      <c r="H1068" s="552"/>
      <c r="I1068" s="552"/>
      <c r="J1068" s="552"/>
      <c r="K1068" s="552"/>
      <c r="L1068" s="552"/>
      <c r="M1068" s="552"/>
      <c r="N1068" s="551"/>
      <c r="O1068" s="551"/>
      <c r="P1068" s="551"/>
      <c r="Q1068" s="551"/>
      <c r="R1068" s="551"/>
      <c r="S1068" s="551"/>
      <c r="T1068" s="551"/>
      <c r="U1068" s="551"/>
      <c r="V1068" s="551"/>
      <c r="W1068" s="551"/>
      <c r="X1068" s="551"/>
      <c r="Y1068" s="551"/>
      <c r="Z1068" s="551"/>
      <c r="AA1068" s="551"/>
      <c r="AB1068" s="551"/>
      <c r="AC1068" s="551"/>
      <c r="AD1068" s="551"/>
      <c r="AE1068" s="551"/>
      <c r="AF1068" s="551"/>
    </row>
    <row r="1069">
      <c r="A1069" s="552"/>
      <c r="B1069" s="552"/>
      <c r="C1069" s="552"/>
      <c r="D1069" s="552"/>
      <c r="E1069" s="552"/>
      <c r="F1069" s="552"/>
      <c r="G1069" s="552"/>
      <c r="H1069" s="552"/>
      <c r="I1069" s="552"/>
      <c r="J1069" s="552"/>
      <c r="K1069" s="552"/>
      <c r="L1069" s="552"/>
      <c r="M1069" s="552"/>
      <c r="N1069" s="551"/>
      <c r="O1069" s="551"/>
      <c r="P1069" s="551"/>
      <c r="Q1069" s="551"/>
      <c r="R1069" s="551"/>
      <c r="S1069" s="551"/>
      <c r="T1069" s="551"/>
      <c r="U1069" s="551"/>
      <c r="V1069" s="551"/>
      <c r="W1069" s="551"/>
      <c r="X1069" s="551"/>
      <c r="Y1069" s="551"/>
      <c r="Z1069" s="551"/>
      <c r="AA1069" s="551"/>
      <c r="AB1069" s="551"/>
      <c r="AC1069" s="551"/>
      <c r="AD1069" s="551"/>
      <c r="AE1069" s="551"/>
      <c r="AF1069" s="551"/>
    </row>
    <row r="1070">
      <c r="A1070" s="552"/>
      <c r="B1070" s="552"/>
      <c r="C1070" s="552"/>
      <c r="D1070" s="552"/>
      <c r="E1070" s="552"/>
      <c r="F1070" s="552"/>
      <c r="G1070" s="552"/>
      <c r="H1070" s="552"/>
      <c r="I1070" s="552"/>
      <c r="J1070" s="552"/>
      <c r="K1070" s="552"/>
      <c r="L1070" s="552"/>
      <c r="M1070" s="552"/>
      <c r="N1070" s="551"/>
      <c r="O1070" s="551"/>
      <c r="P1070" s="551"/>
      <c r="Q1070" s="551"/>
      <c r="R1070" s="551"/>
      <c r="S1070" s="551"/>
      <c r="T1070" s="551"/>
      <c r="U1070" s="551"/>
      <c r="V1070" s="551"/>
      <c r="W1070" s="551"/>
      <c r="X1070" s="551"/>
      <c r="Y1070" s="551"/>
      <c r="Z1070" s="551"/>
      <c r="AA1070" s="551"/>
      <c r="AB1070" s="551"/>
      <c r="AC1070" s="551"/>
      <c r="AD1070" s="551"/>
      <c r="AE1070" s="551"/>
      <c r="AF1070" s="551"/>
    </row>
    <row r="1071">
      <c r="A1071" s="552"/>
      <c r="B1071" s="552"/>
      <c r="C1071" s="552"/>
      <c r="D1071" s="552"/>
      <c r="E1071" s="552"/>
      <c r="F1071" s="552"/>
      <c r="G1071" s="552"/>
      <c r="H1071" s="552"/>
      <c r="I1071" s="552"/>
      <c r="J1071" s="552"/>
      <c r="K1071" s="552"/>
      <c r="L1071" s="552"/>
      <c r="M1071" s="552"/>
      <c r="N1071" s="551"/>
      <c r="O1071" s="551"/>
      <c r="P1071" s="551"/>
      <c r="Q1071" s="551"/>
      <c r="R1071" s="551"/>
      <c r="S1071" s="551"/>
      <c r="T1071" s="551"/>
      <c r="U1071" s="551"/>
      <c r="V1071" s="551"/>
      <c r="W1071" s="551"/>
      <c r="X1071" s="551"/>
      <c r="Y1071" s="551"/>
      <c r="Z1071" s="551"/>
      <c r="AA1071" s="551"/>
      <c r="AB1071" s="551"/>
      <c r="AC1071" s="551"/>
      <c r="AD1071" s="551"/>
      <c r="AE1071" s="551"/>
      <c r="AF1071" s="551"/>
    </row>
    <row r="1072">
      <c r="A1072" s="552"/>
      <c r="B1072" s="552"/>
      <c r="C1072" s="552"/>
      <c r="D1072" s="552"/>
      <c r="E1072" s="552"/>
      <c r="F1072" s="552"/>
      <c r="G1072" s="552"/>
      <c r="H1072" s="552"/>
      <c r="I1072" s="552"/>
      <c r="J1072" s="552"/>
      <c r="K1072" s="552"/>
      <c r="L1072" s="552"/>
      <c r="M1072" s="552"/>
      <c r="N1072" s="551"/>
      <c r="O1072" s="551"/>
      <c r="P1072" s="551"/>
      <c r="Q1072" s="551"/>
      <c r="R1072" s="551"/>
      <c r="S1072" s="551"/>
      <c r="T1072" s="551"/>
      <c r="U1072" s="551"/>
      <c r="V1072" s="551"/>
      <c r="W1072" s="551"/>
      <c r="X1072" s="551"/>
      <c r="Y1072" s="551"/>
      <c r="Z1072" s="551"/>
      <c r="AA1072" s="551"/>
      <c r="AB1072" s="551"/>
      <c r="AC1072" s="551"/>
      <c r="AD1072" s="551"/>
      <c r="AE1072" s="551"/>
      <c r="AF1072" s="551"/>
    </row>
    <row r="1073">
      <c r="A1073" s="552"/>
      <c r="B1073" s="552"/>
      <c r="C1073" s="552"/>
      <c r="D1073" s="552"/>
      <c r="E1073" s="552"/>
      <c r="F1073" s="552"/>
      <c r="G1073" s="552"/>
      <c r="H1073" s="552"/>
      <c r="I1073" s="552"/>
      <c r="J1073" s="552"/>
      <c r="K1073" s="552"/>
      <c r="L1073" s="552"/>
      <c r="M1073" s="552"/>
      <c r="N1073" s="551"/>
      <c r="O1073" s="551"/>
      <c r="P1073" s="551"/>
      <c r="Q1073" s="551"/>
      <c r="R1073" s="551"/>
      <c r="S1073" s="551"/>
      <c r="T1073" s="551"/>
      <c r="U1073" s="551"/>
      <c r="V1073" s="551"/>
      <c r="W1073" s="551"/>
      <c r="X1073" s="551"/>
      <c r="Y1073" s="551"/>
      <c r="Z1073" s="551"/>
      <c r="AA1073" s="551"/>
      <c r="AB1073" s="551"/>
      <c r="AC1073" s="551"/>
      <c r="AD1073" s="551"/>
      <c r="AE1073" s="551"/>
      <c r="AF1073" s="551"/>
    </row>
    <row r="1074">
      <c r="A1074" s="552"/>
      <c r="B1074" s="552"/>
      <c r="C1074" s="552"/>
      <c r="D1074" s="552"/>
      <c r="E1074" s="552"/>
      <c r="F1074" s="552"/>
      <c r="G1074" s="552"/>
      <c r="H1074" s="552"/>
      <c r="I1074" s="552"/>
      <c r="J1074" s="552"/>
      <c r="K1074" s="552"/>
      <c r="L1074" s="552"/>
      <c r="M1074" s="552"/>
      <c r="N1074" s="551"/>
      <c r="O1074" s="551"/>
      <c r="P1074" s="551"/>
      <c r="Q1074" s="551"/>
      <c r="R1074" s="551"/>
      <c r="S1074" s="551"/>
      <c r="T1074" s="551"/>
      <c r="U1074" s="551"/>
      <c r="V1074" s="551"/>
      <c r="W1074" s="551"/>
      <c r="X1074" s="551"/>
      <c r="Y1074" s="551"/>
      <c r="Z1074" s="551"/>
      <c r="AA1074" s="551"/>
      <c r="AB1074" s="551"/>
      <c r="AC1074" s="551"/>
      <c r="AD1074" s="551"/>
      <c r="AE1074" s="551"/>
      <c r="AF1074" s="551"/>
    </row>
    <row r="1075">
      <c r="A1075" s="552"/>
      <c r="B1075" s="552"/>
      <c r="C1075" s="552"/>
      <c r="D1075" s="552"/>
      <c r="E1075" s="552"/>
      <c r="F1075" s="552"/>
      <c r="G1075" s="552"/>
      <c r="H1075" s="552"/>
      <c r="I1075" s="552"/>
      <c r="J1075" s="552"/>
      <c r="K1075" s="552"/>
      <c r="L1075" s="552"/>
      <c r="M1075" s="552"/>
      <c r="N1075" s="551"/>
      <c r="O1075" s="551"/>
      <c r="P1075" s="551"/>
      <c r="Q1075" s="551"/>
      <c r="R1075" s="551"/>
      <c r="S1075" s="551"/>
      <c r="T1075" s="551"/>
      <c r="U1075" s="551"/>
      <c r="V1075" s="551"/>
      <c r="W1075" s="551"/>
      <c r="X1075" s="551"/>
      <c r="Y1075" s="551"/>
      <c r="Z1075" s="551"/>
      <c r="AA1075" s="551"/>
      <c r="AB1075" s="551"/>
      <c r="AC1075" s="551"/>
      <c r="AD1075" s="551"/>
      <c r="AE1075" s="551"/>
      <c r="AF1075" s="551"/>
    </row>
    <row r="1076">
      <c r="A1076" s="552"/>
      <c r="B1076" s="552"/>
      <c r="C1076" s="552"/>
      <c r="D1076" s="552"/>
      <c r="E1076" s="552"/>
      <c r="F1076" s="552"/>
      <c r="G1076" s="552"/>
      <c r="H1076" s="552"/>
      <c r="I1076" s="552"/>
      <c r="J1076" s="552"/>
      <c r="K1076" s="552"/>
      <c r="L1076" s="552"/>
      <c r="M1076" s="552"/>
      <c r="N1076" s="551"/>
      <c r="O1076" s="551"/>
      <c r="P1076" s="551"/>
      <c r="Q1076" s="551"/>
      <c r="R1076" s="551"/>
      <c r="S1076" s="551"/>
      <c r="T1076" s="551"/>
      <c r="U1076" s="551"/>
      <c r="V1076" s="551"/>
      <c r="W1076" s="551"/>
      <c r="X1076" s="551"/>
      <c r="Y1076" s="551"/>
      <c r="Z1076" s="551"/>
      <c r="AA1076" s="551"/>
      <c r="AB1076" s="551"/>
      <c r="AC1076" s="551"/>
      <c r="AD1076" s="551"/>
      <c r="AE1076" s="551"/>
      <c r="AF1076" s="551"/>
    </row>
    <row r="1077">
      <c r="A1077" s="552"/>
      <c r="B1077" s="552"/>
      <c r="C1077" s="552"/>
      <c r="D1077" s="552"/>
      <c r="E1077" s="552"/>
      <c r="F1077" s="552"/>
      <c r="G1077" s="552"/>
      <c r="H1077" s="552"/>
      <c r="I1077" s="552"/>
      <c r="J1077" s="552"/>
      <c r="K1077" s="552"/>
      <c r="L1077" s="552"/>
      <c r="M1077" s="552"/>
      <c r="N1077" s="551"/>
      <c r="O1077" s="551"/>
      <c r="P1077" s="551"/>
      <c r="Q1077" s="551"/>
      <c r="R1077" s="551"/>
      <c r="S1077" s="551"/>
      <c r="T1077" s="551"/>
      <c r="U1077" s="551"/>
      <c r="V1077" s="551"/>
      <c r="W1077" s="551"/>
      <c r="X1077" s="551"/>
      <c r="Y1077" s="551"/>
      <c r="Z1077" s="551"/>
      <c r="AA1077" s="551"/>
      <c r="AB1077" s="551"/>
      <c r="AC1077" s="551"/>
      <c r="AD1077" s="551"/>
      <c r="AE1077" s="551"/>
      <c r="AF1077" s="551"/>
    </row>
    <row r="1078">
      <c r="A1078" s="552"/>
      <c r="B1078" s="552"/>
      <c r="C1078" s="552"/>
      <c r="D1078" s="552"/>
      <c r="E1078" s="552"/>
      <c r="F1078" s="552"/>
      <c r="G1078" s="552"/>
      <c r="H1078" s="552"/>
      <c r="I1078" s="552"/>
      <c r="J1078" s="552"/>
      <c r="K1078" s="552"/>
      <c r="L1078" s="552"/>
      <c r="M1078" s="552"/>
      <c r="N1078" s="551"/>
      <c r="O1078" s="551"/>
      <c r="P1078" s="551"/>
      <c r="Q1078" s="551"/>
      <c r="R1078" s="551"/>
      <c r="S1078" s="551"/>
      <c r="T1078" s="551"/>
      <c r="U1078" s="551"/>
      <c r="V1078" s="551"/>
      <c r="W1078" s="551"/>
      <c r="X1078" s="551"/>
      <c r="Y1078" s="551"/>
      <c r="Z1078" s="551"/>
      <c r="AA1078" s="551"/>
      <c r="AB1078" s="551"/>
      <c r="AC1078" s="551"/>
      <c r="AD1078" s="551"/>
      <c r="AE1078" s="551"/>
      <c r="AF1078" s="551"/>
    </row>
    <row r="1079">
      <c r="A1079" s="552"/>
      <c r="B1079" s="552"/>
      <c r="C1079" s="552"/>
      <c r="D1079" s="552"/>
      <c r="E1079" s="552"/>
      <c r="F1079" s="552"/>
      <c r="G1079" s="552"/>
      <c r="H1079" s="552"/>
      <c r="I1079" s="552"/>
      <c r="J1079" s="552"/>
      <c r="K1079" s="552"/>
      <c r="L1079" s="552"/>
      <c r="M1079" s="552"/>
      <c r="N1079" s="551"/>
      <c r="O1079" s="551"/>
      <c r="P1079" s="551"/>
      <c r="Q1079" s="551"/>
      <c r="R1079" s="551"/>
      <c r="S1079" s="551"/>
      <c r="T1079" s="551"/>
      <c r="U1079" s="551"/>
      <c r="V1079" s="551"/>
      <c r="W1079" s="551"/>
      <c r="X1079" s="551"/>
      <c r="Y1079" s="551"/>
      <c r="Z1079" s="551"/>
      <c r="AA1079" s="551"/>
      <c r="AB1079" s="551"/>
      <c r="AC1079" s="551"/>
      <c r="AD1079" s="551"/>
      <c r="AE1079" s="551"/>
      <c r="AF1079" s="551"/>
    </row>
    <row r="1080">
      <c r="A1080" s="552"/>
      <c r="B1080" s="552"/>
      <c r="C1080" s="552"/>
      <c r="D1080" s="552"/>
      <c r="E1080" s="552"/>
      <c r="F1080" s="552"/>
      <c r="G1080" s="552"/>
      <c r="H1080" s="552"/>
      <c r="I1080" s="552"/>
      <c r="J1080" s="552"/>
      <c r="K1080" s="552"/>
      <c r="L1080" s="552"/>
      <c r="M1080" s="552"/>
      <c r="N1080" s="551"/>
      <c r="O1080" s="551"/>
      <c r="P1080" s="551"/>
      <c r="Q1080" s="551"/>
      <c r="R1080" s="551"/>
      <c r="S1080" s="551"/>
      <c r="T1080" s="551"/>
      <c r="U1080" s="551"/>
      <c r="V1080" s="551"/>
      <c r="W1080" s="551"/>
      <c r="X1080" s="551"/>
      <c r="Y1080" s="551"/>
      <c r="Z1080" s="551"/>
      <c r="AA1080" s="551"/>
      <c r="AB1080" s="551"/>
      <c r="AC1080" s="551"/>
      <c r="AD1080" s="551"/>
      <c r="AE1080" s="551"/>
      <c r="AF1080" s="551"/>
    </row>
    <row r="1081">
      <c r="A1081" s="552"/>
      <c r="B1081" s="552"/>
      <c r="C1081" s="552"/>
      <c r="D1081" s="552"/>
      <c r="E1081" s="552"/>
      <c r="F1081" s="552"/>
      <c r="G1081" s="552"/>
      <c r="H1081" s="552"/>
      <c r="I1081" s="552"/>
      <c r="J1081" s="552"/>
      <c r="K1081" s="552"/>
      <c r="L1081" s="552"/>
      <c r="M1081" s="552"/>
      <c r="N1081" s="551"/>
      <c r="O1081" s="551"/>
      <c r="P1081" s="551"/>
      <c r="Q1081" s="551"/>
      <c r="R1081" s="551"/>
      <c r="S1081" s="551"/>
      <c r="T1081" s="551"/>
      <c r="U1081" s="551"/>
      <c r="V1081" s="551"/>
      <c r="W1081" s="551"/>
      <c r="X1081" s="551"/>
      <c r="Y1081" s="551"/>
      <c r="Z1081" s="551"/>
      <c r="AA1081" s="551"/>
      <c r="AB1081" s="551"/>
      <c r="AC1081" s="551"/>
      <c r="AD1081" s="551"/>
      <c r="AE1081" s="551"/>
      <c r="AF1081" s="551"/>
    </row>
    <row r="1082">
      <c r="A1082" s="552"/>
      <c r="B1082" s="552"/>
      <c r="C1082" s="552"/>
      <c r="D1082" s="552"/>
      <c r="E1082" s="552"/>
      <c r="F1082" s="552"/>
      <c r="G1082" s="552"/>
      <c r="H1082" s="552"/>
      <c r="I1082" s="552"/>
      <c r="J1082" s="552"/>
      <c r="K1082" s="552"/>
      <c r="L1082" s="552"/>
      <c r="M1082" s="552"/>
      <c r="N1082" s="551"/>
      <c r="O1082" s="551"/>
      <c r="P1082" s="551"/>
      <c r="Q1082" s="551"/>
      <c r="R1082" s="551"/>
      <c r="S1082" s="551"/>
      <c r="T1082" s="551"/>
      <c r="U1082" s="551"/>
      <c r="V1082" s="551"/>
      <c r="W1082" s="551"/>
      <c r="X1082" s="551"/>
      <c r="Y1082" s="551"/>
      <c r="Z1082" s="551"/>
      <c r="AA1082" s="551"/>
      <c r="AB1082" s="551"/>
      <c r="AC1082" s="551"/>
      <c r="AD1082" s="551"/>
      <c r="AE1082" s="551"/>
      <c r="AF1082" s="551"/>
    </row>
    <row r="1083">
      <c r="A1083" s="552"/>
      <c r="B1083" s="552"/>
      <c r="C1083" s="552"/>
      <c r="D1083" s="552"/>
      <c r="E1083" s="552"/>
      <c r="F1083" s="552"/>
      <c r="G1083" s="552"/>
      <c r="H1083" s="552"/>
      <c r="I1083" s="552"/>
      <c r="J1083" s="552"/>
      <c r="K1083" s="552"/>
      <c r="L1083" s="552"/>
      <c r="M1083" s="552"/>
      <c r="N1083" s="551"/>
      <c r="O1083" s="551"/>
      <c r="P1083" s="551"/>
      <c r="Q1083" s="551"/>
      <c r="R1083" s="551"/>
      <c r="S1083" s="551"/>
      <c r="T1083" s="551"/>
      <c r="U1083" s="551"/>
      <c r="V1083" s="551"/>
      <c r="W1083" s="551"/>
      <c r="X1083" s="551"/>
      <c r="Y1083" s="551"/>
      <c r="Z1083" s="551"/>
      <c r="AA1083" s="551"/>
      <c r="AB1083" s="551"/>
      <c r="AC1083" s="551"/>
      <c r="AD1083" s="551"/>
      <c r="AE1083" s="551"/>
      <c r="AF1083" s="551"/>
    </row>
    <row r="1084">
      <c r="A1084" s="552"/>
      <c r="B1084" s="552"/>
      <c r="C1084" s="552"/>
      <c r="D1084" s="552"/>
      <c r="E1084" s="552"/>
      <c r="F1084" s="552"/>
      <c r="G1084" s="552"/>
      <c r="H1084" s="552"/>
      <c r="I1084" s="552"/>
      <c r="J1084" s="552"/>
      <c r="K1084" s="552"/>
      <c r="L1084" s="552"/>
      <c r="M1084" s="552"/>
      <c r="N1084" s="551"/>
      <c r="O1084" s="551"/>
      <c r="P1084" s="551"/>
      <c r="Q1084" s="551"/>
      <c r="R1084" s="551"/>
      <c r="S1084" s="551"/>
      <c r="T1084" s="551"/>
      <c r="U1084" s="551"/>
      <c r="V1084" s="551"/>
      <c r="W1084" s="551"/>
      <c r="X1084" s="551"/>
      <c r="Y1084" s="551"/>
      <c r="Z1084" s="551"/>
      <c r="AA1084" s="551"/>
      <c r="AB1084" s="551"/>
      <c r="AC1084" s="551"/>
      <c r="AD1084" s="551"/>
      <c r="AE1084" s="551"/>
      <c r="AF1084" s="551"/>
    </row>
    <row r="1085">
      <c r="A1085" s="552"/>
      <c r="B1085" s="552"/>
      <c r="C1085" s="552"/>
      <c r="D1085" s="552"/>
      <c r="E1085" s="552"/>
      <c r="F1085" s="552"/>
      <c r="G1085" s="552"/>
      <c r="H1085" s="552"/>
      <c r="I1085" s="552"/>
      <c r="J1085" s="552"/>
      <c r="K1085" s="552"/>
      <c r="L1085" s="552"/>
      <c r="M1085" s="552"/>
      <c r="N1085" s="551"/>
      <c r="O1085" s="551"/>
      <c r="P1085" s="551"/>
      <c r="Q1085" s="551"/>
      <c r="R1085" s="551"/>
      <c r="S1085" s="551"/>
      <c r="T1085" s="551"/>
      <c r="U1085" s="551"/>
      <c r="V1085" s="551"/>
      <c r="W1085" s="551"/>
      <c r="X1085" s="551"/>
      <c r="Y1085" s="551"/>
      <c r="Z1085" s="551"/>
      <c r="AA1085" s="551"/>
      <c r="AB1085" s="551"/>
      <c r="AC1085" s="551"/>
      <c r="AD1085" s="551"/>
      <c r="AE1085" s="551"/>
      <c r="AF1085" s="551"/>
    </row>
    <row r="1086">
      <c r="A1086" s="552"/>
      <c r="B1086" s="552"/>
      <c r="C1086" s="552"/>
      <c r="D1086" s="552"/>
      <c r="E1086" s="552"/>
      <c r="F1086" s="552"/>
      <c r="G1086" s="552"/>
      <c r="H1086" s="552"/>
      <c r="I1086" s="552"/>
      <c r="J1086" s="552"/>
      <c r="K1086" s="552"/>
      <c r="L1086" s="552"/>
      <c r="M1086" s="552"/>
      <c r="N1086" s="551"/>
      <c r="O1086" s="551"/>
      <c r="P1086" s="551"/>
      <c r="Q1086" s="551"/>
      <c r="R1086" s="551"/>
      <c r="S1086" s="551"/>
      <c r="T1086" s="551"/>
      <c r="U1086" s="551"/>
      <c r="V1086" s="551"/>
      <c r="W1086" s="551"/>
      <c r="X1086" s="551"/>
      <c r="Y1086" s="551"/>
      <c r="Z1086" s="551"/>
      <c r="AA1086" s="551"/>
      <c r="AB1086" s="551"/>
      <c r="AC1086" s="551"/>
      <c r="AD1086" s="551"/>
      <c r="AE1086" s="551"/>
      <c r="AF1086" s="551"/>
    </row>
    <row r="1087">
      <c r="A1087" s="552"/>
      <c r="B1087" s="552"/>
      <c r="C1087" s="552"/>
      <c r="D1087" s="552"/>
      <c r="E1087" s="552"/>
      <c r="F1087" s="552"/>
      <c r="G1087" s="552"/>
      <c r="H1087" s="552"/>
      <c r="I1087" s="552"/>
      <c r="J1087" s="552"/>
      <c r="K1087" s="552"/>
      <c r="L1087" s="552"/>
      <c r="M1087" s="552"/>
      <c r="N1087" s="551"/>
      <c r="O1087" s="551"/>
      <c r="P1087" s="551"/>
      <c r="Q1087" s="551"/>
      <c r="R1087" s="551"/>
      <c r="S1087" s="551"/>
      <c r="T1087" s="551"/>
      <c r="U1087" s="551"/>
      <c r="V1087" s="551"/>
      <c r="W1087" s="551"/>
      <c r="X1087" s="551"/>
      <c r="Y1087" s="551"/>
      <c r="Z1087" s="551"/>
      <c r="AA1087" s="551"/>
      <c r="AB1087" s="551"/>
      <c r="AC1087" s="551"/>
      <c r="AD1087" s="551"/>
      <c r="AE1087" s="551"/>
      <c r="AF1087" s="551"/>
    </row>
    <row r="1088">
      <c r="A1088" s="552"/>
      <c r="B1088" s="552"/>
      <c r="C1088" s="552"/>
      <c r="D1088" s="552"/>
      <c r="E1088" s="552"/>
      <c r="F1088" s="552"/>
      <c r="G1088" s="552"/>
      <c r="H1088" s="552"/>
      <c r="I1088" s="552"/>
      <c r="J1088" s="552"/>
      <c r="K1088" s="552"/>
      <c r="L1088" s="552"/>
      <c r="M1088" s="552"/>
      <c r="N1088" s="551"/>
      <c r="O1088" s="551"/>
      <c r="P1088" s="551"/>
      <c r="Q1088" s="551"/>
      <c r="R1088" s="551"/>
      <c r="S1088" s="551"/>
      <c r="T1088" s="551"/>
      <c r="U1088" s="551"/>
      <c r="V1088" s="551"/>
      <c r="W1088" s="551"/>
      <c r="X1088" s="551"/>
      <c r="Y1088" s="551"/>
      <c r="Z1088" s="551"/>
      <c r="AA1088" s="551"/>
      <c r="AB1088" s="551"/>
      <c r="AC1088" s="551"/>
      <c r="AD1088" s="551"/>
      <c r="AE1088" s="551"/>
      <c r="AF1088" s="551"/>
    </row>
    <row r="1089">
      <c r="A1089" s="552"/>
      <c r="B1089" s="552"/>
      <c r="C1089" s="552"/>
      <c r="D1089" s="552"/>
      <c r="E1089" s="552"/>
      <c r="F1089" s="552"/>
      <c r="G1089" s="552"/>
      <c r="H1089" s="552"/>
      <c r="I1089" s="552"/>
      <c r="J1089" s="552"/>
      <c r="K1089" s="552"/>
      <c r="L1089" s="552"/>
      <c r="M1089" s="552"/>
      <c r="N1089" s="551"/>
      <c r="O1089" s="551"/>
      <c r="P1089" s="551"/>
      <c r="Q1089" s="551"/>
      <c r="R1089" s="551"/>
      <c r="S1089" s="551"/>
      <c r="T1089" s="551"/>
      <c r="U1089" s="551"/>
      <c r="V1089" s="551"/>
      <c r="W1089" s="551"/>
      <c r="X1089" s="551"/>
      <c r="Y1089" s="551"/>
      <c r="Z1089" s="551"/>
      <c r="AA1089" s="551"/>
      <c r="AB1089" s="551"/>
      <c r="AC1089" s="551"/>
      <c r="AD1089" s="551"/>
      <c r="AE1089" s="551"/>
      <c r="AF1089" s="551"/>
    </row>
    <row r="1090">
      <c r="A1090" s="552"/>
      <c r="B1090" s="552"/>
      <c r="C1090" s="552"/>
      <c r="D1090" s="552"/>
      <c r="E1090" s="552"/>
      <c r="F1090" s="552"/>
      <c r="G1090" s="552"/>
      <c r="H1090" s="552"/>
      <c r="I1090" s="552"/>
      <c r="J1090" s="552"/>
      <c r="K1090" s="552"/>
      <c r="L1090" s="552"/>
      <c r="M1090" s="552"/>
      <c r="N1090" s="551"/>
      <c r="O1090" s="551"/>
      <c r="P1090" s="551"/>
      <c r="Q1090" s="551"/>
      <c r="R1090" s="551"/>
      <c r="S1090" s="551"/>
      <c r="T1090" s="551"/>
      <c r="U1090" s="551"/>
      <c r="V1090" s="551"/>
      <c r="W1090" s="551"/>
      <c r="X1090" s="551"/>
      <c r="Y1090" s="551"/>
      <c r="Z1090" s="551"/>
      <c r="AA1090" s="551"/>
      <c r="AB1090" s="551"/>
      <c r="AC1090" s="551"/>
      <c r="AD1090" s="551"/>
      <c r="AE1090" s="551"/>
      <c r="AF1090" s="551"/>
    </row>
    <row r="1091">
      <c r="A1091" s="552"/>
      <c r="B1091" s="552"/>
      <c r="C1091" s="552"/>
      <c r="D1091" s="552"/>
      <c r="E1091" s="552"/>
      <c r="F1091" s="552"/>
      <c r="G1091" s="552"/>
      <c r="H1091" s="552"/>
      <c r="I1091" s="552"/>
      <c r="J1091" s="552"/>
      <c r="K1091" s="552"/>
      <c r="L1091" s="552"/>
      <c r="M1091" s="552"/>
      <c r="N1091" s="551"/>
      <c r="O1091" s="551"/>
      <c r="P1091" s="551"/>
      <c r="Q1091" s="551"/>
      <c r="R1091" s="551"/>
      <c r="S1091" s="551"/>
      <c r="T1091" s="551"/>
      <c r="U1091" s="551"/>
      <c r="V1091" s="551"/>
      <c r="W1091" s="551"/>
      <c r="X1091" s="551"/>
      <c r="Y1091" s="551"/>
      <c r="Z1091" s="551"/>
      <c r="AA1091" s="551"/>
      <c r="AB1091" s="551"/>
      <c r="AC1091" s="551"/>
      <c r="AD1091" s="551"/>
      <c r="AE1091" s="551"/>
      <c r="AF1091" s="551"/>
    </row>
    <row r="1092">
      <c r="A1092" s="552"/>
      <c r="B1092" s="552"/>
      <c r="C1092" s="552"/>
      <c r="D1092" s="552"/>
      <c r="E1092" s="552"/>
      <c r="F1092" s="552"/>
      <c r="G1092" s="552"/>
      <c r="H1092" s="552"/>
      <c r="I1092" s="552"/>
      <c r="J1092" s="552"/>
      <c r="K1092" s="552"/>
      <c r="L1092" s="552"/>
      <c r="M1092" s="552"/>
      <c r="N1092" s="551"/>
      <c r="O1092" s="551"/>
      <c r="P1092" s="551"/>
      <c r="Q1092" s="551"/>
      <c r="R1092" s="551"/>
      <c r="S1092" s="551"/>
      <c r="T1092" s="551"/>
      <c r="U1092" s="551"/>
      <c r="V1092" s="551"/>
      <c r="W1092" s="551"/>
      <c r="X1092" s="551"/>
      <c r="Y1092" s="551"/>
      <c r="Z1092" s="551"/>
      <c r="AA1092" s="551"/>
      <c r="AB1092" s="551"/>
      <c r="AC1092" s="551"/>
      <c r="AD1092" s="551"/>
      <c r="AE1092" s="551"/>
      <c r="AF1092" s="551"/>
    </row>
    <row r="1093">
      <c r="A1093" s="552"/>
      <c r="B1093" s="552"/>
      <c r="C1093" s="552"/>
      <c r="D1093" s="552"/>
      <c r="E1093" s="552"/>
      <c r="F1093" s="552"/>
      <c r="G1093" s="552"/>
      <c r="H1093" s="552"/>
      <c r="I1093" s="552"/>
      <c r="J1093" s="552"/>
      <c r="K1093" s="552"/>
      <c r="L1093" s="552"/>
      <c r="M1093" s="552"/>
      <c r="N1093" s="551"/>
      <c r="O1093" s="551"/>
      <c r="P1093" s="551"/>
      <c r="Q1093" s="551"/>
      <c r="R1093" s="551"/>
      <c r="S1093" s="551"/>
      <c r="T1093" s="551"/>
      <c r="U1093" s="551"/>
      <c r="V1093" s="551"/>
      <c r="W1093" s="551"/>
      <c r="X1093" s="551"/>
      <c r="Y1093" s="551"/>
      <c r="Z1093" s="551"/>
      <c r="AA1093" s="551"/>
      <c r="AB1093" s="551"/>
      <c r="AC1093" s="551"/>
      <c r="AD1093" s="551"/>
      <c r="AE1093" s="551"/>
      <c r="AF1093" s="551"/>
    </row>
    <row r="1094">
      <c r="A1094" s="552"/>
      <c r="B1094" s="552"/>
      <c r="C1094" s="552"/>
      <c r="D1094" s="552"/>
      <c r="E1094" s="552"/>
      <c r="F1094" s="552"/>
      <c r="G1094" s="552"/>
      <c r="H1094" s="552"/>
      <c r="I1094" s="552"/>
      <c r="J1094" s="552"/>
      <c r="K1094" s="552"/>
      <c r="L1094" s="552"/>
      <c r="M1094" s="552"/>
      <c r="N1094" s="551"/>
      <c r="O1094" s="551"/>
      <c r="P1094" s="551"/>
      <c r="Q1094" s="551"/>
      <c r="R1094" s="551"/>
      <c r="S1094" s="551"/>
      <c r="T1094" s="551"/>
      <c r="U1094" s="551"/>
      <c r="V1094" s="551"/>
      <c r="W1094" s="551"/>
      <c r="X1094" s="551"/>
      <c r="Y1094" s="551"/>
      <c r="Z1094" s="551"/>
      <c r="AA1094" s="551"/>
      <c r="AB1094" s="551"/>
      <c r="AC1094" s="551"/>
      <c r="AD1094" s="551"/>
      <c r="AE1094" s="551"/>
      <c r="AF1094" s="551"/>
    </row>
    <row r="1095">
      <c r="A1095" s="552"/>
      <c r="B1095" s="552"/>
      <c r="C1095" s="552"/>
      <c r="D1095" s="552"/>
      <c r="E1095" s="552"/>
      <c r="F1095" s="552"/>
      <c r="G1095" s="552"/>
      <c r="H1095" s="552"/>
      <c r="I1095" s="552"/>
      <c r="J1095" s="552"/>
      <c r="K1095" s="552"/>
      <c r="L1095" s="552"/>
      <c r="M1095" s="552"/>
      <c r="N1095" s="551"/>
      <c r="O1095" s="551"/>
      <c r="P1095" s="551"/>
      <c r="Q1095" s="551"/>
      <c r="R1095" s="551"/>
      <c r="S1095" s="551"/>
      <c r="T1095" s="551"/>
      <c r="U1095" s="551"/>
      <c r="V1095" s="551"/>
      <c r="W1095" s="551"/>
      <c r="X1095" s="551"/>
      <c r="Y1095" s="551"/>
      <c r="Z1095" s="551"/>
      <c r="AA1095" s="551"/>
      <c r="AB1095" s="551"/>
      <c r="AC1095" s="551"/>
      <c r="AD1095" s="551"/>
      <c r="AE1095" s="551"/>
      <c r="AF1095" s="551"/>
    </row>
    <row r="1096">
      <c r="A1096" s="552"/>
      <c r="B1096" s="552"/>
      <c r="C1096" s="552"/>
      <c r="D1096" s="552"/>
      <c r="E1096" s="552"/>
      <c r="F1096" s="552"/>
      <c r="G1096" s="552"/>
      <c r="H1096" s="552"/>
      <c r="I1096" s="552"/>
      <c r="J1096" s="552"/>
      <c r="K1096" s="552"/>
      <c r="L1096" s="552"/>
      <c r="M1096" s="552"/>
      <c r="N1096" s="551"/>
      <c r="O1096" s="551"/>
      <c r="P1096" s="551"/>
      <c r="Q1096" s="551"/>
      <c r="R1096" s="551"/>
      <c r="S1096" s="551"/>
      <c r="T1096" s="551"/>
      <c r="U1096" s="551"/>
      <c r="V1096" s="551"/>
      <c r="W1096" s="551"/>
      <c r="X1096" s="551"/>
      <c r="Y1096" s="551"/>
      <c r="Z1096" s="551"/>
      <c r="AA1096" s="551"/>
      <c r="AB1096" s="551"/>
      <c r="AC1096" s="551"/>
      <c r="AD1096" s="551"/>
      <c r="AE1096" s="551"/>
      <c r="AF1096" s="551"/>
    </row>
    <row r="1097">
      <c r="A1097" s="552"/>
      <c r="B1097" s="552"/>
      <c r="C1097" s="552"/>
      <c r="D1097" s="552"/>
      <c r="E1097" s="552"/>
      <c r="F1097" s="552"/>
      <c r="G1097" s="552"/>
      <c r="H1097" s="552"/>
      <c r="I1097" s="552"/>
      <c r="J1097" s="552"/>
      <c r="K1097" s="552"/>
      <c r="L1097" s="552"/>
      <c r="M1097" s="552"/>
      <c r="N1097" s="551"/>
      <c r="O1097" s="551"/>
      <c r="P1097" s="551"/>
      <c r="Q1097" s="551"/>
      <c r="R1097" s="551"/>
      <c r="S1097" s="551"/>
      <c r="T1097" s="551"/>
      <c r="U1097" s="551"/>
      <c r="V1097" s="551"/>
      <c r="W1097" s="551"/>
      <c r="X1097" s="551"/>
      <c r="Y1097" s="551"/>
      <c r="Z1097" s="551"/>
      <c r="AA1097" s="551"/>
      <c r="AB1097" s="551"/>
      <c r="AC1097" s="551"/>
      <c r="AD1097" s="551"/>
      <c r="AE1097" s="551"/>
      <c r="AF1097" s="551"/>
    </row>
    <row r="1098">
      <c r="A1098" s="552"/>
      <c r="B1098" s="552"/>
      <c r="C1098" s="552"/>
      <c r="D1098" s="552"/>
      <c r="E1098" s="552"/>
      <c r="F1098" s="552"/>
      <c r="G1098" s="552"/>
      <c r="H1098" s="552"/>
      <c r="I1098" s="552"/>
      <c r="J1098" s="552"/>
      <c r="K1098" s="552"/>
      <c r="L1098" s="552"/>
      <c r="M1098" s="552"/>
      <c r="N1098" s="551"/>
      <c r="O1098" s="551"/>
      <c r="P1098" s="551"/>
      <c r="Q1098" s="551"/>
      <c r="R1098" s="551"/>
      <c r="S1098" s="551"/>
      <c r="T1098" s="551"/>
      <c r="U1098" s="551"/>
      <c r="V1098" s="551"/>
      <c r="W1098" s="551"/>
      <c r="X1098" s="551"/>
      <c r="Y1098" s="551"/>
      <c r="Z1098" s="551"/>
      <c r="AA1098" s="551"/>
      <c r="AB1098" s="551"/>
      <c r="AC1098" s="551"/>
      <c r="AD1098" s="551"/>
      <c r="AE1098" s="551"/>
      <c r="AF1098" s="551"/>
    </row>
    <row r="1099">
      <c r="A1099" s="552"/>
      <c r="B1099" s="552"/>
      <c r="C1099" s="552"/>
      <c r="D1099" s="552"/>
      <c r="E1099" s="552"/>
      <c r="F1099" s="552"/>
      <c r="G1099" s="552"/>
      <c r="H1099" s="552"/>
      <c r="I1099" s="552"/>
      <c r="J1099" s="552"/>
      <c r="K1099" s="552"/>
      <c r="L1099" s="552"/>
      <c r="M1099" s="552"/>
      <c r="N1099" s="551"/>
      <c r="O1099" s="551"/>
      <c r="P1099" s="551"/>
      <c r="Q1099" s="551"/>
      <c r="R1099" s="551"/>
      <c r="S1099" s="551"/>
      <c r="T1099" s="551"/>
      <c r="U1099" s="551"/>
      <c r="V1099" s="551"/>
      <c r="W1099" s="551"/>
      <c r="X1099" s="551"/>
      <c r="Y1099" s="551"/>
      <c r="Z1099" s="551"/>
      <c r="AA1099" s="551"/>
      <c r="AB1099" s="551"/>
      <c r="AC1099" s="551"/>
      <c r="AD1099" s="551"/>
      <c r="AE1099" s="551"/>
      <c r="AF1099" s="551"/>
    </row>
    <row r="1100">
      <c r="A1100" s="552"/>
      <c r="B1100" s="552"/>
      <c r="C1100" s="552"/>
      <c r="D1100" s="552"/>
      <c r="E1100" s="552"/>
      <c r="F1100" s="552"/>
      <c r="G1100" s="552"/>
      <c r="H1100" s="552"/>
      <c r="I1100" s="552"/>
      <c r="J1100" s="552"/>
      <c r="K1100" s="552"/>
      <c r="L1100" s="552"/>
      <c r="M1100" s="552"/>
      <c r="N1100" s="551"/>
      <c r="O1100" s="551"/>
      <c r="P1100" s="551"/>
      <c r="Q1100" s="551"/>
      <c r="R1100" s="551"/>
      <c r="S1100" s="551"/>
      <c r="T1100" s="551"/>
      <c r="U1100" s="551"/>
      <c r="V1100" s="551"/>
      <c r="W1100" s="551"/>
      <c r="X1100" s="551"/>
      <c r="Y1100" s="551"/>
      <c r="Z1100" s="551"/>
      <c r="AA1100" s="551"/>
      <c r="AB1100" s="551"/>
      <c r="AC1100" s="551"/>
      <c r="AD1100" s="551"/>
      <c r="AE1100" s="551"/>
      <c r="AF1100" s="551"/>
    </row>
    <row r="1101">
      <c r="A1101" s="552"/>
      <c r="B1101" s="552"/>
      <c r="C1101" s="552"/>
      <c r="D1101" s="552"/>
      <c r="E1101" s="552"/>
      <c r="F1101" s="552"/>
      <c r="G1101" s="552"/>
      <c r="H1101" s="552"/>
      <c r="I1101" s="552"/>
      <c r="J1101" s="552"/>
      <c r="K1101" s="552"/>
      <c r="L1101" s="552"/>
      <c r="M1101" s="552"/>
      <c r="N1101" s="551"/>
      <c r="O1101" s="551"/>
      <c r="P1101" s="551"/>
      <c r="Q1101" s="551"/>
      <c r="R1101" s="551"/>
      <c r="S1101" s="551"/>
      <c r="T1101" s="551"/>
      <c r="U1101" s="551"/>
      <c r="V1101" s="551"/>
      <c r="W1101" s="551"/>
      <c r="X1101" s="551"/>
      <c r="Y1101" s="551"/>
      <c r="Z1101" s="551"/>
      <c r="AA1101" s="551"/>
      <c r="AB1101" s="551"/>
      <c r="AC1101" s="551"/>
      <c r="AD1101" s="551"/>
      <c r="AE1101" s="551"/>
      <c r="AF1101" s="551"/>
    </row>
    <row r="1102">
      <c r="A1102" s="552"/>
      <c r="B1102" s="552"/>
      <c r="C1102" s="552"/>
      <c r="D1102" s="552"/>
      <c r="E1102" s="552"/>
      <c r="F1102" s="552"/>
      <c r="G1102" s="552"/>
      <c r="H1102" s="552"/>
      <c r="I1102" s="552"/>
      <c r="J1102" s="552"/>
      <c r="K1102" s="552"/>
      <c r="L1102" s="552"/>
      <c r="M1102" s="552"/>
      <c r="N1102" s="551"/>
      <c r="O1102" s="551"/>
      <c r="P1102" s="551"/>
      <c r="Q1102" s="551"/>
      <c r="R1102" s="551"/>
      <c r="S1102" s="551"/>
      <c r="T1102" s="551"/>
      <c r="U1102" s="551"/>
      <c r="V1102" s="551"/>
      <c r="W1102" s="551"/>
      <c r="X1102" s="551"/>
      <c r="Y1102" s="551"/>
      <c r="Z1102" s="551"/>
      <c r="AA1102" s="551"/>
      <c r="AB1102" s="551"/>
      <c r="AC1102" s="551"/>
      <c r="AD1102" s="551"/>
      <c r="AE1102" s="551"/>
      <c r="AF1102" s="551"/>
    </row>
    <row r="1103">
      <c r="A1103" s="552"/>
      <c r="B1103" s="552"/>
      <c r="C1103" s="552"/>
      <c r="D1103" s="552"/>
      <c r="E1103" s="552"/>
      <c r="F1103" s="552"/>
      <c r="G1103" s="552"/>
      <c r="H1103" s="552"/>
      <c r="I1103" s="552"/>
      <c r="J1103" s="552"/>
      <c r="K1103" s="552"/>
      <c r="L1103" s="552"/>
      <c r="M1103" s="552"/>
      <c r="N1103" s="551"/>
      <c r="O1103" s="551"/>
      <c r="P1103" s="551"/>
      <c r="Q1103" s="551"/>
      <c r="R1103" s="551"/>
      <c r="S1103" s="551"/>
      <c r="T1103" s="551"/>
      <c r="U1103" s="551"/>
      <c r="V1103" s="551"/>
      <c r="W1103" s="551"/>
      <c r="X1103" s="551"/>
      <c r="Y1103" s="551"/>
      <c r="Z1103" s="551"/>
      <c r="AA1103" s="551"/>
      <c r="AB1103" s="551"/>
      <c r="AC1103" s="551"/>
      <c r="AD1103" s="551"/>
      <c r="AE1103" s="551"/>
      <c r="AF1103" s="551"/>
    </row>
    <row r="1104">
      <c r="A1104" s="552"/>
      <c r="B1104" s="552"/>
      <c r="C1104" s="552"/>
      <c r="D1104" s="552"/>
      <c r="E1104" s="552"/>
      <c r="F1104" s="552"/>
      <c r="G1104" s="552"/>
      <c r="H1104" s="552"/>
      <c r="I1104" s="552"/>
      <c r="J1104" s="552"/>
      <c r="K1104" s="552"/>
      <c r="L1104" s="552"/>
      <c r="M1104" s="552"/>
      <c r="N1104" s="551"/>
      <c r="O1104" s="551"/>
      <c r="P1104" s="551"/>
      <c r="Q1104" s="551"/>
      <c r="R1104" s="551"/>
      <c r="S1104" s="551"/>
      <c r="T1104" s="551"/>
      <c r="U1104" s="551"/>
      <c r="V1104" s="551"/>
      <c r="W1104" s="551"/>
      <c r="X1104" s="551"/>
      <c r="Y1104" s="551"/>
      <c r="Z1104" s="551"/>
      <c r="AA1104" s="551"/>
      <c r="AB1104" s="551"/>
      <c r="AC1104" s="551"/>
      <c r="AD1104" s="551"/>
      <c r="AE1104" s="551"/>
      <c r="AF1104" s="551"/>
    </row>
    <row r="1105">
      <c r="A1105" s="552"/>
      <c r="B1105" s="552"/>
      <c r="C1105" s="552"/>
      <c r="D1105" s="552"/>
      <c r="E1105" s="552"/>
      <c r="F1105" s="552"/>
      <c r="G1105" s="552"/>
      <c r="H1105" s="552"/>
      <c r="I1105" s="552"/>
      <c r="J1105" s="552"/>
      <c r="K1105" s="552"/>
      <c r="L1105" s="552"/>
      <c r="M1105" s="552"/>
      <c r="N1105" s="551"/>
      <c r="O1105" s="551"/>
      <c r="P1105" s="551"/>
      <c r="Q1105" s="551"/>
      <c r="R1105" s="551"/>
      <c r="S1105" s="551"/>
      <c r="T1105" s="551"/>
      <c r="U1105" s="551"/>
      <c r="V1105" s="551"/>
      <c r="W1105" s="551"/>
      <c r="X1105" s="551"/>
      <c r="Y1105" s="551"/>
      <c r="Z1105" s="551"/>
      <c r="AA1105" s="551"/>
      <c r="AB1105" s="551"/>
      <c r="AC1105" s="551"/>
      <c r="AD1105" s="551"/>
      <c r="AE1105" s="551"/>
      <c r="AF1105" s="551"/>
    </row>
    <row r="1106">
      <c r="A1106" s="552"/>
      <c r="B1106" s="552"/>
      <c r="C1106" s="552"/>
      <c r="D1106" s="552"/>
      <c r="E1106" s="552"/>
      <c r="F1106" s="552"/>
      <c r="G1106" s="552"/>
      <c r="H1106" s="552"/>
      <c r="I1106" s="552"/>
      <c r="J1106" s="552"/>
      <c r="K1106" s="552"/>
      <c r="L1106" s="552"/>
      <c r="M1106" s="552"/>
      <c r="N1106" s="551"/>
      <c r="O1106" s="551"/>
      <c r="P1106" s="551"/>
      <c r="Q1106" s="551"/>
      <c r="R1106" s="551"/>
      <c r="S1106" s="551"/>
      <c r="T1106" s="551"/>
      <c r="U1106" s="551"/>
      <c r="V1106" s="551"/>
      <c r="W1106" s="551"/>
      <c r="X1106" s="551"/>
      <c r="Y1106" s="551"/>
      <c r="Z1106" s="551"/>
      <c r="AA1106" s="551"/>
      <c r="AB1106" s="551"/>
      <c r="AC1106" s="551"/>
      <c r="AD1106" s="551"/>
      <c r="AE1106" s="551"/>
      <c r="AF1106" s="551"/>
    </row>
    <row r="1107">
      <c r="A1107" s="552"/>
      <c r="B1107" s="552"/>
      <c r="C1107" s="552"/>
      <c r="D1107" s="552"/>
      <c r="E1107" s="552"/>
      <c r="F1107" s="552"/>
      <c r="G1107" s="552"/>
      <c r="H1107" s="552"/>
      <c r="I1107" s="552"/>
      <c r="J1107" s="552"/>
      <c r="K1107" s="552"/>
      <c r="L1107" s="552"/>
      <c r="M1107" s="552"/>
      <c r="N1107" s="551"/>
      <c r="O1107" s="551"/>
      <c r="P1107" s="551"/>
      <c r="Q1107" s="551"/>
      <c r="R1107" s="551"/>
      <c r="S1107" s="551"/>
      <c r="T1107" s="551"/>
      <c r="U1107" s="551"/>
      <c r="V1107" s="551"/>
      <c r="W1107" s="551"/>
      <c r="X1107" s="551"/>
      <c r="Y1107" s="551"/>
      <c r="Z1107" s="551"/>
      <c r="AA1107" s="551"/>
      <c r="AB1107" s="551"/>
      <c r="AC1107" s="551"/>
      <c r="AD1107" s="551"/>
      <c r="AE1107" s="551"/>
      <c r="AF1107" s="551"/>
    </row>
    <row r="1108">
      <c r="A1108" s="552"/>
      <c r="B1108" s="552"/>
      <c r="C1108" s="552"/>
      <c r="D1108" s="552"/>
      <c r="E1108" s="552"/>
      <c r="F1108" s="552"/>
      <c r="G1108" s="552"/>
      <c r="H1108" s="552"/>
      <c r="I1108" s="552"/>
      <c r="J1108" s="552"/>
      <c r="K1108" s="552"/>
      <c r="L1108" s="552"/>
      <c r="M1108" s="552"/>
      <c r="N1108" s="551"/>
      <c r="O1108" s="551"/>
      <c r="P1108" s="551"/>
      <c r="Q1108" s="551"/>
      <c r="R1108" s="551"/>
      <c r="S1108" s="551"/>
      <c r="T1108" s="551"/>
      <c r="U1108" s="551"/>
      <c r="V1108" s="551"/>
      <c r="W1108" s="551"/>
      <c r="X1108" s="551"/>
      <c r="Y1108" s="551"/>
      <c r="Z1108" s="551"/>
      <c r="AA1108" s="551"/>
      <c r="AB1108" s="551"/>
      <c r="AC1108" s="551"/>
      <c r="AD1108" s="551"/>
      <c r="AE1108" s="551"/>
      <c r="AF1108" s="551"/>
    </row>
    <row r="1109">
      <c r="A1109" s="552"/>
      <c r="B1109" s="552"/>
      <c r="C1109" s="552"/>
      <c r="D1109" s="552"/>
      <c r="E1109" s="552"/>
      <c r="F1109" s="552"/>
      <c r="G1109" s="552"/>
      <c r="H1109" s="552"/>
      <c r="I1109" s="552"/>
      <c r="J1109" s="552"/>
      <c r="K1109" s="552"/>
      <c r="L1109" s="552"/>
      <c r="M1109" s="552"/>
      <c r="N1109" s="551"/>
      <c r="O1109" s="551"/>
      <c r="P1109" s="551"/>
      <c r="Q1109" s="551"/>
      <c r="R1109" s="551"/>
      <c r="S1109" s="551"/>
      <c r="T1109" s="551"/>
      <c r="U1109" s="551"/>
      <c r="V1109" s="551"/>
      <c r="W1109" s="551"/>
      <c r="X1109" s="551"/>
      <c r="Y1109" s="551"/>
      <c r="Z1109" s="551"/>
      <c r="AA1109" s="551"/>
      <c r="AB1109" s="551"/>
      <c r="AC1109" s="551"/>
      <c r="AD1109" s="551"/>
      <c r="AE1109" s="551"/>
      <c r="AF1109" s="551"/>
    </row>
    <row r="1110">
      <c r="A1110" s="552"/>
      <c r="B1110" s="552"/>
      <c r="C1110" s="552"/>
      <c r="D1110" s="552"/>
      <c r="E1110" s="552"/>
      <c r="F1110" s="552"/>
      <c r="G1110" s="552"/>
      <c r="H1110" s="552"/>
      <c r="K1110" s="552"/>
      <c r="L1110" s="552"/>
      <c r="M1110" s="552"/>
      <c r="N1110" s="551"/>
      <c r="O1110" s="551"/>
      <c r="P1110" s="551"/>
      <c r="Q1110" s="551"/>
      <c r="R1110" s="551"/>
      <c r="S1110" s="551"/>
      <c r="T1110" s="551"/>
      <c r="U1110" s="551"/>
      <c r="V1110" s="551"/>
      <c r="W1110" s="551"/>
      <c r="X1110" s="551"/>
      <c r="Y1110" s="551"/>
      <c r="Z1110" s="551"/>
      <c r="AA1110" s="551"/>
      <c r="AB1110" s="551"/>
      <c r="AC1110" s="551"/>
      <c r="AD1110" s="551"/>
      <c r="AE1110" s="551"/>
      <c r="AF1110" s="551"/>
    </row>
    <row r="1111">
      <c r="A1111" s="552"/>
      <c r="B1111" s="552"/>
      <c r="C1111" s="552"/>
      <c r="D1111" s="552"/>
      <c r="E1111" s="552"/>
      <c r="F1111" s="552"/>
      <c r="G1111" s="552"/>
      <c r="H1111" s="552"/>
      <c r="K1111" s="552"/>
      <c r="L1111" s="552"/>
      <c r="M1111" s="552"/>
      <c r="N1111" s="551"/>
      <c r="O1111" s="551"/>
      <c r="P1111" s="551"/>
      <c r="Q1111" s="551"/>
      <c r="R1111" s="551"/>
      <c r="S1111" s="551"/>
      <c r="T1111" s="551"/>
      <c r="U1111" s="551"/>
      <c r="V1111" s="551"/>
      <c r="W1111" s="551"/>
      <c r="X1111" s="551"/>
      <c r="Y1111" s="551"/>
      <c r="Z1111" s="551"/>
      <c r="AA1111" s="551"/>
      <c r="AB1111" s="551"/>
      <c r="AC1111" s="551"/>
      <c r="AD1111" s="551"/>
      <c r="AE1111" s="551"/>
      <c r="AF1111" s="551"/>
    </row>
    <row r="1112">
      <c r="A1112" s="552"/>
      <c r="B1112" s="552"/>
      <c r="C1112" s="552"/>
      <c r="D1112" s="552"/>
      <c r="E1112" s="552"/>
      <c r="F1112" s="552"/>
      <c r="G1112" s="552"/>
      <c r="H1112" s="552"/>
      <c r="K1112" s="552"/>
      <c r="L1112" s="552"/>
      <c r="M1112" s="552"/>
      <c r="N1112" s="551"/>
      <c r="O1112" s="551"/>
      <c r="P1112" s="551"/>
      <c r="Q1112" s="551"/>
      <c r="R1112" s="551"/>
      <c r="S1112" s="551"/>
      <c r="T1112" s="551"/>
      <c r="U1112" s="551"/>
      <c r="V1112" s="551"/>
      <c r="W1112" s="551"/>
      <c r="X1112" s="551"/>
      <c r="Y1112" s="551"/>
      <c r="Z1112" s="551"/>
      <c r="AA1112" s="551"/>
      <c r="AB1112" s="551"/>
      <c r="AC1112" s="551"/>
      <c r="AD1112" s="551"/>
      <c r="AE1112" s="551"/>
      <c r="AF1112" s="551"/>
    </row>
    <row r="1113">
      <c r="A1113" s="552"/>
      <c r="B1113" s="552"/>
      <c r="C1113" s="552"/>
      <c r="D1113" s="552"/>
      <c r="E1113" s="552"/>
      <c r="F1113" s="552"/>
      <c r="G1113" s="552"/>
      <c r="H1113" s="552"/>
      <c r="K1113" s="552"/>
      <c r="L1113" s="552"/>
      <c r="M1113" s="552"/>
      <c r="N1113" s="551"/>
      <c r="O1113" s="551"/>
      <c r="P1113" s="551"/>
      <c r="Q1113" s="551"/>
      <c r="R1113" s="551"/>
      <c r="S1113" s="551"/>
      <c r="T1113" s="551"/>
      <c r="U1113" s="551"/>
      <c r="V1113" s="551"/>
      <c r="W1113" s="551"/>
      <c r="X1113" s="551"/>
      <c r="Y1113" s="551"/>
      <c r="Z1113" s="551"/>
      <c r="AA1113" s="551"/>
      <c r="AB1113" s="551"/>
      <c r="AC1113" s="551"/>
      <c r="AD1113" s="551"/>
      <c r="AE1113" s="551"/>
      <c r="AF1113" s="551"/>
    </row>
  </sheetData>
  <mergeCells count="2">
    <mergeCell ref="K2:M2"/>
    <mergeCell ref="K117:M117"/>
  </mergeCells>
  <hyperlinks>
    <hyperlink display="COSTOS&#10;CIERRE DE MES 'TD Costos para seguimiento MARKUP'!A19&#10;ESTIMADOS 'TD Costos Estimados para proyección MARKUP'!A1" location="'TD Costos para seguimiento MARK'!A19" ref="A2"/>
    <hyperlink display="VENTAS&#10;CIERRE DE MES y ESTIMADOS TD Proyectos confirmados y estimados" location="'TD Proyectos confirmados y esti'!A33" ref="A58"/>
    <hyperlink display="VENTAS: SE CONSIDERAN LAS VENTAS CONFIRMADAS 100%. &#10;DESDE TD Proyectos confirmados y estimados.&#10;" location="'TD Proyectos confirmados y esti'!A56" ref="A92"/>
    <hyperlink display="COSTOS: SE CONSIDERAN COSTOS FIJOS, SIN LOS BONOS Y LOS PERFILES EXTRAS. SIN IMPUESTOS ARG USA. SIN INTERESES&#10;ESTIMADO DESDE TD Costos Estimados para proyección MARKUP&#10;REAL DESDE TD Costos para seguimiento MARKUP" location="'TD Costos Estimados para proyec'!A53" ref="A117"/>
    <hyperlink display="VENTAS: SE CONSIDERAN LAS VENTAS EN USD + LAS VENTAS EN ARS CON IVA INCLUIDO.&#10;DESDE TD Proyectos confirmados y estimados" location="'TD Proyectos confirmados y esti'!A80" ref="A175"/>
  </hyperlink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11.75"/>
    <col customWidth="1" min="2" max="2" width="24.13"/>
    <col customWidth="1" min="3" max="3" width="15.75"/>
    <col customWidth="1" min="4" max="4" width="14.75"/>
    <col customWidth="1" min="5" max="5" width="11.38"/>
    <col customWidth="1" min="6" max="6" width="8.88"/>
    <col customWidth="1" min="7" max="7" width="3.75"/>
    <col customWidth="1" min="8" max="8" width="11.75"/>
    <col customWidth="1" min="9" max="9" width="24.13"/>
    <col customWidth="1" min="10" max="10" width="15.75"/>
    <col customWidth="1" min="11" max="11" width="14.75"/>
    <col customWidth="1" min="12" max="12" width="16.63"/>
    <col customWidth="1" min="13" max="13" width="8.88"/>
    <col customWidth="1" min="14" max="14" width="3.63"/>
    <col customWidth="1" min="15" max="15" width="11.75"/>
    <col customWidth="1" min="16" max="16" width="24.13"/>
    <col customWidth="1" min="17" max="17" width="15.75"/>
    <col customWidth="1" min="18" max="18" width="14.75"/>
    <col customWidth="1" min="19" max="19" width="11.38"/>
    <col customWidth="1" min="20" max="20" width="8.88"/>
    <col customWidth="1" min="21" max="21" width="3.5"/>
    <col customWidth="1" min="22" max="22" width="13.25"/>
    <col customWidth="1" min="23" max="23" width="24.13"/>
    <col customWidth="1" min="24" max="24" width="15.75"/>
    <col customWidth="1" min="25" max="25" width="14.75"/>
    <col customWidth="1" min="26" max="26" width="11.38"/>
    <col customWidth="1" min="27" max="27" width="8.88"/>
    <col customWidth="1" min="28" max="28" width="6.88"/>
    <col customWidth="1" min="29" max="29" width="27.63"/>
    <col customWidth="1" min="30" max="30" width="24.13"/>
    <col customWidth="1" min="31" max="31" width="15.75"/>
    <col customWidth="1" min="32" max="32" width="14.75"/>
    <col customWidth="1" min="33" max="33" width="11.38"/>
    <col customWidth="1" min="34" max="34" width="8.88"/>
    <col customWidth="1" min="35" max="35" width="14.0"/>
    <col customWidth="1" min="36" max="36" width="6.5"/>
    <col customWidth="1" min="37" max="37" width="24.13"/>
    <col customWidth="1" min="38" max="38" width="15.75"/>
    <col customWidth="1" min="39" max="39" width="14.75"/>
    <col customWidth="1" min="40" max="40" width="15.13"/>
    <col customWidth="1" min="41" max="41" width="8.88"/>
    <col customWidth="1" min="42" max="42" width="11.38"/>
    <col customWidth="1" min="43" max="43" width="6.5"/>
    <col customWidth="1" min="44" max="44" width="24.13"/>
    <col customWidth="1" min="45" max="45" width="15.75"/>
    <col customWidth="1" min="46" max="46" width="14.75"/>
    <col customWidth="1" min="47" max="47" width="11.38"/>
    <col customWidth="1" min="48" max="48" width="8.88"/>
    <col customWidth="1" min="50" max="50" width="6.5"/>
    <col customWidth="1" min="51" max="51" width="24.13"/>
    <col customWidth="1" min="52" max="52" width="15.75"/>
    <col customWidth="1" min="53" max="53" width="14.75"/>
    <col customWidth="1" min="54" max="54" width="11.38"/>
    <col customWidth="1" min="55" max="55" width="8.88"/>
  </cols>
  <sheetData>
    <row r="1">
      <c r="C1" s="585" t="s">
        <v>1329</v>
      </c>
      <c r="D1" s="586" t="s">
        <v>1330</v>
      </c>
      <c r="E1" s="481">
        <v>2025.0</v>
      </c>
      <c r="F1" s="587">
        <f>VLOOKUP(D$1&amp;" "&amp;E1,'Info Tipo de Cambio y REM'!$A$23:$B$35,2,FALSE())</f>
        <v>1180</v>
      </c>
      <c r="J1" s="585" t="s">
        <v>1329</v>
      </c>
      <c r="K1" s="586" t="s">
        <v>1331</v>
      </c>
      <c r="L1" s="481">
        <v>2025.0</v>
      </c>
      <c r="M1" s="587">
        <f>VLOOKUP(K$1&amp;" "&amp;L1,'Info Tipo de Cambio y REM'!$A$23:$B$35,2,FALSE())</f>
        <v>1215</v>
      </c>
      <c r="Q1" s="585" t="s">
        <v>1329</v>
      </c>
      <c r="R1" s="586" t="s">
        <v>1332</v>
      </c>
      <c r="S1" s="481">
        <v>2025.0</v>
      </c>
      <c r="T1" s="587">
        <f>VLOOKUP(R$1&amp;" "&amp;S1,'Info Tipo de Cambio y REM'!$A$23:$B$35,2,FALSE())</f>
        <v>1320</v>
      </c>
      <c r="X1" s="585" t="s">
        <v>1329</v>
      </c>
      <c r="Y1" s="586" t="s">
        <v>1333</v>
      </c>
      <c r="Z1" s="481">
        <v>2025.0</v>
      </c>
      <c r="AA1" s="587">
        <f>VLOOKUP(Y$1&amp;" "&amp;Z1,'Info Tipo de Cambio y REM'!$A$23:$B$35,2,FALSE())</f>
        <v>1345</v>
      </c>
      <c r="AC1" s="43" t="s">
        <v>1334</v>
      </c>
      <c r="AE1" s="585" t="s">
        <v>1329</v>
      </c>
      <c r="AF1" s="586" t="s">
        <v>1335</v>
      </c>
      <c r="AG1" s="481">
        <v>2025.0</v>
      </c>
      <c r="AH1" s="587">
        <f>VLOOKUP(AF$1&amp;" "&amp;AG1,'Info Tipo de Cambio y REM'!$A$23:$B$35,2,FALSE())</f>
        <v>1445</v>
      </c>
      <c r="AL1" s="585" t="s">
        <v>1329</v>
      </c>
      <c r="AM1" s="586" t="s">
        <v>1336</v>
      </c>
      <c r="AN1" s="481">
        <v>2025.0</v>
      </c>
      <c r="AO1" s="587">
        <f>VLOOKUP(AM$1&amp;" "&amp;AN1,'Info Tipo de Cambio y REM'!$A$23:$B$35,2,FALSE())</f>
        <v>1440</v>
      </c>
      <c r="AS1" s="585" t="s">
        <v>1329</v>
      </c>
      <c r="AT1" s="586" t="s">
        <v>1337</v>
      </c>
      <c r="AU1" s="481">
        <v>2025.0</v>
      </c>
      <c r="AV1" s="587">
        <f>VLOOKUP(AT$1&amp;" "&amp;AU1,'Info Tipo de Cambio y REM'!$A$23:$B$35,2,FALSE())</f>
        <v>1499</v>
      </c>
      <c r="AZ1" s="585" t="s">
        <v>1329</v>
      </c>
      <c r="BA1" s="586" t="s">
        <v>1338</v>
      </c>
      <c r="BB1" s="481">
        <v>2025.0</v>
      </c>
      <c r="BC1" s="587">
        <f>VLOOKUP(BA$1&amp;" "&amp;BB1,'Info Tipo de Cambio y REM'!$A$23:$B$35,2,FALSE())</f>
        <v>1536</v>
      </c>
    </row>
    <row r="2">
      <c r="A2" s="569" t="s">
        <v>112</v>
      </c>
      <c r="B2" s="569" t="s">
        <v>1339</v>
      </c>
      <c r="C2" s="588" t="s">
        <v>1264</v>
      </c>
      <c r="D2" s="569" t="s">
        <v>1121</v>
      </c>
      <c r="E2" s="569" t="s">
        <v>1270</v>
      </c>
      <c r="F2" s="569" t="s">
        <v>1340</v>
      </c>
      <c r="G2" s="495"/>
      <c r="H2" s="569" t="s">
        <v>112</v>
      </c>
      <c r="I2" s="569" t="s">
        <v>1339</v>
      </c>
      <c r="J2" s="588" t="s">
        <v>1264</v>
      </c>
      <c r="K2" s="569" t="s">
        <v>1121</v>
      </c>
      <c r="L2" s="569" t="s">
        <v>1270</v>
      </c>
      <c r="M2" s="569" t="s">
        <v>1340</v>
      </c>
      <c r="O2" s="569" t="s">
        <v>112</v>
      </c>
      <c r="P2" s="569" t="s">
        <v>1339</v>
      </c>
      <c r="Q2" s="588" t="s">
        <v>1264</v>
      </c>
      <c r="R2" s="569" t="s">
        <v>1121</v>
      </c>
      <c r="S2" s="569" t="s">
        <v>1270</v>
      </c>
      <c r="T2" s="569" t="s">
        <v>1340</v>
      </c>
      <c r="V2" s="569" t="s">
        <v>112</v>
      </c>
      <c r="W2" s="569" t="s">
        <v>1339</v>
      </c>
      <c r="X2" s="569" t="s">
        <v>1264</v>
      </c>
      <c r="Y2" s="569" t="s">
        <v>1121</v>
      </c>
      <c r="Z2" s="569" t="s">
        <v>1270</v>
      </c>
      <c r="AA2" s="569" t="s">
        <v>1340</v>
      </c>
      <c r="AC2" s="569" t="s">
        <v>112</v>
      </c>
      <c r="AD2" s="569" t="s">
        <v>1118</v>
      </c>
      <c r="AE2" s="588" t="s">
        <v>1264</v>
      </c>
      <c r="AF2" s="569" t="s">
        <v>1121</v>
      </c>
      <c r="AG2" s="569" t="s">
        <v>1270</v>
      </c>
      <c r="AH2" s="569" t="s">
        <v>286</v>
      </c>
      <c r="AJ2" s="569" t="s">
        <v>112</v>
      </c>
      <c r="AK2" s="569" t="s">
        <v>1339</v>
      </c>
      <c r="AL2" s="588" t="s">
        <v>1264</v>
      </c>
      <c r="AM2" s="569" t="s">
        <v>1121</v>
      </c>
      <c r="AN2" s="569" t="s">
        <v>1270</v>
      </c>
      <c r="AO2" s="569" t="s">
        <v>1340</v>
      </c>
      <c r="AQ2" s="569" t="s">
        <v>112</v>
      </c>
      <c r="AR2" s="569" t="s">
        <v>1339</v>
      </c>
      <c r="AS2" s="588" t="s">
        <v>1264</v>
      </c>
      <c r="AT2" s="569" t="s">
        <v>1121</v>
      </c>
      <c r="AU2" s="569" t="s">
        <v>1270</v>
      </c>
      <c r="AV2" s="569" t="s">
        <v>1340</v>
      </c>
      <c r="AX2" s="569" t="s">
        <v>112</v>
      </c>
      <c r="AY2" s="569" t="s">
        <v>1339</v>
      </c>
      <c r="AZ2" s="588" t="s">
        <v>1264</v>
      </c>
      <c r="BA2" s="569" t="s">
        <v>1121</v>
      </c>
      <c r="BB2" s="569" t="s">
        <v>1270</v>
      </c>
      <c r="BC2" s="569" t="s">
        <v>1340</v>
      </c>
    </row>
    <row r="3">
      <c r="A3" s="450" t="s">
        <v>205</v>
      </c>
      <c r="B3" s="450">
        <v>70.0</v>
      </c>
      <c r="C3" s="455">
        <v>6.0</v>
      </c>
      <c r="D3" s="464">
        <v>10000.0</v>
      </c>
      <c r="E3" s="497">
        <v>60000.0</v>
      </c>
      <c r="F3" s="498">
        <v>50.847457627118644</v>
      </c>
      <c r="G3" s="450"/>
      <c r="H3" s="450" t="s">
        <v>205</v>
      </c>
      <c r="I3" s="450">
        <v>70.0</v>
      </c>
      <c r="J3" s="455">
        <v>9.3</v>
      </c>
      <c r="K3" s="464">
        <v>10000.0</v>
      </c>
      <c r="L3" s="497">
        <v>93000.0</v>
      </c>
      <c r="M3" s="498">
        <v>76.54320987654322</v>
      </c>
      <c r="O3" s="450" t="s">
        <v>205</v>
      </c>
      <c r="P3" s="450">
        <v>70.0</v>
      </c>
      <c r="Q3" s="455">
        <v>55.53</v>
      </c>
      <c r="R3" s="464">
        <v>10000.0</v>
      </c>
      <c r="S3" s="497">
        <v>555300.0</v>
      </c>
      <c r="T3" s="498">
        <v>420.6818181818182</v>
      </c>
      <c r="V3" s="450" t="s">
        <v>205</v>
      </c>
      <c r="W3" s="450">
        <v>70.0</v>
      </c>
      <c r="X3" s="455">
        <v>31.07</v>
      </c>
      <c r="Y3" s="455">
        <v>10000.0</v>
      </c>
      <c r="Z3" s="497">
        <v>310700.0</v>
      </c>
      <c r="AA3" s="498">
        <v>231.00371747211895</v>
      </c>
      <c r="AC3" s="589" t="s">
        <v>205</v>
      </c>
      <c r="AD3" s="501">
        <v>70.0</v>
      </c>
      <c r="AE3" s="455">
        <v>54.813333333</v>
      </c>
      <c r="AF3" s="455">
        <v>10000.0</v>
      </c>
      <c r="AG3" s="497">
        <v>548133.33333</v>
      </c>
      <c r="AH3" s="498">
        <v>379.3310265259516</v>
      </c>
      <c r="AJ3" s="450"/>
      <c r="AK3" s="450"/>
      <c r="AL3" s="455"/>
      <c r="AM3" s="464"/>
      <c r="AN3" s="497"/>
      <c r="AO3" s="498"/>
      <c r="AQ3" s="450"/>
      <c r="AR3" s="450"/>
      <c r="AS3" s="455"/>
      <c r="AT3" s="464"/>
      <c r="AU3" s="497"/>
      <c r="AV3" s="498"/>
      <c r="AX3" s="450"/>
      <c r="AY3" s="450"/>
      <c r="AZ3" s="455"/>
      <c r="BA3" s="464"/>
      <c r="BB3" s="497"/>
      <c r="BC3" s="498"/>
    </row>
    <row r="4">
      <c r="A4" s="450" t="s">
        <v>217</v>
      </c>
      <c r="B4" s="450">
        <v>100.0</v>
      </c>
      <c r="C4" s="455">
        <v>8.5</v>
      </c>
      <c r="D4" s="464">
        <v>9688.0</v>
      </c>
      <c r="E4" s="497">
        <v>82348.0</v>
      </c>
      <c r="F4" s="498">
        <v>69.7864406779661</v>
      </c>
      <c r="G4" s="497"/>
      <c r="H4" s="450" t="s">
        <v>87</v>
      </c>
      <c r="I4" s="450">
        <v>13.0</v>
      </c>
      <c r="J4" s="455">
        <v>3.3</v>
      </c>
      <c r="K4" s="464">
        <v>11000.0</v>
      </c>
      <c r="L4" s="497">
        <v>36300.0</v>
      </c>
      <c r="M4" s="498">
        <v>29.876543209876544</v>
      </c>
      <c r="O4" s="450" t="s">
        <v>217</v>
      </c>
      <c r="P4" s="450">
        <v>100.0</v>
      </c>
      <c r="Q4" s="455">
        <v>121.500019</v>
      </c>
      <c r="R4" s="464">
        <v>10270.248800000001</v>
      </c>
      <c r="S4" s="497">
        <v>1247835.4243347272</v>
      </c>
      <c r="T4" s="498">
        <v>945.3298669202479</v>
      </c>
      <c r="V4" s="450" t="s">
        <v>217</v>
      </c>
      <c r="W4" s="450">
        <v>100.0</v>
      </c>
      <c r="X4" s="455">
        <v>101.33</v>
      </c>
      <c r="Y4" s="464">
        <v>10270.248800000001</v>
      </c>
      <c r="Z4" s="497">
        <v>1040684.3109040001</v>
      </c>
      <c r="AA4" s="498">
        <v>773.7429820847584</v>
      </c>
      <c r="AC4" s="589" t="s">
        <v>217</v>
      </c>
      <c r="AD4" s="501">
        <v>100.0</v>
      </c>
      <c r="AE4" s="455">
        <v>121.92</v>
      </c>
      <c r="AF4" s="464">
        <v>10270.248800000001</v>
      </c>
      <c r="AG4" s="497">
        <v>1252148.7336960002</v>
      </c>
      <c r="AH4" s="498">
        <v>866.5389160525953</v>
      </c>
      <c r="AJ4" s="450"/>
      <c r="AK4" s="450"/>
      <c r="AL4" s="455"/>
      <c r="AM4" s="464"/>
      <c r="AN4" s="497"/>
      <c r="AO4" s="498"/>
      <c r="AQ4" s="450"/>
      <c r="AR4" s="450"/>
      <c r="AS4" s="455"/>
      <c r="AT4" s="464"/>
      <c r="AU4" s="497"/>
      <c r="AV4" s="498"/>
      <c r="AX4" s="450"/>
      <c r="AY4" s="450"/>
      <c r="AZ4" s="455"/>
      <c r="BA4" s="464"/>
      <c r="BB4" s="497"/>
      <c r="BC4" s="498"/>
    </row>
    <row r="5">
      <c r="A5" s="450" t="s">
        <v>203</v>
      </c>
      <c r="B5" s="450">
        <v>100.0</v>
      </c>
      <c r="C5" s="455">
        <v>6.0</v>
      </c>
      <c r="D5" s="464">
        <v>9867.0</v>
      </c>
      <c r="E5" s="497">
        <v>59202.0</v>
      </c>
      <c r="F5" s="498">
        <v>50.171186440677964</v>
      </c>
      <c r="G5" s="497"/>
      <c r="H5" s="450" t="s">
        <v>217</v>
      </c>
      <c r="I5" s="450">
        <v>100.0</v>
      </c>
      <c r="J5" s="455">
        <v>10.1</v>
      </c>
      <c r="K5" s="464">
        <v>9688.0</v>
      </c>
      <c r="L5" s="497">
        <v>97848.8</v>
      </c>
      <c r="M5" s="498">
        <v>80.53399176954733</v>
      </c>
      <c r="O5" s="450" t="s">
        <v>221</v>
      </c>
      <c r="P5" s="450">
        <v>0.0</v>
      </c>
      <c r="Q5" s="455">
        <v>0.83</v>
      </c>
      <c r="R5" s="464">
        <v>10981.0</v>
      </c>
      <c r="S5" s="497">
        <v>9114.23</v>
      </c>
      <c r="T5" s="498">
        <v>6.904719696969696</v>
      </c>
      <c r="V5" s="450" t="s">
        <v>203</v>
      </c>
      <c r="W5" s="450">
        <v>100.0</v>
      </c>
      <c r="X5" s="455">
        <v>107.5</v>
      </c>
      <c r="Y5" s="464">
        <v>10853.7</v>
      </c>
      <c r="Z5" s="497">
        <v>1166772.75</v>
      </c>
      <c r="AA5" s="498">
        <v>867.4890334572491</v>
      </c>
      <c r="AC5" s="450" t="s">
        <v>221</v>
      </c>
      <c r="AD5" s="501" t="e">
        <v>#DIV/0!</v>
      </c>
      <c r="AE5" s="455">
        <v>20.0</v>
      </c>
      <c r="AF5" s="464">
        <v>11859.480000000001</v>
      </c>
      <c r="AG5" s="497">
        <v>237189.60000000003</v>
      </c>
      <c r="AH5" s="498">
        <v>164.14505190311422</v>
      </c>
      <c r="AJ5" s="450"/>
      <c r="AK5" s="450"/>
      <c r="AL5" s="455"/>
      <c r="AM5" s="464"/>
      <c r="AN5" s="497"/>
      <c r="AO5" s="498"/>
      <c r="AQ5" s="450"/>
      <c r="AR5" s="450"/>
      <c r="AS5" s="455"/>
      <c r="AT5" s="464"/>
      <c r="AU5" s="497"/>
      <c r="AV5" s="498"/>
      <c r="AX5" s="450"/>
      <c r="AY5" s="450"/>
      <c r="AZ5" s="455"/>
      <c r="BA5" s="464"/>
      <c r="BB5" s="497"/>
      <c r="BC5" s="498"/>
    </row>
    <row r="6">
      <c r="A6" s="450" t="s">
        <v>197</v>
      </c>
      <c r="B6" s="450">
        <v>40.0</v>
      </c>
      <c r="C6" s="455">
        <v>8.8</v>
      </c>
      <c r="D6" s="464">
        <v>12743.0</v>
      </c>
      <c r="E6" s="497">
        <v>112138.40000000001</v>
      </c>
      <c r="F6" s="498">
        <v>95.03254237288137</v>
      </c>
      <c r="G6" s="497"/>
      <c r="H6" s="450" t="s">
        <v>210</v>
      </c>
      <c r="I6" s="450">
        <v>4.0</v>
      </c>
      <c r="J6" s="455">
        <v>3.5</v>
      </c>
      <c r="K6" s="464">
        <v>16760.0</v>
      </c>
      <c r="L6" s="497">
        <v>58660.0</v>
      </c>
      <c r="M6" s="498">
        <v>48.2798353909465</v>
      </c>
      <c r="O6" s="450" t="s">
        <v>203</v>
      </c>
      <c r="P6" s="450">
        <v>100.0</v>
      </c>
      <c r="Q6" s="455">
        <v>61.35</v>
      </c>
      <c r="R6" s="464">
        <v>9867.0</v>
      </c>
      <c r="S6" s="497">
        <v>605340.4500000001</v>
      </c>
      <c r="T6" s="498">
        <v>458.59125000000006</v>
      </c>
      <c r="V6" s="450" t="s">
        <v>197</v>
      </c>
      <c r="W6" s="450">
        <v>40.0</v>
      </c>
      <c r="X6" s="455">
        <v>40.0</v>
      </c>
      <c r="Y6" s="464">
        <v>13390.3444</v>
      </c>
      <c r="Z6" s="497">
        <v>535613.776</v>
      </c>
      <c r="AA6" s="498">
        <v>398.2258557620818</v>
      </c>
      <c r="AC6" s="450" t="s">
        <v>203</v>
      </c>
      <c r="AD6" s="501">
        <v>100.0</v>
      </c>
      <c r="AE6" s="455">
        <v>69.92</v>
      </c>
      <c r="AF6" s="464">
        <v>10853.7</v>
      </c>
      <c r="AG6" s="497">
        <v>758890.704</v>
      </c>
      <c r="AH6" s="498">
        <v>525.1838782006921</v>
      </c>
      <c r="AJ6" s="450"/>
      <c r="AK6" s="450"/>
      <c r="AL6" s="455"/>
      <c r="AM6" s="464"/>
      <c r="AN6" s="497"/>
      <c r="AO6" s="498"/>
      <c r="AQ6" s="450"/>
      <c r="AR6" s="450"/>
      <c r="AS6" s="455"/>
      <c r="AT6" s="464"/>
      <c r="AU6" s="497"/>
      <c r="AV6" s="498"/>
      <c r="AX6" s="450"/>
      <c r="AY6" s="450"/>
      <c r="AZ6" s="455"/>
      <c r="BA6" s="464"/>
      <c r="BB6" s="497"/>
      <c r="BC6" s="498"/>
    </row>
    <row r="7">
      <c r="A7" s="450" t="s">
        <v>120</v>
      </c>
      <c r="B7" s="450">
        <v>10.0</v>
      </c>
      <c r="C7" s="455">
        <v>6.3</v>
      </c>
      <c r="D7" s="464">
        <v>24166.666666666668</v>
      </c>
      <c r="E7" s="497">
        <v>152250.0</v>
      </c>
      <c r="F7" s="498">
        <v>129.02542372881356</v>
      </c>
      <c r="G7" s="497"/>
      <c r="H7" s="450" t="s">
        <v>221</v>
      </c>
      <c r="I7" s="450">
        <v>0.0</v>
      </c>
      <c r="J7" s="455">
        <v>0.8</v>
      </c>
      <c r="K7" s="464">
        <v>10981.0</v>
      </c>
      <c r="L7" s="497">
        <v>8784.800000000001</v>
      </c>
      <c r="M7" s="498">
        <v>7.230288065843622</v>
      </c>
      <c r="O7" s="450" t="s">
        <v>197</v>
      </c>
      <c r="P7" s="450">
        <v>40.0</v>
      </c>
      <c r="Q7" s="455">
        <v>68.33</v>
      </c>
      <c r="R7" s="464">
        <v>12743.0</v>
      </c>
      <c r="S7" s="497">
        <v>870729.19</v>
      </c>
      <c r="T7" s="498">
        <v>659.6433257575757</v>
      </c>
      <c r="V7" s="450" t="s">
        <v>120</v>
      </c>
      <c r="W7" s="450">
        <v>10.0</v>
      </c>
      <c r="X7" s="455">
        <v>8.38</v>
      </c>
      <c r="Y7" s="464">
        <v>26583.333333333336</v>
      </c>
      <c r="Z7" s="497">
        <v>222768.33333333337</v>
      </c>
      <c r="AA7" s="498">
        <v>165.62701363073114</v>
      </c>
      <c r="AC7" s="450" t="s">
        <v>197</v>
      </c>
      <c r="AD7" s="501">
        <v>40.0</v>
      </c>
      <c r="AE7" s="455">
        <v>62.42</v>
      </c>
      <c r="AF7" s="464">
        <v>13390.3444</v>
      </c>
      <c r="AG7" s="497">
        <v>835825.297448</v>
      </c>
      <c r="AH7" s="498">
        <v>578.425811382699</v>
      </c>
      <c r="AJ7" s="450"/>
      <c r="AK7" s="450"/>
      <c r="AL7" s="455"/>
      <c r="AM7" s="464"/>
      <c r="AN7" s="497"/>
      <c r="AO7" s="498"/>
      <c r="AQ7" s="450"/>
      <c r="AR7" s="450"/>
      <c r="AS7" s="455"/>
      <c r="AT7" s="464"/>
      <c r="AU7" s="497"/>
      <c r="AV7" s="498"/>
      <c r="AX7" s="450"/>
      <c r="AY7" s="450"/>
      <c r="AZ7" s="455"/>
      <c r="BA7" s="464"/>
      <c r="BB7" s="497"/>
      <c r="BC7" s="498"/>
    </row>
    <row r="8">
      <c r="A8" s="569" t="s">
        <v>1266</v>
      </c>
      <c r="B8" s="569">
        <v>320.0</v>
      </c>
      <c r="C8" s="588">
        <v>35.6</v>
      </c>
      <c r="D8" s="590">
        <v>66464.66666666667</v>
      </c>
      <c r="E8" s="591">
        <v>465938.4</v>
      </c>
      <c r="F8" s="592">
        <v>394.86305084745766</v>
      </c>
      <c r="G8" s="497"/>
      <c r="H8" s="450" t="s">
        <v>203</v>
      </c>
      <c r="I8" s="450">
        <v>100.0</v>
      </c>
      <c r="J8" s="455">
        <v>7.3</v>
      </c>
      <c r="K8" s="464">
        <v>9867.0</v>
      </c>
      <c r="L8" s="497">
        <v>72029.09999999999</v>
      </c>
      <c r="M8" s="498">
        <v>59.283209876543204</v>
      </c>
      <c r="O8" s="450" t="s">
        <v>120</v>
      </c>
      <c r="P8" s="450">
        <v>10.0</v>
      </c>
      <c r="Q8" s="455">
        <v>14.67</v>
      </c>
      <c r="R8" s="464">
        <v>24166.666666666668</v>
      </c>
      <c r="S8" s="497">
        <v>354525.0</v>
      </c>
      <c r="T8" s="498">
        <v>268.57954545454544</v>
      </c>
      <c r="V8" s="569" t="s">
        <v>1266</v>
      </c>
      <c r="W8" s="569">
        <v>320.0</v>
      </c>
      <c r="X8" s="588">
        <v>288.28</v>
      </c>
      <c r="Y8" s="590">
        <v>71097.62653333333</v>
      </c>
      <c r="Z8" s="591">
        <v>3276539.1702373335</v>
      </c>
      <c r="AA8" s="592">
        <v>2436.0886024069396</v>
      </c>
      <c r="AC8" s="450" t="s">
        <v>120</v>
      </c>
      <c r="AD8" s="450">
        <v>10.0</v>
      </c>
      <c r="AE8" s="455">
        <v>20.95</v>
      </c>
      <c r="AF8" s="464">
        <v>26583.333333333336</v>
      </c>
      <c r="AG8" s="497">
        <v>556920.8333333334</v>
      </c>
      <c r="AH8" s="498">
        <v>385.41234140715113</v>
      </c>
      <c r="AJ8" s="450"/>
      <c r="AK8" s="450"/>
      <c r="AL8" s="455"/>
      <c r="AM8" s="464"/>
      <c r="AN8" s="497"/>
      <c r="AO8" s="498"/>
      <c r="AQ8" s="450"/>
      <c r="AR8" s="450"/>
      <c r="AS8" s="455"/>
      <c r="AT8" s="464"/>
      <c r="AU8" s="497"/>
      <c r="AV8" s="498"/>
      <c r="AX8" s="450"/>
      <c r="AY8" s="450"/>
      <c r="AZ8" s="455"/>
      <c r="BA8" s="464"/>
      <c r="BB8" s="497"/>
      <c r="BC8" s="498"/>
    </row>
    <row r="9">
      <c r="A9" s="450"/>
      <c r="B9" s="455"/>
      <c r="C9" s="464"/>
      <c r="D9" s="497"/>
      <c r="E9" s="450"/>
      <c r="F9" s="464"/>
      <c r="G9" s="497"/>
      <c r="H9" s="450" t="s">
        <v>197</v>
      </c>
      <c r="I9" s="450">
        <v>40.0</v>
      </c>
      <c r="J9" s="455">
        <v>20.0</v>
      </c>
      <c r="K9" s="593">
        <v>12743.0</v>
      </c>
      <c r="L9" s="594">
        <v>254860.0</v>
      </c>
      <c r="M9" s="595">
        <v>209.76131687242798</v>
      </c>
      <c r="O9" s="569" t="s">
        <v>1266</v>
      </c>
      <c r="P9" s="569">
        <v>320.0</v>
      </c>
      <c r="Q9" s="588">
        <v>322.210019</v>
      </c>
      <c r="R9" s="590">
        <v>78027.91546666667</v>
      </c>
      <c r="S9" s="591">
        <v>3642844.2943347273</v>
      </c>
      <c r="T9" s="592">
        <v>2759.7305260111566</v>
      </c>
      <c r="V9" s="450"/>
      <c r="W9" s="450"/>
      <c r="X9" s="455"/>
      <c r="Y9" s="593"/>
      <c r="Z9" s="594"/>
      <c r="AA9" s="595"/>
      <c r="AC9" s="569" t="s">
        <v>1266</v>
      </c>
      <c r="AD9" s="569">
        <v>64.0</v>
      </c>
      <c r="AE9" s="588">
        <v>350.023333333</v>
      </c>
      <c r="AF9" s="590">
        <v>82957.10653333334</v>
      </c>
      <c r="AG9" s="591">
        <v>4189108.5018073334</v>
      </c>
      <c r="AH9" s="592">
        <v>2899.037025472203</v>
      </c>
      <c r="AJ9" s="450"/>
      <c r="AK9" s="450"/>
      <c r="AL9" s="455"/>
      <c r="AM9" s="593"/>
      <c r="AN9" s="594"/>
      <c r="AO9" s="595"/>
      <c r="AQ9" s="450"/>
      <c r="AR9" s="450"/>
      <c r="AS9" s="455"/>
      <c r="AT9" s="593"/>
      <c r="AU9" s="594"/>
      <c r="AV9" s="595"/>
      <c r="AX9" s="450"/>
      <c r="AY9" s="450"/>
      <c r="AZ9" s="455"/>
      <c r="BA9" s="593"/>
      <c r="BB9" s="594"/>
      <c r="BC9" s="595"/>
    </row>
    <row r="10">
      <c r="A10" s="450"/>
      <c r="B10" s="455"/>
      <c r="D10" s="203"/>
      <c r="E10" s="596"/>
      <c r="F10" s="203"/>
      <c r="G10" s="497"/>
      <c r="H10" s="450" t="s">
        <v>120</v>
      </c>
      <c r="I10" s="450">
        <v>10.0</v>
      </c>
      <c r="J10" s="455">
        <v>26.9</v>
      </c>
      <c r="K10" s="593">
        <v>24166.666666666668</v>
      </c>
      <c r="L10" s="594">
        <v>650083.3333333334</v>
      </c>
      <c r="M10" s="595">
        <v>535.0480109739369</v>
      </c>
      <c r="O10" s="450"/>
      <c r="P10" s="450"/>
      <c r="Q10" s="455"/>
      <c r="R10" s="593"/>
      <c r="S10" s="594"/>
      <c r="T10" s="595"/>
      <c r="U10" s="595"/>
      <c r="V10" s="589"/>
      <c r="W10" s="455"/>
      <c r="X10" s="597"/>
      <c r="Y10" s="593"/>
      <c r="Z10" s="598"/>
      <c r="AA10" s="595"/>
      <c r="AC10" s="450"/>
      <c r="AD10" s="450"/>
      <c r="AE10" s="455"/>
      <c r="AF10" s="593"/>
      <c r="AG10" s="594"/>
      <c r="AH10" s="595"/>
      <c r="AJ10" s="450"/>
      <c r="AK10" s="450"/>
      <c r="AL10" s="455"/>
      <c r="AM10" s="593"/>
      <c r="AN10" s="594"/>
      <c r="AO10" s="595"/>
      <c r="AQ10" s="450"/>
      <c r="AR10" s="450"/>
      <c r="AS10" s="455"/>
      <c r="AT10" s="593"/>
      <c r="AU10" s="594"/>
      <c r="AV10" s="595"/>
      <c r="AX10" s="450"/>
      <c r="AY10" s="450"/>
      <c r="AZ10" s="455"/>
      <c r="BA10" s="593"/>
      <c r="BB10" s="594"/>
      <c r="BC10" s="595"/>
    </row>
    <row r="11">
      <c r="A11" s="450"/>
      <c r="B11" s="455"/>
      <c r="D11" s="203"/>
      <c r="E11" s="596"/>
      <c r="F11" s="203"/>
      <c r="G11" s="497"/>
      <c r="H11" s="569" t="s">
        <v>1266</v>
      </c>
      <c r="I11" s="569">
        <v>337.0</v>
      </c>
      <c r="J11" s="588">
        <v>81.19999999999999</v>
      </c>
      <c r="K11" s="590">
        <v>105205.66666666667</v>
      </c>
      <c r="L11" s="591">
        <v>1271566.0333333334</v>
      </c>
      <c r="M11" s="592">
        <v>1046.5564060356653</v>
      </c>
      <c r="U11" s="595"/>
      <c r="V11" s="589"/>
      <c r="W11" s="455"/>
      <c r="X11" s="597"/>
      <c r="Y11" s="593"/>
      <c r="Z11" s="598"/>
      <c r="AA11" s="595"/>
      <c r="AJ11" s="569"/>
      <c r="AK11" s="569"/>
      <c r="AL11" s="588"/>
      <c r="AM11" s="590"/>
      <c r="AN11" s="591"/>
      <c r="AO11" s="592"/>
      <c r="AQ11" s="569"/>
      <c r="AR11" s="569"/>
      <c r="AS11" s="588"/>
      <c r="AT11" s="590"/>
      <c r="AU11" s="591"/>
      <c r="AV11" s="592"/>
      <c r="AX11" s="569"/>
      <c r="AY11" s="569"/>
      <c r="AZ11" s="588"/>
      <c r="BA11" s="590"/>
      <c r="BB11" s="591"/>
      <c r="BC11" s="592"/>
    </row>
    <row r="12">
      <c r="A12" s="450"/>
      <c r="B12" s="455"/>
      <c r="D12" s="203"/>
      <c r="E12" s="596"/>
      <c r="F12" s="203"/>
      <c r="G12" s="497"/>
      <c r="U12" s="595"/>
      <c r="V12" s="589"/>
      <c r="W12" s="451"/>
      <c r="X12" s="593"/>
      <c r="Y12" s="593"/>
      <c r="Z12" s="598"/>
      <c r="AA12" s="595"/>
    </row>
    <row r="13">
      <c r="A13" s="450"/>
      <c r="B13" s="455"/>
      <c r="D13" s="203"/>
      <c r="E13" s="596"/>
      <c r="F13" s="203"/>
      <c r="G13" s="497"/>
      <c r="H13" s="450"/>
      <c r="I13" s="455"/>
      <c r="K13" s="203"/>
      <c r="L13" s="596"/>
      <c r="M13" s="203"/>
      <c r="W13" s="451"/>
      <c r="X13" s="452"/>
      <c r="Y13" s="593"/>
      <c r="Z13" s="453"/>
      <c r="AA13" s="107"/>
    </row>
    <row r="14">
      <c r="A14" s="450"/>
      <c r="B14" s="455"/>
      <c r="D14" s="203"/>
      <c r="E14" s="596"/>
      <c r="F14" s="203"/>
      <c r="G14" s="497"/>
      <c r="H14" s="450"/>
      <c r="I14" s="455"/>
      <c r="K14" s="203"/>
      <c r="L14" s="596"/>
      <c r="M14" s="203"/>
      <c r="W14" s="455"/>
      <c r="X14" s="452"/>
      <c r="Y14" s="593"/>
      <c r="Z14" s="453"/>
      <c r="AA14" s="107"/>
    </row>
    <row r="15">
      <c r="A15" s="450"/>
      <c r="B15" s="455"/>
      <c r="D15" s="203"/>
      <c r="E15" s="596"/>
      <c r="F15" s="203"/>
      <c r="G15" s="497"/>
      <c r="H15" s="450"/>
      <c r="I15" s="455"/>
      <c r="K15" s="203"/>
      <c r="L15" s="596"/>
      <c r="M15" s="203"/>
      <c r="W15" s="455"/>
      <c r="X15" s="452"/>
      <c r="Y15" s="593"/>
      <c r="Z15" s="453"/>
      <c r="AA15" s="107"/>
    </row>
    <row r="16">
      <c r="A16" s="450"/>
      <c r="B16" s="455"/>
      <c r="D16" s="203"/>
      <c r="E16" s="596"/>
      <c r="F16" s="203"/>
      <c r="G16" s="497"/>
      <c r="H16" s="450"/>
      <c r="I16" s="455"/>
      <c r="K16" s="203"/>
      <c r="L16" s="596"/>
      <c r="M16" s="203"/>
      <c r="Y16" s="593"/>
      <c r="Z16" s="453"/>
    </row>
    <row r="17">
      <c r="A17" s="450"/>
      <c r="B17" s="455"/>
      <c r="D17" s="203"/>
      <c r="E17" s="596"/>
      <c r="F17" s="203"/>
      <c r="G17" s="497"/>
      <c r="H17" s="450"/>
      <c r="I17" s="455"/>
      <c r="K17" s="203"/>
      <c r="L17" s="596"/>
      <c r="M17" s="203"/>
      <c r="Y17" s="593"/>
      <c r="Z17" s="453"/>
    </row>
    <row r="18">
      <c r="A18" s="450"/>
      <c r="B18" s="455"/>
      <c r="D18" s="203"/>
      <c r="E18" s="596"/>
      <c r="F18" s="203"/>
      <c r="G18" s="497"/>
      <c r="H18" s="450"/>
      <c r="I18" s="455"/>
      <c r="K18" s="203"/>
      <c r="L18" s="596"/>
      <c r="M18" s="203"/>
    </row>
    <row r="19">
      <c r="A19" s="450"/>
      <c r="B19" s="455"/>
      <c r="D19" s="589"/>
      <c r="E19" s="599" t="s">
        <v>1341</v>
      </c>
      <c r="F19" s="589"/>
      <c r="G19" s="497"/>
      <c r="H19" s="450"/>
      <c r="I19" s="455"/>
      <c r="J19" s="450"/>
      <c r="K19" s="589"/>
      <c r="L19" s="600" t="s">
        <v>1342</v>
      </c>
      <c r="M19" s="589"/>
      <c r="R19" s="589"/>
      <c r="S19" s="600" t="s">
        <v>1343</v>
      </c>
      <c r="T19" s="589"/>
      <c r="Y19" s="589"/>
      <c r="Z19" s="600" t="s">
        <v>1344</v>
      </c>
      <c r="AA19" s="589"/>
      <c r="AF19" s="589"/>
      <c r="AG19" s="600" t="s">
        <v>1345</v>
      </c>
      <c r="AH19" s="589"/>
      <c r="AM19" s="589"/>
      <c r="AN19" s="600" t="s">
        <v>1346</v>
      </c>
      <c r="AO19" s="589"/>
      <c r="AT19" s="589"/>
      <c r="AU19" s="600" t="s">
        <v>1347</v>
      </c>
      <c r="AV19" s="589"/>
      <c r="BA19" s="589"/>
      <c r="BB19" s="600" t="s">
        <v>1348</v>
      </c>
      <c r="BC19" s="589"/>
    </row>
    <row r="20">
      <c r="A20" s="450"/>
      <c r="B20" s="455"/>
      <c r="D20" s="589"/>
      <c r="E20" s="601" t="s">
        <v>1349</v>
      </c>
      <c r="F20" s="602" t="s">
        <v>791</v>
      </c>
      <c r="G20" s="497"/>
      <c r="H20" s="450"/>
      <c r="I20" s="455"/>
      <c r="J20" s="450"/>
      <c r="K20" s="589"/>
      <c r="L20" s="601" t="s">
        <v>1349</v>
      </c>
      <c r="M20" s="602" t="s">
        <v>791</v>
      </c>
      <c r="R20" s="589"/>
      <c r="S20" s="601" t="s">
        <v>1349</v>
      </c>
      <c r="T20" s="602" t="s">
        <v>791</v>
      </c>
      <c r="Y20" s="589"/>
      <c r="Z20" s="601" t="s">
        <v>1349</v>
      </c>
      <c r="AA20" s="602" t="s">
        <v>791</v>
      </c>
      <c r="AF20" s="589"/>
      <c r="AG20" s="601" t="s">
        <v>1349</v>
      </c>
      <c r="AH20" s="602" t="s">
        <v>791</v>
      </c>
      <c r="AM20" s="589"/>
      <c r="AN20" s="601" t="s">
        <v>1349</v>
      </c>
      <c r="AO20" s="602" t="s">
        <v>791</v>
      </c>
      <c r="AT20" s="589"/>
      <c r="AU20" s="601" t="s">
        <v>1349</v>
      </c>
      <c r="AV20" s="602" t="s">
        <v>791</v>
      </c>
      <c r="BA20" s="589"/>
      <c r="BB20" s="601" t="s">
        <v>1349</v>
      </c>
      <c r="BC20" s="602" t="s">
        <v>791</v>
      </c>
    </row>
    <row r="21">
      <c r="D21" s="603" t="s">
        <v>1350</v>
      </c>
      <c r="E21" s="604">
        <f t="shared" ref="E21:F21" si="1">E8</f>
        <v>465938.4</v>
      </c>
      <c r="F21" s="604">
        <f t="shared" si="1"/>
        <v>394.8630508</v>
      </c>
      <c r="G21" s="450"/>
      <c r="H21" s="450"/>
      <c r="I21" s="450"/>
      <c r="J21" s="450"/>
      <c r="K21" s="603" t="s">
        <v>1350</v>
      </c>
      <c r="L21" s="604">
        <f t="shared" ref="L21:M21" si="2">L11</f>
        <v>1271566.033</v>
      </c>
      <c r="M21" s="604">
        <f t="shared" si="2"/>
        <v>1046.556406</v>
      </c>
      <c r="R21" s="603" t="s">
        <v>1350</v>
      </c>
      <c r="S21" s="604">
        <f t="shared" ref="S21:T21" si="3">S9</f>
        <v>3642844.294</v>
      </c>
      <c r="T21" s="604">
        <f t="shared" si="3"/>
        <v>2759.730526</v>
      </c>
      <c r="Y21" s="603" t="s">
        <v>1350</v>
      </c>
      <c r="Z21" s="604">
        <f t="shared" ref="Z21:AA21" si="4">Z8</f>
        <v>3276539.17</v>
      </c>
      <c r="AA21" s="604">
        <f t="shared" si="4"/>
        <v>2436.088602</v>
      </c>
      <c r="AF21" s="603" t="s">
        <v>1350</v>
      </c>
      <c r="AG21" s="604">
        <f t="shared" ref="AG21:AH21" si="5">AG9</f>
        <v>4189108.502</v>
      </c>
      <c r="AH21" s="604">
        <f t="shared" si="5"/>
        <v>2899.037025</v>
      </c>
      <c r="AM21" s="603" t="s">
        <v>1350</v>
      </c>
      <c r="AN21" s="604" t="str">
        <f t="shared" ref="AN21:AO21" si="6">AN11</f>
        <v/>
      </c>
      <c r="AO21" s="604" t="str">
        <f t="shared" si="6"/>
        <v/>
      </c>
      <c r="AT21" s="603" t="s">
        <v>1350</v>
      </c>
      <c r="AU21" s="604" t="str">
        <f t="shared" ref="AU21:AV21" si="7">AU11</f>
        <v/>
      </c>
      <c r="AV21" s="604" t="str">
        <f t="shared" si="7"/>
        <v/>
      </c>
      <c r="BA21" s="603" t="s">
        <v>1350</v>
      </c>
      <c r="BB21" s="604" t="str">
        <f t="shared" ref="BB21:BC21" si="8">BB11</f>
        <v/>
      </c>
      <c r="BC21" s="604" t="str">
        <f t="shared" si="8"/>
        <v/>
      </c>
    </row>
    <row r="22">
      <c r="D22" s="605" t="s">
        <v>1351</v>
      </c>
      <c r="E22" s="604">
        <f>F22*F1</f>
        <v>9971000</v>
      </c>
      <c r="F22" s="521">
        <v>8450.0</v>
      </c>
      <c r="G22" s="450"/>
      <c r="H22" s="450"/>
      <c r="I22" s="450"/>
      <c r="J22" s="450"/>
      <c r="K22" s="605" t="s">
        <v>1351</v>
      </c>
      <c r="L22" s="604">
        <f>M22*M1</f>
        <v>10266750</v>
      </c>
      <c r="M22" s="521">
        <v>8450.0</v>
      </c>
      <c r="R22" s="605" t="s">
        <v>1351</v>
      </c>
      <c r="S22" s="604">
        <f>T22*T1</f>
        <v>11154000</v>
      </c>
      <c r="T22" s="521">
        <v>8450.0</v>
      </c>
      <c r="Y22" s="605" t="s">
        <v>1351</v>
      </c>
      <c r="Z22" s="604">
        <f>AA22*AA1</f>
        <v>11365250</v>
      </c>
      <c r="AA22" s="521">
        <v>8450.0</v>
      </c>
      <c r="AF22" s="605" t="s">
        <v>1351</v>
      </c>
      <c r="AG22" s="604">
        <f>AH22*AH1</f>
        <v>10909750</v>
      </c>
      <c r="AH22" s="521">
        <v>7550.0</v>
      </c>
      <c r="AM22" s="605" t="s">
        <v>1351</v>
      </c>
      <c r="AN22" s="604">
        <f>AO22*AO1</f>
        <v>10872000</v>
      </c>
      <c r="AO22" s="521">
        <v>7550.0</v>
      </c>
      <c r="AT22" s="605" t="s">
        <v>1351</v>
      </c>
      <c r="AU22" s="604">
        <f>AV22*AV1</f>
        <v>11317450</v>
      </c>
      <c r="AV22" s="521">
        <v>7550.0</v>
      </c>
      <c r="BA22" s="605" t="s">
        <v>1351</v>
      </c>
      <c r="BB22" s="604">
        <f>BC22*BC1</f>
        <v>11596800</v>
      </c>
      <c r="BC22" s="521">
        <v>7550.0</v>
      </c>
    </row>
    <row r="23">
      <c r="D23" s="605" t="s">
        <v>1063</v>
      </c>
      <c r="E23" s="606">
        <f t="shared" ref="E23:F23" si="9">+E22/E21</f>
        <v>21.39982453</v>
      </c>
      <c r="F23" s="606">
        <f t="shared" si="9"/>
        <v>21.39982453</v>
      </c>
      <c r="G23" s="450"/>
      <c r="H23" s="450"/>
      <c r="I23" s="450"/>
      <c r="J23" s="450"/>
      <c r="K23" s="605" t="s">
        <v>1063</v>
      </c>
      <c r="L23" s="606">
        <f t="shared" ref="L23:M23" si="10">+L22/L21</f>
        <v>8.07409897</v>
      </c>
      <c r="M23" s="606">
        <f t="shared" si="10"/>
        <v>8.07409897</v>
      </c>
      <c r="R23" s="605" t="s">
        <v>1063</v>
      </c>
      <c r="S23" s="606">
        <f t="shared" ref="S23:T23" si="11">+S22/S21</f>
        <v>3.061893152</v>
      </c>
      <c r="T23" s="606">
        <f t="shared" si="11"/>
        <v>3.061893152</v>
      </c>
      <c r="Y23" s="605" t="s">
        <v>1063</v>
      </c>
      <c r="Z23" s="606">
        <f t="shared" ref="Z23:AA23" si="12">+Z22/Z21</f>
        <v>3.468675151</v>
      </c>
      <c r="AA23" s="606">
        <f t="shared" si="12"/>
        <v>3.468675151</v>
      </c>
      <c r="AF23" s="605" t="s">
        <v>1063</v>
      </c>
      <c r="AG23" s="606">
        <f t="shared" ref="AG23:AH23" si="13">+AG22/AG21</f>
        <v>2.604313065</v>
      </c>
      <c r="AH23" s="606">
        <f t="shared" si="13"/>
        <v>2.604313065</v>
      </c>
      <c r="AM23" s="605" t="s">
        <v>1063</v>
      </c>
      <c r="AN23" s="606" t="str">
        <f t="shared" ref="AN23:AO23" si="14">+AN22/AN21</f>
        <v>#DIV/0!</v>
      </c>
      <c r="AO23" s="606" t="str">
        <f t="shared" si="14"/>
        <v>#DIV/0!</v>
      </c>
      <c r="AT23" s="605" t="s">
        <v>1063</v>
      </c>
      <c r="AU23" s="606" t="str">
        <f t="shared" ref="AU23:AV23" si="15">+AU22/AU21</f>
        <v>#DIV/0!</v>
      </c>
      <c r="AV23" s="606" t="str">
        <f t="shared" si="15"/>
        <v>#DIV/0!</v>
      </c>
      <c r="BA23" s="605" t="s">
        <v>1063</v>
      </c>
      <c r="BB23" s="606" t="str">
        <f t="shared" ref="BB23:BC23" si="16">+BB22/BB21</f>
        <v>#DIV/0!</v>
      </c>
      <c r="BC23" s="606" t="str">
        <f t="shared" si="16"/>
        <v>#DIV/0!</v>
      </c>
    </row>
    <row r="24">
      <c r="D24" s="605" t="s">
        <v>1352</v>
      </c>
      <c r="E24" s="604">
        <f t="shared" ref="E24:F24" si="17">+E22-E21</f>
        <v>9505061.6</v>
      </c>
      <c r="F24" s="604">
        <f t="shared" si="17"/>
        <v>8055.136949</v>
      </c>
      <c r="G24" s="450"/>
      <c r="H24" s="450"/>
      <c r="I24" s="450"/>
      <c r="J24" s="450"/>
      <c r="K24" s="605" t="s">
        <v>1352</v>
      </c>
      <c r="L24" s="604">
        <f t="shared" ref="L24:M24" si="18">+L22-L21</f>
        <v>8995183.967</v>
      </c>
      <c r="M24" s="604">
        <f t="shared" si="18"/>
        <v>7403.443594</v>
      </c>
      <c r="R24" s="605" t="s">
        <v>1352</v>
      </c>
      <c r="S24" s="604">
        <f t="shared" ref="S24:T24" si="19">+S22-S21</f>
        <v>7511155.706</v>
      </c>
      <c r="T24" s="604">
        <f t="shared" si="19"/>
        <v>5690.269474</v>
      </c>
      <c r="Y24" s="605" t="s">
        <v>1352</v>
      </c>
      <c r="Z24" s="604">
        <f t="shared" ref="Z24:AA24" si="20">+Z22-Z21</f>
        <v>8088710.83</v>
      </c>
      <c r="AA24" s="604">
        <f t="shared" si="20"/>
        <v>6013.911398</v>
      </c>
      <c r="AB24" s="522">
        <f>Z24-Y17</f>
        <v>8088710.83</v>
      </c>
      <c r="AC24" s="522">
        <f>AA24-(Y17/AA1)</f>
        <v>6013.911398</v>
      </c>
      <c r="AF24" s="605" t="s">
        <v>1352</v>
      </c>
      <c r="AG24" s="604">
        <f t="shared" ref="AG24:AH24" si="21">+AG22-AG21</f>
        <v>6720641.498</v>
      </c>
      <c r="AH24" s="604">
        <f t="shared" si="21"/>
        <v>4650.962975</v>
      </c>
      <c r="AM24" s="605" t="s">
        <v>1352</v>
      </c>
      <c r="AN24" s="604">
        <f t="shared" ref="AN24:AO24" si="22">+AN22-AN21</f>
        <v>10872000</v>
      </c>
      <c r="AO24" s="604">
        <f t="shared" si="22"/>
        <v>7550</v>
      </c>
      <c r="AT24" s="605" t="s">
        <v>1352</v>
      </c>
      <c r="AU24" s="604">
        <f t="shared" ref="AU24:AV24" si="23">+AU22-AU21</f>
        <v>11317450</v>
      </c>
      <c r="AV24" s="604">
        <f t="shared" si="23"/>
        <v>7550</v>
      </c>
      <c r="BA24" s="605" t="s">
        <v>1352</v>
      </c>
      <c r="BB24" s="604">
        <f t="shared" ref="BB24:BC24" si="24">+BB22-BB21</f>
        <v>11596800</v>
      </c>
      <c r="BC24" s="604">
        <f t="shared" si="24"/>
        <v>7550</v>
      </c>
    </row>
    <row r="25">
      <c r="D25" s="605" t="s">
        <v>1353</v>
      </c>
      <c r="E25" s="604">
        <f t="shared" ref="E25:F25" si="25">+E22*0.15</f>
        <v>1495650</v>
      </c>
      <c r="F25" s="604">
        <f t="shared" si="25"/>
        <v>1267.5</v>
      </c>
      <c r="G25" s="450"/>
      <c r="H25" s="450"/>
      <c r="I25" s="450"/>
      <c r="J25" s="450"/>
      <c r="K25" s="605" t="s">
        <v>1353</v>
      </c>
      <c r="L25" s="604">
        <f t="shared" ref="L25:M25" si="26">+L22*0.15</f>
        <v>1540012.5</v>
      </c>
      <c r="M25" s="604">
        <f t="shared" si="26"/>
        <v>1267.5</v>
      </c>
      <c r="R25" s="605" t="s">
        <v>1353</v>
      </c>
      <c r="S25" s="604">
        <f t="shared" ref="S25:T25" si="27">+S22*0.15</f>
        <v>1673100</v>
      </c>
      <c r="T25" s="604">
        <f t="shared" si="27"/>
        <v>1267.5</v>
      </c>
      <c r="Y25" s="605" t="s">
        <v>1353</v>
      </c>
      <c r="Z25" s="604">
        <f t="shared" ref="Z25:AA25" si="28">+Z22*0.15</f>
        <v>1704787.5</v>
      </c>
      <c r="AA25" s="604">
        <f t="shared" si="28"/>
        <v>1267.5</v>
      </c>
      <c r="AF25" s="605" t="s">
        <v>1353</v>
      </c>
      <c r="AG25" s="604">
        <f t="shared" ref="AG25:AH25" si="29">+AG22*0.15</f>
        <v>1636462.5</v>
      </c>
      <c r="AH25" s="604">
        <f t="shared" si="29"/>
        <v>1132.5</v>
      </c>
      <c r="AM25" s="605" t="s">
        <v>1353</v>
      </c>
      <c r="AN25" s="604">
        <f t="shared" ref="AN25:AO25" si="30">+AN22*0.15</f>
        <v>1630800</v>
      </c>
      <c r="AO25" s="604">
        <f t="shared" si="30"/>
        <v>1132.5</v>
      </c>
      <c r="AT25" s="605" t="s">
        <v>1353</v>
      </c>
      <c r="AU25" s="604">
        <f t="shared" ref="AU25:AV25" si="31">+AU22*0.15</f>
        <v>1697617.5</v>
      </c>
      <c r="AV25" s="604">
        <f t="shared" si="31"/>
        <v>1132.5</v>
      </c>
      <c r="BA25" s="605" t="s">
        <v>1353</v>
      </c>
      <c r="BB25" s="604">
        <f t="shared" ref="BB25:BC25" si="32">+BB22*0.15</f>
        <v>1739520</v>
      </c>
      <c r="BC25" s="604">
        <f t="shared" si="32"/>
        <v>1132.5</v>
      </c>
    </row>
    <row r="26">
      <c r="D26" s="605" t="s">
        <v>1352</v>
      </c>
      <c r="E26" s="607">
        <f t="shared" ref="E26:F26" si="33">+E24-E25</f>
        <v>8009411.6</v>
      </c>
      <c r="F26" s="607">
        <f t="shared" si="33"/>
        <v>6787.636949</v>
      </c>
      <c r="G26" s="450"/>
      <c r="H26" s="450"/>
      <c r="I26" s="450"/>
      <c r="J26" s="450"/>
      <c r="K26" s="605" t="s">
        <v>1352</v>
      </c>
      <c r="L26" s="607">
        <f t="shared" ref="L26:M26" si="34">+L24-L25</f>
        <v>7455171.467</v>
      </c>
      <c r="M26" s="607">
        <f t="shared" si="34"/>
        <v>6135.943594</v>
      </c>
      <c r="R26" s="605" t="s">
        <v>1352</v>
      </c>
      <c r="S26" s="607">
        <f t="shared" ref="S26:T26" si="35">+S24-S25</f>
        <v>5838055.706</v>
      </c>
      <c r="T26" s="607">
        <f t="shared" si="35"/>
        <v>4422.769474</v>
      </c>
      <c r="Y26" s="605" t="s">
        <v>1352</v>
      </c>
      <c r="Z26" s="607">
        <f t="shared" ref="Z26:AA26" si="36">+Z24-Z25</f>
        <v>6383923.33</v>
      </c>
      <c r="AA26" s="607">
        <f t="shared" si="36"/>
        <v>4746.411398</v>
      </c>
      <c r="AF26" s="605" t="s">
        <v>1352</v>
      </c>
      <c r="AG26" s="607">
        <f t="shared" ref="AG26:AH26" si="37">+AG24-AG25</f>
        <v>5084178.998</v>
      </c>
      <c r="AH26" s="607">
        <f t="shared" si="37"/>
        <v>3518.462975</v>
      </c>
      <c r="AM26" s="605" t="s">
        <v>1352</v>
      </c>
      <c r="AN26" s="607">
        <f t="shared" ref="AN26:AO26" si="38">+AN24-AN25</f>
        <v>9241200</v>
      </c>
      <c r="AO26" s="607">
        <f t="shared" si="38"/>
        <v>6417.5</v>
      </c>
      <c r="AT26" s="605" t="s">
        <v>1352</v>
      </c>
      <c r="AU26" s="607">
        <f t="shared" ref="AU26:AV26" si="39">+AU24-AU25</f>
        <v>9619832.5</v>
      </c>
      <c r="AV26" s="607">
        <f t="shared" si="39"/>
        <v>6417.5</v>
      </c>
      <c r="BA26" s="605" t="s">
        <v>1352</v>
      </c>
      <c r="BB26" s="607">
        <f t="shared" ref="BB26:BC26" si="40">+BB24-BB25</f>
        <v>9857280</v>
      </c>
      <c r="BC26" s="607">
        <f t="shared" si="40"/>
        <v>6417.5</v>
      </c>
    </row>
  </sheetData>
  <dataValidations>
    <dataValidation type="list" allowBlank="1" showErrorMessage="1" sqref="D1 K1 R1 Y1 AF1 AM1 AT1 BA1">
      <formula1>"01 Ene,02 Feb,03 Mar,04 Abr,05 May,06 Jun,07 Jul,08 Ago,09 Sep,10 Oct,11 Nov,12 Dic"</formula1>
    </dataValidation>
    <dataValidation type="list" allowBlank="1" showErrorMessage="1" sqref="E1 L1 S1 Z1 AG1 AN1 AU1 BB1">
      <formula1>"2025,2026,2027,2028"</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12.0"/>
    <col customWidth="1" min="2" max="2" width="22.38"/>
    <col customWidth="1" min="3" max="3" width="15.75"/>
    <col customWidth="1" min="4" max="4" width="14.75"/>
    <col customWidth="1" min="5" max="5" width="11.38"/>
    <col customWidth="1" min="6" max="6" width="8.88"/>
    <col customWidth="1" min="7" max="7" width="3.75"/>
    <col customWidth="1" min="8" max="8" width="11.88"/>
    <col customWidth="1" min="9" max="9" width="24.13"/>
    <col customWidth="1" min="10" max="10" width="15.75"/>
    <col customWidth="1" min="11" max="11" width="14.75"/>
    <col customWidth="1" min="12" max="12" width="14.88"/>
    <col customWidth="1" min="13" max="13" width="8.88"/>
    <col customWidth="1" min="14" max="14" width="3.63"/>
    <col customWidth="1" min="15" max="15" width="11.88"/>
    <col customWidth="1" min="16" max="16" width="24.13"/>
    <col customWidth="1" min="17" max="17" width="15.75"/>
    <col customWidth="1" min="18" max="18" width="14.75"/>
    <col customWidth="1" min="19" max="19" width="11.38"/>
    <col customWidth="1" min="20" max="20" width="8.88"/>
    <col customWidth="1" min="21" max="21" width="3.5"/>
    <col customWidth="1" min="22" max="22" width="11.88"/>
    <col customWidth="1" min="23" max="23" width="24.13"/>
    <col customWidth="1" min="24" max="24" width="15.75"/>
    <col customWidth="1" min="25" max="25" width="14.75"/>
    <col customWidth="1" min="26" max="26" width="11.38"/>
    <col customWidth="1" min="27" max="27" width="8.88"/>
    <col customWidth="1" min="28" max="28" width="4.63"/>
    <col customWidth="1" min="29" max="29" width="11.88"/>
    <col customWidth="1" min="30" max="30" width="24.13"/>
    <col customWidth="1" min="31" max="31" width="15.75"/>
    <col customWidth="1" min="32" max="32" width="14.75"/>
    <col customWidth="1" min="33" max="33" width="11.38"/>
    <col customWidth="1" min="34" max="34" width="9.25"/>
    <col customWidth="1" min="35" max="35" width="4.25"/>
    <col customWidth="1" min="36" max="36" width="11.88"/>
    <col customWidth="1" min="37" max="37" width="24.13"/>
    <col customWidth="1" min="38" max="38" width="15.75"/>
    <col customWidth="1" min="39" max="39" width="14.75"/>
    <col customWidth="1" min="40" max="40" width="14.88"/>
    <col customWidth="1" min="41" max="41" width="9.38"/>
    <col customWidth="1" min="42" max="42" width="4.25"/>
    <col customWidth="1" min="43" max="43" width="11.88"/>
    <col customWidth="1" min="44" max="44" width="24.13"/>
    <col customWidth="1" min="45" max="45" width="15.75"/>
    <col customWidth="1" min="46" max="46" width="14.75"/>
    <col customWidth="1" min="47" max="47" width="11.38"/>
    <col customWidth="1" min="48" max="48" width="8.88"/>
    <col customWidth="1" min="49" max="49" width="4.5"/>
    <col customWidth="1" min="50" max="50" width="11.88"/>
    <col customWidth="1" min="51" max="51" width="24.13"/>
    <col customWidth="1" min="52" max="52" width="15.75"/>
    <col customWidth="1" min="53" max="53" width="14.75"/>
    <col customWidth="1" min="54" max="54" width="11.38"/>
    <col customWidth="1" min="55" max="55" width="8.88"/>
    <col customWidth="1" min="56" max="56" width="4.0"/>
    <col customWidth="1" min="57" max="57" width="11.88"/>
    <col customWidth="1" min="58" max="58" width="26.25"/>
    <col customWidth="1" min="59" max="59" width="15.75"/>
    <col customWidth="1" min="60" max="60" width="14.75"/>
    <col customWidth="1" min="61" max="61" width="11.38"/>
    <col customWidth="1" min="62" max="62" width="8.88"/>
    <col customWidth="1" min="63" max="63" width="4.0"/>
    <col customWidth="1" min="64" max="64" width="6.5"/>
    <col customWidth="1" min="65" max="65" width="24.13"/>
    <col customWidth="1" min="66" max="66" width="15.75"/>
    <col customWidth="1" min="67" max="67" width="14.75"/>
    <col customWidth="1" min="68" max="68" width="11.38"/>
    <col customWidth="1" min="69" max="69" width="8.88"/>
    <col customWidth="1" min="70" max="70" width="4.13"/>
    <col customWidth="1" min="71" max="71" width="6.5"/>
    <col customWidth="1" min="72" max="72" width="24.13"/>
    <col customWidth="1" min="73" max="73" width="15.75"/>
    <col customWidth="1" min="74" max="74" width="14.75"/>
    <col customWidth="1" min="75" max="75" width="11.38"/>
    <col customWidth="1" min="76" max="76" width="8.88"/>
    <col customWidth="1" min="77" max="77" width="4.0"/>
    <col customWidth="1" min="78" max="78" width="6.5"/>
    <col customWidth="1" min="79" max="79" width="24.13"/>
    <col customWidth="1" min="80" max="80" width="15.75"/>
    <col customWidth="1" min="81" max="81" width="14.75"/>
    <col customWidth="1" min="82" max="82" width="11.38"/>
    <col customWidth="1" min="83" max="83" width="8.88"/>
  </cols>
  <sheetData>
    <row r="1">
      <c r="A1" s="43" t="s">
        <v>1354</v>
      </c>
      <c r="C1" s="585" t="s">
        <v>1329</v>
      </c>
      <c r="D1" s="586" t="s">
        <v>1355</v>
      </c>
      <c r="E1" s="481">
        <v>2025.0</v>
      </c>
      <c r="F1" s="587">
        <f>VLOOKUP(D$1&amp;" "&amp;E1,'Info Tipo de Cambio y REM'!$A$23:$B$35,2,FALSE())</f>
        <v>1220</v>
      </c>
      <c r="H1" s="43" t="s">
        <v>1354</v>
      </c>
      <c r="J1" s="585" t="s">
        <v>1329</v>
      </c>
      <c r="K1" s="586" t="s">
        <v>1356</v>
      </c>
      <c r="L1" s="481">
        <v>2025.0</v>
      </c>
      <c r="M1" s="587">
        <f>VLOOKUP(K$1&amp;" "&amp;L1,'Info Tipo de Cambio y REM'!$A$23:$B$35,2,FALSE())</f>
        <v>1230</v>
      </c>
      <c r="O1" s="43" t="s">
        <v>1354</v>
      </c>
      <c r="Q1" s="585" t="s">
        <v>1329</v>
      </c>
      <c r="R1" s="586" t="s">
        <v>1357</v>
      </c>
      <c r="S1" s="481">
        <v>2025.0</v>
      </c>
      <c r="T1" s="587">
        <f>VLOOKUP(R$1&amp;" "&amp;S1,'Info Tipo de Cambio y REM'!$A$23:$B$35,2,FALSE())</f>
        <v>1325</v>
      </c>
      <c r="V1" s="43" t="s">
        <v>1354</v>
      </c>
      <c r="X1" s="585" t="s">
        <v>1329</v>
      </c>
      <c r="Y1" s="586" t="s">
        <v>1358</v>
      </c>
      <c r="Z1" s="481">
        <v>2025.0</v>
      </c>
      <c r="AA1" s="587">
        <f>VLOOKUP(Y$1&amp;" "&amp;Z1,'Info Tipo de Cambio y REM'!$A$23:$B$35,2,FALSE())</f>
        <v>1185</v>
      </c>
      <c r="AC1" s="43" t="s">
        <v>1354</v>
      </c>
      <c r="AE1" s="585" t="s">
        <v>1329</v>
      </c>
      <c r="AF1" s="586" t="s">
        <v>1330</v>
      </c>
      <c r="AG1" s="481">
        <v>2025.0</v>
      </c>
      <c r="AH1" s="587">
        <f>VLOOKUP(AF$1&amp;" "&amp;AG1,'Info Tipo de Cambio y REM'!$A$23:$B$35,2,FALSE())</f>
        <v>1180</v>
      </c>
      <c r="AJ1" s="43" t="s">
        <v>1354</v>
      </c>
      <c r="AL1" s="585" t="s">
        <v>1329</v>
      </c>
      <c r="AM1" s="586" t="s">
        <v>1331</v>
      </c>
      <c r="AN1" s="481">
        <v>2025.0</v>
      </c>
      <c r="AO1" s="587">
        <f>VLOOKUP(AM$1&amp;" "&amp;AN1,'Info Tipo de Cambio y REM'!$A$23:$B$35,2,FALSE())</f>
        <v>1215</v>
      </c>
      <c r="AQ1" s="43" t="s">
        <v>1354</v>
      </c>
      <c r="AS1" s="585" t="s">
        <v>1329</v>
      </c>
      <c r="AT1" s="586" t="s">
        <v>1332</v>
      </c>
      <c r="AU1" s="481">
        <v>2025.0</v>
      </c>
      <c r="AV1" s="587">
        <f>VLOOKUP(AT$1&amp;" "&amp;AU1,'Info Tipo de Cambio y REM'!$A$23:$B$35,2,FALSE())</f>
        <v>1320</v>
      </c>
      <c r="AX1" s="43" t="s">
        <v>1354</v>
      </c>
      <c r="AZ1" s="585" t="s">
        <v>1329</v>
      </c>
      <c r="BA1" s="586" t="s">
        <v>1333</v>
      </c>
      <c r="BB1" s="481">
        <v>2025.0</v>
      </c>
      <c r="BC1" s="587">
        <f>VLOOKUP(BA$1&amp;" "&amp;BB1,'Info Tipo de Cambio y REM'!$A$23:$B$35,2,FALSE())</f>
        <v>1345</v>
      </c>
      <c r="BE1" s="43" t="s">
        <v>1354</v>
      </c>
      <c r="BG1" s="585" t="s">
        <v>1329</v>
      </c>
      <c r="BH1" s="586" t="s">
        <v>1335</v>
      </c>
      <c r="BI1" s="481">
        <v>2025.0</v>
      </c>
      <c r="BJ1" s="587">
        <f>VLOOKUP(BH$1&amp;" "&amp;BI1,'Info Tipo de Cambio y REM'!$A$23:$B$35,2,FALSE())</f>
        <v>1445</v>
      </c>
      <c r="BL1" s="43" t="s">
        <v>1354</v>
      </c>
      <c r="BN1" s="585" t="s">
        <v>1329</v>
      </c>
      <c r="BO1" s="586" t="s">
        <v>1336</v>
      </c>
      <c r="BP1" s="481">
        <v>2025.0</v>
      </c>
      <c r="BQ1" s="587">
        <f>VLOOKUP(BO$1&amp;" "&amp;BP1,'Info Tipo de Cambio y REM'!$A$23:$B$35,2,FALSE())</f>
        <v>1440</v>
      </c>
      <c r="BS1" s="43" t="s">
        <v>1354</v>
      </c>
      <c r="BU1" s="585" t="s">
        <v>1329</v>
      </c>
      <c r="BV1" s="586" t="s">
        <v>1337</v>
      </c>
      <c r="BW1" s="481">
        <v>2025.0</v>
      </c>
      <c r="BX1" s="587">
        <f>VLOOKUP(BV$1&amp;" "&amp;BW1,'Info Tipo de Cambio y REM'!$A$23:$B$35,2,FALSE())</f>
        <v>1499</v>
      </c>
      <c r="BZ1" s="43" t="s">
        <v>1354</v>
      </c>
      <c r="CB1" s="585" t="s">
        <v>1329</v>
      </c>
      <c r="CC1" s="586" t="s">
        <v>1338</v>
      </c>
      <c r="CD1" s="481">
        <v>2025.0</v>
      </c>
      <c r="CE1" s="587">
        <f>VLOOKUP(CC$1&amp;" "&amp;CD1,'Info Tipo de Cambio y REM'!$A$23:$B$35,2,FALSE())</f>
        <v>1536</v>
      </c>
    </row>
    <row r="2">
      <c r="A2" s="569" t="s">
        <v>112</v>
      </c>
      <c r="B2" s="569" t="s">
        <v>1118</v>
      </c>
      <c r="C2" s="588" t="s">
        <v>1264</v>
      </c>
      <c r="D2" s="569" t="s">
        <v>1121</v>
      </c>
      <c r="E2" s="569" t="s">
        <v>1270</v>
      </c>
      <c r="F2" s="569" t="s">
        <v>1340</v>
      </c>
      <c r="G2" s="495"/>
      <c r="H2" s="569" t="s">
        <v>112</v>
      </c>
      <c r="I2" s="569" t="s">
        <v>1339</v>
      </c>
      <c r="J2" s="588" t="s">
        <v>1264</v>
      </c>
      <c r="K2" s="569" t="s">
        <v>1121</v>
      </c>
      <c r="L2" s="569" t="s">
        <v>1270</v>
      </c>
      <c r="M2" s="569" t="s">
        <v>1340</v>
      </c>
      <c r="O2" s="569" t="s">
        <v>112</v>
      </c>
      <c r="P2" s="569" t="s">
        <v>1339</v>
      </c>
      <c r="Q2" s="588" t="s">
        <v>1264</v>
      </c>
      <c r="R2" s="569" t="s">
        <v>1121</v>
      </c>
      <c r="S2" s="569" t="s">
        <v>1270</v>
      </c>
      <c r="T2" s="569" t="s">
        <v>1340</v>
      </c>
      <c r="V2" s="569" t="s">
        <v>112</v>
      </c>
      <c r="W2" s="569" t="s">
        <v>1339</v>
      </c>
      <c r="X2" s="588" t="s">
        <v>1264</v>
      </c>
      <c r="Y2" s="569" t="s">
        <v>1121</v>
      </c>
      <c r="Z2" s="569" t="s">
        <v>1270</v>
      </c>
      <c r="AA2" s="569" t="s">
        <v>1340</v>
      </c>
      <c r="AC2" s="569" t="s">
        <v>112</v>
      </c>
      <c r="AD2" s="569" t="s">
        <v>1339</v>
      </c>
      <c r="AE2" s="588" t="s">
        <v>1264</v>
      </c>
      <c r="AF2" s="569" t="s">
        <v>1121</v>
      </c>
      <c r="AG2" s="569" t="s">
        <v>1270</v>
      </c>
      <c r="AH2" s="569" t="s">
        <v>1340</v>
      </c>
      <c r="AJ2" s="569" t="s">
        <v>112</v>
      </c>
      <c r="AK2" s="569" t="s">
        <v>1339</v>
      </c>
      <c r="AL2" s="588" t="s">
        <v>1264</v>
      </c>
      <c r="AM2" s="569" t="s">
        <v>1121</v>
      </c>
      <c r="AN2" s="569" t="s">
        <v>1270</v>
      </c>
      <c r="AO2" s="569" t="s">
        <v>1340</v>
      </c>
      <c r="AQ2" s="569" t="s">
        <v>112</v>
      </c>
      <c r="AR2" s="569" t="s">
        <v>1339</v>
      </c>
      <c r="AS2" s="588" t="s">
        <v>1264</v>
      </c>
      <c r="AT2" s="569" t="s">
        <v>1121</v>
      </c>
      <c r="AU2" s="569" t="s">
        <v>1270</v>
      </c>
      <c r="AV2" s="569" t="s">
        <v>1340</v>
      </c>
      <c r="AX2" s="569" t="s">
        <v>112</v>
      </c>
      <c r="AY2" s="569" t="s">
        <v>1339</v>
      </c>
      <c r="AZ2" s="588" t="s">
        <v>1264</v>
      </c>
      <c r="BA2" s="569" t="s">
        <v>1121</v>
      </c>
      <c r="BB2" s="569" t="s">
        <v>1270</v>
      </c>
      <c r="BC2" s="569" t="s">
        <v>1340</v>
      </c>
      <c r="BE2" s="569" t="s">
        <v>112</v>
      </c>
      <c r="BF2" s="569" t="s">
        <v>1118</v>
      </c>
      <c r="BG2" s="588" t="s">
        <v>1264</v>
      </c>
      <c r="BH2" s="569" t="s">
        <v>1121</v>
      </c>
      <c r="BI2" s="569" t="s">
        <v>1270</v>
      </c>
      <c r="BJ2" s="569" t="s">
        <v>286</v>
      </c>
      <c r="BL2" s="569" t="s">
        <v>112</v>
      </c>
      <c r="BM2" s="569" t="s">
        <v>1339</v>
      </c>
      <c r="BN2" s="588" t="s">
        <v>1264</v>
      </c>
      <c r="BO2" s="569" t="s">
        <v>1121</v>
      </c>
      <c r="BP2" s="569" t="s">
        <v>1270</v>
      </c>
      <c r="BQ2" s="569" t="s">
        <v>1340</v>
      </c>
      <c r="BS2" s="569" t="s">
        <v>112</v>
      </c>
      <c r="BT2" s="569" t="s">
        <v>1339</v>
      </c>
      <c r="BU2" s="588" t="s">
        <v>1264</v>
      </c>
      <c r="BV2" s="569" t="s">
        <v>1121</v>
      </c>
      <c r="BW2" s="569" t="s">
        <v>1270</v>
      </c>
      <c r="BX2" s="569" t="s">
        <v>1340</v>
      </c>
      <c r="BZ2" s="569" t="s">
        <v>112</v>
      </c>
      <c r="CA2" s="569" t="s">
        <v>1339</v>
      </c>
      <c r="CB2" s="588" t="s">
        <v>1264</v>
      </c>
      <c r="CC2" s="569" t="s">
        <v>1121</v>
      </c>
      <c r="CD2" s="569" t="s">
        <v>1270</v>
      </c>
      <c r="CE2" s="569" t="s">
        <v>1340</v>
      </c>
    </row>
    <row r="3">
      <c r="A3" s="102" t="s">
        <v>233</v>
      </c>
      <c r="B3" s="370">
        <v>0.0</v>
      </c>
      <c r="C3" s="372">
        <v>34.0</v>
      </c>
      <c r="D3" s="372">
        <v>9000.0</v>
      </c>
      <c r="E3" s="453">
        <v>306000.0</v>
      </c>
      <c r="F3" s="107">
        <v>250.81967213114754</v>
      </c>
      <c r="G3" s="450"/>
      <c r="H3" s="450" t="s">
        <v>205</v>
      </c>
      <c r="I3" s="501">
        <v>100.0</v>
      </c>
      <c r="J3" s="455">
        <v>107.636</v>
      </c>
      <c r="K3" s="455">
        <v>8973.0</v>
      </c>
      <c r="L3" s="497">
        <v>965817.828</v>
      </c>
      <c r="M3" s="498">
        <v>785.2177463414635</v>
      </c>
      <c r="O3" s="450" t="s">
        <v>205</v>
      </c>
      <c r="P3" s="450">
        <v>100.0</v>
      </c>
      <c r="Q3" s="455">
        <v>100.62599999999999</v>
      </c>
      <c r="R3" s="464">
        <v>8973.0</v>
      </c>
      <c r="S3" s="497">
        <v>902917.0979999999</v>
      </c>
      <c r="T3" s="498">
        <v>681.4468664150943</v>
      </c>
      <c r="V3" s="450" t="s">
        <v>205</v>
      </c>
      <c r="W3" s="450">
        <v>100.0</v>
      </c>
      <c r="X3" s="455">
        <v>86.1</v>
      </c>
      <c r="Y3" s="464">
        <v>10000.0</v>
      </c>
      <c r="Z3" s="497">
        <v>861000.0</v>
      </c>
      <c r="AA3" s="498">
        <v>726.5822784810126</v>
      </c>
      <c r="AC3" s="450" t="s">
        <v>205</v>
      </c>
      <c r="AD3" s="450">
        <v>100.0</v>
      </c>
      <c r="AE3" s="455">
        <v>104.85000000000001</v>
      </c>
      <c r="AF3" s="464">
        <v>10000.0</v>
      </c>
      <c r="AG3" s="497">
        <v>1048500.0000000001</v>
      </c>
      <c r="AH3" s="498">
        <v>888.5593220338984</v>
      </c>
      <c r="AJ3" s="450" t="s">
        <v>205</v>
      </c>
      <c r="AK3" s="450">
        <v>100.0</v>
      </c>
      <c r="AL3" s="455">
        <v>105.4</v>
      </c>
      <c r="AM3" s="464">
        <v>10000.0</v>
      </c>
      <c r="AN3" s="497">
        <v>1054000.0</v>
      </c>
      <c r="AO3" s="498">
        <v>867.4897119341564</v>
      </c>
      <c r="AQ3" s="450" t="s">
        <v>205</v>
      </c>
      <c r="AR3" s="450">
        <v>100.0</v>
      </c>
      <c r="AS3" s="455">
        <v>80.22</v>
      </c>
      <c r="AT3" s="464">
        <v>10000.0</v>
      </c>
      <c r="AU3" s="497">
        <v>802200.0</v>
      </c>
      <c r="AV3" s="498">
        <v>607.7272727272727</v>
      </c>
      <c r="AX3" s="450" t="s">
        <v>205</v>
      </c>
      <c r="AY3" s="450">
        <v>100.0</v>
      </c>
      <c r="AZ3" s="455">
        <v>75.94999999999999</v>
      </c>
      <c r="BA3" s="455">
        <v>10000.0</v>
      </c>
      <c r="BB3" s="497">
        <v>759499.9999999999</v>
      </c>
      <c r="BC3" s="498">
        <v>564.6840148698884</v>
      </c>
      <c r="BE3" s="450" t="s">
        <v>205</v>
      </c>
      <c r="BF3" s="501">
        <v>100.0</v>
      </c>
      <c r="BG3" s="455">
        <v>88.093333333</v>
      </c>
      <c r="BH3" s="455">
        <v>10000.0</v>
      </c>
      <c r="BI3" s="497">
        <v>880933.33333</v>
      </c>
      <c r="BJ3" s="498">
        <v>609.6424452110728</v>
      </c>
      <c r="BL3" s="450"/>
      <c r="BM3" s="450"/>
      <c r="BN3" s="455"/>
      <c r="BO3" s="464"/>
      <c r="BP3" s="497"/>
      <c r="BQ3" s="498"/>
      <c r="BS3" s="450"/>
      <c r="BT3" s="450"/>
      <c r="BU3" s="455"/>
      <c r="BV3" s="464"/>
      <c r="BW3" s="497"/>
      <c r="BX3" s="498"/>
      <c r="BZ3" s="450"/>
      <c r="CA3" s="450"/>
      <c r="CB3" s="455"/>
      <c r="CC3" s="464"/>
      <c r="CD3" s="497"/>
      <c r="CE3" s="498"/>
    </row>
    <row r="4">
      <c r="A4" s="450" t="s">
        <v>205</v>
      </c>
      <c r="B4" s="501">
        <v>100.0</v>
      </c>
      <c r="C4" s="455">
        <v>79.0</v>
      </c>
      <c r="D4" s="464">
        <v>8157.0</v>
      </c>
      <c r="E4" s="497">
        <v>644403.0</v>
      </c>
      <c r="F4" s="498">
        <v>528.1991803278688</v>
      </c>
      <c r="G4" s="497"/>
      <c r="H4" s="450" t="s">
        <v>212</v>
      </c>
      <c r="I4" s="501">
        <v>10.0</v>
      </c>
      <c r="J4" s="455">
        <v>49.120000000000005</v>
      </c>
      <c r="K4" s="464">
        <v>7000.0</v>
      </c>
      <c r="L4" s="497">
        <v>343840.00000000006</v>
      </c>
      <c r="M4" s="498">
        <v>279.54471544715454</v>
      </c>
      <c r="O4" s="450" t="s">
        <v>212</v>
      </c>
      <c r="P4" s="450">
        <v>10.0</v>
      </c>
      <c r="Q4" s="455">
        <v>3.5</v>
      </c>
      <c r="R4" s="464">
        <v>8500.0</v>
      </c>
      <c r="S4" s="497">
        <v>29750.0</v>
      </c>
      <c r="T4" s="498">
        <v>22.452830188679247</v>
      </c>
      <c r="V4" s="450" t="s">
        <v>212</v>
      </c>
      <c r="W4" s="450">
        <v>10.0</v>
      </c>
      <c r="X4" s="455">
        <v>32.3</v>
      </c>
      <c r="Y4" s="464">
        <v>8500.0</v>
      </c>
      <c r="Z4" s="497">
        <v>274550.0</v>
      </c>
      <c r="AA4" s="498">
        <v>231.68776371308016</v>
      </c>
      <c r="AC4" s="450" t="s">
        <v>212</v>
      </c>
      <c r="AD4" s="450">
        <v>0.0</v>
      </c>
      <c r="AE4" s="455">
        <v>54.0</v>
      </c>
      <c r="AF4" s="464">
        <v>8500.0</v>
      </c>
      <c r="AG4" s="497">
        <v>459000.0</v>
      </c>
      <c r="AH4" s="498">
        <v>388.9830508474576</v>
      </c>
      <c r="AJ4" s="450" t="s">
        <v>212</v>
      </c>
      <c r="AK4" s="450">
        <v>0.0</v>
      </c>
      <c r="AL4" s="455">
        <v>33.0</v>
      </c>
      <c r="AM4" s="464">
        <v>8500.0</v>
      </c>
      <c r="AN4" s="497">
        <v>280500.0</v>
      </c>
      <c r="AO4" s="498">
        <v>230.8641975308642</v>
      </c>
      <c r="AQ4" s="450" t="s">
        <v>228</v>
      </c>
      <c r="AR4" s="450">
        <v>40.0</v>
      </c>
      <c r="AS4" s="455">
        <v>55.010000000000005</v>
      </c>
      <c r="AT4" s="464">
        <v>19602.0</v>
      </c>
      <c r="AU4" s="497">
        <v>1078306.02</v>
      </c>
      <c r="AV4" s="498">
        <v>816.8985</v>
      </c>
      <c r="AX4" s="450"/>
      <c r="AY4" s="450"/>
      <c r="AZ4" s="455"/>
      <c r="BA4" s="464"/>
      <c r="BB4" s="497"/>
      <c r="BC4" s="498"/>
      <c r="BE4" s="450" t="s">
        <v>240</v>
      </c>
      <c r="BF4" s="501" t="e">
        <v>#DIV/0!</v>
      </c>
      <c r="BG4" s="455">
        <v>4.33</v>
      </c>
      <c r="BH4" s="464">
        <v>10750.0</v>
      </c>
      <c r="BI4" s="497">
        <v>46547.5</v>
      </c>
      <c r="BJ4" s="498">
        <v>32.21280276816609</v>
      </c>
      <c r="BL4" s="450"/>
      <c r="BM4" s="450"/>
      <c r="BN4" s="455"/>
      <c r="BO4" s="464"/>
      <c r="BP4" s="497"/>
      <c r="BQ4" s="498"/>
      <c r="BS4" s="450"/>
      <c r="BT4" s="450"/>
      <c r="BU4" s="455"/>
      <c r="BV4" s="464"/>
      <c r="BW4" s="497"/>
      <c r="BX4" s="498"/>
      <c r="BZ4" s="450"/>
      <c r="CA4" s="450"/>
      <c r="CB4" s="455"/>
      <c r="CC4" s="464"/>
      <c r="CD4" s="497"/>
      <c r="CE4" s="498"/>
    </row>
    <row r="5">
      <c r="A5" s="450" t="s">
        <v>212</v>
      </c>
      <c r="B5" s="501">
        <v>10.0</v>
      </c>
      <c r="C5" s="455">
        <v>31.17</v>
      </c>
      <c r="D5" s="464">
        <v>7000.0</v>
      </c>
      <c r="E5" s="497">
        <v>218190.0</v>
      </c>
      <c r="F5" s="498">
        <v>178.84426229508196</v>
      </c>
      <c r="G5" s="497"/>
      <c r="H5" s="450" t="s">
        <v>228</v>
      </c>
      <c r="I5" s="501">
        <v>32.0</v>
      </c>
      <c r="J5" s="455">
        <v>28.73</v>
      </c>
      <c r="K5" s="464">
        <v>18000.0</v>
      </c>
      <c r="L5" s="497">
        <v>517140.0</v>
      </c>
      <c r="M5" s="498">
        <v>420.4390243902439</v>
      </c>
      <c r="O5" s="450" t="s">
        <v>228</v>
      </c>
      <c r="P5" s="450">
        <v>32.0</v>
      </c>
      <c r="Q5" s="455">
        <v>23.0</v>
      </c>
      <c r="R5" s="464">
        <v>18000.0</v>
      </c>
      <c r="S5" s="497">
        <v>414000.0</v>
      </c>
      <c r="T5" s="498">
        <v>312.45283018867923</v>
      </c>
      <c r="V5" s="450" t="s">
        <v>228</v>
      </c>
      <c r="W5" s="450">
        <v>32.0</v>
      </c>
      <c r="X5" s="455">
        <v>42.9</v>
      </c>
      <c r="Y5" s="464">
        <v>18000.0</v>
      </c>
      <c r="Z5" s="497">
        <v>772200.0</v>
      </c>
      <c r="AA5" s="498">
        <v>651.6455696202531</v>
      </c>
      <c r="AC5" s="450" t="s">
        <v>228</v>
      </c>
      <c r="AD5" s="450">
        <v>40.0</v>
      </c>
      <c r="AE5" s="455">
        <v>67.09001632486499</v>
      </c>
      <c r="AF5" s="464">
        <v>19602.0</v>
      </c>
      <c r="AG5" s="497">
        <v>1315098.5000000035</v>
      </c>
      <c r="AH5" s="498">
        <v>1114.490254237291</v>
      </c>
      <c r="AJ5" s="450" t="s">
        <v>228</v>
      </c>
      <c r="AK5" s="450">
        <v>40.0</v>
      </c>
      <c r="AL5" s="455">
        <v>59.69999693908785</v>
      </c>
      <c r="AM5" s="464">
        <v>19602.0</v>
      </c>
      <c r="AN5" s="497">
        <v>1170239.34</v>
      </c>
      <c r="AO5" s="498">
        <v>963.159950617284</v>
      </c>
      <c r="AQ5" s="450" t="s">
        <v>214</v>
      </c>
      <c r="AR5" s="450">
        <v>160.0</v>
      </c>
      <c r="AS5" s="455">
        <v>103.08</v>
      </c>
      <c r="AT5" s="464">
        <v>10000.0</v>
      </c>
      <c r="AU5" s="497">
        <v>1030800.0</v>
      </c>
      <c r="AV5" s="498">
        <v>780.9090909090909</v>
      </c>
      <c r="AX5" s="450" t="s">
        <v>228</v>
      </c>
      <c r="AY5" s="450">
        <v>40.0</v>
      </c>
      <c r="AZ5" s="455">
        <v>55.22</v>
      </c>
      <c r="BA5" s="464">
        <v>19602.0</v>
      </c>
      <c r="BB5" s="497">
        <v>1082422.44</v>
      </c>
      <c r="BC5" s="498">
        <v>804.7750483271375</v>
      </c>
      <c r="BE5" s="450" t="s">
        <v>228</v>
      </c>
      <c r="BF5" s="501">
        <v>40.0</v>
      </c>
      <c r="BG5" s="455">
        <v>46.92</v>
      </c>
      <c r="BH5" s="464">
        <v>20680.0</v>
      </c>
      <c r="BI5" s="497">
        <v>970305.6000000001</v>
      </c>
      <c r="BJ5" s="498">
        <v>671.4917647058825</v>
      </c>
      <c r="BL5" s="450"/>
      <c r="BM5" s="450"/>
      <c r="BN5" s="455"/>
      <c r="BO5" s="464"/>
      <c r="BP5" s="497"/>
      <c r="BQ5" s="498"/>
      <c r="BS5" s="450"/>
      <c r="BT5" s="450"/>
      <c r="BU5" s="455"/>
      <c r="BV5" s="464"/>
      <c r="BW5" s="497"/>
      <c r="BX5" s="498"/>
      <c r="BZ5" s="450"/>
      <c r="CA5" s="450"/>
      <c r="CB5" s="455"/>
      <c r="CC5" s="464"/>
      <c r="CD5" s="497"/>
      <c r="CE5" s="498"/>
    </row>
    <row r="6">
      <c r="A6" s="450" t="s">
        <v>228</v>
      </c>
      <c r="B6" s="501">
        <v>32.0</v>
      </c>
      <c r="C6" s="455">
        <v>12.6</v>
      </c>
      <c r="D6" s="464">
        <v>30000.0</v>
      </c>
      <c r="E6" s="497">
        <v>378000.0</v>
      </c>
      <c r="F6" s="498">
        <v>309.8360655737705</v>
      </c>
      <c r="G6" s="497"/>
      <c r="H6" s="450" t="s">
        <v>214</v>
      </c>
      <c r="I6" s="501">
        <v>140.0</v>
      </c>
      <c r="J6" s="455">
        <v>11.0</v>
      </c>
      <c r="K6" s="464">
        <v>9000.0</v>
      </c>
      <c r="L6" s="497">
        <v>99000.0</v>
      </c>
      <c r="M6" s="498">
        <v>80.48780487804878</v>
      </c>
      <c r="O6" s="450" t="s">
        <v>214</v>
      </c>
      <c r="P6" s="450">
        <v>140.0</v>
      </c>
      <c r="Q6" s="455">
        <v>128.6</v>
      </c>
      <c r="R6" s="464">
        <v>9375.0</v>
      </c>
      <c r="S6" s="497">
        <v>1205625.0</v>
      </c>
      <c r="T6" s="498">
        <v>909.9056603773585</v>
      </c>
      <c r="V6" s="450" t="s">
        <v>214</v>
      </c>
      <c r="W6" s="450">
        <v>160.0</v>
      </c>
      <c r="X6" s="455">
        <v>104.0</v>
      </c>
      <c r="Y6" s="464">
        <v>9688.0</v>
      </c>
      <c r="Z6" s="497">
        <v>1007552.0</v>
      </c>
      <c r="AA6" s="498">
        <v>850.2548523206751</v>
      </c>
      <c r="AC6" s="450" t="s">
        <v>214</v>
      </c>
      <c r="AD6" s="450">
        <v>160.0</v>
      </c>
      <c r="AE6" s="455">
        <v>160.0</v>
      </c>
      <c r="AF6" s="464">
        <v>10000.0</v>
      </c>
      <c r="AG6" s="497">
        <v>1600000.0</v>
      </c>
      <c r="AH6" s="498">
        <v>1355.9322033898304</v>
      </c>
      <c r="AJ6" s="450" t="s">
        <v>214</v>
      </c>
      <c r="AK6" s="450">
        <v>160.0</v>
      </c>
      <c r="AL6" s="455">
        <v>159.5</v>
      </c>
      <c r="AM6" s="464">
        <v>10000.0</v>
      </c>
      <c r="AN6" s="497">
        <v>1595000.0</v>
      </c>
      <c r="AO6" s="498">
        <v>1312.7572016460906</v>
      </c>
      <c r="AQ6" s="450" t="s">
        <v>200</v>
      </c>
      <c r="AR6" s="450">
        <v>120.0</v>
      </c>
      <c r="AS6" s="455">
        <v>113.58</v>
      </c>
      <c r="AT6" s="464">
        <v>18880.0</v>
      </c>
      <c r="AU6" s="497">
        <v>2144390.4</v>
      </c>
      <c r="AV6" s="498">
        <v>1624.5381818181818</v>
      </c>
      <c r="AX6" s="450" t="s">
        <v>214</v>
      </c>
      <c r="AY6" s="450">
        <v>160.0</v>
      </c>
      <c r="AZ6" s="455">
        <v>16.42</v>
      </c>
      <c r="BA6" s="464">
        <v>10508.0</v>
      </c>
      <c r="BB6" s="497">
        <v>172541.36000000002</v>
      </c>
      <c r="BC6" s="498">
        <v>128.28353903345726</v>
      </c>
      <c r="BE6" s="450" t="s">
        <v>214</v>
      </c>
      <c r="BF6" s="501">
        <v>160.0</v>
      </c>
      <c r="BG6" s="455">
        <v>154.42000000000002</v>
      </c>
      <c r="BH6" s="464">
        <v>10508.0</v>
      </c>
      <c r="BI6" s="497">
        <v>1622645.36</v>
      </c>
      <c r="BJ6" s="498">
        <v>1122.937965397924</v>
      </c>
      <c r="BL6" s="450"/>
      <c r="BM6" s="450"/>
      <c r="BN6" s="455"/>
      <c r="BO6" s="464"/>
      <c r="BP6" s="497"/>
      <c r="BQ6" s="498"/>
      <c r="BS6" s="450"/>
      <c r="BT6" s="450"/>
      <c r="BU6" s="455"/>
      <c r="BV6" s="464"/>
      <c r="BW6" s="497"/>
      <c r="BX6" s="498"/>
      <c r="BZ6" s="450"/>
      <c r="CA6" s="450"/>
      <c r="CB6" s="455"/>
      <c r="CC6" s="464"/>
      <c r="CD6" s="497"/>
      <c r="CE6" s="498"/>
    </row>
    <row r="7">
      <c r="A7" s="450" t="s">
        <v>200</v>
      </c>
      <c r="B7" s="501">
        <v>60.0</v>
      </c>
      <c r="C7" s="455">
        <v>133.1</v>
      </c>
      <c r="D7" s="464">
        <v>13704.0</v>
      </c>
      <c r="E7" s="497">
        <v>1824002.4</v>
      </c>
      <c r="F7" s="498">
        <v>1495.0839344262295</v>
      </c>
      <c r="G7" s="497"/>
      <c r="H7" s="450" t="s">
        <v>200</v>
      </c>
      <c r="I7" s="501">
        <v>60.0</v>
      </c>
      <c r="J7" s="455">
        <v>144.079</v>
      </c>
      <c r="K7" s="464">
        <v>16856.0</v>
      </c>
      <c r="L7" s="497">
        <v>2428595.6240000003</v>
      </c>
      <c r="M7" s="498">
        <v>1974.4679869918702</v>
      </c>
      <c r="O7" s="450" t="s">
        <v>200</v>
      </c>
      <c r="P7" s="450">
        <v>60.0</v>
      </c>
      <c r="Q7" s="455">
        <v>53.2</v>
      </c>
      <c r="R7" s="464">
        <v>16856.0</v>
      </c>
      <c r="S7" s="497">
        <v>896739.2000000001</v>
      </c>
      <c r="T7" s="498">
        <v>676.7843018867925</v>
      </c>
      <c r="V7" s="450" t="s">
        <v>200</v>
      </c>
      <c r="W7" s="450">
        <v>60.0</v>
      </c>
      <c r="X7" s="455">
        <v>72.0</v>
      </c>
      <c r="Y7" s="464">
        <v>16856.0</v>
      </c>
      <c r="Z7" s="497">
        <v>1213632.0</v>
      </c>
      <c r="AA7" s="498">
        <v>1024.1620253164556</v>
      </c>
      <c r="AC7" s="450" t="s">
        <v>200</v>
      </c>
      <c r="AD7" s="450">
        <v>120.0</v>
      </c>
      <c r="AE7" s="455">
        <v>162.77002373042</v>
      </c>
      <c r="AF7" s="464">
        <v>16856.0</v>
      </c>
      <c r="AG7" s="497">
        <v>2743651.5199999595</v>
      </c>
      <c r="AH7" s="498">
        <v>2325.128406779627</v>
      </c>
      <c r="AJ7" s="450" t="s">
        <v>200</v>
      </c>
      <c r="AK7" s="450">
        <v>120.0</v>
      </c>
      <c r="AL7" s="455">
        <v>117.7</v>
      </c>
      <c r="AM7" s="464">
        <v>16856.0</v>
      </c>
      <c r="AN7" s="497">
        <v>1983951.2</v>
      </c>
      <c r="AO7" s="498">
        <v>1632.881646090535</v>
      </c>
      <c r="AQ7" s="450" t="s">
        <v>216</v>
      </c>
      <c r="AR7" s="450">
        <v>40.0</v>
      </c>
      <c r="AS7" s="455">
        <v>66.81</v>
      </c>
      <c r="AT7" s="464">
        <v>13139.0</v>
      </c>
      <c r="AU7" s="497">
        <v>877816.5900000001</v>
      </c>
      <c r="AV7" s="498">
        <v>665.0125681818182</v>
      </c>
      <c r="AX7" s="450" t="s">
        <v>200</v>
      </c>
      <c r="AY7" s="450">
        <v>120.0</v>
      </c>
      <c r="AZ7" s="455">
        <v>80.75</v>
      </c>
      <c r="BA7" s="464">
        <v>18880.0</v>
      </c>
      <c r="BB7" s="497">
        <v>1524560.0</v>
      </c>
      <c r="BC7" s="498">
        <v>1133.5018587360594</v>
      </c>
      <c r="BE7" s="450" t="s">
        <v>200</v>
      </c>
      <c r="BF7" s="501">
        <v>120.0</v>
      </c>
      <c r="BG7" s="455">
        <v>94.92</v>
      </c>
      <c r="BH7" s="464">
        <v>18880.0</v>
      </c>
      <c r="BI7" s="497">
        <v>1792089.6</v>
      </c>
      <c r="BJ7" s="498">
        <v>1240.2004152249135</v>
      </c>
      <c r="BL7" s="450"/>
      <c r="BM7" s="450"/>
      <c r="BN7" s="455"/>
      <c r="BO7" s="464"/>
      <c r="BP7" s="497"/>
      <c r="BQ7" s="498"/>
      <c r="BS7" s="450"/>
      <c r="BT7" s="450"/>
      <c r="BU7" s="455"/>
      <c r="BV7" s="464"/>
      <c r="BW7" s="497"/>
      <c r="BX7" s="498"/>
      <c r="BZ7" s="450"/>
      <c r="CA7" s="450"/>
      <c r="CB7" s="455"/>
      <c r="CC7" s="464"/>
      <c r="CD7" s="497"/>
      <c r="CE7" s="498"/>
    </row>
    <row r="8">
      <c r="A8" s="450" t="s">
        <v>216</v>
      </c>
      <c r="B8" s="450">
        <v>32.0</v>
      </c>
      <c r="C8" s="455">
        <v>6.7</v>
      </c>
      <c r="D8" s="464">
        <v>12166.0</v>
      </c>
      <c r="E8" s="497">
        <v>81512.2</v>
      </c>
      <c r="F8" s="498">
        <v>66.81327868852459</v>
      </c>
      <c r="G8" s="497"/>
      <c r="H8" s="450" t="s">
        <v>216</v>
      </c>
      <c r="I8" s="450">
        <v>32.0</v>
      </c>
      <c r="J8" s="455">
        <v>49.651</v>
      </c>
      <c r="K8" s="464">
        <v>13139.0</v>
      </c>
      <c r="L8" s="497">
        <v>652364.4890000001</v>
      </c>
      <c r="M8" s="498">
        <v>530.3776333333334</v>
      </c>
      <c r="O8" s="450" t="s">
        <v>216</v>
      </c>
      <c r="P8" s="450">
        <v>32.0</v>
      </c>
      <c r="Q8" s="455">
        <v>37.771</v>
      </c>
      <c r="R8" s="464">
        <v>13139.0</v>
      </c>
      <c r="S8" s="497">
        <v>496273.169</v>
      </c>
      <c r="T8" s="498">
        <v>374.54578792452827</v>
      </c>
      <c r="V8" s="450" t="s">
        <v>207</v>
      </c>
      <c r="W8" s="450">
        <v>80.0</v>
      </c>
      <c r="X8" s="455">
        <v>80.0</v>
      </c>
      <c r="Y8" s="464">
        <v>11000.0</v>
      </c>
      <c r="Z8" s="497">
        <v>880000.0</v>
      </c>
      <c r="AA8" s="498">
        <v>742.6160337552743</v>
      </c>
      <c r="AC8" s="450" t="s">
        <v>216</v>
      </c>
      <c r="AD8" s="450">
        <v>40.0</v>
      </c>
      <c r="AE8" s="455">
        <v>76.001598295152</v>
      </c>
      <c r="AF8" s="464">
        <v>13139.0</v>
      </c>
      <c r="AG8" s="497">
        <v>998585.000000002</v>
      </c>
      <c r="AH8" s="498">
        <v>846.2584745762729</v>
      </c>
      <c r="AJ8" s="450" t="s">
        <v>216</v>
      </c>
      <c r="AK8" s="450">
        <v>40.0</v>
      </c>
      <c r="AL8" s="455">
        <v>30.0006088743436</v>
      </c>
      <c r="AM8" s="464">
        <v>13139.0</v>
      </c>
      <c r="AN8" s="497">
        <v>394178.0000000006</v>
      </c>
      <c r="AO8" s="498">
        <v>324.42633744856016</v>
      </c>
      <c r="AQ8" s="450" t="s">
        <v>207</v>
      </c>
      <c r="AR8" s="450">
        <v>90.0</v>
      </c>
      <c r="AS8" s="455">
        <v>72.88</v>
      </c>
      <c r="AT8" s="464">
        <v>11000.0</v>
      </c>
      <c r="AU8" s="497">
        <v>801680.0</v>
      </c>
      <c r="AV8" s="498">
        <v>607.3333333333334</v>
      </c>
      <c r="AX8" s="450" t="s">
        <v>216</v>
      </c>
      <c r="AY8" s="450">
        <v>40.0</v>
      </c>
      <c r="AZ8" s="455">
        <v>60.620000000000005</v>
      </c>
      <c r="BA8" s="464">
        <v>13806.4612</v>
      </c>
      <c r="BB8" s="497">
        <v>836947.677944</v>
      </c>
      <c r="BC8" s="498">
        <v>622.2659315568774</v>
      </c>
      <c r="BE8" s="450" t="s">
        <v>216</v>
      </c>
      <c r="BF8" s="450">
        <v>40.0</v>
      </c>
      <c r="BG8" s="455">
        <v>54.589999999999996</v>
      </c>
      <c r="BH8" s="464">
        <v>13806.4612</v>
      </c>
      <c r="BI8" s="497">
        <v>753694.716908</v>
      </c>
      <c r="BJ8" s="498">
        <v>521.5880393826989</v>
      </c>
      <c r="BL8" s="450"/>
      <c r="BM8" s="450"/>
      <c r="BN8" s="455"/>
      <c r="BO8" s="464"/>
      <c r="BP8" s="497"/>
      <c r="BQ8" s="498"/>
      <c r="BS8" s="450"/>
      <c r="BT8" s="450"/>
      <c r="BU8" s="455"/>
      <c r="BV8" s="464"/>
      <c r="BW8" s="497"/>
      <c r="BX8" s="498"/>
      <c r="BZ8" s="450"/>
      <c r="CA8" s="450"/>
      <c r="CB8" s="455"/>
      <c r="CC8" s="464"/>
      <c r="CD8" s="497"/>
      <c r="CE8" s="498"/>
    </row>
    <row r="9">
      <c r="A9" s="450" t="s">
        <v>207</v>
      </c>
      <c r="B9" s="450">
        <v>140.0</v>
      </c>
      <c r="C9" s="455">
        <v>55.0</v>
      </c>
      <c r="D9" s="464">
        <v>10000.0</v>
      </c>
      <c r="E9" s="497">
        <v>550000.0</v>
      </c>
      <c r="F9" s="498">
        <v>450.8196721311475</v>
      </c>
      <c r="G9" s="497"/>
      <c r="H9" s="450" t="s">
        <v>207</v>
      </c>
      <c r="I9" s="450">
        <v>80.0</v>
      </c>
      <c r="J9" s="455">
        <v>80.28</v>
      </c>
      <c r="K9" s="464">
        <v>10000.0</v>
      </c>
      <c r="L9" s="497">
        <v>802800.0</v>
      </c>
      <c r="M9" s="498">
        <v>652.6829268292682</v>
      </c>
      <c r="O9" s="450" t="s">
        <v>207</v>
      </c>
      <c r="P9" s="450">
        <v>80.0</v>
      </c>
      <c r="Q9" s="455">
        <v>82.0</v>
      </c>
      <c r="R9" s="464">
        <v>10000.0</v>
      </c>
      <c r="S9" s="497">
        <v>820000.0</v>
      </c>
      <c r="T9" s="498">
        <v>618.8679245283018</v>
      </c>
      <c r="V9" s="450" t="s">
        <v>87</v>
      </c>
      <c r="W9" s="450">
        <v>20.0</v>
      </c>
      <c r="X9" s="455">
        <v>19.0</v>
      </c>
      <c r="Y9" s="464">
        <v>10000.0</v>
      </c>
      <c r="Z9" s="497">
        <v>190000.0</v>
      </c>
      <c r="AA9" s="498">
        <v>160.33755274261603</v>
      </c>
      <c r="AC9" s="450" t="s">
        <v>207</v>
      </c>
      <c r="AD9" s="450">
        <v>90.0</v>
      </c>
      <c r="AE9" s="455">
        <v>87.13</v>
      </c>
      <c r="AF9" s="464">
        <v>11000.0</v>
      </c>
      <c r="AG9" s="497">
        <v>958430.0</v>
      </c>
      <c r="AH9" s="498">
        <v>812.228813559322</v>
      </c>
      <c r="AJ9" s="450" t="s">
        <v>207</v>
      </c>
      <c r="AK9" s="450">
        <v>90.0</v>
      </c>
      <c r="AL9" s="455">
        <v>84.5</v>
      </c>
      <c r="AM9" s="464">
        <v>11000.0</v>
      </c>
      <c r="AN9" s="497">
        <v>929500.0</v>
      </c>
      <c r="AO9" s="498">
        <v>765.0205761316872</v>
      </c>
      <c r="AQ9" s="450" t="s">
        <v>87</v>
      </c>
      <c r="AR9" s="450">
        <v>20.0</v>
      </c>
      <c r="AS9" s="455">
        <v>13.08</v>
      </c>
      <c r="AT9" s="464">
        <v>11000.0</v>
      </c>
      <c r="AU9" s="497">
        <v>143880.0</v>
      </c>
      <c r="AV9" s="498">
        <v>109.0</v>
      </c>
      <c r="AX9" s="450" t="s">
        <v>207</v>
      </c>
      <c r="AY9" s="450">
        <v>90.0</v>
      </c>
      <c r="AZ9" s="455">
        <v>66.92999999999999</v>
      </c>
      <c r="BA9" s="464">
        <v>11558.8</v>
      </c>
      <c r="BB9" s="497">
        <v>773630.4839999998</v>
      </c>
      <c r="BC9" s="498">
        <v>575.1899509293679</v>
      </c>
      <c r="BE9" s="450" t="s">
        <v>207</v>
      </c>
      <c r="BF9" s="450">
        <v>90.0</v>
      </c>
      <c r="BG9" s="455">
        <v>85.07000000000001</v>
      </c>
      <c r="BH9" s="593">
        <v>11558.8</v>
      </c>
      <c r="BI9" s="608">
        <v>983307.116</v>
      </c>
      <c r="BJ9" s="595">
        <v>680.489353633218</v>
      </c>
      <c r="BL9" s="450"/>
      <c r="BM9" s="450"/>
      <c r="BN9" s="455"/>
      <c r="BO9" s="593"/>
      <c r="BP9" s="594"/>
      <c r="BQ9" s="595"/>
      <c r="BS9" s="450"/>
      <c r="BT9" s="450"/>
      <c r="BU9" s="455"/>
      <c r="BV9" s="593"/>
      <c r="BW9" s="594"/>
      <c r="BX9" s="595"/>
      <c r="BZ9" s="450"/>
      <c r="CA9" s="450"/>
      <c r="CB9" s="455"/>
      <c r="CC9" s="593"/>
      <c r="CD9" s="594"/>
      <c r="CE9" s="595"/>
    </row>
    <row r="10">
      <c r="A10" s="450" t="s">
        <v>87</v>
      </c>
      <c r="B10" s="450">
        <v>80.0</v>
      </c>
      <c r="C10" s="455">
        <v>5.5</v>
      </c>
      <c r="D10" s="464">
        <v>6250.0</v>
      </c>
      <c r="E10" s="497">
        <v>34375.0</v>
      </c>
      <c r="F10" s="498">
        <v>28.17622950819672</v>
      </c>
      <c r="G10" s="497"/>
      <c r="H10" s="450" t="s">
        <v>87</v>
      </c>
      <c r="I10" s="450">
        <v>0.0</v>
      </c>
      <c r="J10" s="455">
        <v>11.5</v>
      </c>
      <c r="K10" s="464">
        <v>9000.0</v>
      </c>
      <c r="L10" s="497">
        <v>103500.0</v>
      </c>
      <c r="M10" s="498">
        <v>84.14634146341463</v>
      </c>
      <c r="O10" s="450" t="s">
        <v>87</v>
      </c>
      <c r="P10" s="450">
        <v>0.0</v>
      </c>
      <c r="Q10" s="455">
        <v>3.3</v>
      </c>
      <c r="R10" s="464">
        <v>10000.0</v>
      </c>
      <c r="S10" s="497">
        <v>33000.0</v>
      </c>
      <c r="T10" s="498">
        <v>24.90566037735849</v>
      </c>
      <c r="V10" s="450" t="s">
        <v>194</v>
      </c>
      <c r="W10" s="450">
        <v>150.0</v>
      </c>
      <c r="X10" s="455">
        <v>148.0</v>
      </c>
      <c r="Y10" s="464">
        <v>11141.0</v>
      </c>
      <c r="Z10" s="497">
        <v>1648868.0</v>
      </c>
      <c r="AA10" s="498">
        <v>1391.4497890295359</v>
      </c>
      <c r="AC10" s="450" t="s">
        <v>87</v>
      </c>
      <c r="AD10" s="450">
        <v>20.0</v>
      </c>
      <c r="AE10" s="455">
        <v>26.68</v>
      </c>
      <c r="AF10" s="464">
        <v>11000.0</v>
      </c>
      <c r="AG10" s="497">
        <v>293480.0</v>
      </c>
      <c r="AH10" s="498">
        <v>248.71186440677965</v>
      </c>
      <c r="AJ10" s="450" t="s">
        <v>87</v>
      </c>
      <c r="AK10" s="450">
        <v>20.0</v>
      </c>
      <c r="AL10" s="455">
        <v>8.2</v>
      </c>
      <c r="AM10" s="464">
        <v>11000.0</v>
      </c>
      <c r="AN10" s="497">
        <v>90199.99999999999</v>
      </c>
      <c r="AO10" s="498">
        <v>74.238683127572</v>
      </c>
      <c r="AQ10" s="450" t="s">
        <v>194</v>
      </c>
      <c r="AR10" s="450">
        <v>150.0</v>
      </c>
      <c r="AS10" s="455">
        <v>115.0557445</v>
      </c>
      <c r="AT10" s="464">
        <v>12088.0</v>
      </c>
      <c r="AU10" s="497">
        <v>1390793.8395160001</v>
      </c>
      <c r="AV10" s="498">
        <v>1053.6316966030304</v>
      </c>
      <c r="AX10" s="450" t="s">
        <v>87</v>
      </c>
      <c r="AY10" s="450">
        <v>20.0</v>
      </c>
      <c r="AZ10" s="455">
        <v>6.03</v>
      </c>
      <c r="BA10" s="593">
        <v>11558.8</v>
      </c>
      <c r="BB10" s="609">
        <v>69699.564</v>
      </c>
      <c r="BC10" s="595">
        <v>51.82123717472119</v>
      </c>
      <c r="BE10" s="450" t="s">
        <v>87</v>
      </c>
      <c r="BF10" s="450">
        <v>20.0</v>
      </c>
      <c r="BG10" s="455">
        <v>14.25</v>
      </c>
      <c r="BH10" s="593">
        <v>11558.8</v>
      </c>
      <c r="BI10" s="608">
        <v>164712.9</v>
      </c>
      <c r="BJ10" s="595">
        <v>113.98816608996539</v>
      </c>
      <c r="BL10" s="450"/>
      <c r="BM10" s="450"/>
      <c r="BN10" s="455"/>
      <c r="BO10" s="593"/>
      <c r="BP10" s="594"/>
      <c r="BQ10" s="595"/>
      <c r="BS10" s="450"/>
      <c r="BT10" s="450"/>
      <c r="BU10" s="455"/>
      <c r="BV10" s="593"/>
      <c r="BW10" s="594"/>
      <c r="BX10" s="595"/>
      <c r="BZ10" s="450"/>
      <c r="CA10" s="450"/>
      <c r="CB10" s="455"/>
      <c r="CC10" s="593"/>
      <c r="CD10" s="594"/>
      <c r="CE10" s="595"/>
    </row>
    <row r="11">
      <c r="A11" s="450" t="s">
        <v>194</v>
      </c>
      <c r="B11" s="450">
        <v>150.0</v>
      </c>
      <c r="C11" s="455">
        <v>149.8</v>
      </c>
      <c r="D11" s="464">
        <v>9687.5</v>
      </c>
      <c r="E11" s="497">
        <v>1451187.5</v>
      </c>
      <c r="F11" s="498">
        <v>1189.497950819672</v>
      </c>
      <c r="G11" s="497"/>
      <c r="H11" s="450" t="s">
        <v>194</v>
      </c>
      <c r="I11" s="450">
        <v>150.0</v>
      </c>
      <c r="J11" s="455">
        <v>146.32500000000002</v>
      </c>
      <c r="K11" s="464">
        <v>11141.0</v>
      </c>
      <c r="L11" s="497">
        <v>1630206.8250000002</v>
      </c>
      <c r="M11" s="498">
        <v>1325.3714024390245</v>
      </c>
      <c r="O11" s="450" t="s">
        <v>194</v>
      </c>
      <c r="P11" s="450">
        <v>150.0</v>
      </c>
      <c r="Q11" s="455">
        <v>125.495</v>
      </c>
      <c r="R11" s="464">
        <v>11141.0</v>
      </c>
      <c r="S11" s="497">
        <v>1398139.7950000002</v>
      </c>
      <c r="T11" s="498">
        <v>1055.199845283019</v>
      </c>
      <c r="V11" s="450" t="s">
        <v>210</v>
      </c>
      <c r="W11" s="450">
        <v>0.0</v>
      </c>
      <c r="X11" s="455">
        <v>2.0</v>
      </c>
      <c r="Y11" s="464">
        <v>14717.0</v>
      </c>
      <c r="Z11" s="497">
        <v>29434.0</v>
      </c>
      <c r="AA11" s="498">
        <v>24.838818565400842</v>
      </c>
      <c r="AC11" s="450" t="s">
        <v>194</v>
      </c>
      <c r="AD11" s="450">
        <v>150.0</v>
      </c>
      <c r="AE11" s="455">
        <v>109.4</v>
      </c>
      <c r="AF11" s="464">
        <v>12088.000000000002</v>
      </c>
      <c r="AG11" s="497">
        <v>1322427.2000000002</v>
      </c>
      <c r="AH11" s="498">
        <v>1120.7010169491527</v>
      </c>
      <c r="AJ11" s="450" t="s">
        <v>194</v>
      </c>
      <c r="AK11" s="450">
        <v>150.0</v>
      </c>
      <c r="AL11" s="455">
        <v>155.72574454</v>
      </c>
      <c r="AM11" s="464">
        <v>12088.0</v>
      </c>
      <c r="AN11" s="497">
        <v>1882412.79999952</v>
      </c>
      <c r="AO11" s="498">
        <v>1549.3109465016626</v>
      </c>
      <c r="AQ11" s="450" t="s">
        <v>230</v>
      </c>
      <c r="AR11" s="450">
        <v>160.0</v>
      </c>
      <c r="AS11" s="455">
        <v>150.5</v>
      </c>
      <c r="AT11" s="464">
        <v>11900.000000000002</v>
      </c>
      <c r="AU11" s="497">
        <v>1790950.0000000002</v>
      </c>
      <c r="AV11" s="498">
        <v>1356.7803030303032</v>
      </c>
      <c r="AX11" s="450" t="s">
        <v>194</v>
      </c>
      <c r="AY11" s="450">
        <v>150.0</v>
      </c>
      <c r="AZ11" s="455">
        <v>82.5</v>
      </c>
      <c r="BA11" s="593">
        <v>12702.070399999999</v>
      </c>
      <c r="BB11" s="609">
        <v>1047920.8079999998</v>
      </c>
      <c r="BC11" s="595">
        <v>779.12327732342</v>
      </c>
      <c r="BE11" s="450" t="s">
        <v>194</v>
      </c>
      <c r="BF11" s="450">
        <v>150.0</v>
      </c>
      <c r="BG11" s="455">
        <v>115.03</v>
      </c>
      <c r="BH11" s="593">
        <v>12702.070399999999</v>
      </c>
      <c r="BI11" s="608">
        <v>1461119.158112</v>
      </c>
      <c r="BJ11" s="595">
        <v>1011.1551267211072</v>
      </c>
      <c r="BL11" s="569"/>
      <c r="BM11" s="569"/>
      <c r="BN11" s="588"/>
      <c r="BO11" s="590"/>
      <c r="BP11" s="591"/>
      <c r="BQ11" s="592"/>
      <c r="BS11" s="569"/>
      <c r="BT11" s="569"/>
      <c r="BU11" s="588"/>
      <c r="BV11" s="590"/>
      <c r="BW11" s="591"/>
      <c r="BX11" s="592"/>
      <c r="BZ11" s="569"/>
      <c r="CA11" s="569"/>
      <c r="CB11" s="588"/>
      <c r="CC11" s="590"/>
      <c r="CD11" s="591"/>
      <c r="CE11" s="592"/>
    </row>
    <row r="12">
      <c r="A12" s="450" t="s">
        <v>210</v>
      </c>
      <c r="B12" s="450">
        <v>0.0</v>
      </c>
      <c r="C12" s="455">
        <v>10.5</v>
      </c>
      <c r="D12" s="464">
        <v>14717.0</v>
      </c>
      <c r="E12" s="497">
        <v>154528.5</v>
      </c>
      <c r="F12" s="498">
        <v>126.66270491803279</v>
      </c>
      <c r="G12" s="497"/>
      <c r="H12" s="450" t="s">
        <v>210</v>
      </c>
      <c r="I12" s="450">
        <v>0.0</v>
      </c>
      <c r="J12" s="455">
        <v>5.0</v>
      </c>
      <c r="K12" s="464">
        <v>14717.0</v>
      </c>
      <c r="L12" s="497">
        <v>73585.0</v>
      </c>
      <c r="M12" s="498">
        <v>59.82520325203252</v>
      </c>
      <c r="O12" s="450" t="s">
        <v>221</v>
      </c>
      <c r="P12" s="450">
        <v>60.0</v>
      </c>
      <c r="Q12" s="455">
        <v>100.0</v>
      </c>
      <c r="R12" s="464">
        <v>10121.0</v>
      </c>
      <c r="S12" s="497">
        <v>1012100.0</v>
      </c>
      <c r="T12" s="498">
        <v>763.8490566037735</v>
      </c>
      <c r="V12" s="450" t="s">
        <v>221</v>
      </c>
      <c r="W12" s="450">
        <v>60.0</v>
      </c>
      <c r="X12" s="455">
        <v>38.0</v>
      </c>
      <c r="Y12" s="464">
        <v>10121.0</v>
      </c>
      <c r="Z12" s="497">
        <v>384598.0</v>
      </c>
      <c r="AA12" s="498">
        <v>324.55527426160336</v>
      </c>
      <c r="AC12" s="450" t="s">
        <v>230</v>
      </c>
      <c r="AD12" s="450">
        <v>160.0</v>
      </c>
      <c r="AE12" s="455">
        <v>80.5</v>
      </c>
      <c r="AF12" s="464">
        <v>10625.0</v>
      </c>
      <c r="AG12" s="497">
        <v>855312.5</v>
      </c>
      <c r="AH12" s="498">
        <v>724.8411016949152</v>
      </c>
      <c r="AJ12" s="450" t="s">
        <v>230</v>
      </c>
      <c r="AK12" s="450">
        <v>160.0</v>
      </c>
      <c r="AL12" s="455">
        <v>155.25</v>
      </c>
      <c r="AM12" s="464">
        <v>11900.000000000002</v>
      </c>
      <c r="AN12" s="497">
        <v>1847475.0000000002</v>
      </c>
      <c r="AO12" s="498">
        <v>1520.5555555555557</v>
      </c>
      <c r="AQ12" s="450" t="s">
        <v>210</v>
      </c>
      <c r="AR12" s="450">
        <v>3.0</v>
      </c>
      <c r="AS12" s="455">
        <v>6.0</v>
      </c>
      <c r="AT12" s="464">
        <v>16760.0</v>
      </c>
      <c r="AU12" s="497">
        <v>100560.0</v>
      </c>
      <c r="AV12" s="498">
        <v>76.18181818181819</v>
      </c>
      <c r="AX12" s="450" t="s">
        <v>230</v>
      </c>
      <c r="AY12" s="450">
        <v>160.0</v>
      </c>
      <c r="AZ12" s="455">
        <v>115.5</v>
      </c>
      <c r="BA12" s="593">
        <v>12504.520000000002</v>
      </c>
      <c r="BB12" s="609">
        <v>1444272.0600000003</v>
      </c>
      <c r="BC12" s="595">
        <v>1073.8082230483274</v>
      </c>
      <c r="BE12" s="102" t="s">
        <v>230</v>
      </c>
      <c r="BF12" s="450">
        <v>160.0</v>
      </c>
      <c r="BG12" s="455">
        <v>125.08</v>
      </c>
      <c r="BH12" s="464">
        <v>12504.520000000002</v>
      </c>
      <c r="BI12" s="497">
        <v>1564065.3616000002</v>
      </c>
      <c r="BJ12" s="498">
        <v>1082.3981741176472</v>
      </c>
    </row>
    <row r="13">
      <c r="A13" s="450" t="s">
        <v>221</v>
      </c>
      <c r="B13" s="450">
        <v>60.0</v>
      </c>
      <c r="C13" s="455">
        <v>109.0</v>
      </c>
      <c r="D13" s="464">
        <v>8801.0</v>
      </c>
      <c r="E13" s="497">
        <v>959309.0</v>
      </c>
      <c r="F13" s="498">
        <v>786.3188524590164</v>
      </c>
      <c r="G13" s="497"/>
      <c r="H13" s="450" t="s">
        <v>221</v>
      </c>
      <c r="I13" s="450">
        <v>60.0</v>
      </c>
      <c r="J13" s="455">
        <v>99.502</v>
      </c>
      <c r="K13" s="464">
        <v>10121.0</v>
      </c>
      <c r="L13" s="497">
        <v>1007059.742</v>
      </c>
      <c r="M13" s="498">
        <v>818.7477577235773</v>
      </c>
      <c r="O13" s="450" t="s">
        <v>203</v>
      </c>
      <c r="P13" s="450">
        <v>30.0</v>
      </c>
      <c r="Q13" s="455">
        <v>25.9</v>
      </c>
      <c r="R13" s="464">
        <v>9115.0</v>
      </c>
      <c r="S13" s="497">
        <v>236078.5</v>
      </c>
      <c r="T13" s="498">
        <v>178.1724528301887</v>
      </c>
      <c r="V13" s="450" t="s">
        <v>203</v>
      </c>
      <c r="W13" s="450">
        <v>0.0</v>
      </c>
      <c r="X13" s="455">
        <v>56.40471749863</v>
      </c>
      <c r="Y13" s="464">
        <v>9115.0</v>
      </c>
      <c r="Z13" s="497">
        <v>514129.00000001246</v>
      </c>
      <c r="AA13" s="498">
        <v>433.8641350211076</v>
      </c>
      <c r="AC13" s="450" t="s">
        <v>221</v>
      </c>
      <c r="AD13" s="450">
        <v>70.0</v>
      </c>
      <c r="AE13" s="455">
        <v>77.8</v>
      </c>
      <c r="AF13" s="464">
        <v>10981.0</v>
      </c>
      <c r="AG13" s="497">
        <v>854321.7999999999</v>
      </c>
      <c r="AH13" s="498">
        <v>724.0015254237287</v>
      </c>
      <c r="AJ13" s="450" t="s">
        <v>221</v>
      </c>
      <c r="AK13" s="450">
        <v>70.0</v>
      </c>
      <c r="AL13" s="455">
        <v>53.0</v>
      </c>
      <c r="AM13" s="464">
        <v>10981.0</v>
      </c>
      <c r="AN13" s="497">
        <v>581993.0</v>
      </c>
      <c r="AO13" s="498">
        <v>479.0065843621399</v>
      </c>
      <c r="AQ13" s="450" t="s">
        <v>221</v>
      </c>
      <c r="AR13" s="450">
        <v>70.0</v>
      </c>
      <c r="AS13" s="455">
        <v>62.17</v>
      </c>
      <c r="AT13" s="464">
        <v>10981.0</v>
      </c>
      <c r="AU13" s="497">
        <v>682688.77</v>
      </c>
      <c r="AV13" s="498">
        <v>517.1884621212122</v>
      </c>
      <c r="AX13" s="102" t="s">
        <v>210</v>
      </c>
      <c r="AY13" s="450">
        <v>3.0</v>
      </c>
      <c r="AZ13" s="455">
        <v>2.75</v>
      </c>
      <c r="BA13" s="464">
        <v>18017.0</v>
      </c>
      <c r="BB13" s="497">
        <v>49546.75</v>
      </c>
      <c r="BC13" s="498">
        <v>36.837732342007435</v>
      </c>
      <c r="BF13" s="450"/>
      <c r="BG13" s="455"/>
      <c r="BH13" s="464"/>
      <c r="BI13" s="497"/>
      <c r="BJ13" s="498"/>
    </row>
    <row r="14">
      <c r="A14" s="450" t="s">
        <v>203</v>
      </c>
      <c r="B14" s="450">
        <v>30.0</v>
      </c>
      <c r="C14" s="455">
        <v>52.33</v>
      </c>
      <c r="D14" s="464">
        <v>8286.0</v>
      </c>
      <c r="E14" s="497">
        <v>433606.38</v>
      </c>
      <c r="F14" s="498">
        <v>355.4150655737705</v>
      </c>
      <c r="G14" s="497"/>
      <c r="H14" s="450" t="s">
        <v>203</v>
      </c>
      <c r="I14" s="450">
        <v>30.0</v>
      </c>
      <c r="J14" s="455">
        <v>85.78399999999999</v>
      </c>
      <c r="K14" s="464">
        <v>9115.0</v>
      </c>
      <c r="L14" s="497">
        <v>781921.1599999999</v>
      </c>
      <c r="M14" s="498">
        <v>635.7082601626015</v>
      </c>
      <c r="O14" s="450" t="s">
        <v>197</v>
      </c>
      <c r="P14" s="450">
        <v>50.0</v>
      </c>
      <c r="Q14" s="455">
        <v>42.3</v>
      </c>
      <c r="R14" s="464">
        <v>10282.999999999998</v>
      </c>
      <c r="S14" s="497">
        <v>434970.8999999999</v>
      </c>
      <c r="T14" s="498">
        <v>328.2799245283018</v>
      </c>
      <c r="V14" s="450" t="s">
        <v>197</v>
      </c>
      <c r="W14" s="450">
        <v>5.0</v>
      </c>
      <c r="X14" s="455">
        <v>60.5</v>
      </c>
      <c r="Y14" s="464">
        <v>11081.0</v>
      </c>
      <c r="Z14" s="497">
        <v>670400.5</v>
      </c>
      <c r="AA14" s="498">
        <v>565.7388185654008</v>
      </c>
      <c r="AC14" s="450" t="s">
        <v>203</v>
      </c>
      <c r="AD14" s="450">
        <v>0.0</v>
      </c>
      <c r="AE14" s="455">
        <v>30.0</v>
      </c>
      <c r="AF14" s="464">
        <v>9867.0</v>
      </c>
      <c r="AG14" s="497">
        <v>296010.0</v>
      </c>
      <c r="AH14" s="498">
        <v>250.85593220338984</v>
      </c>
      <c r="AJ14" s="450" t="s">
        <v>120</v>
      </c>
      <c r="AK14" s="450">
        <v>5.0</v>
      </c>
      <c r="AL14" s="455">
        <v>6.0</v>
      </c>
      <c r="AM14" s="464">
        <v>24166.666666666668</v>
      </c>
      <c r="AN14" s="497">
        <v>145000.0</v>
      </c>
      <c r="AO14" s="498">
        <v>119.34156378600824</v>
      </c>
      <c r="AQ14" s="450" t="s">
        <v>218</v>
      </c>
      <c r="AR14" s="450">
        <v>32.0</v>
      </c>
      <c r="AS14" s="455">
        <v>46.0</v>
      </c>
      <c r="AT14" s="464">
        <v>19000.0</v>
      </c>
      <c r="AU14" s="497">
        <v>874000.0</v>
      </c>
      <c r="AV14" s="498">
        <v>662.1212121212121</v>
      </c>
      <c r="AX14" s="102" t="s">
        <v>221</v>
      </c>
      <c r="AY14" s="450">
        <v>70.0</v>
      </c>
      <c r="AZ14" s="455">
        <v>49.75</v>
      </c>
      <c r="BA14" s="464">
        <v>11859.480000000001</v>
      </c>
      <c r="BB14" s="497">
        <v>590009.1300000001</v>
      </c>
      <c r="BC14" s="498">
        <v>438.668498141264</v>
      </c>
      <c r="BE14" s="102" t="s">
        <v>221</v>
      </c>
      <c r="BF14" s="450">
        <v>70.0</v>
      </c>
      <c r="BG14" s="455">
        <v>55.17</v>
      </c>
      <c r="BH14" s="464">
        <v>11859.480000000001</v>
      </c>
      <c r="BI14" s="497">
        <v>654287.5116000001</v>
      </c>
      <c r="BJ14" s="498">
        <v>452.79412567474054</v>
      </c>
    </row>
    <row r="15">
      <c r="A15" s="450" t="s">
        <v>197</v>
      </c>
      <c r="B15" s="450">
        <v>50.0</v>
      </c>
      <c r="C15" s="455">
        <v>16.0</v>
      </c>
      <c r="D15" s="464">
        <v>9049.0</v>
      </c>
      <c r="E15" s="497">
        <v>144784.0</v>
      </c>
      <c r="F15" s="498">
        <v>118.67540983606557</v>
      </c>
      <c r="G15" s="497"/>
      <c r="H15" s="450" t="s">
        <v>197</v>
      </c>
      <c r="I15" s="450">
        <v>50.0</v>
      </c>
      <c r="J15" s="455">
        <v>94.463</v>
      </c>
      <c r="K15" s="464">
        <v>10045.0</v>
      </c>
      <c r="L15" s="497">
        <v>948880.835</v>
      </c>
      <c r="M15" s="498">
        <v>771.4478333333333</v>
      </c>
      <c r="O15" s="450" t="s">
        <v>120</v>
      </c>
      <c r="P15" s="450">
        <v>20.0</v>
      </c>
      <c r="Q15" s="455">
        <v>20.2</v>
      </c>
      <c r="R15" s="464">
        <v>20833.333333333332</v>
      </c>
      <c r="S15" s="497">
        <v>420833.3333333333</v>
      </c>
      <c r="T15" s="498">
        <v>317.61006289308176</v>
      </c>
      <c r="V15" s="450" t="s">
        <v>120</v>
      </c>
      <c r="W15" s="450">
        <v>5.0</v>
      </c>
      <c r="X15" s="455">
        <v>7.1</v>
      </c>
      <c r="Y15" s="464">
        <v>24166.666666666668</v>
      </c>
      <c r="Z15" s="497">
        <v>171583.33333333334</v>
      </c>
      <c r="AA15" s="498">
        <v>144.79606188466948</v>
      </c>
      <c r="AC15" s="450" t="s">
        <v>197</v>
      </c>
      <c r="AD15" s="450">
        <v>5.0</v>
      </c>
      <c r="AE15" s="455">
        <v>5.0</v>
      </c>
      <c r="AF15" s="464">
        <v>12743.0</v>
      </c>
      <c r="AG15" s="497">
        <v>63715.0</v>
      </c>
      <c r="AH15" s="498">
        <v>53.99576271186441</v>
      </c>
      <c r="AJ15" s="450" t="s">
        <v>218</v>
      </c>
      <c r="AK15" s="450">
        <v>32.0</v>
      </c>
      <c r="AL15" s="455">
        <v>35.0</v>
      </c>
      <c r="AM15" s="464">
        <v>19000.0</v>
      </c>
      <c r="AN15" s="497">
        <v>665000.0</v>
      </c>
      <c r="AO15" s="498">
        <v>547.3251028806584</v>
      </c>
      <c r="AQ15" s="569" t="s">
        <v>1266</v>
      </c>
      <c r="AR15" s="610">
        <v>1001.0</v>
      </c>
      <c r="AS15" s="588">
        <v>884.3857445</v>
      </c>
      <c r="AT15" s="590">
        <v>164350.0</v>
      </c>
      <c r="AU15" s="591">
        <v>1.1718065619516E7</v>
      </c>
      <c r="AV15" s="592">
        <v>8877.322439027272</v>
      </c>
      <c r="AX15" s="102" t="s">
        <v>120</v>
      </c>
      <c r="AY15" s="450">
        <v>5.0</v>
      </c>
      <c r="AZ15" s="455">
        <v>5.25</v>
      </c>
      <c r="BA15" s="464">
        <v>26583.333333333336</v>
      </c>
      <c r="BB15" s="497">
        <v>139562.5</v>
      </c>
      <c r="BC15" s="498">
        <v>103.7639405204461</v>
      </c>
      <c r="BE15" s="102" t="s">
        <v>120</v>
      </c>
      <c r="BF15" s="450">
        <v>5.0</v>
      </c>
      <c r="BG15" s="455">
        <v>18.229999999999997</v>
      </c>
      <c r="BH15" s="464">
        <v>26583.333333333336</v>
      </c>
      <c r="BI15" s="497">
        <v>484614.1666666666</v>
      </c>
      <c r="BJ15" s="498">
        <v>335.37312572087654</v>
      </c>
    </row>
    <row r="16">
      <c r="A16" s="450" t="s">
        <v>218</v>
      </c>
      <c r="B16" s="450">
        <v>32.0</v>
      </c>
      <c r="C16" s="455">
        <v>120.0</v>
      </c>
      <c r="D16" s="464">
        <v>18000.0</v>
      </c>
      <c r="E16" s="497">
        <v>2160000.0</v>
      </c>
      <c r="F16" s="498">
        <v>1770.4918032786886</v>
      </c>
      <c r="G16" s="497"/>
      <c r="H16" s="450" t="s">
        <v>218</v>
      </c>
      <c r="I16" s="450">
        <v>32.0</v>
      </c>
      <c r="J16" s="455">
        <v>33.5</v>
      </c>
      <c r="K16" s="464">
        <v>18000.0</v>
      </c>
      <c r="L16" s="497">
        <v>603000.0</v>
      </c>
      <c r="M16" s="498">
        <v>490.2439024390244</v>
      </c>
      <c r="O16" s="450" t="s">
        <v>218</v>
      </c>
      <c r="P16" s="450">
        <v>32.0</v>
      </c>
      <c r="Q16" s="455">
        <v>72.0</v>
      </c>
      <c r="R16" s="464">
        <v>19000.0</v>
      </c>
      <c r="S16" s="497">
        <v>1368000.0</v>
      </c>
      <c r="T16" s="498">
        <v>1032.4528301886792</v>
      </c>
      <c r="V16" s="450" t="s">
        <v>218</v>
      </c>
      <c r="W16" s="450">
        <v>32.0</v>
      </c>
      <c r="X16" s="455">
        <v>35.29</v>
      </c>
      <c r="Y16" s="464">
        <v>19000.0</v>
      </c>
      <c r="Z16" s="497">
        <v>670510.0</v>
      </c>
      <c r="AA16" s="498">
        <v>565.831223628692</v>
      </c>
      <c r="AC16" s="450" t="s">
        <v>120</v>
      </c>
      <c r="AD16" s="450">
        <v>5.0</v>
      </c>
      <c r="AE16" s="455">
        <v>1.7</v>
      </c>
      <c r="AF16" s="464">
        <v>24166.666666666668</v>
      </c>
      <c r="AG16" s="497">
        <v>41083.333333333336</v>
      </c>
      <c r="AH16" s="498">
        <v>34.81638418079096</v>
      </c>
      <c r="AJ16" s="569" t="s">
        <v>1266</v>
      </c>
      <c r="AK16" s="569">
        <v>987.0</v>
      </c>
      <c r="AL16" s="588">
        <v>1002.9763503534316</v>
      </c>
      <c r="AM16" s="590">
        <v>178232.6666666667</v>
      </c>
      <c r="AN16" s="591">
        <v>1.2619449339999521E7</v>
      </c>
      <c r="AO16" s="592">
        <v>10386.378057612776</v>
      </c>
      <c r="AX16" s="102" t="s">
        <v>218</v>
      </c>
      <c r="AY16" s="450">
        <v>31.0</v>
      </c>
      <c r="AZ16" s="455">
        <v>49.019999999999996</v>
      </c>
      <c r="BA16" s="464">
        <v>19000.0</v>
      </c>
      <c r="BB16" s="497">
        <v>931379.9999999999</v>
      </c>
      <c r="BC16" s="498">
        <v>692.4758364312266</v>
      </c>
      <c r="BE16" s="102" t="s">
        <v>218</v>
      </c>
      <c r="BF16" s="450">
        <v>32.0</v>
      </c>
      <c r="BG16" s="455">
        <v>40.25</v>
      </c>
      <c r="BH16" s="464">
        <v>20000.008</v>
      </c>
      <c r="BI16" s="497">
        <v>805000.322</v>
      </c>
      <c r="BJ16" s="498">
        <v>557.0936484429066</v>
      </c>
    </row>
    <row r="17">
      <c r="A17" s="569" t="s">
        <v>1266</v>
      </c>
      <c r="B17" s="86">
        <v>776.0</v>
      </c>
      <c r="C17" s="588">
        <v>814.7000000000002</v>
      </c>
      <c r="D17" s="590">
        <v>164817.5</v>
      </c>
      <c r="E17" s="591">
        <v>9339897.98</v>
      </c>
      <c r="F17" s="592">
        <v>7655.654081967213</v>
      </c>
      <c r="G17" s="497"/>
      <c r="H17" s="569" t="s">
        <v>1266</v>
      </c>
      <c r="I17" s="611">
        <f t="shared" ref="I17:M17" si="1">SUM(I3:I16)</f>
        <v>776</v>
      </c>
      <c r="J17" s="588">
        <f t="shared" si="1"/>
        <v>946.57</v>
      </c>
      <c r="K17" s="588">
        <f t="shared" si="1"/>
        <v>165107</v>
      </c>
      <c r="L17" s="588">
        <f t="shared" si="1"/>
        <v>10957711.5</v>
      </c>
      <c r="M17" s="588">
        <f t="shared" si="1"/>
        <v>8908.708539</v>
      </c>
      <c r="O17" s="569" t="s">
        <v>1266</v>
      </c>
      <c r="P17" s="569">
        <v>796.0</v>
      </c>
      <c r="Q17" s="588">
        <v>817.8919999999999</v>
      </c>
      <c r="R17" s="590">
        <v>175336.3333333333</v>
      </c>
      <c r="S17" s="591">
        <v>9668426.995333333</v>
      </c>
      <c r="T17" s="592">
        <v>7296.926034213838</v>
      </c>
      <c r="V17" s="569" t="s">
        <v>1266</v>
      </c>
      <c r="W17" s="569">
        <v>714.0</v>
      </c>
      <c r="X17" s="588">
        <v>783.5947174986301</v>
      </c>
      <c r="Y17" s="590">
        <v>183385.6666666667</v>
      </c>
      <c r="Z17" s="591">
        <v>9288456.833333345</v>
      </c>
      <c r="AA17" s="592">
        <v>7838.360196905777</v>
      </c>
      <c r="AC17" s="450" t="s">
        <v>218</v>
      </c>
      <c r="AD17" s="450">
        <v>32.0</v>
      </c>
      <c r="AE17" s="455">
        <v>33.25</v>
      </c>
      <c r="AF17" s="464">
        <v>19000.0</v>
      </c>
      <c r="AG17" s="497">
        <v>631750.0</v>
      </c>
      <c r="AH17" s="498">
        <v>535.3813559322034</v>
      </c>
      <c r="AX17" s="569" t="s">
        <v>1266</v>
      </c>
      <c r="AY17" s="610">
        <v>1001.0</v>
      </c>
      <c r="AZ17" s="588">
        <v>666.6899999999998</v>
      </c>
      <c r="BA17" s="590">
        <v>196580.46493333334</v>
      </c>
      <c r="BB17" s="591">
        <v>9421992.773943998</v>
      </c>
      <c r="BC17" s="592">
        <v>7005.199088434201</v>
      </c>
      <c r="BE17" s="569" t="s">
        <v>1266</v>
      </c>
      <c r="BF17" s="569">
        <v>82.25</v>
      </c>
      <c r="BG17" s="588">
        <v>896.353333333</v>
      </c>
      <c r="BH17" s="590">
        <v>191391.47293333334</v>
      </c>
      <c r="BI17" s="591">
        <v>1.2183322646216666E7</v>
      </c>
      <c r="BJ17" s="592">
        <v>8431.36515309112</v>
      </c>
    </row>
    <row r="18">
      <c r="A18" s="450"/>
      <c r="B18" s="450"/>
      <c r="C18" s="450"/>
      <c r="D18" s="450"/>
      <c r="E18" s="450"/>
      <c r="F18" s="450"/>
      <c r="G18" s="497"/>
      <c r="H18" s="450"/>
      <c r="I18" s="455"/>
      <c r="K18" s="203"/>
      <c r="L18" s="596"/>
      <c r="M18" s="203"/>
      <c r="AC18" s="569" t="s">
        <v>1266</v>
      </c>
      <c r="AD18" s="569">
        <v>992.0</v>
      </c>
      <c r="AE18" s="588">
        <v>1076.171638350437</v>
      </c>
      <c r="AF18" s="590">
        <v>199567.6666666667</v>
      </c>
      <c r="AG18" s="591">
        <v>1.34813648533333E7</v>
      </c>
      <c r="AH18" s="592">
        <v>11424.885468926524</v>
      </c>
    </row>
    <row r="19">
      <c r="A19" s="450"/>
      <c r="B19" s="455"/>
      <c r="D19" s="589"/>
      <c r="E19" s="612"/>
      <c r="F19" s="589"/>
      <c r="G19" s="497"/>
      <c r="H19" s="450"/>
      <c r="I19" s="455"/>
      <c r="J19" s="450"/>
      <c r="K19" s="589"/>
      <c r="L19" s="612"/>
      <c r="M19" s="589"/>
      <c r="R19" s="589"/>
      <c r="S19" s="612"/>
      <c r="T19" s="589"/>
      <c r="Y19" s="589"/>
      <c r="Z19" s="612"/>
      <c r="AA19" s="589"/>
      <c r="AF19" s="589"/>
      <c r="AG19" s="612"/>
      <c r="AH19" s="589"/>
      <c r="AM19" s="589"/>
      <c r="AN19" s="612"/>
      <c r="AO19" s="589"/>
      <c r="AT19" s="589"/>
      <c r="AU19" s="612"/>
      <c r="AV19" s="589"/>
      <c r="BO19" s="589"/>
      <c r="BP19" s="612"/>
      <c r="BQ19" s="589"/>
      <c r="BV19" s="589"/>
      <c r="BW19" s="612"/>
      <c r="BX19" s="589"/>
      <c r="CC19" s="589"/>
      <c r="CD19" s="612"/>
      <c r="CE19" s="589"/>
    </row>
    <row r="20">
      <c r="A20" s="450"/>
      <c r="B20" s="455"/>
      <c r="D20" s="589"/>
      <c r="E20" s="600" t="s">
        <v>1359</v>
      </c>
      <c r="F20" s="589"/>
      <c r="G20" s="497"/>
      <c r="H20" s="450"/>
      <c r="I20" s="455"/>
      <c r="J20" s="450"/>
      <c r="K20" s="589"/>
      <c r="L20" s="600" t="s">
        <v>1360</v>
      </c>
      <c r="M20" s="589"/>
      <c r="R20" s="589"/>
      <c r="S20" s="600" t="s">
        <v>1361</v>
      </c>
      <c r="T20" s="589"/>
      <c r="Y20" s="589"/>
      <c r="Z20" s="600" t="s">
        <v>1362</v>
      </c>
      <c r="AA20" s="589"/>
      <c r="AF20" s="589"/>
      <c r="AG20" s="600" t="s">
        <v>1363</v>
      </c>
      <c r="AH20" s="589"/>
      <c r="AM20" s="589"/>
      <c r="AN20" s="600" t="s">
        <v>1364</v>
      </c>
      <c r="AO20" s="589"/>
      <c r="AT20" s="589"/>
      <c r="AU20" s="600" t="s">
        <v>1365</v>
      </c>
      <c r="AV20" s="589"/>
      <c r="BA20" s="589"/>
      <c r="BB20" s="612"/>
      <c r="BC20" s="589"/>
      <c r="BH20" s="589"/>
      <c r="BI20" s="612"/>
      <c r="BJ20" s="589"/>
      <c r="BO20" s="589"/>
      <c r="BP20" s="600" t="s">
        <v>1346</v>
      </c>
      <c r="BQ20" s="589"/>
      <c r="BV20" s="589"/>
      <c r="BW20" s="600" t="s">
        <v>1347</v>
      </c>
      <c r="BX20" s="589"/>
      <c r="CC20" s="589"/>
      <c r="CD20" s="600" t="s">
        <v>1348</v>
      </c>
      <c r="CE20" s="589"/>
    </row>
    <row r="21">
      <c r="A21" s="450"/>
      <c r="B21" s="455"/>
      <c r="D21" s="589"/>
      <c r="E21" s="601" t="s">
        <v>1349</v>
      </c>
      <c r="F21" s="602" t="s">
        <v>791</v>
      </c>
      <c r="G21" s="497"/>
      <c r="H21" s="450"/>
      <c r="I21" s="455"/>
      <c r="J21" s="450"/>
      <c r="K21" s="589"/>
      <c r="L21" s="601" t="s">
        <v>1349</v>
      </c>
      <c r="M21" s="602" t="s">
        <v>791</v>
      </c>
      <c r="R21" s="589"/>
      <c r="S21" s="601" t="s">
        <v>1349</v>
      </c>
      <c r="T21" s="602" t="s">
        <v>791</v>
      </c>
      <c r="Y21" s="589"/>
      <c r="Z21" s="601" t="s">
        <v>1349</v>
      </c>
      <c r="AA21" s="602" t="s">
        <v>791</v>
      </c>
      <c r="AF21" s="589"/>
      <c r="AG21" s="601" t="s">
        <v>1349</v>
      </c>
      <c r="AH21" s="602" t="s">
        <v>791</v>
      </c>
      <c r="AM21" s="589"/>
      <c r="AN21" s="601" t="s">
        <v>1349</v>
      </c>
      <c r="AO21" s="602" t="s">
        <v>791</v>
      </c>
      <c r="AT21" s="589"/>
      <c r="AU21" s="601" t="s">
        <v>1349</v>
      </c>
      <c r="AV21" s="602" t="s">
        <v>791</v>
      </c>
      <c r="BA21" s="589"/>
      <c r="BB21" s="600" t="s">
        <v>1344</v>
      </c>
      <c r="BC21" s="589"/>
      <c r="BH21" s="589"/>
      <c r="BI21" s="600" t="s">
        <v>1345</v>
      </c>
      <c r="BJ21" s="589"/>
      <c r="BO21" s="589"/>
      <c r="BP21" s="601" t="s">
        <v>1349</v>
      </c>
      <c r="BQ21" s="602" t="s">
        <v>791</v>
      </c>
      <c r="BV21" s="589"/>
      <c r="BW21" s="601" t="s">
        <v>1349</v>
      </c>
      <c r="BX21" s="602" t="s">
        <v>791</v>
      </c>
      <c r="CC21" s="589"/>
      <c r="CD21" s="601" t="s">
        <v>1349</v>
      </c>
      <c r="CE21" s="602" t="s">
        <v>791</v>
      </c>
    </row>
    <row r="22">
      <c r="D22" s="603" t="s">
        <v>1350</v>
      </c>
      <c r="E22" s="604">
        <f t="shared" ref="E22:F22" si="2">E17</f>
        <v>9339897.98</v>
      </c>
      <c r="F22" s="604">
        <f t="shared" si="2"/>
        <v>7655.654082</v>
      </c>
      <c r="G22" s="450"/>
      <c r="H22" s="450"/>
      <c r="I22" s="450"/>
      <c r="J22" s="450"/>
      <c r="K22" s="603" t="s">
        <v>1350</v>
      </c>
      <c r="L22" s="604">
        <f t="shared" ref="L22:M22" si="3">L17</f>
        <v>10957711.5</v>
      </c>
      <c r="M22" s="604">
        <f t="shared" si="3"/>
        <v>8908.708539</v>
      </c>
      <c r="R22" s="603" t="s">
        <v>1350</v>
      </c>
      <c r="S22" s="604">
        <f t="shared" ref="S22:T22" si="4">S17</f>
        <v>9668426.995</v>
      </c>
      <c r="T22" s="604">
        <f t="shared" si="4"/>
        <v>7296.926034</v>
      </c>
      <c r="Y22" s="603" t="s">
        <v>1350</v>
      </c>
      <c r="Z22" s="604">
        <f t="shared" ref="Z22:AA22" si="5">Z17</f>
        <v>9288456.833</v>
      </c>
      <c r="AA22" s="604">
        <f t="shared" si="5"/>
        <v>7838.360197</v>
      </c>
      <c r="AF22" s="603" t="s">
        <v>1350</v>
      </c>
      <c r="AG22" s="604">
        <f t="shared" ref="AG22:AH22" si="6">AG18</f>
        <v>13481364.85</v>
      </c>
      <c r="AH22" s="604">
        <f t="shared" si="6"/>
        <v>11424.88547</v>
      </c>
      <c r="AM22" s="603" t="s">
        <v>1350</v>
      </c>
      <c r="AN22" s="604">
        <f t="shared" ref="AN22:AO22" si="7">AN16</f>
        <v>12619449.34</v>
      </c>
      <c r="AO22" s="604">
        <f t="shared" si="7"/>
        <v>10386.37806</v>
      </c>
      <c r="AT22" s="603" t="s">
        <v>1350</v>
      </c>
      <c r="AU22" s="604">
        <f t="shared" ref="AU22:AV22" si="8">AU15</f>
        <v>11718065.62</v>
      </c>
      <c r="AV22" s="604">
        <f t="shared" si="8"/>
        <v>8877.322439</v>
      </c>
      <c r="BA22" s="589"/>
      <c r="BB22" s="601" t="s">
        <v>1349</v>
      </c>
      <c r="BC22" s="602" t="s">
        <v>791</v>
      </c>
      <c r="BH22" s="589"/>
      <c r="BI22" s="601" t="s">
        <v>1349</v>
      </c>
      <c r="BJ22" s="602" t="s">
        <v>791</v>
      </c>
      <c r="BO22" s="603" t="s">
        <v>1350</v>
      </c>
      <c r="BP22" s="604" t="str">
        <f t="shared" ref="BP22:BQ22" si="9">BP11</f>
        <v/>
      </c>
      <c r="BQ22" s="604" t="str">
        <f t="shared" si="9"/>
        <v/>
      </c>
      <c r="BV22" s="603" t="s">
        <v>1350</v>
      </c>
      <c r="BW22" s="604" t="str">
        <f t="shared" ref="BW22:BX22" si="10">BW11</f>
        <v/>
      </c>
      <c r="BX22" s="604" t="str">
        <f t="shared" si="10"/>
        <v/>
      </c>
      <c r="CC22" s="603" t="s">
        <v>1350</v>
      </c>
      <c r="CD22" s="604" t="str">
        <f t="shared" ref="CD22:CE22" si="11">CD11</f>
        <v/>
      </c>
      <c r="CE22" s="604" t="str">
        <f t="shared" si="11"/>
        <v/>
      </c>
    </row>
    <row r="23">
      <c r="D23" s="605" t="s">
        <v>1351</v>
      </c>
      <c r="E23" s="604">
        <f>F23*F1</f>
        <v>16409000</v>
      </c>
      <c r="F23" s="523">
        <f>13450</f>
        <v>13450</v>
      </c>
      <c r="G23" s="450"/>
      <c r="H23" s="450"/>
      <c r="I23" s="450"/>
      <c r="J23" s="450"/>
      <c r="K23" s="605" t="s">
        <v>1351</v>
      </c>
      <c r="L23" s="604">
        <f>M23*M1</f>
        <v>16543500</v>
      </c>
      <c r="M23" s="523">
        <f>13450</f>
        <v>13450</v>
      </c>
      <c r="R23" s="605" t="s">
        <v>1351</v>
      </c>
      <c r="S23" s="604">
        <f>T23*T1</f>
        <v>17821250</v>
      </c>
      <c r="T23" s="523">
        <f>13450</f>
        <v>13450</v>
      </c>
      <c r="Y23" s="605" t="s">
        <v>1351</v>
      </c>
      <c r="Z23" s="604">
        <f>AA23*AA1</f>
        <v>15938250</v>
      </c>
      <c r="AA23" s="523">
        <f>13450</f>
        <v>13450</v>
      </c>
      <c r="AF23" s="605" t="s">
        <v>1351</v>
      </c>
      <c r="AG23" s="604">
        <f>AH23*AH1</f>
        <v>34491400</v>
      </c>
      <c r="AH23" s="523">
        <f>29230</f>
        <v>29230</v>
      </c>
      <c r="AM23" s="605" t="s">
        <v>1351</v>
      </c>
      <c r="AN23" s="604">
        <f>AO23*AO1</f>
        <v>35514450</v>
      </c>
      <c r="AO23" s="523">
        <f>29230</f>
        <v>29230</v>
      </c>
      <c r="AT23" s="605" t="s">
        <v>1351</v>
      </c>
      <c r="AU23" s="604">
        <f>AV23*AV1</f>
        <v>38583600</v>
      </c>
      <c r="AV23" s="523">
        <f>29230</f>
        <v>29230</v>
      </c>
      <c r="BA23" s="603" t="s">
        <v>1350</v>
      </c>
      <c r="BB23" s="604">
        <f t="shared" ref="BB23:BC23" si="12">BB17</f>
        <v>9421992.774</v>
      </c>
      <c r="BC23" s="604">
        <f t="shared" si="12"/>
        <v>7005.199088</v>
      </c>
      <c r="BH23" s="603" t="s">
        <v>1350</v>
      </c>
      <c r="BI23" s="604">
        <f t="shared" ref="BI23:BJ23" si="13">BI17</f>
        <v>12183322.65</v>
      </c>
      <c r="BJ23" s="604">
        <f t="shared" si="13"/>
        <v>8431.365153</v>
      </c>
      <c r="BO23" s="605" t="s">
        <v>1351</v>
      </c>
      <c r="BP23" s="604">
        <f>BQ23*BQ1</f>
        <v>42091200</v>
      </c>
      <c r="BQ23" s="523">
        <f>29230</f>
        <v>29230</v>
      </c>
      <c r="BV23" s="605" t="s">
        <v>1351</v>
      </c>
      <c r="BW23" s="604">
        <f>BX23*BX1</f>
        <v>43815770</v>
      </c>
      <c r="BX23" s="523">
        <f>29230</f>
        <v>29230</v>
      </c>
      <c r="CC23" s="605" t="s">
        <v>1351</v>
      </c>
      <c r="CD23" s="604">
        <f>CE23*CE1</f>
        <v>44897280</v>
      </c>
      <c r="CE23" s="523">
        <f>29230</f>
        <v>29230</v>
      </c>
    </row>
    <row r="24">
      <c r="D24" s="605" t="s">
        <v>1063</v>
      </c>
      <c r="E24" s="606">
        <f t="shared" ref="E24:F24" si="14">+E23/E22</f>
        <v>1.756871439</v>
      </c>
      <c r="F24" s="606">
        <f t="shared" si="14"/>
        <v>1.756871439</v>
      </c>
      <c r="G24" s="450"/>
      <c r="H24" s="450"/>
      <c r="I24" s="450"/>
      <c r="J24" s="450"/>
      <c r="K24" s="605" t="s">
        <v>1063</v>
      </c>
      <c r="L24" s="606">
        <f t="shared" ref="L24:M24" si="15">+L23/L22</f>
        <v>1.509758675</v>
      </c>
      <c r="M24" s="606">
        <f t="shared" si="15"/>
        <v>1.509758675</v>
      </c>
      <c r="R24" s="605" t="s">
        <v>1063</v>
      </c>
      <c r="S24" s="606">
        <f t="shared" ref="S24:T24" si="16">+S23/S22</f>
        <v>1.843241926</v>
      </c>
      <c r="T24" s="606">
        <f t="shared" si="16"/>
        <v>1.843241926</v>
      </c>
      <c r="Y24" s="605" t="s">
        <v>1063</v>
      </c>
      <c r="Z24" s="606">
        <f t="shared" ref="Z24:AA24" si="17">+Z23/Z22</f>
        <v>1.715920124</v>
      </c>
      <c r="AA24" s="606">
        <f t="shared" si="17"/>
        <v>1.715920124</v>
      </c>
      <c r="AF24" s="605" t="s">
        <v>1063</v>
      </c>
      <c r="AG24" s="606">
        <f t="shared" ref="AG24:AH24" si="18">+AG23/AG22</f>
        <v>2.558450155</v>
      </c>
      <c r="AH24" s="606">
        <f t="shared" si="18"/>
        <v>2.558450155</v>
      </c>
      <c r="AM24" s="605" t="s">
        <v>1063</v>
      </c>
      <c r="AN24" s="606">
        <f t="shared" ref="AN24:AO24" si="19">+AN23/AN22</f>
        <v>2.814263051</v>
      </c>
      <c r="AO24" s="606">
        <f t="shared" si="19"/>
        <v>2.814263051</v>
      </c>
      <c r="AT24" s="605" t="s">
        <v>1063</v>
      </c>
      <c r="AU24" s="606">
        <f t="shared" ref="AU24:AV24" si="20">+AU23/AU22</f>
        <v>3.292659493</v>
      </c>
      <c r="AV24" s="606">
        <f t="shared" si="20"/>
        <v>3.292659493</v>
      </c>
      <c r="BA24" s="605" t="s">
        <v>1351</v>
      </c>
      <c r="BB24" s="604">
        <f>BC24*BC1</f>
        <v>39314350</v>
      </c>
      <c r="BC24" s="523">
        <f>29230</f>
        <v>29230</v>
      </c>
      <c r="BH24" s="605" t="s">
        <v>1351</v>
      </c>
      <c r="BI24" s="604">
        <f>BJ24*BJ1</f>
        <v>42237350</v>
      </c>
      <c r="BJ24" s="523">
        <f>29230</f>
        <v>29230</v>
      </c>
      <c r="BO24" s="605" t="s">
        <v>1063</v>
      </c>
      <c r="BP24" s="606" t="str">
        <f t="shared" ref="BP24:BQ24" si="21">+BP23/BP22</f>
        <v>#DIV/0!</v>
      </c>
      <c r="BQ24" s="606" t="str">
        <f t="shared" si="21"/>
        <v>#DIV/0!</v>
      </c>
      <c r="BV24" s="605" t="s">
        <v>1063</v>
      </c>
      <c r="BW24" s="606" t="str">
        <f t="shared" ref="BW24:BX24" si="22">+BW23/BW22</f>
        <v>#DIV/0!</v>
      </c>
      <c r="BX24" s="606" t="str">
        <f t="shared" si="22"/>
        <v>#DIV/0!</v>
      </c>
      <c r="CC24" s="605" t="s">
        <v>1063</v>
      </c>
      <c r="CD24" s="606" t="str">
        <f t="shared" ref="CD24:CE24" si="23">+CD23/CD22</f>
        <v>#DIV/0!</v>
      </c>
      <c r="CE24" s="606" t="str">
        <f t="shared" si="23"/>
        <v>#DIV/0!</v>
      </c>
    </row>
    <row r="25">
      <c r="D25" s="605" t="s">
        <v>1352</v>
      </c>
      <c r="E25" s="604">
        <f t="shared" ref="E25:F25" si="24">+E23-E22</f>
        <v>7069102.02</v>
      </c>
      <c r="F25" s="604">
        <f t="shared" si="24"/>
        <v>5794.345918</v>
      </c>
      <c r="G25" s="450"/>
      <c r="H25" s="450"/>
      <c r="I25" s="450"/>
      <c r="J25" s="450"/>
      <c r="K25" s="605" t="s">
        <v>1352</v>
      </c>
      <c r="L25" s="604">
        <f t="shared" ref="L25:M25" si="25">+L23-L22</f>
        <v>5585788.497</v>
      </c>
      <c r="M25" s="604">
        <f t="shared" si="25"/>
        <v>4541.291461</v>
      </c>
      <c r="R25" s="605" t="s">
        <v>1352</v>
      </c>
      <c r="S25" s="604">
        <f t="shared" ref="S25:T25" si="26">+S23-S22</f>
        <v>8152823.005</v>
      </c>
      <c r="T25" s="604">
        <f t="shared" si="26"/>
        <v>6153.073966</v>
      </c>
      <c r="Y25" s="605" t="s">
        <v>1352</v>
      </c>
      <c r="Z25" s="604">
        <f t="shared" ref="Z25:AA25" si="27">+Z23-Z22</f>
        <v>6649793.167</v>
      </c>
      <c r="AA25" s="604">
        <f t="shared" si="27"/>
        <v>5611.639803</v>
      </c>
      <c r="AF25" s="605" t="s">
        <v>1352</v>
      </c>
      <c r="AG25" s="604">
        <f t="shared" ref="AG25:AH25" si="28">+AG23-AG22</f>
        <v>21010035.15</v>
      </c>
      <c r="AH25" s="604">
        <f t="shared" si="28"/>
        <v>17805.11453</v>
      </c>
      <c r="AM25" s="605" t="s">
        <v>1352</v>
      </c>
      <c r="AN25" s="604">
        <f t="shared" ref="AN25:AO25" si="29">+AN23-AN22</f>
        <v>22895000.66</v>
      </c>
      <c r="AO25" s="604">
        <f t="shared" si="29"/>
        <v>18843.62194</v>
      </c>
      <c r="AT25" s="605" t="s">
        <v>1352</v>
      </c>
      <c r="AU25" s="604">
        <f t="shared" ref="AU25:AV25" si="30">+AU23-AU22</f>
        <v>26865534.38</v>
      </c>
      <c r="AV25" s="604">
        <f t="shared" si="30"/>
        <v>20352.67756</v>
      </c>
      <c r="BA25" s="605" t="s">
        <v>1063</v>
      </c>
      <c r="BB25" s="606">
        <f t="shared" ref="BB25:BC25" si="31">+BB24/BB23</f>
        <v>4.172615172</v>
      </c>
      <c r="BC25" s="606">
        <f t="shared" si="31"/>
        <v>4.172615172</v>
      </c>
      <c r="BH25" s="605" t="s">
        <v>1063</v>
      </c>
      <c r="BI25" s="606">
        <f t="shared" ref="BI25:BJ25" si="32">+BI24/BI23</f>
        <v>3.466816995</v>
      </c>
      <c r="BJ25" s="606">
        <f t="shared" si="32"/>
        <v>3.466816995</v>
      </c>
      <c r="BO25" s="605" t="s">
        <v>1352</v>
      </c>
      <c r="BP25" s="604">
        <f t="shared" ref="BP25:BQ25" si="33">+BP23-BP22</f>
        <v>42091200</v>
      </c>
      <c r="BQ25" s="604">
        <f t="shared" si="33"/>
        <v>29230</v>
      </c>
      <c r="BV25" s="605" t="s">
        <v>1352</v>
      </c>
      <c r="BW25" s="604">
        <f t="shared" ref="BW25:BX25" si="34">+BW23-BW22</f>
        <v>43815770</v>
      </c>
      <c r="BX25" s="604">
        <f t="shared" si="34"/>
        <v>29230</v>
      </c>
      <c r="CC25" s="605" t="s">
        <v>1352</v>
      </c>
      <c r="CD25" s="604">
        <f t="shared" ref="CD25:CE25" si="35">+CD23-CD22</f>
        <v>44897280</v>
      </c>
      <c r="CE25" s="604">
        <f t="shared" si="35"/>
        <v>29230</v>
      </c>
    </row>
    <row r="26">
      <c r="D26" s="605" t="s">
        <v>1353</v>
      </c>
      <c r="E26" s="604">
        <f t="shared" ref="E26:F26" si="36">+E23*0.15</f>
        <v>2461350</v>
      </c>
      <c r="F26" s="604">
        <f t="shared" si="36"/>
        <v>2017.5</v>
      </c>
      <c r="G26" s="450"/>
      <c r="H26" s="450"/>
      <c r="I26" s="450"/>
      <c r="J26" s="450"/>
      <c r="K26" s="605" t="s">
        <v>1353</v>
      </c>
      <c r="L26" s="604">
        <f t="shared" ref="L26:M26" si="37">+L23*0.15</f>
        <v>2481525</v>
      </c>
      <c r="M26" s="604">
        <f t="shared" si="37"/>
        <v>2017.5</v>
      </c>
      <c r="R26" s="605" t="s">
        <v>1353</v>
      </c>
      <c r="S26" s="604">
        <f t="shared" ref="S26:T26" si="38">+S23*0.15</f>
        <v>2673187.5</v>
      </c>
      <c r="T26" s="604">
        <f t="shared" si="38"/>
        <v>2017.5</v>
      </c>
      <c r="Y26" s="605" t="s">
        <v>1353</v>
      </c>
      <c r="Z26" s="604">
        <f t="shared" ref="Z26:AA26" si="39">+Z23*0.15</f>
        <v>2390737.5</v>
      </c>
      <c r="AA26" s="604">
        <f t="shared" si="39"/>
        <v>2017.5</v>
      </c>
      <c r="AF26" s="605" t="s">
        <v>1353</v>
      </c>
      <c r="AG26" s="604">
        <f t="shared" ref="AG26:AH26" si="40">+AG23*0.15</f>
        <v>5173710</v>
      </c>
      <c r="AH26" s="604">
        <f t="shared" si="40"/>
        <v>4384.5</v>
      </c>
      <c r="AM26" s="605" t="s">
        <v>1353</v>
      </c>
      <c r="AN26" s="604">
        <f t="shared" ref="AN26:AO26" si="41">+AN23*0.15</f>
        <v>5327167.5</v>
      </c>
      <c r="AO26" s="604">
        <f t="shared" si="41"/>
        <v>4384.5</v>
      </c>
      <c r="AT26" s="605" t="s">
        <v>1353</v>
      </c>
      <c r="AU26" s="604">
        <f t="shared" ref="AU26:AV26" si="42">+AU23*0.15</f>
        <v>5787540</v>
      </c>
      <c r="AV26" s="604">
        <f t="shared" si="42"/>
        <v>4384.5</v>
      </c>
      <c r="BA26" s="605" t="s">
        <v>1352</v>
      </c>
      <c r="BB26" s="604">
        <f t="shared" ref="BB26:BC26" si="43">+BB24-BB23</f>
        <v>29892357.23</v>
      </c>
      <c r="BC26" s="604">
        <f t="shared" si="43"/>
        <v>22224.80091</v>
      </c>
      <c r="BH26" s="605" t="s">
        <v>1352</v>
      </c>
      <c r="BI26" s="604">
        <f t="shared" ref="BI26:BJ26" si="44">+BI24-BI23</f>
        <v>30054027.35</v>
      </c>
      <c r="BJ26" s="604">
        <f t="shared" si="44"/>
        <v>20798.63485</v>
      </c>
      <c r="BO26" s="605" t="s">
        <v>1353</v>
      </c>
      <c r="BP26" s="604">
        <f t="shared" ref="BP26:BQ26" si="45">+BP23*0.15</f>
        <v>6313680</v>
      </c>
      <c r="BQ26" s="604">
        <f t="shared" si="45"/>
        <v>4384.5</v>
      </c>
      <c r="BV26" s="605" t="s">
        <v>1353</v>
      </c>
      <c r="BW26" s="604">
        <f t="shared" ref="BW26:BX26" si="46">+BW23*0.15</f>
        <v>6572365.5</v>
      </c>
      <c r="BX26" s="604">
        <f t="shared" si="46"/>
        <v>4384.5</v>
      </c>
      <c r="CC26" s="605" t="s">
        <v>1353</v>
      </c>
      <c r="CD26" s="604">
        <f t="shared" ref="CD26:CE26" si="47">+CD23*0.15</f>
        <v>6734592</v>
      </c>
      <c r="CE26" s="604">
        <f t="shared" si="47"/>
        <v>4384.5</v>
      </c>
    </row>
    <row r="27">
      <c r="D27" s="605" t="s">
        <v>1352</v>
      </c>
      <c r="E27" s="607">
        <f t="shared" ref="E27:F27" si="48">+E25-E26</f>
        <v>4607752.02</v>
      </c>
      <c r="F27" s="607">
        <f t="shared" si="48"/>
        <v>3776.845918</v>
      </c>
      <c r="G27" s="450"/>
      <c r="H27" s="450"/>
      <c r="I27" s="450"/>
      <c r="J27" s="450"/>
      <c r="K27" s="605" t="s">
        <v>1352</v>
      </c>
      <c r="L27" s="607">
        <f t="shared" ref="L27:M27" si="49">+L25-L26</f>
        <v>3104263.497</v>
      </c>
      <c r="M27" s="607">
        <f t="shared" si="49"/>
        <v>2523.791461</v>
      </c>
      <c r="R27" s="605" t="s">
        <v>1352</v>
      </c>
      <c r="S27" s="607">
        <f t="shared" ref="S27:T27" si="50">+S25-S26</f>
        <v>5479635.505</v>
      </c>
      <c r="T27" s="607">
        <f t="shared" si="50"/>
        <v>4135.573966</v>
      </c>
      <c r="Y27" s="605" t="s">
        <v>1352</v>
      </c>
      <c r="Z27" s="607">
        <f t="shared" ref="Z27:AA27" si="51">+Z25-Z26</f>
        <v>4259055.667</v>
      </c>
      <c r="AA27" s="607">
        <f t="shared" si="51"/>
        <v>3594.139803</v>
      </c>
      <c r="AF27" s="605" t="s">
        <v>1352</v>
      </c>
      <c r="AG27" s="607">
        <f t="shared" ref="AG27:AH27" si="52">+AG25-AG26</f>
        <v>15836325.15</v>
      </c>
      <c r="AH27" s="607">
        <f t="shared" si="52"/>
        <v>13420.61453</v>
      </c>
      <c r="AM27" s="605" t="s">
        <v>1352</v>
      </c>
      <c r="AN27" s="607">
        <f t="shared" ref="AN27:AO27" si="53">+AN25-AN26</f>
        <v>17567833.16</v>
      </c>
      <c r="AO27" s="607">
        <f t="shared" si="53"/>
        <v>14459.12194</v>
      </c>
      <c r="AT27" s="605" t="s">
        <v>1352</v>
      </c>
      <c r="AU27" s="607">
        <f t="shared" ref="AU27:AV27" si="54">+AU25-AU26</f>
        <v>21077994.38</v>
      </c>
      <c r="AV27" s="607">
        <f t="shared" si="54"/>
        <v>15968.17756</v>
      </c>
      <c r="BA27" s="605" t="s">
        <v>1353</v>
      </c>
      <c r="BB27" s="604">
        <f t="shared" ref="BB27:BC27" si="55">+BB24*0.15</f>
        <v>5897152.5</v>
      </c>
      <c r="BC27" s="604">
        <f t="shared" si="55"/>
        <v>4384.5</v>
      </c>
      <c r="BH27" s="605" t="s">
        <v>1353</v>
      </c>
      <c r="BI27" s="604">
        <f t="shared" ref="BI27:BJ27" si="56">+BI24*0.15</f>
        <v>6335602.5</v>
      </c>
      <c r="BJ27" s="604">
        <f t="shared" si="56"/>
        <v>4384.5</v>
      </c>
      <c r="BO27" s="605" t="s">
        <v>1352</v>
      </c>
      <c r="BP27" s="607">
        <f t="shared" ref="BP27:BQ27" si="57">+BP25-BP26</f>
        <v>35777520</v>
      </c>
      <c r="BQ27" s="607">
        <f t="shared" si="57"/>
        <v>24845.5</v>
      </c>
      <c r="BV27" s="605" t="s">
        <v>1352</v>
      </c>
      <c r="BW27" s="607">
        <f t="shared" ref="BW27:BX27" si="58">+BW25-BW26</f>
        <v>37243404.5</v>
      </c>
      <c r="BX27" s="607">
        <f t="shared" si="58"/>
        <v>24845.5</v>
      </c>
      <c r="CC27" s="605" t="s">
        <v>1352</v>
      </c>
      <c r="CD27" s="607">
        <f t="shared" ref="CD27:CE27" si="59">+CD25-CD26</f>
        <v>38162688</v>
      </c>
      <c r="CE27" s="607">
        <f t="shared" si="59"/>
        <v>24845.5</v>
      </c>
    </row>
    <row r="28">
      <c r="BA28" s="605" t="s">
        <v>1352</v>
      </c>
      <c r="BB28" s="607">
        <f t="shared" ref="BB28:BC28" si="60">+BB26-BB27</f>
        <v>23995204.73</v>
      </c>
      <c r="BC28" s="607">
        <f t="shared" si="60"/>
        <v>17840.30091</v>
      </c>
      <c r="BH28" s="605" t="s">
        <v>1352</v>
      </c>
      <c r="BI28" s="607">
        <f t="shared" ref="BI28:BJ28" si="61">+BI26-BI27</f>
        <v>23718424.85</v>
      </c>
      <c r="BJ28" s="607">
        <f t="shared" si="61"/>
        <v>16414.13485</v>
      </c>
    </row>
    <row r="29">
      <c r="A29" s="450"/>
      <c r="B29" s="450"/>
      <c r="C29" s="455"/>
      <c r="D29" s="450"/>
      <c r="E29" s="450"/>
      <c r="F29" s="450"/>
    </row>
    <row r="30">
      <c r="A30" s="450"/>
      <c r="B30" s="450"/>
      <c r="C30" s="455"/>
      <c r="D30" s="464"/>
      <c r="E30" s="497"/>
      <c r="F30" s="498"/>
    </row>
    <row r="31">
      <c r="A31" s="613"/>
      <c r="B31" s="613"/>
      <c r="C31" s="614"/>
      <c r="D31" s="615"/>
      <c r="E31" s="616"/>
      <c r="F31" s="617"/>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9"/>
      <c r="AZ31" s="620"/>
      <c r="BA31" s="620"/>
      <c r="BB31" s="621"/>
      <c r="BC31" s="622"/>
      <c r="BD31" s="618"/>
      <c r="BE31" s="618"/>
      <c r="BF31" s="618"/>
      <c r="BG31" s="618"/>
      <c r="BH31" s="618"/>
      <c r="BI31" s="618"/>
      <c r="BJ31" s="618"/>
      <c r="BK31" s="618"/>
      <c r="BL31" s="618"/>
      <c r="BM31" s="618"/>
      <c r="BN31" s="618"/>
      <c r="BO31" s="618"/>
      <c r="BP31" s="618"/>
      <c r="BQ31" s="618"/>
      <c r="BR31" s="618"/>
      <c r="BS31" s="618"/>
      <c r="BT31" s="618"/>
      <c r="BU31" s="618"/>
      <c r="BV31" s="618"/>
      <c r="BW31" s="618"/>
      <c r="BX31" s="618"/>
      <c r="BY31" s="618"/>
      <c r="BZ31" s="618"/>
      <c r="CA31" s="618"/>
      <c r="CB31" s="618"/>
      <c r="CC31" s="618"/>
      <c r="CD31" s="618"/>
      <c r="CE31" s="618"/>
      <c r="CF31" s="618"/>
      <c r="CG31" s="618"/>
      <c r="CH31" s="618"/>
      <c r="CI31" s="618"/>
      <c r="CJ31" s="618"/>
      <c r="CK31" s="618"/>
      <c r="CL31" s="618"/>
    </row>
    <row r="32">
      <c r="A32" s="450"/>
      <c r="B32" s="450"/>
      <c r="C32" s="455"/>
      <c r="D32" s="464"/>
      <c r="E32" s="497"/>
      <c r="F32" s="498"/>
      <c r="AY32" s="370"/>
      <c r="AZ32" s="372"/>
      <c r="BA32" s="452"/>
      <c r="BB32" s="453"/>
      <c r="BC32" s="107"/>
    </row>
    <row r="33">
      <c r="A33" s="450"/>
      <c r="B33" s="450"/>
      <c r="C33" s="450"/>
      <c r="D33" s="450"/>
      <c r="E33" s="450"/>
      <c r="F33" s="450"/>
      <c r="AY33" s="370"/>
      <c r="AZ33" s="372"/>
      <c r="BA33" s="452"/>
      <c r="BB33" s="453"/>
      <c r="BC33" s="107"/>
    </row>
    <row r="34">
      <c r="A34" s="450"/>
      <c r="B34" s="450"/>
      <c r="C34" s="450"/>
      <c r="D34" s="450"/>
      <c r="E34" s="450"/>
      <c r="F34" s="450"/>
      <c r="AY34" s="370"/>
      <c r="AZ34" s="372"/>
      <c r="BA34" s="452"/>
      <c r="BB34" s="453"/>
      <c r="BC34" s="107"/>
      <c r="BE34" s="43" t="s">
        <v>1366</v>
      </c>
      <c r="BF34" s="92" t="s">
        <v>1367</v>
      </c>
      <c r="BG34" s="585" t="s">
        <v>1329</v>
      </c>
      <c r="BH34" s="586" t="s">
        <v>1335</v>
      </c>
      <c r="BI34" s="481">
        <v>2025.0</v>
      </c>
      <c r="BJ34" s="587">
        <f>VLOOKUP(BH$1&amp;" "&amp;BI34,'Info Tipo de Cambio y REM'!$A$23:$B$35,2,FALSE())</f>
        <v>1445</v>
      </c>
    </row>
    <row r="35" ht="34.5" customHeight="1">
      <c r="A35" s="450"/>
      <c r="B35" s="450"/>
      <c r="C35" s="450"/>
      <c r="D35" s="450"/>
      <c r="E35" s="450"/>
      <c r="F35" s="450"/>
      <c r="AY35" s="370"/>
      <c r="AZ35" s="372"/>
      <c r="BA35" s="452"/>
      <c r="BB35" s="453"/>
      <c r="BC35" s="107"/>
      <c r="BE35" s="623" t="s">
        <v>112</v>
      </c>
      <c r="BF35" s="38" t="s">
        <v>1368</v>
      </c>
      <c r="BG35" s="624" t="s">
        <v>1264</v>
      </c>
      <c r="BH35" s="623" t="s">
        <v>1121</v>
      </c>
      <c r="BI35" s="623" t="s">
        <v>1270</v>
      </c>
      <c r="BJ35" s="623" t="s">
        <v>286</v>
      </c>
      <c r="BM35" s="38" t="s">
        <v>1369</v>
      </c>
      <c r="BP35" s="38" t="s">
        <v>1370</v>
      </c>
    </row>
    <row r="36">
      <c r="A36" s="450"/>
      <c r="B36" s="450"/>
      <c r="C36" s="450"/>
      <c r="D36" s="450"/>
      <c r="E36" s="450"/>
      <c r="F36" s="450"/>
      <c r="AZ36" s="372"/>
      <c r="BA36" s="452"/>
      <c r="BB36" s="453"/>
      <c r="BC36" s="107"/>
      <c r="BE36" s="450" t="s">
        <v>200</v>
      </c>
      <c r="BF36" s="625">
        <v>8.0</v>
      </c>
      <c r="BG36" s="455">
        <v>14.67</v>
      </c>
      <c r="BH36" s="464">
        <v>18880.0</v>
      </c>
      <c r="BI36" s="497">
        <v>276969.6</v>
      </c>
      <c r="BJ36" s="498">
        <v>191.67446366782005</v>
      </c>
      <c r="BM36" s="452">
        <f t="shared" ref="BM36:BM40" si="62">BF36*3*BH36</f>
        <v>453120</v>
      </c>
    </row>
    <row r="37">
      <c r="A37" s="450"/>
      <c r="B37" s="450"/>
      <c r="C37" s="450"/>
      <c r="D37" s="450"/>
      <c r="E37" s="450"/>
      <c r="F37" s="450"/>
      <c r="AZ37" s="372"/>
      <c r="BA37" s="452"/>
      <c r="BB37" s="453"/>
      <c r="BC37" s="107"/>
      <c r="BE37" s="450" t="s">
        <v>87</v>
      </c>
      <c r="BF37" s="625">
        <v>3.0</v>
      </c>
      <c r="BG37" s="455">
        <v>0.5</v>
      </c>
      <c r="BH37" s="464">
        <v>11558.8</v>
      </c>
      <c r="BI37" s="497">
        <v>5779.4</v>
      </c>
      <c r="BJ37" s="498">
        <v>3.999584775086505</v>
      </c>
      <c r="BM37" s="452">
        <f t="shared" si="62"/>
        <v>104029.2</v>
      </c>
    </row>
    <row r="38">
      <c r="A38" s="450"/>
      <c r="B38" s="450"/>
      <c r="C38" s="450"/>
      <c r="D38" s="450"/>
      <c r="E38" s="450"/>
      <c r="F38" s="450"/>
      <c r="AZ38" s="372"/>
      <c r="BA38" s="452"/>
      <c r="BB38" s="453"/>
      <c r="BC38" s="107"/>
      <c r="BE38" s="450" t="s">
        <v>194</v>
      </c>
      <c r="BF38" s="625">
        <v>20.0</v>
      </c>
      <c r="BG38" s="455">
        <v>5.67</v>
      </c>
      <c r="BH38" s="464">
        <v>12702.070399999999</v>
      </c>
      <c r="BI38" s="497">
        <v>72020.73916799999</v>
      </c>
      <c r="BJ38" s="498">
        <v>49.84134198477508</v>
      </c>
      <c r="BM38" s="452">
        <f t="shared" si="62"/>
        <v>762124.224</v>
      </c>
    </row>
    <row r="39">
      <c r="A39" s="450"/>
      <c r="B39" s="450"/>
      <c r="C39" s="450"/>
      <c r="D39" s="450"/>
      <c r="E39" s="450"/>
      <c r="F39" s="450"/>
      <c r="AZ39" s="372"/>
      <c r="BA39" s="452"/>
      <c r="BB39" s="453"/>
      <c r="BC39" s="107"/>
      <c r="BE39" s="450" t="s">
        <v>221</v>
      </c>
      <c r="BF39" s="625">
        <v>6.0</v>
      </c>
      <c r="BG39" s="455">
        <v>13.5</v>
      </c>
      <c r="BH39" s="464">
        <v>11859.480000000001</v>
      </c>
      <c r="BI39" s="497">
        <v>160102.98</v>
      </c>
      <c r="BJ39" s="498">
        <v>110.79791003460208</v>
      </c>
      <c r="BM39" s="452">
        <f t="shared" si="62"/>
        <v>213470.64</v>
      </c>
    </row>
    <row r="40">
      <c r="A40" s="450"/>
      <c r="B40" s="450"/>
      <c r="C40" s="450"/>
      <c r="D40" s="450"/>
      <c r="E40" s="450"/>
      <c r="F40" s="450"/>
      <c r="AZ40" s="372"/>
      <c r="BA40" s="452"/>
      <c r="BB40" s="453"/>
      <c r="BC40" s="107"/>
      <c r="BE40" s="450" t="s">
        <v>120</v>
      </c>
      <c r="BF40" s="625">
        <v>3.0</v>
      </c>
      <c r="BG40" s="455">
        <v>1.5</v>
      </c>
      <c r="BH40" s="464">
        <v>26583.333333333336</v>
      </c>
      <c r="BI40" s="497">
        <v>39875.0</v>
      </c>
      <c r="BJ40" s="498">
        <v>27.59515570934256</v>
      </c>
      <c r="BM40" s="452">
        <f t="shared" si="62"/>
        <v>239250</v>
      </c>
    </row>
    <row r="41">
      <c r="A41" s="450"/>
      <c r="B41" s="450"/>
      <c r="C41" s="450"/>
      <c r="D41" s="450"/>
      <c r="E41" s="450"/>
      <c r="F41" s="450"/>
      <c r="AZ41" s="372"/>
      <c r="BA41" s="452"/>
      <c r="BB41" s="453"/>
      <c r="BC41" s="107"/>
      <c r="BE41" s="569" t="s">
        <v>1266</v>
      </c>
      <c r="BF41" s="569" t="e">
        <v>#DIV/0!</v>
      </c>
      <c r="BG41" s="588">
        <v>35.84</v>
      </c>
      <c r="BH41" s="590">
        <v>81583.68373333334</v>
      </c>
      <c r="BI41" s="591">
        <v>554747.7191679999</v>
      </c>
      <c r="BJ41" s="592">
        <v>383.9084561716263</v>
      </c>
      <c r="BM41" s="590">
        <f>SUM(BM36:BM40)</f>
        <v>1771994.064</v>
      </c>
    </row>
    <row r="42">
      <c r="A42" s="450"/>
      <c r="B42" s="450"/>
      <c r="C42" s="450"/>
      <c r="D42" s="450"/>
      <c r="E42" s="450"/>
      <c r="F42" s="450"/>
      <c r="BL42" s="43" t="s">
        <v>791</v>
      </c>
      <c r="BM42" s="590">
        <f>BM41/BJ34</f>
        <v>1226.29347</v>
      </c>
    </row>
    <row r="44">
      <c r="D44" s="589"/>
      <c r="E44" s="612"/>
      <c r="F44" s="589"/>
      <c r="BH44" s="589"/>
      <c r="BI44" s="612"/>
      <c r="BJ44" s="589"/>
    </row>
    <row r="45">
      <c r="BH45" s="589"/>
      <c r="BI45" s="600" t="s">
        <v>1345</v>
      </c>
      <c r="BJ45" s="589"/>
    </row>
    <row r="46">
      <c r="BH46" s="589"/>
      <c r="BI46" s="601" t="s">
        <v>1349</v>
      </c>
      <c r="BJ46" s="602" t="s">
        <v>791</v>
      </c>
      <c r="BN46" s="601" t="s">
        <v>1349</v>
      </c>
      <c r="BO46" s="602" t="s">
        <v>791</v>
      </c>
    </row>
    <row r="47">
      <c r="BH47" s="603" t="s">
        <v>1350</v>
      </c>
      <c r="BI47" s="604">
        <f t="shared" ref="BI47:BJ47" si="63">BI41</f>
        <v>554747.7192</v>
      </c>
      <c r="BJ47" s="604">
        <f t="shared" si="63"/>
        <v>383.9084562</v>
      </c>
      <c r="BM47" s="603" t="s">
        <v>1350</v>
      </c>
      <c r="BN47" s="452">
        <f>BM41</f>
        <v>1771994.064</v>
      </c>
      <c r="BO47" s="452">
        <f>BM42</f>
        <v>1226.29347</v>
      </c>
    </row>
    <row r="48">
      <c r="BH48" s="605" t="s">
        <v>1351</v>
      </c>
      <c r="BI48" s="604">
        <f>BJ48*BJ34</f>
        <v>10953100</v>
      </c>
      <c r="BJ48" s="523">
        <f>7580</f>
        <v>7580</v>
      </c>
      <c r="BM48" s="605" t="s">
        <v>1351</v>
      </c>
      <c r="BN48" s="105">
        <f>BO48*BJ34</f>
        <v>8389608.511</v>
      </c>
      <c r="BO48" s="604">
        <f>90960/47*3</f>
        <v>5805.957447</v>
      </c>
      <c r="BQ48" s="522">
        <f>BO48+1935</f>
        <v>7740.957447</v>
      </c>
    </row>
    <row r="49">
      <c r="BH49" s="605" t="s">
        <v>1063</v>
      </c>
      <c r="BI49" s="606">
        <f t="shared" ref="BI49:BJ49" si="64">+BI48/BI47</f>
        <v>19.74429028</v>
      </c>
      <c r="BJ49" s="606">
        <f t="shared" si="64"/>
        <v>19.74429028</v>
      </c>
      <c r="BM49" s="605" t="s">
        <v>1063</v>
      </c>
      <c r="BN49" s="606">
        <f t="shared" ref="BN49:BO49" si="65">+BN48/BN47</f>
        <v>4.734557909</v>
      </c>
      <c r="BO49" s="606">
        <f t="shared" si="65"/>
        <v>4.734557909</v>
      </c>
      <c r="BQ49" s="522">
        <f>BQ48-7580</f>
        <v>160.9574468</v>
      </c>
    </row>
    <row r="50">
      <c r="BH50" s="605" t="s">
        <v>1352</v>
      </c>
      <c r="BI50" s="604">
        <f t="shared" ref="BI50:BJ50" si="66">+BI48-BI47</f>
        <v>10398352.28</v>
      </c>
      <c r="BJ50" s="604">
        <f t="shared" si="66"/>
        <v>7196.091544</v>
      </c>
      <c r="BM50" s="605" t="s">
        <v>1352</v>
      </c>
      <c r="BN50" s="604">
        <f t="shared" ref="BN50:BO50" si="67">+BN48-BN47</f>
        <v>6617614.447</v>
      </c>
      <c r="BO50" s="604">
        <f t="shared" si="67"/>
        <v>4579.663977</v>
      </c>
    </row>
    <row r="51">
      <c r="BH51" s="605" t="s">
        <v>1353</v>
      </c>
      <c r="BI51" s="604">
        <f t="shared" ref="BI51:BJ51" si="68">+BI48*0.15</f>
        <v>1642965</v>
      </c>
      <c r="BJ51" s="604">
        <f t="shared" si="68"/>
        <v>1137</v>
      </c>
      <c r="BM51" s="605" t="s">
        <v>1353</v>
      </c>
      <c r="BN51" s="604">
        <f t="shared" ref="BN51:BO51" si="69">+BN48*0.15</f>
        <v>1258441.277</v>
      </c>
      <c r="BO51" s="604">
        <f t="shared" si="69"/>
        <v>870.893617</v>
      </c>
    </row>
    <row r="52">
      <c r="BH52" s="605" t="s">
        <v>1352</v>
      </c>
      <c r="BI52" s="607">
        <f t="shared" ref="BI52:BJ52" si="70">+BI50-BI51</f>
        <v>8755387.281</v>
      </c>
      <c r="BJ52" s="607">
        <f t="shared" si="70"/>
        <v>6059.091544</v>
      </c>
      <c r="BM52" s="605" t="s">
        <v>1352</v>
      </c>
      <c r="BN52" s="607">
        <f t="shared" ref="BN52:BO52" si="71">+BN50-BN51</f>
        <v>5359173.17</v>
      </c>
      <c r="BO52" s="607">
        <f t="shared" si="71"/>
        <v>3708.77036</v>
      </c>
    </row>
    <row r="54">
      <c r="BM54" s="43" t="s">
        <v>1371</v>
      </c>
      <c r="BN54" s="452">
        <f>BN47/3*1.1*47*0.67</f>
        <v>20460034.13</v>
      </c>
      <c r="BO54" s="452">
        <f>BN54/BJ34</f>
        <v>14159.19317</v>
      </c>
    </row>
  </sheetData>
  <dataValidations>
    <dataValidation type="list" allowBlank="1" showErrorMessage="1" sqref="D1 K1 R1 Y1 AF1 AM1 AT1 BA1 BH1 BO1 BV1 CC1 BH34">
      <formula1>"01 Ene,02 Feb,03 Mar,04 Abr,05 May,06 Jun,07 Jul,08 Ago,09 Sep,10 Oct,11 Nov,12 Dic"</formula1>
    </dataValidation>
    <dataValidation type="list" allowBlank="1" showErrorMessage="1" sqref="E1 L1 S1 Z1 AG1 AN1 AU1 BB1 BI1 BP1 BW1 CD1 BI34">
      <formula1>"2025,2026,2027,2028"</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12.0"/>
    <col customWidth="1" min="2" max="2" width="22.38"/>
    <col customWidth="1" min="3" max="3" width="15.75"/>
    <col customWidth="1" min="4" max="4" width="14.75"/>
    <col customWidth="1" min="5" max="5" width="11.38"/>
    <col customWidth="1" min="6" max="6" width="8.88"/>
    <col customWidth="1" min="7" max="7" width="3.75"/>
    <col customWidth="1" min="8" max="8" width="11.88"/>
    <col customWidth="1" min="9" max="9" width="24.13"/>
    <col customWidth="1" min="10" max="10" width="15.75"/>
    <col customWidth="1" min="11" max="11" width="14.75"/>
    <col customWidth="1" min="12" max="12" width="14.88"/>
    <col customWidth="1" min="13" max="13" width="8.88"/>
    <col customWidth="1" min="14" max="14" width="3.63"/>
    <col customWidth="1" min="15" max="15" width="11.88"/>
    <col customWidth="1" min="16" max="16" width="24.13"/>
    <col customWidth="1" min="17" max="17" width="15.75"/>
    <col customWidth="1" min="18" max="18" width="14.75"/>
    <col customWidth="1" min="19" max="19" width="11.38"/>
    <col customWidth="1" min="20" max="20" width="8.88"/>
    <col customWidth="1" min="21" max="21" width="3.5"/>
    <col customWidth="1" min="22" max="22" width="11.88"/>
    <col customWidth="1" min="23" max="23" width="24.13"/>
    <col customWidth="1" min="24" max="24" width="15.75"/>
    <col customWidth="1" min="25" max="25" width="14.75"/>
    <col customWidth="1" min="26" max="26" width="11.38"/>
    <col customWidth="1" min="27" max="27" width="8.88"/>
    <col customWidth="1" min="28" max="28" width="4.63"/>
    <col customWidth="1" min="29" max="29" width="11.88"/>
    <col customWidth="1" min="30" max="30" width="24.13"/>
    <col customWidth="1" min="31" max="31" width="15.75"/>
    <col customWidth="1" min="32" max="32" width="14.75"/>
    <col customWidth="1" min="33" max="33" width="11.38"/>
    <col customWidth="1" min="34" max="34" width="9.25"/>
    <col customWidth="1" min="35" max="35" width="4.25"/>
    <col customWidth="1" min="36" max="36" width="11.88"/>
    <col customWidth="1" min="37" max="37" width="24.13"/>
    <col customWidth="1" min="38" max="38" width="15.75"/>
    <col customWidth="1" min="39" max="39" width="14.75"/>
    <col customWidth="1" min="40" max="40" width="14.88"/>
    <col customWidth="1" min="41" max="41" width="9.38"/>
    <col customWidth="1" min="42" max="42" width="4.25"/>
    <col customWidth="1" min="43" max="43" width="11.0"/>
    <col customWidth="1" min="44" max="44" width="24.13"/>
    <col customWidth="1" min="45" max="45" width="15.75"/>
    <col customWidth="1" min="46" max="46" width="14.75"/>
    <col customWidth="1" min="47" max="47" width="11.38"/>
    <col customWidth="1" min="48" max="48" width="8.88"/>
    <col customWidth="1" min="49" max="49" width="4.5"/>
    <col customWidth="1" min="50" max="50" width="6.5"/>
    <col customWidth="1" min="51" max="51" width="24.13"/>
    <col customWidth="1" min="52" max="52" width="15.75"/>
    <col customWidth="1" min="53" max="53" width="14.75"/>
    <col customWidth="1" min="54" max="54" width="11.38"/>
    <col customWidth="1" min="55" max="55" width="8.88"/>
    <col customWidth="1" min="56" max="56" width="4.0"/>
    <col customWidth="1" min="57" max="57" width="6.5"/>
    <col customWidth="1" min="58" max="58" width="24.13"/>
    <col customWidth="1" min="59" max="59" width="15.75"/>
    <col customWidth="1" min="60" max="60" width="14.75"/>
    <col customWidth="1" min="61" max="61" width="11.38"/>
    <col customWidth="1" min="62" max="62" width="8.88"/>
    <col customWidth="1" min="63" max="63" width="4.0"/>
    <col customWidth="1" min="64" max="64" width="6.5"/>
    <col customWidth="1" min="65" max="65" width="24.13"/>
    <col customWidth="1" min="66" max="66" width="15.75"/>
    <col customWidth="1" min="67" max="67" width="14.75"/>
    <col customWidth="1" min="68" max="68" width="11.38"/>
    <col customWidth="1" min="69" max="69" width="8.88"/>
    <col customWidth="1" min="70" max="70" width="4.13"/>
    <col customWidth="1" min="71" max="71" width="6.5"/>
    <col customWidth="1" min="72" max="72" width="24.13"/>
    <col customWidth="1" min="73" max="73" width="15.75"/>
    <col customWidth="1" min="74" max="74" width="14.75"/>
    <col customWidth="1" min="75" max="75" width="11.38"/>
    <col customWidth="1" min="76" max="76" width="8.88"/>
    <col customWidth="1" min="77" max="77" width="4.0"/>
    <col customWidth="1" min="78" max="78" width="6.5"/>
    <col customWidth="1" min="79" max="79" width="24.13"/>
    <col customWidth="1" min="80" max="80" width="15.75"/>
    <col customWidth="1" min="81" max="81" width="14.75"/>
    <col customWidth="1" min="82" max="82" width="11.38"/>
    <col customWidth="1" min="83" max="83" width="8.88"/>
  </cols>
  <sheetData>
    <row r="1">
      <c r="C1" s="585" t="s">
        <v>1329</v>
      </c>
      <c r="D1" s="586" t="s">
        <v>1355</v>
      </c>
      <c r="E1" s="481">
        <v>2025.0</v>
      </c>
      <c r="F1" s="587">
        <f>VLOOKUP(D$1&amp;" "&amp;E1,'Info Tipo de Cambio y REM'!$A$23:$B$35,2,FALSE())</f>
        <v>1220</v>
      </c>
      <c r="J1" s="585" t="s">
        <v>1329</v>
      </c>
      <c r="K1" s="586" t="s">
        <v>1356</v>
      </c>
      <c r="L1" s="481">
        <v>2025.0</v>
      </c>
      <c r="M1" s="587">
        <f>VLOOKUP(K$1&amp;" "&amp;L1,'Info Tipo de Cambio y REM'!$A$23:$B$35,2,FALSE())</f>
        <v>1230</v>
      </c>
      <c r="Q1" s="585" t="s">
        <v>1329</v>
      </c>
      <c r="R1" s="586" t="s">
        <v>1357</v>
      </c>
      <c r="S1" s="481">
        <v>2025.0</v>
      </c>
      <c r="T1" s="587">
        <f>VLOOKUP(R$1&amp;" "&amp;S1,'Info Tipo de Cambio y REM'!$A$23:$B$35,2,FALSE())</f>
        <v>1325</v>
      </c>
      <c r="X1" s="585" t="s">
        <v>1329</v>
      </c>
      <c r="Y1" s="586" t="s">
        <v>1358</v>
      </c>
      <c r="Z1" s="481">
        <v>2025.0</v>
      </c>
      <c r="AA1" s="587">
        <f>VLOOKUP(Y$1&amp;" "&amp;Z1,'Info Tipo de Cambio y REM'!$A$23:$B$35,2,FALSE())</f>
        <v>1185</v>
      </c>
      <c r="AE1" s="585" t="s">
        <v>1329</v>
      </c>
      <c r="AF1" s="586" t="s">
        <v>1330</v>
      </c>
      <c r="AG1" s="481">
        <v>2025.0</v>
      </c>
      <c r="AH1" s="587">
        <f>VLOOKUP(AF$1&amp;" "&amp;AG1,'Info Tipo de Cambio y REM'!$A$23:$B$35,2,FALSE())</f>
        <v>1180</v>
      </c>
      <c r="AL1" s="585" t="s">
        <v>1329</v>
      </c>
      <c r="AM1" s="586" t="s">
        <v>1331</v>
      </c>
      <c r="AN1" s="481">
        <v>2025.0</v>
      </c>
      <c r="AO1" s="587">
        <f>VLOOKUP(AM$1&amp;" "&amp;AN1,'Info Tipo de Cambio y REM'!$A$23:$B$35,2,FALSE())</f>
        <v>1215</v>
      </c>
      <c r="AS1" s="585" t="s">
        <v>1329</v>
      </c>
      <c r="AT1" s="586" t="s">
        <v>1332</v>
      </c>
      <c r="AU1" s="481">
        <v>2025.0</v>
      </c>
      <c r="AV1" s="587">
        <f>VLOOKUP(AT$1&amp;" "&amp;AU1,'Info Tipo de Cambio y REM'!$A$23:$B$35,2,FALSE())</f>
        <v>1320</v>
      </c>
      <c r="AZ1" s="585" t="s">
        <v>1329</v>
      </c>
      <c r="BA1" s="586" t="s">
        <v>1333</v>
      </c>
      <c r="BB1" s="481">
        <v>2025.0</v>
      </c>
      <c r="BC1" s="587">
        <f>VLOOKUP(BA$1&amp;" "&amp;BB1,'Info Tipo de Cambio y REM'!$A$23:$B$35,2,FALSE())</f>
        <v>1345</v>
      </c>
      <c r="BG1" s="585" t="s">
        <v>1329</v>
      </c>
      <c r="BH1" s="586" t="s">
        <v>1335</v>
      </c>
      <c r="BI1" s="481">
        <v>2025.0</v>
      </c>
      <c r="BJ1" s="587">
        <f>VLOOKUP(BH$1&amp;" "&amp;BI1,'Info Tipo de Cambio y REM'!$A$23:$B$35,2,FALSE())</f>
        <v>1445</v>
      </c>
      <c r="BN1" s="585" t="s">
        <v>1329</v>
      </c>
      <c r="BO1" s="586" t="s">
        <v>1336</v>
      </c>
      <c r="BP1" s="481">
        <v>2025.0</v>
      </c>
      <c r="BQ1" s="587">
        <f>VLOOKUP(BO$1&amp;" "&amp;BP1,'Info Tipo de Cambio y REM'!$A$23:$B$35,2,FALSE())</f>
        <v>1440</v>
      </c>
      <c r="BU1" s="585" t="s">
        <v>1329</v>
      </c>
      <c r="BV1" s="586" t="s">
        <v>1337</v>
      </c>
      <c r="BW1" s="481">
        <v>2025.0</v>
      </c>
      <c r="BX1" s="587">
        <f>VLOOKUP(BV$1&amp;" "&amp;BW1,'Info Tipo de Cambio y REM'!$A$23:$B$35,2,FALSE())</f>
        <v>1499</v>
      </c>
      <c r="CB1" s="585" t="s">
        <v>1329</v>
      </c>
      <c r="CC1" s="586" t="s">
        <v>1338</v>
      </c>
      <c r="CD1" s="481">
        <v>2025.0</v>
      </c>
      <c r="CE1" s="587">
        <f>VLOOKUP(CC$1&amp;" "&amp;CD1,'Info Tipo de Cambio y REM'!$A$23:$B$35,2,FALSE())</f>
        <v>1536</v>
      </c>
    </row>
    <row r="2">
      <c r="A2" s="569" t="s">
        <v>112</v>
      </c>
      <c r="B2" s="569" t="s">
        <v>1118</v>
      </c>
      <c r="C2" s="588" t="s">
        <v>1264</v>
      </c>
      <c r="D2" s="569" t="s">
        <v>1121</v>
      </c>
      <c r="E2" s="569" t="s">
        <v>1270</v>
      </c>
      <c r="F2" s="569" t="s">
        <v>1340</v>
      </c>
      <c r="G2" s="495"/>
      <c r="H2" s="569" t="s">
        <v>112</v>
      </c>
      <c r="I2" s="569" t="s">
        <v>1339</v>
      </c>
      <c r="J2" s="588" t="s">
        <v>1264</v>
      </c>
      <c r="K2" s="569" t="s">
        <v>1121</v>
      </c>
      <c r="L2" s="569" t="s">
        <v>1270</v>
      </c>
      <c r="M2" s="569" t="s">
        <v>1340</v>
      </c>
      <c r="O2" s="569" t="s">
        <v>112</v>
      </c>
      <c r="P2" s="569" t="s">
        <v>1339</v>
      </c>
      <c r="Q2" s="588" t="s">
        <v>1264</v>
      </c>
      <c r="R2" s="569" t="s">
        <v>1121</v>
      </c>
      <c r="S2" s="569" t="s">
        <v>1270</v>
      </c>
      <c r="T2" s="569" t="s">
        <v>1340</v>
      </c>
      <c r="V2" s="569" t="s">
        <v>112</v>
      </c>
      <c r="W2" s="569" t="s">
        <v>1339</v>
      </c>
      <c r="X2" s="588" t="s">
        <v>1264</v>
      </c>
      <c r="Y2" s="569" t="s">
        <v>1121</v>
      </c>
      <c r="Z2" s="569" t="s">
        <v>1270</v>
      </c>
      <c r="AA2" s="569" t="s">
        <v>1340</v>
      </c>
      <c r="AC2" s="569" t="s">
        <v>112</v>
      </c>
      <c r="AD2" s="569" t="s">
        <v>1339</v>
      </c>
      <c r="AE2" s="588" t="s">
        <v>1264</v>
      </c>
      <c r="AF2" s="569" t="s">
        <v>1121</v>
      </c>
      <c r="AG2" s="569" t="s">
        <v>1270</v>
      </c>
      <c r="AH2" s="569" t="s">
        <v>1340</v>
      </c>
      <c r="AJ2" s="569" t="s">
        <v>112</v>
      </c>
      <c r="AK2" s="569" t="s">
        <v>1339</v>
      </c>
      <c r="AL2" s="588" t="s">
        <v>1264</v>
      </c>
      <c r="AM2" s="569" t="s">
        <v>1121</v>
      </c>
      <c r="AN2" s="569" t="s">
        <v>1270</v>
      </c>
      <c r="AO2" s="569" t="s">
        <v>1340</v>
      </c>
      <c r="AQ2" s="569" t="s">
        <v>112</v>
      </c>
      <c r="AR2" s="569" t="s">
        <v>1339</v>
      </c>
      <c r="AS2" s="588" t="s">
        <v>1264</v>
      </c>
      <c r="AT2" s="569" t="s">
        <v>1121</v>
      </c>
      <c r="AU2" s="569" t="s">
        <v>1270</v>
      </c>
      <c r="AV2" s="569" t="s">
        <v>1340</v>
      </c>
      <c r="AX2" s="569" t="s">
        <v>112</v>
      </c>
      <c r="AY2" s="569" t="s">
        <v>1339</v>
      </c>
      <c r="AZ2" s="588" t="s">
        <v>1264</v>
      </c>
      <c r="BA2" s="569" t="s">
        <v>1121</v>
      </c>
      <c r="BB2" s="569" t="s">
        <v>1270</v>
      </c>
      <c r="BC2" s="569" t="s">
        <v>1340</v>
      </c>
      <c r="BE2" s="569" t="s">
        <v>112</v>
      </c>
      <c r="BF2" s="569" t="s">
        <v>1118</v>
      </c>
      <c r="BG2" s="588" t="s">
        <v>1264</v>
      </c>
      <c r="BH2" s="569" t="s">
        <v>1121</v>
      </c>
      <c r="BI2" s="569" t="s">
        <v>1270</v>
      </c>
      <c r="BJ2" s="569" t="s">
        <v>286</v>
      </c>
      <c r="BL2" s="569" t="s">
        <v>112</v>
      </c>
      <c r="BM2" s="569" t="s">
        <v>1339</v>
      </c>
      <c r="BN2" s="588" t="s">
        <v>1264</v>
      </c>
      <c r="BO2" s="569" t="s">
        <v>1121</v>
      </c>
      <c r="BP2" s="569" t="s">
        <v>1270</v>
      </c>
      <c r="BQ2" s="569" t="s">
        <v>1340</v>
      </c>
      <c r="BS2" s="569" t="s">
        <v>112</v>
      </c>
      <c r="BT2" s="569" t="s">
        <v>1339</v>
      </c>
      <c r="BU2" s="588" t="s">
        <v>1264</v>
      </c>
      <c r="BV2" s="569" t="s">
        <v>1121</v>
      </c>
      <c r="BW2" s="569" t="s">
        <v>1270</v>
      </c>
      <c r="BX2" s="569" t="s">
        <v>1340</v>
      </c>
      <c r="BZ2" s="569" t="s">
        <v>112</v>
      </c>
      <c r="CA2" s="569" t="s">
        <v>1339</v>
      </c>
      <c r="CB2" s="588" t="s">
        <v>1264</v>
      </c>
      <c r="CC2" s="569" t="s">
        <v>1121</v>
      </c>
      <c r="CD2" s="569" t="s">
        <v>1270</v>
      </c>
      <c r="CE2" s="569" t="s">
        <v>1340</v>
      </c>
    </row>
    <row r="3">
      <c r="A3" s="450" t="s">
        <v>228</v>
      </c>
      <c r="B3" s="450">
        <v>27.0</v>
      </c>
      <c r="C3" s="455">
        <v>30.0</v>
      </c>
      <c r="D3" s="464">
        <v>30000.0</v>
      </c>
      <c r="E3" s="497">
        <v>900000.0</v>
      </c>
      <c r="F3" s="498">
        <v>737.7049180327868</v>
      </c>
      <c r="G3" s="450"/>
      <c r="H3" s="450" t="s">
        <v>228</v>
      </c>
      <c r="I3" s="450">
        <v>27.0</v>
      </c>
      <c r="J3" s="455">
        <v>44.3</v>
      </c>
      <c r="K3" s="464">
        <v>18000.0</v>
      </c>
      <c r="L3" s="497">
        <v>797400.0</v>
      </c>
      <c r="M3" s="498">
        <v>648.2926829268292</v>
      </c>
      <c r="O3" s="450" t="s">
        <v>228</v>
      </c>
      <c r="P3" s="450">
        <v>27.0</v>
      </c>
      <c r="Q3" s="455">
        <v>31.0</v>
      </c>
      <c r="R3" s="464">
        <v>18000.0</v>
      </c>
      <c r="S3" s="497">
        <v>558000.0</v>
      </c>
      <c r="T3" s="498">
        <v>421.1320754716981</v>
      </c>
      <c r="V3" s="450" t="s">
        <v>228</v>
      </c>
      <c r="W3" s="450">
        <v>27.0</v>
      </c>
      <c r="X3" s="455">
        <v>27.7</v>
      </c>
      <c r="Y3" s="464">
        <v>18000.0</v>
      </c>
      <c r="Z3" s="497">
        <v>498600.0</v>
      </c>
      <c r="AA3" s="498">
        <v>420.75949367088606</v>
      </c>
      <c r="AC3" s="450" t="s">
        <v>228</v>
      </c>
      <c r="AD3" s="450">
        <v>27.0</v>
      </c>
      <c r="AE3" s="455">
        <v>22.5</v>
      </c>
      <c r="AF3" s="464">
        <v>19602.0</v>
      </c>
      <c r="AG3" s="497">
        <v>441045.0</v>
      </c>
      <c r="AH3" s="498">
        <v>373.7669491525424</v>
      </c>
      <c r="AJ3" s="450" t="s">
        <v>228</v>
      </c>
      <c r="AK3" s="450">
        <v>27.0</v>
      </c>
      <c r="AL3" s="455">
        <v>25.0</v>
      </c>
      <c r="AM3" s="464">
        <v>19602.0</v>
      </c>
      <c r="AN3" s="497">
        <v>490050.0</v>
      </c>
      <c r="AO3" s="498">
        <v>403.3333333333333</v>
      </c>
      <c r="AQ3" s="450" t="s">
        <v>228</v>
      </c>
      <c r="AR3" s="450">
        <v>27.0</v>
      </c>
      <c r="AS3" s="455">
        <v>22.83</v>
      </c>
      <c r="AT3" s="464">
        <v>19602.0</v>
      </c>
      <c r="AU3" s="497">
        <v>447513.66</v>
      </c>
      <c r="AV3" s="498">
        <v>339.02549999999997</v>
      </c>
      <c r="AX3" s="450" t="s">
        <v>228</v>
      </c>
      <c r="AY3" s="450">
        <v>27.0</v>
      </c>
      <c r="AZ3" s="455">
        <v>24.02</v>
      </c>
      <c r="BA3" s="455">
        <v>19602.0</v>
      </c>
      <c r="BB3" s="497">
        <v>470840.04</v>
      </c>
      <c r="BC3" s="498">
        <v>350.0669442379182</v>
      </c>
      <c r="BE3" s="450" t="s">
        <v>228</v>
      </c>
      <c r="BF3" s="501">
        <v>27.0</v>
      </c>
      <c r="BG3" s="455">
        <v>33.2</v>
      </c>
      <c r="BH3" s="455">
        <v>20680.0</v>
      </c>
      <c r="BI3" s="497">
        <v>686576.0000000001</v>
      </c>
      <c r="BJ3" s="498">
        <v>475.1391003460208</v>
      </c>
      <c r="BL3" s="450"/>
      <c r="BM3" s="450"/>
      <c r="BN3" s="455"/>
      <c r="BO3" s="464"/>
      <c r="BP3" s="497"/>
      <c r="BQ3" s="498"/>
      <c r="BS3" s="450"/>
      <c r="BT3" s="450"/>
      <c r="BU3" s="455"/>
      <c r="BV3" s="464"/>
      <c r="BW3" s="497"/>
      <c r="BX3" s="498"/>
      <c r="BZ3" s="450"/>
      <c r="CA3" s="450"/>
      <c r="CB3" s="455"/>
      <c r="CC3" s="464"/>
      <c r="CD3" s="497"/>
      <c r="CE3" s="498"/>
    </row>
    <row r="4">
      <c r="A4" s="450" t="s">
        <v>216</v>
      </c>
      <c r="B4" s="450">
        <v>2.0</v>
      </c>
      <c r="C4" s="455">
        <v>27.28</v>
      </c>
      <c r="D4" s="464">
        <v>12166.0</v>
      </c>
      <c r="E4" s="497">
        <v>331888.48000000004</v>
      </c>
      <c r="F4" s="498">
        <v>272.0397377049181</v>
      </c>
      <c r="G4" s="497"/>
      <c r="H4" s="450" t="s">
        <v>216</v>
      </c>
      <c r="I4" s="450">
        <v>2.0</v>
      </c>
      <c r="J4" s="455">
        <v>13.48</v>
      </c>
      <c r="K4" s="464">
        <v>13139.0</v>
      </c>
      <c r="L4" s="497">
        <v>177113.72</v>
      </c>
      <c r="M4" s="498">
        <v>143.9948943089431</v>
      </c>
      <c r="O4" s="569" t="s">
        <v>1266</v>
      </c>
      <c r="P4" s="569">
        <v>27.0</v>
      </c>
      <c r="Q4" s="588">
        <v>31.0</v>
      </c>
      <c r="R4" s="590">
        <v>18000.0</v>
      </c>
      <c r="S4" s="591">
        <v>558000.0</v>
      </c>
      <c r="T4" s="592">
        <v>421.1320754716981</v>
      </c>
      <c r="V4" s="569" t="s">
        <v>1266</v>
      </c>
      <c r="W4" s="569">
        <v>27.0</v>
      </c>
      <c r="X4" s="588">
        <v>27.7</v>
      </c>
      <c r="Y4" s="590">
        <v>18000.0</v>
      </c>
      <c r="Z4" s="591">
        <v>498600.0</v>
      </c>
      <c r="AA4" s="592">
        <v>420.75949367088606</v>
      </c>
      <c r="AC4" s="450" t="s">
        <v>217</v>
      </c>
      <c r="AD4" s="450">
        <v>27.0</v>
      </c>
      <c r="AE4" s="455">
        <v>30.7717423617</v>
      </c>
      <c r="AF4" s="464">
        <v>9688.0</v>
      </c>
      <c r="AG4" s="497">
        <v>298116.6400001496</v>
      </c>
      <c r="AH4" s="498">
        <v>252.64122033910985</v>
      </c>
      <c r="AJ4" s="450" t="s">
        <v>217</v>
      </c>
      <c r="AK4" s="450">
        <v>27.0</v>
      </c>
      <c r="AL4" s="455">
        <v>36.2</v>
      </c>
      <c r="AM4" s="464">
        <v>9688.0</v>
      </c>
      <c r="AN4" s="497">
        <v>350705.60000000003</v>
      </c>
      <c r="AO4" s="498">
        <v>288.64658436213995</v>
      </c>
      <c r="AQ4" s="450" t="s">
        <v>217</v>
      </c>
      <c r="AR4" s="450">
        <v>27.0</v>
      </c>
      <c r="AS4" s="455">
        <v>8.0</v>
      </c>
      <c r="AT4" s="464">
        <v>10270.248800000001</v>
      </c>
      <c r="AU4" s="497">
        <v>82161.99040000001</v>
      </c>
      <c r="AV4" s="498">
        <v>62.243932121212126</v>
      </c>
      <c r="AX4" s="450" t="s">
        <v>217</v>
      </c>
      <c r="AY4" s="450">
        <v>27.0</v>
      </c>
      <c r="AZ4" s="455">
        <v>8.0</v>
      </c>
      <c r="BA4" s="464">
        <v>10270.248800000001</v>
      </c>
      <c r="BB4" s="497">
        <v>82161.99040000001</v>
      </c>
      <c r="BC4" s="498">
        <v>61.08698171003718</v>
      </c>
      <c r="BE4" s="569" t="s">
        <v>1266</v>
      </c>
      <c r="BF4" s="569">
        <v>27.0</v>
      </c>
      <c r="BG4" s="588">
        <v>33.2</v>
      </c>
      <c r="BH4" s="590">
        <v>20680.0</v>
      </c>
      <c r="BI4" s="591">
        <v>686576.0000000001</v>
      </c>
      <c r="BJ4" s="592">
        <v>475.1391003460208</v>
      </c>
      <c r="BL4" s="450"/>
      <c r="BM4" s="450"/>
      <c r="BN4" s="455"/>
      <c r="BO4" s="464"/>
      <c r="BP4" s="497"/>
      <c r="BQ4" s="498"/>
      <c r="BS4" s="450"/>
      <c r="BT4" s="450"/>
      <c r="BU4" s="455"/>
      <c r="BV4" s="464"/>
      <c r="BW4" s="497"/>
      <c r="BX4" s="498"/>
      <c r="BZ4" s="450"/>
      <c r="CA4" s="450"/>
      <c r="CB4" s="455"/>
      <c r="CC4" s="464"/>
      <c r="CD4" s="497"/>
      <c r="CE4" s="498"/>
    </row>
    <row r="5">
      <c r="A5" s="569" t="s">
        <v>1266</v>
      </c>
      <c r="B5" s="569">
        <v>29.0</v>
      </c>
      <c r="C5" s="588">
        <v>57.28</v>
      </c>
      <c r="D5" s="590">
        <v>42166.0</v>
      </c>
      <c r="E5" s="591">
        <v>1231888.48</v>
      </c>
      <c r="F5" s="592">
        <v>1009.744655737705</v>
      </c>
      <c r="G5" s="497"/>
      <c r="H5" s="450" t="s">
        <v>210</v>
      </c>
      <c r="I5" s="450">
        <v>1.0</v>
      </c>
      <c r="J5" s="455">
        <v>3.5</v>
      </c>
      <c r="K5" s="464">
        <v>14717.0</v>
      </c>
      <c r="L5" s="497">
        <v>51509.5</v>
      </c>
      <c r="M5" s="498">
        <v>41.87764227642276</v>
      </c>
      <c r="O5" s="450"/>
      <c r="P5" s="450"/>
      <c r="Q5" s="455"/>
      <c r="R5" s="464"/>
      <c r="S5" s="497"/>
      <c r="T5" s="498"/>
      <c r="V5" s="450"/>
      <c r="W5" s="450"/>
      <c r="X5" s="455"/>
      <c r="Y5" s="464"/>
      <c r="Z5" s="497"/>
      <c r="AA5" s="498"/>
      <c r="AC5" s="450" t="s">
        <v>197</v>
      </c>
      <c r="AD5" s="450">
        <v>0.0</v>
      </c>
      <c r="AE5" s="455">
        <v>1.5</v>
      </c>
      <c r="AF5" s="464">
        <v>12743.0</v>
      </c>
      <c r="AG5" s="497">
        <v>19114.5</v>
      </c>
      <c r="AH5" s="498">
        <v>16.19872881355932</v>
      </c>
      <c r="AJ5" s="569" t="s">
        <v>1266</v>
      </c>
      <c r="AK5" s="569">
        <v>54.0</v>
      </c>
      <c r="AL5" s="588">
        <v>61.2</v>
      </c>
      <c r="AM5" s="590">
        <v>29290.0</v>
      </c>
      <c r="AN5" s="591">
        <v>840755.6000000001</v>
      </c>
      <c r="AO5" s="592">
        <v>691.9799176954732</v>
      </c>
      <c r="AQ5" s="569" t="s">
        <v>1266</v>
      </c>
      <c r="AR5" s="569">
        <v>54.0</v>
      </c>
      <c r="AS5" s="588">
        <v>30.83</v>
      </c>
      <c r="AT5" s="590">
        <v>29872.2488</v>
      </c>
      <c r="AU5" s="591">
        <v>529675.6503999999</v>
      </c>
      <c r="AV5" s="592">
        <v>401.2694321212121</v>
      </c>
      <c r="AX5" s="569" t="s">
        <v>1266</v>
      </c>
      <c r="AY5" s="569">
        <v>54.0</v>
      </c>
      <c r="AZ5" s="588">
        <v>32.019999999999996</v>
      </c>
      <c r="BA5" s="590">
        <v>29872.2488</v>
      </c>
      <c r="BB5" s="591">
        <v>553002.0304</v>
      </c>
      <c r="BC5" s="592">
        <v>411.1539259479554</v>
      </c>
      <c r="BE5" s="450"/>
      <c r="BF5" s="450"/>
      <c r="BG5" s="455"/>
      <c r="BH5" s="464"/>
      <c r="BI5" s="497"/>
      <c r="BJ5" s="498"/>
      <c r="BL5" s="450"/>
      <c r="BM5" s="450"/>
      <c r="BN5" s="455"/>
      <c r="BO5" s="464"/>
      <c r="BP5" s="497"/>
      <c r="BQ5" s="498"/>
      <c r="BS5" s="450"/>
      <c r="BT5" s="450"/>
      <c r="BU5" s="455"/>
      <c r="BV5" s="464"/>
      <c r="BW5" s="497"/>
      <c r="BX5" s="498"/>
      <c r="BZ5" s="450"/>
      <c r="CA5" s="450"/>
      <c r="CB5" s="455"/>
      <c r="CC5" s="464"/>
      <c r="CD5" s="497"/>
      <c r="CE5" s="498"/>
    </row>
    <row r="6">
      <c r="A6" s="450"/>
      <c r="B6" s="455"/>
      <c r="D6" s="203"/>
      <c r="E6" s="596"/>
      <c r="F6" s="203"/>
      <c r="G6" s="497"/>
      <c r="H6" s="450" t="s">
        <v>120</v>
      </c>
      <c r="I6" s="450">
        <v>0.0</v>
      </c>
      <c r="J6" s="455">
        <v>9.27</v>
      </c>
      <c r="K6" s="464">
        <v>20833.333333333332</v>
      </c>
      <c r="L6" s="497">
        <v>193124.99999999997</v>
      </c>
      <c r="M6" s="498">
        <v>157.0121951219512</v>
      </c>
      <c r="AC6" s="450" t="s">
        <v>120</v>
      </c>
      <c r="AD6" s="450">
        <v>1.0</v>
      </c>
      <c r="AE6" s="455">
        <v>2.3</v>
      </c>
      <c r="AF6" s="464">
        <v>24166.666666666668</v>
      </c>
      <c r="AG6" s="497">
        <v>55583.33333333333</v>
      </c>
      <c r="AH6" s="498">
        <v>47.104519774011294</v>
      </c>
    </row>
    <row r="7">
      <c r="A7" s="450"/>
      <c r="B7" s="455"/>
      <c r="D7" s="589"/>
      <c r="E7" s="612"/>
      <c r="F7" s="589"/>
      <c r="G7" s="497"/>
      <c r="H7" s="569" t="s">
        <v>1266</v>
      </c>
      <c r="I7" s="569">
        <v>30.0</v>
      </c>
      <c r="J7" s="588">
        <v>70.55</v>
      </c>
      <c r="K7" s="590">
        <v>66689.33333333333</v>
      </c>
      <c r="L7" s="591">
        <v>1219148.22</v>
      </c>
      <c r="M7" s="592">
        <v>991.1774146341463</v>
      </c>
      <c r="R7" s="589"/>
      <c r="S7" s="612"/>
      <c r="T7" s="589"/>
      <c r="Y7" s="589"/>
      <c r="Z7" s="612"/>
      <c r="AA7" s="589"/>
      <c r="AC7" s="569" t="s">
        <v>1266</v>
      </c>
      <c r="AD7" s="569">
        <v>55.0</v>
      </c>
      <c r="AE7" s="588">
        <v>57.071742361700004</v>
      </c>
      <c r="AF7" s="590">
        <v>66199.66666666667</v>
      </c>
      <c r="AG7" s="591">
        <v>813859.4733334829</v>
      </c>
      <c r="AH7" s="592">
        <v>689.7114180792229</v>
      </c>
      <c r="AM7" s="589"/>
      <c r="AN7" s="612"/>
      <c r="AO7" s="589"/>
      <c r="AT7" s="589"/>
      <c r="AU7" s="612"/>
      <c r="AV7" s="589"/>
      <c r="BA7" s="589"/>
      <c r="BB7" s="612"/>
      <c r="BC7" s="589"/>
      <c r="BH7" s="589"/>
      <c r="BI7" s="612"/>
      <c r="BJ7" s="589"/>
      <c r="BO7" s="589"/>
      <c r="BP7" s="612"/>
      <c r="BQ7" s="589"/>
      <c r="BV7" s="589"/>
      <c r="BW7" s="612"/>
      <c r="BX7" s="589"/>
      <c r="CC7" s="589"/>
      <c r="CD7" s="612"/>
      <c r="CE7" s="589"/>
    </row>
    <row r="8">
      <c r="A8" s="450"/>
      <c r="B8" s="455"/>
      <c r="D8" s="589"/>
      <c r="E8" s="612"/>
      <c r="F8" s="589"/>
      <c r="G8" s="497"/>
      <c r="H8" s="450"/>
      <c r="I8" s="455"/>
      <c r="J8" s="450"/>
      <c r="K8" s="589"/>
      <c r="L8" s="612"/>
      <c r="M8" s="589"/>
      <c r="R8" s="589"/>
      <c r="S8" s="612"/>
      <c r="T8" s="589"/>
      <c r="Y8" s="589"/>
      <c r="Z8" s="612"/>
      <c r="AA8" s="589"/>
      <c r="AF8" s="589"/>
      <c r="AG8" s="612"/>
      <c r="AH8" s="589"/>
      <c r="AM8" s="589"/>
      <c r="AN8" s="612"/>
      <c r="AO8" s="589"/>
      <c r="AT8" s="589"/>
      <c r="AU8" s="612"/>
      <c r="AV8" s="589"/>
      <c r="BA8" s="589"/>
      <c r="BB8" s="612"/>
      <c r="BC8" s="589"/>
      <c r="BH8" s="589"/>
      <c r="BI8" s="612"/>
      <c r="BJ8" s="589"/>
      <c r="BO8" s="589"/>
      <c r="BP8" s="612"/>
      <c r="BQ8" s="589"/>
      <c r="BV8" s="589"/>
      <c r="BW8" s="612"/>
      <c r="BX8" s="589"/>
      <c r="CC8" s="589"/>
      <c r="CD8" s="612"/>
      <c r="CE8" s="589"/>
    </row>
    <row r="9">
      <c r="A9" s="450"/>
      <c r="B9" s="455"/>
      <c r="D9" s="589"/>
      <c r="E9" s="600" t="s">
        <v>1359</v>
      </c>
      <c r="F9" s="589"/>
      <c r="G9" s="497"/>
      <c r="H9" s="450"/>
      <c r="I9" s="455"/>
      <c r="J9" s="450"/>
      <c r="K9" s="589"/>
      <c r="L9" s="600" t="s">
        <v>1360</v>
      </c>
      <c r="M9" s="589"/>
      <c r="R9" s="589"/>
      <c r="S9" s="600" t="s">
        <v>1361</v>
      </c>
      <c r="T9" s="589"/>
      <c r="Y9" s="589"/>
      <c r="Z9" s="600" t="s">
        <v>1362</v>
      </c>
      <c r="AA9" s="589"/>
      <c r="AF9" s="589"/>
      <c r="AG9" s="600" t="s">
        <v>1363</v>
      </c>
      <c r="AH9" s="589"/>
      <c r="AM9" s="589"/>
      <c r="AN9" s="600" t="s">
        <v>1364</v>
      </c>
      <c r="AO9" s="589"/>
      <c r="AT9" s="589"/>
      <c r="AU9" s="600" t="s">
        <v>1365</v>
      </c>
      <c r="AV9" s="589"/>
      <c r="BA9" s="589"/>
      <c r="BB9" s="600" t="s">
        <v>1344</v>
      </c>
      <c r="BC9" s="589"/>
      <c r="BH9" s="589"/>
      <c r="BI9" s="600" t="s">
        <v>1345</v>
      </c>
      <c r="BJ9" s="589"/>
      <c r="BO9" s="589"/>
      <c r="BP9" s="600" t="s">
        <v>1346</v>
      </c>
      <c r="BQ9" s="589"/>
      <c r="BV9" s="589"/>
      <c r="BW9" s="600" t="s">
        <v>1347</v>
      </c>
      <c r="BX9" s="589"/>
      <c r="CC9" s="589"/>
      <c r="CD9" s="600" t="s">
        <v>1348</v>
      </c>
      <c r="CE9" s="589"/>
    </row>
    <row r="10">
      <c r="A10" s="450"/>
      <c r="B10" s="455"/>
      <c r="D10" s="589"/>
      <c r="E10" s="601" t="s">
        <v>1349</v>
      </c>
      <c r="F10" s="602" t="s">
        <v>791</v>
      </c>
      <c r="G10" s="497"/>
      <c r="H10" s="450"/>
      <c r="I10" s="455"/>
      <c r="J10" s="450"/>
      <c r="K10" s="589"/>
      <c r="L10" s="601" t="s">
        <v>1349</v>
      </c>
      <c r="M10" s="602" t="s">
        <v>791</v>
      </c>
      <c r="R10" s="589"/>
      <c r="S10" s="601" t="s">
        <v>1349</v>
      </c>
      <c r="T10" s="602" t="s">
        <v>791</v>
      </c>
      <c r="Y10" s="589"/>
      <c r="Z10" s="601" t="s">
        <v>1349</v>
      </c>
      <c r="AA10" s="602" t="s">
        <v>791</v>
      </c>
      <c r="AF10" s="589"/>
      <c r="AG10" s="601" t="s">
        <v>1349</v>
      </c>
      <c r="AH10" s="602" t="s">
        <v>791</v>
      </c>
      <c r="AM10" s="589"/>
      <c r="AN10" s="601" t="s">
        <v>1349</v>
      </c>
      <c r="AO10" s="602" t="s">
        <v>791</v>
      </c>
      <c r="AT10" s="589"/>
      <c r="AU10" s="601" t="s">
        <v>1349</v>
      </c>
      <c r="AV10" s="602" t="s">
        <v>791</v>
      </c>
      <c r="BA10" s="589"/>
      <c r="BB10" s="601" t="s">
        <v>1349</v>
      </c>
      <c r="BC10" s="602" t="s">
        <v>791</v>
      </c>
      <c r="BH10" s="589"/>
      <c r="BI10" s="601" t="s">
        <v>1349</v>
      </c>
      <c r="BJ10" s="602" t="s">
        <v>791</v>
      </c>
      <c r="BO10" s="589"/>
      <c r="BP10" s="601" t="s">
        <v>1349</v>
      </c>
      <c r="BQ10" s="602" t="s">
        <v>791</v>
      </c>
      <c r="BV10" s="589"/>
      <c r="BW10" s="601" t="s">
        <v>1349</v>
      </c>
      <c r="BX10" s="602" t="s">
        <v>791</v>
      </c>
      <c r="CC10" s="589"/>
      <c r="CD10" s="601" t="s">
        <v>1349</v>
      </c>
      <c r="CE10" s="602" t="s">
        <v>791</v>
      </c>
    </row>
    <row r="11">
      <c r="D11" s="603" t="s">
        <v>1350</v>
      </c>
      <c r="E11" s="604">
        <f t="shared" ref="E11:F11" si="1">E5</f>
        <v>1231888.48</v>
      </c>
      <c r="F11" s="604">
        <f t="shared" si="1"/>
        <v>1009.744656</v>
      </c>
      <c r="G11" s="450"/>
      <c r="H11" s="450"/>
      <c r="I11" s="450"/>
      <c r="J11" s="450"/>
      <c r="K11" s="603" t="s">
        <v>1350</v>
      </c>
      <c r="L11" s="604">
        <f t="shared" ref="L11:M11" si="2">L7</f>
        <v>1219148.22</v>
      </c>
      <c r="M11" s="604">
        <f t="shared" si="2"/>
        <v>991.1774146</v>
      </c>
      <c r="R11" s="603" t="s">
        <v>1350</v>
      </c>
      <c r="S11" s="604">
        <f t="shared" ref="S11:T11" si="3">S4</f>
        <v>558000</v>
      </c>
      <c r="T11" s="604">
        <f t="shared" si="3"/>
        <v>421.1320755</v>
      </c>
      <c r="Y11" s="603" t="s">
        <v>1350</v>
      </c>
      <c r="Z11" s="604">
        <f t="shared" ref="Z11:AA11" si="4">Z4</f>
        <v>498600</v>
      </c>
      <c r="AA11" s="604">
        <f t="shared" si="4"/>
        <v>420.7594937</v>
      </c>
      <c r="AF11" s="603" t="s">
        <v>1350</v>
      </c>
      <c r="AG11" s="604">
        <f t="shared" ref="AG11:AH11" si="5">AG7</f>
        <v>813859.4733</v>
      </c>
      <c r="AH11" s="604">
        <f t="shared" si="5"/>
        <v>689.7114181</v>
      </c>
      <c r="AM11" s="603" t="s">
        <v>1350</v>
      </c>
      <c r="AN11" s="604">
        <f t="shared" ref="AN11:AO11" si="6">AN5</f>
        <v>840755.6</v>
      </c>
      <c r="AO11" s="604">
        <f t="shared" si="6"/>
        <v>691.9799177</v>
      </c>
      <c r="AT11" s="603" t="s">
        <v>1350</v>
      </c>
      <c r="AU11" s="604">
        <f t="shared" ref="AU11:AV11" si="7">AU5</f>
        <v>529675.6504</v>
      </c>
      <c r="AV11" s="604">
        <f t="shared" si="7"/>
        <v>401.2694321</v>
      </c>
      <c r="BA11" s="603" t="s">
        <v>1350</v>
      </c>
      <c r="BB11" s="604">
        <f t="shared" ref="BB11:BC11" si="8">BB5</f>
        <v>553002.0304</v>
      </c>
      <c r="BC11" s="604">
        <f t="shared" si="8"/>
        <v>411.1539259</v>
      </c>
      <c r="BH11" s="603" t="s">
        <v>1350</v>
      </c>
      <c r="BI11" s="604">
        <f t="shared" ref="BI11:BJ11" si="9">BI4</f>
        <v>686576</v>
      </c>
      <c r="BJ11" s="604">
        <f t="shared" si="9"/>
        <v>475.1391003</v>
      </c>
      <c r="BO11" s="603" t="s">
        <v>1350</v>
      </c>
      <c r="BP11" s="604" t="str">
        <f t="shared" ref="BP11:BQ11" si="10">BP5</f>
        <v/>
      </c>
      <c r="BQ11" s="604" t="str">
        <f t="shared" si="10"/>
        <v/>
      </c>
      <c r="BV11" s="603" t="s">
        <v>1350</v>
      </c>
      <c r="BW11" s="604" t="str">
        <f t="shared" ref="BW11:BX11" si="11">BW5</f>
        <v/>
      </c>
      <c r="BX11" s="604" t="str">
        <f t="shared" si="11"/>
        <v/>
      </c>
      <c r="CC11" s="603" t="s">
        <v>1350</v>
      </c>
      <c r="CD11" s="604" t="str">
        <f t="shared" ref="CD11:CE11" si="12">CD5</f>
        <v/>
      </c>
      <c r="CE11" s="604" t="str">
        <f t="shared" si="12"/>
        <v/>
      </c>
    </row>
    <row r="12">
      <c r="D12" s="605" t="s">
        <v>1351</v>
      </c>
      <c r="E12" s="379">
        <v>3718825.0</v>
      </c>
      <c r="F12" s="523">
        <f>E12/F1</f>
        <v>3048.217213</v>
      </c>
      <c r="G12" s="450"/>
      <c r="H12" s="450"/>
      <c r="I12" s="450"/>
      <c r="J12" s="450"/>
      <c r="K12" s="605" t="s">
        <v>1351</v>
      </c>
      <c r="L12" s="379">
        <v>3718825.0</v>
      </c>
      <c r="M12" s="523">
        <f>L12/M1</f>
        <v>3023.434959</v>
      </c>
      <c r="R12" s="605" t="s">
        <v>1351</v>
      </c>
      <c r="S12" s="379">
        <v>3718825.0</v>
      </c>
      <c r="T12" s="523">
        <f>S12/T1</f>
        <v>2806.660377</v>
      </c>
      <c r="Y12" s="605" t="s">
        <v>1351</v>
      </c>
      <c r="Z12" s="379">
        <v>3718825.0</v>
      </c>
      <c r="AA12" s="523">
        <f>Z12/AA1</f>
        <v>3138.248945</v>
      </c>
      <c r="AF12" s="605" t="s">
        <v>1351</v>
      </c>
      <c r="AG12" s="379">
        <v>3718825.0</v>
      </c>
      <c r="AH12" s="523">
        <f>AG12/AH1</f>
        <v>3151.54661</v>
      </c>
      <c r="AM12" s="605" t="s">
        <v>1351</v>
      </c>
      <c r="AN12" s="379">
        <v>4359856.0</v>
      </c>
      <c r="AO12" s="523">
        <f>AN12/AO1</f>
        <v>3588.358848</v>
      </c>
      <c r="AT12" s="605" t="s">
        <v>1351</v>
      </c>
      <c r="AU12" s="379">
        <v>4359856.0</v>
      </c>
      <c r="AV12" s="523">
        <f>AU12/AV1</f>
        <v>3302.921212</v>
      </c>
      <c r="BA12" s="605" t="s">
        <v>1351</v>
      </c>
      <c r="BB12" s="379">
        <v>4359856.0</v>
      </c>
      <c r="BC12" s="523">
        <f>BB12/BC1</f>
        <v>3241.528625</v>
      </c>
      <c r="BH12" s="605" t="s">
        <v>1351</v>
      </c>
      <c r="BI12" s="379">
        <v>4359856.0</v>
      </c>
      <c r="BJ12" s="523">
        <f>BI12/BJ1</f>
        <v>3017.201384</v>
      </c>
      <c r="BO12" s="605" t="s">
        <v>1351</v>
      </c>
      <c r="BP12" s="379">
        <v>4359856.0</v>
      </c>
      <c r="BQ12" s="523">
        <f>BP12/BQ1</f>
        <v>3027.677778</v>
      </c>
      <c r="BV12" s="605" t="s">
        <v>1351</v>
      </c>
      <c r="BW12" s="379">
        <v>4359856.0</v>
      </c>
      <c r="BX12" s="523">
        <f>BW12/BX1</f>
        <v>2908.509673</v>
      </c>
      <c r="CC12" s="605" t="s">
        <v>1351</v>
      </c>
      <c r="CD12" s="379">
        <v>4359856.0</v>
      </c>
      <c r="CE12" s="523">
        <f>CD12/CE1</f>
        <v>2838.447917</v>
      </c>
    </row>
    <row r="13">
      <c r="D13" s="605" t="s">
        <v>1063</v>
      </c>
      <c r="E13" s="606">
        <f t="shared" ref="E13:F13" si="13">+E12/E11</f>
        <v>3.018800046</v>
      </c>
      <c r="F13" s="606">
        <f t="shared" si="13"/>
        <v>3.018800046</v>
      </c>
      <c r="G13" s="450"/>
      <c r="H13" s="450"/>
      <c r="I13" s="450"/>
      <c r="J13" s="450"/>
      <c r="K13" s="605" t="s">
        <v>1063</v>
      </c>
      <c r="L13" s="606">
        <f t="shared" ref="L13:M13" si="14">+L12/L11</f>
        <v>3.050346905</v>
      </c>
      <c r="M13" s="606">
        <f t="shared" si="14"/>
        <v>3.050346905</v>
      </c>
      <c r="R13" s="605" t="s">
        <v>1063</v>
      </c>
      <c r="S13" s="606">
        <f t="shared" ref="S13:T13" si="15">+S12/S11</f>
        <v>6.664560932</v>
      </c>
      <c r="T13" s="606">
        <f t="shared" si="15"/>
        <v>6.664560932</v>
      </c>
      <c r="Y13" s="605" t="s">
        <v>1063</v>
      </c>
      <c r="Z13" s="606">
        <f t="shared" ref="Z13:AA13" si="16">+Z12/Z11</f>
        <v>7.458533895</v>
      </c>
      <c r="AA13" s="606">
        <f t="shared" si="16"/>
        <v>7.458533895</v>
      </c>
      <c r="AF13" s="605" t="s">
        <v>1063</v>
      </c>
      <c r="AG13" s="606">
        <f t="shared" ref="AG13:AH13" si="17">+AG12/AG11</f>
        <v>4.569369924</v>
      </c>
      <c r="AH13" s="606">
        <f t="shared" si="17"/>
        <v>4.569369924</v>
      </c>
      <c r="AM13" s="605" t="s">
        <v>1063</v>
      </c>
      <c r="AN13" s="606">
        <f t="shared" ref="AN13:AO13" si="18">+AN12/AN11</f>
        <v>5.185640155</v>
      </c>
      <c r="AO13" s="606">
        <f t="shared" si="18"/>
        <v>5.185640155</v>
      </c>
      <c r="AT13" s="605" t="s">
        <v>1063</v>
      </c>
      <c r="AU13" s="606">
        <f t="shared" ref="AU13:AV13" si="19">+AU12/AU11</f>
        <v>8.231180717</v>
      </c>
      <c r="AV13" s="606">
        <f t="shared" si="19"/>
        <v>8.231180717</v>
      </c>
      <c r="BA13" s="605" t="s">
        <v>1063</v>
      </c>
      <c r="BB13" s="606">
        <f t="shared" ref="BB13:BC13" si="20">+BB12/BB11</f>
        <v>7.883978286</v>
      </c>
      <c r="BC13" s="606">
        <f t="shared" si="20"/>
        <v>7.883978286</v>
      </c>
      <c r="BH13" s="605" t="s">
        <v>1063</v>
      </c>
      <c r="BI13" s="606">
        <f t="shared" ref="BI13:BJ13" si="21">+BI12/BI11</f>
        <v>6.35014332</v>
      </c>
      <c r="BJ13" s="606">
        <f t="shared" si="21"/>
        <v>6.35014332</v>
      </c>
      <c r="BO13" s="605" t="s">
        <v>1063</v>
      </c>
      <c r="BP13" s="606" t="str">
        <f t="shared" ref="BP13:BQ13" si="22">+BP12/BP11</f>
        <v>#DIV/0!</v>
      </c>
      <c r="BQ13" s="606" t="str">
        <f t="shared" si="22"/>
        <v>#DIV/0!</v>
      </c>
      <c r="BV13" s="605" t="s">
        <v>1063</v>
      </c>
      <c r="BW13" s="606" t="str">
        <f t="shared" ref="BW13:BX13" si="23">+BW12/BW11</f>
        <v>#DIV/0!</v>
      </c>
      <c r="BX13" s="606" t="str">
        <f t="shared" si="23"/>
        <v>#DIV/0!</v>
      </c>
      <c r="CC13" s="605" t="s">
        <v>1063</v>
      </c>
      <c r="CD13" s="606" t="str">
        <f t="shared" ref="CD13:CE13" si="24">+CD12/CD11</f>
        <v>#DIV/0!</v>
      </c>
      <c r="CE13" s="606" t="str">
        <f t="shared" si="24"/>
        <v>#DIV/0!</v>
      </c>
    </row>
    <row r="14">
      <c r="D14" s="605" t="s">
        <v>1352</v>
      </c>
      <c r="E14" s="604">
        <f t="shared" ref="E14:F14" si="25">+E12-E11</f>
        <v>2486936.52</v>
      </c>
      <c r="F14" s="604">
        <f t="shared" si="25"/>
        <v>2038.472557</v>
      </c>
      <c r="G14" s="450"/>
      <c r="H14" s="450"/>
      <c r="I14" s="450"/>
      <c r="J14" s="450"/>
      <c r="K14" s="605" t="s">
        <v>1352</v>
      </c>
      <c r="L14" s="604">
        <f t="shared" ref="L14:M14" si="26">+L12-L11</f>
        <v>2499676.78</v>
      </c>
      <c r="M14" s="604">
        <f t="shared" si="26"/>
        <v>2032.257545</v>
      </c>
      <c r="R14" s="605" t="s">
        <v>1352</v>
      </c>
      <c r="S14" s="604">
        <f t="shared" ref="S14:T14" si="27">+S12-S11</f>
        <v>3160825</v>
      </c>
      <c r="T14" s="604">
        <f t="shared" si="27"/>
        <v>2385.528302</v>
      </c>
      <c r="Y14" s="605" t="s">
        <v>1352</v>
      </c>
      <c r="Z14" s="604">
        <f t="shared" ref="Z14:AA14" si="28">+Z12-Z11</f>
        <v>3220225</v>
      </c>
      <c r="AA14" s="604">
        <f t="shared" si="28"/>
        <v>2717.489451</v>
      </c>
      <c r="AF14" s="605" t="s">
        <v>1352</v>
      </c>
      <c r="AG14" s="604">
        <f t="shared" ref="AG14:AH14" si="29">+AG12-AG11</f>
        <v>2904965.527</v>
      </c>
      <c r="AH14" s="604">
        <f t="shared" si="29"/>
        <v>2461.835192</v>
      </c>
      <c r="AM14" s="605" t="s">
        <v>1352</v>
      </c>
      <c r="AN14" s="604">
        <f t="shared" ref="AN14:AO14" si="30">+AN12-AN11</f>
        <v>3519100.4</v>
      </c>
      <c r="AO14" s="604">
        <f t="shared" si="30"/>
        <v>2896.37893</v>
      </c>
      <c r="AT14" s="605" t="s">
        <v>1352</v>
      </c>
      <c r="AU14" s="604">
        <f t="shared" ref="AU14:AV14" si="31">+AU12-AU11</f>
        <v>3830180.35</v>
      </c>
      <c r="AV14" s="604">
        <f t="shared" si="31"/>
        <v>2901.65178</v>
      </c>
      <c r="BA14" s="605" t="s">
        <v>1352</v>
      </c>
      <c r="BB14" s="604">
        <f t="shared" ref="BB14:BC14" si="32">+BB12-BB11</f>
        <v>3806853.97</v>
      </c>
      <c r="BC14" s="604">
        <f t="shared" si="32"/>
        <v>2830.374699</v>
      </c>
      <c r="BH14" s="605" t="s">
        <v>1352</v>
      </c>
      <c r="BI14" s="604">
        <f t="shared" ref="BI14:BJ14" si="33">+BI12-BI11</f>
        <v>3673280</v>
      </c>
      <c r="BJ14" s="604">
        <f t="shared" si="33"/>
        <v>2542.062284</v>
      </c>
      <c r="BO14" s="605" t="s">
        <v>1352</v>
      </c>
      <c r="BP14" s="604">
        <f t="shared" ref="BP14:BQ14" si="34">+BP12-BP11</f>
        <v>4359856</v>
      </c>
      <c r="BQ14" s="604">
        <f t="shared" si="34"/>
        <v>3027.677778</v>
      </c>
      <c r="BV14" s="605" t="s">
        <v>1352</v>
      </c>
      <c r="BW14" s="604">
        <f t="shared" ref="BW14:BX14" si="35">+BW12-BW11</f>
        <v>4359856</v>
      </c>
      <c r="BX14" s="604">
        <f t="shared" si="35"/>
        <v>2908.509673</v>
      </c>
      <c r="CC14" s="605" t="s">
        <v>1352</v>
      </c>
      <c r="CD14" s="604">
        <f t="shared" ref="CD14:CE14" si="36">+CD12-CD11</f>
        <v>4359856</v>
      </c>
      <c r="CE14" s="604">
        <f t="shared" si="36"/>
        <v>2838.447917</v>
      </c>
    </row>
    <row r="15">
      <c r="D15" s="603" t="s">
        <v>1372</v>
      </c>
      <c r="E15" s="604">
        <f t="shared" ref="E15:F15" si="37">E12*0.97</f>
        <v>3607260.25</v>
      </c>
      <c r="F15" s="604">
        <f t="shared" si="37"/>
        <v>2956.770697</v>
      </c>
      <c r="G15" s="450"/>
      <c r="H15" s="450"/>
      <c r="I15" s="450"/>
      <c r="J15" s="450"/>
      <c r="K15" s="603" t="s">
        <v>1372</v>
      </c>
      <c r="L15" s="604">
        <f t="shared" ref="L15:M15" si="38">L12*0.97</f>
        <v>3607260.25</v>
      </c>
      <c r="M15" s="604">
        <f t="shared" si="38"/>
        <v>2932.731911</v>
      </c>
      <c r="R15" s="603" t="s">
        <v>1372</v>
      </c>
      <c r="S15" s="604">
        <f t="shared" ref="S15:T15" si="39">S12*0.97</f>
        <v>3607260.25</v>
      </c>
      <c r="T15" s="604">
        <f t="shared" si="39"/>
        <v>2722.460566</v>
      </c>
      <c r="Y15" s="603" t="s">
        <v>1372</v>
      </c>
      <c r="Z15" s="604">
        <f t="shared" ref="Z15:AA15" si="40">Z12*0.97</f>
        <v>3607260.25</v>
      </c>
      <c r="AA15" s="604">
        <f t="shared" si="40"/>
        <v>3044.101477</v>
      </c>
      <c r="AF15" s="603" t="s">
        <v>1372</v>
      </c>
      <c r="AG15" s="604">
        <f t="shared" ref="AG15:AH15" si="41">AG12*0.97</f>
        <v>3607260.25</v>
      </c>
      <c r="AH15" s="604">
        <f t="shared" si="41"/>
        <v>3057.000212</v>
      </c>
      <c r="AM15" s="603" t="s">
        <v>1372</v>
      </c>
      <c r="AN15" s="604">
        <f t="shared" ref="AN15:AO15" si="42">AN12*0.97</f>
        <v>4229060.32</v>
      </c>
      <c r="AO15" s="604">
        <f t="shared" si="42"/>
        <v>3480.708082</v>
      </c>
      <c r="AT15" s="603" t="s">
        <v>1372</v>
      </c>
      <c r="AU15" s="604">
        <f t="shared" ref="AU15:AV15" si="43">AU12*0.97</f>
        <v>4229060.32</v>
      </c>
      <c r="AV15" s="604">
        <f t="shared" si="43"/>
        <v>3203.833576</v>
      </c>
      <c r="BA15" s="603" t="s">
        <v>1372</v>
      </c>
      <c r="BB15" s="604">
        <f t="shared" ref="BB15:BC15" si="44">BB12*0.97</f>
        <v>4229060.32</v>
      </c>
      <c r="BC15" s="604">
        <f t="shared" si="44"/>
        <v>3144.282766</v>
      </c>
      <c r="BH15" s="603" t="s">
        <v>1372</v>
      </c>
      <c r="BI15" s="604">
        <f t="shared" ref="BI15:BJ15" si="45">BI12*0.97</f>
        <v>4229060.32</v>
      </c>
      <c r="BJ15" s="604">
        <f t="shared" si="45"/>
        <v>2926.685343</v>
      </c>
      <c r="BO15" s="603" t="s">
        <v>1372</v>
      </c>
      <c r="BP15" s="604">
        <f t="shared" ref="BP15:BQ15" si="46">BP12*0.97</f>
        <v>4229060.32</v>
      </c>
      <c r="BQ15" s="604">
        <f t="shared" si="46"/>
        <v>2936.847444</v>
      </c>
      <c r="BV15" s="603" t="s">
        <v>1372</v>
      </c>
      <c r="BW15" s="604">
        <f t="shared" ref="BW15:BX15" si="47">BW12*0.97</f>
        <v>4229060.32</v>
      </c>
      <c r="BX15" s="604">
        <f t="shared" si="47"/>
        <v>2821.254383</v>
      </c>
      <c r="CC15" s="603" t="s">
        <v>1372</v>
      </c>
      <c r="CD15" s="604">
        <f t="shared" ref="CD15:CE15" si="48">CD12*0.97</f>
        <v>4229060.32</v>
      </c>
      <c r="CE15" s="604">
        <f t="shared" si="48"/>
        <v>2753.294479</v>
      </c>
    </row>
    <row r="16">
      <c r="G16" s="450"/>
      <c r="H16" s="450"/>
      <c r="I16" s="450"/>
      <c r="J16" s="450"/>
    </row>
    <row r="18">
      <c r="A18" s="450"/>
      <c r="B18" s="450"/>
      <c r="C18" s="455"/>
      <c r="D18" s="450"/>
      <c r="E18" s="450"/>
      <c r="F18" s="450"/>
      <c r="AY18" s="370"/>
      <c r="AZ18" s="372"/>
      <c r="BA18" s="372"/>
      <c r="BB18" s="453"/>
      <c r="BC18" s="107"/>
    </row>
    <row r="19">
      <c r="A19" s="450"/>
      <c r="B19" s="450"/>
      <c r="C19" s="455"/>
      <c r="D19" s="464"/>
      <c r="E19" s="497"/>
      <c r="F19" s="498"/>
      <c r="AY19" s="370"/>
      <c r="AZ19" s="372"/>
      <c r="BA19" s="452"/>
      <c r="BB19" s="453"/>
      <c r="BC19" s="107"/>
    </row>
    <row r="20">
      <c r="A20" s="450"/>
      <c r="B20" s="450"/>
      <c r="C20" s="455"/>
      <c r="D20" s="464"/>
      <c r="E20" s="497"/>
      <c r="F20" s="498"/>
      <c r="AY20" s="370"/>
      <c r="AZ20" s="372"/>
      <c r="BA20" s="452"/>
      <c r="BB20" s="453"/>
      <c r="BC20" s="107"/>
    </row>
    <row r="21">
      <c r="A21" s="450"/>
      <c r="B21" s="450"/>
      <c r="C21" s="455"/>
      <c r="D21" s="464"/>
      <c r="E21" s="497"/>
      <c r="F21" s="498"/>
    </row>
    <row r="22">
      <c r="A22" s="450"/>
      <c r="B22" s="450"/>
      <c r="C22" s="455"/>
      <c r="D22" s="464"/>
      <c r="E22" s="497"/>
      <c r="F22" s="498"/>
    </row>
    <row r="23">
      <c r="A23" s="450"/>
      <c r="B23" s="450"/>
      <c r="C23" s="455"/>
      <c r="D23" s="464"/>
      <c r="E23" s="497"/>
      <c r="F23" s="498"/>
    </row>
    <row r="24">
      <c r="A24" s="450"/>
      <c r="B24" s="450"/>
      <c r="C24" s="455"/>
      <c r="D24" s="464"/>
      <c r="E24" s="497"/>
      <c r="F24" s="498"/>
    </row>
    <row r="25">
      <c r="A25" s="450"/>
      <c r="B25" s="450"/>
      <c r="C25" s="455"/>
      <c r="D25" s="464"/>
      <c r="E25" s="497"/>
      <c r="F25" s="498"/>
    </row>
    <row r="26">
      <c r="A26" s="450"/>
      <c r="B26" s="450"/>
      <c r="C26" s="455"/>
      <c r="D26" s="464"/>
      <c r="E26" s="497"/>
      <c r="F26" s="498"/>
    </row>
    <row r="27">
      <c r="A27" s="450"/>
      <c r="B27" s="450"/>
      <c r="C27" s="455"/>
      <c r="D27" s="464"/>
      <c r="E27" s="497"/>
      <c r="F27" s="498"/>
    </row>
    <row r="28">
      <c r="A28" s="450"/>
      <c r="B28" s="450"/>
      <c r="C28" s="455"/>
      <c r="D28" s="464"/>
      <c r="E28" s="497"/>
      <c r="F28" s="498"/>
    </row>
    <row r="29">
      <c r="A29" s="450"/>
      <c r="B29" s="450"/>
      <c r="C29" s="455"/>
      <c r="D29" s="464"/>
      <c r="E29" s="497"/>
      <c r="F29" s="498"/>
    </row>
    <row r="30">
      <c r="A30" s="450"/>
      <c r="B30" s="450"/>
      <c r="C30" s="455"/>
      <c r="D30" s="464"/>
      <c r="E30" s="497"/>
      <c r="F30" s="498"/>
    </row>
    <row r="31">
      <c r="A31" s="450"/>
      <c r="B31" s="450"/>
      <c r="C31" s="455"/>
      <c r="D31" s="464"/>
      <c r="E31" s="497"/>
      <c r="F31" s="498"/>
    </row>
    <row r="32">
      <c r="A32" s="450"/>
      <c r="B32" s="450"/>
      <c r="C32" s="455"/>
      <c r="D32" s="464"/>
      <c r="E32" s="497"/>
      <c r="F32" s="498"/>
    </row>
    <row r="33">
      <c r="A33" s="450"/>
      <c r="B33" s="450"/>
      <c r="C33" s="455"/>
      <c r="D33" s="464"/>
      <c r="E33" s="497"/>
      <c r="F33" s="498"/>
    </row>
  </sheetData>
  <dataValidations>
    <dataValidation type="list" allowBlank="1" showErrorMessage="1" sqref="D1 K1 R1 Y1 AF1 AM1 AT1 BA1 BH1 BO1 BV1 CC1">
      <formula1>"01 Ene,02 Feb,03 Mar,04 Abr,05 May,06 Jun,07 Jul,08 Ago,09 Sep,10 Oct,11 Nov,12 Dic"</formula1>
    </dataValidation>
    <dataValidation type="list" allowBlank="1" showErrorMessage="1" sqref="E1 L1 S1 Z1 AG1 AN1 AU1 BB1 BI1 BP1 BW1 CD1">
      <formula1>"2025,2026,2027,2028"</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12.0"/>
    <col customWidth="1" min="2" max="2" width="22.38"/>
    <col customWidth="1" min="3" max="3" width="15.75"/>
    <col customWidth="1" min="4" max="4" width="14.75"/>
    <col customWidth="1" min="5" max="5" width="11.38"/>
    <col customWidth="1" min="6" max="6" width="8.88"/>
    <col customWidth="1" min="7" max="7" width="3.75"/>
    <col customWidth="1" min="8" max="8" width="11.88"/>
    <col customWidth="1" min="9" max="9" width="24.13"/>
    <col customWidth="1" min="10" max="10" width="15.75"/>
    <col customWidth="1" min="11" max="11" width="14.75"/>
    <col customWidth="1" min="12" max="12" width="14.88"/>
    <col customWidth="1" min="13" max="13" width="8.88"/>
    <col customWidth="1" min="14" max="14" width="3.63"/>
    <col customWidth="1" min="15" max="15" width="11.88"/>
    <col customWidth="1" min="16" max="16" width="24.13"/>
    <col customWidth="1" min="17" max="17" width="15.75"/>
    <col customWidth="1" min="18" max="18" width="14.75"/>
    <col customWidth="1" min="19" max="19" width="11.38"/>
    <col customWidth="1" min="20" max="20" width="8.88"/>
    <col customWidth="1" min="21" max="21" width="3.5"/>
    <col customWidth="1" min="22" max="22" width="11.88"/>
    <col customWidth="1" min="23" max="23" width="24.13"/>
    <col customWidth="1" min="24" max="24" width="15.75"/>
    <col customWidth="1" min="25" max="25" width="14.75"/>
    <col customWidth="1" min="26" max="26" width="11.38"/>
    <col customWidth="1" min="27" max="27" width="8.88"/>
    <col customWidth="1" min="28" max="28" width="4.63"/>
    <col customWidth="1" min="29" max="29" width="11.88"/>
    <col customWidth="1" min="30" max="30" width="24.13"/>
    <col customWidth="1" min="31" max="31" width="15.75"/>
    <col customWidth="1" min="32" max="32" width="14.75"/>
    <col customWidth="1" min="33" max="33" width="11.38"/>
    <col customWidth="1" min="34" max="34" width="9.25"/>
    <col customWidth="1" min="35" max="35" width="4.25"/>
    <col customWidth="1" min="36" max="36" width="11.88"/>
    <col customWidth="1" min="37" max="37" width="24.13"/>
    <col customWidth="1" min="38" max="38" width="15.75"/>
    <col customWidth="1" min="39" max="39" width="14.75"/>
    <col customWidth="1" min="40" max="40" width="14.88"/>
    <col customWidth="1" min="41" max="41" width="9.38"/>
    <col customWidth="1" min="42" max="42" width="4.25"/>
    <col customWidth="1" min="43" max="43" width="11.0"/>
    <col customWidth="1" min="44" max="44" width="24.13"/>
    <col customWidth="1" min="45" max="45" width="15.75"/>
    <col customWidth="1" min="46" max="46" width="14.75"/>
    <col customWidth="1" min="47" max="47" width="11.38"/>
    <col customWidth="1" min="48" max="48" width="8.88"/>
    <col customWidth="1" min="49" max="49" width="4.5"/>
    <col customWidth="1" min="50" max="50" width="6.5"/>
    <col customWidth="1" min="51" max="51" width="24.13"/>
    <col customWidth="1" min="52" max="52" width="15.75"/>
    <col customWidth="1" min="53" max="53" width="14.75"/>
    <col customWidth="1" min="54" max="54" width="11.38"/>
    <col customWidth="1" min="55" max="55" width="8.88"/>
    <col customWidth="1" min="56" max="56" width="4.0"/>
    <col customWidth="1" min="57" max="57" width="6.5"/>
    <col customWidth="1" min="58" max="58" width="24.13"/>
    <col customWidth="1" min="59" max="59" width="15.75"/>
    <col customWidth="1" min="60" max="60" width="14.75"/>
    <col customWidth="1" min="61" max="61" width="11.38"/>
    <col customWidth="1" min="62" max="62" width="8.88"/>
    <col customWidth="1" min="63" max="63" width="4.0"/>
    <col customWidth="1" min="64" max="64" width="6.5"/>
    <col customWidth="1" min="65" max="65" width="24.13"/>
    <col customWidth="1" min="66" max="66" width="15.75"/>
    <col customWidth="1" min="67" max="67" width="14.75"/>
    <col customWidth="1" min="68" max="68" width="11.38"/>
    <col customWidth="1" min="69" max="69" width="8.88"/>
    <col customWidth="1" min="70" max="70" width="4.13"/>
    <col customWidth="1" min="71" max="71" width="6.5"/>
    <col customWidth="1" min="72" max="72" width="24.13"/>
    <col customWidth="1" min="73" max="73" width="15.75"/>
    <col customWidth="1" min="74" max="74" width="14.75"/>
    <col customWidth="1" min="75" max="75" width="11.38"/>
    <col customWidth="1" min="76" max="76" width="8.88"/>
    <col customWidth="1" min="77" max="77" width="4.0"/>
    <col customWidth="1" min="78" max="78" width="6.5"/>
    <col customWidth="1" min="79" max="79" width="24.13"/>
    <col customWidth="1" min="80" max="80" width="15.75"/>
    <col customWidth="1" min="81" max="81" width="14.75"/>
    <col customWidth="1" min="82" max="82" width="11.38"/>
    <col customWidth="1" min="83" max="83" width="8.88"/>
  </cols>
  <sheetData>
    <row r="1">
      <c r="C1" s="585" t="s">
        <v>1329</v>
      </c>
      <c r="D1" s="586" t="s">
        <v>1355</v>
      </c>
      <c r="E1" s="481">
        <v>2025.0</v>
      </c>
      <c r="F1" s="587">
        <f>VLOOKUP(D$1&amp;" "&amp;E1,'Info Tipo de Cambio y REM'!$A$23:$B$35,2,FALSE())</f>
        <v>1220</v>
      </c>
      <c r="J1" s="585" t="s">
        <v>1329</v>
      </c>
      <c r="K1" s="586" t="s">
        <v>1356</v>
      </c>
      <c r="L1" s="481">
        <v>2025.0</v>
      </c>
      <c r="M1" s="587">
        <f>VLOOKUP(K$1&amp;" "&amp;L1,'Info Tipo de Cambio y REM'!$A$23:$B$35,2,FALSE())</f>
        <v>1230</v>
      </c>
      <c r="Q1" s="585" t="s">
        <v>1329</v>
      </c>
      <c r="R1" s="586" t="s">
        <v>1357</v>
      </c>
      <c r="S1" s="481">
        <v>2025.0</v>
      </c>
      <c r="T1" s="587">
        <f>VLOOKUP(R$1&amp;" "&amp;S1,'Info Tipo de Cambio y REM'!$A$23:$B$35,2,FALSE())</f>
        <v>1325</v>
      </c>
      <c r="X1" s="585" t="s">
        <v>1329</v>
      </c>
      <c r="Y1" s="586" t="s">
        <v>1358</v>
      </c>
      <c r="Z1" s="481">
        <v>2025.0</v>
      </c>
      <c r="AA1" s="587">
        <f>VLOOKUP(Y$1&amp;" "&amp;Z1,'Info Tipo de Cambio y REM'!$A$23:$B$35,2,FALSE())</f>
        <v>1185</v>
      </c>
      <c r="AE1" s="585" t="s">
        <v>1329</v>
      </c>
      <c r="AF1" s="586" t="s">
        <v>1330</v>
      </c>
      <c r="AG1" s="481">
        <v>2025.0</v>
      </c>
      <c r="AH1" s="587">
        <f>VLOOKUP(AF$1&amp;" "&amp;AG1,'Info Tipo de Cambio y REM'!$A$23:$B$35,2,FALSE())</f>
        <v>1180</v>
      </c>
      <c r="AL1" s="585" t="s">
        <v>1329</v>
      </c>
      <c r="AM1" s="586" t="s">
        <v>1331</v>
      </c>
      <c r="AN1" s="481">
        <v>2025.0</v>
      </c>
      <c r="AO1" s="587">
        <f>VLOOKUP(AM$1&amp;" "&amp;AN1,'Info Tipo de Cambio y REM'!$A$23:$B$35,2,FALSE())</f>
        <v>1215</v>
      </c>
      <c r="AS1" s="585" t="s">
        <v>1329</v>
      </c>
      <c r="AT1" s="586" t="s">
        <v>1332</v>
      </c>
      <c r="AU1" s="481">
        <v>2025.0</v>
      </c>
      <c r="AV1" s="587">
        <f>VLOOKUP(AT$1&amp;" "&amp;AU1,'Info Tipo de Cambio y REM'!$A$23:$B$35,2,FALSE())</f>
        <v>1320</v>
      </c>
      <c r="AZ1" s="585" t="s">
        <v>1329</v>
      </c>
      <c r="BA1" s="586" t="s">
        <v>1333</v>
      </c>
      <c r="BB1" s="481">
        <v>2025.0</v>
      </c>
      <c r="BC1" s="587">
        <f>VLOOKUP(BA$1&amp;" "&amp;BB1,'Info Tipo de Cambio y REM'!$A$23:$B$35,2,FALSE())</f>
        <v>1345</v>
      </c>
      <c r="BG1" s="585" t="s">
        <v>1329</v>
      </c>
      <c r="BH1" s="586" t="s">
        <v>1335</v>
      </c>
      <c r="BI1" s="481">
        <v>2025.0</v>
      </c>
      <c r="BJ1" s="587">
        <f>VLOOKUP(BH$1&amp;" "&amp;BI1,'Info Tipo de Cambio y REM'!$A$23:$B$35,2,FALSE())</f>
        <v>1445</v>
      </c>
      <c r="BN1" s="585" t="s">
        <v>1329</v>
      </c>
      <c r="BO1" s="586" t="s">
        <v>1336</v>
      </c>
      <c r="BP1" s="481">
        <v>2025.0</v>
      </c>
      <c r="BQ1" s="587">
        <f>VLOOKUP(BO$1&amp;" "&amp;BP1,'Info Tipo de Cambio y REM'!$A$23:$B$35,2,FALSE())</f>
        <v>1440</v>
      </c>
      <c r="BU1" s="585" t="s">
        <v>1329</v>
      </c>
      <c r="BV1" s="586" t="s">
        <v>1337</v>
      </c>
      <c r="BW1" s="481">
        <v>2025.0</v>
      </c>
      <c r="BX1" s="587">
        <f>VLOOKUP(BV$1&amp;" "&amp;BW1,'Info Tipo de Cambio y REM'!$A$23:$B$35,2,FALSE())</f>
        <v>1499</v>
      </c>
      <c r="CB1" s="585" t="s">
        <v>1329</v>
      </c>
      <c r="CC1" s="586" t="s">
        <v>1338</v>
      </c>
      <c r="CD1" s="481">
        <v>2025.0</v>
      </c>
      <c r="CE1" s="587">
        <f>VLOOKUP(CC$1&amp;" "&amp;CD1,'Info Tipo de Cambio y REM'!$A$23:$B$35,2,FALSE())</f>
        <v>1536</v>
      </c>
    </row>
    <row r="2">
      <c r="A2" s="569" t="s">
        <v>112</v>
      </c>
      <c r="B2" s="569" t="s">
        <v>1118</v>
      </c>
      <c r="C2" s="588" t="s">
        <v>1264</v>
      </c>
      <c r="D2" s="569" t="s">
        <v>1121</v>
      </c>
      <c r="E2" s="569" t="s">
        <v>1270</v>
      </c>
      <c r="F2" s="569" t="s">
        <v>1340</v>
      </c>
      <c r="G2" s="495"/>
      <c r="H2" s="569" t="s">
        <v>112</v>
      </c>
      <c r="I2" s="569" t="s">
        <v>1339</v>
      </c>
      <c r="J2" s="588" t="s">
        <v>1264</v>
      </c>
      <c r="K2" s="569" t="s">
        <v>1121</v>
      </c>
      <c r="L2" s="569" t="s">
        <v>1270</v>
      </c>
      <c r="M2" s="569" t="s">
        <v>1340</v>
      </c>
      <c r="O2" s="569" t="s">
        <v>112</v>
      </c>
      <c r="P2" s="569" t="s">
        <v>1339</v>
      </c>
      <c r="Q2" s="588" t="s">
        <v>1264</v>
      </c>
      <c r="R2" s="569" t="s">
        <v>1121</v>
      </c>
      <c r="S2" s="569" t="s">
        <v>1270</v>
      </c>
      <c r="T2" s="569" t="s">
        <v>1340</v>
      </c>
      <c r="V2" s="569" t="s">
        <v>112</v>
      </c>
      <c r="W2" s="569" t="s">
        <v>1339</v>
      </c>
      <c r="X2" s="588" t="s">
        <v>1264</v>
      </c>
      <c r="Y2" s="569" t="s">
        <v>1121</v>
      </c>
      <c r="Z2" s="569" t="s">
        <v>1270</v>
      </c>
      <c r="AA2" s="569" t="s">
        <v>1340</v>
      </c>
      <c r="AC2" s="569" t="s">
        <v>112</v>
      </c>
      <c r="AD2" s="569" t="s">
        <v>1339</v>
      </c>
      <c r="AE2" s="588" t="s">
        <v>1264</v>
      </c>
      <c r="AF2" s="569" t="s">
        <v>1121</v>
      </c>
      <c r="AG2" s="569" t="s">
        <v>1270</v>
      </c>
      <c r="AH2" s="569" t="s">
        <v>1340</v>
      </c>
      <c r="AJ2" s="569" t="s">
        <v>112</v>
      </c>
      <c r="AK2" s="569" t="s">
        <v>1339</v>
      </c>
      <c r="AL2" s="588" t="s">
        <v>1264</v>
      </c>
      <c r="AM2" s="569" t="s">
        <v>1121</v>
      </c>
      <c r="AN2" s="569" t="s">
        <v>1270</v>
      </c>
      <c r="AO2" s="569" t="s">
        <v>1340</v>
      </c>
      <c r="AQ2" s="569" t="s">
        <v>112</v>
      </c>
      <c r="AR2" s="569" t="s">
        <v>1339</v>
      </c>
      <c r="AS2" s="588" t="s">
        <v>1264</v>
      </c>
      <c r="AT2" s="569" t="s">
        <v>1121</v>
      </c>
      <c r="AU2" s="569" t="s">
        <v>1270</v>
      </c>
      <c r="AV2" s="569" t="s">
        <v>1340</v>
      </c>
      <c r="AX2" s="569" t="s">
        <v>112</v>
      </c>
      <c r="AY2" s="569" t="s">
        <v>1339</v>
      </c>
      <c r="AZ2" s="588" t="s">
        <v>1264</v>
      </c>
      <c r="BA2" s="569" t="s">
        <v>1121</v>
      </c>
      <c r="BB2" s="569" t="s">
        <v>1270</v>
      </c>
      <c r="BC2" s="569" t="s">
        <v>1340</v>
      </c>
      <c r="BE2" s="569" t="s">
        <v>112</v>
      </c>
      <c r="BF2" s="569" t="s">
        <v>1118</v>
      </c>
      <c r="BG2" s="588" t="s">
        <v>1264</v>
      </c>
      <c r="BH2" s="569" t="s">
        <v>1121</v>
      </c>
      <c r="BI2" s="569" t="s">
        <v>1270</v>
      </c>
      <c r="BJ2" s="569" t="s">
        <v>286</v>
      </c>
      <c r="BL2" s="569" t="s">
        <v>112</v>
      </c>
      <c r="BM2" s="569" t="s">
        <v>1339</v>
      </c>
      <c r="BN2" s="588" t="s">
        <v>1264</v>
      </c>
      <c r="BO2" s="569" t="s">
        <v>1121</v>
      </c>
      <c r="BP2" s="569" t="s">
        <v>1270</v>
      </c>
      <c r="BQ2" s="569" t="s">
        <v>1340</v>
      </c>
      <c r="BS2" s="569" t="s">
        <v>112</v>
      </c>
      <c r="BT2" s="569" t="s">
        <v>1339</v>
      </c>
      <c r="BU2" s="588" t="s">
        <v>1264</v>
      </c>
      <c r="BV2" s="569" t="s">
        <v>1121</v>
      </c>
      <c r="BW2" s="569" t="s">
        <v>1270</v>
      </c>
      <c r="BX2" s="569" t="s">
        <v>1340</v>
      </c>
      <c r="BZ2" s="569" t="s">
        <v>112</v>
      </c>
      <c r="CA2" s="569" t="s">
        <v>1339</v>
      </c>
      <c r="CB2" s="588" t="s">
        <v>1264</v>
      </c>
      <c r="CC2" s="569" t="s">
        <v>1121</v>
      </c>
      <c r="CD2" s="569" t="s">
        <v>1270</v>
      </c>
      <c r="CE2" s="569" t="s">
        <v>1340</v>
      </c>
    </row>
    <row r="3">
      <c r="A3" s="450" t="s">
        <v>210</v>
      </c>
      <c r="B3" s="450">
        <v>6.0</v>
      </c>
      <c r="C3" s="455">
        <v>2.0</v>
      </c>
      <c r="D3" s="464">
        <v>14717.0</v>
      </c>
      <c r="E3" s="497">
        <v>29434.0</v>
      </c>
      <c r="F3" s="498">
        <v>23.930081300813008</v>
      </c>
      <c r="G3" s="450"/>
      <c r="H3" s="450" t="s">
        <v>210</v>
      </c>
      <c r="I3" s="450">
        <v>6.0</v>
      </c>
      <c r="J3" s="455">
        <v>2.0</v>
      </c>
      <c r="K3" s="464">
        <v>14717.0</v>
      </c>
      <c r="L3" s="497">
        <v>29434.0</v>
      </c>
      <c r="M3" s="498">
        <v>23.930081300813008</v>
      </c>
      <c r="O3" s="450" t="s">
        <v>203</v>
      </c>
      <c r="P3" s="450">
        <v>40.0</v>
      </c>
      <c r="Q3" s="455">
        <v>54.564</v>
      </c>
      <c r="R3" s="464">
        <v>9115.0</v>
      </c>
      <c r="S3" s="497">
        <v>497350.86</v>
      </c>
      <c r="T3" s="498">
        <v>375.3591396226415</v>
      </c>
      <c r="V3" s="450" t="s">
        <v>203</v>
      </c>
      <c r="W3" s="450">
        <v>40.0</v>
      </c>
      <c r="X3" s="455">
        <v>11.9</v>
      </c>
      <c r="Y3" s="464">
        <v>9115.0</v>
      </c>
      <c r="Z3" s="497">
        <v>108468.5</v>
      </c>
      <c r="AA3" s="498">
        <v>91.53459915611815</v>
      </c>
      <c r="AC3" s="450" t="s">
        <v>87</v>
      </c>
      <c r="AD3" s="450">
        <v>10.0</v>
      </c>
      <c r="AE3" s="455">
        <v>1.93</v>
      </c>
      <c r="AF3" s="464">
        <v>11000.0</v>
      </c>
      <c r="AG3" s="497">
        <v>21230.0</v>
      </c>
      <c r="AH3" s="498">
        <v>17.991525423728813</v>
      </c>
      <c r="AJ3" s="450" t="s">
        <v>87</v>
      </c>
      <c r="AK3" s="450">
        <v>10.0</v>
      </c>
      <c r="AL3" s="455">
        <v>12.9</v>
      </c>
      <c r="AM3" s="464">
        <v>11000.0</v>
      </c>
      <c r="AN3" s="497">
        <v>141900.0</v>
      </c>
      <c r="AO3" s="498">
        <v>116.79012345679013</v>
      </c>
      <c r="AQ3" s="450" t="s">
        <v>203</v>
      </c>
      <c r="AR3" s="450">
        <v>40.0</v>
      </c>
      <c r="AS3" s="455">
        <v>20.67</v>
      </c>
      <c r="AT3" s="464">
        <v>9867.0</v>
      </c>
      <c r="AU3" s="497">
        <v>203950.89</v>
      </c>
      <c r="AV3" s="498">
        <v>154.50825</v>
      </c>
      <c r="AX3" s="450" t="s">
        <v>203</v>
      </c>
      <c r="AY3" s="450">
        <v>40.0</v>
      </c>
      <c r="AZ3" s="455">
        <v>26.75</v>
      </c>
      <c r="BA3" s="455">
        <v>10853.7</v>
      </c>
      <c r="BB3" s="497">
        <v>290336.47500000003</v>
      </c>
      <c r="BC3" s="498">
        <v>215.86355018587363</v>
      </c>
      <c r="BE3" s="450" t="s">
        <v>203</v>
      </c>
      <c r="BF3" s="501">
        <v>25.0</v>
      </c>
      <c r="BG3" s="455">
        <v>22.33</v>
      </c>
      <c r="BH3" s="455">
        <v>10853.7</v>
      </c>
      <c r="BI3" s="497">
        <v>242363.12099999998</v>
      </c>
      <c r="BJ3" s="498">
        <v>167.72534325259514</v>
      </c>
      <c r="BL3" s="450"/>
      <c r="BM3" s="450"/>
      <c r="BN3" s="455"/>
      <c r="BO3" s="464"/>
      <c r="BP3" s="497"/>
      <c r="BQ3" s="498"/>
      <c r="BS3" s="450"/>
      <c r="BT3" s="450"/>
      <c r="BU3" s="455"/>
      <c r="BV3" s="464"/>
      <c r="BW3" s="497"/>
      <c r="BX3" s="498"/>
      <c r="BZ3" s="450"/>
      <c r="CA3" s="450"/>
      <c r="CB3" s="455"/>
      <c r="CC3" s="464"/>
      <c r="CD3" s="497"/>
      <c r="CE3" s="498"/>
    </row>
    <row r="4">
      <c r="A4" s="450" t="s">
        <v>221</v>
      </c>
      <c r="B4" s="450">
        <v>10.0</v>
      </c>
      <c r="C4" s="455">
        <v>5.0</v>
      </c>
      <c r="D4" s="464">
        <v>10121.0</v>
      </c>
      <c r="E4" s="497">
        <v>50605.0</v>
      </c>
      <c r="F4" s="498">
        <v>41.142276422764226</v>
      </c>
      <c r="G4" s="497"/>
      <c r="H4" s="450" t="s">
        <v>221</v>
      </c>
      <c r="I4" s="450">
        <v>10.0</v>
      </c>
      <c r="J4" s="455">
        <v>5.0</v>
      </c>
      <c r="K4" s="464">
        <v>10121.0</v>
      </c>
      <c r="L4" s="497">
        <v>50605.0</v>
      </c>
      <c r="M4" s="498">
        <v>41.142276422764226</v>
      </c>
      <c r="O4" s="450" t="s">
        <v>197</v>
      </c>
      <c r="P4" s="450">
        <v>45.0</v>
      </c>
      <c r="Q4" s="455">
        <v>82.70100000000001</v>
      </c>
      <c r="R4" s="464">
        <v>10282.999999999998</v>
      </c>
      <c r="S4" s="497">
        <v>850414.3829999999</v>
      </c>
      <c r="T4" s="498">
        <v>641.8221758490565</v>
      </c>
      <c r="V4" s="450" t="s">
        <v>197</v>
      </c>
      <c r="W4" s="450">
        <v>45.0</v>
      </c>
      <c r="X4" s="455">
        <v>0.0</v>
      </c>
      <c r="Y4" s="464">
        <v>11081.0</v>
      </c>
      <c r="Z4" s="497">
        <v>0.0</v>
      </c>
      <c r="AA4" s="498">
        <v>0.0</v>
      </c>
      <c r="AC4" s="450" t="s">
        <v>217</v>
      </c>
      <c r="AD4" s="450">
        <v>0.0</v>
      </c>
      <c r="AE4" s="455">
        <v>20.8</v>
      </c>
      <c r="AF4" s="464">
        <v>9688.0</v>
      </c>
      <c r="AG4" s="497">
        <v>201510.4</v>
      </c>
      <c r="AH4" s="498">
        <v>170.7715254237288</v>
      </c>
      <c r="AJ4" s="450" t="s">
        <v>210</v>
      </c>
      <c r="AK4" s="450">
        <v>6.0</v>
      </c>
      <c r="AL4" s="455">
        <v>6.5</v>
      </c>
      <c r="AM4" s="464">
        <v>16760.0</v>
      </c>
      <c r="AN4" s="497">
        <v>108940.0</v>
      </c>
      <c r="AO4" s="498">
        <v>89.66255144032922</v>
      </c>
      <c r="AQ4" s="450" t="s">
        <v>197</v>
      </c>
      <c r="AR4" s="450">
        <v>45.0</v>
      </c>
      <c r="AS4" s="455">
        <v>8.92</v>
      </c>
      <c r="AT4" s="464">
        <v>12743.0</v>
      </c>
      <c r="AU4" s="497">
        <v>113667.56</v>
      </c>
      <c r="AV4" s="498">
        <v>86.11178787878788</v>
      </c>
      <c r="AX4" s="450" t="s">
        <v>197</v>
      </c>
      <c r="AY4" s="450">
        <v>45.0</v>
      </c>
      <c r="AZ4" s="455">
        <v>4.0</v>
      </c>
      <c r="BA4" s="464">
        <v>13390.3444</v>
      </c>
      <c r="BB4" s="497">
        <v>53561.3776</v>
      </c>
      <c r="BC4" s="498">
        <v>39.822585576208176</v>
      </c>
      <c r="BE4" s="450" t="s">
        <v>197</v>
      </c>
      <c r="BF4" s="501">
        <v>30.0</v>
      </c>
      <c r="BG4" s="455">
        <v>3.33</v>
      </c>
      <c r="BH4" s="464">
        <v>13390.3444</v>
      </c>
      <c r="BI4" s="497">
        <v>44589.846852</v>
      </c>
      <c r="BJ4" s="498">
        <v>30.858025503114188</v>
      </c>
      <c r="BL4" s="450"/>
      <c r="BM4" s="450"/>
      <c r="BN4" s="455"/>
      <c r="BO4" s="464"/>
      <c r="BP4" s="497"/>
      <c r="BQ4" s="498"/>
      <c r="BS4" s="450"/>
      <c r="BT4" s="450"/>
      <c r="BU4" s="455"/>
      <c r="BV4" s="464"/>
      <c r="BW4" s="497"/>
      <c r="BX4" s="498"/>
      <c r="BZ4" s="450"/>
      <c r="CA4" s="450"/>
      <c r="CB4" s="455"/>
      <c r="CC4" s="464"/>
      <c r="CD4" s="497"/>
      <c r="CE4" s="498"/>
    </row>
    <row r="5">
      <c r="A5" s="450" t="s">
        <v>203</v>
      </c>
      <c r="B5" s="450">
        <v>40.0</v>
      </c>
      <c r="C5" s="455">
        <v>50.1</v>
      </c>
      <c r="D5" s="464">
        <v>9115.0</v>
      </c>
      <c r="E5" s="497">
        <v>456661.5</v>
      </c>
      <c r="F5" s="498">
        <v>371.26951219512193</v>
      </c>
      <c r="G5" s="497"/>
      <c r="H5" s="450" t="s">
        <v>203</v>
      </c>
      <c r="I5" s="450">
        <v>40.0</v>
      </c>
      <c r="J5" s="455">
        <v>50.1</v>
      </c>
      <c r="K5" s="464">
        <v>9115.0</v>
      </c>
      <c r="L5" s="497">
        <v>456661.5</v>
      </c>
      <c r="M5" s="498">
        <v>371.26951219512193</v>
      </c>
      <c r="O5" s="569" t="s">
        <v>1266</v>
      </c>
      <c r="P5" s="569">
        <v>85.0</v>
      </c>
      <c r="Q5" s="588">
        <v>137.26500000000001</v>
      </c>
      <c r="R5" s="590">
        <v>19398.0</v>
      </c>
      <c r="S5" s="591">
        <v>1347765.2429999998</v>
      </c>
      <c r="T5" s="592">
        <v>1017.1813154716981</v>
      </c>
      <c r="V5" s="569" t="s">
        <v>1266</v>
      </c>
      <c r="W5" s="569">
        <v>85.0</v>
      </c>
      <c r="X5" s="588">
        <v>11.9</v>
      </c>
      <c r="Y5" s="590">
        <v>20196.0</v>
      </c>
      <c r="Z5" s="591">
        <v>108468.5</v>
      </c>
      <c r="AA5" s="592">
        <v>91.53459915611815</v>
      </c>
      <c r="AC5" s="450" t="s">
        <v>221</v>
      </c>
      <c r="AD5" s="450">
        <v>10.0</v>
      </c>
      <c r="AE5" s="455">
        <v>0.2</v>
      </c>
      <c r="AF5" s="464">
        <v>10981.0</v>
      </c>
      <c r="AG5" s="497">
        <v>2196.2000000000003</v>
      </c>
      <c r="AH5" s="498">
        <v>1.8611864406779663</v>
      </c>
      <c r="AJ5" s="450" t="s">
        <v>203</v>
      </c>
      <c r="AK5" s="450">
        <v>40.0</v>
      </c>
      <c r="AL5" s="455">
        <v>67.91651971217</v>
      </c>
      <c r="AM5" s="464">
        <v>9867.0</v>
      </c>
      <c r="AN5" s="497">
        <v>670132.2999999814</v>
      </c>
      <c r="AO5" s="498">
        <v>551.5492181069806</v>
      </c>
      <c r="AQ5" s="569" t="s">
        <v>1266</v>
      </c>
      <c r="AR5" s="569">
        <v>85.0</v>
      </c>
      <c r="AS5" s="588">
        <v>29.590000000000003</v>
      </c>
      <c r="AT5" s="590">
        <v>22610.0</v>
      </c>
      <c r="AU5" s="591">
        <v>317618.45</v>
      </c>
      <c r="AV5" s="592">
        <v>240.62003787878788</v>
      </c>
      <c r="AX5" s="450" t="s">
        <v>120</v>
      </c>
      <c r="AY5" s="450">
        <v>5.0</v>
      </c>
      <c r="AZ5" s="455">
        <v>5.78</v>
      </c>
      <c r="BA5" s="464">
        <v>26583.333333333336</v>
      </c>
      <c r="BB5" s="497">
        <v>153651.6666666667</v>
      </c>
      <c r="BC5" s="498">
        <v>114.23915737298638</v>
      </c>
      <c r="BE5" s="569" t="s">
        <v>1266</v>
      </c>
      <c r="BF5" s="569">
        <v>27.5</v>
      </c>
      <c r="BG5" s="588">
        <v>25.659999999999997</v>
      </c>
      <c r="BH5" s="590">
        <v>24244.0444</v>
      </c>
      <c r="BI5" s="591">
        <v>286952.967852</v>
      </c>
      <c r="BJ5" s="592">
        <v>198.58336875570933</v>
      </c>
      <c r="BL5" s="450"/>
      <c r="BM5" s="450"/>
      <c r="BN5" s="455"/>
      <c r="BO5" s="464"/>
      <c r="BP5" s="497"/>
      <c r="BQ5" s="498"/>
      <c r="BS5" s="450"/>
      <c r="BT5" s="450"/>
      <c r="BU5" s="455"/>
      <c r="BV5" s="464"/>
      <c r="BW5" s="497"/>
      <c r="BX5" s="498"/>
      <c r="BZ5" s="450"/>
      <c r="CA5" s="450"/>
      <c r="CB5" s="455"/>
      <c r="CC5" s="464"/>
      <c r="CD5" s="497"/>
      <c r="CE5" s="498"/>
    </row>
    <row r="6">
      <c r="A6" s="450" t="s">
        <v>197</v>
      </c>
      <c r="B6" s="450">
        <v>45.0</v>
      </c>
      <c r="C6" s="455">
        <v>62.7</v>
      </c>
      <c r="D6" s="593">
        <v>10045.0</v>
      </c>
      <c r="E6" s="594">
        <v>629821.5</v>
      </c>
      <c r="F6" s="595">
        <v>512.05</v>
      </c>
      <c r="G6" s="497"/>
      <c r="H6" s="450" t="s">
        <v>197</v>
      </c>
      <c r="I6" s="450">
        <v>45.0</v>
      </c>
      <c r="J6" s="455">
        <v>62.7</v>
      </c>
      <c r="K6" s="464">
        <v>10045.0</v>
      </c>
      <c r="L6" s="497">
        <v>629821.5</v>
      </c>
      <c r="M6" s="498">
        <v>512.05</v>
      </c>
      <c r="AC6" s="450" t="s">
        <v>203</v>
      </c>
      <c r="AD6" s="450">
        <v>40.0</v>
      </c>
      <c r="AE6" s="455">
        <v>55.52494679234</v>
      </c>
      <c r="AF6" s="464">
        <v>9867.0</v>
      </c>
      <c r="AG6" s="497">
        <v>547864.6500000188</v>
      </c>
      <c r="AH6" s="498">
        <v>464.29207627120235</v>
      </c>
      <c r="AJ6" s="450" t="s">
        <v>197</v>
      </c>
      <c r="AK6" s="450">
        <v>45.0</v>
      </c>
      <c r="AL6" s="455">
        <v>45.0</v>
      </c>
      <c r="AM6" s="464">
        <v>12743.0</v>
      </c>
      <c r="AN6" s="497">
        <v>573435.0</v>
      </c>
      <c r="AO6" s="498">
        <v>471.962962962963</v>
      </c>
      <c r="AX6" s="569" t="s">
        <v>1266</v>
      </c>
      <c r="AY6" s="569">
        <v>90.0</v>
      </c>
      <c r="AZ6" s="588">
        <v>36.53</v>
      </c>
      <c r="BA6" s="590">
        <v>50827.377733333335</v>
      </c>
      <c r="BB6" s="591">
        <v>497549.5192666667</v>
      </c>
      <c r="BC6" s="592">
        <v>369.9252931350682</v>
      </c>
    </row>
    <row r="7">
      <c r="A7" s="450" t="s">
        <v>120</v>
      </c>
      <c r="B7" s="450">
        <v>5.0</v>
      </c>
      <c r="C7" s="455">
        <v>1.4</v>
      </c>
      <c r="D7" s="593">
        <v>20833.333333333332</v>
      </c>
      <c r="E7" s="594">
        <v>29166.666666666664</v>
      </c>
      <c r="F7" s="595">
        <v>23.712737127371273</v>
      </c>
      <c r="G7" s="497"/>
      <c r="H7" s="450" t="s">
        <v>120</v>
      </c>
      <c r="I7" s="450">
        <v>5.0</v>
      </c>
      <c r="J7" s="455">
        <v>1.4</v>
      </c>
      <c r="K7" s="464">
        <v>20833.333333333332</v>
      </c>
      <c r="L7" s="497">
        <v>29166.666666666664</v>
      </c>
      <c r="M7" s="498">
        <v>23.712737127371273</v>
      </c>
      <c r="R7" s="589"/>
      <c r="S7" s="612"/>
      <c r="T7" s="589"/>
      <c r="Y7" s="589"/>
      <c r="Z7" s="612"/>
      <c r="AA7" s="589"/>
      <c r="AC7" s="450" t="s">
        <v>197</v>
      </c>
      <c r="AD7" s="450">
        <v>45.0</v>
      </c>
      <c r="AE7" s="455">
        <v>11.2</v>
      </c>
      <c r="AF7" s="464">
        <v>12743.0</v>
      </c>
      <c r="AG7" s="497">
        <v>142721.59999999998</v>
      </c>
      <c r="AH7" s="498">
        <v>120.95050847457625</v>
      </c>
      <c r="AJ7" s="450" t="s">
        <v>120</v>
      </c>
      <c r="AK7" s="450">
        <v>5.0</v>
      </c>
      <c r="AL7" s="455">
        <v>2.0</v>
      </c>
      <c r="AM7" s="464">
        <v>24166.666666666668</v>
      </c>
      <c r="AN7" s="497">
        <v>48333.333333333336</v>
      </c>
      <c r="AO7" s="498">
        <v>39.78052126200274</v>
      </c>
      <c r="AT7" s="589"/>
      <c r="AU7" s="612"/>
      <c r="AV7" s="589"/>
      <c r="BA7" s="589"/>
      <c r="BB7" s="612"/>
      <c r="BC7" s="589"/>
      <c r="BH7" s="589"/>
      <c r="BI7" s="612"/>
      <c r="BJ7" s="589"/>
      <c r="BO7" s="589"/>
      <c r="BP7" s="612"/>
      <c r="BQ7" s="589"/>
      <c r="BV7" s="589"/>
      <c r="BW7" s="612"/>
      <c r="BX7" s="589"/>
      <c r="CC7" s="589"/>
      <c r="CD7" s="612"/>
      <c r="CE7" s="589"/>
    </row>
    <row r="8">
      <c r="A8" s="569" t="s">
        <v>1266</v>
      </c>
      <c r="B8" s="569">
        <v>106.0</v>
      </c>
      <c r="C8" s="588">
        <v>121.20000000000002</v>
      </c>
      <c r="D8" s="590">
        <v>64831.33333333333</v>
      </c>
      <c r="E8" s="591">
        <v>1195688.6666666665</v>
      </c>
      <c r="F8" s="592">
        <v>972.1046070460703</v>
      </c>
      <c r="G8" s="497"/>
      <c r="H8" s="569" t="s">
        <v>1266</v>
      </c>
      <c r="I8" s="569">
        <v>106.0</v>
      </c>
      <c r="J8" s="588">
        <v>121.20000000000002</v>
      </c>
      <c r="K8" s="590">
        <v>64831.33333333333</v>
      </c>
      <c r="L8" s="591">
        <v>1195688.6666666665</v>
      </c>
      <c r="M8" s="592">
        <v>972.1046070460703</v>
      </c>
      <c r="R8" s="589"/>
      <c r="S8" s="612"/>
      <c r="T8" s="589"/>
      <c r="Y8" s="589"/>
      <c r="Z8" s="612"/>
      <c r="AA8" s="589"/>
      <c r="AC8" s="450" t="s">
        <v>120</v>
      </c>
      <c r="AD8" s="450">
        <v>5.0</v>
      </c>
      <c r="AE8" s="455">
        <v>4.2</v>
      </c>
      <c r="AF8" s="464">
        <v>24166.666666666668</v>
      </c>
      <c r="AG8" s="497">
        <v>101500.00000000001</v>
      </c>
      <c r="AH8" s="498">
        <v>86.01694915254238</v>
      </c>
      <c r="AJ8" s="569" t="s">
        <v>1266</v>
      </c>
      <c r="AK8" s="569">
        <v>106.0</v>
      </c>
      <c r="AL8" s="588">
        <v>134.31651971217002</v>
      </c>
      <c r="AM8" s="590">
        <v>74536.66666666667</v>
      </c>
      <c r="AN8" s="591">
        <v>1542740.6333333147</v>
      </c>
      <c r="AO8" s="592">
        <v>1269.7453772290655</v>
      </c>
      <c r="AT8" s="589"/>
      <c r="AU8" s="612"/>
      <c r="AV8" s="589"/>
      <c r="BA8" s="589"/>
      <c r="BB8" s="612"/>
      <c r="BC8" s="589"/>
      <c r="BH8" s="589"/>
      <c r="BI8" s="612"/>
      <c r="BJ8" s="589"/>
      <c r="BO8" s="589"/>
      <c r="BP8" s="612"/>
      <c r="BQ8" s="589"/>
      <c r="BV8" s="589"/>
      <c r="BW8" s="612"/>
      <c r="BX8" s="589"/>
      <c r="CC8" s="589"/>
      <c r="CD8" s="612"/>
      <c r="CE8" s="589"/>
    </row>
    <row r="9">
      <c r="A9" s="450"/>
      <c r="B9" s="455"/>
      <c r="D9" s="589"/>
      <c r="E9" s="612"/>
      <c r="F9" s="589"/>
      <c r="G9" s="497"/>
      <c r="H9" s="450"/>
      <c r="I9" s="455"/>
      <c r="J9" s="450"/>
      <c r="K9" s="589"/>
      <c r="L9" s="612"/>
      <c r="M9" s="589"/>
      <c r="R9" s="589"/>
      <c r="S9" s="612"/>
      <c r="T9" s="589"/>
      <c r="Y9" s="589"/>
      <c r="Z9" s="612"/>
      <c r="AA9" s="589"/>
      <c r="AC9" s="569" t="s">
        <v>1266</v>
      </c>
      <c r="AD9" s="569">
        <v>110.0</v>
      </c>
      <c r="AE9" s="588">
        <v>93.85494679234</v>
      </c>
      <c r="AF9" s="590">
        <v>78445.66666666667</v>
      </c>
      <c r="AG9" s="591">
        <v>1017022.8500000188</v>
      </c>
      <c r="AH9" s="592">
        <v>861.8837711864566</v>
      </c>
      <c r="AM9" s="589"/>
      <c r="AN9" s="612"/>
      <c r="AO9" s="589"/>
      <c r="AT9" s="589"/>
      <c r="AU9" s="612"/>
      <c r="AV9" s="589"/>
      <c r="BA9" s="589"/>
      <c r="BB9" s="612"/>
      <c r="BC9" s="589"/>
      <c r="BH9" s="589"/>
      <c r="BI9" s="612"/>
      <c r="BJ9" s="589"/>
      <c r="BO9" s="589"/>
      <c r="BP9" s="612"/>
      <c r="BQ9" s="589"/>
      <c r="BV9" s="589"/>
      <c r="BW9" s="612"/>
      <c r="BX9" s="589"/>
      <c r="CC9" s="589"/>
      <c r="CD9" s="612"/>
      <c r="CE9" s="589"/>
    </row>
    <row r="10">
      <c r="A10" s="450"/>
      <c r="B10" s="455"/>
      <c r="D10" s="589"/>
      <c r="E10" s="612"/>
      <c r="F10" s="589"/>
      <c r="G10" s="497"/>
      <c r="H10" s="450"/>
      <c r="I10" s="455"/>
      <c r="J10" s="450"/>
      <c r="K10" s="589"/>
      <c r="L10" s="612"/>
      <c r="M10" s="589"/>
      <c r="R10" s="589"/>
      <c r="S10" s="612"/>
      <c r="T10" s="589"/>
      <c r="Y10" s="589"/>
      <c r="Z10" s="612"/>
      <c r="AA10" s="589"/>
      <c r="AF10" s="589"/>
      <c r="AG10" s="612"/>
      <c r="AH10" s="589"/>
      <c r="AM10" s="589"/>
      <c r="AN10" s="612"/>
      <c r="AO10" s="589"/>
      <c r="AT10" s="589"/>
      <c r="AU10" s="612"/>
      <c r="AV10" s="589"/>
      <c r="BA10" s="589"/>
      <c r="BB10" s="612"/>
      <c r="BC10" s="589"/>
      <c r="BH10" s="589"/>
      <c r="BI10" s="612"/>
      <c r="BJ10" s="589"/>
      <c r="BO10" s="589"/>
      <c r="BP10" s="612"/>
      <c r="BQ10" s="589"/>
      <c r="BV10" s="589"/>
      <c r="BW10" s="612"/>
      <c r="BX10" s="589"/>
      <c r="CC10" s="589"/>
      <c r="CD10" s="612"/>
      <c r="CE10" s="589"/>
    </row>
    <row r="11">
      <c r="A11" s="450"/>
      <c r="B11" s="455"/>
      <c r="D11" s="589"/>
      <c r="E11" s="612"/>
      <c r="F11" s="589"/>
      <c r="G11" s="497"/>
      <c r="H11" s="450"/>
      <c r="I11" s="455"/>
      <c r="J11" s="450"/>
      <c r="K11" s="589"/>
      <c r="L11" s="612"/>
      <c r="M11" s="589"/>
      <c r="R11" s="589"/>
      <c r="S11" s="612"/>
      <c r="T11" s="589"/>
      <c r="Y11" s="589"/>
      <c r="Z11" s="612"/>
      <c r="AA11" s="589"/>
      <c r="AF11" s="589"/>
      <c r="AG11" s="612"/>
      <c r="AH11" s="589"/>
      <c r="AM11" s="589"/>
      <c r="AN11" s="612"/>
      <c r="AO11" s="589"/>
      <c r="AT11" s="589"/>
      <c r="AU11" s="612"/>
      <c r="AV11" s="589"/>
      <c r="BA11" s="589"/>
      <c r="BB11" s="612"/>
      <c r="BC11" s="589"/>
      <c r="BH11" s="589"/>
      <c r="BI11" s="612"/>
      <c r="BJ11" s="589"/>
      <c r="BO11" s="589"/>
      <c r="BP11" s="612"/>
      <c r="BQ11" s="589"/>
      <c r="BV11" s="589"/>
      <c r="BW11" s="612"/>
      <c r="BX11" s="589"/>
      <c r="CC11" s="589"/>
      <c r="CD11" s="612"/>
      <c r="CE11" s="589"/>
    </row>
    <row r="12">
      <c r="A12" s="450"/>
      <c r="B12" s="455"/>
      <c r="D12" s="589"/>
      <c r="E12" s="612"/>
      <c r="F12" s="589"/>
      <c r="G12" s="497"/>
      <c r="H12" s="450"/>
      <c r="I12" s="455"/>
      <c r="J12" s="450"/>
      <c r="K12" s="589"/>
      <c r="L12" s="612"/>
      <c r="M12" s="589"/>
      <c r="R12" s="589"/>
      <c r="S12" s="612"/>
      <c r="T12" s="589"/>
      <c r="Y12" s="589"/>
      <c r="Z12" s="612"/>
      <c r="AA12" s="589"/>
      <c r="AF12" s="589"/>
      <c r="AG12" s="612"/>
      <c r="AH12" s="589"/>
      <c r="AM12" s="589"/>
      <c r="AN12" s="612"/>
      <c r="AO12" s="589"/>
      <c r="AT12" s="589"/>
      <c r="AU12" s="612"/>
      <c r="AV12" s="589"/>
      <c r="BA12" s="589"/>
      <c r="BB12" s="612"/>
      <c r="BC12" s="589"/>
      <c r="BH12" s="589"/>
      <c r="BI12" s="612"/>
      <c r="BJ12" s="589"/>
      <c r="BO12" s="589"/>
      <c r="BP12" s="612"/>
      <c r="BQ12" s="589"/>
      <c r="BV12" s="589"/>
      <c r="BW12" s="612"/>
      <c r="BX12" s="589"/>
      <c r="CC12" s="589"/>
      <c r="CD12" s="612"/>
      <c r="CE12" s="589"/>
    </row>
    <row r="13">
      <c r="A13" s="450"/>
      <c r="B13" s="455"/>
      <c r="D13" s="589"/>
      <c r="E13" s="600" t="s">
        <v>1359</v>
      </c>
      <c r="F13" s="589"/>
      <c r="G13" s="497"/>
      <c r="H13" s="450"/>
      <c r="I13" s="455"/>
      <c r="J13" s="450"/>
      <c r="K13" s="589"/>
      <c r="L13" s="600" t="s">
        <v>1360</v>
      </c>
      <c r="M13" s="589"/>
      <c r="R13" s="589"/>
      <c r="S13" s="600" t="s">
        <v>1361</v>
      </c>
      <c r="T13" s="589"/>
      <c r="Y13" s="589"/>
      <c r="Z13" s="600" t="s">
        <v>1362</v>
      </c>
      <c r="AA13" s="589"/>
      <c r="AF13" s="589"/>
      <c r="AG13" s="600" t="s">
        <v>1363</v>
      </c>
      <c r="AH13" s="589"/>
      <c r="AM13" s="589"/>
      <c r="AN13" s="600" t="s">
        <v>1364</v>
      </c>
      <c r="AO13" s="589"/>
      <c r="AT13" s="589"/>
      <c r="AU13" s="600" t="s">
        <v>1365</v>
      </c>
      <c r="AV13" s="589"/>
      <c r="BA13" s="589"/>
      <c r="BB13" s="600" t="s">
        <v>1344</v>
      </c>
      <c r="BC13" s="589"/>
      <c r="BH13" s="589"/>
      <c r="BI13" s="600" t="s">
        <v>1345</v>
      </c>
      <c r="BJ13" s="589"/>
      <c r="BO13" s="589"/>
      <c r="BP13" s="600" t="s">
        <v>1346</v>
      </c>
      <c r="BQ13" s="589"/>
      <c r="BV13" s="589"/>
      <c r="BW13" s="600" t="s">
        <v>1347</v>
      </c>
      <c r="BX13" s="589"/>
      <c r="CC13" s="589"/>
      <c r="CD13" s="600" t="s">
        <v>1348</v>
      </c>
      <c r="CE13" s="589"/>
    </row>
    <row r="14">
      <c r="A14" s="450"/>
      <c r="B14" s="455"/>
      <c r="D14" s="589"/>
      <c r="E14" s="601" t="s">
        <v>1349</v>
      </c>
      <c r="F14" s="602" t="s">
        <v>791</v>
      </c>
      <c r="G14" s="497"/>
      <c r="H14" s="450"/>
      <c r="I14" s="455"/>
      <c r="J14" s="450"/>
      <c r="K14" s="589"/>
      <c r="L14" s="601" t="s">
        <v>1349</v>
      </c>
      <c r="M14" s="602" t="s">
        <v>791</v>
      </c>
      <c r="R14" s="589"/>
      <c r="S14" s="601" t="s">
        <v>1349</v>
      </c>
      <c r="T14" s="602" t="s">
        <v>791</v>
      </c>
      <c r="Y14" s="589"/>
      <c r="Z14" s="601" t="s">
        <v>1349</v>
      </c>
      <c r="AA14" s="602" t="s">
        <v>791</v>
      </c>
      <c r="AF14" s="589"/>
      <c r="AG14" s="601" t="s">
        <v>1349</v>
      </c>
      <c r="AH14" s="602" t="s">
        <v>791</v>
      </c>
      <c r="AM14" s="589"/>
      <c r="AN14" s="601" t="s">
        <v>1349</v>
      </c>
      <c r="AO14" s="602" t="s">
        <v>791</v>
      </c>
      <c r="AT14" s="589"/>
      <c r="AU14" s="601" t="s">
        <v>1349</v>
      </c>
      <c r="AV14" s="602" t="s">
        <v>791</v>
      </c>
      <c r="BA14" s="589"/>
      <c r="BB14" s="601" t="s">
        <v>1349</v>
      </c>
      <c r="BC14" s="602" t="s">
        <v>791</v>
      </c>
      <c r="BH14" s="589"/>
      <c r="BI14" s="601" t="s">
        <v>1349</v>
      </c>
      <c r="BJ14" s="602" t="s">
        <v>791</v>
      </c>
      <c r="BO14" s="589"/>
      <c r="BP14" s="601" t="s">
        <v>1349</v>
      </c>
      <c r="BQ14" s="602" t="s">
        <v>791</v>
      </c>
      <c r="BV14" s="589"/>
      <c r="BW14" s="601" t="s">
        <v>1349</v>
      </c>
      <c r="BX14" s="602" t="s">
        <v>791</v>
      </c>
      <c r="CC14" s="589"/>
      <c r="CD14" s="601" t="s">
        <v>1349</v>
      </c>
      <c r="CE14" s="602" t="s">
        <v>791</v>
      </c>
    </row>
    <row r="15">
      <c r="D15" s="603" t="s">
        <v>1350</v>
      </c>
      <c r="E15" s="604">
        <f t="shared" ref="E15:F15" si="1">E8</f>
        <v>1195688.667</v>
      </c>
      <c r="F15" s="604">
        <f t="shared" si="1"/>
        <v>972.104607</v>
      </c>
      <c r="G15" s="450"/>
      <c r="H15" s="450"/>
      <c r="I15" s="450"/>
      <c r="J15" s="450"/>
      <c r="K15" s="603" t="s">
        <v>1350</v>
      </c>
      <c r="L15" s="604">
        <f t="shared" ref="L15:M15" si="2">L8</f>
        <v>1195688.667</v>
      </c>
      <c r="M15" s="604">
        <f t="shared" si="2"/>
        <v>972.104607</v>
      </c>
      <c r="R15" s="603" t="s">
        <v>1350</v>
      </c>
      <c r="S15" s="604">
        <f t="shared" ref="S15:T15" si="3">S5</f>
        <v>1347765.243</v>
      </c>
      <c r="T15" s="604">
        <f t="shared" si="3"/>
        <v>1017.181315</v>
      </c>
      <c r="Y15" s="603" t="s">
        <v>1350</v>
      </c>
      <c r="Z15" s="604">
        <f t="shared" ref="Z15:AA15" si="4">Z5</f>
        <v>108468.5</v>
      </c>
      <c r="AA15" s="604">
        <f t="shared" si="4"/>
        <v>91.53459916</v>
      </c>
      <c r="AF15" s="603" t="s">
        <v>1350</v>
      </c>
      <c r="AG15" s="604">
        <f t="shared" ref="AG15:AH15" si="5">AG9</f>
        <v>1017022.85</v>
      </c>
      <c r="AH15" s="604">
        <f t="shared" si="5"/>
        <v>861.8837712</v>
      </c>
      <c r="AM15" s="603" t="s">
        <v>1350</v>
      </c>
      <c r="AN15" s="604">
        <f t="shared" ref="AN15:AO15" si="6">AN8</f>
        <v>1542740.633</v>
      </c>
      <c r="AO15" s="604">
        <f t="shared" si="6"/>
        <v>1269.745377</v>
      </c>
      <c r="AT15" s="603" t="s">
        <v>1350</v>
      </c>
      <c r="AU15" s="604">
        <f t="shared" ref="AU15:AV15" si="7">AU5</f>
        <v>317618.45</v>
      </c>
      <c r="AV15" s="604">
        <f t="shared" si="7"/>
        <v>240.6200379</v>
      </c>
      <c r="BA15" s="603" t="s">
        <v>1350</v>
      </c>
      <c r="BB15" s="604">
        <f t="shared" ref="BB15:BC15" si="8">BB6</f>
        <v>497549.5193</v>
      </c>
      <c r="BC15" s="604">
        <f t="shared" si="8"/>
        <v>369.9252931</v>
      </c>
      <c r="BH15" s="603" t="s">
        <v>1350</v>
      </c>
      <c r="BI15" s="604">
        <f t="shared" ref="BI15:BJ15" si="9">BI5</f>
        <v>286952.9679</v>
      </c>
      <c r="BJ15" s="604">
        <f t="shared" si="9"/>
        <v>198.5833688</v>
      </c>
      <c r="BO15" s="603" t="s">
        <v>1350</v>
      </c>
      <c r="BP15" s="604" t="str">
        <f t="shared" ref="BP15:BQ15" si="10">BP5</f>
        <v/>
      </c>
      <c r="BQ15" s="604" t="str">
        <f t="shared" si="10"/>
        <v/>
      </c>
      <c r="BV15" s="603" t="s">
        <v>1350</v>
      </c>
      <c r="BW15" s="604" t="str">
        <f t="shared" ref="BW15:BX15" si="11">BW5</f>
        <v/>
      </c>
      <c r="BX15" s="604" t="str">
        <f t="shared" si="11"/>
        <v/>
      </c>
      <c r="CC15" s="603" t="s">
        <v>1350</v>
      </c>
      <c r="CD15" s="604" t="str">
        <f t="shared" ref="CD15:CE15" si="12">CD5</f>
        <v/>
      </c>
      <c r="CE15" s="604" t="str">
        <f t="shared" si="12"/>
        <v/>
      </c>
    </row>
    <row r="16">
      <c r="D16" s="605" t="s">
        <v>1351</v>
      </c>
      <c r="E16" s="379">
        <v>3920833.0</v>
      </c>
      <c r="F16" s="523">
        <f>E16/F1</f>
        <v>3213.797541</v>
      </c>
      <c r="G16" s="450"/>
      <c r="H16" s="450"/>
      <c r="I16" s="450"/>
      <c r="J16" s="450"/>
      <c r="K16" s="605" t="s">
        <v>1351</v>
      </c>
      <c r="L16" s="379">
        <v>3920833.0</v>
      </c>
      <c r="M16" s="523">
        <f>L16/M1</f>
        <v>3187.669106</v>
      </c>
      <c r="R16" s="605" t="s">
        <v>1351</v>
      </c>
      <c r="S16" s="379">
        <v>4210975.0</v>
      </c>
      <c r="T16" s="523">
        <f>S16/T1</f>
        <v>3178.09434</v>
      </c>
      <c r="Y16" s="605" t="s">
        <v>1351</v>
      </c>
      <c r="Z16" s="379">
        <v>4210975.0</v>
      </c>
      <c r="AA16" s="523">
        <f>Z16/AA1</f>
        <v>3553.565401</v>
      </c>
      <c r="AF16" s="605" t="s">
        <v>1351</v>
      </c>
      <c r="AG16" s="379">
        <v>4210975.0</v>
      </c>
      <c r="AH16" s="523">
        <f>AG16/AH1</f>
        <v>3568.622881</v>
      </c>
      <c r="AM16" s="605" t="s">
        <v>1351</v>
      </c>
      <c r="AN16" s="380">
        <v>4596700.0</v>
      </c>
      <c r="AO16" s="523">
        <f>AN16/AO1</f>
        <v>3783.292181</v>
      </c>
      <c r="AT16" s="605" t="s">
        <v>1351</v>
      </c>
      <c r="AU16" s="380">
        <v>4596700.0</v>
      </c>
      <c r="AV16" s="523">
        <f>AU16/AV1</f>
        <v>3482.348485</v>
      </c>
      <c r="BA16" s="605" t="s">
        <v>1351</v>
      </c>
      <c r="BB16" s="380">
        <v>3075000.0</v>
      </c>
      <c r="BC16" s="523">
        <f>BB16/BC1</f>
        <v>2286.245353</v>
      </c>
      <c r="BH16" s="605" t="s">
        <v>1351</v>
      </c>
      <c r="BI16" s="380">
        <v>3075000.0</v>
      </c>
      <c r="BJ16" s="523">
        <f>BI16/BJ1</f>
        <v>2128.027682</v>
      </c>
      <c r="BO16" s="605" t="s">
        <v>1351</v>
      </c>
      <c r="BP16" s="380">
        <v>3075000.0</v>
      </c>
      <c r="BQ16" s="523">
        <f>BP16/BQ1</f>
        <v>2135.416667</v>
      </c>
      <c r="BV16" s="605" t="s">
        <v>1351</v>
      </c>
      <c r="BW16" s="380">
        <v>3305625.0</v>
      </c>
      <c r="BX16" s="523">
        <f>BW16/BX1</f>
        <v>2205.220147</v>
      </c>
      <c r="CC16" s="605" t="s">
        <v>1351</v>
      </c>
      <c r="CD16" s="380">
        <v>3305625.0</v>
      </c>
      <c r="CE16" s="523">
        <f>CD16/CE1</f>
        <v>2152.099609</v>
      </c>
    </row>
    <row r="17">
      <c r="D17" s="605" t="s">
        <v>1063</v>
      </c>
      <c r="E17" s="606">
        <f t="shared" ref="E17:F17" si="13">+E16/E15</f>
        <v>3.279142062</v>
      </c>
      <c r="F17" s="606">
        <f t="shared" si="13"/>
        <v>3.306020276</v>
      </c>
      <c r="G17" s="450"/>
      <c r="H17" s="450"/>
      <c r="I17" s="450"/>
      <c r="J17" s="450"/>
      <c r="K17" s="605" t="s">
        <v>1063</v>
      </c>
      <c r="L17" s="606">
        <f t="shared" ref="L17:M17" si="14">+L16/L15</f>
        <v>3.279142062</v>
      </c>
      <c r="M17" s="606">
        <f t="shared" si="14"/>
        <v>3.279142062</v>
      </c>
      <c r="R17" s="605" t="s">
        <v>1063</v>
      </c>
      <c r="S17" s="606">
        <f t="shared" ref="S17:T17" si="15">+S16/S15</f>
        <v>3.124412817</v>
      </c>
      <c r="T17" s="606">
        <f t="shared" si="15"/>
        <v>3.124412817</v>
      </c>
      <c r="Y17" s="605" t="s">
        <v>1063</v>
      </c>
      <c r="Z17" s="606">
        <f t="shared" ref="Z17:AA17" si="16">+Z16/Z15</f>
        <v>38.82210043</v>
      </c>
      <c r="AA17" s="606">
        <f t="shared" si="16"/>
        <v>38.82210043</v>
      </c>
      <c r="AF17" s="605" t="s">
        <v>1063</v>
      </c>
      <c r="AG17" s="606">
        <f t="shared" ref="AG17:AH17" si="17">+AG16/AG15</f>
        <v>4.140492025</v>
      </c>
      <c r="AH17" s="606">
        <f t="shared" si="17"/>
        <v>4.140492025</v>
      </c>
      <c r="AM17" s="605" t="s">
        <v>1063</v>
      </c>
      <c r="AN17" s="606">
        <f t="shared" ref="AN17:AO17" si="18">+AN16/AN15</f>
        <v>2.979567596</v>
      </c>
      <c r="AO17" s="606">
        <f t="shared" si="18"/>
        <v>2.979567596</v>
      </c>
      <c r="AT17" s="605" t="s">
        <v>1063</v>
      </c>
      <c r="AU17" s="606">
        <f t="shared" ref="AU17:AV17" si="19">+AU16/AU15</f>
        <v>14.47239605</v>
      </c>
      <c r="AV17" s="606">
        <f t="shared" si="19"/>
        <v>14.47239605</v>
      </c>
      <c r="BA17" s="605" t="s">
        <v>1063</v>
      </c>
      <c r="BB17" s="606">
        <f t="shared" ref="BB17:BC17" si="20">+BB16/BB15</f>
        <v>6.18028936</v>
      </c>
      <c r="BC17" s="606">
        <f t="shared" si="20"/>
        <v>6.18028936</v>
      </c>
      <c r="BH17" s="605" t="s">
        <v>1063</v>
      </c>
      <c r="BI17" s="606">
        <f t="shared" ref="BI17:BJ17" si="21">+BI16/BI15</f>
        <v>10.71604181</v>
      </c>
      <c r="BJ17" s="606">
        <f t="shared" si="21"/>
        <v>10.71604181</v>
      </c>
      <c r="BO17" s="605" t="s">
        <v>1063</v>
      </c>
      <c r="BP17" s="606" t="str">
        <f t="shared" ref="BP17:BQ17" si="22">+BP16/BP15</f>
        <v>#DIV/0!</v>
      </c>
      <c r="BQ17" s="606" t="str">
        <f t="shared" si="22"/>
        <v>#DIV/0!</v>
      </c>
      <c r="BV17" s="605" t="s">
        <v>1063</v>
      </c>
      <c r="BW17" s="606" t="str">
        <f t="shared" ref="BW17:BX17" si="23">+BW16/BW15</f>
        <v>#DIV/0!</v>
      </c>
      <c r="BX17" s="606" t="str">
        <f t="shared" si="23"/>
        <v>#DIV/0!</v>
      </c>
      <c r="CC17" s="605" t="s">
        <v>1063</v>
      </c>
      <c r="CD17" s="606" t="str">
        <f t="shared" ref="CD17:CE17" si="24">+CD16/CD15</f>
        <v>#DIV/0!</v>
      </c>
      <c r="CE17" s="606" t="str">
        <f t="shared" si="24"/>
        <v>#DIV/0!</v>
      </c>
    </row>
    <row r="18">
      <c r="D18" s="605" t="s">
        <v>1352</v>
      </c>
      <c r="E18" s="604">
        <f t="shared" ref="E18:F18" si="25">+E16-E15</f>
        <v>2725144.333</v>
      </c>
      <c r="F18" s="604">
        <f t="shared" si="25"/>
        <v>2241.692934</v>
      </c>
      <c r="G18" s="450"/>
      <c r="H18" s="450"/>
      <c r="I18" s="450"/>
      <c r="J18" s="450"/>
      <c r="K18" s="605" t="s">
        <v>1352</v>
      </c>
      <c r="L18" s="604">
        <f t="shared" ref="L18:M18" si="26">+L16-L15</f>
        <v>2725144.333</v>
      </c>
      <c r="M18" s="604">
        <f t="shared" si="26"/>
        <v>2215.564499</v>
      </c>
      <c r="R18" s="605" t="s">
        <v>1352</v>
      </c>
      <c r="S18" s="604">
        <f t="shared" ref="S18:T18" si="27">+S16-S15</f>
        <v>2863209.757</v>
      </c>
      <c r="T18" s="604">
        <f t="shared" si="27"/>
        <v>2160.913024</v>
      </c>
      <c r="Y18" s="605" t="s">
        <v>1352</v>
      </c>
      <c r="Z18" s="604">
        <f t="shared" ref="Z18:AA18" si="28">+Z16-Z15</f>
        <v>4102506.5</v>
      </c>
      <c r="AA18" s="604">
        <f t="shared" si="28"/>
        <v>3462.030802</v>
      </c>
      <c r="AF18" s="605" t="s">
        <v>1352</v>
      </c>
      <c r="AG18" s="604">
        <f t="shared" ref="AG18:AH18" si="29">+AG16-AG15</f>
        <v>3193952.15</v>
      </c>
      <c r="AH18" s="604">
        <f t="shared" si="29"/>
        <v>2706.73911</v>
      </c>
      <c r="AM18" s="605" t="s">
        <v>1352</v>
      </c>
      <c r="AN18" s="604">
        <f t="shared" ref="AN18:AO18" si="30">+AN16-AN15</f>
        <v>3053959.367</v>
      </c>
      <c r="AO18" s="604">
        <f t="shared" si="30"/>
        <v>2513.546804</v>
      </c>
      <c r="AT18" s="605" t="s">
        <v>1352</v>
      </c>
      <c r="AU18" s="604">
        <f t="shared" ref="AU18:AV18" si="31">+AU16-AU15</f>
        <v>4279081.55</v>
      </c>
      <c r="AV18" s="604">
        <f t="shared" si="31"/>
        <v>3241.728447</v>
      </c>
      <c r="BA18" s="605" t="s">
        <v>1352</v>
      </c>
      <c r="BB18" s="604">
        <f t="shared" ref="BB18:BC18" si="32">+BB16-BB15</f>
        <v>2577450.481</v>
      </c>
      <c r="BC18" s="604">
        <f t="shared" si="32"/>
        <v>1916.32006</v>
      </c>
      <c r="BH18" s="605" t="s">
        <v>1352</v>
      </c>
      <c r="BI18" s="604">
        <f t="shared" ref="BI18:BJ18" si="33">+BI16-BI15</f>
        <v>2788047.032</v>
      </c>
      <c r="BJ18" s="604">
        <f t="shared" si="33"/>
        <v>1929.444313</v>
      </c>
      <c r="BO18" s="605" t="s">
        <v>1352</v>
      </c>
      <c r="BP18" s="604">
        <f t="shared" ref="BP18:BQ18" si="34">+BP16-BP15</f>
        <v>3075000</v>
      </c>
      <c r="BQ18" s="604">
        <f t="shared" si="34"/>
        <v>2135.416667</v>
      </c>
      <c r="BV18" s="605" t="s">
        <v>1352</v>
      </c>
      <c r="BW18" s="604">
        <f t="shared" ref="BW18:BX18" si="35">+BW16-BW15</f>
        <v>3305625</v>
      </c>
      <c r="BX18" s="604">
        <f t="shared" si="35"/>
        <v>2205.220147</v>
      </c>
      <c r="CC18" s="605" t="s">
        <v>1352</v>
      </c>
      <c r="CD18" s="604">
        <f t="shared" ref="CD18:CE18" si="36">+CD16-CD15</f>
        <v>3305625</v>
      </c>
      <c r="CE18" s="604">
        <f t="shared" si="36"/>
        <v>2152.099609</v>
      </c>
    </row>
    <row r="19">
      <c r="D19" s="603" t="s">
        <v>1372</v>
      </c>
      <c r="E19" s="604">
        <f t="shared" ref="E19:F19" si="37">E16*0.97</f>
        <v>3803208.01</v>
      </c>
      <c r="F19" s="604">
        <f t="shared" si="37"/>
        <v>3117.383615</v>
      </c>
      <c r="G19" s="450"/>
      <c r="H19" s="450"/>
      <c r="I19" s="450"/>
      <c r="J19" s="450"/>
      <c r="K19" s="603" t="s">
        <v>1372</v>
      </c>
      <c r="L19" s="604">
        <f t="shared" ref="L19:M19" si="38">L16*0.97</f>
        <v>3803208.01</v>
      </c>
      <c r="M19" s="604">
        <f t="shared" si="38"/>
        <v>3092.039033</v>
      </c>
      <c r="R19" s="603" t="s">
        <v>1372</v>
      </c>
      <c r="S19" s="604">
        <f t="shared" ref="S19:T19" si="39">S16*0.97</f>
        <v>4084645.75</v>
      </c>
      <c r="T19" s="604">
        <f t="shared" si="39"/>
        <v>3082.751509</v>
      </c>
      <c r="Y19" s="603" t="s">
        <v>1372</v>
      </c>
      <c r="Z19" s="604">
        <f t="shared" ref="Z19:AA19" si="40">Z16*0.97</f>
        <v>4084645.75</v>
      </c>
      <c r="AA19" s="604">
        <f t="shared" si="40"/>
        <v>3446.958439</v>
      </c>
      <c r="AF19" s="603" t="s">
        <v>1372</v>
      </c>
      <c r="AG19" s="604">
        <f t="shared" ref="AG19:AH19" si="41">AG16*0.97</f>
        <v>4084645.75</v>
      </c>
      <c r="AH19" s="604">
        <f t="shared" si="41"/>
        <v>3461.564195</v>
      </c>
      <c r="AM19" s="603" t="s">
        <v>1372</v>
      </c>
      <c r="AN19" s="604">
        <f t="shared" ref="AN19:AO19" si="42">AN16*0.97</f>
        <v>4458799</v>
      </c>
      <c r="AO19" s="604">
        <f t="shared" si="42"/>
        <v>3669.793416</v>
      </c>
      <c r="AT19" s="603" t="s">
        <v>1372</v>
      </c>
      <c r="AU19" s="604">
        <f t="shared" ref="AU19:AV19" si="43">AU16*0.97</f>
        <v>4458799</v>
      </c>
      <c r="AV19" s="604">
        <f t="shared" si="43"/>
        <v>3377.87803</v>
      </c>
      <c r="BA19" s="603" t="s">
        <v>1372</v>
      </c>
      <c r="BB19" s="604">
        <f t="shared" ref="BB19:BC19" si="44">BB16*0.97</f>
        <v>2982750</v>
      </c>
      <c r="BC19" s="604">
        <f t="shared" si="44"/>
        <v>2217.657993</v>
      </c>
      <c r="BH19" s="603" t="s">
        <v>1372</v>
      </c>
      <c r="BI19" s="604">
        <f t="shared" ref="BI19:BJ19" si="45">BI16*0.97</f>
        <v>2982750</v>
      </c>
      <c r="BJ19" s="604">
        <f t="shared" si="45"/>
        <v>2064.186851</v>
      </c>
      <c r="BO19" s="603" t="s">
        <v>1372</v>
      </c>
      <c r="BP19" s="604">
        <f t="shared" ref="BP19:BQ19" si="46">BP16*0.97</f>
        <v>2982750</v>
      </c>
      <c r="BQ19" s="604">
        <f t="shared" si="46"/>
        <v>2071.354167</v>
      </c>
      <c r="BV19" s="603" t="s">
        <v>1372</v>
      </c>
      <c r="BW19" s="604">
        <f t="shared" ref="BW19:BX19" si="47">BW16*0.97</f>
        <v>3206456.25</v>
      </c>
      <c r="BX19" s="604">
        <f t="shared" si="47"/>
        <v>2139.063542</v>
      </c>
      <c r="CC19" s="603" t="s">
        <v>1372</v>
      </c>
      <c r="CD19" s="604">
        <f t="shared" ref="CD19:CE19" si="48">CD16*0.97</f>
        <v>3206456.25</v>
      </c>
      <c r="CE19" s="604">
        <f t="shared" si="48"/>
        <v>2087.536621</v>
      </c>
    </row>
    <row r="20">
      <c r="G20" s="450"/>
      <c r="H20" s="450"/>
      <c r="I20" s="450"/>
      <c r="J20" s="450"/>
    </row>
    <row r="21">
      <c r="AZ21" s="370"/>
      <c r="BA21" s="372"/>
      <c r="BB21" s="372"/>
      <c r="BC21" s="453"/>
      <c r="BD21" s="107"/>
    </row>
    <row r="22">
      <c r="A22" s="450"/>
      <c r="B22" s="450"/>
      <c r="C22" s="455"/>
      <c r="D22" s="450"/>
      <c r="E22" s="450"/>
      <c r="F22" s="450"/>
      <c r="AZ22" s="370"/>
      <c r="BA22" s="372"/>
      <c r="BB22" s="452"/>
      <c r="BC22" s="453"/>
      <c r="BD22" s="107"/>
    </row>
    <row r="23">
      <c r="A23" s="450"/>
      <c r="B23" s="450"/>
      <c r="C23" s="455"/>
      <c r="D23" s="464"/>
      <c r="E23" s="497"/>
      <c r="F23" s="498"/>
      <c r="AZ23" s="370"/>
      <c r="BA23" s="372"/>
      <c r="BB23" s="452"/>
      <c r="BC23" s="453"/>
      <c r="BD23" s="107"/>
    </row>
    <row r="24">
      <c r="A24" s="450"/>
      <c r="B24" s="450"/>
      <c r="C24" s="455"/>
      <c r="D24" s="464"/>
      <c r="E24" s="497"/>
      <c r="F24" s="498"/>
      <c r="AZ24" s="370"/>
      <c r="BA24" s="372"/>
      <c r="BB24" s="452"/>
      <c r="BC24" s="453"/>
      <c r="BD24" s="107"/>
    </row>
    <row r="25">
      <c r="A25" s="450"/>
      <c r="B25" s="450"/>
      <c r="C25" s="455"/>
      <c r="D25" s="464"/>
      <c r="E25" s="497"/>
      <c r="F25" s="498"/>
      <c r="AY25" s="626"/>
      <c r="AZ25" s="486"/>
    </row>
    <row r="26">
      <c r="A26" s="450"/>
      <c r="B26" s="450"/>
      <c r="C26" s="455"/>
      <c r="D26" s="464"/>
      <c r="E26" s="497"/>
      <c r="F26" s="498"/>
      <c r="AY26" s="480"/>
      <c r="AZ26" s="380"/>
    </row>
    <row r="27">
      <c r="A27" s="450"/>
      <c r="B27" s="450"/>
      <c r="C27" s="455"/>
      <c r="D27" s="464"/>
      <c r="E27" s="497"/>
      <c r="F27" s="498"/>
      <c r="AY27" s="480"/>
      <c r="AZ27" s="380"/>
    </row>
    <row r="28">
      <c r="A28" s="450"/>
      <c r="B28" s="450"/>
      <c r="C28" s="455"/>
      <c r="D28" s="464"/>
      <c r="E28" s="497"/>
      <c r="F28" s="498"/>
      <c r="AY28" s="480"/>
      <c r="AZ28" s="380"/>
    </row>
    <row r="29">
      <c r="A29" s="450"/>
      <c r="B29" s="450"/>
      <c r="C29" s="455"/>
      <c r="D29" s="464"/>
      <c r="E29" s="497"/>
      <c r="F29" s="498"/>
      <c r="AY29" s="480"/>
      <c r="AZ29" s="380"/>
    </row>
    <row r="30">
      <c r="A30" s="450"/>
      <c r="B30" s="450"/>
      <c r="C30" s="455"/>
      <c r="D30" s="464"/>
      <c r="E30" s="497"/>
      <c r="F30" s="498"/>
      <c r="AY30" s="480"/>
      <c r="AZ30" s="380"/>
    </row>
    <row r="31">
      <c r="A31" s="450"/>
      <c r="B31" s="450"/>
      <c r="C31" s="455"/>
      <c r="D31" s="464"/>
      <c r="E31" s="497"/>
      <c r="F31" s="498"/>
      <c r="AY31" s="480"/>
      <c r="AZ31" s="380"/>
    </row>
    <row r="32">
      <c r="A32" s="450"/>
      <c r="B32" s="450"/>
      <c r="C32" s="455"/>
      <c r="D32" s="464"/>
      <c r="E32" s="497"/>
      <c r="F32" s="498"/>
      <c r="AY32" s="480"/>
      <c r="AZ32" s="380"/>
    </row>
    <row r="33">
      <c r="A33" s="450"/>
      <c r="B33" s="450"/>
      <c r="C33" s="455"/>
      <c r="D33" s="464"/>
      <c r="E33" s="497"/>
      <c r="F33" s="498"/>
    </row>
    <row r="34">
      <c r="A34" s="450"/>
      <c r="B34" s="450"/>
      <c r="C34" s="455"/>
      <c r="D34" s="464"/>
      <c r="E34" s="497"/>
      <c r="F34" s="498"/>
    </row>
    <row r="35">
      <c r="A35" s="450"/>
      <c r="B35" s="450"/>
      <c r="C35" s="455"/>
      <c r="D35" s="464"/>
      <c r="E35" s="497"/>
      <c r="F35" s="498"/>
    </row>
    <row r="36">
      <c r="A36" s="450"/>
      <c r="B36" s="450"/>
      <c r="C36" s="455"/>
      <c r="D36" s="464"/>
      <c r="E36" s="497"/>
      <c r="F36" s="498"/>
    </row>
    <row r="37">
      <c r="A37" s="450"/>
      <c r="B37" s="450"/>
      <c r="C37" s="455"/>
      <c r="D37" s="464"/>
      <c r="E37" s="497"/>
      <c r="F37" s="498"/>
    </row>
  </sheetData>
  <dataValidations>
    <dataValidation type="list" allowBlank="1" showErrorMessage="1" sqref="D1 K1 R1 Y1 AF1 AM1 AT1 BA1 BH1 BO1 BV1 CC1">
      <formula1>"01 Ene,02 Feb,03 Mar,04 Abr,05 May,06 Jun,07 Jul,08 Ago,09 Sep,10 Oct,11 Nov,12 Dic"</formula1>
    </dataValidation>
    <dataValidation type="list" allowBlank="1" showErrorMessage="1" sqref="E1 L1 S1 Z1 AG1 AN1 AU1 BB1 BI1 BP1 BW1 CD1">
      <formula1>"2025,2026,2027,2028"</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1.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1373</v>
      </c>
      <c r="C1" s="585" t="s">
        <v>1329</v>
      </c>
      <c r="D1" s="586" t="s">
        <v>1332</v>
      </c>
      <c r="E1" s="481">
        <v>2025.0</v>
      </c>
      <c r="F1" s="587">
        <f>VLOOKUP(D$1&amp;" "&amp;E1,'Info Tipo de Cambio y REM'!$A$23:$B$35,2,FALSE())</f>
        <v>1320</v>
      </c>
      <c r="G1" s="92" t="s">
        <v>1374</v>
      </c>
      <c r="K1" s="627"/>
      <c r="L1" s="51"/>
      <c r="M1" s="628"/>
      <c r="R1" s="627"/>
      <c r="S1" s="51"/>
      <c r="T1" s="628"/>
      <c r="Y1" s="627"/>
      <c r="Z1" s="51"/>
      <c r="AA1" s="628"/>
      <c r="AF1" s="627"/>
      <c r="AG1" s="51"/>
      <c r="AH1" s="628"/>
      <c r="AM1" s="627"/>
      <c r="AN1" s="51"/>
      <c r="AO1" s="628"/>
    </row>
    <row r="2">
      <c r="A2" s="569" t="s">
        <v>112</v>
      </c>
      <c r="B2" s="569" t="s">
        <v>1339</v>
      </c>
      <c r="C2" s="588" t="s">
        <v>1264</v>
      </c>
      <c r="D2" s="569" t="s">
        <v>1121</v>
      </c>
      <c r="E2" s="569" t="s">
        <v>1270</v>
      </c>
      <c r="F2" s="569" t="s">
        <v>1340</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207</v>
      </c>
      <c r="B3" s="450">
        <v>0.0</v>
      </c>
      <c r="C3" s="499">
        <v>3.17</v>
      </c>
      <c r="D3" s="455">
        <v>11000.0</v>
      </c>
      <c r="E3" s="497">
        <v>34870.0</v>
      </c>
      <c r="F3" s="498">
        <v>26.416666666666668</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203</v>
      </c>
      <c r="B4" s="450">
        <v>11.0</v>
      </c>
      <c r="C4" s="455">
        <v>5.73</v>
      </c>
      <c r="D4" s="464">
        <v>9867.0</v>
      </c>
      <c r="E4" s="497">
        <v>56537.91</v>
      </c>
      <c r="F4" s="498">
        <v>42.83175</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197</v>
      </c>
      <c r="B5" s="450">
        <v>2.0</v>
      </c>
      <c r="C5" s="455">
        <v>3.7</v>
      </c>
      <c r="D5" s="464">
        <v>12743.0</v>
      </c>
      <c r="E5" s="497">
        <v>47149.100000000006</v>
      </c>
      <c r="F5" s="498">
        <v>35.71901515151516</v>
      </c>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569" t="s">
        <v>1266</v>
      </c>
      <c r="B6" s="569">
        <v>13.0</v>
      </c>
      <c r="C6" s="588">
        <v>12.600000000000001</v>
      </c>
      <c r="D6" s="590">
        <v>33610.0</v>
      </c>
      <c r="E6" s="591">
        <v>138557.01</v>
      </c>
      <c r="F6" s="592">
        <v>104.96743181818184</v>
      </c>
    </row>
    <row r="7">
      <c r="D7" s="589"/>
      <c r="E7" s="612"/>
      <c r="F7" s="589"/>
      <c r="K7" s="589"/>
      <c r="L7" s="612"/>
      <c r="M7" s="589"/>
      <c r="R7" s="589"/>
      <c r="S7" s="612"/>
      <c r="T7" s="589"/>
      <c r="Y7" s="589"/>
      <c r="Z7" s="612"/>
      <c r="AA7" s="589"/>
      <c r="AF7" s="589"/>
      <c r="AG7" s="612"/>
      <c r="AH7" s="589"/>
      <c r="AM7" s="589"/>
      <c r="AN7" s="612"/>
      <c r="AO7" s="589"/>
    </row>
    <row r="8">
      <c r="D8" s="589"/>
      <c r="E8" s="612"/>
      <c r="F8" s="589"/>
      <c r="K8" s="589"/>
      <c r="L8" s="612"/>
      <c r="M8" s="589"/>
      <c r="R8" s="589"/>
      <c r="S8" s="612"/>
      <c r="T8" s="589"/>
      <c r="Y8" s="589"/>
      <c r="Z8" s="612"/>
      <c r="AA8" s="589"/>
      <c r="AF8" s="589"/>
      <c r="AG8" s="612"/>
      <c r="AH8" s="589"/>
      <c r="AM8" s="589"/>
      <c r="AN8" s="612"/>
      <c r="AO8" s="589"/>
    </row>
    <row r="9">
      <c r="D9" s="589"/>
      <c r="E9" s="612"/>
      <c r="F9" s="589"/>
      <c r="K9" s="589"/>
      <c r="L9" s="612"/>
      <c r="M9" s="589"/>
      <c r="R9" s="589"/>
      <c r="S9" s="612"/>
      <c r="T9" s="589"/>
      <c r="Y9" s="589"/>
      <c r="Z9" s="612"/>
      <c r="AA9" s="589"/>
      <c r="AF9" s="589"/>
      <c r="AG9" s="612"/>
      <c r="AH9" s="589"/>
      <c r="AM9" s="589"/>
      <c r="AN9" s="612"/>
      <c r="AO9" s="589"/>
    </row>
    <row r="10">
      <c r="D10" s="589"/>
      <c r="E10" s="612"/>
      <c r="F10" s="589"/>
      <c r="K10" s="589"/>
      <c r="L10" s="612"/>
      <c r="M10" s="589"/>
      <c r="R10" s="589"/>
      <c r="S10" s="612"/>
      <c r="T10" s="589"/>
      <c r="Y10" s="589"/>
      <c r="Z10" s="612"/>
      <c r="AA10" s="589"/>
      <c r="AF10" s="589"/>
      <c r="AG10" s="612"/>
      <c r="AH10" s="589"/>
      <c r="AM10" s="589"/>
      <c r="AN10" s="612"/>
      <c r="AO10" s="589"/>
    </row>
    <row r="11">
      <c r="D11" s="589"/>
      <c r="E11" s="612"/>
      <c r="F11" s="589"/>
      <c r="K11" s="589"/>
      <c r="L11" s="612"/>
      <c r="M11" s="589"/>
      <c r="R11" s="589"/>
      <c r="S11" s="612"/>
      <c r="T11" s="589"/>
      <c r="Y11" s="589"/>
      <c r="Z11" s="612"/>
      <c r="AA11" s="589"/>
      <c r="AF11" s="589"/>
      <c r="AG11" s="612"/>
      <c r="AH11" s="589"/>
      <c r="AM11" s="589"/>
      <c r="AN11" s="612"/>
      <c r="AO11" s="589"/>
    </row>
    <row r="12">
      <c r="D12" s="589"/>
      <c r="E12" s="600" t="s">
        <v>1375</v>
      </c>
      <c r="F12" s="589"/>
      <c r="K12" s="589"/>
      <c r="L12" s="612"/>
      <c r="M12" s="589"/>
      <c r="R12" s="589"/>
      <c r="S12" s="612"/>
      <c r="T12" s="589"/>
      <c r="Y12" s="589"/>
      <c r="Z12" s="612"/>
      <c r="AA12" s="589"/>
      <c r="AF12" s="589"/>
      <c r="AG12" s="612"/>
      <c r="AH12" s="589"/>
      <c r="AM12" s="589"/>
      <c r="AN12" s="612"/>
      <c r="AO12" s="589"/>
    </row>
    <row r="13">
      <c r="D13" s="589"/>
      <c r="E13" s="601" t="s">
        <v>1349</v>
      </c>
      <c r="F13" s="602" t="s">
        <v>791</v>
      </c>
      <c r="K13" s="589"/>
      <c r="L13" s="631"/>
      <c r="M13" s="631"/>
      <c r="R13" s="589"/>
      <c r="S13" s="631"/>
      <c r="T13" s="631"/>
      <c r="Y13" s="589"/>
      <c r="Z13" s="631"/>
      <c r="AA13" s="631"/>
      <c r="AF13" s="589"/>
      <c r="AG13" s="631"/>
      <c r="AH13" s="631"/>
      <c r="AM13" s="589"/>
      <c r="AN13" s="631"/>
      <c r="AO13" s="631"/>
    </row>
    <row r="14">
      <c r="D14" s="603" t="s">
        <v>1350</v>
      </c>
      <c r="E14" s="604">
        <f t="shared" ref="E14:F14" si="1">E6</f>
        <v>138557.01</v>
      </c>
      <c r="F14" s="604">
        <f t="shared" si="1"/>
        <v>104.9674318</v>
      </c>
      <c r="K14" s="632"/>
      <c r="L14" s="633"/>
      <c r="M14" s="633"/>
      <c r="R14" s="632"/>
      <c r="S14" s="633"/>
      <c r="T14" s="633"/>
      <c r="Y14" s="632"/>
      <c r="Z14" s="633"/>
      <c r="AA14" s="633"/>
      <c r="AF14" s="632"/>
      <c r="AG14" s="633"/>
      <c r="AH14" s="633"/>
      <c r="AM14" s="632"/>
      <c r="AN14" s="633"/>
      <c r="AO14" s="633"/>
    </row>
    <row r="15">
      <c r="D15" s="605" t="s">
        <v>1351</v>
      </c>
      <c r="E15" s="634">
        <v>870000.0</v>
      </c>
      <c r="F15" s="523">
        <f>E15/F1</f>
        <v>659.0909091</v>
      </c>
      <c r="K15" s="627"/>
      <c r="L15" s="380"/>
      <c r="M15" s="635"/>
      <c r="R15" s="627"/>
      <c r="S15" s="380"/>
      <c r="T15" s="635"/>
      <c r="Y15" s="627"/>
      <c r="Z15" s="380"/>
      <c r="AA15" s="635"/>
      <c r="AF15" s="627"/>
      <c r="AG15" s="380"/>
      <c r="AH15" s="635"/>
      <c r="AM15" s="627"/>
      <c r="AN15" s="380"/>
      <c r="AO15" s="635"/>
    </row>
    <row r="16">
      <c r="D16" s="605" t="s">
        <v>1063</v>
      </c>
      <c r="E16" s="606">
        <f t="shared" ref="E16:F16" si="2">+E15/E14</f>
        <v>6.279003856</v>
      </c>
      <c r="F16" s="606">
        <f t="shared" si="2"/>
        <v>6.279003856</v>
      </c>
      <c r="K16" s="627"/>
      <c r="L16" s="636"/>
      <c r="M16" s="636"/>
      <c r="R16" s="627"/>
      <c r="S16" s="636"/>
      <c r="T16" s="636"/>
      <c r="Y16" s="627"/>
      <c r="Z16" s="636"/>
      <c r="AA16" s="636"/>
      <c r="AF16" s="627"/>
      <c r="AG16" s="636"/>
      <c r="AH16" s="636"/>
      <c r="AM16" s="627"/>
      <c r="AN16" s="636"/>
      <c r="AO16" s="636"/>
    </row>
    <row r="17">
      <c r="D17" s="605" t="s">
        <v>1352</v>
      </c>
      <c r="E17" s="604">
        <f t="shared" ref="E17:F17" si="3">+E15-E14</f>
        <v>731442.99</v>
      </c>
      <c r="F17" s="604">
        <f t="shared" si="3"/>
        <v>554.1234773</v>
      </c>
      <c r="K17" s="627"/>
      <c r="L17" s="633"/>
      <c r="M17" s="633"/>
      <c r="R17" s="627"/>
      <c r="S17" s="633"/>
      <c r="T17" s="633"/>
      <c r="Y17" s="627"/>
      <c r="Z17" s="633"/>
      <c r="AA17" s="633"/>
      <c r="AF17" s="627"/>
      <c r="AG17" s="633"/>
      <c r="AH17" s="633"/>
      <c r="AM17" s="627"/>
      <c r="AN17" s="633"/>
      <c r="AO17" s="633"/>
    </row>
    <row r="18">
      <c r="D18" s="603" t="s">
        <v>1372</v>
      </c>
      <c r="E18" s="604"/>
      <c r="F18" s="604"/>
      <c r="K18" s="632"/>
      <c r="L18" s="633"/>
      <c r="M18" s="633"/>
      <c r="R18" s="632"/>
      <c r="S18" s="633"/>
      <c r="T18" s="633"/>
      <c r="Y18" s="632"/>
      <c r="Z18" s="633"/>
      <c r="AA18" s="633"/>
      <c r="AF18" s="632"/>
      <c r="AG18" s="633"/>
      <c r="AH18" s="633"/>
      <c r="AM18" s="632"/>
      <c r="AN18" s="633"/>
      <c r="AO18" s="633"/>
    </row>
    <row r="22">
      <c r="A22" s="531" t="s">
        <v>1376</v>
      </c>
      <c r="C22" s="585" t="s">
        <v>1329</v>
      </c>
      <c r="D22" s="586" t="s">
        <v>1333</v>
      </c>
      <c r="E22" s="481">
        <v>2025.0</v>
      </c>
      <c r="F22" s="587">
        <f>VLOOKUP(D$1&amp;" "&amp;E22,'Info Tipo de Cambio y REM'!$A$23:$B$35,2,FALSE())</f>
        <v>1320</v>
      </c>
      <c r="G22" s="92" t="s">
        <v>1374</v>
      </c>
      <c r="K22" s="627"/>
      <c r="L22" s="51"/>
      <c r="M22" s="628"/>
    </row>
    <row r="23">
      <c r="A23" s="569" t="s">
        <v>112</v>
      </c>
      <c r="B23" s="569" t="s">
        <v>1339</v>
      </c>
      <c r="C23" s="588" t="s">
        <v>1264</v>
      </c>
      <c r="D23" s="569" t="s">
        <v>1121</v>
      </c>
      <c r="E23" s="569" t="s">
        <v>1270</v>
      </c>
      <c r="F23" s="569" t="s">
        <v>1340</v>
      </c>
      <c r="H23" s="629"/>
      <c r="I23" s="629"/>
      <c r="J23" s="630"/>
      <c r="K23" s="629"/>
      <c r="L23" s="629"/>
      <c r="M23" s="629"/>
    </row>
    <row r="24">
      <c r="A24" s="450" t="s">
        <v>205</v>
      </c>
      <c r="B24" s="450">
        <v>0.0</v>
      </c>
      <c r="C24" s="455">
        <v>9.62</v>
      </c>
      <c r="D24" s="455">
        <v>10000.0</v>
      </c>
      <c r="E24" s="497">
        <v>96199.99999999999</v>
      </c>
      <c r="F24" s="498">
        <v>71.52416356877322</v>
      </c>
      <c r="H24" s="450"/>
      <c r="I24" s="455"/>
      <c r="J24" s="450"/>
      <c r="K24" s="464"/>
      <c r="L24" s="497"/>
      <c r="M24" s="498"/>
    </row>
    <row r="25">
      <c r="A25" s="450" t="s">
        <v>207</v>
      </c>
      <c r="B25" s="450">
        <v>10.0</v>
      </c>
      <c r="C25" s="455">
        <v>18.73</v>
      </c>
      <c r="D25" s="464">
        <v>11558.8</v>
      </c>
      <c r="E25" s="497">
        <v>216496.324</v>
      </c>
      <c r="F25" s="498">
        <v>160.9638096654275</v>
      </c>
    </row>
    <row r="26">
      <c r="A26" s="450" t="s">
        <v>87</v>
      </c>
      <c r="B26" s="450">
        <v>50.0</v>
      </c>
      <c r="C26" s="455">
        <v>60.22</v>
      </c>
      <c r="D26" s="464">
        <v>22558.8</v>
      </c>
      <c r="E26" s="497">
        <v>693248.9959999999</v>
      </c>
      <c r="F26" s="498">
        <v>516.2089809169764</v>
      </c>
      <c r="K26" s="589"/>
      <c r="L26" s="612"/>
      <c r="M26" s="589"/>
    </row>
    <row r="27">
      <c r="A27" s="450" t="s">
        <v>210</v>
      </c>
      <c r="B27" s="450">
        <v>2.0</v>
      </c>
      <c r="C27" s="455">
        <v>1.0</v>
      </c>
      <c r="D27" s="464">
        <v>18017.0</v>
      </c>
      <c r="E27" s="497">
        <v>18017.0</v>
      </c>
      <c r="F27" s="498">
        <v>13.395539033457249</v>
      </c>
      <c r="K27" s="589"/>
      <c r="L27" s="612"/>
      <c r="M27" s="589"/>
    </row>
    <row r="28">
      <c r="A28" s="450" t="s">
        <v>197</v>
      </c>
      <c r="B28" s="450">
        <v>5.0</v>
      </c>
      <c r="C28" s="455">
        <v>70.08</v>
      </c>
      <c r="D28" s="464">
        <v>13390.3444</v>
      </c>
      <c r="E28" s="497">
        <v>938395.335552</v>
      </c>
      <c r="F28" s="498">
        <v>697.6916992951673</v>
      </c>
      <c r="K28" s="589"/>
      <c r="L28" s="612"/>
      <c r="M28" s="589"/>
    </row>
    <row r="29">
      <c r="A29" s="450" t="s">
        <v>120</v>
      </c>
      <c r="B29" s="450">
        <v>2.0</v>
      </c>
      <c r="C29" s="455">
        <v>6.7</v>
      </c>
      <c r="D29" s="464">
        <v>26583.333333333336</v>
      </c>
      <c r="E29" s="497">
        <v>178108.33333333334</v>
      </c>
      <c r="F29" s="498">
        <v>132.42255266418837</v>
      </c>
      <c r="K29" s="589"/>
      <c r="L29" s="612"/>
      <c r="M29" s="589"/>
    </row>
    <row r="30">
      <c r="A30" s="569" t="s">
        <v>1266</v>
      </c>
      <c r="B30" s="569">
        <v>69.0</v>
      </c>
      <c r="C30" s="588">
        <v>166.35</v>
      </c>
      <c r="D30" s="590">
        <v>102108.27773333335</v>
      </c>
      <c r="E30" s="591">
        <v>2140465.9888853333</v>
      </c>
      <c r="F30" s="592">
        <v>1592.20674514399</v>
      </c>
      <c r="K30" s="589"/>
      <c r="L30" s="612"/>
      <c r="M30" s="589"/>
    </row>
    <row r="31">
      <c r="D31" s="589"/>
      <c r="E31" s="637"/>
      <c r="F31" s="589"/>
      <c r="K31" s="589"/>
      <c r="L31" s="612"/>
      <c r="M31" s="589"/>
    </row>
    <row r="32">
      <c r="D32" s="589"/>
      <c r="E32" s="612"/>
      <c r="F32" s="589"/>
      <c r="K32" s="589"/>
      <c r="L32" s="612"/>
      <c r="M32" s="589"/>
    </row>
    <row r="33">
      <c r="D33" s="589"/>
      <c r="E33" s="612"/>
      <c r="F33" s="589"/>
      <c r="K33" s="589"/>
      <c r="L33" s="612"/>
      <c r="M33" s="589"/>
    </row>
    <row r="34">
      <c r="D34" s="589"/>
      <c r="E34" s="612"/>
      <c r="F34" s="589"/>
      <c r="K34" s="589"/>
      <c r="L34" s="612"/>
      <c r="M34" s="589"/>
    </row>
    <row r="35">
      <c r="D35" s="589"/>
      <c r="E35" s="600" t="s">
        <v>1375</v>
      </c>
      <c r="F35" s="589"/>
      <c r="K35" s="589"/>
      <c r="L35" s="612"/>
      <c r="M35" s="589"/>
    </row>
    <row r="36">
      <c r="D36" s="638"/>
      <c r="E36" s="601" t="s">
        <v>1349</v>
      </c>
      <c r="F36" s="602" t="s">
        <v>791</v>
      </c>
      <c r="K36" s="638"/>
      <c r="L36" s="631"/>
      <c r="M36" s="631"/>
    </row>
    <row r="37">
      <c r="D37" s="603" t="s">
        <v>1350</v>
      </c>
      <c r="E37" s="604">
        <f t="shared" ref="E37:F37" si="4">E30</f>
        <v>2140465.989</v>
      </c>
      <c r="F37" s="604">
        <f t="shared" si="4"/>
        <v>1592.206745</v>
      </c>
      <c r="K37" s="632"/>
      <c r="L37" s="633"/>
      <c r="M37" s="633"/>
    </row>
    <row r="38">
      <c r="D38" s="605" t="s">
        <v>1351</v>
      </c>
      <c r="E38" s="89">
        <v>1688220.0</v>
      </c>
      <c r="F38" s="523">
        <f>E38/F22</f>
        <v>1278.954545</v>
      </c>
      <c r="K38" s="627"/>
      <c r="L38" s="89"/>
      <c r="M38" s="635"/>
    </row>
    <row r="39">
      <c r="D39" s="605" t="s">
        <v>1063</v>
      </c>
      <c r="E39" s="606">
        <f t="shared" ref="E39:F39" si="5">+E38/E37</f>
        <v>0.7887161061</v>
      </c>
      <c r="F39" s="606">
        <f t="shared" si="5"/>
        <v>0.8032590927</v>
      </c>
      <c r="K39" s="627"/>
      <c r="L39" s="636"/>
      <c r="M39" s="636"/>
    </row>
    <row r="40">
      <c r="D40" s="605" t="s">
        <v>1352</v>
      </c>
      <c r="E40" s="604">
        <f t="shared" ref="E40:F40" si="6">+E38-E37</f>
        <v>-452245.9889</v>
      </c>
      <c r="F40" s="604">
        <f t="shared" si="6"/>
        <v>-313.2521997</v>
      </c>
      <c r="K40" s="627"/>
      <c r="L40" s="633"/>
      <c r="M40" s="633"/>
    </row>
    <row r="41">
      <c r="D41" s="603" t="s">
        <v>1372</v>
      </c>
      <c r="E41" s="604"/>
      <c r="F41" s="604"/>
      <c r="K41" s="632"/>
      <c r="L41" s="633"/>
      <c r="M41" s="633"/>
    </row>
    <row r="45">
      <c r="A45" s="531" t="s">
        <v>1241</v>
      </c>
      <c r="C45" s="585" t="s">
        <v>1329</v>
      </c>
      <c r="D45" s="586" t="s">
        <v>1336</v>
      </c>
      <c r="E45" s="481">
        <v>2025.0</v>
      </c>
      <c r="F45" s="587">
        <f>VLOOKUP(D$1&amp;" "&amp;E45,'Info Tipo de Cambio y REM'!$A$23:$B$35,2,FALSE())</f>
        <v>1320</v>
      </c>
    </row>
    <row r="46">
      <c r="A46" s="569" t="s">
        <v>112</v>
      </c>
      <c r="B46" s="569" t="s">
        <v>1339</v>
      </c>
      <c r="C46" s="588" t="s">
        <v>1264</v>
      </c>
      <c r="D46" s="569" t="s">
        <v>1121</v>
      </c>
      <c r="E46" s="569" t="s">
        <v>1270</v>
      </c>
      <c r="F46" s="569" t="s">
        <v>1340</v>
      </c>
    </row>
    <row r="47">
      <c r="A47" s="450" t="s">
        <v>203</v>
      </c>
      <c r="B47" s="501" t="e">
        <v>#DIV/0!</v>
      </c>
      <c r="C47" s="455">
        <v>13.25</v>
      </c>
      <c r="D47" s="455">
        <v>10853.7</v>
      </c>
      <c r="E47" s="497">
        <v>143811.52500000002</v>
      </c>
      <c r="F47" s="498">
        <v>99.52354671280278</v>
      </c>
    </row>
    <row r="48">
      <c r="A48" s="450" t="s">
        <v>197</v>
      </c>
      <c r="B48" s="501" t="e">
        <v>#DIV/0!</v>
      </c>
      <c r="C48" s="455">
        <v>0.5</v>
      </c>
      <c r="D48" s="464">
        <v>13390.3444</v>
      </c>
      <c r="E48" s="497">
        <v>6695.1722</v>
      </c>
      <c r="F48" s="498">
        <v>4.633337162629758</v>
      </c>
    </row>
    <row r="49">
      <c r="A49" s="450" t="s">
        <v>120</v>
      </c>
      <c r="B49" s="501" t="e">
        <v>#DIV/0!</v>
      </c>
      <c r="C49" s="455">
        <v>0.25</v>
      </c>
      <c r="D49" s="464">
        <v>26583.333333333336</v>
      </c>
      <c r="E49" s="497">
        <v>6645.833333333334</v>
      </c>
      <c r="F49" s="498">
        <v>4.599192618223761</v>
      </c>
    </row>
    <row r="50">
      <c r="A50" s="569" t="s">
        <v>1266</v>
      </c>
      <c r="B50" s="569" t="e">
        <v>#DIV/0!</v>
      </c>
      <c r="C50" s="588">
        <v>14.0</v>
      </c>
      <c r="D50" s="590">
        <v>50827.377733333335</v>
      </c>
      <c r="E50" s="591">
        <v>157152.53053333337</v>
      </c>
      <c r="F50" s="592">
        <v>108.75607649365631</v>
      </c>
    </row>
    <row r="51">
      <c r="A51" s="450"/>
      <c r="B51" s="450"/>
      <c r="C51" s="455"/>
      <c r="D51" s="464"/>
      <c r="E51" s="497"/>
      <c r="F51" s="498"/>
    </row>
    <row r="52">
      <c r="A52" s="450"/>
      <c r="B52" s="450"/>
      <c r="C52" s="450"/>
      <c r="D52" s="450"/>
      <c r="E52" s="450"/>
      <c r="F52" s="450"/>
    </row>
    <row r="53">
      <c r="D53" s="589"/>
      <c r="E53" s="637"/>
      <c r="F53" s="589"/>
    </row>
    <row r="54">
      <c r="D54" s="589"/>
      <c r="E54" s="612"/>
      <c r="F54" s="589"/>
    </row>
    <row r="55">
      <c r="D55" s="589"/>
      <c r="E55" s="612"/>
      <c r="F55" s="589"/>
    </row>
    <row r="56">
      <c r="D56" s="589"/>
      <c r="E56" s="612"/>
      <c r="F56" s="589"/>
    </row>
    <row r="57">
      <c r="D57" s="589"/>
      <c r="E57" s="600" t="s">
        <v>1375</v>
      </c>
      <c r="F57" s="589"/>
    </row>
    <row r="58">
      <c r="D58" s="638"/>
      <c r="E58" s="601" t="s">
        <v>1349</v>
      </c>
      <c r="F58" s="602" t="s">
        <v>791</v>
      </c>
    </row>
    <row r="59">
      <c r="D59" s="603" t="s">
        <v>1350</v>
      </c>
      <c r="E59" s="604">
        <f t="shared" ref="E59:F59" si="7">E50</f>
        <v>157152.5305</v>
      </c>
      <c r="F59" s="604">
        <f t="shared" si="7"/>
        <v>108.7560765</v>
      </c>
    </row>
    <row r="60">
      <c r="D60" s="605" t="s">
        <v>1351</v>
      </c>
      <c r="E60" s="89">
        <v>1360000.0</v>
      </c>
      <c r="F60" s="523">
        <f>E60/F45</f>
        <v>1030.30303</v>
      </c>
    </row>
    <row r="61">
      <c r="D61" s="605" t="s">
        <v>1063</v>
      </c>
      <c r="E61" s="606">
        <f t="shared" ref="E61:F61" si="8">+E60/E59</f>
        <v>8.654012731</v>
      </c>
      <c r="F61" s="606">
        <f t="shared" si="8"/>
        <v>9.473521513</v>
      </c>
    </row>
    <row r="62">
      <c r="D62" s="605" t="s">
        <v>1352</v>
      </c>
      <c r="E62" s="604">
        <f t="shared" ref="E62:F62" si="9">+E60-E59</f>
        <v>1202847.469</v>
      </c>
      <c r="F62" s="604">
        <f t="shared" si="9"/>
        <v>921.5469538</v>
      </c>
    </row>
    <row r="63">
      <c r="D63" s="603" t="s">
        <v>1372</v>
      </c>
      <c r="E63" s="604"/>
      <c r="F63" s="604"/>
    </row>
  </sheetData>
  <dataValidations>
    <dataValidation type="list" allowBlank="1" showErrorMessage="1" sqref="D1 D22 D45">
      <formula1>"01 Ene,02 Feb,03 Mar,04 Abr,05 May,06 Jun,07 Jul,08 Ago,09 Sep,10 Oct,11 Nov,12 Dic"</formula1>
    </dataValidation>
    <dataValidation type="list" allowBlank="1" showErrorMessage="1" sqref="E1 E22 E45">
      <formula1>"2025,2026,2027,2028"</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4.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1377</v>
      </c>
      <c r="C1" s="585" t="s">
        <v>1329</v>
      </c>
      <c r="D1" s="586" t="s">
        <v>1336</v>
      </c>
      <c r="E1" s="481">
        <v>2025.0</v>
      </c>
      <c r="F1" s="587">
        <f>VLOOKUP(D$1&amp;" "&amp;E1,'Info Tipo de Cambio y REM'!$A$23:$B$35,2,FALSE())</f>
        <v>1440</v>
      </c>
      <c r="G1" s="92" t="s">
        <v>1374</v>
      </c>
      <c r="K1" s="627"/>
      <c r="L1" s="51"/>
      <c r="M1" s="628"/>
      <c r="R1" s="627"/>
      <c r="S1" s="51"/>
      <c r="T1" s="628"/>
      <c r="Y1" s="627"/>
      <c r="Z1" s="51"/>
      <c r="AA1" s="628"/>
      <c r="AF1" s="627"/>
      <c r="AG1" s="51"/>
      <c r="AH1" s="628"/>
      <c r="AM1" s="627"/>
      <c r="AN1" s="51"/>
      <c r="AO1" s="628"/>
    </row>
    <row r="2">
      <c r="A2" s="569" t="s">
        <v>112</v>
      </c>
      <c r="B2" s="569" t="s">
        <v>1339</v>
      </c>
      <c r="C2" s="588" t="s">
        <v>1264</v>
      </c>
      <c r="D2" s="569" t="s">
        <v>1121</v>
      </c>
      <c r="E2" s="569" t="s">
        <v>1270</v>
      </c>
      <c r="F2" s="569" t="s">
        <v>1340</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c r="B3" s="450"/>
      <c r="C3" s="455"/>
      <c r="D3" s="455"/>
      <c r="E3" s="497"/>
      <c r="F3" s="498"/>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c r="B4" s="450"/>
      <c r="C4" s="455"/>
      <c r="D4" s="464"/>
      <c r="E4" s="497"/>
      <c r="F4" s="498"/>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c r="B5" s="450"/>
      <c r="C5" s="455"/>
      <c r="D5" s="464"/>
      <c r="E5" s="497"/>
      <c r="F5" s="498"/>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450"/>
      <c r="B6" s="450"/>
      <c r="C6" s="455"/>
      <c r="D6" s="464"/>
      <c r="E6" s="497"/>
      <c r="F6" s="498"/>
    </row>
    <row r="7">
      <c r="A7" s="450"/>
      <c r="B7" s="450"/>
      <c r="C7" s="455"/>
      <c r="D7" s="464"/>
      <c r="E7" s="497"/>
      <c r="F7" s="498"/>
      <c r="K7" s="589"/>
      <c r="L7" s="612"/>
      <c r="M7" s="589"/>
      <c r="R7" s="589"/>
      <c r="S7" s="612"/>
      <c r="T7" s="589"/>
      <c r="Y7" s="589"/>
      <c r="Z7" s="612"/>
      <c r="AA7" s="589"/>
      <c r="AF7" s="589"/>
      <c r="AG7" s="612"/>
      <c r="AH7" s="589"/>
      <c r="AM7" s="589"/>
      <c r="AN7" s="612"/>
      <c r="AO7" s="589"/>
    </row>
    <row r="8">
      <c r="A8" s="450"/>
      <c r="B8" s="450"/>
      <c r="C8" s="455"/>
      <c r="D8" s="464"/>
      <c r="E8" s="497"/>
      <c r="F8" s="498"/>
      <c r="K8" s="589"/>
      <c r="L8" s="612"/>
      <c r="M8" s="589"/>
      <c r="R8" s="589"/>
      <c r="S8" s="612"/>
      <c r="T8" s="589"/>
      <c r="Y8" s="589"/>
      <c r="Z8" s="612"/>
      <c r="AA8" s="589"/>
      <c r="AF8" s="589"/>
      <c r="AG8" s="612"/>
      <c r="AH8" s="589"/>
      <c r="AM8" s="589"/>
      <c r="AN8" s="612"/>
      <c r="AO8" s="589"/>
    </row>
    <row r="9">
      <c r="A9" s="450"/>
      <c r="B9" s="450"/>
      <c r="C9" s="455"/>
      <c r="D9" s="464"/>
      <c r="E9" s="497"/>
      <c r="F9" s="498"/>
      <c r="K9" s="589"/>
      <c r="L9" s="612"/>
      <c r="M9" s="589"/>
      <c r="R9" s="589"/>
      <c r="S9" s="612"/>
      <c r="T9" s="589"/>
      <c r="Y9" s="589"/>
      <c r="Z9" s="612"/>
      <c r="AA9" s="589"/>
      <c r="AF9" s="589"/>
      <c r="AG9" s="612"/>
      <c r="AH9" s="589"/>
      <c r="AM9" s="589"/>
      <c r="AN9" s="612"/>
      <c r="AO9" s="589"/>
    </row>
    <row r="10">
      <c r="A10" s="450"/>
      <c r="B10" s="450"/>
      <c r="C10" s="455"/>
      <c r="D10" s="464"/>
      <c r="E10" s="497"/>
      <c r="F10" s="498"/>
      <c r="K10" s="589"/>
      <c r="L10" s="612"/>
      <c r="M10" s="589"/>
      <c r="R10" s="589"/>
      <c r="S10" s="612"/>
      <c r="T10" s="589"/>
      <c r="Y10" s="589"/>
      <c r="Z10" s="612"/>
      <c r="AA10" s="589"/>
      <c r="AF10" s="589"/>
      <c r="AG10" s="612"/>
      <c r="AH10" s="589"/>
      <c r="AM10" s="589"/>
      <c r="AN10" s="612"/>
      <c r="AO10" s="589"/>
    </row>
    <row r="11">
      <c r="A11" s="450"/>
      <c r="B11" s="450"/>
      <c r="C11" s="455"/>
      <c r="D11" s="464"/>
      <c r="E11" s="497"/>
      <c r="F11" s="498"/>
      <c r="K11" s="589"/>
      <c r="L11" s="612"/>
      <c r="M11" s="589"/>
      <c r="R11" s="589"/>
      <c r="S11" s="612"/>
      <c r="T11" s="589"/>
      <c r="Y11" s="589"/>
      <c r="Z11" s="612"/>
      <c r="AA11" s="589"/>
      <c r="AF11" s="589"/>
      <c r="AG11" s="612"/>
      <c r="AH11" s="589"/>
      <c r="AM11" s="589"/>
      <c r="AN11" s="612"/>
      <c r="AO11" s="589"/>
    </row>
    <row r="12">
      <c r="A12" s="569"/>
      <c r="B12" s="569"/>
      <c r="C12" s="588"/>
      <c r="D12" s="590"/>
      <c r="E12" s="591"/>
      <c r="F12" s="592"/>
      <c r="K12" s="589"/>
      <c r="L12" s="612"/>
      <c r="M12" s="589"/>
      <c r="R12" s="589"/>
      <c r="S12" s="612"/>
      <c r="T12" s="589"/>
      <c r="Y12" s="589"/>
      <c r="Z12" s="612"/>
      <c r="AA12" s="589"/>
      <c r="AF12" s="589"/>
      <c r="AG12" s="612"/>
      <c r="AH12" s="589"/>
      <c r="AM12" s="589"/>
      <c r="AN12" s="612"/>
      <c r="AO12" s="589"/>
    </row>
    <row r="13">
      <c r="D13" s="589"/>
      <c r="E13" s="612"/>
      <c r="F13" s="589"/>
      <c r="K13" s="589"/>
      <c r="L13" s="612"/>
      <c r="M13" s="589"/>
      <c r="R13" s="589"/>
      <c r="S13" s="612"/>
      <c r="T13" s="589"/>
      <c r="Y13" s="589"/>
      <c r="Z13" s="612"/>
      <c r="AA13" s="589"/>
      <c r="AF13" s="589"/>
      <c r="AG13" s="612"/>
      <c r="AH13" s="589"/>
      <c r="AM13" s="589"/>
      <c r="AN13" s="612"/>
      <c r="AO13" s="589"/>
    </row>
    <row r="14">
      <c r="D14" s="589"/>
      <c r="E14" s="612"/>
      <c r="F14" s="589"/>
      <c r="K14" s="589"/>
      <c r="L14" s="612"/>
      <c r="M14" s="589"/>
      <c r="R14" s="589"/>
      <c r="S14" s="612"/>
      <c r="T14" s="589"/>
      <c r="Y14" s="589"/>
      <c r="Z14" s="612"/>
      <c r="AA14" s="589"/>
      <c r="AF14" s="589"/>
      <c r="AG14" s="612"/>
      <c r="AH14" s="589"/>
      <c r="AM14" s="589"/>
      <c r="AN14" s="612"/>
      <c r="AO14" s="589"/>
    </row>
    <row r="15">
      <c r="D15" s="589"/>
      <c r="E15" s="612"/>
      <c r="F15" s="589"/>
      <c r="K15" s="589"/>
      <c r="L15" s="612"/>
      <c r="M15" s="589"/>
      <c r="R15" s="589"/>
      <c r="S15" s="612"/>
      <c r="T15" s="589"/>
      <c r="Y15" s="589"/>
      <c r="Z15" s="612"/>
      <c r="AA15" s="589"/>
      <c r="AF15" s="589"/>
      <c r="AG15" s="612"/>
      <c r="AH15" s="589"/>
      <c r="AM15" s="589"/>
      <c r="AN15" s="612"/>
      <c r="AO15" s="589"/>
    </row>
    <row r="16">
      <c r="D16" s="589"/>
      <c r="E16" s="612"/>
      <c r="F16" s="589"/>
      <c r="K16" s="589"/>
      <c r="L16" s="612"/>
      <c r="M16" s="589"/>
      <c r="R16" s="589"/>
      <c r="S16" s="612"/>
      <c r="T16" s="589"/>
      <c r="Y16" s="589"/>
      <c r="Z16" s="612"/>
      <c r="AA16" s="589"/>
      <c r="AF16" s="589"/>
      <c r="AG16" s="612"/>
      <c r="AH16" s="589"/>
      <c r="AM16" s="589"/>
      <c r="AN16" s="612"/>
      <c r="AO16" s="589"/>
    </row>
    <row r="17">
      <c r="D17" s="589"/>
      <c r="E17" s="612"/>
      <c r="F17" s="589"/>
      <c r="K17" s="589"/>
      <c r="L17" s="612"/>
      <c r="M17" s="589"/>
      <c r="R17" s="589"/>
      <c r="S17" s="612"/>
      <c r="T17" s="589"/>
      <c r="Y17" s="589"/>
      <c r="Z17" s="612"/>
      <c r="AA17" s="589"/>
      <c r="AF17" s="589"/>
      <c r="AG17" s="612"/>
      <c r="AH17" s="589"/>
      <c r="AM17" s="589"/>
      <c r="AN17" s="612"/>
      <c r="AO17" s="589"/>
    </row>
    <row r="18">
      <c r="D18" s="589"/>
      <c r="E18" s="612"/>
      <c r="F18" s="589"/>
      <c r="K18" s="589"/>
      <c r="L18" s="612"/>
      <c r="M18" s="589"/>
      <c r="R18" s="589"/>
      <c r="S18" s="612"/>
      <c r="T18" s="589"/>
      <c r="Y18" s="589"/>
      <c r="Z18" s="612"/>
      <c r="AA18" s="589"/>
      <c r="AF18" s="589"/>
      <c r="AG18" s="612"/>
      <c r="AH18" s="589"/>
      <c r="AM18" s="589"/>
      <c r="AN18" s="612"/>
      <c r="AO18" s="589"/>
    </row>
    <row r="19">
      <c r="D19" s="589"/>
      <c r="E19" s="600" t="s">
        <v>1375</v>
      </c>
      <c r="F19" s="589"/>
      <c r="K19" s="589"/>
      <c r="L19" s="612"/>
      <c r="M19" s="589"/>
      <c r="R19" s="589"/>
      <c r="S19" s="612"/>
      <c r="T19" s="589"/>
      <c r="Y19" s="589"/>
      <c r="Z19" s="612"/>
      <c r="AA19" s="589"/>
      <c r="AF19" s="589"/>
      <c r="AG19" s="612"/>
      <c r="AH19" s="589"/>
      <c r="AM19" s="589"/>
      <c r="AN19" s="612"/>
      <c r="AO19" s="589"/>
    </row>
    <row r="20">
      <c r="D20" s="638"/>
      <c r="E20" s="601" t="s">
        <v>1349</v>
      </c>
      <c r="F20" s="602" t="s">
        <v>791</v>
      </c>
      <c r="K20" s="589"/>
      <c r="L20" s="631"/>
      <c r="M20" s="631"/>
      <c r="R20" s="589"/>
      <c r="S20" s="631"/>
      <c r="T20" s="631"/>
      <c r="Y20" s="589"/>
      <c r="Z20" s="631"/>
      <c r="AA20" s="631"/>
      <c r="AF20" s="589"/>
      <c r="AG20" s="631"/>
      <c r="AH20" s="631"/>
      <c r="AM20" s="589"/>
      <c r="AN20" s="631"/>
      <c r="AO20" s="631"/>
    </row>
    <row r="21">
      <c r="D21" s="603" t="s">
        <v>1350</v>
      </c>
      <c r="E21" s="604" t="str">
        <f t="shared" ref="E21:F21" si="1">E12</f>
        <v/>
      </c>
      <c r="F21" s="604" t="str">
        <f t="shared" si="1"/>
        <v/>
      </c>
      <c r="K21" s="632"/>
      <c r="L21" s="633"/>
      <c r="M21" s="633"/>
      <c r="R21" s="632"/>
      <c r="S21" s="633"/>
      <c r="T21" s="633"/>
      <c r="Y21" s="632"/>
      <c r="Z21" s="633"/>
      <c r="AA21" s="633"/>
      <c r="AF21" s="632"/>
      <c r="AG21" s="633"/>
      <c r="AH21" s="633"/>
      <c r="AM21" s="632"/>
      <c r="AN21" s="633"/>
      <c r="AO21" s="633"/>
    </row>
    <row r="22">
      <c r="D22" s="605" t="s">
        <v>1351</v>
      </c>
      <c r="E22" s="381">
        <v>6850000.0</v>
      </c>
      <c r="F22" s="521">
        <f>E22/F1</f>
        <v>4756.944444</v>
      </c>
      <c r="K22" s="627"/>
      <c r="L22" s="380"/>
      <c r="M22" s="635"/>
      <c r="R22" s="627"/>
      <c r="S22" s="380"/>
      <c r="T22" s="635"/>
      <c r="Y22" s="627"/>
      <c r="Z22" s="380"/>
      <c r="AA22" s="635"/>
      <c r="AF22" s="627"/>
      <c r="AG22" s="380"/>
      <c r="AH22" s="635"/>
      <c r="AM22" s="627"/>
      <c r="AN22" s="380"/>
      <c r="AO22" s="635"/>
    </row>
    <row r="23">
      <c r="D23" s="605" t="s">
        <v>1063</v>
      </c>
      <c r="E23" s="606" t="str">
        <f t="shared" ref="E23:F23" si="2">+E22/E21</f>
        <v>#DIV/0!</v>
      </c>
      <c r="F23" s="606" t="str">
        <f t="shared" si="2"/>
        <v>#DIV/0!</v>
      </c>
      <c r="K23" s="627"/>
      <c r="L23" s="636"/>
      <c r="M23" s="636"/>
      <c r="R23" s="627"/>
      <c r="S23" s="636"/>
      <c r="T23" s="636"/>
      <c r="Y23" s="627"/>
      <c r="Z23" s="636"/>
      <c r="AA23" s="636"/>
      <c r="AF23" s="627"/>
      <c r="AG23" s="636"/>
      <c r="AH23" s="636"/>
      <c r="AM23" s="627"/>
      <c r="AN23" s="636"/>
      <c r="AO23" s="636"/>
    </row>
    <row r="24">
      <c r="D24" s="605" t="s">
        <v>1352</v>
      </c>
      <c r="E24" s="604">
        <f t="shared" ref="E24:F24" si="3">+E22-E21</f>
        <v>6850000</v>
      </c>
      <c r="F24" s="604">
        <f t="shared" si="3"/>
        <v>4756.944444</v>
      </c>
      <c r="K24" s="627"/>
      <c r="L24" s="633"/>
      <c r="M24" s="633"/>
      <c r="R24" s="627"/>
      <c r="S24" s="633"/>
      <c r="T24" s="633"/>
      <c r="Y24" s="627"/>
      <c r="Z24" s="633"/>
      <c r="AA24" s="633"/>
      <c r="AF24" s="627"/>
      <c r="AG24" s="633"/>
      <c r="AH24" s="633"/>
      <c r="AM24" s="627"/>
      <c r="AN24" s="633"/>
      <c r="AO24" s="633"/>
    </row>
    <row r="25">
      <c r="D25" s="603" t="s">
        <v>1372</v>
      </c>
      <c r="E25" s="604"/>
      <c r="F25" s="604"/>
      <c r="K25" s="632"/>
      <c r="L25" s="633"/>
      <c r="M25" s="633"/>
      <c r="R25" s="632"/>
      <c r="S25" s="633"/>
      <c r="T25" s="633"/>
      <c r="Y25" s="632"/>
      <c r="Z25" s="633"/>
      <c r="AA25" s="633"/>
      <c r="AF25" s="632"/>
      <c r="AG25" s="633"/>
      <c r="AH25" s="633"/>
      <c r="AM25" s="632"/>
      <c r="AN25" s="633"/>
      <c r="AO25" s="633"/>
    </row>
    <row r="28">
      <c r="B28" s="370"/>
      <c r="C28" s="372"/>
      <c r="D28" s="372"/>
      <c r="E28" s="453"/>
      <c r="F28" s="107"/>
    </row>
    <row r="29">
      <c r="B29" s="370"/>
      <c r="C29" s="372"/>
      <c r="D29" s="452"/>
      <c r="E29" s="453"/>
      <c r="F29" s="107"/>
    </row>
    <row r="30">
      <c r="B30" s="370"/>
      <c r="C30" s="372"/>
      <c r="D30" s="452"/>
      <c r="E30" s="453"/>
      <c r="F30" s="107"/>
    </row>
    <row r="31">
      <c r="B31" s="370"/>
      <c r="C31" s="372"/>
      <c r="D31" s="452"/>
      <c r="E31" s="453"/>
      <c r="F31" s="107"/>
    </row>
    <row r="32">
      <c r="B32" s="370"/>
      <c r="C32" s="372"/>
      <c r="D32" s="452"/>
      <c r="E32" s="453"/>
      <c r="F32" s="107"/>
    </row>
    <row r="33">
      <c r="C33" s="372"/>
      <c r="D33" s="452"/>
      <c r="E33" s="453"/>
      <c r="F33" s="107"/>
    </row>
    <row r="34">
      <c r="C34" s="372"/>
      <c r="D34" s="452"/>
      <c r="E34" s="453"/>
      <c r="F34" s="107"/>
    </row>
    <row r="35">
      <c r="C35" s="372"/>
      <c r="D35" s="452"/>
      <c r="E35" s="453"/>
      <c r="F35" s="107"/>
    </row>
    <row r="36">
      <c r="C36" s="372"/>
      <c r="D36" s="452"/>
      <c r="E36" s="453"/>
      <c r="F36" s="107"/>
    </row>
    <row r="37">
      <c r="C37" s="372"/>
      <c r="D37" s="452"/>
      <c r="E37" s="453"/>
      <c r="F37" s="107"/>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4.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1377</v>
      </c>
      <c r="C1" s="585" t="s">
        <v>1329</v>
      </c>
      <c r="D1" s="586" t="s">
        <v>1335</v>
      </c>
      <c r="E1" s="481">
        <v>2025.0</v>
      </c>
      <c r="F1" s="587">
        <f>VLOOKUP(D$1&amp;" "&amp;E1,'Info Tipo de Cambio y REM'!$A$23:$B$35,2,FALSE())</f>
        <v>1445</v>
      </c>
      <c r="G1" s="92" t="s">
        <v>1374</v>
      </c>
      <c r="K1" s="627"/>
      <c r="L1" s="51"/>
      <c r="M1" s="628"/>
      <c r="R1" s="627"/>
      <c r="S1" s="51"/>
      <c r="T1" s="628"/>
      <c r="Y1" s="627"/>
      <c r="Z1" s="51"/>
      <c r="AA1" s="628"/>
      <c r="AF1" s="627"/>
      <c r="AG1" s="51"/>
      <c r="AH1" s="628"/>
      <c r="AM1" s="627"/>
      <c r="AN1" s="51"/>
      <c r="AO1" s="628"/>
    </row>
    <row r="2">
      <c r="A2" s="569" t="s">
        <v>112</v>
      </c>
      <c r="B2" s="569" t="s">
        <v>1118</v>
      </c>
      <c r="C2" s="588" t="s">
        <v>1264</v>
      </c>
      <c r="D2" s="569" t="s">
        <v>1121</v>
      </c>
      <c r="E2" s="569" t="s">
        <v>1270</v>
      </c>
      <c r="F2" s="569" t="s">
        <v>286</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214</v>
      </c>
      <c r="B3" s="501">
        <v>30.0</v>
      </c>
      <c r="C3" s="455">
        <v>50.42</v>
      </c>
      <c r="D3" s="455">
        <v>20508.0</v>
      </c>
      <c r="E3" s="497">
        <v>504962.0</v>
      </c>
      <c r="F3" s="498">
        <v>381.5140190835693</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200</v>
      </c>
      <c r="B4" s="501">
        <v>20.0</v>
      </c>
      <c r="C4" s="455">
        <v>53.92</v>
      </c>
      <c r="D4" s="464">
        <v>56640.0</v>
      </c>
      <c r="E4" s="497">
        <v>1018009.6</v>
      </c>
      <c r="F4" s="498">
        <v>756.05274695736</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87</v>
      </c>
      <c r="B5" s="501">
        <v>0.0</v>
      </c>
      <c r="C5" s="455">
        <v>23.95</v>
      </c>
      <c r="D5" s="464">
        <v>11000.0</v>
      </c>
      <c r="E5" s="497">
        <v>263450.0</v>
      </c>
      <c r="F5" s="498">
        <v>199.58333333333334</v>
      </c>
      <c r="H5" s="443"/>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450" t="s">
        <v>194</v>
      </c>
      <c r="B6" s="501">
        <v>26.666666666666668</v>
      </c>
      <c r="C6" s="455">
        <v>65.6</v>
      </c>
      <c r="D6" s="464">
        <v>37492.140799999994</v>
      </c>
      <c r="E6" s="497">
        <v>805886.7005120001</v>
      </c>
      <c r="F6" s="498">
        <v>606.4319786564746</v>
      </c>
    </row>
    <row r="7">
      <c r="A7" s="450" t="s">
        <v>210</v>
      </c>
      <c r="B7" s="501">
        <v>4.0</v>
      </c>
      <c r="C7" s="455">
        <v>12.0</v>
      </c>
      <c r="D7" s="464">
        <v>34777.0</v>
      </c>
      <c r="E7" s="497">
        <v>208662.0</v>
      </c>
      <c r="F7" s="498">
        <v>156.55505238256168</v>
      </c>
      <c r="K7" s="589"/>
      <c r="L7" s="612"/>
      <c r="M7" s="589"/>
      <c r="R7" s="589"/>
      <c r="S7" s="612"/>
      <c r="T7" s="589"/>
      <c r="Y7" s="589"/>
      <c r="Z7" s="612"/>
      <c r="AA7" s="589"/>
      <c r="AF7" s="589"/>
      <c r="AG7" s="612"/>
      <c r="AH7" s="589"/>
      <c r="AM7" s="589"/>
      <c r="AN7" s="612"/>
      <c r="AO7" s="589"/>
    </row>
    <row r="8">
      <c r="A8" s="450" t="s">
        <v>221</v>
      </c>
      <c r="B8" s="450">
        <v>15.0</v>
      </c>
      <c r="C8" s="455">
        <v>0.75</v>
      </c>
      <c r="D8" s="464">
        <v>10981.0</v>
      </c>
      <c r="E8" s="497">
        <v>8235.75</v>
      </c>
      <c r="F8" s="498">
        <v>6.2392045454545455</v>
      </c>
      <c r="K8" s="589"/>
      <c r="L8" s="612"/>
      <c r="M8" s="589"/>
      <c r="R8" s="589"/>
      <c r="S8" s="612"/>
      <c r="T8" s="589"/>
      <c r="Y8" s="589"/>
      <c r="Z8" s="612"/>
      <c r="AA8" s="589"/>
      <c r="AF8" s="589"/>
      <c r="AG8" s="612"/>
      <c r="AH8" s="589"/>
      <c r="AM8" s="589"/>
      <c r="AN8" s="612"/>
      <c r="AO8" s="589"/>
    </row>
    <row r="9">
      <c r="A9" s="450" t="s">
        <v>203</v>
      </c>
      <c r="B9" s="450">
        <v>4.0</v>
      </c>
      <c r="C9" s="455">
        <v>0.75</v>
      </c>
      <c r="D9" s="464">
        <v>9867.0</v>
      </c>
      <c r="E9" s="497">
        <v>7400.25</v>
      </c>
      <c r="F9" s="498">
        <v>5.60625</v>
      </c>
      <c r="K9" s="589"/>
      <c r="L9" s="612"/>
      <c r="M9" s="589"/>
      <c r="R9" s="589"/>
      <c r="S9" s="612"/>
      <c r="T9" s="589"/>
      <c r="Y9" s="589"/>
      <c r="Z9" s="612"/>
      <c r="AA9" s="589"/>
      <c r="AF9" s="589"/>
      <c r="AG9" s="612"/>
      <c r="AH9" s="589"/>
      <c r="AM9" s="589"/>
      <c r="AN9" s="612"/>
      <c r="AO9" s="589"/>
    </row>
    <row r="10">
      <c r="A10" s="450" t="s">
        <v>197</v>
      </c>
      <c r="B10" s="450">
        <v>3.0</v>
      </c>
      <c r="C10" s="455">
        <v>0.75</v>
      </c>
      <c r="D10" s="464">
        <v>12743.0</v>
      </c>
      <c r="E10" s="497">
        <v>9557.25</v>
      </c>
      <c r="F10" s="498">
        <v>7.240340909090909</v>
      </c>
      <c r="K10" s="589"/>
      <c r="L10" s="612"/>
      <c r="M10" s="589"/>
      <c r="R10" s="589"/>
      <c r="S10" s="612"/>
      <c r="T10" s="589"/>
      <c r="Y10" s="589"/>
      <c r="Z10" s="612"/>
      <c r="AA10" s="589"/>
      <c r="AF10" s="589"/>
      <c r="AG10" s="612"/>
      <c r="AH10" s="589"/>
      <c r="AM10" s="589"/>
      <c r="AN10" s="612"/>
      <c r="AO10" s="589"/>
    </row>
    <row r="11">
      <c r="A11" s="450" t="s">
        <v>120</v>
      </c>
      <c r="B11" s="450">
        <v>8.0</v>
      </c>
      <c r="C11" s="455">
        <v>15.42</v>
      </c>
      <c r="D11" s="464">
        <v>77333.33333333334</v>
      </c>
      <c r="E11" s="497">
        <v>390775.00000000006</v>
      </c>
      <c r="F11" s="498">
        <v>289.47277927134115</v>
      </c>
      <c r="K11" s="589"/>
      <c r="L11" s="612"/>
      <c r="M11" s="589"/>
      <c r="R11" s="589"/>
      <c r="S11" s="612"/>
      <c r="T11" s="589"/>
      <c r="Y11" s="589"/>
      <c r="Z11" s="612"/>
      <c r="AA11" s="589"/>
      <c r="AF11" s="589"/>
      <c r="AG11" s="612"/>
      <c r="AH11" s="589"/>
      <c r="AM11" s="589"/>
      <c r="AN11" s="612"/>
      <c r="AO11" s="589"/>
    </row>
    <row r="12">
      <c r="A12" s="569" t="s">
        <v>1266</v>
      </c>
      <c r="B12" s="569">
        <v>14.941176470588236</v>
      </c>
      <c r="C12" s="588">
        <v>223.56</v>
      </c>
      <c r="D12" s="590">
        <v>271341.47413333337</v>
      </c>
      <c r="E12" s="591">
        <v>3216938.550512</v>
      </c>
      <c r="F12" s="592">
        <v>2408.695705139186</v>
      </c>
      <c r="K12" s="589"/>
      <c r="L12" s="612"/>
      <c r="M12" s="589"/>
      <c r="R12" s="589"/>
      <c r="S12" s="612"/>
      <c r="T12" s="589"/>
      <c r="Y12" s="589"/>
      <c r="Z12" s="612"/>
      <c r="AA12" s="589"/>
      <c r="AF12" s="589"/>
      <c r="AG12" s="612"/>
      <c r="AH12" s="589"/>
      <c r="AM12" s="589"/>
      <c r="AN12" s="612"/>
      <c r="AO12" s="589"/>
    </row>
    <row r="13">
      <c r="D13" s="589"/>
      <c r="E13" s="612"/>
      <c r="F13" s="589"/>
      <c r="K13" s="589"/>
      <c r="L13" s="612"/>
      <c r="M13" s="589"/>
      <c r="R13" s="589"/>
      <c r="S13" s="612"/>
      <c r="T13" s="589"/>
      <c r="Y13" s="589"/>
      <c r="Z13" s="612"/>
      <c r="AA13" s="589"/>
      <c r="AF13" s="589"/>
      <c r="AG13" s="612"/>
      <c r="AH13" s="589"/>
      <c r="AM13" s="589"/>
      <c r="AN13" s="612"/>
      <c r="AO13" s="589"/>
    </row>
    <row r="14">
      <c r="D14" s="589"/>
      <c r="E14" s="612"/>
      <c r="F14" s="589"/>
      <c r="K14" s="589"/>
      <c r="L14" s="612"/>
      <c r="M14" s="589"/>
      <c r="R14" s="589"/>
      <c r="S14" s="612"/>
      <c r="T14" s="589"/>
      <c r="Y14" s="589"/>
      <c r="Z14" s="612"/>
      <c r="AA14" s="589"/>
      <c r="AF14" s="589"/>
      <c r="AG14" s="612"/>
      <c r="AH14" s="589"/>
      <c r="AM14" s="589"/>
      <c r="AN14" s="612"/>
      <c r="AO14" s="589"/>
    </row>
    <row r="15">
      <c r="D15" s="589"/>
      <c r="E15" s="612"/>
      <c r="F15" s="589"/>
      <c r="K15" s="589"/>
      <c r="L15" s="612"/>
      <c r="M15" s="589"/>
      <c r="R15" s="589"/>
      <c r="S15" s="612"/>
      <c r="T15" s="589"/>
      <c r="Y15" s="589"/>
      <c r="Z15" s="612"/>
      <c r="AA15" s="589"/>
      <c r="AF15" s="589"/>
      <c r="AG15" s="612"/>
      <c r="AH15" s="589"/>
      <c r="AM15" s="589"/>
      <c r="AN15" s="612"/>
      <c r="AO15" s="589"/>
    </row>
    <row r="16">
      <c r="D16" s="589"/>
      <c r="E16" s="612"/>
      <c r="F16" s="589"/>
      <c r="K16" s="589"/>
      <c r="L16" s="612"/>
      <c r="M16" s="589"/>
      <c r="R16" s="589"/>
      <c r="S16" s="612"/>
      <c r="T16" s="589"/>
      <c r="Y16" s="589"/>
      <c r="Z16" s="612"/>
      <c r="AA16" s="589"/>
      <c r="AF16" s="589"/>
      <c r="AG16" s="612"/>
      <c r="AH16" s="589"/>
      <c r="AM16" s="589"/>
      <c r="AN16" s="612"/>
      <c r="AO16" s="589"/>
    </row>
    <row r="17">
      <c r="D17" s="589"/>
      <c r="E17" s="612"/>
      <c r="F17" s="589"/>
      <c r="K17" s="589"/>
      <c r="L17" s="612"/>
      <c r="M17" s="589"/>
      <c r="R17" s="589"/>
      <c r="S17" s="612"/>
      <c r="T17" s="589"/>
      <c r="Y17" s="589"/>
      <c r="Z17" s="612"/>
      <c r="AA17" s="589"/>
      <c r="AF17" s="589"/>
      <c r="AG17" s="612"/>
      <c r="AH17" s="589"/>
      <c r="AM17" s="589"/>
      <c r="AN17" s="612"/>
      <c r="AO17" s="589"/>
    </row>
    <row r="18">
      <c r="D18" s="589"/>
      <c r="E18" s="612"/>
      <c r="F18" s="589"/>
      <c r="K18" s="589"/>
      <c r="L18" s="612"/>
      <c r="M18" s="589"/>
      <c r="R18" s="589"/>
      <c r="S18" s="612"/>
      <c r="T18" s="589"/>
      <c r="Y18" s="589"/>
      <c r="Z18" s="612"/>
      <c r="AA18" s="589"/>
      <c r="AF18" s="589"/>
      <c r="AG18" s="612"/>
      <c r="AH18" s="589"/>
      <c r="AM18" s="589"/>
      <c r="AN18" s="612"/>
      <c r="AO18" s="589"/>
    </row>
    <row r="19">
      <c r="D19" s="589"/>
      <c r="E19" s="600" t="s">
        <v>1375</v>
      </c>
      <c r="F19" s="589"/>
      <c r="K19" s="589"/>
      <c r="L19" s="612"/>
      <c r="M19" s="589"/>
      <c r="R19" s="589"/>
      <c r="S19" s="612"/>
      <c r="T19" s="589"/>
      <c r="Y19" s="589"/>
      <c r="Z19" s="612"/>
      <c r="AA19" s="589"/>
      <c r="AF19" s="589"/>
      <c r="AG19" s="612"/>
      <c r="AH19" s="589"/>
      <c r="AM19" s="589"/>
      <c r="AN19" s="612"/>
      <c r="AO19" s="589"/>
    </row>
    <row r="20">
      <c r="D20" s="638"/>
      <c r="E20" s="601" t="s">
        <v>1349</v>
      </c>
      <c r="F20" s="602" t="s">
        <v>791</v>
      </c>
      <c r="K20" s="589"/>
      <c r="L20" s="631"/>
      <c r="M20" s="631"/>
      <c r="R20" s="589"/>
      <c r="S20" s="631"/>
      <c r="T20" s="631"/>
      <c r="Y20" s="589"/>
      <c r="Z20" s="631"/>
      <c r="AA20" s="631"/>
      <c r="AF20" s="589"/>
      <c r="AG20" s="631"/>
      <c r="AH20" s="631"/>
      <c r="AM20" s="589"/>
      <c r="AN20" s="631"/>
      <c r="AO20" s="631"/>
    </row>
    <row r="21">
      <c r="D21" s="603" t="s">
        <v>1350</v>
      </c>
      <c r="E21" s="604">
        <f t="shared" ref="E21:F21" si="1">E12</f>
        <v>3216938.551</v>
      </c>
      <c r="F21" s="604">
        <f t="shared" si="1"/>
        <v>2408.695705</v>
      </c>
      <c r="K21" s="632"/>
      <c r="L21" s="633"/>
      <c r="M21" s="633"/>
      <c r="R21" s="632"/>
      <c r="S21" s="633"/>
      <c r="T21" s="633"/>
      <c r="Y21" s="632"/>
      <c r="Z21" s="633"/>
      <c r="AA21" s="633"/>
      <c r="AF21" s="632"/>
      <c r="AG21" s="633"/>
      <c r="AH21" s="633"/>
      <c r="AM21" s="632"/>
      <c r="AN21" s="633"/>
      <c r="AO21" s="633"/>
    </row>
    <row r="22">
      <c r="D22" s="605" t="s">
        <v>1351</v>
      </c>
      <c r="E22" s="381">
        <v>4250500.0</v>
      </c>
      <c r="F22" s="521">
        <f>E22/F1</f>
        <v>2941.522491</v>
      </c>
      <c r="K22" s="627"/>
      <c r="L22" s="380"/>
      <c r="M22" s="635"/>
      <c r="R22" s="627"/>
      <c r="S22" s="380"/>
      <c r="T22" s="635"/>
      <c r="Y22" s="627"/>
      <c r="Z22" s="380"/>
      <c r="AA22" s="635"/>
      <c r="AF22" s="627"/>
      <c r="AG22" s="380"/>
      <c r="AH22" s="635"/>
      <c r="AM22" s="627"/>
      <c r="AN22" s="380"/>
      <c r="AO22" s="635"/>
    </row>
    <row r="23">
      <c r="D23" s="605" t="s">
        <v>1063</v>
      </c>
      <c r="E23" s="606">
        <f t="shared" ref="E23:F23" si="2">+E22/E21</f>
        <v>1.321287284</v>
      </c>
      <c r="F23" s="606">
        <f t="shared" si="2"/>
        <v>1.221209672</v>
      </c>
      <c r="K23" s="627"/>
      <c r="L23" s="636"/>
      <c r="M23" s="636"/>
      <c r="R23" s="627"/>
      <c r="S23" s="636"/>
      <c r="T23" s="636"/>
      <c r="Y23" s="627"/>
      <c r="Z23" s="636"/>
      <c r="AA23" s="636"/>
      <c r="AF23" s="627"/>
      <c r="AG23" s="636"/>
      <c r="AH23" s="636"/>
      <c r="AM23" s="627"/>
      <c r="AN23" s="636"/>
      <c r="AO23" s="636"/>
    </row>
    <row r="24">
      <c r="D24" s="605" t="s">
        <v>1352</v>
      </c>
      <c r="E24" s="604">
        <f t="shared" ref="E24:F24" si="3">+E22-E21</f>
        <v>1033561.449</v>
      </c>
      <c r="F24" s="604">
        <f t="shared" si="3"/>
        <v>532.8267862</v>
      </c>
      <c r="K24" s="627"/>
      <c r="L24" s="633"/>
      <c r="M24" s="633"/>
      <c r="R24" s="627"/>
      <c r="S24" s="633"/>
      <c r="T24" s="633"/>
      <c r="Y24" s="627"/>
      <c r="Z24" s="633"/>
      <c r="AA24" s="633"/>
      <c r="AF24" s="627"/>
      <c r="AG24" s="633"/>
      <c r="AH24" s="633"/>
      <c r="AM24" s="627"/>
      <c r="AN24" s="633"/>
      <c r="AO24" s="633"/>
    </row>
    <row r="25">
      <c r="D25" s="603" t="s">
        <v>1372</v>
      </c>
      <c r="E25" s="604"/>
      <c r="F25" s="604"/>
      <c r="K25" s="632"/>
      <c r="L25" s="633"/>
      <c r="M25" s="633"/>
      <c r="R25" s="632"/>
      <c r="S25" s="633"/>
      <c r="T25" s="633"/>
      <c r="Y25" s="632"/>
      <c r="Z25" s="633"/>
      <c r="AA25" s="633"/>
      <c r="AF25" s="632"/>
      <c r="AG25" s="633"/>
      <c r="AH25" s="633"/>
      <c r="AM25" s="632"/>
      <c r="AN25" s="633"/>
      <c r="AO25" s="633"/>
    </row>
    <row r="28">
      <c r="B28" s="370"/>
      <c r="C28" s="372"/>
      <c r="D28" s="372"/>
      <c r="E28" s="453"/>
      <c r="F28" s="107"/>
    </row>
    <row r="29">
      <c r="B29" s="370"/>
      <c r="C29" s="372"/>
      <c r="D29" s="452"/>
      <c r="E29" s="453"/>
      <c r="F29" s="107"/>
    </row>
    <row r="30">
      <c r="B30" s="370"/>
      <c r="C30" s="372"/>
      <c r="D30" s="452"/>
      <c r="E30" s="453"/>
      <c r="F30" s="107"/>
    </row>
    <row r="31">
      <c r="B31" s="370"/>
      <c r="C31" s="372"/>
      <c r="D31" s="452"/>
      <c r="E31" s="453"/>
      <c r="F31" s="107"/>
    </row>
    <row r="32">
      <c r="B32" s="370"/>
      <c r="C32" s="372"/>
      <c r="D32" s="452"/>
      <c r="E32" s="453"/>
      <c r="F32" s="107"/>
    </row>
    <row r="33">
      <c r="C33" s="372"/>
      <c r="D33" s="452"/>
      <c r="E33" s="453"/>
      <c r="F33" s="107"/>
    </row>
    <row r="34">
      <c r="C34" s="372"/>
      <c r="D34" s="452"/>
      <c r="E34" s="453"/>
      <c r="F34" s="107"/>
    </row>
    <row r="35">
      <c r="C35" s="372"/>
      <c r="D35" s="452"/>
      <c r="E35" s="453"/>
      <c r="F35" s="107"/>
    </row>
    <row r="36">
      <c r="C36" s="372"/>
      <c r="D36" s="452"/>
      <c r="E36" s="453"/>
      <c r="F36" s="107"/>
    </row>
    <row r="37">
      <c r="C37" s="372"/>
      <c r="D37" s="452"/>
      <c r="E37" s="453"/>
      <c r="F37" s="107"/>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1.5"/>
    <col customWidth="1" min="2" max="2" width="24.13"/>
    <col customWidth="1" min="3" max="3" width="15.75"/>
    <col customWidth="1" min="4" max="4" width="21.38"/>
    <col customWidth="1" min="5" max="5" width="14.75"/>
    <col customWidth="1" min="6" max="6" width="14.25"/>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1378</v>
      </c>
      <c r="C1" s="585" t="s">
        <v>1329</v>
      </c>
      <c r="D1" s="586" t="s">
        <v>1335</v>
      </c>
      <c r="E1" s="481">
        <v>2025.0</v>
      </c>
      <c r="F1" s="587">
        <f>VLOOKUP(D$1&amp;" "&amp;E1,'Info Tipo de Cambio y REM'!$A$23:$B$35,2,FALSE())</f>
        <v>1445</v>
      </c>
      <c r="G1" s="92" t="s">
        <v>1374</v>
      </c>
      <c r="K1" s="627"/>
      <c r="L1" s="51"/>
      <c r="M1" s="628"/>
      <c r="R1" s="627"/>
      <c r="S1" s="51"/>
      <c r="T1" s="628"/>
      <c r="Y1" s="627"/>
      <c r="Z1" s="51"/>
      <c r="AA1" s="628"/>
      <c r="AF1" s="627"/>
      <c r="AG1" s="51"/>
      <c r="AH1" s="628"/>
      <c r="AM1" s="627"/>
      <c r="AN1" s="51"/>
      <c r="AO1" s="628"/>
    </row>
    <row r="2">
      <c r="A2" s="569" t="s">
        <v>112</v>
      </c>
      <c r="B2" s="569" t="s">
        <v>1118</v>
      </c>
      <c r="C2" s="588" t="s">
        <v>1264</v>
      </c>
      <c r="D2" s="569" t="s">
        <v>1121</v>
      </c>
      <c r="E2" s="569" t="s">
        <v>1270</v>
      </c>
      <c r="F2" s="569" t="s">
        <v>286</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205</v>
      </c>
      <c r="B3" s="501">
        <v>0.0</v>
      </c>
      <c r="C3" s="455">
        <v>8.0</v>
      </c>
      <c r="D3" s="455">
        <v>10000.0</v>
      </c>
      <c r="E3" s="497">
        <v>80000.0</v>
      </c>
      <c r="F3" s="498">
        <v>0.0</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217</v>
      </c>
      <c r="B4" s="501">
        <v>60.0</v>
      </c>
      <c r="C4" s="455">
        <v>52.47174236168</v>
      </c>
      <c r="D4" s="464">
        <v>9688.0</v>
      </c>
      <c r="E4" s="497">
        <v>508346.23999995587</v>
      </c>
      <c r="F4" s="498">
        <v>418.39196707815296</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210</v>
      </c>
      <c r="B5" s="501">
        <v>0.0</v>
      </c>
      <c r="C5" s="455">
        <v>16.0</v>
      </c>
      <c r="D5" s="464">
        <v>34777.0</v>
      </c>
      <c r="E5" s="497">
        <v>281987.0</v>
      </c>
      <c r="F5" s="498">
        <v>210.8357778528782</v>
      </c>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450" t="s">
        <v>197</v>
      </c>
      <c r="B6" s="501">
        <v>10.0</v>
      </c>
      <c r="C6" s="455">
        <v>43.17</v>
      </c>
      <c r="D6" s="464">
        <v>38229.0</v>
      </c>
      <c r="E6" s="497">
        <v>550115.31</v>
      </c>
      <c r="F6" s="498">
        <v>427.3380406370675</v>
      </c>
    </row>
    <row r="7">
      <c r="A7" s="450" t="s">
        <v>120</v>
      </c>
      <c r="B7" s="501">
        <v>3.3333333333333335</v>
      </c>
      <c r="C7" s="455">
        <v>7.3</v>
      </c>
      <c r="D7" s="464">
        <v>74916.66666666667</v>
      </c>
      <c r="E7" s="497">
        <v>181250.0</v>
      </c>
      <c r="F7" s="498">
        <v>145.83244957912123</v>
      </c>
      <c r="K7" s="589"/>
      <c r="L7" s="612"/>
      <c r="M7" s="589"/>
      <c r="R7" s="589"/>
      <c r="S7" s="612"/>
      <c r="T7" s="589"/>
      <c r="Y7" s="589"/>
      <c r="Z7" s="612"/>
      <c r="AA7" s="589"/>
      <c r="AF7" s="589"/>
      <c r="AG7" s="612"/>
      <c r="AH7" s="589"/>
      <c r="AM7" s="589"/>
      <c r="AN7" s="612"/>
      <c r="AO7" s="589"/>
    </row>
    <row r="8">
      <c r="A8" s="569" t="s">
        <v>1266</v>
      </c>
      <c r="B8" s="569">
        <v>100.0</v>
      </c>
      <c r="C8" s="588">
        <v>126.94174236168</v>
      </c>
      <c r="D8" s="590">
        <v>167610.6666666667</v>
      </c>
      <c r="E8" s="591">
        <v>1601698.549999956</v>
      </c>
      <c r="F8" s="592">
        <v>1202.39823514722</v>
      </c>
      <c r="K8" s="589"/>
      <c r="L8" s="612"/>
      <c r="M8" s="589"/>
      <c r="R8" s="589"/>
      <c r="S8" s="612"/>
      <c r="T8" s="589"/>
      <c r="Y8" s="589"/>
      <c r="Z8" s="612"/>
      <c r="AA8" s="589"/>
      <c r="AF8" s="589"/>
      <c r="AG8" s="612"/>
      <c r="AH8" s="589"/>
      <c r="AM8" s="589"/>
      <c r="AN8" s="612"/>
      <c r="AO8" s="589"/>
    </row>
    <row r="9">
      <c r="D9" s="589"/>
      <c r="E9" s="612"/>
      <c r="F9" s="589"/>
      <c r="K9" s="589"/>
      <c r="L9" s="612"/>
      <c r="M9" s="589"/>
      <c r="R9" s="589"/>
      <c r="S9" s="612"/>
      <c r="T9" s="589"/>
      <c r="Y9" s="589"/>
      <c r="Z9" s="612"/>
      <c r="AA9" s="589"/>
      <c r="AF9" s="589"/>
      <c r="AG9" s="612"/>
      <c r="AH9" s="589"/>
      <c r="AM9" s="589"/>
      <c r="AN9" s="612"/>
      <c r="AO9" s="589"/>
    </row>
    <row r="10">
      <c r="D10" s="589"/>
      <c r="E10" s="612"/>
      <c r="F10" s="589"/>
      <c r="K10" s="589"/>
      <c r="L10" s="612"/>
      <c r="M10" s="589"/>
      <c r="R10" s="589"/>
      <c r="S10" s="612"/>
      <c r="T10" s="589"/>
      <c r="Y10" s="589"/>
      <c r="Z10" s="612"/>
      <c r="AA10" s="589"/>
      <c r="AF10" s="589"/>
      <c r="AG10" s="612"/>
      <c r="AH10" s="589"/>
      <c r="AM10" s="589"/>
      <c r="AN10" s="612"/>
      <c r="AO10" s="589"/>
    </row>
    <row r="11">
      <c r="D11" s="589"/>
      <c r="E11" s="612"/>
      <c r="F11" s="589"/>
      <c r="K11" s="589"/>
      <c r="L11" s="612"/>
      <c r="M11" s="589"/>
      <c r="R11" s="589"/>
      <c r="S11" s="612"/>
      <c r="T11" s="589"/>
      <c r="Y11" s="589"/>
      <c r="Z11" s="612"/>
      <c r="AA11" s="589"/>
      <c r="AF11" s="589"/>
      <c r="AG11" s="612"/>
      <c r="AH11" s="589"/>
      <c r="AM11" s="589"/>
      <c r="AN11" s="612"/>
      <c r="AO11" s="589"/>
    </row>
    <row r="12">
      <c r="D12" s="589"/>
      <c r="E12" s="600" t="s">
        <v>1375</v>
      </c>
      <c r="F12" s="589"/>
      <c r="K12" s="589"/>
      <c r="L12" s="612"/>
      <c r="M12" s="589"/>
      <c r="R12" s="589"/>
      <c r="S12" s="612"/>
      <c r="T12" s="589"/>
      <c r="Y12" s="589"/>
      <c r="Z12" s="612"/>
      <c r="AA12" s="589"/>
      <c r="AF12" s="589"/>
      <c r="AG12" s="612"/>
      <c r="AH12" s="589"/>
      <c r="AM12" s="589"/>
      <c r="AN12" s="612"/>
      <c r="AO12" s="589"/>
    </row>
    <row r="13">
      <c r="D13" s="638" t="s">
        <v>1379</v>
      </c>
      <c r="E13" s="601" t="s">
        <v>1349</v>
      </c>
      <c r="F13" s="602" t="s">
        <v>791</v>
      </c>
      <c r="K13" s="589"/>
      <c r="L13" s="631"/>
      <c r="M13" s="631"/>
      <c r="R13" s="589"/>
      <c r="S13" s="631"/>
      <c r="T13" s="631"/>
      <c r="Y13" s="589"/>
      <c r="Z13" s="631"/>
      <c r="AA13" s="631"/>
      <c r="AF13" s="589"/>
      <c r="AG13" s="631"/>
      <c r="AH13" s="631"/>
      <c r="AM13" s="589"/>
      <c r="AN13" s="631"/>
      <c r="AO13" s="631"/>
    </row>
    <row r="14">
      <c r="D14" s="603" t="s">
        <v>1350</v>
      </c>
      <c r="E14" s="604">
        <f t="shared" ref="E14:F14" si="1">E8</f>
        <v>1601698.55</v>
      </c>
      <c r="F14" s="604">
        <f t="shared" si="1"/>
        <v>1202.398235</v>
      </c>
      <c r="K14" s="632"/>
      <c r="L14" s="633"/>
      <c r="M14" s="633"/>
      <c r="R14" s="632"/>
      <c r="S14" s="633"/>
      <c r="T14" s="633"/>
      <c r="Y14" s="632"/>
      <c r="Z14" s="633"/>
      <c r="AA14" s="633"/>
      <c r="AF14" s="632"/>
      <c r="AG14" s="633"/>
      <c r="AH14" s="633"/>
      <c r="AM14" s="632"/>
      <c r="AN14" s="633"/>
      <c r="AO14" s="633"/>
    </row>
    <row r="15">
      <c r="D15" s="605" t="s">
        <v>1351</v>
      </c>
      <c r="E15" s="634">
        <v>2000000.0</v>
      </c>
      <c r="F15" s="523">
        <f>E15/F1</f>
        <v>1384.083045</v>
      </c>
      <c r="K15" s="627"/>
      <c r="L15" s="380"/>
      <c r="M15" s="635"/>
      <c r="R15" s="627"/>
      <c r="S15" s="380"/>
      <c r="T15" s="635"/>
      <c r="Y15" s="627"/>
      <c r="Z15" s="380"/>
      <c r="AA15" s="635"/>
      <c r="AF15" s="627"/>
      <c r="AG15" s="380"/>
      <c r="AH15" s="635"/>
      <c r="AM15" s="627"/>
      <c r="AN15" s="380"/>
      <c r="AO15" s="635"/>
    </row>
    <row r="16">
      <c r="D16" s="605" t="s">
        <v>1063</v>
      </c>
      <c r="E16" s="606">
        <f t="shared" ref="E16:F16" si="2">+E15/E14</f>
        <v>1.248674415</v>
      </c>
      <c r="F16" s="606">
        <f t="shared" si="2"/>
        <v>1.151102026</v>
      </c>
      <c r="K16" s="627"/>
      <c r="L16" s="636"/>
      <c r="M16" s="636"/>
      <c r="R16" s="627"/>
      <c r="S16" s="636"/>
      <c r="T16" s="636"/>
      <c r="Y16" s="627"/>
      <c r="Z16" s="636"/>
      <c r="AA16" s="636"/>
      <c r="AF16" s="627"/>
      <c r="AG16" s="636"/>
      <c r="AH16" s="636"/>
      <c r="AM16" s="627"/>
      <c r="AN16" s="636"/>
      <c r="AO16" s="636"/>
    </row>
    <row r="17">
      <c r="D17" s="605" t="s">
        <v>1352</v>
      </c>
      <c r="E17" s="604">
        <f t="shared" ref="E17:F17" si="3">+E15-E14</f>
        <v>398301.45</v>
      </c>
      <c r="F17" s="604">
        <f t="shared" si="3"/>
        <v>181.6848098</v>
      </c>
      <c r="K17" s="627"/>
      <c r="L17" s="633"/>
      <c r="M17" s="633"/>
      <c r="R17" s="627"/>
      <c r="S17" s="633"/>
      <c r="T17" s="633"/>
      <c r="Y17" s="627"/>
      <c r="Z17" s="633"/>
      <c r="AA17" s="633"/>
      <c r="AF17" s="627"/>
      <c r="AG17" s="633"/>
      <c r="AH17" s="633"/>
      <c r="AM17" s="627"/>
      <c r="AN17" s="633"/>
      <c r="AO17" s="633"/>
    </row>
    <row r="18">
      <c r="D18" s="603" t="s">
        <v>1372</v>
      </c>
      <c r="E18" s="604"/>
      <c r="F18" s="604"/>
      <c r="K18" s="632"/>
      <c r="L18" s="633"/>
      <c r="M18" s="633"/>
      <c r="R18" s="632"/>
      <c r="S18" s="633"/>
      <c r="T18" s="633"/>
      <c r="Y18" s="632"/>
      <c r="Z18" s="633"/>
      <c r="AA18" s="633"/>
      <c r="AF18" s="632"/>
      <c r="AG18" s="633"/>
      <c r="AH18" s="633"/>
      <c r="AM18" s="632"/>
      <c r="AN18" s="633"/>
      <c r="AO18" s="633"/>
    </row>
    <row r="21">
      <c r="B21" s="370"/>
      <c r="C21" s="372"/>
      <c r="D21" s="372"/>
      <c r="E21" s="453"/>
      <c r="F21" s="107"/>
    </row>
    <row r="22">
      <c r="B22" s="370"/>
      <c r="C22" s="372"/>
      <c r="D22" s="452"/>
      <c r="E22" s="453"/>
      <c r="F22" s="107"/>
    </row>
    <row r="23">
      <c r="B23" s="370"/>
      <c r="C23" s="372"/>
      <c r="D23" s="452"/>
      <c r="E23" s="453"/>
      <c r="F23" s="107"/>
    </row>
    <row r="24">
      <c r="B24" s="370"/>
      <c r="C24" s="372"/>
      <c r="D24" s="452"/>
      <c r="E24" s="453"/>
      <c r="F24" s="107"/>
    </row>
    <row r="25">
      <c r="B25" s="370"/>
      <c r="C25" s="372"/>
      <c r="D25" s="452"/>
      <c r="E25" s="453"/>
      <c r="F25" s="107"/>
    </row>
    <row r="26">
      <c r="C26" s="372"/>
      <c r="D26" s="452"/>
      <c r="E26" s="453"/>
      <c r="F26" s="107"/>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4.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639" t="s">
        <v>1380</v>
      </c>
      <c r="C1" s="585" t="s">
        <v>1329</v>
      </c>
      <c r="D1" s="586" t="s">
        <v>1331</v>
      </c>
      <c r="E1" s="481">
        <v>2025.0</v>
      </c>
      <c r="F1" s="587">
        <f>VLOOKUP(D$1&amp;" "&amp;E1,'Info Tipo de Cambio y REM'!$A$23:$B$35,2,FALSE())</f>
        <v>1215</v>
      </c>
      <c r="G1" s="92" t="s">
        <v>1374</v>
      </c>
      <c r="K1" s="627"/>
      <c r="L1" s="51"/>
      <c r="M1" s="628"/>
      <c r="R1" s="627"/>
      <c r="S1" s="51"/>
      <c r="T1" s="628"/>
      <c r="Y1" s="627"/>
      <c r="Z1" s="51"/>
      <c r="AA1" s="628"/>
      <c r="AF1" s="627"/>
      <c r="AG1" s="51"/>
      <c r="AH1" s="628"/>
      <c r="AM1" s="627"/>
      <c r="AN1" s="51"/>
      <c r="AO1" s="628"/>
    </row>
    <row r="2">
      <c r="A2" s="569" t="s">
        <v>112</v>
      </c>
      <c r="B2" s="569" t="s">
        <v>1339</v>
      </c>
      <c r="C2" s="588" t="s">
        <v>1264</v>
      </c>
      <c r="D2" s="86" t="s">
        <v>1381</v>
      </c>
      <c r="E2" s="569" t="s">
        <v>1270</v>
      </c>
      <c r="F2" s="569" t="s">
        <v>1340</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205</v>
      </c>
      <c r="B3" s="501">
        <v>40.0</v>
      </c>
      <c r="C3" s="455">
        <v>87.263333333</v>
      </c>
      <c r="D3" s="455">
        <v>10000.0</v>
      </c>
      <c r="E3" s="497">
        <v>872633.33333</v>
      </c>
      <c r="F3" s="498">
        <v>662.0326222848466</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87</v>
      </c>
      <c r="B4" s="501">
        <v>10.0</v>
      </c>
      <c r="C4" s="455">
        <v>7.95</v>
      </c>
      <c r="D4" s="464">
        <v>11000.0</v>
      </c>
      <c r="E4" s="497">
        <v>87450.0</v>
      </c>
      <c r="F4" s="498">
        <v>73.31798842156658</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217</v>
      </c>
      <c r="B5" s="501">
        <v>70.0</v>
      </c>
      <c r="C5" s="455">
        <v>86.22</v>
      </c>
      <c r="D5" s="464">
        <v>10124.6866</v>
      </c>
      <c r="E5" s="497">
        <v>874845.698496</v>
      </c>
      <c r="F5" s="498">
        <v>662.0627090264132</v>
      </c>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450" t="s">
        <v>210</v>
      </c>
      <c r="B6" s="501">
        <v>5.0</v>
      </c>
      <c r="C6" s="455">
        <v>2.0</v>
      </c>
      <c r="D6" s="464">
        <v>16760.0</v>
      </c>
      <c r="E6" s="497">
        <v>33520.0</v>
      </c>
      <c r="F6" s="498">
        <v>27.588477366255145</v>
      </c>
    </row>
    <row r="7">
      <c r="A7" s="450" t="s">
        <v>197</v>
      </c>
      <c r="B7" s="501">
        <v>50.0</v>
      </c>
      <c r="C7" s="455">
        <v>51.58</v>
      </c>
      <c r="D7" s="464">
        <v>12681.781466666667</v>
      </c>
      <c r="E7" s="497">
        <v>676108.7151520001</v>
      </c>
      <c r="F7" s="498">
        <v>508.75518728178446</v>
      </c>
      <c r="K7" s="589"/>
      <c r="L7" s="612"/>
      <c r="M7" s="589"/>
      <c r="R7" s="589"/>
      <c r="S7" s="612"/>
      <c r="T7" s="589"/>
      <c r="Y7" s="589"/>
      <c r="Z7" s="612"/>
      <c r="AA7" s="589"/>
      <c r="AF7" s="589"/>
      <c r="AG7" s="612"/>
      <c r="AH7" s="589"/>
      <c r="AM7" s="589"/>
      <c r="AN7" s="612"/>
      <c r="AO7" s="589"/>
    </row>
    <row r="8">
      <c r="A8" s="450" t="s">
        <v>120</v>
      </c>
      <c r="B8" s="450">
        <v>6.0</v>
      </c>
      <c r="C8" s="455">
        <v>25.6</v>
      </c>
      <c r="D8" s="464">
        <v>25133.333333333336</v>
      </c>
      <c r="E8" s="497">
        <v>665018.3333333334</v>
      </c>
      <c r="F8" s="498">
        <v>501.1808220471644</v>
      </c>
      <c r="K8" s="589"/>
      <c r="L8" s="612"/>
      <c r="M8" s="589"/>
      <c r="R8" s="589"/>
      <c r="S8" s="612"/>
      <c r="T8" s="589"/>
      <c r="Y8" s="589"/>
      <c r="Z8" s="612"/>
      <c r="AA8" s="589"/>
      <c r="AF8" s="589"/>
      <c r="AG8" s="612"/>
      <c r="AH8" s="589"/>
      <c r="AM8" s="589"/>
      <c r="AN8" s="612"/>
      <c r="AO8" s="589"/>
    </row>
    <row r="9">
      <c r="A9" s="569" t="s">
        <v>1266</v>
      </c>
      <c r="B9" s="569">
        <v>36.13636363636363</v>
      </c>
      <c r="C9" s="588">
        <v>260.613333333</v>
      </c>
      <c r="D9" s="590">
        <v>14591.640993939394</v>
      </c>
      <c r="E9" s="591">
        <v>3209576.0803113333</v>
      </c>
      <c r="F9" s="592">
        <v>2434.9378064280304</v>
      </c>
      <c r="K9" s="589"/>
      <c r="L9" s="612"/>
      <c r="M9" s="589"/>
      <c r="R9" s="589"/>
      <c r="S9" s="612"/>
      <c r="T9" s="589"/>
      <c r="Y9" s="589"/>
      <c r="Z9" s="612"/>
      <c r="AA9" s="589"/>
      <c r="AF9" s="589"/>
      <c r="AG9" s="612"/>
      <c r="AH9" s="589"/>
      <c r="AM9" s="589"/>
      <c r="AN9" s="612"/>
      <c r="AO9" s="589"/>
    </row>
    <row r="10">
      <c r="D10" s="589"/>
      <c r="E10" s="612"/>
      <c r="F10" s="589"/>
      <c r="K10" s="589"/>
      <c r="L10" s="612"/>
      <c r="M10" s="589"/>
      <c r="R10" s="589"/>
      <c r="S10" s="612"/>
      <c r="T10" s="589"/>
      <c r="Y10" s="589"/>
      <c r="Z10" s="612"/>
      <c r="AA10" s="589"/>
      <c r="AF10" s="589"/>
      <c r="AG10" s="612"/>
      <c r="AH10" s="589"/>
      <c r="AM10" s="589"/>
      <c r="AN10" s="612"/>
      <c r="AO10" s="589"/>
    </row>
    <row r="11">
      <c r="D11" s="589"/>
      <c r="E11" s="612"/>
      <c r="F11" s="589"/>
      <c r="K11" s="589"/>
      <c r="L11" s="612"/>
      <c r="M11" s="589"/>
      <c r="R11" s="589"/>
      <c r="S11" s="612"/>
      <c r="T11" s="589"/>
      <c r="Y11" s="589"/>
      <c r="Z11" s="612"/>
      <c r="AA11" s="589"/>
      <c r="AF11" s="589"/>
      <c r="AG11" s="612"/>
      <c r="AH11" s="589"/>
      <c r="AM11" s="589"/>
      <c r="AN11" s="612"/>
      <c r="AO11" s="589"/>
    </row>
    <row r="12">
      <c r="D12" s="589"/>
      <c r="E12" s="612"/>
      <c r="F12" s="589"/>
      <c r="K12" s="589"/>
      <c r="L12" s="612"/>
      <c r="M12" s="589"/>
      <c r="R12" s="589"/>
      <c r="S12" s="612"/>
      <c r="T12" s="589"/>
      <c r="Y12" s="589"/>
      <c r="Z12" s="612"/>
      <c r="AA12" s="589"/>
      <c r="AF12" s="589"/>
      <c r="AG12" s="612"/>
      <c r="AH12" s="589"/>
      <c r="AM12" s="589"/>
      <c r="AN12" s="612"/>
      <c r="AO12" s="589"/>
    </row>
    <row r="13">
      <c r="D13" s="589"/>
      <c r="E13" s="612"/>
      <c r="F13" s="589"/>
      <c r="K13" s="589"/>
      <c r="L13" s="612"/>
      <c r="M13" s="589"/>
      <c r="R13" s="589"/>
      <c r="S13" s="612"/>
      <c r="T13" s="589"/>
      <c r="Y13" s="589"/>
      <c r="Z13" s="612"/>
      <c r="AA13" s="589"/>
      <c r="AF13" s="589"/>
      <c r="AG13" s="612"/>
      <c r="AH13" s="589"/>
      <c r="AM13" s="589"/>
      <c r="AN13" s="612"/>
      <c r="AO13" s="589"/>
    </row>
    <row r="14">
      <c r="D14" s="589"/>
      <c r="E14" s="612"/>
      <c r="F14" s="589"/>
      <c r="K14" s="589"/>
      <c r="L14" s="612"/>
      <c r="M14" s="589"/>
      <c r="R14" s="589"/>
      <c r="S14" s="612"/>
      <c r="T14" s="589"/>
      <c r="Y14" s="589"/>
      <c r="Z14" s="612"/>
      <c r="AA14" s="589"/>
      <c r="AF14" s="589"/>
      <c r="AG14" s="612"/>
      <c r="AH14" s="589"/>
      <c r="AM14" s="589"/>
      <c r="AN14" s="612"/>
      <c r="AO14" s="589"/>
    </row>
    <row r="15">
      <c r="D15" s="589"/>
      <c r="E15" s="612"/>
      <c r="F15" s="589"/>
      <c r="K15" s="589"/>
      <c r="L15" s="612"/>
      <c r="M15" s="589"/>
      <c r="R15" s="589"/>
      <c r="S15" s="612"/>
      <c r="T15" s="589"/>
      <c r="Y15" s="589"/>
      <c r="Z15" s="612"/>
      <c r="AA15" s="589"/>
      <c r="AF15" s="589"/>
      <c r="AG15" s="612"/>
      <c r="AH15" s="589"/>
      <c r="AM15" s="589"/>
      <c r="AN15" s="612"/>
      <c r="AO15" s="589"/>
    </row>
    <row r="16">
      <c r="D16" s="640" t="s">
        <v>1382</v>
      </c>
      <c r="E16" s="600" t="s">
        <v>1375</v>
      </c>
      <c r="F16" s="589"/>
      <c r="K16" s="589"/>
      <c r="L16" s="612"/>
      <c r="M16" s="589"/>
      <c r="R16" s="589"/>
      <c r="S16" s="612"/>
      <c r="T16" s="589"/>
      <c r="Y16" s="589"/>
      <c r="Z16" s="612"/>
      <c r="AA16" s="589"/>
      <c r="AF16" s="589"/>
      <c r="AG16" s="612"/>
      <c r="AH16" s="589"/>
      <c r="AM16" s="589"/>
      <c r="AN16" s="612"/>
      <c r="AO16" s="589"/>
    </row>
    <row r="17">
      <c r="D17" s="589"/>
      <c r="E17" s="601" t="s">
        <v>1349</v>
      </c>
      <c r="F17" s="602" t="s">
        <v>791</v>
      </c>
      <c r="K17" s="589"/>
      <c r="L17" s="631"/>
      <c r="M17" s="631"/>
      <c r="R17" s="589"/>
      <c r="S17" s="631"/>
      <c r="T17" s="631"/>
      <c r="Y17" s="589"/>
      <c r="Z17" s="631"/>
      <c r="AA17" s="631"/>
      <c r="AF17" s="589"/>
      <c r="AG17" s="631"/>
      <c r="AH17" s="631"/>
      <c r="AM17" s="589"/>
      <c r="AN17" s="631"/>
      <c r="AO17" s="631"/>
    </row>
    <row r="18">
      <c r="D18" s="603" t="s">
        <v>1350</v>
      </c>
      <c r="E18" s="604">
        <f t="shared" ref="E18:F18" si="1">E9</f>
        <v>3209576.08</v>
      </c>
      <c r="F18" s="604">
        <f t="shared" si="1"/>
        <v>2434.937806</v>
      </c>
      <c r="K18" s="632"/>
      <c r="L18" s="633"/>
      <c r="M18" s="633"/>
      <c r="R18" s="632"/>
      <c r="S18" s="633"/>
      <c r="T18" s="633"/>
      <c r="Y18" s="632"/>
      <c r="Z18" s="633"/>
      <c r="AA18" s="633"/>
      <c r="AF18" s="632"/>
      <c r="AG18" s="633"/>
      <c r="AH18" s="633"/>
      <c r="AM18" s="632"/>
      <c r="AN18" s="633"/>
      <c r="AO18" s="633"/>
    </row>
    <row r="19">
      <c r="D19" s="605" t="s">
        <v>1351</v>
      </c>
      <c r="E19" s="381">
        <f>F19*F1</f>
        <v>8930250</v>
      </c>
      <c r="F19" s="521">
        <v>7350.0</v>
      </c>
      <c r="K19" s="627"/>
      <c r="L19" s="380"/>
      <c r="M19" s="635"/>
      <c r="R19" s="627"/>
      <c r="S19" s="380"/>
      <c r="T19" s="635"/>
      <c r="Y19" s="627"/>
      <c r="Z19" s="380"/>
      <c r="AA19" s="635"/>
      <c r="AF19" s="627"/>
      <c r="AG19" s="380"/>
      <c r="AH19" s="635"/>
      <c r="AM19" s="627"/>
      <c r="AN19" s="380"/>
      <c r="AO19" s="635"/>
    </row>
    <row r="20">
      <c r="D20" s="605" t="s">
        <v>1063</v>
      </c>
      <c r="E20" s="606">
        <f t="shared" ref="E20:F20" si="2">+E19/E18</f>
        <v>2.782376793</v>
      </c>
      <c r="F20" s="606">
        <f t="shared" si="2"/>
        <v>3.018557591</v>
      </c>
      <c r="K20" s="627"/>
      <c r="L20" s="636"/>
      <c r="M20" s="636"/>
      <c r="R20" s="627"/>
      <c r="S20" s="636"/>
      <c r="T20" s="636"/>
      <c r="Y20" s="627"/>
      <c r="Z20" s="636"/>
      <c r="AA20" s="636"/>
      <c r="AF20" s="627"/>
      <c r="AG20" s="636"/>
      <c r="AH20" s="636"/>
      <c r="AM20" s="627"/>
      <c r="AN20" s="636"/>
      <c r="AO20" s="636"/>
    </row>
    <row r="21">
      <c r="D21" s="605" t="s">
        <v>1352</v>
      </c>
      <c r="E21" s="604">
        <f t="shared" ref="E21:F21" si="3">+E19-E18</f>
        <v>5720673.92</v>
      </c>
      <c r="F21" s="604">
        <f t="shared" si="3"/>
        <v>4915.062194</v>
      </c>
      <c r="K21" s="627"/>
      <c r="L21" s="633"/>
      <c r="M21" s="633"/>
      <c r="R21" s="627"/>
      <c r="S21" s="633"/>
      <c r="T21" s="633"/>
      <c r="Y21" s="627"/>
      <c r="Z21" s="633"/>
      <c r="AA21" s="633"/>
      <c r="AF21" s="627"/>
      <c r="AG21" s="633"/>
      <c r="AH21" s="633"/>
      <c r="AM21" s="627"/>
      <c r="AN21" s="633"/>
      <c r="AO21" s="633"/>
    </row>
    <row r="22">
      <c r="D22" s="603" t="s">
        <v>1372</v>
      </c>
      <c r="E22" s="604"/>
      <c r="F22" s="604"/>
      <c r="K22" s="632"/>
      <c r="L22" s="633"/>
      <c r="M22" s="633"/>
      <c r="R22" s="632"/>
      <c r="S22" s="633"/>
      <c r="T22" s="633"/>
      <c r="Y22" s="632"/>
      <c r="Z22" s="633"/>
      <c r="AA22" s="633"/>
      <c r="AF22" s="632"/>
      <c r="AG22" s="633"/>
      <c r="AH22" s="633"/>
      <c r="AM22" s="632"/>
      <c r="AN22" s="633"/>
      <c r="AO22" s="633"/>
    </row>
    <row r="26">
      <c r="B26" s="370"/>
      <c r="C26" s="372"/>
      <c r="D26" s="372"/>
      <c r="E26" s="453"/>
      <c r="F26" s="107"/>
    </row>
    <row r="27">
      <c r="B27" s="370"/>
      <c r="C27" s="372"/>
      <c r="D27" s="452"/>
      <c r="E27" s="453"/>
      <c r="F27" s="107"/>
    </row>
    <row r="28">
      <c r="B28" s="370"/>
      <c r="C28" s="372"/>
      <c r="D28" s="452"/>
      <c r="E28" s="453"/>
      <c r="F28" s="107"/>
    </row>
    <row r="29">
      <c r="B29" s="370"/>
      <c r="C29" s="372"/>
      <c r="D29" s="452"/>
      <c r="E29" s="453"/>
      <c r="F29" s="107"/>
    </row>
    <row r="30">
      <c r="B30" s="370"/>
      <c r="C30" s="372"/>
      <c r="D30" s="452"/>
      <c r="E30" s="453"/>
      <c r="F30" s="107"/>
    </row>
    <row r="31">
      <c r="C31" s="372"/>
      <c r="D31" s="452"/>
      <c r="E31" s="453"/>
      <c r="F31" s="107"/>
    </row>
    <row r="32">
      <c r="C32" s="372"/>
      <c r="D32" s="452"/>
      <c r="E32" s="453"/>
      <c r="F32" s="107"/>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1.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1383</v>
      </c>
      <c r="C1" s="585" t="s">
        <v>1329</v>
      </c>
      <c r="D1" s="586" t="s">
        <v>1333</v>
      </c>
      <c r="E1" s="481">
        <v>2025.0</v>
      </c>
      <c r="F1" s="587">
        <f>VLOOKUP(D$1&amp;" "&amp;E1,'Info Tipo de Cambio y REM'!$A$23:$B$35,2,FALSE())</f>
        <v>1345</v>
      </c>
      <c r="G1" s="92" t="s">
        <v>1374</v>
      </c>
      <c r="K1" s="627"/>
      <c r="L1" s="51"/>
      <c r="M1" s="628"/>
      <c r="R1" s="627"/>
      <c r="S1" s="51"/>
      <c r="T1" s="628"/>
      <c r="Y1" s="627"/>
      <c r="Z1" s="51"/>
      <c r="AA1" s="628"/>
      <c r="AF1" s="627"/>
      <c r="AG1" s="51"/>
      <c r="AH1" s="628"/>
      <c r="AM1" s="627"/>
      <c r="AN1" s="51"/>
      <c r="AO1" s="628"/>
    </row>
    <row r="2">
      <c r="A2" s="569" t="s">
        <v>112</v>
      </c>
      <c r="B2" s="569" t="s">
        <v>1339</v>
      </c>
      <c r="C2" s="588" t="s">
        <v>1264</v>
      </c>
      <c r="D2" s="569" t="s">
        <v>1121</v>
      </c>
      <c r="E2" s="569" t="s">
        <v>1270</v>
      </c>
      <c r="F2" s="569" t="s">
        <v>1340</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228</v>
      </c>
      <c r="B3" s="450">
        <v>25.0</v>
      </c>
      <c r="C3" s="455">
        <v>21.049999999999997</v>
      </c>
      <c r="D3" s="455">
        <v>39204.0</v>
      </c>
      <c r="E3" s="497">
        <v>412622.1</v>
      </c>
      <c r="F3" s="498">
        <v>310.1497026022305</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87</v>
      </c>
      <c r="B4" s="450">
        <v>0.0</v>
      </c>
      <c r="C4" s="455">
        <v>1.92</v>
      </c>
      <c r="D4" s="464">
        <v>11000.0</v>
      </c>
      <c r="E4" s="497">
        <v>21120.0</v>
      </c>
      <c r="F4" s="498">
        <v>16.0</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120</v>
      </c>
      <c r="B5" s="450">
        <v>1.0</v>
      </c>
      <c r="C5" s="455">
        <v>6.9</v>
      </c>
      <c r="D5" s="464">
        <v>24166.666666666668</v>
      </c>
      <c r="E5" s="497">
        <v>166750.00000000003</v>
      </c>
      <c r="F5" s="498">
        <v>126.32575757575759</v>
      </c>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569" t="s">
        <v>1266</v>
      </c>
      <c r="B6" s="86">
        <v>35.0</v>
      </c>
      <c r="C6" s="588">
        <v>29.870000000000005</v>
      </c>
      <c r="D6" s="590">
        <v>74370.66666666667</v>
      </c>
      <c r="E6" s="591">
        <v>600492.1</v>
      </c>
      <c r="F6" s="592">
        <v>452.47546017798805</v>
      </c>
    </row>
    <row r="7">
      <c r="D7" s="589"/>
      <c r="E7" s="612"/>
      <c r="F7" s="589"/>
      <c r="K7" s="589"/>
      <c r="L7" s="612"/>
      <c r="M7" s="589"/>
      <c r="R7" s="589"/>
      <c r="S7" s="612"/>
      <c r="T7" s="589"/>
      <c r="Y7" s="589"/>
      <c r="Z7" s="612"/>
      <c r="AA7" s="589"/>
      <c r="AF7" s="589"/>
      <c r="AG7" s="612"/>
      <c r="AH7" s="589"/>
      <c r="AM7" s="589"/>
      <c r="AN7" s="612"/>
      <c r="AO7" s="589"/>
    </row>
    <row r="8">
      <c r="D8" s="589"/>
      <c r="E8" s="612"/>
      <c r="F8" s="589"/>
      <c r="I8" s="627"/>
      <c r="J8" s="627"/>
      <c r="K8" s="627"/>
      <c r="L8" s="612"/>
      <c r="M8" s="589"/>
      <c r="R8" s="589"/>
      <c r="S8" s="612"/>
      <c r="T8" s="589"/>
      <c r="Y8" s="589"/>
      <c r="Z8" s="612"/>
      <c r="AA8" s="589"/>
      <c r="AF8" s="589"/>
      <c r="AG8" s="612"/>
      <c r="AH8" s="589"/>
      <c r="AM8" s="589"/>
      <c r="AN8" s="612"/>
      <c r="AO8" s="589"/>
    </row>
    <row r="9">
      <c r="D9" s="589"/>
      <c r="E9" s="612"/>
      <c r="F9" s="589"/>
      <c r="I9" s="627"/>
      <c r="J9" s="627"/>
      <c r="K9" s="627"/>
      <c r="L9" s="612"/>
      <c r="M9" s="589"/>
      <c r="R9" s="589"/>
      <c r="S9" s="612"/>
      <c r="T9" s="589"/>
      <c r="Y9" s="589"/>
      <c r="Z9" s="612"/>
      <c r="AA9" s="589"/>
      <c r="AF9" s="589"/>
      <c r="AG9" s="612"/>
      <c r="AH9" s="589"/>
      <c r="AM9" s="589"/>
      <c r="AN9" s="612"/>
      <c r="AO9" s="589"/>
    </row>
    <row r="10">
      <c r="D10" s="589"/>
      <c r="E10" s="612"/>
      <c r="F10" s="589"/>
      <c r="I10" s="627"/>
      <c r="J10" s="627"/>
      <c r="K10" s="627"/>
      <c r="L10" s="612"/>
      <c r="M10" s="589"/>
      <c r="R10" s="589"/>
      <c r="S10" s="612"/>
      <c r="T10" s="589"/>
      <c r="Y10" s="589"/>
      <c r="Z10" s="612"/>
      <c r="AA10" s="589"/>
      <c r="AF10" s="589"/>
      <c r="AG10" s="612"/>
      <c r="AH10" s="589"/>
      <c r="AM10" s="589"/>
      <c r="AN10" s="612"/>
      <c r="AO10" s="589"/>
    </row>
    <row r="11">
      <c r="D11" s="589"/>
      <c r="E11" s="612"/>
      <c r="F11" s="589"/>
      <c r="I11" s="627"/>
      <c r="J11" s="627"/>
      <c r="K11" s="627"/>
      <c r="L11" s="612"/>
      <c r="M11" s="589"/>
      <c r="R11" s="589"/>
      <c r="S11" s="612"/>
      <c r="T11" s="589"/>
      <c r="Y11" s="589"/>
      <c r="Z11" s="612"/>
      <c r="AA11" s="589"/>
      <c r="AF11" s="589"/>
      <c r="AG11" s="612"/>
      <c r="AH11" s="589"/>
      <c r="AM11" s="589"/>
      <c r="AN11" s="612"/>
      <c r="AO11" s="589"/>
    </row>
    <row r="12">
      <c r="D12" s="589"/>
      <c r="E12" s="612"/>
      <c r="F12" s="589"/>
      <c r="I12" s="627"/>
      <c r="J12" s="627"/>
      <c r="K12" s="627"/>
      <c r="L12" s="612"/>
      <c r="M12" s="589"/>
      <c r="R12" s="589"/>
      <c r="S12" s="612"/>
      <c r="T12" s="589"/>
      <c r="Y12" s="589"/>
      <c r="Z12" s="612"/>
      <c r="AA12" s="589"/>
      <c r="AF12" s="589"/>
      <c r="AG12" s="612"/>
      <c r="AH12" s="589"/>
      <c r="AM12" s="589"/>
      <c r="AN12" s="612"/>
      <c r="AO12" s="589"/>
    </row>
    <row r="13">
      <c r="D13" s="589"/>
      <c r="E13" s="600" t="s">
        <v>1375</v>
      </c>
      <c r="F13" s="589"/>
      <c r="I13" s="627"/>
      <c r="J13" s="627"/>
      <c r="K13" s="627"/>
      <c r="L13" s="612"/>
      <c r="M13" s="589"/>
      <c r="R13" s="589"/>
      <c r="S13" s="612"/>
      <c r="T13" s="589"/>
      <c r="Y13" s="589"/>
      <c r="Z13" s="612"/>
      <c r="AA13" s="589"/>
      <c r="AF13" s="589"/>
      <c r="AG13" s="612"/>
      <c r="AH13" s="589"/>
      <c r="AM13" s="589"/>
      <c r="AN13" s="612"/>
      <c r="AO13" s="589"/>
    </row>
    <row r="14">
      <c r="D14" s="589"/>
      <c r="E14" s="601" t="s">
        <v>1349</v>
      </c>
      <c r="F14" s="602" t="s">
        <v>791</v>
      </c>
      <c r="I14" s="627"/>
      <c r="J14" s="627"/>
      <c r="K14" s="627"/>
      <c r="L14" s="631"/>
      <c r="M14" s="631"/>
      <c r="R14" s="589"/>
      <c r="S14" s="631"/>
      <c r="T14" s="631"/>
      <c r="Y14" s="589"/>
      <c r="Z14" s="631"/>
      <c r="AA14" s="631"/>
      <c r="AF14" s="589"/>
      <c r="AG14" s="631"/>
      <c r="AH14" s="631"/>
      <c r="AM14" s="589"/>
      <c r="AN14" s="631"/>
      <c r="AO14" s="631"/>
    </row>
    <row r="15">
      <c r="D15" s="603" t="s">
        <v>1350</v>
      </c>
      <c r="E15" s="604">
        <f t="shared" ref="E15:F15" si="1">E6</f>
        <v>600492.1</v>
      </c>
      <c r="F15" s="604">
        <f t="shared" si="1"/>
        <v>452.4754602</v>
      </c>
      <c r="I15" s="627"/>
      <c r="J15" s="627"/>
      <c r="K15" s="627"/>
      <c r="L15" s="633"/>
      <c r="M15" s="633"/>
      <c r="R15" s="632"/>
      <c r="S15" s="633"/>
      <c r="T15" s="633"/>
      <c r="Y15" s="632"/>
      <c r="Z15" s="633"/>
      <c r="AA15" s="633"/>
      <c r="AF15" s="632"/>
      <c r="AG15" s="633"/>
      <c r="AH15" s="633"/>
      <c r="AM15" s="632"/>
      <c r="AN15" s="633"/>
      <c r="AO15" s="633"/>
    </row>
    <row r="16">
      <c r="D16" s="605" t="s">
        <v>1351</v>
      </c>
      <c r="E16" s="381">
        <v>1675000.0</v>
      </c>
      <c r="F16" s="521">
        <f>E16/F1</f>
        <v>1245.35316</v>
      </c>
      <c r="K16" s="627"/>
      <c r="L16" s="380"/>
      <c r="M16" s="635"/>
      <c r="R16" s="627"/>
      <c r="S16" s="380"/>
      <c r="T16" s="635"/>
      <c r="Y16" s="627"/>
      <c r="Z16" s="380"/>
      <c r="AA16" s="635"/>
      <c r="AF16" s="627"/>
      <c r="AG16" s="380"/>
      <c r="AH16" s="635"/>
      <c r="AM16" s="627"/>
      <c r="AN16" s="380"/>
      <c r="AO16" s="635"/>
    </row>
    <row r="17">
      <c r="D17" s="605" t="s">
        <v>1063</v>
      </c>
      <c r="E17" s="606">
        <f t="shared" ref="E17:F17" si="2">+E16/E15</f>
        <v>2.789378911</v>
      </c>
      <c r="F17" s="606">
        <f t="shared" si="2"/>
        <v>2.752310942</v>
      </c>
      <c r="K17" s="627"/>
      <c r="L17" s="636"/>
      <c r="M17" s="636"/>
      <c r="R17" s="627"/>
      <c r="S17" s="636"/>
      <c r="T17" s="636"/>
      <c r="Y17" s="627"/>
      <c r="Z17" s="636"/>
      <c r="AA17" s="636"/>
      <c r="AF17" s="627"/>
      <c r="AG17" s="636"/>
      <c r="AH17" s="636"/>
      <c r="AM17" s="627"/>
      <c r="AN17" s="636"/>
      <c r="AO17" s="636"/>
    </row>
    <row r="18">
      <c r="D18" s="605" t="s">
        <v>1352</v>
      </c>
      <c r="E18" s="604">
        <f t="shared" ref="E18:F18" si="3">+E16-E15</f>
        <v>1074507.9</v>
      </c>
      <c r="F18" s="604">
        <f t="shared" si="3"/>
        <v>792.8776997</v>
      </c>
      <c r="K18" s="627"/>
      <c r="L18" s="633"/>
      <c r="M18" s="633"/>
      <c r="R18" s="627"/>
      <c r="S18" s="633"/>
      <c r="T18" s="633"/>
      <c r="Y18" s="627"/>
      <c r="Z18" s="633"/>
      <c r="AA18" s="633"/>
      <c r="AF18" s="627"/>
      <c r="AG18" s="633"/>
      <c r="AH18" s="633"/>
      <c r="AM18" s="627"/>
      <c r="AN18" s="633"/>
      <c r="AO18" s="633"/>
    </row>
    <row r="19">
      <c r="D19" s="603" t="s">
        <v>1372</v>
      </c>
      <c r="E19" s="604"/>
      <c r="F19" s="604"/>
      <c r="K19" s="632"/>
      <c r="L19" s="633"/>
      <c r="M19" s="633"/>
      <c r="R19" s="632"/>
      <c r="S19" s="633"/>
      <c r="T19" s="633"/>
      <c r="Y19" s="632"/>
      <c r="Z19" s="633"/>
      <c r="AA19" s="633"/>
      <c r="AF19" s="632"/>
      <c r="AG19" s="633"/>
      <c r="AH19" s="633"/>
      <c r="AM19" s="632"/>
      <c r="AN19" s="633"/>
      <c r="AO19" s="633"/>
    </row>
    <row r="23">
      <c r="B23" s="370"/>
      <c r="C23" s="372"/>
      <c r="D23" s="372"/>
      <c r="E23" s="453"/>
      <c r="F23" s="107"/>
    </row>
    <row r="24">
      <c r="B24" s="370"/>
      <c r="C24" s="372"/>
      <c r="D24" s="452"/>
      <c r="E24" s="453"/>
      <c r="F24" s="107"/>
    </row>
    <row r="25">
      <c r="B25" s="370"/>
      <c r="C25" s="372"/>
      <c r="D25" s="452"/>
      <c r="E25" s="453"/>
      <c r="F25" s="107"/>
    </row>
    <row r="26">
      <c r="B26" s="370"/>
      <c r="C26" s="372"/>
      <c r="D26" s="452"/>
      <c r="E26" s="453"/>
      <c r="F26" s="107"/>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1.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1384</v>
      </c>
      <c r="C1" s="585" t="s">
        <v>1329</v>
      </c>
      <c r="D1" s="586" t="s">
        <v>1357</v>
      </c>
      <c r="E1" s="481">
        <v>2025.0</v>
      </c>
      <c r="F1" s="587">
        <f>VLOOKUP(D$1&amp;" "&amp;E1,'Info Tipo de Cambio y REM'!$A$23:$B$35,2,FALSE())</f>
        <v>1325</v>
      </c>
      <c r="G1" s="92" t="s">
        <v>1374</v>
      </c>
      <c r="K1" s="627"/>
      <c r="L1" s="51"/>
      <c r="M1" s="628"/>
      <c r="R1" s="627"/>
      <c r="S1" s="51"/>
      <c r="T1" s="628"/>
      <c r="Y1" s="627"/>
      <c r="Z1" s="51"/>
      <c r="AA1" s="628"/>
      <c r="AF1" s="627"/>
      <c r="AG1" s="51"/>
      <c r="AH1" s="628"/>
      <c r="AM1" s="627"/>
      <c r="AN1" s="51"/>
      <c r="AO1" s="628"/>
    </row>
    <row r="2">
      <c r="A2" s="569" t="s">
        <v>112</v>
      </c>
      <c r="B2" s="569" t="s">
        <v>1339</v>
      </c>
      <c r="C2" s="588" t="s">
        <v>1264</v>
      </c>
      <c r="D2" s="569" t="s">
        <v>1121</v>
      </c>
      <c r="E2" s="569" t="s">
        <v>1270</v>
      </c>
      <c r="F2" s="569" t="s">
        <v>1340</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234</v>
      </c>
      <c r="B3" s="641">
        <v>58.0</v>
      </c>
      <c r="C3" s="641">
        <v>69.66</v>
      </c>
      <c r="D3" s="464">
        <v>11485.0</v>
      </c>
      <c r="E3" s="497">
        <v>800000.0</v>
      </c>
      <c r="F3" s="498">
        <v>603.7735849056604</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87</v>
      </c>
      <c r="B4" s="641">
        <v>50.0</v>
      </c>
      <c r="C4" s="641">
        <v>18.87</v>
      </c>
      <c r="D4" s="464">
        <v>19000.0</v>
      </c>
      <c r="E4" s="497">
        <v>187700.0</v>
      </c>
      <c r="F4" s="498">
        <v>142.1849976990336</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210</v>
      </c>
      <c r="B5" s="641">
        <v>6.0</v>
      </c>
      <c r="C5" s="641">
        <v>4.0</v>
      </c>
      <c r="D5" s="464">
        <v>14717.0</v>
      </c>
      <c r="E5" s="497">
        <v>58868.0</v>
      </c>
      <c r="F5" s="498">
        <v>44.42867924528302</v>
      </c>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450" t="s">
        <v>221</v>
      </c>
      <c r="B6" s="641">
        <v>0.0</v>
      </c>
      <c r="C6" s="641">
        <v>3.0</v>
      </c>
      <c r="D6" s="464">
        <v>10121.0</v>
      </c>
      <c r="E6" s="497">
        <v>30363.0</v>
      </c>
      <c r="F6" s="498">
        <v>24.685365853658535</v>
      </c>
    </row>
    <row r="7">
      <c r="A7" s="450" t="s">
        <v>120</v>
      </c>
      <c r="B7" s="641">
        <v>50.0</v>
      </c>
      <c r="C7" s="641">
        <v>44.36</v>
      </c>
      <c r="D7" s="464">
        <v>41666.666666666664</v>
      </c>
      <c r="E7" s="497">
        <v>924166.6666666665</v>
      </c>
      <c r="F7" s="498">
        <v>703.5562714117707</v>
      </c>
      <c r="K7" s="589"/>
      <c r="L7" s="612"/>
      <c r="M7" s="589"/>
      <c r="R7" s="589"/>
      <c r="S7" s="612"/>
      <c r="T7" s="589"/>
      <c r="Y7" s="589"/>
      <c r="Z7" s="612"/>
      <c r="AA7" s="589"/>
      <c r="AF7" s="589"/>
      <c r="AG7" s="612"/>
      <c r="AH7" s="589"/>
      <c r="AM7" s="589"/>
      <c r="AN7" s="612"/>
      <c r="AO7" s="589"/>
    </row>
    <row r="8">
      <c r="A8" s="569"/>
      <c r="B8" s="569">
        <v>164.0</v>
      </c>
      <c r="C8" s="642">
        <v>139.89</v>
      </c>
      <c r="D8" s="590">
        <v>96989.66666666666</v>
      </c>
      <c r="E8" s="591">
        <v>2001097.6666666665</v>
      </c>
      <c r="F8" s="592">
        <v>1518.6288991154065</v>
      </c>
      <c r="K8" s="589"/>
      <c r="L8" s="612"/>
      <c r="M8" s="589"/>
      <c r="R8" s="589"/>
      <c r="S8" s="612"/>
      <c r="T8" s="589"/>
      <c r="Y8" s="589"/>
      <c r="Z8" s="612"/>
      <c r="AA8" s="589"/>
      <c r="AF8" s="589"/>
      <c r="AG8" s="612"/>
      <c r="AH8" s="589"/>
      <c r="AM8" s="589"/>
      <c r="AN8" s="612"/>
      <c r="AO8" s="589"/>
    </row>
    <row r="9">
      <c r="D9" s="589"/>
      <c r="E9" s="612"/>
      <c r="F9" s="589"/>
      <c r="K9" s="589"/>
      <c r="L9" s="612"/>
      <c r="M9" s="589"/>
      <c r="R9" s="589"/>
      <c r="S9" s="612"/>
      <c r="T9" s="589"/>
      <c r="Y9" s="589"/>
      <c r="Z9" s="612"/>
      <c r="AA9" s="589"/>
      <c r="AF9" s="589"/>
      <c r="AG9" s="612"/>
      <c r="AH9" s="589"/>
      <c r="AM9" s="589"/>
      <c r="AN9" s="612"/>
      <c r="AO9" s="589"/>
    </row>
    <row r="10">
      <c r="D10" s="589"/>
      <c r="E10" s="612"/>
      <c r="F10" s="589"/>
      <c r="K10" s="589"/>
      <c r="L10" s="612"/>
      <c r="M10" s="589"/>
      <c r="R10" s="589"/>
      <c r="S10" s="612"/>
      <c r="T10" s="589"/>
      <c r="Y10" s="589"/>
      <c r="Z10" s="612"/>
      <c r="AA10" s="589"/>
      <c r="AF10" s="589"/>
      <c r="AG10" s="612"/>
      <c r="AH10" s="589"/>
      <c r="AM10" s="589"/>
      <c r="AN10" s="612"/>
      <c r="AO10" s="589"/>
    </row>
    <row r="11">
      <c r="D11" s="589"/>
      <c r="E11" s="612"/>
      <c r="F11" s="589"/>
      <c r="K11" s="589"/>
      <c r="L11" s="612"/>
      <c r="M11" s="589"/>
      <c r="R11" s="589"/>
      <c r="S11" s="612"/>
      <c r="T11" s="589"/>
      <c r="Y11" s="589"/>
      <c r="Z11" s="612"/>
      <c r="AA11" s="589"/>
      <c r="AF11" s="589"/>
      <c r="AG11" s="612"/>
      <c r="AH11" s="589"/>
      <c r="AM11" s="589"/>
      <c r="AN11" s="612"/>
      <c r="AO11" s="589"/>
    </row>
    <row r="12">
      <c r="D12" s="589"/>
      <c r="E12" s="600" t="s">
        <v>1375</v>
      </c>
      <c r="F12" s="589"/>
      <c r="K12" s="589"/>
      <c r="L12" s="612"/>
      <c r="M12" s="589"/>
      <c r="R12" s="589"/>
      <c r="S12" s="612"/>
      <c r="T12" s="589"/>
      <c r="Y12" s="589"/>
      <c r="Z12" s="612"/>
      <c r="AA12" s="589"/>
      <c r="AF12" s="589"/>
      <c r="AG12" s="612"/>
      <c r="AH12" s="589"/>
      <c r="AM12" s="589"/>
      <c r="AN12" s="612"/>
      <c r="AO12" s="589"/>
    </row>
    <row r="13">
      <c r="D13" s="589"/>
      <c r="E13" s="601" t="s">
        <v>1349</v>
      </c>
      <c r="F13" s="602" t="s">
        <v>791</v>
      </c>
      <c r="K13" s="589"/>
      <c r="L13" s="631"/>
      <c r="M13" s="631"/>
      <c r="R13" s="589"/>
      <c r="S13" s="631"/>
      <c r="T13" s="631"/>
      <c r="Y13" s="589"/>
      <c r="Z13" s="631"/>
      <c r="AA13" s="631"/>
      <c r="AF13" s="589"/>
      <c r="AG13" s="631"/>
      <c r="AH13" s="631"/>
      <c r="AM13" s="589"/>
      <c r="AN13" s="631"/>
      <c r="AO13" s="631"/>
    </row>
    <row r="14">
      <c r="D14" s="603" t="s">
        <v>1350</v>
      </c>
      <c r="E14" s="604">
        <f t="shared" ref="E14:F14" si="1">E8</f>
        <v>2001097.667</v>
      </c>
      <c r="F14" s="604">
        <f t="shared" si="1"/>
        <v>1518.628899</v>
      </c>
      <c r="K14" s="632"/>
      <c r="L14" s="633"/>
      <c r="M14" s="633"/>
      <c r="R14" s="632"/>
      <c r="S14" s="633"/>
      <c r="T14" s="633"/>
      <c r="Y14" s="632"/>
      <c r="Z14" s="633"/>
      <c r="AA14" s="633"/>
      <c r="AF14" s="632"/>
      <c r="AG14" s="633"/>
      <c r="AH14" s="633"/>
      <c r="AM14" s="632"/>
      <c r="AN14" s="633"/>
      <c r="AO14" s="633"/>
    </row>
    <row r="15">
      <c r="D15" s="605" t="s">
        <v>1351</v>
      </c>
      <c r="E15" s="381">
        <v>3850000.0</v>
      </c>
      <c r="F15" s="523">
        <f>E15/F1</f>
        <v>2905.660377</v>
      </c>
      <c r="K15" s="627"/>
      <c r="L15" s="380"/>
      <c r="M15" s="635"/>
      <c r="R15" s="627"/>
      <c r="S15" s="380"/>
      <c r="T15" s="635"/>
      <c r="Y15" s="627"/>
      <c r="Z15" s="380"/>
      <c r="AA15" s="635"/>
      <c r="AF15" s="627"/>
      <c r="AG15" s="380"/>
      <c r="AH15" s="635"/>
      <c r="AM15" s="627"/>
      <c r="AN15" s="380"/>
      <c r="AO15" s="635"/>
    </row>
    <row r="16">
      <c r="D16" s="605" t="s">
        <v>1063</v>
      </c>
      <c r="E16" s="606">
        <f t="shared" ref="E16:F16" si="2">+E15/E14</f>
        <v>1.923944075</v>
      </c>
      <c r="F16" s="606">
        <f t="shared" si="2"/>
        <v>1.913344583</v>
      </c>
      <c r="K16" s="627"/>
      <c r="L16" s="636"/>
      <c r="M16" s="636"/>
      <c r="R16" s="627"/>
      <c r="S16" s="636"/>
      <c r="T16" s="636"/>
      <c r="Y16" s="627"/>
      <c r="Z16" s="636"/>
      <c r="AA16" s="636"/>
      <c r="AF16" s="627"/>
      <c r="AG16" s="636"/>
      <c r="AH16" s="636"/>
      <c r="AM16" s="627"/>
      <c r="AN16" s="636"/>
      <c r="AO16" s="636"/>
    </row>
    <row r="17">
      <c r="D17" s="605" t="s">
        <v>1352</v>
      </c>
      <c r="E17" s="604">
        <f t="shared" ref="E17:F17" si="3">+E15-E14</f>
        <v>1848902.333</v>
      </c>
      <c r="F17" s="604">
        <f t="shared" si="3"/>
        <v>1387.031478</v>
      </c>
      <c r="K17" s="627"/>
      <c r="L17" s="633"/>
      <c r="M17" s="633"/>
      <c r="R17" s="627"/>
      <c r="S17" s="633"/>
      <c r="T17" s="633"/>
      <c r="Y17" s="627"/>
      <c r="Z17" s="633"/>
      <c r="AA17" s="633"/>
      <c r="AF17" s="627"/>
      <c r="AG17" s="633"/>
      <c r="AH17" s="633"/>
      <c r="AM17" s="627"/>
      <c r="AN17" s="633"/>
      <c r="AO17" s="633"/>
    </row>
    <row r="18">
      <c r="D18" s="603" t="s">
        <v>1372</v>
      </c>
      <c r="E18" s="604"/>
      <c r="F18" s="604"/>
      <c r="K18" s="632"/>
      <c r="L18" s="633"/>
      <c r="M18" s="633"/>
      <c r="R18" s="632"/>
      <c r="S18" s="633"/>
      <c r="T18" s="633"/>
      <c r="Y18" s="632"/>
      <c r="Z18" s="633"/>
      <c r="AA18" s="633"/>
      <c r="AF18" s="632"/>
      <c r="AG18" s="633"/>
      <c r="AH18" s="633"/>
      <c r="AM18" s="632"/>
      <c r="AN18" s="633"/>
      <c r="AO18" s="633"/>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1.5"/>
    <col customWidth="1" min="2" max="2" width="24.13"/>
    <col customWidth="1" min="3" max="3" width="15.75"/>
    <col customWidth="1" min="4" max="4" width="21.38"/>
    <col customWidth="1" min="5" max="5" width="14.75"/>
    <col customWidth="1" min="6" max="6" width="8.88"/>
    <col customWidth="1" min="7" max="7" width="24.0"/>
    <col customWidth="1" min="8" max="8" width="6.5"/>
    <col customWidth="1" min="9" max="9" width="24.13"/>
    <col customWidth="1" min="10" max="10" width="15.75"/>
    <col customWidth="1" min="11" max="11" width="21.38"/>
    <col customWidth="1" min="12" max="12" width="14.75"/>
    <col customWidth="1" min="13" max="13" width="8.88"/>
    <col customWidth="1" min="14" max="48" width="24.0"/>
  </cols>
  <sheetData>
    <row r="1">
      <c r="A1" s="531" t="s">
        <v>1385</v>
      </c>
      <c r="C1" s="585" t="s">
        <v>1329</v>
      </c>
      <c r="D1" s="586" t="s">
        <v>1357</v>
      </c>
      <c r="E1" s="481">
        <v>2025.0</v>
      </c>
      <c r="F1" s="587">
        <f>VLOOKUP(D$1&amp;" "&amp;E1,'Info Tipo de Cambio y REM'!$A$23:$B$35,2,FALSE())</f>
        <v>1325</v>
      </c>
      <c r="G1" s="92" t="s">
        <v>1374</v>
      </c>
      <c r="K1" s="627"/>
      <c r="L1" s="51"/>
      <c r="M1" s="628"/>
      <c r="R1" s="627"/>
      <c r="S1" s="51"/>
      <c r="T1" s="628"/>
      <c r="Y1" s="627"/>
      <c r="Z1" s="51"/>
      <c r="AA1" s="628"/>
      <c r="AF1" s="627"/>
      <c r="AG1" s="51"/>
      <c r="AH1" s="628"/>
      <c r="AM1" s="627"/>
      <c r="AN1" s="51"/>
      <c r="AO1" s="628"/>
    </row>
    <row r="2">
      <c r="A2" s="569" t="s">
        <v>112</v>
      </c>
      <c r="B2" s="569" t="s">
        <v>1339</v>
      </c>
      <c r="C2" s="588" t="s">
        <v>1264</v>
      </c>
      <c r="D2" s="569" t="s">
        <v>1121</v>
      </c>
      <c r="E2" s="569" t="s">
        <v>1270</v>
      </c>
      <c r="F2" s="569" t="s">
        <v>1340</v>
      </c>
      <c r="H2" s="629"/>
      <c r="I2" s="629"/>
      <c r="J2" s="630"/>
      <c r="K2" s="629"/>
      <c r="L2" s="629"/>
      <c r="M2" s="629"/>
      <c r="O2" s="629"/>
      <c r="P2" s="629"/>
      <c r="Q2" s="630"/>
      <c r="R2" s="629"/>
      <c r="S2" s="629"/>
      <c r="T2" s="629"/>
      <c r="V2" s="629"/>
      <c r="W2" s="629"/>
      <c r="X2" s="630"/>
      <c r="Y2" s="629"/>
      <c r="Z2" s="629"/>
      <c r="AA2" s="629"/>
      <c r="AC2" s="629"/>
      <c r="AD2" s="629"/>
      <c r="AE2" s="630"/>
      <c r="AF2" s="629"/>
      <c r="AG2" s="629"/>
      <c r="AH2" s="629"/>
      <c r="AJ2" s="629"/>
      <c r="AK2" s="629"/>
      <c r="AL2" s="630"/>
      <c r="AM2" s="629"/>
      <c r="AN2" s="629"/>
      <c r="AO2" s="629"/>
    </row>
    <row r="3">
      <c r="A3" s="450" t="s">
        <v>205</v>
      </c>
      <c r="B3" s="450">
        <v>84.0</v>
      </c>
      <c r="C3" s="499">
        <v>35.44</v>
      </c>
      <c r="D3" s="455">
        <v>28973.0</v>
      </c>
      <c r="E3" s="497">
        <v>334270.80000000005</v>
      </c>
      <c r="F3" s="498">
        <v>266.45005033875367</v>
      </c>
      <c r="H3" s="450"/>
      <c r="I3" s="450"/>
      <c r="J3" s="455"/>
      <c r="K3" s="464"/>
      <c r="L3" s="497"/>
      <c r="M3" s="498"/>
      <c r="O3" s="450"/>
      <c r="P3" s="450"/>
      <c r="Q3" s="455"/>
      <c r="R3" s="464"/>
      <c r="S3" s="497"/>
      <c r="T3" s="498"/>
      <c r="V3" s="450"/>
      <c r="W3" s="450"/>
      <c r="X3" s="455"/>
      <c r="Y3" s="464"/>
      <c r="Z3" s="497"/>
      <c r="AA3" s="498"/>
      <c r="AC3" s="450"/>
      <c r="AD3" s="450"/>
      <c r="AE3" s="455"/>
      <c r="AF3" s="464"/>
      <c r="AG3" s="497"/>
      <c r="AH3" s="498"/>
      <c r="AJ3" s="450"/>
      <c r="AK3" s="450"/>
      <c r="AL3" s="455"/>
      <c r="AM3" s="464"/>
      <c r="AN3" s="497"/>
      <c r="AO3" s="498"/>
    </row>
    <row r="4">
      <c r="A4" s="450" t="s">
        <v>212</v>
      </c>
      <c r="B4" s="450">
        <v>0.0</v>
      </c>
      <c r="C4" s="455">
        <v>25.31</v>
      </c>
      <c r="D4" s="464">
        <v>17000.0</v>
      </c>
      <c r="E4" s="497">
        <v>215135.0</v>
      </c>
      <c r="F4" s="498">
        <v>171.65790940211764</v>
      </c>
      <c r="H4" s="450"/>
      <c r="I4" s="450"/>
      <c r="J4" s="455"/>
      <c r="K4" s="464"/>
      <c r="L4" s="497"/>
      <c r="M4" s="498"/>
      <c r="O4" s="450"/>
      <c r="P4" s="450"/>
      <c r="Q4" s="455"/>
      <c r="R4" s="464"/>
      <c r="S4" s="497"/>
      <c r="T4" s="498"/>
      <c r="V4" s="450"/>
      <c r="W4" s="450"/>
      <c r="X4" s="455"/>
      <c r="Y4" s="464"/>
      <c r="Z4" s="497"/>
      <c r="AA4" s="498"/>
      <c r="AC4" s="450"/>
      <c r="AD4" s="450"/>
      <c r="AE4" s="455"/>
      <c r="AF4" s="464"/>
      <c r="AG4" s="497"/>
      <c r="AH4" s="498"/>
      <c r="AJ4" s="450"/>
      <c r="AK4" s="450"/>
      <c r="AL4" s="455"/>
      <c r="AM4" s="464"/>
      <c r="AN4" s="497"/>
      <c r="AO4" s="498"/>
    </row>
    <row r="5">
      <c r="A5" s="450" t="s">
        <v>228</v>
      </c>
      <c r="B5" s="450">
        <v>0.0</v>
      </c>
      <c r="C5" s="455">
        <v>4.7</v>
      </c>
      <c r="D5" s="464">
        <v>18000.0</v>
      </c>
      <c r="E5" s="497">
        <v>84600.0</v>
      </c>
      <c r="F5" s="498">
        <v>71.39240506329114</v>
      </c>
      <c r="H5" s="450"/>
      <c r="I5" s="450"/>
      <c r="J5" s="455"/>
      <c r="K5" s="464"/>
      <c r="L5" s="497"/>
      <c r="M5" s="498"/>
      <c r="O5" s="450"/>
      <c r="P5" s="450"/>
      <c r="Q5" s="455"/>
      <c r="R5" s="464"/>
      <c r="S5" s="497"/>
      <c r="T5" s="498"/>
      <c r="V5" s="450"/>
      <c r="W5" s="450"/>
      <c r="X5" s="455"/>
      <c r="Y5" s="464"/>
      <c r="Z5" s="497"/>
      <c r="AA5" s="498"/>
      <c r="AC5" s="450"/>
      <c r="AD5" s="450"/>
      <c r="AE5" s="455"/>
      <c r="AF5" s="464"/>
      <c r="AG5" s="497"/>
      <c r="AH5" s="498"/>
      <c r="AJ5" s="450"/>
      <c r="AK5" s="450"/>
      <c r="AL5" s="455"/>
      <c r="AM5" s="464"/>
      <c r="AN5" s="497"/>
      <c r="AO5" s="498"/>
    </row>
    <row r="6">
      <c r="A6" s="450" t="s">
        <v>87</v>
      </c>
      <c r="B6" s="450">
        <v>0.0</v>
      </c>
      <c r="C6" s="455">
        <v>1.5</v>
      </c>
      <c r="D6" s="464">
        <v>10000.0</v>
      </c>
      <c r="E6" s="497">
        <v>15000.0</v>
      </c>
      <c r="F6" s="498">
        <v>12.658227848101266</v>
      </c>
    </row>
    <row r="7">
      <c r="A7" s="450" t="s">
        <v>217</v>
      </c>
      <c r="B7" s="450">
        <v>0.0</v>
      </c>
      <c r="C7" s="455">
        <v>26.6</v>
      </c>
      <c r="D7" s="464">
        <v>19376.0</v>
      </c>
      <c r="E7" s="497">
        <v>257700.8</v>
      </c>
      <c r="F7" s="498">
        <v>218.1618708431667</v>
      </c>
      <c r="K7" s="589"/>
      <c r="L7" s="612"/>
      <c r="M7" s="589"/>
      <c r="R7" s="589"/>
      <c r="S7" s="612"/>
      <c r="T7" s="589"/>
      <c r="Y7" s="589"/>
      <c r="Z7" s="612"/>
      <c r="AA7" s="589"/>
      <c r="AF7" s="589"/>
      <c r="AG7" s="612"/>
      <c r="AH7" s="589"/>
      <c r="AM7" s="589"/>
      <c r="AN7" s="612"/>
      <c r="AO7" s="589"/>
    </row>
    <row r="8">
      <c r="A8" s="450" t="s">
        <v>210</v>
      </c>
      <c r="B8" s="450">
        <v>16.0</v>
      </c>
      <c r="C8" s="455">
        <v>5.0</v>
      </c>
      <c r="D8" s="464">
        <v>29434.0</v>
      </c>
      <c r="E8" s="497">
        <v>73585.0</v>
      </c>
      <c r="F8" s="498">
        <v>56.84808852798344</v>
      </c>
      <c r="K8" s="589"/>
      <c r="L8" s="612"/>
      <c r="M8" s="589"/>
      <c r="R8" s="589"/>
      <c r="S8" s="612"/>
      <c r="T8" s="589"/>
      <c r="Y8" s="589"/>
      <c r="Z8" s="612"/>
      <c r="AA8" s="589"/>
      <c r="AF8" s="589"/>
      <c r="AG8" s="612"/>
      <c r="AH8" s="589"/>
      <c r="AM8" s="589"/>
      <c r="AN8" s="612"/>
      <c r="AO8" s="589"/>
    </row>
    <row r="9">
      <c r="A9" s="450" t="s">
        <v>221</v>
      </c>
      <c r="B9" s="450">
        <v>20.0</v>
      </c>
      <c r="C9" s="455">
        <v>15.3</v>
      </c>
      <c r="D9" s="464">
        <v>10121.0</v>
      </c>
      <c r="E9" s="497">
        <v>154851.30000000002</v>
      </c>
      <c r="F9" s="498">
        <v>116.86890566037737</v>
      </c>
      <c r="K9" s="589"/>
      <c r="L9" s="612"/>
      <c r="M9" s="589"/>
      <c r="R9" s="589"/>
      <c r="S9" s="612"/>
      <c r="T9" s="589"/>
      <c r="Y9" s="589"/>
      <c r="Z9" s="612"/>
      <c r="AA9" s="589"/>
      <c r="AF9" s="589"/>
      <c r="AG9" s="612"/>
      <c r="AH9" s="589"/>
      <c r="AM9" s="589"/>
      <c r="AN9" s="612"/>
      <c r="AO9" s="589"/>
    </row>
    <row r="10">
      <c r="A10" s="450" t="s">
        <v>203</v>
      </c>
      <c r="B10" s="450">
        <v>240.0</v>
      </c>
      <c r="C10" s="455">
        <v>56.5</v>
      </c>
      <c r="D10" s="464">
        <v>28097.0</v>
      </c>
      <c r="E10" s="497">
        <v>526503.1</v>
      </c>
      <c r="F10" s="498">
        <v>429.810580037215</v>
      </c>
      <c r="K10" s="589"/>
      <c r="L10" s="612"/>
      <c r="M10" s="589"/>
      <c r="R10" s="589"/>
      <c r="S10" s="612"/>
      <c r="T10" s="589"/>
      <c r="Y10" s="589"/>
      <c r="Z10" s="612"/>
      <c r="AA10" s="589"/>
      <c r="AF10" s="589"/>
      <c r="AG10" s="612"/>
      <c r="AH10" s="589"/>
      <c r="AM10" s="589"/>
      <c r="AN10" s="612"/>
      <c r="AO10" s="589"/>
    </row>
    <row r="11">
      <c r="A11" s="450" t="s">
        <v>197</v>
      </c>
      <c r="B11" s="450">
        <v>240.0</v>
      </c>
      <c r="C11" s="455">
        <v>44.199999999999996</v>
      </c>
      <c r="D11" s="464">
        <v>34107.0</v>
      </c>
      <c r="E11" s="497">
        <v>487549.99999999994</v>
      </c>
      <c r="F11" s="498">
        <v>399.7384013944156</v>
      </c>
      <c r="K11" s="589"/>
      <c r="L11" s="612"/>
      <c r="M11" s="589"/>
      <c r="R11" s="589"/>
      <c r="S11" s="612"/>
      <c r="T11" s="589"/>
      <c r="Y11" s="589"/>
      <c r="Z11" s="612"/>
      <c r="AA11" s="589"/>
      <c r="AF11" s="589"/>
      <c r="AG11" s="612"/>
      <c r="AH11" s="589"/>
      <c r="AM11" s="589"/>
      <c r="AN11" s="612"/>
      <c r="AO11" s="589"/>
    </row>
    <row r="12">
      <c r="A12" s="450" t="s">
        <v>120</v>
      </c>
      <c r="B12" s="450">
        <v>120.0</v>
      </c>
      <c r="C12" s="455">
        <v>57.599999999999994</v>
      </c>
      <c r="D12" s="464">
        <v>69166.66666666667</v>
      </c>
      <c r="E12" s="497">
        <v>1374333.3333333335</v>
      </c>
      <c r="F12" s="498">
        <v>1150.638275048273</v>
      </c>
      <c r="K12" s="589"/>
      <c r="L12" s="612"/>
      <c r="M12" s="589"/>
      <c r="R12" s="589"/>
      <c r="S12" s="612"/>
      <c r="T12" s="589"/>
      <c r="Y12" s="589"/>
      <c r="Z12" s="612"/>
      <c r="AA12" s="589"/>
      <c r="AF12" s="589"/>
      <c r="AG12" s="612"/>
      <c r="AH12" s="589"/>
      <c r="AM12" s="589"/>
      <c r="AN12" s="612"/>
      <c r="AO12" s="589"/>
    </row>
    <row r="13">
      <c r="A13" s="569" t="s">
        <v>1266</v>
      </c>
      <c r="B13" s="569">
        <v>720.0</v>
      </c>
      <c r="C13" s="588">
        <v>272.15</v>
      </c>
      <c r="D13" s="590">
        <v>264274.6666666666</v>
      </c>
      <c r="E13" s="591">
        <v>3523529.333333333</v>
      </c>
      <c r="F13" s="592">
        <v>2894.2247141636954</v>
      </c>
      <c r="K13" s="589"/>
      <c r="L13" s="612"/>
      <c r="M13" s="589"/>
      <c r="R13" s="589"/>
      <c r="S13" s="612"/>
      <c r="T13" s="589"/>
      <c r="Y13" s="589"/>
      <c r="Z13" s="612"/>
      <c r="AA13" s="589"/>
      <c r="AF13" s="589"/>
      <c r="AG13" s="612"/>
      <c r="AH13" s="589"/>
      <c r="AM13" s="589"/>
      <c r="AN13" s="612"/>
      <c r="AO13" s="589"/>
    </row>
    <row r="14">
      <c r="D14" s="589"/>
      <c r="E14" s="612"/>
      <c r="F14" s="589"/>
      <c r="K14" s="589"/>
      <c r="L14" s="612"/>
      <c r="M14" s="589"/>
      <c r="R14" s="589"/>
      <c r="S14" s="612"/>
      <c r="T14" s="589"/>
      <c r="Y14" s="589"/>
      <c r="Z14" s="612"/>
      <c r="AA14" s="589"/>
      <c r="AF14" s="589"/>
      <c r="AG14" s="612"/>
      <c r="AH14" s="589"/>
      <c r="AM14" s="589"/>
      <c r="AN14" s="612"/>
      <c r="AO14" s="589"/>
    </row>
    <row r="15">
      <c r="D15" s="589"/>
      <c r="E15" s="612"/>
      <c r="F15" s="589"/>
      <c r="K15" s="589"/>
      <c r="L15" s="612"/>
      <c r="M15" s="589"/>
      <c r="R15" s="589"/>
      <c r="S15" s="612"/>
      <c r="T15" s="589"/>
      <c r="Y15" s="589"/>
      <c r="Z15" s="612"/>
      <c r="AA15" s="589"/>
      <c r="AF15" s="589"/>
      <c r="AG15" s="612"/>
      <c r="AH15" s="589"/>
      <c r="AM15" s="589"/>
      <c r="AN15" s="612"/>
      <c r="AO15" s="589"/>
    </row>
    <row r="16">
      <c r="D16" s="589"/>
      <c r="E16" s="612"/>
      <c r="F16" s="589"/>
      <c r="K16" s="589"/>
      <c r="L16" s="612"/>
      <c r="M16" s="589"/>
      <c r="R16" s="589"/>
      <c r="S16" s="612"/>
      <c r="T16" s="589"/>
      <c r="Y16" s="589"/>
      <c r="Z16" s="612"/>
      <c r="AA16" s="589"/>
      <c r="AF16" s="589"/>
      <c r="AG16" s="612"/>
      <c r="AH16" s="589"/>
      <c r="AM16" s="589"/>
      <c r="AN16" s="612"/>
      <c r="AO16" s="589"/>
    </row>
    <row r="17">
      <c r="D17" s="589"/>
      <c r="E17" s="612"/>
      <c r="F17" s="589"/>
      <c r="K17" s="589"/>
      <c r="L17" s="612"/>
      <c r="M17" s="589"/>
      <c r="R17" s="589"/>
      <c r="S17" s="612"/>
      <c r="T17" s="589"/>
      <c r="Y17" s="589"/>
      <c r="Z17" s="612"/>
      <c r="AA17" s="589"/>
      <c r="AF17" s="589"/>
      <c r="AG17" s="612"/>
      <c r="AH17" s="589"/>
      <c r="AM17" s="589"/>
      <c r="AN17" s="612"/>
      <c r="AO17" s="589"/>
    </row>
    <row r="18">
      <c r="D18" s="589"/>
      <c r="E18" s="612"/>
      <c r="F18" s="589"/>
      <c r="K18" s="589"/>
      <c r="L18" s="612"/>
      <c r="M18" s="589"/>
      <c r="R18" s="589"/>
      <c r="S18" s="612"/>
      <c r="T18" s="589"/>
      <c r="Y18" s="589"/>
      <c r="Z18" s="612"/>
      <c r="AA18" s="589"/>
      <c r="AF18" s="589"/>
      <c r="AG18" s="612"/>
      <c r="AH18" s="589"/>
      <c r="AM18" s="589"/>
      <c r="AN18" s="612"/>
      <c r="AO18" s="589"/>
    </row>
    <row r="19">
      <c r="D19" s="589"/>
      <c r="E19" s="612"/>
      <c r="F19" s="589"/>
      <c r="K19" s="589"/>
      <c r="L19" s="612"/>
      <c r="M19" s="589"/>
      <c r="R19" s="589"/>
      <c r="S19" s="612"/>
      <c r="T19" s="589"/>
      <c r="Y19" s="589"/>
      <c r="Z19" s="612"/>
      <c r="AA19" s="589"/>
      <c r="AF19" s="589"/>
      <c r="AG19" s="612"/>
      <c r="AH19" s="589"/>
      <c r="AM19" s="589"/>
      <c r="AN19" s="612"/>
      <c r="AO19" s="589"/>
    </row>
    <row r="20">
      <c r="D20" s="589"/>
      <c r="E20" s="600" t="s">
        <v>1375</v>
      </c>
      <c r="F20" s="589"/>
      <c r="K20" s="589"/>
      <c r="L20" s="612"/>
      <c r="M20" s="589"/>
      <c r="R20" s="589"/>
      <c r="S20" s="612"/>
      <c r="T20" s="589"/>
      <c r="Y20" s="589"/>
      <c r="Z20" s="612"/>
      <c r="AA20" s="589"/>
      <c r="AF20" s="589"/>
      <c r="AG20" s="612"/>
      <c r="AH20" s="589"/>
      <c r="AM20" s="589"/>
      <c r="AN20" s="612"/>
      <c r="AO20" s="589"/>
    </row>
    <row r="21">
      <c r="D21" s="589"/>
      <c r="E21" s="601" t="s">
        <v>1349</v>
      </c>
      <c r="F21" s="602" t="s">
        <v>791</v>
      </c>
      <c r="K21" s="589"/>
      <c r="L21" s="631"/>
      <c r="M21" s="631"/>
      <c r="R21" s="589"/>
      <c r="S21" s="631"/>
      <c r="T21" s="631"/>
      <c r="Y21" s="589"/>
      <c r="Z21" s="631"/>
      <c r="AA21" s="631"/>
      <c r="AF21" s="589"/>
      <c r="AG21" s="631"/>
      <c r="AH21" s="631"/>
      <c r="AM21" s="589"/>
      <c r="AN21" s="631"/>
      <c r="AO21" s="631"/>
    </row>
    <row r="22">
      <c r="D22" s="603" t="s">
        <v>1350</v>
      </c>
      <c r="E22" s="604">
        <f t="shared" ref="E22:F22" si="1">E13</f>
        <v>3523529.333</v>
      </c>
      <c r="F22" s="604">
        <f t="shared" si="1"/>
        <v>2894.224714</v>
      </c>
      <c r="K22" s="632"/>
      <c r="L22" s="633"/>
      <c r="M22" s="633"/>
      <c r="R22" s="632"/>
      <c r="S22" s="633"/>
      <c r="T22" s="633"/>
      <c r="Y22" s="632"/>
      <c r="Z22" s="633"/>
      <c r="AA22" s="633"/>
      <c r="AF22" s="632"/>
      <c r="AG22" s="633"/>
      <c r="AH22" s="633"/>
      <c r="AM22" s="632"/>
      <c r="AN22" s="633"/>
      <c r="AO22" s="633"/>
    </row>
    <row r="23">
      <c r="D23" s="605" t="s">
        <v>1351</v>
      </c>
      <c r="E23" s="381">
        <f>F23*F1</f>
        <v>7377600</v>
      </c>
      <c r="F23" s="521">
        <v>5568.0</v>
      </c>
      <c r="K23" s="627"/>
      <c r="L23" s="380"/>
      <c r="M23" s="635"/>
      <c r="R23" s="627"/>
      <c r="S23" s="380"/>
      <c r="T23" s="635"/>
      <c r="Y23" s="627"/>
      <c r="Z23" s="380"/>
      <c r="AA23" s="635"/>
      <c r="AF23" s="627"/>
      <c r="AG23" s="380"/>
      <c r="AH23" s="635"/>
      <c r="AM23" s="627"/>
      <c r="AN23" s="380"/>
      <c r="AO23" s="635"/>
    </row>
    <row r="24">
      <c r="D24" s="605" t="s">
        <v>1063</v>
      </c>
      <c r="E24" s="606">
        <f t="shared" ref="E24:F24" si="2">+E23/E22</f>
        <v>2.093809729</v>
      </c>
      <c r="F24" s="606">
        <f t="shared" si="2"/>
        <v>1.923831267</v>
      </c>
      <c r="K24" s="627"/>
      <c r="L24" s="636"/>
      <c r="M24" s="636"/>
      <c r="R24" s="627"/>
      <c r="S24" s="636"/>
      <c r="T24" s="636"/>
      <c r="Y24" s="627"/>
      <c r="Z24" s="636"/>
      <c r="AA24" s="636"/>
      <c r="AF24" s="627"/>
      <c r="AG24" s="636"/>
      <c r="AH24" s="636"/>
      <c r="AM24" s="627"/>
      <c r="AN24" s="636"/>
      <c r="AO24" s="636"/>
    </row>
    <row r="25">
      <c r="D25" s="605" t="s">
        <v>1352</v>
      </c>
      <c r="E25" s="604">
        <f t="shared" ref="E25:F25" si="3">+E23-E22</f>
        <v>3854070.667</v>
      </c>
      <c r="F25" s="604">
        <f t="shared" si="3"/>
        <v>2673.775286</v>
      </c>
      <c r="K25" s="627"/>
      <c r="L25" s="633"/>
      <c r="M25" s="633"/>
      <c r="R25" s="627"/>
      <c r="S25" s="633"/>
      <c r="T25" s="633"/>
      <c r="Y25" s="627"/>
      <c r="Z25" s="633"/>
      <c r="AA25" s="633"/>
      <c r="AF25" s="627"/>
      <c r="AG25" s="633"/>
      <c r="AH25" s="633"/>
      <c r="AM25" s="627"/>
      <c r="AN25" s="633"/>
      <c r="AO25" s="633"/>
    </row>
    <row r="26">
      <c r="D26" s="603" t="s">
        <v>1372</v>
      </c>
      <c r="E26" s="604"/>
      <c r="F26" s="604"/>
      <c r="K26" s="632"/>
      <c r="L26" s="633"/>
      <c r="M26" s="633"/>
      <c r="R26" s="632"/>
      <c r="S26" s="633"/>
      <c r="T26" s="633"/>
      <c r="Y26" s="632"/>
      <c r="Z26" s="633"/>
      <c r="AA26" s="633"/>
      <c r="AF26" s="632"/>
      <c r="AG26" s="633"/>
      <c r="AH26" s="633"/>
      <c r="AM26" s="632"/>
      <c r="AN26" s="633"/>
      <c r="AO26" s="633"/>
    </row>
  </sheetData>
  <dataValidations>
    <dataValidation type="list" allowBlank="1" showErrorMessage="1" sqref="D1">
      <formula1>"01 Ene,02 Feb,03 Mar,04 Abr,05 May,06 Jun,07 Jul,08 Ago,09 Sep,10 Oct,11 Nov,12 Dic"</formula1>
    </dataValidation>
    <dataValidation type="list" allowBlank="1" showErrorMessage="1" sqref="E1">
      <formula1>"2025,2026,2027,2028"</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5"/>
    <col customWidth="1" min="6" max="6" width="16.38"/>
    <col customWidth="1" min="10" max="10" width="16.38"/>
    <col customWidth="1" min="14" max="14" width="20.63"/>
    <col customWidth="1" min="18" max="18" width="16.63"/>
    <col customWidth="1" min="22" max="22" width="16.63"/>
  </cols>
  <sheetData>
    <row r="1">
      <c r="A1" s="643" t="s">
        <v>1386</v>
      </c>
      <c r="B1" s="644" t="s">
        <v>1387</v>
      </c>
      <c r="C1" s="645"/>
      <c r="D1" s="79"/>
      <c r="E1" s="79"/>
      <c r="F1" s="79"/>
      <c r="G1" s="79"/>
      <c r="H1" s="79"/>
      <c r="I1" s="79"/>
      <c r="J1" s="79"/>
      <c r="K1" s="645"/>
      <c r="L1" s="645"/>
      <c r="M1" s="79"/>
      <c r="N1" s="79"/>
      <c r="O1" s="645"/>
      <c r="P1" s="645"/>
      <c r="Q1" s="79"/>
      <c r="R1" s="79"/>
      <c r="S1" s="645"/>
      <c r="T1" s="645"/>
      <c r="U1" s="79"/>
      <c r="V1" s="79"/>
      <c r="W1" s="645"/>
      <c r="X1" s="645"/>
      <c r="Y1" s="203"/>
      <c r="Z1" s="203"/>
    </row>
    <row r="2">
      <c r="A2" s="646" t="s">
        <v>1388</v>
      </c>
      <c r="B2" s="647" t="s">
        <v>1389</v>
      </c>
      <c r="C2" s="648" t="s">
        <v>1390</v>
      </c>
      <c r="D2" s="203"/>
      <c r="E2" s="203"/>
      <c r="F2" s="646" t="s">
        <v>1391</v>
      </c>
      <c r="G2" s="649" t="s">
        <v>1392</v>
      </c>
      <c r="H2" s="650" t="s">
        <v>1393</v>
      </c>
      <c r="I2" s="203"/>
      <c r="J2" s="646" t="s">
        <v>1394</v>
      </c>
      <c r="K2" s="647" t="s">
        <v>1389</v>
      </c>
      <c r="L2" s="650" t="s">
        <v>1393</v>
      </c>
      <c r="M2" s="203"/>
      <c r="N2" s="646" t="s">
        <v>1395</v>
      </c>
      <c r="O2" s="647" t="s">
        <v>1389</v>
      </c>
      <c r="P2" s="650" t="s">
        <v>1396</v>
      </c>
      <c r="Q2" s="203"/>
      <c r="R2" s="651" t="s">
        <v>1397</v>
      </c>
      <c r="S2" s="652" t="s">
        <v>1389</v>
      </c>
      <c r="T2" s="653" t="s">
        <v>1398</v>
      </c>
      <c r="U2" s="203"/>
      <c r="V2" s="203"/>
      <c r="W2" s="203"/>
      <c r="X2" s="203"/>
      <c r="Y2" s="203"/>
      <c r="Z2" s="203"/>
    </row>
    <row r="3">
      <c r="A3" s="654" t="s">
        <v>127</v>
      </c>
      <c r="B3" s="655">
        <v>6.0</v>
      </c>
      <c r="C3" s="655">
        <v>125.0</v>
      </c>
      <c r="D3" s="203"/>
      <c r="E3" s="203"/>
      <c r="F3" s="654" t="s">
        <v>87</v>
      </c>
      <c r="G3" s="656">
        <v>13.0</v>
      </c>
      <c r="H3" s="655">
        <v>119.0</v>
      </c>
      <c r="I3" s="203"/>
      <c r="J3" s="654" t="s">
        <v>127</v>
      </c>
      <c r="K3" s="655">
        <v>1.0</v>
      </c>
      <c r="L3" s="655">
        <v>21.0</v>
      </c>
      <c r="M3" s="203"/>
      <c r="N3" s="654" t="s">
        <v>127</v>
      </c>
      <c r="O3" s="655">
        <v>5.0</v>
      </c>
      <c r="P3" s="655">
        <v>104.0</v>
      </c>
      <c r="Q3" s="203"/>
      <c r="R3" s="654" t="s">
        <v>127</v>
      </c>
      <c r="S3" s="657">
        <v>2.0</v>
      </c>
      <c r="T3" s="657">
        <v>38.0</v>
      </c>
      <c r="U3" s="203"/>
      <c r="V3" s="203"/>
      <c r="W3" s="203"/>
      <c r="X3" s="203"/>
      <c r="Y3" s="203"/>
      <c r="Z3" s="203"/>
    </row>
    <row r="4">
      <c r="A4" s="654" t="s">
        <v>120</v>
      </c>
      <c r="B4" s="655">
        <v>5.0</v>
      </c>
      <c r="C4" s="655">
        <v>101.0</v>
      </c>
      <c r="D4" s="203"/>
      <c r="E4" s="203"/>
      <c r="F4" s="654" t="s">
        <v>197</v>
      </c>
      <c r="G4" s="656">
        <v>40.0</v>
      </c>
      <c r="H4" s="655">
        <v>425.0</v>
      </c>
      <c r="I4" s="203"/>
      <c r="J4" s="654" t="s">
        <v>120</v>
      </c>
      <c r="K4" s="655">
        <v>1.0</v>
      </c>
      <c r="L4" s="655">
        <v>20.0</v>
      </c>
      <c r="M4" s="203"/>
      <c r="N4" s="654" t="s">
        <v>120</v>
      </c>
      <c r="O4" s="655">
        <v>5.0</v>
      </c>
      <c r="P4" s="655">
        <v>101.0</v>
      </c>
      <c r="Q4" s="203"/>
      <c r="R4" s="654" t="s">
        <v>120</v>
      </c>
      <c r="S4" s="657">
        <v>2.0</v>
      </c>
      <c r="T4" s="657">
        <v>37.0</v>
      </c>
      <c r="U4" s="203"/>
      <c r="V4" s="203"/>
      <c r="W4" s="203"/>
      <c r="X4" s="203"/>
      <c r="Y4" s="203"/>
      <c r="Z4" s="203"/>
    </row>
    <row r="5">
      <c r="A5" s="654" t="s">
        <v>200</v>
      </c>
      <c r="B5" s="655">
        <v>120.0</v>
      </c>
      <c r="C5" s="655">
        <v>1686.0</v>
      </c>
      <c r="D5" s="203"/>
      <c r="E5" s="203"/>
      <c r="F5" s="654" t="s">
        <v>203</v>
      </c>
      <c r="G5" s="656">
        <v>100.0</v>
      </c>
      <c r="H5" s="655">
        <v>822.0</v>
      </c>
      <c r="I5" s="203"/>
      <c r="J5" s="654" t="s">
        <v>216</v>
      </c>
      <c r="K5" s="655">
        <v>2.0</v>
      </c>
      <c r="L5" s="655">
        <v>22.0</v>
      </c>
      <c r="M5" s="203"/>
      <c r="N5" s="654" t="s">
        <v>197</v>
      </c>
      <c r="O5" s="655">
        <v>45.0</v>
      </c>
      <c r="P5" s="655">
        <v>478.0</v>
      </c>
      <c r="Q5" s="203"/>
      <c r="R5" s="654" t="s">
        <v>197</v>
      </c>
      <c r="S5" s="657">
        <v>30.0</v>
      </c>
      <c r="T5" s="657">
        <v>294.0</v>
      </c>
      <c r="U5" s="203"/>
      <c r="V5" s="203"/>
      <c r="W5" s="203"/>
      <c r="X5" s="203"/>
      <c r="Y5" s="203"/>
      <c r="Z5" s="203"/>
    </row>
    <row r="6">
      <c r="A6" s="654" t="s">
        <v>218</v>
      </c>
      <c r="B6" s="655">
        <v>32.0</v>
      </c>
      <c r="C6" s="655">
        <v>507.0</v>
      </c>
      <c r="D6" s="203"/>
      <c r="E6" s="203"/>
      <c r="F6" s="654" t="s">
        <v>217</v>
      </c>
      <c r="G6" s="656">
        <v>100.0</v>
      </c>
      <c r="H6" s="655">
        <v>807.0</v>
      </c>
      <c r="I6" s="203"/>
      <c r="J6" s="654" t="s">
        <v>228</v>
      </c>
      <c r="K6" s="655">
        <v>27.0</v>
      </c>
      <c r="L6" s="655">
        <v>441.0</v>
      </c>
      <c r="M6" s="203"/>
      <c r="N6" s="654" t="s">
        <v>203</v>
      </c>
      <c r="O6" s="655">
        <v>40.0</v>
      </c>
      <c r="P6" s="655">
        <v>329.0</v>
      </c>
      <c r="Q6" s="203"/>
      <c r="R6" s="654" t="s">
        <v>203</v>
      </c>
      <c r="S6" s="657">
        <v>25.0</v>
      </c>
      <c r="T6" s="657">
        <v>190.0</v>
      </c>
      <c r="U6" s="203"/>
      <c r="V6" s="203"/>
      <c r="W6" s="203"/>
      <c r="X6" s="203"/>
      <c r="Y6" s="203"/>
      <c r="Z6" s="203"/>
    </row>
    <row r="7">
      <c r="A7" s="654" t="s">
        <v>197</v>
      </c>
      <c r="B7" s="655">
        <v>5.0</v>
      </c>
      <c r="C7" s="655">
        <v>53.0</v>
      </c>
      <c r="D7" s="203"/>
      <c r="E7" s="203"/>
      <c r="F7" s="654" t="s">
        <v>205</v>
      </c>
      <c r="G7" s="656">
        <v>70.0</v>
      </c>
      <c r="H7" s="655">
        <v>583.0</v>
      </c>
      <c r="I7" s="203"/>
      <c r="J7" s="654" t="s">
        <v>217</v>
      </c>
      <c r="K7" s="655">
        <v>27.0</v>
      </c>
      <c r="L7" s="655">
        <v>544.0</v>
      </c>
      <c r="M7" s="203"/>
      <c r="N7" s="654" t="s">
        <v>205</v>
      </c>
      <c r="O7" s="655">
        <v>10.0</v>
      </c>
      <c r="P7" s="655">
        <v>83.0</v>
      </c>
      <c r="Q7" s="203"/>
      <c r="R7" s="654" t="s">
        <v>205</v>
      </c>
      <c r="S7" s="657">
        <v>10.0</v>
      </c>
      <c r="T7" s="657">
        <v>77.0</v>
      </c>
      <c r="U7" s="203"/>
      <c r="V7" s="203"/>
      <c r="W7" s="203"/>
      <c r="X7" s="203"/>
      <c r="Y7" s="203"/>
      <c r="Z7" s="203"/>
    </row>
    <row r="8">
      <c r="A8" s="654" t="s">
        <v>221</v>
      </c>
      <c r="B8" s="655">
        <v>70.0</v>
      </c>
      <c r="C8" s="655">
        <v>641.0</v>
      </c>
      <c r="D8" s="203"/>
      <c r="E8" s="203"/>
      <c r="F8" s="654" t="s">
        <v>120</v>
      </c>
      <c r="G8" s="656">
        <v>10.0</v>
      </c>
      <c r="H8" s="655">
        <v>201.0</v>
      </c>
      <c r="I8" s="203"/>
      <c r="J8" s="654" t="s">
        <v>210</v>
      </c>
      <c r="K8" s="655">
        <v>1.0</v>
      </c>
      <c r="L8" s="655">
        <v>20.0</v>
      </c>
      <c r="M8" s="203"/>
      <c r="N8" s="654" t="s">
        <v>221</v>
      </c>
      <c r="O8" s="655">
        <v>10.0</v>
      </c>
      <c r="P8" s="655">
        <v>92.0</v>
      </c>
      <c r="Q8" s="203"/>
      <c r="R8" s="654" t="s">
        <v>212</v>
      </c>
      <c r="S8" s="657">
        <v>0.0</v>
      </c>
      <c r="T8" s="657">
        <v>0.0</v>
      </c>
      <c r="U8" s="203"/>
      <c r="V8" s="203"/>
      <c r="W8" s="203"/>
      <c r="X8" s="203"/>
      <c r="Y8" s="203"/>
      <c r="Z8" s="203"/>
    </row>
    <row r="9">
      <c r="A9" s="654" t="s">
        <v>205</v>
      </c>
      <c r="B9" s="655">
        <v>100.0</v>
      </c>
      <c r="C9" s="655">
        <v>833.0</v>
      </c>
      <c r="D9" s="203"/>
      <c r="E9" s="203"/>
      <c r="F9" s="654" t="s">
        <v>210</v>
      </c>
      <c r="G9" s="656">
        <v>4.0</v>
      </c>
      <c r="H9" s="655">
        <v>56.0</v>
      </c>
      <c r="I9" s="203"/>
      <c r="J9" s="658" t="s">
        <v>1399</v>
      </c>
      <c r="K9" s="655">
        <v>59.0</v>
      </c>
      <c r="L9" s="655">
        <v>1068.0</v>
      </c>
      <c r="M9" s="203"/>
      <c r="N9" s="654" t="s">
        <v>87</v>
      </c>
      <c r="O9" s="655">
        <v>10.0</v>
      </c>
      <c r="P9" s="655">
        <v>92.0</v>
      </c>
      <c r="Q9" s="203"/>
      <c r="R9" s="654" t="s">
        <v>87</v>
      </c>
      <c r="S9" s="657">
        <v>10.0</v>
      </c>
      <c r="T9" s="657">
        <v>85.0</v>
      </c>
      <c r="U9" s="203"/>
      <c r="V9" s="203"/>
      <c r="W9" s="203"/>
      <c r="X9" s="203"/>
      <c r="Y9" s="203"/>
      <c r="Z9" s="203"/>
    </row>
    <row r="10">
      <c r="A10" s="654" t="s">
        <v>194</v>
      </c>
      <c r="B10" s="655">
        <v>150.0</v>
      </c>
      <c r="C10" s="655">
        <v>1511.0</v>
      </c>
      <c r="D10" s="203"/>
      <c r="E10" s="203"/>
      <c r="F10" s="654" t="s">
        <v>127</v>
      </c>
      <c r="G10" s="656">
        <v>5.0</v>
      </c>
      <c r="H10" s="655">
        <v>104.0</v>
      </c>
      <c r="I10" s="203"/>
      <c r="J10" s="203"/>
      <c r="K10" s="203"/>
      <c r="L10" s="203"/>
      <c r="M10" s="203"/>
      <c r="N10" s="654" t="s">
        <v>217</v>
      </c>
      <c r="O10" s="655">
        <v>0.0</v>
      </c>
      <c r="P10" s="655">
        <v>0.0</v>
      </c>
      <c r="Q10" s="203"/>
      <c r="R10" s="654" t="s">
        <v>217</v>
      </c>
      <c r="S10" s="657">
        <v>5.0</v>
      </c>
      <c r="T10" s="657">
        <v>93.0</v>
      </c>
      <c r="U10" s="203"/>
      <c r="V10" s="203"/>
      <c r="W10" s="203"/>
      <c r="X10" s="203"/>
      <c r="Y10" s="203"/>
      <c r="Z10" s="203"/>
    </row>
    <row r="11">
      <c r="A11" s="654" t="s">
        <v>216</v>
      </c>
      <c r="B11" s="655">
        <v>40.0</v>
      </c>
      <c r="C11" s="655">
        <v>438.0</v>
      </c>
      <c r="D11" s="203"/>
      <c r="E11" s="203"/>
      <c r="F11" s="658" t="s">
        <v>1400</v>
      </c>
      <c r="G11" s="656">
        <v>1.0</v>
      </c>
      <c r="H11" s="659"/>
      <c r="I11" s="203"/>
      <c r="J11" s="660" t="s">
        <v>1351</v>
      </c>
      <c r="K11" s="661">
        <v>4596700.0</v>
      </c>
      <c r="L11" s="662">
        <v>3831.0</v>
      </c>
      <c r="M11" s="203"/>
      <c r="N11" s="654" t="s">
        <v>210</v>
      </c>
      <c r="O11" s="655">
        <v>6.0</v>
      </c>
      <c r="P11" s="655">
        <v>121.0</v>
      </c>
      <c r="Q11" s="203"/>
      <c r="R11" s="654" t="s">
        <v>210</v>
      </c>
      <c r="S11" s="657">
        <v>6.0</v>
      </c>
      <c r="T11" s="657">
        <v>112.0</v>
      </c>
      <c r="U11" s="203"/>
      <c r="V11" s="203"/>
      <c r="W11" s="203"/>
      <c r="X11" s="203"/>
      <c r="Y11" s="203"/>
      <c r="Z11" s="203"/>
    </row>
    <row r="12">
      <c r="A12" s="654" t="s">
        <v>228</v>
      </c>
      <c r="B12" s="655">
        <v>40.0</v>
      </c>
      <c r="C12" s="655">
        <v>653.0</v>
      </c>
      <c r="D12" s="203"/>
      <c r="E12" s="203"/>
      <c r="F12" s="658" t="s">
        <v>1401</v>
      </c>
      <c r="G12" s="656">
        <v>1.0</v>
      </c>
      <c r="H12" s="663"/>
      <c r="I12" s="203"/>
      <c r="J12" s="660" t="s">
        <v>1402</v>
      </c>
      <c r="K12" s="664"/>
      <c r="L12" s="665">
        <v>3.59</v>
      </c>
      <c r="M12" s="203"/>
      <c r="N12" s="658" t="s">
        <v>1399</v>
      </c>
      <c r="O12" s="655">
        <v>131.0</v>
      </c>
      <c r="P12" s="655">
        <v>1399.0</v>
      </c>
      <c r="Q12" s="203"/>
      <c r="R12" s="666" t="s">
        <v>1399</v>
      </c>
      <c r="S12" s="657">
        <v>105.0</v>
      </c>
      <c r="T12" s="657">
        <v>925.0</v>
      </c>
      <c r="U12" s="203"/>
      <c r="V12" s="203"/>
      <c r="W12" s="203"/>
      <c r="X12" s="203"/>
      <c r="Y12" s="203"/>
      <c r="Z12" s="203"/>
    </row>
    <row r="13">
      <c r="A13" s="654" t="s">
        <v>238</v>
      </c>
      <c r="B13" s="655">
        <v>160.0</v>
      </c>
      <c r="C13" s="655">
        <v>1333.0</v>
      </c>
      <c r="D13" s="203"/>
      <c r="E13" s="203"/>
      <c r="F13" s="658" t="s">
        <v>1399</v>
      </c>
      <c r="G13" s="656">
        <v>344.0</v>
      </c>
      <c r="H13" s="667">
        <v>3118.0</v>
      </c>
      <c r="I13" s="203"/>
      <c r="J13" s="203"/>
      <c r="K13" s="203"/>
      <c r="L13" s="203"/>
      <c r="M13" s="203"/>
      <c r="N13" s="203"/>
      <c r="O13" s="203"/>
      <c r="P13" s="203"/>
      <c r="Q13" s="203"/>
      <c r="R13" s="203"/>
      <c r="S13" s="203"/>
      <c r="T13" s="203"/>
      <c r="U13" s="203"/>
      <c r="V13" s="203"/>
      <c r="W13" s="203"/>
      <c r="X13" s="203"/>
      <c r="Y13" s="203"/>
      <c r="Z13" s="203"/>
    </row>
    <row r="14">
      <c r="A14" s="654" t="s">
        <v>207</v>
      </c>
      <c r="B14" s="655">
        <v>90.0</v>
      </c>
      <c r="C14" s="655">
        <v>825.0</v>
      </c>
      <c r="D14" s="203"/>
      <c r="E14" s="203"/>
      <c r="F14" s="203"/>
      <c r="G14" s="203"/>
      <c r="H14" s="203"/>
      <c r="I14" s="203"/>
      <c r="J14" s="203"/>
      <c r="K14" s="203"/>
      <c r="L14" s="203"/>
      <c r="M14" s="203"/>
      <c r="N14" s="660" t="s">
        <v>1351</v>
      </c>
      <c r="O14" s="661">
        <v>4596700.0</v>
      </c>
      <c r="P14" s="662">
        <v>3831.0</v>
      </c>
      <c r="Q14" s="203"/>
      <c r="R14" s="660" t="s">
        <v>1351</v>
      </c>
      <c r="S14" s="661">
        <v>3075000.0</v>
      </c>
      <c r="T14" s="662">
        <v>2365.0</v>
      </c>
      <c r="U14" s="203"/>
      <c r="V14" s="203"/>
      <c r="W14" s="203"/>
      <c r="X14" s="203"/>
      <c r="Y14" s="203"/>
      <c r="Z14" s="203"/>
    </row>
    <row r="15">
      <c r="A15" s="654" t="s">
        <v>87</v>
      </c>
      <c r="B15" s="655">
        <v>20.0</v>
      </c>
      <c r="C15" s="655">
        <v>183.0</v>
      </c>
      <c r="D15" s="203"/>
      <c r="E15" s="203"/>
      <c r="F15" s="660" t="s">
        <v>1351</v>
      </c>
      <c r="G15" s="668"/>
      <c r="H15" s="662">
        <v>8450.0</v>
      </c>
      <c r="I15" s="203"/>
      <c r="J15" s="203"/>
      <c r="K15" s="203"/>
      <c r="L15" s="203"/>
      <c r="M15" s="203"/>
      <c r="N15" s="660" t="s">
        <v>1402</v>
      </c>
      <c r="O15" s="664"/>
      <c r="P15" s="665">
        <v>2.74</v>
      </c>
      <c r="Q15" s="203"/>
      <c r="R15" s="660" t="s">
        <v>1402</v>
      </c>
      <c r="S15" s="664"/>
      <c r="T15" s="665">
        <v>2.56</v>
      </c>
      <c r="U15" s="203"/>
      <c r="V15" s="203"/>
      <c r="W15" s="203"/>
      <c r="X15" s="203"/>
      <c r="Y15" s="203"/>
      <c r="Z15" s="203"/>
    </row>
    <row r="16">
      <c r="A16" s="658" t="s">
        <v>1403</v>
      </c>
      <c r="B16" s="663"/>
      <c r="C16" s="663"/>
      <c r="D16" s="203"/>
      <c r="E16" s="203"/>
      <c r="F16" s="660" t="s">
        <v>1402</v>
      </c>
      <c r="G16" s="664"/>
      <c r="H16" s="665">
        <v>2.71</v>
      </c>
      <c r="I16" s="203"/>
      <c r="J16" s="203"/>
      <c r="K16" s="203"/>
      <c r="L16" s="203"/>
      <c r="M16" s="203"/>
      <c r="N16" s="203"/>
      <c r="O16" s="203"/>
      <c r="P16" s="203"/>
      <c r="Q16" s="203"/>
      <c r="R16" s="203"/>
      <c r="S16" s="203"/>
      <c r="T16" s="203"/>
      <c r="U16" s="203"/>
      <c r="V16" s="203"/>
      <c r="W16" s="203"/>
      <c r="X16" s="203"/>
      <c r="Y16" s="203"/>
      <c r="Z16" s="203"/>
    </row>
    <row r="17">
      <c r="A17" s="654" t="s">
        <v>230</v>
      </c>
      <c r="B17" s="655">
        <v>160.0</v>
      </c>
      <c r="C17" s="655">
        <v>1417.0</v>
      </c>
      <c r="D17" s="203"/>
      <c r="E17" s="203"/>
      <c r="F17" s="203"/>
      <c r="G17" s="203"/>
      <c r="H17" s="203"/>
      <c r="I17" s="203"/>
      <c r="J17" s="203"/>
      <c r="K17" s="203"/>
      <c r="L17" s="203"/>
      <c r="M17" s="203"/>
      <c r="N17" s="203"/>
      <c r="O17" s="203"/>
      <c r="P17" s="203"/>
      <c r="Q17" s="203"/>
      <c r="R17" s="203"/>
      <c r="S17" s="203"/>
      <c r="T17" s="203"/>
      <c r="U17" s="203"/>
      <c r="V17" s="203"/>
      <c r="W17" s="203"/>
      <c r="X17" s="203"/>
      <c r="Y17" s="203"/>
      <c r="Z17" s="203"/>
    </row>
    <row r="18">
      <c r="A18" s="654" t="s">
        <v>210</v>
      </c>
      <c r="B18" s="655">
        <v>3.0</v>
      </c>
      <c r="C18" s="655">
        <v>42.0</v>
      </c>
      <c r="D18" s="203"/>
      <c r="E18" s="203"/>
      <c r="F18" s="203"/>
      <c r="G18" s="203"/>
      <c r="H18" s="203"/>
      <c r="I18" s="203"/>
      <c r="J18" s="203"/>
      <c r="K18" s="203"/>
      <c r="L18" s="203"/>
      <c r="M18" s="203"/>
      <c r="N18" s="203"/>
      <c r="O18" s="203"/>
      <c r="P18" s="203"/>
      <c r="Q18" s="203"/>
      <c r="R18" s="203"/>
      <c r="S18" s="203"/>
      <c r="T18" s="203"/>
      <c r="U18" s="203"/>
      <c r="V18" s="203"/>
      <c r="W18" s="203"/>
      <c r="X18" s="203"/>
      <c r="Y18" s="203"/>
      <c r="Z18" s="203"/>
    </row>
    <row r="19">
      <c r="A19" s="658" t="s">
        <v>1399</v>
      </c>
      <c r="B19" s="655">
        <v>1001.0</v>
      </c>
      <c r="C19" s="655">
        <v>10347.0</v>
      </c>
      <c r="D19" s="203"/>
      <c r="E19" s="203"/>
      <c r="F19" s="203"/>
      <c r="G19" s="203"/>
      <c r="H19" s="203"/>
      <c r="I19" s="203"/>
      <c r="J19" s="203"/>
      <c r="K19" s="203"/>
      <c r="L19" s="203"/>
      <c r="M19" s="203"/>
      <c r="N19" s="203"/>
      <c r="O19" s="203"/>
      <c r="P19" s="203"/>
      <c r="Q19" s="203"/>
      <c r="R19" s="203"/>
      <c r="S19" s="203"/>
      <c r="T19" s="203"/>
      <c r="U19" s="203"/>
      <c r="V19" s="203"/>
      <c r="W19" s="203"/>
      <c r="X19" s="203"/>
      <c r="Y19" s="203"/>
      <c r="Z19" s="203"/>
    </row>
    <row r="20">
      <c r="A20" s="203"/>
      <c r="B20" s="203"/>
      <c r="C20" s="203"/>
      <c r="D20" s="203"/>
      <c r="E20" s="203"/>
      <c r="F20" s="203"/>
      <c r="G20" s="203"/>
      <c r="H20" s="203"/>
      <c r="I20" s="669" t="s">
        <v>1404</v>
      </c>
      <c r="J20" s="203"/>
      <c r="K20" s="203"/>
      <c r="L20" s="203"/>
      <c r="M20" s="203"/>
      <c r="N20" s="203"/>
      <c r="O20" s="203"/>
      <c r="P20" s="203"/>
      <c r="Q20" s="203"/>
      <c r="R20" s="203"/>
      <c r="S20" s="203"/>
      <c r="T20" s="203"/>
      <c r="U20" s="203"/>
      <c r="V20" s="203"/>
      <c r="W20" s="203"/>
      <c r="X20" s="203"/>
      <c r="Y20" s="203"/>
      <c r="Z20" s="203"/>
    </row>
    <row r="21">
      <c r="A21" s="660" t="s">
        <v>1351</v>
      </c>
      <c r="B21" s="668"/>
      <c r="C21" s="662">
        <v>29230.0</v>
      </c>
      <c r="D21" s="203"/>
      <c r="E21" s="203"/>
      <c r="F21" s="203"/>
      <c r="G21" s="203"/>
      <c r="H21" s="203"/>
      <c r="I21" s="203"/>
      <c r="J21" s="203"/>
      <c r="K21" s="203"/>
      <c r="L21" s="203"/>
      <c r="M21" s="203"/>
      <c r="N21" s="203"/>
      <c r="O21" s="203"/>
      <c r="P21" s="203"/>
      <c r="Q21" s="203"/>
      <c r="R21" s="203"/>
      <c r="S21" s="203"/>
      <c r="T21" s="203"/>
      <c r="U21" s="203"/>
      <c r="V21" s="203"/>
      <c r="W21" s="203"/>
      <c r="X21" s="203"/>
      <c r="Y21" s="203"/>
      <c r="Z21" s="203"/>
    </row>
    <row r="22">
      <c r="A22" s="660" t="s">
        <v>1402</v>
      </c>
      <c r="B22" s="664"/>
      <c r="C22" s="665">
        <v>2.82</v>
      </c>
      <c r="D22" s="203"/>
      <c r="E22" s="203"/>
      <c r="F22" s="203"/>
      <c r="G22" s="203"/>
      <c r="H22" s="203"/>
      <c r="I22" s="203"/>
      <c r="J22" s="203"/>
      <c r="K22" s="203"/>
      <c r="L22" s="203"/>
      <c r="M22" s="203"/>
      <c r="N22" s="203"/>
      <c r="O22" s="203"/>
      <c r="P22" s="203"/>
      <c r="Q22" s="203"/>
      <c r="R22" s="203"/>
      <c r="S22" s="203"/>
      <c r="T22" s="203"/>
      <c r="U22" s="203"/>
      <c r="V22" s="203"/>
      <c r="W22" s="203"/>
      <c r="X22" s="203"/>
      <c r="Y22" s="203"/>
      <c r="Z22" s="203"/>
    </row>
    <row r="23">
      <c r="A23" s="203"/>
      <c r="B23" s="203"/>
      <c r="C23" s="203"/>
      <c r="D23" s="203"/>
      <c r="E23" s="203"/>
      <c r="F23" s="203"/>
      <c r="G23" s="203"/>
      <c r="H23" s="203"/>
      <c r="I23" s="203"/>
      <c r="J23" s="203"/>
      <c r="K23" s="203"/>
      <c r="L23" s="203"/>
      <c r="M23" s="203"/>
      <c r="N23" s="203"/>
      <c r="O23" s="203"/>
      <c r="P23" s="203"/>
      <c r="Q23" s="203"/>
      <c r="R23" s="203"/>
      <c r="S23" s="203"/>
      <c r="T23" s="203"/>
      <c r="U23" s="203"/>
      <c r="V23" s="203"/>
      <c r="W23" s="203"/>
      <c r="X23" s="203"/>
      <c r="Y23" s="203"/>
      <c r="Z23" s="203"/>
    </row>
    <row r="24">
      <c r="A24" s="203"/>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c r="A25" s="203"/>
      <c r="B25" s="203"/>
      <c r="C25" s="203"/>
      <c r="D25" s="203"/>
      <c r="E25" s="203"/>
      <c r="F25" s="203"/>
      <c r="G25" s="203"/>
      <c r="H25" s="203"/>
      <c r="I25" s="203"/>
      <c r="J25" s="203"/>
      <c r="K25" s="203"/>
      <c r="L25" s="203"/>
      <c r="M25" s="203"/>
      <c r="N25" s="669" t="s">
        <v>1405</v>
      </c>
      <c r="O25" s="203"/>
      <c r="P25" s="203"/>
      <c r="Q25" s="203"/>
      <c r="R25" s="203"/>
      <c r="S25" s="203"/>
      <c r="T25" s="203"/>
      <c r="U25" s="203"/>
      <c r="V25" s="203"/>
      <c r="W25" s="203"/>
      <c r="X25" s="203"/>
      <c r="Y25" s="203"/>
      <c r="Z25" s="203"/>
    </row>
    <row r="26">
      <c r="A26" s="203"/>
      <c r="B26" s="203"/>
      <c r="C26" s="203"/>
      <c r="D26" s="203"/>
      <c r="E26" s="203"/>
      <c r="F26" s="203"/>
      <c r="G26" s="203"/>
      <c r="H26" s="203"/>
      <c r="I26" s="203"/>
      <c r="J26" s="203"/>
      <c r="K26" s="203"/>
      <c r="L26" s="203"/>
      <c r="M26" s="203"/>
      <c r="N26" s="203"/>
      <c r="O26" s="203"/>
      <c r="P26" s="203"/>
      <c r="Q26" s="203"/>
      <c r="R26" s="203"/>
      <c r="S26" s="203"/>
      <c r="T26" s="203"/>
      <c r="U26" s="203"/>
      <c r="V26" s="203"/>
      <c r="W26" s="203"/>
      <c r="X26" s="203"/>
      <c r="Y26" s="203"/>
      <c r="Z26" s="203"/>
    </row>
    <row r="27">
      <c r="A27" s="646" t="s">
        <v>1406</v>
      </c>
      <c r="B27" s="647" t="s">
        <v>1389</v>
      </c>
      <c r="C27" s="650" t="s">
        <v>1396</v>
      </c>
      <c r="D27" s="203"/>
      <c r="E27" s="203"/>
      <c r="F27" s="646" t="s">
        <v>1407</v>
      </c>
      <c r="G27" s="647" t="s">
        <v>1389</v>
      </c>
      <c r="H27" s="650" t="s">
        <v>1408</v>
      </c>
      <c r="I27" s="203"/>
      <c r="J27" s="646" t="s">
        <v>1409</v>
      </c>
      <c r="K27" s="647" t="s">
        <v>1389</v>
      </c>
      <c r="L27" s="650" t="s">
        <v>1408</v>
      </c>
      <c r="M27" s="203"/>
      <c r="N27" s="646" t="s">
        <v>1410</v>
      </c>
      <c r="O27" s="647" t="s">
        <v>1389</v>
      </c>
      <c r="P27" s="650" t="s">
        <v>1408</v>
      </c>
      <c r="Q27" s="203"/>
      <c r="R27" s="646" t="s">
        <v>1411</v>
      </c>
      <c r="S27" s="647" t="s">
        <v>1389</v>
      </c>
      <c r="T27" s="650" t="s">
        <v>1396</v>
      </c>
      <c r="U27" s="203"/>
      <c r="V27" s="646" t="s">
        <v>1412</v>
      </c>
      <c r="W27" s="647" t="s">
        <v>1389</v>
      </c>
      <c r="X27" s="650" t="s">
        <v>1393</v>
      </c>
      <c r="Y27" s="203"/>
      <c r="Z27" s="203"/>
    </row>
    <row r="28">
      <c r="A28" s="654" t="s">
        <v>127</v>
      </c>
      <c r="B28" s="655">
        <v>4.0</v>
      </c>
      <c r="C28" s="655">
        <v>83.0</v>
      </c>
      <c r="D28" s="203"/>
      <c r="E28" s="203"/>
      <c r="F28" s="654" t="s">
        <v>127</v>
      </c>
      <c r="G28" s="655">
        <v>1.0</v>
      </c>
      <c r="H28" s="655">
        <v>19.0</v>
      </c>
      <c r="I28" s="203"/>
      <c r="J28" s="654" t="s">
        <v>127</v>
      </c>
      <c r="K28" s="655">
        <v>1.0</v>
      </c>
      <c r="L28" s="655">
        <v>19.0</v>
      </c>
      <c r="M28" s="203"/>
      <c r="N28" s="654" t="s">
        <v>127</v>
      </c>
      <c r="O28" s="655">
        <v>2.0</v>
      </c>
      <c r="P28" s="655">
        <v>38.0</v>
      </c>
      <c r="Q28" s="203"/>
      <c r="R28" s="654" t="s">
        <v>127</v>
      </c>
      <c r="S28" s="655">
        <v>1.0</v>
      </c>
      <c r="T28" s="655">
        <v>21.0</v>
      </c>
      <c r="U28" s="203"/>
      <c r="V28" s="654" t="s">
        <v>127</v>
      </c>
      <c r="W28" s="655">
        <v>5.0</v>
      </c>
      <c r="X28" s="655">
        <v>104.0</v>
      </c>
      <c r="Y28" s="203"/>
      <c r="Z28" s="203"/>
    </row>
    <row r="29">
      <c r="A29" s="654" t="s">
        <v>120</v>
      </c>
      <c r="B29" s="655">
        <v>10.0</v>
      </c>
      <c r="C29" s="655">
        <v>201.0</v>
      </c>
      <c r="D29" s="203"/>
      <c r="E29" s="203"/>
      <c r="F29" s="654" t="s">
        <v>120</v>
      </c>
      <c r="G29" s="655">
        <v>2.0</v>
      </c>
      <c r="H29" s="655">
        <v>37.0</v>
      </c>
      <c r="I29" s="203"/>
      <c r="J29" s="654" t="s">
        <v>120</v>
      </c>
      <c r="K29" s="655">
        <v>2.0</v>
      </c>
      <c r="L29" s="655">
        <v>37.0</v>
      </c>
      <c r="M29" s="203"/>
      <c r="N29" s="654" t="s">
        <v>120</v>
      </c>
      <c r="O29" s="655">
        <v>2.0</v>
      </c>
      <c r="P29" s="655">
        <v>37.0</v>
      </c>
      <c r="Q29" s="203"/>
      <c r="R29" s="654" t="s">
        <v>120</v>
      </c>
      <c r="S29" s="655">
        <v>5.0</v>
      </c>
      <c r="T29" s="655">
        <v>101.0</v>
      </c>
      <c r="U29" s="203"/>
      <c r="V29" s="654" t="s">
        <v>120</v>
      </c>
      <c r="W29" s="655">
        <v>10.0</v>
      </c>
      <c r="X29" s="655">
        <v>201.0</v>
      </c>
      <c r="Y29" s="203"/>
      <c r="Z29" s="203"/>
    </row>
    <row r="30">
      <c r="A30" s="654" t="s">
        <v>200</v>
      </c>
      <c r="B30" s="655">
        <v>20.0</v>
      </c>
      <c r="C30" s="655">
        <v>281.0</v>
      </c>
      <c r="D30" s="203"/>
      <c r="E30" s="203"/>
      <c r="F30" s="654" t="s">
        <v>221</v>
      </c>
      <c r="G30" s="655">
        <v>3.0</v>
      </c>
      <c r="H30" s="655">
        <v>25.0</v>
      </c>
      <c r="I30" s="203"/>
      <c r="J30" s="654" t="s">
        <v>197</v>
      </c>
      <c r="K30" s="655">
        <v>5.0</v>
      </c>
      <c r="L30" s="655">
        <v>49.0</v>
      </c>
      <c r="M30" s="203"/>
      <c r="N30" s="654" t="s">
        <v>197</v>
      </c>
      <c r="O30" s="655">
        <v>30.0</v>
      </c>
      <c r="P30" s="655">
        <v>294.0</v>
      </c>
      <c r="Q30" s="203"/>
      <c r="R30" s="654" t="s">
        <v>228</v>
      </c>
      <c r="S30" s="655">
        <v>25.0</v>
      </c>
      <c r="T30" s="655">
        <v>408.0</v>
      </c>
      <c r="U30" s="203"/>
      <c r="V30" s="654" t="s">
        <v>197</v>
      </c>
      <c r="W30" s="655">
        <v>50.0</v>
      </c>
      <c r="X30" s="655">
        <v>531.0</v>
      </c>
      <c r="Y30" s="203"/>
      <c r="Z30" s="203"/>
    </row>
    <row r="31">
      <c r="A31" s="654" t="s">
        <v>194</v>
      </c>
      <c r="B31" s="655">
        <v>30.0</v>
      </c>
      <c r="C31" s="655">
        <v>302.0</v>
      </c>
      <c r="D31" s="203"/>
      <c r="E31" s="203"/>
      <c r="F31" s="654" t="s">
        <v>197</v>
      </c>
      <c r="G31" s="655">
        <v>2.0</v>
      </c>
      <c r="H31" s="655">
        <v>20.0</v>
      </c>
      <c r="I31" s="203"/>
      <c r="J31" s="654" t="s">
        <v>87</v>
      </c>
      <c r="K31" s="655">
        <v>25.0</v>
      </c>
      <c r="L31" s="655">
        <v>212.0</v>
      </c>
      <c r="M31" s="203"/>
      <c r="N31" s="654" t="s">
        <v>203</v>
      </c>
      <c r="O31" s="655">
        <v>30.0</v>
      </c>
      <c r="P31" s="655">
        <v>228.0</v>
      </c>
      <c r="Q31" s="203"/>
      <c r="R31" s="654" t="s">
        <v>221</v>
      </c>
      <c r="S31" s="655">
        <v>3.0</v>
      </c>
      <c r="T31" s="655">
        <v>27.0</v>
      </c>
      <c r="U31" s="203"/>
      <c r="V31" s="654" t="s">
        <v>203</v>
      </c>
      <c r="W31" s="655">
        <v>20.0</v>
      </c>
      <c r="X31" s="655">
        <v>164.0</v>
      </c>
      <c r="Y31" s="203"/>
      <c r="Z31" s="203"/>
    </row>
    <row r="32">
      <c r="A32" s="654" t="s">
        <v>214</v>
      </c>
      <c r="B32" s="655">
        <v>30.0</v>
      </c>
      <c r="C32" s="655">
        <v>250.0</v>
      </c>
      <c r="D32" s="203"/>
      <c r="E32" s="203"/>
      <c r="F32" s="654" t="s">
        <v>203</v>
      </c>
      <c r="G32" s="655">
        <v>11.0</v>
      </c>
      <c r="H32" s="655">
        <v>83.0</v>
      </c>
      <c r="I32" s="203"/>
      <c r="J32" s="654" t="s">
        <v>207</v>
      </c>
      <c r="K32" s="655">
        <v>10.0</v>
      </c>
      <c r="L32" s="655">
        <v>85.0</v>
      </c>
      <c r="M32" s="203"/>
      <c r="N32" s="654" t="s">
        <v>205</v>
      </c>
      <c r="O32" s="655">
        <v>20.0</v>
      </c>
      <c r="P32" s="655">
        <v>154.0</v>
      </c>
      <c r="Q32" s="203"/>
      <c r="R32" s="654" t="s">
        <v>210</v>
      </c>
      <c r="S32" s="655">
        <v>1.0</v>
      </c>
      <c r="T32" s="655">
        <v>20.0</v>
      </c>
      <c r="U32" s="203"/>
      <c r="V32" s="654" t="s">
        <v>217</v>
      </c>
      <c r="W32" s="655">
        <v>70.0</v>
      </c>
      <c r="X32" s="655">
        <v>1410.0</v>
      </c>
      <c r="Y32" s="203"/>
      <c r="Z32" s="203"/>
    </row>
    <row r="33">
      <c r="A33" s="654" t="s">
        <v>197</v>
      </c>
      <c r="B33" s="655">
        <v>3.0</v>
      </c>
      <c r="C33" s="655">
        <v>32.0</v>
      </c>
      <c r="D33" s="203"/>
      <c r="E33" s="203"/>
      <c r="F33" s="654" t="s">
        <v>210</v>
      </c>
      <c r="G33" s="655">
        <v>1.0</v>
      </c>
      <c r="H33" s="655">
        <v>13.0</v>
      </c>
      <c r="I33" s="203"/>
      <c r="J33" s="654" t="s">
        <v>210</v>
      </c>
      <c r="K33" s="655">
        <v>2.0</v>
      </c>
      <c r="L33" s="655">
        <v>26.0</v>
      </c>
      <c r="M33" s="203"/>
      <c r="N33" s="654" t="s">
        <v>87</v>
      </c>
      <c r="O33" s="655">
        <v>20.0</v>
      </c>
      <c r="P33" s="655">
        <v>169.0</v>
      </c>
      <c r="Q33" s="203"/>
      <c r="R33" s="658" t="s">
        <v>1399</v>
      </c>
      <c r="S33" s="655">
        <v>35.0</v>
      </c>
      <c r="T33" s="655">
        <v>577.0</v>
      </c>
      <c r="U33" s="203"/>
      <c r="V33" s="654" t="s">
        <v>205</v>
      </c>
      <c r="W33" s="655">
        <v>40.0</v>
      </c>
      <c r="X33" s="655">
        <v>333.0</v>
      </c>
      <c r="Y33" s="203"/>
      <c r="Z33" s="203"/>
    </row>
    <row r="34">
      <c r="A34" s="654" t="s">
        <v>221</v>
      </c>
      <c r="B34" s="655">
        <v>15.0</v>
      </c>
      <c r="C34" s="655">
        <v>137.0</v>
      </c>
      <c r="D34" s="203"/>
      <c r="E34" s="203"/>
      <c r="F34" s="658" t="s">
        <v>1399</v>
      </c>
      <c r="G34" s="670">
        <v>20.0</v>
      </c>
      <c r="H34" s="655">
        <v>198.0</v>
      </c>
      <c r="I34" s="203"/>
      <c r="J34" s="658" t="s">
        <v>1399</v>
      </c>
      <c r="K34" s="655">
        <v>45.0</v>
      </c>
      <c r="L34" s="655">
        <v>427.0</v>
      </c>
      <c r="M34" s="203"/>
      <c r="N34" s="654" t="s">
        <v>217</v>
      </c>
      <c r="O34" s="655">
        <v>10.0</v>
      </c>
      <c r="P34" s="655">
        <v>79.0</v>
      </c>
      <c r="Q34" s="203"/>
      <c r="R34" s="203"/>
      <c r="S34" s="203"/>
      <c r="T34" s="203"/>
      <c r="U34" s="203"/>
      <c r="V34" s="654" t="s">
        <v>87</v>
      </c>
      <c r="W34" s="655">
        <v>10.0</v>
      </c>
      <c r="X34" s="655">
        <v>92.0</v>
      </c>
      <c r="Y34" s="203"/>
      <c r="Z34" s="203"/>
    </row>
    <row r="35">
      <c r="A35" s="654" t="s">
        <v>203</v>
      </c>
      <c r="B35" s="655">
        <v>4.0</v>
      </c>
      <c r="C35" s="655">
        <v>33.0</v>
      </c>
      <c r="D35" s="203"/>
      <c r="E35" s="203"/>
      <c r="F35" s="203"/>
      <c r="G35" s="671"/>
      <c r="H35" s="671"/>
      <c r="I35" s="203"/>
      <c r="J35" s="203"/>
      <c r="K35" s="203"/>
      <c r="L35" s="203"/>
      <c r="M35" s="203"/>
      <c r="N35" s="654" t="s">
        <v>210</v>
      </c>
      <c r="O35" s="655">
        <v>6.0</v>
      </c>
      <c r="P35" s="655">
        <v>77.0</v>
      </c>
      <c r="Q35" s="203"/>
      <c r="R35" s="660" t="s">
        <v>1351</v>
      </c>
      <c r="S35" s="661">
        <v>1675000.0</v>
      </c>
      <c r="T35" s="662">
        <v>1396.0</v>
      </c>
      <c r="U35" s="203"/>
      <c r="V35" s="654" t="s">
        <v>210</v>
      </c>
      <c r="W35" s="655">
        <v>5.0</v>
      </c>
      <c r="X35" s="655">
        <v>101.0</v>
      </c>
      <c r="Y35" s="203"/>
      <c r="Z35" s="203"/>
    </row>
    <row r="36">
      <c r="A36" s="654" t="s">
        <v>205</v>
      </c>
      <c r="B36" s="655">
        <v>25.0</v>
      </c>
      <c r="C36" s="655">
        <v>208.0</v>
      </c>
      <c r="D36" s="203"/>
      <c r="E36" s="203"/>
      <c r="F36" s="660" t="s">
        <v>1351</v>
      </c>
      <c r="G36" s="661">
        <v>870000.0</v>
      </c>
      <c r="H36" s="662">
        <v>669.0</v>
      </c>
      <c r="I36" s="203"/>
      <c r="J36" s="660" t="s">
        <v>1351</v>
      </c>
      <c r="K36" s="661">
        <v>1688220.0</v>
      </c>
      <c r="L36" s="662">
        <v>1299.0</v>
      </c>
      <c r="M36" s="203"/>
      <c r="N36" s="658" t="s">
        <v>1399</v>
      </c>
      <c r="O36" s="655">
        <v>120.0</v>
      </c>
      <c r="P36" s="655">
        <v>1077.0</v>
      </c>
      <c r="Q36" s="203"/>
      <c r="R36" s="660" t="s">
        <v>1402</v>
      </c>
      <c r="S36" s="664"/>
      <c r="T36" s="665">
        <v>2.42</v>
      </c>
      <c r="U36" s="203"/>
      <c r="V36" s="659"/>
      <c r="W36" s="655">
        <v>210.0</v>
      </c>
      <c r="X36" s="655">
        <v>2936.0</v>
      </c>
      <c r="Y36" s="203"/>
      <c r="Z36" s="203"/>
    </row>
    <row r="37">
      <c r="A37" s="654" t="s">
        <v>210</v>
      </c>
      <c r="B37" s="655">
        <v>4.0</v>
      </c>
      <c r="C37" s="655">
        <v>81.0</v>
      </c>
      <c r="D37" s="203"/>
      <c r="E37" s="203"/>
      <c r="F37" s="660" t="s">
        <v>1402</v>
      </c>
      <c r="G37" s="664"/>
      <c r="H37" s="665">
        <v>3.39</v>
      </c>
      <c r="I37" s="203"/>
      <c r="J37" s="660" t="s">
        <v>1402</v>
      </c>
      <c r="K37" s="664"/>
      <c r="L37" s="665">
        <v>3.04</v>
      </c>
      <c r="M37" s="203"/>
      <c r="N37" s="203"/>
      <c r="O37" s="203"/>
      <c r="P37" s="203"/>
      <c r="Q37" s="203"/>
      <c r="R37" s="203"/>
      <c r="S37" s="203"/>
      <c r="T37" s="203"/>
      <c r="U37" s="203"/>
      <c r="V37" s="203"/>
      <c r="W37" s="203"/>
      <c r="X37" s="203"/>
      <c r="Y37" s="203"/>
      <c r="Z37" s="203"/>
    </row>
    <row r="38">
      <c r="A38" s="658" t="s">
        <v>1399</v>
      </c>
      <c r="B38" s="655">
        <v>145.0</v>
      </c>
      <c r="C38" s="655">
        <v>1611.0</v>
      </c>
      <c r="D38" s="203"/>
      <c r="E38" s="203"/>
      <c r="F38" s="203"/>
      <c r="G38" s="203"/>
      <c r="H38" s="203"/>
      <c r="I38" s="203"/>
      <c r="J38" s="203"/>
      <c r="K38" s="203"/>
      <c r="L38" s="203"/>
      <c r="M38" s="203"/>
      <c r="N38" s="660" t="s">
        <v>1351</v>
      </c>
      <c r="O38" s="661">
        <v>5220000.0</v>
      </c>
      <c r="P38" s="662">
        <v>4015.0</v>
      </c>
      <c r="Q38" s="203"/>
      <c r="R38" s="203"/>
      <c r="S38" s="203"/>
      <c r="T38" s="203"/>
      <c r="U38" s="203"/>
      <c r="V38" s="660" t="s">
        <v>1351</v>
      </c>
      <c r="W38" s="668"/>
      <c r="X38" s="662">
        <v>7350.0</v>
      </c>
      <c r="Y38" s="203"/>
      <c r="Z38" s="203"/>
    </row>
    <row r="39">
      <c r="A39" s="203"/>
      <c r="B39" s="203"/>
      <c r="C39" s="203"/>
      <c r="D39" s="203"/>
      <c r="E39" s="203"/>
      <c r="F39" s="203"/>
      <c r="G39" s="203"/>
      <c r="H39" s="203"/>
      <c r="I39" s="203"/>
      <c r="J39" s="203"/>
      <c r="K39" s="203"/>
      <c r="L39" s="203"/>
      <c r="M39" s="203"/>
      <c r="N39" s="660" t="s">
        <v>1402</v>
      </c>
      <c r="O39" s="664"/>
      <c r="P39" s="665">
        <v>3.73</v>
      </c>
      <c r="Q39" s="203"/>
      <c r="R39" s="203"/>
      <c r="S39" s="203"/>
      <c r="T39" s="203"/>
      <c r="U39" s="203"/>
      <c r="V39" s="660" t="s">
        <v>1402</v>
      </c>
      <c r="W39" s="664"/>
      <c r="X39" s="665">
        <v>2.5</v>
      </c>
      <c r="Y39" s="203"/>
      <c r="Z39" s="203"/>
    </row>
    <row r="40">
      <c r="A40" s="660" t="s">
        <v>1351</v>
      </c>
      <c r="B40" s="661">
        <v>4250500.0</v>
      </c>
      <c r="C40" s="662">
        <v>3542.0</v>
      </c>
      <c r="D40" s="203"/>
      <c r="E40" s="203"/>
      <c r="F40" s="203"/>
      <c r="G40" s="203"/>
      <c r="H40" s="203"/>
      <c r="I40" s="203"/>
      <c r="J40" s="203"/>
      <c r="K40" s="203"/>
      <c r="L40" s="203"/>
      <c r="M40" s="203"/>
      <c r="N40" s="203"/>
      <c r="O40" s="203"/>
      <c r="P40" s="203"/>
      <c r="Q40" s="203"/>
      <c r="R40" s="203"/>
      <c r="S40" s="203"/>
      <c r="T40" s="203"/>
      <c r="U40" s="203"/>
      <c r="V40" s="203"/>
      <c r="W40" s="203"/>
      <c r="X40" s="203"/>
      <c r="Y40" s="203"/>
      <c r="Z40" s="203"/>
    </row>
    <row r="41">
      <c r="A41" s="660" t="s">
        <v>1402</v>
      </c>
      <c r="B41" s="664"/>
      <c r="C41" s="665">
        <v>2.2</v>
      </c>
      <c r="D41" s="203"/>
      <c r="E41" s="203"/>
      <c r="F41" s="203"/>
      <c r="G41" s="203"/>
      <c r="H41" s="203"/>
      <c r="I41" s="203"/>
      <c r="J41" s="203"/>
      <c r="K41" s="203"/>
      <c r="L41" s="203"/>
      <c r="M41" s="203"/>
      <c r="N41" s="203"/>
      <c r="O41" s="203"/>
      <c r="P41" s="203"/>
      <c r="Q41" s="203"/>
      <c r="R41" s="203"/>
      <c r="S41" s="203"/>
      <c r="T41" s="203"/>
      <c r="U41" s="203"/>
      <c r="V41" s="203"/>
      <c r="W41" s="203"/>
      <c r="X41" s="203"/>
      <c r="Y41" s="203"/>
      <c r="Z41" s="203"/>
    </row>
    <row r="42">
      <c r="A42" s="203"/>
      <c r="B42" s="203"/>
      <c r="C42" s="203"/>
      <c r="D42" s="203"/>
      <c r="E42" s="203"/>
      <c r="F42" s="203"/>
      <c r="G42" s="203"/>
      <c r="H42" s="203"/>
      <c r="I42" s="203"/>
      <c r="J42" s="203"/>
      <c r="K42" s="203"/>
      <c r="L42" s="203"/>
      <c r="M42" s="203"/>
      <c r="N42" s="203"/>
      <c r="O42" s="203"/>
      <c r="P42" s="203"/>
      <c r="Q42" s="203"/>
      <c r="R42" s="203"/>
      <c r="S42" s="203"/>
      <c r="T42" s="203"/>
      <c r="U42" s="203"/>
      <c r="V42" s="203"/>
      <c r="W42" s="203"/>
      <c r="X42" s="203"/>
      <c r="Y42" s="203"/>
      <c r="Z42" s="203"/>
    </row>
    <row r="43">
      <c r="A43" s="203"/>
      <c r="B43" s="203"/>
      <c r="C43" s="203"/>
      <c r="D43" s="203"/>
      <c r="E43" s="203"/>
      <c r="F43" s="203"/>
      <c r="G43" s="203"/>
      <c r="H43" s="203"/>
      <c r="I43" s="203"/>
      <c r="J43" s="203"/>
      <c r="K43" s="203"/>
      <c r="L43" s="203"/>
      <c r="M43" s="203"/>
      <c r="N43" s="203"/>
      <c r="O43" s="203"/>
      <c r="P43" s="203"/>
      <c r="Q43" s="203"/>
      <c r="R43" s="203"/>
      <c r="S43" s="203"/>
      <c r="T43" s="203"/>
      <c r="U43" s="203"/>
      <c r="V43" s="203"/>
      <c r="W43" s="203"/>
      <c r="X43" s="203"/>
      <c r="Y43" s="203"/>
      <c r="Z43" s="203"/>
    </row>
    <row r="44">
      <c r="A44" s="646" t="s">
        <v>1413</v>
      </c>
      <c r="B44" s="647" t="s">
        <v>1389</v>
      </c>
      <c r="C44" s="650" t="s">
        <v>1396</v>
      </c>
      <c r="D44" s="203"/>
      <c r="E44" s="203"/>
      <c r="F44" s="646" t="s">
        <v>1414</v>
      </c>
      <c r="G44" s="647" t="s">
        <v>1389</v>
      </c>
      <c r="H44" s="650" t="s">
        <v>1396</v>
      </c>
      <c r="I44" s="203"/>
      <c r="J44" s="646" t="s">
        <v>1415</v>
      </c>
      <c r="K44" s="647" t="s">
        <v>1389</v>
      </c>
      <c r="L44" s="650" t="s">
        <v>1396</v>
      </c>
      <c r="M44" s="203"/>
      <c r="N44" s="646" t="s">
        <v>1416</v>
      </c>
      <c r="O44" s="647" t="s">
        <v>1389</v>
      </c>
      <c r="P44" s="650" t="s">
        <v>1396</v>
      </c>
      <c r="Q44" s="203"/>
      <c r="R44" s="646" t="s">
        <v>1417</v>
      </c>
      <c r="S44" s="647" t="s">
        <v>1389</v>
      </c>
      <c r="T44" s="650" t="s">
        <v>1418</v>
      </c>
      <c r="U44" s="203"/>
      <c r="V44" s="203"/>
      <c r="W44" s="203"/>
      <c r="X44" s="203"/>
      <c r="Y44" s="203"/>
      <c r="Z44" s="203"/>
    </row>
    <row r="45">
      <c r="A45" s="654" t="s">
        <v>127</v>
      </c>
      <c r="B45" s="655">
        <v>5.0</v>
      </c>
      <c r="C45" s="655">
        <v>104.0</v>
      </c>
      <c r="D45" s="203"/>
      <c r="E45" s="203"/>
      <c r="F45" s="654" t="s">
        <v>127</v>
      </c>
      <c r="G45" s="655">
        <v>5.0</v>
      </c>
      <c r="H45" s="655">
        <v>104.0</v>
      </c>
      <c r="I45" s="203"/>
      <c r="J45" s="654" t="s">
        <v>127</v>
      </c>
      <c r="K45" s="655">
        <v>7.0</v>
      </c>
      <c r="L45" s="655">
        <v>145.0</v>
      </c>
      <c r="M45" s="203"/>
      <c r="N45" s="654" t="s">
        <v>127</v>
      </c>
      <c r="O45" s="655">
        <v>8.0</v>
      </c>
      <c r="P45" s="655">
        <v>166.0</v>
      </c>
      <c r="Q45" s="203"/>
      <c r="R45" s="654" t="s">
        <v>127</v>
      </c>
      <c r="S45" s="655">
        <v>3.0</v>
      </c>
      <c r="T45" s="655">
        <f>(VLOOKUP(R45,'Valor Hora Real y Estimada'!$A$2:$Q$27,17,FALSE()))*S45</f>
        <v>80711.64</v>
      </c>
      <c r="U45" s="203"/>
      <c r="V45" s="203"/>
      <c r="W45" s="203"/>
      <c r="X45" s="203"/>
      <c r="Y45" s="203"/>
      <c r="Z45" s="203"/>
    </row>
    <row r="46">
      <c r="A46" s="654" t="s">
        <v>120</v>
      </c>
      <c r="B46" s="655">
        <v>7.0</v>
      </c>
      <c r="C46" s="655">
        <v>141.0</v>
      </c>
      <c r="D46" s="203"/>
      <c r="E46" s="203"/>
      <c r="F46" s="654" t="s">
        <v>120</v>
      </c>
      <c r="G46" s="655">
        <v>10.0</v>
      </c>
      <c r="H46" s="655">
        <v>201.0</v>
      </c>
      <c r="I46" s="203"/>
      <c r="J46" s="654" t="s">
        <v>120</v>
      </c>
      <c r="K46" s="655">
        <v>14.0</v>
      </c>
      <c r="L46" s="655">
        <v>282.0</v>
      </c>
      <c r="M46" s="203"/>
      <c r="N46" s="654" t="s">
        <v>120</v>
      </c>
      <c r="O46" s="655">
        <v>20.0</v>
      </c>
      <c r="P46" s="655">
        <v>403.0</v>
      </c>
      <c r="Q46" s="203"/>
      <c r="R46" s="654" t="s">
        <v>120</v>
      </c>
      <c r="S46" s="655">
        <v>8.0</v>
      </c>
      <c r="T46" s="655">
        <f>(VLOOKUP(R46,'Valor Hora Real y Estimada'!$A$2:$Q$27,17,FALSE()))*S46</f>
        <v>212666.6667</v>
      </c>
      <c r="U46" s="203"/>
      <c r="V46" s="203"/>
      <c r="W46" s="203"/>
      <c r="X46" s="203"/>
      <c r="Y46" s="203"/>
      <c r="Z46" s="203"/>
    </row>
    <row r="47">
      <c r="A47" s="654" t="s">
        <v>197</v>
      </c>
      <c r="B47" s="655">
        <v>35.0</v>
      </c>
      <c r="C47" s="655">
        <v>372.0</v>
      </c>
      <c r="D47" s="203"/>
      <c r="E47" s="203"/>
      <c r="F47" s="654" t="s">
        <v>197</v>
      </c>
      <c r="G47" s="655">
        <v>45.0</v>
      </c>
      <c r="H47" s="655">
        <v>478.0</v>
      </c>
      <c r="I47" s="203"/>
      <c r="J47" s="654" t="s">
        <v>197</v>
      </c>
      <c r="K47" s="655">
        <v>50.0</v>
      </c>
      <c r="L47" s="655">
        <v>531.0</v>
      </c>
      <c r="M47" s="203"/>
      <c r="N47" s="654" t="s">
        <v>200</v>
      </c>
      <c r="O47" s="655">
        <v>80.0</v>
      </c>
      <c r="P47" s="655">
        <v>1124.0</v>
      </c>
      <c r="Q47" s="203"/>
      <c r="R47" s="654" t="s">
        <v>197</v>
      </c>
      <c r="S47" s="655">
        <v>35.0</v>
      </c>
      <c r="T47" s="655">
        <f>(VLOOKUP(R47,'Valor Hora Real y Estimada'!$A$2:$Q$27,17,FALSE()))*S47</f>
        <v>468662.054</v>
      </c>
      <c r="U47" s="203"/>
      <c r="V47" s="203"/>
      <c r="W47" s="203"/>
      <c r="X47" s="203"/>
      <c r="Y47" s="203"/>
      <c r="Z47" s="203"/>
    </row>
    <row r="48">
      <c r="A48" s="654" t="s">
        <v>203</v>
      </c>
      <c r="B48" s="655">
        <v>50.0</v>
      </c>
      <c r="C48" s="655">
        <v>411.0</v>
      </c>
      <c r="D48" s="203"/>
      <c r="E48" s="203"/>
      <c r="F48" s="658" t="s">
        <v>1419</v>
      </c>
      <c r="G48" s="655">
        <v>70.0</v>
      </c>
      <c r="H48" s="655">
        <v>576.0</v>
      </c>
      <c r="I48" s="203"/>
      <c r="J48" s="658" t="s">
        <v>1419</v>
      </c>
      <c r="K48" s="655">
        <v>160.0</v>
      </c>
      <c r="L48" s="655">
        <v>1316.0</v>
      </c>
      <c r="M48" s="203"/>
      <c r="N48" s="658" t="s">
        <v>1419</v>
      </c>
      <c r="O48" s="655">
        <v>160.0</v>
      </c>
      <c r="P48" s="655">
        <v>1752.0</v>
      </c>
      <c r="Q48" s="203"/>
      <c r="R48" s="654" t="s">
        <v>203</v>
      </c>
      <c r="S48" s="655">
        <v>60.0</v>
      </c>
      <c r="T48" s="655">
        <f>(VLOOKUP(R48,'Valor Hora Real y Estimada'!$A$2:$Q$27,17,FALSE()))*S48</f>
        <v>651222</v>
      </c>
      <c r="U48" s="203"/>
      <c r="V48" s="203"/>
      <c r="W48" s="203"/>
      <c r="X48" s="203"/>
      <c r="Y48" s="203"/>
      <c r="Z48" s="203"/>
    </row>
    <row r="49">
      <c r="A49" s="654" t="s">
        <v>205</v>
      </c>
      <c r="B49" s="655">
        <v>20.0</v>
      </c>
      <c r="C49" s="655">
        <v>167.0</v>
      </c>
      <c r="D49" s="203"/>
      <c r="E49" s="203"/>
      <c r="F49" s="654" t="s">
        <v>205</v>
      </c>
      <c r="G49" s="655">
        <v>35.0</v>
      </c>
      <c r="H49" s="655">
        <v>292.0</v>
      </c>
      <c r="I49" s="203"/>
      <c r="J49" s="654" t="s">
        <v>205</v>
      </c>
      <c r="K49" s="655">
        <v>50.0</v>
      </c>
      <c r="L49" s="655">
        <v>417.0</v>
      </c>
      <c r="M49" s="203"/>
      <c r="N49" s="654" t="s">
        <v>205</v>
      </c>
      <c r="O49" s="655">
        <v>50.0</v>
      </c>
      <c r="P49" s="655">
        <v>417.0</v>
      </c>
      <c r="Q49" s="203"/>
      <c r="R49" s="654" t="s">
        <v>205</v>
      </c>
      <c r="S49" s="655">
        <v>40.0</v>
      </c>
      <c r="T49" s="655">
        <f>(VLOOKUP(R49,'Valor Hora Real y Estimada'!$A$2:$Q$27,17,FALSE()))*S49</f>
        <v>400000</v>
      </c>
      <c r="U49" s="203"/>
      <c r="V49" s="203"/>
      <c r="W49" s="203"/>
      <c r="X49" s="203"/>
      <c r="Y49" s="203"/>
      <c r="Z49" s="203"/>
    </row>
    <row r="50">
      <c r="A50" s="654" t="s">
        <v>221</v>
      </c>
      <c r="B50" s="655">
        <v>10.0</v>
      </c>
      <c r="C50" s="655">
        <v>92.0</v>
      </c>
      <c r="D50" s="203"/>
      <c r="E50" s="203"/>
      <c r="F50" s="654" t="s">
        <v>221</v>
      </c>
      <c r="G50" s="655">
        <v>14.0</v>
      </c>
      <c r="H50" s="655">
        <v>128.0</v>
      </c>
      <c r="I50" s="203"/>
      <c r="J50" s="654" t="s">
        <v>221</v>
      </c>
      <c r="K50" s="655">
        <v>20.0</v>
      </c>
      <c r="L50" s="655">
        <v>183.0</v>
      </c>
      <c r="M50" s="203"/>
      <c r="N50" s="654" t="s">
        <v>221</v>
      </c>
      <c r="O50" s="655">
        <v>50.0</v>
      </c>
      <c r="P50" s="655">
        <v>458.0</v>
      </c>
      <c r="Q50" s="203"/>
      <c r="R50" s="654" t="s">
        <v>221</v>
      </c>
      <c r="S50" s="655">
        <v>40.0</v>
      </c>
      <c r="T50" s="655">
        <f>(VLOOKUP(R50,'Valor Hora Real y Estimada'!$A$2:$Q$27,17,FALSE()))*S50</f>
        <v>474379.2</v>
      </c>
      <c r="U50" s="203"/>
      <c r="V50" s="203"/>
      <c r="W50" s="203"/>
      <c r="X50" s="203"/>
      <c r="Y50" s="203"/>
      <c r="Z50" s="203"/>
    </row>
    <row r="51">
      <c r="A51" s="654" t="s">
        <v>87</v>
      </c>
      <c r="B51" s="655">
        <v>0.0</v>
      </c>
      <c r="C51" s="655">
        <v>0.0</v>
      </c>
      <c r="D51" s="203"/>
      <c r="E51" s="203"/>
      <c r="F51" s="654" t="s">
        <v>87</v>
      </c>
      <c r="G51" s="655">
        <v>0.0</v>
      </c>
      <c r="H51" s="655">
        <v>0.0</v>
      </c>
      <c r="I51" s="203"/>
      <c r="J51" s="654" t="s">
        <v>87</v>
      </c>
      <c r="K51" s="655">
        <v>0.0</v>
      </c>
      <c r="L51" s="655">
        <v>0.0</v>
      </c>
      <c r="M51" s="203"/>
      <c r="N51" s="654" t="s">
        <v>87</v>
      </c>
      <c r="O51" s="655">
        <v>0.0</v>
      </c>
      <c r="P51" s="655">
        <v>0.0</v>
      </c>
      <c r="Q51" s="203"/>
      <c r="R51" s="654" t="s">
        <v>87</v>
      </c>
      <c r="S51" s="655"/>
      <c r="T51" s="655">
        <f>(VLOOKUP(R51,'Valor Hora Real y Estimada'!$A$2:$Q$27,17,FALSE()))*S51</f>
        <v>0</v>
      </c>
      <c r="U51" s="203"/>
      <c r="V51" s="203"/>
      <c r="W51" s="203"/>
      <c r="X51" s="203"/>
      <c r="Y51" s="203"/>
      <c r="Z51" s="203"/>
    </row>
    <row r="52">
      <c r="A52" s="654" t="s">
        <v>217</v>
      </c>
      <c r="B52" s="655">
        <v>0.0</v>
      </c>
      <c r="C52" s="655">
        <v>0.0</v>
      </c>
      <c r="D52" s="203"/>
      <c r="E52" s="203"/>
      <c r="F52" s="654" t="s">
        <v>217</v>
      </c>
      <c r="G52" s="655">
        <v>0.0</v>
      </c>
      <c r="H52" s="655">
        <v>0.0</v>
      </c>
      <c r="I52" s="203"/>
      <c r="J52" s="654" t="s">
        <v>217</v>
      </c>
      <c r="K52" s="655">
        <v>0.0</v>
      </c>
      <c r="L52" s="655">
        <v>0.0</v>
      </c>
      <c r="M52" s="203"/>
      <c r="N52" s="654" t="s">
        <v>217</v>
      </c>
      <c r="O52" s="655">
        <v>0.0</v>
      </c>
      <c r="P52" s="655">
        <v>0.0</v>
      </c>
      <c r="Q52" s="203"/>
      <c r="R52" s="654" t="s">
        <v>217</v>
      </c>
      <c r="S52" s="655">
        <v>60.0</v>
      </c>
      <c r="T52" s="655">
        <f>(VLOOKUP(R52,'Valor Hora Real y Estimada'!$A$2:$Q$27,17,FALSE()))*S52</f>
        <v>616214.928</v>
      </c>
      <c r="U52" s="203"/>
      <c r="V52" s="203"/>
      <c r="W52" s="203"/>
      <c r="X52" s="203"/>
      <c r="Y52" s="203"/>
      <c r="Z52" s="203"/>
    </row>
    <row r="53">
      <c r="A53" s="654" t="s">
        <v>210</v>
      </c>
      <c r="B53" s="655">
        <v>6.0</v>
      </c>
      <c r="C53" s="655">
        <v>121.0</v>
      </c>
      <c r="D53" s="203"/>
      <c r="E53" s="203"/>
      <c r="F53" s="654" t="s">
        <v>210</v>
      </c>
      <c r="G53" s="655">
        <v>6.0</v>
      </c>
      <c r="H53" s="655">
        <v>121.0</v>
      </c>
      <c r="I53" s="203"/>
      <c r="J53" s="654" t="s">
        <v>210</v>
      </c>
      <c r="K53" s="655">
        <v>6.0</v>
      </c>
      <c r="L53" s="655">
        <v>121.0</v>
      </c>
      <c r="M53" s="203"/>
      <c r="N53" s="654" t="s">
        <v>210</v>
      </c>
      <c r="O53" s="655">
        <v>10.0</v>
      </c>
      <c r="P53" s="655">
        <v>201.0</v>
      </c>
      <c r="Q53" s="203"/>
      <c r="R53" s="654" t="s">
        <v>210</v>
      </c>
      <c r="S53" s="655"/>
      <c r="T53" s="655">
        <f>(VLOOKUP(R53,'Valor Hora Real y Estimada'!$A$2:$Q$27,17,FALSE()))*S53</f>
        <v>0</v>
      </c>
      <c r="U53" s="203"/>
      <c r="V53" s="203"/>
      <c r="W53" s="203"/>
      <c r="X53" s="203"/>
      <c r="Y53" s="203"/>
      <c r="Z53" s="203"/>
    </row>
    <row r="54">
      <c r="A54" s="658" t="s">
        <v>1420</v>
      </c>
      <c r="B54" s="663"/>
      <c r="C54" s="655">
        <v>200.0</v>
      </c>
      <c r="D54" s="203"/>
      <c r="E54" s="203"/>
      <c r="F54" s="658" t="s">
        <v>1420</v>
      </c>
      <c r="G54" s="663"/>
      <c r="H54" s="655">
        <v>300.0</v>
      </c>
      <c r="I54" s="203"/>
      <c r="J54" s="658" t="s">
        <v>1420</v>
      </c>
      <c r="K54" s="663"/>
      <c r="L54" s="655">
        <v>500.0</v>
      </c>
      <c r="M54" s="203"/>
      <c r="N54" s="658" t="s">
        <v>1420</v>
      </c>
      <c r="O54" s="663"/>
      <c r="P54" s="655">
        <v>500.0</v>
      </c>
      <c r="Q54" s="203"/>
      <c r="R54" s="658" t="s">
        <v>1420</v>
      </c>
      <c r="S54" s="663"/>
      <c r="T54" s="655"/>
      <c r="U54" s="203"/>
      <c r="V54" s="203"/>
      <c r="W54" s="203"/>
      <c r="X54" s="203"/>
      <c r="Y54" s="203"/>
      <c r="Z54" s="203"/>
    </row>
    <row r="55">
      <c r="A55" s="658" t="s">
        <v>1399</v>
      </c>
      <c r="B55" s="655">
        <v>133.0</v>
      </c>
      <c r="C55" s="655">
        <v>1607.0</v>
      </c>
      <c r="D55" s="203"/>
      <c r="E55" s="203"/>
      <c r="F55" s="658" t="s">
        <v>1399</v>
      </c>
      <c r="G55" s="655">
        <v>185.0</v>
      </c>
      <c r="H55" s="655">
        <v>2199.0</v>
      </c>
      <c r="I55" s="203"/>
      <c r="J55" s="658" t="s">
        <v>1399</v>
      </c>
      <c r="K55" s="655">
        <v>307.0</v>
      </c>
      <c r="L55" s="655">
        <v>3494.0</v>
      </c>
      <c r="M55" s="203"/>
      <c r="N55" s="658" t="s">
        <v>1399</v>
      </c>
      <c r="O55" s="655">
        <v>378.0</v>
      </c>
      <c r="P55" s="655">
        <v>5020.0</v>
      </c>
      <c r="Q55" s="203"/>
      <c r="R55" s="658" t="s">
        <v>1399</v>
      </c>
      <c r="S55" s="655">
        <f>SUM(S45:S54)</f>
        <v>246</v>
      </c>
      <c r="T55" s="655"/>
      <c r="U55" s="203"/>
      <c r="V55" s="203"/>
      <c r="W55" s="203"/>
      <c r="X55" s="203"/>
      <c r="Y55" s="203"/>
      <c r="Z55" s="203"/>
    </row>
    <row r="56">
      <c r="A56" s="203"/>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row>
    <row r="57">
      <c r="A57" s="660" t="s">
        <v>1351</v>
      </c>
      <c r="B57" s="661">
        <v>4550000.0</v>
      </c>
      <c r="C57" s="662">
        <v>3500.0</v>
      </c>
      <c r="D57" s="203"/>
      <c r="E57" s="203"/>
      <c r="F57" s="660" t="s">
        <v>1351</v>
      </c>
      <c r="G57" s="661">
        <v>6700000.0</v>
      </c>
      <c r="H57" s="662">
        <v>5154.0</v>
      </c>
      <c r="I57" s="203"/>
      <c r="J57" s="660" t="s">
        <v>1351</v>
      </c>
      <c r="K57" s="661">
        <v>9650000.0</v>
      </c>
      <c r="L57" s="662">
        <v>7423.0</v>
      </c>
      <c r="M57" s="203"/>
      <c r="N57" s="660" t="s">
        <v>1351</v>
      </c>
      <c r="O57" s="661">
        <v>9650000.0</v>
      </c>
      <c r="P57" s="662">
        <v>22500.0</v>
      </c>
      <c r="Q57" s="203"/>
      <c r="R57" s="660" t="s">
        <v>1351</v>
      </c>
      <c r="S57" s="661"/>
      <c r="T57" s="662"/>
      <c r="U57" s="203"/>
      <c r="V57" s="203"/>
      <c r="W57" s="203"/>
      <c r="X57" s="203"/>
      <c r="Y57" s="203"/>
      <c r="Z57" s="203"/>
    </row>
    <row r="58">
      <c r="A58" s="660" t="s">
        <v>1402</v>
      </c>
      <c r="B58" s="664"/>
      <c r="C58" s="665">
        <v>2.18</v>
      </c>
      <c r="D58" s="203"/>
      <c r="E58" s="203"/>
      <c r="F58" s="660" t="s">
        <v>1402</v>
      </c>
      <c r="G58" s="664"/>
      <c r="H58" s="665">
        <v>2.34</v>
      </c>
      <c r="I58" s="203"/>
      <c r="J58" s="660" t="s">
        <v>1402</v>
      </c>
      <c r="K58" s="664"/>
      <c r="L58" s="665">
        <v>2.12</v>
      </c>
      <c r="M58" s="203"/>
      <c r="N58" s="660" t="s">
        <v>1402</v>
      </c>
      <c r="O58" s="664"/>
      <c r="P58" s="665">
        <v>4.48</v>
      </c>
      <c r="Q58" s="203"/>
      <c r="R58" s="660" t="s">
        <v>1402</v>
      </c>
      <c r="S58" s="664"/>
      <c r="T58" s="665"/>
      <c r="U58" s="203"/>
      <c r="V58" s="203"/>
      <c r="W58" s="203"/>
      <c r="X58" s="203"/>
      <c r="Y58" s="203"/>
      <c r="Z58" s="203"/>
    </row>
    <row r="59">
      <c r="A59" s="203"/>
      <c r="B59" s="203"/>
      <c r="C59" s="203"/>
      <c r="D59" s="203"/>
      <c r="E59" s="203"/>
      <c r="F59" s="203"/>
      <c r="G59" s="203"/>
      <c r="H59" s="203"/>
      <c r="I59" s="203"/>
      <c r="J59" s="203"/>
      <c r="K59" s="203"/>
      <c r="L59" s="203"/>
      <c r="M59" s="203"/>
      <c r="N59" s="203"/>
      <c r="O59" s="203"/>
      <c r="P59" s="203"/>
      <c r="Q59" s="203"/>
      <c r="R59" s="203"/>
      <c r="S59" s="203"/>
      <c r="T59" s="203"/>
      <c r="U59" s="203"/>
      <c r="V59" s="203"/>
      <c r="W59" s="203"/>
      <c r="X59" s="203"/>
      <c r="Y59" s="203"/>
      <c r="Z59" s="203"/>
    </row>
    <row r="60">
      <c r="A60" s="203"/>
      <c r="B60" s="203"/>
      <c r="C60" s="203"/>
      <c r="D60" s="203"/>
      <c r="E60" s="203"/>
      <c r="F60" s="203"/>
      <c r="G60" s="203"/>
      <c r="H60" s="203"/>
      <c r="I60" s="203"/>
      <c r="J60" s="203"/>
      <c r="K60" s="203"/>
      <c r="L60" s="203"/>
      <c r="M60" s="203"/>
      <c r="N60" s="203"/>
      <c r="O60" s="203"/>
      <c r="P60" s="203"/>
      <c r="Q60" s="203"/>
      <c r="R60" s="203"/>
      <c r="S60" s="203"/>
      <c r="T60" s="203"/>
      <c r="U60" s="203"/>
      <c r="V60" s="203"/>
      <c r="W60" s="203"/>
      <c r="X60" s="203"/>
      <c r="Y60" s="203"/>
      <c r="Z60" s="203"/>
    </row>
    <row r="61">
      <c r="A61" s="646" t="s">
        <v>1421</v>
      </c>
      <c r="B61" s="647" t="s">
        <v>1389</v>
      </c>
      <c r="C61" s="648" t="s">
        <v>1422</v>
      </c>
      <c r="D61" s="203"/>
      <c r="E61" s="203"/>
      <c r="F61" s="203"/>
      <c r="G61" s="203"/>
      <c r="H61" s="203"/>
      <c r="I61" s="203"/>
      <c r="J61" s="203"/>
      <c r="K61" s="203"/>
      <c r="L61" s="203"/>
      <c r="M61" s="203"/>
      <c r="N61" s="203"/>
      <c r="O61" s="203"/>
      <c r="P61" s="203"/>
      <c r="Q61" s="203"/>
      <c r="R61" s="203"/>
      <c r="S61" s="203"/>
      <c r="T61" s="203"/>
      <c r="U61" s="203"/>
      <c r="V61" s="203"/>
      <c r="W61" s="203"/>
      <c r="X61" s="203"/>
      <c r="Y61" s="203"/>
      <c r="Z61" s="203"/>
    </row>
    <row r="62">
      <c r="A62" s="654" t="s">
        <v>127</v>
      </c>
      <c r="B62" s="655"/>
      <c r="C62" s="655">
        <f>B62*'Valor Hora Real y Estimada'!Q23/1330</f>
        <v>0</v>
      </c>
      <c r="D62" s="202" t="s">
        <v>1423</v>
      </c>
      <c r="E62" s="203"/>
      <c r="F62" s="203"/>
      <c r="G62" s="203"/>
      <c r="H62" s="203"/>
      <c r="I62" s="203"/>
      <c r="J62" s="203"/>
      <c r="K62" s="203"/>
      <c r="L62" s="203"/>
      <c r="M62" s="203"/>
      <c r="N62" s="203"/>
      <c r="O62" s="203"/>
      <c r="P62" s="203"/>
      <c r="Q62" s="203"/>
      <c r="R62" s="203"/>
      <c r="S62" s="203"/>
      <c r="T62" s="203"/>
      <c r="U62" s="203"/>
      <c r="V62" s="203"/>
      <c r="W62" s="203"/>
      <c r="X62" s="203"/>
      <c r="Y62" s="203"/>
      <c r="Z62" s="203"/>
    </row>
    <row r="63">
      <c r="A63" s="654" t="s">
        <v>120</v>
      </c>
      <c r="B63" s="655"/>
      <c r="C63" s="655">
        <f>B63*'Valor Hora Real y Estimada'!Q22/1330</f>
        <v>0</v>
      </c>
      <c r="D63" s="203"/>
      <c r="E63" s="203"/>
      <c r="F63" s="203"/>
      <c r="G63" s="203"/>
      <c r="H63" s="203"/>
      <c r="I63" s="203"/>
      <c r="J63" s="203"/>
      <c r="K63" s="203"/>
      <c r="L63" s="203"/>
      <c r="M63" s="203"/>
      <c r="N63" s="203"/>
      <c r="O63" s="203"/>
      <c r="P63" s="203"/>
      <c r="Q63" s="203"/>
      <c r="R63" s="203"/>
      <c r="S63" s="203"/>
      <c r="T63" s="203"/>
      <c r="U63" s="203"/>
      <c r="V63" s="203"/>
      <c r="W63" s="203"/>
      <c r="X63" s="203"/>
      <c r="Y63" s="203"/>
      <c r="Z63" s="203"/>
    </row>
    <row r="64">
      <c r="A64" s="654" t="s">
        <v>200</v>
      </c>
      <c r="B64" s="655"/>
      <c r="C64" s="655">
        <f>B64*'Valor Hora Real y Estimada'!Q9/1330</f>
        <v>0</v>
      </c>
      <c r="D64" s="203"/>
      <c r="E64" s="203"/>
      <c r="F64" s="203"/>
      <c r="G64" s="203"/>
      <c r="H64" s="203"/>
      <c r="I64" s="203"/>
      <c r="J64" s="203"/>
      <c r="K64" s="203"/>
      <c r="L64" s="203"/>
      <c r="M64" s="203"/>
      <c r="N64" s="203"/>
      <c r="O64" s="203"/>
      <c r="P64" s="203"/>
      <c r="Q64" s="203"/>
      <c r="R64" s="203"/>
      <c r="S64" s="203"/>
      <c r="T64" s="203"/>
      <c r="U64" s="203"/>
      <c r="V64" s="203"/>
      <c r="W64" s="203"/>
      <c r="X64" s="203"/>
      <c r="Y64" s="203"/>
      <c r="Z64" s="203"/>
    </row>
    <row r="65">
      <c r="A65" s="654" t="s">
        <v>218</v>
      </c>
      <c r="B65" s="655"/>
      <c r="C65" s="655">
        <f>B65*'Valor Hora Real y Estimada'!Q24/1330</f>
        <v>0</v>
      </c>
      <c r="D65" s="203"/>
      <c r="E65" s="203"/>
      <c r="F65" s="203"/>
      <c r="G65" s="203"/>
      <c r="H65" s="203"/>
      <c r="I65" s="203"/>
      <c r="J65" s="203"/>
      <c r="K65" s="203"/>
      <c r="L65" s="203"/>
      <c r="M65" s="203"/>
      <c r="N65" s="203"/>
      <c r="O65" s="203"/>
      <c r="P65" s="203"/>
      <c r="Q65" s="203"/>
      <c r="R65" s="203"/>
      <c r="S65" s="203"/>
      <c r="T65" s="203"/>
      <c r="U65" s="203"/>
      <c r="V65" s="203"/>
      <c r="W65" s="203"/>
      <c r="X65" s="203"/>
      <c r="Y65" s="203"/>
      <c r="Z65" s="203"/>
    </row>
    <row r="66">
      <c r="A66" s="654" t="s">
        <v>197</v>
      </c>
      <c r="B66" s="655"/>
      <c r="C66" s="655">
        <f>B66*'Valor Hora Real y Estimada'!Q21/1330</f>
        <v>0</v>
      </c>
      <c r="D66" s="203"/>
      <c r="E66" s="203"/>
      <c r="F66" s="203"/>
      <c r="G66" s="203"/>
      <c r="H66" s="203"/>
      <c r="I66" s="203"/>
      <c r="J66" s="203"/>
      <c r="K66" s="203"/>
      <c r="L66" s="203"/>
      <c r="M66" s="203"/>
      <c r="N66" s="203"/>
      <c r="O66" s="203"/>
      <c r="P66" s="203"/>
      <c r="Q66" s="203"/>
      <c r="R66" s="203"/>
      <c r="S66" s="203"/>
      <c r="T66" s="203"/>
      <c r="U66" s="203"/>
      <c r="V66" s="203"/>
      <c r="W66" s="203"/>
      <c r="X66" s="203"/>
      <c r="Y66" s="203"/>
      <c r="Z66" s="203"/>
    </row>
    <row r="67">
      <c r="A67" s="654" t="s">
        <v>221</v>
      </c>
      <c r="B67" s="655"/>
      <c r="C67" s="655">
        <v>641.0</v>
      </c>
      <c r="D67" s="672"/>
      <c r="E67" s="203"/>
      <c r="F67" s="203"/>
      <c r="G67" s="203"/>
      <c r="H67" s="203"/>
      <c r="I67" s="203"/>
      <c r="J67" s="203"/>
      <c r="K67" s="203"/>
      <c r="L67" s="203"/>
      <c r="M67" s="203"/>
      <c r="N67" s="203"/>
      <c r="O67" s="203"/>
      <c r="P67" s="203"/>
      <c r="Q67" s="203"/>
      <c r="R67" s="203"/>
      <c r="S67" s="203"/>
      <c r="T67" s="203"/>
      <c r="U67" s="203"/>
      <c r="V67" s="203"/>
      <c r="W67" s="203"/>
      <c r="X67" s="203"/>
      <c r="Y67" s="203"/>
      <c r="Z67" s="203"/>
    </row>
    <row r="68">
      <c r="A68" s="654" t="s">
        <v>205</v>
      </c>
      <c r="B68" s="655"/>
      <c r="C68" s="655">
        <v>833.0</v>
      </c>
      <c r="D68" s="203"/>
      <c r="E68" s="203"/>
      <c r="F68" s="203"/>
      <c r="G68" s="203"/>
      <c r="H68" s="203"/>
      <c r="I68" s="203"/>
      <c r="J68" s="203"/>
      <c r="K68" s="203"/>
      <c r="L68" s="203"/>
      <c r="M68" s="203"/>
      <c r="N68" s="203"/>
      <c r="O68" s="203"/>
      <c r="P68" s="203"/>
      <c r="Q68" s="203"/>
      <c r="R68" s="203"/>
      <c r="S68" s="203"/>
      <c r="T68" s="203"/>
      <c r="U68" s="203"/>
      <c r="V68" s="203"/>
      <c r="W68" s="203"/>
      <c r="X68" s="203"/>
      <c r="Y68" s="203"/>
      <c r="Z68" s="203"/>
    </row>
    <row r="69">
      <c r="A69" s="654" t="s">
        <v>194</v>
      </c>
      <c r="B69" s="655"/>
      <c r="C69" s="655">
        <v>1511.0</v>
      </c>
      <c r="D69" s="203"/>
      <c r="E69" s="203"/>
      <c r="F69" s="203"/>
      <c r="G69" s="203"/>
      <c r="H69" s="203"/>
      <c r="I69" s="203"/>
      <c r="J69" s="203"/>
      <c r="K69" s="203"/>
      <c r="L69" s="203"/>
      <c r="M69" s="203"/>
      <c r="N69" s="203"/>
      <c r="O69" s="203"/>
      <c r="P69" s="203"/>
      <c r="Q69" s="203"/>
      <c r="R69" s="203"/>
      <c r="S69" s="203"/>
      <c r="T69" s="203"/>
      <c r="U69" s="203"/>
      <c r="V69" s="203"/>
      <c r="W69" s="203"/>
      <c r="X69" s="203"/>
      <c r="Y69" s="203"/>
      <c r="Z69" s="203"/>
    </row>
    <row r="70">
      <c r="A70" s="654" t="s">
        <v>216</v>
      </c>
      <c r="B70" s="655"/>
      <c r="C70" s="655">
        <v>438.0</v>
      </c>
      <c r="D70" s="203"/>
      <c r="E70" s="203"/>
      <c r="F70" s="203"/>
      <c r="G70" s="203"/>
      <c r="H70" s="203"/>
      <c r="I70" s="203"/>
      <c r="J70" s="203"/>
      <c r="K70" s="203"/>
      <c r="L70" s="203"/>
      <c r="M70" s="203"/>
      <c r="N70" s="203"/>
      <c r="O70" s="203"/>
      <c r="P70" s="203"/>
      <c r="Q70" s="203"/>
      <c r="R70" s="203"/>
      <c r="S70" s="203"/>
      <c r="T70" s="203"/>
      <c r="U70" s="203"/>
      <c r="V70" s="203"/>
      <c r="W70" s="203"/>
      <c r="X70" s="203"/>
      <c r="Y70" s="203"/>
      <c r="Z70" s="203"/>
    </row>
    <row r="71">
      <c r="A71" s="654" t="s">
        <v>228</v>
      </c>
      <c r="B71" s="655"/>
      <c r="C71" s="655">
        <v>653.0</v>
      </c>
      <c r="D71" s="203"/>
      <c r="E71" s="203"/>
      <c r="F71" s="203"/>
      <c r="G71" s="203"/>
      <c r="H71" s="203"/>
      <c r="I71" s="203"/>
      <c r="J71" s="203"/>
      <c r="K71" s="203"/>
      <c r="L71" s="203"/>
      <c r="M71" s="203"/>
      <c r="N71" s="203"/>
      <c r="O71" s="203"/>
      <c r="P71" s="203"/>
      <c r="Q71" s="203"/>
      <c r="R71" s="203"/>
      <c r="S71" s="203"/>
      <c r="T71" s="203"/>
      <c r="U71" s="203"/>
      <c r="V71" s="203"/>
      <c r="W71" s="203"/>
      <c r="X71" s="203"/>
      <c r="Y71" s="203"/>
      <c r="Z71" s="203"/>
    </row>
    <row r="72">
      <c r="A72" s="654" t="s">
        <v>238</v>
      </c>
      <c r="B72" s="655"/>
      <c r="C72" s="655">
        <v>1333.0</v>
      </c>
      <c r="D72" s="203"/>
      <c r="E72" s="203"/>
      <c r="F72" s="203"/>
      <c r="G72" s="203"/>
      <c r="H72" s="203"/>
      <c r="I72" s="203"/>
      <c r="J72" s="203"/>
      <c r="K72" s="203"/>
      <c r="L72" s="203"/>
      <c r="M72" s="203"/>
      <c r="N72" s="203"/>
      <c r="O72" s="203"/>
      <c r="P72" s="203"/>
      <c r="Q72" s="203"/>
      <c r="R72" s="203"/>
      <c r="S72" s="203"/>
      <c r="T72" s="203"/>
      <c r="U72" s="203"/>
      <c r="V72" s="203"/>
      <c r="W72" s="203"/>
      <c r="X72" s="203"/>
      <c r="Y72" s="203"/>
      <c r="Z72" s="203"/>
    </row>
    <row r="73">
      <c r="A73" s="654" t="s">
        <v>207</v>
      </c>
      <c r="B73" s="655"/>
      <c r="C73" s="655">
        <v>825.0</v>
      </c>
      <c r="D73" s="203"/>
      <c r="E73" s="203"/>
      <c r="F73" s="203"/>
      <c r="G73" s="203"/>
      <c r="H73" s="203"/>
      <c r="I73" s="203"/>
      <c r="J73" s="203"/>
      <c r="K73" s="203"/>
      <c r="L73" s="203"/>
      <c r="M73" s="203"/>
      <c r="N73" s="203"/>
      <c r="O73" s="203"/>
      <c r="P73" s="203"/>
      <c r="Q73" s="203"/>
      <c r="R73" s="203"/>
      <c r="S73" s="203"/>
      <c r="T73" s="203"/>
      <c r="U73" s="203"/>
      <c r="V73" s="203"/>
      <c r="W73" s="203"/>
      <c r="X73" s="203"/>
      <c r="Y73" s="203"/>
      <c r="Z73" s="203"/>
    </row>
    <row r="74">
      <c r="A74" s="654" t="s">
        <v>87</v>
      </c>
      <c r="B74" s="655"/>
      <c r="C74" s="655">
        <v>183.0</v>
      </c>
      <c r="D74" s="203"/>
      <c r="E74" s="203"/>
      <c r="F74" s="203"/>
      <c r="G74" s="203"/>
      <c r="H74" s="203"/>
      <c r="I74" s="203"/>
      <c r="J74" s="203"/>
      <c r="K74" s="203"/>
      <c r="L74" s="203"/>
      <c r="M74" s="203"/>
      <c r="N74" s="203"/>
      <c r="O74" s="203"/>
      <c r="P74" s="203"/>
      <c r="Q74" s="203"/>
      <c r="R74" s="203"/>
      <c r="S74" s="203"/>
      <c r="T74" s="203"/>
      <c r="U74" s="203"/>
      <c r="V74" s="203"/>
      <c r="W74" s="203"/>
      <c r="X74" s="203"/>
      <c r="Y74" s="203"/>
      <c r="Z74" s="203"/>
    </row>
    <row r="75">
      <c r="A75" s="658" t="s">
        <v>1403</v>
      </c>
      <c r="B75" s="663"/>
      <c r="C75" s="663"/>
      <c r="D75" s="203"/>
      <c r="E75" s="203"/>
      <c r="F75" s="203"/>
      <c r="G75" s="203"/>
      <c r="H75" s="203"/>
      <c r="I75" s="203"/>
      <c r="J75" s="203"/>
      <c r="K75" s="203"/>
      <c r="L75" s="203"/>
      <c r="M75" s="203"/>
      <c r="N75" s="203"/>
      <c r="O75" s="203"/>
      <c r="P75" s="203"/>
      <c r="Q75" s="203"/>
      <c r="R75" s="203"/>
      <c r="S75" s="203"/>
      <c r="T75" s="203"/>
      <c r="U75" s="203"/>
      <c r="V75" s="203"/>
      <c r="W75" s="203"/>
      <c r="X75" s="203"/>
      <c r="Y75" s="203"/>
      <c r="Z75" s="203"/>
    </row>
    <row r="76">
      <c r="A76" s="654" t="s">
        <v>230</v>
      </c>
      <c r="B76" s="655"/>
      <c r="C76" s="655">
        <v>1417.0</v>
      </c>
      <c r="D76" s="203"/>
      <c r="E76" s="203"/>
      <c r="F76" s="203"/>
      <c r="G76" s="203"/>
      <c r="H76" s="203"/>
      <c r="I76" s="203"/>
      <c r="J76" s="203"/>
      <c r="K76" s="203"/>
      <c r="L76" s="203"/>
      <c r="M76" s="203"/>
      <c r="N76" s="203"/>
      <c r="O76" s="203"/>
      <c r="P76" s="203"/>
      <c r="Q76" s="203"/>
      <c r="R76" s="203"/>
      <c r="S76" s="203"/>
      <c r="T76" s="203"/>
      <c r="U76" s="203"/>
      <c r="V76" s="203"/>
      <c r="W76" s="203"/>
      <c r="X76" s="203"/>
      <c r="Y76" s="203"/>
      <c r="Z76" s="203"/>
    </row>
    <row r="77">
      <c r="A77" s="654" t="s">
        <v>210</v>
      </c>
      <c r="B77" s="655"/>
      <c r="C77" s="655">
        <v>42.0</v>
      </c>
      <c r="D77" s="203"/>
      <c r="E77" s="203"/>
      <c r="F77" s="203"/>
      <c r="G77" s="203"/>
      <c r="H77" s="203"/>
      <c r="I77" s="203"/>
      <c r="J77" s="203"/>
      <c r="K77" s="203"/>
      <c r="L77" s="203"/>
      <c r="M77" s="203"/>
      <c r="N77" s="203"/>
      <c r="O77" s="203"/>
      <c r="P77" s="203"/>
      <c r="Q77" s="203"/>
      <c r="R77" s="203"/>
      <c r="S77" s="203"/>
      <c r="T77" s="203"/>
      <c r="U77" s="203"/>
      <c r="V77" s="203"/>
      <c r="W77" s="203"/>
      <c r="X77" s="203"/>
      <c r="Y77" s="203"/>
      <c r="Z77" s="203"/>
    </row>
    <row r="78">
      <c r="A78" s="658" t="s">
        <v>1399</v>
      </c>
      <c r="B78" s="655">
        <v>1001.0</v>
      </c>
      <c r="C78" s="655">
        <v>10347.0</v>
      </c>
      <c r="D78" s="202">
        <v>2300.0</v>
      </c>
      <c r="E78" s="203"/>
      <c r="F78" s="203"/>
      <c r="G78" s="203"/>
      <c r="H78" s="203"/>
      <c r="I78" s="203"/>
      <c r="J78" s="203"/>
      <c r="K78" s="203"/>
      <c r="L78" s="203"/>
      <c r="M78" s="203"/>
      <c r="N78" s="203"/>
      <c r="O78" s="203"/>
      <c r="P78" s="203"/>
      <c r="Q78" s="203"/>
      <c r="R78" s="203"/>
      <c r="S78" s="203"/>
      <c r="T78" s="203"/>
      <c r="U78" s="203"/>
      <c r="V78" s="203"/>
      <c r="W78" s="203"/>
      <c r="X78" s="203"/>
      <c r="Y78" s="203"/>
      <c r="Z78" s="203"/>
    </row>
    <row r="79">
      <c r="A79" s="203"/>
      <c r="B79" s="203"/>
      <c r="C79" s="203"/>
      <c r="D79" s="203"/>
      <c r="E79" s="203"/>
      <c r="F79" s="203"/>
      <c r="G79" s="203"/>
      <c r="H79" s="203"/>
      <c r="I79" s="203"/>
      <c r="J79" s="203"/>
      <c r="K79" s="203"/>
      <c r="L79" s="203"/>
      <c r="M79" s="203"/>
      <c r="N79" s="203"/>
      <c r="O79" s="203"/>
      <c r="P79" s="203"/>
      <c r="Q79" s="203"/>
      <c r="R79" s="203"/>
      <c r="S79" s="203"/>
      <c r="T79" s="203"/>
      <c r="U79" s="203"/>
      <c r="V79" s="203"/>
      <c r="W79" s="203"/>
      <c r="X79" s="203"/>
      <c r="Y79" s="203"/>
      <c r="Z79" s="203"/>
    </row>
    <row r="80">
      <c r="A80" s="660" t="s">
        <v>1351</v>
      </c>
      <c r="B80" s="668"/>
      <c r="C80" s="662">
        <v>29230.0</v>
      </c>
      <c r="D80" s="203"/>
      <c r="E80" s="203"/>
      <c r="F80" s="203"/>
      <c r="G80" s="203"/>
      <c r="H80" s="203"/>
      <c r="I80" s="203"/>
      <c r="J80" s="203"/>
      <c r="K80" s="203"/>
      <c r="L80" s="203"/>
      <c r="M80" s="203"/>
      <c r="N80" s="203"/>
      <c r="O80" s="203"/>
      <c r="P80" s="203"/>
      <c r="Q80" s="203"/>
      <c r="R80" s="203"/>
      <c r="S80" s="203"/>
      <c r="T80" s="203"/>
      <c r="U80" s="203"/>
      <c r="V80" s="203"/>
      <c r="W80" s="203"/>
      <c r="X80" s="203"/>
      <c r="Y80" s="203"/>
      <c r="Z80" s="203"/>
    </row>
    <row r="81">
      <c r="A81" s="660" t="s">
        <v>1402</v>
      </c>
      <c r="B81" s="664"/>
      <c r="C81" s="665">
        <v>2.82</v>
      </c>
      <c r="D81" s="203"/>
      <c r="E81" s="203"/>
      <c r="F81" s="203"/>
      <c r="G81" s="203"/>
      <c r="H81" s="203"/>
      <c r="I81" s="203"/>
      <c r="J81" s="203"/>
      <c r="K81" s="203"/>
      <c r="L81" s="203"/>
      <c r="M81" s="203"/>
      <c r="N81" s="203"/>
      <c r="O81" s="203"/>
      <c r="P81" s="203"/>
      <c r="Q81" s="203"/>
      <c r="R81" s="203"/>
      <c r="S81" s="203"/>
      <c r="T81" s="203"/>
      <c r="U81" s="203"/>
      <c r="V81" s="203"/>
      <c r="W81" s="203"/>
      <c r="X81" s="203"/>
      <c r="Y81" s="203"/>
      <c r="Z81" s="203"/>
    </row>
    <row r="82">
      <c r="A82" s="203"/>
      <c r="B82" s="203"/>
      <c r="C82" s="203"/>
      <c r="D82" s="203"/>
      <c r="E82" s="203"/>
      <c r="F82" s="203"/>
      <c r="G82" s="203"/>
      <c r="H82" s="203"/>
      <c r="I82" s="203"/>
      <c r="J82" s="203"/>
      <c r="K82" s="203"/>
      <c r="L82" s="203"/>
      <c r="M82" s="203"/>
      <c r="N82" s="203"/>
      <c r="O82" s="203"/>
      <c r="P82" s="203"/>
      <c r="Q82" s="203"/>
      <c r="R82" s="203"/>
      <c r="S82" s="203"/>
      <c r="T82" s="203"/>
      <c r="U82" s="203"/>
      <c r="V82" s="203"/>
      <c r="W82" s="203"/>
      <c r="X82" s="203"/>
      <c r="Y82" s="203"/>
      <c r="Z82" s="203"/>
    </row>
    <row r="83">
      <c r="A83" s="203"/>
      <c r="B83" s="203"/>
      <c r="C83" s="203"/>
      <c r="D83" s="203"/>
      <c r="E83" s="203"/>
      <c r="F83" s="203"/>
      <c r="G83" s="203"/>
      <c r="H83" s="203"/>
      <c r="I83" s="203"/>
      <c r="J83" s="203"/>
      <c r="K83" s="203"/>
      <c r="L83" s="203"/>
      <c r="M83" s="203"/>
      <c r="N83" s="203"/>
      <c r="O83" s="203"/>
      <c r="P83" s="203"/>
      <c r="Q83" s="203"/>
      <c r="R83" s="203"/>
      <c r="S83" s="203"/>
      <c r="T83" s="203"/>
      <c r="U83" s="203"/>
      <c r="V83" s="203"/>
      <c r="W83" s="203"/>
      <c r="X83" s="203"/>
      <c r="Y83" s="203"/>
      <c r="Z83" s="203"/>
    </row>
    <row r="84">
      <c r="A84" s="203"/>
      <c r="B84" s="203"/>
      <c r="C84" s="203"/>
      <c r="D84" s="203"/>
      <c r="E84" s="203"/>
      <c r="F84" s="203"/>
      <c r="G84" s="203"/>
      <c r="H84" s="203"/>
      <c r="I84" s="203"/>
      <c r="J84" s="203"/>
      <c r="K84" s="203"/>
      <c r="L84" s="203"/>
      <c r="M84" s="203"/>
      <c r="N84" s="203"/>
      <c r="O84" s="203"/>
      <c r="P84" s="203"/>
      <c r="Q84" s="203"/>
      <c r="R84" s="203"/>
      <c r="S84" s="203"/>
      <c r="T84" s="203"/>
      <c r="U84" s="203"/>
      <c r="V84" s="203"/>
      <c r="W84" s="203"/>
      <c r="X84" s="203"/>
      <c r="Y84" s="203"/>
      <c r="Z84" s="203"/>
    </row>
    <row r="85">
      <c r="A85" s="203"/>
      <c r="B85" s="203"/>
      <c r="C85" s="203"/>
      <c r="D85" s="203"/>
      <c r="E85" s="203"/>
      <c r="F85" s="203"/>
      <c r="G85" s="203"/>
      <c r="H85" s="203"/>
      <c r="I85" s="203"/>
      <c r="J85" s="203"/>
      <c r="K85" s="203"/>
      <c r="L85" s="203"/>
      <c r="M85" s="203"/>
      <c r="N85" s="203"/>
      <c r="O85" s="203"/>
      <c r="P85" s="203"/>
      <c r="Q85" s="203"/>
      <c r="R85" s="203"/>
      <c r="S85" s="203"/>
      <c r="T85" s="203"/>
      <c r="U85" s="203"/>
      <c r="V85" s="203"/>
      <c r="W85" s="203"/>
      <c r="X85" s="203"/>
      <c r="Y85" s="203"/>
      <c r="Z85" s="203"/>
    </row>
    <row r="86">
      <c r="A86" s="203"/>
      <c r="B86" s="203"/>
      <c r="C86" s="203"/>
      <c r="D86" s="203"/>
      <c r="E86" s="203"/>
      <c r="F86" s="203"/>
      <c r="G86" s="203"/>
      <c r="H86" s="203"/>
      <c r="I86" s="203"/>
      <c r="J86" s="203"/>
      <c r="K86" s="203"/>
      <c r="L86" s="203"/>
      <c r="M86" s="203"/>
      <c r="N86" s="203"/>
      <c r="O86" s="203"/>
      <c r="P86" s="203"/>
      <c r="Q86" s="203"/>
      <c r="R86" s="203"/>
      <c r="S86" s="203"/>
      <c r="T86" s="203"/>
      <c r="U86" s="203"/>
      <c r="V86" s="203"/>
      <c r="W86" s="203"/>
      <c r="X86" s="203"/>
      <c r="Y86" s="203"/>
      <c r="Z86" s="203"/>
    </row>
    <row r="87">
      <c r="A87" s="203"/>
      <c r="B87" s="203"/>
      <c r="C87" s="203"/>
      <c r="D87" s="203"/>
      <c r="E87" s="203"/>
      <c r="F87" s="203"/>
      <c r="G87" s="203"/>
      <c r="H87" s="203"/>
      <c r="I87" s="203"/>
      <c r="J87" s="203"/>
      <c r="K87" s="203"/>
      <c r="L87" s="203"/>
      <c r="M87" s="203"/>
      <c r="N87" s="203"/>
      <c r="O87" s="203"/>
      <c r="P87" s="203"/>
      <c r="Q87" s="203"/>
      <c r="R87" s="203"/>
      <c r="S87" s="203"/>
      <c r="T87" s="203"/>
      <c r="U87" s="203"/>
      <c r="V87" s="203"/>
      <c r="W87" s="203"/>
      <c r="X87" s="203"/>
      <c r="Y87" s="203"/>
      <c r="Z87" s="203"/>
    </row>
    <row r="88">
      <c r="A88" s="203"/>
      <c r="B88" s="203"/>
      <c r="C88" s="203"/>
      <c r="D88" s="203"/>
      <c r="E88" s="203"/>
      <c r="F88" s="203"/>
      <c r="G88" s="203"/>
      <c r="H88" s="203"/>
      <c r="I88" s="203"/>
      <c r="J88" s="203"/>
      <c r="K88" s="203"/>
      <c r="L88" s="203"/>
      <c r="M88" s="203"/>
      <c r="N88" s="203"/>
      <c r="O88" s="203"/>
      <c r="P88" s="203"/>
      <c r="Q88" s="203"/>
      <c r="R88" s="203"/>
      <c r="S88" s="203"/>
      <c r="T88" s="203"/>
      <c r="U88" s="203"/>
      <c r="V88" s="203"/>
      <c r="W88" s="203"/>
      <c r="X88" s="203"/>
      <c r="Y88" s="203"/>
      <c r="Z88" s="203"/>
    </row>
    <row r="89">
      <c r="A89" s="203"/>
      <c r="B89" s="203"/>
      <c r="C89" s="203"/>
      <c r="D89" s="203"/>
      <c r="E89" s="203"/>
      <c r="F89" s="203"/>
      <c r="G89" s="203"/>
      <c r="H89" s="203"/>
      <c r="I89" s="203"/>
      <c r="J89" s="203"/>
      <c r="K89" s="203"/>
      <c r="L89" s="203"/>
      <c r="M89" s="203"/>
      <c r="N89" s="203"/>
      <c r="O89" s="203"/>
      <c r="P89" s="203"/>
      <c r="Q89" s="203"/>
      <c r="R89" s="203"/>
      <c r="S89" s="203"/>
      <c r="T89" s="203"/>
      <c r="U89" s="203"/>
      <c r="V89" s="203"/>
      <c r="W89" s="203"/>
      <c r="X89" s="203"/>
      <c r="Y89" s="203"/>
      <c r="Z89" s="203"/>
    </row>
    <row r="90">
      <c r="A90" s="203"/>
      <c r="B90" s="203"/>
      <c r="C90" s="203"/>
      <c r="D90" s="203"/>
      <c r="E90" s="203"/>
      <c r="F90" s="203"/>
      <c r="G90" s="203"/>
      <c r="H90" s="203"/>
      <c r="I90" s="203"/>
      <c r="J90" s="203"/>
      <c r="K90" s="203"/>
      <c r="L90" s="203"/>
      <c r="M90" s="203"/>
      <c r="N90" s="203"/>
      <c r="O90" s="203"/>
      <c r="P90" s="203"/>
      <c r="Q90" s="203"/>
      <c r="R90" s="203"/>
      <c r="S90" s="203"/>
      <c r="T90" s="203"/>
      <c r="U90" s="203"/>
      <c r="V90" s="203"/>
      <c r="W90" s="203"/>
      <c r="X90" s="203"/>
      <c r="Y90" s="203"/>
      <c r="Z90" s="203"/>
    </row>
    <row r="91">
      <c r="A91" s="203"/>
      <c r="B91" s="203"/>
      <c r="C91" s="203"/>
      <c r="D91" s="203"/>
      <c r="E91" s="203"/>
      <c r="F91" s="203"/>
      <c r="G91" s="203"/>
      <c r="H91" s="203"/>
      <c r="I91" s="203"/>
      <c r="J91" s="203"/>
      <c r="K91" s="203"/>
      <c r="L91" s="203"/>
      <c r="M91" s="203"/>
      <c r="N91" s="203"/>
      <c r="O91" s="203"/>
      <c r="P91" s="203"/>
      <c r="Q91" s="203"/>
      <c r="R91" s="203"/>
      <c r="S91" s="203"/>
      <c r="T91" s="203"/>
      <c r="U91" s="203"/>
      <c r="V91" s="203"/>
      <c r="W91" s="203"/>
      <c r="X91" s="203"/>
      <c r="Y91" s="203"/>
      <c r="Z91" s="203"/>
    </row>
    <row r="92">
      <c r="A92" s="203"/>
      <c r="B92" s="203"/>
      <c r="C92" s="203"/>
      <c r="D92" s="203"/>
      <c r="E92" s="203"/>
      <c r="F92" s="203"/>
      <c r="G92" s="203"/>
      <c r="H92" s="203"/>
      <c r="I92" s="203"/>
      <c r="J92" s="203"/>
      <c r="K92" s="203"/>
      <c r="L92" s="203"/>
      <c r="M92" s="203"/>
      <c r="N92" s="203"/>
      <c r="O92" s="203"/>
      <c r="P92" s="203"/>
      <c r="Q92" s="203"/>
      <c r="R92" s="203"/>
      <c r="S92" s="203"/>
      <c r="T92" s="203"/>
      <c r="U92" s="203"/>
      <c r="V92" s="203"/>
      <c r="W92" s="203"/>
      <c r="X92" s="203"/>
      <c r="Y92" s="203"/>
      <c r="Z92" s="203"/>
    </row>
    <row r="93">
      <c r="A93" s="203"/>
      <c r="B93" s="203"/>
      <c r="C93" s="203"/>
      <c r="D93" s="203"/>
      <c r="E93" s="203"/>
      <c r="F93" s="203"/>
      <c r="G93" s="203"/>
      <c r="H93" s="203"/>
      <c r="I93" s="203"/>
      <c r="J93" s="203"/>
      <c r="K93" s="203"/>
      <c r="L93" s="203"/>
      <c r="M93" s="203"/>
      <c r="N93" s="203"/>
      <c r="O93" s="203"/>
      <c r="P93" s="203"/>
      <c r="Q93" s="203"/>
      <c r="R93" s="203"/>
      <c r="S93" s="203"/>
      <c r="T93" s="203"/>
      <c r="U93" s="203"/>
      <c r="V93" s="203"/>
      <c r="W93" s="203"/>
      <c r="X93" s="203"/>
      <c r="Y93" s="203"/>
      <c r="Z93" s="203"/>
    </row>
    <row r="94">
      <c r="A94" s="203"/>
      <c r="B94" s="203"/>
      <c r="C94" s="203"/>
      <c r="D94" s="203"/>
      <c r="E94" s="203"/>
      <c r="F94" s="203"/>
      <c r="G94" s="203"/>
      <c r="H94" s="203"/>
      <c r="I94" s="203"/>
      <c r="J94" s="203"/>
      <c r="K94" s="203"/>
      <c r="L94" s="203"/>
      <c r="M94" s="203"/>
      <c r="N94" s="203"/>
      <c r="O94" s="203"/>
      <c r="P94" s="203"/>
      <c r="Q94" s="203"/>
      <c r="R94" s="203"/>
      <c r="S94" s="203"/>
      <c r="T94" s="203"/>
      <c r="U94" s="203"/>
      <c r="V94" s="203"/>
      <c r="W94" s="203"/>
      <c r="X94" s="203"/>
      <c r="Y94" s="203"/>
      <c r="Z94" s="203"/>
    </row>
    <row r="95">
      <c r="A95" s="203"/>
      <c r="B95" s="203"/>
      <c r="C95" s="203"/>
      <c r="D95" s="203"/>
      <c r="E95" s="203"/>
      <c r="F95" s="203"/>
      <c r="G95" s="203"/>
      <c r="H95" s="203"/>
      <c r="I95" s="203"/>
      <c r="J95" s="203"/>
      <c r="K95" s="203"/>
      <c r="L95" s="203"/>
      <c r="M95" s="203"/>
      <c r="N95" s="203"/>
      <c r="O95" s="203"/>
      <c r="P95" s="203"/>
      <c r="Q95" s="203"/>
      <c r="R95" s="203"/>
      <c r="S95" s="203"/>
      <c r="T95" s="203"/>
      <c r="U95" s="203"/>
      <c r="V95" s="203"/>
      <c r="W95" s="203"/>
      <c r="X95" s="203"/>
      <c r="Y95" s="203"/>
      <c r="Z95" s="203"/>
    </row>
    <row r="96">
      <c r="A96" s="203"/>
      <c r="B96" s="203"/>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row>
    <row r="97">
      <c r="A97" s="203"/>
      <c r="B97" s="203"/>
      <c r="C97" s="203"/>
      <c r="D97" s="203"/>
      <c r="E97" s="203"/>
      <c r="F97" s="203"/>
      <c r="G97" s="203"/>
      <c r="H97" s="203"/>
      <c r="I97" s="203"/>
      <c r="J97" s="203"/>
      <c r="K97" s="203"/>
      <c r="L97" s="203"/>
      <c r="M97" s="203"/>
      <c r="N97" s="203"/>
      <c r="O97" s="203"/>
      <c r="P97" s="203"/>
      <c r="Q97" s="203"/>
      <c r="R97" s="203"/>
      <c r="S97" s="203"/>
      <c r="T97" s="203"/>
      <c r="U97" s="203"/>
      <c r="V97" s="203"/>
      <c r="W97" s="203"/>
      <c r="X97" s="203"/>
      <c r="Y97" s="203"/>
      <c r="Z97" s="203"/>
    </row>
    <row r="98">
      <c r="A98" s="203"/>
      <c r="B98" s="203"/>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3"/>
    </row>
    <row r="99">
      <c r="A99" s="203"/>
      <c r="B99" s="203"/>
      <c r="C99" s="203"/>
      <c r="D99" s="203"/>
      <c r="E99" s="203"/>
      <c r="F99" s="203"/>
      <c r="G99" s="203"/>
      <c r="H99" s="203"/>
      <c r="I99" s="203"/>
      <c r="J99" s="203"/>
      <c r="K99" s="203"/>
      <c r="L99" s="203"/>
      <c r="M99" s="203"/>
      <c r="N99" s="203"/>
      <c r="O99" s="203"/>
      <c r="P99" s="203"/>
      <c r="Q99" s="203"/>
      <c r="R99" s="203"/>
      <c r="S99" s="203"/>
      <c r="T99" s="203"/>
      <c r="U99" s="203"/>
      <c r="V99" s="203"/>
      <c r="W99" s="203"/>
      <c r="X99" s="203"/>
      <c r="Y99" s="203"/>
      <c r="Z99" s="203"/>
    </row>
    <row r="100">
      <c r="A100" s="203"/>
      <c r="B100" s="203"/>
      <c r="C100" s="203"/>
      <c r="D100" s="203"/>
      <c r="E100" s="203"/>
      <c r="F100" s="203"/>
      <c r="G100" s="203"/>
      <c r="H100" s="203"/>
      <c r="I100" s="203"/>
      <c r="J100" s="203"/>
      <c r="K100" s="203"/>
      <c r="L100" s="203"/>
      <c r="M100" s="203"/>
      <c r="N100" s="203"/>
      <c r="O100" s="203"/>
      <c r="P100" s="203"/>
      <c r="Q100" s="203"/>
      <c r="R100" s="203"/>
      <c r="S100" s="203"/>
      <c r="T100" s="203"/>
      <c r="U100" s="203"/>
      <c r="V100" s="203"/>
      <c r="W100" s="203"/>
      <c r="X100" s="203"/>
      <c r="Y100" s="203"/>
      <c r="Z100" s="203"/>
    </row>
    <row r="101">
      <c r="A101" s="203"/>
      <c r="B101" s="203"/>
      <c r="C101" s="203"/>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row>
    <row r="102">
      <c r="A102" s="203"/>
      <c r="B102" s="203"/>
      <c r="C102" s="203"/>
      <c r="D102" s="20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row>
    <row r="103">
      <c r="A103" s="203"/>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row>
    <row r="104">
      <c r="A104" s="203"/>
      <c r="B104" s="203"/>
      <c r="C104" s="203"/>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row>
    <row r="105">
      <c r="A105" s="203"/>
      <c r="B105" s="203"/>
      <c r="C105" s="203"/>
      <c r="D105" s="20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row>
    <row r="106">
      <c r="A106" s="203"/>
      <c r="B106" s="203"/>
      <c r="C106" s="203"/>
      <c r="D106" s="20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row>
    <row r="107">
      <c r="A107" s="203"/>
      <c r="B107" s="203"/>
      <c r="C107" s="203"/>
      <c r="D107" s="20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row>
    <row r="108">
      <c r="A108" s="203"/>
      <c r="B108" s="203"/>
      <c r="C108" s="203"/>
      <c r="D108" s="20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row>
    <row r="109">
      <c r="A109" s="203"/>
      <c r="B109" s="203"/>
      <c r="C109" s="203"/>
      <c r="D109" s="20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row>
    <row r="110">
      <c r="A110" s="203"/>
      <c r="B110" s="203"/>
      <c r="C110" s="203"/>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row>
    <row r="111">
      <c r="A111" s="203"/>
      <c r="B111" s="203"/>
      <c r="C111" s="203"/>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row>
    <row r="112">
      <c r="A112" s="203"/>
      <c r="B112" s="203"/>
      <c r="C112" s="203"/>
      <c r="D112" s="20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row>
    <row r="113">
      <c r="A113" s="203"/>
      <c r="B113" s="203"/>
      <c r="C113" s="203"/>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row>
    <row r="114">
      <c r="A114" s="203"/>
      <c r="B114" s="203"/>
      <c r="C114" s="203"/>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row>
    <row r="115">
      <c r="A115" s="203"/>
      <c r="B115" s="203"/>
      <c r="C115" s="203"/>
      <c r="D115" s="203"/>
      <c r="E115" s="203"/>
      <c r="F115" s="203"/>
      <c r="G115" s="203"/>
      <c r="H115" s="203"/>
      <c r="I115" s="203"/>
      <c r="J115" s="203"/>
      <c r="K115" s="203"/>
      <c r="L115" s="203"/>
      <c r="M115" s="203"/>
      <c r="N115" s="203"/>
      <c r="O115" s="203"/>
      <c r="P115" s="203"/>
      <c r="Q115" s="203"/>
      <c r="R115" s="203"/>
      <c r="S115" s="203"/>
      <c r="T115" s="203"/>
      <c r="U115" s="203"/>
      <c r="V115" s="203"/>
      <c r="W115" s="203"/>
      <c r="X115" s="203"/>
      <c r="Y115" s="203"/>
      <c r="Z115" s="203"/>
    </row>
    <row r="116">
      <c r="A116" s="203"/>
      <c r="B116" s="203"/>
      <c r="C116" s="203"/>
      <c r="D116" s="203"/>
      <c r="E116" s="203"/>
      <c r="F116" s="203"/>
      <c r="G116" s="203"/>
      <c r="H116" s="203"/>
      <c r="I116" s="203"/>
      <c r="J116" s="203"/>
      <c r="K116" s="203"/>
      <c r="L116" s="203"/>
      <c r="M116" s="203"/>
      <c r="N116" s="203"/>
      <c r="O116" s="203"/>
      <c r="P116" s="203"/>
      <c r="Q116" s="203"/>
      <c r="R116" s="203"/>
      <c r="S116" s="203"/>
      <c r="T116" s="203"/>
      <c r="U116" s="203"/>
      <c r="V116" s="203"/>
      <c r="W116" s="203"/>
      <c r="X116" s="203"/>
      <c r="Y116" s="203"/>
      <c r="Z116" s="203"/>
    </row>
    <row r="117">
      <c r="A117" s="203"/>
      <c r="B117" s="203"/>
      <c r="C117" s="203"/>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row>
    <row r="118">
      <c r="A118" s="203"/>
      <c r="B118" s="203"/>
      <c r="C118" s="203"/>
      <c r="D118" s="203"/>
      <c r="E118" s="203"/>
      <c r="F118" s="203"/>
      <c r="G118" s="203"/>
      <c r="H118" s="203"/>
      <c r="I118" s="203"/>
      <c r="J118" s="203"/>
      <c r="K118" s="203"/>
      <c r="L118" s="203"/>
      <c r="M118" s="203"/>
      <c r="N118" s="203"/>
      <c r="O118" s="203"/>
      <c r="P118" s="203"/>
      <c r="Q118" s="203"/>
      <c r="R118" s="203"/>
      <c r="S118" s="203"/>
      <c r="T118" s="203"/>
      <c r="U118" s="203"/>
      <c r="V118" s="203"/>
      <c r="W118" s="203"/>
      <c r="X118" s="203"/>
      <c r="Y118" s="203"/>
      <c r="Z118" s="203"/>
    </row>
    <row r="119">
      <c r="A119" s="203"/>
      <c r="B119" s="203"/>
      <c r="C119" s="203"/>
      <c r="D119" s="20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row>
    <row r="120">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row>
    <row r="121">
      <c r="A121" s="203"/>
      <c r="B121" s="203"/>
      <c r="C121" s="203"/>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c r="A122" s="203"/>
      <c r="B122" s="203"/>
      <c r="C122" s="203"/>
      <c r="D122" s="20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c r="A123" s="203"/>
      <c r="B123" s="203"/>
      <c r="C123" s="203"/>
      <c r="D123" s="20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row>
    <row r="202">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row>
    <row r="2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row>
    <row r="204">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row>
    <row r="205">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row>
    <row r="206">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row>
    <row r="207">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row>
    <row r="208">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row>
    <row r="209">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row>
    <row r="210">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row>
    <row r="21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row>
    <row r="212">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row>
    <row r="21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row>
    <row r="214">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row>
    <row r="215">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row>
    <row r="216">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row>
    <row r="217">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row>
    <row r="218">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row>
    <row r="219">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row>
    <row r="220">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row>
    <row r="22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row>
    <row r="222">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row>
    <row r="22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row>
    <row r="224">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row>
    <row r="225">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row>
    <row r="226">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row>
    <row r="227">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row>
    <row r="228">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row>
    <row r="229">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row>
    <row r="230">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row>
    <row r="23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row>
    <row r="232">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row>
    <row r="23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row>
    <row r="234">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row>
    <row r="235">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row>
    <row r="236">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row>
    <row r="237">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row>
    <row r="238">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row>
    <row r="239">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row>
    <row r="240">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row>
    <row r="24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row>
    <row r="242">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row>
    <row r="24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row>
    <row r="244">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row>
    <row r="245">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row>
    <row r="246">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row>
    <row r="247">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row>
    <row r="248">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row>
    <row r="249">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row>
    <row r="250">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row>
    <row r="25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row>
    <row r="252">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row>
    <row r="25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row>
    <row r="254">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row>
    <row r="255">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row>
    <row r="256">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row>
    <row r="257">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row>
    <row r="258">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row>
    <row r="259">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row>
    <row r="260">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row>
    <row r="26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row>
    <row r="262">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row>
    <row r="26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row>
    <row r="264">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row>
    <row r="265">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row>
    <row r="266">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row>
    <row r="267">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row>
    <row r="268">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row>
    <row r="269">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row>
    <row r="270">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row>
    <row r="27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row>
    <row r="272">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row>
    <row r="27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row>
    <row r="274">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row>
    <row r="275">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row>
    <row r="276">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row>
    <row r="277">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row>
    <row r="278">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row>
    <row r="279">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row>
    <row r="280">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row>
    <row r="28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row>
    <row r="282">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row>
    <row r="28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row>
    <row r="284">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row>
    <row r="285">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row>
    <row r="286">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row>
    <row r="287">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row>
    <row r="288">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row>
    <row r="289">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row>
    <row r="290">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row>
    <row r="29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row>
    <row r="292">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row>
    <row r="29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row>
    <row r="294">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row>
    <row r="295">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row>
    <row r="296">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row>
    <row r="297">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row>
    <row r="298">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row>
    <row r="299">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row>
    <row r="300">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row>
    <row r="30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row>
    <row r="302">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row>
    <row r="3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row>
    <row r="304">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row>
    <row r="305">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row>
    <row r="306">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row>
    <row r="307">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row>
    <row r="308">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row>
    <row r="309">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row>
    <row r="310">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row>
    <row r="31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row>
    <row r="312">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row>
    <row r="31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row>
    <row r="314">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row>
    <row r="315">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row>
    <row r="316">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row>
    <row r="317">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row>
    <row r="318">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row>
    <row r="319">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row>
    <row r="320">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row>
    <row r="32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row>
    <row r="322">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row>
    <row r="32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row>
    <row r="324">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row>
    <row r="325">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row>
    <row r="326">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row>
    <row r="327">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row>
    <row r="328">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row>
    <row r="329">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row>
    <row r="330">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row>
    <row r="33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row>
    <row r="332">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row>
    <row r="33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row>
    <row r="334">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row>
    <row r="335">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row>
    <row r="336">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row>
    <row r="337">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row>
    <row r="338">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row>
    <row r="339">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row>
    <row r="340">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row>
    <row r="34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row>
    <row r="342">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row>
    <row r="34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row>
    <row r="344">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row>
    <row r="345">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row>
    <row r="346">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row>
    <row r="347">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row>
    <row r="348">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row>
    <row r="349">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row>
    <row r="350">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row>
    <row r="35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row>
    <row r="352">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row>
    <row r="35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row>
    <row r="354">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row>
    <row r="355">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row>
    <row r="356">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row>
    <row r="357">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row>
    <row r="358">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row>
    <row r="359">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row>
    <row r="360">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row>
    <row r="36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row>
    <row r="362">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row>
    <row r="36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row>
    <row r="364">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row>
    <row r="365">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row>
    <row r="366">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row>
    <row r="367">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row>
    <row r="368">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row>
    <row r="369">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row>
    <row r="370">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row>
    <row r="37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row>
    <row r="372">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row>
    <row r="37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row>
    <row r="374">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row>
    <row r="375">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row>
    <row r="376">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row>
    <row r="377">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row>
    <row r="378">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row>
    <row r="379">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row>
    <row r="380">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row>
    <row r="38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row>
    <row r="382">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row>
    <row r="38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row>
    <row r="384">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row>
    <row r="385">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row>
    <row r="386">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row>
    <row r="387">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row>
    <row r="388">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row>
    <row r="389">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row>
    <row r="390">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row>
    <row r="39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row>
    <row r="392">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row>
    <row r="39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row>
    <row r="394">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row>
    <row r="395">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row>
    <row r="396">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row>
    <row r="397">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row>
    <row r="398">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row>
    <row r="399">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row>
    <row r="400">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row>
    <row r="40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row>
    <row r="402">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row>
    <row r="4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row>
    <row r="404">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row>
    <row r="405">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row>
    <row r="406">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row>
    <row r="407">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row>
    <row r="408">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row>
    <row r="409">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row>
    <row r="410">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row>
    <row r="41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row>
    <row r="412">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row>
    <row r="41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row>
    <row r="414">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row>
    <row r="415">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row>
    <row r="416">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row>
    <row r="417">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row>
    <row r="418">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row>
    <row r="419">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row>
    <row r="420">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row>
    <row r="42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row>
    <row r="422">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row>
    <row r="42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row>
    <row r="424">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row>
    <row r="425">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row>
    <row r="426">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row>
    <row r="427">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row>
    <row r="428">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row>
    <row r="429">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row>
    <row r="430">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row>
    <row r="43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row>
    <row r="432">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row>
    <row r="43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row>
    <row r="434">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row>
    <row r="435">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row>
    <row r="436">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row>
    <row r="437">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row>
    <row r="438">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row>
    <row r="439">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row>
    <row r="440">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row>
    <row r="44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row>
    <row r="442">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row>
    <row r="44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row>
    <row r="444">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row>
    <row r="445">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row>
    <row r="446">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row>
    <row r="447">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row>
    <row r="448">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row>
    <row r="449">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row>
    <row r="450">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row>
    <row r="45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row>
    <row r="452">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row>
    <row r="45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row>
    <row r="454">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row>
    <row r="455">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row>
    <row r="456">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row>
    <row r="457">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row>
    <row r="458">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row>
    <row r="459">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row>
    <row r="460">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row>
    <row r="46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row>
    <row r="462">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row>
    <row r="46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row>
    <row r="464">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row>
    <row r="465">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row>
    <row r="466">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row>
    <row r="467">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row>
    <row r="468">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row>
    <row r="469">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row>
    <row r="470">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row>
    <row r="47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row>
    <row r="472">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row>
    <row r="47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row>
    <row r="474">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row>
    <row r="475">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row>
    <row r="476">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row>
    <row r="477">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row>
    <row r="478">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row>
    <row r="479">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row>
    <row r="480">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row>
    <row r="48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row>
    <row r="482">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row>
    <row r="48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row>
    <row r="484">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row>
    <row r="485">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row>
    <row r="486">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row>
    <row r="487">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row>
    <row r="488">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row>
    <row r="489">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row>
    <row r="490">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row>
    <row r="49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row>
    <row r="492">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row>
    <row r="49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row>
    <row r="494">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row>
    <row r="495">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row>
    <row r="496">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row>
    <row r="497">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row>
    <row r="498">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row>
    <row r="499">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row>
    <row r="500">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row>
    <row r="50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row>
    <row r="502">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row>
    <row r="5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row>
    <row r="504">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row>
    <row r="505">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row>
    <row r="506">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row>
    <row r="507">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row>
    <row r="508">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row>
    <row r="509">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row>
    <row r="510">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row>
    <row r="51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row>
    <row r="512">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row>
    <row r="51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row>
    <row r="514">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row>
    <row r="515">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row>
    <row r="516">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row>
    <row r="517">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row>
    <row r="518">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row>
    <row r="519">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row>
    <row r="520">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row>
    <row r="52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row>
    <row r="522">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row>
    <row r="52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row>
    <row r="524">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row>
    <row r="525">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row>
    <row r="526">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row>
    <row r="527">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row>
    <row r="528">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row>
    <row r="529">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row>
    <row r="530">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row>
    <row r="53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row>
    <row r="532">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row>
    <row r="53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row>
    <row r="534">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row>
    <row r="535">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row>
    <row r="536">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row>
    <row r="537">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row>
    <row r="538">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row>
    <row r="539">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row>
    <row r="540">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row>
    <row r="54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row>
    <row r="542">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row>
    <row r="54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row>
    <row r="544">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row>
    <row r="545">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row>
    <row r="546">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row>
    <row r="547">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row>
    <row r="548">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row>
    <row r="549">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row>
    <row r="550">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row>
    <row r="55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row>
    <row r="552">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row>
    <row r="55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row>
    <row r="554">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row>
    <row r="555">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row>
    <row r="556">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row>
    <row r="557">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row>
    <row r="558">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row>
    <row r="559">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row>
    <row r="560">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row>
    <row r="56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row>
    <row r="562">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row>
    <row r="56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row>
    <row r="564">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row>
    <row r="565">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row>
    <row r="566">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row>
    <row r="567">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row>
    <row r="568">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row>
    <row r="569">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row>
    <row r="570">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row>
    <row r="57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row>
    <row r="572">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row>
    <row r="57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row>
    <row r="574">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row>
    <row r="575">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row>
    <row r="576">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row>
    <row r="577">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row>
    <row r="578">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row>
    <row r="579">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row>
    <row r="580">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row>
    <row r="58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row>
    <row r="582">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row>
    <row r="58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row>
    <row r="584">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row>
    <row r="585">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row>
    <row r="586">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row>
    <row r="587">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row>
    <row r="588">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row>
    <row r="589">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row>
    <row r="590">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row>
    <row r="59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row>
    <row r="592">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row>
    <row r="59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row>
    <row r="594">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row>
    <row r="595">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row>
    <row r="596">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row>
    <row r="597">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row>
    <row r="598">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row>
    <row r="599">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row>
    <row r="600">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row>
    <row r="60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row>
    <row r="602">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row>
    <row r="6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row>
    <row r="604">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row>
    <row r="605">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row>
    <row r="606">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row>
    <row r="607">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row>
    <row r="608">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row>
    <row r="609">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row>
    <row r="610">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row>
    <row r="61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row>
    <row r="612">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row>
    <row r="61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row>
    <row r="614">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row>
    <row r="615">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row>
    <row r="616">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row>
    <row r="617">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row>
    <row r="618">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row>
    <row r="619">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row>
    <row r="620">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row>
    <row r="62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row>
    <row r="622">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row>
    <row r="62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row>
    <row r="624">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row>
    <row r="625">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row>
    <row r="626">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row>
    <row r="627">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row>
    <row r="628">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row>
    <row r="629">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row>
    <row r="630">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row>
    <row r="63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row>
    <row r="632">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row>
    <row r="63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row>
    <row r="634">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row>
    <row r="635">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row>
    <row r="636">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row>
    <row r="637">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row>
    <row r="638">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row>
    <row r="639">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row>
    <row r="640">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row>
    <row r="64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row>
    <row r="642">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row>
    <row r="64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row>
    <row r="644">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row>
    <row r="645">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row>
    <row r="646">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row>
    <row r="647">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row>
    <row r="648">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row>
    <row r="649">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row>
    <row r="650">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row>
    <row r="65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row>
    <row r="652">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row>
    <row r="65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row>
    <row r="654">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row>
    <row r="655">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row>
    <row r="656">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row>
    <row r="657">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row>
    <row r="658">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row>
    <row r="659">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row>
    <row r="660">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row>
    <row r="66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row>
    <row r="662">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row>
    <row r="66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row>
    <row r="664">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row>
    <row r="665">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row>
    <row r="666">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row>
    <row r="667">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row>
    <row r="668">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row>
    <row r="669">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row>
    <row r="670">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row>
    <row r="67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row>
    <row r="672">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row>
    <row r="67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row>
    <row r="674">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row>
    <row r="675">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row>
    <row r="676">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row>
    <row r="677">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row>
    <row r="678">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row>
    <row r="679">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row>
    <row r="680">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row>
    <row r="68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row>
    <row r="682">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row>
    <row r="68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row>
    <row r="684">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row>
    <row r="685">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row>
    <row r="686">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row>
    <row r="687">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row>
    <row r="688">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row>
    <row r="689">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row>
    <row r="690">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row>
    <row r="69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row>
    <row r="692">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row>
    <row r="69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row>
    <row r="694">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row>
    <row r="695">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row>
    <row r="696">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row>
    <row r="697">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row>
    <row r="698">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row>
    <row r="699">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row>
    <row r="700">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row>
    <row r="70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row>
    <row r="702">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row>
    <row r="7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row>
    <row r="704">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row>
    <row r="705">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row>
    <row r="706">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row>
    <row r="707">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row>
    <row r="708">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row>
    <row r="709">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row>
    <row r="710">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row>
    <row r="71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row>
    <row r="712">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row>
    <row r="71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row>
    <row r="714">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row>
    <row r="715">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row>
    <row r="716">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row>
    <row r="717">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row>
    <row r="718">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row>
    <row r="719">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row>
    <row r="720">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row>
    <row r="72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row>
    <row r="722">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row>
    <row r="72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row>
    <row r="724">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row>
    <row r="725">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row>
    <row r="726">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row>
    <row r="727">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row>
    <row r="728">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row>
    <row r="729">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row>
    <row r="730">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row>
    <row r="73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row>
    <row r="732">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row>
    <row r="73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row>
    <row r="734">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row>
    <row r="735">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row>
    <row r="736">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row>
    <row r="737">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row>
    <row r="738">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row>
    <row r="739">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row>
    <row r="740">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row>
    <row r="74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row>
    <row r="742">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row>
    <row r="74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row>
    <row r="744">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row>
    <row r="745">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row>
    <row r="746">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row>
    <row r="747">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row>
    <row r="748">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row>
    <row r="749">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row>
    <row r="750">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row>
    <row r="75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row>
    <row r="752">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row>
    <row r="75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row>
    <row r="754">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row>
    <row r="755">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row>
    <row r="756">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row>
    <row r="757">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row>
    <row r="758">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row>
    <row r="759">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row>
    <row r="760">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row>
    <row r="76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row>
    <row r="762">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row>
    <row r="76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row>
    <row r="764">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row>
    <row r="765">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row>
    <row r="766">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row>
    <row r="767">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row>
    <row r="768">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row>
    <row r="769">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row>
    <row r="770">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row>
    <row r="77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row>
    <row r="772">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row>
    <row r="77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row>
    <row r="774">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row>
    <row r="775">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row>
    <row r="776">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row>
    <row r="777">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row>
    <row r="778">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row>
    <row r="779">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row>
    <row r="780">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row>
    <row r="78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row>
    <row r="782">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row>
    <row r="78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row>
    <row r="784">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row>
    <row r="785">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row>
    <row r="786">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row>
    <row r="787">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row>
    <row r="788">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row>
    <row r="789">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row>
    <row r="790">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row>
    <row r="79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row>
    <row r="792">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row>
    <row r="79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row>
    <row r="794">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row>
    <row r="795">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row>
    <row r="796">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row>
    <row r="797">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row>
    <row r="798">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row>
    <row r="799">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row>
    <row r="800">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row>
    <row r="80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row>
    <row r="802">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row>
    <row r="8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row>
    <row r="804">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row>
    <row r="805">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row>
    <row r="806">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row>
    <row r="807">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row>
    <row r="808">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row>
    <row r="809">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row>
    <row r="810">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row>
    <row r="81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row>
    <row r="812">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row>
    <row r="81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row>
    <row r="814">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row>
    <row r="815">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row>
    <row r="816">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row>
    <row r="817">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row>
    <row r="818">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row>
    <row r="819">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row>
    <row r="820">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row>
    <row r="82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row>
    <row r="822">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row>
    <row r="82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row>
    <row r="824">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row>
    <row r="825">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row>
    <row r="826">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row>
    <row r="827">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row>
    <row r="828">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row>
    <row r="829">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row>
    <row r="830">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row>
    <row r="83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row>
    <row r="832">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row>
    <row r="83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row>
    <row r="834">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row>
    <row r="835">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row>
    <row r="836">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row>
    <row r="837">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row>
    <row r="838">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row>
    <row r="839">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row>
    <row r="840">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row>
    <row r="84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row>
    <row r="842">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row>
    <row r="84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row>
    <row r="844">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row>
    <row r="845">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row>
    <row r="846">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row>
    <row r="847">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row>
    <row r="848">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row>
    <row r="849">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row>
    <row r="850">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row>
    <row r="85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row>
    <row r="852">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row>
    <row r="85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row>
    <row r="854">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row>
    <row r="855">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row>
    <row r="856">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row>
    <row r="857">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row>
    <row r="858">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row>
    <row r="859">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row>
    <row r="860">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row>
    <row r="86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row>
    <row r="862">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row>
    <row r="86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row>
    <row r="864">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row>
    <row r="865">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row>
    <row r="866">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row>
    <row r="867">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row>
    <row r="868">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row>
    <row r="869">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row>
    <row r="870">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row>
    <row r="87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row>
    <row r="872">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row>
    <row r="87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row>
    <row r="874">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row>
    <row r="875">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row>
    <row r="876">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row>
    <row r="877">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row>
    <row r="878">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row>
    <row r="879">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row>
    <row r="880">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row>
    <row r="88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row>
    <row r="882">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row>
    <row r="88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row>
    <row r="884">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row>
    <row r="885">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row>
    <row r="886">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row>
    <row r="887">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row>
    <row r="888">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row>
    <row r="889">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row>
    <row r="890">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row>
    <row r="89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row>
    <row r="892">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row>
    <row r="89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row>
    <row r="894">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row>
    <row r="895">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row>
    <row r="896">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row>
    <row r="897">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row>
    <row r="898">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row>
    <row r="899">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row>
    <row r="900">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row>
    <row r="90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row>
    <row r="902">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row>
    <row r="9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row>
    <row r="904">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row>
    <row r="905">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row>
    <row r="906">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row>
    <row r="907">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row>
    <row r="908">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row>
    <row r="909">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row>
    <row r="910">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row>
    <row r="91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row>
    <row r="912">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row>
    <row r="91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row>
    <row r="914">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row>
    <row r="915">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row>
    <row r="916">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row>
    <row r="917">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row>
    <row r="918">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row>
    <row r="919">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row>
    <row r="920">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row>
    <row r="92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row>
    <row r="922">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row>
    <row r="92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row>
    <row r="924">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row>
    <row r="925">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row>
    <row r="926">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row>
    <row r="927">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row>
    <row r="928">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row>
    <row r="929">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row>
    <row r="930">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row>
    <row r="93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row>
    <row r="932">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row>
    <row r="93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row>
    <row r="934">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row>
    <row r="935">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row>
    <row r="936">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row>
    <row r="937">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row>
    <row r="938">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row>
    <row r="939">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row>
    <row r="940">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row>
    <row r="94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row>
    <row r="942">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row>
    <row r="94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row>
    <row r="944">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row>
    <row r="945">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row>
    <row r="946">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row>
    <row r="947">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row>
    <row r="948">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row>
    <row r="949">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row>
    <row r="950">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row>
    <row r="95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row>
    <row r="952">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row>
    <row r="95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row>
    <row r="954">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row>
    <row r="955">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row>
    <row r="956">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row>
    <row r="957">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row>
    <row r="958">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row>
    <row r="959">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row>
    <row r="960">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row>
    <row r="96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row>
    <row r="962">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row>
    <row r="96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row>
    <row r="964">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row>
    <row r="965">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row>
    <row r="966">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row>
    <row r="967">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row>
    <row r="968">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row>
    <row r="969">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row>
    <row r="970">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row>
    <row r="97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row>
    <row r="972">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row>
    <row r="97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row>
    <row r="974">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row>
    <row r="975">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row>
    <row r="976">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row>
    <row r="977">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row>
    <row r="978">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row>
    <row r="979">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row>
    <row r="980">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row>
    <row r="98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row>
    <row r="982">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row>
    <row r="98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row>
    <row r="984">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row>
    <row r="985">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row>
    <row r="986">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row>
    <row r="987">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row>
    <row r="988">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row>
    <row r="989">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row>
    <row r="990">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row>
    <row r="991">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row>
    <row r="992">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row>
    <row r="99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row>
    <row r="994">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row>
    <row r="995">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row>
    <row r="996">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row>
    <row r="997">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row>
    <row r="998">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row>
    <row r="999">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row>
    <row r="1000">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row>
    <row r="1001">
      <c r="A1001" s="203"/>
      <c r="B1001" s="203"/>
      <c r="C1001" s="203"/>
      <c r="D1001" s="203"/>
      <c r="E1001" s="203"/>
      <c r="F1001" s="203"/>
      <c r="G1001" s="203"/>
      <c r="H1001" s="203"/>
      <c r="I1001" s="203"/>
      <c r="J1001" s="203"/>
      <c r="K1001" s="203"/>
      <c r="L1001" s="203"/>
      <c r="M1001" s="203"/>
      <c r="N1001" s="203"/>
      <c r="O1001" s="203"/>
      <c r="P1001" s="203"/>
      <c r="Q1001" s="203"/>
      <c r="R1001" s="203"/>
      <c r="S1001" s="203"/>
      <c r="T1001" s="203"/>
      <c r="U1001" s="203"/>
      <c r="V1001" s="203"/>
      <c r="W1001" s="203"/>
      <c r="X1001" s="203"/>
      <c r="Y1001" s="203"/>
      <c r="Z1001" s="203"/>
    </row>
  </sheetData>
  <dataValidations>
    <dataValidation type="list" allowBlank="1" showErrorMessage="1" sqref="J3:J8 F3:F10 N3:N11 R3:R11 A3:A15 A17:A18 R28:R32 F28:F33 J28:J33 N28:N35 V28:V35 A28:A37 F45:F47 J45:J47 N45:N47 A45:A53 F49:F53 J49:J53 N49:N53 R45:R53 A62:A74 A76:A77">
      <formula1>Listas!$D$3:$D$386</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88"/>
    <col customWidth="1" min="2" max="2" width="13.5"/>
    <col customWidth="1" min="3" max="3" width="19.38"/>
    <col customWidth="1" min="4" max="4" width="12.25"/>
    <col customWidth="1" min="5" max="5" width="19.38"/>
    <col customWidth="1" min="6" max="6" width="11.13"/>
    <col customWidth="1" min="7" max="7" width="19.38"/>
    <col customWidth="1" min="8" max="8" width="11.75"/>
    <col customWidth="1" min="9" max="9" width="19.38"/>
    <col customWidth="1" min="10" max="10" width="11.63"/>
    <col customWidth="1" min="11" max="11" width="19.38"/>
    <col customWidth="1" min="12" max="12" width="11.13"/>
    <col customWidth="1" min="13" max="13" width="19.38"/>
    <col customWidth="1" min="14" max="14" width="12.88"/>
    <col customWidth="1" min="15" max="15" width="19.38"/>
    <col customWidth="1" min="16" max="16" width="16.25"/>
    <col customWidth="1" min="17" max="17" width="19.38"/>
    <col customWidth="1" min="18" max="18" width="13.63"/>
    <col customWidth="1" min="19" max="19" width="19.38"/>
    <col customWidth="1" min="20" max="20" width="15.75"/>
    <col customWidth="1" min="21" max="21" width="19.38"/>
    <col customWidth="1" min="22" max="22" width="15.13"/>
    <col customWidth="1" min="23" max="23" width="19.38"/>
    <col customWidth="1" min="24" max="24" width="12.13"/>
    <col customWidth="1" min="25" max="25" width="19.38"/>
    <col customWidth="1" min="26" max="26" width="14.88"/>
    <col customWidth="1" min="28" max="28" width="16.88"/>
  </cols>
  <sheetData>
    <row r="1">
      <c r="B1" s="443" t="s">
        <v>1424</v>
      </c>
      <c r="D1" s="443" t="s">
        <v>1425</v>
      </c>
      <c r="F1" s="443" t="s">
        <v>1426</v>
      </c>
      <c r="H1" s="443" t="s">
        <v>1427</v>
      </c>
      <c r="J1" s="443" t="s">
        <v>1428</v>
      </c>
      <c r="L1" s="443" t="s">
        <v>1429</v>
      </c>
      <c r="N1" s="443" t="s">
        <v>1430</v>
      </c>
      <c r="P1" s="443" t="s">
        <v>1431</v>
      </c>
      <c r="R1" s="443" t="s">
        <v>1432</v>
      </c>
      <c r="T1" s="443" t="s">
        <v>1433</v>
      </c>
      <c r="V1" s="443" t="s">
        <v>1434</v>
      </c>
      <c r="X1" s="443" t="s">
        <v>1435</v>
      </c>
    </row>
    <row r="2">
      <c r="A2" s="673">
        <v>2025.0</v>
      </c>
      <c r="B2" s="674" t="s">
        <v>1436</v>
      </c>
      <c r="C2" s="675" t="s">
        <v>1437</v>
      </c>
      <c r="D2" s="676" t="s">
        <v>1436</v>
      </c>
      <c r="E2" s="675" t="s">
        <v>1437</v>
      </c>
      <c r="F2" s="676" t="s">
        <v>1436</v>
      </c>
      <c r="G2" s="675" t="s">
        <v>1437</v>
      </c>
      <c r="H2" s="676" t="s">
        <v>1436</v>
      </c>
      <c r="I2" s="675" t="s">
        <v>1437</v>
      </c>
      <c r="J2" s="676" t="s">
        <v>1436</v>
      </c>
      <c r="K2" s="675" t="s">
        <v>1437</v>
      </c>
      <c r="L2" s="676" t="s">
        <v>1436</v>
      </c>
      <c r="M2" s="677" t="s">
        <v>1437</v>
      </c>
      <c r="N2" s="676" t="s">
        <v>1436</v>
      </c>
      <c r="O2" s="675" t="s">
        <v>1437</v>
      </c>
      <c r="P2" s="676" t="s">
        <v>1436</v>
      </c>
      <c r="Q2" s="675" t="s">
        <v>1437</v>
      </c>
      <c r="R2" s="676" t="s">
        <v>1436</v>
      </c>
      <c r="S2" s="675" t="s">
        <v>1437</v>
      </c>
      <c r="T2" s="676" t="s">
        <v>1436</v>
      </c>
      <c r="U2" s="675" t="s">
        <v>1437</v>
      </c>
      <c r="V2" s="676" t="s">
        <v>1436</v>
      </c>
      <c r="W2" s="675" t="s">
        <v>1437</v>
      </c>
      <c r="X2" s="676" t="s">
        <v>1436</v>
      </c>
      <c r="Y2" s="675" t="s">
        <v>1437</v>
      </c>
      <c r="Z2" s="678" t="s">
        <v>1438</v>
      </c>
      <c r="AA2" s="504"/>
      <c r="AB2" s="679"/>
      <c r="AC2" s="504"/>
      <c r="AD2" s="504"/>
      <c r="AE2" s="504"/>
      <c r="AF2" s="504"/>
      <c r="AG2" s="504"/>
      <c r="AH2" s="504"/>
      <c r="AI2" s="504"/>
      <c r="AJ2" s="504"/>
      <c r="AK2" s="504"/>
      <c r="AL2" s="504"/>
      <c r="AM2" s="504"/>
      <c r="AN2" s="504"/>
      <c r="AO2" s="504"/>
      <c r="AP2" s="504"/>
      <c r="AQ2" s="504"/>
      <c r="AR2" s="504"/>
    </row>
    <row r="3">
      <c r="A3" s="680" t="s">
        <v>112</v>
      </c>
      <c r="B3" s="681" t="s">
        <v>1439</v>
      </c>
      <c r="C3" s="681" t="s">
        <v>1439</v>
      </c>
      <c r="D3" s="681" t="s">
        <v>1440</v>
      </c>
      <c r="E3" s="681" t="s">
        <v>1440</v>
      </c>
      <c r="F3" s="51" t="s">
        <v>1441</v>
      </c>
      <c r="G3" s="51" t="s">
        <v>1441</v>
      </c>
      <c r="H3" s="51" t="s">
        <v>1442</v>
      </c>
      <c r="I3" s="51" t="s">
        <v>1442</v>
      </c>
      <c r="J3" s="51" t="s">
        <v>1443</v>
      </c>
      <c r="K3" s="51" t="s">
        <v>1443</v>
      </c>
      <c r="L3" s="51" t="s">
        <v>1444</v>
      </c>
      <c r="M3" s="51" t="s">
        <v>1444</v>
      </c>
      <c r="N3" s="51" t="s">
        <v>1445</v>
      </c>
      <c r="O3" s="51" t="s">
        <v>1445</v>
      </c>
      <c r="P3" s="51" t="s">
        <v>1446</v>
      </c>
      <c r="Q3" s="51" t="s">
        <v>1446</v>
      </c>
      <c r="R3" s="51" t="s">
        <v>1447</v>
      </c>
      <c r="S3" s="51" t="s">
        <v>1447</v>
      </c>
      <c r="T3" s="51" t="s">
        <v>1448</v>
      </c>
      <c r="U3" s="51" t="s">
        <v>1448</v>
      </c>
      <c r="V3" s="51" t="s">
        <v>1449</v>
      </c>
      <c r="W3" s="51" t="s">
        <v>1449</v>
      </c>
      <c r="X3" s="51" t="s">
        <v>1450</v>
      </c>
      <c r="Y3" s="51" t="s">
        <v>1450</v>
      </c>
      <c r="Z3" s="680"/>
      <c r="AA3" s="44"/>
      <c r="AB3" s="682"/>
      <c r="AC3" s="682"/>
      <c r="AD3" s="682"/>
      <c r="AE3" s="44"/>
      <c r="AF3" s="44"/>
      <c r="AG3" s="44"/>
      <c r="AH3" s="44"/>
      <c r="AI3" s="44"/>
      <c r="AJ3" s="44"/>
      <c r="AK3" s="44"/>
      <c r="AL3" s="44"/>
      <c r="AM3" s="44"/>
      <c r="AN3" s="44"/>
      <c r="AO3" s="44"/>
      <c r="AP3" s="44"/>
      <c r="AQ3" s="44"/>
      <c r="AR3" s="44"/>
    </row>
    <row r="4">
      <c r="A4" s="43" t="s">
        <v>205</v>
      </c>
      <c r="B4" s="682"/>
      <c r="C4" s="683">
        <v>8157.0</v>
      </c>
      <c r="D4" s="684">
        <f>E4/C4-1</f>
        <v>0.1000367782</v>
      </c>
      <c r="E4" s="683">
        <v>8973.0</v>
      </c>
      <c r="F4" s="684"/>
      <c r="G4" s="683">
        <v>8973.0</v>
      </c>
      <c r="H4" s="684">
        <v>0.11445447453471536</v>
      </c>
      <c r="I4" s="683">
        <f>G4*(1+H4)</f>
        <v>10000</v>
      </c>
      <c r="J4" s="684"/>
      <c r="K4" s="683">
        <v>10000.0</v>
      </c>
      <c r="L4" s="685"/>
      <c r="M4" s="343">
        <v>10000.0</v>
      </c>
      <c r="N4" s="686"/>
      <c r="O4" s="687">
        <f t="shared" ref="O4:O5" si="1">M4*(1+N4)</f>
        <v>10000</v>
      </c>
      <c r="P4" s="684"/>
      <c r="Q4" s="687">
        <f>O4*(1+P4)</f>
        <v>10000</v>
      </c>
      <c r="R4" s="684"/>
      <c r="S4" s="687">
        <f t="shared" ref="S4:S5" si="2">Q4*(1+R4)</f>
        <v>10000</v>
      </c>
      <c r="T4" s="684"/>
      <c r="U4" s="687">
        <f t="shared" ref="U4:U24" si="3">S4*(1+T4)</f>
        <v>10000</v>
      </c>
      <c r="V4" s="688">
        <v>0.06</v>
      </c>
      <c r="W4" s="687">
        <f t="shared" ref="W4:W24" si="4">U4*(1+V4)</f>
        <v>10600</v>
      </c>
      <c r="X4" s="686"/>
      <c r="Y4" s="687">
        <f t="shared" ref="Y4:Y24" si="5">W4*(1+X4)</f>
        <v>10600</v>
      </c>
      <c r="Z4" s="689">
        <f t="shared" ref="Z4:Z24" si="6">AVERAGE(Y4,W4,U4,S4,Q4,O4,M4,K4,I4,G4,E4,C4)</f>
        <v>9775.25</v>
      </c>
      <c r="AA4" s="682"/>
      <c r="AB4" s="682"/>
      <c r="AC4" s="682"/>
      <c r="AD4" s="682"/>
      <c r="AE4" s="682"/>
      <c r="AF4" s="682"/>
      <c r="AG4" s="682"/>
      <c r="AH4" s="682"/>
      <c r="AI4" s="682"/>
      <c r="AJ4" s="682"/>
      <c r="AK4" s="682"/>
      <c r="AL4" s="682"/>
      <c r="AM4" s="682"/>
      <c r="AN4" s="682"/>
      <c r="AO4" s="682"/>
      <c r="AP4" s="682"/>
      <c r="AQ4" s="682"/>
      <c r="AR4" s="682"/>
    </row>
    <row r="5">
      <c r="A5" s="43" t="s">
        <v>212</v>
      </c>
      <c r="B5" s="682"/>
      <c r="C5" s="683">
        <v>7000.0</v>
      </c>
      <c r="D5" s="684"/>
      <c r="E5" s="683">
        <v>7000.0</v>
      </c>
      <c r="F5" s="684">
        <v>0.2142857142857142</v>
      </c>
      <c r="G5" s="683">
        <f>E5*(1+F5)</f>
        <v>8500</v>
      </c>
      <c r="H5" s="684"/>
      <c r="I5" s="683">
        <v>8500.0</v>
      </c>
      <c r="J5" s="684"/>
      <c r="K5" s="683">
        <v>8500.0</v>
      </c>
      <c r="L5" s="685"/>
      <c r="M5" s="683">
        <v>8500.0</v>
      </c>
      <c r="N5" s="686"/>
      <c r="O5" s="687">
        <f t="shared" si="1"/>
        <v>8500</v>
      </c>
      <c r="P5" s="686"/>
      <c r="Q5" s="687"/>
      <c r="R5" s="686"/>
      <c r="S5" s="687">
        <f t="shared" si="2"/>
        <v>0</v>
      </c>
      <c r="T5" s="686"/>
      <c r="U5" s="687">
        <f t="shared" si="3"/>
        <v>0</v>
      </c>
      <c r="V5" s="686"/>
      <c r="W5" s="687">
        <f t="shared" si="4"/>
        <v>0</v>
      </c>
      <c r="X5" s="686"/>
      <c r="Y5" s="687">
        <f t="shared" si="5"/>
        <v>0</v>
      </c>
      <c r="Z5" s="689">
        <f t="shared" si="6"/>
        <v>5136.363636</v>
      </c>
      <c r="AA5" s="682"/>
      <c r="AB5" s="682"/>
      <c r="AC5" s="682"/>
      <c r="AD5" s="682"/>
      <c r="AE5" s="682"/>
      <c r="AF5" s="682"/>
      <c r="AG5" s="682"/>
      <c r="AH5" s="682"/>
      <c r="AI5" s="682"/>
      <c r="AJ5" s="682"/>
      <c r="AK5" s="682"/>
      <c r="AL5" s="682"/>
      <c r="AM5" s="682"/>
      <c r="AN5" s="682"/>
      <c r="AO5" s="682"/>
      <c r="AP5" s="682"/>
      <c r="AQ5" s="682"/>
      <c r="AR5" s="682"/>
    </row>
    <row r="6">
      <c r="A6" s="43" t="s">
        <v>240</v>
      </c>
      <c r="B6" s="682"/>
      <c r="C6" s="683"/>
      <c r="D6" s="684"/>
      <c r="E6" s="683"/>
      <c r="F6" s="684"/>
      <c r="G6" s="683"/>
      <c r="H6" s="684"/>
      <c r="I6" s="683"/>
      <c r="J6" s="684"/>
      <c r="K6" s="683"/>
      <c r="L6" s="685"/>
      <c r="M6" s="343"/>
      <c r="N6" s="686"/>
      <c r="O6" s="687"/>
      <c r="P6" s="684"/>
      <c r="Q6" s="684"/>
      <c r="R6" s="684"/>
      <c r="S6" s="687">
        <v>10750.0</v>
      </c>
      <c r="T6" s="686"/>
      <c r="U6" s="687">
        <f t="shared" si="3"/>
        <v>10750</v>
      </c>
      <c r="V6" s="684"/>
      <c r="W6" s="687">
        <f t="shared" si="4"/>
        <v>10750</v>
      </c>
      <c r="X6" s="684">
        <v>0.06</v>
      </c>
      <c r="Y6" s="687">
        <f t="shared" si="5"/>
        <v>11395</v>
      </c>
      <c r="Z6" s="689">
        <f t="shared" si="6"/>
        <v>10911.25</v>
      </c>
      <c r="AA6" s="682"/>
      <c r="AB6" s="682"/>
      <c r="AC6" s="682"/>
      <c r="AD6" s="682"/>
      <c r="AE6" s="682"/>
      <c r="AF6" s="682"/>
      <c r="AG6" s="682"/>
      <c r="AH6" s="682"/>
      <c r="AI6" s="682"/>
      <c r="AJ6" s="682"/>
      <c r="AK6" s="682"/>
      <c r="AL6" s="682"/>
      <c r="AM6" s="682"/>
      <c r="AN6" s="682"/>
      <c r="AO6" s="682"/>
      <c r="AP6" s="682"/>
      <c r="AQ6" s="682"/>
      <c r="AR6" s="682"/>
    </row>
    <row r="7">
      <c r="A7" s="43" t="s">
        <v>228</v>
      </c>
      <c r="B7" s="682"/>
      <c r="C7" s="683">
        <v>30000.0</v>
      </c>
      <c r="D7" s="684"/>
      <c r="E7" s="683">
        <v>18000.0</v>
      </c>
      <c r="F7" s="684"/>
      <c r="G7" s="683">
        <v>18000.0</v>
      </c>
      <c r="H7" s="684"/>
      <c r="I7" s="683">
        <v>18000.0</v>
      </c>
      <c r="J7" s="684">
        <v>0.08899999999999997</v>
      </c>
      <c r="K7" s="683">
        <f t="shared" ref="K7:K8" si="7">I7*(1+J7)</f>
        <v>19602</v>
      </c>
      <c r="L7" s="685"/>
      <c r="M7" s="343">
        <v>19602.0</v>
      </c>
      <c r="N7" s="686"/>
      <c r="O7" s="687">
        <f t="shared" ref="O7:O8" si="8">M7*(1+N7)</f>
        <v>19602</v>
      </c>
      <c r="P7" s="684"/>
      <c r="Q7" s="687">
        <f t="shared" ref="Q7:Q16" si="9">O7*(1+P7)</f>
        <v>19602</v>
      </c>
      <c r="R7" s="684">
        <f>S7/Q7-1</f>
        <v>0.05499438833</v>
      </c>
      <c r="S7" s="683">
        <v>20680.0</v>
      </c>
      <c r="T7" s="686"/>
      <c r="U7" s="687">
        <f t="shared" si="3"/>
        <v>20680</v>
      </c>
      <c r="V7" s="684"/>
      <c r="W7" s="687">
        <f t="shared" si="4"/>
        <v>20680</v>
      </c>
      <c r="X7" s="684">
        <v>0.055</v>
      </c>
      <c r="Y7" s="687">
        <f t="shared" si="5"/>
        <v>21817.4</v>
      </c>
      <c r="Z7" s="689">
        <f t="shared" si="6"/>
        <v>20522.11667</v>
      </c>
      <c r="AA7" s="682"/>
      <c r="AB7" s="682"/>
      <c r="AC7" s="682"/>
      <c r="AD7" s="682"/>
      <c r="AE7" s="682"/>
      <c r="AF7" s="682"/>
      <c r="AG7" s="682"/>
      <c r="AH7" s="682"/>
      <c r="AI7" s="682"/>
      <c r="AJ7" s="682"/>
      <c r="AK7" s="682"/>
      <c r="AL7" s="682"/>
      <c r="AM7" s="682"/>
      <c r="AN7" s="682"/>
      <c r="AO7" s="682"/>
      <c r="AP7" s="682"/>
      <c r="AQ7" s="682"/>
      <c r="AR7" s="682"/>
    </row>
    <row r="8">
      <c r="A8" s="43" t="s">
        <v>214</v>
      </c>
      <c r="B8" s="682"/>
      <c r="C8" s="683"/>
      <c r="D8" s="684"/>
      <c r="E8" s="683">
        <v>9000.0</v>
      </c>
      <c r="F8" s="684">
        <v>0.04166666666666674</v>
      </c>
      <c r="G8" s="683">
        <f>E8*(1+F8)</f>
        <v>9375</v>
      </c>
      <c r="H8" s="684">
        <v>0.033386666666666676</v>
      </c>
      <c r="I8" s="683">
        <f>G8*(1+H8)</f>
        <v>9688</v>
      </c>
      <c r="J8" s="684">
        <v>0.03220478943022287</v>
      </c>
      <c r="K8" s="683">
        <f t="shared" si="7"/>
        <v>10000</v>
      </c>
      <c r="L8" s="685"/>
      <c r="M8" s="343">
        <v>10000.0</v>
      </c>
      <c r="N8" s="686"/>
      <c r="O8" s="687">
        <f t="shared" si="8"/>
        <v>10000</v>
      </c>
      <c r="P8" s="684">
        <v>0.0508</v>
      </c>
      <c r="Q8" s="687">
        <f t="shared" si="9"/>
        <v>10508</v>
      </c>
      <c r="R8" s="686"/>
      <c r="S8" s="687">
        <f t="shared" ref="S8:S16" si="10">Q8*(1+R8)</f>
        <v>10508</v>
      </c>
      <c r="T8" s="686"/>
      <c r="U8" s="687">
        <f t="shared" si="3"/>
        <v>10508</v>
      </c>
      <c r="V8" s="690">
        <v>0.14017891130567195</v>
      </c>
      <c r="W8" s="687">
        <f t="shared" si="4"/>
        <v>11981</v>
      </c>
      <c r="X8" s="686"/>
      <c r="Y8" s="687">
        <f t="shared" si="5"/>
        <v>11981</v>
      </c>
      <c r="Z8" s="689">
        <f t="shared" si="6"/>
        <v>10322.63636</v>
      </c>
      <c r="AA8" s="682"/>
      <c r="AB8" s="682"/>
      <c r="AC8" s="682"/>
      <c r="AD8" s="682"/>
      <c r="AE8" s="682"/>
      <c r="AF8" s="682"/>
      <c r="AG8" s="682"/>
      <c r="AH8" s="682"/>
      <c r="AI8" s="682"/>
      <c r="AJ8" s="682"/>
      <c r="AK8" s="682"/>
      <c r="AL8" s="682"/>
      <c r="AM8" s="682"/>
      <c r="AN8" s="682"/>
      <c r="AO8" s="682"/>
      <c r="AP8" s="682"/>
      <c r="AQ8" s="682"/>
      <c r="AR8" s="682"/>
    </row>
    <row r="9">
      <c r="A9" s="43" t="s">
        <v>200</v>
      </c>
      <c r="B9" s="682"/>
      <c r="C9" s="683">
        <v>13704.0</v>
      </c>
      <c r="D9" s="684">
        <f t="shared" ref="D9:D10" si="11">E9/C9-1</f>
        <v>0.2300058377</v>
      </c>
      <c r="E9" s="683">
        <v>16856.0</v>
      </c>
      <c r="F9" s="684"/>
      <c r="G9" s="683">
        <v>16856.0</v>
      </c>
      <c r="H9" s="684"/>
      <c r="I9" s="683">
        <v>16856.0</v>
      </c>
      <c r="J9" s="684"/>
      <c r="K9" s="683">
        <v>16856.0</v>
      </c>
      <c r="L9" s="685"/>
      <c r="M9" s="343">
        <v>16856.0</v>
      </c>
      <c r="N9" s="684">
        <v>0.12</v>
      </c>
      <c r="O9" s="683">
        <v>18880.0</v>
      </c>
      <c r="P9" s="686"/>
      <c r="Q9" s="687">
        <f t="shared" si="9"/>
        <v>18880</v>
      </c>
      <c r="R9" s="686"/>
      <c r="S9" s="687">
        <f t="shared" si="10"/>
        <v>18880</v>
      </c>
      <c r="T9" s="684">
        <v>0.0558</v>
      </c>
      <c r="U9" s="687">
        <f t="shared" si="3"/>
        <v>19933.504</v>
      </c>
      <c r="V9" s="686"/>
      <c r="W9" s="687">
        <f t="shared" si="4"/>
        <v>19933.504</v>
      </c>
      <c r="X9" s="686"/>
      <c r="Y9" s="687">
        <f t="shared" si="5"/>
        <v>19933.504</v>
      </c>
      <c r="Z9" s="689">
        <f t="shared" si="6"/>
        <v>17868.70933</v>
      </c>
      <c r="AA9" s="682"/>
      <c r="AB9" s="682"/>
      <c r="AC9" s="682"/>
      <c r="AD9" s="682"/>
      <c r="AE9" s="682"/>
      <c r="AF9" s="682"/>
      <c r="AG9" s="682"/>
      <c r="AH9" s="682"/>
      <c r="AI9" s="682"/>
      <c r="AJ9" s="682"/>
      <c r="AK9" s="682"/>
      <c r="AL9" s="682"/>
      <c r="AM9" s="682"/>
      <c r="AN9" s="682"/>
      <c r="AO9" s="682"/>
      <c r="AP9" s="682"/>
      <c r="AQ9" s="682"/>
      <c r="AR9" s="682"/>
    </row>
    <row r="10">
      <c r="A10" s="43" t="s">
        <v>216</v>
      </c>
      <c r="B10" s="682"/>
      <c r="C10" s="683">
        <v>12166.0</v>
      </c>
      <c r="D10" s="684">
        <f t="shared" si="11"/>
        <v>0.07997698504</v>
      </c>
      <c r="E10" s="683">
        <v>13139.0</v>
      </c>
      <c r="F10" s="684"/>
      <c r="G10" s="683">
        <v>13139.0</v>
      </c>
      <c r="H10" s="684"/>
      <c r="I10" s="683">
        <v>13139.0</v>
      </c>
      <c r="J10" s="684"/>
      <c r="K10" s="683">
        <v>13139.0</v>
      </c>
      <c r="L10" s="685"/>
      <c r="M10" s="343">
        <v>13139.0</v>
      </c>
      <c r="N10" s="686"/>
      <c r="O10" s="687">
        <f t="shared" ref="O10:O16" si="12">M10*(1+N10)</f>
        <v>13139</v>
      </c>
      <c r="P10" s="691">
        <v>0.0508</v>
      </c>
      <c r="Q10" s="687">
        <f t="shared" si="9"/>
        <v>13806.4612</v>
      </c>
      <c r="R10" s="686"/>
      <c r="S10" s="687">
        <f t="shared" si="10"/>
        <v>13806.4612</v>
      </c>
      <c r="T10" s="686"/>
      <c r="U10" s="687">
        <f t="shared" si="3"/>
        <v>13806.4612</v>
      </c>
      <c r="V10" s="684">
        <v>0.06</v>
      </c>
      <c r="W10" s="687">
        <f t="shared" si="4"/>
        <v>14634.84887</v>
      </c>
      <c r="X10" s="686"/>
      <c r="Y10" s="687">
        <f t="shared" si="5"/>
        <v>14634.84887</v>
      </c>
      <c r="Z10" s="689">
        <f t="shared" si="6"/>
        <v>13474.09011</v>
      </c>
      <c r="AA10" s="682"/>
      <c r="AB10" s="682"/>
      <c r="AC10" s="682"/>
      <c r="AD10" s="682"/>
      <c r="AE10" s="682"/>
      <c r="AF10" s="682"/>
      <c r="AG10" s="682"/>
      <c r="AH10" s="682"/>
      <c r="AI10" s="682"/>
      <c r="AJ10" s="682"/>
      <c r="AK10" s="682"/>
      <c r="AL10" s="682"/>
      <c r="AM10" s="682"/>
      <c r="AN10" s="682"/>
      <c r="AO10" s="682"/>
      <c r="AP10" s="682"/>
      <c r="AQ10" s="682"/>
      <c r="AR10" s="682"/>
    </row>
    <row r="11">
      <c r="A11" s="43" t="s">
        <v>207</v>
      </c>
      <c r="B11" s="682"/>
      <c r="C11" s="683">
        <v>10000.0</v>
      </c>
      <c r="D11" s="684"/>
      <c r="E11" s="683">
        <v>10000.0</v>
      </c>
      <c r="F11" s="684"/>
      <c r="G11" s="683">
        <v>10000.0</v>
      </c>
      <c r="H11" s="684">
        <v>0.10000000000000009</v>
      </c>
      <c r="I11" s="683">
        <f>G11*(1+H11)</f>
        <v>11000</v>
      </c>
      <c r="J11" s="684"/>
      <c r="K11" s="683">
        <v>11000.0</v>
      </c>
      <c r="L11" s="685"/>
      <c r="M11" s="343">
        <v>11000.0</v>
      </c>
      <c r="N11" s="684"/>
      <c r="O11" s="687">
        <f t="shared" si="12"/>
        <v>11000</v>
      </c>
      <c r="P11" s="691">
        <v>0.0508</v>
      </c>
      <c r="Q11" s="687">
        <f t="shared" si="9"/>
        <v>11558.8</v>
      </c>
      <c r="R11" s="686"/>
      <c r="S11" s="687">
        <f t="shared" si="10"/>
        <v>11558.8</v>
      </c>
      <c r="T11" s="686"/>
      <c r="U11" s="687">
        <f t="shared" si="3"/>
        <v>11558.8</v>
      </c>
      <c r="V11" s="684">
        <v>0.06</v>
      </c>
      <c r="W11" s="687">
        <f t="shared" si="4"/>
        <v>12252.328</v>
      </c>
      <c r="X11" s="686"/>
      <c r="Y11" s="687">
        <f t="shared" si="5"/>
        <v>12252.328</v>
      </c>
      <c r="Z11" s="689">
        <f t="shared" si="6"/>
        <v>11098.42133</v>
      </c>
      <c r="AA11" s="682"/>
      <c r="AB11" s="682"/>
      <c r="AC11" s="682"/>
      <c r="AD11" s="682"/>
      <c r="AE11" s="682"/>
      <c r="AF11" s="682"/>
      <c r="AG11" s="682"/>
      <c r="AH11" s="682"/>
      <c r="AI11" s="682"/>
      <c r="AJ11" s="682"/>
      <c r="AK11" s="682"/>
      <c r="AL11" s="682"/>
      <c r="AM11" s="682"/>
      <c r="AN11" s="682"/>
      <c r="AO11" s="682"/>
      <c r="AP11" s="682"/>
      <c r="AQ11" s="682"/>
      <c r="AR11" s="682"/>
    </row>
    <row r="12">
      <c r="A12" s="43" t="s">
        <v>87</v>
      </c>
      <c r="B12" s="682"/>
      <c r="C12" s="683">
        <v>6250.0</v>
      </c>
      <c r="D12" s="684">
        <f t="shared" ref="D12:D13" si="13">E12/C12-1</f>
        <v>0.44</v>
      </c>
      <c r="E12" s="683">
        <v>9000.0</v>
      </c>
      <c r="F12" s="684">
        <v>0.11111111111111116</v>
      </c>
      <c r="G12" s="683">
        <f>E12*(1+F12)</f>
        <v>10000</v>
      </c>
      <c r="H12" s="684"/>
      <c r="I12" s="683">
        <v>10000.0</v>
      </c>
      <c r="J12" s="684">
        <v>0.10000000000000009</v>
      </c>
      <c r="K12" s="683">
        <f t="shared" ref="K12:K13" si="14">I12*(1+J12)</f>
        <v>11000</v>
      </c>
      <c r="L12" s="685"/>
      <c r="M12" s="343">
        <v>11000.0</v>
      </c>
      <c r="N12" s="686"/>
      <c r="O12" s="687">
        <f t="shared" si="12"/>
        <v>11000</v>
      </c>
      <c r="P12" s="691">
        <v>0.0508</v>
      </c>
      <c r="Q12" s="687">
        <f t="shared" si="9"/>
        <v>11558.8</v>
      </c>
      <c r="R12" s="686"/>
      <c r="S12" s="687">
        <f t="shared" si="10"/>
        <v>11558.8</v>
      </c>
      <c r="T12" s="686"/>
      <c r="U12" s="687">
        <f t="shared" si="3"/>
        <v>11558.8</v>
      </c>
      <c r="V12" s="684"/>
      <c r="W12" s="687">
        <f t="shared" si="4"/>
        <v>11558.8</v>
      </c>
      <c r="X12" s="686"/>
      <c r="Y12" s="687">
        <f t="shared" si="5"/>
        <v>11558.8</v>
      </c>
      <c r="Z12" s="689">
        <f t="shared" si="6"/>
        <v>10503.66667</v>
      </c>
      <c r="AA12" s="682"/>
      <c r="AB12" s="682"/>
      <c r="AC12" s="682"/>
      <c r="AD12" s="682"/>
      <c r="AE12" s="682"/>
      <c r="AF12" s="682"/>
      <c r="AG12" s="682"/>
      <c r="AH12" s="682"/>
      <c r="AI12" s="682"/>
      <c r="AJ12" s="682"/>
      <c r="AK12" s="682"/>
      <c r="AL12" s="682"/>
      <c r="AM12" s="682"/>
      <c r="AN12" s="682"/>
      <c r="AO12" s="682"/>
      <c r="AP12" s="682"/>
      <c r="AQ12" s="682"/>
      <c r="AR12" s="682"/>
    </row>
    <row r="13">
      <c r="A13" s="43" t="s">
        <v>194</v>
      </c>
      <c r="B13" s="682"/>
      <c r="C13" s="683">
        <v>9687.5</v>
      </c>
      <c r="D13" s="684">
        <f t="shared" si="13"/>
        <v>0.1500387097</v>
      </c>
      <c r="E13" s="683">
        <v>11141.0</v>
      </c>
      <c r="F13" s="684"/>
      <c r="G13" s="683">
        <v>11141.0</v>
      </c>
      <c r="H13" s="684"/>
      <c r="I13" s="683">
        <v>11141.0</v>
      </c>
      <c r="J13" s="684">
        <v>0.08500134637824264</v>
      </c>
      <c r="K13" s="683">
        <f t="shared" si="14"/>
        <v>12088</v>
      </c>
      <c r="L13" s="685"/>
      <c r="M13" s="343">
        <v>12088.0</v>
      </c>
      <c r="N13" s="686"/>
      <c r="O13" s="687">
        <f t="shared" si="12"/>
        <v>12088</v>
      </c>
      <c r="P13" s="691">
        <v>0.0508</v>
      </c>
      <c r="Q13" s="687">
        <f t="shared" si="9"/>
        <v>12702.0704</v>
      </c>
      <c r="R13" s="686"/>
      <c r="S13" s="687">
        <f t="shared" si="10"/>
        <v>12702.0704</v>
      </c>
      <c r="T13" s="686"/>
      <c r="U13" s="687">
        <f t="shared" si="3"/>
        <v>12702.0704</v>
      </c>
      <c r="V13" s="688">
        <v>0.05</v>
      </c>
      <c r="W13" s="687">
        <f t="shared" si="4"/>
        <v>13337.17392</v>
      </c>
      <c r="X13" s="686"/>
      <c r="Y13" s="687">
        <f t="shared" si="5"/>
        <v>13337.17392</v>
      </c>
      <c r="Z13" s="689">
        <f t="shared" si="6"/>
        <v>12012.92159</v>
      </c>
      <c r="AA13" s="682"/>
      <c r="AB13" s="682"/>
      <c r="AC13" s="682"/>
      <c r="AD13" s="682"/>
      <c r="AE13" s="682"/>
      <c r="AF13" s="682"/>
      <c r="AG13" s="682"/>
      <c r="AH13" s="682"/>
      <c r="AI13" s="682"/>
      <c r="AJ13" s="682"/>
      <c r="AK13" s="682"/>
      <c r="AL13" s="682"/>
      <c r="AM13" s="682"/>
      <c r="AN13" s="682"/>
      <c r="AO13" s="682"/>
      <c r="AP13" s="682"/>
      <c r="AQ13" s="682"/>
      <c r="AR13" s="682"/>
    </row>
    <row r="14">
      <c r="A14" s="43" t="s">
        <v>230</v>
      </c>
      <c r="B14" s="682"/>
      <c r="C14" s="683">
        <v>0.0</v>
      </c>
      <c r="D14" s="684"/>
      <c r="E14" s="683">
        <v>0.0</v>
      </c>
      <c r="F14" s="692"/>
      <c r="G14" s="683">
        <v>0.0</v>
      </c>
      <c r="H14" s="684"/>
      <c r="I14" s="683">
        <v>0.0</v>
      </c>
      <c r="J14" s="684"/>
      <c r="K14" s="683">
        <v>10625.0</v>
      </c>
      <c r="L14" s="685">
        <v>0.1200000000000001</v>
      </c>
      <c r="M14" s="343">
        <f>K14*(1+L14)</f>
        <v>11900</v>
      </c>
      <c r="N14" s="686"/>
      <c r="O14" s="687">
        <f t="shared" si="12"/>
        <v>11900</v>
      </c>
      <c r="P14" s="691">
        <v>0.0508</v>
      </c>
      <c r="Q14" s="687">
        <f t="shared" si="9"/>
        <v>12504.52</v>
      </c>
      <c r="R14" s="684"/>
      <c r="S14" s="687">
        <f t="shared" si="10"/>
        <v>12504.52</v>
      </c>
      <c r="T14" s="686"/>
      <c r="U14" s="687">
        <f t="shared" si="3"/>
        <v>12504.52</v>
      </c>
      <c r="V14" s="688">
        <v>0.06</v>
      </c>
      <c r="W14" s="687">
        <f t="shared" si="4"/>
        <v>13254.7912</v>
      </c>
      <c r="X14" s="686"/>
      <c r="Y14" s="687">
        <f t="shared" si="5"/>
        <v>13254.7912</v>
      </c>
      <c r="Z14" s="689">
        <f t="shared" si="6"/>
        <v>8204.011867</v>
      </c>
      <c r="AA14" s="682"/>
      <c r="AB14" s="682"/>
      <c r="AC14" s="682"/>
      <c r="AD14" s="682"/>
      <c r="AE14" s="682"/>
      <c r="AF14" s="682"/>
      <c r="AG14" s="682"/>
      <c r="AH14" s="682"/>
      <c r="AI14" s="682"/>
      <c r="AJ14" s="682"/>
      <c r="AK14" s="682"/>
      <c r="AL14" s="682"/>
      <c r="AM14" s="682"/>
      <c r="AN14" s="682"/>
      <c r="AO14" s="682"/>
      <c r="AP14" s="682"/>
      <c r="AQ14" s="682"/>
      <c r="AR14" s="682"/>
    </row>
    <row r="15">
      <c r="A15" s="43" t="s">
        <v>229</v>
      </c>
      <c r="B15" s="682"/>
      <c r="C15" s="683"/>
      <c r="D15" s="684"/>
      <c r="E15" s="683"/>
      <c r="F15" s="692"/>
      <c r="G15" s="683">
        <v>7500.0</v>
      </c>
      <c r="H15" s="684"/>
      <c r="I15" s="683">
        <v>7500.0</v>
      </c>
      <c r="J15" s="684"/>
      <c r="K15" s="683">
        <v>7500.0</v>
      </c>
      <c r="L15" s="685"/>
      <c r="M15" s="343">
        <v>7500.0</v>
      </c>
      <c r="N15" s="684"/>
      <c r="O15" s="687">
        <f t="shared" si="12"/>
        <v>7500</v>
      </c>
      <c r="P15" s="693"/>
      <c r="Q15" s="687">
        <f t="shared" si="9"/>
        <v>7500</v>
      </c>
      <c r="R15" s="686"/>
      <c r="S15" s="687">
        <f t="shared" si="10"/>
        <v>7500</v>
      </c>
      <c r="T15" s="686"/>
      <c r="U15" s="687">
        <f t="shared" si="3"/>
        <v>7500</v>
      </c>
      <c r="V15" s="686"/>
      <c r="W15" s="687">
        <f t="shared" si="4"/>
        <v>7500</v>
      </c>
      <c r="X15" s="686"/>
      <c r="Y15" s="687">
        <f t="shared" si="5"/>
        <v>7500</v>
      </c>
      <c r="Z15" s="689">
        <f t="shared" si="6"/>
        <v>7500</v>
      </c>
      <c r="AA15" s="682"/>
      <c r="AB15" s="682"/>
      <c r="AC15" s="682"/>
      <c r="AD15" s="682"/>
      <c r="AE15" s="682"/>
      <c r="AF15" s="682"/>
      <c r="AG15" s="682"/>
      <c r="AH15" s="682"/>
      <c r="AI15" s="682"/>
      <c r="AJ15" s="682"/>
      <c r="AK15" s="682"/>
      <c r="AL15" s="682"/>
      <c r="AM15" s="682"/>
      <c r="AN15" s="682"/>
      <c r="AO15" s="682"/>
      <c r="AP15" s="682"/>
      <c r="AQ15" s="682"/>
      <c r="AR15" s="682"/>
    </row>
    <row r="16">
      <c r="A16" s="43" t="s">
        <v>217</v>
      </c>
      <c r="B16" s="682"/>
      <c r="C16" s="683">
        <v>0.0</v>
      </c>
      <c r="D16" s="684"/>
      <c r="E16" s="683">
        <v>0.0</v>
      </c>
      <c r="F16" s="692"/>
      <c r="G16" s="683">
        <v>0.0</v>
      </c>
      <c r="H16" s="684"/>
      <c r="I16" s="683">
        <v>9688.0</v>
      </c>
      <c r="J16" s="684"/>
      <c r="K16" s="683">
        <v>9688.0</v>
      </c>
      <c r="L16" s="685"/>
      <c r="M16" s="343">
        <v>9688.0</v>
      </c>
      <c r="N16" s="684">
        <v>0.0601</v>
      </c>
      <c r="O16" s="687">
        <f t="shared" si="12"/>
        <v>10270.2488</v>
      </c>
      <c r="P16" s="693"/>
      <c r="Q16" s="687">
        <f t="shared" si="9"/>
        <v>10270.2488</v>
      </c>
      <c r="R16" s="686"/>
      <c r="S16" s="687">
        <f t="shared" si="10"/>
        <v>10270.2488</v>
      </c>
      <c r="T16" s="684">
        <v>0.0558</v>
      </c>
      <c r="U16" s="687">
        <f t="shared" si="3"/>
        <v>10843.32868</v>
      </c>
      <c r="V16" s="686"/>
      <c r="W16" s="687">
        <f t="shared" si="4"/>
        <v>10843.32868</v>
      </c>
      <c r="X16" s="686"/>
      <c r="Y16" s="687">
        <f t="shared" si="5"/>
        <v>10843.32868</v>
      </c>
      <c r="Z16" s="689">
        <f t="shared" si="6"/>
        <v>7700.394371</v>
      </c>
      <c r="AA16" s="682"/>
      <c r="AB16" s="682"/>
      <c r="AC16" s="682"/>
      <c r="AD16" s="682"/>
      <c r="AE16" s="682"/>
      <c r="AF16" s="682"/>
      <c r="AG16" s="682"/>
      <c r="AH16" s="682"/>
      <c r="AI16" s="682"/>
      <c r="AJ16" s="682"/>
      <c r="AK16" s="682"/>
      <c r="AL16" s="682"/>
      <c r="AM16" s="682"/>
      <c r="AN16" s="682"/>
      <c r="AO16" s="682"/>
      <c r="AP16" s="682"/>
      <c r="AQ16" s="682"/>
      <c r="AR16" s="682"/>
    </row>
    <row r="17">
      <c r="A17" s="43" t="s">
        <v>210</v>
      </c>
      <c r="B17" s="682"/>
      <c r="C17" s="683">
        <v>14717.0</v>
      </c>
      <c r="D17" s="684"/>
      <c r="E17" s="683">
        <v>14717.0</v>
      </c>
      <c r="F17" s="684"/>
      <c r="G17" s="683">
        <v>14717.0</v>
      </c>
      <c r="H17" s="684"/>
      <c r="I17" s="683">
        <v>14717.0</v>
      </c>
      <c r="J17" s="684">
        <v>0.1388190527960862</v>
      </c>
      <c r="K17" s="683">
        <f>I17*(1+J17)</f>
        <v>16760</v>
      </c>
      <c r="L17" s="685"/>
      <c r="M17" s="343">
        <v>16760.0</v>
      </c>
      <c r="N17" s="684"/>
      <c r="O17" s="343">
        <v>16760.0</v>
      </c>
      <c r="P17" s="694">
        <f>Q17/O17-1</f>
        <v>0.075</v>
      </c>
      <c r="Q17" s="683">
        <v>18017.0</v>
      </c>
      <c r="R17" s="686"/>
      <c r="S17" s="683">
        <v>18017.0</v>
      </c>
      <c r="T17" s="686"/>
      <c r="U17" s="687">
        <f t="shared" si="3"/>
        <v>18017</v>
      </c>
      <c r="V17" s="684">
        <v>0.06</v>
      </c>
      <c r="W17" s="687">
        <f t="shared" si="4"/>
        <v>19098.02</v>
      </c>
      <c r="X17" s="686"/>
      <c r="Y17" s="687">
        <f t="shared" si="5"/>
        <v>19098.02</v>
      </c>
      <c r="Z17" s="689">
        <f t="shared" si="6"/>
        <v>16782.92</v>
      </c>
      <c r="AA17" s="682"/>
      <c r="AB17" s="682"/>
      <c r="AC17" s="682"/>
      <c r="AD17" s="682"/>
      <c r="AE17" s="682"/>
      <c r="AF17" s="682"/>
      <c r="AG17" s="682"/>
      <c r="AH17" s="682"/>
      <c r="AI17" s="682"/>
      <c r="AJ17" s="682"/>
      <c r="AK17" s="682"/>
      <c r="AL17" s="682"/>
      <c r="AM17" s="682"/>
      <c r="AN17" s="682"/>
      <c r="AO17" s="682"/>
      <c r="AP17" s="682"/>
      <c r="AQ17" s="682"/>
      <c r="AR17" s="682"/>
    </row>
    <row r="18">
      <c r="A18" s="43" t="s">
        <v>133</v>
      </c>
      <c r="B18" s="682"/>
      <c r="C18" s="683">
        <v>18900.0</v>
      </c>
      <c r="D18" s="684">
        <v>0.19999999999999996</v>
      </c>
      <c r="E18" s="683">
        <f>C18*(1+D18)</f>
        <v>22680</v>
      </c>
      <c r="F18" s="684">
        <v>0.24007936507936511</v>
      </c>
      <c r="G18" s="683">
        <f>E18*(1+F18)</f>
        <v>28125</v>
      </c>
      <c r="H18" s="684">
        <v>0.09112888888888881</v>
      </c>
      <c r="I18" s="683">
        <f>G18*(1+H18)</f>
        <v>30688</v>
      </c>
      <c r="J18" s="684"/>
      <c r="K18" s="683">
        <v>30688.0</v>
      </c>
      <c r="L18" s="685"/>
      <c r="M18" s="343">
        <v>30688.0</v>
      </c>
      <c r="N18" s="684"/>
      <c r="O18" s="687">
        <f t="shared" ref="O18:O23" si="15">M18*(1+N18)</f>
        <v>30688</v>
      </c>
      <c r="P18" s="691">
        <v>0.08</v>
      </c>
      <c r="Q18" s="687">
        <f t="shared" ref="Q18:Q24" si="16">O18*(1+P18)</f>
        <v>33143.04</v>
      </c>
      <c r="R18" s="686"/>
      <c r="S18" s="687">
        <f t="shared" ref="S18:S24" si="17">Q18*(1+R18)</f>
        <v>33143.04</v>
      </c>
      <c r="T18" s="686"/>
      <c r="U18" s="687">
        <f t="shared" si="3"/>
        <v>33143.04</v>
      </c>
      <c r="V18" s="684">
        <v>0.06</v>
      </c>
      <c r="W18" s="687">
        <f t="shared" si="4"/>
        <v>35131.6224</v>
      </c>
      <c r="X18" s="686"/>
      <c r="Y18" s="687">
        <f t="shared" si="5"/>
        <v>35131.6224</v>
      </c>
      <c r="Z18" s="689">
        <f t="shared" si="6"/>
        <v>30179.11373</v>
      </c>
      <c r="AA18" s="682"/>
      <c r="AB18" s="682"/>
      <c r="AC18" s="682"/>
      <c r="AD18" s="682"/>
      <c r="AE18" s="682"/>
      <c r="AF18" s="682"/>
      <c r="AG18" s="682"/>
      <c r="AH18" s="682"/>
      <c r="AI18" s="682"/>
      <c r="AJ18" s="682"/>
      <c r="AK18" s="682"/>
      <c r="AL18" s="682"/>
      <c r="AM18" s="682"/>
      <c r="AN18" s="682"/>
      <c r="AO18" s="682"/>
      <c r="AP18" s="682"/>
      <c r="AQ18" s="682"/>
      <c r="AR18" s="682"/>
    </row>
    <row r="19">
      <c r="A19" s="43" t="s">
        <v>221</v>
      </c>
      <c r="B19" s="682"/>
      <c r="C19" s="683">
        <v>8801.0</v>
      </c>
      <c r="D19" s="684">
        <f t="shared" ref="D19:D21" si="18">E19/C19-1</f>
        <v>0.1499829565</v>
      </c>
      <c r="E19" s="683">
        <v>10121.0</v>
      </c>
      <c r="F19" s="684"/>
      <c r="G19" s="683">
        <v>10121.0</v>
      </c>
      <c r="H19" s="684"/>
      <c r="I19" s="683">
        <v>10121.0</v>
      </c>
      <c r="J19" s="684">
        <v>0.08497184072720088</v>
      </c>
      <c r="K19" s="683">
        <f t="shared" ref="K19:K21" si="19">I19*(1+J19)</f>
        <v>10981</v>
      </c>
      <c r="L19" s="685"/>
      <c r="M19" s="343">
        <v>10981.0</v>
      </c>
      <c r="N19" s="684"/>
      <c r="O19" s="687">
        <f t="shared" si="15"/>
        <v>10981</v>
      </c>
      <c r="P19" s="691">
        <v>0.08</v>
      </c>
      <c r="Q19" s="687">
        <f t="shared" si="16"/>
        <v>11859.48</v>
      </c>
      <c r="R19" s="686"/>
      <c r="S19" s="687">
        <f t="shared" si="17"/>
        <v>11859.48</v>
      </c>
      <c r="T19" s="686"/>
      <c r="U19" s="687">
        <f t="shared" si="3"/>
        <v>11859.48</v>
      </c>
      <c r="V19" s="684">
        <v>0.06</v>
      </c>
      <c r="W19" s="687">
        <f t="shared" si="4"/>
        <v>12571.0488</v>
      </c>
      <c r="X19" s="686"/>
      <c r="Y19" s="687">
        <f t="shared" si="5"/>
        <v>12571.0488</v>
      </c>
      <c r="Z19" s="689">
        <f t="shared" si="6"/>
        <v>11068.96147</v>
      </c>
      <c r="AA19" s="682"/>
      <c r="AB19" s="682"/>
      <c r="AC19" s="682"/>
      <c r="AD19" s="682"/>
      <c r="AE19" s="682"/>
      <c r="AF19" s="682"/>
      <c r="AG19" s="682"/>
      <c r="AH19" s="682"/>
      <c r="AI19" s="682"/>
      <c r="AJ19" s="682"/>
      <c r="AK19" s="682"/>
      <c r="AL19" s="682"/>
      <c r="AM19" s="682"/>
      <c r="AN19" s="682"/>
      <c r="AO19" s="682"/>
      <c r="AP19" s="682"/>
      <c r="AQ19" s="682"/>
      <c r="AR19" s="682"/>
    </row>
    <row r="20">
      <c r="A20" s="43" t="s">
        <v>203</v>
      </c>
      <c r="B20" s="682"/>
      <c r="C20" s="683">
        <v>8286.0</v>
      </c>
      <c r="D20" s="684">
        <f t="shared" si="18"/>
        <v>0.1000482742</v>
      </c>
      <c r="E20" s="683">
        <v>9115.0</v>
      </c>
      <c r="F20" s="684"/>
      <c r="G20" s="683">
        <v>9115.0</v>
      </c>
      <c r="H20" s="684"/>
      <c r="I20" s="683">
        <v>9115.0</v>
      </c>
      <c r="J20" s="684">
        <v>0.08250137136588043</v>
      </c>
      <c r="K20" s="683">
        <f t="shared" si="19"/>
        <v>9867</v>
      </c>
      <c r="L20" s="685"/>
      <c r="M20" s="343">
        <v>9867.0</v>
      </c>
      <c r="N20" s="684"/>
      <c r="O20" s="687">
        <f t="shared" si="15"/>
        <v>9867</v>
      </c>
      <c r="P20" s="691">
        <v>0.1</v>
      </c>
      <c r="Q20" s="687">
        <f t="shared" si="16"/>
        <v>10853.7</v>
      </c>
      <c r="R20" s="686"/>
      <c r="S20" s="687">
        <f t="shared" si="17"/>
        <v>10853.7</v>
      </c>
      <c r="T20" s="686"/>
      <c r="U20" s="687">
        <f t="shared" si="3"/>
        <v>10853.7</v>
      </c>
      <c r="V20" s="688">
        <v>0.06</v>
      </c>
      <c r="W20" s="687">
        <f t="shared" si="4"/>
        <v>11504.922</v>
      </c>
      <c r="X20" s="686"/>
      <c r="Y20" s="687">
        <f t="shared" si="5"/>
        <v>11504.922</v>
      </c>
      <c r="Z20" s="689">
        <f t="shared" si="6"/>
        <v>10066.912</v>
      </c>
      <c r="AA20" s="682"/>
      <c r="AB20" s="682"/>
      <c r="AC20" s="682"/>
      <c r="AD20" s="682"/>
      <c r="AE20" s="682"/>
      <c r="AF20" s="682"/>
      <c r="AG20" s="682"/>
      <c r="AH20" s="682"/>
      <c r="AI20" s="682"/>
      <c r="AJ20" s="682"/>
      <c r="AK20" s="682"/>
      <c r="AL20" s="682"/>
      <c r="AM20" s="682"/>
      <c r="AN20" s="682"/>
      <c r="AO20" s="682"/>
      <c r="AP20" s="682"/>
      <c r="AQ20" s="682"/>
      <c r="AR20" s="682"/>
    </row>
    <row r="21">
      <c r="A21" s="43" t="s">
        <v>197</v>
      </c>
      <c r="B21" s="682"/>
      <c r="C21" s="683">
        <v>9049.0</v>
      </c>
      <c r="D21" s="684">
        <f t="shared" si="18"/>
        <v>0.1100674108</v>
      </c>
      <c r="E21" s="683">
        <v>10045.0</v>
      </c>
      <c r="F21" s="684">
        <v>0.02369337979094066</v>
      </c>
      <c r="G21" s="683">
        <f>E21*(1+F21)</f>
        <v>10283</v>
      </c>
      <c r="H21" s="684">
        <v>0.07760381211708656</v>
      </c>
      <c r="I21" s="683">
        <f>G21*(1+H21)</f>
        <v>11081</v>
      </c>
      <c r="J21" s="684">
        <v>0.14998646331558518</v>
      </c>
      <c r="K21" s="683">
        <f t="shared" si="19"/>
        <v>12743</v>
      </c>
      <c r="L21" s="685"/>
      <c r="M21" s="343">
        <v>12743.0</v>
      </c>
      <c r="N21" s="686"/>
      <c r="O21" s="687">
        <f t="shared" si="15"/>
        <v>12743</v>
      </c>
      <c r="P21" s="691">
        <v>0.0508</v>
      </c>
      <c r="Q21" s="687">
        <f t="shared" si="16"/>
        <v>13390.3444</v>
      </c>
      <c r="R21" s="686"/>
      <c r="S21" s="687">
        <f t="shared" si="17"/>
        <v>13390.3444</v>
      </c>
      <c r="T21" s="686"/>
      <c r="U21" s="687">
        <f t="shared" si="3"/>
        <v>13390.3444</v>
      </c>
      <c r="V21" s="688">
        <v>0.06</v>
      </c>
      <c r="W21" s="687">
        <f t="shared" si="4"/>
        <v>14193.76506</v>
      </c>
      <c r="X21" s="686"/>
      <c r="Y21" s="687">
        <f t="shared" si="5"/>
        <v>14193.76506</v>
      </c>
      <c r="Z21" s="689">
        <f t="shared" si="6"/>
        <v>12270.46361</v>
      </c>
      <c r="AA21" s="682"/>
      <c r="AB21" s="682"/>
      <c r="AC21" s="682"/>
      <c r="AD21" s="682"/>
      <c r="AE21" s="682"/>
      <c r="AF21" s="682"/>
      <c r="AG21" s="682"/>
      <c r="AH21" s="682"/>
      <c r="AI21" s="682"/>
      <c r="AJ21" s="682"/>
      <c r="AK21" s="682"/>
      <c r="AL21" s="682"/>
      <c r="AM21" s="682"/>
      <c r="AN21" s="682"/>
      <c r="AO21" s="682"/>
      <c r="AP21" s="682"/>
      <c r="AQ21" s="682"/>
      <c r="AR21" s="682"/>
    </row>
    <row r="22">
      <c r="A22" s="43" t="s">
        <v>120</v>
      </c>
      <c r="B22" s="682"/>
      <c r="C22" s="695">
        <v>20833.333333333332</v>
      </c>
      <c r="D22" s="684"/>
      <c r="E22" s="695">
        <v>20833.333333333332</v>
      </c>
      <c r="F22" s="684"/>
      <c r="G22" s="695">
        <v>20833.333333333332</v>
      </c>
      <c r="H22" s="684">
        <v>0.16003456055296894</v>
      </c>
      <c r="I22" s="682">
        <v>24166.666666666668</v>
      </c>
      <c r="J22" s="684"/>
      <c r="K22" s="682">
        <v>24166.666666666668</v>
      </c>
      <c r="L22" s="685"/>
      <c r="M22" s="682">
        <v>24166.666666666668</v>
      </c>
      <c r="N22" s="684"/>
      <c r="O22" s="687">
        <f t="shared" si="15"/>
        <v>24166.66667</v>
      </c>
      <c r="P22" s="691">
        <v>0.1</v>
      </c>
      <c r="Q22" s="687">
        <f t="shared" si="16"/>
        <v>26583.33333</v>
      </c>
      <c r="R22" s="686"/>
      <c r="S22" s="687">
        <f t="shared" si="17"/>
        <v>26583.33333</v>
      </c>
      <c r="T22" s="686"/>
      <c r="U22" s="687">
        <f t="shared" si="3"/>
        <v>26583.33333</v>
      </c>
      <c r="V22" s="684">
        <v>0.06</v>
      </c>
      <c r="W22" s="687">
        <f t="shared" si="4"/>
        <v>28178.33333</v>
      </c>
      <c r="X22" s="686"/>
      <c r="Y22" s="687">
        <f t="shared" si="5"/>
        <v>28178.33333</v>
      </c>
      <c r="Z22" s="689">
        <f t="shared" si="6"/>
        <v>24606.11111</v>
      </c>
      <c r="AA22" s="682"/>
      <c r="AB22" s="682"/>
      <c r="AC22" s="682"/>
      <c r="AD22" s="682"/>
      <c r="AE22" s="682"/>
      <c r="AF22" s="682"/>
      <c r="AG22" s="682"/>
      <c r="AH22" s="682"/>
      <c r="AI22" s="682"/>
      <c r="AJ22" s="682"/>
      <c r="AK22" s="682"/>
      <c r="AL22" s="682"/>
      <c r="AM22" s="682"/>
      <c r="AN22" s="682"/>
      <c r="AO22" s="682"/>
      <c r="AP22" s="682"/>
      <c r="AQ22" s="682"/>
      <c r="AR22" s="682"/>
    </row>
    <row r="23">
      <c r="A23" s="43" t="s">
        <v>127</v>
      </c>
      <c r="B23" s="682"/>
      <c r="C23" s="683">
        <v>18900.0</v>
      </c>
      <c r="D23" s="684">
        <v>0.1299999999999999</v>
      </c>
      <c r="E23" s="683">
        <f>C23*(1+D23)</f>
        <v>21357</v>
      </c>
      <c r="F23" s="684">
        <v>0.08002060214449624</v>
      </c>
      <c r="G23" s="683">
        <f t="shared" ref="G23:G24" si="20">E23*(1+F23)</f>
        <v>23066</v>
      </c>
      <c r="H23" s="684">
        <v>0.07998786092083576</v>
      </c>
      <c r="I23" s="343">
        <f>G23*(1+H23)</f>
        <v>24911</v>
      </c>
      <c r="J23" s="684"/>
      <c r="K23" s="683">
        <v>24911.0</v>
      </c>
      <c r="L23" s="685"/>
      <c r="M23" s="343">
        <v>24911.0</v>
      </c>
      <c r="N23" s="684"/>
      <c r="O23" s="687">
        <f t="shared" si="15"/>
        <v>24911</v>
      </c>
      <c r="P23" s="684">
        <v>0.08</v>
      </c>
      <c r="Q23" s="687">
        <f t="shared" si="16"/>
        <v>26903.88</v>
      </c>
      <c r="R23" s="686"/>
      <c r="S23" s="687">
        <f t="shared" si="17"/>
        <v>26903.88</v>
      </c>
      <c r="T23" s="686"/>
      <c r="U23" s="687">
        <f t="shared" si="3"/>
        <v>26903.88</v>
      </c>
      <c r="V23" s="684">
        <v>0.06</v>
      </c>
      <c r="W23" s="687">
        <f t="shared" si="4"/>
        <v>28518.1128</v>
      </c>
      <c r="X23" s="686"/>
      <c r="Y23" s="687">
        <f t="shared" si="5"/>
        <v>28518.1128</v>
      </c>
      <c r="Z23" s="689">
        <f t="shared" si="6"/>
        <v>25059.57213</v>
      </c>
      <c r="AA23" s="682"/>
      <c r="AB23" s="682"/>
      <c r="AC23" s="682"/>
      <c r="AD23" s="682"/>
      <c r="AE23" s="682"/>
      <c r="AF23" s="682"/>
      <c r="AG23" s="682"/>
      <c r="AH23" s="682"/>
      <c r="AI23" s="682"/>
      <c r="AJ23" s="682"/>
      <c r="AK23" s="682"/>
      <c r="AL23" s="682"/>
      <c r="AM23" s="682"/>
      <c r="AN23" s="682"/>
      <c r="AO23" s="682"/>
      <c r="AP23" s="682"/>
      <c r="AQ23" s="682"/>
      <c r="AR23" s="682"/>
    </row>
    <row r="24">
      <c r="A24" s="43" t="s">
        <v>218</v>
      </c>
      <c r="B24" s="696"/>
      <c r="C24" s="697">
        <v>18000.0</v>
      </c>
      <c r="D24" s="684"/>
      <c r="E24" s="697">
        <v>18000.0</v>
      </c>
      <c r="F24" s="684">
        <v>0.05555555555555558</v>
      </c>
      <c r="G24" s="683">
        <f t="shared" si="20"/>
        <v>19000</v>
      </c>
      <c r="H24" s="684"/>
      <c r="I24" s="697">
        <v>19000.0</v>
      </c>
      <c r="J24" s="684"/>
      <c r="K24" s="697">
        <v>19000.0</v>
      </c>
      <c r="L24" s="685"/>
      <c r="M24" s="683">
        <v>19000.0</v>
      </c>
      <c r="N24" s="684"/>
      <c r="O24" s="683">
        <v>19000.0</v>
      </c>
      <c r="P24" s="698"/>
      <c r="Q24" s="687">
        <f t="shared" si="16"/>
        <v>19000</v>
      </c>
      <c r="R24" s="684">
        <v>0.052632</v>
      </c>
      <c r="S24" s="687">
        <f t="shared" si="17"/>
        <v>20000.008</v>
      </c>
      <c r="T24" s="684"/>
      <c r="U24" s="687">
        <f t="shared" si="3"/>
        <v>20000.008</v>
      </c>
      <c r="V24" s="696"/>
      <c r="W24" s="687">
        <f t="shared" si="4"/>
        <v>20000.008</v>
      </c>
      <c r="X24" s="696"/>
      <c r="Y24" s="687">
        <f t="shared" si="5"/>
        <v>20000.008</v>
      </c>
      <c r="Z24" s="689">
        <f t="shared" si="6"/>
        <v>19166.66933</v>
      </c>
      <c r="AA24" s="696"/>
      <c r="AB24" s="682"/>
      <c r="AC24" s="682"/>
      <c r="AD24" s="682"/>
      <c r="AE24" s="696"/>
      <c r="AF24" s="696"/>
      <c r="AG24" s="696"/>
      <c r="AH24" s="696"/>
      <c r="AI24" s="696"/>
      <c r="AJ24" s="696"/>
      <c r="AK24" s="696"/>
      <c r="AL24" s="696"/>
      <c r="AM24" s="696"/>
      <c r="AN24" s="696"/>
      <c r="AO24" s="696"/>
      <c r="AP24" s="696"/>
      <c r="AQ24" s="696"/>
      <c r="AR24" s="696"/>
    </row>
    <row r="25">
      <c r="A25" s="43" t="s">
        <v>220</v>
      </c>
      <c r="B25" s="682"/>
      <c r="C25" s="683">
        <v>20000.0</v>
      </c>
      <c r="D25" s="684"/>
      <c r="E25" s="683">
        <v>20000.0</v>
      </c>
      <c r="F25" s="684"/>
      <c r="G25" s="683">
        <v>20000.0</v>
      </c>
      <c r="H25" s="684"/>
      <c r="I25" s="683"/>
      <c r="J25" s="684"/>
      <c r="K25" s="683"/>
      <c r="L25" s="685"/>
      <c r="R25" s="682"/>
      <c r="S25" s="687"/>
      <c r="T25" s="682"/>
      <c r="U25" s="687"/>
      <c r="V25" s="682"/>
      <c r="W25" s="687"/>
      <c r="X25" s="682"/>
      <c r="Y25" s="687"/>
      <c r="Z25" s="687"/>
      <c r="AA25" s="682"/>
      <c r="AB25" s="343"/>
      <c r="AC25" s="682"/>
      <c r="AD25" s="682"/>
      <c r="AE25" s="682"/>
      <c r="AF25" s="682"/>
      <c r="AG25" s="682"/>
      <c r="AH25" s="682"/>
      <c r="AI25" s="682"/>
      <c r="AJ25" s="682"/>
      <c r="AK25" s="682"/>
      <c r="AL25" s="682"/>
      <c r="AM25" s="682"/>
      <c r="AN25" s="682"/>
      <c r="AO25" s="682"/>
      <c r="AP25" s="682"/>
      <c r="AQ25" s="682"/>
      <c r="AR25" s="682"/>
    </row>
    <row r="26">
      <c r="A26" s="43" t="s">
        <v>234</v>
      </c>
      <c r="B26" s="682"/>
      <c r="C26" s="683">
        <v>11485.0</v>
      </c>
      <c r="D26" s="684"/>
      <c r="E26" s="683">
        <v>11485.0</v>
      </c>
      <c r="F26" s="684"/>
      <c r="G26" s="683">
        <v>11485.0</v>
      </c>
      <c r="H26" s="684"/>
      <c r="I26" s="683"/>
      <c r="J26" s="684"/>
      <c r="K26" s="683"/>
      <c r="L26" s="685"/>
      <c r="R26" s="682"/>
      <c r="S26" s="687"/>
      <c r="T26" s="682"/>
      <c r="U26" s="687"/>
      <c r="V26" s="682"/>
      <c r="W26" s="687"/>
      <c r="X26" s="682"/>
      <c r="Y26" s="687"/>
      <c r="Z26" s="687"/>
      <c r="AA26" s="682"/>
      <c r="AB26" s="343"/>
      <c r="AC26" s="682"/>
      <c r="AD26" s="682"/>
      <c r="AE26" s="682"/>
      <c r="AF26" s="682"/>
      <c r="AG26" s="682"/>
      <c r="AH26" s="682"/>
      <c r="AI26" s="682"/>
      <c r="AJ26" s="682"/>
      <c r="AK26" s="682"/>
      <c r="AL26" s="682"/>
      <c r="AM26" s="682"/>
      <c r="AN26" s="682"/>
      <c r="AO26" s="682"/>
      <c r="AP26" s="682"/>
      <c r="AQ26" s="682"/>
      <c r="AR26" s="682"/>
    </row>
    <row r="27">
      <c r="A27" s="43" t="s">
        <v>233</v>
      </c>
      <c r="C27" s="683">
        <v>9000.0</v>
      </c>
      <c r="E27" s="683"/>
      <c r="G27" s="683"/>
      <c r="I27" s="683"/>
      <c r="N27" s="682"/>
      <c r="P27" s="682"/>
    </row>
    <row r="28">
      <c r="N28" s="682"/>
      <c r="P28" s="682"/>
      <c r="T28" s="102"/>
      <c r="V28" s="102"/>
    </row>
    <row r="29">
      <c r="N29" s="682"/>
      <c r="P29" s="682"/>
      <c r="T29" s="102"/>
      <c r="V29" s="102"/>
      <c r="Y29" s="535"/>
    </row>
    <row r="30">
      <c r="N30" s="682"/>
      <c r="P30" s="682"/>
      <c r="T30" s="102"/>
      <c r="V30" s="102"/>
    </row>
    <row r="31">
      <c r="D31" s="51"/>
      <c r="N31" s="682"/>
      <c r="P31" s="682"/>
      <c r="T31" s="102"/>
      <c r="V31" s="102"/>
    </row>
    <row r="32">
      <c r="D32" s="51"/>
      <c r="N32" s="682"/>
      <c r="P32" s="682"/>
      <c r="T32" s="102"/>
      <c r="V32" s="102"/>
    </row>
    <row r="33">
      <c r="D33" s="51"/>
      <c r="N33" s="682"/>
      <c r="P33" s="682"/>
      <c r="T33" s="102"/>
    </row>
    <row r="34">
      <c r="D34" s="51"/>
      <c r="N34" s="682"/>
      <c r="P34" s="682"/>
      <c r="T34" s="102"/>
    </row>
    <row r="35">
      <c r="D35" s="51"/>
      <c r="N35" s="682"/>
      <c r="P35" s="682"/>
      <c r="T35" s="102"/>
    </row>
    <row r="36">
      <c r="D36" s="51"/>
      <c r="N36" s="682"/>
      <c r="P36" s="682"/>
      <c r="T36" s="102"/>
    </row>
    <row r="37">
      <c r="D37" s="51"/>
      <c r="N37" s="682"/>
      <c r="P37" s="682"/>
      <c r="T37" s="102"/>
    </row>
    <row r="38">
      <c r="D38" s="51"/>
      <c r="N38" s="682"/>
      <c r="P38" s="682"/>
      <c r="T38" s="102"/>
    </row>
    <row r="39">
      <c r="D39" s="51"/>
      <c r="N39" s="682"/>
      <c r="P39" s="682"/>
      <c r="T39" s="102"/>
    </row>
    <row r="40">
      <c r="D40" s="51"/>
      <c r="N40" s="682"/>
      <c r="P40" s="682"/>
      <c r="T40" s="102"/>
    </row>
    <row r="41">
      <c r="N41" s="682"/>
      <c r="P41" s="682"/>
      <c r="T41" s="102"/>
    </row>
    <row r="42">
      <c r="N42" s="682"/>
      <c r="P42" s="682"/>
      <c r="T42" s="102"/>
    </row>
    <row r="43">
      <c r="N43" s="682"/>
      <c r="P43" s="682"/>
      <c r="T43" s="102"/>
    </row>
    <row r="44">
      <c r="B44" s="443" t="s">
        <v>1424</v>
      </c>
      <c r="D44" s="443" t="s">
        <v>1425</v>
      </c>
      <c r="F44" s="443" t="s">
        <v>1426</v>
      </c>
      <c r="H44" s="443" t="s">
        <v>1427</v>
      </c>
      <c r="J44" s="443" t="s">
        <v>1428</v>
      </c>
      <c r="L44" s="443" t="s">
        <v>1429</v>
      </c>
      <c r="N44" s="443" t="s">
        <v>1430</v>
      </c>
      <c r="P44" s="443" t="s">
        <v>1431</v>
      </c>
      <c r="R44" s="443" t="s">
        <v>1432</v>
      </c>
      <c r="T44" s="443" t="s">
        <v>1433</v>
      </c>
      <c r="V44" s="443" t="s">
        <v>1434</v>
      </c>
      <c r="X44" s="443" t="s">
        <v>1435</v>
      </c>
    </row>
    <row r="45">
      <c r="A45" s="673">
        <v>2026.0</v>
      </c>
      <c r="B45" s="674" t="s">
        <v>1436</v>
      </c>
      <c r="C45" s="675" t="s">
        <v>1437</v>
      </c>
      <c r="D45" s="676" t="s">
        <v>1436</v>
      </c>
      <c r="E45" s="675" t="s">
        <v>1437</v>
      </c>
      <c r="F45" s="676" t="s">
        <v>1436</v>
      </c>
      <c r="G45" s="675" t="s">
        <v>1437</v>
      </c>
      <c r="H45" s="676" t="s">
        <v>1436</v>
      </c>
      <c r="I45" s="675" t="s">
        <v>1437</v>
      </c>
      <c r="J45" s="676" t="s">
        <v>1436</v>
      </c>
      <c r="K45" s="675" t="s">
        <v>1437</v>
      </c>
      <c r="L45" s="676" t="s">
        <v>1436</v>
      </c>
      <c r="M45" s="677" t="s">
        <v>1437</v>
      </c>
      <c r="N45" s="676" t="s">
        <v>1436</v>
      </c>
      <c r="O45" s="675" t="s">
        <v>1437</v>
      </c>
      <c r="P45" s="676" t="s">
        <v>1436</v>
      </c>
      <c r="Q45" s="675" t="s">
        <v>1437</v>
      </c>
      <c r="R45" s="676" t="s">
        <v>1436</v>
      </c>
      <c r="S45" s="675" t="s">
        <v>1437</v>
      </c>
      <c r="T45" s="676" t="s">
        <v>1436</v>
      </c>
      <c r="U45" s="675" t="s">
        <v>1437</v>
      </c>
      <c r="V45" s="676" t="s">
        <v>1436</v>
      </c>
      <c r="W45" s="675" t="s">
        <v>1437</v>
      </c>
      <c r="X45" s="676" t="s">
        <v>1436</v>
      </c>
      <c r="Y45" s="675" t="s">
        <v>1437</v>
      </c>
      <c r="Z45" s="678" t="s">
        <v>1438</v>
      </c>
    </row>
    <row r="46">
      <c r="A46" s="680" t="s">
        <v>112</v>
      </c>
      <c r="B46" s="681" t="s">
        <v>1451</v>
      </c>
      <c r="C46" s="681" t="s">
        <v>1451</v>
      </c>
      <c r="D46" s="681" t="s">
        <v>1452</v>
      </c>
      <c r="E46" s="681" t="s">
        <v>1452</v>
      </c>
      <c r="F46" s="51" t="s">
        <v>1453</v>
      </c>
      <c r="G46" s="51" t="s">
        <v>1453</v>
      </c>
      <c r="H46" s="51" t="s">
        <v>1454</v>
      </c>
      <c r="I46" s="51" t="s">
        <v>1454</v>
      </c>
      <c r="J46" s="51" t="s">
        <v>1455</v>
      </c>
      <c r="K46" s="51" t="s">
        <v>1455</v>
      </c>
      <c r="L46" s="51" t="s">
        <v>1456</v>
      </c>
      <c r="M46" s="51" t="s">
        <v>1456</v>
      </c>
      <c r="N46" s="51" t="s">
        <v>1457</v>
      </c>
      <c r="O46" s="51" t="s">
        <v>1457</v>
      </c>
      <c r="P46" s="51" t="s">
        <v>1458</v>
      </c>
      <c r="Q46" s="51" t="s">
        <v>1458</v>
      </c>
      <c r="R46" s="51" t="s">
        <v>1459</v>
      </c>
      <c r="S46" s="51" t="s">
        <v>1459</v>
      </c>
      <c r="T46" s="51" t="s">
        <v>1460</v>
      </c>
      <c r="U46" s="51" t="s">
        <v>1460</v>
      </c>
      <c r="V46" s="51" t="s">
        <v>1461</v>
      </c>
      <c r="W46" s="51" t="s">
        <v>1461</v>
      </c>
      <c r="X46" s="51" t="s">
        <v>1462</v>
      </c>
      <c r="Y46" s="51" t="s">
        <v>1462</v>
      </c>
      <c r="Z46" s="680"/>
    </row>
    <row r="47">
      <c r="A47" s="43" t="s">
        <v>205</v>
      </c>
      <c r="B47" s="699">
        <f>C47/W4-1</f>
        <v>0.09037735849</v>
      </c>
      <c r="C47" s="687">
        <v>11558.0</v>
      </c>
      <c r="D47" s="684"/>
      <c r="E47" s="683">
        <f t="shared" ref="E47:E70" si="21">C47*(1+D47)</f>
        <v>11558</v>
      </c>
      <c r="F47" s="684"/>
      <c r="G47" s="683">
        <f t="shared" ref="G47:G70" si="22">E47*(1+F47)</f>
        <v>11558</v>
      </c>
      <c r="H47" s="684">
        <v>0.075</v>
      </c>
      <c r="I47" s="683">
        <f t="shared" ref="I47:I70" si="23">G47*(1+H47)</f>
        <v>12424.85</v>
      </c>
      <c r="J47" s="684"/>
      <c r="K47" s="683">
        <f t="shared" ref="K47:K70" si="24">I47*(1+J47)</f>
        <v>12424.85</v>
      </c>
      <c r="L47" s="685"/>
      <c r="M47" s="683">
        <f t="shared" ref="M47:M70" si="25">K47*(1+L47)</f>
        <v>12424.85</v>
      </c>
      <c r="N47" s="684">
        <v>0.075</v>
      </c>
      <c r="O47" s="683">
        <f t="shared" ref="O47:O70" si="26">M47*(1+N47)</f>
        <v>13356.71375</v>
      </c>
      <c r="P47" s="684"/>
      <c r="Q47" s="683">
        <f t="shared" ref="Q47:Q70" si="27">O47*(1+P47)</f>
        <v>13356.71375</v>
      </c>
      <c r="R47" s="684"/>
      <c r="S47" s="683">
        <f t="shared" ref="S47:S70" si="28">Q47*(1+R47)</f>
        <v>13356.71375</v>
      </c>
      <c r="T47" s="684">
        <v>0.075</v>
      </c>
      <c r="U47" s="683">
        <f t="shared" ref="U47:U70" si="29">S47*(1+T47)</f>
        <v>14358.46728</v>
      </c>
      <c r="V47" s="684"/>
      <c r="W47" s="683">
        <f t="shared" ref="W47:W70" si="30">U47*(1+V47)</f>
        <v>14358.46728</v>
      </c>
      <c r="X47" s="686"/>
      <c r="Y47" s="683">
        <f t="shared" ref="Y47:Y70" si="31">W47*(1+X47)</f>
        <v>14358.46728</v>
      </c>
      <c r="Z47" s="689">
        <f t="shared" ref="Z47:Z67" si="32">AVERAGE(Y47,W47,U47,S47,Q47,O47,M47,K47,I47,G47,E47,C47)</f>
        <v>12924.50776</v>
      </c>
    </row>
    <row r="48">
      <c r="A48" s="43" t="s">
        <v>212</v>
      </c>
      <c r="B48" s="686"/>
      <c r="C48" s="687">
        <v>0.0</v>
      </c>
      <c r="D48" s="686"/>
      <c r="E48" s="683">
        <f t="shared" si="21"/>
        <v>0</v>
      </c>
      <c r="F48" s="684"/>
      <c r="G48" s="683">
        <f t="shared" si="22"/>
        <v>0</v>
      </c>
      <c r="H48" s="684"/>
      <c r="I48" s="683">
        <f t="shared" si="23"/>
        <v>0</v>
      </c>
      <c r="J48" s="684"/>
      <c r="K48" s="683">
        <f t="shared" si="24"/>
        <v>0</v>
      </c>
      <c r="L48" s="685"/>
      <c r="M48" s="683">
        <f t="shared" si="25"/>
        <v>0</v>
      </c>
      <c r="N48" s="686"/>
      <c r="O48" s="683">
        <f t="shared" si="26"/>
        <v>0</v>
      </c>
      <c r="P48" s="686"/>
      <c r="Q48" s="683">
        <f t="shared" si="27"/>
        <v>0</v>
      </c>
      <c r="R48" s="686"/>
      <c r="S48" s="683">
        <f t="shared" si="28"/>
        <v>0</v>
      </c>
      <c r="T48" s="686"/>
      <c r="U48" s="683">
        <f t="shared" si="29"/>
        <v>0</v>
      </c>
      <c r="V48" s="686"/>
      <c r="W48" s="683">
        <f t="shared" si="30"/>
        <v>0</v>
      </c>
      <c r="X48" s="686"/>
      <c r="Y48" s="683">
        <f t="shared" si="31"/>
        <v>0</v>
      </c>
      <c r="Z48" s="689">
        <f t="shared" si="32"/>
        <v>0</v>
      </c>
    </row>
    <row r="49">
      <c r="A49" s="43" t="s">
        <v>240</v>
      </c>
      <c r="B49" s="686"/>
      <c r="C49" s="687">
        <v>11556.25</v>
      </c>
      <c r="D49" s="684"/>
      <c r="E49" s="683">
        <f t="shared" si="21"/>
        <v>11556.25</v>
      </c>
      <c r="F49" s="684">
        <v>0.075</v>
      </c>
      <c r="G49" s="683">
        <f t="shared" si="22"/>
        <v>12422.96875</v>
      </c>
      <c r="H49" s="684"/>
      <c r="I49" s="683">
        <f t="shared" si="23"/>
        <v>12422.96875</v>
      </c>
      <c r="J49" s="684"/>
      <c r="K49" s="683">
        <f t="shared" si="24"/>
        <v>12422.96875</v>
      </c>
      <c r="L49" s="684">
        <v>0.075</v>
      </c>
      <c r="M49" s="683">
        <f t="shared" si="25"/>
        <v>13354.69141</v>
      </c>
      <c r="N49" s="686"/>
      <c r="O49" s="683">
        <f t="shared" si="26"/>
        <v>13354.69141</v>
      </c>
      <c r="P49" s="684"/>
      <c r="Q49" s="683">
        <f t="shared" si="27"/>
        <v>13354.69141</v>
      </c>
      <c r="R49" s="684">
        <v>0.075</v>
      </c>
      <c r="S49" s="683">
        <f t="shared" si="28"/>
        <v>14356.29326</v>
      </c>
      <c r="T49" s="686"/>
      <c r="U49" s="683">
        <f t="shared" si="29"/>
        <v>14356.29326</v>
      </c>
      <c r="V49" s="684"/>
      <c r="W49" s="683">
        <f t="shared" si="30"/>
        <v>14356.29326</v>
      </c>
      <c r="X49" s="684">
        <v>0.075</v>
      </c>
      <c r="Y49" s="683">
        <f t="shared" si="31"/>
        <v>15433.01526</v>
      </c>
      <c r="Z49" s="689">
        <f t="shared" si="32"/>
        <v>13245.61463</v>
      </c>
    </row>
    <row r="50">
      <c r="A50" s="43" t="s">
        <v>228</v>
      </c>
      <c r="B50" s="686"/>
      <c r="C50" s="687">
        <v>22231.0</v>
      </c>
      <c r="D50" s="684"/>
      <c r="E50" s="683">
        <f t="shared" si="21"/>
        <v>22231</v>
      </c>
      <c r="F50" s="684">
        <v>0.075</v>
      </c>
      <c r="G50" s="683">
        <f t="shared" si="22"/>
        <v>23898.325</v>
      </c>
      <c r="H50" s="684"/>
      <c r="I50" s="683">
        <f t="shared" si="23"/>
        <v>23898.325</v>
      </c>
      <c r="J50" s="684"/>
      <c r="K50" s="683">
        <f t="shared" si="24"/>
        <v>23898.325</v>
      </c>
      <c r="L50" s="684">
        <v>0.075</v>
      </c>
      <c r="M50" s="683">
        <f t="shared" si="25"/>
        <v>25690.69938</v>
      </c>
      <c r="N50" s="686"/>
      <c r="O50" s="683">
        <f t="shared" si="26"/>
        <v>25690.69938</v>
      </c>
      <c r="P50" s="684"/>
      <c r="Q50" s="683">
        <f t="shared" si="27"/>
        <v>25690.69938</v>
      </c>
      <c r="R50" s="684">
        <v>0.075</v>
      </c>
      <c r="S50" s="683">
        <f t="shared" si="28"/>
        <v>27617.50183</v>
      </c>
      <c r="T50" s="686"/>
      <c r="U50" s="683">
        <f t="shared" si="29"/>
        <v>27617.50183</v>
      </c>
      <c r="V50" s="684"/>
      <c r="W50" s="683">
        <f t="shared" si="30"/>
        <v>27617.50183</v>
      </c>
      <c r="X50" s="684">
        <v>0.075</v>
      </c>
      <c r="Y50" s="683">
        <f t="shared" si="31"/>
        <v>29688.81447</v>
      </c>
      <c r="Z50" s="689">
        <f t="shared" si="32"/>
        <v>25480.86609</v>
      </c>
    </row>
    <row r="51">
      <c r="A51" s="43" t="s">
        <v>214</v>
      </c>
      <c r="B51" s="686"/>
      <c r="C51" s="687">
        <v>11296.1</v>
      </c>
      <c r="D51" s="684">
        <v>0.075</v>
      </c>
      <c r="E51" s="683">
        <f t="shared" si="21"/>
        <v>12143.3075</v>
      </c>
      <c r="F51" s="684"/>
      <c r="G51" s="683">
        <f t="shared" si="22"/>
        <v>12143.3075</v>
      </c>
      <c r="H51" s="684"/>
      <c r="I51" s="683">
        <f t="shared" si="23"/>
        <v>12143.3075</v>
      </c>
      <c r="J51" s="684">
        <v>0.075</v>
      </c>
      <c r="K51" s="683">
        <f t="shared" si="24"/>
        <v>13054.05556</v>
      </c>
      <c r="L51" s="685"/>
      <c r="M51" s="683">
        <f t="shared" si="25"/>
        <v>13054.05556</v>
      </c>
      <c r="N51" s="686"/>
      <c r="O51" s="683">
        <f t="shared" si="26"/>
        <v>13054.05556</v>
      </c>
      <c r="P51" s="684">
        <v>0.075</v>
      </c>
      <c r="Q51" s="683">
        <f t="shared" si="27"/>
        <v>14033.10973</v>
      </c>
      <c r="R51" s="686"/>
      <c r="S51" s="683">
        <f t="shared" si="28"/>
        <v>14033.10973</v>
      </c>
      <c r="T51" s="686"/>
      <c r="U51" s="683">
        <f t="shared" si="29"/>
        <v>14033.10973</v>
      </c>
      <c r="V51" s="684">
        <v>0.075</v>
      </c>
      <c r="W51" s="683">
        <f t="shared" si="30"/>
        <v>15085.59296</v>
      </c>
      <c r="X51" s="686"/>
      <c r="Y51" s="683">
        <f t="shared" si="31"/>
        <v>15085.59296</v>
      </c>
      <c r="Z51" s="689">
        <f t="shared" si="32"/>
        <v>13263.22536</v>
      </c>
    </row>
    <row r="52">
      <c r="A52" s="43" t="s">
        <v>200</v>
      </c>
      <c r="B52" s="684">
        <v>0.075</v>
      </c>
      <c r="C52" s="687">
        <f>20296*(1+B52)</f>
        <v>21818.2</v>
      </c>
      <c r="D52" s="686"/>
      <c r="E52" s="683">
        <f t="shared" si="21"/>
        <v>21818.2</v>
      </c>
      <c r="F52" s="684"/>
      <c r="G52" s="683">
        <f t="shared" si="22"/>
        <v>21818.2</v>
      </c>
      <c r="H52" s="684">
        <v>0.075</v>
      </c>
      <c r="I52" s="683">
        <f t="shared" si="23"/>
        <v>23454.565</v>
      </c>
      <c r="J52" s="686"/>
      <c r="K52" s="683">
        <f t="shared" si="24"/>
        <v>23454.565</v>
      </c>
      <c r="L52" s="685"/>
      <c r="M52" s="683">
        <f t="shared" si="25"/>
        <v>23454.565</v>
      </c>
      <c r="N52" s="684">
        <v>0.075</v>
      </c>
      <c r="O52" s="683">
        <f t="shared" si="26"/>
        <v>25213.65738</v>
      </c>
      <c r="P52" s="686"/>
      <c r="Q52" s="683">
        <f t="shared" si="27"/>
        <v>25213.65738</v>
      </c>
      <c r="R52" s="686"/>
      <c r="S52" s="683">
        <f t="shared" si="28"/>
        <v>25213.65738</v>
      </c>
      <c r="T52" s="684">
        <v>0.075</v>
      </c>
      <c r="U52" s="683">
        <f t="shared" si="29"/>
        <v>27104.68168</v>
      </c>
      <c r="V52" s="686"/>
      <c r="W52" s="683">
        <f t="shared" si="30"/>
        <v>27104.68168</v>
      </c>
      <c r="X52" s="686"/>
      <c r="Y52" s="683">
        <f t="shared" si="31"/>
        <v>27104.68168</v>
      </c>
      <c r="Z52" s="689">
        <f t="shared" si="32"/>
        <v>24397.77601</v>
      </c>
    </row>
    <row r="53">
      <c r="A53" s="43" t="s">
        <v>216</v>
      </c>
      <c r="B53" s="686"/>
      <c r="C53" s="687">
        <v>14841.94579</v>
      </c>
      <c r="D53" s="684">
        <v>0.075</v>
      </c>
      <c r="E53" s="683">
        <f t="shared" si="21"/>
        <v>15955.09172</v>
      </c>
      <c r="F53" s="684"/>
      <c r="G53" s="683">
        <f t="shared" si="22"/>
        <v>15955.09172</v>
      </c>
      <c r="H53" s="684"/>
      <c r="I53" s="683">
        <f t="shared" si="23"/>
        <v>15955.09172</v>
      </c>
      <c r="J53" s="684">
        <v>0.075</v>
      </c>
      <c r="K53" s="683">
        <f t="shared" si="24"/>
        <v>17151.7236</v>
      </c>
      <c r="L53" s="685"/>
      <c r="M53" s="683">
        <f t="shared" si="25"/>
        <v>17151.7236</v>
      </c>
      <c r="N53" s="686"/>
      <c r="O53" s="683">
        <f t="shared" si="26"/>
        <v>17151.7236</v>
      </c>
      <c r="P53" s="684">
        <v>0.075</v>
      </c>
      <c r="Q53" s="683">
        <f t="shared" si="27"/>
        <v>18438.10287</v>
      </c>
      <c r="R53" s="686"/>
      <c r="S53" s="683">
        <f t="shared" si="28"/>
        <v>18438.10287</v>
      </c>
      <c r="T53" s="686"/>
      <c r="U53" s="683">
        <f t="shared" si="29"/>
        <v>18438.10287</v>
      </c>
      <c r="V53" s="684">
        <v>0.075</v>
      </c>
      <c r="W53" s="683">
        <f t="shared" si="30"/>
        <v>19820.96059</v>
      </c>
      <c r="X53" s="686"/>
      <c r="Y53" s="683">
        <f t="shared" si="31"/>
        <v>19820.96059</v>
      </c>
      <c r="Z53" s="689">
        <f t="shared" si="32"/>
        <v>17426.5518</v>
      </c>
    </row>
    <row r="54">
      <c r="A54" s="43" t="s">
        <v>207</v>
      </c>
      <c r="B54" s="686"/>
      <c r="C54" s="687">
        <v>12425.71</v>
      </c>
      <c r="D54" s="684">
        <v>0.075</v>
      </c>
      <c r="E54" s="683">
        <f t="shared" si="21"/>
        <v>13357.63825</v>
      </c>
      <c r="F54" s="684"/>
      <c r="G54" s="683">
        <f t="shared" si="22"/>
        <v>13357.63825</v>
      </c>
      <c r="H54" s="684"/>
      <c r="I54" s="683">
        <f t="shared" si="23"/>
        <v>13357.63825</v>
      </c>
      <c r="J54" s="684">
        <v>0.075</v>
      </c>
      <c r="K54" s="683">
        <f t="shared" si="24"/>
        <v>14359.46112</v>
      </c>
      <c r="L54" s="685"/>
      <c r="M54" s="683">
        <f t="shared" si="25"/>
        <v>14359.46112</v>
      </c>
      <c r="N54" s="684"/>
      <c r="O54" s="683">
        <f t="shared" si="26"/>
        <v>14359.46112</v>
      </c>
      <c r="P54" s="684">
        <v>0.075</v>
      </c>
      <c r="Q54" s="683">
        <f t="shared" si="27"/>
        <v>15436.4207</v>
      </c>
      <c r="R54" s="686"/>
      <c r="S54" s="683">
        <f t="shared" si="28"/>
        <v>15436.4207</v>
      </c>
      <c r="T54" s="686"/>
      <c r="U54" s="683">
        <f t="shared" si="29"/>
        <v>15436.4207</v>
      </c>
      <c r="V54" s="684">
        <v>0.075</v>
      </c>
      <c r="W54" s="683">
        <f t="shared" si="30"/>
        <v>16594.15226</v>
      </c>
      <c r="X54" s="686"/>
      <c r="Y54" s="683">
        <f t="shared" si="31"/>
        <v>16594.15226</v>
      </c>
      <c r="Z54" s="689">
        <f t="shared" si="32"/>
        <v>14589.54789</v>
      </c>
    </row>
    <row r="55">
      <c r="A55" s="43" t="s">
        <v>87</v>
      </c>
      <c r="B55" s="686"/>
      <c r="C55" s="687">
        <v>12425.71</v>
      </c>
      <c r="D55" s="684">
        <v>0.075</v>
      </c>
      <c r="E55" s="683">
        <f t="shared" si="21"/>
        <v>13357.63825</v>
      </c>
      <c r="F55" s="684"/>
      <c r="G55" s="683">
        <f t="shared" si="22"/>
        <v>13357.63825</v>
      </c>
      <c r="H55" s="684"/>
      <c r="I55" s="683">
        <f t="shared" si="23"/>
        <v>13357.63825</v>
      </c>
      <c r="J55" s="684">
        <v>0.075</v>
      </c>
      <c r="K55" s="683">
        <f t="shared" si="24"/>
        <v>14359.46112</v>
      </c>
      <c r="L55" s="685"/>
      <c r="M55" s="683">
        <f t="shared" si="25"/>
        <v>14359.46112</v>
      </c>
      <c r="N55" s="686"/>
      <c r="O55" s="683">
        <f t="shared" si="26"/>
        <v>14359.46112</v>
      </c>
      <c r="P55" s="684">
        <v>0.075</v>
      </c>
      <c r="Q55" s="683">
        <f t="shared" si="27"/>
        <v>15436.4207</v>
      </c>
      <c r="R55" s="686"/>
      <c r="S55" s="683">
        <f t="shared" si="28"/>
        <v>15436.4207</v>
      </c>
      <c r="T55" s="686"/>
      <c r="U55" s="683">
        <f t="shared" si="29"/>
        <v>15436.4207</v>
      </c>
      <c r="V55" s="684">
        <v>0.075</v>
      </c>
      <c r="W55" s="683">
        <f t="shared" si="30"/>
        <v>16594.15226</v>
      </c>
      <c r="X55" s="686"/>
      <c r="Y55" s="683">
        <f t="shared" si="31"/>
        <v>16594.15226</v>
      </c>
      <c r="Z55" s="689">
        <f t="shared" si="32"/>
        <v>14589.54789</v>
      </c>
    </row>
    <row r="56">
      <c r="A56" s="43" t="s">
        <v>194</v>
      </c>
      <c r="B56" s="699">
        <v>0.04761904761904767</v>
      </c>
      <c r="C56" s="687">
        <v>13972.27744</v>
      </c>
      <c r="D56" s="684">
        <v>0.075</v>
      </c>
      <c r="E56" s="683">
        <f t="shared" si="21"/>
        <v>15020.19825</v>
      </c>
      <c r="F56" s="684"/>
      <c r="G56" s="683">
        <f t="shared" si="22"/>
        <v>15020.19825</v>
      </c>
      <c r="H56" s="684"/>
      <c r="I56" s="683">
        <f t="shared" si="23"/>
        <v>15020.19825</v>
      </c>
      <c r="J56" s="684">
        <v>0.075</v>
      </c>
      <c r="K56" s="683">
        <f t="shared" si="24"/>
        <v>16146.71312</v>
      </c>
      <c r="L56" s="685"/>
      <c r="M56" s="683">
        <f t="shared" si="25"/>
        <v>16146.71312</v>
      </c>
      <c r="N56" s="686"/>
      <c r="O56" s="683">
        <f t="shared" si="26"/>
        <v>16146.71312</v>
      </c>
      <c r="P56" s="684">
        <v>0.075</v>
      </c>
      <c r="Q56" s="683">
        <f t="shared" si="27"/>
        <v>17357.7166</v>
      </c>
      <c r="R56" s="686"/>
      <c r="S56" s="683">
        <f t="shared" si="28"/>
        <v>17357.7166</v>
      </c>
      <c r="T56" s="686"/>
      <c r="U56" s="683">
        <f t="shared" si="29"/>
        <v>17357.7166</v>
      </c>
      <c r="V56" s="684">
        <v>0.075</v>
      </c>
      <c r="W56" s="683">
        <f t="shared" si="30"/>
        <v>18659.54535</v>
      </c>
      <c r="X56" s="686"/>
      <c r="Y56" s="683">
        <f t="shared" si="31"/>
        <v>18659.54535</v>
      </c>
      <c r="Z56" s="689">
        <f t="shared" si="32"/>
        <v>16405.43767</v>
      </c>
    </row>
    <row r="57">
      <c r="A57" s="43" t="s">
        <v>230</v>
      </c>
      <c r="B57" s="699">
        <f>C57/W14-1</f>
        <v>0.06093711985</v>
      </c>
      <c r="C57" s="687">
        <v>14062.5</v>
      </c>
      <c r="D57" s="684">
        <v>0.075</v>
      </c>
      <c r="E57" s="683">
        <f t="shared" si="21"/>
        <v>15117.1875</v>
      </c>
      <c r="F57" s="692"/>
      <c r="G57" s="683">
        <f t="shared" si="22"/>
        <v>15117.1875</v>
      </c>
      <c r="H57" s="684"/>
      <c r="I57" s="683">
        <f t="shared" si="23"/>
        <v>15117.1875</v>
      </c>
      <c r="J57" s="684">
        <v>0.075</v>
      </c>
      <c r="K57" s="683">
        <f t="shared" si="24"/>
        <v>16250.97656</v>
      </c>
      <c r="L57" s="685"/>
      <c r="M57" s="683">
        <f t="shared" si="25"/>
        <v>16250.97656</v>
      </c>
      <c r="N57" s="686"/>
      <c r="O57" s="683">
        <f t="shared" si="26"/>
        <v>16250.97656</v>
      </c>
      <c r="P57" s="684">
        <v>0.075</v>
      </c>
      <c r="Q57" s="683">
        <f t="shared" si="27"/>
        <v>17469.7998</v>
      </c>
      <c r="R57" s="684"/>
      <c r="S57" s="683">
        <f t="shared" si="28"/>
        <v>17469.7998</v>
      </c>
      <c r="T57" s="686"/>
      <c r="U57" s="683">
        <f t="shared" si="29"/>
        <v>17469.7998</v>
      </c>
      <c r="V57" s="684">
        <v>0.075</v>
      </c>
      <c r="W57" s="683">
        <f t="shared" si="30"/>
        <v>18780.03479</v>
      </c>
      <c r="X57" s="686"/>
      <c r="Y57" s="683">
        <f t="shared" si="31"/>
        <v>18780.03479</v>
      </c>
      <c r="Z57" s="689">
        <f t="shared" si="32"/>
        <v>16511.37177</v>
      </c>
    </row>
    <row r="58">
      <c r="A58" s="43" t="s">
        <v>229</v>
      </c>
      <c r="B58" s="686"/>
      <c r="C58" s="687">
        <v>7500.0</v>
      </c>
      <c r="D58" s="686"/>
      <c r="E58" s="683">
        <f t="shared" si="21"/>
        <v>7500</v>
      </c>
      <c r="F58" s="692"/>
      <c r="G58" s="683">
        <f t="shared" si="22"/>
        <v>7500</v>
      </c>
      <c r="H58" s="684"/>
      <c r="I58" s="683">
        <f t="shared" si="23"/>
        <v>7500</v>
      </c>
      <c r="J58" s="686"/>
      <c r="K58" s="683">
        <f t="shared" si="24"/>
        <v>7500</v>
      </c>
      <c r="L58" s="685"/>
      <c r="M58" s="683">
        <f t="shared" si="25"/>
        <v>7500</v>
      </c>
      <c r="N58" s="684"/>
      <c r="O58" s="683">
        <f t="shared" si="26"/>
        <v>7500</v>
      </c>
      <c r="P58" s="686"/>
      <c r="Q58" s="683">
        <f t="shared" si="27"/>
        <v>7500</v>
      </c>
      <c r="R58" s="686"/>
      <c r="S58" s="683">
        <f t="shared" si="28"/>
        <v>7500</v>
      </c>
      <c r="T58" s="686"/>
      <c r="U58" s="683">
        <f t="shared" si="29"/>
        <v>7500</v>
      </c>
      <c r="V58" s="686"/>
      <c r="W58" s="683">
        <f t="shared" si="30"/>
        <v>7500</v>
      </c>
      <c r="X58" s="686"/>
      <c r="Y58" s="683">
        <f t="shared" si="31"/>
        <v>7500</v>
      </c>
      <c r="Z58" s="689">
        <f t="shared" si="32"/>
        <v>7500</v>
      </c>
    </row>
    <row r="59">
      <c r="A59" s="43" t="s">
        <v>217</v>
      </c>
      <c r="B59" s="684">
        <v>0.075</v>
      </c>
      <c r="C59" s="687">
        <f>11040.51746*(1+B59)</f>
        <v>11868.55627</v>
      </c>
      <c r="D59" s="686"/>
      <c r="E59" s="683">
        <f t="shared" si="21"/>
        <v>11868.55627</v>
      </c>
      <c r="F59" s="692"/>
      <c r="G59" s="683">
        <f t="shared" si="22"/>
        <v>11868.55627</v>
      </c>
      <c r="H59" s="684">
        <v>0.075</v>
      </c>
      <c r="I59" s="683">
        <f t="shared" si="23"/>
        <v>12758.69799</v>
      </c>
      <c r="J59" s="686"/>
      <c r="K59" s="683">
        <f t="shared" si="24"/>
        <v>12758.69799</v>
      </c>
      <c r="L59" s="685"/>
      <c r="M59" s="683">
        <f t="shared" si="25"/>
        <v>12758.69799</v>
      </c>
      <c r="N59" s="684">
        <v>0.075</v>
      </c>
      <c r="O59" s="683">
        <f t="shared" si="26"/>
        <v>13715.60034</v>
      </c>
      <c r="P59" s="686"/>
      <c r="Q59" s="683">
        <f t="shared" si="27"/>
        <v>13715.60034</v>
      </c>
      <c r="R59" s="686"/>
      <c r="S59" s="683">
        <f t="shared" si="28"/>
        <v>13715.60034</v>
      </c>
      <c r="T59" s="684">
        <v>0.075</v>
      </c>
      <c r="U59" s="683">
        <f t="shared" si="29"/>
        <v>14744.27036</v>
      </c>
      <c r="V59" s="686"/>
      <c r="W59" s="683">
        <f t="shared" si="30"/>
        <v>14744.27036</v>
      </c>
      <c r="X59" s="686"/>
      <c r="Y59" s="683">
        <f t="shared" si="31"/>
        <v>14744.27036</v>
      </c>
      <c r="Z59" s="689">
        <f t="shared" si="32"/>
        <v>13271.78124</v>
      </c>
    </row>
    <row r="60">
      <c r="A60" s="43" t="s">
        <v>210</v>
      </c>
      <c r="B60" s="686"/>
      <c r="C60" s="687">
        <v>18017.0</v>
      </c>
      <c r="D60" s="684">
        <v>0.075</v>
      </c>
      <c r="E60" s="683">
        <f t="shared" si="21"/>
        <v>19368.275</v>
      </c>
      <c r="F60" s="684"/>
      <c r="G60" s="683">
        <f t="shared" si="22"/>
        <v>19368.275</v>
      </c>
      <c r="H60" s="684"/>
      <c r="I60" s="683">
        <f t="shared" si="23"/>
        <v>19368.275</v>
      </c>
      <c r="J60" s="684">
        <v>0.075</v>
      </c>
      <c r="K60" s="683">
        <f t="shared" si="24"/>
        <v>20820.89563</v>
      </c>
      <c r="L60" s="685"/>
      <c r="M60" s="683">
        <f t="shared" si="25"/>
        <v>20820.89563</v>
      </c>
      <c r="N60" s="684"/>
      <c r="O60" s="683">
        <f t="shared" si="26"/>
        <v>20820.89563</v>
      </c>
      <c r="P60" s="684">
        <v>0.075</v>
      </c>
      <c r="Q60" s="683">
        <f t="shared" si="27"/>
        <v>22382.4628</v>
      </c>
      <c r="R60" s="686"/>
      <c r="S60" s="683">
        <f t="shared" si="28"/>
        <v>22382.4628</v>
      </c>
      <c r="T60" s="686"/>
      <c r="U60" s="683">
        <f t="shared" si="29"/>
        <v>22382.4628</v>
      </c>
      <c r="V60" s="684">
        <v>0.075</v>
      </c>
      <c r="W60" s="683">
        <f t="shared" si="30"/>
        <v>24061.14751</v>
      </c>
      <c r="X60" s="686"/>
      <c r="Y60" s="683">
        <f t="shared" si="31"/>
        <v>24061.14751</v>
      </c>
      <c r="Z60" s="689">
        <f t="shared" si="32"/>
        <v>21154.51627</v>
      </c>
    </row>
    <row r="61">
      <c r="A61" s="43" t="s">
        <v>133</v>
      </c>
      <c r="B61" s="686"/>
      <c r="C61" s="687">
        <v>35628.768</v>
      </c>
      <c r="D61" s="684">
        <v>0.075</v>
      </c>
      <c r="E61" s="683">
        <f t="shared" si="21"/>
        <v>38300.9256</v>
      </c>
      <c r="F61" s="684"/>
      <c r="G61" s="683">
        <f t="shared" si="22"/>
        <v>38300.9256</v>
      </c>
      <c r="H61" s="684"/>
      <c r="I61" s="683">
        <f t="shared" si="23"/>
        <v>38300.9256</v>
      </c>
      <c r="J61" s="684">
        <v>0.075</v>
      </c>
      <c r="K61" s="683">
        <f t="shared" si="24"/>
        <v>41173.49502</v>
      </c>
      <c r="L61" s="685"/>
      <c r="M61" s="683">
        <f t="shared" si="25"/>
        <v>41173.49502</v>
      </c>
      <c r="N61" s="684"/>
      <c r="O61" s="683">
        <f t="shared" si="26"/>
        <v>41173.49502</v>
      </c>
      <c r="P61" s="684">
        <v>0.075</v>
      </c>
      <c r="Q61" s="683">
        <f t="shared" si="27"/>
        <v>44261.50715</v>
      </c>
      <c r="R61" s="686"/>
      <c r="S61" s="683">
        <f t="shared" si="28"/>
        <v>44261.50715</v>
      </c>
      <c r="T61" s="686"/>
      <c r="U61" s="683">
        <f t="shared" si="29"/>
        <v>44261.50715</v>
      </c>
      <c r="V61" s="684">
        <v>0.075</v>
      </c>
      <c r="W61" s="683">
        <f t="shared" si="30"/>
        <v>47581.12018</v>
      </c>
      <c r="X61" s="686"/>
      <c r="Y61" s="683">
        <f t="shared" si="31"/>
        <v>47581.12018</v>
      </c>
      <c r="Z61" s="689">
        <f t="shared" si="32"/>
        <v>41833.23264</v>
      </c>
    </row>
    <row r="62">
      <c r="A62" s="43" t="s">
        <v>221</v>
      </c>
      <c r="B62" s="686"/>
      <c r="C62" s="687">
        <v>12748.941</v>
      </c>
      <c r="D62" s="684">
        <v>0.075</v>
      </c>
      <c r="E62" s="683">
        <f t="shared" si="21"/>
        <v>13705.11158</v>
      </c>
      <c r="F62" s="684"/>
      <c r="G62" s="683">
        <f t="shared" si="22"/>
        <v>13705.11158</v>
      </c>
      <c r="H62" s="684"/>
      <c r="I62" s="683">
        <f t="shared" si="23"/>
        <v>13705.11158</v>
      </c>
      <c r="J62" s="684">
        <v>0.075</v>
      </c>
      <c r="K62" s="683">
        <f t="shared" si="24"/>
        <v>14732.99494</v>
      </c>
      <c r="L62" s="685"/>
      <c r="M62" s="683">
        <f t="shared" si="25"/>
        <v>14732.99494</v>
      </c>
      <c r="N62" s="684"/>
      <c r="O62" s="683">
        <f t="shared" si="26"/>
        <v>14732.99494</v>
      </c>
      <c r="P62" s="684">
        <v>0.075</v>
      </c>
      <c r="Q62" s="683">
        <f t="shared" si="27"/>
        <v>15837.96956</v>
      </c>
      <c r="R62" s="686"/>
      <c r="S62" s="683">
        <f t="shared" si="28"/>
        <v>15837.96956</v>
      </c>
      <c r="T62" s="686"/>
      <c r="U62" s="683">
        <f t="shared" si="29"/>
        <v>15837.96956</v>
      </c>
      <c r="V62" s="684">
        <v>0.075</v>
      </c>
      <c r="W62" s="683">
        <f t="shared" si="30"/>
        <v>17025.81728</v>
      </c>
      <c r="X62" s="686"/>
      <c r="Y62" s="683">
        <f t="shared" si="31"/>
        <v>17025.81728</v>
      </c>
      <c r="Z62" s="689">
        <f t="shared" si="32"/>
        <v>14969.06698</v>
      </c>
    </row>
    <row r="63">
      <c r="A63" s="43" t="s">
        <v>203</v>
      </c>
      <c r="B63" s="699">
        <f t="shared" ref="B63:B64" si="33">C63/W20-1</f>
        <v>0.09266712108</v>
      </c>
      <c r="C63" s="687">
        <v>12571.050000000001</v>
      </c>
      <c r="D63" s="684">
        <v>0.075</v>
      </c>
      <c r="E63" s="683">
        <f t="shared" si="21"/>
        <v>13513.87875</v>
      </c>
      <c r="F63" s="684"/>
      <c r="G63" s="683">
        <f t="shared" si="22"/>
        <v>13513.87875</v>
      </c>
      <c r="H63" s="684"/>
      <c r="I63" s="683">
        <f t="shared" si="23"/>
        <v>13513.87875</v>
      </c>
      <c r="J63" s="684">
        <v>0.075</v>
      </c>
      <c r="K63" s="683">
        <f t="shared" si="24"/>
        <v>14527.41966</v>
      </c>
      <c r="L63" s="685"/>
      <c r="M63" s="683">
        <f t="shared" si="25"/>
        <v>14527.41966</v>
      </c>
      <c r="N63" s="684"/>
      <c r="O63" s="683">
        <f t="shared" si="26"/>
        <v>14527.41966</v>
      </c>
      <c r="P63" s="684">
        <v>0.075</v>
      </c>
      <c r="Q63" s="683">
        <f t="shared" si="27"/>
        <v>15616.97613</v>
      </c>
      <c r="R63" s="686"/>
      <c r="S63" s="683">
        <f t="shared" si="28"/>
        <v>15616.97613</v>
      </c>
      <c r="T63" s="686"/>
      <c r="U63" s="683">
        <f t="shared" si="29"/>
        <v>15616.97613</v>
      </c>
      <c r="V63" s="684">
        <v>0.075</v>
      </c>
      <c r="W63" s="683">
        <f t="shared" si="30"/>
        <v>16788.24934</v>
      </c>
      <c r="X63" s="686"/>
      <c r="Y63" s="683">
        <f t="shared" si="31"/>
        <v>16788.24934</v>
      </c>
      <c r="Z63" s="689">
        <f t="shared" si="32"/>
        <v>14760.19769</v>
      </c>
    </row>
    <row r="64">
      <c r="A64" s="43" t="s">
        <v>197</v>
      </c>
      <c r="B64" s="699">
        <f t="shared" si="33"/>
        <v>0.0310758848</v>
      </c>
      <c r="C64" s="687">
        <v>14634.848872</v>
      </c>
      <c r="D64" s="684">
        <v>0.075</v>
      </c>
      <c r="E64" s="683">
        <f t="shared" si="21"/>
        <v>15732.46254</v>
      </c>
      <c r="F64" s="684"/>
      <c r="G64" s="683">
        <f t="shared" si="22"/>
        <v>15732.46254</v>
      </c>
      <c r="H64" s="684"/>
      <c r="I64" s="683">
        <f t="shared" si="23"/>
        <v>15732.46254</v>
      </c>
      <c r="J64" s="684">
        <v>0.075</v>
      </c>
      <c r="K64" s="683">
        <f t="shared" si="24"/>
        <v>16912.39723</v>
      </c>
      <c r="L64" s="685"/>
      <c r="M64" s="683">
        <f t="shared" si="25"/>
        <v>16912.39723</v>
      </c>
      <c r="N64" s="686"/>
      <c r="O64" s="683">
        <f t="shared" si="26"/>
        <v>16912.39723</v>
      </c>
      <c r="P64" s="684">
        <v>0.075</v>
      </c>
      <c r="Q64" s="683">
        <f t="shared" si="27"/>
        <v>18180.82702</v>
      </c>
      <c r="R64" s="686"/>
      <c r="S64" s="683">
        <f t="shared" si="28"/>
        <v>18180.82702</v>
      </c>
      <c r="T64" s="686"/>
      <c r="U64" s="683">
        <f t="shared" si="29"/>
        <v>18180.82702</v>
      </c>
      <c r="V64" s="684">
        <v>0.075</v>
      </c>
      <c r="W64" s="683">
        <f t="shared" si="30"/>
        <v>19544.38905</v>
      </c>
      <c r="X64" s="686"/>
      <c r="Y64" s="683">
        <f t="shared" si="31"/>
        <v>19544.38905</v>
      </c>
      <c r="Z64" s="689">
        <f t="shared" si="32"/>
        <v>17183.39061</v>
      </c>
    </row>
    <row r="65">
      <c r="A65" s="43" t="s">
        <v>120</v>
      </c>
      <c r="B65" s="686"/>
      <c r="C65" s="687">
        <v>28577.083333333336</v>
      </c>
      <c r="D65" s="684">
        <v>0.075</v>
      </c>
      <c r="E65" s="683">
        <f t="shared" si="21"/>
        <v>30720.36458</v>
      </c>
      <c r="F65" s="684"/>
      <c r="G65" s="683">
        <f t="shared" si="22"/>
        <v>30720.36458</v>
      </c>
      <c r="H65" s="684"/>
      <c r="I65" s="683">
        <f t="shared" si="23"/>
        <v>30720.36458</v>
      </c>
      <c r="J65" s="684">
        <v>0.075</v>
      </c>
      <c r="K65" s="683">
        <f t="shared" si="24"/>
        <v>33024.39193</v>
      </c>
      <c r="L65" s="685"/>
      <c r="M65" s="683">
        <f t="shared" si="25"/>
        <v>33024.39193</v>
      </c>
      <c r="N65" s="684"/>
      <c r="O65" s="683">
        <f t="shared" si="26"/>
        <v>33024.39193</v>
      </c>
      <c r="P65" s="684">
        <v>0.075</v>
      </c>
      <c r="Q65" s="683">
        <f t="shared" si="27"/>
        <v>35501.22132</v>
      </c>
      <c r="R65" s="686"/>
      <c r="S65" s="683">
        <f t="shared" si="28"/>
        <v>35501.22132</v>
      </c>
      <c r="T65" s="686"/>
      <c r="U65" s="683">
        <f t="shared" si="29"/>
        <v>35501.22132</v>
      </c>
      <c r="V65" s="684">
        <v>0.075</v>
      </c>
      <c r="W65" s="683">
        <f t="shared" si="30"/>
        <v>38163.81292</v>
      </c>
      <c r="X65" s="686"/>
      <c r="Y65" s="683">
        <f t="shared" si="31"/>
        <v>38163.81292</v>
      </c>
      <c r="Z65" s="689">
        <f t="shared" si="32"/>
        <v>33553.55356</v>
      </c>
    </row>
    <row r="66">
      <c r="A66" s="43" t="s">
        <v>127</v>
      </c>
      <c r="B66" s="686"/>
      <c r="C66" s="687">
        <v>28921.671</v>
      </c>
      <c r="D66" s="684">
        <v>0.075</v>
      </c>
      <c r="E66" s="683">
        <f t="shared" si="21"/>
        <v>31090.79633</v>
      </c>
      <c r="F66" s="684"/>
      <c r="G66" s="683">
        <f t="shared" si="22"/>
        <v>31090.79633</v>
      </c>
      <c r="H66" s="684"/>
      <c r="I66" s="683">
        <f t="shared" si="23"/>
        <v>31090.79633</v>
      </c>
      <c r="J66" s="684">
        <v>0.075</v>
      </c>
      <c r="K66" s="683">
        <f t="shared" si="24"/>
        <v>33422.60605</v>
      </c>
      <c r="L66" s="685"/>
      <c r="M66" s="683">
        <f t="shared" si="25"/>
        <v>33422.60605</v>
      </c>
      <c r="N66" s="684"/>
      <c r="O66" s="683">
        <f t="shared" si="26"/>
        <v>33422.60605</v>
      </c>
      <c r="P66" s="684">
        <v>0.075</v>
      </c>
      <c r="Q66" s="683">
        <f t="shared" si="27"/>
        <v>35929.3015</v>
      </c>
      <c r="R66" s="686"/>
      <c r="S66" s="683">
        <f t="shared" si="28"/>
        <v>35929.3015</v>
      </c>
      <c r="T66" s="686"/>
      <c r="U66" s="683">
        <f t="shared" si="29"/>
        <v>35929.3015</v>
      </c>
      <c r="V66" s="684">
        <v>0.075</v>
      </c>
      <c r="W66" s="683">
        <f t="shared" si="30"/>
        <v>38623.99912</v>
      </c>
      <c r="X66" s="686"/>
      <c r="Y66" s="683">
        <f t="shared" si="31"/>
        <v>38623.99912</v>
      </c>
      <c r="Z66" s="689">
        <f t="shared" si="32"/>
        <v>33958.14841</v>
      </c>
    </row>
    <row r="67">
      <c r="A67" s="43" t="s">
        <v>218</v>
      </c>
      <c r="B67" s="684"/>
      <c r="C67" s="697">
        <v>20000.008</v>
      </c>
      <c r="D67" s="696"/>
      <c r="E67" s="683">
        <f t="shared" si="21"/>
        <v>20000.008</v>
      </c>
      <c r="F67" s="684">
        <v>0.075</v>
      </c>
      <c r="G67" s="683">
        <f t="shared" si="22"/>
        <v>21500.0086</v>
      </c>
      <c r="H67" s="684"/>
      <c r="I67" s="683">
        <f t="shared" si="23"/>
        <v>21500.0086</v>
      </c>
      <c r="J67" s="684"/>
      <c r="K67" s="683">
        <f t="shared" si="24"/>
        <v>21500.0086</v>
      </c>
      <c r="L67" s="684">
        <v>0.075</v>
      </c>
      <c r="M67" s="683">
        <f t="shared" si="25"/>
        <v>23112.50925</v>
      </c>
      <c r="N67" s="684"/>
      <c r="O67" s="683">
        <f t="shared" si="26"/>
        <v>23112.50925</v>
      </c>
      <c r="P67" s="698"/>
      <c r="Q67" s="683">
        <f t="shared" si="27"/>
        <v>23112.50925</v>
      </c>
      <c r="R67" s="684">
        <v>0.075</v>
      </c>
      <c r="S67" s="683">
        <f t="shared" si="28"/>
        <v>24845.94744</v>
      </c>
      <c r="T67" s="684"/>
      <c r="U67" s="683">
        <f t="shared" si="29"/>
        <v>24845.94744</v>
      </c>
      <c r="V67" s="696"/>
      <c r="W67" s="683">
        <f t="shared" si="30"/>
        <v>24845.94744</v>
      </c>
      <c r="X67" s="684">
        <v>0.075</v>
      </c>
      <c r="Y67" s="683">
        <f t="shared" si="31"/>
        <v>26709.3935</v>
      </c>
      <c r="Z67" s="689">
        <f t="shared" si="32"/>
        <v>22923.73378</v>
      </c>
    </row>
    <row r="68">
      <c r="A68" s="43" t="s">
        <v>220</v>
      </c>
      <c r="B68" s="682"/>
      <c r="C68" s="687"/>
      <c r="D68" s="682"/>
      <c r="E68" s="683">
        <f t="shared" si="21"/>
        <v>0</v>
      </c>
      <c r="F68" s="684"/>
      <c r="G68" s="683">
        <f t="shared" si="22"/>
        <v>0</v>
      </c>
      <c r="H68" s="684"/>
      <c r="I68" s="683">
        <f t="shared" si="23"/>
        <v>0</v>
      </c>
      <c r="J68" s="684"/>
      <c r="K68" s="683">
        <f t="shared" si="24"/>
        <v>0</v>
      </c>
      <c r="L68" s="685"/>
      <c r="M68" s="683">
        <f t="shared" si="25"/>
        <v>0</v>
      </c>
      <c r="O68" s="683">
        <f t="shared" si="26"/>
        <v>0</v>
      </c>
      <c r="Q68" s="683">
        <f t="shared" si="27"/>
        <v>0</v>
      </c>
      <c r="R68" s="682"/>
      <c r="S68" s="683">
        <f t="shared" si="28"/>
        <v>0</v>
      </c>
      <c r="T68" s="682"/>
      <c r="U68" s="683">
        <f t="shared" si="29"/>
        <v>0</v>
      </c>
      <c r="V68" s="682"/>
      <c r="W68" s="683">
        <f t="shared" si="30"/>
        <v>0</v>
      </c>
      <c r="X68" s="682"/>
      <c r="Y68" s="683">
        <f t="shared" si="31"/>
        <v>0</v>
      </c>
      <c r="Z68" s="687"/>
    </row>
    <row r="69">
      <c r="A69" s="43" t="s">
        <v>234</v>
      </c>
      <c r="B69" s="682"/>
      <c r="C69" s="687"/>
      <c r="D69" s="682"/>
      <c r="E69" s="683">
        <f t="shared" si="21"/>
        <v>0</v>
      </c>
      <c r="F69" s="684"/>
      <c r="G69" s="683">
        <f t="shared" si="22"/>
        <v>0</v>
      </c>
      <c r="H69" s="684"/>
      <c r="I69" s="683">
        <f t="shared" si="23"/>
        <v>0</v>
      </c>
      <c r="J69" s="684"/>
      <c r="K69" s="683">
        <f t="shared" si="24"/>
        <v>0</v>
      </c>
      <c r="L69" s="685"/>
      <c r="M69" s="683">
        <f t="shared" si="25"/>
        <v>0</v>
      </c>
      <c r="O69" s="683">
        <f t="shared" si="26"/>
        <v>0</v>
      </c>
      <c r="Q69" s="683">
        <f t="shared" si="27"/>
        <v>0</v>
      </c>
      <c r="R69" s="682"/>
      <c r="S69" s="683">
        <f t="shared" si="28"/>
        <v>0</v>
      </c>
      <c r="T69" s="682"/>
      <c r="U69" s="683">
        <f t="shared" si="29"/>
        <v>0</v>
      </c>
      <c r="V69" s="682"/>
      <c r="W69" s="683">
        <f t="shared" si="30"/>
        <v>0</v>
      </c>
      <c r="X69" s="682"/>
      <c r="Y69" s="683">
        <f t="shared" si="31"/>
        <v>0</v>
      </c>
      <c r="Z69" s="687"/>
    </row>
    <row r="70">
      <c r="A70" s="43" t="s">
        <v>233</v>
      </c>
      <c r="C70" s="700"/>
      <c r="E70" s="683">
        <f t="shared" si="21"/>
        <v>0</v>
      </c>
      <c r="G70" s="683">
        <f t="shared" si="22"/>
        <v>0</v>
      </c>
      <c r="I70" s="683">
        <f t="shared" si="23"/>
        <v>0</v>
      </c>
      <c r="K70" s="683">
        <f t="shared" si="24"/>
        <v>0</v>
      </c>
      <c r="M70" s="683">
        <f t="shared" si="25"/>
        <v>0</v>
      </c>
      <c r="N70" s="682"/>
      <c r="O70" s="683">
        <f t="shared" si="26"/>
        <v>0</v>
      </c>
      <c r="P70" s="682"/>
      <c r="Q70" s="683">
        <f t="shared" si="27"/>
        <v>0</v>
      </c>
      <c r="S70" s="683">
        <f t="shared" si="28"/>
        <v>0</v>
      </c>
      <c r="U70" s="683">
        <f t="shared" si="29"/>
        <v>0</v>
      </c>
      <c r="W70" s="683">
        <f t="shared" si="30"/>
        <v>0</v>
      </c>
      <c r="Y70" s="683">
        <f t="shared" si="31"/>
        <v>0</v>
      </c>
    </row>
    <row r="71">
      <c r="M71" s="682"/>
      <c r="S71" s="102"/>
    </row>
    <row r="72">
      <c r="M72" s="682"/>
      <c r="S72" s="102"/>
    </row>
    <row r="73">
      <c r="M73" s="682"/>
      <c r="S73" s="102"/>
    </row>
    <row r="74">
      <c r="M74" s="682"/>
      <c r="S74" s="102"/>
    </row>
    <row r="75">
      <c r="M75" s="682"/>
      <c r="S75" s="102"/>
    </row>
    <row r="76">
      <c r="M76" s="682"/>
      <c r="S76" s="102"/>
    </row>
    <row r="77">
      <c r="M77" s="682"/>
      <c r="S77" s="102"/>
    </row>
    <row r="78">
      <c r="M78" s="682"/>
      <c r="S78" s="102"/>
    </row>
    <row r="79">
      <c r="M79" s="682"/>
      <c r="S79" s="102"/>
    </row>
    <row r="80">
      <c r="M80" s="682"/>
      <c r="S80" s="102"/>
    </row>
    <row r="81">
      <c r="M81" s="682"/>
    </row>
    <row r="82">
      <c r="M82" s="682"/>
    </row>
    <row r="83">
      <c r="M83" s="682"/>
    </row>
    <row r="84">
      <c r="M84" s="682"/>
    </row>
    <row r="85">
      <c r="M85" s="682"/>
    </row>
    <row r="86">
      <c r="M86" s="682"/>
    </row>
    <row r="87">
      <c r="M87" s="682"/>
    </row>
    <row r="88">
      <c r="M88" s="682"/>
    </row>
    <row r="89">
      <c r="M89" s="682"/>
    </row>
    <row r="90">
      <c r="M90" s="682"/>
    </row>
    <row r="91">
      <c r="M91" s="682"/>
    </row>
    <row r="92">
      <c r="M92" s="682"/>
    </row>
    <row r="93">
      <c r="M93" s="682"/>
    </row>
    <row r="94">
      <c r="M94" s="682"/>
    </row>
    <row r="95">
      <c r="M95" s="682"/>
    </row>
    <row r="96">
      <c r="M96" s="682"/>
    </row>
    <row r="97">
      <c r="M97" s="682"/>
    </row>
    <row r="98">
      <c r="M98" s="682"/>
    </row>
    <row r="99">
      <c r="M99" s="682"/>
    </row>
    <row r="100">
      <c r="M100" s="682"/>
    </row>
    <row r="101">
      <c r="M101" s="682"/>
    </row>
    <row r="102">
      <c r="M102" s="682"/>
    </row>
    <row r="103">
      <c r="M103" s="682"/>
    </row>
    <row r="104">
      <c r="M104" s="682"/>
    </row>
    <row r="105">
      <c r="M105" s="682"/>
    </row>
    <row r="106">
      <c r="M106" s="682"/>
    </row>
    <row r="107">
      <c r="M107" s="682"/>
    </row>
    <row r="108">
      <c r="M108" s="682"/>
    </row>
    <row r="109">
      <c r="M109" s="682"/>
    </row>
    <row r="110">
      <c r="M110" s="682"/>
    </row>
    <row r="111">
      <c r="M111" s="682"/>
    </row>
    <row r="112">
      <c r="M112" s="682"/>
    </row>
    <row r="113">
      <c r="M113" s="682"/>
    </row>
    <row r="114">
      <c r="M114" s="682"/>
    </row>
    <row r="115">
      <c r="M115" s="682"/>
    </row>
    <row r="116">
      <c r="M116" s="682"/>
    </row>
    <row r="117">
      <c r="M117" s="682"/>
    </row>
    <row r="118">
      <c r="M118" s="682"/>
    </row>
    <row r="119">
      <c r="M119" s="682"/>
    </row>
    <row r="120">
      <c r="M120" s="682"/>
    </row>
    <row r="121">
      <c r="M121" s="682"/>
    </row>
    <row r="122">
      <c r="M122" s="682"/>
    </row>
    <row r="123">
      <c r="M123" s="682"/>
    </row>
    <row r="124">
      <c r="M124" s="682"/>
    </row>
    <row r="125">
      <c r="M125" s="682"/>
    </row>
    <row r="126">
      <c r="M126" s="682"/>
    </row>
    <row r="127">
      <c r="M127" s="682"/>
    </row>
    <row r="128">
      <c r="M128" s="682"/>
    </row>
    <row r="129">
      <c r="M129" s="682"/>
    </row>
    <row r="130">
      <c r="M130" s="682"/>
    </row>
    <row r="131">
      <c r="M131" s="682"/>
    </row>
    <row r="132">
      <c r="M132" s="682"/>
    </row>
    <row r="133">
      <c r="M133" s="682"/>
    </row>
    <row r="134">
      <c r="M134" s="682"/>
    </row>
    <row r="135">
      <c r="M135" s="682"/>
    </row>
    <row r="136">
      <c r="M136" s="682"/>
    </row>
    <row r="137">
      <c r="M137" s="682"/>
    </row>
    <row r="138">
      <c r="M138" s="682"/>
    </row>
    <row r="139">
      <c r="M139" s="682"/>
    </row>
    <row r="140">
      <c r="M140" s="682"/>
    </row>
    <row r="141">
      <c r="M141" s="682"/>
    </row>
    <row r="142">
      <c r="M142" s="682"/>
    </row>
    <row r="143">
      <c r="M143" s="682"/>
    </row>
    <row r="144">
      <c r="M144" s="682"/>
    </row>
    <row r="145">
      <c r="M145" s="682"/>
    </row>
    <row r="146">
      <c r="M146" s="682"/>
    </row>
    <row r="147">
      <c r="M147" s="682"/>
    </row>
    <row r="148">
      <c r="M148" s="682"/>
    </row>
    <row r="149">
      <c r="M149" s="682"/>
    </row>
    <row r="150">
      <c r="M150" s="682"/>
    </row>
    <row r="151">
      <c r="M151" s="682"/>
    </row>
    <row r="152">
      <c r="M152" s="682"/>
    </row>
    <row r="153">
      <c r="M153" s="682"/>
    </row>
    <row r="154">
      <c r="M154" s="682"/>
    </row>
    <row r="155">
      <c r="M155" s="682"/>
    </row>
    <row r="156">
      <c r="M156" s="682"/>
    </row>
    <row r="157">
      <c r="M157" s="682"/>
    </row>
    <row r="158">
      <c r="M158" s="682"/>
    </row>
    <row r="159">
      <c r="M159" s="682"/>
    </row>
    <row r="160">
      <c r="M160" s="682"/>
    </row>
    <row r="161">
      <c r="M161" s="682"/>
    </row>
    <row r="162">
      <c r="M162" s="682"/>
    </row>
    <row r="163">
      <c r="M163" s="682"/>
    </row>
    <row r="164">
      <c r="M164" s="682"/>
    </row>
    <row r="165">
      <c r="M165" s="682"/>
    </row>
    <row r="166">
      <c r="M166" s="682"/>
    </row>
    <row r="167">
      <c r="M167" s="682"/>
    </row>
    <row r="168">
      <c r="M168" s="682"/>
    </row>
    <row r="169">
      <c r="M169" s="682"/>
    </row>
    <row r="170">
      <c r="M170" s="682"/>
    </row>
    <row r="171">
      <c r="M171" s="682"/>
    </row>
    <row r="172">
      <c r="M172" s="682"/>
    </row>
    <row r="173">
      <c r="M173" s="682"/>
    </row>
    <row r="174">
      <c r="M174" s="682"/>
    </row>
    <row r="175">
      <c r="M175" s="682"/>
    </row>
    <row r="176">
      <c r="M176" s="682"/>
    </row>
    <row r="177">
      <c r="M177" s="682"/>
    </row>
    <row r="178">
      <c r="M178" s="682"/>
    </row>
    <row r="179">
      <c r="M179" s="682"/>
    </row>
    <row r="180">
      <c r="M180" s="682"/>
    </row>
    <row r="181">
      <c r="M181" s="682"/>
    </row>
    <row r="182">
      <c r="M182" s="682"/>
    </row>
    <row r="183">
      <c r="M183" s="682"/>
    </row>
    <row r="184">
      <c r="M184" s="682"/>
    </row>
    <row r="185">
      <c r="M185" s="682"/>
    </row>
    <row r="186">
      <c r="M186" s="682"/>
    </row>
    <row r="187">
      <c r="M187" s="682"/>
    </row>
    <row r="188">
      <c r="M188" s="682"/>
    </row>
    <row r="189">
      <c r="M189" s="682"/>
    </row>
    <row r="190">
      <c r="M190" s="682"/>
    </row>
    <row r="191">
      <c r="M191" s="682"/>
    </row>
    <row r="192">
      <c r="M192" s="682"/>
    </row>
    <row r="193">
      <c r="M193" s="682"/>
    </row>
    <row r="194">
      <c r="M194" s="682"/>
    </row>
    <row r="195">
      <c r="M195" s="682"/>
    </row>
    <row r="196">
      <c r="M196" s="682"/>
    </row>
    <row r="197">
      <c r="M197" s="682"/>
    </row>
    <row r="198">
      <c r="M198" s="682"/>
    </row>
    <row r="199">
      <c r="M199" s="682"/>
    </row>
    <row r="200">
      <c r="M200" s="682"/>
    </row>
    <row r="201">
      <c r="M201" s="682"/>
    </row>
    <row r="202">
      <c r="M202" s="682"/>
    </row>
    <row r="203">
      <c r="M203" s="682"/>
    </row>
    <row r="204">
      <c r="M204" s="682"/>
    </row>
    <row r="205">
      <c r="M205" s="682"/>
    </row>
    <row r="206">
      <c r="M206" s="682"/>
    </row>
    <row r="207">
      <c r="M207" s="682"/>
    </row>
    <row r="208">
      <c r="M208" s="682"/>
    </row>
    <row r="209">
      <c r="M209" s="682"/>
    </row>
    <row r="210">
      <c r="M210" s="682"/>
    </row>
    <row r="211">
      <c r="M211" s="682"/>
    </row>
    <row r="212">
      <c r="M212" s="682"/>
    </row>
    <row r="213">
      <c r="M213" s="682"/>
    </row>
    <row r="214">
      <c r="M214" s="682"/>
    </row>
    <row r="215">
      <c r="M215" s="682"/>
    </row>
    <row r="216">
      <c r="M216" s="682"/>
    </row>
    <row r="217">
      <c r="M217" s="682"/>
    </row>
    <row r="218">
      <c r="M218" s="682"/>
    </row>
    <row r="219">
      <c r="M219" s="682"/>
    </row>
    <row r="220">
      <c r="M220" s="682"/>
    </row>
    <row r="221">
      <c r="M221" s="682"/>
    </row>
    <row r="222">
      <c r="M222" s="682"/>
    </row>
    <row r="223">
      <c r="M223" s="682"/>
    </row>
    <row r="224">
      <c r="M224" s="682"/>
    </row>
    <row r="225">
      <c r="M225" s="682"/>
    </row>
    <row r="226">
      <c r="M226" s="682"/>
    </row>
    <row r="227">
      <c r="M227" s="682"/>
    </row>
    <row r="228">
      <c r="M228" s="682"/>
    </row>
    <row r="229">
      <c r="M229" s="682"/>
    </row>
    <row r="230">
      <c r="M230" s="682"/>
    </row>
    <row r="231">
      <c r="M231" s="682"/>
    </row>
    <row r="232">
      <c r="M232" s="682"/>
    </row>
    <row r="233">
      <c r="M233" s="682"/>
    </row>
    <row r="234">
      <c r="M234" s="682"/>
    </row>
    <row r="235">
      <c r="M235" s="682"/>
    </row>
    <row r="236">
      <c r="M236" s="682"/>
    </row>
    <row r="237">
      <c r="M237" s="682"/>
    </row>
    <row r="238">
      <c r="M238" s="682"/>
    </row>
    <row r="239">
      <c r="M239" s="682"/>
    </row>
    <row r="240">
      <c r="M240" s="682"/>
    </row>
    <row r="241">
      <c r="M241" s="682"/>
    </row>
    <row r="242">
      <c r="M242" s="682"/>
    </row>
    <row r="243">
      <c r="M243" s="682"/>
    </row>
    <row r="244">
      <c r="M244" s="682"/>
    </row>
    <row r="245">
      <c r="M245" s="682"/>
    </row>
    <row r="246">
      <c r="M246" s="682"/>
    </row>
    <row r="247">
      <c r="M247" s="682"/>
    </row>
    <row r="248">
      <c r="M248" s="682"/>
    </row>
    <row r="249">
      <c r="M249" s="682"/>
    </row>
    <row r="250">
      <c r="M250" s="682"/>
    </row>
    <row r="251">
      <c r="M251" s="682"/>
    </row>
    <row r="252">
      <c r="M252" s="682"/>
    </row>
    <row r="253">
      <c r="M253" s="682"/>
    </row>
    <row r="254">
      <c r="M254" s="682"/>
    </row>
    <row r="255">
      <c r="M255" s="682"/>
    </row>
    <row r="256">
      <c r="M256" s="682"/>
    </row>
    <row r="257">
      <c r="M257" s="682"/>
    </row>
    <row r="258">
      <c r="M258" s="682"/>
    </row>
    <row r="259">
      <c r="M259" s="682"/>
    </row>
    <row r="260">
      <c r="M260" s="682"/>
    </row>
    <row r="261">
      <c r="M261" s="682"/>
    </row>
    <row r="262">
      <c r="M262" s="682"/>
    </row>
    <row r="263">
      <c r="M263" s="682"/>
    </row>
    <row r="264">
      <c r="M264" s="682"/>
    </row>
    <row r="265">
      <c r="M265" s="682"/>
    </row>
    <row r="266">
      <c r="M266" s="682"/>
    </row>
    <row r="267">
      <c r="M267" s="682"/>
    </row>
    <row r="268">
      <c r="M268" s="682"/>
    </row>
    <row r="269">
      <c r="M269" s="682"/>
    </row>
    <row r="270">
      <c r="M270" s="682"/>
    </row>
    <row r="271">
      <c r="M271" s="682"/>
    </row>
    <row r="272">
      <c r="M272" s="682"/>
    </row>
    <row r="273">
      <c r="M273" s="682"/>
    </row>
    <row r="274">
      <c r="M274" s="682"/>
    </row>
    <row r="275">
      <c r="M275" s="682"/>
    </row>
    <row r="276">
      <c r="M276" s="682"/>
    </row>
    <row r="277">
      <c r="M277" s="682"/>
    </row>
    <row r="278">
      <c r="M278" s="682"/>
    </row>
    <row r="279">
      <c r="M279" s="682"/>
    </row>
    <row r="280">
      <c r="M280" s="682"/>
    </row>
    <row r="281">
      <c r="M281" s="682"/>
    </row>
    <row r="282">
      <c r="M282" s="682"/>
    </row>
    <row r="283">
      <c r="M283" s="682"/>
    </row>
    <row r="284">
      <c r="M284" s="682"/>
    </row>
    <row r="285">
      <c r="M285" s="682"/>
    </row>
    <row r="286">
      <c r="M286" s="682"/>
    </row>
    <row r="287">
      <c r="M287" s="682"/>
    </row>
    <row r="288">
      <c r="M288" s="682"/>
    </row>
    <row r="289">
      <c r="M289" s="682"/>
    </row>
    <row r="290">
      <c r="M290" s="682"/>
    </row>
    <row r="291">
      <c r="M291" s="682"/>
    </row>
    <row r="292">
      <c r="M292" s="682"/>
    </row>
    <row r="293">
      <c r="M293" s="682"/>
    </row>
    <row r="294">
      <c r="M294" s="682"/>
    </row>
    <row r="295">
      <c r="M295" s="682"/>
    </row>
    <row r="296">
      <c r="M296" s="682"/>
    </row>
    <row r="297">
      <c r="M297" s="682"/>
    </row>
    <row r="298">
      <c r="M298" s="682"/>
    </row>
    <row r="299">
      <c r="M299" s="682"/>
    </row>
    <row r="300">
      <c r="M300" s="682"/>
    </row>
    <row r="301">
      <c r="M301" s="682"/>
    </row>
    <row r="302">
      <c r="M302" s="682"/>
    </row>
    <row r="303">
      <c r="M303" s="682"/>
    </row>
    <row r="304">
      <c r="M304" s="682"/>
    </row>
    <row r="305">
      <c r="M305" s="682"/>
    </row>
    <row r="306">
      <c r="M306" s="682"/>
    </row>
    <row r="307">
      <c r="M307" s="682"/>
    </row>
    <row r="308">
      <c r="M308" s="682"/>
    </row>
    <row r="309">
      <c r="M309" s="682"/>
    </row>
    <row r="310">
      <c r="M310" s="682"/>
    </row>
    <row r="311">
      <c r="M311" s="682"/>
    </row>
    <row r="312">
      <c r="M312" s="682"/>
    </row>
    <row r="313">
      <c r="M313" s="682"/>
    </row>
    <row r="314">
      <c r="M314" s="682"/>
    </row>
    <row r="315">
      <c r="M315" s="682"/>
    </row>
    <row r="316">
      <c r="M316" s="682"/>
    </row>
    <row r="317">
      <c r="M317" s="682"/>
    </row>
    <row r="318">
      <c r="M318" s="682"/>
    </row>
    <row r="319">
      <c r="M319" s="682"/>
    </row>
    <row r="320">
      <c r="M320" s="682"/>
    </row>
    <row r="321">
      <c r="M321" s="682"/>
    </row>
    <row r="322">
      <c r="M322" s="682"/>
    </row>
    <row r="323">
      <c r="M323" s="682"/>
    </row>
    <row r="324">
      <c r="M324" s="682"/>
    </row>
    <row r="325">
      <c r="M325" s="682"/>
    </row>
    <row r="326">
      <c r="M326" s="682"/>
    </row>
    <row r="327">
      <c r="M327" s="682"/>
    </row>
    <row r="328">
      <c r="M328" s="682"/>
    </row>
    <row r="329">
      <c r="M329" s="682"/>
    </row>
    <row r="330">
      <c r="M330" s="682"/>
    </row>
    <row r="331">
      <c r="M331" s="682"/>
    </row>
    <row r="332">
      <c r="M332" s="682"/>
    </row>
    <row r="333">
      <c r="M333" s="682"/>
    </row>
    <row r="334">
      <c r="M334" s="682"/>
    </row>
    <row r="335">
      <c r="M335" s="682"/>
    </row>
    <row r="336">
      <c r="M336" s="682"/>
    </row>
    <row r="337">
      <c r="M337" s="682"/>
    </row>
    <row r="338">
      <c r="M338" s="682"/>
    </row>
    <row r="339">
      <c r="M339" s="682"/>
    </row>
    <row r="340">
      <c r="M340" s="682"/>
    </row>
    <row r="341">
      <c r="M341" s="682"/>
    </row>
    <row r="342">
      <c r="M342" s="682"/>
    </row>
    <row r="343">
      <c r="M343" s="682"/>
    </row>
    <row r="344">
      <c r="M344" s="682"/>
    </row>
    <row r="345">
      <c r="M345" s="682"/>
    </row>
    <row r="346">
      <c r="M346" s="682"/>
    </row>
    <row r="347">
      <c r="M347" s="682"/>
    </row>
    <row r="348">
      <c r="M348" s="682"/>
    </row>
    <row r="349">
      <c r="M349" s="682"/>
    </row>
    <row r="350">
      <c r="M350" s="682"/>
    </row>
    <row r="351">
      <c r="M351" s="682"/>
    </row>
    <row r="352">
      <c r="M352" s="682"/>
    </row>
    <row r="353">
      <c r="M353" s="682"/>
    </row>
    <row r="354">
      <c r="M354" s="682"/>
    </row>
    <row r="355">
      <c r="M355" s="682"/>
    </row>
    <row r="356">
      <c r="M356" s="682"/>
    </row>
    <row r="357">
      <c r="M357" s="682"/>
    </row>
    <row r="358">
      <c r="M358" s="682"/>
    </row>
    <row r="359">
      <c r="M359" s="682"/>
    </row>
    <row r="360">
      <c r="M360" s="682"/>
    </row>
    <row r="361">
      <c r="M361" s="682"/>
    </row>
    <row r="362">
      <c r="M362" s="682"/>
    </row>
    <row r="363">
      <c r="M363" s="682"/>
    </row>
    <row r="364">
      <c r="M364" s="682"/>
    </row>
    <row r="365">
      <c r="M365" s="682"/>
    </row>
    <row r="366">
      <c r="M366" s="682"/>
    </row>
    <row r="367">
      <c r="M367" s="682"/>
    </row>
    <row r="368">
      <c r="M368" s="682"/>
    </row>
    <row r="369">
      <c r="M369" s="682"/>
    </row>
    <row r="370">
      <c r="M370" s="682"/>
    </row>
    <row r="371">
      <c r="M371" s="682"/>
    </row>
    <row r="372">
      <c r="M372" s="682"/>
    </row>
    <row r="373">
      <c r="M373" s="682"/>
    </row>
    <row r="374">
      <c r="M374" s="682"/>
    </row>
    <row r="375">
      <c r="M375" s="682"/>
    </row>
    <row r="376">
      <c r="M376" s="682"/>
    </row>
    <row r="377">
      <c r="M377" s="682"/>
    </row>
    <row r="378">
      <c r="M378" s="682"/>
    </row>
    <row r="379">
      <c r="M379" s="682"/>
    </row>
    <row r="380">
      <c r="M380" s="682"/>
    </row>
    <row r="381">
      <c r="M381" s="682"/>
    </row>
    <row r="382">
      <c r="M382" s="682"/>
    </row>
    <row r="383">
      <c r="M383" s="682"/>
    </row>
    <row r="384">
      <c r="M384" s="682"/>
    </row>
    <row r="385">
      <c r="M385" s="682"/>
    </row>
    <row r="386">
      <c r="M386" s="682"/>
    </row>
    <row r="387">
      <c r="M387" s="682"/>
    </row>
    <row r="388">
      <c r="M388" s="682"/>
    </row>
    <row r="389">
      <c r="M389" s="682"/>
    </row>
    <row r="390">
      <c r="M390" s="682"/>
    </row>
    <row r="391">
      <c r="M391" s="682"/>
    </row>
    <row r="392">
      <c r="M392" s="682"/>
    </row>
    <row r="393">
      <c r="M393" s="682"/>
    </row>
    <row r="394">
      <c r="M394" s="682"/>
    </row>
    <row r="395">
      <c r="M395" s="682"/>
    </row>
    <row r="396">
      <c r="M396" s="682"/>
    </row>
    <row r="397">
      <c r="M397" s="682"/>
    </row>
    <row r="398">
      <c r="M398" s="682"/>
    </row>
    <row r="399">
      <c r="M399" s="682"/>
    </row>
    <row r="400">
      <c r="M400" s="682"/>
    </row>
    <row r="401">
      <c r="M401" s="682"/>
    </row>
    <row r="402">
      <c r="M402" s="682"/>
    </row>
    <row r="403">
      <c r="M403" s="682"/>
    </row>
    <row r="404">
      <c r="M404" s="682"/>
    </row>
    <row r="405">
      <c r="M405" s="682"/>
    </row>
    <row r="406">
      <c r="M406" s="682"/>
    </row>
    <row r="407">
      <c r="M407" s="682"/>
    </row>
    <row r="408">
      <c r="M408" s="682"/>
    </row>
    <row r="409">
      <c r="M409" s="682"/>
    </row>
    <row r="410">
      <c r="M410" s="682"/>
    </row>
    <row r="411">
      <c r="M411" s="682"/>
    </row>
    <row r="412">
      <c r="M412" s="682"/>
    </row>
    <row r="413">
      <c r="M413" s="682"/>
    </row>
    <row r="414">
      <c r="M414" s="682"/>
    </row>
    <row r="415">
      <c r="M415" s="682"/>
    </row>
    <row r="416">
      <c r="M416" s="682"/>
    </row>
    <row r="417">
      <c r="M417" s="682"/>
    </row>
    <row r="418">
      <c r="M418" s="682"/>
    </row>
    <row r="419">
      <c r="M419" s="682"/>
    </row>
    <row r="420">
      <c r="M420" s="682"/>
    </row>
    <row r="421">
      <c r="M421" s="682"/>
    </row>
    <row r="422">
      <c r="M422" s="682"/>
    </row>
    <row r="423">
      <c r="M423" s="682"/>
    </row>
    <row r="424">
      <c r="M424" s="682"/>
    </row>
    <row r="425">
      <c r="M425" s="682"/>
    </row>
    <row r="426">
      <c r="M426" s="682"/>
    </row>
    <row r="427">
      <c r="M427" s="682"/>
    </row>
    <row r="428">
      <c r="M428" s="682"/>
    </row>
    <row r="429">
      <c r="M429" s="682"/>
    </row>
    <row r="430">
      <c r="M430" s="682"/>
    </row>
    <row r="431">
      <c r="M431" s="682"/>
    </row>
    <row r="432">
      <c r="M432" s="682"/>
    </row>
    <row r="433">
      <c r="M433" s="682"/>
    </row>
    <row r="434">
      <c r="M434" s="682"/>
    </row>
    <row r="435">
      <c r="M435" s="682"/>
    </row>
    <row r="436">
      <c r="M436" s="682"/>
    </row>
    <row r="437">
      <c r="M437" s="682"/>
    </row>
    <row r="438">
      <c r="M438" s="682"/>
    </row>
    <row r="439">
      <c r="M439" s="682"/>
    </row>
    <row r="440">
      <c r="M440" s="682"/>
    </row>
    <row r="441">
      <c r="M441" s="682"/>
    </row>
    <row r="442">
      <c r="M442" s="682"/>
    </row>
    <row r="443">
      <c r="M443" s="682"/>
    </row>
    <row r="444">
      <c r="M444" s="682"/>
    </row>
    <row r="445">
      <c r="M445" s="682"/>
    </row>
    <row r="446">
      <c r="M446" s="682"/>
    </row>
    <row r="447">
      <c r="M447" s="682"/>
    </row>
    <row r="448">
      <c r="M448" s="682"/>
    </row>
    <row r="449">
      <c r="M449" s="682"/>
    </row>
    <row r="450">
      <c r="M450" s="682"/>
    </row>
    <row r="451">
      <c r="M451" s="682"/>
    </row>
    <row r="452">
      <c r="M452" s="682"/>
    </row>
    <row r="453">
      <c r="M453" s="682"/>
    </row>
    <row r="454">
      <c r="M454" s="682"/>
    </row>
    <row r="455">
      <c r="M455" s="682"/>
    </row>
    <row r="456">
      <c r="M456" s="682"/>
    </row>
    <row r="457">
      <c r="M457" s="682"/>
    </row>
    <row r="458">
      <c r="M458" s="682"/>
    </row>
    <row r="459">
      <c r="M459" s="682"/>
    </row>
    <row r="460">
      <c r="M460" s="682"/>
    </row>
    <row r="461">
      <c r="M461" s="682"/>
    </row>
    <row r="462">
      <c r="M462" s="682"/>
    </row>
    <row r="463">
      <c r="M463" s="682"/>
    </row>
    <row r="464">
      <c r="M464" s="682"/>
    </row>
    <row r="465">
      <c r="M465" s="682"/>
    </row>
    <row r="466">
      <c r="M466" s="682"/>
    </row>
    <row r="467">
      <c r="M467" s="682"/>
    </row>
    <row r="468">
      <c r="M468" s="682"/>
    </row>
    <row r="469">
      <c r="M469" s="682"/>
    </row>
    <row r="470">
      <c r="M470" s="682"/>
    </row>
    <row r="471">
      <c r="M471" s="682"/>
    </row>
    <row r="472">
      <c r="M472" s="682"/>
    </row>
    <row r="473">
      <c r="M473" s="682"/>
    </row>
    <row r="474">
      <c r="M474" s="682"/>
    </row>
    <row r="475">
      <c r="M475" s="682"/>
    </row>
    <row r="476">
      <c r="M476" s="682"/>
    </row>
    <row r="477">
      <c r="M477" s="682"/>
    </row>
    <row r="478">
      <c r="M478" s="682"/>
    </row>
    <row r="479">
      <c r="M479" s="682"/>
    </row>
    <row r="480">
      <c r="M480" s="682"/>
    </row>
    <row r="481">
      <c r="M481" s="682"/>
    </row>
    <row r="482">
      <c r="M482" s="682"/>
    </row>
    <row r="483">
      <c r="M483" s="682"/>
    </row>
    <row r="484">
      <c r="M484" s="682"/>
    </row>
    <row r="485">
      <c r="M485" s="682"/>
    </row>
    <row r="486">
      <c r="M486" s="682"/>
    </row>
    <row r="487">
      <c r="M487" s="682"/>
    </row>
    <row r="488">
      <c r="M488" s="682"/>
    </row>
    <row r="489">
      <c r="M489" s="682"/>
    </row>
    <row r="490">
      <c r="M490" s="682"/>
    </row>
    <row r="491">
      <c r="M491" s="682"/>
    </row>
    <row r="492">
      <c r="M492" s="682"/>
    </row>
    <row r="493">
      <c r="M493" s="682"/>
    </row>
    <row r="494">
      <c r="M494" s="682"/>
    </row>
    <row r="495">
      <c r="M495" s="682"/>
    </row>
    <row r="496">
      <c r="M496" s="682"/>
    </row>
    <row r="497">
      <c r="M497" s="682"/>
    </row>
    <row r="498">
      <c r="M498" s="682"/>
    </row>
    <row r="499">
      <c r="M499" s="682"/>
    </row>
    <row r="500">
      <c r="M500" s="682"/>
    </row>
    <row r="501">
      <c r="M501" s="682"/>
    </row>
    <row r="502">
      <c r="M502" s="682"/>
    </row>
    <row r="503">
      <c r="M503" s="682"/>
    </row>
    <row r="504">
      <c r="M504" s="682"/>
    </row>
    <row r="505">
      <c r="M505" s="682"/>
    </row>
    <row r="506">
      <c r="M506" s="682"/>
    </row>
    <row r="507">
      <c r="M507" s="682"/>
    </row>
    <row r="508">
      <c r="M508" s="682"/>
    </row>
    <row r="509">
      <c r="M509" s="682"/>
    </row>
    <row r="510">
      <c r="M510" s="682"/>
    </row>
    <row r="511">
      <c r="M511" s="682"/>
    </row>
    <row r="512">
      <c r="M512" s="682"/>
    </row>
    <row r="513">
      <c r="M513" s="682"/>
    </row>
    <row r="514">
      <c r="M514" s="682"/>
    </row>
    <row r="515">
      <c r="M515" s="682"/>
    </row>
    <row r="516">
      <c r="M516" s="682"/>
    </row>
    <row r="517">
      <c r="M517" s="682"/>
    </row>
    <row r="518">
      <c r="M518" s="682"/>
    </row>
    <row r="519">
      <c r="M519" s="682"/>
    </row>
    <row r="520">
      <c r="M520" s="682"/>
    </row>
    <row r="521">
      <c r="M521" s="682"/>
    </row>
    <row r="522">
      <c r="M522" s="682"/>
    </row>
    <row r="523">
      <c r="M523" s="682"/>
    </row>
    <row r="524">
      <c r="M524" s="682"/>
    </row>
    <row r="525">
      <c r="M525" s="682"/>
    </row>
    <row r="526">
      <c r="M526" s="682"/>
    </row>
    <row r="527">
      <c r="M527" s="682"/>
    </row>
    <row r="528">
      <c r="M528" s="682"/>
    </row>
    <row r="529">
      <c r="M529" s="682"/>
    </row>
    <row r="530">
      <c r="M530" s="682"/>
    </row>
    <row r="531">
      <c r="M531" s="682"/>
    </row>
    <row r="532">
      <c r="M532" s="682"/>
    </row>
    <row r="533">
      <c r="M533" s="682"/>
    </row>
    <row r="534">
      <c r="M534" s="682"/>
    </row>
    <row r="535">
      <c r="M535" s="682"/>
    </row>
    <row r="536">
      <c r="M536" s="682"/>
    </row>
    <row r="537">
      <c r="M537" s="682"/>
    </row>
    <row r="538">
      <c r="M538" s="682"/>
    </row>
    <row r="539">
      <c r="M539" s="682"/>
    </row>
    <row r="540">
      <c r="M540" s="682"/>
    </row>
    <row r="541">
      <c r="M541" s="682"/>
    </row>
    <row r="542">
      <c r="M542" s="682"/>
    </row>
    <row r="543">
      <c r="M543" s="682"/>
    </row>
    <row r="544">
      <c r="M544" s="682"/>
    </row>
    <row r="545">
      <c r="M545" s="682"/>
    </row>
    <row r="546">
      <c r="M546" s="682"/>
    </row>
    <row r="547">
      <c r="M547" s="682"/>
    </row>
    <row r="548">
      <c r="M548" s="682"/>
    </row>
    <row r="549">
      <c r="M549" s="682"/>
    </row>
    <row r="550">
      <c r="M550" s="682"/>
    </row>
    <row r="551">
      <c r="M551" s="682"/>
    </row>
    <row r="552">
      <c r="M552" s="682"/>
    </row>
    <row r="553">
      <c r="M553" s="682"/>
    </row>
    <row r="554">
      <c r="M554" s="682"/>
    </row>
    <row r="555">
      <c r="M555" s="682"/>
    </row>
    <row r="556">
      <c r="M556" s="682"/>
    </row>
    <row r="557">
      <c r="M557" s="682"/>
    </row>
    <row r="558">
      <c r="M558" s="682"/>
    </row>
    <row r="559">
      <c r="M559" s="682"/>
    </row>
    <row r="560">
      <c r="M560" s="682"/>
    </row>
    <row r="561">
      <c r="M561" s="682"/>
    </row>
    <row r="562">
      <c r="M562" s="682"/>
    </row>
    <row r="563">
      <c r="M563" s="682"/>
    </row>
    <row r="564">
      <c r="M564" s="682"/>
    </row>
    <row r="565">
      <c r="M565" s="682"/>
    </row>
    <row r="566">
      <c r="M566" s="682"/>
    </row>
    <row r="567">
      <c r="M567" s="682"/>
    </row>
    <row r="568">
      <c r="M568" s="682"/>
    </row>
    <row r="569">
      <c r="M569" s="682"/>
    </row>
    <row r="570">
      <c r="M570" s="682"/>
    </row>
    <row r="571">
      <c r="M571" s="682"/>
    </row>
    <row r="572">
      <c r="M572" s="682"/>
    </row>
    <row r="573">
      <c r="M573" s="682"/>
    </row>
    <row r="574">
      <c r="M574" s="682"/>
    </row>
    <row r="575">
      <c r="M575" s="682"/>
    </row>
    <row r="576">
      <c r="M576" s="682"/>
    </row>
    <row r="577">
      <c r="M577" s="682"/>
    </row>
    <row r="578">
      <c r="M578" s="682"/>
    </row>
    <row r="579">
      <c r="M579" s="682"/>
    </row>
    <row r="580">
      <c r="M580" s="682"/>
    </row>
    <row r="581">
      <c r="M581" s="682"/>
    </row>
    <row r="582">
      <c r="M582" s="682"/>
    </row>
    <row r="583">
      <c r="M583" s="682"/>
    </row>
    <row r="584">
      <c r="M584" s="682"/>
    </row>
    <row r="585">
      <c r="M585" s="682"/>
    </row>
    <row r="586">
      <c r="M586" s="682"/>
    </row>
    <row r="587">
      <c r="M587" s="682"/>
    </row>
    <row r="588">
      <c r="M588" s="682"/>
    </row>
    <row r="589">
      <c r="M589" s="682"/>
    </row>
    <row r="590">
      <c r="M590" s="682"/>
    </row>
    <row r="591">
      <c r="M591" s="682"/>
    </row>
    <row r="592">
      <c r="M592" s="682"/>
    </row>
    <row r="593">
      <c r="M593" s="682"/>
    </row>
    <row r="594">
      <c r="M594" s="682"/>
    </row>
    <row r="595">
      <c r="M595" s="682"/>
    </row>
    <row r="596">
      <c r="M596" s="682"/>
    </row>
    <row r="597">
      <c r="M597" s="682"/>
    </row>
    <row r="598">
      <c r="M598" s="682"/>
    </row>
    <row r="599">
      <c r="M599" s="682"/>
    </row>
    <row r="600">
      <c r="M600" s="682"/>
    </row>
    <row r="601">
      <c r="M601" s="682"/>
    </row>
    <row r="602">
      <c r="M602" s="682"/>
    </row>
    <row r="603">
      <c r="M603" s="682"/>
    </row>
    <row r="604">
      <c r="M604" s="682"/>
    </row>
    <row r="605">
      <c r="M605" s="682"/>
    </row>
    <row r="606">
      <c r="M606" s="682"/>
    </row>
    <row r="607">
      <c r="M607" s="682"/>
    </row>
    <row r="608">
      <c r="M608" s="682"/>
    </row>
    <row r="609">
      <c r="M609" s="682"/>
    </row>
    <row r="610">
      <c r="M610" s="682"/>
    </row>
    <row r="611">
      <c r="M611" s="682"/>
    </row>
    <row r="612">
      <c r="M612" s="682"/>
    </row>
    <row r="613">
      <c r="M613" s="682"/>
    </row>
    <row r="614">
      <c r="M614" s="682"/>
    </row>
    <row r="615">
      <c r="M615" s="682"/>
    </row>
    <row r="616">
      <c r="M616" s="682"/>
    </row>
    <row r="617">
      <c r="M617" s="682"/>
    </row>
    <row r="618">
      <c r="M618" s="682"/>
    </row>
    <row r="619">
      <c r="M619" s="682"/>
    </row>
    <row r="620">
      <c r="M620" s="682"/>
    </row>
    <row r="621">
      <c r="M621" s="682"/>
    </row>
    <row r="622">
      <c r="M622" s="682"/>
    </row>
    <row r="623">
      <c r="M623" s="682"/>
    </row>
    <row r="624">
      <c r="M624" s="682"/>
    </row>
    <row r="625">
      <c r="M625" s="682"/>
    </row>
    <row r="626">
      <c r="M626" s="682"/>
    </row>
    <row r="627">
      <c r="M627" s="682"/>
    </row>
    <row r="628">
      <c r="M628" s="682"/>
    </row>
    <row r="629">
      <c r="M629" s="682"/>
    </row>
    <row r="630">
      <c r="M630" s="682"/>
    </row>
    <row r="631">
      <c r="M631" s="682"/>
    </row>
    <row r="632">
      <c r="M632" s="682"/>
    </row>
    <row r="633">
      <c r="M633" s="682"/>
    </row>
    <row r="634">
      <c r="M634" s="682"/>
    </row>
    <row r="635">
      <c r="M635" s="682"/>
    </row>
    <row r="636">
      <c r="M636" s="682"/>
    </row>
    <row r="637">
      <c r="M637" s="682"/>
    </row>
    <row r="638">
      <c r="M638" s="682"/>
    </row>
    <row r="639">
      <c r="M639" s="682"/>
    </row>
    <row r="640">
      <c r="M640" s="682"/>
    </row>
    <row r="641">
      <c r="M641" s="682"/>
    </row>
    <row r="642">
      <c r="M642" s="682"/>
    </row>
    <row r="643">
      <c r="M643" s="682"/>
    </row>
    <row r="644">
      <c r="M644" s="682"/>
    </row>
    <row r="645">
      <c r="M645" s="682"/>
    </row>
    <row r="646">
      <c r="M646" s="682"/>
    </row>
    <row r="647">
      <c r="M647" s="682"/>
    </row>
    <row r="648">
      <c r="M648" s="682"/>
    </row>
    <row r="649">
      <c r="M649" s="682"/>
    </row>
    <row r="650">
      <c r="M650" s="682"/>
    </row>
    <row r="651">
      <c r="M651" s="682"/>
    </row>
    <row r="652">
      <c r="M652" s="682"/>
    </row>
    <row r="653">
      <c r="M653" s="682"/>
    </row>
    <row r="654">
      <c r="M654" s="682"/>
    </row>
    <row r="655">
      <c r="M655" s="682"/>
    </row>
    <row r="656">
      <c r="M656" s="682"/>
    </row>
    <row r="657">
      <c r="M657" s="682"/>
    </row>
    <row r="658">
      <c r="M658" s="682"/>
    </row>
    <row r="659">
      <c r="M659" s="682"/>
    </row>
    <row r="660">
      <c r="M660" s="682"/>
    </row>
    <row r="661">
      <c r="M661" s="682"/>
    </row>
    <row r="662">
      <c r="M662" s="682"/>
    </row>
    <row r="663">
      <c r="M663" s="682"/>
    </row>
    <row r="664">
      <c r="M664" s="682"/>
    </row>
    <row r="665">
      <c r="M665" s="682"/>
    </row>
    <row r="666">
      <c r="M666" s="682"/>
    </row>
    <row r="667">
      <c r="M667" s="682"/>
    </row>
    <row r="668">
      <c r="M668" s="682"/>
    </row>
    <row r="669">
      <c r="M669" s="682"/>
    </row>
    <row r="670">
      <c r="M670" s="682"/>
    </row>
    <row r="671">
      <c r="M671" s="682"/>
    </row>
    <row r="672">
      <c r="M672" s="682"/>
    </row>
    <row r="673">
      <c r="M673" s="682"/>
    </row>
    <row r="674">
      <c r="M674" s="682"/>
    </row>
    <row r="675">
      <c r="M675" s="682"/>
    </row>
    <row r="676">
      <c r="M676" s="682"/>
    </row>
    <row r="677">
      <c r="M677" s="682"/>
    </row>
    <row r="678">
      <c r="M678" s="682"/>
    </row>
    <row r="679">
      <c r="M679" s="682"/>
    </row>
    <row r="680">
      <c r="M680" s="682"/>
    </row>
    <row r="681">
      <c r="M681" s="682"/>
    </row>
    <row r="682">
      <c r="M682" s="682"/>
    </row>
    <row r="683">
      <c r="M683" s="682"/>
    </row>
    <row r="684">
      <c r="M684" s="682"/>
    </row>
    <row r="685">
      <c r="M685" s="682"/>
    </row>
    <row r="686">
      <c r="M686" s="682"/>
    </row>
    <row r="687">
      <c r="M687" s="682"/>
    </row>
    <row r="688">
      <c r="M688" s="682"/>
    </row>
    <row r="689">
      <c r="M689" s="682"/>
    </row>
    <row r="690">
      <c r="M690" s="682"/>
    </row>
    <row r="691">
      <c r="M691" s="682"/>
    </row>
    <row r="692">
      <c r="M692" s="682"/>
    </row>
    <row r="693">
      <c r="M693" s="682"/>
    </row>
    <row r="694">
      <c r="M694" s="682"/>
    </row>
    <row r="695">
      <c r="M695" s="682"/>
    </row>
    <row r="696">
      <c r="M696" s="682"/>
    </row>
    <row r="697">
      <c r="M697" s="682"/>
    </row>
    <row r="698">
      <c r="M698" s="682"/>
    </row>
    <row r="699">
      <c r="M699" s="682"/>
    </row>
    <row r="700">
      <c r="M700" s="682"/>
    </row>
    <row r="701">
      <c r="M701" s="682"/>
    </row>
    <row r="702">
      <c r="M702" s="682"/>
    </row>
    <row r="703">
      <c r="M703" s="682"/>
    </row>
    <row r="704">
      <c r="M704" s="682"/>
    </row>
    <row r="705">
      <c r="M705" s="682"/>
    </row>
    <row r="706">
      <c r="M706" s="682"/>
    </row>
    <row r="707">
      <c r="M707" s="682"/>
    </row>
    <row r="708">
      <c r="M708" s="682"/>
    </row>
    <row r="709">
      <c r="M709" s="682"/>
    </row>
    <row r="710">
      <c r="M710" s="682"/>
    </row>
    <row r="711">
      <c r="M711" s="682"/>
    </row>
    <row r="712">
      <c r="M712" s="682"/>
    </row>
    <row r="713">
      <c r="M713" s="682"/>
    </row>
    <row r="714">
      <c r="M714" s="682"/>
    </row>
    <row r="715">
      <c r="M715" s="682"/>
    </row>
    <row r="716">
      <c r="M716" s="682"/>
    </row>
    <row r="717">
      <c r="M717" s="682"/>
    </row>
    <row r="718">
      <c r="M718" s="682"/>
    </row>
    <row r="719">
      <c r="M719" s="682"/>
    </row>
    <row r="720">
      <c r="M720" s="682"/>
    </row>
    <row r="721">
      <c r="M721" s="682"/>
    </row>
    <row r="722">
      <c r="M722" s="682"/>
    </row>
    <row r="723">
      <c r="M723" s="682"/>
    </row>
    <row r="724">
      <c r="M724" s="682"/>
    </row>
    <row r="725">
      <c r="M725" s="682"/>
    </row>
    <row r="726">
      <c r="M726" s="682"/>
    </row>
    <row r="727">
      <c r="M727" s="682"/>
    </row>
    <row r="728">
      <c r="M728" s="682"/>
    </row>
    <row r="729">
      <c r="M729" s="682"/>
    </row>
    <row r="730">
      <c r="M730" s="682"/>
    </row>
    <row r="731">
      <c r="M731" s="682"/>
    </row>
    <row r="732">
      <c r="M732" s="682"/>
    </row>
    <row r="733">
      <c r="M733" s="682"/>
    </row>
    <row r="734">
      <c r="M734" s="682"/>
    </row>
    <row r="735">
      <c r="M735" s="682"/>
    </row>
    <row r="736">
      <c r="M736" s="682"/>
    </row>
    <row r="737">
      <c r="M737" s="682"/>
    </row>
    <row r="738">
      <c r="M738" s="682"/>
    </row>
    <row r="739">
      <c r="M739" s="682"/>
    </row>
    <row r="740">
      <c r="M740" s="682"/>
    </row>
    <row r="741">
      <c r="M741" s="682"/>
    </row>
    <row r="742">
      <c r="M742" s="682"/>
    </row>
    <row r="743">
      <c r="M743" s="682"/>
    </row>
    <row r="744">
      <c r="M744" s="682"/>
    </row>
    <row r="745">
      <c r="M745" s="682"/>
    </row>
    <row r="746">
      <c r="M746" s="682"/>
    </row>
    <row r="747">
      <c r="M747" s="682"/>
    </row>
    <row r="748">
      <c r="M748" s="682"/>
    </row>
    <row r="749">
      <c r="M749" s="682"/>
    </row>
    <row r="750">
      <c r="M750" s="682"/>
    </row>
    <row r="751">
      <c r="M751" s="682"/>
    </row>
    <row r="752">
      <c r="M752" s="682"/>
    </row>
    <row r="753">
      <c r="M753" s="682"/>
    </row>
    <row r="754">
      <c r="M754" s="682"/>
    </row>
    <row r="755">
      <c r="M755" s="682"/>
    </row>
    <row r="756">
      <c r="M756" s="682"/>
    </row>
    <row r="757">
      <c r="M757" s="682"/>
    </row>
    <row r="758">
      <c r="M758" s="682"/>
    </row>
    <row r="759">
      <c r="M759" s="682"/>
    </row>
    <row r="760">
      <c r="M760" s="682"/>
    </row>
    <row r="761">
      <c r="M761" s="682"/>
    </row>
    <row r="762">
      <c r="M762" s="682"/>
    </row>
    <row r="763">
      <c r="M763" s="682"/>
    </row>
    <row r="764">
      <c r="M764" s="682"/>
    </row>
    <row r="765">
      <c r="M765" s="682"/>
    </row>
    <row r="766">
      <c r="M766" s="682"/>
    </row>
    <row r="767">
      <c r="M767" s="682"/>
    </row>
    <row r="768">
      <c r="M768" s="682"/>
    </row>
    <row r="769">
      <c r="M769" s="682"/>
    </row>
    <row r="770">
      <c r="M770" s="682"/>
    </row>
    <row r="771">
      <c r="M771" s="682"/>
    </row>
    <row r="772">
      <c r="M772" s="682"/>
    </row>
    <row r="773">
      <c r="M773" s="682"/>
    </row>
    <row r="774">
      <c r="M774" s="682"/>
    </row>
    <row r="775">
      <c r="M775" s="682"/>
    </row>
    <row r="776">
      <c r="M776" s="682"/>
    </row>
    <row r="777">
      <c r="M777" s="682"/>
    </row>
    <row r="778">
      <c r="M778" s="682"/>
    </row>
    <row r="779">
      <c r="M779" s="682"/>
    </row>
    <row r="780">
      <c r="M780" s="682"/>
    </row>
    <row r="781">
      <c r="M781" s="682"/>
    </row>
    <row r="782">
      <c r="M782" s="682"/>
    </row>
    <row r="783">
      <c r="M783" s="682"/>
    </row>
    <row r="784">
      <c r="M784" s="682"/>
    </row>
    <row r="785">
      <c r="M785" s="682"/>
    </row>
    <row r="786">
      <c r="M786" s="682"/>
    </row>
    <row r="787">
      <c r="M787" s="682"/>
    </row>
    <row r="788">
      <c r="M788" s="682"/>
    </row>
    <row r="789">
      <c r="M789" s="682"/>
    </row>
    <row r="790">
      <c r="M790" s="682"/>
    </row>
    <row r="791">
      <c r="M791" s="682"/>
    </row>
    <row r="792">
      <c r="M792" s="682"/>
    </row>
    <row r="793">
      <c r="M793" s="682"/>
    </row>
    <row r="794">
      <c r="M794" s="682"/>
    </row>
    <row r="795">
      <c r="M795" s="682"/>
    </row>
    <row r="796">
      <c r="M796" s="682"/>
    </row>
    <row r="797">
      <c r="M797" s="682"/>
    </row>
    <row r="798">
      <c r="M798" s="682"/>
    </row>
    <row r="799">
      <c r="M799" s="682"/>
    </row>
    <row r="800">
      <c r="M800" s="682"/>
    </row>
    <row r="801">
      <c r="M801" s="682"/>
    </row>
    <row r="802">
      <c r="M802" s="682"/>
    </row>
    <row r="803">
      <c r="M803" s="682"/>
    </row>
    <row r="804">
      <c r="M804" s="682"/>
    </row>
    <row r="805">
      <c r="M805" s="682"/>
    </row>
    <row r="806">
      <c r="M806" s="682"/>
    </row>
    <row r="807">
      <c r="M807" s="682"/>
    </row>
    <row r="808">
      <c r="M808" s="682"/>
    </row>
    <row r="809">
      <c r="M809" s="682"/>
    </row>
    <row r="810">
      <c r="M810" s="682"/>
    </row>
    <row r="811">
      <c r="M811" s="682"/>
    </row>
    <row r="812">
      <c r="M812" s="682"/>
    </row>
    <row r="813">
      <c r="M813" s="682"/>
    </row>
    <row r="814">
      <c r="M814" s="682"/>
    </row>
    <row r="815">
      <c r="M815" s="682"/>
    </row>
    <row r="816">
      <c r="M816" s="682"/>
    </row>
    <row r="817">
      <c r="M817" s="682"/>
    </row>
    <row r="818">
      <c r="M818" s="682"/>
    </row>
    <row r="819">
      <c r="M819" s="682"/>
    </row>
    <row r="820">
      <c r="M820" s="682"/>
    </row>
    <row r="821">
      <c r="M821" s="682"/>
    </row>
    <row r="822">
      <c r="M822" s="682"/>
    </row>
    <row r="823">
      <c r="M823" s="682"/>
    </row>
    <row r="824">
      <c r="M824" s="682"/>
    </row>
    <row r="825">
      <c r="M825" s="682"/>
    </row>
    <row r="826">
      <c r="M826" s="682"/>
    </row>
    <row r="827">
      <c r="M827" s="682"/>
    </row>
    <row r="828">
      <c r="M828" s="682"/>
    </row>
    <row r="829">
      <c r="M829" s="682"/>
    </row>
    <row r="830">
      <c r="M830" s="682"/>
    </row>
    <row r="831">
      <c r="M831" s="682"/>
    </row>
    <row r="832">
      <c r="M832" s="682"/>
    </row>
    <row r="833">
      <c r="M833" s="682"/>
    </row>
    <row r="834">
      <c r="M834" s="682"/>
    </row>
    <row r="835">
      <c r="M835" s="682"/>
    </row>
    <row r="836">
      <c r="M836" s="682"/>
    </row>
    <row r="837">
      <c r="M837" s="682"/>
    </row>
    <row r="838">
      <c r="M838" s="682"/>
    </row>
    <row r="839">
      <c r="M839" s="682"/>
    </row>
    <row r="840">
      <c r="M840" s="682"/>
    </row>
    <row r="841">
      <c r="M841" s="682"/>
    </row>
    <row r="842">
      <c r="M842" s="682"/>
    </row>
    <row r="843">
      <c r="M843" s="682"/>
    </row>
    <row r="844">
      <c r="M844" s="682"/>
    </row>
    <row r="845">
      <c r="M845" s="682"/>
    </row>
    <row r="846">
      <c r="M846" s="682"/>
    </row>
    <row r="847">
      <c r="M847" s="682"/>
    </row>
    <row r="848">
      <c r="M848" s="682"/>
    </row>
    <row r="849">
      <c r="M849" s="682"/>
    </row>
    <row r="850">
      <c r="M850" s="682"/>
    </row>
    <row r="851">
      <c r="M851" s="682"/>
    </row>
    <row r="852">
      <c r="M852" s="682"/>
    </row>
    <row r="853">
      <c r="M853" s="682"/>
    </row>
    <row r="854">
      <c r="M854" s="682"/>
    </row>
    <row r="855">
      <c r="M855" s="682"/>
    </row>
    <row r="856">
      <c r="M856" s="682"/>
    </row>
    <row r="857">
      <c r="M857" s="682"/>
    </row>
    <row r="858">
      <c r="M858" s="682"/>
    </row>
    <row r="859">
      <c r="M859" s="682"/>
    </row>
    <row r="860">
      <c r="M860" s="682"/>
    </row>
    <row r="861">
      <c r="M861" s="682"/>
    </row>
    <row r="862">
      <c r="M862" s="682"/>
    </row>
    <row r="863">
      <c r="M863" s="682"/>
    </row>
    <row r="864">
      <c r="M864" s="682"/>
    </row>
    <row r="865">
      <c r="M865" s="682"/>
    </row>
    <row r="866">
      <c r="M866" s="682"/>
    </row>
    <row r="867">
      <c r="M867" s="682"/>
    </row>
    <row r="868">
      <c r="M868" s="682"/>
    </row>
    <row r="869">
      <c r="M869" s="682"/>
    </row>
    <row r="870">
      <c r="M870" s="682"/>
    </row>
    <row r="871">
      <c r="M871" s="682"/>
    </row>
    <row r="872">
      <c r="M872" s="682"/>
    </row>
    <row r="873">
      <c r="M873" s="682"/>
    </row>
    <row r="874">
      <c r="M874" s="682"/>
    </row>
    <row r="875">
      <c r="M875" s="682"/>
    </row>
    <row r="876">
      <c r="M876" s="682"/>
    </row>
    <row r="877">
      <c r="M877" s="682"/>
    </row>
    <row r="878">
      <c r="M878" s="682"/>
    </row>
    <row r="879">
      <c r="M879" s="682"/>
    </row>
    <row r="880">
      <c r="M880" s="682"/>
    </row>
    <row r="881">
      <c r="M881" s="682"/>
    </row>
    <row r="882">
      <c r="M882" s="682"/>
    </row>
    <row r="883">
      <c r="M883" s="682"/>
    </row>
    <row r="884">
      <c r="M884" s="682"/>
    </row>
    <row r="885">
      <c r="M885" s="682"/>
    </row>
    <row r="886">
      <c r="M886" s="682"/>
    </row>
    <row r="887">
      <c r="M887" s="682"/>
    </row>
    <row r="888">
      <c r="M888" s="682"/>
    </row>
    <row r="889">
      <c r="M889" s="682"/>
    </row>
    <row r="890">
      <c r="M890" s="682"/>
    </row>
    <row r="891">
      <c r="M891" s="682"/>
    </row>
    <row r="892">
      <c r="M892" s="682"/>
    </row>
    <row r="893">
      <c r="M893" s="682"/>
    </row>
    <row r="894">
      <c r="M894" s="682"/>
    </row>
    <row r="895">
      <c r="M895" s="682"/>
    </row>
    <row r="896">
      <c r="M896" s="682"/>
    </row>
    <row r="897">
      <c r="M897" s="682"/>
    </row>
    <row r="898">
      <c r="M898" s="682"/>
    </row>
    <row r="899">
      <c r="M899" s="682"/>
    </row>
    <row r="900">
      <c r="M900" s="682"/>
    </row>
    <row r="901">
      <c r="M901" s="682"/>
    </row>
    <row r="902">
      <c r="M902" s="682"/>
    </row>
    <row r="903">
      <c r="M903" s="682"/>
    </row>
    <row r="904">
      <c r="M904" s="682"/>
    </row>
    <row r="905">
      <c r="M905" s="682"/>
    </row>
    <row r="906">
      <c r="M906" s="682"/>
    </row>
    <row r="907">
      <c r="M907" s="682"/>
    </row>
    <row r="908">
      <c r="M908" s="682"/>
    </row>
    <row r="909">
      <c r="M909" s="682"/>
    </row>
    <row r="910">
      <c r="M910" s="682"/>
    </row>
    <row r="911">
      <c r="M911" s="682"/>
    </row>
    <row r="912">
      <c r="M912" s="682"/>
    </row>
    <row r="913">
      <c r="M913" s="682"/>
    </row>
    <row r="914">
      <c r="M914" s="682"/>
    </row>
    <row r="915">
      <c r="M915" s="682"/>
    </row>
    <row r="916">
      <c r="M916" s="682"/>
    </row>
    <row r="917">
      <c r="M917" s="682"/>
    </row>
    <row r="918">
      <c r="M918" s="682"/>
    </row>
    <row r="919">
      <c r="M919" s="682"/>
    </row>
    <row r="920">
      <c r="M920" s="682"/>
    </row>
    <row r="921">
      <c r="M921" s="682"/>
    </row>
    <row r="922">
      <c r="M922" s="682"/>
    </row>
    <row r="923">
      <c r="M923" s="682"/>
    </row>
    <row r="924">
      <c r="M924" s="682"/>
    </row>
    <row r="925">
      <c r="M925" s="682"/>
    </row>
    <row r="926">
      <c r="M926" s="682"/>
    </row>
    <row r="927">
      <c r="M927" s="682"/>
    </row>
    <row r="928">
      <c r="M928" s="682"/>
    </row>
    <row r="929">
      <c r="M929" s="682"/>
    </row>
    <row r="930">
      <c r="M930" s="682"/>
    </row>
    <row r="931">
      <c r="M931" s="682"/>
    </row>
    <row r="932">
      <c r="M932" s="682"/>
    </row>
    <row r="933">
      <c r="M933" s="682"/>
    </row>
    <row r="934">
      <c r="M934" s="682"/>
    </row>
    <row r="935">
      <c r="M935" s="682"/>
    </row>
    <row r="936">
      <c r="M936" s="682"/>
    </row>
    <row r="937">
      <c r="M937" s="682"/>
    </row>
    <row r="938">
      <c r="M938" s="682"/>
    </row>
    <row r="939">
      <c r="M939" s="682"/>
    </row>
    <row r="940">
      <c r="M940" s="682"/>
    </row>
    <row r="941">
      <c r="M941" s="682"/>
    </row>
    <row r="942">
      <c r="M942" s="682"/>
    </row>
    <row r="943">
      <c r="M943" s="682"/>
    </row>
    <row r="944">
      <c r="M944" s="682"/>
    </row>
    <row r="945">
      <c r="M945" s="682"/>
    </row>
    <row r="946">
      <c r="M946" s="682"/>
    </row>
    <row r="947">
      <c r="M947" s="682"/>
    </row>
    <row r="948">
      <c r="M948" s="682"/>
    </row>
    <row r="949">
      <c r="M949" s="682"/>
    </row>
    <row r="950">
      <c r="M950" s="682"/>
    </row>
    <row r="951">
      <c r="M951" s="682"/>
    </row>
    <row r="952">
      <c r="M952" s="682"/>
    </row>
    <row r="953">
      <c r="M953" s="682"/>
    </row>
    <row r="954">
      <c r="M954" s="682"/>
    </row>
    <row r="955">
      <c r="M955" s="682"/>
    </row>
    <row r="956">
      <c r="M956" s="682"/>
    </row>
    <row r="957">
      <c r="M957" s="682"/>
    </row>
    <row r="958">
      <c r="M958" s="682"/>
    </row>
    <row r="959">
      <c r="M959" s="682"/>
    </row>
    <row r="960">
      <c r="M960" s="682"/>
    </row>
    <row r="961">
      <c r="M961" s="682"/>
    </row>
    <row r="962">
      <c r="M962" s="682"/>
    </row>
    <row r="963">
      <c r="M963" s="682"/>
    </row>
    <row r="964">
      <c r="M964" s="682"/>
    </row>
    <row r="965">
      <c r="M965" s="682"/>
    </row>
    <row r="966">
      <c r="M966" s="682"/>
    </row>
    <row r="967">
      <c r="M967" s="682"/>
    </row>
    <row r="968">
      <c r="M968" s="682"/>
    </row>
    <row r="969">
      <c r="M969" s="682"/>
    </row>
    <row r="970">
      <c r="M970" s="682"/>
    </row>
    <row r="971">
      <c r="M971" s="682"/>
    </row>
    <row r="972">
      <c r="M972" s="682"/>
    </row>
    <row r="973">
      <c r="M973" s="682"/>
    </row>
    <row r="974">
      <c r="M974" s="682"/>
    </row>
    <row r="975">
      <c r="M975" s="682"/>
    </row>
    <row r="976">
      <c r="M976" s="682"/>
    </row>
    <row r="977">
      <c r="M977" s="682"/>
    </row>
    <row r="978">
      <c r="M978" s="682"/>
    </row>
    <row r="979">
      <c r="M979" s="682"/>
    </row>
    <row r="980">
      <c r="M980" s="682"/>
    </row>
    <row r="981">
      <c r="M981" s="682"/>
    </row>
  </sheetData>
  <autoFilter ref="$A$2:$AR$43"/>
  <mergeCells count="24">
    <mergeCell ref="P1:Q1"/>
    <mergeCell ref="R1:S1"/>
    <mergeCell ref="T1:U1"/>
    <mergeCell ref="V1:W1"/>
    <mergeCell ref="X1:Y1"/>
    <mergeCell ref="B1:C1"/>
    <mergeCell ref="D1:E1"/>
    <mergeCell ref="F1:G1"/>
    <mergeCell ref="H1:I1"/>
    <mergeCell ref="J1:K1"/>
    <mergeCell ref="L1:M1"/>
    <mergeCell ref="N1:O1"/>
    <mergeCell ref="P44:Q44"/>
    <mergeCell ref="R44:S44"/>
    <mergeCell ref="T44:U44"/>
    <mergeCell ref="V44:W44"/>
    <mergeCell ref="X44:Y44"/>
    <mergeCell ref="B44:C44"/>
    <mergeCell ref="D44:E44"/>
    <mergeCell ref="F44:G44"/>
    <mergeCell ref="H44:I44"/>
    <mergeCell ref="J44:K44"/>
    <mergeCell ref="L44:M44"/>
    <mergeCell ref="N44:O44"/>
  </mergeCells>
  <dataValidations>
    <dataValidation type="list" allowBlank="1" showErrorMessage="1" sqref="A4:A27 A47:A70">
      <formula1>Listas!$D$3:$D$386</formula1>
    </dataValidation>
  </dataValidations>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13"/>
    <col customWidth="1" min="2" max="2" width="9.63"/>
    <col customWidth="1" min="3" max="3" width="22.5"/>
    <col customWidth="1" min="4" max="4" width="26.75"/>
    <col customWidth="1" min="5" max="5" width="31.38"/>
    <col customWidth="1" min="6" max="6" width="22.75"/>
    <col customWidth="1" min="7" max="8" width="17.38"/>
    <col customWidth="1" min="9" max="10" width="18.0"/>
    <col customWidth="1" min="11" max="11" width="11.88"/>
    <col customWidth="1" min="12" max="12" width="15.63"/>
    <col customWidth="1" min="13" max="13" width="15.13"/>
    <col customWidth="1" min="19" max="40" width="20.13"/>
  </cols>
  <sheetData>
    <row r="1">
      <c r="A1" s="444" t="s">
        <v>116</v>
      </c>
      <c r="B1" s="701" t="s">
        <v>275</v>
      </c>
      <c r="C1" s="10" t="s">
        <v>112</v>
      </c>
      <c r="D1" s="10" t="s">
        <v>113</v>
      </c>
      <c r="E1" s="10" t="s">
        <v>1463</v>
      </c>
      <c r="F1" s="702" t="s">
        <v>1464</v>
      </c>
      <c r="G1" s="448" t="s">
        <v>1465</v>
      </c>
      <c r="H1" s="703" t="s">
        <v>1121</v>
      </c>
      <c r="I1" s="485" t="s">
        <v>1122</v>
      </c>
      <c r="J1" s="485" t="s">
        <v>1123</v>
      </c>
      <c r="K1" s="449" t="s">
        <v>285</v>
      </c>
      <c r="L1" s="101" t="s">
        <v>286</v>
      </c>
      <c r="M1" s="10" t="s">
        <v>1231</v>
      </c>
    </row>
    <row r="2" hidden="1">
      <c r="A2" s="51" t="s">
        <v>155</v>
      </c>
      <c r="B2" s="43">
        <v>2025.0</v>
      </c>
      <c r="C2" s="43" t="s">
        <v>120</v>
      </c>
      <c r="D2" s="43" t="s">
        <v>121</v>
      </c>
      <c r="E2" s="704" t="s">
        <v>135</v>
      </c>
      <c r="F2" s="443">
        <v>120.0</v>
      </c>
      <c r="G2" s="452"/>
      <c r="H2" s="452">
        <f t="array" ref="H2">IFERROR(
  INDEX(
    'Valor Hora Real y Estimada'!$A$4:$Z$78,
    MATCH(TRIM(CLEAN(C2)), 'Valor Hora Real y Estimada'!$A$4:$A$78, 0),
    MATCH(
      TEXT(A2,"dd mmm")&amp;" "&amp;B2,
      'Valor Hora Real y Estimada'!$A$3:$Z$3,
      0
    ) + 1
  ),
  0
)</f>
        <v>24166.66667</v>
      </c>
      <c r="I2" s="453">
        <f t="shared" ref="I2:I8" si="1">H2*F2</f>
        <v>2900000</v>
      </c>
      <c r="J2" s="106"/>
      <c r="K2" s="106">
        <f>IF(ISBLANK(I2), "", VLOOKUP(A2&amp;" "&amp;B2, 'Info Tipo de Cambio y REM'!$A$24:$B$35, 2, FALSE))</f>
        <v>1215</v>
      </c>
      <c r="L2" s="107">
        <f t="shared" ref="L2:L1225" si="2">IFERROR(IF(NOT(ISBLANK(I2)), I2 / K2, IF(NOT(ISBLANK(J2)), J2, "")), "")
</f>
        <v>2386.831276</v>
      </c>
      <c r="M2" s="43" t="s">
        <v>1466</v>
      </c>
    </row>
    <row r="3" hidden="1">
      <c r="A3" s="51" t="s">
        <v>161</v>
      </c>
      <c r="B3" s="43">
        <v>2025.0</v>
      </c>
      <c r="C3" s="43" t="s">
        <v>120</v>
      </c>
      <c r="D3" s="43" t="s">
        <v>121</v>
      </c>
      <c r="E3" s="704" t="s">
        <v>135</v>
      </c>
      <c r="F3" s="443">
        <v>120.0</v>
      </c>
      <c r="G3" s="452"/>
      <c r="H3" s="452">
        <f t="array" ref="H3">IFERROR(
  INDEX(
    'Valor Hora Real y Estimada'!$A$4:$Z$78,
    MATCH(TRIM(CLEAN(C3)), 'Valor Hora Real y Estimada'!$A$4:$A$78, 0),
    MATCH(
      TEXT(A3,"dd mmm")&amp;" "&amp;B3,
      'Valor Hora Real y Estimada'!$A$3:$Z$3,
      0
    ) + 1
  ),
  0
)</f>
        <v>24166.66667</v>
      </c>
      <c r="I3" s="453">
        <f t="shared" si="1"/>
        <v>2900000</v>
      </c>
      <c r="J3" s="106"/>
      <c r="K3" s="106">
        <f>IF(ISBLANK(I3), "", VLOOKUP(A3&amp;" "&amp;B3, 'Info Tipo de Cambio y REM'!$A$24:$B$35, 2, FALSE))</f>
        <v>1320</v>
      </c>
      <c r="L3" s="107">
        <f t="shared" si="2"/>
        <v>2196.969697</v>
      </c>
      <c r="M3" s="43" t="s">
        <v>1466</v>
      </c>
    </row>
    <row r="4" hidden="1">
      <c r="A4" s="51" t="s">
        <v>166</v>
      </c>
      <c r="B4" s="43">
        <v>2025.0</v>
      </c>
      <c r="C4" s="43" t="s">
        <v>120</v>
      </c>
      <c r="D4" s="43" t="s">
        <v>121</v>
      </c>
      <c r="E4" s="704" t="s">
        <v>135</v>
      </c>
      <c r="F4" s="443">
        <v>120.0</v>
      </c>
      <c r="G4" s="452"/>
      <c r="H4" s="452">
        <f t="array" ref="H4">IFERROR(
  INDEX(
    'Valor Hora Real y Estimada'!$A$4:$Z$78,
    MATCH(TRIM(CLEAN(C4)), 'Valor Hora Real y Estimada'!$A$4:$A$78, 0),
    MATCH(
      TEXT(A4,"dd mmm")&amp;" "&amp;B4,
      'Valor Hora Real y Estimada'!$A$3:$Z$3,
      0
    ) + 1
  ),
  0
)</f>
        <v>26583.33333</v>
      </c>
      <c r="I4" s="453">
        <f t="shared" si="1"/>
        <v>3190000</v>
      </c>
      <c r="J4" s="106"/>
      <c r="K4" s="106">
        <f>IF(ISBLANK(I4), "", VLOOKUP(A4&amp;" "&amp;B4, 'Info Tipo de Cambio y REM'!$A$24:$B$35, 2, FALSE))</f>
        <v>1345</v>
      </c>
      <c r="L4" s="107">
        <f t="shared" si="2"/>
        <v>2371.747212</v>
      </c>
      <c r="M4" s="43" t="s">
        <v>1466</v>
      </c>
    </row>
    <row r="5" hidden="1">
      <c r="A5" s="51" t="s">
        <v>171</v>
      </c>
      <c r="B5" s="43">
        <v>2025.0</v>
      </c>
      <c r="C5" s="43" t="s">
        <v>120</v>
      </c>
      <c r="D5" s="43" t="s">
        <v>121</v>
      </c>
      <c r="E5" s="704" t="s">
        <v>135</v>
      </c>
      <c r="F5" s="443">
        <v>120.0</v>
      </c>
      <c r="G5" s="452"/>
      <c r="H5" s="452">
        <f t="array" ref="H5">IFERROR(
  INDEX(
    'Valor Hora Real y Estimada'!$A$4:$Z$78,
    MATCH(TRIM(CLEAN(C5)), 'Valor Hora Real y Estimada'!$A$4:$A$78, 0),
    MATCH(
      TEXT(A5,"dd mmm")&amp;" "&amp;B5,
      'Valor Hora Real y Estimada'!$A$3:$Z$3,
      0
    ) + 1
  ),
  0
)</f>
        <v>26583.33333</v>
      </c>
      <c r="I5" s="453">
        <f t="shared" si="1"/>
        <v>3190000</v>
      </c>
      <c r="J5" s="106"/>
      <c r="K5" s="106">
        <f>IF(ISBLANK(I5), "", VLOOKUP(A5&amp;" "&amp;B5, 'Info Tipo de Cambio y REM'!$A$24:$B$35, 2, FALSE))</f>
        <v>1445</v>
      </c>
      <c r="L5" s="107">
        <f t="shared" si="2"/>
        <v>2207.612457</v>
      </c>
      <c r="M5" s="43" t="s">
        <v>1466</v>
      </c>
    </row>
    <row r="6" hidden="1">
      <c r="A6" s="51" t="s">
        <v>175</v>
      </c>
      <c r="B6" s="43">
        <v>2025.0</v>
      </c>
      <c r="C6" s="43" t="s">
        <v>120</v>
      </c>
      <c r="D6" s="43" t="s">
        <v>121</v>
      </c>
      <c r="E6" s="704" t="s">
        <v>135</v>
      </c>
      <c r="F6" s="443">
        <v>120.0</v>
      </c>
      <c r="G6" s="452"/>
      <c r="H6" s="452">
        <f t="array" ref="H6">IFERROR(
  INDEX(
    'Valor Hora Real y Estimada'!$A$4:$Z$78,
    MATCH(TRIM(CLEAN(C6)), 'Valor Hora Real y Estimada'!$A$4:$A$78, 0),
    MATCH(
      TEXT(A6,"dd mmm")&amp;" "&amp;B6,
      'Valor Hora Real y Estimada'!$A$3:$Z$3,
      0
    ) + 1
  ),
  0
)</f>
        <v>26583.33333</v>
      </c>
      <c r="I6" s="453">
        <f t="shared" si="1"/>
        <v>3190000</v>
      </c>
      <c r="J6" s="106"/>
      <c r="K6" s="106">
        <f>IF(ISBLANK(I6), "", VLOOKUP(A6&amp;" "&amp;B6, 'Info Tipo de Cambio y REM'!$A$24:$B$35, 2, FALSE))</f>
        <v>1440</v>
      </c>
      <c r="L6" s="107">
        <f t="shared" si="2"/>
        <v>2215.277778</v>
      </c>
      <c r="M6" s="43" t="s">
        <v>1467</v>
      </c>
    </row>
    <row r="7" hidden="1">
      <c r="A7" s="51" t="s">
        <v>179</v>
      </c>
      <c r="B7" s="43">
        <v>2025.0</v>
      </c>
      <c r="C7" s="43" t="s">
        <v>120</v>
      </c>
      <c r="D7" s="43" t="s">
        <v>121</v>
      </c>
      <c r="E7" s="704" t="s">
        <v>135</v>
      </c>
      <c r="F7" s="443">
        <v>120.0</v>
      </c>
      <c r="G7" s="452"/>
      <c r="H7" s="452">
        <f t="array" ref="H7">IFERROR(
  INDEX(
    'Valor Hora Real y Estimada'!$A$4:$Z$78,
    MATCH(TRIM(CLEAN(C7)), 'Valor Hora Real y Estimada'!$A$4:$A$78, 0),
    MATCH(
      TEXT(A7,"dd mmm")&amp;" "&amp;B7,
      'Valor Hora Real y Estimada'!$A$3:$Z$3,
      0
    ) + 1
  ),
  0
)</f>
        <v>28178.33333</v>
      </c>
      <c r="I7" s="453">
        <f t="shared" si="1"/>
        <v>3381400</v>
      </c>
      <c r="J7" s="106"/>
      <c r="K7" s="106">
        <f>IF(ISBLANK(I7), "", VLOOKUP(A7&amp;" "&amp;B7, 'Info Tipo de Cambio y REM'!$A$24:$B$35, 2, FALSE))</f>
        <v>1499</v>
      </c>
      <c r="L7" s="107">
        <f t="shared" si="2"/>
        <v>2255.770514</v>
      </c>
      <c r="M7" s="43" t="s">
        <v>1467</v>
      </c>
    </row>
    <row r="8" hidden="1">
      <c r="A8" s="51" t="s">
        <v>182</v>
      </c>
      <c r="B8" s="43">
        <v>2025.0</v>
      </c>
      <c r="C8" s="43" t="s">
        <v>120</v>
      </c>
      <c r="D8" s="43" t="s">
        <v>121</v>
      </c>
      <c r="E8" s="704" t="s">
        <v>135</v>
      </c>
      <c r="F8" s="443">
        <v>120.0</v>
      </c>
      <c r="G8" s="452"/>
      <c r="H8" s="452">
        <f t="array" ref="H8">IFERROR(
  INDEX(
    'Valor Hora Real y Estimada'!$A$4:$Z$78,
    MATCH(TRIM(CLEAN(C8)), 'Valor Hora Real y Estimada'!$A$4:$A$78, 0),
    MATCH(
      TEXT(A8,"dd mmm")&amp;" "&amp;B8,
      'Valor Hora Real y Estimada'!$A$3:$Z$3,
      0
    ) + 1
  ),
  0
)</f>
        <v>28178.33333</v>
      </c>
      <c r="I8" s="453">
        <f t="shared" si="1"/>
        <v>3381400</v>
      </c>
      <c r="J8" s="106"/>
      <c r="K8" s="106">
        <f>IF(ISBLANK(I8), "", VLOOKUP(A8&amp;" "&amp;B8, 'Info Tipo de Cambio y REM'!$A$24:$B$35, 2, FALSE))</f>
        <v>1536</v>
      </c>
      <c r="L8" s="107">
        <f t="shared" si="2"/>
        <v>2201.432292</v>
      </c>
      <c r="M8" s="43" t="s">
        <v>1467</v>
      </c>
    </row>
    <row r="9" hidden="1">
      <c r="A9" s="51" t="s">
        <v>161</v>
      </c>
      <c r="B9" s="43">
        <v>2025.0</v>
      </c>
      <c r="C9" s="43" t="s">
        <v>120</v>
      </c>
      <c r="D9" s="43" t="s">
        <v>188</v>
      </c>
      <c r="E9" s="704" t="s">
        <v>135</v>
      </c>
      <c r="F9" s="443"/>
      <c r="G9" s="452"/>
      <c r="H9" s="452"/>
      <c r="I9" s="453"/>
      <c r="J9" s="106">
        <v>500.0</v>
      </c>
      <c r="K9" s="106" t="str">
        <f>IF(ISBLANK(I9), "", VLOOKUP(A9&amp;" "&amp;B9, 'Info Tipo de Cambio y REM'!$A$24:$B$35, 2, FALSE))</f>
        <v/>
      </c>
      <c r="L9" s="107">
        <f t="shared" si="2"/>
        <v>500</v>
      </c>
      <c r="M9" s="43" t="s">
        <v>1466</v>
      </c>
    </row>
    <row r="10">
      <c r="A10" s="51" t="s">
        <v>182</v>
      </c>
      <c r="B10" s="43">
        <v>2025.0</v>
      </c>
      <c r="C10" s="43" t="s">
        <v>120</v>
      </c>
      <c r="D10" s="43" t="s">
        <v>188</v>
      </c>
      <c r="E10" s="704" t="s">
        <v>135</v>
      </c>
      <c r="F10" s="443"/>
      <c r="G10" s="452"/>
      <c r="H10" s="452"/>
      <c r="I10" s="453"/>
      <c r="J10" s="106">
        <v>1535.0</v>
      </c>
      <c r="K10" s="106" t="str">
        <f>IF(ISBLANK(I10), "", VLOOKUP(A10&amp;" "&amp;B10, 'Info Tipo de Cambio y REM'!$A$24:$B$35, 2, FALSE))</f>
        <v/>
      </c>
      <c r="L10" s="107">
        <f t="shared" si="2"/>
        <v>1535</v>
      </c>
      <c r="M10" s="43" t="s">
        <v>1467</v>
      </c>
    </row>
    <row r="11" hidden="1">
      <c r="A11" s="51" t="s">
        <v>155</v>
      </c>
      <c r="B11" s="43">
        <v>2025.0</v>
      </c>
      <c r="C11" s="43" t="s">
        <v>200</v>
      </c>
      <c r="D11" s="43" t="s">
        <v>121</v>
      </c>
      <c r="E11" s="704" t="s">
        <v>122</v>
      </c>
      <c r="F11" s="443">
        <v>120.0</v>
      </c>
      <c r="G11" s="452"/>
      <c r="H11" s="452">
        <f t="array" ref="H11">IFERROR(
  INDEX(
    'Valor Hora Real y Estimada'!$A$4:$Z$78,
    MATCH(TRIM(CLEAN(C11)), 'Valor Hora Real y Estimada'!$A$4:$A$78, 0),
    MATCH(
      TEXT(A11,"dd mmm")&amp;" "&amp;B11,
      'Valor Hora Real y Estimada'!$A$3:$Z$3,
      0
    ) + 1
  ),
  0
)</f>
        <v>16856</v>
      </c>
      <c r="I11" s="453">
        <f t="shared" ref="I11:I17" si="3">H11*F11</f>
        <v>2022720</v>
      </c>
      <c r="J11" s="106"/>
      <c r="K11" s="106">
        <f>IF(ISBLANK(I11), "", VLOOKUP(A11&amp;" "&amp;B11, 'Info Tipo de Cambio y REM'!$A$24:$B$35, 2, FALSE))</f>
        <v>1215</v>
      </c>
      <c r="L11" s="107">
        <f t="shared" si="2"/>
        <v>1664.790123</v>
      </c>
      <c r="M11" s="43" t="s">
        <v>1466</v>
      </c>
    </row>
    <row r="12" hidden="1">
      <c r="A12" s="51" t="s">
        <v>161</v>
      </c>
      <c r="B12" s="43">
        <v>2025.0</v>
      </c>
      <c r="C12" s="43" t="s">
        <v>200</v>
      </c>
      <c r="D12" s="43" t="s">
        <v>121</v>
      </c>
      <c r="E12" s="704" t="s">
        <v>122</v>
      </c>
      <c r="F12" s="443">
        <v>120.0</v>
      </c>
      <c r="G12" s="452"/>
      <c r="H12" s="452">
        <f t="array" ref="H12">IFERROR(
  INDEX(
    'Valor Hora Real y Estimada'!$A$4:$Z$78,
    MATCH(TRIM(CLEAN(C12)), 'Valor Hora Real y Estimada'!$A$4:$A$78, 0),
    MATCH(
      TEXT(A12,"dd mmm")&amp;" "&amp;B12,
      'Valor Hora Real y Estimada'!$A$3:$Z$3,
      0
    ) + 1
  ),
  0
)</f>
        <v>18880</v>
      </c>
      <c r="I12" s="453">
        <f t="shared" si="3"/>
        <v>2265600</v>
      </c>
      <c r="J12" s="106"/>
      <c r="K12" s="106">
        <f>IF(ISBLANK(I12), "", VLOOKUP(A12&amp;" "&amp;B12, 'Info Tipo de Cambio y REM'!$A$24:$B$35, 2, FALSE))</f>
        <v>1320</v>
      </c>
      <c r="L12" s="107">
        <f t="shared" si="2"/>
        <v>1716.363636</v>
      </c>
      <c r="M12" s="43" t="s">
        <v>1466</v>
      </c>
    </row>
    <row r="13" hidden="1">
      <c r="A13" s="51" t="s">
        <v>166</v>
      </c>
      <c r="B13" s="43">
        <v>2025.0</v>
      </c>
      <c r="C13" s="43" t="s">
        <v>200</v>
      </c>
      <c r="D13" s="43" t="s">
        <v>121</v>
      </c>
      <c r="E13" s="704" t="s">
        <v>122</v>
      </c>
      <c r="F13" s="443">
        <v>120.0</v>
      </c>
      <c r="G13" s="452"/>
      <c r="H13" s="452">
        <f t="array" ref="H13">IFERROR(
  INDEX(
    'Valor Hora Real y Estimada'!$A$4:$Z$78,
    MATCH(TRIM(CLEAN(C13)), 'Valor Hora Real y Estimada'!$A$4:$A$78, 0),
    MATCH(
      TEXT(A13,"dd mmm")&amp;" "&amp;B13,
      'Valor Hora Real y Estimada'!$A$3:$Z$3,
      0
    ) + 1
  ),
  0
)</f>
        <v>18880</v>
      </c>
      <c r="I13" s="453">
        <f t="shared" si="3"/>
        <v>2265600</v>
      </c>
      <c r="J13" s="106"/>
      <c r="K13" s="106">
        <f>IF(ISBLANK(I13), "", VLOOKUP(A13&amp;" "&amp;B13, 'Info Tipo de Cambio y REM'!$A$24:$B$35, 2, FALSE))</f>
        <v>1345</v>
      </c>
      <c r="L13" s="107">
        <f t="shared" si="2"/>
        <v>1684.460967</v>
      </c>
      <c r="M13" s="43" t="s">
        <v>1466</v>
      </c>
    </row>
    <row r="14" hidden="1">
      <c r="A14" s="51" t="s">
        <v>171</v>
      </c>
      <c r="B14" s="43">
        <v>2025.0</v>
      </c>
      <c r="C14" s="43" t="s">
        <v>200</v>
      </c>
      <c r="D14" s="43" t="s">
        <v>121</v>
      </c>
      <c r="E14" s="704" t="s">
        <v>122</v>
      </c>
      <c r="F14" s="443">
        <v>120.0</v>
      </c>
      <c r="G14" s="452"/>
      <c r="H14" s="452">
        <f t="array" ref="H14">IFERROR(
  INDEX(
    'Valor Hora Real y Estimada'!$A$4:$Z$78,
    MATCH(TRIM(CLEAN(C14)), 'Valor Hora Real y Estimada'!$A$4:$A$78, 0),
    MATCH(
      TEXT(A14,"dd mmm")&amp;" "&amp;B14,
      'Valor Hora Real y Estimada'!$A$3:$Z$3,
      0
    ) + 1
  ),
  0
)</f>
        <v>18880</v>
      </c>
      <c r="I14" s="453">
        <f t="shared" si="3"/>
        <v>2265600</v>
      </c>
      <c r="J14" s="106"/>
      <c r="K14" s="106">
        <f>IF(ISBLANK(I14), "", VLOOKUP(A14&amp;" "&amp;B14, 'Info Tipo de Cambio y REM'!$A$24:$B$35, 2, FALSE))</f>
        <v>1445</v>
      </c>
      <c r="L14" s="107">
        <f t="shared" si="2"/>
        <v>1567.889273</v>
      </c>
      <c r="M14" s="43" t="s">
        <v>1466</v>
      </c>
    </row>
    <row r="15" hidden="1">
      <c r="A15" s="51" t="s">
        <v>175</v>
      </c>
      <c r="B15" s="43">
        <v>2025.0</v>
      </c>
      <c r="C15" s="43" t="s">
        <v>200</v>
      </c>
      <c r="D15" s="43" t="s">
        <v>121</v>
      </c>
      <c r="E15" s="704" t="s">
        <v>122</v>
      </c>
      <c r="F15" s="443">
        <v>120.0</v>
      </c>
      <c r="G15" s="452"/>
      <c r="H15" s="452">
        <f t="array" ref="H15">IFERROR(
  INDEX(
    'Valor Hora Real y Estimada'!$A$4:$Z$78,
    MATCH(TRIM(CLEAN(C15)), 'Valor Hora Real y Estimada'!$A$4:$A$78, 0),
    MATCH(
      TEXT(A15,"dd mmm")&amp;" "&amp;B15,
      'Valor Hora Real y Estimada'!$A$3:$Z$3,
      0
    ) + 1
  ),
  0
)</f>
        <v>19933.504</v>
      </c>
      <c r="I15" s="453">
        <f t="shared" si="3"/>
        <v>2392020.48</v>
      </c>
      <c r="J15" s="106"/>
      <c r="K15" s="106">
        <f>IF(ISBLANK(I15), "", VLOOKUP(A15&amp;" "&amp;B15, 'Info Tipo de Cambio y REM'!$A$24:$B$35, 2, FALSE))</f>
        <v>1440</v>
      </c>
      <c r="L15" s="107">
        <f t="shared" si="2"/>
        <v>1661.125333</v>
      </c>
      <c r="M15" s="43" t="s">
        <v>1467</v>
      </c>
    </row>
    <row r="16" hidden="1">
      <c r="A16" s="51" t="s">
        <v>179</v>
      </c>
      <c r="B16" s="43">
        <v>2025.0</v>
      </c>
      <c r="C16" s="43" t="s">
        <v>200</v>
      </c>
      <c r="D16" s="43" t="s">
        <v>121</v>
      </c>
      <c r="E16" s="704" t="s">
        <v>122</v>
      </c>
      <c r="F16" s="443">
        <v>120.0</v>
      </c>
      <c r="G16" s="452"/>
      <c r="H16" s="452">
        <f t="array" ref="H16">IFERROR(
  INDEX(
    'Valor Hora Real y Estimada'!$A$4:$Z$78,
    MATCH(TRIM(CLEAN(C16)), 'Valor Hora Real y Estimada'!$A$4:$A$78, 0),
    MATCH(
      TEXT(A16,"dd mmm")&amp;" "&amp;B16,
      'Valor Hora Real y Estimada'!$A$3:$Z$3,
      0
    ) + 1
  ),
  0
)</f>
        <v>19933.504</v>
      </c>
      <c r="I16" s="453">
        <f t="shared" si="3"/>
        <v>2392020.48</v>
      </c>
      <c r="J16" s="106"/>
      <c r="K16" s="106">
        <f>IF(ISBLANK(I16), "", VLOOKUP(A16&amp;" "&amp;B16, 'Info Tipo de Cambio y REM'!$A$24:$B$35, 2, FALSE))</f>
        <v>1499</v>
      </c>
      <c r="L16" s="107">
        <f t="shared" si="2"/>
        <v>1595.744149</v>
      </c>
      <c r="M16" s="43" t="s">
        <v>1467</v>
      </c>
    </row>
    <row r="17" hidden="1">
      <c r="A17" s="51" t="s">
        <v>182</v>
      </c>
      <c r="B17" s="43">
        <v>2025.0</v>
      </c>
      <c r="C17" s="43" t="s">
        <v>200</v>
      </c>
      <c r="D17" s="43" t="s">
        <v>121</v>
      </c>
      <c r="E17" s="704" t="s">
        <v>122</v>
      </c>
      <c r="F17" s="443">
        <v>120.0</v>
      </c>
      <c r="G17" s="452"/>
      <c r="H17" s="452">
        <f t="array" ref="H17">IFERROR(
  INDEX(
    'Valor Hora Real y Estimada'!$A$4:$Z$78,
    MATCH(TRIM(CLEAN(C17)), 'Valor Hora Real y Estimada'!$A$4:$A$78, 0),
    MATCH(
      TEXT(A17,"dd mmm")&amp;" "&amp;B17,
      'Valor Hora Real y Estimada'!$A$3:$Z$3,
      0
    ) + 1
  ),
  0
)</f>
        <v>19933.504</v>
      </c>
      <c r="I17" s="453">
        <f t="shared" si="3"/>
        <v>2392020.48</v>
      </c>
      <c r="J17" s="106"/>
      <c r="K17" s="106">
        <f>IF(ISBLANK(I17), "", VLOOKUP(A17&amp;" "&amp;B17, 'Info Tipo de Cambio y REM'!$A$24:$B$35, 2, FALSE))</f>
        <v>1536</v>
      </c>
      <c r="L17" s="107">
        <f t="shared" si="2"/>
        <v>1557.305</v>
      </c>
      <c r="M17" s="43" t="s">
        <v>1467</v>
      </c>
    </row>
    <row r="18" hidden="1">
      <c r="A18" s="51" t="s">
        <v>161</v>
      </c>
      <c r="B18" s="43">
        <v>2025.0</v>
      </c>
      <c r="C18" s="43" t="s">
        <v>200</v>
      </c>
      <c r="D18" s="43" t="s">
        <v>188</v>
      </c>
      <c r="E18" s="704" t="s">
        <v>122</v>
      </c>
      <c r="F18" s="443"/>
      <c r="G18" s="452"/>
      <c r="H18" s="452"/>
      <c r="I18" s="453"/>
      <c r="J18" s="106">
        <v>340.0</v>
      </c>
      <c r="K18" s="106" t="str">
        <f>IF(ISBLANK(I18), "", VLOOKUP(A18&amp;" "&amp;B18, 'Info Tipo de Cambio y REM'!$A$24:$B$35, 2, FALSE))</f>
        <v/>
      </c>
      <c r="L18" s="107">
        <f t="shared" si="2"/>
        <v>340</v>
      </c>
      <c r="M18" s="43" t="s">
        <v>1466</v>
      </c>
    </row>
    <row r="19">
      <c r="A19" s="51" t="s">
        <v>182</v>
      </c>
      <c r="B19" s="43">
        <v>2025.0</v>
      </c>
      <c r="C19" s="43" t="s">
        <v>200</v>
      </c>
      <c r="D19" s="43" t="s">
        <v>188</v>
      </c>
      <c r="E19" s="704" t="s">
        <v>122</v>
      </c>
      <c r="F19" s="443"/>
      <c r="G19" s="452"/>
      <c r="H19" s="452"/>
      <c r="I19" s="453"/>
      <c r="J19" s="106">
        <v>886.0</v>
      </c>
      <c r="K19" s="106" t="str">
        <f>IF(ISBLANK(I19), "", VLOOKUP(A19&amp;" "&amp;B19, 'Info Tipo de Cambio y REM'!$A$24:$B$35, 2, FALSE))</f>
        <v/>
      </c>
      <c r="L19" s="107">
        <f t="shared" si="2"/>
        <v>886</v>
      </c>
      <c r="M19" s="43" t="s">
        <v>1467</v>
      </c>
    </row>
    <row r="20" hidden="1">
      <c r="A20" s="51" t="s">
        <v>155</v>
      </c>
      <c r="B20" s="43">
        <v>2025.0</v>
      </c>
      <c r="C20" s="43" t="s">
        <v>218</v>
      </c>
      <c r="D20" s="43" t="s">
        <v>121</v>
      </c>
      <c r="E20" s="704" t="s">
        <v>142</v>
      </c>
      <c r="F20" s="443">
        <v>35.0</v>
      </c>
      <c r="G20" s="452"/>
      <c r="H20" s="452">
        <f t="array" ref="H20">IFERROR(
  INDEX(
    'Valor Hora Real y Estimada'!$A$4:$Z$78,
    MATCH(TRIM(CLEAN(C20)), 'Valor Hora Real y Estimada'!$A$4:$A$78, 0),
    MATCH(
      TEXT(A20,"dd mmm")&amp;" "&amp;B20,
      'Valor Hora Real y Estimada'!$A$3:$Z$3,
      0
    ) + 1
  ),
  0
)</f>
        <v>19000</v>
      </c>
      <c r="I20" s="453">
        <f t="shared" ref="I20:I26" si="4">H20*F20</f>
        <v>665000</v>
      </c>
      <c r="J20" s="106"/>
      <c r="K20" s="106">
        <f>IF(ISBLANK(I20), "", VLOOKUP(A20&amp;" "&amp;B20, 'Info Tipo de Cambio y REM'!$A$24:$B$35, 2, FALSE))</f>
        <v>1215</v>
      </c>
      <c r="L20" s="107">
        <f t="shared" si="2"/>
        <v>547.3251029</v>
      </c>
      <c r="M20" s="43" t="s">
        <v>1466</v>
      </c>
    </row>
    <row r="21" hidden="1">
      <c r="A21" s="51" t="s">
        <v>161</v>
      </c>
      <c r="B21" s="43">
        <v>2025.0</v>
      </c>
      <c r="C21" s="43" t="s">
        <v>218</v>
      </c>
      <c r="D21" s="43" t="s">
        <v>121</v>
      </c>
      <c r="E21" s="704" t="s">
        <v>142</v>
      </c>
      <c r="F21" s="443">
        <v>35.0</v>
      </c>
      <c r="G21" s="452"/>
      <c r="H21" s="452">
        <f t="array" ref="H21">IFERROR(
  INDEX(
    'Valor Hora Real y Estimada'!$A$4:$Z$78,
    MATCH(TRIM(CLEAN(C21)), 'Valor Hora Real y Estimada'!$A$4:$A$78, 0),
    MATCH(
      TEXT(A21,"dd mmm")&amp;" "&amp;B21,
      'Valor Hora Real y Estimada'!$A$3:$Z$3,
      0
    ) + 1
  ),
  0
)</f>
        <v>19000</v>
      </c>
      <c r="I21" s="453">
        <f t="shared" si="4"/>
        <v>665000</v>
      </c>
      <c r="J21" s="106"/>
      <c r="K21" s="106">
        <f>IF(ISBLANK(I21), "", VLOOKUP(A21&amp;" "&amp;B21, 'Info Tipo de Cambio y REM'!$A$24:$B$35, 2, FALSE))</f>
        <v>1320</v>
      </c>
      <c r="L21" s="107">
        <f t="shared" si="2"/>
        <v>503.7878788</v>
      </c>
      <c r="M21" s="43" t="s">
        <v>1466</v>
      </c>
    </row>
    <row r="22" hidden="1">
      <c r="A22" s="51" t="s">
        <v>166</v>
      </c>
      <c r="B22" s="43">
        <v>2025.0</v>
      </c>
      <c r="C22" s="43" t="s">
        <v>218</v>
      </c>
      <c r="D22" s="43" t="s">
        <v>121</v>
      </c>
      <c r="E22" s="704" t="s">
        <v>142</v>
      </c>
      <c r="F22" s="443">
        <v>50.0</v>
      </c>
      <c r="G22" s="452"/>
      <c r="H22" s="452">
        <f t="array" ref="H22">IFERROR(
  INDEX(
    'Valor Hora Real y Estimada'!$A$4:$Z$78,
    MATCH(TRIM(CLEAN(C22)), 'Valor Hora Real y Estimada'!$A$4:$A$78, 0),
    MATCH(
      TEXT(A22,"dd mmm")&amp;" "&amp;B22,
      'Valor Hora Real y Estimada'!$A$3:$Z$3,
      0
    ) + 1
  ),
  0
)</f>
        <v>19000</v>
      </c>
      <c r="I22" s="453">
        <f t="shared" si="4"/>
        <v>950000</v>
      </c>
      <c r="J22" s="106"/>
      <c r="K22" s="106">
        <f>IF(ISBLANK(I22), "", VLOOKUP(A22&amp;" "&amp;B22, 'Info Tipo de Cambio y REM'!$A$24:$B$35, 2, FALSE))</f>
        <v>1345</v>
      </c>
      <c r="L22" s="107">
        <f t="shared" si="2"/>
        <v>706.3197026</v>
      </c>
      <c r="M22" s="43" t="s">
        <v>1466</v>
      </c>
    </row>
    <row r="23" hidden="1">
      <c r="A23" s="51" t="s">
        <v>171</v>
      </c>
      <c r="B23" s="43">
        <v>2025.0</v>
      </c>
      <c r="C23" s="43" t="s">
        <v>218</v>
      </c>
      <c r="D23" s="43" t="s">
        <v>121</v>
      </c>
      <c r="E23" s="704" t="s">
        <v>142</v>
      </c>
      <c r="F23" s="443">
        <v>50.0</v>
      </c>
      <c r="G23" s="452"/>
      <c r="H23" s="452">
        <f t="array" ref="H23">IFERROR(
  INDEX(
    'Valor Hora Real y Estimada'!$A$4:$Z$78,
    MATCH(TRIM(CLEAN(C23)), 'Valor Hora Real y Estimada'!$A$4:$A$78, 0),
    MATCH(
      TEXT(A23,"dd mmm")&amp;" "&amp;B23,
      'Valor Hora Real y Estimada'!$A$3:$Z$3,
      0
    ) + 1
  ),
  0
)</f>
        <v>20000.008</v>
      </c>
      <c r="I23" s="453">
        <f t="shared" si="4"/>
        <v>1000000.4</v>
      </c>
      <c r="J23" s="106"/>
      <c r="K23" s="106">
        <f>IF(ISBLANK(I23), "", VLOOKUP(A23&amp;" "&amp;B23, 'Info Tipo de Cambio y REM'!$A$24:$B$35, 2, FALSE))</f>
        <v>1445</v>
      </c>
      <c r="L23" s="107">
        <f t="shared" si="2"/>
        <v>692.0417993</v>
      </c>
      <c r="M23" s="43" t="s">
        <v>1466</v>
      </c>
    </row>
    <row r="24" hidden="1">
      <c r="A24" s="51" t="s">
        <v>175</v>
      </c>
      <c r="B24" s="43">
        <v>2025.0</v>
      </c>
      <c r="C24" s="43" t="s">
        <v>218</v>
      </c>
      <c r="D24" s="43" t="s">
        <v>121</v>
      </c>
      <c r="E24" s="704" t="s">
        <v>142</v>
      </c>
      <c r="F24" s="443">
        <v>50.0</v>
      </c>
      <c r="G24" s="452"/>
      <c r="H24" s="452">
        <f t="array" ref="H24">IFERROR(
  INDEX(
    'Valor Hora Real y Estimada'!$A$4:$Z$78,
    MATCH(TRIM(CLEAN(C24)), 'Valor Hora Real y Estimada'!$A$4:$A$78, 0),
    MATCH(
      TEXT(A24,"dd mmm")&amp;" "&amp;B24,
      'Valor Hora Real y Estimada'!$A$3:$Z$3,
      0
    ) + 1
  ),
  0
)</f>
        <v>20000.008</v>
      </c>
      <c r="I24" s="453">
        <f t="shared" si="4"/>
        <v>1000000.4</v>
      </c>
      <c r="J24" s="106"/>
      <c r="K24" s="106">
        <f>IF(ISBLANK(I24), "", VLOOKUP(A24&amp;" "&amp;B24, 'Info Tipo de Cambio y REM'!$A$24:$B$35, 2, FALSE))</f>
        <v>1440</v>
      </c>
      <c r="L24" s="107">
        <f t="shared" si="2"/>
        <v>694.4447222</v>
      </c>
      <c r="M24" s="43" t="s">
        <v>1467</v>
      </c>
    </row>
    <row r="25" hidden="1">
      <c r="A25" s="51" t="s">
        <v>179</v>
      </c>
      <c r="B25" s="43">
        <v>2025.0</v>
      </c>
      <c r="C25" s="43" t="s">
        <v>218</v>
      </c>
      <c r="D25" s="43" t="s">
        <v>121</v>
      </c>
      <c r="E25" s="704" t="s">
        <v>142</v>
      </c>
      <c r="F25" s="443">
        <v>50.0</v>
      </c>
      <c r="G25" s="452"/>
      <c r="H25" s="452">
        <f t="array" ref="H25">IFERROR(
  INDEX(
    'Valor Hora Real y Estimada'!$A$4:$Z$78,
    MATCH(TRIM(CLEAN(C25)), 'Valor Hora Real y Estimada'!$A$4:$A$78, 0),
    MATCH(
      TEXT(A25,"dd mmm")&amp;" "&amp;B25,
      'Valor Hora Real y Estimada'!$A$3:$Z$3,
      0
    ) + 1
  ),
  0
)</f>
        <v>20000.008</v>
      </c>
      <c r="I25" s="453">
        <f t="shared" si="4"/>
        <v>1000000.4</v>
      </c>
      <c r="J25" s="106"/>
      <c r="K25" s="106">
        <f>IF(ISBLANK(I25), "", VLOOKUP(A25&amp;" "&amp;B25, 'Info Tipo de Cambio y REM'!$A$24:$B$35, 2, FALSE))</f>
        <v>1499</v>
      </c>
      <c r="L25" s="107">
        <f t="shared" si="2"/>
        <v>667.1116744</v>
      </c>
      <c r="M25" s="43" t="s">
        <v>1467</v>
      </c>
      <c r="O25" s="132"/>
    </row>
    <row r="26" hidden="1">
      <c r="A26" s="51" t="s">
        <v>182</v>
      </c>
      <c r="B26" s="43">
        <v>2025.0</v>
      </c>
      <c r="C26" s="43" t="s">
        <v>218</v>
      </c>
      <c r="D26" s="43" t="s">
        <v>121</v>
      </c>
      <c r="E26" s="704" t="s">
        <v>142</v>
      </c>
      <c r="F26" s="443">
        <v>50.0</v>
      </c>
      <c r="G26" s="452"/>
      <c r="H26" s="452">
        <f t="array" ref="H26">IFERROR(
  INDEX(
    'Valor Hora Real y Estimada'!$A$4:$Z$78,
    MATCH(TRIM(CLEAN(C26)), 'Valor Hora Real y Estimada'!$A$4:$A$78, 0),
    MATCH(
      TEXT(A26,"dd mmm")&amp;" "&amp;B26,
      'Valor Hora Real y Estimada'!$A$3:$Z$3,
      0
    ) + 1
  ),
  0
)</f>
        <v>20000.008</v>
      </c>
      <c r="I26" s="453">
        <f t="shared" si="4"/>
        <v>1000000.4</v>
      </c>
      <c r="J26" s="106"/>
      <c r="K26" s="106">
        <f>IF(ISBLANK(I26), "", VLOOKUP(A26&amp;" "&amp;B26, 'Info Tipo de Cambio y REM'!$A$24:$B$35, 2, FALSE))</f>
        <v>1536</v>
      </c>
      <c r="L26" s="107">
        <f t="shared" si="2"/>
        <v>651.0419271</v>
      </c>
      <c r="M26" s="43" t="s">
        <v>1467</v>
      </c>
    </row>
    <row r="27">
      <c r="A27" s="51" t="s">
        <v>182</v>
      </c>
      <c r="B27" s="43">
        <v>2025.0</v>
      </c>
      <c r="C27" s="43" t="s">
        <v>218</v>
      </c>
      <c r="D27" s="43" t="s">
        <v>188</v>
      </c>
      <c r="E27" s="704" t="s">
        <v>142</v>
      </c>
      <c r="F27" s="450"/>
      <c r="G27" s="452"/>
      <c r="H27" s="452"/>
      <c r="I27" s="453"/>
      <c r="J27" s="106">
        <v>120.0</v>
      </c>
      <c r="K27" s="106" t="str">
        <f>IF(ISBLANK(I27), "", VLOOKUP(A27&amp;" "&amp;B27, 'Info Tipo de Cambio y REM'!$A$24:$B$35, 2, FALSE))</f>
        <v/>
      </c>
      <c r="L27" s="107">
        <f t="shared" si="2"/>
        <v>120</v>
      </c>
      <c r="M27" s="43" t="s">
        <v>1467</v>
      </c>
    </row>
    <row r="28" hidden="1">
      <c r="A28" s="51" t="s">
        <v>155</v>
      </c>
      <c r="B28" s="43">
        <v>2025.0</v>
      </c>
      <c r="C28" s="43" t="s">
        <v>197</v>
      </c>
      <c r="D28" s="43" t="s">
        <v>121</v>
      </c>
      <c r="E28" s="704" t="s">
        <v>122</v>
      </c>
      <c r="F28" s="450">
        <v>160.00423762065</v>
      </c>
      <c r="G28" s="452"/>
      <c r="H28" s="452">
        <f t="array" ref="H28">IFERROR(
  INDEX(
    'Valor Hora Real y Estimada'!$A$4:$Z$78,
    MATCH(TRIM(CLEAN(C28)), 'Valor Hora Real y Estimada'!$A$4:$A$78, 0),
    MATCH(
      TEXT(A28,"dd mmm")&amp;" "&amp;B28,
      'Valor Hora Real y Estimada'!$A$3:$Z$3,
      0
    ) + 1
  ),
  0
)</f>
        <v>12743</v>
      </c>
      <c r="I28" s="453">
        <f t="shared" ref="I28:I34" si="5">H28*F28</f>
        <v>2038934</v>
      </c>
      <c r="J28" s="106"/>
      <c r="K28" s="106">
        <f>IF(ISBLANK(I28), "", VLOOKUP(A28&amp;" "&amp;B28, 'Info Tipo de Cambio y REM'!$A$24:$B$35, 2, FALSE))</f>
        <v>1215</v>
      </c>
      <c r="L28" s="107">
        <f t="shared" si="2"/>
        <v>1678.134979</v>
      </c>
      <c r="M28" s="43" t="s">
        <v>1466</v>
      </c>
    </row>
    <row r="29" hidden="1">
      <c r="A29" s="51" t="s">
        <v>161</v>
      </c>
      <c r="B29" s="43">
        <v>2025.0</v>
      </c>
      <c r="C29" s="43" t="s">
        <v>197</v>
      </c>
      <c r="D29" s="43" t="s">
        <v>121</v>
      </c>
      <c r="E29" s="704" t="s">
        <v>122</v>
      </c>
      <c r="F29" s="450">
        <v>160.00423762065</v>
      </c>
      <c r="G29" s="452"/>
      <c r="H29" s="452">
        <f t="array" ref="H29">IFERROR(
  INDEX(
    'Valor Hora Real y Estimada'!$A$4:$Z$78,
    MATCH(TRIM(CLEAN(C29)), 'Valor Hora Real y Estimada'!$A$4:$A$78, 0),
    MATCH(
      TEXT(A29,"dd mmm")&amp;" "&amp;B29,
      'Valor Hora Real y Estimada'!$A$3:$Z$3,
      0
    ) + 1
  ),
  0
)</f>
        <v>12743</v>
      </c>
      <c r="I29" s="453">
        <f t="shared" si="5"/>
        <v>2038934</v>
      </c>
      <c r="J29" s="106"/>
      <c r="K29" s="106">
        <f>IF(ISBLANK(I29), "", VLOOKUP(A29&amp;" "&amp;B29, 'Info Tipo de Cambio y REM'!$A$24:$B$35, 2, FALSE))</f>
        <v>1320</v>
      </c>
      <c r="L29" s="107">
        <f t="shared" si="2"/>
        <v>1544.64697</v>
      </c>
      <c r="M29" s="43" t="s">
        <v>1466</v>
      </c>
    </row>
    <row r="30" hidden="1">
      <c r="A30" s="51" t="s">
        <v>166</v>
      </c>
      <c r="B30" s="43">
        <v>2025.0</v>
      </c>
      <c r="C30" s="43" t="s">
        <v>197</v>
      </c>
      <c r="D30" s="43" t="s">
        <v>121</v>
      </c>
      <c r="E30" s="704" t="s">
        <v>122</v>
      </c>
      <c r="F30" s="443">
        <v>160.0</v>
      </c>
      <c r="G30" s="452"/>
      <c r="H30" s="452">
        <f t="array" ref="H30">IFERROR(
  INDEX(
    'Valor Hora Real y Estimada'!$A$4:$Z$78,
    MATCH(TRIM(CLEAN(C30)), 'Valor Hora Real y Estimada'!$A$4:$A$78, 0),
    MATCH(
      TEXT(A30,"dd mmm")&amp;" "&amp;B30,
      'Valor Hora Real y Estimada'!$A$3:$Z$3,
      0
    ) + 1
  ),
  0
)</f>
        <v>13390.3444</v>
      </c>
      <c r="I30" s="453">
        <f t="shared" si="5"/>
        <v>2142455.104</v>
      </c>
      <c r="J30" s="106"/>
      <c r="K30" s="106">
        <f>IF(ISBLANK(I30), "", VLOOKUP(A30&amp;" "&amp;B30, 'Info Tipo de Cambio y REM'!$A$24:$B$35, 2, FALSE))</f>
        <v>1345</v>
      </c>
      <c r="L30" s="107">
        <f t="shared" si="2"/>
        <v>1592.903423</v>
      </c>
      <c r="M30" s="43" t="s">
        <v>1466</v>
      </c>
    </row>
    <row r="31" hidden="1">
      <c r="A31" s="51" t="s">
        <v>171</v>
      </c>
      <c r="B31" s="43">
        <v>2025.0</v>
      </c>
      <c r="C31" s="43" t="s">
        <v>197</v>
      </c>
      <c r="D31" s="43" t="s">
        <v>121</v>
      </c>
      <c r="E31" s="704" t="s">
        <v>122</v>
      </c>
      <c r="F31" s="443">
        <v>160.0</v>
      </c>
      <c r="G31" s="452"/>
      <c r="H31" s="452">
        <f t="array" ref="H31">IFERROR(
  INDEX(
    'Valor Hora Real y Estimada'!$A$4:$Z$78,
    MATCH(TRIM(CLEAN(C31)), 'Valor Hora Real y Estimada'!$A$4:$A$78, 0),
    MATCH(
      TEXT(A31,"dd mmm")&amp;" "&amp;B31,
      'Valor Hora Real y Estimada'!$A$3:$Z$3,
      0
    ) + 1
  ),
  0
)</f>
        <v>13390.3444</v>
      </c>
      <c r="I31" s="453">
        <f t="shared" si="5"/>
        <v>2142455.104</v>
      </c>
      <c r="J31" s="106"/>
      <c r="K31" s="106">
        <f>IF(ISBLANK(I31), "", VLOOKUP(A31&amp;" "&amp;B31, 'Info Tipo de Cambio y REM'!$A$24:$B$35, 2, FALSE))</f>
        <v>1445</v>
      </c>
      <c r="L31" s="107">
        <f t="shared" si="2"/>
        <v>1482.667892</v>
      </c>
      <c r="M31" s="43" t="s">
        <v>1466</v>
      </c>
    </row>
    <row r="32" hidden="1">
      <c r="A32" s="51" t="s">
        <v>175</v>
      </c>
      <c r="B32" s="43">
        <v>2025.0</v>
      </c>
      <c r="C32" s="43" t="s">
        <v>197</v>
      </c>
      <c r="D32" s="43" t="s">
        <v>121</v>
      </c>
      <c r="E32" s="704" t="s">
        <v>122</v>
      </c>
      <c r="F32" s="443">
        <v>160.0</v>
      </c>
      <c r="G32" s="452"/>
      <c r="H32" s="452">
        <f t="array" ref="H32">IFERROR(
  INDEX(
    'Valor Hora Real y Estimada'!$A$4:$Z$78,
    MATCH(TRIM(CLEAN(C32)), 'Valor Hora Real y Estimada'!$A$4:$A$78, 0),
    MATCH(
      TEXT(A32,"dd mmm")&amp;" "&amp;B32,
      'Valor Hora Real y Estimada'!$A$3:$Z$3,
      0
    ) + 1
  ),
  0
)</f>
        <v>13390.3444</v>
      </c>
      <c r="I32" s="453">
        <f t="shared" si="5"/>
        <v>2142455.104</v>
      </c>
      <c r="J32" s="106"/>
      <c r="K32" s="106">
        <f>IF(ISBLANK(I32), "", VLOOKUP(A32&amp;" "&amp;B32, 'Info Tipo de Cambio y REM'!$A$24:$B$35, 2, FALSE))</f>
        <v>1440</v>
      </c>
      <c r="L32" s="107">
        <f t="shared" si="2"/>
        <v>1487.816044</v>
      </c>
      <c r="M32" s="43" t="s">
        <v>1467</v>
      </c>
    </row>
    <row r="33" hidden="1">
      <c r="A33" s="51" t="s">
        <v>179</v>
      </c>
      <c r="B33" s="43">
        <v>2025.0</v>
      </c>
      <c r="C33" s="43" t="s">
        <v>197</v>
      </c>
      <c r="D33" s="43" t="s">
        <v>121</v>
      </c>
      <c r="E33" s="704" t="s">
        <v>122</v>
      </c>
      <c r="F33" s="443">
        <v>160.0</v>
      </c>
      <c r="G33" s="452"/>
      <c r="H33" s="452">
        <f t="array" ref="H33">IFERROR(
  INDEX(
    'Valor Hora Real y Estimada'!$A$4:$Z$78,
    MATCH(TRIM(CLEAN(C33)), 'Valor Hora Real y Estimada'!$A$4:$A$78, 0),
    MATCH(
      TEXT(A33,"dd mmm")&amp;" "&amp;B33,
      'Valor Hora Real y Estimada'!$A$3:$Z$3,
      0
    ) + 1
  ),
  0
)</f>
        <v>14193.76506</v>
      </c>
      <c r="I33" s="453">
        <f t="shared" si="5"/>
        <v>2271002.41</v>
      </c>
      <c r="J33" s="106"/>
      <c r="K33" s="106">
        <f>IF(ISBLANK(I33), "", VLOOKUP(A33&amp;" "&amp;B33, 'Info Tipo de Cambio y REM'!$A$24:$B$35, 2, FALSE))</f>
        <v>1499</v>
      </c>
      <c r="L33" s="107">
        <f t="shared" si="2"/>
        <v>1515.011615</v>
      </c>
      <c r="M33" s="43" t="s">
        <v>1467</v>
      </c>
    </row>
    <row r="34" hidden="1">
      <c r="A34" s="51" t="s">
        <v>182</v>
      </c>
      <c r="B34" s="43">
        <v>2025.0</v>
      </c>
      <c r="C34" s="43" t="s">
        <v>197</v>
      </c>
      <c r="D34" s="43" t="s">
        <v>121</v>
      </c>
      <c r="E34" s="704" t="s">
        <v>122</v>
      </c>
      <c r="F34" s="443">
        <v>160.0</v>
      </c>
      <c r="G34" s="452"/>
      <c r="H34" s="452">
        <f t="array" ref="H34">IFERROR(
  INDEX(
    'Valor Hora Real y Estimada'!$A$4:$Z$78,
    MATCH(TRIM(CLEAN(C34)), 'Valor Hora Real y Estimada'!$A$4:$A$78, 0),
    MATCH(
      TEXT(A34,"dd mmm")&amp;" "&amp;B34,
      'Valor Hora Real y Estimada'!$A$3:$Z$3,
      0
    ) + 1
  ),
  0
)</f>
        <v>14193.76506</v>
      </c>
      <c r="I34" s="453">
        <f t="shared" si="5"/>
        <v>2271002.41</v>
      </c>
      <c r="J34" s="106"/>
      <c r="K34" s="106">
        <f>IF(ISBLANK(I34), "", VLOOKUP(A34&amp;" "&amp;B34, 'Info Tipo de Cambio y REM'!$A$24:$B$35, 2, FALSE))</f>
        <v>1536</v>
      </c>
      <c r="L34" s="107">
        <f t="shared" si="2"/>
        <v>1478.517194</v>
      </c>
      <c r="M34" s="43" t="s">
        <v>1467</v>
      </c>
    </row>
    <row r="35" hidden="1">
      <c r="A35" s="51" t="s">
        <v>161</v>
      </c>
      <c r="B35" s="43">
        <v>2025.0</v>
      </c>
      <c r="C35" s="43" t="s">
        <v>197</v>
      </c>
      <c r="D35" s="43" t="s">
        <v>188</v>
      </c>
      <c r="E35" s="704" t="s">
        <v>122</v>
      </c>
      <c r="F35" s="450"/>
      <c r="G35" s="452"/>
      <c r="H35" s="452"/>
      <c r="I35" s="468"/>
      <c r="J35" s="106">
        <v>340.0</v>
      </c>
      <c r="K35" s="106" t="str">
        <f>IF(ISBLANK(I35), "", VLOOKUP(A35&amp;" "&amp;B35, 'Info Tipo de Cambio y REM'!$A$24:$B$35, 2, FALSE))</f>
        <v/>
      </c>
      <c r="L35" s="107">
        <f t="shared" si="2"/>
        <v>340</v>
      </c>
      <c r="M35" s="43" t="s">
        <v>1466</v>
      </c>
    </row>
    <row r="36">
      <c r="A36" s="51" t="s">
        <v>182</v>
      </c>
      <c r="B36" s="43">
        <v>2025.0</v>
      </c>
      <c r="C36" s="43" t="s">
        <v>197</v>
      </c>
      <c r="D36" s="43" t="s">
        <v>188</v>
      </c>
      <c r="E36" s="704" t="s">
        <v>122</v>
      </c>
      <c r="F36" s="450"/>
      <c r="G36" s="452"/>
      <c r="H36" s="452"/>
      <c r="I36" s="468"/>
      <c r="J36" s="106">
        <v>805.0</v>
      </c>
      <c r="K36" s="106" t="str">
        <f>IF(ISBLANK(I36), "", VLOOKUP(A36&amp;" "&amp;B36, 'Info Tipo de Cambio y REM'!$A$24:$B$35, 2, FALSE))</f>
        <v/>
      </c>
      <c r="L36" s="107">
        <f t="shared" si="2"/>
        <v>805</v>
      </c>
      <c r="M36" s="43" t="s">
        <v>1467</v>
      </c>
    </row>
    <row r="37" hidden="1">
      <c r="A37" s="51" t="s">
        <v>155</v>
      </c>
      <c r="B37" s="43">
        <v>2025.0</v>
      </c>
      <c r="C37" s="43" t="s">
        <v>221</v>
      </c>
      <c r="D37" s="43" t="s">
        <v>121</v>
      </c>
      <c r="E37" s="704" t="s">
        <v>148</v>
      </c>
      <c r="F37" s="450">
        <v>160.00655677989</v>
      </c>
      <c r="G37" s="452"/>
      <c r="H37" s="452">
        <f t="array" ref="H37">IFERROR(
  INDEX(
    'Valor Hora Real y Estimada'!$A$4:$Z$78,
    MATCH(TRIM(CLEAN(C37)), 'Valor Hora Real y Estimada'!$A$4:$A$78, 0),
    MATCH(
      TEXT(A37,"dd mmm")&amp;" "&amp;B37,
      'Valor Hora Real y Estimada'!$A$3:$Z$3,
      0
    ) + 1
  ),
  0
)</f>
        <v>10981</v>
      </c>
      <c r="I37" s="468">
        <f t="shared" ref="I37:I43" si="6">H37*F37</f>
        <v>1757032</v>
      </c>
      <c r="J37" s="106"/>
      <c r="K37" s="106">
        <f>IF(ISBLANK(I37), "", VLOOKUP(A37&amp;" "&amp;B37, 'Info Tipo de Cambio y REM'!$A$24:$B$35, 2, FALSE))</f>
        <v>1215</v>
      </c>
      <c r="L37" s="107">
        <f t="shared" si="2"/>
        <v>1446.116872</v>
      </c>
      <c r="M37" s="43" t="s">
        <v>1466</v>
      </c>
    </row>
    <row r="38" hidden="1">
      <c r="A38" s="51" t="s">
        <v>161</v>
      </c>
      <c r="B38" s="43">
        <v>2025.0</v>
      </c>
      <c r="C38" s="43" t="s">
        <v>221</v>
      </c>
      <c r="D38" s="43" t="s">
        <v>121</v>
      </c>
      <c r="E38" s="704" t="s">
        <v>148</v>
      </c>
      <c r="F38" s="443">
        <v>160.0065568</v>
      </c>
      <c r="G38" s="452"/>
      <c r="H38" s="452">
        <f t="array" ref="H38">IFERROR(
  INDEX(
    'Valor Hora Real y Estimada'!$A$4:$Z$78,
    MATCH(TRIM(CLEAN(C38)), 'Valor Hora Real y Estimada'!$A$4:$A$78, 0),
    MATCH(
      TEXT(A38,"dd mmm")&amp;" "&amp;B38,
      'Valor Hora Real y Estimada'!$A$3:$Z$3,
      0
    ) + 1
  ),
  0
)</f>
        <v>10981</v>
      </c>
      <c r="I38" s="468">
        <f t="shared" si="6"/>
        <v>1757032</v>
      </c>
      <c r="J38" s="106"/>
      <c r="K38" s="106">
        <f>IF(ISBLANK(I38), "", VLOOKUP(A38&amp;" "&amp;B38, 'Info Tipo de Cambio y REM'!$A$24:$B$35, 2, FALSE))</f>
        <v>1320</v>
      </c>
      <c r="L38" s="107">
        <f t="shared" si="2"/>
        <v>1331.084849</v>
      </c>
      <c r="M38" s="43" t="s">
        <v>1466</v>
      </c>
    </row>
    <row r="39" hidden="1">
      <c r="A39" s="51" t="s">
        <v>166</v>
      </c>
      <c r="B39" s="43">
        <v>2025.0</v>
      </c>
      <c r="C39" s="43" t="s">
        <v>221</v>
      </c>
      <c r="D39" s="43" t="s">
        <v>121</v>
      </c>
      <c r="E39" s="704" t="s">
        <v>148</v>
      </c>
      <c r="F39" s="443">
        <v>160.0</v>
      </c>
      <c r="G39" s="452"/>
      <c r="H39" s="452">
        <f t="array" ref="H39">IFERROR(
  INDEX(
    'Valor Hora Real y Estimada'!$A$4:$Z$78,
    MATCH(TRIM(CLEAN(C39)), 'Valor Hora Real y Estimada'!$A$4:$A$78, 0),
    MATCH(
      TEXT(A39,"dd mmm")&amp;" "&amp;B39,
      'Valor Hora Real y Estimada'!$A$3:$Z$3,
      0
    ) + 1
  ),
  0
)</f>
        <v>11859.48</v>
      </c>
      <c r="I39" s="468">
        <f t="shared" si="6"/>
        <v>1897516.8</v>
      </c>
      <c r="J39" s="106"/>
      <c r="K39" s="106">
        <f>IF(ISBLANK(I39), "", VLOOKUP(A39&amp;" "&amp;B39, 'Info Tipo de Cambio y REM'!$A$24:$B$35, 2, FALSE))</f>
        <v>1345</v>
      </c>
      <c r="L39" s="107">
        <f t="shared" si="2"/>
        <v>1410.79316</v>
      </c>
      <c r="M39" s="43" t="s">
        <v>1466</v>
      </c>
    </row>
    <row r="40" hidden="1">
      <c r="A40" s="51" t="s">
        <v>171</v>
      </c>
      <c r="B40" s="43">
        <v>2025.0</v>
      </c>
      <c r="C40" s="43" t="s">
        <v>221</v>
      </c>
      <c r="D40" s="43" t="s">
        <v>121</v>
      </c>
      <c r="E40" s="704" t="s">
        <v>148</v>
      </c>
      <c r="F40" s="443">
        <v>160.0</v>
      </c>
      <c r="G40" s="452"/>
      <c r="H40" s="452">
        <f t="array" ref="H40">IFERROR(
  INDEX(
    'Valor Hora Real y Estimada'!$A$4:$Z$78,
    MATCH(TRIM(CLEAN(C40)), 'Valor Hora Real y Estimada'!$A$4:$A$78, 0),
    MATCH(
      TEXT(A40,"dd mmm")&amp;" "&amp;B40,
      'Valor Hora Real y Estimada'!$A$3:$Z$3,
      0
    ) + 1
  ),
  0
)</f>
        <v>11859.48</v>
      </c>
      <c r="I40" s="468">
        <f t="shared" si="6"/>
        <v>1897516.8</v>
      </c>
      <c r="J40" s="106"/>
      <c r="K40" s="106">
        <f>IF(ISBLANK(I40), "", VLOOKUP(A40&amp;" "&amp;B40, 'Info Tipo de Cambio y REM'!$A$24:$B$35, 2, FALSE))</f>
        <v>1445</v>
      </c>
      <c r="L40" s="107">
        <f t="shared" si="2"/>
        <v>1313.160415</v>
      </c>
      <c r="M40" s="43" t="s">
        <v>1466</v>
      </c>
    </row>
    <row r="41" hidden="1">
      <c r="A41" s="51" t="s">
        <v>175</v>
      </c>
      <c r="B41" s="43">
        <v>2025.0</v>
      </c>
      <c r="C41" s="43" t="s">
        <v>221</v>
      </c>
      <c r="D41" s="43" t="s">
        <v>121</v>
      </c>
      <c r="E41" s="704" t="s">
        <v>148</v>
      </c>
      <c r="F41" s="443">
        <v>160.0</v>
      </c>
      <c r="G41" s="452"/>
      <c r="H41" s="452">
        <f t="array" ref="H41">IFERROR(
  INDEX(
    'Valor Hora Real y Estimada'!$A$4:$Z$78,
    MATCH(TRIM(CLEAN(C41)), 'Valor Hora Real y Estimada'!$A$4:$A$78, 0),
    MATCH(
      TEXT(A41,"dd mmm")&amp;" "&amp;B41,
      'Valor Hora Real y Estimada'!$A$3:$Z$3,
      0
    ) + 1
  ),
  0
)</f>
        <v>11859.48</v>
      </c>
      <c r="I41" s="453">
        <f t="shared" si="6"/>
        <v>1897516.8</v>
      </c>
      <c r="J41" s="106"/>
      <c r="K41" s="106">
        <f>IF(ISBLANK(I41), "", VLOOKUP(A41&amp;" "&amp;B41, 'Info Tipo de Cambio y REM'!$A$24:$B$35, 2, FALSE))</f>
        <v>1440</v>
      </c>
      <c r="L41" s="107">
        <f t="shared" si="2"/>
        <v>1317.72</v>
      </c>
      <c r="M41" s="43" t="s">
        <v>1467</v>
      </c>
    </row>
    <row r="42" hidden="1">
      <c r="A42" s="51" t="s">
        <v>179</v>
      </c>
      <c r="B42" s="43">
        <v>2025.0</v>
      </c>
      <c r="C42" s="43" t="s">
        <v>221</v>
      </c>
      <c r="D42" s="43" t="s">
        <v>121</v>
      </c>
      <c r="E42" s="704" t="s">
        <v>148</v>
      </c>
      <c r="F42" s="443">
        <v>160.0</v>
      </c>
      <c r="G42" s="452"/>
      <c r="H42" s="452">
        <f t="array" ref="H42">IFERROR(
  INDEX(
    'Valor Hora Real y Estimada'!$A$4:$Z$78,
    MATCH(TRIM(CLEAN(C42)), 'Valor Hora Real y Estimada'!$A$4:$A$78, 0),
    MATCH(
      TEXT(A42,"dd mmm")&amp;" "&amp;B42,
      'Valor Hora Real y Estimada'!$A$3:$Z$3,
      0
    ) + 1
  ),
  0
)</f>
        <v>12571.0488</v>
      </c>
      <c r="I42" s="453">
        <f t="shared" si="6"/>
        <v>2011367.808</v>
      </c>
      <c r="J42" s="106"/>
      <c r="K42" s="106">
        <f>IF(ISBLANK(I42), "", VLOOKUP(A42&amp;" "&amp;B42, 'Info Tipo de Cambio y REM'!$A$24:$B$35, 2, FALSE))</f>
        <v>1499</v>
      </c>
      <c r="L42" s="107">
        <f t="shared" si="2"/>
        <v>1341.80641</v>
      </c>
      <c r="M42" s="43" t="s">
        <v>1467</v>
      </c>
    </row>
    <row r="43" hidden="1">
      <c r="A43" s="51" t="s">
        <v>182</v>
      </c>
      <c r="B43" s="43">
        <v>2025.0</v>
      </c>
      <c r="C43" s="43" t="s">
        <v>221</v>
      </c>
      <c r="D43" s="43" t="s">
        <v>121</v>
      </c>
      <c r="E43" s="704" t="s">
        <v>148</v>
      </c>
      <c r="F43" s="443">
        <v>160.0</v>
      </c>
      <c r="G43" s="452"/>
      <c r="H43" s="452">
        <f t="array" ref="H43">IFERROR(
  INDEX(
    'Valor Hora Real y Estimada'!$A$4:$Z$78,
    MATCH(TRIM(CLEAN(C43)), 'Valor Hora Real y Estimada'!$A$4:$A$78, 0),
    MATCH(
      TEXT(A43,"dd mmm")&amp;" "&amp;B43,
      'Valor Hora Real y Estimada'!$A$3:$Z$3,
      0
    ) + 1
  ),
  0
)</f>
        <v>12571.0488</v>
      </c>
      <c r="I43" s="453">
        <f t="shared" si="6"/>
        <v>2011367.808</v>
      </c>
      <c r="J43" s="106"/>
      <c r="K43" s="106">
        <f>IF(ISBLANK(I43), "", VLOOKUP(A43&amp;" "&amp;B43, 'Info Tipo de Cambio y REM'!$A$24:$B$35, 2, FALSE))</f>
        <v>1536</v>
      </c>
      <c r="L43" s="107">
        <f t="shared" si="2"/>
        <v>1309.48425</v>
      </c>
      <c r="M43" s="43" t="s">
        <v>1467</v>
      </c>
    </row>
    <row r="44" hidden="1">
      <c r="A44" s="51" t="s">
        <v>161</v>
      </c>
      <c r="B44" s="43">
        <v>2025.0</v>
      </c>
      <c r="C44" s="43" t="s">
        <v>221</v>
      </c>
      <c r="D44" s="43" t="s">
        <v>188</v>
      </c>
      <c r="E44" s="704" t="s">
        <v>148</v>
      </c>
      <c r="F44" s="443"/>
      <c r="G44" s="452"/>
      <c r="H44" s="452"/>
      <c r="I44" s="453"/>
      <c r="J44" s="106">
        <v>300.0</v>
      </c>
      <c r="K44" s="106" t="str">
        <f>IF(ISBLANK(I44), "", VLOOKUP(A44&amp;" "&amp;B44, 'Info Tipo de Cambio y REM'!$A$24:$B$35, 2, FALSE))</f>
        <v/>
      </c>
      <c r="L44" s="107">
        <f t="shared" si="2"/>
        <v>300</v>
      </c>
      <c r="M44" s="43" t="s">
        <v>1466</v>
      </c>
    </row>
    <row r="45">
      <c r="A45" s="51" t="s">
        <v>182</v>
      </c>
      <c r="B45" s="43">
        <v>2025.0</v>
      </c>
      <c r="C45" s="43" t="s">
        <v>221</v>
      </c>
      <c r="D45" s="43" t="s">
        <v>188</v>
      </c>
      <c r="E45" s="704" t="s">
        <v>148</v>
      </c>
      <c r="F45" s="443"/>
      <c r="G45" s="452"/>
      <c r="H45" s="452"/>
      <c r="I45" s="453"/>
      <c r="J45" s="106">
        <v>638.0</v>
      </c>
      <c r="K45" s="106" t="str">
        <f>IF(ISBLANK(I45), "", VLOOKUP(A45&amp;" "&amp;B45, 'Info Tipo de Cambio y REM'!$A$24:$B$35, 2, FALSE))</f>
        <v/>
      </c>
      <c r="L45" s="107">
        <f t="shared" si="2"/>
        <v>638</v>
      </c>
      <c r="M45" s="43" t="s">
        <v>1467</v>
      </c>
    </row>
    <row r="46" hidden="1">
      <c r="A46" s="51" t="s">
        <v>155</v>
      </c>
      <c r="B46" s="43">
        <v>2025.0</v>
      </c>
      <c r="C46" s="43" t="s">
        <v>205</v>
      </c>
      <c r="D46" s="43" t="s">
        <v>121</v>
      </c>
      <c r="E46" s="704" t="s">
        <v>148</v>
      </c>
      <c r="F46" s="443">
        <v>120.0</v>
      </c>
      <c r="G46" s="452"/>
      <c r="H46" s="452">
        <f t="array" ref="H46">IFERROR(
  INDEX(
    'Valor Hora Real y Estimada'!$A$4:$Z$78,
    MATCH(TRIM(CLEAN(C46)), 'Valor Hora Real y Estimada'!$A$4:$A$78, 0),
    MATCH(
      TEXT(A46,"dd mmm")&amp;" "&amp;B46,
      'Valor Hora Real y Estimada'!$A$3:$Z$3,
      0
    ) + 1
  ),
  0
)</f>
        <v>10000</v>
      </c>
      <c r="I46" s="453">
        <f t="shared" ref="I46:I52" si="7">H46*F46</f>
        <v>1200000</v>
      </c>
      <c r="J46" s="106"/>
      <c r="K46" s="106">
        <f>IF(ISBLANK(I46), "", VLOOKUP(A46&amp;" "&amp;B46, 'Info Tipo de Cambio y REM'!$A$24:$B$35, 2, FALSE))</f>
        <v>1215</v>
      </c>
      <c r="L46" s="107">
        <f t="shared" si="2"/>
        <v>987.654321</v>
      </c>
      <c r="M46" s="43" t="s">
        <v>1466</v>
      </c>
    </row>
    <row r="47" hidden="1">
      <c r="A47" s="51" t="s">
        <v>161</v>
      </c>
      <c r="B47" s="43">
        <v>2025.0</v>
      </c>
      <c r="C47" s="43" t="s">
        <v>205</v>
      </c>
      <c r="D47" s="43" t="s">
        <v>121</v>
      </c>
      <c r="E47" s="704" t="s">
        <v>148</v>
      </c>
      <c r="F47" s="443">
        <v>160.0</v>
      </c>
      <c r="G47" s="452"/>
      <c r="H47" s="452">
        <f t="array" ref="H47">IFERROR(
  INDEX(
    'Valor Hora Real y Estimada'!$A$4:$Z$78,
    MATCH(TRIM(CLEAN(C47)), 'Valor Hora Real y Estimada'!$A$4:$A$78, 0),
    MATCH(
      TEXT(A47,"dd mmm")&amp;" "&amp;B47,
      'Valor Hora Real y Estimada'!$A$3:$Z$3,
      0
    ) + 1
  ),
  0
)</f>
        <v>10000</v>
      </c>
      <c r="I47" s="453">
        <f t="shared" si="7"/>
        <v>1600000</v>
      </c>
      <c r="J47" s="106"/>
      <c r="K47" s="106">
        <f>IF(ISBLANK(I47), "", VLOOKUP(A47&amp;" "&amp;B47, 'Info Tipo de Cambio y REM'!$A$24:$B$35, 2, FALSE))</f>
        <v>1320</v>
      </c>
      <c r="L47" s="107">
        <f t="shared" si="2"/>
        <v>1212.121212</v>
      </c>
      <c r="M47" s="43" t="s">
        <v>1466</v>
      </c>
    </row>
    <row r="48" hidden="1">
      <c r="A48" s="51" t="s">
        <v>166</v>
      </c>
      <c r="B48" s="43">
        <v>2025.0</v>
      </c>
      <c r="C48" s="43" t="s">
        <v>205</v>
      </c>
      <c r="D48" s="43" t="s">
        <v>121</v>
      </c>
      <c r="E48" s="704" t="s">
        <v>148</v>
      </c>
      <c r="F48" s="443">
        <v>160.0</v>
      </c>
      <c r="G48" s="452"/>
      <c r="H48" s="452">
        <f t="array" ref="H48">IFERROR(
  INDEX(
    'Valor Hora Real y Estimada'!$A$4:$Z$78,
    MATCH(TRIM(CLEAN(C48)), 'Valor Hora Real y Estimada'!$A$4:$A$78, 0),
    MATCH(
      TEXT(A48,"dd mmm")&amp;" "&amp;B48,
      'Valor Hora Real y Estimada'!$A$3:$Z$3,
      0
    ) + 1
  ),
  0
)</f>
        <v>10000</v>
      </c>
      <c r="I48" s="453">
        <f t="shared" si="7"/>
        <v>1600000</v>
      </c>
      <c r="J48" s="106"/>
      <c r="K48" s="106">
        <f>IF(ISBLANK(I48), "", VLOOKUP(A48&amp;" "&amp;B48, 'Info Tipo de Cambio y REM'!$A$24:$B$35, 2, FALSE))</f>
        <v>1345</v>
      </c>
      <c r="L48" s="107">
        <f t="shared" si="2"/>
        <v>1189.591078</v>
      </c>
      <c r="M48" s="43" t="s">
        <v>1466</v>
      </c>
    </row>
    <row r="49" hidden="1">
      <c r="A49" s="51" t="s">
        <v>171</v>
      </c>
      <c r="B49" s="43">
        <v>2025.0</v>
      </c>
      <c r="C49" s="43" t="s">
        <v>205</v>
      </c>
      <c r="D49" s="43" t="s">
        <v>121</v>
      </c>
      <c r="E49" s="704" t="s">
        <v>148</v>
      </c>
      <c r="F49" s="443">
        <v>160.0</v>
      </c>
      <c r="G49" s="452"/>
      <c r="H49" s="452">
        <f t="array" ref="H49">IFERROR(
  INDEX(
    'Valor Hora Real y Estimada'!$A$4:$Z$78,
    MATCH(TRIM(CLEAN(C49)), 'Valor Hora Real y Estimada'!$A$4:$A$78, 0),
    MATCH(
      TEXT(A49,"dd mmm")&amp;" "&amp;B49,
      'Valor Hora Real y Estimada'!$A$3:$Z$3,
      0
    ) + 1
  ),
  0
)</f>
        <v>10000</v>
      </c>
      <c r="I49" s="453">
        <f t="shared" si="7"/>
        <v>1600000</v>
      </c>
      <c r="J49" s="106"/>
      <c r="K49" s="106">
        <f>IF(ISBLANK(I49), "", VLOOKUP(A49&amp;" "&amp;B49, 'Info Tipo de Cambio y REM'!$A$24:$B$35, 2, FALSE))</f>
        <v>1445</v>
      </c>
      <c r="L49" s="107">
        <f t="shared" si="2"/>
        <v>1107.266436</v>
      </c>
      <c r="M49" s="43" t="s">
        <v>1466</v>
      </c>
    </row>
    <row r="50" hidden="1">
      <c r="A50" s="51" t="s">
        <v>175</v>
      </c>
      <c r="B50" s="43">
        <v>2025.0</v>
      </c>
      <c r="C50" s="43" t="s">
        <v>205</v>
      </c>
      <c r="D50" s="43" t="s">
        <v>121</v>
      </c>
      <c r="E50" s="704" t="s">
        <v>148</v>
      </c>
      <c r="F50" s="443">
        <v>160.0</v>
      </c>
      <c r="G50" s="452"/>
      <c r="H50" s="452">
        <f t="array" ref="H50">IFERROR(
  INDEX(
    'Valor Hora Real y Estimada'!$A$4:$Z$78,
    MATCH(TRIM(CLEAN(C50)), 'Valor Hora Real y Estimada'!$A$4:$A$78, 0),
    MATCH(
      TEXT(A50,"dd mmm")&amp;" "&amp;B50,
      'Valor Hora Real y Estimada'!$A$3:$Z$3,
      0
    ) + 1
  ),
  0
)</f>
        <v>10000</v>
      </c>
      <c r="I50" s="453">
        <f t="shared" si="7"/>
        <v>1600000</v>
      </c>
      <c r="J50" s="106"/>
      <c r="K50" s="106">
        <f>IF(ISBLANK(I50), "", VLOOKUP(A50&amp;" "&amp;B50, 'Info Tipo de Cambio y REM'!$A$24:$B$35, 2, FALSE))</f>
        <v>1440</v>
      </c>
      <c r="L50" s="107">
        <f t="shared" si="2"/>
        <v>1111.111111</v>
      </c>
      <c r="M50" s="43" t="s">
        <v>1467</v>
      </c>
    </row>
    <row r="51" hidden="1">
      <c r="A51" s="51" t="s">
        <v>179</v>
      </c>
      <c r="B51" s="43">
        <v>2025.0</v>
      </c>
      <c r="C51" s="43" t="s">
        <v>205</v>
      </c>
      <c r="D51" s="43" t="s">
        <v>121</v>
      </c>
      <c r="E51" s="704" t="s">
        <v>148</v>
      </c>
      <c r="F51" s="443">
        <v>160.0</v>
      </c>
      <c r="G51" s="452"/>
      <c r="H51" s="452">
        <f t="array" ref="H51">IFERROR(
  INDEX(
    'Valor Hora Real y Estimada'!$A$4:$Z$78,
    MATCH(TRIM(CLEAN(C51)), 'Valor Hora Real y Estimada'!$A$4:$A$78, 0),
    MATCH(
      TEXT(A51,"dd mmm")&amp;" "&amp;B51,
      'Valor Hora Real y Estimada'!$A$3:$Z$3,
      0
    ) + 1
  ),
  0
)</f>
        <v>10600</v>
      </c>
      <c r="I51" s="453">
        <f t="shared" si="7"/>
        <v>1696000</v>
      </c>
      <c r="J51" s="106"/>
      <c r="K51" s="106">
        <f>IF(ISBLANK(I51), "", VLOOKUP(A51&amp;" "&amp;B51, 'Info Tipo de Cambio y REM'!$A$24:$B$35, 2, FALSE))</f>
        <v>1499</v>
      </c>
      <c r="L51" s="107">
        <f t="shared" si="2"/>
        <v>1131.420947</v>
      </c>
      <c r="M51" s="43" t="s">
        <v>1467</v>
      </c>
    </row>
    <row r="52" hidden="1">
      <c r="A52" s="51" t="s">
        <v>182</v>
      </c>
      <c r="B52" s="43">
        <v>2025.0</v>
      </c>
      <c r="C52" s="43" t="s">
        <v>205</v>
      </c>
      <c r="D52" s="43" t="s">
        <v>121</v>
      </c>
      <c r="E52" s="704" t="s">
        <v>148</v>
      </c>
      <c r="F52" s="443">
        <v>160.0</v>
      </c>
      <c r="G52" s="452"/>
      <c r="H52" s="452">
        <f t="array" ref="H52">IFERROR(
  INDEX(
    'Valor Hora Real y Estimada'!$A$4:$Z$78,
    MATCH(TRIM(CLEAN(C52)), 'Valor Hora Real y Estimada'!$A$4:$A$78, 0),
    MATCH(
      TEXT(A52,"dd mmm")&amp;" "&amp;B52,
      'Valor Hora Real y Estimada'!$A$3:$Z$3,
      0
    ) + 1
  ),
  0
)</f>
        <v>10600</v>
      </c>
      <c r="I52" s="453">
        <f t="shared" si="7"/>
        <v>1696000</v>
      </c>
      <c r="J52" s="106"/>
      <c r="K52" s="106">
        <f>IF(ISBLANK(I52), "", VLOOKUP(A52&amp;" "&amp;B52, 'Info Tipo de Cambio y REM'!$A$24:$B$35, 2, FALSE))</f>
        <v>1536</v>
      </c>
      <c r="L52" s="107">
        <f t="shared" si="2"/>
        <v>1104.166667</v>
      </c>
      <c r="M52" s="43" t="s">
        <v>1467</v>
      </c>
    </row>
    <row r="53" hidden="1">
      <c r="A53" s="51" t="s">
        <v>161</v>
      </c>
      <c r="B53" s="43">
        <v>2025.0</v>
      </c>
      <c r="C53" s="43" t="s">
        <v>205</v>
      </c>
      <c r="D53" s="43" t="s">
        <v>188</v>
      </c>
      <c r="E53" s="704" t="s">
        <v>148</v>
      </c>
      <c r="F53" s="443"/>
      <c r="G53" s="452"/>
      <c r="H53" s="452"/>
      <c r="I53" s="453"/>
      <c r="J53" s="106">
        <v>200.0</v>
      </c>
      <c r="K53" s="106" t="str">
        <f>IF(ISBLANK(I53), "", VLOOKUP(A53&amp;" "&amp;B53, 'Info Tipo de Cambio y REM'!$A$24:$B$35, 2, FALSE))</f>
        <v/>
      </c>
      <c r="L53" s="107">
        <f t="shared" si="2"/>
        <v>200</v>
      </c>
      <c r="M53" s="43" t="s">
        <v>1466</v>
      </c>
    </row>
    <row r="54">
      <c r="A54" s="51" t="s">
        <v>182</v>
      </c>
      <c r="B54" s="43">
        <v>2025.0</v>
      </c>
      <c r="C54" s="43" t="s">
        <v>205</v>
      </c>
      <c r="D54" s="43" t="s">
        <v>188</v>
      </c>
      <c r="E54" s="704" t="s">
        <v>148</v>
      </c>
      <c r="F54" s="443"/>
      <c r="G54" s="452"/>
      <c r="H54" s="452"/>
      <c r="I54" s="453"/>
      <c r="J54" s="106">
        <v>607.0</v>
      </c>
      <c r="K54" s="106" t="str">
        <f>IF(ISBLANK(I54), "", VLOOKUP(A54&amp;" "&amp;B54, 'Info Tipo de Cambio y REM'!$A$24:$B$35, 2, FALSE))</f>
        <v/>
      </c>
      <c r="L54" s="107">
        <f t="shared" si="2"/>
        <v>607</v>
      </c>
      <c r="M54" s="43" t="s">
        <v>1467</v>
      </c>
    </row>
    <row r="55" hidden="1">
      <c r="A55" s="51" t="s">
        <v>155</v>
      </c>
      <c r="B55" s="43">
        <v>2025.0</v>
      </c>
      <c r="C55" s="43" t="s">
        <v>212</v>
      </c>
      <c r="D55" s="43" t="s">
        <v>121</v>
      </c>
      <c r="E55" s="704" t="s">
        <v>148</v>
      </c>
      <c r="F55" s="443">
        <v>40.0</v>
      </c>
      <c r="G55" s="452"/>
      <c r="H55" s="452">
        <f t="array" ref="H55">IFERROR(
  INDEX(
    'Valor Hora Real y Estimada'!$A$4:$Z$78,
    MATCH(TRIM(CLEAN(C55)), 'Valor Hora Real y Estimada'!$A$4:$A$78, 0),
    MATCH(
      TEXT(A55,"dd mmm")&amp;" "&amp;B55,
      'Valor Hora Real y Estimada'!$A$3:$Z$3,
      0
    ) + 1
  ),
  0
)</f>
        <v>8500</v>
      </c>
      <c r="I55" s="453">
        <f t="shared" ref="I55:I62" si="8">H55*F55</f>
        <v>340000</v>
      </c>
      <c r="J55" s="106"/>
      <c r="K55" s="106">
        <f>IF(ISBLANK(I55), "", VLOOKUP(A55&amp;" "&amp;B55, 'Info Tipo de Cambio y REM'!$A$24:$B$35, 2, FALSE))</f>
        <v>1215</v>
      </c>
      <c r="L55" s="107">
        <f t="shared" si="2"/>
        <v>279.8353909</v>
      </c>
      <c r="M55" s="43" t="s">
        <v>1466</v>
      </c>
    </row>
    <row r="56" hidden="1">
      <c r="A56" s="51" t="s">
        <v>155</v>
      </c>
      <c r="B56" s="43">
        <v>2025.0</v>
      </c>
      <c r="C56" s="43" t="s">
        <v>203</v>
      </c>
      <c r="D56" s="43" t="s">
        <v>121</v>
      </c>
      <c r="E56" s="704" t="s">
        <v>142</v>
      </c>
      <c r="F56" s="443">
        <v>120.0</v>
      </c>
      <c r="G56" s="452"/>
      <c r="H56" s="452">
        <f t="array" ref="H56">IFERROR(
  INDEX(
    'Valor Hora Real y Estimada'!$A$4:$Z$78,
    MATCH(TRIM(CLEAN(C56)), 'Valor Hora Real y Estimada'!$A$4:$A$78, 0),
    MATCH(
      TEXT(A56,"dd mmm")&amp;" "&amp;B56,
      'Valor Hora Real y Estimada'!$A$3:$Z$3,
      0
    ) + 1
  ),
  0
)</f>
        <v>9867</v>
      </c>
      <c r="I56" s="453">
        <f t="shared" si="8"/>
        <v>1184040</v>
      </c>
      <c r="J56" s="106"/>
      <c r="K56" s="106">
        <f>IF(ISBLANK(I56), "", VLOOKUP(A56&amp;" "&amp;B56, 'Info Tipo de Cambio y REM'!$A$24:$B$35, 2, FALSE))</f>
        <v>1215</v>
      </c>
      <c r="L56" s="107">
        <f t="shared" si="2"/>
        <v>974.5185185</v>
      </c>
      <c r="M56" s="43" t="s">
        <v>1466</v>
      </c>
    </row>
    <row r="57" hidden="1">
      <c r="A57" s="51" t="s">
        <v>161</v>
      </c>
      <c r="B57" s="43">
        <v>2025.0</v>
      </c>
      <c r="C57" s="43" t="s">
        <v>203</v>
      </c>
      <c r="D57" s="43" t="s">
        <v>121</v>
      </c>
      <c r="E57" s="704" t="s">
        <v>142</v>
      </c>
      <c r="F57" s="443">
        <v>120.0</v>
      </c>
      <c r="G57" s="452"/>
      <c r="H57" s="452">
        <f t="array" ref="H57">IFERROR(
  INDEX(
    'Valor Hora Real y Estimada'!$A$4:$Z$78,
    MATCH(TRIM(CLEAN(C57)), 'Valor Hora Real y Estimada'!$A$4:$A$78, 0),
    MATCH(
      TEXT(A57,"dd mmm")&amp;" "&amp;B57,
      'Valor Hora Real y Estimada'!$A$3:$Z$3,
      0
    ) + 1
  ),
  0
)</f>
        <v>9867</v>
      </c>
      <c r="I57" s="453">
        <f t="shared" si="8"/>
        <v>1184040</v>
      </c>
      <c r="J57" s="106"/>
      <c r="K57" s="106">
        <f>IF(ISBLANK(I57), "", VLOOKUP(A57&amp;" "&amp;B57, 'Info Tipo de Cambio y REM'!$A$24:$B$35, 2, FALSE))</f>
        <v>1320</v>
      </c>
      <c r="L57" s="107">
        <f t="shared" si="2"/>
        <v>897</v>
      </c>
      <c r="M57" s="43" t="s">
        <v>1466</v>
      </c>
    </row>
    <row r="58" hidden="1">
      <c r="A58" s="51" t="s">
        <v>166</v>
      </c>
      <c r="B58" s="43">
        <v>2025.0</v>
      </c>
      <c r="C58" s="43" t="s">
        <v>203</v>
      </c>
      <c r="D58" s="43" t="s">
        <v>121</v>
      </c>
      <c r="E58" s="704" t="s">
        <v>142</v>
      </c>
      <c r="F58" s="443">
        <v>120.0</v>
      </c>
      <c r="G58" s="452"/>
      <c r="H58" s="452">
        <f t="array" ref="H58">IFERROR(
  INDEX(
    'Valor Hora Real y Estimada'!$A$4:$Z$78,
    MATCH(TRIM(CLEAN(C58)), 'Valor Hora Real y Estimada'!$A$4:$A$78, 0),
    MATCH(
      TEXT(A58,"dd mmm")&amp;" "&amp;B58,
      'Valor Hora Real y Estimada'!$A$3:$Z$3,
      0
    ) + 1
  ),
  0
)</f>
        <v>10853.7</v>
      </c>
      <c r="I58" s="453">
        <f t="shared" si="8"/>
        <v>1302444</v>
      </c>
      <c r="J58" s="106"/>
      <c r="K58" s="106">
        <f>IF(ISBLANK(I58), "", VLOOKUP(A58&amp;" "&amp;B58, 'Info Tipo de Cambio y REM'!$A$24:$B$35, 2, FALSE))</f>
        <v>1345</v>
      </c>
      <c r="L58" s="107">
        <f t="shared" si="2"/>
        <v>968.3598513</v>
      </c>
      <c r="M58" s="43" t="s">
        <v>1466</v>
      </c>
    </row>
    <row r="59" hidden="1">
      <c r="A59" s="51" t="s">
        <v>171</v>
      </c>
      <c r="B59" s="43">
        <v>2025.0</v>
      </c>
      <c r="C59" s="43" t="s">
        <v>203</v>
      </c>
      <c r="D59" s="43" t="s">
        <v>121</v>
      </c>
      <c r="E59" s="704" t="s">
        <v>142</v>
      </c>
      <c r="F59" s="443">
        <v>120.0</v>
      </c>
      <c r="G59" s="452"/>
      <c r="H59" s="452">
        <f t="array" ref="H59">IFERROR(
  INDEX(
    'Valor Hora Real y Estimada'!$A$4:$Z$78,
    MATCH(TRIM(CLEAN(C59)), 'Valor Hora Real y Estimada'!$A$4:$A$78, 0),
    MATCH(
      TEXT(A59,"dd mmm")&amp;" "&amp;B59,
      'Valor Hora Real y Estimada'!$A$3:$Z$3,
      0
    ) + 1
  ),
  0
)</f>
        <v>10853.7</v>
      </c>
      <c r="I59" s="453">
        <f t="shared" si="8"/>
        <v>1302444</v>
      </c>
      <c r="J59" s="106"/>
      <c r="K59" s="106">
        <f>IF(ISBLANK(I59), "", VLOOKUP(A59&amp;" "&amp;B59, 'Info Tipo de Cambio y REM'!$A$24:$B$35, 2, FALSE))</f>
        <v>1445</v>
      </c>
      <c r="L59" s="107">
        <f t="shared" si="2"/>
        <v>901.3453287</v>
      </c>
      <c r="M59" s="43" t="s">
        <v>1466</v>
      </c>
    </row>
    <row r="60" hidden="1">
      <c r="A60" s="51" t="s">
        <v>175</v>
      </c>
      <c r="B60" s="43">
        <v>2025.0</v>
      </c>
      <c r="C60" s="43" t="s">
        <v>203</v>
      </c>
      <c r="D60" s="43" t="s">
        <v>121</v>
      </c>
      <c r="E60" s="704" t="s">
        <v>142</v>
      </c>
      <c r="F60" s="443">
        <v>120.0</v>
      </c>
      <c r="G60" s="452"/>
      <c r="H60" s="452">
        <f t="array" ref="H60">IFERROR(
  INDEX(
    'Valor Hora Real y Estimada'!$A$4:$Z$78,
    MATCH(TRIM(CLEAN(C60)), 'Valor Hora Real y Estimada'!$A$4:$A$78, 0),
    MATCH(
      TEXT(A60,"dd mmm")&amp;" "&amp;B60,
      'Valor Hora Real y Estimada'!$A$3:$Z$3,
      0
    ) + 1
  ),
  0
)</f>
        <v>10853.7</v>
      </c>
      <c r="I60" s="453">
        <f t="shared" si="8"/>
        <v>1302444</v>
      </c>
      <c r="J60" s="106"/>
      <c r="K60" s="106">
        <f>IF(ISBLANK(I60), "", VLOOKUP(A60&amp;" "&amp;B60, 'Info Tipo de Cambio y REM'!$A$24:$B$35, 2, FALSE))</f>
        <v>1440</v>
      </c>
      <c r="L60" s="107">
        <f t="shared" si="2"/>
        <v>904.475</v>
      </c>
      <c r="M60" s="43" t="s">
        <v>1467</v>
      </c>
    </row>
    <row r="61" hidden="1">
      <c r="A61" s="51" t="s">
        <v>179</v>
      </c>
      <c r="B61" s="43">
        <v>2025.0</v>
      </c>
      <c r="C61" s="43" t="s">
        <v>203</v>
      </c>
      <c r="D61" s="43" t="s">
        <v>121</v>
      </c>
      <c r="E61" s="704" t="s">
        <v>142</v>
      </c>
      <c r="F61" s="443">
        <v>120.0</v>
      </c>
      <c r="G61" s="452"/>
      <c r="H61" s="452">
        <f t="array" ref="H61">IFERROR(
  INDEX(
    'Valor Hora Real y Estimada'!$A$4:$Z$78,
    MATCH(TRIM(CLEAN(C61)), 'Valor Hora Real y Estimada'!$A$4:$A$78, 0),
    MATCH(
      TEXT(A61,"dd mmm")&amp;" "&amp;B61,
      'Valor Hora Real y Estimada'!$A$3:$Z$3,
      0
    ) + 1
  ),
  0
)</f>
        <v>11504.922</v>
      </c>
      <c r="I61" s="453">
        <f t="shared" si="8"/>
        <v>1380590.64</v>
      </c>
      <c r="J61" s="106"/>
      <c r="K61" s="106">
        <f>IF(ISBLANK(I61), "", VLOOKUP(A61&amp;" "&amp;B61, 'Info Tipo de Cambio y REM'!$A$24:$B$35, 2, FALSE))</f>
        <v>1499</v>
      </c>
      <c r="L61" s="107">
        <f t="shared" si="2"/>
        <v>921.0077652</v>
      </c>
      <c r="M61" s="43" t="s">
        <v>1467</v>
      </c>
    </row>
    <row r="62" hidden="1">
      <c r="A62" s="51" t="s">
        <v>182</v>
      </c>
      <c r="B62" s="43">
        <v>2025.0</v>
      </c>
      <c r="C62" s="43" t="s">
        <v>203</v>
      </c>
      <c r="D62" s="43" t="s">
        <v>121</v>
      </c>
      <c r="E62" s="704" t="s">
        <v>142</v>
      </c>
      <c r="F62" s="443">
        <v>120.0</v>
      </c>
      <c r="G62" s="452"/>
      <c r="H62" s="452">
        <f t="array" ref="H62">IFERROR(
  INDEX(
    'Valor Hora Real y Estimada'!$A$4:$Z$78,
    MATCH(TRIM(CLEAN(C62)), 'Valor Hora Real y Estimada'!$A$4:$A$78, 0),
    MATCH(
      TEXT(A62,"dd mmm")&amp;" "&amp;B62,
      'Valor Hora Real y Estimada'!$A$3:$Z$3,
      0
    ) + 1
  ),
  0
)</f>
        <v>11504.922</v>
      </c>
      <c r="I62" s="453">
        <f t="shared" si="8"/>
        <v>1380590.64</v>
      </c>
      <c r="J62" s="106"/>
      <c r="K62" s="106">
        <f>IF(ISBLANK(I62), "", VLOOKUP(A62&amp;" "&amp;B62, 'Info Tipo de Cambio y REM'!$A$24:$B$35, 2, FALSE))</f>
        <v>1536</v>
      </c>
      <c r="L62" s="107">
        <f t="shared" si="2"/>
        <v>898.8220313</v>
      </c>
      <c r="M62" s="43" t="s">
        <v>1467</v>
      </c>
    </row>
    <row r="63" hidden="1">
      <c r="A63" s="51" t="s">
        <v>161</v>
      </c>
      <c r="B63" s="43">
        <v>2025.0</v>
      </c>
      <c r="C63" s="43" t="s">
        <v>203</v>
      </c>
      <c r="D63" s="43" t="s">
        <v>188</v>
      </c>
      <c r="E63" s="704" t="s">
        <v>142</v>
      </c>
      <c r="F63" s="443"/>
      <c r="G63" s="452"/>
      <c r="H63" s="452"/>
      <c r="I63" s="468"/>
      <c r="J63" s="106">
        <v>200.0</v>
      </c>
      <c r="K63" s="106" t="str">
        <f>IF(ISBLANK(I63), "", VLOOKUP(A63&amp;" "&amp;B63, 'Info Tipo de Cambio y REM'!$A$24:$B$35, 2, FALSE))</f>
        <v/>
      </c>
      <c r="L63" s="107">
        <f t="shared" si="2"/>
        <v>200</v>
      </c>
      <c r="M63" s="43" t="s">
        <v>1466</v>
      </c>
    </row>
    <row r="64">
      <c r="A64" s="51" t="s">
        <v>182</v>
      </c>
      <c r="B64" s="43">
        <v>2025.0</v>
      </c>
      <c r="C64" s="43" t="s">
        <v>203</v>
      </c>
      <c r="D64" s="43" t="s">
        <v>188</v>
      </c>
      <c r="E64" s="704" t="s">
        <v>142</v>
      </c>
      <c r="F64" s="443"/>
      <c r="G64" s="452"/>
      <c r="H64" s="452"/>
      <c r="I64" s="468"/>
      <c r="J64" s="106">
        <v>466.0</v>
      </c>
      <c r="K64" s="106" t="str">
        <f>IF(ISBLANK(I64), "", VLOOKUP(A64&amp;" "&amp;B64, 'Info Tipo de Cambio y REM'!$A$24:$B$35, 2, FALSE))</f>
        <v/>
      </c>
      <c r="L64" s="107">
        <f t="shared" si="2"/>
        <v>466</v>
      </c>
      <c r="M64" s="43" t="s">
        <v>1467</v>
      </c>
    </row>
    <row r="65" hidden="1">
      <c r="A65" s="51" t="s">
        <v>155</v>
      </c>
      <c r="B65" s="43">
        <v>2025.0</v>
      </c>
      <c r="C65" s="43" t="s">
        <v>194</v>
      </c>
      <c r="D65" s="43" t="s">
        <v>121</v>
      </c>
      <c r="E65" s="704" t="s">
        <v>142</v>
      </c>
      <c r="F65" s="469">
        <v>159.6257445</v>
      </c>
      <c r="G65" s="452"/>
      <c r="H65" s="452">
        <f t="array" ref="H65">IFERROR(
  INDEX(
    'Valor Hora Real y Estimada'!$A$4:$Z$78,
    MATCH(TRIM(CLEAN(C65)), 'Valor Hora Real y Estimada'!$A$4:$A$78, 0),
    MATCH(
      TEXT(A65,"dd mmm")&amp;" "&amp;B65,
      'Valor Hora Real y Estimada'!$A$3:$Z$3,
      0
    ) + 1
  ),
  0
)</f>
        <v>12088</v>
      </c>
      <c r="I65" s="453">
        <f t="shared" ref="I65:I71" si="9">H65*F65</f>
        <v>1929556</v>
      </c>
      <c r="J65" s="106"/>
      <c r="K65" s="106">
        <f>IF(ISBLANK(I65), "", VLOOKUP(A65&amp;" "&amp;B65, 'Info Tipo de Cambio y REM'!$A$24:$B$35, 2, FALSE))</f>
        <v>1215</v>
      </c>
      <c r="L65" s="107">
        <f t="shared" si="2"/>
        <v>1588.111934</v>
      </c>
      <c r="M65" s="43" t="s">
        <v>1466</v>
      </c>
    </row>
    <row r="66" hidden="1">
      <c r="A66" s="51" t="s">
        <v>161</v>
      </c>
      <c r="B66" s="43">
        <v>2025.0</v>
      </c>
      <c r="C66" s="43" t="s">
        <v>194</v>
      </c>
      <c r="D66" s="43" t="s">
        <v>121</v>
      </c>
      <c r="E66" s="704" t="s">
        <v>142</v>
      </c>
      <c r="F66" s="469">
        <v>159.6257445</v>
      </c>
      <c r="G66" s="452"/>
      <c r="H66" s="452">
        <f t="array" ref="H66">IFERROR(
  INDEX(
    'Valor Hora Real y Estimada'!$A$4:$Z$78,
    MATCH(TRIM(CLEAN(C66)), 'Valor Hora Real y Estimada'!$A$4:$A$78, 0),
    MATCH(
      TEXT(A66,"dd mmm")&amp;" "&amp;B66,
      'Valor Hora Real y Estimada'!$A$3:$Z$3,
      0
    ) + 1
  ),
  0
)</f>
        <v>12088</v>
      </c>
      <c r="I66" s="453">
        <f t="shared" si="9"/>
        <v>1929556</v>
      </c>
      <c r="J66" s="106"/>
      <c r="K66" s="106">
        <f>IF(ISBLANK(I66), "", VLOOKUP(A66&amp;" "&amp;B66, 'Info Tipo de Cambio y REM'!$A$24:$B$35, 2, FALSE))</f>
        <v>1320</v>
      </c>
      <c r="L66" s="107">
        <f t="shared" si="2"/>
        <v>1461.784848</v>
      </c>
      <c r="M66" s="43" t="s">
        <v>1466</v>
      </c>
    </row>
    <row r="67" hidden="1">
      <c r="A67" s="51" t="s">
        <v>166</v>
      </c>
      <c r="B67" s="43">
        <v>2025.0</v>
      </c>
      <c r="C67" s="43" t="s">
        <v>194</v>
      </c>
      <c r="D67" s="43" t="s">
        <v>121</v>
      </c>
      <c r="E67" s="704" t="s">
        <v>142</v>
      </c>
      <c r="F67" s="443">
        <v>160.0</v>
      </c>
      <c r="G67" s="452"/>
      <c r="H67" s="452">
        <f t="array" ref="H67">IFERROR(
  INDEX(
    'Valor Hora Real y Estimada'!$A$4:$Z$78,
    MATCH(TRIM(CLEAN(C67)), 'Valor Hora Real y Estimada'!$A$4:$A$78, 0),
    MATCH(
      TEXT(A67,"dd mmm")&amp;" "&amp;B67,
      'Valor Hora Real y Estimada'!$A$3:$Z$3,
      0
    ) + 1
  ),
  0
)</f>
        <v>12702.0704</v>
      </c>
      <c r="I67" s="453">
        <f t="shared" si="9"/>
        <v>2032331.264</v>
      </c>
      <c r="J67" s="106"/>
      <c r="K67" s="106">
        <f>IF(ISBLANK(I67), "", VLOOKUP(A67&amp;" "&amp;B67, 'Info Tipo de Cambio y REM'!$A$24:$B$35, 2, FALSE))</f>
        <v>1345</v>
      </c>
      <c r="L67" s="107">
        <f t="shared" si="2"/>
        <v>1511.026962</v>
      </c>
      <c r="M67" s="43" t="s">
        <v>1466</v>
      </c>
    </row>
    <row r="68" hidden="1">
      <c r="A68" s="51" t="s">
        <v>171</v>
      </c>
      <c r="B68" s="43">
        <v>2025.0</v>
      </c>
      <c r="C68" s="43" t="s">
        <v>194</v>
      </c>
      <c r="D68" s="43" t="s">
        <v>121</v>
      </c>
      <c r="E68" s="704" t="s">
        <v>142</v>
      </c>
      <c r="F68" s="443">
        <v>160.0</v>
      </c>
      <c r="G68" s="452"/>
      <c r="H68" s="452">
        <f t="array" ref="H68">IFERROR(
  INDEX(
    'Valor Hora Real y Estimada'!$A$4:$Z$78,
    MATCH(TRIM(CLEAN(C68)), 'Valor Hora Real y Estimada'!$A$4:$A$78, 0),
    MATCH(
      TEXT(A68,"dd mmm")&amp;" "&amp;B68,
      'Valor Hora Real y Estimada'!$A$3:$Z$3,
      0
    ) + 1
  ),
  0
)</f>
        <v>12702.0704</v>
      </c>
      <c r="I68" s="453">
        <f t="shared" si="9"/>
        <v>2032331.264</v>
      </c>
      <c r="J68" s="106"/>
      <c r="K68" s="106">
        <f>IF(ISBLANK(I68), "", VLOOKUP(A68&amp;" "&amp;B68, 'Info Tipo de Cambio y REM'!$A$24:$B$35, 2, FALSE))</f>
        <v>1445</v>
      </c>
      <c r="L68" s="107">
        <f t="shared" si="2"/>
        <v>1406.457622</v>
      </c>
      <c r="M68" s="43" t="s">
        <v>1466</v>
      </c>
    </row>
    <row r="69" hidden="1">
      <c r="A69" s="51" t="s">
        <v>175</v>
      </c>
      <c r="B69" s="43">
        <v>2025.0</v>
      </c>
      <c r="C69" s="43" t="s">
        <v>194</v>
      </c>
      <c r="D69" s="43" t="s">
        <v>121</v>
      </c>
      <c r="E69" s="704" t="s">
        <v>142</v>
      </c>
      <c r="F69" s="443">
        <v>160.0</v>
      </c>
      <c r="G69" s="452"/>
      <c r="H69" s="452">
        <f t="array" ref="H69">IFERROR(
  INDEX(
    'Valor Hora Real y Estimada'!$A$4:$Z$78,
    MATCH(TRIM(CLEAN(C69)), 'Valor Hora Real y Estimada'!$A$4:$A$78, 0),
    MATCH(
      TEXT(A69,"dd mmm")&amp;" "&amp;B69,
      'Valor Hora Real y Estimada'!$A$3:$Z$3,
      0
    ) + 1
  ),
  0
)</f>
        <v>12702.0704</v>
      </c>
      <c r="I69" s="453">
        <f t="shared" si="9"/>
        <v>2032331.264</v>
      </c>
      <c r="J69" s="106"/>
      <c r="K69" s="106">
        <f>IF(ISBLANK(I69), "", VLOOKUP(A69&amp;" "&amp;B69, 'Info Tipo de Cambio y REM'!$A$24:$B$35, 2, FALSE))</f>
        <v>1440</v>
      </c>
      <c r="L69" s="107">
        <f t="shared" si="2"/>
        <v>1411.341156</v>
      </c>
      <c r="M69" s="43" t="s">
        <v>1467</v>
      </c>
    </row>
    <row r="70" hidden="1">
      <c r="A70" s="51" t="s">
        <v>179</v>
      </c>
      <c r="B70" s="43">
        <v>2025.0</v>
      </c>
      <c r="C70" s="43" t="s">
        <v>194</v>
      </c>
      <c r="D70" s="43" t="s">
        <v>121</v>
      </c>
      <c r="E70" s="704" t="s">
        <v>142</v>
      </c>
      <c r="F70" s="443">
        <v>160.0</v>
      </c>
      <c r="G70" s="452"/>
      <c r="H70" s="452">
        <f t="array" ref="H70">IFERROR(
  INDEX(
    'Valor Hora Real y Estimada'!$A$4:$Z$78,
    MATCH(TRIM(CLEAN(C70)), 'Valor Hora Real y Estimada'!$A$4:$A$78, 0),
    MATCH(
      TEXT(A70,"dd mmm")&amp;" "&amp;B70,
      'Valor Hora Real y Estimada'!$A$3:$Z$3,
      0
    ) + 1
  ),
  0
)</f>
        <v>13337.17392</v>
      </c>
      <c r="I70" s="453">
        <f t="shared" si="9"/>
        <v>2133947.827</v>
      </c>
      <c r="J70" s="106"/>
      <c r="K70" s="106">
        <f>IF(ISBLANK(I70), "", VLOOKUP(A70&amp;" "&amp;B70, 'Info Tipo de Cambio y REM'!$A$24:$B$35, 2, FALSE))</f>
        <v>1499</v>
      </c>
      <c r="L70" s="107">
        <f t="shared" si="2"/>
        <v>1423.580939</v>
      </c>
      <c r="M70" s="43" t="s">
        <v>1467</v>
      </c>
    </row>
    <row r="71" hidden="1">
      <c r="A71" s="51" t="s">
        <v>182</v>
      </c>
      <c r="B71" s="43">
        <v>2025.0</v>
      </c>
      <c r="C71" s="43" t="s">
        <v>194</v>
      </c>
      <c r="D71" s="43" t="s">
        <v>121</v>
      </c>
      <c r="E71" s="704" t="s">
        <v>142</v>
      </c>
      <c r="F71" s="443">
        <v>160.0</v>
      </c>
      <c r="G71" s="452"/>
      <c r="H71" s="452">
        <f t="array" ref="H71">IFERROR(
  INDEX(
    'Valor Hora Real y Estimada'!$A$4:$Z$78,
    MATCH(TRIM(CLEAN(C71)), 'Valor Hora Real y Estimada'!$A$4:$A$78, 0),
    MATCH(
      TEXT(A71,"dd mmm")&amp;" "&amp;B71,
      'Valor Hora Real y Estimada'!$A$3:$Z$3,
      0
    ) + 1
  ),
  0
)</f>
        <v>13337.17392</v>
      </c>
      <c r="I71" s="453">
        <f t="shared" si="9"/>
        <v>2133947.827</v>
      </c>
      <c r="J71" s="106"/>
      <c r="K71" s="106">
        <f>IF(ISBLANK(I71), "", VLOOKUP(A71&amp;" "&amp;B71, 'Info Tipo de Cambio y REM'!$A$24:$B$35, 2, FALSE))</f>
        <v>1536</v>
      </c>
      <c r="L71" s="107">
        <f t="shared" si="2"/>
        <v>1389.28895</v>
      </c>
      <c r="M71" s="43" t="s">
        <v>1467</v>
      </c>
    </row>
    <row r="72" hidden="1">
      <c r="A72" s="51" t="s">
        <v>161</v>
      </c>
      <c r="B72" s="43">
        <v>2025.0</v>
      </c>
      <c r="C72" s="43" t="s">
        <v>194</v>
      </c>
      <c r="D72" s="43" t="s">
        <v>188</v>
      </c>
      <c r="E72" s="704" t="s">
        <v>142</v>
      </c>
      <c r="F72" s="443"/>
      <c r="G72" s="452"/>
      <c r="H72" s="452"/>
      <c r="I72" s="468"/>
      <c r="J72" s="106">
        <v>330.0</v>
      </c>
      <c r="K72" s="106" t="str">
        <f>IF(ISBLANK(I72), "", VLOOKUP(A72&amp;" "&amp;B72, 'Info Tipo de Cambio y REM'!$A$24:$B$35, 2, FALSE))</f>
        <v/>
      </c>
      <c r="L72" s="107">
        <f t="shared" si="2"/>
        <v>330</v>
      </c>
      <c r="M72" s="43" t="s">
        <v>1466</v>
      </c>
    </row>
    <row r="73">
      <c r="A73" s="51" t="s">
        <v>182</v>
      </c>
      <c r="B73" s="43">
        <v>2025.0</v>
      </c>
      <c r="C73" s="43" t="s">
        <v>194</v>
      </c>
      <c r="D73" s="43" t="s">
        <v>188</v>
      </c>
      <c r="E73" s="704" t="s">
        <v>142</v>
      </c>
      <c r="F73" s="443"/>
      <c r="G73" s="452"/>
      <c r="H73" s="452"/>
      <c r="I73" s="453"/>
      <c r="J73" s="106">
        <v>767.0</v>
      </c>
      <c r="K73" s="106" t="str">
        <f>IF(ISBLANK(I73), "", VLOOKUP(A73&amp;" "&amp;B73, 'Info Tipo de Cambio y REM'!$A$24:$B$35, 2, FALSE))</f>
        <v/>
      </c>
      <c r="L73" s="107">
        <f t="shared" si="2"/>
        <v>767</v>
      </c>
      <c r="M73" s="43" t="s">
        <v>1467</v>
      </c>
    </row>
    <row r="74" hidden="1">
      <c r="A74" s="51" t="s">
        <v>155</v>
      </c>
      <c r="B74" s="43">
        <v>2025.0</v>
      </c>
      <c r="C74" s="43" t="s">
        <v>228</v>
      </c>
      <c r="D74" s="43" t="s">
        <v>121</v>
      </c>
      <c r="E74" s="704" t="s">
        <v>122</v>
      </c>
      <c r="F74" s="443">
        <v>100.0</v>
      </c>
      <c r="G74" s="452"/>
      <c r="H74" s="452">
        <f t="array" ref="H74">IFERROR(
  INDEX(
    'Valor Hora Real y Estimada'!$A$4:$Z$78,
    MATCH(TRIM(CLEAN(C74)), 'Valor Hora Real y Estimada'!$A$4:$A$78, 0),
    MATCH(
      TEXT(A74,"dd mmm")&amp;" "&amp;B74,
      'Valor Hora Real y Estimada'!$A$3:$Z$3,
      0
    ) + 1
  ),
  0
)</f>
        <v>19602</v>
      </c>
      <c r="I74" s="453">
        <f t="shared" ref="I74:I80" si="10">H74*F74</f>
        <v>1960200</v>
      </c>
      <c r="J74" s="106"/>
      <c r="K74" s="106">
        <f>IF(ISBLANK(I74), "", VLOOKUP(A74&amp;" "&amp;B74, 'Info Tipo de Cambio y REM'!$A$24:$B$35, 2, FALSE))</f>
        <v>1215</v>
      </c>
      <c r="L74" s="107">
        <f t="shared" si="2"/>
        <v>1613.333333</v>
      </c>
      <c r="M74" s="43" t="s">
        <v>1466</v>
      </c>
    </row>
    <row r="75" hidden="1">
      <c r="A75" s="51" t="s">
        <v>161</v>
      </c>
      <c r="B75" s="43">
        <v>2025.0</v>
      </c>
      <c r="C75" s="43" t="s">
        <v>228</v>
      </c>
      <c r="D75" s="43" t="s">
        <v>121</v>
      </c>
      <c r="E75" s="704" t="s">
        <v>122</v>
      </c>
      <c r="F75" s="443">
        <v>100.0</v>
      </c>
      <c r="G75" s="452"/>
      <c r="H75" s="452">
        <f t="array" ref="H75">IFERROR(
  INDEX(
    'Valor Hora Real y Estimada'!$A$4:$Z$78,
    MATCH(TRIM(CLEAN(C75)), 'Valor Hora Real y Estimada'!$A$4:$A$78, 0),
    MATCH(
      TEXT(A75,"dd mmm")&amp;" "&amp;B75,
      'Valor Hora Real y Estimada'!$A$3:$Z$3,
      0
    ) + 1
  ),
  0
)</f>
        <v>19602</v>
      </c>
      <c r="I75" s="453">
        <f t="shared" si="10"/>
        <v>1960200</v>
      </c>
      <c r="J75" s="106"/>
      <c r="K75" s="106">
        <f>IF(ISBLANK(I75), "", VLOOKUP(A75&amp;" "&amp;B75, 'Info Tipo de Cambio y REM'!$A$24:$B$35, 2, FALSE))</f>
        <v>1320</v>
      </c>
      <c r="L75" s="107">
        <f t="shared" si="2"/>
        <v>1485</v>
      </c>
      <c r="M75" s="43" t="s">
        <v>1466</v>
      </c>
    </row>
    <row r="76" hidden="1">
      <c r="A76" s="51" t="s">
        <v>166</v>
      </c>
      <c r="B76" s="43">
        <v>2025.0</v>
      </c>
      <c r="C76" s="43" t="s">
        <v>228</v>
      </c>
      <c r="D76" s="43" t="s">
        <v>121</v>
      </c>
      <c r="E76" s="704" t="s">
        <v>122</v>
      </c>
      <c r="F76" s="443">
        <v>100.0</v>
      </c>
      <c r="G76" s="452"/>
      <c r="H76" s="452">
        <f t="array" ref="H76">IFERROR(
  INDEX(
    'Valor Hora Real y Estimada'!$A$4:$Z$78,
    MATCH(TRIM(CLEAN(C76)), 'Valor Hora Real y Estimada'!$A$4:$A$78, 0),
    MATCH(
      TEXT(A76,"dd mmm")&amp;" "&amp;B76,
      'Valor Hora Real y Estimada'!$A$3:$Z$3,
      0
    ) + 1
  ),
  0
)</f>
        <v>19602</v>
      </c>
      <c r="I76" s="453">
        <f t="shared" si="10"/>
        <v>1960200</v>
      </c>
      <c r="J76" s="106"/>
      <c r="K76" s="106">
        <f>IF(ISBLANK(I76), "", VLOOKUP(A76&amp;" "&amp;B76, 'Info Tipo de Cambio y REM'!$A$24:$B$35, 2, FALSE))</f>
        <v>1345</v>
      </c>
      <c r="L76" s="107">
        <f t="shared" si="2"/>
        <v>1457.39777</v>
      </c>
      <c r="M76" s="43" t="s">
        <v>1466</v>
      </c>
    </row>
    <row r="77" hidden="1">
      <c r="A77" s="51" t="s">
        <v>171</v>
      </c>
      <c r="B77" s="43">
        <v>2025.0</v>
      </c>
      <c r="C77" s="43" t="s">
        <v>228</v>
      </c>
      <c r="D77" s="43" t="s">
        <v>121</v>
      </c>
      <c r="E77" s="704" t="s">
        <v>122</v>
      </c>
      <c r="F77" s="443">
        <v>100.0</v>
      </c>
      <c r="G77" s="452"/>
      <c r="H77" s="452">
        <f t="array" ref="H77">IFERROR(
  INDEX(
    'Valor Hora Real y Estimada'!$A$4:$Z$78,
    MATCH(TRIM(CLEAN(C77)), 'Valor Hora Real y Estimada'!$A$4:$A$78, 0),
    MATCH(
      TEXT(A77,"dd mmm")&amp;" "&amp;B77,
      'Valor Hora Real y Estimada'!$A$3:$Z$3,
      0
    ) + 1
  ),
  0
)</f>
        <v>20680</v>
      </c>
      <c r="I77" s="453">
        <f t="shared" si="10"/>
        <v>2068000</v>
      </c>
      <c r="J77" s="106"/>
      <c r="K77" s="106">
        <f>IF(ISBLANK(I77), "", VLOOKUP(A77&amp;" "&amp;B77, 'Info Tipo de Cambio y REM'!$A$24:$B$35, 2, FALSE))</f>
        <v>1445</v>
      </c>
      <c r="L77" s="107">
        <f t="shared" si="2"/>
        <v>1431.141869</v>
      </c>
      <c r="M77" s="43" t="s">
        <v>1466</v>
      </c>
    </row>
    <row r="78" hidden="1">
      <c r="A78" s="51" t="s">
        <v>175</v>
      </c>
      <c r="B78" s="43">
        <v>2025.0</v>
      </c>
      <c r="C78" s="43" t="s">
        <v>228</v>
      </c>
      <c r="D78" s="43" t="s">
        <v>121</v>
      </c>
      <c r="E78" s="704" t="s">
        <v>122</v>
      </c>
      <c r="F78" s="443">
        <v>100.0</v>
      </c>
      <c r="G78" s="452"/>
      <c r="H78" s="452">
        <f t="array" ref="H78">IFERROR(
  INDEX(
    'Valor Hora Real y Estimada'!$A$4:$Z$78,
    MATCH(TRIM(CLEAN(C78)), 'Valor Hora Real y Estimada'!$A$4:$A$78, 0),
    MATCH(
      TEXT(A78,"dd mmm")&amp;" "&amp;B78,
      'Valor Hora Real y Estimada'!$A$3:$Z$3,
      0
    ) + 1
  ),
  0
)</f>
        <v>20680</v>
      </c>
      <c r="I78" s="453">
        <f t="shared" si="10"/>
        <v>2068000</v>
      </c>
      <c r="J78" s="106"/>
      <c r="K78" s="106">
        <f>IF(ISBLANK(I78), "", VLOOKUP(A78&amp;" "&amp;B78, 'Info Tipo de Cambio y REM'!$A$24:$B$35, 2, FALSE))</f>
        <v>1440</v>
      </c>
      <c r="L78" s="107">
        <f t="shared" si="2"/>
        <v>1436.111111</v>
      </c>
      <c r="M78" s="43" t="s">
        <v>1467</v>
      </c>
    </row>
    <row r="79" hidden="1">
      <c r="A79" s="51" t="s">
        <v>179</v>
      </c>
      <c r="B79" s="43">
        <v>2025.0</v>
      </c>
      <c r="C79" s="43" t="s">
        <v>228</v>
      </c>
      <c r="D79" s="43" t="s">
        <v>121</v>
      </c>
      <c r="E79" s="704" t="s">
        <v>122</v>
      </c>
      <c r="F79" s="443">
        <v>100.0</v>
      </c>
      <c r="G79" s="452"/>
      <c r="H79" s="452">
        <f t="array" ref="H79">IFERROR(
  INDEX(
    'Valor Hora Real y Estimada'!$A$4:$Z$78,
    MATCH(TRIM(CLEAN(C79)), 'Valor Hora Real y Estimada'!$A$4:$A$78, 0),
    MATCH(
      TEXT(A79,"dd mmm")&amp;" "&amp;B79,
      'Valor Hora Real y Estimada'!$A$3:$Z$3,
      0
    ) + 1
  ),
  0
)</f>
        <v>20680</v>
      </c>
      <c r="I79" s="453">
        <f t="shared" si="10"/>
        <v>2068000</v>
      </c>
      <c r="J79" s="106"/>
      <c r="K79" s="106">
        <f>IF(ISBLANK(I79), "", VLOOKUP(A79&amp;" "&amp;B79, 'Info Tipo de Cambio y REM'!$A$24:$B$35, 2, FALSE))</f>
        <v>1499</v>
      </c>
      <c r="L79" s="107">
        <f t="shared" si="2"/>
        <v>1379.586391</v>
      </c>
      <c r="M79" s="43" t="s">
        <v>1467</v>
      </c>
    </row>
    <row r="80" hidden="1">
      <c r="A80" s="51" t="s">
        <v>182</v>
      </c>
      <c r="B80" s="43">
        <v>2025.0</v>
      </c>
      <c r="C80" s="43" t="s">
        <v>228</v>
      </c>
      <c r="D80" s="43" t="s">
        <v>121</v>
      </c>
      <c r="E80" s="704" t="s">
        <v>122</v>
      </c>
      <c r="F80" s="443">
        <v>100.0</v>
      </c>
      <c r="G80" s="452"/>
      <c r="H80" s="452">
        <f t="array" ref="H80">IFERROR(
  INDEX(
    'Valor Hora Real y Estimada'!$A$4:$Z$78,
    MATCH(TRIM(CLEAN(C80)), 'Valor Hora Real y Estimada'!$A$4:$A$78, 0),
    MATCH(
      TEXT(A80,"dd mmm")&amp;" "&amp;B80,
      'Valor Hora Real y Estimada'!$A$3:$Z$3,
      0
    ) + 1
  ),
  0
)</f>
        <v>21817.4</v>
      </c>
      <c r="I80" s="453">
        <f t="shared" si="10"/>
        <v>2181740</v>
      </c>
      <c r="J80" s="106"/>
      <c r="K80" s="106">
        <f>IF(ISBLANK(I80), "", VLOOKUP(A80&amp;" "&amp;B80, 'Info Tipo de Cambio y REM'!$A$24:$B$35, 2, FALSE))</f>
        <v>1536</v>
      </c>
      <c r="L80" s="107">
        <f t="shared" si="2"/>
        <v>1420.403646</v>
      </c>
      <c r="M80" s="43" t="s">
        <v>1467</v>
      </c>
    </row>
    <row r="81" hidden="1">
      <c r="A81" s="51" t="s">
        <v>161</v>
      </c>
      <c r="B81" s="43">
        <v>2025.0</v>
      </c>
      <c r="C81" s="43" t="s">
        <v>228</v>
      </c>
      <c r="D81" s="43" t="s">
        <v>188</v>
      </c>
      <c r="E81" s="704" t="s">
        <v>122</v>
      </c>
      <c r="F81" s="443"/>
      <c r="G81" s="452"/>
      <c r="H81" s="452"/>
      <c r="I81" s="453"/>
      <c r="J81" s="106">
        <v>350.0</v>
      </c>
      <c r="K81" s="106" t="str">
        <f>IF(ISBLANK(I81), "", VLOOKUP(A81&amp;" "&amp;B81, 'Info Tipo de Cambio y REM'!$A$24:$B$35, 2, FALSE))</f>
        <v/>
      </c>
      <c r="L81" s="107">
        <f t="shared" si="2"/>
        <v>350</v>
      </c>
      <c r="M81" s="43" t="s">
        <v>1466</v>
      </c>
    </row>
    <row r="82">
      <c r="A82" s="51" t="s">
        <v>182</v>
      </c>
      <c r="B82" s="43">
        <v>2025.0</v>
      </c>
      <c r="C82" s="43" t="s">
        <v>228</v>
      </c>
      <c r="D82" s="43" t="s">
        <v>188</v>
      </c>
      <c r="E82" s="704" t="s">
        <v>122</v>
      </c>
      <c r="F82" s="443"/>
      <c r="G82" s="452"/>
      <c r="H82" s="452"/>
      <c r="I82" s="453"/>
      <c r="J82" s="106">
        <v>711.0</v>
      </c>
      <c r="K82" s="106" t="str">
        <f>IF(ISBLANK(I82), "", VLOOKUP(A82&amp;" "&amp;B82, 'Info Tipo de Cambio y REM'!$A$24:$B$35, 2, FALSE))</f>
        <v/>
      </c>
      <c r="L82" s="107">
        <f t="shared" si="2"/>
        <v>711</v>
      </c>
      <c r="M82" s="43" t="s">
        <v>1467</v>
      </c>
    </row>
    <row r="83" hidden="1">
      <c r="A83" s="51" t="s">
        <v>155</v>
      </c>
      <c r="B83" s="43">
        <v>2025.0</v>
      </c>
      <c r="C83" s="43" t="s">
        <v>214</v>
      </c>
      <c r="D83" s="43" t="s">
        <v>121</v>
      </c>
      <c r="E83" s="704" t="s">
        <v>142</v>
      </c>
      <c r="F83" s="443">
        <v>160.0</v>
      </c>
      <c r="G83" s="452"/>
      <c r="H83" s="452">
        <f t="array" ref="H83">IFERROR(
  INDEX(
    'Valor Hora Real y Estimada'!$A$4:$Z$78,
    MATCH(TRIM(CLEAN(C83)), 'Valor Hora Real y Estimada'!$A$4:$A$78, 0),
    MATCH(
      TEXT(A83,"dd mmm")&amp;" "&amp;B83,
      'Valor Hora Real y Estimada'!$A$3:$Z$3,
      0
    ) + 1
  ),
  0
)</f>
        <v>10000</v>
      </c>
      <c r="I83" s="453">
        <f t="shared" ref="I83:I84" si="11">H83*F83</f>
        <v>1600000</v>
      </c>
      <c r="J83" s="106"/>
      <c r="K83" s="106">
        <f>IF(ISBLANK(I83), "", VLOOKUP(A83&amp;" "&amp;B83, 'Info Tipo de Cambio y REM'!$A$24:$B$35, 2, FALSE))</f>
        <v>1215</v>
      </c>
      <c r="L83" s="107">
        <f t="shared" si="2"/>
        <v>1316.872428</v>
      </c>
      <c r="M83" s="43" t="s">
        <v>1466</v>
      </c>
    </row>
    <row r="84" hidden="1">
      <c r="A84" s="51" t="s">
        <v>161</v>
      </c>
      <c r="B84" s="43">
        <v>2025.0</v>
      </c>
      <c r="C84" s="43" t="s">
        <v>214</v>
      </c>
      <c r="D84" s="43" t="s">
        <v>121</v>
      </c>
      <c r="E84" s="704" t="s">
        <v>142</v>
      </c>
      <c r="F84" s="443">
        <v>160.0</v>
      </c>
      <c r="G84" s="452"/>
      <c r="H84" s="452">
        <f t="array" ref="H84">IFERROR(
  INDEX(
    'Valor Hora Real y Estimada'!$A$4:$Z$78,
    MATCH(TRIM(CLEAN(C84)), 'Valor Hora Real y Estimada'!$A$4:$A$78, 0),
    MATCH(
      TEXT(A84,"dd mmm")&amp;" "&amp;B84,
      'Valor Hora Real y Estimada'!$A$3:$Z$3,
      0
    ) + 1
  ),
  0
)</f>
        <v>10000</v>
      </c>
      <c r="I84" s="453">
        <f t="shared" si="11"/>
        <v>1600000</v>
      </c>
      <c r="J84" s="106"/>
      <c r="K84" s="106">
        <f>IF(ISBLANK(I84), "", VLOOKUP(A84&amp;" "&amp;B84, 'Info Tipo de Cambio y REM'!$A$24:$B$35, 2, FALSE))</f>
        <v>1320</v>
      </c>
      <c r="L84" s="107">
        <f t="shared" si="2"/>
        <v>1212.121212</v>
      </c>
      <c r="M84" s="43" t="s">
        <v>1466</v>
      </c>
    </row>
    <row r="85" hidden="1">
      <c r="A85" s="51" t="s">
        <v>166</v>
      </c>
      <c r="B85" s="43">
        <v>2025.0</v>
      </c>
      <c r="C85" s="43" t="s">
        <v>214</v>
      </c>
      <c r="D85" s="43" t="s">
        <v>121</v>
      </c>
      <c r="E85" s="704" t="s">
        <v>142</v>
      </c>
      <c r="F85" s="443" t="s">
        <v>1468</v>
      </c>
      <c r="G85" s="452"/>
      <c r="H85" s="452">
        <f t="array" ref="H85">IFERROR(
  INDEX(
    'Valor Hora Real y Estimada'!$A$4:$Z$78,
    MATCH(TRIM(CLEAN(C85)), 'Valor Hora Real y Estimada'!$A$4:$A$78, 0),
    MATCH(
      TEXT(A85,"dd mmm")&amp;" "&amp;B85,
      'Valor Hora Real y Estimada'!$A$3:$Z$3,
      0
    ) + 1
  ),
  0
)</f>
        <v>10508</v>
      </c>
      <c r="I85" s="453">
        <f>((H85*160)/31)*10</f>
        <v>542348.3871</v>
      </c>
      <c r="J85" s="106"/>
      <c r="K85" s="106">
        <f>IF(ISBLANK(I85), "", VLOOKUP(A85&amp;" "&amp;B85, 'Info Tipo de Cambio y REM'!$A$24:$B$35, 2, FALSE))</f>
        <v>1345</v>
      </c>
      <c r="L85" s="107">
        <f t="shared" si="2"/>
        <v>403.2330016</v>
      </c>
      <c r="M85" s="43" t="s">
        <v>1466</v>
      </c>
    </row>
    <row r="86" hidden="1">
      <c r="A86" s="51" t="s">
        <v>171</v>
      </c>
      <c r="B86" s="43">
        <v>2025.0</v>
      </c>
      <c r="C86" s="43" t="s">
        <v>214</v>
      </c>
      <c r="D86" s="43" t="s">
        <v>121</v>
      </c>
      <c r="E86" s="704" t="s">
        <v>142</v>
      </c>
      <c r="F86" s="443">
        <v>160.0</v>
      </c>
      <c r="G86" s="452"/>
      <c r="H86" s="452">
        <f t="array" ref="H86">IFERROR(
  INDEX(
    'Valor Hora Real y Estimada'!$A$4:$Z$78,
    MATCH(TRIM(CLEAN(C86)), 'Valor Hora Real y Estimada'!$A$4:$A$78, 0),
    MATCH(
      TEXT(A86,"dd mmm")&amp;" "&amp;B86,
      'Valor Hora Real y Estimada'!$A$3:$Z$3,
      0
    ) + 1
  ),
  0
)</f>
        <v>10508</v>
      </c>
      <c r="I86" s="453">
        <f t="shared" ref="I86:I89" si="12">H86*F86</f>
        <v>1681280</v>
      </c>
      <c r="J86" s="106"/>
      <c r="K86" s="106">
        <f>IF(ISBLANK(I86), "", VLOOKUP(A86&amp;" "&amp;B86, 'Info Tipo de Cambio y REM'!$A$24:$B$35, 2, FALSE))</f>
        <v>1445</v>
      </c>
      <c r="L86" s="107">
        <f t="shared" si="2"/>
        <v>1163.515571</v>
      </c>
      <c r="M86" s="43" t="s">
        <v>1466</v>
      </c>
    </row>
    <row r="87" hidden="1">
      <c r="A87" s="51" t="s">
        <v>175</v>
      </c>
      <c r="B87" s="43">
        <v>2025.0</v>
      </c>
      <c r="C87" s="43" t="s">
        <v>214</v>
      </c>
      <c r="D87" s="43" t="s">
        <v>121</v>
      </c>
      <c r="E87" s="704" t="s">
        <v>142</v>
      </c>
      <c r="F87" s="443">
        <v>160.0</v>
      </c>
      <c r="G87" s="452"/>
      <c r="H87" s="452">
        <f t="array" ref="H87">IFERROR(
  INDEX(
    'Valor Hora Real y Estimada'!$A$4:$Z$78,
    MATCH(TRIM(CLEAN(C87)), 'Valor Hora Real y Estimada'!$A$4:$A$78, 0),
    MATCH(
      TEXT(A87,"dd mmm")&amp;" "&amp;B87,
      'Valor Hora Real y Estimada'!$A$3:$Z$3,
      0
    ) + 1
  ),
  0
)</f>
        <v>10508</v>
      </c>
      <c r="I87" s="453">
        <f t="shared" si="12"/>
        <v>1681280</v>
      </c>
      <c r="J87" s="106"/>
      <c r="K87" s="106">
        <f>IF(ISBLANK(I87), "", VLOOKUP(A87&amp;" "&amp;B87, 'Info Tipo de Cambio y REM'!$A$24:$B$35, 2, FALSE))</f>
        <v>1440</v>
      </c>
      <c r="L87" s="107">
        <f t="shared" si="2"/>
        <v>1167.555556</v>
      </c>
      <c r="M87" s="43" t="s">
        <v>1467</v>
      </c>
    </row>
    <row r="88" hidden="1">
      <c r="A88" s="51" t="s">
        <v>179</v>
      </c>
      <c r="B88" s="43">
        <v>2025.0</v>
      </c>
      <c r="C88" s="43" t="s">
        <v>214</v>
      </c>
      <c r="D88" s="43" t="s">
        <v>121</v>
      </c>
      <c r="E88" s="704" t="s">
        <v>142</v>
      </c>
      <c r="F88" s="443">
        <v>160.0</v>
      </c>
      <c r="G88" s="452"/>
      <c r="H88" s="452">
        <f t="array" ref="H88">IFERROR(
  INDEX(
    'Valor Hora Real y Estimada'!$A$4:$Z$78,
    MATCH(TRIM(CLEAN(C88)), 'Valor Hora Real y Estimada'!$A$4:$A$78, 0),
    MATCH(
      TEXT(A88,"dd mmm")&amp;" "&amp;B88,
      'Valor Hora Real y Estimada'!$A$3:$Z$3,
      0
    ) + 1
  ),
  0
)</f>
        <v>11981</v>
      </c>
      <c r="I88" s="453">
        <f t="shared" si="12"/>
        <v>1916960</v>
      </c>
      <c r="J88" s="106"/>
      <c r="K88" s="106">
        <f>IF(ISBLANK(I88), "", VLOOKUP(A88&amp;" "&amp;B88, 'Info Tipo de Cambio y REM'!$A$24:$B$35, 2, FALSE))</f>
        <v>1499</v>
      </c>
      <c r="L88" s="107">
        <f t="shared" si="2"/>
        <v>1278.825884</v>
      </c>
      <c r="M88" s="43" t="s">
        <v>1467</v>
      </c>
    </row>
    <row r="89" hidden="1">
      <c r="A89" s="51" t="s">
        <v>182</v>
      </c>
      <c r="B89" s="43">
        <v>2025.0</v>
      </c>
      <c r="C89" s="43" t="s">
        <v>214</v>
      </c>
      <c r="D89" s="43" t="s">
        <v>121</v>
      </c>
      <c r="E89" s="704" t="s">
        <v>142</v>
      </c>
      <c r="F89" s="443">
        <v>160.0</v>
      </c>
      <c r="G89" s="452"/>
      <c r="H89" s="452">
        <f t="array" ref="H89">IFERROR(
  INDEX(
    'Valor Hora Real y Estimada'!$A$4:$Z$78,
    MATCH(TRIM(CLEAN(C89)), 'Valor Hora Real y Estimada'!$A$4:$A$78, 0),
    MATCH(
      TEXT(A89,"dd mmm")&amp;" "&amp;B89,
      'Valor Hora Real y Estimada'!$A$3:$Z$3,
      0
    ) + 1
  ),
  0
)</f>
        <v>11981</v>
      </c>
      <c r="I89" s="453">
        <f t="shared" si="12"/>
        <v>1916960</v>
      </c>
      <c r="J89" s="106"/>
      <c r="K89" s="106">
        <f>IF(ISBLANK(I89), "", VLOOKUP(A89&amp;" "&amp;B89, 'Info Tipo de Cambio y REM'!$A$24:$B$35, 2, FALSE))</f>
        <v>1536</v>
      </c>
      <c r="L89" s="107">
        <f t="shared" si="2"/>
        <v>1248.020833</v>
      </c>
      <c r="M89" s="43" t="s">
        <v>1467</v>
      </c>
    </row>
    <row r="90" hidden="1">
      <c r="A90" s="467" t="s">
        <v>161</v>
      </c>
      <c r="B90" s="43">
        <v>2025.0</v>
      </c>
      <c r="C90" s="43" t="s">
        <v>214</v>
      </c>
      <c r="D90" s="43" t="s">
        <v>188</v>
      </c>
      <c r="E90" s="704" t="s">
        <v>142</v>
      </c>
      <c r="F90" s="443"/>
      <c r="G90" s="452"/>
      <c r="H90" s="452"/>
      <c r="I90" s="453"/>
      <c r="J90" s="106">
        <v>180.0</v>
      </c>
      <c r="K90" s="106" t="str">
        <f>IF(ISBLANK(I90), "", VLOOKUP(A90&amp;" "&amp;B90, 'Info Tipo de Cambio y REM'!$A$24:$B$35, 2, FALSE))</f>
        <v/>
      </c>
      <c r="L90" s="107">
        <f t="shared" si="2"/>
        <v>180</v>
      </c>
      <c r="M90" s="43" t="s">
        <v>1466</v>
      </c>
    </row>
    <row r="91">
      <c r="A91" s="467" t="s">
        <v>182</v>
      </c>
      <c r="B91" s="43">
        <v>2025.0</v>
      </c>
      <c r="C91" s="43" t="s">
        <v>214</v>
      </c>
      <c r="D91" s="43" t="s">
        <v>188</v>
      </c>
      <c r="E91" s="704" t="s">
        <v>142</v>
      </c>
      <c r="F91" s="443"/>
      <c r="G91" s="452"/>
      <c r="H91" s="452"/>
      <c r="I91" s="453"/>
      <c r="J91" s="106">
        <v>477.0</v>
      </c>
      <c r="K91" s="106" t="str">
        <f>IF(ISBLANK(I91), "", VLOOKUP(A91&amp;" "&amp;B91, 'Info Tipo de Cambio y REM'!$A$24:$B$35, 2, FALSE))</f>
        <v/>
      </c>
      <c r="L91" s="107">
        <f t="shared" si="2"/>
        <v>477</v>
      </c>
      <c r="M91" s="43" t="s">
        <v>1467</v>
      </c>
    </row>
    <row r="92" hidden="1">
      <c r="A92" s="51" t="s">
        <v>155</v>
      </c>
      <c r="B92" s="43">
        <v>2025.0</v>
      </c>
      <c r="C92" s="43" t="s">
        <v>207</v>
      </c>
      <c r="D92" s="43" t="s">
        <v>121</v>
      </c>
      <c r="E92" s="704" t="s">
        <v>148</v>
      </c>
      <c r="F92" s="443">
        <v>85.0</v>
      </c>
      <c r="G92" s="452"/>
      <c r="H92" s="452">
        <f t="array" ref="H92">IFERROR(
  INDEX(
    'Valor Hora Real y Estimada'!$A$4:$Z$78,
    MATCH(TRIM(CLEAN(C92)), 'Valor Hora Real y Estimada'!$A$4:$A$78, 0),
    MATCH(
      TEXT(A92,"dd mmm")&amp;" "&amp;B92,
      'Valor Hora Real y Estimada'!$A$3:$Z$3,
      0
    ) + 1
  ),
  0
)</f>
        <v>11000</v>
      </c>
      <c r="I92" s="453">
        <f t="shared" ref="I92:I98" si="13">H92*F92</f>
        <v>935000</v>
      </c>
      <c r="J92" s="106"/>
      <c r="K92" s="106">
        <f>IF(ISBLANK(I92), "", VLOOKUP(A92&amp;" "&amp;B92, 'Info Tipo de Cambio y REM'!$A$24:$B$35, 2, FALSE))</f>
        <v>1215</v>
      </c>
      <c r="L92" s="107">
        <f t="shared" si="2"/>
        <v>769.5473251</v>
      </c>
      <c r="M92" s="43" t="s">
        <v>1466</v>
      </c>
    </row>
    <row r="93" hidden="1">
      <c r="A93" s="51" t="s">
        <v>161</v>
      </c>
      <c r="B93" s="43">
        <v>2025.0</v>
      </c>
      <c r="C93" s="43" t="s">
        <v>207</v>
      </c>
      <c r="D93" s="43" t="s">
        <v>121</v>
      </c>
      <c r="E93" s="704" t="s">
        <v>148</v>
      </c>
      <c r="F93" s="443">
        <v>85.0</v>
      </c>
      <c r="G93" s="452"/>
      <c r="H93" s="452">
        <f t="array" ref="H93">IFERROR(
  INDEX(
    'Valor Hora Real y Estimada'!$A$4:$Z$78,
    MATCH(TRIM(CLEAN(C93)), 'Valor Hora Real y Estimada'!$A$4:$A$78, 0),
    MATCH(
      TEXT(A93,"dd mmm")&amp;" "&amp;B93,
      'Valor Hora Real y Estimada'!$A$3:$Z$3,
      0
    ) + 1
  ),
  0
)</f>
        <v>11000</v>
      </c>
      <c r="I93" s="453">
        <f t="shared" si="13"/>
        <v>935000</v>
      </c>
      <c r="J93" s="106"/>
      <c r="K93" s="106">
        <f>IF(ISBLANK(I93), "", VLOOKUP(A93&amp;" "&amp;B93, 'Info Tipo de Cambio y REM'!$A$24:$B$35, 2, FALSE))</f>
        <v>1320</v>
      </c>
      <c r="L93" s="107">
        <f t="shared" si="2"/>
        <v>708.3333333</v>
      </c>
      <c r="M93" s="43" t="s">
        <v>1466</v>
      </c>
    </row>
    <row r="94" hidden="1">
      <c r="A94" s="51" t="s">
        <v>166</v>
      </c>
      <c r="B94" s="43">
        <v>2025.0</v>
      </c>
      <c r="C94" s="43" t="s">
        <v>207</v>
      </c>
      <c r="D94" s="43" t="s">
        <v>121</v>
      </c>
      <c r="E94" s="704" t="s">
        <v>148</v>
      </c>
      <c r="F94" s="443">
        <v>85.0</v>
      </c>
      <c r="G94" s="452"/>
      <c r="H94" s="452">
        <f t="array" ref="H94">IFERROR(
  INDEX(
    'Valor Hora Real y Estimada'!$A$4:$Z$78,
    MATCH(TRIM(CLEAN(C94)), 'Valor Hora Real y Estimada'!$A$4:$A$78, 0),
    MATCH(
      TEXT(A94,"dd mmm")&amp;" "&amp;B94,
      'Valor Hora Real y Estimada'!$A$3:$Z$3,
      0
    ) + 1
  ),
  0
)</f>
        <v>11558.8</v>
      </c>
      <c r="I94" s="453">
        <f t="shared" si="13"/>
        <v>982498</v>
      </c>
      <c r="J94" s="106"/>
      <c r="K94" s="106">
        <f>IF(ISBLANK(I94), "", VLOOKUP(A94&amp;" "&amp;B94, 'Info Tipo de Cambio y REM'!$A$24:$B$35, 2, FALSE))</f>
        <v>1345</v>
      </c>
      <c r="L94" s="107">
        <f t="shared" si="2"/>
        <v>730.4817844</v>
      </c>
      <c r="M94" s="43" t="s">
        <v>1466</v>
      </c>
    </row>
    <row r="95" hidden="1">
      <c r="A95" s="51" t="s">
        <v>171</v>
      </c>
      <c r="B95" s="43">
        <v>2025.0</v>
      </c>
      <c r="C95" s="43" t="s">
        <v>207</v>
      </c>
      <c r="D95" s="43" t="s">
        <v>121</v>
      </c>
      <c r="E95" s="704" t="s">
        <v>148</v>
      </c>
      <c r="F95" s="443">
        <v>85.0</v>
      </c>
      <c r="G95" s="452"/>
      <c r="H95" s="452">
        <f t="array" ref="H95">IFERROR(
  INDEX(
    'Valor Hora Real y Estimada'!$A$4:$Z$78,
    MATCH(TRIM(CLEAN(C95)), 'Valor Hora Real y Estimada'!$A$4:$A$78, 0),
    MATCH(
      TEXT(A95,"dd mmm")&amp;" "&amp;B95,
      'Valor Hora Real y Estimada'!$A$3:$Z$3,
      0
    ) + 1
  ),
  0
)</f>
        <v>11558.8</v>
      </c>
      <c r="I95" s="453">
        <f t="shared" si="13"/>
        <v>982498</v>
      </c>
      <c r="J95" s="106"/>
      <c r="K95" s="106">
        <f>IF(ISBLANK(I95), "", VLOOKUP(A95&amp;" "&amp;B95, 'Info Tipo de Cambio y REM'!$A$24:$B$35, 2, FALSE))</f>
        <v>1445</v>
      </c>
      <c r="L95" s="107">
        <f t="shared" si="2"/>
        <v>679.9294118</v>
      </c>
      <c r="M95" s="43" t="s">
        <v>1466</v>
      </c>
    </row>
    <row r="96" hidden="1">
      <c r="A96" s="51" t="s">
        <v>175</v>
      </c>
      <c r="B96" s="43">
        <v>2025.0</v>
      </c>
      <c r="C96" s="43" t="s">
        <v>207</v>
      </c>
      <c r="D96" s="43" t="s">
        <v>121</v>
      </c>
      <c r="E96" s="704" t="s">
        <v>148</v>
      </c>
      <c r="F96" s="443">
        <v>85.0</v>
      </c>
      <c r="G96" s="452"/>
      <c r="H96" s="452">
        <f t="array" ref="H96">IFERROR(
  INDEX(
    'Valor Hora Real y Estimada'!$A$4:$Z$78,
    MATCH(TRIM(CLEAN(C96)), 'Valor Hora Real y Estimada'!$A$4:$A$78, 0),
    MATCH(
      TEXT(A96,"dd mmm")&amp;" "&amp;B96,
      'Valor Hora Real y Estimada'!$A$3:$Z$3,
      0
    ) + 1
  ),
  0
)</f>
        <v>11558.8</v>
      </c>
      <c r="I96" s="453">
        <f t="shared" si="13"/>
        <v>982498</v>
      </c>
      <c r="J96" s="106"/>
      <c r="K96" s="106">
        <f>IF(ISBLANK(I96), "", VLOOKUP(A96&amp;" "&amp;B96, 'Info Tipo de Cambio y REM'!$A$24:$B$35, 2, FALSE))</f>
        <v>1440</v>
      </c>
      <c r="L96" s="107">
        <f t="shared" si="2"/>
        <v>682.2902778</v>
      </c>
      <c r="M96" s="43" t="s">
        <v>1467</v>
      </c>
    </row>
    <row r="97" hidden="1">
      <c r="A97" s="51" t="s">
        <v>179</v>
      </c>
      <c r="B97" s="43">
        <v>2025.0</v>
      </c>
      <c r="C97" s="43" t="s">
        <v>207</v>
      </c>
      <c r="D97" s="43" t="s">
        <v>121</v>
      </c>
      <c r="E97" s="704" t="s">
        <v>148</v>
      </c>
      <c r="F97" s="443">
        <v>85.0</v>
      </c>
      <c r="G97" s="452"/>
      <c r="H97" s="452">
        <f t="array" ref="H97">IFERROR(
  INDEX(
    'Valor Hora Real y Estimada'!$A$4:$Z$78,
    MATCH(TRIM(CLEAN(C97)), 'Valor Hora Real y Estimada'!$A$4:$A$78, 0),
    MATCH(
      TEXT(A97,"dd mmm")&amp;" "&amp;B97,
      'Valor Hora Real y Estimada'!$A$3:$Z$3,
      0
    ) + 1
  ),
  0
)</f>
        <v>12252.328</v>
      </c>
      <c r="I97" s="453">
        <f t="shared" si="13"/>
        <v>1041447.88</v>
      </c>
      <c r="J97" s="106"/>
      <c r="K97" s="106">
        <f>IF(ISBLANK(I97), "", VLOOKUP(A97&amp;" "&amp;B97, 'Info Tipo de Cambio y REM'!$A$24:$B$35, 2, FALSE))</f>
        <v>1499</v>
      </c>
      <c r="L97" s="107">
        <f t="shared" si="2"/>
        <v>694.7617612</v>
      </c>
      <c r="M97" s="43" t="s">
        <v>1467</v>
      </c>
    </row>
    <row r="98" hidden="1">
      <c r="A98" s="51" t="s">
        <v>182</v>
      </c>
      <c r="B98" s="43">
        <v>2025.0</v>
      </c>
      <c r="C98" s="43" t="s">
        <v>207</v>
      </c>
      <c r="D98" s="43" t="s">
        <v>121</v>
      </c>
      <c r="E98" s="704" t="s">
        <v>148</v>
      </c>
      <c r="F98" s="443">
        <v>85.0</v>
      </c>
      <c r="G98" s="452"/>
      <c r="H98" s="452">
        <f t="array" ref="H98">IFERROR(
  INDEX(
    'Valor Hora Real y Estimada'!$A$4:$Z$78,
    MATCH(TRIM(CLEAN(C98)), 'Valor Hora Real y Estimada'!$A$4:$A$78, 0),
    MATCH(
      TEXT(A98,"dd mmm")&amp;" "&amp;B98,
      'Valor Hora Real y Estimada'!$A$3:$Z$3,
      0
    ) + 1
  ),
  0
)</f>
        <v>12252.328</v>
      </c>
      <c r="I98" s="453">
        <f t="shared" si="13"/>
        <v>1041447.88</v>
      </c>
      <c r="J98" s="106"/>
      <c r="K98" s="106">
        <f>IF(ISBLANK(I98), "", VLOOKUP(A98&amp;" "&amp;B98, 'Info Tipo de Cambio y REM'!$A$24:$B$35, 2, FALSE))</f>
        <v>1536</v>
      </c>
      <c r="L98" s="107">
        <f t="shared" si="2"/>
        <v>678.0259635</v>
      </c>
      <c r="M98" s="43" t="s">
        <v>1467</v>
      </c>
    </row>
    <row r="99">
      <c r="A99" s="51" t="s">
        <v>182</v>
      </c>
      <c r="B99" s="43">
        <v>2025.0</v>
      </c>
      <c r="C99" s="43" t="s">
        <v>207</v>
      </c>
      <c r="D99" s="43" t="s">
        <v>188</v>
      </c>
      <c r="E99" s="704" t="s">
        <v>148</v>
      </c>
      <c r="F99" s="443"/>
      <c r="G99" s="452"/>
      <c r="H99" s="452"/>
      <c r="I99" s="453"/>
      <c r="J99" s="106">
        <v>120.0</v>
      </c>
      <c r="K99" s="106" t="str">
        <f>IF(ISBLANK(I99), "", VLOOKUP(A99&amp;" "&amp;B99, 'Info Tipo de Cambio y REM'!$A$24:$B$35, 2, FALSE))</f>
        <v/>
      </c>
      <c r="L99" s="107">
        <f t="shared" si="2"/>
        <v>120</v>
      </c>
      <c r="M99" s="43" t="s">
        <v>1467</v>
      </c>
    </row>
    <row r="100" hidden="1">
      <c r="A100" s="51" t="s">
        <v>155</v>
      </c>
      <c r="B100" s="43">
        <v>2025.0</v>
      </c>
      <c r="C100" s="43" t="s">
        <v>87</v>
      </c>
      <c r="D100" s="43" t="s">
        <v>121</v>
      </c>
      <c r="E100" s="704" t="s">
        <v>148</v>
      </c>
      <c r="F100" s="443">
        <v>80.0</v>
      </c>
      <c r="G100" s="452"/>
      <c r="H100" s="452">
        <f t="array" ref="H100">IFERROR(
  INDEX(
    'Valor Hora Real y Estimada'!$A$4:$Z$78,
    MATCH(TRIM(CLEAN(C100)), 'Valor Hora Real y Estimada'!$A$4:$A$78, 0),
    MATCH(
      TEXT(A100,"dd mmm")&amp;" "&amp;B100,
      'Valor Hora Real y Estimada'!$A$3:$Z$3,
      0
    ) + 1
  ),
  0
)</f>
        <v>11000</v>
      </c>
      <c r="I100" s="453">
        <f t="shared" ref="I100:I106" si="14">H100*F100</f>
        <v>880000</v>
      </c>
      <c r="J100" s="106"/>
      <c r="K100" s="106">
        <f>IF(ISBLANK(I100), "", VLOOKUP(A100&amp;" "&amp;B100, 'Info Tipo de Cambio y REM'!$A$24:$B$35, 2, FALSE))</f>
        <v>1215</v>
      </c>
      <c r="L100" s="107">
        <f t="shared" si="2"/>
        <v>724.2798354</v>
      </c>
      <c r="M100" s="43" t="s">
        <v>1466</v>
      </c>
    </row>
    <row r="101" hidden="1">
      <c r="A101" s="51" t="s">
        <v>161</v>
      </c>
      <c r="B101" s="43">
        <v>2025.0</v>
      </c>
      <c r="C101" s="43" t="s">
        <v>87</v>
      </c>
      <c r="D101" s="43" t="s">
        <v>121</v>
      </c>
      <c r="E101" s="704" t="s">
        <v>148</v>
      </c>
      <c r="F101" s="443">
        <v>80.0</v>
      </c>
      <c r="G101" s="452"/>
      <c r="H101" s="452">
        <f t="array" ref="H101">IFERROR(
  INDEX(
    'Valor Hora Real y Estimada'!$A$4:$Z$78,
    MATCH(TRIM(CLEAN(C101)), 'Valor Hora Real y Estimada'!$A$4:$A$78, 0),
    MATCH(
      TEXT(A101,"dd mmm")&amp;" "&amp;B101,
      'Valor Hora Real y Estimada'!$A$3:$Z$3,
      0
    ) + 1
  ),
  0
)</f>
        <v>11000</v>
      </c>
      <c r="I101" s="453">
        <f t="shared" si="14"/>
        <v>880000</v>
      </c>
      <c r="J101" s="106"/>
      <c r="K101" s="106">
        <f>IF(ISBLANK(I101), "", VLOOKUP(A101&amp;" "&amp;B101, 'Info Tipo de Cambio y REM'!$A$24:$B$35, 2, FALSE))</f>
        <v>1320</v>
      </c>
      <c r="L101" s="107">
        <f t="shared" si="2"/>
        <v>666.6666667</v>
      </c>
      <c r="M101" s="43" t="s">
        <v>1466</v>
      </c>
    </row>
    <row r="102" hidden="1">
      <c r="A102" s="51" t="s">
        <v>166</v>
      </c>
      <c r="B102" s="43">
        <v>2025.0</v>
      </c>
      <c r="C102" s="43" t="s">
        <v>87</v>
      </c>
      <c r="D102" s="43" t="s">
        <v>121</v>
      </c>
      <c r="E102" s="704" t="s">
        <v>148</v>
      </c>
      <c r="F102" s="443">
        <v>90.0</v>
      </c>
      <c r="G102" s="452"/>
      <c r="H102" s="452">
        <f t="array" ref="H102">IFERROR(
  INDEX(
    'Valor Hora Real y Estimada'!$A$4:$Z$78,
    MATCH(TRIM(CLEAN(C102)), 'Valor Hora Real y Estimada'!$A$4:$A$78, 0),
    MATCH(
      TEXT(A102,"dd mmm")&amp;" "&amp;B102,
      'Valor Hora Real y Estimada'!$A$3:$Z$3,
      0
    ) + 1
  ),
  0
)</f>
        <v>11558.8</v>
      </c>
      <c r="I102" s="453">
        <f t="shared" si="14"/>
        <v>1040292</v>
      </c>
      <c r="J102" s="106"/>
      <c r="K102" s="106">
        <f>IF(ISBLANK(I102), "", VLOOKUP(A102&amp;" "&amp;B102, 'Info Tipo de Cambio y REM'!$A$24:$B$35, 2, FALSE))</f>
        <v>1345</v>
      </c>
      <c r="L102" s="107">
        <f t="shared" si="2"/>
        <v>773.4513011</v>
      </c>
      <c r="M102" s="43" t="s">
        <v>1466</v>
      </c>
    </row>
    <row r="103" hidden="1">
      <c r="A103" s="51" t="s">
        <v>171</v>
      </c>
      <c r="B103" s="43">
        <v>2025.0</v>
      </c>
      <c r="C103" s="43" t="s">
        <v>87</v>
      </c>
      <c r="D103" s="43" t="s">
        <v>121</v>
      </c>
      <c r="E103" s="704" t="s">
        <v>148</v>
      </c>
      <c r="F103" s="443">
        <v>90.0</v>
      </c>
      <c r="G103" s="452"/>
      <c r="H103" s="452">
        <f t="array" ref="H103">IFERROR(
  INDEX(
    'Valor Hora Real y Estimada'!$A$4:$Z$78,
    MATCH(TRIM(CLEAN(C103)), 'Valor Hora Real y Estimada'!$A$4:$A$78, 0),
    MATCH(
      TEXT(A103,"dd mmm")&amp;" "&amp;B103,
      'Valor Hora Real y Estimada'!$A$3:$Z$3,
      0
    ) + 1
  ),
  0
)</f>
        <v>11558.8</v>
      </c>
      <c r="I103" s="453">
        <f t="shared" si="14"/>
        <v>1040292</v>
      </c>
      <c r="J103" s="106"/>
      <c r="K103" s="106">
        <f>IF(ISBLANK(I103), "", VLOOKUP(A103&amp;" "&amp;B103, 'Info Tipo de Cambio y REM'!$A$24:$B$35, 2, FALSE))</f>
        <v>1445</v>
      </c>
      <c r="L103" s="107">
        <f t="shared" si="2"/>
        <v>719.9252595</v>
      </c>
      <c r="M103" s="43" t="s">
        <v>1466</v>
      </c>
    </row>
    <row r="104" hidden="1">
      <c r="A104" s="51" t="s">
        <v>175</v>
      </c>
      <c r="B104" s="43">
        <v>2025.0</v>
      </c>
      <c r="C104" s="43" t="s">
        <v>87</v>
      </c>
      <c r="D104" s="43" t="s">
        <v>121</v>
      </c>
      <c r="E104" s="704" t="s">
        <v>148</v>
      </c>
      <c r="F104" s="443">
        <v>110.0</v>
      </c>
      <c r="G104" s="452"/>
      <c r="H104" s="452">
        <f t="array" ref="H104">IFERROR(
  INDEX(
    'Valor Hora Real y Estimada'!$A$4:$Z$78,
    MATCH(TRIM(CLEAN(C104)), 'Valor Hora Real y Estimada'!$A$4:$A$78, 0),
    MATCH(
      TEXT(A104,"dd mmm")&amp;" "&amp;B104,
      'Valor Hora Real y Estimada'!$A$3:$Z$3,
      0
    ) + 1
  ),
  0
)</f>
        <v>11558.8</v>
      </c>
      <c r="I104" s="453">
        <f t="shared" si="14"/>
        <v>1271468</v>
      </c>
      <c r="J104" s="106"/>
      <c r="K104" s="106">
        <f>IF(ISBLANK(I104), "", VLOOKUP(A104&amp;" "&amp;B104, 'Info Tipo de Cambio y REM'!$A$24:$B$35, 2, FALSE))</f>
        <v>1440</v>
      </c>
      <c r="L104" s="107">
        <f t="shared" si="2"/>
        <v>882.9638889</v>
      </c>
      <c r="M104" s="43" t="s">
        <v>1467</v>
      </c>
    </row>
    <row r="105" hidden="1">
      <c r="A105" s="51" t="s">
        <v>179</v>
      </c>
      <c r="B105" s="43">
        <v>2025.0</v>
      </c>
      <c r="C105" s="43" t="s">
        <v>87</v>
      </c>
      <c r="D105" s="43" t="s">
        <v>121</v>
      </c>
      <c r="E105" s="704" t="s">
        <v>148</v>
      </c>
      <c r="F105" s="443">
        <v>110.0</v>
      </c>
      <c r="G105" s="452"/>
      <c r="H105" s="452">
        <f t="array" ref="H105">IFERROR(
  INDEX(
    'Valor Hora Real y Estimada'!$A$4:$Z$78,
    MATCH(TRIM(CLEAN(C105)), 'Valor Hora Real y Estimada'!$A$4:$A$78, 0),
    MATCH(
      TEXT(A105,"dd mmm")&amp;" "&amp;B105,
      'Valor Hora Real y Estimada'!$A$3:$Z$3,
      0
    ) + 1
  ),
  0
)</f>
        <v>11558.8</v>
      </c>
      <c r="I105" s="453">
        <f t="shared" si="14"/>
        <v>1271468</v>
      </c>
      <c r="J105" s="106"/>
      <c r="K105" s="106">
        <f>IF(ISBLANK(I105), "", VLOOKUP(A105&amp;" "&amp;B105, 'Info Tipo de Cambio y REM'!$A$24:$B$35, 2, FALSE))</f>
        <v>1499</v>
      </c>
      <c r="L105" s="107">
        <f t="shared" si="2"/>
        <v>848.2108072</v>
      </c>
      <c r="M105" s="43" t="s">
        <v>1467</v>
      </c>
    </row>
    <row r="106" hidden="1">
      <c r="A106" s="51" t="s">
        <v>182</v>
      </c>
      <c r="B106" s="43">
        <v>2025.0</v>
      </c>
      <c r="C106" s="43" t="s">
        <v>87</v>
      </c>
      <c r="D106" s="43" t="s">
        <v>121</v>
      </c>
      <c r="E106" s="704" t="s">
        <v>148</v>
      </c>
      <c r="F106" s="443">
        <v>110.0</v>
      </c>
      <c r="G106" s="452"/>
      <c r="H106" s="452">
        <f t="array" ref="H106">IFERROR(
  INDEX(
    'Valor Hora Real y Estimada'!$A$4:$Z$78,
    MATCH(TRIM(CLEAN(C106)), 'Valor Hora Real y Estimada'!$A$4:$A$78, 0),
    MATCH(
      TEXT(A106,"dd mmm")&amp;" "&amp;B106,
      'Valor Hora Real y Estimada'!$A$3:$Z$3,
      0
    ) + 1
  ),
  0
)</f>
        <v>11558.8</v>
      </c>
      <c r="I106" s="453">
        <f t="shared" si="14"/>
        <v>1271468</v>
      </c>
      <c r="J106" s="106"/>
      <c r="K106" s="106">
        <f>IF(ISBLANK(I106), "", VLOOKUP(A106&amp;" "&amp;B106, 'Info Tipo de Cambio y REM'!$A$24:$B$35, 2, FALSE))</f>
        <v>1536</v>
      </c>
      <c r="L106" s="107">
        <f t="shared" si="2"/>
        <v>827.7786458</v>
      </c>
      <c r="M106" s="43" t="s">
        <v>1467</v>
      </c>
    </row>
    <row r="107" hidden="1">
      <c r="A107" s="467" t="s">
        <v>161</v>
      </c>
      <c r="B107" s="43">
        <v>2025.0</v>
      </c>
      <c r="C107" s="43" t="s">
        <v>87</v>
      </c>
      <c r="D107" s="43" t="s">
        <v>188</v>
      </c>
      <c r="E107" s="704" t="s">
        <v>148</v>
      </c>
      <c r="F107" s="443"/>
      <c r="G107" s="452"/>
      <c r="H107" s="452"/>
      <c r="I107" s="453"/>
      <c r="J107" s="106">
        <v>100.0</v>
      </c>
      <c r="K107" s="106" t="str">
        <f>IF(ISBLANK(I107), "", VLOOKUP(A107&amp;" "&amp;B107, 'Info Tipo de Cambio y REM'!$A$24:$B$35, 2, FALSE))</f>
        <v/>
      </c>
      <c r="L107" s="107">
        <f t="shared" si="2"/>
        <v>100</v>
      </c>
      <c r="M107" s="43" t="s">
        <v>1466</v>
      </c>
    </row>
    <row r="108">
      <c r="A108" s="467" t="s">
        <v>182</v>
      </c>
      <c r="B108" s="43">
        <v>2025.0</v>
      </c>
      <c r="C108" s="43" t="s">
        <v>87</v>
      </c>
      <c r="D108" s="43" t="s">
        <v>188</v>
      </c>
      <c r="E108" s="704" t="s">
        <v>148</v>
      </c>
      <c r="F108" s="443"/>
      <c r="G108" s="452"/>
      <c r="H108" s="452"/>
      <c r="I108" s="453"/>
      <c r="J108" s="106">
        <v>120.0</v>
      </c>
      <c r="K108" s="106" t="str">
        <f>IF(ISBLANK(I108), "", VLOOKUP(A108&amp;" "&amp;B108, 'Info Tipo de Cambio y REM'!$A$24:$B$35, 2, FALSE))</f>
        <v/>
      </c>
      <c r="L108" s="107">
        <f t="shared" si="2"/>
        <v>120</v>
      </c>
      <c r="M108" s="43" t="s">
        <v>1467</v>
      </c>
    </row>
    <row r="109" hidden="1">
      <c r="A109" s="51" t="s">
        <v>155</v>
      </c>
      <c r="B109" s="43">
        <v>2025.0</v>
      </c>
      <c r="C109" s="43" t="s">
        <v>210</v>
      </c>
      <c r="D109" s="43" t="s">
        <v>121</v>
      </c>
      <c r="E109" s="704" t="s">
        <v>154</v>
      </c>
      <c r="F109" s="443">
        <v>10.0</v>
      </c>
      <c r="G109" s="452"/>
      <c r="H109" s="452">
        <f t="array" ref="H109">IFERROR(
  INDEX(
    'Valor Hora Real y Estimada'!$A$4:$Z$78,
    MATCH(TRIM(CLEAN(C109)), 'Valor Hora Real y Estimada'!$A$4:$A$78, 0),
    MATCH(
      TEXT(A109,"dd mmm")&amp;" "&amp;B109,
      'Valor Hora Real y Estimada'!$A$3:$Z$3,
      0
    ) + 1
  ),
  0
)</f>
        <v>16760</v>
      </c>
      <c r="I109" s="453">
        <f t="shared" ref="I109:I122" si="15">H109*F109</f>
        <v>167600</v>
      </c>
      <c r="J109" s="106"/>
      <c r="K109" s="106">
        <f>IF(ISBLANK(I109), "", VLOOKUP(A109&amp;" "&amp;B109, 'Info Tipo de Cambio y REM'!$A$24:$B$35, 2, FALSE))</f>
        <v>1215</v>
      </c>
      <c r="L109" s="107">
        <f t="shared" si="2"/>
        <v>137.9423868</v>
      </c>
      <c r="M109" s="43" t="s">
        <v>1466</v>
      </c>
    </row>
    <row r="110" hidden="1">
      <c r="A110" s="51" t="s">
        <v>161</v>
      </c>
      <c r="B110" s="43">
        <v>2025.0</v>
      </c>
      <c r="C110" s="43" t="s">
        <v>210</v>
      </c>
      <c r="D110" s="43" t="s">
        <v>121</v>
      </c>
      <c r="E110" s="704" t="s">
        <v>154</v>
      </c>
      <c r="F110" s="443">
        <v>10.0</v>
      </c>
      <c r="G110" s="452"/>
      <c r="H110" s="452">
        <f t="array" ref="H110">IFERROR(
  INDEX(
    'Valor Hora Real y Estimada'!$A$4:$Z$78,
    MATCH(TRIM(CLEAN(C110)), 'Valor Hora Real y Estimada'!$A$4:$A$78, 0),
    MATCH(
      TEXT(A110,"dd mmm")&amp;" "&amp;B110,
      'Valor Hora Real y Estimada'!$A$3:$Z$3,
      0
    ) + 1
  ),
  0
)</f>
        <v>16760</v>
      </c>
      <c r="I110" s="453">
        <f t="shared" si="15"/>
        <v>167600</v>
      </c>
      <c r="J110" s="106"/>
      <c r="K110" s="106">
        <f>IF(ISBLANK(I110), "", VLOOKUP(A110&amp;" "&amp;B110, 'Info Tipo de Cambio y REM'!$A$24:$B$35, 2, FALSE))</f>
        <v>1320</v>
      </c>
      <c r="L110" s="107">
        <f t="shared" si="2"/>
        <v>126.969697</v>
      </c>
      <c r="M110" s="43" t="s">
        <v>1466</v>
      </c>
    </row>
    <row r="111" hidden="1">
      <c r="A111" s="51" t="s">
        <v>166</v>
      </c>
      <c r="B111" s="43">
        <v>2025.0</v>
      </c>
      <c r="C111" s="43" t="s">
        <v>210</v>
      </c>
      <c r="D111" s="43" t="s">
        <v>121</v>
      </c>
      <c r="E111" s="704" t="s">
        <v>154</v>
      </c>
      <c r="F111" s="443">
        <v>25.0</v>
      </c>
      <c r="G111" s="452"/>
      <c r="H111" s="452">
        <f t="array" ref="H111">IFERROR(
  INDEX(
    'Valor Hora Real y Estimada'!$A$4:$Z$78,
    MATCH(TRIM(CLEAN(C111)), 'Valor Hora Real y Estimada'!$A$4:$A$78, 0),
    MATCH(
      TEXT(A111,"dd mmm")&amp;" "&amp;B111,
      'Valor Hora Real y Estimada'!$A$3:$Z$3,
      0
    ) + 1
  ),
  0
)</f>
        <v>18017</v>
      </c>
      <c r="I111" s="453">
        <f t="shared" si="15"/>
        <v>450425</v>
      </c>
      <c r="J111" s="106"/>
      <c r="K111" s="106">
        <f>IF(ISBLANK(I111), "", VLOOKUP(A111&amp;" "&amp;B111, 'Info Tipo de Cambio y REM'!$A$24:$B$35, 2, FALSE))</f>
        <v>1345</v>
      </c>
      <c r="L111" s="107">
        <f t="shared" si="2"/>
        <v>334.8884758</v>
      </c>
      <c r="M111" s="43" t="s">
        <v>1466</v>
      </c>
    </row>
    <row r="112" hidden="1">
      <c r="A112" s="51" t="s">
        <v>171</v>
      </c>
      <c r="B112" s="43">
        <v>2025.0</v>
      </c>
      <c r="C112" s="43" t="s">
        <v>210</v>
      </c>
      <c r="D112" s="43" t="s">
        <v>121</v>
      </c>
      <c r="E112" s="704" t="s">
        <v>154</v>
      </c>
      <c r="F112" s="443">
        <v>25.0</v>
      </c>
      <c r="G112" s="452"/>
      <c r="H112" s="452">
        <f t="array" ref="H112">IFERROR(
  INDEX(
    'Valor Hora Real y Estimada'!$A$4:$Z$78,
    MATCH(TRIM(CLEAN(C112)), 'Valor Hora Real y Estimada'!$A$4:$A$78, 0),
    MATCH(
      TEXT(A112,"dd mmm")&amp;" "&amp;B112,
      'Valor Hora Real y Estimada'!$A$3:$Z$3,
      0
    ) + 1
  ),
  0
)</f>
        <v>18017</v>
      </c>
      <c r="I112" s="453">
        <f t="shared" si="15"/>
        <v>450425</v>
      </c>
      <c r="J112" s="106"/>
      <c r="K112" s="106">
        <f>IF(ISBLANK(I112), "", VLOOKUP(A112&amp;" "&amp;B112, 'Info Tipo de Cambio y REM'!$A$24:$B$35, 2, FALSE))</f>
        <v>1445</v>
      </c>
      <c r="L112" s="107">
        <f t="shared" si="2"/>
        <v>311.7128028</v>
      </c>
      <c r="M112" s="43" t="s">
        <v>1466</v>
      </c>
    </row>
    <row r="113" hidden="1">
      <c r="A113" s="51" t="s">
        <v>175</v>
      </c>
      <c r="B113" s="43">
        <v>2025.0</v>
      </c>
      <c r="C113" s="43" t="s">
        <v>210</v>
      </c>
      <c r="D113" s="43" t="s">
        <v>121</v>
      </c>
      <c r="E113" s="704" t="s">
        <v>154</v>
      </c>
      <c r="F113" s="443">
        <v>25.0</v>
      </c>
      <c r="G113" s="452"/>
      <c r="H113" s="452">
        <f t="array" ref="H113">IFERROR(
  INDEX(
    'Valor Hora Real y Estimada'!$A$4:$Z$78,
    MATCH(TRIM(CLEAN(C113)), 'Valor Hora Real y Estimada'!$A$4:$A$78, 0),
    MATCH(
      TEXT(A113,"dd mmm")&amp;" "&amp;B113,
      'Valor Hora Real y Estimada'!$A$3:$Z$3,
      0
    ) + 1
  ),
  0
)</f>
        <v>18017</v>
      </c>
      <c r="I113" s="453">
        <f t="shared" si="15"/>
        <v>450425</v>
      </c>
      <c r="J113" s="106"/>
      <c r="K113" s="106">
        <f>IF(ISBLANK(I113), "", VLOOKUP(A113&amp;" "&amp;B113, 'Info Tipo de Cambio y REM'!$A$24:$B$35, 2, FALSE))</f>
        <v>1440</v>
      </c>
      <c r="L113" s="107">
        <f t="shared" si="2"/>
        <v>312.7951389</v>
      </c>
      <c r="M113" s="43" t="s">
        <v>1467</v>
      </c>
    </row>
    <row r="114" hidden="1">
      <c r="A114" s="51" t="s">
        <v>179</v>
      </c>
      <c r="B114" s="43">
        <v>2025.0</v>
      </c>
      <c r="C114" s="43" t="s">
        <v>210</v>
      </c>
      <c r="D114" s="43" t="s">
        <v>121</v>
      </c>
      <c r="E114" s="704" t="s">
        <v>154</v>
      </c>
      <c r="F114" s="443">
        <v>25.0</v>
      </c>
      <c r="G114" s="452"/>
      <c r="H114" s="452">
        <f t="array" ref="H114">IFERROR(
  INDEX(
    'Valor Hora Real y Estimada'!$A$4:$Z$78,
    MATCH(TRIM(CLEAN(C114)), 'Valor Hora Real y Estimada'!$A$4:$A$78, 0),
    MATCH(
      TEXT(A114,"dd mmm")&amp;" "&amp;B114,
      'Valor Hora Real y Estimada'!$A$3:$Z$3,
      0
    ) + 1
  ),
  0
)</f>
        <v>19098.02</v>
      </c>
      <c r="I114" s="453">
        <f t="shared" si="15"/>
        <v>477450.5</v>
      </c>
      <c r="J114" s="106"/>
      <c r="K114" s="106">
        <f>IF(ISBLANK(I114), "", VLOOKUP(A114&amp;" "&amp;B114, 'Info Tipo de Cambio y REM'!$A$24:$B$35, 2, FALSE))</f>
        <v>1499</v>
      </c>
      <c r="L114" s="107">
        <f t="shared" si="2"/>
        <v>318.5126751</v>
      </c>
      <c r="M114" s="43" t="s">
        <v>1467</v>
      </c>
    </row>
    <row r="115" hidden="1">
      <c r="A115" s="51" t="s">
        <v>182</v>
      </c>
      <c r="B115" s="43">
        <v>2025.0</v>
      </c>
      <c r="C115" s="43" t="s">
        <v>210</v>
      </c>
      <c r="D115" s="43" t="s">
        <v>121</v>
      </c>
      <c r="E115" s="704" t="s">
        <v>154</v>
      </c>
      <c r="F115" s="443">
        <v>25.0</v>
      </c>
      <c r="G115" s="452"/>
      <c r="H115" s="452">
        <f t="array" ref="H115">IFERROR(
  INDEX(
    'Valor Hora Real y Estimada'!$A$4:$Z$78,
    MATCH(TRIM(CLEAN(C115)), 'Valor Hora Real y Estimada'!$A$4:$A$78, 0),
    MATCH(
      TEXT(A115,"dd mmm")&amp;" "&amp;B115,
      'Valor Hora Real y Estimada'!$A$3:$Z$3,
      0
    ) + 1
  ),
  0
)</f>
        <v>19098.02</v>
      </c>
      <c r="I115" s="453">
        <f t="shared" si="15"/>
        <v>477450.5</v>
      </c>
      <c r="J115" s="106"/>
      <c r="K115" s="106">
        <f>IF(ISBLANK(I115), "", VLOOKUP(A115&amp;" "&amp;B115, 'Info Tipo de Cambio y REM'!$A$24:$B$35, 2, FALSE))</f>
        <v>1536</v>
      </c>
      <c r="L115" s="107">
        <f t="shared" si="2"/>
        <v>310.8401693</v>
      </c>
      <c r="M115" s="43" t="s">
        <v>1467</v>
      </c>
    </row>
    <row r="116" hidden="1">
      <c r="A116" s="51" t="s">
        <v>155</v>
      </c>
      <c r="B116" s="43">
        <v>2025.0</v>
      </c>
      <c r="C116" s="43" t="s">
        <v>216</v>
      </c>
      <c r="D116" s="43" t="s">
        <v>121</v>
      </c>
      <c r="E116" s="704" t="s">
        <v>122</v>
      </c>
      <c r="F116" s="443">
        <v>50.0</v>
      </c>
      <c r="G116" s="452"/>
      <c r="H116" s="452">
        <f t="array" ref="H116">IFERROR(
  INDEX(
    'Valor Hora Real y Estimada'!$A$4:$Z$78,
    MATCH(TRIM(CLEAN(C116)), 'Valor Hora Real y Estimada'!$A$4:$A$78, 0),
    MATCH(
      TEXT(A116,"dd mmm")&amp;" "&amp;B116,
      'Valor Hora Real y Estimada'!$A$3:$Z$3,
      0
    ) + 1
  ),
  0
)</f>
        <v>13139</v>
      </c>
      <c r="I116" s="453">
        <f t="shared" si="15"/>
        <v>656950</v>
      </c>
      <c r="J116" s="106"/>
      <c r="K116" s="106">
        <f>IF(ISBLANK(I116), "", VLOOKUP(A116&amp;" "&amp;B116, 'Info Tipo de Cambio y REM'!$A$24:$B$35, 2, FALSE))</f>
        <v>1215</v>
      </c>
      <c r="L116" s="107">
        <f t="shared" si="2"/>
        <v>540.6995885</v>
      </c>
      <c r="M116" s="43" t="s">
        <v>1466</v>
      </c>
    </row>
    <row r="117" hidden="1">
      <c r="A117" s="51" t="s">
        <v>161</v>
      </c>
      <c r="B117" s="43">
        <v>2025.0</v>
      </c>
      <c r="C117" s="43" t="s">
        <v>216</v>
      </c>
      <c r="D117" s="43" t="s">
        <v>121</v>
      </c>
      <c r="E117" s="704" t="s">
        <v>122</v>
      </c>
      <c r="F117" s="443">
        <v>50.0</v>
      </c>
      <c r="G117" s="452"/>
      <c r="H117" s="452">
        <f t="array" ref="H117">IFERROR(
  INDEX(
    'Valor Hora Real y Estimada'!$A$4:$Z$78,
    MATCH(TRIM(CLEAN(C117)), 'Valor Hora Real y Estimada'!$A$4:$A$78, 0),
    MATCH(
      TEXT(A117,"dd mmm")&amp;" "&amp;B117,
      'Valor Hora Real y Estimada'!$A$3:$Z$3,
      0
    ) + 1
  ),
  0
)</f>
        <v>13139</v>
      </c>
      <c r="I117" s="453">
        <f t="shared" si="15"/>
        <v>656950</v>
      </c>
      <c r="J117" s="106"/>
      <c r="K117" s="106">
        <f>IF(ISBLANK(I117), "", VLOOKUP(A117&amp;" "&amp;B117, 'Info Tipo de Cambio y REM'!$A$24:$B$35, 2, FALSE))</f>
        <v>1320</v>
      </c>
      <c r="L117" s="107">
        <f t="shared" si="2"/>
        <v>497.6893939</v>
      </c>
      <c r="M117" s="43" t="s">
        <v>1466</v>
      </c>
    </row>
    <row r="118" hidden="1">
      <c r="A118" s="51" t="s">
        <v>166</v>
      </c>
      <c r="B118" s="43">
        <v>2025.0</v>
      </c>
      <c r="C118" s="43" t="s">
        <v>216</v>
      </c>
      <c r="D118" s="43" t="s">
        <v>121</v>
      </c>
      <c r="E118" s="704" t="s">
        <v>122</v>
      </c>
      <c r="F118" s="443">
        <v>70.0</v>
      </c>
      <c r="G118" s="452"/>
      <c r="H118" s="452">
        <f t="array" ref="H118">IFERROR(
  INDEX(
    'Valor Hora Real y Estimada'!$A$4:$Z$78,
    MATCH(TRIM(CLEAN(C118)), 'Valor Hora Real y Estimada'!$A$4:$A$78, 0),
    MATCH(
      TEXT(A118,"dd mmm")&amp;" "&amp;B118,
      'Valor Hora Real y Estimada'!$A$3:$Z$3,
      0
    ) + 1
  ),
  0
)</f>
        <v>13806.4612</v>
      </c>
      <c r="I118" s="453">
        <f t="shared" si="15"/>
        <v>966452.284</v>
      </c>
      <c r="J118" s="106"/>
      <c r="K118" s="106">
        <f>IF(ISBLANK(I118), "", VLOOKUP(A118&amp;" "&amp;B118, 'Info Tipo de Cambio y REM'!$A$24:$B$35, 2, FALSE))</f>
        <v>1345</v>
      </c>
      <c r="L118" s="107">
        <f t="shared" si="2"/>
        <v>718.551884</v>
      </c>
      <c r="M118" s="43" t="s">
        <v>1466</v>
      </c>
    </row>
    <row r="119" hidden="1">
      <c r="A119" s="51" t="s">
        <v>171</v>
      </c>
      <c r="B119" s="43">
        <v>2025.0</v>
      </c>
      <c r="C119" s="43" t="s">
        <v>216</v>
      </c>
      <c r="D119" s="43" t="s">
        <v>121</v>
      </c>
      <c r="E119" s="704" t="s">
        <v>122</v>
      </c>
      <c r="F119" s="443">
        <v>70.0</v>
      </c>
      <c r="G119" s="452"/>
      <c r="H119" s="452">
        <f t="array" ref="H119">IFERROR(
  INDEX(
    'Valor Hora Real y Estimada'!$A$4:$Z$78,
    MATCH(TRIM(CLEAN(C119)), 'Valor Hora Real y Estimada'!$A$4:$A$78, 0),
    MATCH(
      TEXT(A119,"dd mmm")&amp;" "&amp;B119,
      'Valor Hora Real y Estimada'!$A$3:$Z$3,
      0
    ) + 1
  ),
  0
)</f>
        <v>13806.4612</v>
      </c>
      <c r="I119" s="453">
        <f t="shared" si="15"/>
        <v>966452.284</v>
      </c>
      <c r="J119" s="106"/>
      <c r="K119" s="106">
        <f>IF(ISBLANK(I119), "", VLOOKUP(A119&amp;" "&amp;B119, 'Info Tipo de Cambio y REM'!$A$24:$B$35, 2, FALSE))</f>
        <v>1445</v>
      </c>
      <c r="L119" s="107">
        <f t="shared" si="2"/>
        <v>668.82511</v>
      </c>
      <c r="M119" s="43" t="s">
        <v>1466</v>
      </c>
    </row>
    <row r="120" hidden="1">
      <c r="A120" s="51" t="s">
        <v>175</v>
      </c>
      <c r="B120" s="43">
        <v>2025.0</v>
      </c>
      <c r="C120" s="43" t="s">
        <v>216</v>
      </c>
      <c r="D120" s="43" t="s">
        <v>121</v>
      </c>
      <c r="E120" s="704" t="s">
        <v>122</v>
      </c>
      <c r="F120" s="443">
        <v>70.0</v>
      </c>
      <c r="G120" s="452"/>
      <c r="H120" s="452">
        <f t="array" ref="H120">IFERROR(
  INDEX(
    'Valor Hora Real y Estimada'!$A$4:$Z$78,
    MATCH(TRIM(CLEAN(C120)), 'Valor Hora Real y Estimada'!$A$4:$A$78, 0),
    MATCH(
      TEXT(A120,"dd mmm")&amp;" "&amp;B120,
      'Valor Hora Real y Estimada'!$A$3:$Z$3,
      0
    ) + 1
  ),
  0
)</f>
        <v>13806.4612</v>
      </c>
      <c r="I120" s="453">
        <f t="shared" si="15"/>
        <v>966452.284</v>
      </c>
      <c r="J120" s="106"/>
      <c r="K120" s="106">
        <f>IF(ISBLANK(I120), "", VLOOKUP(A120&amp;" "&amp;B120, 'Info Tipo de Cambio y REM'!$A$24:$B$35, 2, FALSE))</f>
        <v>1440</v>
      </c>
      <c r="L120" s="107">
        <f t="shared" si="2"/>
        <v>671.1474194</v>
      </c>
      <c r="M120" s="43" t="s">
        <v>1467</v>
      </c>
    </row>
    <row r="121" hidden="1">
      <c r="A121" s="51" t="s">
        <v>179</v>
      </c>
      <c r="B121" s="43">
        <v>2025.0</v>
      </c>
      <c r="C121" s="43" t="s">
        <v>216</v>
      </c>
      <c r="D121" s="43" t="s">
        <v>121</v>
      </c>
      <c r="E121" s="704" t="s">
        <v>122</v>
      </c>
      <c r="F121" s="443">
        <v>70.0</v>
      </c>
      <c r="G121" s="452"/>
      <c r="H121" s="452">
        <f t="array" ref="H121">IFERROR(
  INDEX(
    'Valor Hora Real y Estimada'!$A$4:$Z$78,
    MATCH(TRIM(CLEAN(C121)), 'Valor Hora Real y Estimada'!$A$4:$A$78, 0),
    MATCH(
      TEXT(A121,"dd mmm")&amp;" "&amp;B121,
      'Valor Hora Real y Estimada'!$A$3:$Z$3,
      0
    ) + 1
  ),
  0
)</f>
        <v>14634.84887</v>
      </c>
      <c r="I121" s="453">
        <f t="shared" si="15"/>
        <v>1024439.421</v>
      </c>
      <c r="J121" s="106"/>
      <c r="K121" s="106">
        <f>IF(ISBLANK(I121), "", VLOOKUP(A121&amp;" "&amp;B121, 'Info Tipo de Cambio y REM'!$A$24:$B$35, 2, FALSE))</f>
        <v>1499</v>
      </c>
      <c r="L121" s="107">
        <f t="shared" si="2"/>
        <v>683.4152242</v>
      </c>
      <c r="M121" s="43" t="s">
        <v>1467</v>
      </c>
    </row>
    <row r="122" hidden="1">
      <c r="A122" s="51" t="s">
        <v>182</v>
      </c>
      <c r="B122" s="43">
        <v>2025.0</v>
      </c>
      <c r="C122" s="43" t="s">
        <v>216</v>
      </c>
      <c r="D122" s="43" t="s">
        <v>121</v>
      </c>
      <c r="E122" s="704" t="s">
        <v>122</v>
      </c>
      <c r="F122" s="443">
        <v>70.0</v>
      </c>
      <c r="G122" s="452"/>
      <c r="H122" s="452">
        <f t="array" ref="H122">IFERROR(
  INDEX(
    'Valor Hora Real y Estimada'!$A$4:$Z$78,
    MATCH(TRIM(CLEAN(C122)), 'Valor Hora Real y Estimada'!$A$4:$A$78, 0),
    MATCH(
      TEXT(A122,"dd mmm")&amp;" "&amp;B122,
      'Valor Hora Real y Estimada'!$A$3:$Z$3,
      0
    ) + 1
  ),
  0
)</f>
        <v>14634.84887</v>
      </c>
      <c r="I122" s="453">
        <f t="shared" si="15"/>
        <v>1024439.421</v>
      </c>
      <c r="J122" s="106"/>
      <c r="K122" s="106">
        <f>IF(ISBLANK(I122), "", VLOOKUP(A122&amp;" "&amp;B122, 'Info Tipo de Cambio y REM'!$A$24:$B$35, 2, FALSE))</f>
        <v>1536</v>
      </c>
      <c r="L122" s="107">
        <f t="shared" si="2"/>
        <v>666.9527481</v>
      </c>
      <c r="M122" s="43" t="s">
        <v>1467</v>
      </c>
    </row>
    <row r="123" hidden="1">
      <c r="A123" s="467" t="s">
        <v>161</v>
      </c>
      <c r="B123" s="43">
        <v>2025.0</v>
      </c>
      <c r="C123" s="43" t="s">
        <v>216</v>
      </c>
      <c r="D123" s="43" t="s">
        <v>188</v>
      </c>
      <c r="E123" s="704" t="s">
        <v>122</v>
      </c>
      <c r="F123" s="443"/>
      <c r="G123" s="452"/>
      <c r="H123" s="452"/>
      <c r="I123" s="468"/>
      <c r="J123" s="106">
        <v>120.0</v>
      </c>
      <c r="K123" s="106" t="str">
        <f>IF(ISBLANK(I123), "", VLOOKUP(A123&amp;" "&amp;B123, 'Info Tipo de Cambio y REM'!$A$24:$B$35, 2, FALSE))</f>
        <v/>
      </c>
      <c r="L123" s="107">
        <f t="shared" si="2"/>
        <v>120</v>
      </c>
      <c r="M123" s="43" t="s">
        <v>1466</v>
      </c>
    </row>
    <row r="124">
      <c r="A124" s="467" t="s">
        <v>182</v>
      </c>
      <c r="B124" s="43">
        <v>2025.0</v>
      </c>
      <c r="C124" s="43" t="s">
        <v>216</v>
      </c>
      <c r="D124" s="43" t="s">
        <v>188</v>
      </c>
      <c r="E124" s="704" t="s">
        <v>122</v>
      </c>
      <c r="F124" s="443"/>
      <c r="G124" s="452"/>
      <c r="H124" s="452"/>
      <c r="I124" s="468"/>
      <c r="J124" s="106">
        <v>120.0</v>
      </c>
      <c r="K124" s="106" t="str">
        <f>IF(ISBLANK(I124), "", VLOOKUP(A124&amp;" "&amp;B124, 'Info Tipo de Cambio y REM'!$A$24:$B$35, 2, FALSE))</f>
        <v/>
      </c>
      <c r="L124" s="107">
        <f t="shared" si="2"/>
        <v>120</v>
      </c>
      <c r="M124" s="43" t="s">
        <v>1467</v>
      </c>
    </row>
    <row r="125" hidden="1">
      <c r="A125" s="51" t="s">
        <v>155</v>
      </c>
      <c r="B125" s="43">
        <v>2025.0</v>
      </c>
      <c r="C125" s="43" t="s">
        <v>217</v>
      </c>
      <c r="D125" s="43" t="s">
        <v>121</v>
      </c>
      <c r="E125" s="704" t="s">
        <v>142</v>
      </c>
      <c r="F125" s="443">
        <v>159.9917424</v>
      </c>
      <c r="G125" s="452"/>
      <c r="H125" s="452">
        <f t="array" ref="H125">IFERROR(
  INDEX(
    'Valor Hora Real y Estimada'!$A$4:$Z$78,
    MATCH(TRIM(CLEAN(C125)), 'Valor Hora Real y Estimada'!$A$4:$A$78, 0),
    MATCH(
      TEXT(A125,"dd mmm")&amp;" "&amp;B125,
      'Valor Hora Real y Estimada'!$A$3:$Z$3,
      0
    ) + 1
  ),
  0
)</f>
        <v>9688</v>
      </c>
      <c r="I125" s="468">
        <f t="shared" ref="I125:I131" si="16">H125*F125</f>
        <v>1550000</v>
      </c>
      <c r="J125" s="106"/>
      <c r="K125" s="106">
        <f>IF(ISBLANK(I125), "", VLOOKUP(A125&amp;" "&amp;B125, 'Info Tipo de Cambio y REM'!$A$24:$B$35, 2, FALSE))</f>
        <v>1215</v>
      </c>
      <c r="L125" s="107">
        <f t="shared" si="2"/>
        <v>1275.720165</v>
      </c>
      <c r="M125" s="43" t="s">
        <v>1466</v>
      </c>
    </row>
    <row r="126" hidden="1">
      <c r="A126" s="51" t="s">
        <v>161</v>
      </c>
      <c r="B126" s="43">
        <v>2025.0</v>
      </c>
      <c r="C126" s="43" t="s">
        <v>217</v>
      </c>
      <c r="D126" s="43" t="s">
        <v>121</v>
      </c>
      <c r="E126" s="704" t="s">
        <v>142</v>
      </c>
      <c r="F126" s="443">
        <v>160.0</v>
      </c>
      <c r="G126" s="452"/>
      <c r="H126" s="452">
        <f t="array" ref="H126">IFERROR(
  INDEX(
    'Valor Hora Real y Estimada'!$A$4:$Z$78,
    MATCH(TRIM(CLEAN(C126)), 'Valor Hora Real y Estimada'!$A$4:$A$78, 0),
    MATCH(
      TEXT(A126,"dd mmm")&amp;" "&amp;B126,
      'Valor Hora Real y Estimada'!$A$3:$Z$3,
      0
    ) + 1
  ),
  0
)</f>
        <v>10270.2488</v>
      </c>
      <c r="I126" s="453">
        <f t="shared" si="16"/>
        <v>1643239.808</v>
      </c>
      <c r="J126" s="106"/>
      <c r="K126" s="106">
        <f>IF(ISBLANK(I126), "", VLOOKUP(A126&amp;" "&amp;B126, 'Info Tipo de Cambio y REM'!$A$24:$B$35, 2, FALSE))</f>
        <v>1320</v>
      </c>
      <c r="L126" s="107">
        <f t="shared" si="2"/>
        <v>1244.878642</v>
      </c>
      <c r="M126" s="43" t="s">
        <v>1466</v>
      </c>
    </row>
    <row r="127" hidden="1">
      <c r="A127" s="51" t="s">
        <v>166</v>
      </c>
      <c r="B127" s="43">
        <v>2025.0</v>
      </c>
      <c r="C127" s="43" t="s">
        <v>217</v>
      </c>
      <c r="D127" s="43" t="s">
        <v>121</v>
      </c>
      <c r="E127" s="704" t="s">
        <v>142</v>
      </c>
      <c r="F127" s="443">
        <v>160.0</v>
      </c>
      <c r="G127" s="452"/>
      <c r="H127" s="452">
        <f t="array" ref="H127">IFERROR(
  INDEX(
    'Valor Hora Real y Estimada'!$A$4:$Z$78,
    MATCH(TRIM(CLEAN(C127)), 'Valor Hora Real y Estimada'!$A$4:$A$78, 0),
    MATCH(
      TEXT(A127,"dd mmm")&amp;" "&amp;B127,
      'Valor Hora Real y Estimada'!$A$3:$Z$3,
      0
    ) + 1
  ),
  0
)</f>
        <v>10270.2488</v>
      </c>
      <c r="I127" s="453">
        <f t="shared" si="16"/>
        <v>1643239.808</v>
      </c>
      <c r="J127" s="106"/>
      <c r="K127" s="106">
        <f>IF(ISBLANK(I127), "", VLOOKUP(A127&amp;" "&amp;B127, 'Info Tipo de Cambio y REM'!$A$24:$B$35, 2, FALSE))</f>
        <v>1345</v>
      </c>
      <c r="L127" s="107">
        <f t="shared" si="2"/>
        <v>1221.739634</v>
      </c>
      <c r="M127" s="43" t="s">
        <v>1466</v>
      </c>
    </row>
    <row r="128" hidden="1">
      <c r="A128" s="51" t="s">
        <v>171</v>
      </c>
      <c r="B128" s="43">
        <v>2025.0</v>
      </c>
      <c r="C128" s="43" t="s">
        <v>217</v>
      </c>
      <c r="D128" s="43" t="s">
        <v>121</v>
      </c>
      <c r="E128" s="704" t="s">
        <v>142</v>
      </c>
      <c r="F128" s="443">
        <v>160.0</v>
      </c>
      <c r="G128" s="452"/>
      <c r="H128" s="452">
        <f t="array" ref="H128">IFERROR(
  INDEX(
    'Valor Hora Real y Estimada'!$A$4:$Z$78,
    MATCH(TRIM(CLEAN(C128)), 'Valor Hora Real y Estimada'!$A$4:$A$78, 0),
    MATCH(
      TEXT(A128,"dd mmm")&amp;" "&amp;B128,
      'Valor Hora Real y Estimada'!$A$3:$Z$3,
      0
    ) + 1
  ),
  0
)</f>
        <v>10270.2488</v>
      </c>
      <c r="I128" s="453">
        <f t="shared" si="16"/>
        <v>1643239.808</v>
      </c>
      <c r="J128" s="106"/>
      <c r="K128" s="106">
        <f>IF(ISBLANK(I128), "", VLOOKUP(A128&amp;" "&amp;B128, 'Info Tipo de Cambio y REM'!$A$24:$B$35, 2, FALSE))</f>
        <v>1445</v>
      </c>
      <c r="L128" s="107">
        <f t="shared" si="2"/>
        <v>1137.190179</v>
      </c>
      <c r="M128" s="43" t="s">
        <v>1466</v>
      </c>
    </row>
    <row r="129" hidden="1">
      <c r="A129" s="51" t="s">
        <v>175</v>
      </c>
      <c r="B129" s="43">
        <v>2025.0</v>
      </c>
      <c r="C129" s="43" t="s">
        <v>217</v>
      </c>
      <c r="D129" s="43" t="s">
        <v>121</v>
      </c>
      <c r="E129" s="704" t="s">
        <v>142</v>
      </c>
      <c r="F129" s="443">
        <v>160.0</v>
      </c>
      <c r="G129" s="452"/>
      <c r="H129" s="452">
        <f t="array" ref="H129">IFERROR(
  INDEX(
    'Valor Hora Real y Estimada'!$A$4:$Z$78,
    MATCH(TRIM(CLEAN(C129)), 'Valor Hora Real y Estimada'!$A$4:$A$78, 0),
    MATCH(
      TEXT(A129,"dd mmm")&amp;" "&amp;B129,
      'Valor Hora Real y Estimada'!$A$3:$Z$3,
      0
    ) + 1
  ),
  0
)</f>
        <v>10843.32868</v>
      </c>
      <c r="I129" s="453">
        <f t="shared" si="16"/>
        <v>1734932.589</v>
      </c>
      <c r="J129" s="106"/>
      <c r="K129" s="106">
        <f>IF(ISBLANK(I129), "", VLOOKUP(A129&amp;" "&amp;B129, 'Info Tipo de Cambio y REM'!$A$24:$B$35, 2, FALSE))</f>
        <v>1440</v>
      </c>
      <c r="L129" s="107">
        <f t="shared" si="2"/>
        <v>1204.814298</v>
      </c>
      <c r="M129" s="43" t="s">
        <v>1467</v>
      </c>
    </row>
    <row r="130" hidden="1">
      <c r="A130" s="51" t="s">
        <v>179</v>
      </c>
      <c r="B130" s="43">
        <v>2025.0</v>
      </c>
      <c r="C130" s="43" t="s">
        <v>217</v>
      </c>
      <c r="D130" s="43" t="s">
        <v>121</v>
      </c>
      <c r="E130" s="704" t="s">
        <v>142</v>
      </c>
      <c r="F130" s="443">
        <v>160.0</v>
      </c>
      <c r="G130" s="452"/>
      <c r="H130" s="452">
        <f t="array" ref="H130">IFERROR(
  INDEX(
    'Valor Hora Real y Estimada'!$A$4:$Z$78,
    MATCH(TRIM(CLEAN(C130)), 'Valor Hora Real y Estimada'!$A$4:$A$78, 0),
    MATCH(
      TEXT(A130,"dd mmm")&amp;" "&amp;B130,
      'Valor Hora Real y Estimada'!$A$3:$Z$3,
      0
    ) + 1
  ),
  0
)</f>
        <v>10843.32868</v>
      </c>
      <c r="I130" s="453">
        <f t="shared" si="16"/>
        <v>1734932.589</v>
      </c>
      <c r="J130" s="106"/>
      <c r="K130" s="106">
        <f>IF(ISBLANK(I130), "", VLOOKUP(A130&amp;" "&amp;B130, 'Info Tipo de Cambio y REM'!$A$24:$B$35, 2, FALSE))</f>
        <v>1499</v>
      </c>
      <c r="L130" s="107">
        <f t="shared" si="2"/>
        <v>1157.393322</v>
      </c>
      <c r="M130" s="43" t="s">
        <v>1467</v>
      </c>
    </row>
    <row r="131" hidden="1">
      <c r="A131" s="51" t="s">
        <v>182</v>
      </c>
      <c r="B131" s="43">
        <v>2025.0</v>
      </c>
      <c r="C131" s="43" t="s">
        <v>217</v>
      </c>
      <c r="D131" s="43" t="s">
        <v>121</v>
      </c>
      <c r="E131" s="704" t="s">
        <v>142</v>
      </c>
      <c r="F131" s="443">
        <v>160.0</v>
      </c>
      <c r="G131" s="452"/>
      <c r="H131" s="452">
        <f t="array" ref="H131">IFERROR(
  INDEX(
    'Valor Hora Real y Estimada'!$A$4:$Z$78,
    MATCH(TRIM(CLEAN(C131)), 'Valor Hora Real y Estimada'!$A$4:$A$78, 0),
    MATCH(
      TEXT(A131,"dd mmm")&amp;" "&amp;B131,
      'Valor Hora Real y Estimada'!$A$3:$Z$3,
      0
    ) + 1
  ),
  0
)</f>
        <v>10843.32868</v>
      </c>
      <c r="I131" s="453">
        <f t="shared" si="16"/>
        <v>1734932.589</v>
      </c>
      <c r="J131" s="106"/>
      <c r="K131" s="106">
        <f>IF(ISBLANK(I131), "", VLOOKUP(A131&amp;" "&amp;B131, 'Info Tipo de Cambio y REM'!$A$24:$B$35, 2, FALSE))</f>
        <v>1536</v>
      </c>
      <c r="L131" s="107">
        <f t="shared" si="2"/>
        <v>1129.513404</v>
      </c>
      <c r="M131" s="43" t="s">
        <v>1467</v>
      </c>
    </row>
    <row r="132" hidden="1">
      <c r="A132" s="467" t="s">
        <v>161</v>
      </c>
      <c r="B132" s="43">
        <v>2025.0</v>
      </c>
      <c r="C132" s="43" t="s">
        <v>217</v>
      </c>
      <c r="D132" s="43" t="s">
        <v>188</v>
      </c>
      <c r="E132" s="704" t="s">
        <v>142</v>
      </c>
      <c r="F132" s="443"/>
      <c r="G132" s="452"/>
      <c r="H132" s="452"/>
      <c r="I132" s="453"/>
      <c r="J132" s="106">
        <v>130.0</v>
      </c>
      <c r="K132" s="106" t="str">
        <f>IF(ISBLANK(I132), "", VLOOKUP(A132&amp;" "&amp;B132, 'Info Tipo de Cambio y REM'!$A$24:$B$35, 2, FALSE))</f>
        <v/>
      </c>
      <c r="L132" s="107">
        <f t="shared" si="2"/>
        <v>130</v>
      </c>
      <c r="M132" s="43" t="s">
        <v>1466</v>
      </c>
    </row>
    <row r="133">
      <c r="A133" s="467" t="s">
        <v>182</v>
      </c>
      <c r="B133" s="43">
        <v>2025.0</v>
      </c>
      <c r="C133" s="43" t="s">
        <v>217</v>
      </c>
      <c r="D133" s="43" t="s">
        <v>188</v>
      </c>
      <c r="E133" s="704" t="s">
        <v>142</v>
      </c>
      <c r="F133" s="443"/>
      <c r="G133" s="452"/>
      <c r="H133" s="452"/>
      <c r="I133" s="453"/>
      <c r="J133" s="106">
        <v>349.0</v>
      </c>
      <c r="K133" s="106" t="str">
        <f>IF(ISBLANK(I133), "", VLOOKUP(A133&amp;" "&amp;B133, 'Info Tipo de Cambio y REM'!$A$24:$B$35, 2, FALSE))</f>
        <v/>
      </c>
      <c r="L133" s="107">
        <f t="shared" si="2"/>
        <v>349</v>
      </c>
      <c r="M133" s="43" t="s">
        <v>1467</v>
      </c>
    </row>
    <row r="134" hidden="1">
      <c r="A134" s="51" t="s">
        <v>155</v>
      </c>
      <c r="B134" s="43">
        <v>2025.0</v>
      </c>
      <c r="C134" s="43" t="s">
        <v>230</v>
      </c>
      <c r="D134" s="43" t="s">
        <v>121</v>
      </c>
      <c r="E134" s="704" t="s">
        <v>142</v>
      </c>
      <c r="F134" s="443">
        <v>160.0</v>
      </c>
      <c r="G134" s="452"/>
      <c r="H134" s="452">
        <f t="array" ref="H134">IFERROR(
  INDEX(
    'Valor Hora Real y Estimada'!$A$4:$Z$78,
    MATCH(TRIM(CLEAN(C134)), 'Valor Hora Real y Estimada'!$A$4:$A$78, 0),
    MATCH(
      TEXT(A134,"dd mmm")&amp;" "&amp;B134,
      'Valor Hora Real y Estimada'!$A$3:$Z$3,
      0
    ) + 1
  ),
  0
)</f>
        <v>11900</v>
      </c>
      <c r="I134" s="453">
        <f t="shared" ref="I134:I140" si="17">H134*F134</f>
        <v>1904000</v>
      </c>
      <c r="J134" s="106"/>
      <c r="K134" s="106">
        <f>IF(ISBLANK(I134), "", VLOOKUP(A134&amp;" "&amp;B134, 'Info Tipo de Cambio y REM'!$A$24:$B$35, 2, FALSE))</f>
        <v>1215</v>
      </c>
      <c r="L134" s="107">
        <f t="shared" si="2"/>
        <v>1567.078189</v>
      </c>
      <c r="M134" s="43" t="s">
        <v>1466</v>
      </c>
    </row>
    <row r="135" hidden="1">
      <c r="A135" s="51" t="s">
        <v>161</v>
      </c>
      <c r="B135" s="43">
        <v>2025.0</v>
      </c>
      <c r="C135" s="43" t="s">
        <v>230</v>
      </c>
      <c r="D135" s="43" t="s">
        <v>121</v>
      </c>
      <c r="E135" s="704" t="s">
        <v>142</v>
      </c>
      <c r="F135" s="443">
        <v>160.0</v>
      </c>
      <c r="G135" s="452"/>
      <c r="H135" s="452">
        <f t="array" ref="H135">IFERROR(
  INDEX(
    'Valor Hora Real y Estimada'!$A$4:$Z$78,
    MATCH(TRIM(CLEAN(C135)), 'Valor Hora Real y Estimada'!$A$4:$A$78, 0),
    MATCH(
      TEXT(A135,"dd mmm")&amp;" "&amp;B135,
      'Valor Hora Real y Estimada'!$A$3:$Z$3,
      0
    ) + 1
  ),
  0
)</f>
        <v>11900</v>
      </c>
      <c r="I135" s="453">
        <f t="shared" si="17"/>
        <v>1904000</v>
      </c>
      <c r="J135" s="106"/>
      <c r="K135" s="106">
        <f>IF(ISBLANK(I135), "", VLOOKUP(A135&amp;" "&amp;B135, 'Info Tipo de Cambio y REM'!$A$24:$B$35, 2, FALSE))</f>
        <v>1320</v>
      </c>
      <c r="L135" s="107">
        <f t="shared" si="2"/>
        <v>1442.424242</v>
      </c>
      <c r="M135" s="43" t="s">
        <v>1466</v>
      </c>
    </row>
    <row r="136" hidden="1">
      <c r="A136" s="51" t="s">
        <v>166</v>
      </c>
      <c r="B136" s="43">
        <v>2025.0</v>
      </c>
      <c r="C136" s="43" t="s">
        <v>230</v>
      </c>
      <c r="D136" s="43" t="s">
        <v>121</v>
      </c>
      <c r="E136" s="704" t="s">
        <v>142</v>
      </c>
      <c r="F136" s="443">
        <v>160.0</v>
      </c>
      <c r="G136" s="452"/>
      <c r="H136" s="452">
        <f t="array" ref="H136">IFERROR(
  INDEX(
    'Valor Hora Real y Estimada'!$A$4:$Z$78,
    MATCH(TRIM(CLEAN(C136)), 'Valor Hora Real y Estimada'!$A$4:$A$78, 0),
    MATCH(
      TEXT(A136,"dd mmm")&amp;" "&amp;B136,
      'Valor Hora Real y Estimada'!$A$3:$Z$3,
      0
    ) + 1
  ),
  0
)</f>
        <v>12504.52</v>
      </c>
      <c r="I136" s="453">
        <f t="shared" si="17"/>
        <v>2000723.2</v>
      </c>
      <c r="J136" s="106"/>
      <c r="K136" s="106">
        <f>IF(ISBLANK(I136), "", VLOOKUP(A136&amp;" "&amp;B136, 'Info Tipo de Cambio y REM'!$A$24:$B$35, 2, FALSE))</f>
        <v>1345</v>
      </c>
      <c r="L136" s="107">
        <f t="shared" si="2"/>
        <v>1487.526543</v>
      </c>
      <c r="M136" s="43" t="s">
        <v>1466</v>
      </c>
    </row>
    <row r="137" hidden="1">
      <c r="A137" s="51" t="s">
        <v>171</v>
      </c>
      <c r="B137" s="43">
        <v>2025.0</v>
      </c>
      <c r="C137" s="43" t="s">
        <v>230</v>
      </c>
      <c r="D137" s="43" t="s">
        <v>121</v>
      </c>
      <c r="E137" s="704" t="s">
        <v>142</v>
      </c>
      <c r="F137" s="443">
        <v>160.0</v>
      </c>
      <c r="G137" s="452"/>
      <c r="H137" s="452">
        <f t="array" ref="H137">IFERROR(
  INDEX(
    'Valor Hora Real y Estimada'!$A$4:$Z$78,
    MATCH(TRIM(CLEAN(C137)), 'Valor Hora Real y Estimada'!$A$4:$A$78, 0),
    MATCH(
      TEXT(A137,"dd mmm")&amp;" "&amp;B137,
      'Valor Hora Real y Estimada'!$A$3:$Z$3,
      0
    ) + 1
  ),
  0
)</f>
        <v>12504.52</v>
      </c>
      <c r="I137" s="453">
        <f t="shared" si="17"/>
        <v>2000723.2</v>
      </c>
      <c r="J137" s="106"/>
      <c r="K137" s="106">
        <f>IF(ISBLANK(I137), "", VLOOKUP(A137&amp;" "&amp;B137, 'Info Tipo de Cambio y REM'!$A$24:$B$35, 2, FALSE))</f>
        <v>1445</v>
      </c>
      <c r="L137" s="107">
        <f t="shared" si="2"/>
        <v>1384.583529</v>
      </c>
      <c r="M137" s="43" t="s">
        <v>1466</v>
      </c>
    </row>
    <row r="138" hidden="1">
      <c r="A138" s="51" t="s">
        <v>175</v>
      </c>
      <c r="B138" s="43">
        <v>2025.0</v>
      </c>
      <c r="C138" s="43" t="s">
        <v>230</v>
      </c>
      <c r="D138" s="43" t="s">
        <v>121</v>
      </c>
      <c r="E138" s="704" t="s">
        <v>142</v>
      </c>
      <c r="F138" s="443">
        <v>160.0</v>
      </c>
      <c r="G138" s="452"/>
      <c r="H138" s="452">
        <f t="array" ref="H138">IFERROR(
  INDEX(
    'Valor Hora Real y Estimada'!$A$4:$Z$78,
    MATCH(TRIM(CLEAN(C138)), 'Valor Hora Real y Estimada'!$A$4:$A$78, 0),
    MATCH(
      TEXT(A138,"dd mmm")&amp;" "&amp;B138,
      'Valor Hora Real y Estimada'!$A$3:$Z$3,
      0
    ) + 1
  ),
  0
)</f>
        <v>12504.52</v>
      </c>
      <c r="I138" s="453">
        <f t="shared" si="17"/>
        <v>2000723.2</v>
      </c>
      <c r="J138" s="106"/>
      <c r="K138" s="106">
        <f>IF(ISBLANK(I138), "", VLOOKUP(A138&amp;" "&amp;B138, 'Info Tipo de Cambio y REM'!$A$24:$B$35, 2, FALSE))</f>
        <v>1440</v>
      </c>
      <c r="L138" s="107">
        <f t="shared" si="2"/>
        <v>1389.391111</v>
      </c>
      <c r="M138" s="43" t="s">
        <v>1467</v>
      </c>
    </row>
    <row r="139" hidden="1">
      <c r="A139" s="51" t="s">
        <v>179</v>
      </c>
      <c r="B139" s="43">
        <v>2025.0</v>
      </c>
      <c r="C139" s="43" t="s">
        <v>230</v>
      </c>
      <c r="D139" s="43" t="s">
        <v>121</v>
      </c>
      <c r="E139" s="704" t="s">
        <v>142</v>
      </c>
      <c r="F139" s="443">
        <v>160.0</v>
      </c>
      <c r="G139" s="452"/>
      <c r="H139" s="452">
        <f t="array" ref="H139">IFERROR(
  INDEX(
    'Valor Hora Real y Estimada'!$A$4:$Z$78,
    MATCH(TRIM(CLEAN(C139)), 'Valor Hora Real y Estimada'!$A$4:$A$78, 0),
    MATCH(
      TEXT(A139,"dd mmm")&amp;" "&amp;B139,
      'Valor Hora Real y Estimada'!$A$3:$Z$3,
      0
    ) + 1
  ),
  0
)</f>
        <v>13254.7912</v>
      </c>
      <c r="I139" s="453">
        <f t="shared" si="17"/>
        <v>2120766.592</v>
      </c>
      <c r="J139" s="106"/>
      <c r="K139" s="106">
        <f>IF(ISBLANK(I139), "", VLOOKUP(A139&amp;" "&amp;B139, 'Info Tipo de Cambio y REM'!$A$24:$B$35, 2, FALSE))</f>
        <v>1499</v>
      </c>
      <c r="L139" s="107">
        <f t="shared" si="2"/>
        <v>1414.787586</v>
      </c>
      <c r="M139" s="43" t="s">
        <v>1467</v>
      </c>
    </row>
    <row r="140" hidden="1">
      <c r="A140" s="51" t="s">
        <v>182</v>
      </c>
      <c r="B140" s="43">
        <v>2025.0</v>
      </c>
      <c r="C140" s="43" t="s">
        <v>230</v>
      </c>
      <c r="D140" s="43" t="s">
        <v>121</v>
      </c>
      <c r="E140" s="704" t="s">
        <v>142</v>
      </c>
      <c r="F140" s="443">
        <v>160.0</v>
      </c>
      <c r="G140" s="452"/>
      <c r="H140" s="452">
        <f t="array" ref="H140">IFERROR(
  INDEX(
    'Valor Hora Real y Estimada'!$A$4:$Z$78,
    MATCH(TRIM(CLEAN(C140)), 'Valor Hora Real y Estimada'!$A$4:$A$78, 0),
    MATCH(
      TEXT(A140,"dd mmm")&amp;" "&amp;B140,
      'Valor Hora Real y Estimada'!$A$3:$Z$3,
      0
    ) + 1
  ),
  0
)</f>
        <v>13254.7912</v>
      </c>
      <c r="I140" s="453">
        <f t="shared" si="17"/>
        <v>2120766.592</v>
      </c>
      <c r="J140" s="106"/>
      <c r="K140" s="106">
        <f>IF(ISBLANK(I140), "", VLOOKUP(A140&amp;" "&amp;B140, 'Info Tipo de Cambio y REM'!$A$24:$B$35, 2, FALSE))</f>
        <v>1536</v>
      </c>
      <c r="L140" s="107">
        <f t="shared" si="2"/>
        <v>1380.707417</v>
      </c>
      <c r="M140" s="43" t="s">
        <v>1467</v>
      </c>
    </row>
    <row r="141" hidden="1">
      <c r="A141" s="467" t="s">
        <v>161</v>
      </c>
      <c r="B141" s="43">
        <v>2025.0</v>
      </c>
      <c r="C141" s="43" t="s">
        <v>230</v>
      </c>
      <c r="D141" s="43" t="s">
        <v>188</v>
      </c>
      <c r="E141" s="704" t="s">
        <v>142</v>
      </c>
      <c r="F141" s="443"/>
      <c r="G141" s="452"/>
      <c r="H141" s="452"/>
      <c r="I141" s="453"/>
      <c r="J141" s="106">
        <v>110.0</v>
      </c>
      <c r="K141" s="106" t="str">
        <f>IF(ISBLANK(I141), "", VLOOKUP(A141&amp;" "&amp;B141, 'Info Tipo de Cambio y REM'!$A$24:$B$35, 2, FALSE))</f>
        <v/>
      </c>
      <c r="L141" s="107">
        <f t="shared" si="2"/>
        <v>110</v>
      </c>
      <c r="M141" s="43" t="s">
        <v>1466</v>
      </c>
    </row>
    <row r="142">
      <c r="A142" s="467" t="s">
        <v>182</v>
      </c>
      <c r="B142" s="43">
        <v>2025.0</v>
      </c>
      <c r="C142" s="43" t="s">
        <v>230</v>
      </c>
      <c r="D142" s="43" t="s">
        <v>188</v>
      </c>
      <c r="E142" s="704" t="s">
        <v>142</v>
      </c>
      <c r="F142" s="443"/>
      <c r="G142" s="452"/>
      <c r="H142" s="452"/>
      <c r="I142" s="453"/>
      <c r="J142" s="106">
        <v>504.0</v>
      </c>
      <c r="K142" s="106" t="str">
        <f>IF(ISBLANK(I142), "", VLOOKUP(A142&amp;" "&amp;B142, 'Info Tipo de Cambio y REM'!$A$24:$B$35, 2, FALSE))</f>
        <v/>
      </c>
      <c r="L142" s="107">
        <f t="shared" si="2"/>
        <v>504</v>
      </c>
      <c r="M142" s="43" t="s">
        <v>1467</v>
      </c>
    </row>
    <row r="143" hidden="1">
      <c r="A143" s="51" t="s">
        <v>155</v>
      </c>
      <c r="B143" s="43">
        <v>2025.0</v>
      </c>
      <c r="C143" s="43" t="s">
        <v>229</v>
      </c>
      <c r="D143" s="43" t="s">
        <v>121</v>
      </c>
      <c r="E143" s="704" t="s">
        <v>165</v>
      </c>
      <c r="F143" s="443">
        <v>60.0</v>
      </c>
      <c r="G143" s="452"/>
      <c r="H143" s="452">
        <f t="array" ref="H143">IFERROR(
  INDEX(
    'Valor Hora Real y Estimada'!$A$4:$Z$78,
    MATCH(TRIM(CLEAN(C143)), 'Valor Hora Real y Estimada'!$A$4:$A$78, 0),
    MATCH(
      TEXT(A143,"dd mmm")&amp;" "&amp;B143,
      'Valor Hora Real y Estimada'!$A$3:$Z$3,
      0
    ) + 1
  ),
  0
)</f>
        <v>7500</v>
      </c>
      <c r="I143" s="453">
        <f t="shared" ref="I143:I151" si="18">H143*F143</f>
        <v>450000</v>
      </c>
      <c r="J143" s="106"/>
      <c r="K143" s="106">
        <f>IF(ISBLANK(I143), "", VLOOKUP(A143&amp;" "&amp;B143, 'Info Tipo de Cambio y REM'!$A$24:$B$35, 2, FALSE))</f>
        <v>1215</v>
      </c>
      <c r="L143" s="107">
        <f t="shared" si="2"/>
        <v>370.3703704</v>
      </c>
      <c r="M143" s="43" t="s">
        <v>1466</v>
      </c>
    </row>
    <row r="144" hidden="1">
      <c r="A144" s="51" t="s">
        <v>161</v>
      </c>
      <c r="B144" s="43">
        <v>2025.0</v>
      </c>
      <c r="C144" s="43" t="s">
        <v>229</v>
      </c>
      <c r="D144" s="43" t="s">
        <v>121</v>
      </c>
      <c r="E144" s="704" t="s">
        <v>165</v>
      </c>
      <c r="F144" s="443">
        <v>60.0</v>
      </c>
      <c r="G144" s="452"/>
      <c r="H144" s="452">
        <f t="array" ref="H144">IFERROR(
  INDEX(
    'Valor Hora Real y Estimada'!$A$4:$Z$78,
    MATCH(TRIM(CLEAN(C144)), 'Valor Hora Real y Estimada'!$A$4:$A$78, 0),
    MATCH(
      TEXT(A144,"dd mmm")&amp;" "&amp;B144,
      'Valor Hora Real y Estimada'!$A$3:$Z$3,
      0
    ) + 1
  ),
  0
)</f>
        <v>7500</v>
      </c>
      <c r="I144" s="453">
        <f t="shared" si="18"/>
        <v>450000</v>
      </c>
      <c r="J144" s="106"/>
      <c r="K144" s="106">
        <f>IF(ISBLANK(I144), "", VLOOKUP(A144&amp;" "&amp;B144, 'Info Tipo de Cambio y REM'!$A$24:$B$35, 2, FALSE))</f>
        <v>1320</v>
      </c>
      <c r="L144" s="107">
        <f t="shared" si="2"/>
        <v>340.9090909</v>
      </c>
      <c r="M144" s="43" t="s">
        <v>1466</v>
      </c>
    </row>
    <row r="145" hidden="1">
      <c r="A145" s="51" t="s">
        <v>166</v>
      </c>
      <c r="B145" s="43">
        <v>2025.0</v>
      </c>
      <c r="C145" s="43" t="s">
        <v>229</v>
      </c>
      <c r="D145" s="43" t="s">
        <v>121</v>
      </c>
      <c r="E145" s="704" t="s">
        <v>165</v>
      </c>
      <c r="F145" s="443">
        <v>60.0</v>
      </c>
      <c r="G145" s="452"/>
      <c r="H145" s="452">
        <f t="array" ref="H145">IFERROR(
  INDEX(
    'Valor Hora Real y Estimada'!$A$4:$Z$78,
    MATCH(TRIM(CLEAN(C145)), 'Valor Hora Real y Estimada'!$A$4:$A$78, 0),
    MATCH(
      TEXT(A145,"dd mmm")&amp;" "&amp;B145,
      'Valor Hora Real y Estimada'!$A$3:$Z$3,
      0
    ) + 1
  ),
  0
)</f>
        <v>7500</v>
      </c>
      <c r="I145" s="453">
        <f t="shared" si="18"/>
        <v>450000</v>
      </c>
      <c r="J145" s="106"/>
      <c r="K145" s="106">
        <f>IF(ISBLANK(I145), "", VLOOKUP(A145&amp;" "&amp;B145, 'Info Tipo de Cambio y REM'!$A$24:$B$35, 2, FALSE))</f>
        <v>1345</v>
      </c>
      <c r="L145" s="107">
        <f t="shared" si="2"/>
        <v>334.5724907</v>
      </c>
      <c r="M145" s="43" t="s">
        <v>1466</v>
      </c>
    </row>
    <row r="146" hidden="1">
      <c r="A146" s="51" t="s">
        <v>171</v>
      </c>
      <c r="B146" s="43">
        <v>2025.0</v>
      </c>
      <c r="C146" s="43" t="s">
        <v>229</v>
      </c>
      <c r="D146" s="43" t="s">
        <v>121</v>
      </c>
      <c r="E146" s="704" t="s">
        <v>165</v>
      </c>
      <c r="F146" s="443">
        <v>60.0</v>
      </c>
      <c r="G146" s="452"/>
      <c r="H146" s="452">
        <f t="array" ref="H146">IFERROR(
  INDEX(
    'Valor Hora Real y Estimada'!$A$4:$Z$78,
    MATCH(TRIM(CLEAN(C146)), 'Valor Hora Real y Estimada'!$A$4:$A$78, 0),
    MATCH(
      TEXT(A146,"dd mmm")&amp;" "&amp;B146,
      'Valor Hora Real y Estimada'!$A$3:$Z$3,
      0
    ) + 1
  ),
  0
)</f>
        <v>7500</v>
      </c>
      <c r="I146" s="453">
        <f t="shared" si="18"/>
        <v>450000</v>
      </c>
      <c r="J146" s="106"/>
      <c r="K146" s="106">
        <f>IF(ISBLANK(I146), "", VLOOKUP(A146&amp;" "&amp;B146, 'Info Tipo de Cambio y REM'!$A$24:$B$35, 2, FALSE))</f>
        <v>1445</v>
      </c>
      <c r="L146" s="107">
        <f t="shared" si="2"/>
        <v>311.4186851</v>
      </c>
      <c r="M146" s="43" t="s">
        <v>1466</v>
      </c>
    </row>
    <row r="147" hidden="1">
      <c r="A147" s="51" t="s">
        <v>175</v>
      </c>
      <c r="B147" s="43">
        <v>2025.0</v>
      </c>
      <c r="C147" s="43" t="s">
        <v>229</v>
      </c>
      <c r="D147" s="43" t="s">
        <v>121</v>
      </c>
      <c r="E147" s="704" t="s">
        <v>165</v>
      </c>
      <c r="F147" s="443">
        <v>60.0</v>
      </c>
      <c r="G147" s="452"/>
      <c r="H147" s="452">
        <f t="array" ref="H147">IFERROR(
  INDEX(
    'Valor Hora Real y Estimada'!$A$4:$Z$78,
    MATCH(TRIM(CLEAN(C147)), 'Valor Hora Real y Estimada'!$A$4:$A$78, 0),
    MATCH(
      TEXT(A147,"dd mmm")&amp;" "&amp;B147,
      'Valor Hora Real y Estimada'!$A$3:$Z$3,
      0
    ) + 1
  ),
  0
)</f>
        <v>7500</v>
      </c>
      <c r="I147" s="453">
        <f t="shared" si="18"/>
        <v>450000</v>
      </c>
      <c r="J147" s="106"/>
      <c r="K147" s="106">
        <f>IF(ISBLANK(I147), "", VLOOKUP(A147&amp;" "&amp;B147, 'Info Tipo de Cambio y REM'!$A$24:$B$35, 2, FALSE))</f>
        <v>1440</v>
      </c>
      <c r="L147" s="107">
        <f t="shared" si="2"/>
        <v>312.5</v>
      </c>
      <c r="M147" s="43" t="s">
        <v>1467</v>
      </c>
    </row>
    <row r="148" hidden="1">
      <c r="A148" s="51" t="s">
        <v>179</v>
      </c>
      <c r="B148" s="43">
        <v>2025.0</v>
      </c>
      <c r="C148" s="43" t="s">
        <v>229</v>
      </c>
      <c r="D148" s="43" t="s">
        <v>121</v>
      </c>
      <c r="E148" s="704" t="s">
        <v>165</v>
      </c>
      <c r="F148" s="443">
        <v>60.0</v>
      </c>
      <c r="G148" s="452"/>
      <c r="H148" s="452">
        <f t="array" ref="H148">IFERROR(
  INDEX(
    'Valor Hora Real y Estimada'!$A$4:$Z$78,
    MATCH(TRIM(CLEAN(C148)), 'Valor Hora Real y Estimada'!$A$4:$A$78, 0),
    MATCH(
      TEXT(A148,"dd mmm")&amp;" "&amp;B148,
      'Valor Hora Real y Estimada'!$A$3:$Z$3,
      0
    ) + 1
  ),
  0
)</f>
        <v>7500</v>
      </c>
      <c r="I148" s="453">
        <f t="shared" si="18"/>
        <v>450000</v>
      </c>
      <c r="J148" s="106"/>
      <c r="K148" s="106">
        <f>IF(ISBLANK(I148), "", VLOOKUP(A148&amp;" "&amp;B148, 'Info Tipo de Cambio y REM'!$A$24:$B$35, 2, FALSE))</f>
        <v>1499</v>
      </c>
      <c r="L148" s="107">
        <f t="shared" si="2"/>
        <v>300.2001334</v>
      </c>
      <c r="M148" s="43" t="s">
        <v>1467</v>
      </c>
    </row>
    <row r="149" hidden="1">
      <c r="A149" s="51" t="s">
        <v>182</v>
      </c>
      <c r="B149" s="43">
        <v>2025.0</v>
      </c>
      <c r="C149" s="43" t="s">
        <v>229</v>
      </c>
      <c r="D149" s="43" t="s">
        <v>121</v>
      </c>
      <c r="E149" s="704" t="s">
        <v>165</v>
      </c>
      <c r="F149" s="443">
        <v>60.0</v>
      </c>
      <c r="G149" s="452"/>
      <c r="H149" s="452">
        <f t="array" ref="H149">IFERROR(
  INDEX(
    'Valor Hora Real y Estimada'!$A$4:$Z$78,
    MATCH(TRIM(CLEAN(C149)), 'Valor Hora Real y Estimada'!$A$4:$A$78, 0),
    MATCH(
      TEXT(A149,"dd mmm")&amp;" "&amp;B149,
      'Valor Hora Real y Estimada'!$A$3:$Z$3,
      0
    ) + 1
  ),
  0
)</f>
        <v>7500</v>
      </c>
      <c r="I149" s="453">
        <f t="shared" si="18"/>
        <v>450000</v>
      </c>
      <c r="J149" s="106"/>
      <c r="K149" s="106">
        <f>IF(ISBLANK(I149), "", VLOOKUP(A149&amp;" "&amp;B149, 'Info Tipo de Cambio y REM'!$A$24:$B$35, 2, FALSE))</f>
        <v>1536</v>
      </c>
      <c r="L149" s="107">
        <f t="shared" si="2"/>
        <v>292.96875</v>
      </c>
      <c r="M149" s="43" t="s">
        <v>1467</v>
      </c>
    </row>
    <row r="150" hidden="1">
      <c r="A150" s="51" t="s">
        <v>155</v>
      </c>
      <c r="B150" s="43">
        <v>2025.0</v>
      </c>
      <c r="C150" s="43" t="s">
        <v>127</v>
      </c>
      <c r="D150" s="43" t="s">
        <v>128</v>
      </c>
      <c r="E150" s="704" t="s">
        <v>128</v>
      </c>
      <c r="F150" s="705">
        <v>157.801774316567</v>
      </c>
      <c r="G150" s="452"/>
      <c r="H150" s="452">
        <f t="array" ref="H150">IFERROR(
  INDEX(
    'Valor Hora Real y Estimada'!$A$4:$Z$78,
    MATCH(TRIM(CLEAN(C150)), 'Valor Hora Real y Estimada'!$A$4:$A$78, 0),
    MATCH(
      TEXT(A150,"dd mmm")&amp;" "&amp;B150,
      'Valor Hora Real y Estimada'!$A$3:$Z$3,
      0
    ) + 1
  ),
  0
)</f>
        <v>24911</v>
      </c>
      <c r="I150" s="453">
        <f t="shared" si="18"/>
        <v>3931000</v>
      </c>
      <c r="J150" s="106"/>
      <c r="K150" s="106">
        <f>IF(ISBLANK(I150), "", VLOOKUP(A150&amp;" "&amp;B150, 'Info Tipo de Cambio y REM'!$A$24:$B$35, 2, FALSE))</f>
        <v>1215</v>
      </c>
      <c r="L150" s="107">
        <f t="shared" si="2"/>
        <v>3235.390947</v>
      </c>
      <c r="M150" s="43" t="s">
        <v>1466</v>
      </c>
      <c r="O150" s="468"/>
    </row>
    <row r="151" hidden="1">
      <c r="A151" s="51" t="s">
        <v>161</v>
      </c>
      <c r="B151" s="43">
        <v>2025.0</v>
      </c>
      <c r="C151" s="43" t="s">
        <v>127</v>
      </c>
      <c r="D151" s="43" t="s">
        <v>128</v>
      </c>
      <c r="E151" s="704" t="s">
        <v>128</v>
      </c>
      <c r="F151" s="705">
        <v>157.801774316567</v>
      </c>
      <c r="G151" s="452"/>
      <c r="H151" s="452">
        <f t="array" ref="H151">IFERROR(
  INDEX(
    'Valor Hora Real y Estimada'!$A$4:$Z$78,
    MATCH(TRIM(CLEAN(C151)), 'Valor Hora Real y Estimada'!$A$4:$A$78, 0),
    MATCH(
      TEXT(A151,"dd mmm")&amp;" "&amp;B151,
      'Valor Hora Real y Estimada'!$A$3:$Z$3,
      0
    ) + 1
  ),
  0
)</f>
        <v>24911</v>
      </c>
      <c r="I151" s="453">
        <f t="shared" si="18"/>
        <v>3931000</v>
      </c>
      <c r="J151" s="106"/>
      <c r="K151" s="106">
        <f>IF(ISBLANK(I151), "", VLOOKUP(A151&amp;" "&amp;B151, 'Info Tipo de Cambio y REM'!$A$24:$B$35, 2, FALSE))</f>
        <v>1320</v>
      </c>
      <c r="L151" s="107">
        <f t="shared" si="2"/>
        <v>2978.030303</v>
      </c>
      <c r="M151" s="43" t="s">
        <v>1466</v>
      </c>
    </row>
    <row r="152" hidden="1">
      <c r="A152" s="51" t="s">
        <v>166</v>
      </c>
      <c r="B152" s="43">
        <v>2025.0</v>
      </c>
      <c r="C152" s="43" t="s">
        <v>127</v>
      </c>
      <c r="D152" s="43" t="s">
        <v>128</v>
      </c>
      <c r="E152" s="704" t="s">
        <v>128</v>
      </c>
      <c r="F152" s="443">
        <v>160.0</v>
      </c>
      <c r="G152" s="452"/>
      <c r="H152" s="452">
        <f t="array" ref="H152">IFERROR(
  INDEX(
    'Valor Hora Real y Estimada'!$A$4:$Z$78,
    MATCH(TRIM(CLEAN(C152)), 'Valor Hora Real y Estimada'!$A$4:$A$78, 0),
    MATCH(
      TEXT(A152,"dd mmm")&amp;" "&amp;B152,
      'Valor Hora Real y Estimada'!$A$3:$Z$3,
      0
    ) + 1
  ),
  0
)</f>
        <v>26903.88</v>
      </c>
      <c r="I152" s="453">
        <f t="shared" ref="I152:I156" si="19">H152*F152+172000</f>
        <v>4476620.8</v>
      </c>
      <c r="J152" s="106"/>
      <c r="K152" s="106">
        <f>IF(ISBLANK(I152), "", VLOOKUP(A152&amp;" "&amp;B152, 'Info Tipo de Cambio y REM'!$A$24:$B$35, 2, FALSE))</f>
        <v>1345</v>
      </c>
      <c r="L152" s="107">
        <f t="shared" si="2"/>
        <v>3328.342602</v>
      </c>
      <c r="M152" s="43" t="s">
        <v>1466</v>
      </c>
    </row>
    <row r="153" hidden="1">
      <c r="A153" s="51" t="s">
        <v>171</v>
      </c>
      <c r="B153" s="43">
        <v>2025.0</v>
      </c>
      <c r="C153" s="43" t="s">
        <v>127</v>
      </c>
      <c r="D153" s="43" t="s">
        <v>128</v>
      </c>
      <c r="E153" s="704" t="s">
        <v>128</v>
      </c>
      <c r="F153" s="443">
        <v>160.0</v>
      </c>
      <c r="G153" s="452"/>
      <c r="H153" s="452">
        <f t="array" ref="H153">IFERROR(
  INDEX(
    'Valor Hora Real y Estimada'!$A$4:$Z$78,
    MATCH(TRIM(CLEAN(C153)), 'Valor Hora Real y Estimada'!$A$4:$A$78, 0),
    MATCH(
      TEXT(A153,"dd mmm")&amp;" "&amp;B153,
      'Valor Hora Real y Estimada'!$A$3:$Z$3,
      0
    ) + 1
  ),
  0
)</f>
        <v>26903.88</v>
      </c>
      <c r="I153" s="453">
        <f t="shared" si="19"/>
        <v>4476620.8</v>
      </c>
      <c r="J153" s="106"/>
      <c r="K153" s="106">
        <f>IF(ISBLANK(I153), "", VLOOKUP(A153&amp;" "&amp;B153, 'Info Tipo de Cambio y REM'!$A$24:$B$35, 2, FALSE))</f>
        <v>1445</v>
      </c>
      <c r="L153" s="107">
        <f t="shared" si="2"/>
        <v>3098.007474</v>
      </c>
      <c r="M153" s="43" t="s">
        <v>1466</v>
      </c>
    </row>
    <row r="154" hidden="1">
      <c r="A154" s="51" t="s">
        <v>175</v>
      </c>
      <c r="B154" s="43">
        <v>2025.0</v>
      </c>
      <c r="C154" s="43" t="s">
        <v>127</v>
      </c>
      <c r="D154" s="43" t="s">
        <v>128</v>
      </c>
      <c r="E154" s="704" t="s">
        <v>128</v>
      </c>
      <c r="F154" s="443">
        <v>160.0</v>
      </c>
      <c r="G154" s="452"/>
      <c r="H154" s="452">
        <f t="array" ref="H154">IFERROR(
  INDEX(
    'Valor Hora Real y Estimada'!$A$4:$Z$78,
    MATCH(TRIM(CLEAN(C154)), 'Valor Hora Real y Estimada'!$A$4:$A$78, 0),
    MATCH(
      TEXT(A154,"dd mmm")&amp;" "&amp;B154,
      'Valor Hora Real y Estimada'!$A$3:$Z$3,
      0
    ) + 1
  ),
  0
)</f>
        <v>26903.88</v>
      </c>
      <c r="I154" s="453">
        <f t="shared" si="19"/>
        <v>4476620.8</v>
      </c>
      <c r="J154" s="106"/>
      <c r="K154" s="106">
        <f>IF(ISBLANK(I154), "", VLOOKUP(A154&amp;" "&amp;B154, 'Info Tipo de Cambio y REM'!$A$24:$B$35, 2, FALSE))</f>
        <v>1440</v>
      </c>
      <c r="L154" s="107">
        <f t="shared" si="2"/>
        <v>3108.764444</v>
      </c>
      <c r="M154" s="43" t="s">
        <v>1467</v>
      </c>
    </row>
    <row r="155" hidden="1">
      <c r="A155" s="51" t="s">
        <v>179</v>
      </c>
      <c r="B155" s="43">
        <v>2025.0</v>
      </c>
      <c r="C155" s="43" t="s">
        <v>127</v>
      </c>
      <c r="D155" s="43" t="s">
        <v>128</v>
      </c>
      <c r="E155" s="704" t="s">
        <v>128</v>
      </c>
      <c r="F155" s="443">
        <v>160.0</v>
      </c>
      <c r="G155" s="452"/>
      <c r="H155" s="452">
        <f t="array" ref="H155">IFERROR(
  INDEX(
    'Valor Hora Real y Estimada'!$A$4:$Z$78,
    MATCH(TRIM(CLEAN(C155)), 'Valor Hora Real y Estimada'!$A$4:$A$78, 0),
    MATCH(
      TEXT(A155,"dd mmm")&amp;" "&amp;B155,
      'Valor Hora Real y Estimada'!$A$3:$Z$3,
      0
    ) + 1
  ),
  0
)</f>
        <v>28518.1128</v>
      </c>
      <c r="I155" s="453">
        <f t="shared" si="19"/>
        <v>4734898.048</v>
      </c>
      <c r="J155" s="106"/>
      <c r="K155" s="106">
        <f>IF(ISBLANK(I155), "", VLOOKUP(A155&amp;" "&amp;B155, 'Info Tipo de Cambio y REM'!$A$24:$B$35, 2, FALSE))</f>
        <v>1499</v>
      </c>
      <c r="L155" s="107">
        <f t="shared" si="2"/>
        <v>3158.704502</v>
      </c>
      <c r="M155" s="43" t="s">
        <v>1467</v>
      </c>
    </row>
    <row r="156" hidden="1">
      <c r="A156" s="51" t="s">
        <v>182</v>
      </c>
      <c r="B156" s="43">
        <v>2025.0</v>
      </c>
      <c r="C156" s="43" t="s">
        <v>127</v>
      </c>
      <c r="D156" s="43" t="s">
        <v>128</v>
      </c>
      <c r="E156" s="704" t="s">
        <v>128</v>
      </c>
      <c r="F156" s="443">
        <v>160.0</v>
      </c>
      <c r="G156" s="452"/>
      <c r="H156" s="452">
        <f t="array" ref="H156">IFERROR(
  INDEX(
    'Valor Hora Real y Estimada'!$A$4:$Z$78,
    MATCH(TRIM(CLEAN(C156)), 'Valor Hora Real y Estimada'!$A$4:$A$78, 0),
    MATCH(
      TEXT(A156,"dd mmm")&amp;" "&amp;B156,
      'Valor Hora Real y Estimada'!$A$3:$Z$3,
      0
    ) + 1
  ),
  0
)</f>
        <v>28518.1128</v>
      </c>
      <c r="I156" s="453">
        <f t="shared" si="19"/>
        <v>4734898.048</v>
      </c>
      <c r="J156" s="106"/>
      <c r="K156" s="106">
        <f>IF(ISBLANK(I156), "", VLOOKUP(A156&amp;" "&amp;B156, 'Info Tipo de Cambio y REM'!$A$24:$B$35, 2, FALSE))</f>
        <v>1536</v>
      </c>
      <c r="L156" s="107">
        <f t="shared" si="2"/>
        <v>3082.615917</v>
      </c>
      <c r="M156" s="43" t="s">
        <v>1467</v>
      </c>
    </row>
    <row r="157" hidden="1">
      <c r="A157" s="467" t="s">
        <v>161</v>
      </c>
      <c r="B157" s="43">
        <v>2025.0</v>
      </c>
      <c r="C157" s="43" t="s">
        <v>127</v>
      </c>
      <c r="D157" s="43" t="s">
        <v>192</v>
      </c>
      <c r="E157" s="704" t="s">
        <v>128</v>
      </c>
      <c r="F157" s="706"/>
      <c r="G157" s="452"/>
      <c r="H157" s="452"/>
      <c r="I157" s="453"/>
      <c r="J157" s="106">
        <v>655.0</v>
      </c>
      <c r="K157" s="106" t="str">
        <f>IF(ISBLANK(I157), "", VLOOKUP(A157&amp;" "&amp;B157, 'Info Tipo de Cambio y REM'!$A$24:$B$35, 2, FALSE))</f>
        <v/>
      </c>
      <c r="L157" s="107">
        <f t="shared" si="2"/>
        <v>655</v>
      </c>
      <c r="M157" s="43" t="s">
        <v>1466</v>
      </c>
    </row>
    <row r="158">
      <c r="A158" s="467" t="s">
        <v>182</v>
      </c>
      <c r="B158" s="43">
        <v>2025.0</v>
      </c>
      <c r="C158" s="43" t="s">
        <v>127</v>
      </c>
      <c r="D158" s="43" t="s">
        <v>192</v>
      </c>
      <c r="E158" s="704" t="s">
        <v>128</v>
      </c>
      <c r="F158" s="706"/>
      <c r="G158" s="452"/>
      <c r="H158" s="452"/>
      <c r="I158" s="453"/>
      <c r="J158" s="106">
        <v>3401.0</v>
      </c>
      <c r="K158" s="106" t="str">
        <f>IF(ISBLANK(I158), "", VLOOKUP(A158&amp;" "&amp;B158, 'Info Tipo de Cambio y REM'!$A$24:$B$35, 2, FALSE))</f>
        <v/>
      </c>
      <c r="L158" s="107">
        <f t="shared" si="2"/>
        <v>3401</v>
      </c>
      <c r="M158" s="43" t="s">
        <v>1467</v>
      </c>
    </row>
    <row r="159" hidden="1">
      <c r="A159" s="51" t="s">
        <v>155</v>
      </c>
      <c r="B159" s="43">
        <v>2025.0</v>
      </c>
      <c r="C159" s="43" t="s">
        <v>133</v>
      </c>
      <c r="D159" s="43" t="s">
        <v>128</v>
      </c>
      <c r="E159" s="704" t="s">
        <v>128</v>
      </c>
      <c r="F159" s="706">
        <v>159.99739311783108</v>
      </c>
      <c r="G159" s="452"/>
      <c r="H159" s="452">
        <f t="array" ref="H159">IFERROR(
  INDEX(
    'Valor Hora Real y Estimada'!$A$4:$Z$78,
    MATCH(TRIM(CLEAN(C159)), 'Valor Hora Real y Estimada'!$A$4:$A$78, 0),
    MATCH(
      TEXT(A159,"dd mmm")&amp;" "&amp;B159,
      'Valor Hora Real y Estimada'!$A$3:$Z$3,
      0
    ) + 1
  ),
  0
)</f>
        <v>30688</v>
      </c>
      <c r="I159" s="453">
        <f t="shared" ref="I159:I160" si="20">H159*F159</f>
        <v>4910000</v>
      </c>
      <c r="J159" s="106"/>
      <c r="K159" s="106">
        <f>IF(ISBLANK(I159), "", VLOOKUP(A159&amp;" "&amp;B159, 'Info Tipo de Cambio y REM'!$A$24:$B$35, 2, FALSE))</f>
        <v>1215</v>
      </c>
      <c r="L159" s="107">
        <f t="shared" si="2"/>
        <v>4041.152263</v>
      </c>
      <c r="M159" s="43" t="s">
        <v>1466</v>
      </c>
    </row>
    <row r="160" hidden="1">
      <c r="A160" s="51" t="s">
        <v>161</v>
      </c>
      <c r="B160" s="43">
        <v>2025.0</v>
      </c>
      <c r="C160" s="43" t="s">
        <v>133</v>
      </c>
      <c r="D160" s="43" t="s">
        <v>128</v>
      </c>
      <c r="E160" s="704" t="s">
        <v>128</v>
      </c>
      <c r="F160" s="706">
        <v>159.99739311783108</v>
      </c>
      <c r="G160" s="452"/>
      <c r="H160" s="452">
        <f t="array" ref="H160">IFERROR(
  INDEX(
    'Valor Hora Real y Estimada'!$A$4:$Z$78,
    MATCH(TRIM(CLEAN(C160)), 'Valor Hora Real y Estimada'!$A$4:$A$78, 0),
    MATCH(
      TEXT(A160,"dd mmm")&amp;" "&amp;B160,
      'Valor Hora Real y Estimada'!$A$3:$Z$3,
      0
    ) + 1
  ),
  0
)</f>
        <v>30688</v>
      </c>
      <c r="I160" s="453">
        <f t="shared" si="20"/>
        <v>4910000</v>
      </c>
      <c r="J160" s="106"/>
      <c r="K160" s="106">
        <f>IF(ISBLANK(I160), "", VLOOKUP(A160&amp;" "&amp;B160, 'Info Tipo de Cambio y REM'!$A$24:$B$35, 2, FALSE))</f>
        <v>1320</v>
      </c>
      <c r="L160" s="107">
        <f t="shared" si="2"/>
        <v>3719.69697</v>
      </c>
      <c r="M160" s="43" t="s">
        <v>1466</v>
      </c>
      <c r="O160" s="707"/>
    </row>
    <row r="161" hidden="1">
      <c r="A161" s="51" t="s">
        <v>166</v>
      </c>
      <c r="B161" s="43">
        <v>2025.0</v>
      </c>
      <c r="C161" s="43" t="s">
        <v>133</v>
      </c>
      <c r="D161" s="43" t="s">
        <v>128</v>
      </c>
      <c r="E161" s="704" t="s">
        <v>128</v>
      </c>
      <c r="F161" s="443">
        <v>160.0</v>
      </c>
      <c r="G161" s="452"/>
      <c r="H161" s="452">
        <f t="array" ref="H161">IFERROR(
  INDEX(
    'Valor Hora Real y Estimada'!$A$4:$Z$78,
    MATCH(TRIM(CLEAN(C161)), 'Valor Hora Real y Estimada'!$A$4:$A$78, 0),
    MATCH(
      TEXT(A161,"dd mmm")&amp;" "&amp;B161,
      'Valor Hora Real y Estimada'!$A$3:$Z$3,
      0
    ) + 1
  ),
  0
)</f>
        <v>33143.04</v>
      </c>
      <c r="I161" s="453">
        <f t="shared" ref="I161:I165" si="21">H161*F161+172000</f>
        <v>5474886.4</v>
      </c>
      <c r="J161" s="106"/>
      <c r="K161" s="106">
        <f>IF(ISBLANK(I161), "", VLOOKUP(A161&amp;" "&amp;B161, 'Info Tipo de Cambio y REM'!$A$24:$B$35, 2, FALSE))</f>
        <v>1345</v>
      </c>
      <c r="L161" s="107">
        <f t="shared" si="2"/>
        <v>4070.547509</v>
      </c>
      <c r="M161" s="43" t="s">
        <v>1466</v>
      </c>
    </row>
    <row r="162" hidden="1">
      <c r="A162" s="51" t="s">
        <v>171</v>
      </c>
      <c r="B162" s="43">
        <v>2025.0</v>
      </c>
      <c r="C162" s="43" t="s">
        <v>133</v>
      </c>
      <c r="D162" s="43" t="s">
        <v>128</v>
      </c>
      <c r="E162" s="704" t="s">
        <v>128</v>
      </c>
      <c r="F162" s="443">
        <v>160.0</v>
      </c>
      <c r="G162" s="452"/>
      <c r="H162" s="452">
        <f t="array" ref="H162">IFERROR(
  INDEX(
    'Valor Hora Real y Estimada'!$A$4:$Z$78,
    MATCH(TRIM(CLEAN(C162)), 'Valor Hora Real y Estimada'!$A$4:$A$78, 0),
    MATCH(
      TEXT(A162,"dd mmm")&amp;" "&amp;B162,
      'Valor Hora Real y Estimada'!$A$3:$Z$3,
      0
    ) + 1
  ),
  0
)</f>
        <v>33143.04</v>
      </c>
      <c r="I162" s="453">
        <f t="shared" si="21"/>
        <v>5474886.4</v>
      </c>
      <c r="J162" s="106"/>
      <c r="K162" s="106">
        <f>IF(ISBLANK(I162), "", VLOOKUP(A162&amp;" "&amp;B162, 'Info Tipo de Cambio y REM'!$A$24:$B$35, 2, FALSE))</f>
        <v>1445</v>
      </c>
      <c r="L162" s="107">
        <f t="shared" si="2"/>
        <v>3788.84872</v>
      </c>
      <c r="M162" s="43" t="s">
        <v>1466</v>
      </c>
    </row>
    <row r="163" hidden="1">
      <c r="A163" s="51" t="s">
        <v>175</v>
      </c>
      <c r="B163" s="43">
        <v>2025.0</v>
      </c>
      <c r="C163" s="43" t="s">
        <v>133</v>
      </c>
      <c r="D163" s="43" t="s">
        <v>128</v>
      </c>
      <c r="E163" s="704" t="s">
        <v>128</v>
      </c>
      <c r="F163" s="443">
        <v>160.0</v>
      </c>
      <c r="G163" s="452"/>
      <c r="H163" s="452">
        <f t="array" ref="H163">IFERROR(
  INDEX(
    'Valor Hora Real y Estimada'!$A$4:$Z$78,
    MATCH(TRIM(CLEAN(C163)), 'Valor Hora Real y Estimada'!$A$4:$A$78, 0),
    MATCH(
      TEXT(A163,"dd mmm")&amp;" "&amp;B163,
      'Valor Hora Real y Estimada'!$A$3:$Z$3,
      0
    ) + 1
  ),
  0
)</f>
        <v>33143.04</v>
      </c>
      <c r="I163" s="453">
        <f t="shared" si="21"/>
        <v>5474886.4</v>
      </c>
      <c r="J163" s="106"/>
      <c r="K163" s="106">
        <f>IF(ISBLANK(I163), "", VLOOKUP(A163&amp;" "&amp;B163, 'Info Tipo de Cambio y REM'!$A$24:$B$35, 2, FALSE))</f>
        <v>1440</v>
      </c>
      <c r="L163" s="107">
        <f t="shared" si="2"/>
        <v>3802.004444</v>
      </c>
      <c r="M163" s="43" t="s">
        <v>1467</v>
      </c>
    </row>
    <row r="164" hidden="1">
      <c r="A164" s="51" t="s">
        <v>179</v>
      </c>
      <c r="B164" s="43">
        <v>2025.0</v>
      </c>
      <c r="C164" s="43" t="s">
        <v>133</v>
      </c>
      <c r="D164" s="43" t="s">
        <v>128</v>
      </c>
      <c r="E164" s="704" t="s">
        <v>128</v>
      </c>
      <c r="F164" s="443">
        <v>160.0</v>
      </c>
      <c r="G164" s="452"/>
      <c r="H164" s="452">
        <f t="array" ref="H164">IFERROR(
  INDEX(
    'Valor Hora Real y Estimada'!$A$4:$Z$78,
    MATCH(TRIM(CLEAN(C164)), 'Valor Hora Real y Estimada'!$A$4:$A$78, 0),
    MATCH(
      TEXT(A164,"dd mmm")&amp;" "&amp;B164,
      'Valor Hora Real y Estimada'!$A$3:$Z$3,
      0
    ) + 1
  ),
  0
)</f>
        <v>35131.6224</v>
      </c>
      <c r="I164" s="453">
        <f t="shared" si="21"/>
        <v>5793059.584</v>
      </c>
      <c r="J164" s="106"/>
      <c r="K164" s="106">
        <f>IF(ISBLANK(I164), "", VLOOKUP(A164&amp;" "&amp;B164, 'Info Tipo de Cambio y REM'!$A$24:$B$35, 2, FALSE))</f>
        <v>1499</v>
      </c>
      <c r="L164" s="107">
        <f t="shared" si="2"/>
        <v>3864.616133</v>
      </c>
      <c r="M164" s="43" t="s">
        <v>1467</v>
      </c>
    </row>
    <row r="165" hidden="1">
      <c r="A165" s="51" t="s">
        <v>182</v>
      </c>
      <c r="B165" s="43">
        <v>2025.0</v>
      </c>
      <c r="C165" s="43" t="s">
        <v>133</v>
      </c>
      <c r="D165" s="43" t="s">
        <v>128</v>
      </c>
      <c r="E165" s="704" t="s">
        <v>128</v>
      </c>
      <c r="F165" s="443">
        <v>160.0</v>
      </c>
      <c r="G165" s="452"/>
      <c r="H165" s="452">
        <f t="array" ref="H165">IFERROR(
  INDEX(
    'Valor Hora Real y Estimada'!$A$4:$Z$78,
    MATCH(TRIM(CLEAN(C165)), 'Valor Hora Real y Estimada'!$A$4:$A$78, 0),
    MATCH(
      TEXT(A165,"dd mmm")&amp;" "&amp;B165,
      'Valor Hora Real y Estimada'!$A$3:$Z$3,
      0
    ) + 1
  ),
  0
)</f>
        <v>35131.6224</v>
      </c>
      <c r="I165" s="453">
        <f t="shared" si="21"/>
        <v>5793059.584</v>
      </c>
      <c r="J165" s="106"/>
      <c r="K165" s="106">
        <f>IF(ISBLANK(I165), "", VLOOKUP(A165&amp;" "&amp;B165, 'Info Tipo de Cambio y REM'!$A$24:$B$35, 2, FALSE))</f>
        <v>1536</v>
      </c>
      <c r="L165" s="107">
        <f t="shared" si="2"/>
        <v>3771.523167</v>
      </c>
      <c r="M165" s="43" t="s">
        <v>1467</v>
      </c>
    </row>
    <row r="166" hidden="1">
      <c r="A166" s="467" t="s">
        <v>161</v>
      </c>
      <c r="B166" s="43">
        <v>2025.0</v>
      </c>
      <c r="C166" s="43" t="s">
        <v>133</v>
      </c>
      <c r="D166" s="43" t="s">
        <v>192</v>
      </c>
      <c r="E166" s="704" t="s">
        <v>128</v>
      </c>
      <c r="F166" s="443"/>
      <c r="G166" s="708"/>
      <c r="H166" s="452"/>
      <c r="I166" s="453"/>
      <c r="J166" s="106">
        <v>820.0</v>
      </c>
      <c r="K166" s="106" t="str">
        <f>IF(ISBLANK(I166), "", VLOOKUP(A166&amp;" "&amp;B166, 'Info Tipo de Cambio y REM'!$A$24:$B$35, 2, FALSE))</f>
        <v/>
      </c>
      <c r="L166" s="107">
        <f t="shared" si="2"/>
        <v>820</v>
      </c>
      <c r="M166" s="43" t="s">
        <v>1466</v>
      </c>
    </row>
    <row r="167">
      <c r="A167" s="467" t="s">
        <v>182</v>
      </c>
      <c r="B167" s="43">
        <v>2025.0</v>
      </c>
      <c r="C167" s="43" t="s">
        <v>133</v>
      </c>
      <c r="D167" s="43" t="s">
        <v>192</v>
      </c>
      <c r="E167" s="704" t="s">
        <v>128</v>
      </c>
      <c r="F167" s="443"/>
      <c r="G167" s="708"/>
      <c r="H167" s="452"/>
      <c r="I167" s="453"/>
      <c r="J167" s="106">
        <v>5021.0</v>
      </c>
      <c r="K167" s="106" t="str">
        <f>IF(ISBLANK(I167), "", VLOOKUP(A167&amp;" "&amp;B167, 'Info Tipo de Cambio y REM'!$A$24:$B$35, 2, FALSE))</f>
        <v/>
      </c>
      <c r="L167" s="107">
        <f t="shared" si="2"/>
        <v>5021</v>
      </c>
      <c r="M167" s="43" t="s">
        <v>1467</v>
      </c>
    </row>
    <row r="168" hidden="1">
      <c r="A168" s="51" t="s">
        <v>155</v>
      </c>
      <c r="B168" s="43">
        <v>2025.0</v>
      </c>
      <c r="C168" s="43" t="s">
        <v>222</v>
      </c>
      <c r="D168" s="43" t="s">
        <v>134</v>
      </c>
      <c r="E168" s="704"/>
      <c r="F168" s="443">
        <v>1.0</v>
      </c>
      <c r="G168" s="708"/>
      <c r="H168" s="452">
        <f t="array" ref="H168">IFERROR(
  INDEX('Valor Hora Real y Estimada'!$A$4:$Z$116,
    MATCH(TRIM(CLEAN(C168)), 'Valor Hora Real y Estimada'!$A$4:$A$116, 0),
    MATCH(TEXT(A168,"dd mmm"), 'Valor Hora Real y Estimada'!$A$3:$Z$3, 0) + 1
  ),
  0
)</f>
        <v>0</v>
      </c>
      <c r="I168" s="453">
        <v>4910000.0</v>
      </c>
      <c r="J168" s="106"/>
      <c r="K168" s="106">
        <f>IF(ISBLANK(I168), "", VLOOKUP(A168&amp;" "&amp;B168, 'Info Tipo de Cambio y REM'!$A$24:$B$35, 2, FALSE))</f>
        <v>1215</v>
      </c>
      <c r="L168" s="107">
        <f t="shared" si="2"/>
        <v>4041.152263</v>
      </c>
      <c r="M168" s="43" t="s">
        <v>1466</v>
      </c>
    </row>
    <row r="169" hidden="1">
      <c r="A169" s="51" t="s">
        <v>161</v>
      </c>
      <c r="B169" s="43">
        <v>2025.0</v>
      </c>
      <c r="C169" s="43" t="s">
        <v>222</v>
      </c>
      <c r="D169" s="43" t="s">
        <v>134</v>
      </c>
      <c r="E169" s="443"/>
      <c r="F169" s="443">
        <v>1.0</v>
      </c>
      <c r="G169" s="708"/>
      <c r="H169" s="452">
        <f t="array" ref="H169">IFERROR(
  INDEX('Valor Hora Real y Estimada'!$A$4:$Z$116,
    MATCH(TRIM(CLEAN(C169)), 'Valor Hora Real y Estimada'!$A$4:$A$116, 0),
    MATCH(TEXT(A169,"dd mmm"), 'Valor Hora Real y Estimada'!$A$3:$Z$3, 0) + 1
  ),
  0
)</f>
        <v>0</v>
      </c>
      <c r="I169" s="453">
        <v>4910000.0</v>
      </c>
      <c r="J169" s="106"/>
      <c r="K169" s="106">
        <f>IF(ISBLANK(I169), "", VLOOKUP(A169&amp;" "&amp;B169, 'Info Tipo de Cambio y REM'!$A$24:$B$35, 2, FALSE))</f>
        <v>1320</v>
      </c>
      <c r="L169" s="107">
        <f t="shared" si="2"/>
        <v>3719.69697</v>
      </c>
      <c r="M169" s="43" t="s">
        <v>1466</v>
      </c>
    </row>
    <row r="170" hidden="1">
      <c r="A170" s="51" t="s">
        <v>166</v>
      </c>
      <c r="B170" s="43">
        <v>2025.0</v>
      </c>
      <c r="C170" s="43" t="s">
        <v>222</v>
      </c>
      <c r="D170" s="43" t="s">
        <v>134</v>
      </c>
      <c r="E170" s="443"/>
      <c r="F170" s="443">
        <v>1.0</v>
      </c>
      <c r="G170" s="708"/>
      <c r="H170" s="452">
        <f t="array" ref="H170">IFERROR(
  INDEX('Valor Hora Real y Estimada'!$A$4:$Z$116,
    MATCH(TRIM(CLEAN(C170)), 'Valor Hora Real y Estimada'!$A$4:$A$116, 0),
    MATCH(TEXT(A170,"dd mmm"), 'Valor Hora Real y Estimada'!$A$3:$Z$3, 0) + 1
  ),
  0
)</f>
        <v>0</v>
      </c>
      <c r="I170" s="453">
        <f t="shared" ref="I170:I174" si="22">I161</f>
        <v>5474886.4</v>
      </c>
      <c r="J170" s="106"/>
      <c r="K170" s="106">
        <f>IF(ISBLANK(I170), "", VLOOKUP(A170&amp;" "&amp;B170, 'Info Tipo de Cambio y REM'!$A$24:$B$35, 2, FALSE))</f>
        <v>1345</v>
      </c>
      <c r="L170" s="107">
        <f t="shared" si="2"/>
        <v>4070.547509</v>
      </c>
      <c r="M170" s="43" t="s">
        <v>1466</v>
      </c>
    </row>
    <row r="171" hidden="1">
      <c r="A171" s="51" t="s">
        <v>171</v>
      </c>
      <c r="B171" s="43">
        <v>2025.0</v>
      </c>
      <c r="C171" s="43" t="s">
        <v>222</v>
      </c>
      <c r="D171" s="43" t="s">
        <v>134</v>
      </c>
      <c r="E171" s="443"/>
      <c r="F171" s="443">
        <v>1.0</v>
      </c>
      <c r="G171" s="708"/>
      <c r="H171" s="452">
        <f t="array" ref="H171">IFERROR(
  INDEX('Valor Hora Real y Estimada'!$A$4:$Z$116,
    MATCH(TRIM(CLEAN(C171)), 'Valor Hora Real y Estimada'!$A$4:$A$116, 0),
    MATCH(TEXT(A171,"dd mmm"), 'Valor Hora Real y Estimada'!$A$3:$Z$3, 0) + 1
  ),
  0
)</f>
        <v>0</v>
      </c>
      <c r="I171" s="453">
        <f t="shared" si="22"/>
        <v>5474886.4</v>
      </c>
      <c r="J171" s="106"/>
      <c r="K171" s="106">
        <f>IF(ISBLANK(I171), "", VLOOKUP(A171&amp;" "&amp;B171, 'Info Tipo de Cambio y REM'!$A$24:$B$35, 2, FALSE))</f>
        <v>1445</v>
      </c>
      <c r="L171" s="107">
        <f t="shared" si="2"/>
        <v>3788.84872</v>
      </c>
      <c r="M171" s="43" t="s">
        <v>1466</v>
      </c>
    </row>
    <row r="172" hidden="1">
      <c r="A172" s="51" t="s">
        <v>175</v>
      </c>
      <c r="B172" s="43">
        <v>2025.0</v>
      </c>
      <c r="C172" s="43" t="s">
        <v>222</v>
      </c>
      <c r="D172" s="43" t="s">
        <v>134</v>
      </c>
      <c r="E172" s="443"/>
      <c r="F172" s="443">
        <v>1.0</v>
      </c>
      <c r="G172" s="708"/>
      <c r="H172" s="452">
        <f t="array" ref="H172">IFERROR(
  INDEX('Valor Hora Real y Estimada'!$A$4:$Z$116,
    MATCH(TRIM(CLEAN(C172)), 'Valor Hora Real y Estimada'!$A$4:$A$116, 0),
    MATCH(TEXT(A172,"dd mmm"), 'Valor Hora Real y Estimada'!$A$3:$Z$3, 0) + 1
  ),
  0
)</f>
        <v>0</v>
      </c>
      <c r="I172" s="453">
        <f t="shared" si="22"/>
        <v>5474886.4</v>
      </c>
      <c r="J172" s="106"/>
      <c r="K172" s="106">
        <f>IF(ISBLANK(I172), "", VLOOKUP(A172&amp;" "&amp;B172, 'Info Tipo de Cambio y REM'!$A$24:$B$35, 2, FALSE))</f>
        <v>1440</v>
      </c>
      <c r="L172" s="107">
        <f t="shared" si="2"/>
        <v>3802.004444</v>
      </c>
      <c r="M172" s="43" t="s">
        <v>1467</v>
      </c>
    </row>
    <row r="173" hidden="1">
      <c r="A173" s="51" t="s">
        <v>179</v>
      </c>
      <c r="B173" s="43">
        <v>2025.0</v>
      </c>
      <c r="C173" s="43" t="s">
        <v>222</v>
      </c>
      <c r="D173" s="43" t="s">
        <v>134</v>
      </c>
      <c r="E173" s="443"/>
      <c r="F173" s="443">
        <v>1.0</v>
      </c>
      <c r="G173" s="708"/>
      <c r="H173" s="452">
        <f t="array" ref="H173">IFERROR(
  INDEX('Valor Hora Real y Estimada'!$A$4:$Z$116,
    MATCH(TRIM(CLEAN(C173)), 'Valor Hora Real y Estimada'!$A$4:$A$116, 0),
    MATCH(TEXT(A173,"dd mmm"), 'Valor Hora Real y Estimada'!$A$3:$Z$3, 0) + 1
  ),
  0
)</f>
        <v>0</v>
      </c>
      <c r="I173" s="453">
        <f t="shared" si="22"/>
        <v>5793059.584</v>
      </c>
      <c r="J173" s="106"/>
      <c r="K173" s="106">
        <f>IF(ISBLANK(I173), "", VLOOKUP(A173&amp;" "&amp;B173, 'Info Tipo de Cambio y REM'!$A$24:$B$35, 2, FALSE))</f>
        <v>1499</v>
      </c>
      <c r="L173" s="107">
        <f t="shared" si="2"/>
        <v>3864.616133</v>
      </c>
      <c r="M173" s="43" t="s">
        <v>1467</v>
      </c>
    </row>
    <row r="174" hidden="1">
      <c r="A174" s="51" t="s">
        <v>182</v>
      </c>
      <c r="B174" s="43">
        <v>2025.0</v>
      </c>
      <c r="C174" s="43" t="s">
        <v>222</v>
      </c>
      <c r="D174" s="43" t="s">
        <v>134</v>
      </c>
      <c r="E174" s="443"/>
      <c r="F174" s="443">
        <v>1.0</v>
      </c>
      <c r="G174" s="708"/>
      <c r="H174" s="452">
        <f t="array" ref="H174">IFERROR(
  INDEX('Valor Hora Real y Estimada'!$A$4:$Z$116,
    MATCH(TRIM(CLEAN(C174)), 'Valor Hora Real y Estimada'!$A$4:$A$116, 0),
    MATCH(TEXT(A174,"dd mmm"), 'Valor Hora Real y Estimada'!$A$3:$Z$3, 0) + 1
  ),
  0
)</f>
        <v>0</v>
      </c>
      <c r="I174" s="453">
        <f t="shared" si="22"/>
        <v>5793059.584</v>
      </c>
      <c r="J174" s="106"/>
      <c r="K174" s="106">
        <f>IF(ISBLANK(I174), "", VLOOKUP(A174&amp;" "&amp;B174, 'Info Tipo de Cambio y REM'!$A$24:$B$35, 2, FALSE))</f>
        <v>1536</v>
      </c>
      <c r="L174" s="107">
        <f t="shared" si="2"/>
        <v>3771.523167</v>
      </c>
      <c r="M174" s="43" t="s">
        <v>1467</v>
      </c>
    </row>
    <row r="175" hidden="1">
      <c r="A175" s="51" t="s">
        <v>155</v>
      </c>
      <c r="B175" s="43">
        <v>2025.0</v>
      </c>
      <c r="C175" s="43" t="s">
        <v>226</v>
      </c>
      <c r="D175" s="43" t="s">
        <v>174</v>
      </c>
      <c r="E175" s="443"/>
      <c r="F175" s="443"/>
      <c r="G175" s="708"/>
      <c r="H175" s="452">
        <f t="array" ref="H175">IFERROR(
  INDEX('Valor Hora Real y Estimada'!$A$4:$Z$116,
    MATCH(TRIM(CLEAN(C175)), 'Valor Hora Real y Estimada'!$A$4:$A$116, 0),
    MATCH(TEXT(A175,"dd mmm"), 'Valor Hora Real y Estimada'!$A$3:$Z$3, 0) + 1
  ),
  0
)</f>
        <v>0</v>
      </c>
      <c r="I175" s="468">
        <v>537700.0</v>
      </c>
      <c r="J175" s="106"/>
      <c r="K175" s="106">
        <f>IF(ISBLANK(I175), "", VLOOKUP(A175&amp;" "&amp;B175, 'Info Tipo de Cambio y REM'!$A$24:$B$35, 2, FALSE))</f>
        <v>1215</v>
      </c>
      <c r="L175" s="107">
        <f t="shared" si="2"/>
        <v>442.5514403</v>
      </c>
      <c r="M175" s="43" t="s">
        <v>1466</v>
      </c>
    </row>
    <row r="176" hidden="1">
      <c r="A176" s="51" t="s">
        <v>161</v>
      </c>
      <c r="B176" s="43">
        <v>2025.0</v>
      </c>
      <c r="C176" s="43" t="s">
        <v>226</v>
      </c>
      <c r="D176" s="43" t="s">
        <v>174</v>
      </c>
      <c r="E176" s="443"/>
      <c r="F176" s="443"/>
      <c r="G176" s="708"/>
      <c r="H176" s="452">
        <f t="array" ref="H176">IFERROR(
  INDEX('Valor Hora Real y Estimada'!$A$4:$Z$116,
    MATCH(TRIM(CLEAN(C176)), 'Valor Hora Real y Estimada'!$A$4:$A$116, 0),
    MATCH(TEXT(A176,"dd mmm"), 'Valor Hora Real y Estimada'!$A$3:$Z$3, 0) + 1
  ),
  0
)</f>
        <v>0</v>
      </c>
      <c r="I176" s="468">
        <v>537700.0</v>
      </c>
      <c r="J176" s="106"/>
      <c r="K176" s="106">
        <f>IF(ISBLANK(I176), "", VLOOKUP(A176&amp;" "&amp;B176, 'Info Tipo de Cambio y REM'!$A$24:$B$35, 2, FALSE))</f>
        <v>1320</v>
      </c>
      <c r="L176" s="107">
        <f t="shared" si="2"/>
        <v>407.3484848</v>
      </c>
      <c r="M176" s="43" t="s">
        <v>1466</v>
      </c>
    </row>
    <row r="177" hidden="1">
      <c r="A177" s="51" t="s">
        <v>166</v>
      </c>
      <c r="B177" s="43">
        <v>2025.0</v>
      </c>
      <c r="C177" s="43" t="s">
        <v>226</v>
      </c>
      <c r="D177" s="43" t="s">
        <v>174</v>
      </c>
      <c r="E177" s="443"/>
      <c r="F177" s="443"/>
      <c r="G177" s="709">
        <v>1.075</v>
      </c>
      <c r="H177" s="452">
        <f t="array" ref="H177">IFERROR(
  INDEX('Valor Hora Real y Estimada'!$A$4:$Z$116,
    MATCH(TRIM(CLEAN(C177)), 'Valor Hora Real y Estimada'!$A$4:$A$116, 0),
    MATCH(TEXT(A177,"dd mmm"), 'Valor Hora Real y Estimada'!$A$3:$Z$3, 0) + 1
  ),
  0
)</f>
        <v>0</v>
      </c>
      <c r="I177" s="468">
        <f>537700*G177</f>
        <v>578027.5</v>
      </c>
      <c r="J177" s="106"/>
      <c r="K177" s="106">
        <f>IF(ISBLANK(I177), "", VLOOKUP(A177&amp;" "&amp;B177, 'Info Tipo de Cambio y REM'!$A$24:$B$35, 2, FALSE))</f>
        <v>1345</v>
      </c>
      <c r="L177" s="107">
        <f t="shared" si="2"/>
        <v>429.760223</v>
      </c>
      <c r="M177" s="43" t="s">
        <v>1466</v>
      </c>
    </row>
    <row r="178" hidden="1">
      <c r="A178" s="51" t="s">
        <v>171</v>
      </c>
      <c r="B178" s="43">
        <v>2025.0</v>
      </c>
      <c r="C178" s="43" t="s">
        <v>226</v>
      </c>
      <c r="D178" s="43" t="s">
        <v>174</v>
      </c>
      <c r="E178" s="443"/>
      <c r="F178" s="443"/>
      <c r="G178" s="708"/>
      <c r="H178" s="452">
        <f t="array" ref="H178">IFERROR(
  INDEX('Valor Hora Real y Estimada'!$A$4:$Z$116,
    MATCH(TRIM(CLEAN(C178)), 'Valor Hora Real y Estimada'!$A$4:$A$116, 0),
    MATCH(TEXT(A178,"dd mmm"), 'Valor Hora Real y Estimada'!$A$3:$Z$3, 0) + 1
  ),
  0
)</f>
        <v>0</v>
      </c>
      <c r="I178" s="468">
        <v>578027.5</v>
      </c>
      <c r="J178" s="106"/>
      <c r="K178" s="106">
        <f>IF(ISBLANK(I178), "", VLOOKUP(A178&amp;" "&amp;B178, 'Info Tipo de Cambio y REM'!$A$24:$B$35, 2, FALSE))</f>
        <v>1445</v>
      </c>
      <c r="L178" s="107">
        <f t="shared" si="2"/>
        <v>400.0190311</v>
      </c>
      <c r="M178" s="43" t="s">
        <v>1466</v>
      </c>
    </row>
    <row r="179" hidden="1">
      <c r="A179" s="51" t="s">
        <v>175</v>
      </c>
      <c r="B179" s="43">
        <v>2025.0</v>
      </c>
      <c r="C179" s="43" t="s">
        <v>226</v>
      </c>
      <c r="D179" s="43" t="s">
        <v>174</v>
      </c>
      <c r="E179" s="443"/>
      <c r="F179" s="443"/>
      <c r="G179" s="708"/>
      <c r="H179" s="452">
        <f t="array" ref="H179">IFERROR(
  INDEX('Valor Hora Real y Estimada'!$A$4:$Z$116,
    MATCH(TRIM(CLEAN(C179)), 'Valor Hora Real y Estimada'!$A$4:$A$116, 0),
    MATCH(TEXT(A179,"dd mmm"), 'Valor Hora Real y Estimada'!$A$3:$Z$3, 0) + 1
  ),
  0
)</f>
        <v>0</v>
      </c>
      <c r="I179" s="468">
        <v>675800.0</v>
      </c>
      <c r="J179" s="106"/>
      <c r="K179" s="106">
        <f>IF(ISBLANK(I179), "", VLOOKUP(A179&amp;" "&amp;B179, 'Info Tipo de Cambio y REM'!$A$24:$B$35, 2, FALSE))</f>
        <v>1440</v>
      </c>
      <c r="L179" s="107">
        <f t="shared" si="2"/>
        <v>469.3055556</v>
      </c>
      <c r="M179" s="43" t="s">
        <v>1467</v>
      </c>
    </row>
    <row r="180" hidden="1">
      <c r="A180" s="51" t="s">
        <v>179</v>
      </c>
      <c r="B180" s="43">
        <v>2025.0</v>
      </c>
      <c r="C180" s="43" t="s">
        <v>226</v>
      </c>
      <c r="D180" s="43" t="s">
        <v>174</v>
      </c>
      <c r="E180" s="443"/>
      <c r="F180" s="443"/>
      <c r="G180" s="709"/>
      <c r="H180" s="452">
        <f t="array" ref="H180">IFERROR(
  INDEX('Valor Hora Real y Estimada'!$A$4:$Z$116,
    MATCH(TRIM(CLEAN(C180)), 'Valor Hora Real y Estimada'!$A$4:$A$116, 0),
    MATCH(TEXT(A180,"dd mmm"), 'Valor Hora Real y Estimada'!$A$3:$Z$3, 0) + 1
  ),
  0
)</f>
        <v>0</v>
      </c>
      <c r="I180" s="468">
        <v>675800.0</v>
      </c>
      <c r="J180" s="106"/>
      <c r="K180" s="106">
        <f>IF(ISBLANK(I180), "", VLOOKUP(A180&amp;" "&amp;B180, 'Info Tipo de Cambio y REM'!$A$24:$B$35, 2, FALSE))</f>
        <v>1499</v>
      </c>
      <c r="L180" s="107">
        <f t="shared" si="2"/>
        <v>450.8338893</v>
      </c>
      <c r="M180" s="43" t="s">
        <v>1467</v>
      </c>
    </row>
    <row r="181" hidden="1">
      <c r="A181" s="51" t="s">
        <v>182</v>
      </c>
      <c r="B181" s="43">
        <v>2025.0</v>
      </c>
      <c r="C181" s="43" t="s">
        <v>226</v>
      </c>
      <c r="D181" s="43" t="s">
        <v>174</v>
      </c>
      <c r="E181" s="443"/>
      <c r="F181" s="443"/>
      <c r="G181" s="708"/>
      <c r="H181" s="452">
        <f t="array" ref="H181">IFERROR(
  INDEX('Valor Hora Real y Estimada'!$A$4:$Z$116,
    MATCH(TRIM(CLEAN(C181)), 'Valor Hora Real y Estimada'!$A$4:$A$116, 0),
    MATCH(TEXT(A181,"dd mmm"), 'Valor Hora Real y Estimada'!$A$3:$Z$3, 0) + 1
  ),
  0
)</f>
        <v>0</v>
      </c>
      <c r="I181" s="468">
        <v>675800.0</v>
      </c>
      <c r="J181" s="106"/>
      <c r="K181" s="106">
        <f>IF(ISBLANK(I181), "", VLOOKUP(A181&amp;" "&amp;B181, 'Info Tipo de Cambio y REM'!$A$24:$B$35, 2, FALSE))</f>
        <v>1536</v>
      </c>
      <c r="L181" s="107">
        <f t="shared" si="2"/>
        <v>439.9739583</v>
      </c>
      <c r="M181" s="43" t="s">
        <v>1467</v>
      </c>
    </row>
    <row r="182" hidden="1">
      <c r="A182" s="467" t="s">
        <v>161</v>
      </c>
      <c r="B182" s="43">
        <v>2025.0</v>
      </c>
      <c r="C182" s="43" t="s">
        <v>226</v>
      </c>
      <c r="D182" s="43" t="s">
        <v>198</v>
      </c>
      <c r="E182" s="443"/>
      <c r="F182" s="443"/>
      <c r="G182" s="708"/>
      <c r="H182" s="452"/>
      <c r="I182" s="468"/>
      <c r="J182" s="106">
        <v>100.0</v>
      </c>
      <c r="K182" s="106" t="str">
        <f>IF(ISBLANK(I182), "", VLOOKUP(A182&amp;" "&amp;B182, 'Info Tipo de Cambio y REM'!$A$24:$B$35, 2, FALSE))</f>
        <v/>
      </c>
      <c r="L182" s="107">
        <f t="shared" si="2"/>
        <v>100</v>
      </c>
      <c r="M182" s="43" t="s">
        <v>1466</v>
      </c>
    </row>
    <row r="183">
      <c r="A183" s="467" t="s">
        <v>182</v>
      </c>
      <c r="B183" s="43">
        <v>2025.0</v>
      </c>
      <c r="C183" s="43" t="s">
        <v>226</v>
      </c>
      <c r="D183" s="43" t="s">
        <v>198</v>
      </c>
      <c r="E183" s="443"/>
      <c r="F183" s="443"/>
      <c r="G183" s="708"/>
      <c r="H183" s="452"/>
      <c r="I183" s="468"/>
      <c r="J183" s="106">
        <v>120.0</v>
      </c>
      <c r="K183" s="106" t="str">
        <f>IF(ISBLANK(I183), "", VLOOKUP(A183&amp;" "&amp;B183, 'Info Tipo de Cambio y REM'!$A$24:$B$35, 2, FALSE))</f>
        <v/>
      </c>
      <c r="L183" s="107">
        <f t="shared" si="2"/>
        <v>120</v>
      </c>
      <c r="M183" s="43" t="s">
        <v>1467</v>
      </c>
    </row>
    <row r="184" hidden="1">
      <c r="A184" s="51" t="s">
        <v>155</v>
      </c>
      <c r="B184" s="43">
        <v>2025.0</v>
      </c>
      <c r="C184" s="43" t="s">
        <v>219</v>
      </c>
      <c r="D184" s="43" t="s">
        <v>170</v>
      </c>
      <c r="E184" s="443"/>
      <c r="F184" s="443"/>
      <c r="G184" s="708"/>
      <c r="H184" s="452">
        <f t="array" ref="H184">IFERROR(
  INDEX('Valor Hora Real y Estimada'!$A$4:$Z$116,
    MATCH(TRIM(CLEAN(C184)), 'Valor Hora Real y Estimada'!$A$4:$A$116, 0),
    MATCH(TEXT(A184,"dd mmm"), 'Valor Hora Real y Estimada'!$A$3:$Z$3, 0) + 1
  ),
  0
)</f>
        <v>0</v>
      </c>
      <c r="I184" s="468">
        <v>802440.0</v>
      </c>
      <c r="J184" s="106"/>
      <c r="K184" s="106">
        <f>IF(ISBLANK(I184), "", VLOOKUP(A184&amp;" "&amp;B184, 'Info Tipo de Cambio y REM'!$A$24:$B$35, 2, FALSE))</f>
        <v>1215</v>
      </c>
      <c r="L184" s="107">
        <f t="shared" si="2"/>
        <v>660.4444444</v>
      </c>
      <c r="M184" s="43" t="s">
        <v>1466</v>
      </c>
    </row>
    <row r="185" hidden="1">
      <c r="A185" s="51" t="s">
        <v>161</v>
      </c>
      <c r="B185" s="43">
        <v>2025.0</v>
      </c>
      <c r="C185" s="43" t="s">
        <v>219</v>
      </c>
      <c r="D185" s="43" t="s">
        <v>170</v>
      </c>
      <c r="E185" s="443"/>
      <c r="F185" s="443"/>
      <c r="G185" s="708"/>
      <c r="H185" s="452">
        <f t="array" ref="H185">IFERROR(
  INDEX('Valor Hora Real y Estimada'!$A$4:$Z$116,
    MATCH(TRIM(CLEAN(C185)), 'Valor Hora Real y Estimada'!$A$4:$A$116, 0),
    MATCH(TEXT(A185,"dd mmm"), 'Valor Hora Real y Estimada'!$A$3:$Z$3, 0) + 1
  ),
  0
)</f>
        <v>0</v>
      </c>
      <c r="I185" s="468">
        <v>712040.0</v>
      </c>
      <c r="J185" s="106"/>
      <c r="K185" s="106">
        <f>IF(ISBLANK(I185), "", VLOOKUP(A185&amp;" "&amp;B185, 'Info Tipo de Cambio y REM'!$A$24:$B$35, 2, FALSE))</f>
        <v>1320</v>
      </c>
      <c r="L185" s="107">
        <f t="shared" si="2"/>
        <v>539.4242424</v>
      </c>
      <c r="M185" s="43" t="s">
        <v>1466</v>
      </c>
    </row>
    <row r="186" hidden="1">
      <c r="A186" s="51" t="s">
        <v>166</v>
      </c>
      <c r="B186" s="43">
        <v>2025.0</v>
      </c>
      <c r="C186" s="43" t="s">
        <v>219</v>
      </c>
      <c r="D186" s="43" t="s">
        <v>170</v>
      </c>
      <c r="E186" s="443"/>
      <c r="F186" s="443"/>
      <c r="G186" s="709">
        <v>1.075</v>
      </c>
      <c r="H186" s="452">
        <f t="array" ref="H186">IFERROR(
  INDEX('Valor Hora Real y Estimada'!$A$4:$Z$116,
    MATCH(TRIM(CLEAN(C186)), 'Valor Hora Real y Estimada'!$A$4:$A$116, 0),
    MATCH(TEXT(A186,"dd mmm"), 'Valor Hora Real y Estimada'!$A$3:$Z$3, 0) + 1
  ),
  0
)</f>
        <v>0</v>
      </c>
      <c r="I186" s="468">
        <f>712040*G186</f>
        <v>765443</v>
      </c>
      <c r="J186" s="106"/>
      <c r="K186" s="106">
        <f>IF(ISBLANK(I186), "", VLOOKUP(A186&amp;" "&amp;B186, 'Info Tipo de Cambio y REM'!$A$24:$B$35, 2, FALSE))</f>
        <v>1345</v>
      </c>
      <c r="L186" s="107">
        <f t="shared" si="2"/>
        <v>569.1026022</v>
      </c>
      <c r="M186" s="43" t="s">
        <v>1466</v>
      </c>
    </row>
    <row r="187" hidden="1">
      <c r="A187" s="51" t="s">
        <v>171</v>
      </c>
      <c r="B187" s="43">
        <v>2025.0</v>
      </c>
      <c r="C187" s="43" t="s">
        <v>219</v>
      </c>
      <c r="D187" s="43" t="s">
        <v>170</v>
      </c>
      <c r="E187" s="443"/>
      <c r="F187" s="443"/>
      <c r="G187" s="708"/>
      <c r="H187" s="452"/>
      <c r="I187" s="468">
        <v>250000.0</v>
      </c>
      <c r="J187" s="106"/>
      <c r="K187" s="106">
        <f>IF(ISBLANK(I187), "", VLOOKUP(A187&amp;" "&amp;B187, 'Info Tipo de Cambio y REM'!$A$24:$B$35, 2, FALSE))</f>
        <v>1445</v>
      </c>
      <c r="L187" s="107">
        <f t="shared" si="2"/>
        <v>173.0103806</v>
      </c>
      <c r="M187" s="43" t="s">
        <v>1466</v>
      </c>
    </row>
    <row r="188" hidden="1">
      <c r="A188" s="51" t="s">
        <v>171</v>
      </c>
      <c r="B188" s="43">
        <v>2025.0</v>
      </c>
      <c r="C188" s="43" t="s">
        <v>219</v>
      </c>
      <c r="D188" s="43" t="s">
        <v>170</v>
      </c>
      <c r="E188" s="443"/>
      <c r="F188" s="443"/>
      <c r="G188" s="708"/>
      <c r="H188" s="452">
        <f t="array" ref="H188">IFERROR(
  INDEX('Valor Hora Real y Estimada'!$A$4:$Z$116,
    MATCH(TRIM(CLEAN(C188)), 'Valor Hora Real y Estimada'!$A$4:$A$116, 0),
    MATCH(TEXT(A188,"dd mmm"), 'Valor Hora Real y Estimada'!$A$3:$Z$3, 0) + 1
  ),
  0
)</f>
        <v>0</v>
      </c>
      <c r="I188" s="468">
        <v>862623.0</v>
      </c>
      <c r="J188" s="106"/>
      <c r="K188" s="106">
        <f>IF(ISBLANK(I188), "", VLOOKUP(A188&amp;" "&amp;B188, 'Info Tipo de Cambio y REM'!$A$24:$B$35, 2, FALSE))</f>
        <v>1445</v>
      </c>
      <c r="L188" s="107">
        <f t="shared" si="2"/>
        <v>596.9709343</v>
      </c>
      <c r="M188" s="43" t="s">
        <v>1466</v>
      </c>
    </row>
    <row r="189" hidden="1">
      <c r="A189" s="51" t="s">
        <v>175</v>
      </c>
      <c r="B189" s="43">
        <v>2025.0</v>
      </c>
      <c r="C189" s="43" t="s">
        <v>219</v>
      </c>
      <c r="D189" s="43" t="s">
        <v>170</v>
      </c>
      <c r="E189" s="443"/>
      <c r="F189" s="443"/>
      <c r="G189" s="708"/>
      <c r="H189" s="452">
        <f t="array" ref="H189">IFERROR(
  INDEX('Valor Hora Real y Estimada'!$A$4:$Z$116,
    MATCH(TRIM(CLEAN(C189)), 'Valor Hora Real y Estimada'!$A$4:$A$116, 0),
    MATCH(TEXT(A189,"dd mmm"), 'Valor Hora Real y Estimada'!$A$3:$Z$3, 0) + 1
  ),
  0
)</f>
        <v>0</v>
      </c>
      <c r="I189" s="468">
        <v>862623.0</v>
      </c>
      <c r="J189" s="106"/>
      <c r="K189" s="106">
        <f>IF(ISBLANK(I189), "", VLOOKUP(A189&amp;" "&amp;B189, 'Info Tipo de Cambio y REM'!$A$24:$B$35, 2, FALSE))</f>
        <v>1440</v>
      </c>
      <c r="L189" s="107">
        <f t="shared" si="2"/>
        <v>599.04375</v>
      </c>
      <c r="M189" s="43" t="s">
        <v>1467</v>
      </c>
    </row>
    <row r="190" hidden="1">
      <c r="A190" s="51" t="s">
        <v>179</v>
      </c>
      <c r="B190" s="43">
        <v>2025.0</v>
      </c>
      <c r="C190" s="43" t="s">
        <v>219</v>
      </c>
      <c r="D190" s="43" t="s">
        <v>170</v>
      </c>
      <c r="E190" s="443"/>
      <c r="F190" s="443"/>
      <c r="G190" s="709">
        <v>1.075</v>
      </c>
      <c r="H190" s="452">
        <f t="array" ref="H190">IFERROR(
  INDEX('Valor Hora Real y Estimada'!$A$4:$Z$116,
    MATCH(TRIM(CLEAN(C190)), 'Valor Hora Real y Estimada'!$A$4:$A$116, 0),
    MATCH(TEXT(A190,"dd mmm"), 'Valor Hora Real y Estimada'!$A$3:$Z$3, 0) + 1
  ),
  0
)</f>
        <v>0</v>
      </c>
      <c r="I190" s="468">
        <f>862623*G190</f>
        <v>927319.725</v>
      </c>
      <c r="J190" s="106"/>
      <c r="K190" s="106">
        <f>IF(ISBLANK(I190), "", VLOOKUP(A190&amp;" "&amp;B190, 'Info Tipo de Cambio y REM'!$A$24:$B$35, 2, FALSE))</f>
        <v>1499</v>
      </c>
      <c r="L190" s="107">
        <f t="shared" si="2"/>
        <v>618.625567</v>
      </c>
      <c r="M190" s="43" t="s">
        <v>1467</v>
      </c>
    </row>
    <row r="191" hidden="1">
      <c r="A191" s="51" t="s">
        <v>182</v>
      </c>
      <c r="B191" s="43">
        <v>2025.0</v>
      </c>
      <c r="C191" s="43" t="s">
        <v>219</v>
      </c>
      <c r="D191" s="43" t="s">
        <v>170</v>
      </c>
      <c r="E191" s="443"/>
      <c r="F191" s="443"/>
      <c r="G191" s="708"/>
      <c r="H191" s="452">
        <f t="array" ref="H191">IFERROR(
  INDEX('Valor Hora Real y Estimada'!$A$4:$Z$116,
    MATCH(TRIM(CLEAN(C191)), 'Valor Hora Real y Estimada'!$A$4:$A$116, 0),
    MATCH(TEXT(A191,"dd mmm"), 'Valor Hora Real y Estimada'!$A$3:$Z$3, 0) + 1
  ),
  0
)</f>
        <v>0</v>
      </c>
      <c r="I191" s="468">
        <v>927319.725</v>
      </c>
      <c r="J191" s="106"/>
      <c r="K191" s="106">
        <f>IF(ISBLANK(I191), "", VLOOKUP(A191&amp;" "&amp;B191, 'Info Tipo de Cambio y REM'!$A$24:$B$35, 2, FALSE))</f>
        <v>1536</v>
      </c>
      <c r="L191" s="107">
        <f t="shared" si="2"/>
        <v>603.7237793</v>
      </c>
      <c r="M191" s="43" t="s">
        <v>1467</v>
      </c>
    </row>
    <row r="192" hidden="1">
      <c r="A192" s="51" t="s">
        <v>155</v>
      </c>
      <c r="B192" s="43">
        <v>2025.0</v>
      </c>
      <c r="C192" s="43" t="s">
        <v>187</v>
      </c>
      <c r="D192" s="43" t="s">
        <v>140</v>
      </c>
      <c r="E192" s="443"/>
      <c r="F192" s="443"/>
      <c r="G192" s="708"/>
      <c r="H192" s="452">
        <f t="array" ref="H192">IFERROR(
  INDEX('Valor Hora Real y Estimada'!$A$4:$Z$116,
    MATCH(TRIM(CLEAN(C192)), 'Valor Hora Real y Estimada'!$A$4:$A$116, 0),
    MATCH(TEXT(A192,"dd mmm"), 'Valor Hora Real y Estimada'!$A$3:$Z$3, 0) + 1
  ),
  0
)</f>
        <v>0</v>
      </c>
      <c r="I192" s="453"/>
      <c r="J192" s="371">
        <v>600.0</v>
      </c>
      <c r="K192" s="106" t="str">
        <f>IF(ISBLANK(I192), "", VLOOKUP(A192&amp;" "&amp;B192, 'Info Tipo de Cambio y REM'!$A$24:$B$35, 2, FALSE))</f>
        <v/>
      </c>
      <c r="L192" s="107">
        <f t="shared" si="2"/>
        <v>600</v>
      </c>
      <c r="M192" s="43" t="s">
        <v>1466</v>
      </c>
    </row>
    <row r="193" hidden="1">
      <c r="A193" s="51" t="s">
        <v>161</v>
      </c>
      <c r="B193" s="43">
        <v>2025.0</v>
      </c>
      <c r="C193" s="43" t="s">
        <v>187</v>
      </c>
      <c r="D193" s="43" t="s">
        <v>140</v>
      </c>
      <c r="E193" s="443"/>
      <c r="F193" s="443"/>
      <c r="G193" s="708"/>
      <c r="H193" s="452">
        <f t="array" ref="H193">IFERROR(
  INDEX('Valor Hora Real y Estimada'!$A$4:$Z$116,
    MATCH(TRIM(CLEAN(C193)), 'Valor Hora Real y Estimada'!$A$4:$A$116, 0),
    MATCH(TEXT(A193,"dd mmm"), 'Valor Hora Real y Estimada'!$A$3:$Z$3, 0) + 1
  ),
  0
)</f>
        <v>0</v>
      </c>
      <c r="I193" s="453"/>
      <c r="J193" s="371">
        <v>0.0</v>
      </c>
      <c r="K193" s="106" t="str">
        <f>IF(ISBLANK(I193), "", VLOOKUP(A193&amp;" "&amp;B193, 'Info Tipo de Cambio y REM'!$A$24:$B$35, 2, FALSE))</f>
        <v/>
      </c>
      <c r="L193" s="107">
        <f t="shared" si="2"/>
        <v>0</v>
      </c>
      <c r="M193" s="43" t="s">
        <v>1466</v>
      </c>
    </row>
    <row r="194" hidden="1">
      <c r="A194" s="51" t="s">
        <v>166</v>
      </c>
      <c r="B194" s="43">
        <v>2025.0</v>
      </c>
      <c r="C194" s="43" t="s">
        <v>187</v>
      </c>
      <c r="D194" s="43" t="s">
        <v>140</v>
      </c>
      <c r="E194" s="443"/>
      <c r="F194" s="443"/>
      <c r="G194" s="708"/>
      <c r="H194" s="452">
        <f t="array" ref="H194">IFERROR(
  INDEX('Valor Hora Real y Estimada'!$A$4:$Z$116,
    MATCH(TRIM(CLEAN(C194)), 'Valor Hora Real y Estimada'!$A$4:$A$116, 0),
    MATCH(TEXT(A194,"dd mmm"), 'Valor Hora Real y Estimada'!$A$3:$Z$3, 0) + 1
  ),
  0
)</f>
        <v>0</v>
      </c>
      <c r="I194" s="453"/>
      <c r="J194" s="371">
        <v>0.0</v>
      </c>
      <c r="K194" s="106" t="str">
        <f>IF(ISBLANK(I194), "", VLOOKUP(A194&amp;" "&amp;B194, 'Info Tipo de Cambio y REM'!$A$24:$B$35, 2, FALSE))</f>
        <v/>
      </c>
      <c r="L194" s="107">
        <f t="shared" si="2"/>
        <v>0</v>
      </c>
      <c r="M194" s="43" t="s">
        <v>1466</v>
      </c>
    </row>
    <row r="195" hidden="1">
      <c r="A195" s="51" t="s">
        <v>171</v>
      </c>
      <c r="B195" s="43">
        <v>2025.0</v>
      </c>
      <c r="C195" s="43" t="s">
        <v>187</v>
      </c>
      <c r="D195" s="43" t="s">
        <v>140</v>
      </c>
      <c r="E195" s="443"/>
      <c r="F195" s="443"/>
      <c r="G195" s="708"/>
      <c r="H195" s="452">
        <f t="array" ref="H195">IFERROR(
  INDEX('Valor Hora Real y Estimada'!$A$4:$Z$116,
    MATCH(TRIM(CLEAN(C195)), 'Valor Hora Real y Estimada'!$A$4:$A$116, 0),
    MATCH(TEXT(A195,"dd mmm"), 'Valor Hora Real y Estimada'!$A$3:$Z$3, 0) + 1
  ),
  0
)</f>
        <v>0</v>
      </c>
      <c r="I195" s="453"/>
      <c r="J195" s="371">
        <v>0.0</v>
      </c>
      <c r="K195" s="106" t="str">
        <f>IF(ISBLANK(I195), "", VLOOKUP(A195&amp;" "&amp;B195, 'Info Tipo de Cambio y REM'!$A$24:$B$35, 2, FALSE))</f>
        <v/>
      </c>
      <c r="L195" s="107">
        <f t="shared" si="2"/>
        <v>0</v>
      </c>
      <c r="M195" s="43" t="s">
        <v>1466</v>
      </c>
    </row>
    <row r="196" hidden="1">
      <c r="A196" s="51" t="s">
        <v>175</v>
      </c>
      <c r="B196" s="43">
        <v>2025.0</v>
      </c>
      <c r="C196" s="43" t="s">
        <v>187</v>
      </c>
      <c r="D196" s="43" t="s">
        <v>140</v>
      </c>
      <c r="E196" s="443"/>
      <c r="F196" s="443"/>
      <c r="G196" s="708"/>
      <c r="H196" s="452">
        <f t="array" ref="H196">IFERROR(
  INDEX('Valor Hora Real y Estimada'!$A$4:$Z$116,
    MATCH(TRIM(CLEAN(C196)), 'Valor Hora Real y Estimada'!$A$4:$A$116, 0),
    MATCH(TEXT(A196,"dd mmm"), 'Valor Hora Real y Estimada'!$A$3:$Z$3, 0) + 1
  ),
  0
)</f>
        <v>0</v>
      </c>
      <c r="I196" s="453"/>
      <c r="J196" s="371">
        <v>0.0</v>
      </c>
      <c r="K196" s="106" t="str">
        <f>IF(ISBLANK(I196), "", VLOOKUP(A196&amp;" "&amp;B196, 'Info Tipo de Cambio y REM'!$A$24:$B$35, 2, FALSE))</f>
        <v/>
      </c>
      <c r="L196" s="107">
        <f t="shared" si="2"/>
        <v>0</v>
      </c>
      <c r="M196" s="43" t="s">
        <v>1467</v>
      </c>
    </row>
    <row r="197" hidden="1">
      <c r="A197" s="51" t="s">
        <v>179</v>
      </c>
      <c r="B197" s="43">
        <v>2025.0</v>
      </c>
      <c r="C197" s="43" t="s">
        <v>187</v>
      </c>
      <c r="D197" s="43" t="s">
        <v>140</v>
      </c>
      <c r="E197" s="443"/>
      <c r="F197" s="443"/>
      <c r="G197" s="708"/>
      <c r="H197" s="452">
        <f t="array" ref="H197">IFERROR(
  INDEX('Valor Hora Real y Estimada'!$A$4:$Z$116,
    MATCH(TRIM(CLEAN(C197)), 'Valor Hora Real y Estimada'!$A$4:$A$116, 0),
    MATCH(TEXT(A197,"dd mmm"), 'Valor Hora Real y Estimada'!$A$3:$Z$3, 0) + 1
  ),
  0
)</f>
        <v>0</v>
      </c>
      <c r="I197" s="453"/>
      <c r="J197" s="371">
        <v>0.0</v>
      </c>
      <c r="K197" s="106" t="str">
        <f>IF(ISBLANK(I197), "", VLOOKUP(A197&amp;" "&amp;B197, 'Info Tipo de Cambio y REM'!$A$24:$B$35, 2, FALSE))</f>
        <v/>
      </c>
      <c r="L197" s="107">
        <f t="shared" si="2"/>
        <v>0</v>
      </c>
      <c r="M197" s="43" t="s">
        <v>1467</v>
      </c>
    </row>
    <row r="198" hidden="1">
      <c r="A198" s="51" t="s">
        <v>182</v>
      </c>
      <c r="B198" s="43">
        <v>2025.0</v>
      </c>
      <c r="C198" s="43" t="s">
        <v>187</v>
      </c>
      <c r="D198" s="43" t="s">
        <v>140</v>
      </c>
      <c r="E198" s="443"/>
      <c r="F198" s="443"/>
      <c r="G198" s="708"/>
      <c r="H198" s="452">
        <f t="array" ref="H198">IFERROR(
  INDEX('Valor Hora Real y Estimada'!$A$4:$Z$116,
    MATCH(TRIM(CLEAN(C198)), 'Valor Hora Real y Estimada'!$A$4:$A$116, 0),
    MATCH(TEXT(A198,"dd mmm"), 'Valor Hora Real y Estimada'!$A$3:$Z$3, 0) + 1
  ),
  0
)</f>
        <v>0</v>
      </c>
      <c r="I198" s="453"/>
      <c r="J198" s="371">
        <v>0.0</v>
      </c>
      <c r="K198" s="106" t="str">
        <f>IF(ISBLANK(I198), "", VLOOKUP(A198&amp;" "&amp;B198, 'Info Tipo de Cambio y REM'!$A$24:$B$35, 2, FALSE))</f>
        <v/>
      </c>
      <c r="L198" s="107">
        <f t="shared" si="2"/>
        <v>0</v>
      </c>
      <c r="M198" s="43" t="s">
        <v>1467</v>
      </c>
    </row>
    <row r="199" hidden="1">
      <c r="A199" s="51" t="s">
        <v>155</v>
      </c>
      <c r="B199" s="43">
        <v>2025.0</v>
      </c>
      <c r="C199" s="43" t="s">
        <v>173</v>
      </c>
      <c r="D199" s="43" t="s">
        <v>147</v>
      </c>
      <c r="E199" s="443"/>
      <c r="F199" s="443"/>
      <c r="G199" s="453"/>
      <c r="H199" s="452">
        <f t="array" ref="H199">IFERROR(
  INDEX('Valor Hora Real y Estimada'!$A$4:$Z$116,
    MATCH(TRIM(CLEAN(C199)), 'Valor Hora Real y Estimada'!$A$4:$A$116, 0),
    MATCH(TEXT(A199,"dd mmm"), 'Valor Hora Real y Estimada'!$A$3:$Z$3, 0) + 1
  ),
  0
)</f>
        <v>0</v>
      </c>
      <c r="I199" s="453"/>
      <c r="J199" s="107">
        <f t="shared" ref="J199:J200" si="23">7450/3</f>
        <v>2483.333333</v>
      </c>
      <c r="K199" s="106" t="str">
        <f>IF(ISBLANK(I199), "", VLOOKUP(A199&amp;" "&amp;B199, 'Info Tipo de Cambio y REM'!$A$24:$B$35, 2, FALSE))</f>
        <v/>
      </c>
      <c r="L199" s="107">
        <f t="shared" si="2"/>
        <v>2483.333333</v>
      </c>
      <c r="M199" s="43" t="s">
        <v>1466</v>
      </c>
    </row>
    <row r="200" hidden="1">
      <c r="A200" s="51" t="s">
        <v>161</v>
      </c>
      <c r="B200" s="43">
        <v>2025.0</v>
      </c>
      <c r="C200" s="43" t="s">
        <v>173</v>
      </c>
      <c r="D200" s="43" t="s">
        <v>147</v>
      </c>
      <c r="E200" s="443"/>
      <c r="F200" s="443"/>
      <c r="G200" s="453"/>
      <c r="H200" s="452">
        <f t="array" ref="H200">IFERROR(
  INDEX('Valor Hora Real y Estimada'!$A$4:$Z$116,
    MATCH(TRIM(CLEAN(C200)), 'Valor Hora Real y Estimada'!$A$4:$A$116, 0),
    MATCH(TEXT(A200,"dd mmm"), 'Valor Hora Real y Estimada'!$A$3:$Z$3, 0) + 1
  ),
  0
)</f>
        <v>0</v>
      </c>
      <c r="I200" s="453"/>
      <c r="J200" s="107">
        <f t="shared" si="23"/>
        <v>2483.333333</v>
      </c>
      <c r="K200" s="106" t="str">
        <f>IF(ISBLANK(I200), "", VLOOKUP(A200&amp;" "&amp;B200, 'Info Tipo de Cambio y REM'!$A$24:$B$35, 2, FALSE))</f>
        <v/>
      </c>
      <c r="L200" s="107">
        <f t="shared" si="2"/>
        <v>2483.333333</v>
      </c>
      <c r="M200" s="43" t="s">
        <v>1466</v>
      </c>
    </row>
    <row r="201" hidden="1">
      <c r="A201" s="51" t="s">
        <v>166</v>
      </c>
      <c r="B201" s="43">
        <v>2025.0</v>
      </c>
      <c r="C201" s="43" t="s">
        <v>173</v>
      </c>
      <c r="D201" s="43" t="s">
        <v>147</v>
      </c>
      <c r="E201" s="443"/>
      <c r="F201" s="443"/>
      <c r="G201" s="453"/>
      <c r="H201" s="452">
        <f t="array" ref="H201">IFERROR(
  INDEX('Valor Hora Real y Estimada'!$A$4:$Z$116,
    MATCH(TRIM(CLEAN(C201)), 'Valor Hora Real y Estimada'!$A$4:$A$116, 0),
    MATCH(TEXT(A201,"dd mmm"), 'Valor Hora Real y Estimada'!$A$3:$Z$3, 0) + 1
  ),
  0
)</f>
        <v>0</v>
      </c>
      <c r="I201" s="453"/>
      <c r="J201" s="371">
        <v>3544.67</v>
      </c>
      <c r="K201" s="106" t="str">
        <f>IF(ISBLANK(I201), "", VLOOKUP(A201&amp;" "&amp;B201, 'Info Tipo de Cambio y REM'!$A$24:$B$35, 2, FALSE))</f>
        <v/>
      </c>
      <c r="L201" s="107">
        <f t="shared" si="2"/>
        <v>3544.67</v>
      </c>
      <c r="M201" s="43" t="s">
        <v>1466</v>
      </c>
    </row>
    <row r="202" hidden="1">
      <c r="A202" s="51" t="s">
        <v>171</v>
      </c>
      <c r="B202" s="43">
        <v>2025.0</v>
      </c>
      <c r="C202" s="43" t="s">
        <v>173</v>
      </c>
      <c r="D202" s="43" t="s">
        <v>147</v>
      </c>
      <c r="E202" s="443"/>
      <c r="F202" s="443"/>
      <c r="G202" s="453"/>
      <c r="H202" s="452">
        <f t="array" ref="H202">IFERROR(
  INDEX('Valor Hora Real y Estimada'!$A$4:$Z$116,
    MATCH(TRIM(CLEAN(C202)), 'Valor Hora Real y Estimada'!$A$4:$A$116, 0),
    MATCH(TEXT(A202,"dd mmm"), 'Valor Hora Real y Estimada'!$A$3:$Z$3, 0) + 1
  ),
  0
)</f>
        <v>0</v>
      </c>
      <c r="I202" s="453"/>
      <c r="J202" s="371">
        <v>3544.67</v>
      </c>
      <c r="K202" s="106" t="str">
        <f>IF(ISBLANK(I202), "", VLOOKUP(A202&amp;" "&amp;B202, 'Info Tipo de Cambio y REM'!$A$24:$B$35, 2, FALSE))</f>
        <v/>
      </c>
      <c r="L202" s="107">
        <f t="shared" si="2"/>
        <v>3544.67</v>
      </c>
      <c r="M202" s="43" t="s">
        <v>1466</v>
      </c>
    </row>
    <row r="203" hidden="1">
      <c r="A203" s="51" t="s">
        <v>175</v>
      </c>
      <c r="B203" s="43">
        <v>2025.0</v>
      </c>
      <c r="C203" s="43" t="s">
        <v>173</v>
      </c>
      <c r="D203" s="43" t="s">
        <v>147</v>
      </c>
      <c r="E203" s="443"/>
      <c r="F203" s="443"/>
      <c r="G203" s="453"/>
      <c r="H203" s="452">
        <f t="array" ref="H203">IFERROR(
  INDEX('Valor Hora Real y Estimada'!$A$4:$Z$116,
    MATCH(TRIM(CLEAN(C203)), 'Valor Hora Real y Estimada'!$A$4:$A$116, 0),
    MATCH(TEXT(A203,"dd mmm"), 'Valor Hora Real y Estimada'!$A$3:$Z$3, 0) + 1
  ),
  0
)</f>
        <v>0</v>
      </c>
      <c r="I203" s="453"/>
      <c r="J203" s="371">
        <v>3544.67</v>
      </c>
      <c r="K203" s="106" t="str">
        <f>IF(ISBLANK(I203), "", VLOOKUP(A203&amp;" "&amp;B203, 'Info Tipo de Cambio y REM'!$A$24:$B$35, 2, FALSE))</f>
        <v/>
      </c>
      <c r="L203" s="107">
        <f t="shared" si="2"/>
        <v>3544.67</v>
      </c>
      <c r="M203" s="43" t="s">
        <v>1467</v>
      </c>
    </row>
    <row r="204" hidden="1">
      <c r="A204" s="51" t="s">
        <v>179</v>
      </c>
      <c r="B204" s="43">
        <v>2025.0</v>
      </c>
      <c r="C204" s="43" t="s">
        <v>173</v>
      </c>
      <c r="D204" s="43" t="s">
        <v>147</v>
      </c>
      <c r="E204" s="443"/>
      <c r="F204" s="443"/>
      <c r="G204" s="453"/>
      <c r="H204" s="452">
        <f t="array" ref="H204">IFERROR(
  INDEX('Valor Hora Real y Estimada'!$A$4:$Z$116,
    MATCH(TRIM(CLEAN(C204)), 'Valor Hora Real y Estimada'!$A$4:$A$116, 0),
    MATCH(TEXT(A204,"dd mmm"), 'Valor Hora Real y Estimada'!$A$3:$Z$3, 0) + 1
  ),
  0
)</f>
        <v>0</v>
      </c>
      <c r="I204" s="453"/>
      <c r="J204" s="371">
        <v>3544.67</v>
      </c>
      <c r="K204" s="106" t="str">
        <f>IF(ISBLANK(I204), "", VLOOKUP(A204&amp;" "&amp;B204, 'Info Tipo de Cambio y REM'!$A$24:$B$35, 2, FALSE))</f>
        <v/>
      </c>
      <c r="L204" s="107">
        <f t="shared" si="2"/>
        <v>3544.67</v>
      </c>
      <c r="M204" s="43" t="s">
        <v>1467</v>
      </c>
    </row>
    <row r="205" hidden="1">
      <c r="A205" s="51" t="s">
        <v>182</v>
      </c>
      <c r="B205" s="43">
        <v>2025.0</v>
      </c>
      <c r="C205" s="43" t="s">
        <v>173</v>
      </c>
      <c r="D205" s="43" t="s">
        <v>147</v>
      </c>
      <c r="E205" s="443"/>
      <c r="F205" s="443"/>
      <c r="G205" s="453"/>
      <c r="H205" s="452">
        <f t="array" ref="H205">IFERROR(
  INDEX('Valor Hora Real y Estimada'!$A$4:$Z$116,
    MATCH(TRIM(CLEAN(C205)), 'Valor Hora Real y Estimada'!$A$4:$A$116, 0),
    MATCH(TEXT(A205,"dd mmm"), 'Valor Hora Real y Estimada'!$A$3:$Z$3, 0) + 1
  ),
  0
)</f>
        <v>0</v>
      </c>
      <c r="I205" s="453"/>
      <c r="J205" s="371">
        <v>3544.67</v>
      </c>
      <c r="K205" s="106" t="str">
        <f>IF(ISBLANK(I205), "", VLOOKUP(A205&amp;" "&amp;B205, 'Info Tipo de Cambio y REM'!$A$24:$B$35, 2, FALSE))</f>
        <v/>
      </c>
      <c r="L205" s="107">
        <f t="shared" si="2"/>
        <v>3544.67</v>
      </c>
      <c r="M205" s="43" t="s">
        <v>1467</v>
      </c>
    </row>
    <row r="206" hidden="1">
      <c r="A206" s="51" t="s">
        <v>155</v>
      </c>
      <c r="B206" s="43">
        <v>2025.0</v>
      </c>
      <c r="C206" s="43" t="s">
        <v>169</v>
      </c>
      <c r="D206" s="43" t="s">
        <v>147</v>
      </c>
      <c r="E206" s="443"/>
      <c r="F206" s="443"/>
      <c r="G206" s="453"/>
      <c r="H206" s="452">
        <f t="array" ref="H206">IFERROR(
  INDEX('Valor Hora Real y Estimada'!$A$4:$Z$116,
    MATCH(TRIM(CLEAN(C206)), 'Valor Hora Real y Estimada'!$A$4:$A$116, 0),
    MATCH(TEXT(A206,"dd mmm"), 'Valor Hora Real y Estimada'!$A$3:$Z$3, 0) + 1
  ),
  0
)</f>
        <v>0</v>
      </c>
      <c r="I206" s="453"/>
      <c r="J206" s="371">
        <v>0.0</v>
      </c>
      <c r="K206" s="106" t="str">
        <f>IF(ISBLANK(I206), "", VLOOKUP(A206&amp;" "&amp;B206, 'Info Tipo de Cambio y REM'!$A$24:$B$35, 2, FALSE))</f>
        <v/>
      </c>
      <c r="L206" s="107">
        <f t="shared" si="2"/>
        <v>0</v>
      </c>
      <c r="M206" s="43" t="s">
        <v>1466</v>
      </c>
    </row>
    <row r="207" hidden="1">
      <c r="A207" s="51" t="s">
        <v>161</v>
      </c>
      <c r="B207" s="43">
        <v>2025.0</v>
      </c>
      <c r="C207" s="43" t="s">
        <v>169</v>
      </c>
      <c r="D207" s="43" t="s">
        <v>147</v>
      </c>
      <c r="E207" s="443"/>
      <c r="F207" s="443"/>
      <c r="G207" s="453"/>
      <c r="H207" s="452">
        <f t="array" ref="H207">IFERROR(
  INDEX('Valor Hora Real y Estimada'!$A$4:$Z$116,
    MATCH(TRIM(CLEAN(C207)), 'Valor Hora Real y Estimada'!$A$4:$A$116, 0),
    MATCH(TEXT(A207,"dd mmm"), 'Valor Hora Real y Estimada'!$A$3:$Z$3, 0) + 1
  ),
  0
)</f>
        <v>0</v>
      </c>
      <c r="I207" s="453"/>
      <c r="J207" s="371">
        <v>0.0</v>
      </c>
      <c r="K207" s="106" t="str">
        <f>IF(ISBLANK(I207), "", VLOOKUP(A207&amp;" "&amp;B207, 'Info Tipo de Cambio y REM'!$A$24:$B$35, 2, FALSE))</f>
        <v/>
      </c>
      <c r="L207" s="107">
        <f t="shared" si="2"/>
        <v>0</v>
      </c>
      <c r="M207" s="43" t="s">
        <v>1466</v>
      </c>
    </row>
    <row r="208" hidden="1">
      <c r="A208" s="51" t="s">
        <v>166</v>
      </c>
      <c r="B208" s="43">
        <v>2025.0</v>
      </c>
      <c r="C208" s="43" t="s">
        <v>169</v>
      </c>
      <c r="D208" s="43" t="s">
        <v>147</v>
      </c>
      <c r="E208" s="443"/>
      <c r="F208" s="443"/>
      <c r="G208" s="453"/>
      <c r="H208" s="452">
        <f t="array" ref="H208">IFERROR(
  INDEX('Valor Hora Real y Estimada'!$A$4:$Z$116,
    MATCH(TRIM(CLEAN(C208)), 'Valor Hora Real y Estimada'!$A$4:$A$116, 0),
    MATCH(TEXT(A208,"dd mmm"), 'Valor Hora Real y Estimada'!$A$3:$Z$3, 0) + 1
  ),
  0
)</f>
        <v>0</v>
      </c>
      <c r="I208" s="453"/>
      <c r="J208" s="371">
        <v>0.0</v>
      </c>
      <c r="K208" s="106" t="str">
        <f>IF(ISBLANK(I208), "", VLOOKUP(A208&amp;" "&amp;B208, 'Info Tipo de Cambio y REM'!$A$24:$B$35, 2, FALSE))</f>
        <v/>
      </c>
      <c r="L208" s="107">
        <f t="shared" si="2"/>
        <v>0</v>
      </c>
      <c r="M208" s="43" t="s">
        <v>1466</v>
      </c>
    </row>
    <row r="209" hidden="1">
      <c r="A209" s="51" t="s">
        <v>171</v>
      </c>
      <c r="B209" s="43">
        <v>2025.0</v>
      </c>
      <c r="C209" s="43" t="s">
        <v>169</v>
      </c>
      <c r="D209" s="43" t="s">
        <v>147</v>
      </c>
      <c r="E209" s="443"/>
      <c r="F209" s="443"/>
      <c r="G209" s="453"/>
      <c r="H209" s="452">
        <f t="array" ref="H209">IFERROR(
  INDEX('Valor Hora Real y Estimada'!$A$4:$Z$116,
    MATCH(TRIM(CLEAN(C209)), 'Valor Hora Real y Estimada'!$A$4:$A$116, 0),
    MATCH(TEXT(A209,"dd mmm"), 'Valor Hora Real y Estimada'!$A$3:$Z$3, 0) + 1
  ),
  0
)</f>
        <v>0</v>
      </c>
      <c r="I209" s="453"/>
      <c r="J209" s="371">
        <v>0.0</v>
      </c>
      <c r="K209" s="106" t="str">
        <f>IF(ISBLANK(I209), "", VLOOKUP(A209&amp;" "&amp;B209, 'Info Tipo de Cambio y REM'!$A$24:$B$35, 2, FALSE))</f>
        <v/>
      </c>
      <c r="L209" s="107">
        <f t="shared" si="2"/>
        <v>0</v>
      </c>
      <c r="M209" s="43" t="s">
        <v>1466</v>
      </c>
    </row>
    <row r="210" hidden="1">
      <c r="A210" s="51" t="s">
        <v>175</v>
      </c>
      <c r="B210" s="43">
        <v>2025.0</v>
      </c>
      <c r="C210" s="43" t="s">
        <v>169</v>
      </c>
      <c r="D210" s="43" t="s">
        <v>147</v>
      </c>
      <c r="E210" s="443"/>
      <c r="F210" s="443"/>
      <c r="G210" s="453"/>
      <c r="H210" s="452">
        <f t="array" ref="H210">IFERROR(
  INDEX('Valor Hora Real y Estimada'!$A$4:$Z$116,
    MATCH(TRIM(CLEAN(C210)), 'Valor Hora Real y Estimada'!$A$4:$A$116, 0),
    MATCH(TEXT(A210,"dd mmm"), 'Valor Hora Real y Estimada'!$A$3:$Z$3, 0) + 1
  ),
  0
)</f>
        <v>0</v>
      </c>
      <c r="I210" s="453"/>
      <c r="J210" s="371">
        <v>0.0</v>
      </c>
      <c r="K210" s="106" t="str">
        <f>IF(ISBLANK(I210), "", VLOOKUP(A210&amp;" "&amp;B210, 'Info Tipo de Cambio y REM'!$A$24:$B$35, 2, FALSE))</f>
        <v/>
      </c>
      <c r="L210" s="107">
        <f t="shared" si="2"/>
        <v>0</v>
      </c>
      <c r="M210" s="43" t="s">
        <v>1467</v>
      </c>
    </row>
    <row r="211" hidden="1">
      <c r="A211" s="51" t="s">
        <v>179</v>
      </c>
      <c r="B211" s="43">
        <v>2025.0</v>
      </c>
      <c r="C211" s="43" t="s">
        <v>169</v>
      </c>
      <c r="D211" s="43" t="s">
        <v>147</v>
      </c>
      <c r="E211" s="443"/>
      <c r="F211" s="443"/>
      <c r="G211" s="453"/>
      <c r="H211" s="452">
        <f t="array" ref="H211">IFERROR(
  INDEX('Valor Hora Real y Estimada'!$A$4:$Z$116,
    MATCH(TRIM(CLEAN(C211)), 'Valor Hora Real y Estimada'!$A$4:$A$116, 0),
    MATCH(TEXT(A211,"dd mmm"), 'Valor Hora Real y Estimada'!$A$3:$Z$3, 0) + 1
  ),
  0
)</f>
        <v>0</v>
      </c>
      <c r="I211" s="453"/>
      <c r="J211" s="371">
        <v>0.0</v>
      </c>
      <c r="K211" s="106" t="str">
        <f>IF(ISBLANK(I211), "", VLOOKUP(A211&amp;" "&amp;B211, 'Info Tipo de Cambio y REM'!$A$24:$B$35, 2, FALSE))</f>
        <v/>
      </c>
      <c r="L211" s="107">
        <f t="shared" si="2"/>
        <v>0</v>
      </c>
      <c r="M211" s="43" t="s">
        <v>1467</v>
      </c>
    </row>
    <row r="212" hidden="1">
      <c r="A212" s="51" t="s">
        <v>182</v>
      </c>
      <c r="B212" s="43">
        <v>2025.0</v>
      </c>
      <c r="C212" s="43" t="s">
        <v>169</v>
      </c>
      <c r="D212" s="43" t="s">
        <v>147</v>
      </c>
      <c r="E212" s="443"/>
      <c r="F212" s="443"/>
      <c r="G212" s="453"/>
      <c r="H212" s="452">
        <f t="array" ref="H212">IFERROR(
  INDEX('Valor Hora Real y Estimada'!$A$4:$Z$116,
    MATCH(TRIM(CLEAN(C212)), 'Valor Hora Real y Estimada'!$A$4:$A$116, 0),
    MATCH(TEXT(A212,"dd mmm"), 'Valor Hora Real y Estimada'!$A$3:$Z$3, 0) + 1
  ),
  0
)</f>
        <v>0</v>
      </c>
      <c r="I212" s="453"/>
      <c r="J212" s="371">
        <v>0.0</v>
      </c>
      <c r="K212" s="106" t="str">
        <f>IF(ISBLANK(I212), "", VLOOKUP(A212&amp;" "&amp;B212, 'Info Tipo de Cambio y REM'!$A$24:$B$35, 2, FALSE))</f>
        <v/>
      </c>
      <c r="L212" s="107">
        <f t="shared" si="2"/>
        <v>0</v>
      </c>
      <c r="M212" s="43" t="s">
        <v>1467</v>
      </c>
    </row>
    <row r="213" hidden="1">
      <c r="A213" s="51" t="s">
        <v>155</v>
      </c>
      <c r="B213" s="43">
        <v>2025.0</v>
      </c>
      <c r="C213" s="43" t="s">
        <v>164</v>
      </c>
      <c r="D213" s="43" t="s">
        <v>164</v>
      </c>
      <c r="E213" s="443"/>
      <c r="F213" s="443"/>
      <c r="G213" s="708"/>
      <c r="H213" s="452">
        <f t="array" ref="H213">IFERROR(
  INDEX('Valor Hora Real y Estimada'!$A$4:$Z$116,
    MATCH(TRIM(CLEAN(C213)), 'Valor Hora Real y Estimada'!$A$4:$A$116, 0),
    MATCH(TEXT(A213,"dd mmm"), 'Valor Hora Real y Estimada'!$A$3:$Z$3, 0) + 1
  ),
  0
)</f>
        <v>0</v>
      </c>
      <c r="I213" s="468">
        <v>59568.0</v>
      </c>
      <c r="J213" s="106"/>
      <c r="K213" s="106">
        <f>IF(ISBLANK(I213), "", VLOOKUP(A213&amp;" "&amp;B213, 'Info Tipo de Cambio y REM'!$A$24:$B$35, 2, FALSE))</f>
        <v>1215</v>
      </c>
      <c r="L213" s="107">
        <f t="shared" si="2"/>
        <v>49.02716049</v>
      </c>
      <c r="M213" s="43" t="s">
        <v>1466</v>
      </c>
    </row>
    <row r="214" hidden="1">
      <c r="A214" s="51" t="s">
        <v>161</v>
      </c>
      <c r="B214" s="43">
        <v>2025.0</v>
      </c>
      <c r="C214" s="43" t="s">
        <v>164</v>
      </c>
      <c r="D214" s="43" t="s">
        <v>164</v>
      </c>
      <c r="E214" s="443"/>
      <c r="F214" s="443"/>
      <c r="G214" s="708"/>
      <c r="H214" s="452">
        <f t="array" ref="H214">IFERROR(
  INDEX('Valor Hora Real y Estimada'!$A$4:$Z$116,
    MATCH(TRIM(CLEAN(C214)), 'Valor Hora Real y Estimada'!$A$4:$A$116, 0),
    MATCH(TEXT(A214,"dd mmm"), 'Valor Hora Real y Estimada'!$A$3:$Z$3, 0) + 1
  ),
  0
)</f>
        <v>0</v>
      </c>
      <c r="I214" s="468">
        <v>59568.0</v>
      </c>
      <c r="J214" s="106"/>
      <c r="K214" s="106">
        <f>IF(ISBLANK(I214), "", VLOOKUP(A214&amp;" "&amp;B214, 'Info Tipo de Cambio y REM'!$A$24:$B$35, 2, FALSE))</f>
        <v>1320</v>
      </c>
      <c r="L214" s="107">
        <f t="shared" si="2"/>
        <v>45.12727273</v>
      </c>
      <c r="M214" s="43" t="s">
        <v>1466</v>
      </c>
    </row>
    <row r="215" hidden="1">
      <c r="A215" s="51" t="s">
        <v>166</v>
      </c>
      <c r="B215" s="43">
        <v>2025.0</v>
      </c>
      <c r="C215" s="43" t="s">
        <v>164</v>
      </c>
      <c r="D215" s="43" t="s">
        <v>164</v>
      </c>
      <c r="E215" s="443"/>
      <c r="F215" s="443"/>
      <c r="G215" s="708"/>
      <c r="H215" s="452">
        <f t="array" ref="H215">IFERROR(
  INDEX('Valor Hora Real y Estimada'!$A$4:$Z$116,
    MATCH(TRIM(CLEAN(C215)), 'Valor Hora Real y Estimada'!$A$4:$A$116, 0),
    MATCH(TEXT(A215,"dd mmm"), 'Valor Hora Real y Estimada'!$A$3:$Z$3, 0) + 1
  ),
  0
)</f>
        <v>0</v>
      </c>
      <c r="I215" s="468">
        <v>59568.0</v>
      </c>
      <c r="J215" s="106"/>
      <c r="K215" s="106">
        <f>IF(ISBLANK(I215), "", VLOOKUP(A215&amp;" "&amp;B215, 'Info Tipo de Cambio y REM'!$A$24:$B$35, 2, FALSE))</f>
        <v>1345</v>
      </c>
      <c r="L215" s="107">
        <f t="shared" si="2"/>
        <v>44.28847584</v>
      </c>
      <c r="M215" s="43" t="s">
        <v>1466</v>
      </c>
    </row>
    <row r="216" hidden="1">
      <c r="A216" s="51" t="s">
        <v>171</v>
      </c>
      <c r="B216" s="43">
        <v>2025.0</v>
      </c>
      <c r="C216" s="43" t="s">
        <v>164</v>
      </c>
      <c r="D216" s="43" t="s">
        <v>164</v>
      </c>
      <c r="E216" s="443"/>
      <c r="F216" s="443"/>
      <c r="G216" s="709">
        <v>1.075</v>
      </c>
      <c r="H216" s="452">
        <f t="array" ref="H216">IFERROR(
  INDEX('Valor Hora Real y Estimada'!$A$4:$Z$116,
    MATCH(TRIM(CLEAN(C216)), 'Valor Hora Real y Estimada'!$A$4:$A$116, 0),
    MATCH(TEXT(A216,"dd mmm"), 'Valor Hora Real y Estimada'!$A$3:$Z$3, 0) + 1
  ),
  0
)</f>
        <v>0</v>
      </c>
      <c r="I216" s="468">
        <f>G216*I215</f>
        <v>64035.6</v>
      </c>
      <c r="J216" s="491"/>
      <c r="K216" s="106">
        <f>IF(ISBLANK(I216), "", VLOOKUP(A216&amp;" "&amp;B216, 'Info Tipo de Cambio y REM'!$A$24:$B$35, 2, FALSE))</f>
        <v>1445</v>
      </c>
      <c r="L216" s="107">
        <f t="shared" si="2"/>
        <v>44.31529412</v>
      </c>
      <c r="M216" s="43" t="s">
        <v>1466</v>
      </c>
    </row>
    <row r="217" hidden="1">
      <c r="A217" s="51" t="s">
        <v>175</v>
      </c>
      <c r="B217" s="43">
        <v>2025.0</v>
      </c>
      <c r="C217" s="43" t="s">
        <v>164</v>
      </c>
      <c r="D217" s="43" t="s">
        <v>164</v>
      </c>
      <c r="E217" s="443"/>
      <c r="F217" s="443"/>
      <c r="G217" s="708"/>
      <c r="H217" s="452">
        <f t="array" ref="H217">IFERROR(
  INDEX('Valor Hora Real y Estimada'!$A$4:$Z$116,
    MATCH(TRIM(CLEAN(C217)), 'Valor Hora Real y Estimada'!$A$4:$A$116, 0),
    MATCH(TEXT(A217,"dd mmm"), 'Valor Hora Real y Estimada'!$A$3:$Z$3, 0) + 1
  ),
  0
)</f>
        <v>0</v>
      </c>
      <c r="I217" s="468">
        <v>64035.6</v>
      </c>
      <c r="J217" s="491"/>
      <c r="K217" s="106">
        <f>IF(ISBLANK(I217), "", VLOOKUP(A217&amp;" "&amp;B217, 'Info Tipo de Cambio y REM'!$A$24:$B$35, 2, FALSE))</f>
        <v>1440</v>
      </c>
      <c r="L217" s="107">
        <f t="shared" si="2"/>
        <v>44.46916667</v>
      </c>
      <c r="M217" s="43" t="s">
        <v>1467</v>
      </c>
    </row>
    <row r="218" hidden="1">
      <c r="A218" s="51" t="s">
        <v>179</v>
      </c>
      <c r="B218" s="43">
        <v>2025.0</v>
      </c>
      <c r="C218" s="43" t="s">
        <v>164</v>
      </c>
      <c r="D218" s="43" t="s">
        <v>164</v>
      </c>
      <c r="E218" s="443"/>
      <c r="F218" s="443"/>
      <c r="G218" s="708"/>
      <c r="H218" s="452">
        <f t="array" ref="H218">IFERROR(
  INDEX('Valor Hora Real y Estimada'!$A$4:$Z$116,
    MATCH(TRIM(CLEAN(C218)), 'Valor Hora Real y Estimada'!$A$4:$A$116, 0),
    MATCH(TEXT(A218,"dd mmm"), 'Valor Hora Real y Estimada'!$A$3:$Z$3, 0) + 1
  ),
  0
)</f>
        <v>0</v>
      </c>
      <c r="I218" s="468">
        <v>64035.6</v>
      </c>
      <c r="J218" s="491"/>
      <c r="K218" s="106">
        <f>IF(ISBLANK(I218), "", VLOOKUP(A218&amp;" "&amp;B218, 'Info Tipo de Cambio y REM'!$A$24:$B$35, 2, FALSE))</f>
        <v>1499</v>
      </c>
      <c r="L218" s="107">
        <f t="shared" si="2"/>
        <v>42.71887925</v>
      </c>
      <c r="M218" s="43" t="s">
        <v>1467</v>
      </c>
    </row>
    <row r="219" hidden="1">
      <c r="A219" s="51" t="s">
        <v>182</v>
      </c>
      <c r="B219" s="43">
        <v>2025.0</v>
      </c>
      <c r="C219" s="43" t="s">
        <v>164</v>
      </c>
      <c r="D219" s="43" t="s">
        <v>164</v>
      </c>
      <c r="E219" s="443"/>
      <c r="F219" s="443"/>
      <c r="G219" s="709">
        <v>1.075</v>
      </c>
      <c r="H219" s="452">
        <f t="array" ref="H219">IFERROR(
  INDEX('Valor Hora Real y Estimada'!$A$4:$Z$116,
    MATCH(TRIM(CLEAN(C219)), 'Valor Hora Real y Estimada'!$A$4:$A$116, 0),
    MATCH(TEXT(A219,"dd mmm"), 'Valor Hora Real y Estimada'!$A$3:$Z$3, 0) + 1
  ),
  0
)</f>
        <v>0</v>
      </c>
      <c r="I219" s="468">
        <f>G219*I218</f>
        <v>68838.27</v>
      </c>
      <c r="J219" s="491"/>
      <c r="K219" s="106">
        <f>IF(ISBLANK(I219), "", VLOOKUP(A219&amp;" "&amp;B219, 'Info Tipo de Cambio y REM'!$A$24:$B$35, 2, FALSE))</f>
        <v>1536</v>
      </c>
      <c r="L219" s="107">
        <f t="shared" si="2"/>
        <v>44.81658203</v>
      </c>
      <c r="M219" s="43" t="s">
        <v>1467</v>
      </c>
    </row>
    <row r="220" hidden="1">
      <c r="A220" s="51" t="s">
        <v>155</v>
      </c>
      <c r="B220" s="43">
        <v>2025.0</v>
      </c>
      <c r="C220" s="43" t="s">
        <v>146</v>
      </c>
      <c r="D220" s="43" t="s">
        <v>159</v>
      </c>
      <c r="E220" s="443"/>
      <c r="F220" s="443"/>
      <c r="G220" s="708"/>
      <c r="H220" s="452">
        <f t="array" ref="H220">IFERROR(
  INDEX('Valor Hora Real y Estimada'!$A$4:$Z$116,
    MATCH(TRIM(CLEAN(C220)), 'Valor Hora Real y Estimada'!$A$4:$A$116, 0),
    MATCH(TEXT(A220,"dd mmm"), 'Valor Hora Real y Estimada'!$A$3:$Z$3, 0) + 1
  ),
  0
)</f>
        <v>0</v>
      </c>
      <c r="I220" s="71">
        <v>359229.54804799997</v>
      </c>
      <c r="J220" s="106"/>
      <c r="K220" s="106">
        <f>IF(ISBLANK(I220), "", VLOOKUP(A220&amp;" "&amp;B220, 'Info Tipo de Cambio y REM'!$A$24:$B$35, 2, FALSE))</f>
        <v>1215</v>
      </c>
      <c r="L220" s="107">
        <f t="shared" si="2"/>
        <v>295.6621795</v>
      </c>
      <c r="M220" s="43" t="s">
        <v>1466</v>
      </c>
    </row>
    <row r="221" hidden="1">
      <c r="A221" s="51" t="s">
        <v>161</v>
      </c>
      <c r="B221" s="43">
        <v>2025.0</v>
      </c>
      <c r="C221" s="43" t="s">
        <v>146</v>
      </c>
      <c r="D221" s="43" t="s">
        <v>159</v>
      </c>
      <c r="E221" s="443"/>
      <c r="F221" s="443"/>
      <c r="G221" s="708"/>
      <c r="H221" s="452">
        <f t="array" ref="H221">IFERROR(
  INDEX('Valor Hora Real y Estimada'!$A$4:$Z$116,
    MATCH(TRIM(CLEAN(C221)), 'Valor Hora Real y Estimada'!$A$4:$A$116, 0),
    MATCH(TEXT(A221,"dd mmm"), 'Valor Hora Real y Estimada'!$A$3:$Z$3, 0) + 1
  ),
  0
)</f>
        <v>0</v>
      </c>
      <c r="I221" s="71">
        <v>394123.5461345568</v>
      </c>
      <c r="J221" s="106"/>
      <c r="K221" s="106">
        <f>IF(ISBLANK(I221), "", VLOOKUP(A221&amp;" "&amp;B221, 'Info Tipo de Cambio y REM'!$A$24:$B$35, 2, FALSE))</f>
        <v>1320</v>
      </c>
      <c r="L221" s="107">
        <f t="shared" si="2"/>
        <v>298.578444</v>
      </c>
      <c r="M221" s="43" t="s">
        <v>1466</v>
      </c>
    </row>
    <row r="222" hidden="1">
      <c r="A222" s="51" t="s">
        <v>166</v>
      </c>
      <c r="B222" s="43">
        <v>2025.0</v>
      </c>
      <c r="C222" s="43" t="s">
        <v>146</v>
      </c>
      <c r="D222" s="43" t="s">
        <v>159</v>
      </c>
      <c r="E222" s="443"/>
      <c r="F222" s="443"/>
      <c r="G222" s="708"/>
      <c r="H222" s="452">
        <f t="array" ref="H222">IFERROR(
  INDEX('Valor Hora Real y Estimada'!$A$4:$Z$116,
    MATCH(TRIM(CLEAN(C222)), 'Valor Hora Real y Estimada'!$A$4:$A$116, 0),
    MATCH(TEXT(A222,"dd mmm"), 'Valor Hora Real y Estimada'!$A$3:$Z$3, 0) + 1
  ),
  0
)</f>
        <v>0</v>
      </c>
      <c r="I222" s="71">
        <v>683784.3242945569</v>
      </c>
      <c r="J222" s="106"/>
      <c r="K222" s="106">
        <f>IF(ISBLANK(I222), "", VLOOKUP(A222&amp;" "&amp;B222, 'Info Tipo de Cambio y REM'!$A$24:$B$35, 2, FALSE))</f>
        <v>1345</v>
      </c>
      <c r="L222" s="107">
        <f t="shared" si="2"/>
        <v>508.3898322</v>
      </c>
      <c r="M222" s="43" t="s">
        <v>1466</v>
      </c>
    </row>
    <row r="223" hidden="1">
      <c r="A223" s="51" t="s">
        <v>171</v>
      </c>
      <c r="B223" s="43">
        <v>2025.0</v>
      </c>
      <c r="C223" s="43" t="s">
        <v>146</v>
      </c>
      <c r="D223" s="43" t="s">
        <v>159</v>
      </c>
      <c r="E223" s="443"/>
      <c r="F223" s="443"/>
      <c r="G223" s="708"/>
      <c r="H223" s="452">
        <f t="array" ref="H223">IFERROR(
  INDEX('Valor Hora Real y Estimada'!$A$4:$Z$116,
    MATCH(TRIM(CLEAN(C223)), 'Valor Hora Real y Estimada'!$A$4:$A$116, 0),
    MATCH(TEXT(A223,"dd mmm"), 'Valor Hora Real y Estimada'!$A$3:$Z$3, 0) + 1
  ),
  0
)</f>
        <v>0</v>
      </c>
      <c r="I223" s="71">
        <v>545130.6814212846</v>
      </c>
      <c r="J223" s="491"/>
      <c r="K223" s="106">
        <f>IF(ISBLANK(I223), "", VLOOKUP(A223&amp;" "&amp;B223, 'Info Tipo de Cambio y REM'!$A$24:$B$35, 2, FALSE))</f>
        <v>1445</v>
      </c>
      <c r="L223" s="107">
        <f t="shared" si="2"/>
        <v>377.2530667</v>
      </c>
      <c r="M223" s="43" t="s">
        <v>1466</v>
      </c>
    </row>
    <row r="224" hidden="1">
      <c r="A224" s="51" t="s">
        <v>175</v>
      </c>
      <c r="B224" s="43">
        <v>2025.0</v>
      </c>
      <c r="C224" s="43" t="s">
        <v>146</v>
      </c>
      <c r="D224" s="43" t="s">
        <v>159</v>
      </c>
      <c r="E224" s="443"/>
      <c r="F224" s="10"/>
      <c r="G224" s="708"/>
      <c r="H224" s="452">
        <f t="array" ref="H224">IFERROR(
  INDEX('Valor Hora Real y Estimada'!$A$4:$Z$116,
    MATCH(TRIM(CLEAN(C224)), 'Valor Hora Real y Estimada'!$A$4:$A$116, 0),
    MATCH(TEXT(A224,"dd mmm"), 'Valor Hora Real y Estimada'!$A$3:$Z$3, 0) + 1
  ),
  0
)</f>
        <v>0</v>
      </c>
      <c r="I224" s="71">
        <v>444310.39966128464</v>
      </c>
      <c r="J224" s="491"/>
      <c r="K224" s="106">
        <f>IF(ISBLANK(I224), "", VLOOKUP(A224&amp;" "&amp;B224, 'Info Tipo de Cambio y REM'!$A$24:$B$35, 2, FALSE))</f>
        <v>1440</v>
      </c>
      <c r="L224" s="107">
        <f t="shared" si="2"/>
        <v>308.5488887</v>
      </c>
      <c r="M224" s="43" t="s">
        <v>1467</v>
      </c>
    </row>
    <row r="225" hidden="1">
      <c r="A225" s="51" t="s">
        <v>179</v>
      </c>
      <c r="B225" s="43">
        <v>2025.0</v>
      </c>
      <c r="C225" s="43" t="s">
        <v>146</v>
      </c>
      <c r="D225" s="43" t="s">
        <v>159</v>
      </c>
      <c r="E225" s="443"/>
      <c r="F225" s="443"/>
      <c r="G225" s="708"/>
      <c r="H225" s="452">
        <f t="array" ref="H225">IFERROR(
  INDEX('Valor Hora Real y Estimada'!$A$4:$Z$116,
    MATCH(TRIM(CLEAN(C225)), 'Valor Hora Real y Estimada'!$A$4:$A$116, 0),
    MATCH(TEXT(A225,"dd mmm"), 'Valor Hora Real y Estimada'!$A$3:$Z$3, 0) + 1
  ),
  0
)</f>
        <v>0</v>
      </c>
      <c r="I225" s="71">
        <v>316190.4071612846</v>
      </c>
      <c r="J225" s="491"/>
      <c r="K225" s="106">
        <f>IF(ISBLANK(I225), "", VLOOKUP(A225&amp;" "&amp;B225, 'Info Tipo de Cambio y REM'!$A$24:$B$35, 2, FALSE))</f>
        <v>1499</v>
      </c>
      <c r="L225" s="107">
        <f t="shared" si="2"/>
        <v>210.9342276</v>
      </c>
      <c r="M225" s="43" t="s">
        <v>1467</v>
      </c>
    </row>
    <row r="226" hidden="1">
      <c r="A226" s="51" t="s">
        <v>182</v>
      </c>
      <c r="B226" s="43">
        <v>2025.0</v>
      </c>
      <c r="C226" s="43" t="s">
        <v>146</v>
      </c>
      <c r="D226" s="43" t="s">
        <v>159</v>
      </c>
      <c r="E226" s="443"/>
      <c r="F226" s="443"/>
      <c r="G226" s="708"/>
      <c r="H226" s="452">
        <f t="array" ref="H226">IFERROR(
  INDEX('Valor Hora Real y Estimada'!$A$4:$Z$116,
    MATCH(TRIM(CLEAN(C226)), 'Valor Hora Real y Estimada'!$A$4:$A$116, 0),
    MATCH(TEXT(A226,"dd mmm"), 'Valor Hora Real y Estimada'!$A$3:$Z$3, 0) + 1
  ),
  0
)</f>
        <v>0</v>
      </c>
      <c r="I226" s="71">
        <v>467330.93713588093</v>
      </c>
      <c r="J226" s="491"/>
      <c r="K226" s="106">
        <f>IF(ISBLANK(I226), "", VLOOKUP(A226&amp;" "&amp;B226, 'Info Tipo de Cambio y REM'!$A$24:$B$35, 2, FALSE))</f>
        <v>1536</v>
      </c>
      <c r="L226" s="107">
        <f t="shared" si="2"/>
        <v>304.2519122</v>
      </c>
      <c r="M226" s="43" t="s">
        <v>1467</v>
      </c>
    </row>
    <row r="227" hidden="1">
      <c r="A227" s="51" t="s">
        <v>155</v>
      </c>
      <c r="B227" s="43">
        <v>2025.0</v>
      </c>
      <c r="C227" s="43" t="s">
        <v>152</v>
      </c>
      <c r="D227" s="43" t="s">
        <v>159</v>
      </c>
      <c r="E227" s="443"/>
      <c r="F227" s="443"/>
      <c r="G227" s="708"/>
      <c r="H227" s="452">
        <f t="array" ref="H227">IFERROR(
  INDEX('Valor Hora Real y Estimada'!$A$4:$Z$116,
    MATCH(TRIM(CLEAN(C227)), 'Valor Hora Real y Estimada'!$A$4:$A$116, 0),
    MATCH(TEXT(A227,"dd mmm"), 'Valor Hora Real y Estimada'!$A$3:$Z$3, 0) + 1
  ),
  0
)</f>
        <v>0</v>
      </c>
      <c r="I227" s="71">
        <v>1880876.76</v>
      </c>
      <c r="J227" s="106"/>
      <c r="K227" s="106">
        <f>IF(ISBLANK(I227), "", VLOOKUP(A227&amp;" "&amp;B227, 'Info Tipo de Cambio y REM'!$A$24:$B$35, 2, FALSE))</f>
        <v>1215</v>
      </c>
      <c r="L227" s="107">
        <f t="shared" si="2"/>
        <v>1548.046716</v>
      </c>
      <c r="M227" s="43" t="s">
        <v>1466</v>
      </c>
    </row>
    <row r="228" hidden="1">
      <c r="A228" s="51" t="s">
        <v>161</v>
      </c>
      <c r="B228" s="43">
        <v>2025.0</v>
      </c>
      <c r="C228" s="43" t="s">
        <v>152</v>
      </c>
      <c r="D228" s="43" t="s">
        <v>159</v>
      </c>
      <c r="E228" s="443"/>
      <c r="F228" s="443"/>
      <c r="G228" s="708"/>
      <c r="H228" s="452">
        <f t="array" ref="H228">IFERROR(
  INDEX('Valor Hora Real y Estimada'!$A$4:$Z$116,
    MATCH(TRIM(CLEAN(C228)), 'Valor Hora Real y Estimada'!$A$4:$A$116, 0),
    MATCH(TEXT(A228,"dd mmm"), 'Valor Hora Real y Estimada'!$A$3:$Z$3, 0) + 1
  ),
  0
)</f>
        <v>0</v>
      </c>
      <c r="I228" s="71">
        <v>2063576.959416</v>
      </c>
      <c r="J228" s="106"/>
      <c r="K228" s="106">
        <f>IF(ISBLANK(I228), "", VLOOKUP(A228&amp;" "&amp;B228, 'Info Tipo de Cambio y REM'!$A$24:$B$35, 2, FALSE))</f>
        <v>1320</v>
      </c>
      <c r="L228" s="107">
        <f t="shared" si="2"/>
        <v>1563.315878</v>
      </c>
      <c r="M228" s="43" t="s">
        <v>1466</v>
      </c>
    </row>
    <row r="229" hidden="1">
      <c r="A229" s="51" t="s">
        <v>166</v>
      </c>
      <c r="B229" s="43">
        <v>2025.0</v>
      </c>
      <c r="C229" s="43" t="s">
        <v>152</v>
      </c>
      <c r="D229" s="43" t="s">
        <v>159</v>
      </c>
      <c r="E229" s="443"/>
      <c r="F229" s="443"/>
      <c r="G229" s="708"/>
      <c r="H229" s="452">
        <f t="array" ref="H229">IFERROR(
  INDEX('Valor Hora Real y Estimada'!$A$4:$Z$116,
    MATCH(TRIM(CLEAN(C229)), 'Valor Hora Real y Estimada'!$A$4:$A$116, 0),
    MATCH(TEXT(A229,"dd mmm"), 'Valor Hora Real y Estimada'!$A$3:$Z$3, 0) + 1
  ),
  0
)</f>
        <v>0</v>
      </c>
      <c r="I229" s="71">
        <v>3580201.1594160004</v>
      </c>
      <c r="J229" s="106"/>
      <c r="K229" s="106">
        <f>IF(ISBLANK(I229), "", VLOOKUP(A229&amp;" "&amp;B229, 'Info Tipo de Cambio y REM'!$A$24:$B$35, 2, FALSE))</f>
        <v>1345</v>
      </c>
      <c r="L229" s="107">
        <f t="shared" si="2"/>
        <v>2661.859598</v>
      </c>
      <c r="M229" s="43" t="s">
        <v>1466</v>
      </c>
    </row>
    <row r="230" hidden="1">
      <c r="A230" s="51" t="s">
        <v>171</v>
      </c>
      <c r="B230" s="43">
        <v>2025.0</v>
      </c>
      <c r="C230" s="43" t="s">
        <v>152</v>
      </c>
      <c r="D230" s="43" t="s">
        <v>159</v>
      </c>
      <c r="E230" s="443"/>
      <c r="F230" s="443"/>
      <c r="G230" s="708"/>
      <c r="H230" s="452">
        <f t="array" ref="H230">IFERROR(
  INDEX('Valor Hora Real y Estimada'!$A$4:$Z$116,
    MATCH(TRIM(CLEAN(C230)), 'Valor Hora Real y Estimada'!$A$4:$A$116, 0),
    MATCH(TEXT(A230,"dd mmm"), 'Valor Hora Real y Estimada'!$A$3:$Z$3, 0) + 1
  ),
  0
)</f>
        <v>0</v>
      </c>
      <c r="I230" s="71">
        <v>2854229.6573868003</v>
      </c>
      <c r="J230" s="491"/>
      <c r="K230" s="106">
        <f>IF(ISBLANK(I230), "", VLOOKUP(A230&amp;" "&amp;B230, 'Info Tipo de Cambio y REM'!$A$24:$B$35, 2, FALSE))</f>
        <v>1445</v>
      </c>
      <c r="L230" s="107">
        <f t="shared" si="2"/>
        <v>1975.245438</v>
      </c>
      <c r="M230" s="43" t="s">
        <v>1466</v>
      </c>
    </row>
    <row r="231" hidden="1">
      <c r="A231" s="51" t="s">
        <v>175</v>
      </c>
      <c r="B231" s="43">
        <v>2025.0</v>
      </c>
      <c r="C231" s="43" t="s">
        <v>152</v>
      </c>
      <c r="D231" s="43" t="s">
        <v>159</v>
      </c>
      <c r="E231" s="443"/>
      <c r="F231" s="443"/>
      <c r="G231" s="708"/>
      <c r="H231" s="452">
        <f t="array" ref="H231">IFERROR(
  INDEX('Valor Hora Real y Estimada'!$A$4:$Z$116,
    MATCH(TRIM(CLEAN(C231)), 'Valor Hora Real y Estimada'!$A$4:$A$116, 0),
    MATCH(TEXT(A231,"dd mmm"), 'Valor Hora Real y Estimada'!$A$3:$Z$3, 0) + 1
  ),
  0
)</f>
        <v>0</v>
      </c>
      <c r="I231" s="71">
        <v>2326348.4573868</v>
      </c>
      <c r="J231" s="491"/>
      <c r="K231" s="106">
        <f>IF(ISBLANK(I231), "", VLOOKUP(A231&amp;" "&amp;B231, 'Info Tipo de Cambio y REM'!$A$24:$B$35, 2, FALSE))</f>
        <v>1440</v>
      </c>
      <c r="L231" s="107">
        <f t="shared" si="2"/>
        <v>1615.519762</v>
      </c>
      <c r="M231" s="43" t="s">
        <v>1467</v>
      </c>
    </row>
    <row r="232" hidden="1">
      <c r="A232" s="51" t="s">
        <v>179</v>
      </c>
      <c r="B232" s="43">
        <v>2025.0</v>
      </c>
      <c r="C232" s="43" t="s">
        <v>152</v>
      </c>
      <c r="D232" s="43" t="s">
        <v>159</v>
      </c>
      <c r="E232" s="443"/>
      <c r="F232" s="443"/>
      <c r="G232" s="708"/>
      <c r="H232" s="452">
        <f t="array" ref="H232">IFERROR(
  INDEX('Valor Hora Real y Estimada'!$A$4:$Z$116,
    MATCH(TRIM(CLEAN(C232)), 'Valor Hora Real y Estimada'!$A$4:$A$116, 0),
    MATCH(TEXT(A232,"dd mmm"), 'Valor Hora Real y Estimada'!$A$3:$Z$3, 0) + 1
  ),
  0
)</f>
        <v>0</v>
      </c>
      <c r="I232" s="71">
        <v>1655529.7073868</v>
      </c>
      <c r="J232" s="491"/>
      <c r="K232" s="106">
        <f>IF(ISBLANK(I232), "", VLOOKUP(A232&amp;" "&amp;B232, 'Info Tipo de Cambio y REM'!$A$24:$B$35, 2, FALSE))</f>
        <v>1499</v>
      </c>
      <c r="L232" s="107">
        <f t="shared" si="2"/>
        <v>1104.422753</v>
      </c>
      <c r="M232" s="43" t="s">
        <v>1467</v>
      </c>
    </row>
    <row r="233" hidden="1">
      <c r="A233" s="51" t="s">
        <v>182</v>
      </c>
      <c r="B233" s="43">
        <v>2025.0</v>
      </c>
      <c r="C233" s="43" t="s">
        <v>152</v>
      </c>
      <c r="D233" s="43" t="s">
        <v>159</v>
      </c>
      <c r="E233" s="443"/>
      <c r="F233" s="443"/>
      <c r="G233" s="708"/>
      <c r="H233" s="452">
        <f t="array" ref="H233">IFERROR(
  INDEX('Valor Hora Real y Estimada'!$A$4:$Z$116,
    MATCH(TRIM(CLEAN(C233)), 'Valor Hora Real y Estimada'!$A$4:$A$116, 0),
    MATCH(TEXT(A233,"dd mmm"), 'Valor Hora Real y Estimada'!$A$3:$Z$3, 0) + 1
  ),
  0
)</f>
        <v>0</v>
      </c>
      <c r="I233" s="71">
        <v>2446880.84169081</v>
      </c>
      <c r="J233" s="491"/>
      <c r="K233" s="106">
        <f>IF(ISBLANK(I233), "", VLOOKUP(A233&amp;" "&amp;B233, 'Info Tipo de Cambio y REM'!$A$24:$B$35, 2, FALSE))</f>
        <v>1536</v>
      </c>
      <c r="L233" s="107">
        <f t="shared" si="2"/>
        <v>1593.021381</v>
      </c>
      <c r="M233" s="43" t="s">
        <v>1467</v>
      </c>
    </row>
    <row r="234" hidden="1">
      <c r="A234" s="51" t="s">
        <v>155</v>
      </c>
      <c r="B234" s="43">
        <v>2025.0</v>
      </c>
      <c r="C234" s="43" t="s">
        <v>185</v>
      </c>
      <c r="D234" s="43" t="s">
        <v>185</v>
      </c>
      <c r="E234" s="443"/>
      <c r="F234" s="443"/>
      <c r="G234" s="708"/>
      <c r="H234" s="452">
        <f t="array" ref="H234">IFERROR(
  INDEX('Valor Hora Real y Estimada'!$A$4:$Z$116,
    MATCH(TRIM(CLEAN(C234)), 'Valor Hora Real y Estimada'!$A$4:$A$116, 0),
    MATCH(TEXT(A234,"dd mmm"), 'Valor Hora Real y Estimada'!$A$3:$Z$3, 0) + 1
  ),
  0
)</f>
        <v>0</v>
      </c>
      <c r="J234" s="106">
        <f>45*12</f>
        <v>540</v>
      </c>
      <c r="K234" s="106" t="str">
        <f>IF(ISBLANK(I234), "", VLOOKUP(A234&amp;" "&amp;B234, 'Info Tipo de Cambio y REM'!$A$24:$B$35, 2, FALSE))</f>
        <v/>
      </c>
      <c r="L234" s="107">
        <f t="shared" si="2"/>
        <v>540</v>
      </c>
      <c r="M234" s="43" t="s">
        <v>1466</v>
      </c>
    </row>
    <row r="235" hidden="1">
      <c r="A235" s="51" t="s">
        <v>161</v>
      </c>
      <c r="B235" s="43">
        <v>2025.0</v>
      </c>
      <c r="C235" s="43" t="s">
        <v>185</v>
      </c>
      <c r="D235" s="43" t="s">
        <v>185</v>
      </c>
      <c r="E235" s="443"/>
      <c r="F235" s="443"/>
      <c r="G235" s="708"/>
      <c r="H235" s="452">
        <f t="array" ref="H235">IFERROR(
  INDEX('Valor Hora Real y Estimada'!$A$4:$Z$116,
    MATCH(TRIM(CLEAN(C235)), 'Valor Hora Real y Estimada'!$A$4:$A$116, 0),
    MATCH(TEXT(A235,"dd mmm"), 'Valor Hora Real y Estimada'!$A$3:$Z$3, 0) + 1
  ),
  0
)</f>
        <v>0</v>
      </c>
      <c r="J235" s="106">
        <f t="shared" ref="J235:J240" si="24">45*15</f>
        <v>675</v>
      </c>
      <c r="K235" s="106" t="str">
        <f>IF(ISBLANK(I235), "", VLOOKUP(A235&amp;" "&amp;B235, 'Info Tipo de Cambio y REM'!$A$24:$B$35, 2, FALSE))</f>
        <v/>
      </c>
      <c r="L235" s="107">
        <f t="shared" si="2"/>
        <v>675</v>
      </c>
      <c r="M235" s="43" t="s">
        <v>1466</v>
      </c>
    </row>
    <row r="236" hidden="1">
      <c r="A236" s="51" t="s">
        <v>166</v>
      </c>
      <c r="B236" s="43">
        <v>2025.0</v>
      </c>
      <c r="C236" s="43" t="s">
        <v>185</v>
      </c>
      <c r="D236" s="43" t="s">
        <v>185</v>
      </c>
      <c r="E236" s="443"/>
      <c r="F236" s="443"/>
      <c r="G236" s="708"/>
      <c r="H236" s="452">
        <f t="array" ref="H236">IFERROR(
  INDEX('Valor Hora Real y Estimada'!$A$4:$Z$116,
    MATCH(TRIM(CLEAN(C236)), 'Valor Hora Real y Estimada'!$A$4:$A$116, 0),
    MATCH(TEXT(A236,"dd mmm"), 'Valor Hora Real y Estimada'!$A$3:$Z$3, 0) + 1
  ),
  0
)</f>
        <v>0</v>
      </c>
      <c r="J236" s="106">
        <f t="shared" si="24"/>
        <v>675</v>
      </c>
      <c r="K236" s="106" t="str">
        <f>IF(ISBLANK(I236), "", VLOOKUP(A236&amp;" "&amp;B236, 'Info Tipo de Cambio y REM'!$A$24:$B$35, 2, FALSE))</f>
        <v/>
      </c>
      <c r="L236" s="107">
        <f t="shared" si="2"/>
        <v>675</v>
      </c>
      <c r="M236" s="43" t="s">
        <v>1466</v>
      </c>
    </row>
    <row r="237" hidden="1">
      <c r="A237" s="51" t="s">
        <v>171</v>
      </c>
      <c r="B237" s="43">
        <v>2025.0</v>
      </c>
      <c r="C237" s="43" t="s">
        <v>185</v>
      </c>
      <c r="D237" s="43" t="s">
        <v>185</v>
      </c>
      <c r="E237" s="443"/>
      <c r="F237" s="443"/>
      <c r="G237" s="708"/>
      <c r="H237" s="452">
        <f t="array" ref="H237">IFERROR(
  INDEX('Valor Hora Real y Estimada'!$A$4:$Z$116,
    MATCH(TRIM(CLEAN(C237)), 'Valor Hora Real y Estimada'!$A$4:$A$116, 0),
    MATCH(TEXT(A237,"dd mmm"), 'Valor Hora Real y Estimada'!$A$3:$Z$3, 0) + 1
  ),
  0
)</f>
        <v>0</v>
      </c>
      <c r="J237" s="106">
        <f t="shared" si="24"/>
        <v>675</v>
      </c>
      <c r="K237" s="106" t="str">
        <f>IF(ISBLANK(I237), "", VLOOKUP(A237&amp;" "&amp;B237, 'Info Tipo de Cambio y REM'!$A$24:$B$35, 2, FALSE))</f>
        <v/>
      </c>
      <c r="L237" s="107">
        <f t="shared" si="2"/>
        <v>675</v>
      </c>
      <c r="M237" s="43" t="s">
        <v>1466</v>
      </c>
    </row>
    <row r="238" hidden="1">
      <c r="A238" s="51" t="s">
        <v>175</v>
      </c>
      <c r="B238" s="43">
        <v>2025.0</v>
      </c>
      <c r="C238" s="43" t="s">
        <v>185</v>
      </c>
      <c r="D238" s="43" t="s">
        <v>185</v>
      </c>
      <c r="E238" s="443"/>
      <c r="F238" s="443"/>
      <c r="G238" s="708"/>
      <c r="H238" s="452">
        <f t="array" ref="H238">IFERROR(
  INDEX('Valor Hora Real y Estimada'!$A$4:$Z$116,
    MATCH(TRIM(CLEAN(C238)), 'Valor Hora Real y Estimada'!$A$4:$A$116, 0),
    MATCH(TEXT(A238,"dd mmm"), 'Valor Hora Real y Estimada'!$A$3:$Z$3, 0) + 1
  ),
  0
)</f>
        <v>0</v>
      </c>
      <c r="J238" s="106">
        <f t="shared" si="24"/>
        <v>675</v>
      </c>
      <c r="K238" s="106" t="str">
        <f>IF(ISBLANK(I238), "", VLOOKUP(A238&amp;" "&amp;B238, 'Info Tipo de Cambio y REM'!$A$24:$B$35, 2, FALSE))</f>
        <v/>
      </c>
      <c r="L238" s="107">
        <f t="shared" si="2"/>
        <v>675</v>
      </c>
      <c r="M238" s="43" t="s">
        <v>1467</v>
      </c>
    </row>
    <row r="239" hidden="1">
      <c r="A239" s="51" t="s">
        <v>179</v>
      </c>
      <c r="B239" s="43">
        <v>2025.0</v>
      </c>
      <c r="C239" s="43" t="s">
        <v>185</v>
      </c>
      <c r="D239" s="43" t="s">
        <v>185</v>
      </c>
      <c r="E239" s="443"/>
      <c r="F239" s="443"/>
      <c r="G239" s="708"/>
      <c r="H239" s="452">
        <f t="array" ref="H239">IFERROR(
  INDEX('Valor Hora Real y Estimada'!$A$4:$Z$116,
    MATCH(TRIM(CLEAN(C239)), 'Valor Hora Real y Estimada'!$A$4:$A$116, 0),
    MATCH(TEXT(A239,"dd mmm"), 'Valor Hora Real y Estimada'!$A$3:$Z$3, 0) + 1
  ),
  0
)</f>
        <v>0</v>
      </c>
      <c r="I239" s="453"/>
      <c r="J239" s="106">
        <f t="shared" si="24"/>
        <v>675</v>
      </c>
      <c r="K239" s="106" t="str">
        <f>IF(ISBLANK(I239), "", VLOOKUP(A239&amp;" "&amp;B239, 'Info Tipo de Cambio y REM'!$A$24:$B$35, 2, FALSE))</f>
        <v/>
      </c>
      <c r="L239" s="107">
        <f t="shared" si="2"/>
        <v>675</v>
      </c>
      <c r="M239" s="43" t="s">
        <v>1467</v>
      </c>
    </row>
    <row r="240" hidden="1">
      <c r="A240" s="51" t="s">
        <v>182</v>
      </c>
      <c r="B240" s="43">
        <v>2025.0</v>
      </c>
      <c r="C240" s="43" t="s">
        <v>185</v>
      </c>
      <c r="D240" s="43" t="s">
        <v>185</v>
      </c>
      <c r="E240" s="443"/>
      <c r="F240" s="443"/>
      <c r="G240" s="708"/>
      <c r="H240" s="452">
        <f t="array" ref="H240">IFERROR(
  INDEX('Valor Hora Real y Estimada'!$A$4:$Z$116,
    MATCH(TRIM(CLEAN(C240)), 'Valor Hora Real y Estimada'!$A$4:$A$116, 0),
    MATCH(TEXT(A240,"dd mmm"), 'Valor Hora Real y Estimada'!$A$3:$Z$3, 0) + 1
  ),
  0
)</f>
        <v>0</v>
      </c>
      <c r="I240" s="453"/>
      <c r="J240" s="106">
        <f t="shared" si="24"/>
        <v>675</v>
      </c>
      <c r="K240" s="106" t="str">
        <f>IF(ISBLANK(I240), "", VLOOKUP(A240&amp;" "&amp;B240, 'Info Tipo de Cambio y REM'!$A$24:$B$35, 2, FALSE))</f>
        <v/>
      </c>
      <c r="L240" s="107">
        <f t="shared" si="2"/>
        <v>675</v>
      </c>
      <c r="M240" s="43" t="s">
        <v>1467</v>
      </c>
    </row>
    <row r="241" hidden="1">
      <c r="A241" s="51" t="s">
        <v>155</v>
      </c>
      <c r="B241" s="43">
        <v>2025.0</v>
      </c>
      <c r="C241" s="43" t="s">
        <v>158</v>
      </c>
      <c r="D241" s="43" t="s">
        <v>178</v>
      </c>
      <c r="E241" s="443"/>
      <c r="F241" s="443"/>
      <c r="G241" s="708"/>
      <c r="H241" s="452">
        <f t="array" ref="H241">IFERROR(
  INDEX('Valor Hora Real y Estimada'!$A$4:$Z$116,
    MATCH(TRIM(CLEAN(C241)), 'Valor Hora Real y Estimada'!$A$4:$A$116, 0),
    MATCH(TEXT(A241,"dd mmm"), 'Valor Hora Real y Estimada'!$A$3:$Z$3, 0) + 1
  ),
  0
)</f>
        <v>0</v>
      </c>
      <c r="I241" s="468">
        <v>130000.0</v>
      </c>
      <c r="J241" s="106"/>
      <c r="K241" s="106">
        <f>IF(ISBLANK(I241), "", VLOOKUP(A241&amp;" "&amp;B241, 'Info Tipo de Cambio y REM'!$A$24:$B$35, 2, FALSE))</f>
        <v>1215</v>
      </c>
      <c r="L241" s="107">
        <f t="shared" si="2"/>
        <v>106.9958848</v>
      </c>
      <c r="M241" s="43" t="s">
        <v>1466</v>
      </c>
    </row>
    <row r="242" hidden="1">
      <c r="A242" s="51" t="s">
        <v>161</v>
      </c>
      <c r="B242" s="43">
        <v>2025.0</v>
      </c>
      <c r="C242" s="43" t="s">
        <v>158</v>
      </c>
      <c r="D242" s="43" t="s">
        <v>178</v>
      </c>
      <c r="E242" s="443"/>
      <c r="F242" s="443"/>
      <c r="G242" s="708"/>
      <c r="H242" s="452">
        <f t="array" ref="H242">IFERROR(
  INDEX('Valor Hora Real y Estimada'!$A$4:$Z$116,
    MATCH(TRIM(CLEAN(C242)), 'Valor Hora Real y Estimada'!$A$4:$A$116, 0),
    MATCH(TEXT(A242,"dd mmm"), 'Valor Hora Real y Estimada'!$A$3:$Z$3, 0) + 1
  ),
  0
)</f>
        <v>0</v>
      </c>
      <c r="I242" s="468">
        <v>130000.0</v>
      </c>
      <c r="J242" s="106"/>
      <c r="K242" s="106">
        <f>IF(ISBLANK(I242), "", VLOOKUP(A242&amp;" "&amp;B242, 'Info Tipo de Cambio y REM'!$A$24:$B$35, 2, FALSE))</f>
        <v>1320</v>
      </c>
      <c r="L242" s="107">
        <f t="shared" si="2"/>
        <v>98.48484848</v>
      </c>
      <c r="M242" s="43" t="s">
        <v>1466</v>
      </c>
    </row>
    <row r="243" hidden="1">
      <c r="A243" s="51" t="s">
        <v>166</v>
      </c>
      <c r="B243" s="43">
        <v>2025.0</v>
      </c>
      <c r="C243" s="43" t="s">
        <v>158</v>
      </c>
      <c r="D243" s="43" t="s">
        <v>178</v>
      </c>
      <c r="E243" s="443"/>
      <c r="F243" s="443"/>
      <c r="G243" s="708"/>
      <c r="H243" s="452">
        <f t="array" ref="H243">IFERROR(
  INDEX('Valor Hora Real y Estimada'!$A$4:$Z$116,
    MATCH(TRIM(CLEAN(C243)), 'Valor Hora Real y Estimada'!$A$4:$A$116, 0),
    MATCH(TEXT(A243,"dd mmm"), 'Valor Hora Real y Estimada'!$A$3:$Z$3, 0) + 1
  ),
  0
)</f>
        <v>0</v>
      </c>
      <c r="I243" s="468">
        <v>130000.0</v>
      </c>
      <c r="J243" s="106"/>
      <c r="K243" s="106">
        <f>IF(ISBLANK(I243), "", VLOOKUP(A243&amp;" "&amp;B243, 'Info Tipo de Cambio y REM'!$A$24:$B$35, 2, FALSE))</f>
        <v>1345</v>
      </c>
      <c r="L243" s="107">
        <f t="shared" si="2"/>
        <v>96.65427509</v>
      </c>
      <c r="M243" s="43" t="s">
        <v>1466</v>
      </c>
    </row>
    <row r="244" hidden="1">
      <c r="A244" s="51" t="s">
        <v>171</v>
      </c>
      <c r="B244" s="43">
        <v>2025.0</v>
      </c>
      <c r="C244" s="43" t="s">
        <v>158</v>
      </c>
      <c r="D244" s="43" t="s">
        <v>178</v>
      </c>
      <c r="E244" s="443"/>
      <c r="F244" s="443"/>
      <c r="G244" s="708"/>
      <c r="H244" s="452">
        <f t="array" ref="H244">IFERROR(
  INDEX('Valor Hora Real y Estimada'!$A$4:$Z$116,
    MATCH(TRIM(CLEAN(C244)), 'Valor Hora Real y Estimada'!$A$4:$A$116, 0),
    MATCH(TEXT(A244,"dd mmm"), 'Valor Hora Real y Estimada'!$A$3:$Z$3, 0) + 1
  ),
  0
)</f>
        <v>0</v>
      </c>
      <c r="I244" s="468">
        <v>130000.0</v>
      </c>
      <c r="J244" s="491"/>
      <c r="K244" s="106">
        <f>IF(ISBLANK(I244), "", VLOOKUP(A244&amp;" "&amp;B244, 'Info Tipo de Cambio y REM'!$A$24:$B$35, 2, FALSE))</f>
        <v>1445</v>
      </c>
      <c r="L244" s="107">
        <f t="shared" si="2"/>
        <v>89.96539792</v>
      </c>
      <c r="M244" s="43" t="s">
        <v>1466</v>
      </c>
    </row>
    <row r="245" hidden="1">
      <c r="A245" s="51" t="s">
        <v>175</v>
      </c>
      <c r="B245" s="43">
        <v>2025.0</v>
      </c>
      <c r="C245" s="43" t="s">
        <v>158</v>
      </c>
      <c r="D245" s="43" t="s">
        <v>178</v>
      </c>
      <c r="E245" s="443"/>
      <c r="F245" s="443"/>
      <c r="G245" s="708"/>
      <c r="H245" s="452">
        <f t="array" ref="H245">IFERROR(
  INDEX('Valor Hora Real y Estimada'!$A$4:$Z$116,
    MATCH(TRIM(CLEAN(C245)), 'Valor Hora Real y Estimada'!$A$4:$A$116, 0),
    MATCH(TEXT(A245,"dd mmm"), 'Valor Hora Real y Estimada'!$A$3:$Z$3, 0) + 1
  ),
  0
)</f>
        <v>0</v>
      </c>
      <c r="I245" s="468">
        <v>130000.0</v>
      </c>
      <c r="J245" s="491"/>
      <c r="K245" s="106">
        <f>IF(ISBLANK(I245), "", VLOOKUP(A245&amp;" "&amp;B245, 'Info Tipo de Cambio y REM'!$A$24:$B$35, 2, FALSE))</f>
        <v>1440</v>
      </c>
      <c r="L245" s="107">
        <f t="shared" si="2"/>
        <v>90.27777778</v>
      </c>
      <c r="M245" s="43" t="s">
        <v>1467</v>
      </c>
    </row>
    <row r="246" hidden="1">
      <c r="A246" s="51" t="s">
        <v>179</v>
      </c>
      <c r="B246" s="43">
        <v>2025.0</v>
      </c>
      <c r="C246" s="43" t="s">
        <v>158</v>
      </c>
      <c r="D246" s="43" t="s">
        <v>178</v>
      </c>
      <c r="E246" s="443"/>
      <c r="F246" s="443"/>
      <c r="G246" s="708"/>
      <c r="H246" s="452">
        <f t="array" ref="H246">IFERROR(
  INDEX('Valor Hora Real y Estimada'!$A$4:$Z$116,
    MATCH(TRIM(CLEAN(C246)), 'Valor Hora Real y Estimada'!$A$4:$A$116, 0),
    MATCH(TEXT(A246,"dd mmm"), 'Valor Hora Real y Estimada'!$A$3:$Z$3, 0) + 1
  ),
  0
)</f>
        <v>0</v>
      </c>
      <c r="I246" s="468">
        <v>130000.0</v>
      </c>
      <c r="J246" s="491"/>
      <c r="K246" s="106">
        <f>IF(ISBLANK(I246), "", VLOOKUP(A246&amp;" "&amp;B246, 'Info Tipo de Cambio y REM'!$A$24:$B$35, 2, FALSE))</f>
        <v>1499</v>
      </c>
      <c r="L246" s="107">
        <f t="shared" si="2"/>
        <v>86.72448299</v>
      </c>
      <c r="M246" s="43" t="s">
        <v>1467</v>
      </c>
    </row>
    <row r="247" hidden="1">
      <c r="A247" s="51" t="s">
        <v>182</v>
      </c>
      <c r="B247" s="43">
        <v>2025.0</v>
      </c>
      <c r="C247" s="43" t="s">
        <v>158</v>
      </c>
      <c r="D247" s="43" t="s">
        <v>178</v>
      </c>
      <c r="E247" s="443"/>
      <c r="F247" s="443"/>
      <c r="G247" s="708"/>
      <c r="H247" s="452">
        <f t="array" ref="H247">IFERROR(
  INDEX('Valor Hora Real y Estimada'!$A$4:$Z$116,
    MATCH(TRIM(CLEAN(C247)), 'Valor Hora Real y Estimada'!$A$4:$A$116, 0),
    MATCH(TEXT(A247,"dd mmm"), 'Valor Hora Real y Estimada'!$A$3:$Z$3, 0) + 1
  ),
  0
)</f>
        <v>0</v>
      </c>
      <c r="I247" s="468">
        <v>130000.0</v>
      </c>
      <c r="J247" s="491"/>
      <c r="K247" s="106">
        <f>IF(ISBLANK(I247), "", VLOOKUP(A247&amp;" "&amp;B247, 'Info Tipo de Cambio y REM'!$A$24:$B$35, 2, FALSE))</f>
        <v>1536</v>
      </c>
      <c r="L247" s="107">
        <f t="shared" si="2"/>
        <v>84.63541667</v>
      </c>
      <c r="M247" s="43" t="s">
        <v>1467</v>
      </c>
    </row>
    <row r="248" hidden="1">
      <c r="A248" s="51" t="s">
        <v>155</v>
      </c>
      <c r="B248" s="43">
        <v>2025.0</v>
      </c>
      <c r="C248" s="43" t="s">
        <v>191</v>
      </c>
      <c r="D248" s="43" t="s">
        <v>178</v>
      </c>
      <c r="E248" s="443"/>
      <c r="F248" s="443"/>
      <c r="G248" s="708"/>
      <c r="H248" s="452">
        <f t="array" ref="H248">IFERROR(
  INDEX('Valor Hora Real y Estimada'!$A$4:$Z$116,
    MATCH(TRIM(CLEAN(C248)), 'Valor Hora Real y Estimada'!$A$4:$A$116, 0),
    MATCH(TEXT(A248,"dd mmm"), 'Valor Hora Real y Estimada'!$A$3:$Z$3, 0) + 1
  ),
  0
)</f>
        <v>0</v>
      </c>
      <c r="I248" s="453"/>
      <c r="J248" s="106">
        <v>2000.0</v>
      </c>
      <c r="K248" s="106" t="str">
        <f>IF(ISBLANK(I248), "", VLOOKUP(A248&amp;" "&amp;B248, 'Info Tipo de Cambio y REM'!$A$24:$B$35, 2, FALSE))</f>
        <v/>
      </c>
      <c r="L248" s="107">
        <f t="shared" si="2"/>
        <v>2000</v>
      </c>
      <c r="M248" s="43" t="s">
        <v>1466</v>
      </c>
    </row>
    <row r="249" hidden="1">
      <c r="A249" s="51" t="s">
        <v>161</v>
      </c>
      <c r="B249" s="43">
        <v>2025.0</v>
      </c>
      <c r="C249" s="43" t="s">
        <v>191</v>
      </c>
      <c r="D249" s="43" t="s">
        <v>178</v>
      </c>
      <c r="E249" s="443"/>
      <c r="F249" s="443"/>
      <c r="G249" s="708"/>
      <c r="H249" s="452">
        <f t="array" ref="H249">IFERROR(
  INDEX('Valor Hora Real y Estimada'!$A$4:$Z$116,
    MATCH(TRIM(CLEAN(C249)), 'Valor Hora Real y Estimada'!$A$4:$A$116, 0),
    MATCH(TEXT(A249,"dd mmm"), 'Valor Hora Real y Estimada'!$A$3:$Z$3, 0) + 1
  ),
  0
)</f>
        <v>0</v>
      </c>
      <c r="I249" s="453"/>
      <c r="J249" s="106">
        <v>2000.0</v>
      </c>
      <c r="K249" s="106" t="str">
        <f>IF(ISBLANK(I249), "", VLOOKUP(A249&amp;" "&amp;B249, 'Info Tipo de Cambio y REM'!$A$24:$B$35, 2, FALSE))</f>
        <v/>
      </c>
      <c r="L249" s="107">
        <f t="shared" si="2"/>
        <v>2000</v>
      </c>
      <c r="M249" s="43" t="s">
        <v>1466</v>
      </c>
    </row>
    <row r="250" hidden="1">
      <c r="A250" s="51" t="s">
        <v>166</v>
      </c>
      <c r="B250" s="43">
        <v>2025.0</v>
      </c>
      <c r="C250" s="43" t="s">
        <v>191</v>
      </c>
      <c r="D250" s="43" t="s">
        <v>178</v>
      </c>
      <c r="E250" s="443"/>
      <c r="F250" s="443"/>
      <c r="G250" s="708"/>
      <c r="H250" s="452">
        <f t="array" ref="H250">IFERROR(
  INDEX('Valor Hora Real y Estimada'!$A$4:$Z$116,
    MATCH(TRIM(CLEAN(C250)), 'Valor Hora Real y Estimada'!$A$4:$A$116, 0),
    MATCH(TEXT(A250,"dd mmm"), 'Valor Hora Real y Estimada'!$A$3:$Z$3, 0) + 1
  ),
  0
)</f>
        <v>0</v>
      </c>
      <c r="I250" s="453"/>
      <c r="J250" s="106">
        <v>2000.0</v>
      </c>
      <c r="K250" s="106" t="str">
        <f>IF(ISBLANK(I250), "", VLOOKUP(A250&amp;" "&amp;B250, 'Info Tipo de Cambio y REM'!$A$24:$B$35, 2, FALSE))</f>
        <v/>
      </c>
      <c r="L250" s="107">
        <f t="shared" si="2"/>
        <v>2000</v>
      </c>
      <c r="M250" s="43" t="s">
        <v>1466</v>
      </c>
    </row>
    <row r="251" hidden="1">
      <c r="A251" s="51" t="s">
        <v>171</v>
      </c>
      <c r="B251" s="43">
        <v>2025.0</v>
      </c>
      <c r="C251" s="43" t="s">
        <v>191</v>
      </c>
      <c r="D251" s="43" t="s">
        <v>178</v>
      </c>
      <c r="E251" s="443"/>
      <c r="F251" s="443"/>
      <c r="G251" s="708"/>
      <c r="H251" s="452">
        <f t="array" ref="H251">IFERROR(
  INDEX('Valor Hora Real y Estimada'!$A$4:$Z$116,
    MATCH(TRIM(CLEAN(C251)), 'Valor Hora Real y Estimada'!$A$4:$A$116, 0),
    MATCH(TEXT(A251,"dd mmm"), 'Valor Hora Real y Estimada'!$A$3:$Z$3, 0) + 1
  ),
  0
)</f>
        <v>0</v>
      </c>
      <c r="I251" s="453"/>
      <c r="J251" s="106">
        <v>2000.0</v>
      </c>
      <c r="K251" s="106" t="str">
        <f>IF(ISBLANK(I251), "", VLOOKUP(A251&amp;" "&amp;B251, 'Info Tipo de Cambio y REM'!$A$24:$B$35, 2, FALSE))</f>
        <v/>
      </c>
      <c r="L251" s="107">
        <f t="shared" si="2"/>
        <v>2000</v>
      </c>
      <c r="M251" s="43" t="s">
        <v>1466</v>
      </c>
    </row>
    <row r="252" hidden="1">
      <c r="A252" s="51" t="s">
        <v>175</v>
      </c>
      <c r="B252" s="43">
        <v>2025.0</v>
      </c>
      <c r="C252" s="43" t="s">
        <v>191</v>
      </c>
      <c r="D252" s="43" t="s">
        <v>178</v>
      </c>
      <c r="E252" s="443"/>
      <c r="F252" s="443"/>
      <c r="G252" s="708"/>
      <c r="H252" s="452">
        <f t="array" ref="H252">IFERROR(
  INDEX('Valor Hora Real y Estimada'!$A$4:$Z$116,
    MATCH(TRIM(CLEAN(C252)), 'Valor Hora Real y Estimada'!$A$4:$A$116, 0),
    MATCH(TEXT(A252,"dd mmm"), 'Valor Hora Real y Estimada'!$A$3:$Z$3, 0) + 1
  ),
  0
)</f>
        <v>0</v>
      </c>
      <c r="I252" s="453"/>
      <c r="J252" s="106">
        <v>2000.0</v>
      </c>
      <c r="K252" s="106" t="str">
        <f>IF(ISBLANK(I252), "", VLOOKUP(A252&amp;" "&amp;B252, 'Info Tipo de Cambio y REM'!$A$24:$B$35, 2, FALSE))</f>
        <v/>
      </c>
      <c r="L252" s="107">
        <f t="shared" si="2"/>
        <v>2000</v>
      </c>
      <c r="M252" s="43" t="s">
        <v>1467</v>
      </c>
    </row>
    <row r="253" hidden="1">
      <c r="A253" s="51" t="s">
        <v>179</v>
      </c>
      <c r="B253" s="43">
        <v>2025.0</v>
      </c>
      <c r="C253" s="43" t="s">
        <v>191</v>
      </c>
      <c r="D253" s="43" t="s">
        <v>178</v>
      </c>
      <c r="E253" s="443"/>
      <c r="F253" s="443"/>
      <c r="G253" s="708"/>
      <c r="H253" s="452">
        <f t="array" ref="H253">IFERROR(
  INDEX('Valor Hora Real y Estimada'!$A$4:$Z$116,
    MATCH(TRIM(CLEAN(C253)), 'Valor Hora Real y Estimada'!$A$4:$A$116, 0),
    MATCH(TEXT(A253,"dd mmm"), 'Valor Hora Real y Estimada'!$A$3:$Z$3, 0) + 1
  ),
  0
)</f>
        <v>0</v>
      </c>
      <c r="I253" s="453"/>
      <c r="J253" s="106">
        <v>2000.0</v>
      </c>
      <c r="K253" s="106" t="str">
        <f>IF(ISBLANK(I253), "", VLOOKUP(A253&amp;" "&amp;B253, 'Info Tipo de Cambio y REM'!$A$24:$B$35, 2, FALSE))</f>
        <v/>
      </c>
      <c r="L253" s="107">
        <f t="shared" si="2"/>
        <v>2000</v>
      </c>
      <c r="M253" s="43" t="s">
        <v>1467</v>
      </c>
    </row>
    <row r="254" hidden="1">
      <c r="A254" s="51" t="s">
        <v>182</v>
      </c>
      <c r="B254" s="43">
        <v>2025.0</v>
      </c>
      <c r="C254" s="43" t="s">
        <v>191</v>
      </c>
      <c r="D254" s="43" t="s">
        <v>178</v>
      </c>
      <c r="E254" s="443"/>
      <c r="F254" s="443"/>
      <c r="G254" s="708"/>
      <c r="H254" s="452">
        <f t="array" ref="H254">IFERROR(
  INDEX('Valor Hora Real y Estimada'!$A$4:$Z$116,
    MATCH(TRIM(CLEAN(C254)), 'Valor Hora Real y Estimada'!$A$4:$A$116, 0),
    MATCH(TEXT(A254,"dd mmm"), 'Valor Hora Real y Estimada'!$A$3:$Z$3, 0) + 1
  ),
  0
)</f>
        <v>0</v>
      </c>
      <c r="I254" s="453"/>
      <c r="J254" s="106">
        <v>2000.0</v>
      </c>
      <c r="K254" s="106" t="str">
        <f>IF(ISBLANK(I254), "", VLOOKUP(A254&amp;" "&amp;B254, 'Info Tipo de Cambio y REM'!$A$24:$B$35, 2, FALSE))</f>
        <v/>
      </c>
      <c r="L254" s="107">
        <f t="shared" si="2"/>
        <v>2000</v>
      </c>
      <c r="M254" s="43" t="s">
        <v>1467</v>
      </c>
    </row>
    <row r="255" hidden="1">
      <c r="A255" s="51" t="s">
        <v>166</v>
      </c>
      <c r="B255" s="43">
        <v>2025.0</v>
      </c>
      <c r="C255" s="43" t="s">
        <v>139</v>
      </c>
      <c r="D255" s="43" t="s">
        <v>139</v>
      </c>
      <c r="E255" s="443"/>
      <c r="F255" s="443"/>
      <c r="H255" s="452">
        <f t="array" ref="H255">IFERROR(
  INDEX('Valor Hora Real y Estimada'!$A$4:$Z$116,
    MATCH(TRIM(CLEAN(C255)), 'Valor Hora Real y Estimada'!$A$4:$A$116, 0),
    MATCH(TEXT(A255,"dd mmm"), 'Valor Hora Real y Estimada'!$A$3:$Z$3, 0) + 1
  ),
  0
)</f>
        <v>0</v>
      </c>
      <c r="I255" s="468">
        <v>50000.0</v>
      </c>
      <c r="J255" s="453"/>
      <c r="K255" s="106">
        <f>IF(ISBLANK(I255), "", VLOOKUP(A255&amp;" "&amp;B255, 'Info Tipo de Cambio y REM'!$A$24:$B$35, 2, FALSE))</f>
        <v>1345</v>
      </c>
      <c r="L255" s="107">
        <f t="shared" si="2"/>
        <v>37.17472119</v>
      </c>
      <c r="M255" s="43" t="s">
        <v>1466</v>
      </c>
    </row>
    <row r="256" hidden="1">
      <c r="A256" s="51" t="s">
        <v>171</v>
      </c>
      <c r="B256" s="43">
        <v>2025.0</v>
      </c>
      <c r="C256" s="43" t="s">
        <v>139</v>
      </c>
      <c r="D256" s="43" t="s">
        <v>139</v>
      </c>
      <c r="E256" s="443"/>
      <c r="F256" s="443"/>
      <c r="H256" s="452">
        <f t="array" ref="H256">IFERROR(
  INDEX('Valor Hora Real y Estimada'!$A$4:$Z$116,
    MATCH(TRIM(CLEAN(C256)), 'Valor Hora Real y Estimada'!$A$4:$A$116, 0),
    MATCH(TEXT(A256,"dd mmm"), 'Valor Hora Real y Estimada'!$A$3:$Z$3, 0) + 1
  ),
  0
)</f>
        <v>0</v>
      </c>
      <c r="I256" s="468">
        <v>50000.0</v>
      </c>
      <c r="J256" s="453"/>
      <c r="K256" s="106">
        <f>IF(ISBLANK(I256), "", VLOOKUP(A256&amp;" "&amp;B256, 'Info Tipo de Cambio y REM'!$A$24:$B$35, 2, FALSE))</f>
        <v>1445</v>
      </c>
      <c r="L256" s="107">
        <f t="shared" si="2"/>
        <v>34.60207612</v>
      </c>
      <c r="M256" s="43" t="s">
        <v>1466</v>
      </c>
    </row>
    <row r="257" hidden="1">
      <c r="A257" s="51" t="s">
        <v>175</v>
      </c>
      <c r="B257" s="43">
        <v>2025.0</v>
      </c>
      <c r="C257" s="43" t="s">
        <v>139</v>
      </c>
      <c r="D257" s="43" t="s">
        <v>139</v>
      </c>
      <c r="E257" s="443"/>
      <c r="F257" s="443"/>
      <c r="H257" s="452">
        <f t="array" ref="H257">IFERROR(
  INDEX('Valor Hora Real y Estimada'!$A$4:$Z$116,
    MATCH(TRIM(CLEAN(C257)), 'Valor Hora Real y Estimada'!$A$4:$A$116, 0),
    MATCH(TEXT(A257,"dd mmm"), 'Valor Hora Real y Estimada'!$A$3:$Z$3, 0) + 1
  ),
  0
)</f>
        <v>0</v>
      </c>
      <c r="I257" s="468">
        <v>50000.0</v>
      </c>
      <c r="J257" s="453"/>
      <c r="K257" s="106">
        <f>IF(ISBLANK(I257), "", VLOOKUP(A257&amp;" "&amp;B257, 'Info Tipo de Cambio y REM'!$A$24:$B$35, 2, FALSE))</f>
        <v>1440</v>
      </c>
      <c r="L257" s="107">
        <f t="shared" si="2"/>
        <v>34.72222222</v>
      </c>
      <c r="M257" s="43" t="s">
        <v>1467</v>
      </c>
    </row>
    <row r="258" hidden="1">
      <c r="A258" s="51" t="s">
        <v>179</v>
      </c>
      <c r="B258" s="43">
        <v>2025.0</v>
      </c>
      <c r="C258" s="43" t="s">
        <v>139</v>
      </c>
      <c r="D258" s="43" t="s">
        <v>139</v>
      </c>
      <c r="E258" s="443"/>
      <c r="F258" s="443"/>
      <c r="H258" s="452">
        <f t="array" ref="H258">IFERROR(
  INDEX('Valor Hora Real y Estimada'!$A$4:$Z$116,
    MATCH(TRIM(CLEAN(C258)), 'Valor Hora Real y Estimada'!$A$4:$A$116, 0),
    MATCH(TEXT(A258,"dd mmm"), 'Valor Hora Real y Estimada'!$A$3:$Z$3, 0) + 1
  ),
  0
)</f>
        <v>0</v>
      </c>
      <c r="I258" s="468">
        <v>50000.0</v>
      </c>
      <c r="J258" s="453"/>
      <c r="K258" s="106">
        <f>IF(ISBLANK(I258), "", VLOOKUP(A258&amp;" "&amp;B258, 'Info Tipo de Cambio y REM'!$A$24:$B$35, 2, FALSE))</f>
        <v>1499</v>
      </c>
      <c r="L258" s="107">
        <f t="shared" si="2"/>
        <v>33.35557038</v>
      </c>
      <c r="M258" s="43" t="s">
        <v>1467</v>
      </c>
    </row>
    <row r="259" hidden="1">
      <c r="A259" s="51" t="s">
        <v>182</v>
      </c>
      <c r="B259" s="43">
        <v>2025.0</v>
      </c>
      <c r="C259" s="43" t="s">
        <v>139</v>
      </c>
      <c r="D259" s="43" t="s">
        <v>139</v>
      </c>
      <c r="E259" s="443"/>
      <c r="F259" s="443"/>
      <c r="H259" s="452">
        <f t="array" ref="H259">IFERROR(
  INDEX('Valor Hora Real y Estimada'!$A$4:$Z$116,
    MATCH(TRIM(CLEAN(C259)), 'Valor Hora Real y Estimada'!$A$4:$A$116, 0),
    MATCH(TEXT(A259,"dd mmm"), 'Valor Hora Real y Estimada'!$A$3:$Z$3, 0) + 1
  ),
  0
)</f>
        <v>0</v>
      </c>
      <c r="I259" s="468">
        <v>50000.0</v>
      </c>
      <c r="J259" s="453"/>
      <c r="K259" s="106">
        <f>IF(ISBLANK(I259), "", VLOOKUP(A259&amp;" "&amp;B259, 'Info Tipo de Cambio y REM'!$A$24:$B$35, 2, FALSE))</f>
        <v>1536</v>
      </c>
      <c r="L259" s="107">
        <f t="shared" si="2"/>
        <v>32.55208333</v>
      </c>
      <c r="M259" s="43" t="s">
        <v>1467</v>
      </c>
    </row>
    <row r="260" hidden="1">
      <c r="A260" s="51" t="s">
        <v>166</v>
      </c>
      <c r="B260" s="43">
        <v>2025.0</v>
      </c>
      <c r="C260" s="43" t="s">
        <v>223</v>
      </c>
      <c r="D260" s="43" t="s">
        <v>170</v>
      </c>
      <c r="E260" s="443"/>
      <c r="F260" s="443"/>
      <c r="H260" s="452">
        <f t="array" ref="H260">IFERROR(
  INDEX('Valor Hora Real y Estimada'!$A$4:$Z$116,
    MATCH(TRIM(CLEAN(C260)), 'Valor Hora Real y Estimada'!$A$4:$A$116, 0),
    MATCH(TEXT(A260,"dd mmm"), 'Valor Hora Real y Estimada'!$A$3:$Z$3, 0) + 1
  ),
  0
)</f>
        <v>0</v>
      </c>
      <c r="I260" s="468">
        <v>145000.0</v>
      </c>
      <c r="J260" s="453"/>
      <c r="K260" s="106">
        <f>IF(ISBLANK(I260), "", VLOOKUP(A260&amp;" "&amp;B260, 'Info Tipo de Cambio y REM'!$A$24:$B$35, 2, FALSE))</f>
        <v>1345</v>
      </c>
      <c r="L260" s="107">
        <f t="shared" si="2"/>
        <v>107.8066914</v>
      </c>
      <c r="M260" s="43" t="s">
        <v>1466</v>
      </c>
    </row>
    <row r="261" hidden="1">
      <c r="A261" s="51" t="s">
        <v>171</v>
      </c>
      <c r="B261" s="43">
        <v>2025.0</v>
      </c>
      <c r="C261" s="43" t="s">
        <v>223</v>
      </c>
      <c r="D261" s="43" t="s">
        <v>170</v>
      </c>
      <c r="E261" s="443"/>
      <c r="F261" s="443"/>
      <c r="H261" s="452">
        <f t="array" ref="H261">IFERROR(
  INDEX('Valor Hora Real y Estimada'!$A$4:$Z$116,
    MATCH(TRIM(CLEAN(C261)), 'Valor Hora Real y Estimada'!$A$4:$A$116, 0),
    MATCH(TEXT(A261,"dd mmm"), 'Valor Hora Real y Estimada'!$A$3:$Z$3, 0) + 1
  ),
  0
)</f>
        <v>0</v>
      </c>
      <c r="I261" s="468">
        <v>145000.0</v>
      </c>
      <c r="J261" s="453"/>
      <c r="K261" s="106">
        <f>IF(ISBLANK(I261), "", VLOOKUP(A261&amp;" "&amp;B261, 'Info Tipo de Cambio y REM'!$A$24:$B$35, 2, FALSE))</f>
        <v>1445</v>
      </c>
      <c r="L261" s="107">
        <f t="shared" si="2"/>
        <v>100.3460208</v>
      </c>
      <c r="M261" s="43" t="s">
        <v>1466</v>
      </c>
    </row>
    <row r="262" hidden="1">
      <c r="A262" s="51" t="s">
        <v>175</v>
      </c>
      <c r="B262" s="43">
        <v>2025.0</v>
      </c>
      <c r="C262" s="43" t="s">
        <v>223</v>
      </c>
      <c r="D262" s="43" t="s">
        <v>170</v>
      </c>
      <c r="E262" s="443"/>
      <c r="F262" s="443"/>
      <c r="H262" s="452">
        <f t="array" ref="H262">IFERROR(
  INDEX('Valor Hora Real y Estimada'!$A$4:$Z$116,
    MATCH(TRIM(CLEAN(C262)), 'Valor Hora Real y Estimada'!$A$4:$A$116, 0),
    MATCH(TEXT(A262,"dd mmm"), 'Valor Hora Real y Estimada'!$A$3:$Z$3, 0) + 1
  ),
  0
)</f>
        <v>0</v>
      </c>
      <c r="I262" s="468">
        <f t="shared" ref="I262:I264" si="25">52500+75000</f>
        <v>127500</v>
      </c>
      <c r="J262" s="453"/>
      <c r="K262" s="106">
        <f>IF(ISBLANK(I262), "", VLOOKUP(A262&amp;" "&amp;B262, 'Info Tipo de Cambio y REM'!$A$24:$B$35, 2, FALSE))</f>
        <v>1440</v>
      </c>
      <c r="L262" s="107">
        <f t="shared" si="2"/>
        <v>88.54166667</v>
      </c>
      <c r="M262" s="43" t="s">
        <v>1467</v>
      </c>
    </row>
    <row r="263" hidden="1">
      <c r="A263" s="51" t="s">
        <v>179</v>
      </c>
      <c r="B263" s="43">
        <v>2025.0</v>
      </c>
      <c r="C263" s="43" t="s">
        <v>223</v>
      </c>
      <c r="D263" s="43" t="s">
        <v>170</v>
      </c>
      <c r="E263" s="443"/>
      <c r="F263" s="443"/>
      <c r="H263" s="452">
        <f t="array" ref="H263">IFERROR(
  INDEX('Valor Hora Real y Estimada'!$A$4:$Z$116,
    MATCH(TRIM(CLEAN(C263)), 'Valor Hora Real y Estimada'!$A$4:$A$116, 0),
    MATCH(TEXT(A263,"dd mmm"), 'Valor Hora Real y Estimada'!$A$3:$Z$3, 0) + 1
  ),
  0
)</f>
        <v>0</v>
      </c>
      <c r="I263" s="468">
        <f t="shared" si="25"/>
        <v>127500</v>
      </c>
      <c r="J263" s="453"/>
      <c r="K263" s="106">
        <f>IF(ISBLANK(I263), "", VLOOKUP(A263&amp;" "&amp;B263, 'Info Tipo de Cambio y REM'!$A$24:$B$35, 2, FALSE))</f>
        <v>1499</v>
      </c>
      <c r="L263" s="107">
        <f t="shared" si="2"/>
        <v>85.05670447</v>
      </c>
      <c r="M263" s="43" t="s">
        <v>1467</v>
      </c>
    </row>
    <row r="264" hidden="1">
      <c r="A264" s="51" t="s">
        <v>182</v>
      </c>
      <c r="B264" s="43">
        <v>2025.0</v>
      </c>
      <c r="C264" s="43" t="s">
        <v>223</v>
      </c>
      <c r="D264" s="43" t="s">
        <v>170</v>
      </c>
      <c r="E264" s="443"/>
      <c r="F264" s="443"/>
      <c r="H264" s="452">
        <f t="array" ref="H264">IFERROR(
  INDEX('Valor Hora Real y Estimada'!$A$4:$Z$116,
    MATCH(TRIM(CLEAN(C264)), 'Valor Hora Real y Estimada'!$A$4:$A$116, 0),
    MATCH(TEXT(A264,"dd mmm"), 'Valor Hora Real y Estimada'!$A$3:$Z$3, 0) + 1
  ),
  0
)</f>
        <v>0</v>
      </c>
      <c r="I264" s="468">
        <f t="shared" si="25"/>
        <v>127500</v>
      </c>
      <c r="J264" s="453"/>
      <c r="K264" s="106">
        <f>IF(ISBLANK(I264), "", VLOOKUP(A264&amp;" "&amp;B264, 'Info Tipo de Cambio y REM'!$A$24:$B$35, 2, FALSE))</f>
        <v>1536</v>
      </c>
      <c r="L264" s="107">
        <f t="shared" si="2"/>
        <v>83.0078125</v>
      </c>
      <c r="M264" s="43" t="s">
        <v>1467</v>
      </c>
    </row>
    <row r="265" hidden="1">
      <c r="A265" s="51" t="s">
        <v>171</v>
      </c>
      <c r="B265" s="43">
        <v>2025.0</v>
      </c>
      <c r="C265" s="43" t="s">
        <v>240</v>
      </c>
      <c r="D265" s="43" t="s">
        <v>121</v>
      </c>
      <c r="E265" s="704" t="s">
        <v>142</v>
      </c>
      <c r="F265" s="443">
        <v>160.0</v>
      </c>
      <c r="H265" s="452">
        <f t="array" ref="H265">IFERROR(
  INDEX(
    'Valor Hora Real y Estimada'!$A$4:$Z$78,
    MATCH(TRIM(CLEAN(C265)), 'Valor Hora Real y Estimada'!$A$4:$A$78, 0),
    MATCH(
      TEXT(A265,"dd mmm")&amp;" "&amp;B265,
      'Valor Hora Real y Estimada'!$A$3:$Z$3,
      0
    ) + 1
  ),
  0
)</f>
        <v>10750</v>
      </c>
      <c r="I265" s="453">
        <f>1720000/2</f>
        <v>860000</v>
      </c>
      <c r="J265" s="453"/>
      <c r="K265" s="106">
        <f>IF(ISBLANK(I265), "", VLOOKUP(A265&amp;" "&amp;B265, 'Info Tipo de Cambio y REM'!$A$24:$B$35, 2, FALSE))</f>
        <v>1445</v>
      </c>
      <c r="L265" s="107">
        <f t="shared" si="2"/>
        <v>595.1557093</v>
      </c>
      <c r="M265" s="43" t="s">
        <v>1466</v>
      </c>
    </row>
    <row r="266" hidden="1">
      <c r="A266" s="51" t="s">
        <v>175</v>
      </c>
      <c r="B266" s="43">
        <v>2025.0</v>
      </c>
      <c r="C266" s="43" t="s">
        <v>240</v>
      </c>
      <c r="D266" s="43" t="s">
        <v>121</v>
      </c>
      <c r="E266" s="704" t="s">
        <v>142</v>
      </c>
      <c r="F266" s="443">
        <v>160.0</v>
      </c>
      <c r="H266" s="452">
        <f t="array" ref="H266">IFERROR(
  INDEX(
    'Valor Hora Real y Estimada'!$A$4:$Z$78,
    MATCH(TRIM(CLEAN(C266)), 'Valor Hora Real y Estimada'!$A$4:$A$78, 0),
    MATCH(
      TEXT(A266,"dd mmm")&amp;" "&amp;B266,
      'Valor Hora Real y Estimada'!$A$3:$Z$3,
      0
    ) + 1
  ),
  0
)</f>
        <v>10750</v>
      </c>
      <c r="I266" s="453">
        <f t="shared" ref="I266:I268" si="26">H266*F266</f>
        <v>1720000</v>
      </c>
      <c r="J266" s="453"/>
      <c r="K266" s="106">
        <f>IF(ISBLANK(I266), "", VLOOKUP(A266&amp;" "&amp;B266, 'Info Tipo de Cambio y REM'!$A$24:$B$35, 2, FALSE))</f>
        <v>1440</v>
      </c>
      <c r="L266" s="107">
        <f t="shared" si="2"/>
        <v>1194.444444</v>
      </c>
      <c r="M266" s="43" t="s">
        <v>1467</v>
      </c>
    </row>
    <row r="267" hidden="1">
      <c r="A267" s="51" t="s">
        <v>179</v>
      </c>
      <c r="B267" s="43">
        <v>2025.0</v>
      </c>
      <c r="C267" s="43" t="s">
        <v>240</v>
      </c>
      <c r="D267" s="43" t="s">
        <v>121</v>
      </c>
      <c r="E267" s="704" t="s">
        <v>142</v>
      </c>
      <c r="F267" s="443">
        <v>160.0</v>
      </c>
      <c r="G267" s="175"/>
      <c r="H267" s="452">
        <f t="array" ref="H267">IFERROR(
  INDEX(
    'Valor Hora Real y Estimada'!$A$4:$Z$78,
    MATCH(TRIM(CLEAN(C267)), 'Valor Hora Real y Estimada'!$A$4:$A$78, 0),
    MATCH(
      TEXT(A267,"dd mmm")&amp;" "&amp;B267,
      'Valor Hora Real y Estimada'!$A$3:$Z$3,
      0
    ) + 1
  ),
  0
)</f>
        <v>10750</v>
      </c>
      <c r="I267" s="453">
        <f t="shared" si="26"/>
        <v>1720000</v>
      </c>
      <c r="J267" s="453"/>
      <c r="K267" s="106">
        <f>IF(ISBLANK(I267), "", VLOOKUP(A267&amp;" "&amp;B267, 'Info Tipo de Cambio y REM'!$A$24:$B$35, 2, FALSE))</f>
        <v>1499</v>
      </c>
      <c r="L267" s="107">
        <f t="shared" si="2"/>
        <v>1147.431621</v>
      </c>
      <c r="M267" s="43" t="s">
        <v>1467</v>
      </c>
    </row>
    <row r="268" hidden="1">
      <c r="A268" s="51" t="s">
        <v>182</v>
      </c>
      <c r="B268" s="43">
        <v>2025.0</v>
      </c>
      <c r="C268" s="43" t="s">
        <v>240</v>
      </c>
      <c r="D268" s="43" t="s">
        <v>121</v>
      </c>
      <c r="E268" s="704" t="s">
        <v>142</v>
      </c>
      <c r="F268" s="443">
        <v>160.0</v>
      </c>
      <c r="H268" s="452">
        <f t="array" ref="H268">IFERROR(
  INDEX(
    'Valor Hora Real y Estimada'!$A$4:$Z$78,
    MATCH(TRIM(CLEAN(C268)), 'Valor Hora Real y Estimada'!$A$4:$A$78, 0),
    MATCH(
      TEXT(A268,"dd mmm")&amp;" "&amp;B268,
      'Valor Hora Real y Estimada'!$A$3:$Z$3,
      0
    ) + 1
  ),
  0
)</f>
        <v>11395</v>
      </c>
      <c r="I268" s="453">
        <f t="shared" si="26"/>
        <v>1823200</v>
      </c>
      <c r="J268" s="453"/>
      <c r="K268" s="106">
        <f>IF(ISBLANK(I268), "", VLOOKUP(A268&amp;" "&amp;B268, 'Info Tipo de Cambio y REM'!$A$24:$B$35, 2, FALSE))</f>
        <v>1536</v>
      </c>
      <c r="L268" s="107">
        <f t="shared" si="2"/>
        <v>1186.979167</v>
      </c>
      <c r="M268" s="43" t="s">
        <v>1467</v>
      </c>
    </row>
    <row r="269">
      <c r="A269" s="51" t="s">
        <v>182</v>
      </c>
      <c r="B269" s="43">
        <v>2025.0</v>
      </c>
      <c r="C269" s="43" t="s">
        <v>240</v>
      </c>
      <c r="D269" s="43" t="s">
        <v>188</v>
      </c>
      <c r="E269" s="704" t="s">
        <v>142</v>
      </c>
      <c r="F269" s="443"/>
      <c r="H269" s="452"/>
      <c r="I269" s="453"/>
      <c r="J269" s="468">
        <v>182.0</v>
      </c>
      <c r="K269" s="106" t="str">
        <f>IF(ISBLANK(I269), "", VLOOKUP(A269&amp;" "&amp;B269, 'Info Tipo de Cambio y REM'!$A$24:$B$35, 2, FALSE))</f>
        <v/>
      </c>
      <c r="L269" s="107">
        <f t="shared" si="2"/>
        <v>182</v>
      </c>
      <c r="M269" s="43" t="s">
        <v>1467</v>
      </c>
    </row>
    <row r="270" hidden="1">
      <c r="A270" s="51" t="s">
        <v>179</v>
      </c>
      <c r="B270" s="43">
        <v>2025.0</v>
      </c>
      <c r="C270" s="43" t="s">
        <v>232</v>
      </c>
      <c r="D270" s="43" t="s">
        <v>121</v>
      </c>
      <c r="E270" s="704" t="s">
        <v>122</v>
      </c>
      <c r="F270" s="443">
        <v>160.0</v>
      </c>
      <c r="H270" s="452">
        <f t="shared" ref="H270:H271" si="27">2300000/160</f>
        <v>14375</v>
      </c>
      <c r="I270" s="453">
        <f t="shared" ref="I270:I273" si="28">H270*F270</f>
        <v>2300000</v>
      </c>
      <c r="J270" s="453"/>
      <c r="K270" s="106">
        <f>IF(ISBLANK(I270), "", VLOOKUP(A270&amp;" "&amp;B270, 'Info Tipo de Cambio y REM'!$A$24:$B$35, 2, FALSE))</f>
        <v>1499</v>
      </c>
      <c r="L270" s="107">
        <f t="shared" si="2"/>
        <v>1534.356237</v>
      </c>
      <c r="M270" s="43" t="s">
        <v>1467</v>
      </c>
    </row>
    <row r="271" hidden="1">
      <c r="A271" s="51" t="s">
        <v>182</v>
      </c>
      <c r="B271" s="43">
        <v>2025.0</v>
      </c>
      <c r="C271" s="43" t="s">
        <v>232</v>
      </c>
      <c r="D271" s="43" t="s">
        <v>121</v>
      </c>
      <c r="E271" s="704" t="s">
        <v>122</v>
      </c>
      <c r="F271" s="443">
        <v>160.0</v>
      </c>
      <c r="H271" s="452">
        <f t="shared" si="27"/>
        <v>14375</v>
      </c>
      <c r="I271" s="453">
        <f t="shared" si="28"/>
        <v>2300000</v>
      </c>
      <c r="J271" s="453"/>
      <c r="K271" s="106">
        <f>IF(ISBLANK(I271), "", VLOOKUP(A271&amp;" "&amp;B271, 'Info Tipo de Cambio y REM'!$A$24:$B$35, 2, FALSE))</f>
        <v>1536</v>
      </c>
      <c r="L271" s="107">
        <f t="shared" si="2"/>
        <v>1497.395833</v>
      </c>
      <c r="M271" s="43" t="s">
        <v>1467</v>
      </c>
    </row>
    <row r="272" hidden="1">
      <c r="A272" s="51" t="s">
        <v>179</v>
      </c>
      <c r="B272" s="43">
        <v>2025.0</v>
      </c>
      <c r="C272" s="43" t="s">
        <v>232</v>
      </c>
      <c r="D272" s="43" t="s">
        <v>121</v>
      </c>
      <c r="E272" s="704" t="s">
        <v>142</v>
      </c>
      <c r="F272" s="443">
        <v>160.0</v>
      </c>
      <c r="G272" s="453"/>
      <c r="H272" s="453">
        <f t="shared" ref="H272:H273" si="29">2000000/160</f>
        <v>12500</v>
      </c>
      <c r="I272" s="453">
        <f t="shared" si="28"/>
        <v>2000000</v>
      </c>
      <c r="J272" s="89"/>
      <c r="K272" s="106">
        <f>IF(ISBLANK(I272), "", VLOOKUP(A272&amp;" "&amp;B272, 'Info Tipo de Cambio y REM'!$A$24:$B$35, 2, FALSE))</f>
        <v>1499</v>
      </c>
      <c r="L272" s="107">
        <f t="shared" si="2"/>
        <v>1334.222815</v>
      </c>
      <c r="M272" s="43" t="s">
        <v>1467</v>
      </c>
    </row>
    <row r="273" hidden="1">
      <c r="A273" s="51" t="s">
        <v>182</v>
      </c>
      <c r="B273" s="43">
        <v>2025.0</v>
      </c>
      <c r="C273" s="43" t="s">
        <v>232</v>
      </c>
      <c r="D273" s="43" t="s">
        <v>121</v>
      </c>
      <c r="E273" s="704" t="s">
        <v>142</v>
      </c>
      <c r="F273" s="443">
        <v>160.0</v>
      </c>
      <c r="G273" s="453"/>
      <c r="H273" s="453">
        <f t="shared" si="29"/>
        <v>12500</v>
      </c>
      <c r="I273" s="453">
        <f t="shared" si="28"/>
        <v>2000000</v>
      </c>
      <c r="J273" s="89"/>
      <c r="K273" s="106">
        <f>IF(ISBLANK(I273), "", VLOOKUP(A273&amp;" "&amp;B273, 'Info Tipo de Cambio y REM'!$A$24:$B$35, 2, FALSE))</f>
        <v>1536</v>
      </c>
      <c r="L273" s="107">
        <f t="shared" si="2"/>
        <v>1302.083333</v>
      </c>
      <c r="M273" s="43" t="s">
        <v>1467</v>
      </c>
    </row>
    <row r="274" hidden="1">
      <c r="A274" s="51" t="s">
        <v>161</v>
      </c>
      <c r="B274" s="43">
        <v>2025.0</v>
      </c>
      <c r="C274" s="43" t="s">
        <v>201</v>
      </c>
      <c r="D274" s="43" t="s">
        <v>201</v>
      </c>
      <c r="E274" s="443"/>
      <c r="F274" s="443"/>
      <c r="G274" s="453"/>
      <c r="H274" s="453"/>
      <c r="I274" s="453"/>
      <c r="J274" s="89">
        <v>919.79</v>
      </c>
      <c r="K274" s="106" t="str">
        <f>IF(ISBLANK(I274), "", VLOOKUP(A274&amp;" "&amp;B274, 'Info Tipo de Cambio y REM'!$A$24:$B$35, 2, FALSE))</f>
        <v/>
      </c>
      <c r="L274" s="107">
        <f t="shared" si="2"/>
        <v>919.79</v>
      </c>
      <c r="M274" s="43" t="s">
        <v>1466</v>
      </c>
    </row>
    <row r="275" hidden="1">
      <c r="A275" s="51" t="s">
        <v>166</v>
      </c>
      <c r="B275" s="43">
        <v>2025.0</v>
      </c>
      <c r="C275" s="43" t="s">
        <v>201</v>
      </c>
      <c r="D275" s="43" t="s">
        <v>201</v>
      </c>
      <c r="E275" s="443"/>
      <c r="F275" s="443"/>
      <c r="G275" s="453"/>
      <c r="H275" s="453"/>
      <c r="I275" s="453"/>
      <c r="J275" s="453">
        <f>67003*0.01</f>
        <v>670.03</v>
      </c>
      <c r="K275" s="106" t="str">
        <f>IF(ISBLANK(I275), "", VLOOKUP(A275&amp;" "&amp;B275, 'Info Tipo de Cambio y REM'!$A$24:$B$35, 2, FALSE))</f>
        <v/>
      </c>
      <c r="L275" s="107">
        <f t="shared" si="2"/>
        <v>670.03</v>
      </c>
      <c r="M275" s="43" t="s">
        <v>1466</v>
      </c>
    </row>
    <row r="276" hidden="1">
      <c r="A276" s="51" t="s">
        <v>171</v>
      </c>
      <c r="B276" s="43">
        <v>2025.0</v>
      </c>
      <c r="C276" s="43" t="s">
        <v>201</v>
      </c>
      <c r="D276" s="43" t="s">
        <v>201</v>
      </c>
      <c r="E276" s="443"/>
      <c r="F276" s="443"/>
      <c r="G276" s="453"/>
      <c r="H276" s="453"/>
      <c r="I276" s="453"/>
      <c r="J276" s="468">
        <v>500.0</v>
      </c>
      <c r="K276" s="106" t="str">
        <f>IF(ISBLANK(I276), "", VLOOKUP(A276&amp;" "&amp;B276, 'Info Tipo de Cambio y REM'!$A$24:$B$35, 2, FALSE))</f>
        <v/>
      </c>
      <c r="L276" s="107">
        <f t="shared" si="2"/>
        <v>500</v>
      </c>
      <c r="M276" s="43" t="s">
        <v>1466</v>
      </c>
    </row>
    <row r="277" hidden="1">
      <c r="A277" s="51" t="s">
        <v>175</v>
      </c>
      <c r="B277" s="43">
        <v>2025.0</v>
      </c>
      <c r="C277" s="43" t="s">
        <v>201</v>
      </c>
      <c r="D277" s="43" t="s">
        <v>201</v>
      </c>
      <c r="E277" s="443"/>
      <c r="F277" s="443"/>
      <c r="G277" s="453"/>
      <c r="H277" s="453"/>
      <c r="I277" s="453"/>
      <c r="J277" s="468">
        <v>500.0</v>
      </c>
      <c r="K277" s="106" t="str">
        <f>IF(ISBLANK(I277), "", VLOOKUP(A277&amp;" "&amp;B277, 'Info Tipo de Cambio y REM'!$A$24:$B$35, 2, FALSE))</f>
        <v/>
      </c>
      <c r="L277" s="107">
        <f t="shared" si="2"/>
        <v>500</v>
      </c>
      <c r="M277" s="43" t="s">
        <v>1467</v>
      </c>
    </row>
    <row r="278" hidden="1">
      <c r="A278" s="51" t="s">
        <v>179</v>
      </c>
      <c r="B278" s="43">
        <v>2025.0</v>
      </c>
      <c r="C278" s="43" t="s">
        <v>201</v>
      </c>
      <c r="D278" s="43" t="s">
        <v>201</v>
      </c>
      <c r="E278" s="443"/>
      <c r="F278" s="443"/>
      <c r="G278" s="453"/>
      <c r="H278" s="453"/>
      <c r="I278" s="453"/>
      <c r="J278" s="468">
        <v>500.0</v>
      </c>
      <c r="K278" s="106" t="str">
        <f>IF(ISBLANK(I278), "", VLOOKUP(A278&amp;" "&amp;B278, 'Info Tipo de Cambio y REM'!$A$24:$B$35, 2, FALSE))</f>
        <v/>
      </c>
      <c r="L278" s="107">
        <f t="shared" si="2"/>
        <v>500</v>
      </c>
      <c r="M278" s="43" t="s">
        <v>1467</v>
      </c>
    </row>
    <row r="279" hidden="1">
      <c r="A279" s="51" t="s">
        <v>182</v>
      </c>
      <c r="B279" s="43">
        <v>2025.0</v>
      </c>
      <c r="C279" s="43" t="s">
        <v>201</v>
      </c>
      <c r="D279" s="43" t="s">
        <v>201</v>
      </c>
      <c r="E279" s="443"/>
      <c r="F279" s="443"/>
      <c r="G279" s="453"/>
      <c r="H279" s="453"/>
      <c r="I279" s="453"/>
      <c r="J279" s="468">
        <v>500.0</v>
      </c>
      <c r="K279" s="106" t="str">
        <f>IF(ISBLANK(I279), "", VLOOKUP(A279&amp;" "&amp;B279, 'Info Tipo de Cambio y REM'!$A$24:$B$35, 2, FALSE))</f>
        <v/>
      </c>
      <c r="L279" s="107">
        <f t="shared" si="2"/>
        <v>500</v>
      </c>
      <c r="M279" s="43" t="s">
        <v>1467</v>
      </c>
    </row>
    <row r="280" hidden="1">
      <c r="A280" s="51" t="s">
        <v>171</v>
      </c>
      <c r="B280" s="43">
        <v>2025.0</v>
      </c>
      <c r="C280" s="43" t="s">
        <v>225</v>
      </c>
      <c r="D280" s="43" t="s">
        <v>140</v>
      </c>
      <c r="E280" s="443"/>
      <c r="F280" s="443"/>
      <c r="G280" s="453"/>
      <c r="H280" s="453"/>
      <c r="I280" s="244">
        <v>72000.0</v>
      </c>
      <c r="J280" s="453"/>
      <c r="K280" s="106">
        <f>IF(ISBLANK(I280), "", VLOOKUP(A280&amp;" "&amp;B280, 'Info Tipo de Cambio y REM'!$A$24:$B$35, 2, FALSE))</f>
        <v>1445</v>
      </c>
      <c r="L280" s="107">
        <f t="shared" si="2"/>
        <v>49.82698962</v>
      </c>
      <c r="M280" s="43" t="s">
        <v>1466</v>
      </c>
    </row>
    <row r="281" hidden="1">
      <c r="A281" s="51" t="s">
        <v>175</v>
      </c>
      <c r="B281" s="43">
        <v>2025.0</v>
      </c>
      <c r="C281" s="43" t="s">
        <v>225</v>
      </c>
      <c r="D281" s="43" t="s">
        <v>140</v>
      </c>
      <c r="E281" s="443"/>
      <c r="F281" s="443"/>
      <c r="G281" s="453"/>
      <c r="H281" s="453"/>
      <c r="I281" s="244">
        <v>72000.0</v>
      </c>
      <c r="J281" s="453"/>
      <c r="K281" s="106">
        <f>IF(ISBLANK(I281), "", VLOOKUP(A281&amp;" "&amp;B281, 'Info Tipo de Cambio y REM'!$A$24:$B$35, 2, FALSE))</f>
        <v>1440</v>
      </c>
      <c r="L281" s="107">
        <f t="shared" si="2"/>
        <v>50</v>
      </c>
      <c r="M281" s="43" t="s">
        <v>1467</v>
      </c>
    </row>
    <row r="282" hidden="1">
      <c r="A282" s="51" t="s">
        <v>179</v>
      </c>
      <c r="B282" s="43">
        <v>2025.0</v>
      </c>
      <c r="C282" s="43" t="s">
        <v>225</v>
      </c>
      <c r="D282" s="43" t="s">
        <v>140</v>
      </c>
      <c r="E282" s="443"/>
      <c r="F282" s="443"/>
      <c r="G282" s="468"/>
      <c r="H282" s="468"/>
      <c r="I282" s="244">
        <v>72000.0</v>
      </c>
      <c r="J282" s="453"/>
      <c r="K282" s="106">
        <f>IF(ISBLANK(I282), "", VLOOKUP(A282&amp;" "&amp;B282, 'Info Tipo de Cambio y REM'!$A$24:$B$35, 2, FALSE))</f>
        <v>1499</v>
      </c>
      <c r="L282" s="107">
        <f t="shared" si="2"/>
        <v>48.03202135</v>
      </c>
      <c r="M282" s="43" t="s">
        <v>1467</v>
      </c>
    </row>
    <row r="283" hidden="1">
      <c r="A283" s="51" t="s">
        <v>182</v>
      </c>
      <c r="B283" s="43">
        <v>2025.0</v>
      </c>
      <c r="C283" s="43" t="s">
        <v>225</v>
      </c>
      <c r="D283" s="43" t="s">
        <v>140</v>
      </c>
      <c r="E283" s="443"/>
      <c r="F283" s="443"/>
      <c r="G283" s="453"/>
      <c r="H283" s="453"/>
      <c r="I283" s="244">
        <v>72000.0</v>
      </c>
      <c r="J283" s="453"/>
      <c r="K283" s="106">
        <f>IF(ISBLANK(I283), "", VLOOKUP(A283&amp;" "&amp;B283, 'Info Tipo de Cambio y REM'!$A$24:$B$35, 2, FALSE))</f>
        <v>1536</v>
      </c>
      <c r="L283" s="107">
        <f t="shared" si="2"/>
        <v>46.875</v>
      </c>
      <c r="M283" s="43" t="s">
        <v>1467</v>
      </c>
    </row>
    <row r="284" hidden="1">
      <c r="A284" s="51" t="s">
        <v>171</v>
      </c>
      <c r="B284" s="43">
        <v>2025.0</v>
      </c>
      <c r="C284" s="43" t="s">
        <v>153</v>
      </c>
      <c r="D284" s="43" t="s">
        <v>153</v>
      </c>
      <c r="E284" s="443"/>
      <c r="F284" s="443"/>
      <c r="G284" s="453"/>
      <c r="H284" s="453"/>
      <c r="I284" s="453"/>
      <c r="J284" s="107">
        <v>15438.0</v>
      </c>
      <c r="K284" s="106" t="str">
        <f>IF(ISBLANK(I284), "", VLOOKUP(A284&amp;" "&amp;B284, 'Info Tipo de Cambio y REM'!$A$24:$B$35, 2, FALSE))</f>
        <v/>
      </c>
      <c r="L284" s="107">
        <f t="shared" si="2"/>
        <v>15438</v>
      </c>
      <c r="M284" s="43" t="s">
        <v>1466</v>
      </c>
      <c r="O284" s="107"/>
      <c r="P284" s="107"/>
      <c r="Q284" s="107"/>
      <c r="R284" s="107"/>
    </row>
    <row r="285" hidden="1">
      <c r="A285" s="51" t="s">
        <v>175</v>
      </c>
      <c r="B285" s="43">
        <v>2025.0</v>
      </c>
      <c r="C285" s="43" t="s">
        <v>153</v>
      </c>
      <c r="D285" s="43" t="s">
        <v>153</v>
      </c>
      <c r="E285" s="443"/>
      <c r="F285" s="443"/>
      <c r="G285" s="453"/>
      <c r="H285" s="453"/>
      <c r="I285" s="453"/>
      <c r="J285" s="107">
        <v>5517.0</v>
      </c>
      <c r="K285" s="106" t="str">
        <f>IF(ISBLANK(I285), "", VLOOKUP(A285&amp;" "&amp;B285, 'Info Tipo de Cambio y REM'!$A$24:$B$35, 2, FALSE))</f>
        <v/>
      </c>
      <c r="L285" s="107">
        <f t="shared" si="2"/>
        <v>5517</v>
      </c>
      <c r="M285" s="43" t="s">
        <v>1467</v>
      </c>
    </row>
    <row r="286" hidden="1">
      <c r="A286" s="51" t="s">
        <v>179</v>
      </c>
      <c r="B286" s="43">
        <v>2025.0</v>
      </c>
      <c r="C286" s="43" t="s">
        <v>153</v>
      </c>
      <c r="D286" s="43" t="s">
        <v>153</v>
      </c>
      <c r="E286" s="443"/>
      <c r="F286" s="443"/>
      <c r="G286" s="453"/>
      <c r="H286" s="453"/>
      <c r="I286" s="453"/>
      <c r="J286" s="107">
        <v>5517.0</v>
      </c>
      <c r="K286" s="106" t="str">
        <f>IF(ISBLANK(I286), "", VLOOKUP(A286&amp;" "&amp;B286, 'Info Tipo de Cambio y REM'!$A$24:$B$35, 2, FALSE))</f>
        <v/>
      </c>
      <c r="L286" s="107">
        <f t="shared" si="2"/>
        <v>5517</v>
      </c>
      <c r="M286" s="43" t="s">
        <v>1467</v>
      </c>
    </row>
    <row r="287" hidden="1">
      <c r="A287" s="51" t="s">
        <v>182</v>
      </c>
      <c r="B287" s="43">
        <v>2025.0</v>
      </c>
      <c r="C287" s="43" t="s">
        <v>153</v>
      </c>
      <c r="D287" s="43" t="s">
        <v>153</v>
      </c>
      <c r="E287" s="443"/>
      <c r="F287" s="443"/>
      <c r="G287" s="453"/>
      <c r="H287" s="453"/>
      <c r="I287" s="453"/>
      <c r="J287" s="107">
        <v>5517.0</v>
      </c>
      <c r="K287" s="106" t="str">
        <f>IF(ISBLANK(I287), "", VLOOKUP(A287&amp;" "&amp;B287, 'Info Tipo de Cambio y REM'!$A$24:$B$35, 2, FALSE))</f>
        <v/>
      </c>
      <c r="L287" s="107">
        <f t="shared" si="2"/>
        <v>5517</v>
      </c>
      <c r="M287" s="43" t="s">
        <v>1467</v>
      </c>
    </row>
    <row r="288">
      <c r="A288" s="51"/>
      <c r="B288" s="102"/>
      <c r="C288" s="102"/>
      <c r="D288" s="102"/>
      <c r="E288" s="443"/>
      <c r="F288" s="443"/>
      <c r="G288" s="453"/>
      <c r="H288" s="453"/>
      <c r="I288" s="453"/>
      <c r="J288" s="453"/>
      <c r="K288" s="106" t="str">
        <f>IF(ISBLANK(I288), "", VLOOKUP(A288&amp;" "&amp;B288, 'Info Tipo de Cambio y REM'!$A$24:$B$35, 2, FALSE))</f>
        <v/>
      </c>
      <c r="L288" s="107" t="str">
        <f t="shared" si="2"/>
        <v/>
      </c>
      <c r="M288" s="102"/>
    </row>
    <row r="289">
      <c r="A289" s="51"/>
      <c r="B289" s="102"/>
      <c r="C289" s="102"/>
      <c r="D289" s="102"/>
      <c r="E289" s="443"/>
      <c r="F289" s="443"/>
      <c r="G289" s="453"/>
      <c r="H289" s="453"/>
      <c r="I289" s="453"/>
      <c r="J289" s="453"/>
      <c r="K289" s="106" t="str">
        <f>IF(ISBLANK(I289), "", VLOOKUP(A289&amp;" "&amp;B289, 'Info Tipo de Cambio y REM'!$A$24:$B$35, 2, FALSE))</f>
        <v/>
      </c>
      <c r="L289" s="107" t="str">
        <f t="shared" si="2"/>
        <v/>
      </c>
      <c r="M289" s="102"/>
    </row>
    <row r="290">
      <c r="A290" s="51"/>
      <c r="B290" s="102"/>
      <c r="C290" s="102"/>
      <c r="D290" s="102"/>
      <c r="E290" s="443"/>
      <c r="F290" s="443"/>
      <c r="G290" s="453"/>
      <c r="H290" s="453"/>
      <c r="I290" s="453"/>
      <c r="J290" s="453"/>
      <c r="K290" s="106" t="str">
        <f>IF(ISBLANK(I290), "", VLOOKUP(A290&amp;" "&amp;B290, 'Info Tipo de Cambio y REM'!$A$24:$B$35, 2, FALSE))</f>
        <v/>
      </c>
      <c r="L290" s="107" t="str">
        <f t="shared" si="2"/>
        <v/>
      </c>
      <c r="M290" s="102"/>
    </row>
    <row r="291">
      <c r="A291" s="51"/>
      <c r="B291" s="102"/>
      <c r="C291" s="102"/>
      <c r="D291" s="102"/>
      <c r="E291" s="443"/>
      <c r="F291" s="443"/>
      <c r="G291" s="453"/>
      <c r="H291" s="453"/>
      <c r="I291" s="453"/>
      <c r="J291" s="453"/>
      <c r="K291" s="106" t="str">
        <f>IF(ISBLANK(I291), "", VLOOKUP(A291&amp;" "&amp;B291, 'Info Tipo de Cambio y REM'!$A$24:$B$35, 2, FALSE))</f>
        <v/>
      </c>
      <c r="L291" s="107" t="str">
        <f t="shared" si="2"/>
        <v/>
      </c>
      <c r="M291" s="102"/>
    </row>
    <row r="292">
      <c r="A292" s="51"/>
      <c r="B292" s="102"/>
      <c r="C292" s="102"/>
      <c r="D292" s="102"/>
      <c r="E292" s="443"/>
      <c r="F292" s="443"/>
      <c r="G292" s="453"/>
      <c r="H292" s="453"/>
      <c r="I292" s="453"/>
      <c r="J292" s="453"/>
      <c r="K292" s="106" t="str">
        <f>IF(ISBLANK(I292), "", VLOOKUP(A292&amp;" "&amp;B292, 'Info Tipo de Cambio y REM'!$A$24:$B$35, 2, FALSE))</f>
        <v/>
      </c>
      <c r="L292" s="107" t="str">
        <f t="shared" si="2"/>
        <v/>
      </c>
      <c r="M292" s="102"/>
    </row>
    <row r="293">
      <c r="A293" s="44"/>
      <c r="B293" s="102"/>
      <c r="C293" s="102"/>
      <c r="D293" s="102"/>
      <c r="E293" s="443"/>
      <c r="F293" s="443"/>
      <c r="G293" s="453"/>
      <c r="H293" s="453"/>
      <c r="I293" s="453"/>
      <c r="J293" s="453"/>
      <c r="K293" s="106" t="str">
        <f>IF(ISBLANK(I293), "", VLOOKUP(A293&amp;" "&amp;B293, 'Info Tipo de Cambio y REM'!$A$24:$B$35, 2, FALSE))</f>
        <v/>
      </c>
      <c r="L293" s="107" t="str">
        <f t="shared" si="2"/>
        <v/>
      </c>
      <c r="M293" s="102"/>
    </row>
    <row r="294">
      <c r="A294" s="44"/>
      <c r="B294" s="102"/>
      <c r="C294" s="102"/>
      <c r="D294" s="102"/>
      <c r="E294" s="443"/>
      <c r="F294" s="443"/>
      <c r="G294" s="453"/>
      <c r="H294" s="453"/>
      <c r="I294" s="453"/>
      <c r="J294" s="453"/>
      <c r="K294" s="106" t="str">
        <f>IF(ISBLANK(I294), "", VLOOKUP(A294&amp;" "&amp;B294, 'Info Tipo de Cambio y REM'!$A$24:$B$35, 2, FALSE))</f>
        <v/>
      </c>
      <c r="L294" s="107" t="str">
        <f t="shared" si="2"/>
        <v/>
      </c>
      <c r="M294" s="102"/>
    </row>
    <row r="295">
      <c r="A295" s="44"/>
      <c r="B295" s="102"/>
      <c r="C295" s="102"/>
      <c r="D295" s="102"/>
      <c r="E295" s="443"/>
      <c r="F295" s="443"/>
      <c r="G295" s="453"/>
      <c r="H295" s="453"/>
      <c r="I295" s="453"/>
      <c r="J295" s="453"/>
      <c r="K295" s="106" t="str">
        <f>IF(ISBLANK(I295), "", VLOOKUP(A295&amp;" "&amp;B295, 'Info Tipo de Cambio y REM'!$A$24:$B$35, 2, FALSE))</f>
        <v/>
      </c>
      <c r="L295" s="107" t="str">
        <f t="shared" si="2"/>
        <v/>
      </c>
      <c r="M295" s="102"/>
    </row>
    <row r="296">
      <c r="A296" s="44"/>
      <c r="B296" s="102"/>
      <c r="C296" s="102"/>
      <c r="D296" s="102"/>
      <c r="E296" s="443"/>
      <c r="F296" s="443"/>
      <c r="G296" s="453"/>
      <c r="H296" s="453"/>
      <c r="I296" s="453"/>
      <c r="J296" s="453"/>
      <c r="K296" s="106" t="str">
        <f>IF(ISBLANK(I296), "", VLOOKUP(A296&amp;" "&amp;B296, 'Info Tipo de Cambio y REM'!$A$24:$B$35, 2, FALSE))</f>
        <v/>
      </c>
      <c r="L296" s="107" t="str">
        <f t="shared" si="2"/>
        <v/>
      </c>
      <c r="M296" s="102"/>
    </row>
    <row r="297">
      <c r="A297" s="44"/>
      <c r="B297" s="102"/>
      <c r="C297" s="102"/>
      <c r="D297" s="102"/>
      <c r="E297" s="443"/>
      <c r="F297" s="443"/>
      <c r="G297" s="453"/>
      <c r="H297" s="453"/>
      <c r="I297" s="453"/>
      <c r="J297" s="453"/>
      <c r="K297" s="106" t="str">
        <f>IF(ISBLANK(I297), "", VLOOKUP(A297&amp;" "&amp;B297, 'Info Tipo de Cambio y REM'!$A$24:$B$35, 2, FALSE))</f>
        <v/>
      </c>
      <c r="L297" s="107" t="str">
        <f t="shared" si="2"/>
        <v/>
      </c>
      <c r="M297" s="102"/>
    </row>
    <row r="298">
      <c r="A298" s="44"/>
      <c r="B298" s="102"/>
      <c r="C298" s="102"/>
      <c r="D298" s="102"/>
      <c r="E298" s="443"/>
      <c r="F298" s="443"/>
      <c r="G298" s="453"/>
      <c r="H298" s="453"/>
      <c r="I298" s="453"/>
      <c r="J298" s="453"/>
      <c r="K298" s="106" t="str">
        <f>IF(ISBLANK(I298), "", VLOOKUP(A298&amp;" "&amp;B298, 'Info Tipo de Cambio y REM'!$A$24:$B$35, 2, FALSE))</f>
        <v/>
      </c>
      <c r="L298" s="107" t="str">
        <f t="shared" si="2"/>
        <v/>
      </c>
      <c r="M298" s="102"/>
    </row>
    <row r="299">
      <c r="A299" s="44"/>
      <c r="B299" s="102"/>
      <c r="C299" s="102"/>
      <c r="D299" s="102"/>
      <c r="E299" s="443"/>
      <c r="F299" s="443"/>
      <c r="G299" s="453"/>
      <c r="H299" s="453"/>
      <c r="I299" s="453"/>
      <c r="J299" s="453"/>
      <c r="K299" s="106" t="str">
        <f>IF(ISBLANK(I299), "", VLOOKUP(A299&amp;" "&amp;B299, 'Info Tipo de Cambio y REM'!$A$24:$B$35, 2, FALSE))</f>
        <v/>
      </c>
      <c r="L299" s="107" t="str">
        <f t="shared" si="2"/>
        <v/>
      </c>
      <c r="M299" s="102"/>
    </row>
    <row r="300">
      <c r="A300" s="44"/>
      <c r="B300" s="102"/>
      <c r="C300" s="102"/>
      <c r="D300" s="102"/>
      <c r="E300" s="443"/>
      <c r="F300" s="443"/>
      <c r="G300" s="453"/>
      <c r="H300" s="453"/>
      <c r="I300" s="453"/>
      <c r="J300" s="453"/>
      <c r="K300" s="106" t="str">
        <f>IF(ISBLANK(I300), "", VLOOKUP(A300&amp;" "&amp;B300, 'Info Tipo de Cambio y REM'!$A$24:$B$35, 2, FALSE))</f>
        <v/>
      </c>
      <c r="L300" s="107" t="str">
        <f t="shared" si="2"/>
        <v/>
      </c>
      <c r="M300" s="102"/>
    </row>
    <row r="301">
      <c r="A301" s="44"/>
      <c r="B301" s="102"/>
      <c r="C301" s="102"/>
      <c r="D301" s="102"/>
      <c r="E301" s="443"/>
      <c r="F301" s="443"/>
      <c r="G301" s="453"/>
      <c r="H301" s="453"/>
      <c r="I301" s="453"/>
      <c r="J301" s="453"/>
      <c r="K301" s="106" t="str">
        <f>IF(ISBLANK(I301), "", VLOOKUP(A301&amp;" "&amp;B301, 'Info Tipo de Cambio y REM'!$A$24:$B$35, 2, FALSE))</f>
        <v/>
      </c>
      <c r="L301" s="107" t="str">
        <f t="shared" si="2"/>
        <v/>
      </c>
      <c r="M301" s="102"/>
    </row>
    <row r="302">
      <c r="A302" s="44"/>
      <c r="B302" s="102"/>
      <c r="C302" s="102"/>
      <c r="D302" s="102"/>
      <c r="E302" s="443"/>
      <c r="F302" s="443"/>
      <c r="G302" s="453"/>
      <c r="H302" s="453"/>
      <c r="I302" s="453"/>
      <c r="J302" s="453"/>
      <c r="K302" s="106" t="str">
        <f>IF(ISBLANK(I302), "", VLOOKUP(A302&amp;" "&amp;B302, 'Info Tipo de Cambio y REM'!$A$24:$B$35, 2, FALSE))</f>
        <v/>
      </c>
      <c r="L302" s="107" t="str">
        <f t="shared" si="2"/>
        <v/>
      </c>
      <c r="M302" s="102"/>
    </row>
    <row r="303">
      <c r="A303" s="44"/>
      <c r="B303" s="102"/>
      <c r="C303" s="102"/>
      <c r="D303" s="102"/>
      <c r="E303" s="443"/>
      <c r="F303" s="443"/>
      <c r="G303" s="453"/>
      <c r="H303" s="453"/>
      <c r="I303" s="453"/>
      <c r="J303" s="453"/>
      <c r="K303" s="106" t="str">
        <f>IF(ISBLANK(I303), "", VLOOKUP(A303&amp;" "&amp;B303, 'Info Tipo de Cambio y REM'!$A$24:$B$35, 2, FALSE))</f>
        <v/>
      </c>
      <c r="L303" s="107" t="str">
        <f t="shared" si="2"/>
        <v/>
      </c>
      <c r="M303" s="102"/>
    </row>
    <row r="304">
      <c r="A304" s="44"/>
      <c r="B304" s="102"/>
      <c r="C304" s="102"/>
      <c r="D304" s="102"/>
      <c r="E304" s="443"/>
      <c r="F304" s="443"/>
      <c r="G304" s="453"/>
      <c r="H304" s="453"/>
      <c r="I304" s="453"/>
      <c r="J304" s="453"/>
      <c r="K304" s="106" t="str">
        <f>IF(ISBLANK(I304), "", VLOOKUP(A304&amp;" "&amp;B304, 'Info Tipo de Cambio y REM'!$A$24:$B$35, 2, FALSE))</f>
        <v/>
      </c>
      <c r="L304" s="107" t="str">
        <f t="shared" si="2"/>
        <v/>
      </c>
      <c r="M304" s="102"/>
    </row>
    <row r="305">
      <c r="A305" s="44"/>
      <c r="B305" s="102"/>
      <c r="C305" s="102"/>
      <c r="D305" s="102"/>
      <c r="E305" s="443"/>
      <c r="F305" s="443"/>
      <c r="G305" s="453"/>
      <c r="H305" s="453"/>
      <c r="I305" s="453"/>
      <c r="J305" s="453"/>
      <c r="K305" s="106" t="str">
        <f>IF(ISBLANK(I305), "", VLOOKUP(A305&amp;" "&amp;B305, 'Info Tipo de Cambio y REM'!$A$24:$B$35, 2, FALSE))</f>
        <v/>
      </c>
      <c r="L305" s="107" t="str">
        <f t="shared" si="2"/>
        <v/>
      </c>
      <c r="M305" s="102"/>
    </row>
    <row r="306">
      <c r="A306" s="44"/>
      <c r="B306" s="102"/>
      <c r="C306" s="102"/>
      <c r="D306" s="102"/>
      <c r="E306" s="443"/>
      <c r="F306" s="443"/>
      <c r="G306" s="453"/>
      <c r="H306" s="453"/>
      <c r="I306" s="453"/>
      <c r="J306" s="453"/>
      <c r="K306" s="106" t="str">
        <f>IF(ISBLANK(I306), "", VLOOKUP(A306&amp;" "&amp;B306, 'Info Tipo de Cambio y REM'!$A$24:$B$35, 2, FALSE))</f>
        <v/>
      </c>
      <c r="L306" s="107" t="str">
        <f t="shared" si="2"/>
        <v/>
      </c>
      <c r="M306" s="102"/>
    </row>
    <row r="307">
      <c r="A307" s="44"/>
      <c r="B307" s="102"/>
      <c r="C307" s="102"/>
      <c r="D307" s="102"/>
      <c r="E307" s="443"/>
      <c r="F307" s="443"/>
      <c r="G307" s="453"/>
      <c r="H307" s="453"/>
      <c r="I307" s="453"/>
      <c r="J307" s="453"/>
      <c r="K307" s="106" t="str">
        <f>IF(ISBLANK(I307), "", VLOOKUP(A307&amp;" "&amp;B307, 'Info Tipo de Cambio y REM'!$A$24:$B$35, 2, FALSE))</f>
        <v/>
      </c>
      <c r="L307" s="107" t="str">
        <f t="shared" si="2"/>
        <v/>
      </c>
      <c r="M307" s="102"/>
    </row>
    <row r="308">
      <c r="A308" s="44"/>
      <c r="B308" s="102"/>
      <c r="C308" s="102"/>
      <c r="D308" s="102"/>
      <c r="E308" s="443"/>
      <c r="F308" s="443"/>
      <c r="G308" s="453"/>
      <c r="H308" s="453"/>
      <c r="I308" s="453"/>
      <c r="J308" s="453"/>
      <c r="K308" s="106" t="str">
        <f>IF(ISBLANK(I308), "", VLOOKUP(A308&amp;" "&amp;B308, 'Info Tipo de Cambio y REM'!$A$24:$B$35, 2, FALSE))</f>
        <v/>
      </c>
      <c r="L308" s="107" t="str">
        <f t="shared" si="2"/>
        <v/>
      </c>
      <c r="M308" s="102"/>
    </row>
    <row r="309">
      <c r="A309" s="44"/>
      <c r="B309" s="102"/>
      <c r="C309" s="102"/>
      <c r="D309" s="102"/>
      <c r="E309" s="443"/>
      <c r="F309" s="443"/>
      <c r="G309" s="453"/>
      <c r="H309" s="453"/>
      <c r="I309" s="453"/>
      <c r="J309" s="453"/>
      <c r="K309" s="106" t="str">
        <f>IF(ISBLANK(I309), "", VLOOKUP(A309&amp;" "&amp;B309, 'Info Tipo de Cambio y REM'!$A$24:$B$35, 2, FALSE))</f>
        <v/>
      </c>
      <c r="L309" s="107" t="str">
        <f t="shared" si="2"/>
        <v/>
      </c>
      <c r="M309" s="102"/>
    </row>
    <row r="310">
      <c r="A310" s="44"/>
      <c r="B310" s="102"/>
      <c r="C310" s="102"/>
      <c r="D310" s="102"/>
      <c r="E310" s="443"/>
      <c r="F310" s="443"/>
      <c r="G310" s="453"/>
      <c r="H310" s="453"/>
      <c r="I310" s="453"/>
      <c r="J310" s="453"/>
      <c r="K310" s="106" t="str">
        <f>IF(ISBLANK(I310), "", VLOOKUP(A310&amp;" "&amp;B310, 'Info Tipo de Cambio y REM'!$A$24:$B$35, 2, FALSE))</f>
        <v/>
      </c>
      <c r="L310" s="107" t="str">
        <f t="shared" si="2"/>
        <v/>
      </c>
      <c r="M310" s="102"/>
    </row>
    <row r="311">
      <c r="A311" s="44"/>
      <c r="B311" s="102"/>
      <c r="C311" s="102"/>
      <c r="D311" s="102"/>
      <c r="E311" s="443"/>
      <c r="F311" s="443"/>
      <c r="G311" s="453"/>
      <c r="H311" s="453"/>
      <c r="I311" s="453"/>
      <c r="J311" s="453"/>
      <c r="K311" s="106" t="str">
        <f>IF(ISBLANK(I311), "", VLOOKUP(A311&amp;" "&amp;B311, 'Info Tipo de Cambio y REM'!$A$24:$B$35, 2, FALSE))</f>
        <v/>
      </c>
      <c r="L311" s="107" t="str">
        <f t="shared" si="2"/>
        <v/>
      </c>
      <c r="M311" s="102"/>
    </row>
    <row r="312">
      <c r="A312" s="44"/>
      <c r="B312" s="102"/>
      <c r="C312" s="102"/>
      <c r="D312" s="102"/>
      <c r="E312" s="443"/>
      <c r="F312" s="443"/>
      <c r="G312" s="453"/>
      <c r="H312" s="453"/>
      <c r="I312" s="453"/>
      <c r="J312" s="453"/>
      <c r="K312" s="106" t="str">
        <f>IF(ISBLANK(I312), "", VLOOKUP(A312&amp;" "&amp;B312, 'Info Tipo de Cambio y REM'!$A$24:$B$35, 2, FALSE))</f>
        <v/>
      </c>
      <c r="L312" s="107" t="str">
        <f t="shared" si="2"/>
        <v/>
      </c>
      <c r="M312" s="102"/>
    </row>
    <row r="313">
      <c r="A313" s="44"/>
      <c r="B313" s="102"/>
      <c r="C313" s="102"/>
      <c r="D313" s="102"/>
      <c r="E313" s="443"/>
      <c r="F313" s="443"/>
      <c r="G313" s="453"/>
      <c r="H313" s="453"/>
      <c r="I313" s="453"/>
      <c r="J313" s="453"/>
      <c r="K313" s="106" t="str">
        <f>IF(ISBLANK(I313), "", VLOOKUP(A313&amp;" "&amp;B313, 'Info Tipo de Cambio y REM'!$A$24:$B$35, 2, FALSE))</f>
        <v/>
      </c>
      <c r="L313" s="107" t="str">
        <f t="shared" si="2"/>
        <v/>
      </c>
      <c r="M313" s="102"/>
    </row>
    <row r="314">
      <c r="A314" s="44"/>
      <c r="B314" s="102"/>
      <c r="C314" s="102"/>
      <c r="D314" s="102"/>
      <c r="E314" s="443"/>
      <c r="F314" s="443"/>
      <c r="G314" s="453"/>
      <c r="H314" s="453"/>
      <c r="I314" s="453"/>
      <c r="J314" s="453"/>
      <c r="K314" s="106" t="str">
        <f>IF(ISBLANK(I314), "", VLOOKUP(A314&amp;" "&amp;B314, 'Info Tipo de Cambio y REM'!$A$24:$B$35, 2, FALSE))</f>
        <v/>
      </c>
      <c r="L314" s="107" t="str">
        <f t="shared" si="2"/>
        <v/>
      </c>
      <c r="M314" s="102"/>
    </row>
    <row r="315">
      <c r="A315" s="44"/>
      <c r="B315" s="102"/>
      <c r="C315" s="102"/>
      <c r="D315" s="102"/>
      <c r="E315" s="443"/>
      <c r="F315" s="443"/>
      <c r="G315" s="453"/>
      <c r="H315" s="453"/>
      <c r="I315" s="453"/>
      <c r="J315" s="453"/>
      <c r="K315" s="106" t="str">
        <f>IF(ISBLANK(I315), "", VLOOKUP(A315&amp;" "&amp;B315, 'Info Tipo de Cambio y REM'!$A$24:$B$35, 2, FALSE))</f>
        <v/>
      </c>
      <c r="L315" s="107" t="str">
        <f t="shared" si="2"/>
        <v/>
      </c>
      <c r="M315" s="102"/>
    </row>
    <row r="316">
      <c r="A316" s="44"/>
      <c r="B316" s="102"/>
      <c r="C316" s="102"/>
      <c r="D316" s="102"/>
      <c r="E316" s="443"/>
      <c r="F316" s="443"/>
      <c r="G316" s="453"/>
      <c r="H316" s="453"/>
      <c r="I316" s="453"/>
      <c r="J316" s="453"/>
      <c r="K316" s="106" t="str">
        <f>IF(ISBLANK(I316), "", VLOOKUP(A316&amp;" "&amp;B316, 'Info Tipo de Cambio y REM'!$A$24:$B$35, 2, FALSE))</f>
        <v/>
      </c>
      <c r="L316" s="107" t="str">
        <f t="shared" si="2"/>
        <v/>
      </c>
      <c r="M316" s="102"/>
    </row>
    <row r="317">
      <c r="A317" s="44"/>
      <c r="B317" s="102"/>
      <c r="C317" s="102"/>
      <c r="D317" s="102"/>
      <c r="E317" s="443"/>
      <c r="F317" s="443"/>
      <c r="G317" s="453"/>
      <c r="H317" s="453"/>
      <c r="I317" s="453"/>
      <c r="J317" s="453"/>
      <c r="K317" s="106" t="str">
        <f>IF(ISBLANK(I317), "", VLOOKUP(A317&amp;" "&amp;B317, 'Info Tipo de Cambio y REM'!$A$24:$B$35, 2, FALSE))</f>
        <v/>
      </c>
      <c r="L317" s="107" t="str">
        <f t="shared" si="2"/>
        <v/>
      </c>
      <c r="M317" s="102"/>
    </row>
    <row r="318">
      <c r="A318" s="44"/>
      <c r="B318" s="102"/>
      <c r="C318" s="102"/>
      <c r="D318" s="102"/>
      <c r="E318" s="443"/>
      <c r="F318" s="443"/>
      <c r="G318" s="453"/>
      <c r="H318" s="453"/>
      <c r="I318" s="453"/>
      <c r="J318" s="453"/>
      <c r="K318" s="106" t="str">
        <f>IF(ISBLANK(I318), "", VLOOKUP(A318&amp;" "&amp;B318, 'Info Tipo de Cambio y REM'!$A$24:$B$35, 2, FALSE))</f>
        <v/>
      </c>
      <c r="L318" s="107" t="str">
        <f t="shared" si="2"/>
        <v/>
      </c>
      <c r="M318" s="102"/>
    </row>
    <row r="319">
      <c r="A319" s="44"/>
      <c r="B319" s="102"/>
      <c r="C319" s="102"/>
      <c r="D319" s="102"/>
      <c r="E319" s="443"/>
      <c r="F319" s="443"/>
      <c r="G319" s="453"/>
      <c r="H319" s="453"/>
      <c r="I319" s="453"/>
      <c r="J319" s="453"/>
      <c r="K319" s="106" t="str">
        <f>IF(ISBLANK(I319), "", VLOOKUP(A319&amp;" "&amp;B319, 'Info Tipo de Cambio y REM'!$A$24:$B$35, 2, FALSE))</f>
        <v/>
      </c>
      <c r="L319" s="107" t="str">
        <f t="shared" si="2"/>
        <v/>
      </c>
      <c r="M319" s="102"/>
    </row>
    <row r="320">
      <c r="A320" s="44"/>
      <c r="B320" s="102"/>
      <c r="C320" s="102"/>
      <c r="D320" s="102"/>
      <c r="E320" s="443"/>
      <c r="F320" s="443"/>
      <c r="G320" s="453"/>
      <c r="H320" s="453"/>
      <c r="I320" s="453"/>
      <c r="J320" s="453"/>
      <c r="K320" s="106" t="str">
        <f>IF(ISBLANK(I320), "", VLOOKUP(A320&amp;" "&amp;B320, 'Info Tipo de Cambio y REM'!$A$24:$B$35, 2, FALSE))</f>
        <v/>
      </c>
      <c r="L320" s="107" t="str">
        <f t="shared" si="2"/>
        <v/>
      </c>
      <c r="M320" s="102"/>
    </row>
    <row r="321">
      <c r="A321" s="44"/>
      <c r="B321" s="102"/>
      <c r="C321" s="102"/>
      <c r="D321" s="102"/>
      <c r="E321" s="443"/>
      <c r="F321" s="443"/>
      <c r="G321" s="453"/>
      <c r="H321" s="453"/>
      <c r="I321" s="453"/>
      <c r="J321" s="453"/>
      <c r="K321" s="106" t="str">
        <f>IF(ISBLANK(I321), "", VLOOKUP(A321&amp;" "&amp;B321, 'Info Tipo de Cambio y REM'!$A$24:$B$35, 2, FALSE))</f>
        <v/>
      </c>
      <c r="L321" s="107" t="str">
        <f t="shared" si="2"/>
        <v/>
      </c>
      <c r="M321" s="102"/>
    </row>
    <row r="322">
      <c r="A322" s="44"/>
      <c r="B322" s="102"/>
      <c r="C322" s="102"/>
      <c r="D322" s="102"/>
      <c r="E322" s="443"/>
      <c r="F322" s="443"/>
      <c r="G322" s="453"/>
      <c r="H322" s="453"/>
      <c r="I322" s="453"/>
      <c r="J322" s="453"/>
      <c r="K322" s="106" t="str">
        <f>IF(ISBLANK(I322), "", VLOOKUP(A322&amp;" "&amp;B322, 'Info Tipo de Cambio y REM'!$A$24:$B$35, 2, FALSE))</f>
        <v/>
      </c>
      <c r="L322" s="107" t="str">
        <f t="shared" si="2"/>
        <v/>
      </c>
      <c r="M322" s="102"/>
    </row>
    <row r="323">
      <c r="A323" s="44"/>
      <c r="B323" s="102"/>
      <c r="C323" s="102"/>
      <c r="D323" s="102"/>
      <c r="E323" s="443"/>
      <c r="F323" s="443"/>
      <c r="G323" s="453"/>
      <c r="H323" s="453"/>
      <c r="I323" s="453"/>
      <c r="J323" s="453"/>
      <c r="K323" s="106" t="str">
        <f>IF(ISBLANK(I323), "", VLOOKUP(A323&amp;" "&amp;B323, 'Info Tipo de Cambio y REM'!$A$24:$B$35, 2, FALSE))</f>
        <v/>
      </c>
      <c r="L323" s="107" t="str">
        <f t="shared" si="2"/>
        <v/>
      </c>
      <c r="M323" s="102"/>
    </row>
    <row r="324">
      <c r="A324" s="44"/>
      <c r="B324" s="102"/>
      <c r="C324" s="102"/>
      <c r="D324" s="102"/>
      <c r="E324" s="443"/>
      <c r="F324" s="443"/>
      <c r="G324" s="453"/>
      <c r="H324" s="453"/>
      <c r="I324" s="453"/>
      <c r="J324" s="453"/>
      <c r="K324" s="106" t="str">
        <f>IF(ISBLANK(I324), "", VLOOKUP(A324&amp;" "&amp;B324, 'Info Tipo de Cambio y REM'!$A$24:$B$35, 2, FALSE))</f>
        <v/>
      </c>
      <c r="L324" s="107" t="str">
        <f t="shared" si="2"/>
        <v/>
      </c>
      <c r="M324" s="102"/>
    </row>
    <row r="325">
      <c r="A325" s="44"/>
      <c r="B325" s="102"/>
      <c r="C325" s="102"/>
      <c r="D325" s="102"/>
      <c r="E325" s="443"/>
      <c r="F325" s="443"/>
      <c r="G325" s="453"/>
      <c r="H325" s="453"/>
      <c r="I325" s="453"/>
      <c r="J325" s="453"/>
      <c r="K325" s="106" t="str">
        <f>IF(ISBLANK(I325), "", VLOOKUP(A325&amp;" "&amp;B325, 'Info Tipo de Cambio y REM'!$A$24:$B$35, 2, FALSE))</f>
        <v/>
      </c>
      <c r="L325" s="107" t="str">
        <f t="shared" si="2"/>
        <v/>
      </c>
      <c r="M325" s="102"/>
    </row>
    <row r="326">
      <c r="A326" s="44"/>
      <c r="B326" s="102"/>
      <c r="C326" s="102"/>
      <c r="D326" s="102"/>
      <c r="E326" s="443"/>
      <c r="F326" s="443"/>
      <c r="G326" s="453"/>
      <c r="H326" s="453"/>
      <c r="I326" s="453"/>
      <c r="J326" s="453"/>
      <c r="K326" s="106" t="str">
        <f>IF(ISBLANK(I326), "", VLOOKUP(A326&amp;" "&amp;B326, 'Info Tipo de Cambio y REM'!$A$24:$B$35, 2, FALSE))</f>
        <v/>
      </c>
      <c r="L326" s="107" t="str">
        <f t="shared" si="2"/>
        <v/>
      </c>
      <c r="M326" s="102"/>
    </row>
    <row r="327">
      <c r="A327" s="44"/>
      <c r="B327" s="102"/>
      <c r="C327" s="102"/>
      <c r="D327" s="102"/>
      <c r="E327" s="443"/>
      <c r="F327" s="443"/>
      <c r="G327" s="453"/>
      <c r="H327" s="453"/>
      <c r="I327" s="453"/>
      <c r="J327" s="453"/>
      <c r="K327" s="106" t="str">
        <f>IF(ISBLANK(I327), "", VLOOKUP(A327&amp;" "&amp;B327, 'Info Tipo de Cambio y REM'!$A$24:$B$35, 2, FALSE))</f>
        <v/>
      </c>
      <c r="L327" s="107" t="str">
        <f t="shared" si="2"/>
        <v/>
      </c>
      <c r="M327" s="102"/>
    </row>
    <row r="328">
      <c r="A328" s="44"/>
      <c r="B328" s="102"/>
      <c r="C328" s="102"/>
      <c r="D328" s="102"/>
      <c r="E328" s="443"/>
      <c r="F328" s="443"/>
      <c r="G328" s="453"/>
      <c r="H328" s="453"/>
      <c r="I328" s="453"/>
      <c r="J328" s="453"/>
      <c r="K328" s="106" t="str">
        <f>IF(ISBLANK(I328), "", VLOOKUP(A328&amp;" "&amp;B328, 'Info Tipo de Cambio y REM'!$A$24:$B$35, 2, FALSE))</f>
        <v/>
      </c>
      <c r="L328" s="107" t="str">
        <f t="shared" si="2"/>
        <v/>
      </c>
      <c r="M328" s="102"/>
    </row>
    <row r="329">
      <c r="A329" s="44"/>
      <c r="B329" s="102"/>
      <c r="C329" s="102"/>
      <c r="D329" s="102"/>
      <c r="E329" s="443"/>
      <c r="F329" s="443"/>
      <c r="G329" s="453"/>
      <c r="H329" s="453"/>
      <c r="I329" s="453"/>
      <c r="J329" s="453"/>
      <c r="K329" s="106" t="str">
        <f>IF(ISBLANK(I329), "", VLOOKUP(A329&amp;" "&amp;B329, 'Info Tipo de Cambio y REM'!$A$24:$B$35, 2, FALSE))</f>
        <v/>
      </c>
      <c r="L329" s="107" t="str">
        <f t="shared" si="2"/>
        <v/>
      </c>
      <c r="M329" s="102"/>
    </row>
    <row r="330">
      <c r="A330" s="44"/>
      <c r="B330" s="102"/>
      <c r="C330" s="102"/>
      <c r="D330" s="102"/>
      <c r="E330" s="443"/>
      <c r="F330" s="443"/>
      <c r="G330" s="453"/>
      <c r="H330" s="453"/>
      <c r="I330" s="453"/>
      <c r="J330" s="453"/>
      <c r="K330" s="106" t="str">
        <f>IF(ISBLANK(I330), "", VLOOKUP(A330&amp;" "&amp;B330, 'Info Tipo de Cambio y REM'!$A$24:$B$35, 2, FALSE))</f>
        <v/>
      </c>
      <c r="L330" s="107" t="str">
        <f t="shared" si="2"/>
        <v/>
      </c>
      <c r="M330" s="102"/>
    </row>
    <row r="331">
      <c r="A331" s="44"/>
      <c r="B331" s="102"/>
      <c r="C331" s="102"/>
      <c r="D331" s="102"/>
      <c r="E331" s="443"/>
      <c r="F331" s="443"/>
      <c r="G331" s="453"/>
      <c r="H331" s="453"/>
      <c r="I331" s="453"/>
      <c r="J331" s="453"/>
      <c r="K331" s="106" t="str">
        <f>IF(ISBLANK(I331), "", VLOOKUP(A331&amp;" "&amp;B331, 'Info Tipo de Cambio y REM'!$A$24:$B$35, 2, FALSE))</f>
        <v/>
      </c>
      <c r="L331" s="107" t="str">
        <f t="shared" si="2"/>
        <v/>
      </c>
      <c r="M331" s="102"/>
    </row>
    <row r="332">
      <c r="A332" s="44"/>
      <c r="B332" s="102"/>
      <c r="C332" s="102"/>
      <c r="D332" s="102"/>
      <c r="E332" s="443"/>
      <c r="F332" s="443"/>
      <c r="G332" s="453"/>
      <c r="H332" s="453"/>
      <c r="I332" s="453"/>
      <c r="J332" s="453"/>
      <c r="K332" s="106" t="str">
        <f>IF(ISBLANK(I332), "", VLOOKUP(A332&amp;" "&amp;B332, 'Info Tipo de Cambio y REM'!$A$24:$B$35, 2, FALSE))</f>
        <v/>
      </c>
      <c r="L332" s="107" t="str">
        <f t="shared" si="2"/>
        <v/>
      </c>
      <c r="M332" s="102"/>
    </row>
    <row r="333">
      <c r="A333" s="44"/>
      <c r="B333" s="102"/>
      <c r="C333" s="102"/>
      <c r="D333" s="102"/>
      <c r="E333" s="443"/>
      <c r="F333" s="443"/>
      <c r="G333" s="453"/>
      <c r="H333" s="453"/>
      <c r="I333" s="453"/>
      <c r="J333" s="453"/>
      <c r="K333" s="106" t="str">
        <f>IF(ISBLANK(I333), "", VLOOKUP(A333&amp;" "&amp;B333, 'Info Tipo de Cambio y REM'!$A$24:$B$35, 2, FALSE))</f>
        <v/>
      </c>
      <c r="L333" s="107" t="str">
        <f t="shared" si="2"/>
        <v/>
      </c>
      <c r="M333" s="102"/>
    </row>
    <row r="334">
      <c r="A334" s="44"/>
      <c r="B334" s="102"/>
      <c r="C334" s="102"/>
      <c r="D334" s="102"/>
      <c r="E334" s="443"/>
      <c r="F334" s="443"/>
      <c r="G334" s="453"/>
      <c r="H334" s="453"/>
      <c r="I334" s="453"/>
      <c r="J334" s="453"/>
      <c r="K334" s="106" t="str">
        <f>IF(ISBLANK(I334), "", VLOOKUP(A334&amp;" "&amp;B334, 'Info Tipo de Cambio y REM'!$A$24:$B$35, 2, FALSE))</f>
        <v/>
      </c>
      <c r="L334" s="107" t="str">
        <f t="shared" si="2"/>
        <v/>
      </c>
      <c r="M334" s="102"/>
    </row>
    <row r="335">
      <c r="A335" s="44"/>
      <c r="B335" s="102"/>
      <c r="C335" s="102"/>
      <c r="D335" s="102"/>
      <c r="E335" s="443"/>
      <c r="F335" s="443"/>
      <c r="G335" s="453"/>
      <c r="H335" s="453"/>
      <c r="I335" s="453"/>
      <c r="J335" s="453"/>
      <c r="K335" s="106" t="str">
        <f>IF(ISBLANK(I335), "", VLOOKUP(A335&amp;" "&amp;B335, 'Info Tipo de Cambio y REM'!$A$24:$B$35, 2, FALSE))</f>
        <v/>
      </c>
      <c r="L335" s="107" t="str">
        <f t="shared" si="2"/>
        <v/>
      </c>
      <c r="M335" s="102"/>
    </row>
    <row r="336">
      <c r="A336" s="44"/>
      <c r="B336" s="102"/>
      <c r="C336" s="102"/>
      <c r="D336" s="102"/>
      <c r="E336" s="443"/>
      <c r="F336" s="443"/>
      <c r="G336" s="453"/>
      <c r="H336" s="453"/>
      <c r="I336" s="453"/>
      <c r="J336" s="453"/>
      <c r="K336" s="106" t="str">
        <f>IF(ISBLANK(I336), "", VLOOKUP(A336&amp;" "&amp;B336, 'Info Tipo de Cambio y REM'!$A$24:$B$35, 2, FALSE))</f>
        <v/>
      </c>
      <c r="L336" s="107" t="str">
        <f t="shared" si="2"/>
        <v/>
      </c>
      <c r="M336" s="102"/>
    </row>
    <row r="337">
      <c r="A337" s="44"/>
      <c r="B337" s="102"/>
      <c r="C337" s="102"/>
      <c r="D337" s="102"/>
      <c r="E337" s="443"/>
      <c r="F337" s="443"/>
      <c r="G337" s="453"/>
      <c r="H337" s="453"/>
      <c r="I337" s="453"/>
      <c r="J337" s="453"/>
      <c r="K337" s="106" t="str">
        <f>IF(ISBLANK(I337), "", VLOOKUP(A337&amp;" "&amp;B337, 'Info Tipo de Cambio y REM'!$A$24:$B$35, 2, FALSE))</f>
        <v/>
      </c>
      <c r="L337" s="107" t="str">
        <f t="shared" si="2"/>
        <v/>
      </c>
      <c r="M337" s="102"/>
    </row>
    <row r="338">
      <c r="A338" s="44"/>
      <c r="B338" s="102"/>
      <c r="C338" s="102"/>
      <c r="D338" s="102"/>
      <c r="E338" s="443"/>
      <c r="F338" s="443"/>
      <c r="G338" s="453"/>
      <c r="H338" s="453"/>
      <c r="I338" s="453"/>
      <c r="J338" s="453"/>
      <c r="K338" s="106" t="str">
        <f>IF(ISBLANK(I338), "", VLOOKUP(A338&amp;" "&amp;B338, 'Info Tipo de Cambio y REM'!$A$24:$B$35, 2, FALSE))</f>
        <v/>
      </c>
      <c r="L338" s="107" t="str">
        <f t="shared" si="2"/>
        <v/>
      </c>
      <c r="M338" s="102"/>
    </row>
    <row r="339">
      <c r="A339" s="44"/>
      <c r="B339" s="102"/>
      <c r="C339" s="102"/>
      <c r="D339" s="102"/>
      <c r="E339" s="443"/>
      <c r="F339" s="443"/>
      <c r="G339" s="453"/>
      <c r="H339" s="453"/>
      <c r="I339" s="453"/>
      <c r="J339" s="453"/>
      <c r="K339" s="106" t="str">
        <f>IF(ISBLANK(I339), "", VLOOKUP(A339&amp;" "&amp;B339, 'Info Tipo de Cambio y REM'!$A$24:$B$35, 2, FALSE))</f>
        <v/>
      </c>
      <c r="L339" s="107" t="str">
        <f t="shared" si="2"/>
        <v/>
      </c>
      <c r="M339" s="102"/>
    </row>
    <row r="340">
      <c r="A340" s="44"/>
      <c r="B340" s="102"/>
      <c r="C340" s="102"/>
      <c r="D340" s="102"/>
      <c r="E340" s="443"/>
      <c r="F340" s="443"/>
      <c r="G340" s="453"/>
      <c r="H340" s="453"/>
      <c r="I340" s="453"/>
      <c r="J340" s="453"/>
      <c r="K340" s="106" t="str">
        <f>IF(ISBLANK(I340), "", VLOOKUP(A340&amp;" "&amp;B340, 'Info Tipo de Cambio y REM'!$A$24:$B$35, 2, FALSE))</f>
        <v/>
      </c>
      <c r="L340" s="107" t="str">
        <f t="shared" si="2"/>
        <v/>
      </c>
      <c r="M340" s="102"/>
    </row>
    <row r="341">
      <c r="A341" s="44"/>
      <c r="B341" s="102"/>
      <c r="C341" s="102"/>
      <c r="D341" s="102"/>
      <c r="E341" s="443"/>
      <c r="F341" s="443"/>
      <c r="G341" s="453"/>
      <c r="H341" s="453"/>
      <c r="I341" s="453"/>
      <c r="J341" s="453"/>
      <c r="K341" s="106" t="str">
        <f>IF(ISBLANK(I341), "", VLOOKUP(A341&amp;" "&amp;B341, 'Info Tipo de Cambio y REM'!$A$24:$B$35, 2, FALSE))</f>
        <v/>
      </c>
      <c r="L341" s="107" t="str">
        <f t="shared" si="2"/>
        <v/>
      </c>
      <c r="M341" s="102"/>
    </row>
    <row r="342">
      <c r="A342" s="44"/>
      <c r="B342" s="102"/>
      <c r="C342" s="102"/>
      <c r="D342" s="102"/>
      <c r="E342" s="443"/>
      <c r="F342" s="443"/>
      <c r="G342" s="453"/>
      <c r="H342" s="453"/>
      <c r="I342" s="453"/>
      <c r="J342" s="453"/>
      <c r="K342" s="106" t="str">
        <f>IF(ISBLANK(I342), "", VLOOKUP(A342&amp;" "&amp;B342, 'Info Tipo de Cambio y REM'!$A$24:$B$35, 2, FALSE))</f>
        <v/>
      </c>
      <c r="L342" s="107" t="str">
        <f t="shared" si="2"/>
        <v/>
      </c>
      <c r="M342" s="102"/>
    </row>
    <row r="343">
      <c r="A343" s="44"/>
      <c r="B343" s="102"/>
      <c r="C343" s="102"/>
      <c r="D343" s="102"/>
      <c r="E343" s="443"/>
      <c r="F343" s="443"/>
      <c r="G343" s="453"/>
      <c r="H343" s="453"/>
      <c r="I343" s="453"/>
      <c r="J343" s="453"/>
      <c r="K343" s="106" t="str">
        <f>IF(ISBLANK(I343), "", VLOOKUP(A343&amp;" "&amp;B343, 'Info Tipo de Cambio y REM'!$A$24:$B$35, 2, FALSE))</f>
        <v/>
      </c>
      <c r="L343" s="107" t="str">
        <f t="shared" si="2"/>
        <v/>
      </c>
      <c r="M343" s="102"/>
    </row>
    <row r="344">
      <c r="A344" s="44"/>
      <c r="B344" s="102"/>
      <c r="C344" s="102"/>
      <c r="D344" s="102"/>
      <c r="E344" s="443"/>
      <c r="F344" s="443"/>
      <c r="G344" s="453"/>
      <c r="H344" s="453"/>
      <c r="I344" s="453"/>
      <c r="J344" s="453"/>
      <c r="K344" s="106" t="str">
        <f>IF(ISBLANK(I344), "", VLOOKUP(A344&amp;" "&amp;B344, 'Info Tipo de Cambio y REM'!$A$24:$B$35, 2, FALSE))</f>
        <v/>
      </c>
      <c r="L344" s="107" t="str">
        <f t="shared" si="2"/>
        <v/>
      </c>
      <c r="M344" s="102"/>
    </row>
    <row r="345">
      <c r="A345" s="44"/>
      <c r="B345" s="102"/>
      <c r="C345" s="102"/>
      <c r="D345" s="102"/>
      <c r="E345" s="443"/>
      <c r="F345" s="443"/>
      <c r="G345" s="453"/>
      <c r="H345" s="453"/>
      <c r="I345" s="453"/>
      <c r="J345" s="453"/>
      <c r="K345" s="106" t="str">
        <f>IF(ISBLANK(I345), "", VLOOKUP(A345&amp;" "&amp;B345, 'Info Tipo de Cambio y REM'!$A$24:$B$35, 2, FALSE))</f>
        <v/>
      </c>
      <c r="L345" s="107" t="str">
        <f t="shared" si="2"/>
        <v/>
      </c>
      <c r="M345" s="102"/>
    </row>
    <row r="346">
      <c r="A346" s="44"/>
      <c r="B346" s="102"/>
      <c r="C346" s="102"/>
      <c r="D346" s="102"/>
      <c r="E346" s="443"/>
      <c r="F346" s="443"/>
      <c r="G346" s="453"/>
      <c r="H346" s="453"/>
      <c r="I346" s="453"/>
      <c r="J346" s="453"/>
      <c r="K346" s="106" t="str">
        <f>IF(ISBLANK(I346), "", VLOOKUP(A346&amp;" "&amp;B346, 'Info Tipo de Cambio y REM'!$A$24:$B$35, 2, FALSE))</f>
        <v/>
      </c>
      <c r="L346" s="107" t="str">
        <f t="shared" si="2"/>
        <v/>
      </c>
      <c r="M346" s="102"/>
    </row>
    <row r="347">
      <c r="A347" s="44"/>
      <c r="B347" s="102"/>
      <c r="C347" s="102"/>
      <c r="D347" s="102"/>
      <c r="E347" s="443"/>
      <c r="F347" s="443"/>
      <c r="G347" s="453"/>
      <c r="H347" s="453"/>
      <c r="I347" s="453"/>
      <c r="J347" s="453"/>
      <c r="K347" s="106" t="str">
        <f>IF(ISBLANK(I347), "", VLOOKUP(A347&amp;" "&amp;B347, 'Info Tipo de Cambio y REM'!$A$24:$B$35, 2, FALSE))</f>
        <v/>
      </c>
      <c r="L347" s="107" t="str">
        <f t="shared" si="2"/>
        <v/>
      </c>
      <c r="M347" s="102"/>
    </row>
    <row r="348">
      <c r="A348" s="44"/>
      <c r="B348" s="102"/>
      <c r="C348" s="102"/>
      <c r="D348" s="102"/>
      <c r="E348" s="443"/>
      <c r="F348" s="443"/>
      <c r="G348" s="453"/>
      <c r="H348" s="453"/>
      <c r="I348" s="453"/>
      <c r="J348" s="453"/>
      <c r="K348" s="106" t="str">
        <f>IF(ISBLANK(I348), "", VLOOKUP(A348&amp;" "&amp;B348, 'Info Tipo de Cambio y REM'!$A$24:$B$35, 2, FALSE))</f>
        <v/>
      </c>
      <c r="L348" s="107" t="str">
        <f t="shared" si="2"/>
        <v/>
      </c>
      <c r="M348" s="102"/>
    </row>
    <row r="349">
      <c r="A349" s="44"/>
      <c r="B349" s="102"/>
      <c r="C349" s="102"/>
      <c r="D349" s="102"/>
      <c r="E349" s="443"/>
      <c r="F349" s="443"/>
      <c r="G349" s="453"/>
      <c r="H349" s="453"/>
      <c r="I349" s="453"/>
      <c r="J349" s="453"/>
      <c r="K349" s="106" t="str">
        <f>IF(ISBLANK(I349), "", VLOOKUP(A349&amp;" "&amp;B349, 'Info Tipo de Cambio y REM'!$A$24:$B$35, 2, FALSE))</f>
        <v/>
      </c>
      <c r="L349" s="107" t="str">
        <f t="shared" si="2"/>
        <v/>
      </c>
      <c r="M349" s="102"/>
    </row>
    <row r="350">
      <c r="A350" s="44"/>
      <c r="B350" s="102"/>
      <c r="C350" s="102"/>
      <c r="D350" s="102"/>
      <c r="E350" s="443"/>
      <c r="F350" s="443"/>
      <c r="G350" s="453"/>
      <c r="H350" s="453"/>
      <c r="I350" s="453"/>
      <c r="J350" s="453"/>
      <c r="K350" s="106" t="str">
        <f>IF(ISBLANK(I350), "", VLOOKUP(A350&amp;" "&amp;B350, 'Info Tipo de Cambio y REM'!$A$24:$B$35, 2, FALSE))</f>
        <v/>
      </c>
      <c r="L350" s="107" t="str">
        <f t="shared" si="2"/>
        <v/>
      </c>
      <c r="M350" s="102"/>
    </row>
    <row r="351">
      <c r="A351" s="44"/>
      <c r="B351" s="102"/>
      <c r="C351" s="102"/>
      <c r="D351" s="102"/>
      <c r="E351" s="443"/>
      <c r="F351" s="443"/>
      <c r="G351" s="453"/>
      <c r="H351" s="453"/>
      <c r="I351" s="453"/>
      <c r="J351" s="453"/>
      <c r="K351" s="106" t="str">
        <f>IF(ISBLANK(I351), "", VLOOKUP(A351&amp;" "&amp;B351, 'Info Tipo de Cambio y REM'!$A$24:$B$35, 2, FALSE))</f>
        <v/>
      </c>
      <c r="L351" s="107" t="str">
        <f t="shared" si="2"/>
        <v/>
      </c>
      <c r="M351" s="102"/>
    </row>
    <row r="352">
      <c r="A352" s="44"/>
      <c r="B352" s="102"/>
      <c r="C352" s="102"/>
      <c r="D352" s="102"/>
      <c r="E352" s="443"/>
      <c r="F352" s="443"/>
      <c r="G352" s="453"/>
      <c r="H352" s="453"/>
      <c r="I352" s="453"/>
      <c r="J352" s="453"/>
      <c r="K352" s="106" t="str">
        <f>IF(ISBLANK(I352), "", VLOOKUP(A352&amp;" "&amp;B352, 'Info Tipo de Cambio y REM'!$A$24:$B$35, 2, FALSE))</f>
        <v/>
      </c>
      <c r="L352" s="107" t="str">
        <f t="shared" si="2"/>
        <v/>
      </c>
      <c r="M352" s="102"/>
    </row>
    <row r="353">
      <c r="A353" s="44"/>
      <c r="B353" s="102"/>
      <c r="C353" s="102"/>
      <c r="D353" s="102"/>
      <c r="E353" s="443"/>
      <c r="F353" s="443"/>
      <c r="G353" s="453"/>
      <c r="H353" s="453"/>
      <c r="I353" s="453"/>
      <c r="J353" s="453"/>
      <c r="K353" s="106" t="str">
        <f>IF(ISBLANK(I353), "", VLOOKUP(A353&amp;" "&amp;B353, 'Info Tipo de Cambio y REM'!$A$24:$B$35, 2, FALSE))</f>
        <v/>
      </c>
      <c r="L353" s="107" t="str">
        <f t="shared" si="2"/>
        <v/>
      </c>
      <c r="M353" s="102"/>
    </row>
    <row r="354">
      <c r="A354" s="44"/>
      <c r="B354" s="102"/>
      <c r="C354" s="102"/>
      <c r="D354" s="102"/>
      <c r="E354" s="443"/>
      <c r="F354" s="443"/>
      <c r="G354" s="453"/>
      <c r="H354" s="453"/>
      <c r="I354" s="453"/>
      <c r="J354" s="453"/>
      <c r="K354" s="106" t="str">
        <f>IF(ISBLANK(I354), "", VLOOKUP(A354&amp;" "&amp;B354, 'Info Tipo de Cambio y REM'!$A$24:$B$35, 2, FALSE))</f>
        <v/>
      </c>
      <c r="L354" s="107" t="str">
        <f t="shared" si="2"/>
        <v/>
      </c>
      <c r="M354" s="102"/>
    </row>
    <row r="355">
      <c r="A355" s="44"/>
      <c r="B355" s="102"/>
      <c r="C355" s="102"/>
      <c r="D355" s="102"/>
      <c r="E355" s="443"/>
      <c r="F355" s="443"/>
      <c r="G355" s="453"/>
      <c r="H355" s="453"/>
      <c r="I355" s="453"/>
      <c r="J355" s="453"/>
      <c r="K355" s="106" t="str">
        <f>IF(ISBLANK(I355), "", VLOOKUP(A355&amp;" "&amp;B355, 'Info Tipo de Cambio y REM'!$A$24:$B$35, 2, FALSE))</f>
        <v/>
      </c>
      <c r="L355" s="107" t="str">
        <f t="shared" si="2"/>
        <v/>
      </c>
      <c r="M355" s="102"/>
    </row>
    <row r="356">
      <c r="A356" s="44"/>
      <c r="B356" s="102"/>
      <c r="C356" s="102"/>
      <c r="D356" s="102"/>
      <c r="E356" s="443"/>
      <c r="F356" s="443"/>
      <c r="G356" s="453"/>
      <c r="H356" s="453"/>
      <c r="I356" s="453"/>
      <c r="J356" s="453"/>
      <c r="K356" s="106" t="str">
        <f>IF(ISBLANK(I356), "", VLOOKUP(A356&amp;" "&amp;B356, 'Info Tipo de Cambio y REM'!$A$24:$B$35, 2, FALSE))</f>
        <v/>
      </c>
      <c r="L356" s="107" t="str">
        <f t="shared" si="2"/>
        <v/>
      </c>
      <c r="M356" s="102"/>
    </row>
    <row r="357">
      <c r="A357" s="44"/>
      <c r="B357" s="102"/>
      <c r="C357" s="102"/>
      <c r="D357" s="102"/>
      <c r="E357" s="443"/>
      <c r="F357" s="443"/>
      <c r="G357" s="453"/>
      <c r="H357" s="453"/>
      <c r="I357" s="453"/>
      <c r="J357" s="453"/>
      <c r="K357" s="106" t="str">
        <f>IF(ISBLANK(I357), "", VLOOKUP(A357&amp;" "&amp;B357, 'Info Tipo de Cambio y REM'!$A$24:$B$35, 2, FALSE))</f>
        <v/>
      </c>
      <c r="L357" s="107" t="str">
        <f t="shared" si="2"/>
        <v/>
      </c>
      <c r="M357" s="102"/>
    </row>
    <row r="358">
      <c r="A358" s="44"/>
      <c r="B358" s="102"/>
      <c r="C358" s="102"/>
      <c r="D358" s="102"/>
      <c r="E358" s="443"/>
      <c r="F358" s="443"/>
      <c r="G358" s="453"/>
      <c r="H358" s="453"/>
      <c r="I358" s="453"/>
      <c r="J358" s="453"/>
      <c r="K358" s="106" t="str">
        <f>IF(ISBLANK(I358), "", VLOOKUP(A358&amp;" "&amp;B358, 'Info Tipo de Cambio y REM'!$A$24:$B$35, 2, FALSE))</f>
        <v/>
      </c>
      <c r="L358" s="107" t="str">
        <f t="shared" si="2"/>
        <v/>
      </c>
      <c r="M358" s="102"/>
    </row>
    <row r="359">
      <c r="A359" s="44"/>
      <c r="B359" s="102"/>
      <c r="C359" s="102"/>
      <c r="D359" s="102"/>
      <c r="E359" s="443"/>
      <c r="F359" s="443"/>
      <c r="G359" s="453"/>
      <c r="H359" s="453"/>
      <c r="I359" s="453"/>
      <c r="J359" s="106"/>
      <c r="K359" s="106" t="str">
        <f>IF(ISBLANK(I359), "", VLOOKUP(A359&amp;" "&amp;B359, 'Info Tipo de Cambio y REM'!$A$24:$B$35, 2, FALSE))</f>
        <v/>
      </c>
      <c r="L359" s="107" t="str">
        <f t="shared" si="2"/>
        <v/>
      </c>
      <c r="M359" s="102"/>
    </row>
    <row r="360">
      <c r="A360" s="44"/>
      <c r="B360" s="102"/>
      <c r="C360" s="102"/>
      <c r="D360" s="102"/>
      <c r="E360" s="443"/>
      <c r="F360" s="443"/>
      <c r="G360" s="453"/>
      <c r="H360" s="453"/>
      <c r="I360" s="453"/>
      <c r="J360" s="106"/>
      <c r="K360" s="106" t="str">
        <f>IF(ISBLANK(I360), "", VLOOKUP(A360&amp;" "&amp;B360, 'Info Tipo de Cambio y REM'!$A$24:$B$35, 2, FALSE))</f>
        <v/>
      </c>
      <c r="L360" s="107" t="str">
        <f t="shared" si="2"/>
        <v/>
      </c>
      <c r="M360" s="102"/>
    </row>
    <row r="361">
      <c r="A361" s="44"/>
      <c r="B361" s="102"/>
      <c r="C361" s="102"/>
      <c r="D361" s="102"/>
      <c r="E361" s="443"/>
      <c r="F361" s="443"/>
      <c r="G361" s="453"/>
      <c r="H361" s="453"/>
      <c r="I361" s="453"/>
      <c r="J361" s="106"/>
      <c r="K361" s="106" t="str">
        <f>IF(ISBLANK(I361), "", VLOOKUP(A361&amp;" "&amp;B361, 'Info Tipo de Cambio y REM'!$A$24:$B$35, 2, FALSE))</f>
        <v/>
      </c>
      <c r="L361" s="107" t="str">
        <f t="shared" si="2"/>
        <v/>
      </c>
      <c r="M361" s="102"/>
    </row>
    <row r="362">
      <c r="A362" s="44"/>
      <c r="B362" s="102"/>
      <c r="C362" s="102"/>
      <c r="D362" s="102"/>
      <c r="E362" s="443"/>
      <c r="F362" s="443"/>
      <c r="G362" s="453"/>
      <c r="H362" s="453"/>
      <c r="I362" s="453"/>
      <c r="J362" s="106"/>
      <c r="K362" s="106" t="str">
        <f>IF(ISBLANK(I362), "", VLOOKUP(A362&amp;" "&amp;B362, 'Info Tipo de Cambio y REM'!$A$24:$B$35, 2, FALSE))</f>
        <v/>
      </c>
      <c r="L362" s="107" t="str">
        <f t="shared" si="2"/>
        <v/>
      </c>
      <c r="M362" s="102"/>
    </row>
    <row r="363">
      <c r="A363" s="44"/>
      <c r="B363" s="102"/>
      <c r="C363" s="102"/>
      <c r="D363" s="102"/>
      <c r="E363" s="443"/>
      <c r="F363" s="443"/>
      <c r="G363" s="453"/>
      <c r="H363" s="453"/>
      <c r="I363" s="453"/>
      <c r="J363" s="106"/>
      <c r="K363" s="106" t="str">
        <f>IF(ISBLANK(I363), "", VLOOKUP(A363&amp;" "&amp;B363, 'Info Tipo de Cambio y REM'!$A$24:$B$35, 2, FALSE))</f>
        <v/>
      </c>
      <c r="L363" s="107" t="str">
        <f t="shared" si="2"/>
        <v/>
      </c>
      <c r="M363" s="102"/>
    </row>
    <row r="364">
      <c r="A364" s="44"/>
      <c r="B364" s="102"/>
      <c r="C364" s="102"/>
      <c r="D364" s="102"/>
      <c r="E364" s="443"/>
      <c r="F364" s="443"/>
      <c r="G364" s="453"/>
      <c r="H364" s="453"/>
      <c r="I364" s="453"/>
      <c r="J364" s="106"/>
      <c r="K364" s="106" t="str">
        <f>IF(ISBLANK(I364), "", VLOOKUP(A364&amp;" "&amp;B364, 'Info Tipo de Cambio y REM'!$A$24:$B$35, 2, FALSE))</f>
        <v/>
      </c>
      <c r="L364" s="107" t="str">
        <f t="shared" si="2"/>
        <v/>
      </c>
      <c r="M364" s="102"/>
    </row>
    <row r="365">
      <c r="A365" s="44"/>
      <c r="B365" s="102"/>
      <c r="C365" s="102"/>
      <c r="D365" s="102"/>
      <c r="E365" s="443"/>
      <c r="F365" s="443"/>
      <c r="G365" s="453"/>
      <c r="H365" s="453"/>
      <c r="I365" s="453"/>
      <c r="J365" s="106"/>
      <c r="K365" s="106" t="str">
        <f>IF(ISBLANK(I365), "", VLOOKUP(A365&amp;" "&amp;B365, 'Info Tipo de Cambio y REM'!$A$24:$B$35, 2, FALSE))</f>
        <v/>
      </c>
      <c r="L365" s="107" t="str">
        <f t="shared" si="2"/>
        <v/>
      </c>
      <c r="M365" s="102"/>
    </row>
    <row r="366">
      <c r="A366" s="44"/>
      <c r="B366" s="102"/>
      <c r="C366" s="102"/>
      <c r="D366" s="102"/>
      <c r="E366" s="443"/>
      <c r="F366" s="443"/>
      <c r="G366" s="453"/>
      <c r="H366" s="453"/>
      <c r="I366" s="453"/>
      <c r="J366" s="106"/>
      <c r="K366" s="106" t="str">
        <f>IF(ISBLANK(I366), "", VLOOKUP(A366&amp;" "&amp;B366, 'Info Tipo de Cambio y REM'!$A$24:$B$35, 2, FALSE))</f>
        <v/>
      </c>
      <c r="L366" s="107" t="str">
        <f t="shared" si="2"/>
        <v/>
      </c>
      <c r="M366" s="102"/>
    </row>
    <row r="367">
      <c r="A367" s="44"/>
      <c r="B367" s="102"/>
      <c r="C367" s="102"/>
      <c r="D367" s="102"/>
      <c r="E367" s="443"/>
      <c r="F367" s="443"/>
      <c r="G367" s="453"/>
      <c r="H367" s="453"/>
      <c r="I367" s="453"/>
      <c r="J367" s="106"/>
      <c r="K367" s="106" t="str">
        <f>IF(ISBLANK(I367), "", VLOOKUP(A367&amp;" "&amp;B367, 'Info Tipo de Cambio y REM'!$A$24:$B$35, 2, FALSE))</f>
        <v/>
      </c>
      <c r="L367" s="107" t="str">
        <f t="shared" si="2"/>
        <v/>
      </c>
      <c r="M367" s="102"/>
    </row>
    <row r="368">
      <c r="A368" s="44"/>
      <c r="B368" s="102"/>
      <c r="C368" s="102"/>
      <c r="D368" s="102"/>
      <c r="E368" s="443"/>
      <c r="F368" s="443"/>
      <c r="G368" s="453"/>
      <c r="H368" s="453"/>
      <c r="I368" s="453"/>
      <c r="J368" s="106"/>
      <c r="K368" s="106" t="str">
        <f>IF(ISBLANK(I368), "", VLOOKUP(A368&amp;" "&amp;B368, 'Info Tipo de Cambio y REM'!$A$24:$B$35, 2, FALSE))</f>
        <v/>
      </c>
      <c r="L368" s="107" t="str">
        <f t="shared" si="2"/>
        <v/>
      </c>
      <c r="M368" s="102"/>
    </row>
    <row r="369">
      <c r="A369" s="44"/>
      <c r="B369" s="102"/>
      <c r="C369" s="102"/>
      <c r="D369" s="102"/>
      <c r="E369" s="443"/>
      <c r="F369" s="443"/>
      <c r="G369" s="453"/>
      <c r="H369" s="453"/>
      <c r="I369" s="453"/>
      <c r="J369" s="106"/>
      <c r="K369" s="106" t="str">
        <f>IF(ISBLANK(I369), "", VLOOKUP(A369&amp;" "&amp;B369, 'Info Tipo de Cambio y REM'!$A$24:$B$35, 2, FALSE))</f>
        <v/>
      </c>
      <c r="L369" s="107" t="str">
        <f t="shared" si="2"/>
        <v/>
      </c>
      <c r="M369" s="102"/>
    </row>
    <row r="370">
      <c r="A370" s="44"/>
      <c r="B370" s="102"/>
      <c r="C370" s="102"/>
      <c r="D370" s="102"/>
      <c r="E370" s="443"/>
      <c r="F370" s="443"/>
      <c r="G370" s="453"/>
      <c r="H370" s="453"/>
      <c r="I370" s="453"/>
      <c r="J370" s="106"/>
      <c r="K370" s="106" t="str">
        <f>IF(ISBLANK(I370), "", VLOOKUP(A370&amp;" "&amp;B370, 'Info Tipo de Cambio y REM'!$A$24:$B$35, 2, FALSE))</f>
        <v/>
      </c>
      <c r="L370" s="107" t="str">
        <f t="shared" si="2"/>
        <v/>
      </c>
      <c r="M370" s="102"/>
    </row>
    <row r="371">
      <c r="A371" s="44"/>
      <c r="B371" s="102"/>
      <c r="C371" s="102"/>
      <c r="D371" s="102"/>
      <c r="E371" s="443"/>
      <c r="F371" s="443"/>
      <c r="G371" s="453"/>
      <c r="H371" s="453"/>
      <c r="I371" s="453"/>
      <c r="J371" s="106"/>
      <c r="K371" s="106" t="str">
        <f>IF(ISBLANK(I371), "", VLOOKUP(A371&amp;" "&amp;B371, 'Info Tipo de Cambio y REM'!$A$24:$B$35, 2, FALSE))</f>
        <v/>
      </c>
      <c r="L371" s="107" t="str">
        <f t="shared" si="2"/>
        <v/>
      </c>
      <c r="M371" s="102"/>
    </row>
    <row r="372">
      <c r="A372" s="44"/>
      <c r="B372" s="102"/>
      <c r="C372" s="102"/>
      <c r="D372" s="102"/>
      <c r="E372" s="443"/>
      <c r="F372" s="443"/>
      <c r="G372" s="453"/>
      <c r="H372" s="453"/>
      <c r="I372" s="453"/>
      <c r="J372" s="106"/>
      <c r="K372" s="106" t="str">
        <f>IF(ISBLANK(I372), "", VLOOKUP(A372&amp;" "&amp;B372, 'Info Tipo de Cambio y REM'!$A$24:$B$35, 2, FALSE))</f>
        <v/>
      </c>
      <c r="L372" s="107" t="str">
        <f t="shared" si="2"/>
        <v/>
      </c>
      <c r="M372" s="102"/>
    </row>
    <row r="373">
      <c r="A373" s="44"/>
      <c r="B373" s="102"/>
      <c r="C373" s="102"/>
      <c r="D373" s="102"/>
      <c r="E373" s="443"/>
      <c r="F373" s="443"/>
      <c r="G373" s="453"/>
      <c r="H373" s="453"/>
      <c r="I373" s="453"/>
      <c r="J373" s="106"/>
      <c r="K373" s="106" t="str">
        <f>IF(ISBLANK(I373), "", VLOOKUP(A373&amp;" "&amp;B373, 'Info Tipo de Cambio y REM'!$A$24:$B$35, 2, FALSE))</f>
        <v/>
      </c>
      <c r="L373" s="107" t="str">
        <f t="shared" si="2"/>
        <v/>
      </c>
      <c r="M373" s="102"/>
    </row>
    <row r="374">
      <c r="A374" s="44"/>
      <c r="B374" s="102"/>
      <c r="C374" s="102"/>
      <c r="D374" s="102"/>
      <c r="E374" s="443"/>
      <c r="F374" s="443"/>
      <c r="G374" s="453"/>
      <c r="H374" s="453"/>
      <c r="I374" s="453"/>
      <c r="J374" s="106"/>
      <c r="K374" s="106" t="str">
        <f>IF(ISBLANK(I374), "", VLOOKUP(A374&amp;" "&amp;B374, 'Info Tipo de Cambio y REM'!$A$24:$B$35, 2, FALSE))</f>
        <v/>
      </c>
      <c r="L374" s="107" t="str">
        <f t="shared" si="2"/>
        <v/>
      </c>
      <c r="M374" s="102"/>
    </row>
    <row r="375">
      <c r="A375" s="44"/>
      <c r="B375" s="102"/>
      <c r="C375" s="102"/>
      <c r="D375" s="102"/>
      <c r="E375" s="443"/>
      <c r="F375" s="443"/>
      <c r="G375" s="453"/>
      <c r="H375" s="453"/>
      <c r="I375" s="453"/>
      <c r="J375" s="106"/>
      <c r="K375" s="106" t="str">
        <f>IF(ISBLANK(I375), "", VLOOKUP(A375&amp;" "&amp;B375, 'Info Tipo de Cambio y REM'!$A$24:$B$35, 2, FALSE))</f>
        <v/>
      </c>
      <c r="L375" s="107" t="str">
        <f t="shared" si="2"/>
        <v/>
      </c>
      <c r="M375" s="102"/>
    </row>
    <row r="376">
      <c r="A376" s="44"/>
      <c r="B376" s="102"/>
      <c r="C376" s="102"/>
      <c r="D376" s="102"/>
      <c r="E376" s="443"/>
      <c r="F376" s="443"/>
      <c r="G376" s="453"/>
      <c r="H376" s="453"/>
      <c r="I376" s="453"/>
      <c r="J376" s="106"/>
      <c r="K376" s="106" t="str">
        <f>IF(ISBLANK(I376), "", VLOOKUP(A376&amp;" "&amp;B376, 'Info Tipo de Cambio y REM'!$A$24:$B$35, 2, FALSE))</f>
        <v/>
      </c>
      <c r="L376" s="107" t="str">
        <f t="shared" si="2"/>
        <v/>
      </c>
      <c r="M376" s="102"/>
    </row>
    <row r="377">
      <c r="A377" s="44"/>
      <c r="B377" s="102"/>
      <c r="C377" s="102"/>
      <c r="D377" s="102"/>
      <c r="E377" s="443"/>
      <c r="F377" s="443"/>
      <c r="G377" s="453"/>
      <c r="H377" s="453"/>
      <c r="I377" s="453"/>
      <c r="J377" s="106"/>
      <c r="K377" s="106" t="str">
        <f>IF(ISBLANK(I377), "", VLOOKUP(A377&amp;" "&amp;B377, 'Info Tipo de Cambio y REM'!$A$24:$B$35, 2, FALSE))</f>
        <v/>
      </c>
      <c r="L377" s="107" t="str">
        <f t="shared" si="2"/>
        <v/>
      </c>
      <c r="M377" s="102"/>
    </row>
    <row r="378">
      <c r="A378" s="44"/>
      <c r="B378" s="102"/>
      <c r="C378" s="102"/>
      <c r="D378" s="102"/>
      <c r="E378" s="443"/>
      <c r="F378" s="443"/>
      <c r="G378" s="453"/>
      <c r="H378" s="453"/>
      <c r="I378" s="453"/>
      <c r="J378" s="106"/>
      <c r="K378" s="106" t="str">
        <f>IF(ISBLANK(I378), "", VLOOKUP(A378&amp;" "&amp;B378, 'Info Tipo de Cambio y REM'!$A$24:$B$35, 2, FALSE))</f>
        <v/>
      </c>
      <c r="L378" s="107" t="str">
        <f t="shared" si="2"/>
        <v/>
      </c>
      <c r="M378" s="102"/>
    </row>
    <row r="379">
      <c r="A379" s="44"/>
      <c r="B379" s="102"/>
      <c r="C379" s="102"/>
      <c r="D379" s="102"/>
      <c r="E379" s="443"/>
      <c r="F379" s="443"/>
      <c r="G379" s="453"/>
      <c r="H379" s="453"/>
      <c r="I379" s="453"/>
      <c r="J379" s="106"/>
      <c r="K379" s="106" t="str">
        <f>IF(ISBLANK(I379), "", VLOOKUP(A379&amp;" "&amp;B379, 'Info Tipo de Cambio y REM'!$A$24:$B$35, 2, FALSE))</f>
        <v/>
      </c>
      <c r="L379" s="107" t="str">
        <f t="shared" si="2"/>
        <v/>
      </c>
      <c r="M379" s="102"/>
    </row>
    <row r="380">
      <c r="A380" s="44"/>
      <c r="B380" s="102"/>
      <c r="C380" s="102"/>
      <c r="D380" s="102"/>
      <c r="E380" s="443"/>
      <c r="F380" s="443"/>
      <c r="G380" s="453"/>
      <c r="H380" s="453"/>
      <c r="I380" s="453"/>
      <c r="J380" s="106"/>
      <c r="K380" s="106" t="str">
        <f>IF(ISBLANK(I380), "", VLOOKUP(A380&amp;" "&amp;B380, 'Info Tipo de Cambio y REM'!$A$24:$B$35, 2, FALSE))</f>
        <v/>
      </c>
      <c r="L380" s="107" t="str">
        <f t="shared" si="2"/>
        <v/>
      </c>
      <c r="M380" s="102"/>
    </row>
    <row r="381">
      <c r="A381" s="44"/>
      <c r="B381" s="102"/>
      <c r="C381" s="102"/>
      <c r="D381" s="102"/>
      <c r="E381" s="443"/>
      <c r="F381" s="443"/>
      <c r="G381" s="453"/>
      <c r="H381" s="453"/>
      <c r="I381" s="453"/>
      <c r="J381" s="106"/>
      <c r="K381" s="106" t="str">
        <f>IF(ISBLANK(I381), "", VLOOKUP(A381&amp;" "&amp;B381, 'Info Tipo de Cambio y REM'!$A$24:$B$35, 2, FALSE))</f>
        <v/>
      </c>
      <c r="L381" s="107" t="str">
        <f t="shared" si="2"/>
        <v/>
      </c>
      <c r="M381" s="102"/>
    </row>
    <row r="382">
      <c r="A382" s="44"/>
      <c r="B382" s="102"/>
      <c r="C382" s="102"/>
      <c r="D382" s="102"/>
      <c r="E382" s="443"/>
      <c r="F382" s="443"/>
      <c r="G382" s="453"/>
      <c r="H382" s="453"/>
      <c r="I382" s="453"/>
      <c r="J382" s="106"/>
      <c r="K382" s="106" t="str">
        <f>IF(ISBLANK(I382), "", VLOOKUP(A382&amp;" "&amp;B382, 'Info Tipo de Cambio y REM'!$A$24:$B$35, 2, FALSE))</f>
        <v/>
      </c>
      <c r="L382" s="107" t="str">
        <f t="shared" si="2"/>
        <v/>
      </c>
      <c r="M382" s="102"/>
    </row>
    <row r="383">
      <c r="A383" s="44"/>
      <c r="B383" s="102"/>
      <c r="C383" s="102"/>
      <c r="D383" s="102"/>
      <c r="E383" s="443"/>
      <c r="F383" s="443"/>
      <c r="G383" s="453"/>
      <c r="H383" s="453"/>
      <c r="I383" s="453"/>
      <c r="J383" s="106"/>
      <c r="K383" s="106" t="str">
        <f>IF(ISBLANK(I383), "", VLOOKUP(A383&amp;" "&amp;B383, 'Info Tipo de Cambio y REM'!$A$24:$B$35, 2, FALSE))</f>
        <v/>
      </c>
      <c r="L383" s="107" t="str">
        <f t="shared" si="2"/>
        <v/>
      </c>
      <c r="M383" s="102"/>
    </row>
    <row r="384">
      <c r="A384" s="44"/>
      <c r="B384" s="102"/>
      <c r="C384" s="102"/>
      <c r="D384" s="102"/>
      <c r="E384" s="443"/>
      <c r="F384" s="443"/>
      <c r="G384" s="453"/>
      <c r="H384" s="453"/>
      <c r="I384" s="453"/>
      <c r="J384" s="106"/>
      <c r="K384" s="106" t="str">
        <f>IF(ISBLANK(I384), "", VLOOKUP(A384&amp;" "&amp;B384, 'Info Tipo de Cambio y REM'!$A$24:$B$35, 2, FALSE))</f>
        <v/>
      </c>
      <c r="L384" s="107" t="str">
        <f t="shared" si="2"/>
        <v/>
      </c>
      <c r="M384" s="102"/>
    </row>
    <row r="385">
      <c r="A385" s="44"/>
      <c r="B385" s="102"/>
      <c r="C385" s="102"/>
      <c r="D385" s="102"/>
      <c r="E385" s="443"/>
      <c r="F385" s="443"/>
      <c r="G385" s="453"/>
      <c r="H385" s="453"/>
      <c r="I385" s="453"/>
      <c r="J385" s="106"/>
      <c r="K385" s="106" t="str">
        <f>IF(ISBLANK(I385), "", VLOOKUP(A385&amp;" "&amp;B385, 'Info Tipo de Cambio y REM'!$A$24:$B$35, 2, FALSE))</f>
        <v/>
      </c>
      <c r="L385" s="107" t="str">
        <f t="shared" si="2"/>
        <v/>
      </c>
      <c r="M385" s="102"/>
    </row>
    <row r="386">
      <c r="A386" s="44"/>
      <c r="B386" s="102"/>
      <c r="C386" s="102"/>
      <c r="D386" s="102"/>
      <c r="E386" s="443"/>
      <c r="F386" s="443"/>
      <c r="G386" s="453"/>
      <c r="H386" s="453"/>
      <c r="I386" s="453"/>
      <c r="J386" s="106"/>
      <c r="K386" s="106" t="str">
        <f>IF(ISBLANK(I386), "", VLOOKUP(A386&amp;" "&amp;B386, 'Info Tipo de Cambio y REM'!$A$24:$B$35, 2, FALSE))</f>
        <v/>
      </c>
      <c r="L386" s="107" t="str">
        <f t="shared" si="2"/>
        <v/>
      </c>
      <c r="M386" s="102"/>
    </row>
    <row r="387">
      <c r="A387" s="44"/>
      <c r="B387" s="102"/>
      <c r="C387" s="102"/>
      <c r="D387" s="102"/>
      <c r="E387" s="443"/>
      <c r="F387" s="443"/>
      <c r="G387" s="453"/>
      <c r="H387" s="453"/>
      <c r="I387" s="453"/>
      <c r="J387" s="106"/>
      <c r="K387" s="106" t="str">
        <f>IF(ISBLANK(I387), "", VLOOKUP(A387&amp;" "&amp;B387, 'Info Tipo de Cambio y REM'!$A$24:$B$35, 2, FALSE))</f>
        <v/>
      </c>
      <c r="L387" s="107" t="str">
        <f t="shared" si="2"/>
        <v/>
      </c>
      <c r="M387" s="102"/>
    </row>
    <row r="388">
      <c r="A388" s="44"/>
      <c r="B388" s="102"/>
      <c r="C388" s="102"/>
      <c r="D388" s="102"/>
      <c r="E388" s="443"/>
      <c r="F388" s="443"/>
      <c r="G388" s="453"/>
      <c r="H388" s="453"/>
      <c r="I388" s="453"/>
      <c r="J388" s="106"/>
      <c r="K388" s="106" t="str">
        <f>IF(ISBLANK(I388), "", VLOOKUP(A388&amp;" "&amp;B388, 'Info Tipo de Cambio y REM'!$A$24:$B$35, 2, FALSE))</f>
        <v/>
      </c>
      <c r="L388" s="107" t="str">
        <f t="shared" si="2"/>
        <v/>
      </c>
      <c r="M388" s="102"/>
    </row>
    <row r="389">
      <c r="A389" s="44"/>
      <c r="B389" s="102"/>
      <c r="C389" s="102"/>
      <c r="D389" s="102"/>
      <c r="E389" s="443"/>
      <c r="F389" s="443"/>
      <c r="G389" s="453"/>
      <c r="H389" s="453"/>
      <c r="I389" s="453"/>
      <c r="J389" s="106"/>
      <c r="K389" s="106" t="str">
        <f>IF(ISBLANK(I389), "", VLOOKUP(A389&amp;" "&amp;B389, 'Info Tipo de Cambio y REM'!$A$24:$B$35, 2, FALSE))</f>
        <v/>
      </c>
      <c r="L389" s="107" t="str">
        <f t="shared" si="2"/>
        <v/>
      </c>
      <c r="M389" s="102"/>
    </row>
    <row r="390">
      <c r="A390" s="44"/>
      <c r="B390" s="102"/>
      <c r="C390" s="102"/>
      <c r="D390" s="102"/>
      <c r="E390" s="443"/>
      <c r="F390" s="443"/>
      <c r="G390" s="453"/>
      <c r="H390" s="453"/>
      <c r="I390" s="453"/>
      <c r="J390" s="106"/>
      <c r="K390" s="106" t="str">
        <f>IF(ISBLANK(I390), "", VLOOKUP(A390&amp;" "&amp;B390, 'Info Tipo de Cambio y REM'!$A$24:$B$35, 2, FALSE))</f>
        <v/>
      </c>
      <c r="L390" s="107" t="str">
        <f t="shared" si="2"/>
        <v/>
      </c>
      <c r="M390" s="102"/>
    </row>
    <row r="391">
      <c r="A391" s="44"/>
      <c r="B391" s="102"/>
      <c r="C391" s="102"/>
      <c r="D391" s="102"/>
      <c r="E391" s="443"/>
      <c r="F391" s="443"/>
      <c r="G391" s="453"/>
      <c r="H391" s="453"/>
      <c r="I391" s="453"/>
      <c r="J391" s="106"/>
      <c r="K391" s="106" t="str">
        <f>IF(ISBLANK(I391), "", VLOOKUP(A391&amp;" "&amp;B391, 'Info Tipo de Cambio y REM'!$A$24:$B$35, 2, FALSE))</f>
        <v/>
      </c>
      <c r="L391" s="107" t="str">
        <f t="shared" si="2"/>
        <v/>
      </c>
      <c r="M391" s="102"/>
    </row>
    <row r="392">
      <c r="A392" s="44"/>
      <c r="B392" s="102"/>
      <c r="C392" s="102"/>
      <c r="D392" s="102"/>
      <c r="E392" s="443"/>
      <c r="F392" s="443"/>
      <c r="G392" s="453"/>
      <c r="H392" s="453"/>
      <c r="I392" s="453"/>
      <c r="J392" s="106"/>
      <c r="K392" s="106" t="str">
        <f>IF(ISBLANK(I392), "", VLOOKUP(A392&amp;" "&amp;B392, 'Info Tipo de Cambio y REM'!$A$24:$B$35, 2, FALSE))</f>
        <v/>
      </c>
      <c r="L392" s="107" t="str">
        <f t="shared" si="2"/>
        <v/>
      </c>
      <c r="M392" s="102"/>
    </row>
    <row r="393">
      <c r="A393" s="44"/>
      <c r="B393" s="102"/>
      <c r="C393" s="102"/>
      <c r="D393" s="102"/>
      <c r="E393" s="443"/>
      <c r="F393" s="443"/>
      <c r="G393" s="453"/>
      <c r="H393" s="453"/>
      <c r="I393" s="453"/>
      <c r="J393" s="106"/>
      <c r="K393" s="106" t="str">
        <f>IF(ISBLANK(I393), "", VLOOKUP(A393&amp;" "&amp;B393, 'Info Tipo de Cambio y REM'!$A$24:$B$35, 2, FALSE))</f>
        <v/>
      </c>
      <c r="L393" s="107" t="str">
        <f t="shared" si="2"/>
        <v/>
      </c>
      <c r="M393" s="102"/>
    </row>
    <row r="394">
      <c r="A394" s="44"/>
      <c r="B394" s="102"/>
      <c r="C394" s="102"/>
      <c r="D394" s="102"/>
      <c r="E394" s="443"/>
      <c r="F394" s="443"/>
      <c r="G394" s="453"/>
      <c r="H394" s="453"/>
      <c r="I394" s="453"/>
      <c r="J394" s="106"/>
      <c r="K394" s="106" t="str">
        <f>IF(ISBLANK(I394), "", VLOOKUP(A394&amp;" "&amp;B394, 'Info Tipo de Cambio y REM'!$A$24:$B$35, 2, FALSE))</f>
        <v/>
      </c>
      <c r="L394" s="107" t="str">
        <f t="shared" si="2"/>
        <v/>
      </c>
      <c r="M394" s="102"/>
    </row>
    <row r="395">
      <c r="A395" s="44"/>
      <c r="B395" s="102"/>
      <c r="C395" s="102"/>
      <c r="D395" s="102"/>
      <c r="E395" s="443"/>
      <c r="F395" s="443"/>
      <c r="G395" s="453"/>
      <c r="H395" s="453"/>
      <c r="I395" s="453"/>
      <c r="J395" s="106"/>
      <c r="K395" s="106" t="str">
        <f>IF(ISBLANK(I395), "", VLOOKUP(A395&amp;" "&amp;B395, 'Info Tipo de Cambio y REM'!$A$24:$B$35, 2, FALSE))</f>
        <v/>
      </c>
      <c r="L395" s="107" t="str">
        <f t="shared" si="2"/>
        <v/>
      </c>
      <c r="M395" s="102"/>
    </row>
    <row r="396">
      <c r="A396" s="44"/>
      <c r="B396" s="102"/>
      <c r="C396" s="102"/>
      <c r="D396" s="102"/>
      <c r="E396" s="443"/>
      <c r="F396" s="443"/>
      <c r="G396" s="453"/>
      <c r="H396" s="453"/>
      <c r="I396" s="453"/>
      <c r="J396" s="106"/>
      <c r="K396" s="106" t="str">
        <f>IF(ISBLANK(I396), "", VLOOKUP(A396&amp;" "&amp;B396, 'Info Tipo de Cambio y REM'!$A$24:$B$35, 2, FALSE))</f>
        <v/>
      </c>
      <c r="L396" s="107" t="str">
        <f t="shared" si="2"/>
        <v/>
      </c>
      <c r="M396" s="102"/>
    </row>
    <row r="397">
      <c r="A397" s="44"/>
      <c r="B397" s="102"/>
      <c r="C397" s="102"/>
      <c r="D397" s="102"/>
      <c r="E397" s="443"/>
      <c r="F397" s="443"/>
      <c r="G397" s="453"/>
      <c r="H397" s="453"/>
      <c r="I397" s="453"/>
      <c r="J397" s="106"/>
      <c r="K397" s="106" t="str">
        <f>IF(ISBLANK(I397), "", VLOOKUP(A397&amp;" "&amp;B397, 'Info Tipo de Cambio y REM'!$A$24:$B$35, 2, FALSE))</f>
        <v/>
      </c>
      <c r="L397" s="107" t="str">
        <f t="shared" si="2"/>
        <v/>
      </c>
      <c r="M397" s="102"/>
    </row>
    <row r="398">
      <c r="A398" s="44"/>
      <c r="B398" s="102"/>
      <c r="C398" s="102"/>
      <c r="D398" s="102"/>
      <c r="E398" s="443"/>
      <c r="F398" s="443"/>
      <c r="G398" s="453"/>
      <c r="H398" s="453"/>
      <c r="I398" s="453"/>
      <c r="J398" s="106"/>
      <c r="K398" s="106" t="str">
        <f>IF(ISBLANK(I398), "", VLOOKUP(A398&amp;" "&amp;B398, 'Info Tipo de Cambio y REM'!$A$24:$B$35, 2, FALSE))</f>
        <v/>
      </c>
      <c r="L398" s="107" t="str">
        <f t="shared" si="2"/>
        <v/>
      </c>
      <c r="M398" s="102"/>
    </row>
    <row r="399">
      <c r="A399" s="44"/>
      <c r="B399" s="102"/>
      <c r="C399" s="102"/>
      <c r="D399" s="102"/>
      <c r="E399" s="443"/>
      <c r="F399" s="443"/>
      <c r="G399" s="453"/>
      <c r="H399" s="453"/>
      <c r="I399" s="453"/>
      <c r="J399" s="106"/>
      <c r="K399" s="106" t="str">
        <f>IF(ISBLANK(I399), "", VLOOKUP(A399&amp;" "&amp;B399, 'Info Tipo de Cambio y REM'!$A$24:$B$35, 2, FALSE))</f>
        <v/>
      </c>
      <c r="L399" s="107" t="str">
        <f t="shared" si="2"/>
        <v/>
      </c>
      <c r="M399" s="102"/>
    </row>
    <row r="400">
      <c r="A400" s="44"/>
      <c r="B400" s="102"/>
      <c r="C400" s="102"/>
      <c r="D400" s="102"/>
      <c r="E400" s="443"/>
      <c r="F400" s="443"/>
      <c r="G400" s="453"/>
      <c r="H400" s="453"/>
      <c r="I400" s="453"/>
      <c r="J400" s="106"/>
      <c r="K400" s="106" t="str">
        <f>IF(ISBLANK(I400), "", VLOOKUP(A400&amp;" "&amp;B400, 'Info Tipo de Cambio y REM'!$A$24:$B$35, 2, FALSE))</f>
        <v/>
      </c>
      <c r="L400" s="107" t="str">
        <f t="shared" si="2"/>
        <v/>
      </c>
      <c r="M400" s="102"/>
    </row>
    <row r="401">
      <c r="A401" s="44"/>
      <c r="B401" s="102"/>
      <c r="C401" s="102"/>
      <c r="D401" s="102"/>
      <c r="E401" s="443"/>
      <c r="F401" s="443"/>
      <c r="G401" s="453"/>
      <c r="H401" s="453"/>
      <c r="I401" s="453"/>
      <c r="J401" s="106"/>
      <c r="K401" s="106" t="str">
        <f>IF(ISBLANK(I401), "", VLOOKUP(A401&amp;" "&amp;B401, 'Info Tipo de Cambio y REM'!$A$24:$B$35, 2, FALSE))</f>
        <v/>
      </c>
      <c r="L401" s="107" t="str">
        <f t="shared" si="2"/>
        <v/>
      </c>
      <c r="M401" s="102"/>
    </row>
    <row r="402">
      <c r="A402" s="44"/>
      <c r="B402" s="102"/>
      <c r="C402" s="102"/>
      <c r="D402" s="102"/>
      <c r="E402" s="443"/>
      <c r="F402" s="443"/>
      <c r="G402" s="453"/>
      <c r="H402" s="453"/>
      <c r="I402" s="453"/>
      <c r="J402" s="106"/>
      <c r="K402" s="106" t="str">
        <f>IF(ISBLANK(I402), "", VLOOKUP(A402&amp;" "&amp;B402, 'Info Tipo de Cambio y REM'!$A$24:$B$35, 2, FALSE))</f>
        <v/>
      </c>
      <c r="L402" s="107" t="str">
        <f t="shared" si="2"/>
        <v/>
      </c>
      <c r="M402" s="102"/>
    </row>
    <row r="403">
      <c r="A403" s="44"/>
      <c r="B403" s="102"/>
      <c r="C403" s="102"/>
      <c r="D403" s="102"/>
      <c r="E403" s="443"/>
      <c r="F403" s="443"/>
      <c r="G403" s="453"/>
      <c r="H403" s="453"/>
      <c r="I403" s="453"/>
      <c r="J403" s="106"/>
      <c r="K403" s="106" t="str">
        <f>IF(ISBLANK(I403), "", VLOOKUP(A403&amp;" "&amp;B403, 'Info Tipo de Cambio y REM'!$A$24:$B$35, 2, FALSE))</f>
        <v/>
      </c>
      <c r="L403" s="107" t="str">
        <f t="shared" si="2"/>
        <v/>
      </c>
      <c r="M403" s="102"/>
    </row>
    <row r="404">
      <c r="A404" s="44"/>
      <c r="B404" s="102"/>
      <c r="C404" s="102"/>
      <c r="D404" s="102"/>
      <c r="E404" s="443"/>
      <c r="F404" s="443"/>
      <c r="G404" s="453"/>
      <c r="H404" s="453"/>
      <c r="I404" s="453"/>
      <c r="J404" s="106"/>
      <c r="K404" s="106" t="str">
        <f>IF(ISBLANK(I404), "", VLOOKUP(A404&amp;" "&amp;B404, 'Info Tipo de Cambio y REM'!$A$24:$B$35, 2, FALSE))</f>
        <v/>
      </c>
      <c r="L404" s="107" t="str">
        <f t="shared" si="2"/>
        <v/>
      </c>
      <c r="M404" s="102"/>
    </row>
    <row r="405">
      <c r="A405" s="44"/>
      <c r="B405" s="102"/>
      <c r="C405" s="102"/>
      <c r="D405" s="102"/>
      <c r="E405" s="443"/>
      <c r="F405" s="443"/>
      <c r="G405" s="453"/>
      <c r="H405" s="453"/>
      <c r="I405" s="453"/>
      <c r="J405" s="106"/>
      <c r="K405" s="106" t="str">
        <f>IF(ISBLANK(I405), "", VLOOKUP(A405&amp;" "&amp;B405, 'Info Tipo de Cambio y REM'!$A$24:$B$35, 2, FALSE))</f>
        <v/>
      </c>
      <c r="L405" s="107" t="str">
        <f t="shared" si="2"/>
        <v/>
      </c>
      <c r="M405" s="102"/>
    </row>
    <row r="406">
      <c r="A406" s="44"/>
      <c r="B406" s="102"/>
      <c r="C406" s="102"/>
      <c r="D406" s="102"/>
      <c r="E406" s="443"/>
      <c r="F406" s="443"/>
      <c r="G406" s="453"/>
      <c r="H406" s="453"/>
      <c r="I406" s="453"/>
      <c r="J406" s="106"/>
      <c r="K406" s="106" t="str">
        <f>IF(ISBLANK(I406), "", VLOOKUP(A406&amp;" "&amp;B406, 'Info Tipo de Cambio y REM'!$A$24:$B$35, 2, FALSE))</f>
        <v/>
      </c>
      <c r="L406" s="107" t="str">
        <f t="shared" si="2"/>
        <v/>
      </c>
      <c r="M406" s="102"/>
    </row>
    <row r="407">
      <c r="A407" s="44"/>
      <c r="B407" s="102"/>
      <c r="C407" s="102"/>
      <c r="D407" s="102"/>
      <c r="E407" s="443"/>
      <c r="F407" s="443"/>
      <c r="G407" s="453"/>
      <c r="H407" s="453"/>
      <c r="I407" s="453"/>
      <c r="J407" s="106"/>
      <c r="K407" s="106" t="str">
        <f>IF(ISBLANK(I407), "", VLOOKUP(A407&amp;" "&amp;B407, 'Info Tipo de Cambio y REM'!$A$24:$B$35, 2, FALSE))</f>
        <v/>
      </c>
      <c r="L407" s="107" t="str">
        <f t="shared" si="2"/>
        <v/>
      </c>
      <c r="M407" s="102"/>
    </row>
    <row r="408">
      <c r="A408" s="44"/>
      <c r="B408" s="102"/>
      <c r="C408" s="102"/>
      <c r="D408" s="102"/>
      <c r="E408" s="443"/>
      <c r="F408" s="443"/>
      <c r="G408" s="453"/>
      <c r="H408" s="453"/>
      <c r="I408" s="453"/>
      <c r="J408" s="106"/>
      <c r="K408" s="106" t="str">
        <f>IF(ISBLANK(I408), "", VLOOKUP(A408&amp;" "&amp;B408, 'Info Tipo de Cambio y REM'!$A$24:$B$35, 2, FALSE))</f>
        <v/>
      </c>
      <c r="L408" s="107" t="str">
        <f t="shared" si="2"/>
        <v/>
      </c>
      <c r="M408" s="102"/>
    </row>
    <row r="409">
      <c r="A409" s="44"/>
      <c r="B409" s="102"/>
      <c r="C409" s="102"/>
      <c r="D409" s="102"/>
      <c r="E409" s="443"/>
      <c r="F409" s="443"/>
      <c r="G409" s="453"/>
      <c r="H409" s="453"/>
      <c r="I409" s="453"/>
      <c r="J409" s="106"/>
      <c r="K409" s="106" t="str">
        <f>IF(ISBLANK(I409), "", VLOOKUP(A409&amp;" "&amp;B409, 'Info Tipo de Cambio y REM'!$A$24:$B$35, 2, FALSE))</f>
        <v/>
      </c>
      <c r="L409" s="107" t="str">
        <f t="shared" si="2"/>
        <v/>
      </c>
      <c r="M409" s="102"/>
    </row>
    <row r="410">
      <c r="A410" s="44"/>
      <c r="B410" s="102"/>
      <c r="C410" s="102"/>
      <c r="D410" s="102"/>
      <c r="E410" s="443"/>
      <c r="F410" s="443"/>
      <c r="G410" s="453"/>
      <c r="H410" s="453"/>
      <c r="I410" s="453"/>
      <c r="J410" s="106"/>
      <c r="K410" s="106" t="str">
        <f>IF(ISBLANK(I410), "", VLOOKUP(A410&amp;" "&amp;B410, 'Info Tipo de Cambio y REM'!$A$24:$B$35, 2, FALSE))</f>
        <v/>
      </c>
      <c r="L410" s="107" t="str">
        <f t="shared" si="2"/>
        <v/>
      </c>
      <c r="M410" s="102"/>
    </row>
    <row r="411">
      <c r="A411" s="44"/>
      <c r="B411" s="102"/>
      <c r="C411" s="102"/>
      <c r="D411" s="102"/>
      <c r="E411" s="443"/>
      <c r="F411" s="443"/>
      <c r="G411" s="453"/>
      <c r="H411" s="453"/>
      <c r="I411" s="453"/>
      <c r="J411" s="106"/>
      <c r="K411" s="106" t="str">
        <f>IF(ISBLANK(I411), "", VLOOKUP(A411&amp;" "&amp;B411, 'Info Tipo de Cambio y REM'!$A$24:$B$35, 2, FALSE))</f>
        <v/>
      </c>
      <c r="L411" s="107" t="str">
        <f t="shared" si="2"/>
        <v/>
      </c>
      <c r="M411" s="102"/>
    </row>
    <row r="412">
      <c r="A412" s="44"/>
      <c r="B412" s="102"/>
      <c r="C412" s="102"/>
      <c r="D412" s="102"/>
      <c r="E412" s="443"/>
      <c r="F412" s="443"/>
      <c r="G412" s="453"/>
      <c r="H412" s="453"/>
      <c r="I412" s="453"/>
      <c r="J412" s="106"/>
      <c r="K412" s="106" t="str">
        <f>IF(ISBLANK(I412), "", VLOOKUP(A412&amp;" "&amp;B412, 'Info Tipo de Cambio y REM'!$A$24:$B$35, 2, FALSE))</f>
        <v/>
      </c>
      <c r="L412" s="107" t="str">
        <f t="shared" si="2"/>
        <v/>
      </c>
      <c r="M412" s="102"/>
    </row>
    <row r="413">
      <c r="A413" s="44"/>
      <c r="B413" s="102"/>
      <c r="C413" s="102"/>
      <c r="D413" s="102"/>
      <c r="E413" s="443"/>
      <c r="F413" s="443"/>
      <c r="G413" s="453"/>
      <c r="H413" s="453"/>
      <c r="I413" s="453"/>
      <c r="J413" s="106"/>
      <c r="K413" s="106" t="str">
        <f>IF(ISBLANK(I413), "", VLOOKUP(A413&amp;" "&amp;B413, 'Info Tipo de Cambio y REM'!$A$24:$B$35, 2, FALSE))</f>
        <v/>
      </c>
      <c r="L413" s="107" t="str">
        <f t="shared" si="2"/>
        <v/>
      </c>
      <c r="M413" s="102"/>
    </row>
    <row r="414">
      <c r="A414" s="44"/>
      <c r="B414" s="102"/>
      <c r="C414" s="102"/>
      <c r="D414" s="102"/>
      <c r="E414" s="443"/>
      <c r="F414" s="443"/>
      <c r="G414" s="453"/>
      <c r="H414" s="453"/>
      <c r="I414" s="453"/>
      <c r="J414" s="106"/>
      <c r="K414" s="106" t="str">
        <f>IF(ISBLANK(I414), "", VLOOKUP(A414&amp;" "&amp;B414, 'Info Tipo de Cambio y REM'!$A$24:$B$35, 2, FALSE))</f>
        <v/>
      </c>
      <c r="L414" s="107" t="str">
        <f t="shared" si="2"/>
        <v/>
      </c>
      <c r="M414" s="102"/>
    </row>
    <row r="415">
      <c r="A415" s="44"/>
      <c r="B415" s="102"/>
      <c r="C415" s="102"/>
      <c r="D415" s="102"/>
      <c r="E415" s="443"/>
      <c r="F415" s="443"/>
      <c r="G415" s="453"/>
      <c r="H415" s="453"/>
      <c r="I415" s="453"/>
      <c r="J415" s="106"/>
      <c r="K415" s="106" t="str">
        <f>IF(ISBLANK(I415), "", VLOOKUP(A415&amp;" "&amp;B415, 'Info Tipo de Cambio y REM'!$A$24:$B$35, 2, FALSE))</f>
        <v/>
      </c>
      <c r="L415" s="107" t="str">
        <f t="shared" si="2"/>
        <v/>
      </c>
      <c r="M415" s="102"/>
    </row>
    <row r="416">
      <c r="A416" s="44"/>
      <c r="B416" s="102"/>
      <c r="C416" s="102"/>
      <c r="D416" s="102"/>
      <c r="E416" s="443"/>
      <c r="F416" s="443"/>
      <c r="G416" s="453"/>
      <c r="H416" s="453"/>
      <c r="I416" s="453"/>
      <c r="J416" s="106"/>
      <c r="K416" s="106" t="str">
        <f>IF(ISBLANK(I416), "", VLOOKUP(A416&amp;" "&amp;B416, 'Info Tipo de Cambio y REM'!$A$24:$B$35, 2, FALSE))</f>
        <v/>
      </c>
      <c r="L416" s="107" t="str">
        <f t="shared" si="2"/>
        <v/>
      </c>
      <c r="M416" s="102"/>
    </row>
    <row r="417">
      <c r="A417" s="44"/>
      <c r="B417" s="102"/>
      <c r="C417" s="102"/>
      <c r="D417" s="102"/>
      <c r="E417" s="443"/>
      <c r="F417" s="443"/>
      <c r="G417" s="453"/>
      <c r="H417" s="453"/>
      <c r="I417" s="453"/>
      <c r="J417" s="106"/>
      <c r="K417" s="106" t="str">
        <f>IF(ISBLANK(I417), "", VLOOKUP(A417&amp;" "&amp;B417, 'Info Tipo de Cambio y REM'!$A$24:$B$35, 2, FALSE))</f>
        <v/>
      </c>
      <c r="L417" s="107" t="str">
        <f t="shared" si="2"/>
        <v/>
      </c>
      <c r="M417" s="102"/>
    </row>
    <row r="418">
      <c r="A418" s="44"/>
      <c r="B418" s="102"/>
      <c r="C418" s="102"/>
      <c r="D418" s="102"/>
      <c r="E418" s="443"/>
      <c r="F418" s="443"/>
      <c r="G418" s="453"/>
      <c r="H418" s="453"/>
      <c r="I418" s="453"/>
      <c r="J418" s="106"/>
      <c r="K418" s="106" t="str">
        <f>IF(ISBLANK(I418), "", VLOOKUP(A418&amp;" "&amp;B418, 'Info Tipo de Cambio y REM'!$A$24:$B$35, 2, FALSE))</f>
        <v/>
      </c>
      <c r="L418" s="107" t="str">
        <f t="shared" si="2"/>
        <v/>
      </c>
      <c r="M418" s="102"/>
    </row>
    <row r="419">
      <c r="A419" s="44"/>
      <c r="B419" s="102"/>
      <c r="C419" s="102"/>
      <c r="D419" s="102"/>
      <c r="E419" s="443"/>
      <c r="F419" s="443"/>
      <c r="G419" s="453"/>
      <c r="H419" s="453"/>
      <c r="I419" s="453"/>
      <c r="J419" s="106"/>
      <c r="K419" s="106" t="str">
        <f>IF(ISBLANK(I419), "", VLOOKUP(A419&amp;" "&amp;B419, 'Info Tipo de Cambio y REM'!$A$24:$B$35, 2, FALSE))</f>
        <v/>
      </c>
      <c r="L419" s="107" t="str">
        <f t="shared" si="2"/>
        <v/>
      </c>
      <c r="M419" s="102"/>
    </row>
    <row r="420">
      <c r="A420" s="44"/>
      <c r="B420" s="102"/>
      <c r="C420" s="102"/>
      <c r="D420" s="102"/>
      <c r="E420" s="443"/>
      <c r="F420" s="443"/>
      <c r="G420" s="453"/>
      <c r="H420" s="453"/>
      <c r="I420" s="453"/>
      <c r="J420" s="106"/>
      <c r="K420" s="106" t="str">
        <f>IF(ISBLANK(I420), "", VLOOKUP(A420&amp;" "&amp;B420, 'Info Tipo de Cambio y REM'!$A$24:$B$35, 2, FALSE))</f>
        <v/>
      </c>
      <c r="L420" s="107" t="str">
        <f t="shared" si="2"/>
        <v/>
      </c>
      <c r="M420" s="102"/>
    </row>
    <row r="421">
      <c r="A421" s="44"/>
      <c r="B421" s="102"/>
      <c r="C421" s="102"/>
      <c r="D421" s="102"/>
      <c r="E421" s="443"/>
      <c r="F421" s="443"/>
      <c r="G421" s="453"/>
      <c r="H421" s="453"/>
      <c r="I421" s="453"/>
      <c r="J421" s="106"/>
      <c r="K421" s="106" t="str">
        <f>IF(ISBLANK(I421), "", VLOOKUP(A421&amp;" "&amp;B421, 'Info Tipo de Cambio y REM'!$A$24:$B$35, 2, FALSE))</f>
        <v/>
      </c>
      <c r="L421" s="107" t="str">
        <f t="shared" si="2"/>
        <v/>
      </c>
      <c r="M421" s="102"/>
    </row>
    <row r="422">
      <c r="A422" s="44"/>
      <c r="B422" s="102"/>
      <c r="C422" s="102"/>
      <c r="D422" s="102"/>
      <c r="E422" s="443"/>
      <c r="F422" s="443"/>
      <c r="G422" s="453"/>
      <c r="H422" s="453"/>
      <c r="I422" s="453"/>
      <c r="J422" s="106"/>
      <c r="K422" s="106" t="str">
        <f>IF(ISBLANK(I422), "", VLOOKUP(A422&amp;" "&amp;B422, 'Info Tipo de Cambio y REM'!$A$24:$B$35, 2, FALSE))</f>
        <v/>
      </c>
      <c r="L422" s="107" t="str">
        <f t="shared" si="2"/>
        <v/>
      </c>
      <c r="M422" s="102"/>
    </row>
    <row r="423">
      <c r="A423" s="44"/>
      <c r="B423" s="102"/>
      <c r="C423" s="102"/>
      <c r="D423" s="102"/>
      <c r="E423" s="443"/>
      <c r="F423" s="443"/>
      <c r="G423" s="453"/>
      <c r="H423" s="453"/>
      <c r="I423" s="453"/>
      <c r="J423" s="106"/>
      <c r="K423" s="106" t="str">
        <f>IF(ISBLANK(I423), "", VLOOKUP(A423&amp;" "&amp;B423, 'Info Tipo de Cambio y REM'!$A$24:$B$35, 2, FALSE))</f>
        <v/>
      </c>
      <c r="L423" s="107" t="str">
        <f t="shared" si="2"/>
        <v/>
      </c>
      <c r="M423" s="102"/>
    </row>
    <row r="424">
      <c r="A424" s="44"/>
      <c r="B424" s="102"/>
      <c r="C424" s="102"/>
      <c r="D424" s="102"/>
      <c r="E424" s="443"/>
      <c r="F424" s="443"/>
      <c r="G424" s="453"/>
      <c r="H424" s="453"/>
      <c r="I424" s="453"/>
      <c r="J424" s="106"/>
      <c r="K424" s="106" t="str">
        <f>IF(ISBLANK(I424), "", VLOOKUP(A424&amp;" "&amp;B424, 'Info Tipo de Cambio y REM'!$A$24:$B$35, 2, FALSE))</f>
        <v/>
      </c>
      <c r="L424" s="107" t="str">
        <f t="shared" si="2"/>
        <v/>
      </c>
      <c r="M424" s="102"/>
    </row>
    <row r="425">
      <c r="A425" s="44"/>
      <c r="B425" s="102"/>
      <c r="C425" s="102"/>
      <c r="D425" s="102"/>
      <c r="E425" s="443"/>
      <c r="F425" s="443"/>
      <c r="G425" s="453"/>
      <c r="H425" s="453"/>
      <c r="I425" s="453"/>
      <c r="J425" s="106"/>
      <c r="K425" s="106" t="str">
        <f>IF(ISBLANK(I425), "", VLOOKUP(A425&amp;" "&amp;B425, 'Info Tipo de Cambio y REM'!$A$24:$B$35, 2, FALSE))</f>
        <v/>
      </c>
      <c r="L425" s="107" t="str">
        <f t="shared" si="2"/>
        <v/>
      </c>
      <c r="M425" s="102"/>
    </row>
    <row r="426">
      <c r="A426" s="44"/>
      <c r="B426" s="102"/>
      <c r="C426" s="102"/>
      <c r="D426" s="102"/>
      <c r="E426" s="443"/>
      <c r="F426" s="443"/>
      <c r="G426" s="453"/>
      <c r="H426" s="453"/>
      <c r="I426" s="453"/>
      <c r="J426" s="106"/>
      <c r="K426" s="106" t="str">
        <f>IF(ISBLANK(I426), "", VLOOKUP(A426&amp;" "&amp;B426, 'Info Tipo de Cambio y REM'!$A$24:$B$35, 2, FALSE))</f>
        <v/>
      </c>
      <c r="L426" s="107" t="str">
        <f t="shared" si="2"/>
        <v/>
      </c>
      <c r="M426" s="102"/>
    </row>
    <row r="427">
      <c r="A427" s="44"/>
      <c r="B427" s="102"/>
      <c r="C427" s="102"/>
      <c r="D427" s="102"/>
      <c r="E427" s="443"/>
      <c r="F427" s="443"/>
      <c r="G427" s="453"/>
      <c r="H427" s="453"/>
      <c r="I427" s="453"/>
      <c r="J427" s="106"/>
      <c r="K427" s="106" t="str">
        <f>IF(ISBLANK(I427), "", VLOOKUP(A427&amp;" "&amp;B427, 'Info Tipo de Cambio y REM'!$A$24:$B$35, 2, FALSE))</f>
        <v/>
      </c>
      <c r="L427" s="107" t="str">
        <f t="shared" si="2"/>
        <v/>
      </c>
      <c r="M427" s="102"/>
    </row>
    <row r="428">
      <c r="A428" s="44"/>
      <c r="B428" s="102"/>
      <c r="C428" s="102"/>
      <c r="D428" s="102"/>
      <c r="E428" s="443"/>
      <c r="F428" s="443"/>
      <c r="G428" s="453"/>
      <c r="H428" s="453"/>
      <c r="I428" s="453"/>
      <c r="J428" s="106"/>
      <c r="K428" s="106" t="str">
        <f>IF(ISBLANK(I428), "", VLOOKUP(A428&amp;" "&amp;B428, 'Info Tipo de Cambio y REM'!$A$24:$B$35, 2, FALSE))</f>
        <v/>
      </c>
      <c r="L428" s="107" t="str">
        <f t="shared" si="2"/>
        <v/>
      </c>
      <c r="M428" s="102"/>
    </row>
    <row r="429">
      <c r="A429" s="44"/>
      <c r="B429" s="102"/>
      <c r="C429" s="102"/>
      <c r="D429" s="102"/>
      <c r="E429" s="443"/>
      <c r="F429" s="443"/>
      <c r="G429" s="453"/>
      <c r="H429" s="453"/>
      <c r="I429" s="453"/>
      <c r="J429" s="106"/>
      <c r="K429" s="106" t="str">
        <f>IF(ISBLANK(I429), "", VLOOKUP(A429&amp;" "&amp;B429, 'Info Tipo de Cambio y REM'!$A$24:$B$35, 2, FALSE))</f>
        <v/>
      </c>
      <c r="L429" s="107" t="str">
        <f t="shared" si="2"/>
        <v/>
      </c>
      <c r="M429" s="102"/>
    </row>
    <row r="430">
      <c r="A430" s="44"/>
      <c r="B430" s="102"/>
      <c r="C430" s="102"/>
      <c r="D430" s="102"/>
      <c r="E430" s="443"/>
      <c r="F430" s="443"/>
      <c r="G430" s="453"/>
      <c r="H430" s="453"/>
      <c r="I430" s="453"/>
      <c r="J430" s="106"/>
      <c r="K430" s="106" t="str">
        <f>IF(ISBLANK(I430), "", VLOOKUP(A430&amp;" "&amp;B430, 'Info Tipo de Cambio y REM'!$A$24:$B$35, 2, FALSE))</f>
        <v/>
      </c>
      <c r="L430" s="107" t="str">
        <f t="shared" si="2"/>
        <v/>
      </c>
      <c r="M430" s="102"/>
    </row>
    <row r="431">
      <c r="A431" s="44"/>
      <c r="B431" s="102"/>
      <c r="C431" s="102"/>
      <c r="D431" s="102"/>
      <c r="E431" s="443"/>
      <c r="F431" s="443"/>
      <c r="G431" s="453"/>
      <c r="H431" s="453"/>
      <c r="I431" s="453"/>
      <c r="J431" s="106"/>
      <c r="K431" s="106" t="str">
        <f>IF(ISBLANK(I431), "", VLOOKUP(A431&amp;" "&amp;B431, 'Info Tipo de Cambio y REM'!$A$24:$B$35, 2, FALSE))</f>
        <v/>
      </c>
      <c r="L431" s="107" t="str">
        <f t="shared" si="2"/>
        <v/>
      </c>
      <c r="M431" s="102"/>
    </row>
    <row r="432">
      <c r="A432" s="44"/>
      <c r="B432" s="102"/>
      <c r="C432" s="102"/>
      <c r="D432" s="102"/>
      <c r="E432" s="443"/>
      <c r="F432" s="443"/>
      <c r="G432" s="453"/>
      <c r="H432" s="453"/>
      <c r="I432" s="453"/>
      <c r="J432" s="106"/>
      <c r="K432" s="106" t="str">
        <f>IF(ISBLANK(I432), "", VLOOKUP(A432&amp;" "&amp;B432, 'Info Tipo de Cambio y REM'!$A$24:$B$35, 2, FALSE))</f>
        <v/>
      </c>
      <c r="L432" s="107" t="str">
        <f t="shared" si="2"/>
        <v/>
      </c>
      <c r="M432" s="102"/>
    </row>
    <row r="433">
      <c r="A433" s="44"/>
      <c r="B433" s="102"/>
      <c r="C433" s="102"/>
      <c r="D433" s="102"/>
      <c r="E433" s="443"/>
      <c r="F433" s="443"/>
      <c r="G433" s="453"/>
      <c r="H433" s="453"/>
      <c r="I433" s="453"/>
      <c r="J433" s="106"/>
      <c r="K433" s="106" t="str">
        <f>IF(ISBLANK(I433), "", VLOOKUP(A433&amp;" "&amp;B433, 'Info Tipo de Cambio y REM'!$A$24:$B$35, 2, FALSE))</f>
        <v/>
      </c>
      <c r="L433" s="107" t="str">
        <f t="shared" si="2"/>
        <v/>
      </c>
      <c r="M433" s="102"/>
    </row>
    <row r="434">
      <c r="A434" s="44"/>
      <c r="B434" s="102"/>
      <c r="C434" s="102"/>
      <c r="D434" s="102"/>
      <c r="E434" s="443"/>
      <c r="F434" s="443"/>
      <c r="G434" s="453"/>
      <c r="H434" s="453"/>
      <c r="I434" s="453"/>
      <c r="J434" s="106"/>
      <c r="K434" s="106" t="str">
        <f>IF(ISBLANK(I434), "", VLOOKUP(A434&amp;" "&amp;B434, 'Info Tipo de Cambio y REM'!$A$24:$B$35, 2, FALSE))</f>
        <v/>
      </c>
      <c r="L434" s="107" t="str">
        <f t="shared" si="2"/>
        <v/>
      </c>
      <c r="M434" s="102"/>
    </row>
    <row r="435">
      <c r="A435" s="44"/>
      <c r="B435" s="102"/>
      <c r="C435" s="102"/>
      <c r="D435" s="102"/>
      <c r="E435" s="443"/>
      <c r="F435" s="443"/>
      <c r="G435" s="453"/>
      <c r="H435" s="453"/>
      <c r="I435" s="453"/>
      <c r="J435" s="106"/>
      <c r="K435" s="106" t="str">
        <f>IF(ISBLANK(I435), "", VLOOKUP(A435&amp;" "&amp;B435, 'Info Tipo de Cambio y REM'!$A$24:$B$35, 2, FALSE))</f>
        <v/>
      </c>
      <c r="L435" s="107" t="str">
        <f t="shared" si="2"/>
        <v/>
      </c>
      <c r="M435" s="102"/>
    </row>
    <row r="436">
      <c r="A436" s="44"/>
      <c r="B436" s="102"/>
      <c r="C436" s="102"/>
      <c r="D436" s="102"/>
      <c r="E436" s="443"/>
      <c r="F436" s="443"/>
      <c r="G436" s="453"/>
      <c r="H436" s="453"/>
      <c r="I436" s="453"/>
      <c r="J436" s="106"/>
      <c r="K436" s="106" t="str">
        <f>IF(ISBLANK(I436), "", VLOOKUP(A436&amp;" "&amp;B436, 'Info Tipo de Cambio y REM'!$A$24:$B$35, 2, FALSE))</f>
        <v/>
      </c>
      <c r="L436" s="107" t="str">
        <f t="shared" si="2"/>
        <v/>
      </c>
      <c r="M436" s="102"/>
    </row>
    <row r="437">
      <c r="A437" s="44"/>
      <c r="B437" s="102"/>
      <c r="C437" s="102"/>
      <c r="D437" s="102"/>
      <c r="E437" s="443"/>
      <c r="F437" s="443"/>
      <c r="G437" s="453"/>
      <c r="H437" s="453"/>
      <c r="I437" s="453"/>
      <c r="J437" s="106"/>
      <c r="K437" s="106" t="str">
        <f>IF(ISBLANK(I437), "", VLOOKUP(A437&amp;" "&amp;B437, 'Info Tipo de Cambio y REM'!$A$24:$B$35, 2, FALSE))</f>
        <v/>
      </c>
      <c r="L437" s="107" t="str">
        <f t="shared" si="2"/>
        <v/>
      </c>
      <c r="M437" s="102"/>
    </row>
    <row r="438">
      <c r="A438" s="44"/>
      <c r="B438" s="102"/>
      <c r="C438" s="102"/>
      <c r="D438" s="102"/>
      <c r="E438" s="443"/>
      <c r="F438" s="443"/>
      <c r="G438" s="453"/>
      <c r="H438" s="453"/>
      <c r="I438" s="453"/>
      <c r="J438" s="106"/>
      <c r="K438" s="106" t="str">
        <f>IF(ISBLANK(I438), "", VLOOKUP(A438&amp;" "&amp;B438, 'Info Tipo de Cambio y REM'!$A$24:$B$35, 2, FALSE))</f>
        <v/>
      </c>
      <c r="L438" s="107" t="str">
        <f t="shared" si="2"/>
        <v/>
      </c>
      <c r="M438" s="102"/>
    </row>
    <row r="439">
      <c r="A439" s="44"/>
      <c r="B439" s="102"/>
      <c r="C439" s="102"/>
      <c r="D439" s="102"/>
      <c r="E439" s="443"/>
      <c r="F439" s="443"/>
      <c r="G439" s="453"/>
      <c r="H439" s="453"/>
      <c r="I439" s="453"/>
      <c r="J439" s="106"/>
      <c r="K439" s="106" t="str">
        <f>IF(ISBLANK(I439), "", VLOOKUP(A439&amp;" "&amp;B439, 'Info Tipo de Cambio y REM'!$A$24:$B$35, 2, FALSE))</f>
        <v/>
      </c>
      <c r="L439" s="107" t="str">
        <f t="shared" si="2"/>
        <v/>
      </c>
      <c r="M439" s="102"/>
    </row>
    <row r="440">
      <c r="A440" s="44"/>
      <c r="B440" s="102"/>
      <c r="C440" s="102"/>
      <c r="D440" s="102"/>
      <c r="E440" s="443"/>
      <c r="F440" s="443"/>
      <c r="G440" s="453"/>
      <c r="H440" s="453"/>
      <c r="I440" s="453"/>
      <c r="J440" s="106"/>
      <c r="K440" s="106" t="str">
        <f>IF(ISBLANK(I440), "", VLOOKUP(A440&amp;" "&amp;B440, 'Info Tipo de Cambio y REM'!$A$24:$B$35, 2, FALSE))</f>
        <v/>
      </c>
      <c r="L440" s="107" t="str">
        <f t="shared" si="2"/>
        <v/>
      </c>
      <c r="M440" s="102"/>
    </row>
    <row r="441">
      <c r="A441" s="44"/>
      <c r="B441" s="102"/>
      <c r="C441" s="102"/>
      <c r="D441" s="102"/>
      <c r="E441" s="443"/>
      <c r="F441" s="443"/>
      <c r="G441" s="453"/>
      <c r="H441" s="453"/>
      <c r="I441" s="453"/>
      <c r="J441" s="106"/>
      <c r="K441" s="106" t="str">
        <f>IF(ISBLANK(I441), "", VLOOKUP(A441&amp;" "&amp;B441, 'Info Tipo de Cambio y REM'!$A$24:$B$35, 2, FALSE))</f>
        <v/>
      </c>
      <c r="L441" s="107" t="str">
        <f t="shared" si="2"/>
        <v/>
      </c>
      <c r="M441" s="102"/>
    </row>
    <row r="442">
      <c r="A442" s="44"/>
      <c r="B442" s="102"/>
      <c r="C442" s="102"/>
      <c r="D442" s="102"/>
      <c r="E442" s="443"/>
      <c r="F442" s="443"/>
      <c r="G442" s="453"/>
      <c r="H442" s="453"/>
      <c r="I442" s="453"/>
      <c r="J442" s="106"/>
      <c r="K442" s="106" t="str">
        <f>IF(ISBLANK(I442), "", VLOOKUP(A442&amp;" "&amp;B442, 'Info Tipo de Cambio y REM'!$A$24:$B$35, 2, FALSE))</f>
        <v/>
      </c>
      <c r="L442" s="107" t="str">
        <f t="shared" si="2"/>
        <v/>
      </c>
      <c r="M442" s="102"/>
    </row>
    <row r="443">
      <c r="A443" s="44"/>
      <c r="B443" s="102"/>
      <c r="C443" s="102"/>
      <c r="D443" s="102"/>
      <c r="E443" s="443"/>
      <c r="F443" s="443"/>
      <c r="G443" s="453"/>
      <c r="H443" s="453"/>
      <c r="I443" s="453"/>
      <c r="J443" s="106"/>
      <c r="K443" s="106" t="str">
        <f>IF(ISBLANK(I443), "", VLOOKUP(A443&amp;" "&amp;B443, 'Info Tipo de Cambio y REM'!$A$24:$B$35, 2, FALSE))</f>
        <v/>
      </c>
      <c r="L443" s="107" t="str">
        <f t="shared" si="2"/>
        <v/>
      </c>
      <c r="M443" s="102"/>
    </row>
    <row r="444">
      <c r="A444" s="44"/>
      <c r="B444" s="102"/>
      <c r="C444" s="102"/>
      <c r="D444" s="102"/>
      <c r="E444" s="443"/>
      <c r="F444" s="443"/>
      <c r="G444" s="453"/>
      <c r="H444" s="453"/>
      <c r="I444" s="453"/>
      <c r="J444" s="106"/>
      <c r="K444" s="106" t="str">
        <f>IF(ISBLANK(I444), "", VLOOKUP(A444&amp;" "&amp;B444, 'Info Tipo de Cambio y REM'!$A$24:$B$35, 2, FALSE))</f>
        <v/>
      </c>
      <c r="L444" s="107" t="str">
        <f t="shared" si="2"/>
        <v/>
      </c>
      <c r="M444" s="102"/>
    </row>
    <row r="445">
      <c r="A445" s="44"/>
      <c r="B445" s="102"/>
      <c r="C445" s="102"/>
      <c r="D445" s="102"/>
      <c r="E445" s="443"/>
      <c r="F445" s="443"/>
      <c r="G445" s="453"/>
      <c r="H445" s="453"/>
      <c r="I445" s="453"/>
      <c r="J445" s="106"/>
      <c r="K445" s="106" t="str">
        <f>IF(ISBLANK(I445), "", VLOOKUP(A445&amp;" "&amp;B445, 'Info Tipo de Cambio y REM'!$A$24:$B$35, 2, FALSE))</f>
        <v/>
      </c>
      <c r="L445" s="107" t="str">
        <f t="shared" si="2"/>
        <v/>
      </c>
      <c r="M445" s="102"/>
    </row>
    <row r="446">
      <c r="A446" s="44"/>
      <c r="B446" s="102"/>
      <c r="C446" s="102"/>
      <c r="D446" s="102"/>
      <c r="E446" s="443"/>
      <c r="F446" s="443"/>
      <c r="G446" s="453"/>
      <c r="H446" s="453"/>
      <c r="I446" s="453"/>
      <c r="J446" s="106"/>
      <c r="K446" s="106" t="str">
        <f>IF(ISBLANK(I446), "", VLOOKUP(A446&amp;" "&amp;B446, 'Info Tipo de Cambio y REM'!$A$24:$B$35, 2, FALSE))</f>
        <v/>
      </c>
      <c r="L446" s="107" t="str">
        <f t="shared" si="2"/>
        <v/>
      </c>
      <c r="M446" s="102"/>
    </row>
    <row r="447">
      <c r="A447" s="44"/>
      <c r="B447" s="102"/>
      <c r="C447" s="102"/>
      <c r="D447" s="102"/>
      <c r="E447" s="443"/>
      <c r="F447" s="443"/>
      <c r="G447" s="453"/>
      <c r="H447" s="453"/>
      <c r="I447" s="453"/>
      <c r="J447" s="106"/>
      <c r="K447" s="106" t="str">
        <f>IF(ISBLANK(I447), "", VLOOKUP(A447&amp;" "&amp;B447, 'Info Tipo de Cambio y REM'!$A$24:$B$35, 2, FALSE))</f>
        <v/>
      </c>
      <c r="L447" s="107" t="str">
        <f t="shared" si="2"/>
        <v/>
      </c>
      <c r="M447" s="102"/>
    </row>
    <row r="448">
      <c r="A448" s="44"/>
      <c r="B448" s="102"/>
      <c r="C448" s="102"/>
      <c r="D448" s="102"/>
      <c r="E448" s="443"/>
      <c r="F448" s="443"/>
      <c r="G448" s="453"/>
      <c r="H448" s="453"/>
      <c r="I448" s="453"/>
      <c r="J448" s="106"/>
      <c r="K448" s="106" t="str">
        <f>IF(ISBLANK(I448), "", VLOOKUP(A448&amp;" "&amp;B448, 'Info Tipo de Cambio y REM'!$A$24:$B$35, 2, FALSE))</f>
        <v/>
      </c>
      <c r="L448" s="107" t="str">
        <f t="shared" si="2"/>
        <v/>
      </c>
      <c r="M448" s="102"/>
    </row>
    <row r="449">
      <c r="A449" s="44"/>
      <c r="B449" s="102"/>
      <c r="C449" s="102"/>
      <c r="D449" s="102"/>
      <c r="E449" s="443"/>
      <c r="F449" s="443"/>
      <c r="G449" s="453"/>
      <c r="H449" s="453"/>
      <c r="I449" s="453"/>
      <c r="J449" s="106"/>
      <c r="K449" s="106" t="str">
        <f>IF(ISBLANK(I449), "", VLOOKUP(A449&amp;" "&amp;B449, 'Info Tipo de Cambio y REM'!$A$24:$B$35, 2, FALSE))</f>
        <v/>
      </c>
      <c r="L449" s="107" t="str">
        <f t="shared" si="2"/>
        <v/>
      </c>
      <c r="M449" s="102"/>
    </row>
    <row r="450">
      <c r="A450" s="44"/>
      <c r="B450" s="102"/>
      <c r="C450" s="102"/>
      <c r="D450" s="102"/>
      <c r="E450" s="443"/>
      <c r="F450" s="443"/>
      <c r="G450" s="453"/>
      <c r="H450" s="453"/>
      <c r="I450" s="453"/>
      <c r="J450" s="106"/>
      <c r="K450" s="106" t="str">
        <f>IF(ISBLANK(I450), "", VLOOKUP(A450&amp;" "&amp;B450, 'Info Tipo de Cambio y REM'!$A$24:$B$35, 2, FALSE))</f>
        <v/>
      </c>
      <c r="L450" s="107" t="str">
        <f t="shared" si="2"/>
        <v/>
      </c>
      <c r="M450" s="102"/>
    </row>
    <row r="451">
      <c r="A451" s="44"/>
      <c r="B451" s="102"/>
      <c r="C451" s="102"/>
      <c r="D451" s="102"/>
      <c r="E451" s="443"/>
      <c r="F451" s="443"/>
      <c r="G451" s="453"/>
      <c r="H451" s="453"/>
      <c r="I451" s="453"/>
      <c r="J451" s="106"/>
      <c r="K451" s="106" t="str">
        <f>IF(ISBLANK(I451), "", VLOOKUP(A451&amp;" "&amp;B451, 'Info Tipo de Cambio y REM'!$A$24:$B$35, 2, FALSE))</f>
        <v/>
      </c>
      <c r="L451" s="107" t="str">
        <f t="shared" si="2"/>
        <v/>
      </c>
      <c r="M451" s="102"/>
    </row>
    <row r="452">
      <c r="A452" s="44"/>
      <c r="B452" s="102"/>
      <c r="C452" s="102"/>
      <c r="D452" s="102"/>
      <c r="E452" s="443"/>
      <c r="F452" s="443"/>
      <c r="G452" s="453"/>
      <c r="H452" s="453"/>
      <c r="I452" s="453"/>
      <c r="J452" s="106"/>
      <c r="K452" s="106" t="str">
        <f>IF(ISBLANK(I452), "", VLOOKUP(A452&amp;" "&amp;B452, 'Info Tipo de Cambio y REM'!$A$24:$B$35, 2, FALSE))</f>
        <v/>
      </c>
      <c r="L452" s="107" t="str">
        <f t="shared" si="2"/>
        <v/>
      </c>
      <c r="M452" s="102"/>
    </row>
    <row r="453">
      <c r="A453" s="44"/>
      <c r="B453" s="102"/>
      <c r="C453" s="102"/>
      <c r="D453" s="102"/>
      <c r="E453" s="443"/>
      <c r="F453" s="443"/>
      <c r="G453" s="453"/>
      <c r="H453" s="453"/>
      <c r="I453" s="453"/>
      <c r="J453" s="106"/>
      <c r="K453" s="106" t="str">
        <f>IF(ISBLANK(I453), "", VLOOKUP(A453&amp;" "&amp;B453, 'Info Tipo de Cambio y REM'!$A$24:$B$35, 2, FALSE))</f>
        <v/>
      </c>
      <c r="L453" s="107" t="str">
        <f t="shared" si="2"/>
        <v/>
      </c>
      <c r="M453" s="102"/>
    </row>
    <row r="454">
      <c r="A454" s="44"/>
      <c r="B454" s="102"/>
      <c r="C454" s="102"/>
      <c r="D454" s="102"/>
      <c r="E454" s="443"/>
      <c r="F454" s="443"/>
      <c r="G454" s="453"/>
      <c r="H454" s="453"/>
      <c r="I454" s="453"/>
      <c r="J454" s="106"/>
      <c r="K454" s="106" t="str">
        <f>IF(ISBLANK(I454), "", VLOOKUP(A454&amp;" "&amp;B454, 'Info Tipo de Cambio y REM'!$A$24:$B$35, 2, FALSE))</f>
        <v/>
      </c>
      <c r="L454" s="107" t="str">
        <f t="shared" si="2"/>
        <v/>
      </c>
      <c r="M454" s="102"/>
    </row>
    <row r="455">
      <c r="A455" s="44"/>
      <c r="B455" s="102"/>
      <c r="C455" s="102"/>
      <c r="D455" s="102"/>
      <c r="E455" s="443"/>
      <c r="F455" s="443"/>
      <c r="G455" s="453"/>
      <c r="H455" s="453"/>
      <c r="I455" s="453"/>
      <c r="J455" s="106"/>
      <c r="K455" s="106" t="str">
        <f>IF(ISBLANK(I455), "", VLOOKUP(A455&amp;" "&amp;B455, 'Info Tipo de Cambio y REM'!$A$24:$B$35, 2, FALSE))</f>
        <v/>
      </c>
      <c r="L455" s="107" t="str">
        <f t="shared" si="2"/>
        <v/>
      </c>
      <c r="M455" s="102"/>
    </row>
    <row r="456">
      <c r="A456" s="44"/>
      <c r="B456" s="102"/>
      <c r="C456" s="102"/>
      <c r="D456" s="102"/>
      <c r="E456" s="443"/>
      <c r="F456" s="443"/>
      <c r="G456" s="453"/>
      <c r="H456" s="453"/>
      <c r="I456" s="453"/>
      <c r="J456" s="106"/>
      <c r="K456" s="106" t="str">
        <f>IF(ISBLANK(I456), "", VLOOKUP(A456&amp;" "&amp;B456, 'Info Tipo de Cambio y REM'!$A$24:$B$35, 2, FALSE))</f>
        <v/>
      </c>
      <c r="L456" s="107" t="str">
        <f t="shared" si="2"/>
        <v/>
      </c>
      <c r="M456" s="102"/>
    </row>
    <row r="457">
      <c r="A457" s="44"/>
      <c r="B457" s="102"/>
      <c r="C457" s="102"/>
      <c r="D457" s="102"/>
      <c r="E457" s="443"/>
      <c r="F457" s="443"/>
      <c r="G457" s="453"/>
      <c r="H457" s="453"/>
      <c r="I457" s="453"/>
      <c r="J457" s="106"/>
      <c r="K457" s="106" t="str">
        <f>IF(ISBLANK(I457), "", VLOOKUP(A457&amp;" "&amp;B457, 'Info Tipo de Cambio y REM'!$A$24:$B$35, 2, FALSE))</f>
        <v/>
      </c>
      <c r="L457" s="107" t="str">
        <f t="shared" si="2"/>
        <v/>
      </c>
      <c r="M457" s="102"/>
    </row>
    <row r="458">
      <c r="A458" s="44"/>
      <c r="B458" s="102"/>
      <c r="C458" s="102"/>
      <c r="D458" s="102"/>
      <c r="E458" s="443"/>
      <c r="F458" s="443"/>
      <c r="G458" s="453"/>
      <c r="H458" s="453"/>
      <c r="I458" s="453"/>
      <c r="J458" s="106"/>
      <c r="K458" s="106" t="str">
        <f>IF(ISBLANK(I458), "", VLOOKUP(A458&amp;" "&amp;B458, 'Info Tipo de Cambio y REM'!$A$24:$B$35, 2, FALSE))</f>
        <v/>
      </c>
      <c r="L458" s="107" t="str">
        <f t="shared" si="2"/>
        <v/>
      </c>
      <c r="M458" s="102"/>
    </row>
    <row r="459">
      <c r="A459" s="44"/>
      <c r="B459" s="102"/>
      <c r="C459" s="102"/>
      <c r="D459" s="102"/>
      <c r="E459" s="443"/>
      <c r="F459" s="443"/>
      <c r="G459" s="453"/>
      <c r="H459" s="453"/>
      <c r="I459" s="453"/>
      <c r="J459" s="106"/>
      <c r="K459" s="106" t="str">
        <f>IF(ISBLANK(I459), "", VLOOKUP(A459&amp;" "&amp;B459, 'Info Tipo de Cambio y REM'!$A$24:$B$35, 2, FALSE))</f>
        <v/>
      </c>
      <c r="L459" s="107" t="str">
        <f t="shared" si="2"/>
        <v/>
      </c>
      <c r="M459" s="102"/>
    </row>
    <row r="460">
      <c r="A460" s="44"/>
      <c r="B460" s="102"/>
      <c r="C460" s="102"/>
      <c r="D460" s="102"/>
      <c r="E460" s="443"/>
      <c r="F460" s="443"/>
      <c r="G460" s="453"/>
      <c r="H460" s="453"/>
      <c r="I460" s="453"/>
      <c r="J460" s="106"/>
      <c r="K460" s="106" t="str">
        <f>IF(ISBLANK(I460), "", VLOOKUP(A460&amp;" "&amp;B460, 'Info Tipo de Cambio y REM'!$A$24:$B$35, 2, FALSE))</f>
        <v/>
      </c>
      <c r="L460" s="107" t="str">
        <f t="shared" si="2"/>
        <v/>
      </c>
      <c r="M460" s="102"/>
    </row>
    <row r="461">
      <c r="A461" s="44"/>
      <c r="B461" s="102"/>
      <c r="C461" s="102"/>
      <c r="D461" s="102"/>
      <c r="E461" s="443"/>
      <c r="F461" s="443"/>
      <c r="G461" s="453"/>
      <c r="H461" s="453"/>
      <c r="I461" s="453"/>
      <c r="J461" s="106"/>
      <c r="K461" s="106" t="str">
        <f>IF(ISBLANK(I461), "", VLOOKUP(A461&amp;" "&amp;B461, 'Info Tipo de Cambio y REM'!$A$24:$B$35, 2, FALSE))</f>
        <v/>
      </c>
      <c r="L461" s="107" t="str">
        <f t="shared" si="2"/>
        <v/>
      </c>
      <c r="M461" s="102"/>
    </row>
    <row r="462">
      <c r="A462" s="44"/>
      <c r="B462" s="102"/>
      <c r="C462" s="102"/>
      <c r="D462" s="102"/>
      <c r="E462" s="443"/>
      <c r="F462" s="443"/>
      <c r="G462" s="453"/>
      <c r="H462" s="453"/>
      <c r="I462" s="453"/>
      <c r="J462" s="106"/>
      <c r="K462" s="106" t="str">
        <f>IF(ISBLANK(I462), "", VLOOKUP(A462&amp;" "&amp;B462, 'Info Tipo de Cambio y REM'!$A$24:$B$35, 2, FALSE))</f>
        <v/>
      </c>
      <c r="L462" s="107" t="str">
        <f t="shared" si="2"/>
        <v/>
      </c>
      <c r="M462" s="102"/>
    </row>
    <row r="463">
      <c r="A463" s="44"/>
      <c r="B463" s="102"/>
      <c r="C463" s="102"/>
      <c r="D463" s="102"/>
      <c r="E463" s="443"/>
      <c r="F463" s="443"/>
      <c r="G463" s="453"/>
      <c r="H463" s="453"/>
      <c r="I463" s="453"/>
      <c r="J463" s="106"/>
      <c r="K463" s="106" t="str">
        <f>IF(ISBLANK(I463), "", VLOOKUP(A463&amp;" "&amp;B463, 'Info Tipo de Cambio y REM'!$A$24:$B$35, 2, FALSE))</f>
        <v/>
      </c>
      <c r="L463" s="107" t="str">
        <f t="shared" si="2"/>
        <v/>
      </c>
      <c r="M463" s="102"/>
    </row>
    <row r="464">
      <c r="A464" s="44"/>
      <c r="B464" s="102"/>
      <c r="C464" s="102"/>
      <c r="D464" s="102"/>
      <c r="E464" s="443"/>
      <c r="F464" s="443"/>
      <c r="G464" s="453"/>
      <c r="H464" s="453"/>
      <c r="I464" s="453"/>
      <c r="J464" s="106"/>
      <c r="K464" s="106" t="str">
        <f>IF(ISBLANK(I464), "", VLOOKUP(A464&amp;" "&amp;B464, 'Info Tipo de Cambio y REM'!$A$24:$B$35, 2, FALSE))</f>
        <v/>
      </c>
      <c r="L464" s="107" t="str">
        <f t="shared" si="2"/>
        <v/>
      </c>
      <c r="M464" s="102"/>
    </row>
    <row r="465">
      <c r="A465" s="44"/>
      <c r="B465" s="102"/>
      <c r="C465" s="102"/>
      <c r="D465" s="102"/>
      <c r="E465" s="443"/>
      <c r="F465" s="443"/>
      <c r="G465" s="453"/>
      <c r="H465" s="453"/>
      <c r="I465" s="453"/>
      <c r="J465" s="106"/>
      <c r="K465" s="106" t="str">
        <f>IF(ISBLANK(I465), "", VLOOKUP(A465&amp;" "&amp;B465, 'Info Tipo de Cambio y REM'!$A$24:$B$35, 2, FALSE))</f>
        <v/>
      </c>
      <c r="L465" s="107" t="str">
        <f t="shared" si="2"/>
        <v/>
      </c>
      <c r="M465" s="102"/>
    </row>
    <row r="466">
      <c r="A466" s="44"/>
      <c r="B466" s="102"/>
      <c r="C466" s="102"/>
      <c r="D466" s="102"/>
      <c r="E466" s="443"/>
      <c r="F466" s="443"/>
      <c r="G466" s="453"/>
      <c r="H466" s="453"/>
      <c r="I466" s="453"/>
      <c r="J466" s="106"/>
      <c r="K466" s="106" t="str">
        <f>IF(ISBLANK(I466), "", VLOOKUP(A466&amp;" "&amp;B466, 'Info Tipo de Cambio y REM'!$A$24:$B$35, 2, FALSE))</f>
        <v/>
      </c>
      <c r="L466" s="107" t="str">
        <f t="shared" si="2"/>
        <v/>
      </c>
      <c r="M466" s="102"/>
    </row>
    <row r="467">
      <c r="A467" s="44"/>
      <c r="B467" s="102"/>
      <c r="C467" s="102"/>
      <c r="D467" s="102"/>
      <c r="E467" s="443"/>
      <c r="F467" s="443"/>
      <c r="G467" s="453"/>
      <c r="H467" s="453"/>
      <c r="I467" s="453"/>
      <c r="J467" s="106"/>
      <c r="K467" s="106" t="str">
        <f>IF(ISBLANK(I467), "", VLOOKUP(A467&amp;" "&amp;B467, 'Info Tipo de Cambio y REM'!$A$24:$B$35, 2, FALSE))</f>
        <v/>
      </c>
      <c r="L467" s="107" t="str">
        <f t="shared" si="2"/>
        <v/>
      </c>
      <c r="M467" s="102"/>
    </row>
    <row r="468">
      <c r="A468" s="44"/>
      <c r="B468" s="102"/>
      <c r="C468" s="102"/>
      <c r="D468" s="102"/>
      <c r="E468" s="443"/>
      <c r="F468" s="443"/>
      <c r="G468" s="453"/>
      <c r="H468" s="453"/>
      <c r="I468" s="453"/>
      <c r="J468" s="106"/>
      <c r="K468" s="106" t="str">
        <f>IF(ISBLANK(I468), "", VLOOKUP(A468&amp;" "&amp;B468, 'Info Tipo de Cambio y REM'!$A$24:$B$35, 2, FALSE))</f>
        <v/>
      </c>
      <c r="L468" s="107" t="str">
        <f t="shared" si="2"/>
        <v/>
      </c>
      <c r="M468" s="102"/>
    </row>
    <row r="469">
      <c r="A469" s="44"/>
      <c r="B469" s="102"/>
      <c r="C469" s="102"/>
      <c r="D469" s="102"/>
      <c r="E469" s="443"/>
      <c r="F469" s="443"/>
      <c r="G469" s="453"/>
      <c r="H469" s="453"/>
      <c r="I469" s="453"/>
      <c r="J469" s="106"/>
      <c r="K469" s="106" t="str">
        <f>IF(ISBLANK(I469), "", VLOOKUP(A469&amp;" "&amp;B469, 'Info Tipo de Cambio y REM'!$A$24:$B$35, 2, FALSE))</f>
        <v/>
      </c>
      <c r="L469" s="107" t="str">
        <f t="shared" si="2"/>
        <v/>
      </c>
      <c r="M469" s="102"/>
    </row>
    <row r="470">
      <c r="A470" s="44"/>
      <c r="B470" s="102"/>
      <c r="C470" s="102"/>
      <c r="D470" s="102"/>
      <c r="E470" s="443"/>
      <c r="F470" s="443"/>
      <c r="G470" s="453"/>
      <c r="H470" s="453"/>
      <c r="I470" s="453"/>
      <c r="J470" s="106"/>
      <c r="K470" s="106" t="str">
        <f>IF(ISBLANK(I470), "", VLOOKUP(A470&amp;" "&amp;B470, 'Info Tipo de Cambio y REM'!$A$24:$B$35, 2, FALSE))</f>
        <v/>
      </c>
      <c r="L470" s="107" t="str">
        <f t="shared" si="2"/>
        <v/>
      </c>
      <c r="M470" s="102"/>
    </row>
    <row r="471">
      <c r="A471" s="44"/>
      <c r="B471" s="102"/>
      <c r="C471" s="102"/>
      <c r="D471" s="102"/>
      <c r="E471" s="443"/>
      <c r="F471" s="443"/>
      <c r="G471" s="453"/>
      <c r="H471" s="453"/>
      <c r="I471" s="453"/>
      <c r="J471" s="106"/>
      <c r="K471" s="106" t="str">
        <f>IF(ISBLANK(I471), "", VLOOKUP(A471&amp;" "&amp;B471, 'Info Tipo de Cambio y REM'!$A$24:$B$35, 2, FALSE))</f>
        <v/>
      </c>
      <c r="L471" s="107" t="str">
        <f t="shared" si="2"/>
        <v/>
      </c>
      <c r="M471" s="102"/>
    </row>
    <row r="472">
      <c r="A472" s="44"/>
      <c r="B472" s="102"/>
      <c r="C472" s="102"/>
      <c r="D472" s="102"/>
      <c r="E472" s="443"/>
      <c r="F472" s="443"/>
      <c r="G472" s="453"/>
      <c r="H472" s="453"/>
      <c r="I472" s="453"/>
      <c r="J472" s="106"/>
      <c r="K472" s="106" t="str">
        <f>IF(ISBLANK(I472), "", VLOOKUP(A472&amp;" "&amp;B472, 'Info Tipo de Cambio y REM'!$A$24:$B$35, 2, FALSE))</f>
        <v/>
      </c>
      <c r="L472" s="107" t="str">
        <f t="shared" si="2"/>
        <v/>
      </c>
      <c r="M472" s="102"/>
    </row>
    <row r="473">
      <c r="A473" s="44"/>
      <c r="B473" s="102"/>
      <c r="C473" s="102"/>
      <c r="D473" s="102"/>
      <c r="E473" s="443"/>
      <c r="F473" s="443"/>
      <c r="G473" s="453"/>
      <c r="H473" s="453"/>
      <c r="I473" s="453"/>
      <c r="J473" s="106"/>
      <c r="K473" s="106" t="str">
        <f>IF(ISBLANK(I473), "", VLOOKUP(A473&amp;" "&amp;B473, 'Info Tipo de Cambio y REM'!$A$24:$B$35, 2, FALSE))</f>
        <v/>
      </c>
      <c r="L473" s="107" t="str">
        <f t="shared" si="2"/>
        <v/>
      </c>
      <c r="M473" s="102"/>
    </row>
    <row r="474">
      <c r="A474" s="44"/>
      <c r="B474" s="102"/>
      <c r="C474" s="102"/>
      <c r="D474" s="102"/>
      <c r="E474" s="443"/>
      <c r="F474" s="443"/>
      <c r="G474" s="453"/>
      <c r="H474" s="453"/>
      <c r="I474" s="453"/>
      <c r="J474" s="106"/>
      <c r="K474" s="106" t="str">
        <f>IF(ISBLANK(I474), "", VLOOKUP(A474&amp;" "&amp;B474, 'Info Tipo de Cambio y REM'!$A$24:$B$35, 2, FALSE))</f>
        <v/>
      </c>
      <c r="L474" s="107" t="str">
        <f t="shared" si="2"/>
        <v/>
      </c>
      <c r="M474" s="102"/>
    </row>
    <row r="475">
      <c r="A475" s="44"/>
      <c r="B475" s="102"/>
      <c r="C475" s="102"/>
      <c r="D475" s="102"/>
      <c r="E475" s="443"/>
      <c r="F475" s="443"/>
      <c r="G475" s="453"/>
      <c r="H475" s="453"/>
      <c r="I475" s="453"/>
      <c r="J475" s="106"/>
      <c r="K475" s="106" t="str">
        <f>IF(ISBLANK(I475), "", VLOOKUP(A475&amp;" "&amp;B475, 'Info Tipo de Cambio y REM'!$A$24:$B$35, 2, FALSE))</f>
        <v/>
      </c>
      <c r="L475" s="107" t="str">
        <f t="shared" si="2"/>
        <v/>
      </c>
      <c r="M475" s="102"/>
    </row>
    <row r="476">
      <c r="A476" s="44"/>
      <c r="B476" s="102"/>
      <c r="C476" s="102"/>
      <c r="D476" s="102"/>
      <c r="E476" s="443"/>
      <c r="F476" s="443"/>
      <c r="G476" s="453"/>
      <c r="H476" s="453"/>
      <c r="I476" s="453"/>
      <c r="J476" s="106"/>
      <c r="K476" s="106" t="str">
        <f>IF(ISBLANK(I476), "", VLOOKUP(A476&amp;" "&amp;B476, 'Info Tipo de Cambio y REM'!$A$24:$B$35, 2, FALSE))</f>
        <v/>
      </c>
      <c r="L476" s="107" t="str">
        <f t="shared" si="2"/>
        <v/>
      </c>
      <c r="M476" s="102"/>
    </row>
    <row r="477">
      <c r="A477" s="44"/>
      <c r="B477" s="102"/>
      <c r="C477" s="102"/>
      <c r="D477" s="102"/>
      <c r="E477" s="443"/>
      <c r="F477" s="443"/>
      <c r="G477" s="453"/>
      <c r="H477" s="453"/>
      <c r="I477" s="453"/>
      <c r="J477" s="106"/>
      <c r="K477" s="106" t="str">
        <f>IF(ISBLANK(I477), "", VLOOKUP(A477&amp;" "&amp;B477, 'Info Tipo de Cambio y REM'!$A$24:$B$35, 2, FALSE))</f>
        <v/>
      </c>
      <c r="L477" s="107" t="str">
        <f t="shared" si="2"/>
        <v/>
      </c>
      <c r="M477" s="102"/>
    </row>
    <row r="478">
      <c r="A478" s="44"/>
      <c r="B478" s="102"/>
      <c r="C478" s="102"/>
      <c r="D478" s="102"/>
      <c r="E478" s="443"/>
      <c r="F478" s="443"/>
      <c r="G478" s="453"/>
      <c r="H478" s="453"/>
      <c r="I478" s="453"/>
      <c r="J478" s="106"/>
      <c r="K478" s="106" t="str">
        <f>IF(ISBLANK(I478), "", VLOOKUP(A478&amp;" "&amp;B478, 'Info Tipo de Cambio y REM'!$A$24:$B$35, 2, FALSE))</f>
        <v/>
      </c>
      <c r="L478" s="107" t="str">
        <f t="shared" si="2"/>
        <v/>
      </c>
      <c r="M478" s="102"/>
    </row>
    <row r="479">
      <c r="A479" s="44"/>
      <c r="B479" s="102"/>
      <c r="C479" s="102"/>
      <c r="D479" s="102"/>
      <c r="E479" s="443"/>
      <c r="F479" s="443"/>
      <c r="G479" s="453"/>
      <c r="H479" s="453"/>
      <c r="I479" s="453"/>
      <c r="J479" s="106"/>
      <c r="K479" s="106" t="str">
        <f>IF(ISBLANK(I479), "", VLOOKUP(A479&amp;" "&amp;B479, 'Info Tipo de Cambio y REM'!$A$24:$B$35, 2, FALSE))</f>
        <v/>
      </c>
      <c r="L479" s="107" t="str">
        <f t="shared" si="2"/>
        <v/>
      </c>
      <c r="M479" s="102"/>
    </row>
    <row r="480">
      <c r="A480" s="44"/>
      <c r="B480" s="102"/>
      <c r="C480" s="102"/>
      <c r="D480" s="102"/>
      <c r="E480" s="443"/>
      <c r="F480" s="443"/>
      <c r="G480" s="453"/>
      <c r="H480" s="453"/>
      <c r="I480" s="453"/>
      <c r="J480" s="106"/>
      <c r="K480" s="106" t="str">
        <f>IF(ISBLANK(I480), "", VLOOKUP(A480&amp;" "&amp;B480, 'Info Tipo de Cambio y REM'!$A$24:$B$35, 2, FALSE))</f>
        <v/>
      </c>
      <c r="L480" s="107" t="str">
        <f t="shared" si="2"/>
        <v/>
      </c>
      <c r="M480" s="102"/>
    </row>
    <row r="481">
      <c r="A481" s="44"/>
      <c r="B481" s="102"/>
      <c r="C481" s="102"/>
      <c r="D481" s="102"/>
      <c r="E481" s="443"/>
      <c r="F481" s="443"/>
      <c r="G481" s="453"/>
      <c r="H481" s="453"/>
      <c r="I481" s="453"/>
      <c r="J481" s="106"/>
      <c r="K481" s="106" t="str">
        <f>IF(ISBLANK(I481), "", VLOOKUP(A481&amp;" "&amp;B481, 'Info Tipo de Cambio y REM'!$A$24:$B$35, 2, FALSE))</f>
        <v/>
      </c>
      <c r="L481" s="107" t="str">
        <f t="shared" si="2"/>
        <v/>
      </c>
      <c r="M481" s="102"/>
    </row>
    <row r="482">
      <c r="A482" s="44"/>
      <c r="B482" s="102"/>
      <c r="C482" s="102"/>
      <c r="D482" s="102"/>
      <c r="E482" s="443"/>
      <c r="F482" s="443"/>
      <c r="G482" s="453"/>
      <c r="H482" s="453"/>
      <c r="I482" s="453"/>
      <c r="J482" s="106"/>
      <c r="K482" s="106" t="str">
        <f>IF(ISBLANK(I482), "", VLOOKUP(A482&amp;" "&amp;B482, 'Info Tipo de Cambio y REM'!$A$24:$B$35, 2, FALSE))</f>
        <v/>
      </c>
      <c r="L482" s="107" t="str">
        <f t="shared" si="2"/>
        <v/>
      </c>
      <c r="M482" s="102"/>
    </row>
    <row r="483">
      <c r="A483" s="44"/>
      <c r="B483" s="102"/>
      <c r="C483" s="102"/>
      <c r="D483" s="102"/>
      <c r="E483" s="443"/>
      <c r="F483" s="443"/>
      <c r="G483" s="453"/>
      <c r="H483" s="453"/>
      <c r="I483" s="453"/>
      <c r="J483" s="106"/>
      <c r="K483" s="106" t="str">
        <f>IF(ISBLANK(I483), "", VLOOKUP(A483&amp;" "&amp;B483, 'Info Tipo de Cambio y REM'!$A$24:$B$35, 2, FALSE))</f>
        <v/>
      </c>
      <c r="L483" s="107" t="str">
        <f t="shared" si="2"/>
        <v/>
      </c>
      <c r="M483" s="102"/>
    </row>
    <row r="484">
      <c r="A484" s="44"/>
      <c r="B484" s="102"/>
      <c r="C484" s="102"/>
      <c r="D484" s="102"/>
      <c r="E484" s="443"/>
      <c r="F484" s="443"/>
      <c r="G484" s="453"/>
      <c r="H484" s="453"/>
      <c r="I484" s="453"/>
      <c r="J484" s="106"/>
      <c r="K484" s="106" t="str">
        <f>IF(ISBLANK(I484), "", VLOOKUP(A484&amp;" "&amp;B484, 'Info Tipo de Cambio y REM'!$A$24:$B$35, 2, FALSE))</f>
        <v/>
      </c>
      <c r="L484" s="107" t="str">
        <f t="shared" si="2"/>
        <v/>
      </c>
      <c r="M484" s="102"/>
    </row>
    <row r="485">
      <c r="A485" s="44"/>
      <c r="B485" s="102"/>
      <c r="C485" s="102"/>
      <c r="D485" s="102"/>
      <c r="E485" s="443"/>
      <c r="F485" s="443"/>
      <c r="G485" s="453"/>
      <c r="H485" s="453"/>
      <c r="I485" s="453"/>
      <c r="J485" s="106"/>
      <c r="K485" s="106" t="str">
        <f>IF(ISBLANK(I485), "", VLOOKUP(A485&amp;" "&amp;B485, 'Info Tipo de Cambio y REM'!$A$24:$B$35, 2, FALSE))</f>
        <v/>
      </c>
      <c r="L485" s="107" t="str">
        <f t="shared" si="2"/>
        <v/>
      </c>
      <c r="M485" s="102"/>
    </row>
    <row r="486">
      <c r="A486" s="44"/>
      <c r="B486" s="102"/>
      <c r="C486" s="102"/>
      <c r="D486" s="102"/>
      <c r="E486" s="443"/>
      <c r="F486" s="443"/>
      <c r="G486" s="453"/>
      <c r="H486" s="453"/>
      <c r="I486" s="453"/>
      <c r="J486" s="106"/>
      <c r="K486" s="106" t="str">
        <f>IF(ISBLANK(I486), "", VLOOKUP(A486&amp;" "&amp;B486, 'Info Tipo de Cambio y REM'!$A$24:$B$35, 2, FALSE))</f>
        <v/>
      </c>
      <c r="L486" s="107" t="str">
        <f t="shared" si="2"/>
        <v/>
      </c>
      <c r="M486" s="102"/>
    </row>
    <row r="487">
      <c r="A487" s="44"/>
      <c r="B487" s="102"/>
      <c r="C487" s="102"/>
      <c r="D487" s="102"/>
      <c r="E487" s="443"/>
      <c r="F487" s="443"/>
      <c r="G487" s="453"/>
      <c r="H487" s="453"/>
      <c r="I487" s="453"/>
      <c r="J487" s="106"/>
      <c r="K487" s="106" t="str">
        <f>IF(ISBLANK(I487), "", VLOOKUP(A487&amp;" "&amp;B487, 'Info Tipo de Cambio y REM'!$A$24:$B$35, 2, FALSE))</f>
        <v/>
      </c>
      <c r="L487" s="107" t="str">
        <f t="shared" si="2"/>
        <v/>
      </c>
      <c r="M487" s="102"/>
    </row>
    <row r="488">
      <c r="A488" s="44"/>
      <c r="B488" s="102"/>
      <c r="C488" s="102"/>
      <c r="D488" s="102"/>
      <c r="E488" s="443"/>
      <c r="F488" s="443"/>
      <c r="G488" s="453"/>
      <c r="H488" s="453"/>
      <c r="I488" s="453"/>
      <c r="J488" s="106"/>
      <c r="K488" s="106" t="str">
        <f>IF(ISBLANK(I488), "", VLOOKUP(A488&amp;" "&amp;B488, 'Info Tipo de Cambio y REM'!$A$24:$B$35, 2, FALSE))</f>
        <v/>
      </c>
      <c r="L488" s="107" t="str">
        <f t="shared" si="2"/>
        <v/>
      </c>
      <c r="M488" s="102"/>
    </row>
    <row r="489">
      <c r="A489" s="44"/>
      <c r="B489" s="102"/>
      <c r="C489" s="102"/>
      <c r="D489" s="102"/>
      <c r="E489" s="443"/>
      <c r="F489" s="443"/>
      <c r="G489" s="453"/>
      <c r="H489" s="453"/>
      <c r="I489" s="453"/>
      <c r="J489" s="106"/>
      <c r="K489" s="106" t="str">
        <f>IF(ISBLANK(I489), "", VLOOKUP(A489&amp;" "&amp;B489, 'Info Tipo de Cambio y REM'!$A$24:$B$35, 2, FALSE))</f>
        <v/>
      </c>
      <c r="L489" s="107" t="str">
        <f t="shared" si="2"/>
        <v/>
      </c>
      <c r="M489" s="102"/>
    </row>
    <row r="490">
      <c r="A490" s="44"/>
      <c r="B490" s="102"/>
      <c r="C490" s="102"/>
      <c r="D490" s="102"/>
      <c r="E490" s="443"/>
      <c r="F490" s="443"/>
      <c r="G490" s="453"/>
      <c r="H490" s="453"/>
      <c r="I490" s="453"/>
      <c r="J490" s="106"/>
      <c r="K490" s="106" t="str">
        <f>IF(ISBLANK(I490), "", VLOOKUP(A490&amp;" "&amp;B490, 'Info Tipo de Cambio y REM'!$A$24:$B$35, 2, FALSE))</f>
        <v/>
      </c>
      <c r="L490" s="107" t="str">
        <f t="shared" si="2"/>
        <v/>
      </c>
      <c r="M490" s="102"/>
    </row>
    <row r="491">
      <c r="A491" s="44"/>
      <c r="B491" s="102"/>
      <c r="C491" s="102"/>
      <c r="D491" s="102"/>
      <c r="E491" s="443"/>
      <c r="F491" s="443"/>
      <c r="G491" s="453"/>
      <c r="H491" s="453"/>
      <c r="I491" s="453"/>
      <c r="J491" s="106"/>
      <c r="K491" s="106" t="str">
        <f>IF(ISBLANK(I491), "", VLOOKUP(A491&amp;" "&amp;B491, 'Info Tipo de Cambio y REM'!$A$24:$B$35, 2, FALSE))</f>
        <v/>
      </c>
      <c r="L491" s="107" t="str">
        <f t="shared" si="2"/>
        <v/>
      </c>
      <c r="M491" s="102"/>
    </row>
    <row r="492">
      <c r="A492" s="44"/>
      <c r="B492" s="102"/>
      <c r="C492" s="102"/>
      <c r="D492" s="102"/>
      <c r="E492" s="443"/>
      <c r="F492" s="443"/>
      <c r="G492" s="453"/>
      <c r="H492" s="453"/>
      <c r="I492" s="453"/>
      <c r="J492" s="106"/>
      <c r="K492" s="106" t="str">
        <f>IF(ISBLANK(I492), "", VLOOKUP(A492&amp;" "&amp;B492, 'Info Tipo de Cambio y REM'!$A$24:$B$35, 2, FALSE))</f>
        <v/>
      </c>
      <c r="L492" s="107" t="str">
        <f t="shared" si="2"/>
        <v/>
      </c>
      <c r="M492" s="102"/>
    </row>
    <row r="493">
      <c r="A493" s="44"/>
      <c r="B493" s="102"/>
      <c r="C493" s="102"/>
      <c r="D493" s="102"/>
      <c r="E493" s="443"/>
      <c r="F493" s="443"/>
      <c r="G493" s="453"/>
      <c r="H493" s="453"/>
      <c r="I493" s="453"/>
      <c r="J493" s="106"/>
      <c r="K493" s="106" t="str">
        <f>IF(ISBLANK(I493), "", VLOOKUP(A493&amp;" "&amp;B493, 'Info Tipo de Cambio y REM'!$A$24:$B$35, 2, FALSE))</f>
        <v/>
      </c>
      <c r="L493" s="107" t="str">
        <f t="shared" si="2"/>
        <v/>
      </c>
      <c r="M493" s="102"/>
    </row>
    <row r="494">
      <c r="A494" s="44"/>
      <c r="B494" s="102"/>
      <c r="C494" s="102"/>
      <c r="D494" s="102"/>
      <c r="E494" s="443"/>
      <c r="F494" s="443"/>
      <c r="G494" s="453"/>
      <c r="H494" s="453"/>
      <c r="I494" s="453"/>
      <c r="J494" s="106"/>
      <c r="K494" s="106" t="str">
        <f>IF(ISBLANK(I494), "", VLOOKUP(A494&amp;" "&amp;B494, 'Info Tipo de Cambio y REM'!$A$24:$B$35, 2, FALSE))</f>
        <v/>
      </c>
      <c r="L494" s="107" t="str">
        <f t="shared" si="2"/>
        <v/>
      </c>
      <c r="M494" s="102"/>
    </row>
    <row r="495">
      <c r="A495" s="44"/>
      <c r="B495" s="102"/>
      <c r="C495" s="102"/>
      <c r="D495" s="102"/>
      <c r="E495" s="443"/>
      <c r="F495" s="443"/>
      <c r="G495" s="453"/>
      <c r="H495" s="453"/>
      <c r="I495" s="453"/>
      <c r="J495" s="106"/>
      <c r="K495" s="106" t="str">
        <f>IF(ISBLANK(I495), "", VLOOKUP(A495&amp;" "&amp;B495, 'Info Tipo de Cambio y REM'!$A$24:$B$35, 2, FALSE))</f>
        <v/>
      </c>
      <c r="L495" s="107" t="str">
        <f t="shared" si="2"/>
        <v/>
      </c>
      <c r="M495" s="102"/>
    </row>
    <row r="496">
      <c r="A496" s="44"/>
      <c r="B496" s="102"/>
      <c r="C496" s="102"/>
      <c r="D496" s="102"/>
      <c r="E496" s="443"/>
      <c r="F496" s="443"/>
      <c r="G496" s="453"/>
      <c r="H496" s="453"/>
      <c r="I496" s="453"/>
      <c r="J496" s="106"/>
      <c r="K496" s="106" t="str">
        <f>IF(ISBLANK(I496), "", VLOOKUP(A496&amp;" "&amp;B496, 'Info Tipo de Cambio y REM'!$A$24:$B$35, 2, FALSE))</f>
        <v/>
      </c>
      <c r="L496" s="107" t="str">
        <f t="shared" si="2"/>
        <v/>
      </c>
      <c r="M496" s="102"/>
    </row>
    <row r="497">
      <c r="A497" s="44"/>
      <c r="B497" s="102"/>
      <c r="C497" s="102"/>
      <c r="D497" s="102"/>
      <c r="E497" s="443"/>
      <c r="F497" s="443"/>
      <c r="G497" s="453"/>
      <c r="H497" s="453"/>
      <c r="I497" s="453"/>
      <c r="J497" s="106"/>
      <c r="K497" s="106" t="str">
        <f>IF(ISBLANK(I497), "", VLOOKUP(A497&amp;" "&amp;B497, 'Info Tipo de Cambio y REM'!$A$24:$B$35, 2, FALSE))</f>
        <v/>
      </c>
      <c r="L497" s="107" t="str">
        <f t="shared" si="2"/>
        <v/>
      </c>
      <c r="M497" s="102"/>
    </row>
    <row r="498">
      <c r="A498" s="44"/>
      <c r="B498" s="102"/>
      <c r="C498" s="102"/>
      <c r="D498" s="102"/>
      <c r="E498" s="443"/>
      <c r="F498" s="443"/>
      <c r="G498" s="453"/>
      <c r="H498" s="453"/>
      <c r="I498" s="453"/>
      <c r="J498" s="106"/>
      <c r="K498" s="106" t="str">
        <f>IF(ISBLANK(I498), "", VLOOKUP(A498&amp;" "&amp;B498, 'Info Tipo de Cambio y REM'!$A$24:$B$35, 2, FALSE))</f>
        <v/>
      </c>
      <c r="L498" s="107" t="str">
        <f t="shared" si="2"/>
        <v/>
      </c>
      <c r="M498" s="102"/>
    </row>
    <row r="499">
      <c r="A499" s="44"/>
      <c r="B499" s="102"/>
      <c r="C499" s="102"/>
      <c r="D499" s="102"/>
      <c r="E499" s="443"/>
      <c r="F499" s="443"/>
      <c r="G499" s="453"/>
      <c r="H499" s="453"/>
      <c r="I499" s="453"/>
      <c r="J499" s="106"/>
      <c r="K499" s="106" t="str">
        <f>IF(ISBLANK(I499), "", VLOOKUP(A499&amp;" "&amp;B499, 'Info Tipo de Cambio y REM'!$A$24:$B$35, 2, FALSE))</f>
        <v/>
      </c>
      <c r="L499" s="107" t="str">
        <f t="shared" si="2"/>
        <v/>
      </c>
      <c r="M499" s="102"/>
    </row>
    <row r="500">
      <c r="A500" s="44"/>
      <c r="B500" s="102"/>
      <c r="C500" s="102"/>
      <c r="D500" s="102"/>
      <c r="E500" s="443"/>
      <c r="F500" s="443"/>
      <c r="G500" s="453"/>
      <c r="H500" s="453"/>
      <c r="I500" s="453"/>
      <c r="J500" s="106"/>
      <c r="K500" s="106" t="str">
        <f>IF(ISBLANK(I500), "", VLOOKUP(A500&amp;" "&amp;B500, 'Info Tipo de Cambio y REM'!$A$24:$B$35, 2, FALSE))</f>
        <v/>
      </c>
      <c r="L500" s="107" t="str">
        <f t="shared" si="2"/>
        <v/>
      </c>
      <c r="M500" s="102"/>
    </row>
    <row r="501">
      <c r="A501" s="44"/>
      <c r="B501" s="102"/>
      <c r="C501" s="102"/>
      <c r="D501" s="102"/>
      <c r="E501" s="443"/>
      <c r="F501" s="443"/>
      <c r="G501" s="453"/>
      <c r="H501" s="453"/>
      <c r="I501" s="453"/>
      <c r="J501" s="106"/>
      <c r="K501" s="106" t="str">
        <f>IF(ISBLANK(I501), "", VLOOKUP(A501&amp;" "&amp;B501, 'Info Tipo de Cambio y REM'!$A$24:$B$35, 2, FALSE))</f>
        <v/>
      </c>
      <c r="L501" s="107" t="str">
        <f t="shared" si="2"/>
        <v/>
      </c>
      <c r="M501" s="102"/>
    </row>
    <row r="502">
      <c r="A502" s="44"/>
      <c r="B502" s="102"/>
      <c r="C502" s="102"/>
      <c r="D502" s="102"/>
      <c r="E502" s="443"/>
      <c r="F502" s="443"/>
      <c r="G502" s="453"/>
      <c r="H502" s="453"/>
      <c r="I502" s="453"/>
      <c r="J502" s="106"/>
      <c r="K502" s="106" t="str">
        <f>IF(ISBLANK(I502), "", VLOOKUP(A502&amp;" "&amp;B502, 'Info Tipo de Cambio y REM'!$A$24:$B$35, 2, FALSE))</f>
        <v/>
      </c>
      <c r="L502" s="107" t="str">
        <f t="shared" si="2"/>
        <v/>
      </c>
      <c r="M502" s="102"/>
    </row>
    <row r="503">
      <c r="A503" s="44"/>
      <c r="B503" s="102"/>
      <c r="C503" s="102"/>
      <c r="D503" s="102"/>
      <c r="E503" s="443"/>
      <c r="F503" s="443"/>
      <c r="G503" s="453"/>
      <c r="H503" s="453"/>
      <c r="I503" s="453"/>
      <c r="J503" s="106"/>
      <c r="K503" s="106" t="str">
        <f>IF(ISBLANK(I503), "", VLOOKUP(A503&amp;" "&amp;B503, 'Info Tipo de Cambio y REM'!$A$24:$B$35, 2, FALSE))</f>
        <v/>
      </c>
      <c r="L503" s="107" t="str">
        <f t="shared" si="2"/>
        <v/>
      </c>
      <c r="M503" s="102"/>
    </row>
    <row r="504">
      <c r="A504" s="44"/>
      <c r="B504" s="102"/>
      <c r="C504" s="102"/>
      <c r="D504" s="102"/>
      <c r="E504" s="443"/>
      <c r="F504" s="443"/>
      <c r="G504" s="453"/>
      <c r="H504" s="453"/>
      <c r="I504" s="453"/>
      <c r="J504" s="106"/>
      <c r="K504" s="106" t="str">
        <f>IF(ISBLANK(I504), "", VLOOKUP(A504&amp;" "&amp;B504, 'Info Tipo de Cambio y REM'!$A$24:$B$35, 2, FALSE))</f>
        <v/>
      </c>
      <c r="L504" s="107" t="str">
        <f t="shared" si="2"/>
        <v/>
      </c>
      <c r="M504" s="102"/>
    </row>
    <row r="505">
      <c r="A505" s="44"/>
      <c r="B505" s="102"/>
      <c r="C505" s="102"/>
      <c r="D505" s="102"/>
      <c r="E505" s="443"/>
      <c r="F505" s="443"/>
      <c r="G505" s="453"/>
      <c r="H505" s="453"/>
      <c r="I505" s="453"/>
      <c r="J505" s="106"/>
      <c r="K505" s="106" t="str">
        <f>IF(ISBLANK(I505), "", VLOOKUP(A505&amp;" "&amp;B505, 'Info Tipo de Cambio y REM'!$A$24:$B$35, 2, FALSE))</f>
        <v/>
      </c>
      <c r="L505" s="107" t="str">
        <f t="shared" si="2"/>
        <v/>
      </c>
      <c r="M505" s="102"/>
    </row>
    <row r="506">
      <c r="A506" s="44"/>
      <c r="B506" s="102"/>
      <c r="C506" s="102"/>
      <c r="D506" s="102"/>
      <c r="E506" s="443"/>
      <c r="F506" s="443"/>
      <c r="G506" s="453"/>
      <c r="H506" s="453"/>
      <c r="I506" s="453"/>
      <c r="J506" s="106"/>
      <c r="K506" s="106" t="str">
        <f>IF(ISBLANK(I506), "", VLOOKUP(A506&amp;" "&amp;B506, 'Info Tipo de Cambio y REM'!$A$24:$B$35, 2, FALSE))</f>
        <v/>
      </c>
      <c r="L506" s="107" t="str">
        <f t="shared" si="2"/>
        <v/>
      </c>
      <c r="M506" s="102"/>
    </row>
    <row r="507">
      <c r="A507" s="44"/>
      <c r="B507" s="102"/>
      <c r="C507" s="102"/>
      <c r="D507" s="102"/>
      <c r="E507" s="443"/>
      <c r="F507" s="443"/>
      <c r="G507" s="453"/>
      <c r="H507" s="453"/>
      <c r="I507" s="453"/>
      <c r="J507" s="106"/>
      <c r="K507" s="106" t="str">
        <f>IF(ISBLANK(I507), "", VLOOKUP(A507&amp;" "&amp;B507, 'Info Tipo de Cambio y REM'!$A$24:$B$35, 2, FALSE))</f>
        <v/>
      </c>
      <c r="L507" s="107" t="str">
        <f t="shared" si="2"/>
        <v/>
      </c>
      <c r="M507" s="102"/>
    </row>
    <row r="508">
      <c r="A508" s="44"/>
      <c r="B508" s="102"/>
      <c r="C508" s="102"/>
      <c r="D508" s="102"/>
      <c r="E508" s="443"/>
      <c r="F508" s="443"/>
      <c r="G508" s="453"/>
      <c r="H508" s="453"/>
      <c r="I508" s="453"/>
      <c r="J508" s="106"/>
      <c r="K508" s="106" t="str">
        <f>IF(ISBLANK(I508), "", VLOOKUP(A508&amp;" "&amp;B508, 'Info Tipo de Cambio y REM'!$A$24:$B$35, 2, FALSE))</f>
        <v/>
      </c>
      <c r="L508" s="107" t="str">
        <f t="shared" si="2"/>
        <v/>
      </c>
      <c r="M508" s="102"/>
    </row>
    <row r="509">
      <c r="A509" s="44"/>
      <c r="B509" s="102"/>
      <c r="C509" s="102"/>
      <c r="D509" s="102"/>
      <c r="E509" s="443"/>
      <c r="F509" s="443"/>
      <c r="G509" s="453"/>
      <c r="H509" s="453"/>
      <c r="I509" s="453"/>
      <c r="J509" s="106"/>
      <c r="K509" s="106" t="str">
        <f>IF(ISBLANK(I509), "", VLOOKUP(A509&amp;" "&amp;B509, 'Info Tipo de Cambio y REM'!$A$24:$B$35, 2, FALSE))</f>
        <v/>
      </c>
      <c r="L509" s="107" t="str">
        <f t="shared" si="2"/>
        <v/>
      </c>
      <c r="M509" s="102"/>
    </row>
    <row r="510">
      <c r="A510" s="44"/>
      <c r="B510" s="102"/>
      <c r="C510" s="102"/>
      <c r="D510" s="102"/>
      <c r="E510" s="443"/>
      <c r="F510" s="443"/>
      <c r="G510" s="453"/>
      <c r="H510" s="453"/>
      <c r="I510" s="453"/>
      <c r="J510" s="106"/>
      <c r="K510" s="106" t="str">
        <f>IF(ISBLANK(I510), "", VLOOKUP(A510&amp;" "&amp;B510, 'Info Tipo de Cambio y REM'!$A$24:$B$35, 2, FALSE))</f>
        <v/>
      </c>
      <c r="L510" s="107" t="str">
        <f t="shared" si="2"/>
        <v/>
      </c>
      <c r="M510" s="102"/>
    </row>
    <row r="511">
      <c r="A511" s="44"/>
      <c r="B511" s="102"/>
      <c r="C511" s="102"/>
      <c r="D511" s="102"/>
      <c r="E511" s="443"/>
      <c r="F511" s="443"/>
      <c r="G511" s="453"/>
      <c r="H511" s="453"/>
      <c r="I511" s="453"/>
      <c r="J511" s="106"/>
      <c r="K511" s="106" t="str">
        <f>IF(ISBLANK(I511), "", VLOOKUP(A511&amp;" "&amp;B511, 'Info Tipo de Cambio y REM'!$A$24:$B$35, 2, FALSE))</f>
        <v/>
      </c>
      <c r="L511" s="107" t="str">
        <f t="shared" si="2"/>
        <v/>
      </c>
      <c r="M511" s="102"/>
    </row>
    <row r="512">
      <c r="A512" s="44"/>
      <c r="B512" s="102"/>
      <c r="C512" s="102"/>
      <c r="D512" s="102"/>
      <c r="E512" s="443"/>
      <c r="F512" s="443"/>
      <c r="G512" s="453"/>
      <c r="H512" s="453"/>
      <c r="I512" s="453"/>
      <c r="J512" s="106"/>
      <c r="K512" s="106" t="str">
        <f>IF(ISBLANK(I512), "", VLOOKUP(A512&amp;" "&amp;B512, 'Info Tipo de Cambio y REM'!$A$24:$B$35, 2, FALSE))</f>
        <v/>
      </c>
      <c r="L512" s="107" t="str">
        <f t="shared" si="2"/>
        <v/>
      </c>
      <c r="M512" s="102"/>
    </row>
    <row r="513">
      <c r="A513" s="44"/>
      <c r="B513" s="102"/>
      <c r="C513" s="102"/>
      <c r="D513" s="102"/>
      <c r="E513" s="443"/>
      <c r="F513" s="443"/>
      <c r="G513" s="453"/>
      <c r="H513" s="453"/>
      <c r="I513" s="453"/>
      <c r="J513" s="106"/>
      <c r="K513" s="106" t="str">
        <f>IF(ISBLANK(I513), "", VLOOKUP(A513&amp;" "&amp;B513, 'Info Tipo de Cambio y REM'!$A$24:$B$35, 2, FALSE))</f>
        <v/>
      </c>
      <c r="L513" s="107" t="str">
        <f t="shared" si="2"/>
        <v/>
      </c>
      <c r="M513" s="102"/>
    </row>
    <row r="514">
      <c r="A514" s="44"/>
      <c r="B514" s="102"/>
      <c r="C514" s="102"/>
      <c r="D514" s="102"/>
      <c r="E514" s="443"/>
      <c r="F514" s="443"/>
      <c r="G514" s="453"/>
      <c r="H514" s="453"/>
      <c r="I514" s="453"/>
      <c r="J514" s="106"/>
      <c r="K514" s="106" t="str">
        <f>IF(ISBLANK(I514), "", VLOOKUP(A514&amp;" "&amp;B514, 'Info Tipo de Cambio y REM'!$A$24:$B$35, 2, FALSE))</f>
        <v/>
      </c>
      <c r="L514" s="107" t="str">
        <f t="shared" si="2"/>
        <v/>
      </c>
      <c r="M514" s="102"/>
    </row>
    <row r="515">
      <c r="A515" s="44"/>
      <c r="B515" s="102"/>
      <c r="C515" s="102"/>
      <c r="D515" s="102"/>
      <c r="E515" s="443"/>
      <c r="F515" s="443"/>
      <c r="G515" s="453"/>
      <c r="H515" s="453"/>
      <c r="I515" s="453"/>
      <c r="J515" s="106"/>
      <c r="K515" s="106" t="str">
        <f>IF(ISBLANK(I515), "", VLOOKUP(A515&amp;" "&amp;B515, 'Info Tipo de Cambio y REM'!$A$24:$B$35, 2, FALSE))</f>
        <v/>
      </c>
      <c r="L515" s="107" t="str">
        <f t="shared" si="2"/>
        <v/>
      </c>
      <c r="M515" s="102"/>
    </row>
    <row r="516">
      <c r="A516" s="44"/>
      <c r="B516" s="102"/>
      <c r="C516" s="102"/>
      <c r="D516" s="102"/>
      <c r="E516" s="443"/>
      <c r="F516" s="443"/>
      <c r="G516" s="453"/>
      <c r="H516" s="453"/>
      <c r="I516" s="453"/>
      <c r="J516" s="106"/>
      <c r="K516" s="106" t="str">
        <f>IF(ISBLANK(I516), "", VLOOKUP(A516&amp;" "&amp;B516, 'Info Tipo de Cambio y REM'!$A$24:$B$35, 2, FALSE))</f>
        <v/>
      </c>
      <c r="L516" s="107" t="str">
        <f t="shared" si="2"/>
        <v/>
      </c>
      <c r="M516" s="102"/>
    </row>
    <row r="517">
      <c r="A517" s="44"/>
      <c r="B517" s="102"/>
      <c r="C517" s="102"/>
      <c r="D517" s="102"/>
      <c r="E517" s="443"/>
      <c r="F517" s="443"/>
      <c r="G517" s="453"/>
      <c r="H517" s="453"/>
      <c r="I517" s="453"/>
      <c r="J517" s="106"/>
      <c r="K517" s="106" t="str">
        <f>IF(ISBLANK(I517), "", VLOOKUP(A517&amp;" "&amp;B517, 'Info Tipo de Cambio y REM'!$A$24:$B$35, 2, FALSE))</f>
        <v/>
      </c>
      <c r="L517" s="107" t="str">
        <f t="shared" si="2"/>
        <v/>
      </c>
      <c r="M517" s="102"/>
    </row>
    <row r="518">
      <c r="A518" s="44"/>
      <c r="B518" s="102"/>
      <c r="C518" s="102"/>
      <c r="D518" s="102"/>
      <c r="E518" s="443"/>
      <c r="F518" s="443"/>
      <c r="G518" s="453"/>
      <c r="H518" s="453"/>
      <c r="I518" s="453"/>
      <c r="J518" s="106"/>
      <c r="K518" s="106" t="str">
        <f>IF(ISBLANK(I518), "", VLOOKUP(A518&amp;" "&amp;B518, 'Info Tipo de Cambio y REM'!$A$24:$B$35, 2, FALSE))</f>
        <v/>
      </c>
      <c r="L518" s="107" t="str">
        <f t="shared" si="2"/>
        <v/>
      </c>
      <c r="M518" s="102"/>
    </row>
    <row r="519">
      <c r="A519" s="44"/>
      <c r="B519" s="102"/>
      <c r="C519" s="102"/>
      <c r="D519" s="102"/>
      <c r="E519" s="443"/>
      <c r="F519" s="443"/>
      <c r="G519" s="453"/>
      <c r="H519" s="453"/>
      <c r="I519" s="453"/>
      <c r="J519" s="106"/>
      <c r="K519" s="106" t="str">
        <f>IF(ISBLANK(I519), "", VLOOKUP(A519&amp;" "&amp;B519, 'Info Tipo de Cambio y REM'!$A$24:$B$35, 2, FALSE))</f>
        <v/>
      </c>
      <c r="L519" s="107" t="str">
        <f t="shared" si="2"/>
        <v/>
      </c>
      <c r="M519" s="102"/>
    </row>
    <row r="520">
      <c r="A520" s="44"/>
      <c r="B520" s="102"/>
      <c r="C520" s="102"/>
      <c r="D520" s="102"/>
      <c r="E520" s="443"/>
      <c r="F520" s="443"/>
      <c r="G520" s="453"/>
      <c r="H520" s="453"/>
      <c r="I520" s="453"/>
      <c r="J520" s="106"/>
      <c r="K520" s="106" t="str">
        <f>IF(ISBLANK(I520), "", VLOOKUP(A520&amp;" "&amp;B520, 'Info Tipo de Cambio y REM'!$A$24:$B$35, 2, FALSE))</f>
        <v/>
      </c>
      <c r="L520" s="107" t="str">
        <f t="shared" si="2"/>
        <v/>
      </c>
      <c r="M520" s="102"/>
    </row>
    <row r="521">
      <c r="A521" s="44"/>
      <c r="B521" s="102"/>
      <c r="C521" s="102"/>
      <c r="D521" s="102"/>
      <c r="E521" s="443"/>
      <c r="F521" s="443"/>
      <c r="G521" s="453"/>
      <c r="H521" s="453"/>
      <c r="I521" s="453"/>
      <c r="J521" s="106"/>
      <c r="K521" s="106" t="str">
        <f>IF(ISBLANK(I521), "", VLOOKUP(A521&amp;" "&amp;B521, 'Info Tipo de Cambio y REM'!$A$24:$B$35, 2, FALSE))</f>
        <v/>
      </c>
      <c r="L521" s="107" t="str">
        <f t="shared" si="2"/>
        <v/>
      </c>
      <c r="M521" s="102"/>
    </row>
    <row r="522">
      <c r="A522" s="44"/>
      <c r="B522" s="102"/>
      <c r="C522" s="102"/>
      <c r="D522" s="102"/>
      <c r="E522" s="443"/>
      <c r="F522" s="443"/>
      <c r="G522" s="453"/>
      <c r="H522" s="453"/>
      <c r="I522" s="453"/>
      <c r="J522" s="106"/>
      <c r="K522" s="106" t="str">
        <f>IF(ISBLANK(I522), "", VLOOKUP(A522&amp;" "&amp;B522, 'Info Tipo de Cambio y REM'!$A$24:$B$35, 2, FALSE))</f>
        <v/>
      </c>
      <c r="L522" s="107" t="str">
        <f t="shared" si="2"/>
        <v/>
      </c>
      <c r="M522" s="102"/>
    </row>
    <row r="523">
      <c r="A523" s="44"/>
      <c r="B523" s="102"/>
      <c r="C523" s="102"/>
      <c r="D523" s="102"/>
      <c r="E523" s="443"/>
      <c r="F523" s="443"/>
      <c r="G523" s="453"/>
      <c r="H523" s="453"/>
      <c r="I523" s="453"/>
      <c r="J523" s="106"/>
      <c r="K523" s="106" t="str">
        <f>IF(ISBLANK(I523), "", VLOOKUP(A523&amp;" "&amp;B523, 'Info Tipo de Cambio y REM'!$A$24:$B$35, 2, FALSE))</f>
        <v/>
      </c>
      <c r="L523" s="107" t="str">
        <f t="shared" si="2"/>
        <v/>
      </c>
      <c r="M523" s="102"/>
    </row>
    <row r="524">
      <c r="A524" s="44"/>
      <c r="B524" s="102"/>
      <c r="C524" s="102"/>
      <c r="D524" s="102"/>
      <c r="E524" s="443"/>
      <c r="F524" s="443"/>
      <c r="G524" s="453"/>
      <c r="H524" s="453"/>
      <c r="I524" s="453"/>
      <c r="J524" s="106"/>
      <c r="K524" s="106" t="str">
        <f>IF(ISBLANK(I524), "", VLOOKUP(A524&amp;" "&amp;B524, 'Info Tipo de Cambio y REM'!$A$24:$B$35, 2, FALSE))</f>
        <v/>
      </c>
      <c r="L524" s="107" t="str">
        <f t="shared" si="2"/>
        <v/>
      </c>
      <c r="M524" s="102"/>
    </row>
    <row r="525">
      <c r="A525" s="44"/>
      <c r="B525" s="102"/>
      <c r="C525" s="102"/>
      <c r="D525" s="102"/>
      <c r="E525" s="443"/>
      <c r="F525" s="443"/>
      <c r="G525" s="453"/>
      <c r="H525" s="453"/>
      <c r="I525" s="453"/>
      <c r="J525" s="106"/>
      <c r="K525" s="106" t="str">
        <f>IF(ISBLANK(I525), "", VLOOKUP(A525&amp;" "&amp;B525, 'Info Tipo de Cambio y REM'!$A$24:$B$35, 2, FALSE))</f>
        <v/>
      </c>
      <c r="L525" s="107" t="str">
        <f t="shared" si="2"/>
        <v/>
      </c>
      <c r="M525" s="102"/>
    </row>
    <row r="526">
      <c r="A526" s="44"/>
      <c r="B526" s="102"/>
      <c r="C526" s="102"/>
      <c r="D526" s="102"/>
      <c r="E526" s="443"/>
      <c r="F526" s="443"/>
      <c r="G526" s="453"/>
      <c r="H526" s="453"/>
      <c r="I526" s="453"/>
      <c r="J526" s="106"/>
      <c r="K526" s="106" t="str">
        <f>IF(ISBLANK(I526), "", VLOOKUP(A526&amp;" "&amp;B526, 'Info Tipo de Cambio y REM'!$A$24:$B$35, 2, FALSE))</f>
        <v/>
      </c>
      <c r="L526" s="107" t="str">
        <f t="shared" si="2"/>
        <v/>
      </c>
      <c r="M526" s="102"/>
    </row>
    <row r="527">
      <c r="A527" s="44"/>
      <c r="B527" s="102"/>
      <c r="C527" s="102"/>
      <c r="D527" s="102"/>
      <c r="E527" s="443"/>
      <c r="F527" s="443"/>
      <c r="G527" s="453"/>
      <c r="H527" s="453"/>
      <c r="I527" s="453"/>
      <c r="J527" s="106"/>
      <c r="K527" s="106" t="str">
        <f>IF(ISBLANK(I527), "", VLOOKUP(A527&amp;" "&amp;B527, 'Info Tipo de Cambio y REM'!$A$24:$B$35, 2, FALSE))</f>
        <v/>
      </c>
      <c r="L527" s="107" t="str">
        <f t="shared" si="2"/>
        <v/>
      </c>
      <c r="M527" s="102"/>
    </row>
    <row r="528">
      <c r="A528" s="44"/>
      <c r="B528" s="102"/>
      <c r="C528" s="102"/>
      <c r="D528" s="102"/>
      <c r="E528" s="443"/>
      <c r="F528" s="443"/>
      <c r="G528" s="453"/>
      <c r="H528" s="453"/>
      <c r="I528" s="453"/>
      <c r="J528" s="106"/>
      <c r="K528" s="106" t="str">
        <f>IF(ISBLANK(I528), "", VLOOKUP(A528&amp;" "&amp;B528, 'Info Tipo de Cambio y REM'!$A$24:$B$35, 2, FALSE))</f>
        <v/>
      </c>
      <c r="L528" s="107" t="str">
        <f t="shared" si="2"/>
        <v/>
      </c>
      <c r="M528" s="102"/>
    </row>
    <row r="529">
      <c r="A529" s="44"/>
      <c r="B529" s="102"/>
      <c r="C529" s="102"/>
      <c r="D529" s="102"/>
      <c r="E529" s="443"/>
      <c r="F529" s="443"/>
      <c r="G529" s="453"/>
      <c r="H529" s="453"/>
      <c r="I529" s="453"/>
      <c r="J529" s="106"/>
      <c r="K529" s="106" t="str">
        <f>IF(ISBLANK(I529), "", VLOOKUP(A529&amp;" "&amp;B529, 'Info Tipo de Cambio y REM'!$A$24:$B$35, 2, FALSE))</f>
        <v/>
      </c>
      <c r="L529" s="107" t="str">
        <f t="shared" si="2"/>
        <v/>
      </c>
      <c r="M529" s="102"/>
    </row>
    <row r="530">
      <c r="A530" s="44"/>
      <c r="B530" s="102"/>
      <c r="C530" s="102"/>
      <c r="D530" s="102"/>
      <c r="E530" s="443"/>
      <c r="F530" s="443"/>
      <c r="G530" s="453"/>
      <c r="H530" s="453"/>
      <c r="I530" s="453"/>
      <c r="J530" s="106"/>
      <c r="K530" s="106" t="str">
        <f>IF(ISBLANK(I530), "", VLOOKUP(A530&amp;" "&amp;B530, 'Info Tipo de Cambio y REM'!$A$24:$B$35, 2, FALSE))</f>
        <v/>
      </c>
      <c r="L530" s="107" t="str">
        <f t="shared" si="2"/>
        <v/>
      </c>
      <c r="M530" s="102"/>
    </row>
    <row r="531">
      <c r="A531" s="44"/>
      <c r="B531" s="102"/>
      <c r="C531" s="102"/>
      <c r="D531" s="102"/>
      <c r="E531" s="443"/>
      <c r="F531" s="443"/>
      <c r="G531" s="453"/>
      <c r="H531" s="453"/>
      <c r="I531" s="453"/>
      <c r="J531" s="106"/>
      <c r="K531" s="106" t="str">
        <f>IF(ISBLANK(I531), "", VLOOKUP(A531&amp;" "&amp;B531, 'Info Tipo de Cambio y REM'!$A$24:$B$35, 2, FALSE))</f>
        <v/>
      </c>
      <c r="L531" s="107" t="str">
        <f t="shared" si="2"/>
        <v/>
      </c>
      <c r="M531" s="102"/>
    </row>
    <row r="532">
      <c r="A532" s="44"/>
      <c r="B532" s="102"/>
      <c r="C532" s="102"/>
      <c r="D532" s="102"/>
      <c r="E532" s="443"/>
      <c r="F532" s="443"/>
      <c r="G532" s="453"/>
      <c r="H532" s="453"/>
      <c r="I532" s="453"/>
      <c r="J532" s="106"/>
      <c r="K532" s="106" t="str">
        <f>IF(ISBLANK(I532), "", VLOOKUP(A532&amp;" "&amp;B532, 'Info Tipo de Cambio y REM'!$A$24:$B$35, 2, FALSE))</f>
        <v/>
      </c>
      <c r="L532" s="107" t="str">
        <f t="shared" si="2"/>
        <v/>
      </c>
      <c r="M532" s="102"/>
    </row>
    <row r="533">
      <c r="A533" s="44"/>
      <c r="B533" s="102"/>
      <c r="C533" s="102"/>
      <c r="D533" s="102"/>
      <c r="E533" s="443"/>
      <c r="F533" s="443"/>
      <c r="G533" s="453"/>
      <c r="H533" s="453"/>
      <c r="I533" s="453"/>
      <c r="J533" s="106"/>
      <c r="K533" s="106" t="str">
        <f>IF(ISBLANK(I533), "", VLOOKUP(A533&amp;" "&amp;B533, 'Info Tipo de Cambio y REM'!$A$24:$B$35, 2, FALSE))</f>
        <v/>
      </c>
      <c r="L533" s="107" t="str">
        <f t="shared" si="2"/>
        <v/>
      </c>
      <c r="M533" s="102"/>
    </row>
    <row r="534">
      <c r="A534" s="44"/>
      <c r="B534" s="102"/>
      <c r="C534" s="102"/>
      <c r="D534" s="102"/>
      <c r="E534" s="443"/>
      <c r="F534" s="443"/>
      <c r="G534" s="453"/>
      <c r="H534" s="453"/>
      <c r="I534" s="453"/>
      <c r="J534" s="106"/>
      <c r="K534" s="106" t="str">
        <f>IF(ISBLANK(I534), "", VLOOKUP(A534&amp;" "&amp;B534, 'Info Tipo de Cambio y REM'!$A$24:$B$35, 2, FALSE))</f>
        <v/>
      </c>
      <c r="L534" s="107" t="str">
        <f t="shared" si="2"/>
        <v/>
      </c>
      <c r="M534" s="102"/>
    </row>
    <row r="535">
      <c r="A535" s="44"/>
      <c r="B535" s="102"/>
      <c r="C535" s="102"/>
      <c r="D535" s="102"/>
      <c r="E535" s="443"/>
      <c r="F535" s="443"/>
      <c r="G535" s="453"/>
      <c r="H535" s="453"/>
      <c r="I535" s="453"/>
      <c r="J535" s="106"/>
      <c r="K535" s="106" t="str">
        <f>IF(ISBLANK(I535), "", VLOOKUP(A535&amp;" "&amp;B535, 'Info Tipo de Cambio y REM'!$A$24:$B$35, 2, FALSE))</f>
        <v/>
      </c>
      <c r="L535" s="107" t="str">
        <f t="shared" si="2"/>
        <v/>
      </c>
      <c r="M535" s="102"/>
    </row>
    <row r="536">
      <c r="A536" s="44"/>
      <c r="B536" s="102"/>
      <c r="C536" s="102"/>
      <c r="D536" s="102"/>
      <c r="E536" s="443"/>
      <c r="F536" s="443"/>
      <c r="G536" s="453"/>
      <c r="H536" s="453"/>
      <c r="I536" s="453"/>
      <c r="J536" s="106"/>
      <c r="K536" s="106" t="str">
        <f>IF(ISBLANK(I536), "", VLOOKUP(A536&amp;" "&amp;B536, 'Info Tipo de Cambio y REM'!$A$24:$B$35, 2, FALSE))</f>
        <v/>
      </c>
      <c r="L536" s="107" t="str">
        <f t="shared" si="2"/>
        <v/>
      </c>
      <c r="M536" s="102"/>
    </row>
    <row r="537">
      <c r="A537" s="44"/>
      <c r="B537" s="102"/>
      <c r="C537" s="102"/>
      <c r="D537" s="102"/>
      <c r="E537" s="443"/>
      <c r="F537" s="443"/>
      <c r="G537" s="453"/>
      <c r="H537" s="453"/>
      <c r="I537" s="453"/>
      <c r="J537" s="106"/>
      <c r="K537" s="106" t="str">
        <f>IF(ISBLANK(I537), "", VLOOKUP(A537&amp;" "&amp;B537, 'Info Tipo de Cambio y REM'!$A$24:$B$35, 2, FALSE))</f>
        <v/>
      </c>
      <c r="L537" s="107" t="str">
        <f t="shared" si="2"/>
        <v/>
      </c>
      <c r="M537" s="102"/>
    </row>
    <row r="538">
      <c r="A538" s="44"/>
      <c r="B538" s="102"/>
      <c r="C538" s="102"/>
      <c r="D538" s="102"/>
      <c r="E538" s="443"/>
      <c r="F538" s="443"/>
      <c r="G538" s="453"/>
      <c r="H538" s="453"/>
      <c r="I538" s="453"/>
      <c r="J538" s="106"/>
      <c r="K538" s="106" t="str">
        <f>IF(ISBLANK(I538), "", VLOOKUP(A538&amp;" "&amp;B538, 'Info Tipo de Cambio y REM'!$A$24:$B$35, 2, FALSE))</f>
        <v/>
      </c>
      <c r="L538" s="107" t="str">
        <f t="shared" si="2"/>
        <v/>
      </c>
      <c r="M538" s="102"/>
    </row>
    <row r="539">
      <c r="A539" s="44"/>
      <c r="B539" s="102"/>
      <c r="C539" s="102"/>
      <c r="D539" s="102"/>
      <c r="E539" s="443"/>
      <c r="F539" s="443"/>
      <c r="G539" s="453"/>
      <c r="H539" s="453"/>
      <c r="I539" s="453"/>
      <c r="J539" s="106"/>
      <c r="K539" s="106" t="str">
        <f>IF(ISBLANK(I539), "", VLOOKUP(A539&amp;" "&amp;B539, 'Info Tipo de Cambio y REM'!$A$24:$B$35, 2, FALSE))</f>
        <v/>
      </c>
      <c r="L539" s="107" t="str">
        <f t="shared" si="2"/>
        <v/>
      </c>
      <c r="M539" s="102"/>
    </row>
    <row r="540">
      <c r="A540" s="44"/>
      <c r="B540" s="102"/>
      <c r="C540" s="102"/>
      <c r="D540" s="102"/>
      <c r="E540" s="443"/>
      <c r="F540" s="443"/>
      <c r="G540" s="453"/>
      <c r="H540" s="453"/>
      <c r="I540" s="453"/>
      <c r="J540" s="106"/>
      <c r="K540" s="106" t="str">
        <f>IF(ISBLANK(I540), "", VLOOKUP(A540&amp;" "&amp;B540, 'Info Tipo de Cambio y REM'!$A$24:$B$35, 2, FALSE))</f>
        <v/>
      </c>
      <c r="L540" s="107" t="str">
        <f t="shared" si="2"/>
        <v/>
      </c>
      <c r="M540" s="102"/>
    </row>
    <row r="541">
      <c r="A541" s="44"/>
      <c r="B541" s="102"/>
      <c r="C541" s="102"/>
      <c r="D541" s="102"/>
      <c r="E541" s="443"/>
      <c r="F541" s="443"/>
      <c r="G541" s="453"/>
      <c r="H541" s="453"/>
      <c r="I541" s="453"/>
      <c r="J541" s="106"/>
      <c r="K541" s="106" t="str">
        <f>IF(ISBLANK(I541), "", VLOOKUP(A541&amp;" "&amp;B541, 'Info Tipo de Cambio y REM'!$A$24:$B$35, 2, FALSE))</f>
        <v/>
      </c>
      <c r="L541" s="107" t="str">
        <f t="shared" si="2"/>
        <v/>
      </c>
      <c r="M541" s="102"/>
    </row>
    <row r="542">
      <c r="A542" s="44"/>
      <c r="B542" s="102"/>
      <c r="C542" s="102"/>
      <c r="D542" s="102"/>
      <c r="E542" s="443"/>
      <c r="F542" s="443"/>
      <c r="G542" s="453"/>
      <c r="H542" s="453"/>
      <c r="I542" s="453"/>
      <c r="J542" s="106"/>
      <c r="K542" s="106" t="str">
        <f>IF(ISBLANK(I542), "", VLOOKUP(A542&amp;" "&amp;B542, 'Info Tipo de Cambio y REM'!$A$24:$B$35, 2, FALSE))</f>
        <v/>
      </c>
      <c r="L542" s="107" t="str">
        <f t="shared" si="2"/>
        <v/>
      </c>
      <c r="M542" s="102"/>
    </row>
    <row r="543">
      <c r="A543" s="44"/>
      <c r="B543" s="102"/>
      <c r="C543" s="102"/>
      <c r="D543" s="102"/>
      <c r="E543" s="443"/>
      <c r="F543" s="443"/>
      <c r="G543" s="453"/>
      <c r="H543" s="453"/>
      <c r="I543" s="453"/>
      <c r="J543" s="106"/>
      <c r="K543" s="106" t="str">
        <f>IF(ISBLANK(I543), "", VLOOKUP(A543&amp;" "&amp;B543, 'Info Tipo de Cambio y REM'!$A$24:$B$35, 2, FALSE))</f>
        <v/>
      </c>
      <c r="L543" s="107" t="str">
        <f t="shared" si="2"/>
        <v/>
      </c>
      <c r="M543" s="102"/>
    </row>
    <row r="544">
      <c r="A544" s="44"/>
      <c r="B544" s="102"/>
      <c r="C544" s="102"/>
      <c r="D544" s="102"/>
      <c r="E544" s="443"/>
      <c r="F544" s="443"/>
      <c r="G544" s="453"/>
      <c r="H544" s="453"/>
      <c r="I544" s="453"/>
      <c r="J544" s="106"/>
      <c r="K544" s="106" t="str">
        <f>IF(ISBLANK(I544), "", VLOOKUP(A544&amp;" "&amp;B544, 'Info Tipo de Cambio y REM'!$A$24:$B$35, 2, FALSE))</f>
        <v/>
      </c>
      <c r="L544" s="107" t="str">
        <f t="shared" si="2"/>
        <v/>
      </c>
      <c r="M544" s="102"/>
    </row>
    <row r="545">
      <c r="A545" s="44"/>
      <c r="B545" s="102"/>
      <c r="C545" s="102"/>
      <c r="D545" s="102"/>
      <c r="E545" s="443"/>
      <c r="F545" s="443"/>
      <c r="G545" s="453"/>
      <c r="H545" s="453"/>
      <c r="I545" s="453"/>
      <c r="J545" s="106"/>
      <c r="K545" s="106" t="str">
        <f>IF(ISBLANK(I545), "", VLOOKUP(A545&amp;" "&amp;B545, 'Info Tipo de Cambio y REM'!$A$24:$B$35, 2, FALSE))</f>
        <v/>
      </c>
      <c r="L545" s="107" t="str">
        <f t="shared" si="2"/>
        <v/>
      </c>
      <c r="M545" s="102"/>
    </row>
    <row r="546">
      <c r="A546" s="44"/>
      <c r="B546" s="102"/>
      <c r="C546" s="102"/>
      <c r="D546" s="102"/>
      <c r="E546" s="443"/>
      <c r="F546" s="443"/>
      <c r="G546" s="453"/>
      <c r="H546" s="453"/>
      <c r="I546" s="453"/>
      <c r="J546" s="106"/>
      <c r="K546" s="106" t="str">
        <f>IF(ISBLANK(I546), "", VLOOKUP(A546&amp;" "&amp;B546, 'Info Tipo de Cambio y REM'!$A$24:$B$35, 2, FALSE))</f>
        <v/>
      </c>
      <c r="L546" s="107" t="str">
        <f t="shared" si="2"/>
        <v/>
      </c>
      <c r="M546" s="102"/>
    </row>
    <row r="547">
      <c r="A547" s="44"/>
      <c r="B547" s="102"/>
      <c r="C547" s="102"/>
      <c r="D547" s="102"/>
      <c r="E547" s="443"/>
      <c r="F547" s="443"/>
      <c r="G547" s="453"/>
      <c r="H547" s="453"/>
      <c r="I547" s="453"/>
      <c r="J547" s="106"/>
      <c r="K547" s="106" t="str">
        <f>IF(ISBLANK(I547), "", VLOOKUP(A547&amp;" "&amp;B547, 'Info Tipo de Cambio y REM'!$A$24:$B$35, 2, FALSE))</f>
        <v/>
      </c>
      <c r="L547" s="107" t="str">
        <f t="shared" si="2"/>
        <v/>
      </c>
      <c r="M547" s="102"/>
    </row>
    <row r="548">
      <c r="A548" s="44"/>
      <c r="B548" s="102"/>
      <c r="C548" s="102"/>
      <c r="D548" s="102"/>
      <c r="E548" s="443"/>
      <c r="F548" s="443"/>
      <c r="G548" s="453"/>
      <c r="H548" s="453"/>
      <c r="I548" s="453"/>
      <c r="J548" s="106"/>
      <c r="K548" s="106" t="str">
        <f>IF(ISBLANK(I548), "", VLOOKUP(A548&amp;" "&amp;B548, 'Info Tipo de Cambio y REM'!$A$24:$B$35, 2, FALSE))</f>
        <v/>
      </c>
      <c r="L548" s="107" t="str">
        <f t="shared" si="2"/>
        <v/>
      </c>
      <c r="M548" s="102"/>
    </row>
    <row r="549">
      <c r="A549" s="44"/>
      <c r="B549" s="102"/>
      <c r="C549" s="102"/>
      <c r="D549" s="102"/>
      <c r="E549" s="443"/>
      <c r="F549" s="443"/>
      <c r="G549" s="453"/>
      <c r="H549" s="453"/>
      <c r="I549" s="453"/>
      <c r="J549" s="106"/>
      <c r="K549" s="106" t="str">
        <f>IF(ISBLANK(I549), "", VLOOKUP(A549&amp;" "&amp;B549, 'Info Tipo de Cambio y REM'!$A$24:$B$35, 2, FALSE))</f>
        <v/>
      </c>
      <c r="L549" s="107" t="str">
        <f t="shared" si="2"/>
        <v/>
      </c>
      <c r="M549" s="102"/>
    </row>
    <row r="550">
      <c r="A550" s="44"/>
      <c r="B550" s="102"/>
      <c r="C550" s="102"/>
      <c r="D550" s="102"/>
      <c r="E550" s="443"/>
      <c r="F550" s="443"/>
      <c r="G550" s="453"/>
      <c r="H550" s="453"/>
      <c r="I550" s="453"/>
      <c r="J550" s="106"/>
      <c r="K550" s="106" t="str">
        <f>IF(ISBLANK(I550), "", VLOOKUP(A550&amp;" "&amp;B550, 'Info Tipo de Cambio y REM'!$A$24:$B$35, 2, FALSE))</f>
        <v/>
      </c>
      <c r="L550" s="107" t="str">
        <f t="shared" si="2"/>
        <v/>
      </c>
      <c r="M550" s="102"/>
    </row>
    <row r="551">
      <c r="A551" s="44"/>
      <c r="B551" s="102"/>
      <c r="C551" s="102"/>
      <c r="D551" s="102"/>
      <c r="E551" s="443"/>
      <c r="F551" s="443"/>
      <c r="G551" s="453"/>
      <c r="H551" s="453"/>
      <c r="I551" s="453"/>
      <c r="J551" s="106"/>
      <c r="K551" s="106" t="str">
        <f>IF(ISBLANK(I551), "", VLOOKUP(A551&amp;" "&amp;B551, 'Info Tipo de Cambio y REM'!$A$24:$B$35, 2, FALSE))</f>
        <v/>
      </c>
      <c r="L551" s="107" t="str">
        <f t="shared" si="2"/>
        <v/>
      </c>
      <c r="M551" s="102"/>
    </row>
    <row r="552">
      <c r="A552" s="44"/>
      <c r="B552" s="102"/>
      <c r="C552" s="102"/>
      <c r="D552" s="102"/>
      <c r="E552" s="443"/>
      <c r="F552" s="443"/>
      <c r="G552" s="453"/>
      <c r="H552" s="453"/>
      <c r="I552" s="453"/>
      <c r="J552" s="106"/>
      <c r="K552" s="106" t="str">
        <f>IF(ISBLANK(I552), "", VLOOKUP(A552&amp;" "&amp;B552, 'Info Tipo de Cambio y REM'!$A$24:$B$35, 2, FALSE))</f>
        <v/>
      </c>
      <c r="L552" s="107" t="str">
        <f t="shared" si="2"/>
        <v/>
      </c>
      <c r="M552" s="102"/>
    </row>
    <row r="553">
      <c r="A553" s="44"/>
      <c r="B553" s="102"/>
      <c r="C553" s="102"/>
      <c r="D553" s="102"/>
      <c r="E553" s="443"/>
      <c r="F553" s="443"/>
      <c r="G553" s="453"/>
      <c r="H553" s="453"/>
      <c r="I553" s="453"/>
      <c r="J553" s="106"/>
      <c r="K553" s="106" t="str">
        <f>IF(ISBLANK(I553), "", VLOOKUP(A553&amp;" "&amp;B553, 'Info Tipo de Cambio y REM'!$A$24:$B$35, 2, FALSE))</f>
        <v/>
      </c>
      <c r="L553" s="107" t="str">
        <f t="shared" si="2"/>
        <v/>
      </c>
      <c r="M553" s="102"/>
    </row>
    <row r="554">
      <c r="A554" s="44"/>
      <c r="B554" s="102"/>
      <c r="C554" s="102"/>
      <c r="D554" s="102"/>
      <c r="E554" s="443"/>
      <c r="F554" s="443"/>
      <c r="G554" s="453"/>
      <c r="H554" s="453"/>
      <c r="I554" s="453"/>
      <c r="J554" s="106"/>
      <c r="K554" s="106" t="str">
        <f>IF(ISBLANK(I554), "", VLOOKUP(A554&amp;" "&amp;B554, 'Info Tipo de Cambio y REM'!$A$24:$B$35, 2, FALSE))</f>
        <v/>
      </c>
      <c r="L554" s="107" t="str">
        <f t="shared" si="2"/>
        <v/>
      </c>
      <c r="M554" s="102"/>
    </row>
    <row r="555">
      <c r="A555" s="44"/>
      <c r="B555" s="102"/>
      <c r="C555" s="102"/>
      <c r="D555" s="102"/>
      <c r="E555" s="443"/>
      <c r="F555" s="443"/>
      <c r="G555" s="453"/>
      <c r="H555" s="453"/>
      <c r="I555" s="453"/>
      <c r="J555" s="106"/>
      <c r="K555" s="106" t="str">
        <f>IF(ISBLANK(I555), "", VLOOKUP(A555&amp;" "&amp;B555, 'Info Tipo de Cambio y REM'!$A$24:$B$35, 2, FALSE))</f>
        <v/>
      </c>
      <c r="L555" s="107" t="str">
        <f t="shared" si="2"/>
        <v/>
      </c>
      <c r="M555" s="102"/>
    </row>
    <row r="556">
      <c r="A556" s="44"/>
      <c r="B556" s="102"/>
      <c r="C556" s="102"/>
      <c r="D556" s="102"/>
      <c r="E556" s="443"/>
      <c r="F556" s="443"/>
      <c r="G556" s="453"/>
      <c r="H556" s="453"/>
      <c r="I556" s="453"/>
      <c r="J556" s="106"/>
      <c r="K556" s="106" t="str">
        <f>IF(ISBLANK(I556), "", VLOOKUP(A556&amp;" "&amp;B556, 'Info Tipo de Cambio y REM'!$A$24:$B$35, 2, FALSE))</f>
        <v/>
      </c>
      <c r="L556" s="107" t="str">
        <f t="shared" si="2"/>
        <v/>
      </c>
      <c r="M556" s="102"/>
    </row>
    <row r="557">
      <c r="A557" s="44"/>
      <c r="B557" s="102"/>
      <c r="C557" s="102"/>
      <c r="D557" s="102"/>
      <c r="E557" s="443"/>
      <c r="F557" s="443"/>
      <c r="G557" s="453"/>
      <c r="H557" s="453"/>
      <c r="I557" s="453"/>
      <c r="J557" s="106"/>
      <c r="K557" s="106" t="str">
        <f>IF(ISBLANK(I557), "", VLOOKUP(A557&amp;" "&amp;B557, 'Info Tipo de Cambio y REM'!$A$24:$B$35, 2, FALSE))</f>
        <v/>
      </c>
      <c r="L557" s="107" t="str">
        <f t="shared" si="2"/>
        <v/>
      </c>
      <c r="M557" s="102"/>
    </row>
    <row r="558">
      <c r="A558" s="44"/>
      <c r="B558" s="102"/>
      <c r="C558" s="102"/>
      <c r="D558" s="102"/>
      <c r="E558" s="443"/>
      <c r="F558" s="443"/>
      <c r="G558" s="453"/>
      <c r="H558" s="453"/>
      <c r="I558" s="453"/>
      <c r="J558" s="106"/>
      <c r="K558" s="106" t="str">
        <f>IF(ISBLANK(I558), "", VLOOKUP(A558&amp;" "&amp;B558, 'Info Tipo de Cambio y REM'!$A$24:$B$35, 2, FALSE))</f>
        <v/>
      </c>
      <c r="L558" s="107" t="str">
        <f t="shared" si="2"/>
        <v/>
      </c>
      <c r="M558" s="102"/>
    </row>
    <row r="559">
      <c r="A559" s="44"/>
      <c r="B559" s="102"/>
      <c r="C559" s="102"/>
      <c r="D559" s="102"/>
      <c r="E559" s="443"/>
      <c r="F559" s="443"/>
      <c r="G559" s="453"/>
      <c r="H559" s="453"/>
      <c r="I559" s="453"/>
      <c r="J559" s="106"/>
      <c r="K559" s="106" t="str">
        <f>IF(ISBLANK(I559), "", VLOOKUP(A559&amp;" "&amp;B559, 'Info Tipo de Cambio y REM'!$A$24:$B$35, 2, FALSE))</f>
        <v/>
      </c>
      <c r="L559" s="107" t="str">
        <f t="shared" si="2"/>
        <v/>
      </c>
      <c r="M559" s="102"/>
    </row>
    <row r="560">
      <c r="A560" s="44"/>
      <c r="B560" s="102"/>
      <c r="C560" s="102"/>
      <c r="D560" s="102"/>
      <c r="E560" s="443"/>
      <c r="F560" s="443"/>
      <c r="G560" s="453"/>
      <c r="H560" s="453"/>
      <c r="I560" s="453"/>
      <c r="J560" s="106"/>
      <c r="K560" s="106" t="str">
        <f>IF(ISBLANK(I560), "", VLOOKUP(A560&amp;" "&amp;B560, 'Info Tipo de Cambio y REM'!$A$24:$B$35, 2, FALSE))</f>
        <v/>
      </c>
      <c r="L560" s="107" t="str">
        <f t="shared" si="2"/>
        <v/>
      </c>
      <c r="M560" s="102"/>
    </row>
    <row r="561">
      <c r="A561" s="44"/>
      <c r="B561" s="102"/>
      <c r="C561" s="102"/>
      <c r="D561" s="102"/>
      <c r="E561" s="443"/>
      <c r="F561" s="443"/>
      <c r="G561" s="453"/>
      <c r="H561" s="453"/>
      <c r="I561" s="453"/>
      <c r="J561" s="106"/>
      <c r="K561" s="106" t="str">
        <f>IF(ISBLANK(I561), "", VLOOKUP(A561&amp;" "&amp;B561, 'Info Tipo de Cambio y REM'!$A$24:$B$35, 2, FALSE))</f>
        <v/>
      </c>
      <c r="L561" s="107" t="str">
        <f t="shared" si="2"/>
        <v/>
      </c>
      <c r="M561" s="102"/>
    </row>
    <row r="562">
      <c r="A562" s="44"/>
      <c r="B562" s="102"/>
      <c r="C562" s="102"/>
      <c r="D562" s="102"/>
      <c r="E562" s="443"/>
      <c r="F562" s="443"/>
      <c r="G562" s="453"/>
      <c r="H562" s="453"/>
      <c r="I562" s="453"/>
      <c r="J562" s="106"/>
      <c r="K562" s="106" t="str">
        <f>IF(ISBLANK(I562), "", VLOOKUP(A562&amp;" "&amp;B562, 'Info Tipo de Cambio y REM'!$A$24:$B$35, 2, FALSE))</f>
        <v/>
      </c>
      <c r="L562" s="107" t="str">
        <f t="shared" si="2"/>
        <v/>
      </c>
      <c r="M562" s="102"/>
    </row>
    <row r="563">
      <c r="A563" s="44"/>
      <c r="B563" s="102"/>
      <c r="C563" s="102"/>
      <c r="D563" s="102"/>
      <c r="E563" s="443"/>
      <c r="F563" s="443"/>
      <c r="G563" s="453"/>
      <c r="H563" s="453"/>
      <c r="I563" s="453"/>
      <c r="J563" s="106"/>
      <c r="K563" s="106" t="str">
        <f>IF(ISBLANK(I563), "", VLOOKUP(A563&amp;" "&amp;B563, 'Info Tipo de Cambio y REM'!$A$24:$B$35, 2, FALSE))</f>
        <v/>
      </c>
      <c r="L563" s="107" t="str">
        <f t="shared" si="2"/>
        <v/>
      </c>
      <c r="M563" s="102"/>
    </row>
    <row r="564">
      <c r="A564" s="44"/>
      <c r="B564" s="102"/>
      <c r="C564" s="102"/>
      <c r="D564" s="102"/>
      <c r="E564" s="443"/>
      <c r="F564" s="443"/>
      <c r="G564" s="453"/>
      <c r="H564" s="453"/>
      <c r="I564" s="453"/>
      <c r="J564" s="106"/>
      <c r="K564" s="106" t="str">
        <f>IF(ISBLANK(I564), "", VLOOKUP(A564&amp;" "&amp;B564, 'Info Tipo de Cambio y REM'!$A$24:$B$35, 2, FALSE))</f>
        <v/>
      </c>
      <c r="L564" s="107" t="str">
        <f t="shared" si="2"/>
        <v/>
      </c>
      <c r="M564" s="102"/>
    </row>
    <row r="565">
      <c r="A565" s="44"/>
      <c r="B565" s="102"/>
      <c r="C565" s="102"/>
      <c r="D565" s="102"/>
      <c r="E565" s="443"/>
      <c r="F565" s="443"/>
      <c r="G565" s="453"/>
      <c r="H565" s="453"/>
      <c r="I565" s="453"/>
      <c r="J565" s="106"/>
      <c r="K565" s="106" t="str">
        <f>IF(ISBLANK(I565), "", VLOOKUP(A565&amp;" "&amp;B565, 'Info Tipo de Cambio y REM'!$A$24:$B$35, 2, FALSE))</f>
        <v/>
      </c>
      <c r="L565" s="107" t="str">
        <f t="shared" si="2"/>
        <v/>
      </c>
      <c r="M565" s="102"/>
    </row>
    <row r="566">
      <c r="A566" s="44"/>
      <c r="B566" s="102"/>
      <c r="C566" s="102"/>
      <c r="D566" s="102"/>
      <c r="E566" s="443"/>
      <c r="F566" s="443"/>
      <c r="G566" s="453"/>
      <c r="H566" s="453"/>
      <c r="I566" s="453"/>
      <c r="J566" s="106"/>
      <c r="K566" s="106" t="str">
        <f>IF(ISBLANK(I566), "", VLOOKUP(A566&amp;" "&amp;B566, 'Info Tipo de Cambio y REM'!$A$24:$B$35, 2, FALSE))</f>
        <v/>
      </c>
      <c r="L566" s="107" t="str">
        <f t="shared" si="2"/>
        <v/>
      </c>
      <c r="M566" s="102"/>
    </row>
    <row r="567">
      <c r="A567" s="44"/>
      <c r="B567" s="102"/>
      <c r="C567" s="102"/>
      <c r="D567" s="102"/>
      <c r="E567" s="443"/>
      <c r="F567" s="443"/>
      <c r="G567" s="453"/>
      <c r="H567" s="453"/>
      <c r="I567" s="453"/>
      <c r="J567" s="106"/>
      <c r="K567" s="106" t="str">
        <f>IF(ISBLANK(I567), "", VLOOKUP(A567&amp;" "&amp;B567, 'Info Tipo de Cambio y REM'!$A$24:$B$35, 2, FALSE))</f>
        <v/>
      </c>
      <c r="L567" s="107" t="str">
        <f t="shared" si="2"/>
        <v/>
      </c>
      <c r="M567" s="102"/>
    </row>
    <row r="568">
      <c r="A568" s="44"/>
      <c r="B568" s="102"/>
      <c r="C568" s="102"/>
      <c r="D568" s="102"/>
      <c r="E568" s="443"/>
      <c r="F568" s="443"/>
      <c r="G568" s="453"/>
      <c r="H568" s="453"/>
      <c r="I568" s="453"/>
      <c r="J568" s="106"/>
      <c r="K568" s="106" t="str">
        <f>IF(ISBLANK(I568), "", VLOOKUP(A568&amp;" "&amp;B568, 'Info Tipo de Cambio y REM'!$A$24:$B$35, 2, FALSE))</f>
        <v/>
      </c>
      <c r="L568" s="107" t="str">
        <f t="shared" si="2"/>
        <v/>
      </c>
      <c r="M568" s="102"/>
    </row>
    <row r="569">
      <c r="A569" s="44"/>
      <c r="B569" s="102"/>
      <c r="C569" s="102"/>
      <c r="D569" s="102"/>
      <c r="E569" s="443"/>
      <c r="F569" s="443"/>
      <c r="G569" s="453"/>
      <c r="H569" s="453"/>
      <c r="I569" s="453"/>
      <c r="J569" s="106"/>
      <c r="K569" s="106" t="str">
        <f>IF(ISBLANK(I569), "", VLOOKUP(A569&amp;" "&amp;B569, 'Info Tipo de Cambio y REM'!$A$24:$B$35, 2, FALSE))</f>
        <v/>
      </c>
      <c r="L569" s="107" t="str">
        <f t="shared" si="2"/>
        <v/>
      </c>
      <c r="M569" s="102"/>
    </row>
    <row r="570">
      <c r="A570" s="44"/>
      <c r="B570" s="102"/>
      <c r="C570" s="102"/>
      <c r="D570" s="102"/>
      <c r="E570" s="443"/>
      <c r="F570" s="443"/>
      <c r="G570" s="453"/>
      <c r="H570" s="453"/>
      <c r="I570" s="453"/>
      <c r="J570" s="106"/>
      <c r="K570" s="106" t="str">
        <f>IF(ISBLANK(I570), "", VLOOKUP(A570&amp;" "&amp;B570, 'Info Tipo de Cambio y REM'!$A$24:$B$35, 2, FALSE))</f>
        <v/>
      </c>
      <c r="L570" s="107" t="str">
        <f t="shared" si="2"/>
        <v/>
      </c>
      <c r="M570" s="102"/>
    </row>
    <row r="571">
      <c r="A571" s="44"/>
      <c r="B571" s="102"/>
      <c r="C571" s="102"/>
      <c r="D571" s="102"/>
      <c r="E571" s="443"/>
      <c r="F571" s="443"/>
      <c r="G571" s="453"/>
      <c r="H571" s="453"/>
      <c r="I571" s="453"/>
      <c r="J571" s="106"/>
      <c r="K571" s="106" t="str">
        <f>IF(ISBLANK(I571), "", VLOOKUP(A571&amp;" "&amp;B571, 'Info Tipo de Cambio y REM'!$A$24:$B$35, 2, FALSE))</f>
        <v/>
      </c>
      <c r="L571" s="107" t="str">
        <f t="shared" si="2"/>
        <v/>
      </c>
      <c r="M571" s="102"/>
    </row>
    <row r="572">
      <c r="A572" s="44"/>
      <c r="B572" s="102"/>
      <c r="C572" s="102"/>
      <c r="D572" s="102"/>
      <c r="E572" s="443"/>
      <c r="F572" s="443"/>
      <c r="G572" s="453"/>
      <c r="H572" s="453"/>
      <c r="I572" s="453"/>
      <c r="J572" s="106"/>
      <c r="K572" s="106" t="str">
        <f>IF(ISBLANK(I572), "", VLOOKUP(A572&amp;" "&amp;B572, 'Info Tipo de Cambio y REM'!$A$24:$B$35, 2, FALSE))</f>
        <v/>
      </c>
      <c r="L572" s="107" t="str">
        <f t="shared" si="2"/>
        <v/>
      </c>
      <c r="M572" s="102"/>
    </row>
    <row r="573">
      <c r="A573" s="44"/>
      <c r="B573" s="102"/>
      <c r="C573" s="102"/>
      <c r="D573" s="102"/>
      <c r="E573" s="443"/>
      <c r="F573" s="443"/>
      <c r="G573" s="453"/>
      <c r="H573" s="453"/>
      <c r="I573" s="453"/>
      <c r="J573" s="106"/>
      <c r="K573" s="106" t="str">
        <f>IF(ISBLANK(I573), "", VLOOKUP(A573&amp;" "&amp;B573, 'Info Tipo de Cambio y REM'!$A$24:$B$35, 2, FALSE))</f>
        <v/>
      </c>
      <c r="L573" s="107" t="str">
        <f t="shared" si="2"/>
        <v/>
      </c>
      <c r="M573" s="102"/>
    </row>
    <row r="574">
      <c r="A574" s="44"/>
      <c r="B574" s="102"/>
      <c r="C574" s="102"/>
      <c r="D574" s="102"/>
      <c r="E574" s="443"/>
      <c r="F574" s="443"/>
      <c r="G574" s="453"/>
      <c r="H574" s="453"/>
      <c r="I574" s="453"/>
      <c r="J574" s="106"/>
      <c r="K574" s="106" t="str">
        <f>IF(ISBLANK(I574), "", VLOOKUP(A574&amp;" "&amp;B574, 'Info Tipo de Cambio y REM'!$A$24:$B$35, 2, FALSE))</f>
        <v/>
      </c>
      <c r="L574" s="107" t="str">
        <f t="shared" si="2"/>
        <v/>
      </c>
      <c r="M574" s="102"/>
    </row>
    <row r="575">
      <c r="A575" s="44"/>
      <c r="B575" s="102"/>
      <c r="C575" s="102"/>
      <c r="D575" s="102"/>
      <c r="E575" s="443"/>
      <c r="F575" s="443"/>
      <c r="G575" s="453"/>
      <c r="H575" s="453"/>
      <c r="I575" s="453"/>
      <c r="J575" s="106"/>
      <c r="K575" s="106" t="str">
        <f>IF(ISBLANK(I575), "", VLOOKUP(A575&amp;" "&amp;B575, 'Info Tipo de Cambio y REM'!$A$24:$B$35, 2, FALSE))</f>
        <v/>
      </c>
      <c r="L575" s="107" t="str">
        <f t="shared" si="2"/>
        <v/>
      </c>
      <c r="M575" s="102"/>
    </row>
    <row r="576">
      <c r="A576" s="44"/>
      <c r="B576" s="102"/>
      <c r="C576" s="102"/>
      <c r="D576" s="102"/>
      <c r="E576" s="443"/>
      <c r="F576" s="443"/>
      <c r="G576" s="453"/>
      <c r="H576" s="453"/>
      <c r="I576" s="453"/>
      <c r="J576" s="106"/>
      <c r="K576" s="106" t="str">
        <f>IF(ISBLANK(I576), "", VLOOKUP(A576&amp;" "&amp;B576, 'Info Tipo de Cambio y REM'!$A$24:$B$35, 2, FALSE))</f>
        <v/>
      </c>
      <c r="L576" s="107" t="str">
        <f t="shared" si="2"/>
        <v/>
      </c>
      <c r="M576" s="102"/>
    </row>
    <row r="577">
      <c r="A577" s="44"/>
      <c r="B577" s="102"/>
      <c r="C577" s="102"/>
      <c r="D577" s="102"/>
      <c r="E577" s="443"/>
      <c r="F577" s="443"/>
      <c r="G577" s="453"/>
      <c r="H577" s="453"/>
      <c r="I577" s="453"/>
      <c r="J577" s="106"/>
      <c r="K577" s="106" t="str">
        <f>IF(ISBLANK(I577), "", VLOOKUP(A577&amp;" "&amp;B577, 'Info Tipo de Cambio y REM'!$A$24:$B$35, 2, FALSE))</f>
        <v/>
      </c>
      <c r="L577" s="107" t="str">
        <f t="shared" si="2"/>
        <v/>
      </c>
      <c r="M577" s="102"/>
    </row>
    <row r="578">
      <c r="A578" s="44"/>
      <c r="B578" s="102"/>
      <c r="C578" s="102"/>
      <c r="D578" s="102"/>
      <c r="E578" s="443"/>
      <c r="F578" s="443"/>
      <c r="G578" s="453"/>
      <c r="H578" s="453"/>
      <c r="I578" s="453"/>
      <c r="J578" s="106"/>
      <c r="K578" s="106" t="str">
        <f>IF(ISBLANK(I578), "", VLOOKUP(A578&amp;" "&amp;B578, 'Info Tipo de Cambio y REM'!$A$24:$B$35, 2, FALSE))</f>
        <v/>
      </c>
      <c r="L578" s="107" t="str">
        <f t="shared" si="2"/>
        <v/>
      </c>
      <c r="M578" s="102"/>
    </row>
    <row r="579">
      <c r="A579" s="44"/>
      <c r="B579" s="102"/>
      <c r="C579" s="102"/>
      <c r="D579" s="102"/>
      <c r="E579" s="443"/>
      <c r="F579" s="443"/>
      <c r="G579" s="453"/>
      <c r="H579" s="453"/>
      <c r="I579" s="453"/>
      <c r="J579" s="106"/>
      <c r="K579" s="106" t="str">
        <f>IF(ISBLANK(I579), "", VLOOKUP(A579&amp;" "&amp;B579, 'Info Tipo de Cambio y REM'!$A$24:$B$35, 2, FALSE))</f>
        <v/>
      </c>
      <c r="L579" s="107" t="str">
        <f t="shared" si="2"/>
        <v/>
      </c>
      <c r="M579" s="102"/>
    </row>
    <row r="580">
      <c r="A580" s="44"/>
      <c r="B580" s="102"/>
      <c r="C580" s="102"/>
      <c r="D580" s="102"/>
      <c r="E580" s="443"/>
      <c r="F580" s="443"/>
      <c r="G580" s="453"/>
      <c r="H580" s="453"/>
      <c r="I580" s="453"/>
      <c r="J580" s="106"/>
      <c r="K580" s="106" t="str">
        <f>IF(ISBLANK(I580), "", VLOOKUP(A580&amp;" "&amp;B580, 'Info Tipo de Cambio y REM'!$A$24:$B$35, 2, FALSE))</f>
        <v/>
      </c>
      <c r="L580" s="107" t="str">
        <f t="shared" si="2"/>
        <v/>
      </c>
      <c r="M580" s="102"/>
    </row>
    <row r="581">
      <c r="A581" s="44"/>
      <c r="B581" s="102"/>
      <c r="C581" s="102"/>
      <c r="D581" s="102"/>
      <c r="E581" s="443"/>
      <c r="F581" s="443"/>
      <c r="G581" s="453"/>
      <c r="H581" s="453"/>
      <c r="I581" s="453"/>
      <c r="J581" s="106"/>
      <c r="K581" s="106" t="str">
        <f>IF(ISBLANK(I581), "", VLOOKUP(A581&amp;" "&amp;B581, 'Info Tipo de Cambio y REM'!$A$24:$B$35, 2, FALSE))</f>
        <v/>
      </c>
      <c r="L581" s="107" t="str">
        <f t="shared" si="2"/>
        <v/>
      </c>
      <c r="M581" s="102"/>
    </row>
    <row r="582">
      <c r="A582" s="44"/>
      <c r="B582" s="102"/>
      <c r="C582" s="102"/>
      <c r="D582" s="102"/>
      <c r="E582" s="443"/>
      <c r="F582" s="443"/>
      <c r="G582" s="453"/>
      <c r="H582" s="453"/>
      <c r="I582" s="453"/>
      <c r="J582" s="106"/>
      <c r="K582" s="106" t="str">
        <f>IF(ISBLANK(I582), "", VLOOKUP(A582&amp;" "&amp;B582, 'Info Tipo de Cambio y REM'!$A$24:$B$35, 2, FALSE))</f>
        <v/>
      </c>
      <c r="L582" s="107" t="str">
        <f t="shared" si="2"/>
        <v/>
      </c>
      <c r="M582" s="102"/>
    </row>
    <row r="583">
      <c r="A583" s="44"/>
      <c r="B583" s="102"/>
      <c r="C583" s="102"/>
      <c r="D583" s="102"/>
      <c r="E583" s="443"/>
      <c r="F583" s="443"/>
      <c r="G583" s="453"/>
      <c r="H583" s="453"/>
      <c r="I583" s="453"/>
      <c r="J583" s="106"/>
      <c r="K583" s="106" t="str">
        <f>IF(ISBLANK(I583), "", VLOOKUP(A583&amp;" "&amp;B583, 'Info Tipo de Cambio y REM'!$A$24:$B$35, 2, FALSE))</f>
        <v/>
      </c>
      <c r="L583" s="107" t="str">
        <f t="shared" si="2"/>
        <v/>
      </c>
      <c r="M583" s="102"/>
    </row>
    <row r="584">
      <c r="A584" s="44"/>
      <c r="B584" s="102"/>
      <c r="C584" s="102"/>
      <c r="D584" s="102"/>
      <c r="E584" s="443"/>
      <c r="F584" s="443"/>
      <c r="G584" s="453"/>
      <c r="H584" s="453"/>
      <c r="I584" s="453"/>
      <c r="J584" s="106"/>
      <c r="K584" s="106" t="str">
        <f>IF(ISBLANK(I584), "", VLOOKUP(A584&amp;" "&amp;B584, 'Info Tipo de Cambio y REM'!$A$24:$B$35, 2, FALSE))</f>
        <v/>
      </c>
      <c r="L584" s="107" t="str">
        <f t="shared" si="2"/>
        <v/>
      </c>
      <c r="M584" s="102"/>
    </row>
    <row r="585">
      <c r="A585" s="44"/>
      <c r="B585" s="102"/>
      <c r="C585" s="102"/>
      <c r="D585" s="102"/>
      <c r="E585" s="443"/>
      <c r="F585" s="443"/>
      <c r="G585" s="453"/>
      <c r="H585" s="453"/>
      <c r="I585" s="453"/>
      <c r="J585" s="106"/>
      <c r="K585" s="106" t="str">
        <f>IF(ISBLANK(I585), "", VLOOKUP(A585&amp;" "&amp;B585, 'Info Tipo de Cambio y REM'!$A$24:$B$35, 2, FALSE))</f>
        <v/>
      </c>
      <c r="L585" s="107" t="str">
        <f t="shared" si="2"/>
        <v/>
      </c>
      <c r="M585" s="102"/>
    </row>
    <row r="586">
      <c r="A586" s="44"/>
      <c r="B586" s="102"/>
      <c r="C586" s="102"/>
      <c r="D586" s="102"/>
      <c r="E586" s="443"/>
      <c r="F586" s="443"/>
      <c r="G586" s="453"/>
      <c r="H586" s="453"/>
      <c r="I586" s="453"/>
      <c r="J586" s="106"/>
      <c r="K586" s="106" t="str">
        <f>IF(ISBLANK(I586), "", VLOOKUP(A586&amp;" "&amp;B586, 'Info Tipo de Cambio y REM'!$A$24:$B$35, 2, FALSE))</f>
        <v/>
      </c>
      <c r="L586" s="107" t="str">
        <f t="shared" si="2"/>
        <v/>
      </c>
      <c r="M586" s="102"/>
    </row>
    <row r="587">
      <c r="A587" s="44"/>
      <c r="B587" s="102"/>
      <c r="C587" s="102"/>
      <c r="D587" s="102"/>
      <c r="E587" s="443"/>
      <c r="F587" s="443"/>
      <c r="G587" s="453"/>
      <c r="H587" s="453"/>
      <c r="I587" s="453"/>
      <c r="J587" s="106"/>
      <c r="K587" s="106" t="str">
        <f>IF(ISBLANK(I587), "", VLOOKUP(A587&amp;" "&amp;B587, 'Info Tipo de Cambio y REM'!$A$24:$B$35, 2, FALSE))</f>
        <v/>
      </c>
      <c r="L587" s="107" t="str">
        <f t="shared" si="2"/>
        <v/>
      </c>
      <c r="M587" s="102"/>
    </row>
    <row r="588">
      <c r="A588" s="44"/>
      <c r="B588" s="102"/>
      <c r="C588" s="102"/>
      <c r="D588" s="102"/>
      <c r="E588" s="443"/>
      <c r="F588" s="443"/>
      <c r="G588" s="453"/>
      <c r="H588" s="453"/>
      <c r="I588" s="453"/>
      <c r="J588" s="106"/>
      <c r="K588" s="106" t="str">
        <f>IF(ISBLANK(I588), "", VLOOKUP(A588&amp;" "&amp;B588, 'Info Tipo de Cambio y REM'!$A$24:$B$35, 2, FALSE))</f>
        <v/>
      </c>
      <c r="L588" s="107" t="str">
        <f t="shared" si="2"/>
        <v/>
      </c>
      <c r="M588" s="102"/>
    </row>
    <row r="589">
      <c r="A589" s="44"/>
      <c r="B589" s="102"/>
      <c r="C589" s="102"/>
      <c r="D589" s="102"/>
      <c r="E589" s="443"/>
      <c r="F589" s="443"/>
      <c r="G589" s="453"/>
      <c r="H589" s="453"/>
      <c r="I589" s="453"/>
      <c r="J589" s="106"/>
      <c r="K589" s="106" t="str">
        <f>IF(ISBLANK(I589), "", VLOOKUP(A589&amp;" "&amp;B589, 'Info Tipo de Cambio y REM'!$A$24:$B$35, 2, FALSE))</f>
        <v/>
      </c>
      <c r="L589" s="107" t="str">
        <f t="shared" si="2"/>
        <v/>
      </c>
      <c r="M589" s="102"/>
    </row>
    <row r="590">
      <c r="A590" s="44"/>
      <c r="B590" s="102"/>
      <c r="C590" s="102"/>
      <c r="D590" s="102"/>
      <c r="E590" s="443"/>
      <c r="F590" s="443"/>
      <c r="G590" s="453"/>
      <c r="H590" s="453"/>
      <c r="I590" s="453"/>
      <c r="J590" s="106"/>
      <c r="K590" s="106" t="str">
        <f>IF(ISBLANK(I590), "", VLOOKUP(A590&amp;" "&amp;B590, 'Info Tipo de Cambio y REM'!$A$24:$B$35, 2, FALSE))</f>
        <v/>
      </c>
      <c r="L590" s="107" t="str">
        <f t="shared" si="2"/>
        <v/>
      </c>
      <c r="M590" s="102"/>
    </row>
    <row r="591">
      <c r="A591" s="44"/>
      <c r="B591" s="102"/>
      <c r="C591" s="102"/>
      <c r="D591" s="102"/>
      <c r="E591" s="443"/>
      <c r="F591" s="443"/>
      <c r="G591" s="453"/>
      <c r="H591" s="453"/>
      <c r="I591" s="453"/>
      <c r="J591" s="106"/>
      <c r="K591" s="106" t="str">
        <f>IF(ISBLANK(I591), "", VLOOKUP(A591&amp;" "&amp;B591, 'Info Tipo de Cambio y REM'!$A$24:$B$35, 2, FALSE))</f>
        <v/>
      </c>
      <c r="L591" s="107" t="str">
        <f t="shared" si="2"/>
        <v/>
      </c>
      <c r="M591" s="102"/>
    </row>
    <row r="592">
      <c r="A592" s="44"/>
      <c r="B592" s="102"/>
      <c r="C592" s="102"/>
      <c r="D592" s="102"/>
      <c r="E592" s="443"/>
      <c r="F592" s="443"/>
      <c r="G592" s="453"/>
      <c r="H592" s="453"/>
      <c r="I592" s="453"/>
      <c r="J592" s="106"/>
      <c r="K592" s="106" t="str">
        <f>IF(ISBLANK(I592), "", VLOOKUP(A592&amp;" "&amp;B592, 'Info Tipo de Cambio y REM'!$A$24:$B$35, 2, FALSE))</f>
        <v/>
      </c>
      <c r="L592" s="107" t="str">
        <f t="shared" si="2"/>
        <v/>
      </c>
      <c r="M592" s="102"/>
    </row>
    <row r="593">
      <c r="A593" s="44"/>
      <c r="B593" s="102"/>
      <c r="C593" s="102"/>
      <c r="D593" s="102"/>
      <c r="E593" s="443"/>
      <c r="F593" s="443"/>
      <c r="G593" s="453"/>
      <c r="H593" s="453"/>
      <c r="I593" s="453"/>
      <c r="J593" s="106"/>
      <c r="K593" s="106" t="str">
        <f>IF(ISBLANK(I593), "", VLOOKUP(A593&amp;" "&amp;B593, 'Info Tipo de Cambio y REM'!$A$24:$B$35, 2, FALSE))</f>
        <v/>
      </c>
      <c r="L593" s="107" t="str">
        <f t="shared" si="2"/>
        <v/>
      </c>
      <c r="M593" s="102"/>
    </row>
    <row r="594">
      <c r="A594" s="44"/>
      <c r="B594" s="102"/>
      <c r="C594" s="102"/>
      <c r="D594" s="102"/>
      <c r="E594" s="443"/>
      <c r="F594" s="443"/>
      <c r="G594" s="453"/>
      <c r="H594" s="453"/>
      <c r="I594" s="453"/>
      <c r="J594" s="106"/>
      <c r="K594" s="106" t="str">
        <f>IF(ISBLANK(I594), "", VLOOKUP(A594&amp;" "&amp;B594, 'Info Tipo de Cambio y REM'!$A$24:$B$35, 2, FALSE))</f>
        <v/>
      </c>
      <c r="L594" s="107" t="str">
        <f t="shared" si="2"/>
        <v/>
      </c>
      <c r="M594" s="102"/>
    </row>
    <row r="595">
      <c r="A595" s="44"/>
      <c r="B595" s="102"/>
      <c r="C595" s="102"/>
      <c r="D595" s="102"/>
      <c r="E595" s="443"/>
      <c r="F595" s="443"/>
      <c r="G595" s="453"/>
      <c r="H595" s="453"/>
      <c r="I595" s="453"/>
      <c r="J595" s="106"/>
      <c r="K595" s="106" t="str">
        <f>IF(ISBLANK(I595), "", VLOOKUP(A595&amp;" "&amp;B595, 'Info Tipo de Cambio y REM'!$A$24:$B$35, 2, FALSE))</f>
        <v/>
      </c>
      <c r="L595" s="107" t="str">
        <f t="shared" si="2"/>
        <v/>
      </c>
      <c r="M595" s="102"/>
    </row>
    <row r="596">
      <c r="A596" s="44"/>
      <c r="B596" s="102"/>
      <c r="C596" s="102"/>
      <c r="D596" s="102"/>
      <c r="E596" s="443"/>
      <c r="F596" s="443"/>
      <c r="G596" s="453"/>
      <c r="H596" s="453"/>
      <c r="I596" s="453"/>
      <c r="J596" s="106"/>
      <c r="K596" s="106" t="str">
        <f>IF(ISBLANK(I596), "", VLOOKUP(A596&amp;" "&amp;B596, 'Info Tipo de Cambio y REM'!$A$24:$B$35, 2, FALSE))</f>
        <v/>
      </c>
      <c r="L596" s="107" t="str">
        <f t="shared" si="2"/>
        <v/>
      </c>
      <c r="M596" s="102"/>
    </row>
    <row r="597">
      <c r="A597" s="44"/>
      <c r="B597" s="102"/>
      <c r="C597" s="102"/>
      <c r="D597" s="102"/>
      <c r="E597" s="443"/>
      <c r="F597" s="443"/>
      <c r="G597" s="453"/>
      <c r="H597" s="453"/>
      <c r="I597" s="453"/>
      <c r="J597" s="106"/>
      <c r="K597" s="106" t="str">
        <f>IF(ISBLANK(I597), "", VLOOKUP(A597&amp;" "&amp;B597, 'Info Tipo de Cambio y REM'!$A$24:$B$35, 2, FALSE))</f>
        <v/>
      </c>
      <c r="L597" s="107" t="str">
        <f t="shared" si="2"/>
        <v/>
      </c>
      <c r="M597" s="102"/>
    </row>
    <row r="598">
      <c r="A598" s="44"/>
      <c r="B598" s="102"/>
      <c r="C598" s="102"/>
      <c r="D598" s="102"/>
      <c r="E598" s="443"/>
      <c r="F598" s="443"/>
      <c r="G598" s="453"/>
      <c r="H598" s="453"/>
      <c r="I598" s="453"/>
      <c r="J598" s="106"/>
      <c r="K598" s="106" t="str">
        <f>IF(ISBLANK(I598), "", VLOOKUP(A598&amp;" "&amp;B598, 'Info Tipo de Cambio y REM'!$A$24:$B$35, 2, FALSE))</f>
        <v/>
      </c>
      <c r="L598" s="107" t="str">
        <f t="shared" si="2"/>
        <v/>
      </c>
      <c r="M598" s="102"/>
    </row>
    <row r="599">
      <c r="A599" s="44"/>
      <c r="B599" s="102"/>
      <c r="C599" s="102"/>
      <c r="D599" s="102"/>
      <c r="E599" s="443"/>
      <c r="F599" s="443"/>
      <c r="G599" s="453"/>
      <c r="H599" s="453"/>
      <c r="I599" s="453"/>
      <c r="J599" s="106"/>
      <c r="K599" s="106" t="str">
        <f>IF(ISBLANK(I599), "", VLOOKUP(A599&amp;" "&amp;B599, 'Info Tipo de Cambio y REM'!$A$24:$B$35, 2, FALSE))</f>
        <v/>
      </c>
      <c r="L599" s="107" t="str">
        <f t="shared" si="2"/>
        <v/>
      </c>
      <c r="M599" s="102"/>
    </row>
    <row r="600">
      <c r="A600" s="44"/>
      <c r="B600" s="102"/>
      <c r="C600" s="102"/>
      <c r="D600" s="102"/>
      <c r="E600" s="443"/>
      <c r="F600" s="443"/>
      <c r="G600" s="453"/>
      <c r="H600" s="453"/>
      <c r="I600" s="453"/>
      <c r="J600" s="106"/>
      <c r="K600" s="106" t="str">
        <f>IF(ISBLANK(I600), "", VLOOKUP(A600&amp;" "&amp;B600, 'Info Tipo de Cambio y REM'!$A$24:$B$35, 2, FALSE))</f>
        <v/>
      </c>
      <c r="L600" s="107" t="str">
        <f t="shared" si="2"/>
        <v/>
      </c>
      <c r="M600" s="102"/>
    </row>
    <row r="601">
      <c r="A601" s="44"/>
      <c r="B601" s="102"/>
      <c r="C601" s="102"/>
      <c r="D601" s="102"/>
      <c r="E601" s="443"/>
      <c r="F601" s="443"/>
      <c r="G601" s="453"/>
      <c r="H601" s="453"/>
      <c r="I601" s="453"/>
      <c r="J601" s="106"/>
      <c r="K601" s="106" t="str">
        <f>IF(ISBLANK(I601), "", VLOOKUP(A601&amp;" "&amp;B601, 'Info Tipo de Cambio y REM'!$A$24:$B$35, 2, FALSE))</f>
        <v/>
      </c>
      <c r="L601" s="107" t="str">
        <f t="shared" si="2"/>
        <v/>
      </c>
      <c r="M601" s="102"/>
    </row>
    <row r="602">
      <c r="A602" s="44"/>
      <c r="B602" s="102"/>
      <c r="C602" s="102"/>
      <c r="D602" s="102"/>
      <c r="E602" s="443"/>
      <c r="F602" s="443"/>
      <c r="G602" s="453"/>
      <c r="H602" s="453"/>
      <c r="I602" s="453"/>
      <c r="J602" s="106"/>
      <c r="K602" s="106" t="str">
        <f>IF(ISBLANK(I602), "", VLOOKUP(A602&amp;" "&amp;B602, 'Info Tipo de Cambio y REM'!$A$24:$B$35, 2, FALSE))</f>
        <v/>
      </c>
      <c r="L602" s="107" t="str">
        <f t="shared" si="2"/>
        <v/>
      </c>
      <c r="M602" s="102"/>
    </row>
    <row r="603">
      <c r="A603" s="44"/>
      <c r="B603" s="102"/>
      <c r="C603" s="102"/>
      <c r="D603" s="102"/>
      <c r="E603" s="443"/>
      <c r="F603" s="443"/>
      <c r="G603" s="453"/>
      <c r="H603" s="453"/>
      <c r="I603" s="453"/>
      <c r="J603" s="106"/>
      <c r="K603" s="106" t="str">
        <f>IF(ISBLANK(I603), "", VLOOKUP(A603&amp;" "&amp;B603, 'Info Tipo de Cambio y REM'!$A$24:$B$35, 2, FALSE))</f>
        <v/>
      </c>
      <c r="L603" s="107" t="str">
        <f t="shared" si="2"/>
        <v/>
      </c>
      <c r="M603" s="102"/>
    </row>
    <row r="604">
      <c r="A604" s="44"/>
      <c r="B604" s="102"/>
      <c r="C604" s="102"/>
      <c r="D604" s="102"/>
      <c r="E604" s="443"/>
      <c r="F604" s="443"/>
      <c r="G604" s="453"/>
      <c r="H604" s="453"/>
      <c r="I604" s="453"/>
      <c r="J604" s="106"/>
      <c r="K604" s="106" t="str">
        <f>IF(ISBLANK(I604), "", VLOOKUP(A604&amp;" "&amp;B604, 'Info Tipo de Cambio y REM'!$A$24:$B$35, 2, FALSE))</f>
        <v/>
      </c>
      <c r="L604" s="107" t="str">
        <f t="shared" si="2"/>
        <v/>
      </c>
      <c r="M604" s="102"/>
    </row>
    <row r="605">
      <c r="A605" s="44"/>
      <c r="B605" s="102"/>
      <c r="C605" s="102"/>
      <c r="D605" s="102"/>
      <c r="E605" s="443"/>
      <c r="F605" s="443"/>
      <c r="G605" s="453"/>
      <c r="H605" s="453"/>
      <c r="I605" s="453"/>
      <c r="J605" s="106"/>
      <c r="K605" s="106" t="str">
        <f>IF(ISBLANK(I605), "", VLOOKUP(A605&amp;" "&amp;B605, 'Info Tipo de Cambio y REM'!$A$24:$B$35, 2, FALSE))</f>
        <v/>
      </c>
      <c r="L605" s="107" t="str">
        <f t="shared" si="2"/>
        <v/>
      </c>
      <c r="M605" s="102"/>
    </row>
    <row r="606">
      <c r="A606" s="44"/>
      <c r="B606" s="102"/>
      <c r="C606" s="102"/>
      <c r="D606" s="102"/>
      <c r="E606" s="443"/>
      <c r="F606" s="443"/>
      <c r="G606" s="453"/>
      <c r="H606" s="453"/>
      <c r="I606" s="453"/>
      <c r="J606" s="106"/>
      <c r="K606" s="106" t="str">
        <f>IF(ISBLANK(I606), "", VLOOKUP(A606&amp;" "&amp;B606, 'Info Tipo de Cambio y REM'!$A$24:$B$35, 2, FALSE))</f>
        <v/>
      </c>
      <c r="L606" s="107" t="str">
        <f t="shared" si="2"/>
        <v/>
      </c>
      <c r="M606" s="102"/>
    </row>
    <row r="607">
      <c r="A607" s="44"/>
      <c r="B607" s="102"/>
      <c r="C607" s="102"/>
      <c r="D607" s="102"/>
      <c r="E607" s="443"/>
      <c r="F607" s="443"/>
      <c r="G607" s="453"/>
      <c r="H607" s="453"/>
      <c r="I607" s="453"/>
      <c r="J607" s="106"/>
      <c r="K607" s="106" t="str">
        <f>IF(ISBLANK(I607), "", VLOOKUP(A607&amp;" "&amp;B607, 'Info Tipo de Cambio y REM'!$A$24:$B$35, 2, FALSE))</f>
        <v/>
      </c>
      <c r="L607" s="107" t="str">
        <f t="shared" si="2"/>
        <v/>
      </c>
      <c r="M607" s="102"/>
    </row>
    <row r="608">
      <c r="A608" s="44"/>
      <c r="B608" s="102"/>
      <c r="C608" s="102"/>
      <c r="D608" s="102"/>
      <c r="E608" s="443"/>
      <c r="F608" s="443"/>
      <c r="G608" s="453"/>
      <c r="H608" s="453"/>
      <c r="I608" s="453"/>
      <c r="J608" s="106"/>
      <c r="K608" s="106" t="str">
        <f>IF(ISBLANK(I608), "", VLOOKUP(A608&amp;" "&amp;B608, 'Info Tipo de Cambio y REM'!$A$24:$B$35, 2, FALSE))</f>
        <v/>
      </c>
      <c r="L608" s="107" t="str">
        <f t="shared" si="2"/>
        <v/>
      </c>
      <c r="M608" s="102"/>
    </row>
    <row r="609">
      <c r="A609" s="44"/>
      <c r="B609" s="102"/>
      <c r="C609" s="102"/>
      <c r="D609" s="102"/>
      <c r="E609" s="443"/>
      <c r="F609" s="443"/>
      <c r="G609" s="453"/>
      <c r="H609" s="453"/>
      <c r="I609" s="453"/>
      <c r="J609" s="106"/>
      <c r="K609" s="106" t="str">
        <f>IF(ISBLANK(I609), "", VLOOKUP(A609&amp;" "&amp;B609, 'Info Tipo de Cambio y REM'!$A$24:$B$35, 2, FALSE))</f>
        <v/>
      </c>
      <c r="L609" s="107" t="str">
        <f t="shared" si="2"/>
        <v/>
      </c>
      <c r="M609" s="102"/>
    </row>
    <row r="610">
      <c r="A610" s="44"/>
      <c r="B610" s="102"/>
      <c r="C610" s="102"/>
      <c r="D610" s="102"/>
      <c r="E610" s="443"/>
      <c r="F610" s="443"/>
      <c r="G610" s="453"/>
      <c r="H610" s="453"/>
      <c r="I610" s="453"/>
      <c r="J610" s="106"/>
      <c r="K610" s="106" t="str">
        <f>IF(ISBLANK(I610), "", VLOOKUP(A610&amp;" "&amp;B610, 'Info Tipo de Cambio y REM'!$A$24:$B$35, 2, FALSE))</f>
        <v/>
      </c>
      <c r="L610" s="107" t="str">
        <f t="shared" si="2"/>
        <v/>
      </c>
      <c r="M610" s="102"/>
    </row>
    <row r="611">
      <c r="A611" s="44"/>
      <c r="B611" s="102"/>
      <c r="C611" s="102"/>
      <c r="D611" s="102"/>
      <c r="E611" s="443"/>
      <c r="F611" s="443"/>
      <c r="G611" s="453"/>
      <c r="H611" s="453"/>
      <c r="I611" s="453"/>
      <c r="J611" s="106"/>
      <c r="K611" s="106" t="str">
        <f>IF(ISBLANK(I611), "", VLOOKUP(A611&amp;" "&amp;B611, 'Info Tipo de Cambio y REM'!$A$24:$B$35, 2, FALSE))</f>
        <v/>
      </c>
      <c r="L611" s="107" t="str">
        <f t="shared" si="2"/>
        <v/>
      </c>
      <c r="M611" s="102"/>
    </row>
    <row r="612">
      <c r="A612" s="44"/>
      <c r="B612" s="102"/>
      <c r="C612" s="102"/>
      <c r="D612" s="102"/>
      <c r="E612" s="443"/>
      <c r="F612" s="443"/>
      <c r="G612" s="453"/>
      <c r="H612" s="453"/>
      <c r="I612" s="453"/>
      <c r="J612" s="106"/>
      <c r="K612" s="106" t="str">
        <f>IF(ISBLANK(I612), "", VLOOKUP(A612&amp;" "&amp;B612, 'Info Tipo de Cambio y REM'!$A$24:$B$35, 2, FALSE))</f>
        <v/>
      </c>
      <c r="L612" s="107" t="str">
        <f t="shared" si="2"/>
        <v/>
      </c>
      <c r="M612" s="102"/>
    </row>
    <row r="613">
      <c r="A613" s="44"/>
      <c r="B613" s="102"/>
      <c r="C613" s="102"/>
      <c r="D613" s="102"/>
      <c r="E613" s="443"/>
      <c r="F613" s="443"/>
      <c r="G613" s="453"/>
      <c r="H613" s="453"/>
      <c r="I613" s="453"/>
      <c r="J613" s="106"/>
      <c r="K613" s="106" t="str">
        <f>IF(ISBLANK(I613), "", VLOOKUP(A613&amp;" "&amp;B613, 'Info Tipo de Cambio y REM'!$A$24:$B$35, 2, FALSE))</f>
        <v/>
      </c>
      <c r="L613" s="107" t="str">
        <f t="shared" si="2"/>
        <v/>
      </c>
      <c r="M613" s="102"/>
    </row>
    <row r="614">
      <c r="A614" s="44"/>
      <c r="B614" s="102"/>
      <c r="C614" s="102"/>
      <c r="D614" s="102"/>
      <c r="E614" s="443"/>
      <c r="F614" s="443"/>
      <c r="G614" s="453"/>
      <c r="H614" s="453"/>
      <c r="I614" s="453"/>
      <c r="J614" s="106"/>
      <c r="K614" s="106" t="str">
        <f>IF(ISBLANK(I614), "", VLOOKUP(A614&amp;" "&amp;B614, 'Info Tipo de Cambio y REM'!$A$24:$B$35, 2, FALSE))</f>
        <v/>
      </c>
      <c r="L614" s="107" t="str">
        <f t="shared" si="2"/>
        <v/>
      </c>
      <c r="M614" s="102"/>
    </row>
    <row r="615">
      <c r="A615" s="44"/>
      <c r="B615" s="102"/>
      <c r="C615" s="102"/>
      <c r="D615" s="102"/>
      <c r="E615" s="443"/>
      <c r="F615" s="443"/>
      <c r="G615" s="453"/>
      <c r="H615" s="453"/>
      <c r="I615" s="453"/>
      <c r="J615" s="106"/>
      <c r="K615" s="106" t="str">
        <f>IF(ISBLANK(I615), "", VLOOKUP(A615&amp;" "&amp;B615, 'Info Tipo de Cambio y REM'!$A$24:$B$35, 2, FALSE))</f>
        <v/>
      </c>
      <c r="L615" s="107" t="str">
        <f t="shared" si="2"/>
        <v/>
      </c>
      <c r="M615" s="102"/>
    </row>
    <row r="616">
      <c r="A616" s="44"/>
      <c r="B616" s="102"/>
      <c r="C616" s="102"/>
      <c r="D616" s="102"/>
      <c r="E616" s="443"/>
      <c r="F616" s="443"/>
      <c r="G616" s="453"/>
      <c r="H616" s="453"/>
      <c r="I616" s="453"/>
      <c r="J616" s="106"/>
      <c r="K616" s="106" t="str">
        <f>IF(ISBLANK(I616), "", VLOOKUP(A616&amp;" "&amp;B616, 'Info Tipo de Cambio y REM'!$A$24:$B$35, 2, FALSE))</f>
        <v/>
      </c>
      <c r="L616" s="107" t="str">
        <f t="shared" si="2"/>
        <v/>
      </c>
      <c r="M616" s="102"/>
    </row>
    <row r="617">
      <c r="A617" s="44"/>
      <c r="B617" s="102"/>
      <c r="C617" s="102"/>
      <c r="D617" s="102"/>
      <c r="E617" s="443"/>
      <c r="F617" s="443"/>
      <c r="G617" s="453"/>
      <c r="H617" s="453"/>
      <c r="I617" s="453"/>
      <c r="J617" s="106"/>
      <c r="K617" s="106" t="str">
        <f>IF(ISBLANK(I617), "", VLOOKUP(A617&amp;" "&amp;B617, 'Info Tipo de Cambio y REM'!$A$24:$B$35, 2, FALSE))</f>
        <v/>
      </c>
      <c r="L617" s="107" t="str">
        <f t="shared" si="2"/>
        <v/>
      </c>
      <c r="M617" s="102"/>
    </row>
    <row r="618">
      <c r="A618" s="44"/>
      <c r="B618" s="102"/>
      <c r="C618" s="102"/>
      <c r="D618" s="102"/>
      <c r="E618" s="443"/>
      <c r="F618" s="443"/>
      <c r="G618" s="453"/>
      <c r="H618" s="453"/>
      <c r="I618" s="453"/>
      <c r="J618" s="106"/>
      <c r="K618" s="106" t="str">
        <f>IF(ISBLANK(I618), "", VLOOKUP(A618&amp;" "&amp;B618, 'Info Tipo de Cambio y REM'!$A$24:$B$35, 2, FALSE))</f>
        <v/>
      </c>
      <c r="L618" s="107" t="str">
        <f t="shared" si="2"/>
        <v/>
      </c>
      <c r="M618" s="102"/>
    </row>
    <row r="619">
      <c r="A619" s="44"/>
      <c r="B619" s="102"/>
      <c r="C619" s="102"/>
      <c r="D619" s="102"/>
      <c r="E619" s="443"/>
      <c r="F619" s="443"/>
      <c r="G619" s="453"/>
      <c r="H619" s="453"/>
      <c r="I619" s="453"/>
      <c r="J619" s="106"/>
      <c r="K619" s="106" t="str">
        <f>IF(ISBLANK(I619), "", VLOOKUP(A619&amp;" "&amp;B619, 'Info Tipo de Cambio y REM'!$A$24:$B$35, 2, FALSE))</f>
        <v/>
      </c>
      <c r="L619" s="107" t="str">
        <f t="shared" si="2"/>
        <v/>
      </c>
      <c r="M619" s="102"/>
    </row>
    <row r="620">
      <c r="A620" s="44"/>
      <c r="B620" s="102"/>
      <c r="C620" s="102"/>
      <c r="D620" s="102"/>
      <c r="E620" s="443"/>
      <c r="F620" s="443"/>
      <c r="G620" s="453"/>
      <c r="H620" s="453"/>
      <c r="I620" s="453"/>
      <c r="J620" s="106"/>
      <c r="K620" s="106" t="str">
        <f>IF(ISBLANK(I620), "", VLOOKUP(A620&amp;" "&amp;B620, 'Info Tipo de Cambio y REM'!$A$24:$B$35, 2, FALSE))</f>
        <v/>
      </c>
      <c r="L620" s="107" t="str">
        <f t="shared" si="2"/>
        <v/>
      </c>
      <c r="M620" s="102"/>
    </row>
    <row r="621">
      <c r="A621" s="44"/>
      <c r="B621" s="102"/>
      <c r="C621" s="102"/>
      <c r="D621" s="102"/>
      <c r="E621" s="443"/>
      <c r="F621" s="443"/>
      <c r="G621" s="453"/>
      <c r="H621" s="453"/>
      <c r="I621" s="453"/>
      <c r="J621" s="106"/>
      <c r="K621" s="106" t="str">
        <f>IF(ISBLANK(I621), "", VLOOKUP(A621&amp;" "&amp;B621, 'Info Tipo de Cambio y REM'!$A$24:$B$35, 2, FALSE))</f>
        <v/>
      </c>
      <c r="L621" s="107" t="str">
        <f t="shared" si="2"/>
        <v/>
      </c>
      <c r="M621" s="102"/>
    </row>
    <row r="622">
      <c r="A622" s="44"/>
      <c r="B622" s="102"/>
      <c r="C622" s="102"/>
      <c r="D622" s="102"/>
      <c r="E622" s="443"/>
      <c r="F622" s="443"/>
      <c r="G622" s="453"/>
      <c r="H622" s="453"/>
      <c r="I622" s="453"/>
      <c r="J622" s="106"/>
      <c r="K622" s="106" t="str">
        <f>IF(ISBLANK(I622), "", VLOOKUP(A622&amp;" "&amp;B622, 'Info Tipo de Cambio y REM'!$A$24:$B$35, 2, FALSE))</f>
        <v/>
      </c>
      <c r="L622" s="107" t="str">
        <f t="shared" si="2"/>
        <v/>
      </c>
      <c r="M622" s="102"/>
    </row>
    <row r="623">
      <c r="A623" s="44"/>
      <c r="B623" s="102"/>
      <c r="C623" s="102"/>
      <c r="D623" s="102"/>
      <c r="E623" s="443"/>
      <c r="F623" s="443"/>
      <c r="G623" s="453"/>
      <c r="H623" s="453"/>
      <c r="I623" s="453"/>
      <c r="J623" s="106"/>
      <c r="K623" s="106" t="str">
        <f>IF(ISBLANK(I623), "", VLOOKUP(A623&amp;" "&amp;B623, 'Info Tipo de Cambio y REM'!$A$24:$B$35, 2, FALSE))</f>
        <v/>
      </c>
      <c r="L623" s="107" t="str">
        <f t="shared" si="2"/>
        <v/>
      </c>
      <c r="M623" s="102"/>
    </row>
    <row r="624">
      <c r="A624" s="44"/>
      <c r="B624" s="102"/>
      <c r="C624" s="102"/>
      <c r="D624" s="102"/>
      <c r="E624" s="443"/>
      <c r="F624" s="443"/>
      <c r="G624" s="453"/>
      <c r="H624" s="453"/>
      <c r="I624" s="453"/>
      <c r="J624" s="106"/>
      <c r="K624" s="106" t="str">
        <f>IF(ISBLANK(I624), "", VLOOKUP(A624&amp;" "&amp;B624, 'Info Tipo de Cambio y REM'!$A$24:$B$35, 2, FALSE))</f>
        <v/>
      </c>
      <c r="L624" s="107" t="str">
        <f t="shared" si="2"/>
        <v/>
      </c>
      <c r="M624" s="102"/>
    </row>
    <row r="625">
      <c r="A625" s="44"/>
      <c r="B625" s="102"/>
      <c r="C625" s="102"/>
      <c r="D625" s="102"/>
      <c r="E625" s="443"/>
      <c r="F625" s="443"/>
      <c r="G625" s="453"/>
      <c r="H625" s="453"/>
      <c r="I625" s="453"/>
      <c r="J625" s="106"/>
      <c r="K625" s="106" t="str">
        <f>IF(ISBLANK(I625), "", VLOOKUP(A625&amp;" "&amp;B625, 'Info Tipo de Cambio y REM'!$A$24:$B$35, 2, FALSE))</f>
        <v/>
      </c>
      <c r="L625" s="107" t="str">
        <f t="shared" si="2"/>
        <v/>
      </c>
      <c r="M625" s="102"/>
    </row>
    <row r="626">
      <c r="A626" s="44"/>
      <c r="B626" s="102"/>
      <c r="C626" s="102"/>
      <c r="D626" s="102"/>
      <c r="E626" s="443"/>
      <c r="F626" s="443"/>
      <c r="G626" s="453"/>
      <c r="H626" s="453"/>
      <c r="I626" s="453"/>
      <c r="J626" s="106"/>
      <c r="K626" s="106" t="str">
        <f>IF(ISBLANK(I626), "", VLOOKUP(A626&amp;" "&amp;B626, 'Info Tipo de Cambio y REM'!$A$24:$B$35, 2, FALSE))</f>
        <v/>
      </c>
      <c r="L626" s="107" t="str">
        <f t="shared" si="2"/>
        <v/>
      </c>
      <c r="M626" s="102"/>
    </row>
    <row r="627">
      <c r="A627" s="44"/>
      <c r="B627" s="102"/>
      <c r="C627" s="102"/>
      <c r="D627" s="102"/>
      <c r="E627" s="443"/>
      <c r="F627" s="443"/>
      <c r="G627" s="453"/>
      <c r="H627" s="453"/>
      <c r="I627" s="453"/>
      <c r="J627" s="106"/>
      <c r="K627" s="106" t="str">
        <f>IF(ISBLANK(I627), "", VLOOKUP(A627&amp;" "&amp;B627, 'Info Tipo de Cambio y REM'!$A$24:$B$35, 2, FALSE))</f>
        <v/>
      </c>
      <c r="L627" s="107" t="str">
        <f t="shared" si="2"/>
        <v/>
      </c>
      <c r="M627" s="102"/>
    </row>
    <row r="628">
      <c r="A628" s="44"/>
      <c r="B628" s="102"/>
      <c r="C628" s="102"/>
      <c r="D628" s="102"/>
      <c r="E628" s="443"/>
      <c r="F628" s="443"/>
      <c r="G628" s="453"/>
      <c r="H628" s="453"/>
      <c r="I628" s="453"/>
      <c r="J628" s="106"/>
      <c r="K628" s="106" t="str">
        <f>IF(ISBLANK(I628), "", VLOOKUP(A628&amp;" "&amp;B628, 'Info Tipo de Cambio y REM'!$A$24:$B$35, 2, FALSE))</f>
        <v/>
      </c>
      <c r="L628" s="107" t="str">
        <f t="shared" si="2"/>
        <v/>
      </c>
      <c r="M628" s="102"/>
    </row>
    <row r="629">
      <c r="A629" s="44"/>
      <c r="B629" s="102"/>
      <c r="C629" s="102"/>
      <c r="D629" s="102"/>
      <c r="E629" s="443"/>
      <c r="F629" s="443"/>
      <c r="G629" s="453"/>
      <c r="H629" s="453"/>
      <c r="I629" s="453"/>
      <c r="J629" s="106"/>
      <c r="K629" s="106" t="str">
        <f>IF(ISBLANK(I629), "", VLOOKUP(A629&amp;" "&amp;B629, 'Info Tipo de Cambio y REM'!$A$24:$B$35, 2, FALSE))</f>
        <v/>
      </c>
      <c r="L629" s="107" t="str">
        <f t="shared" si="2"/>
        <v/>
      </c>
      <c r="M629" s="102"/>
    </row>
    <row r="630">
      <c r="A630" s="44"/>
      <c r="B630" s="102"/>
      <c r="C630" s="102"/>
      <c r="D630" s="102"/>
      <c r="E630" s="443"/>
      <c r="F630" s="443"/>
      <c r="G630" s="453"/>
      <c r="H630" s="453"/>
      <c r="I630" s="453"/>
      <c r="J630" s="106"/>
      <c r="K630" s="106" t="str">
        <f>IF(ISBLANK(I630), "", VLOOKUP(A630&amp;" "&amp;B630, 'Info Tipo de Cambio y REM'!$A$24:$B$35, 2, FALSE))</f>
        <v/>
      </c>
      <c r="L630" s="107" t="str">
        <f t="shared" si="2"/>
        <v/>
      </c>
      <c r="M630" s="102"/>
    </row>
    <row r="631">
      <c r="A631" s="44"/>
      <c r="B631" s="102"/>
      <c r="C631" s="102"/>
      <c r="D631" s="102"/>
      <c r="E631" s="443"/>
      <c r="F631" s="443"/>
      <c r="G631" s="453"/>
      <c r="H631" s="453"/>
      <c r="I631" s="453"/>
      <c r="J631" s="106"/>
      <c r="K631" s="106" t="str">
        <f>IF(ISBLANK(I631), "", VLOOKUP(A631&amp;" "&amp;B631, 'Info Tipo de Cambio y REM'!$A$24:$B$35, 2, FALSE))</f>
        <v/>
      </c>
      <c r="L631" s="107" t="str">
        <f t="shared" si="2"/>
        <v/>
      </c>
      <c r="M631" s="102"/>
    </row>
    <row r="632">
      <c r="A632" s="44"/>
      <c r="B632" s="102"/>
      <c r="C632" s="102"/>
      <c r="D632" s="102"/>
      <c r="E632" s="443"/>
      <c r="F632" s="443"/>
      <c r="G632" s="453"/>
      <c r="H632" s="453"/>
      <c r="I632" s="453"/>
      <c r="J632" s="106"/>
      <c r="K632" s="106" t="str">
        <f>IF(ISBLANK(I632), "", VLOOKUP(A632&amp;" "&amp;B632, 'Info Tipo de Cambio y REM'!$A$24:$B$35, 2, FALSE))</f>
        <v/>
      </c>
      <c r="L632" s="107" t="str">
        <f t="shared" si="2"/>
        <v/>
      </c>
      <c r="M632" s="102"/>
    </row>
    <row r="633">
      <c r="A633" s="44"/>
      <c r="B633" s="102"/>
      <c r="C633" s="102"/>
      <c r="D633" s="102"/>
      <c r="E633" s="443"/>
      <c r="F633" s="443"/>
      <c r="G633" s="453"/>
      <c r="H633" s="453"/>
      <c r="I633" s="453"/>
      <c r="J633" s="106"/>
      <c r="K633" s="106" t="str">
        <f>IF(ISBLANK(I633), "", VLOOKUP(A633&amp;" "&amp;B633, 'Info Tipo de Cambio y REM'!$A$24:$B$35, 2, FALSE))</f>
        <v/>
      </c>
      <c r="L633" s="107" t="str">
        <f t="shared" si="2"/>
        <v/>
      </c>
      <c r="M633" s="102"/>
    </row>
    <row r="634">
      <c r="A634" s="44"/>
      <c r="B634" s="102"/>
      <c r="C634" s="102"/>
      <c r="D634" s="102"/>
      <c r="E634" s="443"/>
      <c r="F634" s="443"/>
      <c r="G634" s="453"/>
      <c r="H634" s="453"/>
      <c r="I634" s="453"/>
      <c r="J634" s="106"/>
      <c r="K634" s="106" t="str">
        <f>IF(ISBLANK(I634), "", VLOOKUP(A634&amp;" "&amp;B634, 'Info Tipo de Cambio y REM'!$A$24:$B$35, 2, FALSE))</f>
        <v/>
      </c>
      <c r="L634" s="107" t="str">
        <f t="shared" si="2"/>
        <v/>
      </c>
      <c r="M634" s="102"/>
    </row>
    <row r="635">
      <c r="A635" s="44"/>
      <c r="B635" s="102"/>
      <c r="C635" s="102"/>
      <c r="D635" s="102"/>
      <c r="E635" s="443"/>
      <c r="F635" s="443"/>
      <c r="G635" s="453"/>
      <c r="H635" s="453"/>
      <c r="I635" s="453"/>
      <c r="J635" s="106"/>
      <c r="K635" s="106" t="str">
        <f>IF(ISBLANK(I635), "", VLOOKUP(A635&amp;" "&amp;B635, 'Info Tipo de Cambio y REM'!$A$24:$B$35, 2, FALSE))</f>
        <v/>
      </c>
      <c r="L635" s="107" t="str">
        <f t="shared" si="2"/>
        <v/>
      </c>
      <c r="M635" s="102"/>
    </row>
    <row r="636">
      <c r="A636" s="44"/>
      <c r="B636" s="102"/>
      <c r="C636" s="102"/>
      <c r="D636" s="102"/>
      <c r="E636" s="443"/>
      <c r="F636" s="443"/>
      <c r="G636" s="453"/>
      <c r="H636" s="453"/>
      <c r="I636" s="453"/>
      <c r="J636" s="106"/>
      <c r="K636" s="106" t="str">
        <f>IF(ISBLANK(I636), "", VLOOKUP(A636&amp;" "&amp;B636, 'Info Tipo de Cambio y REM'!$A$24:$B$35, 2, FALSE))</f>
        <v/>
      </c>
      <c r="L636" s="107" t="str">
        <f t="shared" si="2"/>
        <v/>
      </c>
      <c r="M636" s="102"/>
    </row>
    <row r="637">
      <c r="A637" s="44"/>
      <c r="B637" s="102"/>
      <c r="C637" s="102"/>
      <c r="D637" s="102"/>
      <c r="E637" s="443"/>
      <c r="F637" s="443"/>
      <c r="G637" s="453"/>
      <c r="H637" s="453"/>
      <c r="I637" s="453"/>
      <c r="J637" s="106"/>
      <c r="K637" s="106" t="str">
        <f>IF(ISBLANK(I637), "", VLOOKUP(A637&amp;" "&amp;B637, 'Info Tipo de Cambio y REM'!$A$24:$B$35, 2, FALSE))</f>
        <v/>
      </c>
      <c r="L637" s="107" t="str">
        <f t="shared" si="2"/>
        <v/>
      </c>
      <c r="M637" s="102"/>
    </row>
    <row r="638">
      <c r="A638" s="44"/>
      <c r="B638" s="102"/>
      <c r="C638" s="102"/>
      <c r="D638" s="102"/>
      <c r="E638" s="443"/>
      <c r="F638" s="443"/>
      <c r="G638" s="453"/>
      <c r="H638" s="453"/>
      <c r="I638" s="453"/>
      <c r="J638" s="106"/>
      <c r="K638" s="106" t="str">
        <f>IF(ISBLANK(I638), "", VLOOKUP(A638&amp;" "&amp;B638, 'Info Tipo de Cambio y REM'!$A$24:$B$35, 2, FALSE))</f>
        <v/>
      </c>
      <c r="L638" s="107" t="str">
        <f t="shared" si="2"/>
        <v/>
      </c>
      <c r="M638" s="102"/>
    </row>
    <row r="639">
      <c r="A639" s="44"/>
      <c r="B639" s="102"/>
      <c r="C639" s="102"/>
      <c r="D639" s="102"/>
      <c r="E639" s="443"/>
      <c r="F639" s="443"/>
      <c r="G639" s="453"/>
      <c r="H639" s="453"/>
      <c r="I639" s="453"/>
      <c r="J639" s="106"/>
      <c r="K639" s="106" t="str">
        <f>IF(ISBLANK(I639), "", VLOOKUP(A639&amp;" "&amp;B639, 'Info Tipo de Cambio y REM'!$A$24:$B$35, 2, FALSE))</f>
        <v/>
      </c>
      <c r="L639" s="107" t="str">
        <f t="shared" si="2"/>
        <v/>
      </c>
      <c r="M639" s="102"/>
    </row>
    <row r="640">
      <c r="A640" s="44"/>
      <c r="B640" s="102"/>
      <c r="C640" s="102"/>
      <c r="D640" s="102"/>
      <c r="E640" s="443"/>
      <c r="F640" s="443"/>
      <c r="G640" s="453"/>
      <c r="H640" s="453"/>
      <c r="I640" s="453"/>
      <c r="J640" s="106"/>
      <c r="K640" s="106" t="str">
        <f>IF(ISBLANK(I640), "", VLOOKUP(A640&amp;" "&amp;B640, 'Info Tipo de Cambio y REM'!$A$24:$B$35, 2, FALSE))</f>
        <v/>
      </c>
      <c r="L640" s="107" t="str">
        <f t="shared" si="2"/>
        <v/>
      </c>
      <c r="M640" s="102"/>
    </row>
    <row r="641">
      <c r="A641" s="44"/>
      <c r="B641" s="102"/>
      <c r="C641" s="102"/>
      <c r="D641" s="102"/>
      <c r="E641" s="443"/>
      <c r="F641" s="443"/>
      <c r="G641" s="453"/>
      <c r="H641" s="453"/>
      <c r="I641" s="453"/>
      <c r="J641" s="106"/>
      <c r="K641" s="106" t="str">
        <f>IF(ISBLANK(I641), "", VLOOKUP(A641&amp;" "&amp;B641, 'Info Tipo de Cambio y REM'!$A$24:$B$35, 2, FALSE))</f>
        <v/>
      </c>
      <c r="L641" s="107" t="str">
        <f t="shared" si="2"/>
        <v/>
      </c>
      <c r="M641" s="102"/>
    </row>
    <row r="642">
      <c r="A642" s="44"/>
      <c r="B642" s="102"/>
      <c r="C642" s="102"/>
      <c r="D642" s="102"/>
      <c r="E642" s="443"/>
      <c r="F642" s="443"/>
      <c r="G642" s="453"/>
      <c r="H642" s="453"/>
      <c r="I642" s="453"/>
      <c r="J642" s="106"/>
      <c r="K642" s="106" t="str">
        <f>IF(ISBLANK(I642), "", VLOOKUP(A642&amp;" "&amp;B642, 'Info Tipo de Cambio y REM'!$A$24:$B$35, 2, FALSE))</f>
        <v/>
      </c>
      <c r="L642" s="107" t="str">
        <f t="shared" si="2"/>
        <v/>
      </c>
      <c r="M642" s="102"/>
    </row>
    <row r="643">
      <c r="A643" s="44"/>
      <c r="B643" s="102"/>
      <c r="C643" s="102"/>
      <c r="D643" s="102"/>
      <c r="E643" s="443"/>
      <c r="F643" s="443"/>
      <c r="G643" s="453"/>
      <c r="H643" s="453"/>
      <c r="I643" s="453"/>
      <c r="J643" s="106"/>
      <c r="K643" s="106" t="str">
        <f>IF(ISBLANK(I643), "", VLOOKUP(A643&amp;" "&amp;B643, 'Info Tipo de Cambio y REM'!$A$24:$B$35, 2, FALSE))</f>
        <v/>
      </c>
      <c r="L643" s="107" t="str">
        <f t="shared" si="2"/>
        <v/>
      </c>
      <c r="M643" s="102"/>
    </row>
    <row r="644">
      <c r="A644" s="44"/>
      <c r="B644" s="102"/>
      <c r="C644" s="102"/>
      <c r="D644" s="102"/>
      <c r="E644" s="443"/>
      <c r="F644" s="443"/>
      <c r="G644" s="453"/>
      <c r="H644" s="453"/>
      <c r="I644" s="453"/>
      <c r="J644" s="106"/>
      <c r="K644" s="106" t="str">
        <f>IF(ISBLANK(I644), "", VLOOKUP(A644&amp;" "&amp;B644, 'Info Tipo de Cambio y REM'!$A$24:$B$35, 2, FALSE))</f>
        <v/>
      </c>
      <c r="L644" s="107" t="str">
        <f t="shared" si="2"/>
        <v/>
      </c>
      <c r="M644" s="102"/>
    </row>
    <row r="645">
      <c r="A645" s="44"/>
      <c r="B645" s="102"/>
      <c r="C645" s="102"/>
      <c r="D645" s="102"/>
      <c r="E645" s="443"/>
      <c r="F645" s="443"/>
      <c r="G645" s="453"/>
      <c r="H645" s="453"/>
      <c r="I645" s="453"/>
      <c r="J645" s="106"/>
      <c r="K645" s="106" t="str">
        <f>IF(ISBLANK(I645), "", VLOOKUP(A645&amp;" "&amp;B645, 'Info Tipo de Cambio y REM'!$A$24:$B$35, 2, FALSE))</f>
        <v/>
      </c>
      <c r="L645" s="107" t="str">
        <f t="shared" si="2"/>
        <v/>
      </c>
      <c r="M645" s="102"/>
    </row>
    <row r="646">
      <c r="A646" s="44"/>
      <c r="B646" s="102"/>
      <c r="C646" s="102"/>
      <c r="D646" s="102"/>
      <c r="E646" s="443"/>
      <c r="F646" s="443"/>
      <c r="G646" s="453"/>
      <c r="H646" s="453"/>
      <c r="I646" s="453"/>
      <c r="J646" s="106"/>
      <c r="K646" s="106" t="str">
        <f>IF(ISBLANK(I646), "", VLOOKUP(A646&amp;" "&amp;B646, 'Info Tipo de Cambio y REM'!$A$24:$B$35, 2, FALSE))</f>
        <v/>
      </c>
      <c r="L646" s="107" t="str">
        <f t="shared" si="2"/>
        <v/>
      </c>
      <c r="M646" s="102"/>
    </row>
    <row r="647">
      <c r="A647" s="44"/>
      <c r="B647" s="102"/>
      <c r="C647" s="102"/>
      <c r="D647" s="102"/>
      <c r="E647" s="443"/>
      <c r="F647" s="443"/>
      <c r="G647" s="453"/>
      <c r="H647" s="453"/>
      <c r="I647" s="453"/>
      <c r="J647" s="106"/>
      <c r="K647" s="106" t="str">
        <f>IF(ISBLANK(I647), "", VLOOKUP(A647&amp;" "&amp;B647, 'Info Tipo de Cambio y REM'!$A$24:$B$35, 2, FALSE))</f>
        <v/>
      </c>
      <c r="L647" s="107" t="str">
        <f t="shared" si="2"/>
        <v/>
      </c>
      <c r="M647" s="102"/>
    </row>
    <row r="648">
      <c r="A648" s="44"/>
      <c r="B648" s="102"/>
      <c r="C648" s="102"/>
      <c r="D648" s="102"/>
      <c r="E648" s="443"/>
      <c r="F648" s="443"/>
      <c r="G648" s="453"/>
      <c r="H648" s="453"/>
      <c r="I648" s="453"/>
      <c r="J648" s="106"/>
      <c r="K648" s="106" t="str">
        <f>IF(ISBLANK(I648), "", VLOOKUP(A648&amp;" "&amp;B648, 'Info Tipo de Cambio y REM'!$A$24:$B$35, 2, FALSE))</f>
        <v/>
      </c>
      <c r="L648" s="107" t="str">
        <f t="shared" si="2"/>
        <v/>
      </c>
      <c r="M648" s="102"/>
    </row>
    <row r="649">
      <c r="A649" s="44"/>
      <c r="B649" s="102"/>
      <c r="C649" s="102"/>
      <c r="D649" s="102"/>
      <c r="E649" s="443"/>
      <c r="F649" s="443"/>
      <c r="G649" s="453"/>
      <c r="H649" s="453"/>
      <c r="I649" s="453"/>
      <c r="J649" s="106"/>
      <c r="K649" s="106" t="str">
        <f>IF(ISBLANK(I649), "", VLOOKUP(A649&amp;" "&amp;B649, 'Info Tipo de Cambio y REM'!$A$24:$B$35, 2, FALSE))</f>
        <v/>
      </c>
      <c r="L649" s="107" t="str">
        <f t="shared" si="2"/>
        <v/>
      </c>
      <c r="M649" s="102"/>
    </row>
    <row r="650">
      <c r="A650" s="44"/>
      <c r="B650" s="102"/>
      <c r="C650" s="102"/>
      <c r="D650" s="102"/>
      <c r="E650" s="443"/>
      <c r="F650" s="443"/>
      <c r="G650" s="453"/>
      <c r="H650" s="453"/>
      <c r="I650" s="453"/>
      <c r="J650" s="106"/>
      <c r="K650" s="106" t="str">
        <f>IF(ISBLANK(I650), "", VLOOKUP(A650&amp;" "&amp;B650, 'Info Tipo de Cambio y REM'!$A$24:$B$35, 2, FALSE))</f>
        <v/>
      </c>
      <c r="L650" s="107" t="str">
        <f t="shared" si="2"/>
        <v/>
      </c>
      <c r="M650" s="102"/>
    </row>
    <row r="651">
      <c r="A651" s="44"/>
      <c r="B651" s="102"/>
      <c r="C651" s="102"/>
      <c r="D651" s="102"/>
      <c r="E651" s="443"/>
      <c r="F651" s="443"/>
      <c r="G651" s="453"/>
      <c r="H651" s="453"/>
      <c r="I651" s="453"/>
      <c r="J651" s="106"/>
      <c r="K651" s="106" t="str">
        <f>IF(ISBLANK(I651), "", VLOOKUP(A651&amp;" "&amp;B651, 'Info Tipo de Cambio y REM'!$A$24:$B$35, 2, FALSE))</f>
        <v/>
      </c>
      <c r="L651" s="107" t="str">
        <f t="shared" si="2"/>
        <v/>
      </c>
      <c r="M651" s="102"/>
    </row>
    <row r="652">
      <c r="A652" s="44"/>
      <c r="B652" s="102"/>
      <c r="C652" s="102"/>
      <c r="D652" s="102"/>
      <c r="E652" s="443"/>
      <c r="F652" s="443"/>
      <c r="G652" s="453"/>
      <c r="H652" s="453"/>
      <c r="I652" s="453"/>
      <c r="J652" s="106"/>
      <c r="K652" s="106" t="str">
        <f>IF(ISBLANK(I652), "", VLOOKUP(A652&amp;" "&amp;B652, 'Info Tipo de Cambio y REM'!$A$24:$B$35, 2, FALSE))</f>
        <v/>
      </c>
      <c r="L652" s="107" t="str">
        <f t="shared" si="2"/>
        <v/>
      </c>
      <c r="M652" s="102"/>
    </row>
    <row r="653">
      <c r="A653" s="44"/>
      <c r="B653" s="102"/>
      <c r="C653" s="102"/>
      <c r="D653" s="102"/>
      <c r="E653" s="443"/>
      <c r="F653" s="443"/>
      <c r="G653" s="453"/>
      <c r="H653" s="453"/>
      <c r="I653" s="453"/>
      <c r="J653" s="106"/>
      <c r="K653" s="106" t="str">
        <f>IF(ISBLANK(I653), "", VLOOKUP(A653&amp;" "&amp;B653, 'Info Tipo de Cambio y REM'!$A$24:$B$35, 2, FALSE))</f>
        <v/>
      </c>
      <c r="L653" s="107" t="str">
        <f t="shared" si="2"/>
        <v/>
      </c>
      <c r="M653" s="102"/>
    </row>
    <row r="654">
      <c r="A654" s="44"/>
      <c r="B654" s="102"/>
      <c r="C654" s="102"/>
      <c r="D654" s="102"/>
      <c r="E654" s="443"/>
      <c r="F654" s="443"/>
      <c r="G654" s="453"/>
      <c r="H654" s="453"/>
      <c r="I654" s="453"/>
      <c r="J654" s="106"/>
      <c r="K654" s="106" t="str">
        <f>IF(ISBLANK(I654), "", VLOOKUP(A654&amp;" "&amp;B654, 'Info Tipo de Cambio y REM'!$A$24:$B$35, 2, FALSE))</f>
        <v/>
      </c>
      <c r="L654" s="107" t="str">
        <f t="shared" si="2"/>
        <v/>
      </c>
      <c r="M654" s="102"/>
    </row>
    <row r="655">
      <c r="A655" s="44"/>
      <c r="B655" s="102"/>
      <c r="C655" s="102"/>
      <c r="D655" s="102"/>
      <c r="E655" s="443"/>
      <c r="F655" s="443"/>
      <c r="G655" s="453"/>
      <c r="H655" s="453"/>
      <c r="I655" s="453"/>
      <c r="J655" s="106"/>
      <c r="K655" s="106" t="str">
        <f>IF(ISBLANK(I655), "", VLOOKUP(A655&amp;" "&amp;B655, 'Info Tipo de Cambio y REM'!$A$24:$B$35, 2, FALSE))</f>
        <v/>
      </c>
      <c r="L655" s="107" t="str">
        <f t="shared" si="2"/>
        <v/>
      </c>
      <c r="M655" s="102"/>
    </row>
    <row r="656">
      <c r="A656" s="44"/>
      <c r="B656" s="102"/>
      <c r="C656" s="102"/>
      <c r="D656" s="102"/>
      <c r="E656" s="443"/>
      <c r="F656" s="443"/>
      <c r="G656" s="453"/>
      <c r="H656" s="453"/>
      <c r="I656" s="453"/>
      <c r="J656" s="106"/>
      <c r="K656" s="106" t="str">
        <f>IF(ISBLANK(I656), "", VLOOKUP(A656&amp;" "&amp;B656, 'Info Tipo de Cambio y REM'!$A$24:$B$35, 2, FALSE))</f>
        <v/>
      </c>
      <c r="L656" s="107" t="str">
        <f t="shared" si="2"/>
        <v/>
      </c>
      <c r="M656" s="102"/>
    </row>
    <row r="657">
      <c r="A657" s="44"/>
      <c r="B657" s="102"/>
      <c r="C657" s="102"/>
      <c r="D657" s="102"/>
      <c r="E657" s="443"/>
      <c r="F657" s="443"/>
      <c r="G657" s="453"/>
      <c r="H657" s="453"/>
      <c r="I657" s="453"/>
      <c r="J657" s="106"/>
      <c r="K657" s="106" t="str">
        <f>IF(ISBLANK(I657), "", VLOOKUP(A657&amp;" "&amp;B657, 'Info Tipo de Cambio y REM'!$A$24:$B$35, 2, FALSE))</f>
        <v/>
      </c>
      <c r="L657" s="107" t="str">
        <f t="shared" si="2"/>
        <v/>
      </c>
      <c r="M657" s="102"/>
    </row>
    <row r="658">
      <c r="A658" s="44"/>
      <c r="B658" s="102"/>
      <c r="C658" s="102"/>
      <c r="D658" s="102"/>
      <c r="E658" s="443"/>
      <c r="F658" s="443"/>
      <c r="G658" s="453"/>
      <c r="H658" s="453"/>
      <c r="I658" s="453"/>
      <c r="J658" s="106"/>
      <c r="K658" s="106" t="str">
        <f>IF(ISBLANK(I658), "", VLOOKUP(A658&amp;" "&amp;B658, 'Info Tipo de Cambio y REM'!$A$24:$B$35, 2, FALSE))</f>
        <v/>
      </c>
      <c r="L658" s="107" t="str">
        <f t="shared" si="2"/>
        <v/>
      </c>
      <c r="M658" s="102"/>
    </row>
    <row r="659">
      <c r="A659" s="44"/>
      <c r="B659" s="102"/>
      <c r="C659" s="102"/>
      <c r="D659" s="102"/>
      <c r="E659" s="443"/>
      <c r="F659" s="443"/>
      <c r="G659" s="453"/>
      <c r="H659" s="453"/>
      <c r="I659" s="453"/>
      <c r="J659" s="106"/>
      <c r="K659" s="106" t="str">
        <f>IF(ISBLANK(I659), "", VLOOKUP(A659&amp;" "&amp;B659, 'Info Tipo de Cambio y REM'!$A$24:$B$35, 2, FALSE))</f>
        <v/>
      </c>
      <c r="L659" s="107" t="str">
        <f t="shared" si="2"/>
        <v/>
      </c>
      <c r="M659" s="102"/>
    </row>
    <row r="660">
      <c r="A660" s="44"/>
      <c r="B660" s="102"/>
      <c r="C660" s="102"/>
      <c r="D660" s="102"/>
      <c r="E660" s="443"/>
      <c r="F660" s="443"/>
      <c r="G660" s="453"/>
      <c r="H660" s="453"/>
      <c r="I660" s="453"/>
      <c r="J660" s="106"/>
      <c r="K660" s="106" t="str">
        <f>IF(ISBLANK(I660), "", VLOOKUP(A660&amp;" "&amp;B660, 'Info Tipo de Cambio y REM'!$A$24:$B$35, 2, FALSE))</f>
        <v/>
      </c>
      <c r="L660" s="107" t="str">
        <f t="shared" si="2"/>
        <v/>
      </c>
      <c r="M660" s="102"/>
    </row>
    <row r="661">
      <c r="A661" s="44"/>
      <c r="B661" s="102"/>
      <c r="C661" s="102"/>
      <c r="D661" s="102"/>
      <c r="E661" s="443"/>
      <c r="F661" s="443"/>
      <c r="G661" s="453"/>
      <c r="H661" s="453"/>
      <c r="I661" s="453"/>
      <c r="J661" s="106"/>
      <c r="K661" s="106" t="str">
        <f>IF(ISBLANK(I661), "", VLOOKUP(A661&amp;" "&amp;B661, 'Info Tipo de Cambio y REM'!$A$24:$B$35, 2, FALSE))</f>
        <v/>
      </c>
      <c r="L661" s="107" t="str">
        <f t="shared" si="2"/>
        <v/>
      </c>
      <c r="M661" s="102"/>
    </row>
    <row r="662">
      <c r="A662" s="44"/>
      <c r="B662" s="102"/>
      <c r="C662" s="102"/>
      <c r="D662" s="102"/>
      <c r="E662" s="443"/>
      <c r="F662" s="443"/>
      <c r="G662" s="453"/>
      <c r="H662" s="453"/>
      <c r="I662" s="453"/>
      <c r="J662" s="106"/>
      <c r="K662" s="106" t="str">
        <f>IF(ISBLANK(I662), "", VLOOKUP(A662&amp;" "&amp;B662, 'Info Tipo de Cambio y REM'!$A$24:$B$35, 2, FALSE))</f>
        <v/>
      </c>
      <c r="L662" s="107" t="str">
        <f t="shared" si="2"/>
        <v/>
      </c>
      <c r="M662" s="102"/>
    </row>
    <row r="663">
      <c r="A663" s="44"/>
      <c r="B663" s="102"/>
      <c r="C663" s="102"/>
      <c r="D663" s="102"/>
      <c r="E663" s="443"/>
      <c r="F663" s="443"/>
      <c r="G663" s="453"/>
      <c r="H663" s="453"/>
      <c r="I663" s="453"/>
      <c r="J663" s="106"/>
      <c r="K663" s="106" t="str">
        <f>IF(ISBLANK(I663), "", VLOOKUP(A663&amp;" "&amp;B663, 'Info Tipo de Cambio y REM'!$A$24:$B$35, 2, FALSE))</f>
        <v/>
      </c>
      <c r="L663" s="107" t="str">
        <f t="shared" si="2"/>
        <v/>
      </c>
      <c r="M663" s="102"/>
    </row>
    <row r="664">
      <c r="A664" s="44"/>
      <c r="B664" s="102"/>
      <c r="C664" s="102"/>
      <c r="D664" s="102"/>
      <c r="E664" s="443"/>
      <c r="F664" s="443"/>
      <c r="G664" s="453"/>
      <c r="H664" s="453"/>
      <c r="I664" s="453"/>
      <c r="J664" s="106"/>
      <c r="K664" s="106" t="str">
        <f>IF(ISBLANK(I664), "", VLOOKUP(A664&amp;" "&amp;B664, 'Info Tipo de Cambio y REM'!$A$24:$B$35, 2, FALSE))</f>
        <v/>
      </c>
      <c r="L664" s="107" t="str">
        <f t="shared" si="2"/>
        <v/>
      </c>
      <c r="M664" s="102"/>
    </row>
    <row r="665">
      <c r="A665" s="44"/>
      <c r="B665" s="102"/>
      <c r="C665" s="102"/>
      <c r="D665" s="102"/>
      <c r="E665" s="443"/>
      <c r="F665" s="443"/>
      <c r="G665" s="453"/>
      <c r="H665" s="453"/>
      <c r="I665" s="453"/>
      <c r="J665" s="106"/>
      <c r="K665" s="106" t="str">
        <f>IF(ISBLANK(I665), "", VLOOKUP(A665&amp;" "&amp;B665, 'Info Tipo de Cambio y REM'!$A$24:$B$35, 2, FALSE))</f>
        <v/>
      </c>
      <c r="L665" s="107" t="str">
        <f t="shared" si="2"/>
        <v/>
      </c>
      <c r="M665" s="102"/>
    </row>
    <row r="666">
      <c r="A666" s="44"/>
      <c r="B666" s="102"/>
      <c r="C666" s="102"/>
      <c r="D666" s="102"/>
      <c r="E666" s="443"/>
      <c r="F666" s="443"/>
      <c r="G666" s="453"/>
      <c r="H666" s="453"/>
      <c r="I666" s="453"/>
      <c r="J666" s="106"/>
      <c r="K666" s="106" t="str">
        <f>IF(ISBLANK(I666), "", VLOOKUP(A666&amp;" "&amp;B666, 'Info Tipo de Cambio y REM'!$A$24:$B$35, 2, FALSE))</f>
        <v/>
      </c>
      <c r="L666" s="107" t="str">
        <f t="shared" si="2"/>
        <v/>
      </c>
      <c r="M666" s="102"/>
    </row>
    <row r="667">
      <c r="A667" s="44"/>
      <c r="B667" s="102"/>
      <c r="C667" s="102"/>
      <c r="D667" s="102"/>
      <c r="E667" s="443"/>
      <c r="F667" s="443"/>
      <c r="G667" s="453"/>
      <c r="H667" s="453"/>
      <c r="I667" s="453"/>
      <c r="J667" s="106"/>
      <c r="K667" s="106" t="str">
        <f>IF(ISBLANK(I667), "", VLOOKUP(A667&amp;" "&amp;B667, 'Info Tipo de Cambio y REM'!$A$24:$B$35, 2, FALSE))</f>
        <v/>
      </c>
      <c r="L667" s="107" t="str">
        <f t="shared" si="2"/>
        <v/>
      </c>
      <c r="M667" s="102"/>
    </row>
    <row r="668">
      <c r="A668" s="44"/>
      <c r="B668" s="102"/>
      <c r="C668" s="102"/>
      <c r="D668" s="102"/>
      <c r="E668" s="443"/>
      <c r="F668" s="443"/>
      <c r="G668" s="453"/>
      <c r="H668" s="453"/>
      <c r="I668" s="453"/>
      <c r="J668" s="106"/>
      <c r="K668" s="106" t="str">
        <f>IF(ISBLANK(I668), "", VLOOKUP(A668&amp;" "&amp;B668, 'Info Tipo de Cambio y REM'!$A$24:$B$35, 2, FALSE))</f>
        <v/>
      </c>
      <c r="L668" s="107" t="str">
        <f t="shared" si="2"/>
        <v/>
      </c>
      <c r="M668" s="102"/>
    </row>
    <row r="669">
      <c r="A669" s="44"/>
      <c r="B669" s="102"/>
      <c r="C669" s="102"/>
      <c r="D669" s="102"/>
      <c r="E669" s="443"/>
      <c r="F669" s="443"/>
      <c r="G669" s="453"/>
      <c r="H669" s="453"/>
      <c r="I669" s="453"/>
      <c r="J669" s="106"/>
      <c r="K669" s="106" t="str">
        <f>IF(ISBLANK(I669), "", VLOOKUP(A669&amp;" "&amp;B669, 'Info Tipo de Cambio y REM'!$A$24:$B$35, 2, FALSE))</f>
        <v/>
      </c>
      <c r="L669" s="107" t="str">
        <f t="shared" si="2"/>
        <v/>
      </c>
      <c r="M669" s="102"/>
    </row>
    <row r="670">
      <c r="A670" s="44"/>
      <c r="B670" s="102"/>
      <c r="C670" s="102"/>
      <c r="D670" s="102"/>
      <c r="E670" s="443"/>
      <c r="F670" s="443"/>
      <c r="G670" s="453"/>
      <c r="H670" s="453"/>
      <c r="I670" s="453"/>
      <c r="J670" s="106"/>
      <c r="K670" s="106" t="str">
        <f>IF(ISBLANK(I670), "", VLOOKUP(A670&amp;" "&amp;B670, 'Info Tipo de Cambio y REM'!$A$24:$B$35, 2, FALSE))</f>
        <v/>
      </c>
      <c r="L670" s="107" t="str">
        <f t="shared" si="2"/>
        <v/>
      </c>
      <c r="M670" s="102"/>
    </row>
    <row r="671">
      <c r="A671" s="44"/>
      <c r="B671" s="102"/>
      <c r="C671" s="102"/>
      <c r="D671" s="102"/>
      <c r="E671" s="443"/>
      <c r="F671" s="443"/>
      <c r="G671" s="453"/>
      <c r="H671" s="453"/>
      <c r="I671" s="453"/>
      <c r="J671" s="106"/>
      <c r="K671" s="106" t="str">
        <f>IF(ISBLANK(I671), "", VLOOKUP(A671&amp;" "&amp;B671, 'Info Tipo de Cambio y REM'!$A$24:$B$35, 2, FALSE))</f>
        <v/>
      </c>
      <c r="L671" s="107" t="str">
        <f t="shared" si="2"/>
        <v/>
      </c>
      <c r="M671" s="102"/>
    </row>
    <row r="672">
      <c r="A672" s="44"/>
      <c r="B672" s="102"/>
      <c r="C672" s="102"/>
      <c r="D672" s="102"/>
      <c r="E672" s="443"/>
      <c r="F672" s="443"/>
      <c r="G672" s="453"/>
      <c r="H672" s="453"/>
      <c r="I672" s="453"/>
      <c r="J672" s="106"/>
      <c r="K672" s="106" t="str">
        <f>IF(ISBLANK(I672), "", VLOOKUP(A672&amp;" "&amp;B672, 'Info Tipo de Cambio y REM'!$A$24:$B$35, 2, FALSE))</f>
        <v/>
      </c>
      <c r="L672" s="107" t="str">
        <f t="shared" si="2"/>
        <v/>
      </c>
      <c r="M672" s="102"/>
    </row>
    <row r="673">
      <c r="A673" s="44"/>
      <c r="B673" s="102"/>
      <c r="C673" s="102"/>
      <c r="D673" s="102"/>
      <c r="E673" s="443"/>
      <c r="F673" s="443"/>
      <c r="G673" s="453"/>
      <c r="H673" s="453"/>
      <c r="I673" s="453"/>
      <c r="J673" s="106"/>
      <c r="K673" s="106" t="str">
        <f>IF(ISBLANK(I673), "", VLOOKUP(A673&amp;" "&amp;B673, 'Info Tipo de Cambio y REM'!$A$24:$B$35, 2, FALSE))</f>
        <v/>
      </c>
      <c r="L673" s="107" t="str">
        <f t="shared" si="2"/>
        <v/>
      </c>
      <c r="M673" s="102"/>
    </row>
    <row r="674">
      <c r="A674" s="44"/>
      <c r="B674" s="102"/>
      <c r="C674" s="102"/>
      <c r="D674" s="102"/>
      <c r="E674" s="443"/>
      <c r="F674" s="443"/>
      <c r="G674" s="453"/>
      <c r="H674" s="453"/>
      <c r="I674" s="453"/>
      <c r="J674" s="106"/>
      <c r="K674" s="106" t="str">
        <f>IF(ISBLANK(I674), "", VLOOKUP(A674&amp;" "&amp;B674, 'Info Tipo de Cambio y REM'!$A$24:$B$35, 2, FALSE))</f>
        <v/>
      </c>
      <c r="L674" s="107" t="str">
        <f t="shared" si="2"/>
        <v/>
      </c>
      <c r="M674" s="102"/>
    </row>
    <row r="675">
      <c r="A675" s="44"/>
      <c r="B675" s="102"/>
      <c r="C675" s="102"/>
      <c r="D675" s="102"/>
      <c r="E675" s="443"/>
      <c r="F675" s="443"/>
      <c r="G675" s="453"/>
      <c r="H675" s="453"/>
      <c r="I675" s="453"/>
      <c r="J675" s="106"/>
      <c r="K675" s="106" t="str">
        <f>IF(ISBLANK(I675), "", VLOOKUP(A675&amp;" "&amp;B675, 'Info Tipo de Cambio y REM'!$A$24:$B$35, 2, FALSE))</f>
        <v/>
      </c>
      <c r="L675" s="107" t="str">
        <f t="shared" si="2"/>
        <v/>
      </c>
      <c r="M675" s="102"/>
    </row>
    <row r="676">
      <c r="A676" s="44"/>
      <c r="B676" s="102"/>
      <c r="C676" s="102"/>
      <c r="D676" s="102"/>
      <c r="E676" s="443"/>
      <c r="F676" s="443"/>
      <c r="G676" s="453"/>
      <c r="H676" s="453"/>
      <c r="I676" s="453"/>
      <c r="J676" s="106"/>
      <c r="K676" s="106" t="str">
        <f>IF(ISBLANK(I676), "", VLOOKUP(A676&amp;" "&amp;B676, 'Info Tipo de Cambio y REM'!$A$24:$B$35, 2, FALSE))</f>
        <v/>
      </c>
      <c r="L676" s="107" t="str">
        <f t="shared" si="2"/>
        <v/>
      </c>
      <c r="M676" s="102"/>
    </row>
    <row r="677">
      <c r="A677" s="44"/>
      <c r="B677" s="102"/>
      <c r="C677" s="102"/>
      <c r="D677" s="102"/>
      <c r="E677" s="443"/>
      <c r="F677" s="443"/>
      <c r="G677" s="453"/>
      <c r="H677" s="453"/>
      <c r="I677" s="453"/>
      <c r="J677" s="106"/>
      <c r="K677" s="106" t="str">
        <f>IF(ISBLANK(I677), "", VLOOKUP(A677&amp;" "&amp;B677, 'Info Tipo de Cambio y REM'!$A$24:$B$35, 2, FALSE))</f>
        <v/>
      </c>
      <c r="L677" s="107" t="str">
        <f t="shared" si="2"/>
        <v/>
      </c>
      <c r="M677" s="102"/>
    </row>
    <row r="678">
      <c r="A678" s="44"/>
      <c r="B678" s="102"/>
      <c r="C678" s="102"/>
      <c r="D678" s="102"/>
      <c r="E678" s="443"/>
      <c r="F678" s="443"/>
      <c r="G678" s="453"/>
      <c r="H678" s="453"/>
      <c r="I678" s="453"/>
      <c r="J678" s="106"/>
      <c r="K678" s="106" t="str">
        <f>IF(ISBLANK(I678), "", VLOOKUP(A678&amp;" "&amp;B678, 'Info Tipo de Cambio y REM'!$A$24:$B$35, 2, FALSE))</f>
        <v/>
      </c>
      <c r="L678" s="107" t="str">
        <f t="shared" si="2"/>
        <v/>
      </c>
      <c r="M678" s="102"/>
    </row>
    <row r="679">
      <c r="A679" s="44"/>
      <c r="B679" s="102"/>
      <c r="C679" s="102"/>
      <c r="D679" s="102"/>
      <c r="E679" s="443"/>
      <c r="F679" s="443"/>
      <c r="G679" s="453"/>
      <c r="H679" s="453"/>
      <c r="I679" s="453"/>
      <c r="J679" s="106"/>
      <c r="K679" s="106" t="str">
        <f>IF(ISBLANK(I679), "", VLOOKUP(A679&amp;" "&amp;B679, 'Info Tipo de Cambio y REM'!$A$24:$B$35, 2, FALSE))</f>
        <v/>
      </c>
      <c r="L679" s="107" t="str">
        <f t="shared" si="2"/>
        <v/>
      </c>
      <c r="M679" s="102"/>
    </row>
    <row r="680">
      <c r="A680" s="44"/>
      <c r="B680" s="102"/>
      <c r="C680" s="102"/>
      <c r="D680" s="102"/>
      <c r="E680" s="443"/>
      <c r="F680" s="443"/>
      <c r="G680" s="453"/>
      <c r="H680" s="453"/>
      <c r="I680" s="453"/>
      <c r="J680" s="106"/>
      <c r="K680" s="106" t="str">
        <f>IF(ISBLANK(I680), "", VLOOKUP(A680&amp;" "&amp;B680, 'Info Tipo de Cambio y REM'!$A$24:$B$35, 2, FALSE))</f>
        <v/>
      </c>
      <c r="L680" s="107" t="str">
        <f t="shared" si="2"/>
        <v/>
      </c>
      <c r="M680" s="102"/>
    </row>
    <row r="681">
      <c r="A681" s="44"/>
      <c r="B681" s="102"/>
      <c r="C681" s="102"/>
      <c r="D681" s="102"/>
      <c r="E681" s="443"/>
      <c r="F681" s="443"/>
      <c r="G681" s="453"/>
      <c r="H681" s="453"/>
      <c r="I681" s="453"/>
      <c r="J681" s="106"/>
      <c r="K681" s="106" t="str">
        <f>IF(ISBLANK(I681), "", VLOOKUP(A681&amp;" "&amp;B681, 'Info Tipo de Cambio y REM'!$A$24:$B$35, 2, FALSE))</f>
        <v/>
      </c>
      <c r="L681" s="107" t="str">
        <f t="shared" si="2"/>
        <v/>
      </c>
      <c r="M681" s="102"/>
    </row>
    <row r="682">
      <c r="A682" s="44"/>
      <c r="B682" s="102"/>
      <c r="C682" s="102"/>
      <c r="D682" s="102"/>
      <c r="E682" s="443"/>
      <c r="F682" s="443"/>
      <c r="G682" s="453"/>
      <c r="H682" s="453"/>
      <c r="I682" s="453"/>
      <c r="J682" s="106"/>
      <c r="K682" s="106" t="str">
        <f>IF(ISBLANK(I682), "", VLOOKUP(A682&amp;" "&amp;B682, 'Info Tipo de Cambio y REM'!$A$24:$B$35, 2, FALSE))</f>
        <v/>
      </c>
      <c r="L682" s="107" t="str">
        <f t="shared" si="2"/>
        <v/>
      </c>
      <c r="M682" s="102"/>
    </row>
    <row r="683">
      <c r="A683" s="44"/>
      <c r="B683" s="102"/>
      <c r="C683" s="102"/>
      <c r="D683" s="102"/>
      <c r="E683" s="443"/>
      <c r="F683" s="443"/>
      <c r="G683" s="453"/>
      <c r="H683" s="453"/>
      <c r="I683" s="453"/>
      <c r="J683" s="106"/>
      <c r="K683" s="106" t="str">
        <f>IF(ISBLANK(I683), "", VLOOKUP(A683&amp;" "&amp;B683, 'Info Tipo de Cambio y REM'!$A$24:$B$35, 2, FALSE))</f>
        <v/>
      </c>
      <c r="L683" s="107" t="str">
        <f t="shared" si="2"/>
        <v/>
      </c>
      <c r="M683" s="102"/>
    </row>
    <row r="684">
      <c r="A684" s="44"/>
      <c r="B684" s="102"/>
      <c r="C684" s="102"/>
      <c r="D684" s="102"/>
      <c r="E684" s="443"/>
      <c r="F684" s="443"/>
      <c r="G684" s="453"/>
      <c r="H684" s="453"/>
      <c r="I684" s="453"/>
      <c r="J684" s="106"/>
      <c r="K684" s="106" t="str">
        <f>IF(ISBLANK(I684), "", VLOOKUP(A684&amp;" "&amp;B684, 'Info Tipo de Cambio y REM'!$A$24:$B$35, 2, FALSE))</f>
        <v/>
      </c>
      <c r="L684" s="107" t="str">
        <f t="shared" si="2"/>
        <v/>
      </c>
      <c r="M684" s="102"/>
    </row>
    <row r="685">
      <c r="A685" s="44"/>
      <c r="B685" s="102"/>
      <c r="C685" s="102"/>
      <c r="D685" s="102"/>
      <c r="E685" s="443"/>
      <c r="F685" s="443"/>
      <c r="G685" s="453"/>
      <c r="H685" s="453"/>
      <c r="I685" s="453"/>
      <c r="J685" s="106"/>
      <c r="K685" s="106" t="str">
        <f>IF(ISBLANK(I685), "", VLOOKUP(A685&amp;" "&amp;B685, 'Info Tipo de Cambio y REM'!$A$24:$B$35, 2, FALSE))</f>
        <v/>
      </c>
      <c r="L685" s="107" t="str">
        <f t="shared" si="2"/>
        <v/>
      </c>
      <c r="M685" s="102"/>
    </row>
    <row r="686">
      <c r="A686" s="44"/>
      <c r="B686" s="102"/>
      <c r="C686" s="102"/>
      <c r="D686" s="102"/>
      <c r="E686" s="443"/>
      <c r="F686" s="443"/>
      <c r="G686" s="453"/>
      <c r="H686" s="453"/>
      <c r="I686" s="453"/>
      <c r="J686" s="106"/>
      <c r="K686" s="106" t="str">
        <f>IF(ISBLANK(I686), "", VLOOKUP(A686&amp;" "&amp;B686, 'Info Tipo de Cambio y REM'!$A$24:$B$35, 2, FALSE))</f>
        <v/>
      </c>
      <c r="L686" s="107" t="str">
        <f t="shared" si="2"/>
        <v/>
      </c>
      <c r="M686" s="102"/>
    </row>
    <row r="687">
      <c r="A687" s="44"/>
      <c r="B687" s="102"/>
      <c r="C687" s="102"/>
      <c r="D687" s="102"/>
      <c r="E687" s="443"/>
      <c r="F687" s="443"/>
      <c r="G687" s="453"/>
      <c r="H687" s="453"/>
      <c r="I687" s="453"/>
      <c r="J687" s="106"/>
      <c r="K687" s="106" t="str">
        <f>IF(ISBLANK(I687), "", VLOOKUP(A687&amp;" "&amp;B687, 'Info Tipo de Cambio y REM'!$A$24:$B$35, 2, FALSE))</f>
        <v/>
      </c>
      <c r="L687" s="107" t="str">
        <f t="shared" si="2"/>
        <v/>
      </c>
      <c r="M687" s="102"/>
    </row>
    <row r="688">
      <c r="A688" s="44"/>
      <c r="B688" s="102"/>
      <c r="C688" s="102"/>
      <c r="D688" s="102"/>
      <c r="E688" s="443"/>
      <c r="F688" s="443"/>
      <c r="G688" s="453"/>
      <c r="H688" s="453"/>
      <c r="I688" s="453"/>
      <c r="J688" s="106"/>
      <c r="K688" s="106" t="str">
        <f>IF(ISBLANK(I688), "", VLOOKUP(A688&amp;" "&amp;B688, 'Info Tipo de Cambio y REM'!$A$24:$B$35, 2, FALSE))</f>
        <v/>
      </c>
      <c r="L688" s="107" t="str">
        <f t="shared" si="2"/>
        <v/>
      </c>
      <c r="M688" s="102"/>
    </row>
    <row r="689">
      <c r="A689" s="44"/>
      <c r="B689" s="102"/>
      <c r="C689" s="102"/>
      <c r="D689" s="102"/>
      <c r="E689" s="443"/>
      <c r="F689" s="443"/>
      <c r="G689" s="453"/>
      <c r="H689" s="453"/>
      <c r="I689" s="453"/>
      <c r="J689" s="106"/>
      <c r="K689" s="106" t="str">
        <f>IF(ISBLANK(I689), "", VLOOKUP(A689&amp;" "&amp;B689, 'Info Tipo de Cambio y REM'!$A$24:$B$35, 2, FALSE))</f>
        <v/>
      </c>
      <c r="L689" s="107" t="str">
        <f t="shared" si="2"/>
        <v/>
      </c>
      <c r="M689" s="102"/>
    </row>
    <row r="690">
      <c r="A690" s="44"/>
      <c r="B690" s="102"/>
      <c r="C690" s="102"/>
      <c r="D690" s="102"/>
      <c r="E690" s="443"/>
      <c r="F690" s="443"/>
      <c r="G690" s="453"/>
      <c r="H690" s="453"/>
      <c r="I690" s="453"/>
      <c r="J690" s="106"/>
      <c r="K690" s="106" t="str">
        <f>IF(ISBLANK(I690), "", VLOOKUP(A690&amp;" "&amp;B690, 'Info Tipo de Cambio y REM'!$A$24:$B$35, 2, FALSE))</f>
        <v/>
      </c>
      <c r="L690" s="107" t="str">
        <f t="shared" si="2"/>
        <v/>
      </c>
      <c r="M690" s="102"/>
    </row>
    <row r="691">
      <c r="A691" s="44"/>
      <c r="B691" s="102"/>
      <c r="C691" s="102"/>
      <c r="D691" s="102"/>
      <c r="E691" s="443"/>
      <c r="F691" s="443"/>
      <c r="G691" s="453"/>
      <c r="H691" s="453"/>
      <c r="I691" s="453"/>
      <c r="J691" s="106"/>
      <c r="K691" s="106" t="str">
        <f>IF(ISBLANK(I691), "", VLOOKUP(A691&amp;" "&amp;B691, 'Info Tipo de Cambio y REM'!$A$24:$B$35, 2, FALSE))</f>
        <v/>
      </c>
      <c r="L691" s="107" t="str">
        <f t="shared" si="2"/>
        <v/>
      </c>
      <c r="M691" s="102"/>
    </row>
    <row r="692">
      <c r="A692" s="44"/>
      <c r="B692" s="102"/>
      <c r="C692" s="102"/>
      <c r="D692" s="102"/>
      <c r="E692" s="443"/>
      <c r="F692" s="443"/>
      <c r="G692" s="453"/>
      <c r="H692" s="453"/>
      <c r="I692" s="453"/>
      <c r="J692" s="106"/>
      <c r="K692" s="106" t="str">
        <f>IF(ISBLANK(I692), "", VLOOKUP(A692&amp;" "&amp;B692, 'Info Tipo de Cambio y REM'!$A$24:$B$35, 2, FALSE))</f>
        <v/>
      </c>
      <c r="L692" s="107" t="str">
        <f t="shared" si="2"/>
        <v/>
      </c>
      <c r="M692" s="102"/>
    </row>
    <row r="693">
      <c r="A693" s="44"/>
      <c r="B693" s="102"/>
      <c r="C693" s="102"/>
      <c r="D693" s="102"/>
      <c r="E693" s="443"/>
      <c r="F693" s="443"/>
      <c r="G693" s="453"/>
      <c r="H693" s="453"/>
      <c r="I693" s="453"/>
      <c r="J693" s="106"/>
      <c r="K693" s="106" t="str">
        <f>IF(ISBLANK(I693), "", VLOOKUP(A693&amp;" "&amp;B693, 'Info Tipo de Cambio y REM'!$A$24:$B$35, 2, FALSE))</f>
        <v/>
      </c>
      <c r="L693" s="107" t="str">
        <f t="shared" si="2"/>
        <v/>
      </c>
      <c r="M693" s="102"/>
    </row>
    <row r="694">
      <c r="A694" s="44"/>
      <c r="B694" s="102"/>
      <c r="C694" s="102"/>
      <c r="D694" s="102"/>
      <c r="E694" s="443"/>
      <c r="F694" s="443"/>
      <c r="G694" s="453"/>
      <c r="H694" s="453"/>
      <c r="I694" s="453"/>
      <c r="J694" s="106"/>
      <c r="K694" s="106" t="str">
        <f>IF(ISBLANK(I694), "", VLOOKUP(A694&amp;" "&amp;B694, 'Info Tipo de Cambio y REM'!$A$24:$B$35, 2, FALSE))</f>
        <v/>
      </c>
      <c r="L694" s="107" t="str">
        <f t="shared" si="2"/>
        <v/>
      </c>
      <c r="M694" s="102"/>
    </row>
    <row r="695">
      <c r="A695" s="44"/>
      <c r="B695" s="102"/>
      <c r="C695" s="102"/>
      <c r="D695" s="102"/>
      <c r="E695" s="443"/>
      <c r="F695" s="443"/>
      <c r="G695" s="453"/>
      <c r="H695" s="453"/>
      <c r="I695" s="453"/>
      <c r="J695" s="106"/>
      <c r="K695" s="106" t="str">
        <f>IF(ISBLANK(I695), "", VLOOKUP(A695&amp;" "&amp;B695, 'Info Tipo de Cambio y REM'!$A$24:$B$35, 2, FALSE))</f>
        <v/>
      </c>
      <c r="L695" s="107" t="str">
        <f t="shared" si="2"/>
        <v/>
      </c>
      <c r="M695" s="102"/>
    </row>
    <row r="696">
      <c r="A696" s="44"/>
      <c r="B696" s="102"/>
      <c r="C696" s="102"/>
      <c r="D696" s="102"/>
      <c r="E696" s="443"/>
      <c r="F696" s="443"/>
      <c r="G696" s="453"/>
      <c r="H696" s="453"/>
      <c r="I696" s="453"/>
      <c r="J696" s="106"/>
      <c r="K696" s="106" t="str">
        <f>IF(ISBLANK(I696), "", VLOOKUP(A696&amp;" "&amp;B696, 'Info Tipo de Cambio y REM'!$A$24:$B$35, 2, FALSE))</f>
        <v/>
      </c>
      <c r="L696" s="107" t="str">
        <f t="shared" si="2"/>
        <v/>
      </c>
      <c r="M696" s="102"/>
    </row>
    <row r="697">
      <c r="A697" s="44"/>
      <c r="B697" s="102"/>
      <c r="C697" s="102"/>
      <c r="D697" s="102"/>
      <c r="E697" s="443"/>
      <c r="F697" s="443"/>
      <c r="G697" s="453"/>
      <c r="H697" s="453"/>
      <c r="I697" s="453"/>
      <c r="J697" s="106"/>
      <c r="K697" s="106" t="str">
        <f>IF(ISBLANK(I697), "", VLOOKUP(A697&amp;" "&amp;B697, 'Info Tipo de Cambio y REM'!$A$24:$B$35, 2, FALSE))</f>
        <v/>
      </c>
      <c r="L697" s="107" t="str">
        <f t="shared" si="2"/>
        <v/>
      </c>
      <c r="M697" s="102"/>
    </row>
    <row r="698">
      <c r="A698" s="44"/>
      <c r="B698" s="102"/>
      <c r="C698" s="102"/>
      <c r="D698" s="102"/>
      <c r="E698" s="443"/>
      <c r="F698" s="443"/>
      <c r="G698" s="453"/>
      <c r="H698" s="453"/>
      <c r="I698" s="453"/>
      <c r="J698" s="106"/>
      <c r="K698" s="106" t="str">
        <f>IF(ISBLANK(I698), "", VLOOKUP(A698&amp;" "&amp;B698, 'Info Tipo de Cambio y REM'!$A$24:$B$35, 2, FALSE))</f>
        <v/>
      </c>
      <c r="L698" s="107" t="str">
        <f t="shared" si="2"/>
        <v/>
      </c>
      <c r="M698" s="102"/>
    </row>
    <row r="699">
      <c r="A699" s="44"/>
      <c r="B699" s="102"/>
      <c r="C699" s="102"/>
      <c r="D699" s="102"/>
      <c r="E699" s="443"/>
      <c r="F699" s="443"/>
      <c r="G699" s="453"/>
      <c r="H699" s="453"/>
      <c r="I699" s="453"/>
      <c r="J699" s="106"/>
      <c r="K699" s="106" t="str">
        <f>IF(ISBLANK(I699), "", VLOOKUP(A699&amp;" "&amp;B699, 'Info Tipo de Cambio y REM'!$A$24:$B$35, 2, FALSE))</f>
        <v/>
      </c>
      <c r="L699" s="107" t="str">
        <f t="shared" si="2"/>
        <v/>
      </c>
      <c r="M699" s="102"/>
    </row>
    <row r="700">
      <c r="A700" s="44"/>
      <c r="B700" s="102"/>
      <c r="C700" s="102"/>
      <c r="D700" s="102"/>
      <c r="E700" s="443"/>
      <c r="F700" s="443"/>
      <c r="G700" s="453"/>
      <c r="H700" s="453"/>
      <c r="I700" s="453"/>
      <c r="J700" s="106"/>
      <c r="K700" s="106" t="str">
        <f>IF(ISBLANK(I700), "", VLOOKUP(A700&amp;" "&amp;B700, 'Info Tipo de Cambio y REM'!$A$24:$B$35, 2, FALSE))</f>
        <v/>
      </c>
      <c r="L700" s="107" t="str">
        <f t="shared" si="2"/>
        <v/>
      </c>
      <c r="M700" s="102"/>
    </row>
    <row r="701">
      <c r="A701" s="44"/>
      <c r="B701" s="102"/>
      <c r="C701" s="102"/>
      <c r="D701" s="102"/>
      <c r="E701" s="443"/>
      <c r="F701" s="443"/>
      <c r="G701" s="453"/>
      <c r="H701" s="453"/>
      <c r="I701" s="453"/>
      <c r="J701" s="106"/>
      <c r="K701" s="106" t="str">
        <f>IF(ISBLANK(I701), "", VLOOKUP(A701&amp;" "&amp;B701, 'Info Tipo de Cambio y REM'!$A$24:$B$35, 2, FALSE))</f>
        <v/>
      </c>
      <c r="L701" s="107" t="str">
        <f t="shared" si="2"/>
        <v/>
      </c>
      <c r="M701" s="102"/>
    </row>
    <row r="702">
      <c r="A702" s="44"/>
      <c r="B702" s="102"/>
      <c r="C702" s="102"/>
      <c r="D702" s="102"/>
      <c r="E702" s="443"/>
      <c r="F702" s="443"/>
      <c r="G702" s="453"/>
      <c r="H702" s="453"/>
      <c r="I702" s="453"/>
      <c r="J702" s="106"/>
      <c r="K702" s="106" t="str">
        <f>IF(ISBLANK(I702), "", VLOOKUP(A702&amp;" "&amp;B702, 'Info Tipo de Cambio y REM'!$A$24:$B$35, 2, FALSE))</f>
        <v/>
      </c>
      <c r="L702" s="107" t="str">
        <f t="shared" si="2"/>
        <v/>
      </c>
      <c r="M702" s="102"/>
    </row>
    <row r="703">
      <c r="A703" s="44"/>
      <c r="B703" s="102"/>
      <c r="C703" s="102"/>
      <c r="D703" s="102"/>
      <c r="E703" s="443"/>
      <c r="F703" s="443"/>
      <c r="G703" s="453"/>
      <c r="H703" s="453"/>
      <c r="I703" s="453"/>
      <c r="J703" s="106"/>
      <c r="K703" s="106" t="str">
        <f>IF(ISBLANK(I703), "", VLOOKUP(A703&amp;" "&amp;B703, 'Info Tipo de Cambio y REM'!$A$24:$B$35, 2, FALSE))</f>
        <v/>
      </c>
      <c r="L703" s="107" t="str">
        <f t="shared" si="2"/>
        <v/>
      </c>
      <c r="M703" s="102"/>
    </row>
    <row r="704">
      <c r="A704" s="44"/>
      <c r="B704" s="102"/>
      <c r="C704" s="102"/>
      <c r="D704" s="102"/>
      <c r="E704" s="443"/>
      <c r="F704" s="443"/>
      <c r="G704" s="453"/>
      <c r="H704" s="453"/>
      <c r="I704" s="453"/>
      <c r="J704" s="106"/>
      <c r="K704" s="106" t="str">
        <f>IF(ISBLANK(I704), "", VLOOKUP(A704&amp;" "&amp;B704, 'Info Tipo de Cambio y REM'!$A$24:$B$35, 2, FALSE))</f>
        <v/>
      </c>
      <c r="L704" s="107" t="str">
        <f t="shared" si="2"/>
        <v/>
      </c>
      <c r="M704" s="102"/>
    </row>
    <row r="705">
      <c r="A705" s="44"/>
      <c r="B705" s="102"/>
      <c r="C705" s="102"/>
      <c r="D705" s="102"/>
      <c r="E705" s="443"/>
      <c r="F705" s="443"/>
      <c r="G705" s="453"/>
      <c r="H705" s="453"/>
      <c r="I705" s="453"/>
      <c r="J705" s="106"/>
      <c r="K705" s="106" t="str">
        <f>IF(ISBLANK(I705), "", VLOOKUP(A705&amp;" "&amp;B705, 'Info Tipo de Cambio y REM'!$A$24:$B$35, 2, FALSE))</f>
        <v/>
      </c>
      <c r="L705" s="107" t="str">
        <f t="shared" si="2"/>
        <v/>
      </c>
      <c r="M705" s="102"/>
    </row>
    <row r="706">
      <c r="A706" s="44"/>
      <c r="B706" s="102"/>
      <c r="C706" s="102"/>
      <c r="D706" s="102"/>
      <c r="E706" s="443"/>
      <c r="F706" s="443"/>
      <c r="G706" s="453"/>
      <c r="H706" s="453"/>
      <c r="I706" s="453"/>
      <c r="J706" s="106"/>
      <c r="K706" s="106" t="str">
        <f>IF(ISBLANK(I706), "", VLOOKUP(A706&amp;" "&amp;B706, 'Info Tipo de Cambio y REM'!$A$24:$B$35, 2, FALSE))</f>
        <v/>
      </c>
      <c r="L706" s="107" t="str">
        <f t="shared" si="2"/>
        <v/>
      </c>
      <c r="M706" s="102"/>
    </row>
    <row r="707">
      <c r="A707" s="44"/>
      <c r="B707" s="102"/>
      <c r="C707" s="102"/>
      <c r="D707" s="102"/>
      <c r="E707" s="443"/>
      <c r="F707" s="443"/>
      <c r="G707" s="453"/>
      <c r="H707" s="453"/>
      <c r="I707" s="453"/>
      <c r="J707" s="106"/>
      <c r="K707" s="106" t="str">
        <f>IF(ISBLANK(I707), "", VLOOKUP(A707&amp;" "&amp;B707, 'Info Tipo de Cambio y REM'!$A$24:$B$35, 2, FALSE))</f>
        <v/>
      </c>
      <c r="L707" s="107" t="str">
        <f t="shared" si="2"/>
        <v/>
      </c>
      <c r="M707" s="102"/>
    </row>
    <row r="708">
      <c r="A708" s="44"/>
      <c r="B708" s="102"/>
      <c r="C708" s="102"/>
      <c r="D708" s="102"/>
      <c r="E708" s="443"/>
      <c r="F708" s="443"/>
      <c r="G708" s="453"/>
      <c r="H708" s="453"/>
      <c r="I708" s="453"/>
      <c r="J708" s="106"/>
      <c r="K708" s="106" t="str">
        <f>IF(ISBLANK(I708), "", VLOOKUP(A708&amp;" "&amp;B708, 'Info Tipo de Cambio y REM'!$A$24:$B$35, 2, FALSE))</f>
        <v/>
      </c>
      <c r="L708" s="107" t="str">
        <f t="shared" si="2"/>
        <v/>
      </c>
      <c r="M708" s="102"/>
    </row>
    <row r="709">
      <c r="A709" s="44"/>
      <c r="B709" s="102"/>
      <c r="C709" s="102"/>
      <c r="D709" s="102"/>
      <c r="E709" s="443"/>
      <c r="F709" s="443"/>
      <c r="G709" s="453"/>
      <c r="H709" s="453"/>
      <c r="I709" s="453"/>
      <c r="J709" s="106"/>
      <c r="K709" s="106" t="str">
        <f>IF(ISBLANK(I709), "", VLOOKUP(A709&amp;" "&amp;B709, 'Info Tipo de Cambio y REM'!$A$24:$B$35, 2, FALSE))</f>
        <v/>
      </c>
      <c r="L709" s="107" t="str">
        <f t="shared" si="2"/>
        <v/>
      </c>
      <c r="M709" s="102"/>
    </row>
    <row r="710">
      <c r="A710" s="44"/>
      <c r="B710" s="102"/>
      <c r="C710" s="102"/>
      <c r="D710" s="102"/>
      <c r="E710" s="443"/>
      <c r="F710" s="443"/>
      <c r="G710" s="453"/>
      <c r="H710" s="453"/>
      <c r="I710" s="453"/>
      <c r="J710" s="106"/>
      <c r="K710" s="106" t="str">
        <f>IF(ISBLANK(I710), "", VLOOKUP(A710&amp;" "&amp;B710, 'Info Tipo de Cambio y REM'!$A$24:$B$35, 2, FALSE))</f>
        <v/>
      </c>
      <c r="L710" s="107" t="str">
        <f t="shared" si="2"/>
        <v/>
      </c>
      <c r="M710" s="102"/>
    </row>
    <row r="711">
      <c r="A711" s="44"/>
      <c r="B711" s="102"/>
      <c r="C711" s="102"/>
      <c r="D711" s="102"/>
      <c r="E711" s="443"/>
      <c r="F711" s="443"/>
      <c r="G711" s="453"/>
      <c r="H711" s="453"/>
      <c r="I711" s="453"/>
      <c r="J711" s="106"/>
      <c r="K711" s="106" t="str">
        <f>IF(ISBLANK(I711), "", VLOOKUP(A711&amp;" "&amp;B711, 'Info Tipo de Cambio y REM'!$A$24:$B$35, 2, FALSE))</f>
        <v/>
      </c>
      <c r="L711" s="107" t="str">
        <f t="shared" si="2"/>
        <v/>
      </c>
      <c r="M711" s="102"/>
    </row>
    <row r="712">
      <c r="A712" s="44"/>
      <c r="B712" s="102"/>
      <c r="C712" s="102"/>
      <c r="D712" s="102"/>
      <c r="E712" s="443"/>
      <c r="F712" s="443"/>
      <c r="G712" s="453"/>
      <c r="H712" s="453"/>
      <c r="I712" s="453"/>
      <c r="J712" s="106"/>
      <c r="K712" s="106" t="str">
        <f>IF(ISBLANK(I712), "", VLOOKUP(A712&amp;" "&amp;B712, 'Info Tipo de Cambio y REM'!$A$24:$B$35, 2, FALSE))</f>
        <v/>
      </c>
      <c r="L712" s="107" t="str">
        <f t="shared" si="2"/>
        <v/>
      </c>
      <c r="M712" s="102"/>
    </row>
    <row r="713">
      <c r="A713" s="44"/>
      <c r="B713" s="102"/>
      <c r="C713" s="102"/>
      <c r="D713" s="102"/>
      <c r="E713" s="443"/>
      <c r="F713" s="443"/>
      <c r="G713" s="453"/>
      <c r="H713" s="453"/>
      <c r="I713" s="453"/>
      <c r="J713" s="106"/>
      <c r="K713" s="106" t="str">
        <f>IF(ISBLANK(I713), "", VLOOKUP(A713&amp;" "&amp;B713, 'Info Tipo de Cambio y REM'!$A$24:$B$35, 2, FALSE))</f>
        <v/>
      </c>
      <c r="L713" s="107" t="str">
        <f t="shared" si="2"/>
        <v/>
      </c>
      <c r="M713" s="102"/>
    </row>
    <row r="714">
      <c r="A714" s="44"/>
      <c r="B714" s="102"/>
      <c r="C714" s="102"/>
      <c r="D714" s="102"/>
      <c r="E714" s="443"/>
      <c r="F714" s="443"/>
      <c r="G714" s="453"/>
      <c r="H714" s="453"/>
      <c r="I714" s="453"/>
      <c r="J714" s="106"/>
      <c r="K714" s="106" t="str">
        <f>IF(ISBLANK(I714), "", VLOOKUP(A714&amp;" "&amp;B714, 'Info Tipo de Cambio y REM'!$A$24:$B$35, 2, FALSE))</f>
        <v/>
      </c>
      <c r="L714" s="107" t="str">
        <f t="shared" si="2"/>
        <v/>
      </c>
      <c r="M714" s="102"/>
    </row>
    <row r="715">
      <c r="A715" s="44"/>
      <c r="B715" s="102"/>
      <c r="C715" s="102"/>
      <c r="D715" s="102"/>
      <c r="E715" s="443"/>
      <c r="F715" s="443"/>
      <c r="G715" s="453"/>
      <c r="H715" s="453"/>
      <c r="I715" s="453"/>
      <c r="J715" s="106"/>
      <c r="K715" s="106" t="str">
        <f>IF(ISBLANK(I715), "", VLOOKUP(A715&amp;" "&amp;B715, 'Info Tipo de Cambio y REM'!$A$24:$B$35, 2, FALSE))</f>
        <v/>
      </c>
      <c r="L715" s="107" t="str">
        <f t="shared" si="2"/>
        <v/>
      </c>
      <c r="M715" s="102"/>
    </row>
    <row r="716">
      <c r="A716" s="44"/>
      <c r="B716" s="102"/>
      <c r="C716" s="102"/>
      <c r="D716" s="102"/>
      <c r="E716" s="443"/>
      <c r="F716" s="443"/>
      <c r="G716" s="453"/>
      <c r="H716" s="453"/>
      <c r="I716" s="453"/>
      <c r="J716" s="106"/>
      <c r="K716" s="106" t="str">
        <f>IF(ISBLANK(I716), "", VLOOKUP(A716&amp;" "&amp;B716, 'Info Tipo de Cambio y REM'!$A$24:$B$35, 2, FALSE))</f>
        <v/>
      </c>
      <c r="L716" s="107" t="str">
        <f t="shared" si="2"/>
        <v/>
      </c>
      <c r="M716" s="102"/>
    </row>
    <row r="717">
      <c r="A717" s="44"/>
      <c r="B717" s="102"/>
      <c r="C717" s="102"/>
      <c r="D717" s="102"/>
      <c r="E717" s="443"/>
      <c r="F717" s="443"/>
      <c r="G717" s="453"/>
      <c r="H717" s="453"/>
      <c r="I717" s="453"/>
      <c r="J717" s="106"/>
      <c r="K717" s="106" t="str">
        <f>IF(ISBLANK(I717), "", VLOOKUP(A717&amp;" "&amp;B717, 'Info Tipo de Cambio y REM'!$A$24:$B$35, 2, FALSE))</f>
        <v/>
      </c>
      <c r="L717" s="107" t="str">
        <f t="shared" si="2"/>
        <v/>
      </c>
      <c r="M717" s="102"/>
    </row>
    <row r="718">
      <c r="A718" s="44"/>
      <c r="B718" s="102"/>
      <c r="C718" s="102"/>
      <c r="D718" s="102"/>
      <c r="E718" s="443"/>
      <c r="F718" s="443"/>
      <c r="G718" s="453"/>
      <c r="H718" s="453"/>
      <c r="I718" s="453"/>
      <c r="J718" s="106"/>
      <c r="K718" s="106" t="str">
        <f>IF(ISBLANK(I718), "", VLOOKUP(A718&amp;" "&amp;B718, 'Info Tipo de Cambio y REM'!$A$24:$B$35, 2, FALSE))</f>
        <v/>
      </c>
      <c r="L718" s="107" t="str">
        <f t="shared" si="2"/>
        <v/>
      </c>
      <c r="M718" s="102"/>
    </row>
    <row r="719">
      <c r="A719" s="44"/>
      <c r="B719" s="102"/>
      <c r="C719" s="102"/>
      <c r="D719" s="102"/>
      <c r="E719" s="443"/>
      <c r="F719" s="443"/>
      <c r="G719" s="453"/>
      <c r="H719" s="453"/>
      <c r="I719" s="453"/>
      <c r="J719" s="106"/>
      <c r="K719" s="106" t="str">
        <f>IF(ISBLANK(I719), "", VLOOKUP(A719&amp;" "&amp;B719, 'Info Tipo de Cambio y REM'!$A$24:$B$35, 2, FALSE))</f>
        <v/>
      </c>
      <c r="L719" s="107" t="str">
        <f t="shared" si="2"/>
        <v/>
      </c>
      <c r="M719" s="102"/>
    </row>
    <row r="720">
      <c r="A720" s="44"/>
      <c r="B720" s="102"/>
      <c r="C720" s="102"/>
      <c r="D720" s="102"/>
      <c r="E720" s="443"/>
      <c r="F720" s="443"/>
      <c r="G720" s="453"/>
      <c r="H720" s="453"/>
      <c r="I720" s="453"/>
      <c r="J720" s="106"/>
      <c r="K720" s="106" t="str">
        <f>IF(ISBLANK(I720), "", VLOOKUP(A720&amp;" "&amp;B720, 'Info Tipo de Cambio y REM'!$A$24:$B$35, 2, FALSE))</f>
        <v/>
      </c>
      <c r="L720" s="107" t="str">
        <f t="shared" si="2"/>
        <v/>
      </c>
      <c r="M720" s="102"/>
    </row>
    <row r="721">
      <c r="A721" s="44"/>
      <c r="B721" s="102"/>
      <c r="C721" s="102"/>
      <c r="D721" s="102"/>
      <c r="E721" s="443"/>
      <c r="F721" s="443"/>
      <c r="G721" s="453"/>
      <c r="H721" s="453"/>
      <c r="I721" s="453"/>
      <c r="J721" s="106"/>
      <c r="K721" s="106" t="str">
        <f>IF(ISBLANK(I721), "", VLOOKUP(A721&amp;" "&amp;B721, 'Info Tipo de Cambio y REM'!$A$24:$B$35, 2, FALSE))</f>
        <v/>
      </c>
      <c r="L721" s="107" t="str">
        <f t="shared" si="2"/>
        <v/>
      </c>
      <c r="M721" s="102"/>
    </row>
    <row r="722">
      <c r="A722" s="44"/>
      <c r="B722" s="102"/>
      <c r="C722" s="102"/>
      <c r="D722" s="102"/>
      <c r="E722" s="443"/>
      <c r="F722" s="443"/>
      <c r="G722" s="453"/>
      <c r="H722" s="453"/>
      <c r="I722" s="453"/>
      <c r="J722" s="106"/>
      <c r="K722" s="106" t="str">
        <f>IF(ISBLANK(I722), "", VLOOKUP(A722&amp;" "&amp;B722, 'Info Tipo de Cambio y REM'!$A$24:$B$35, 2, FALSE))</f>
        <v/>
      </c>
      <c r="L722" s="107" t="str">
        <f t="shared" si="2"/>
        <v/>
      </c>
      <c r="M722" s="102"/>
    </row>
    <row r="723">
      <c r="A723" s="44"/>
      <c r="B723" s="102"/>
      <c r="C723" s="102"/>
      <c r="D723" s="102"/>
      <c r="E723" s="443"/>
      <c r="F723" s="443"/>
      <c r="G723" s="453"/>
      <c r="H723" s="453"/>
      <c r="I723" s="453"/>
      <c r="J723" s="106"/>
      <c r="K723" s="106" t="str">
        <f>IF(ISBLANK(I723), "", VLOOKUP(A723&amp;" "&amp;B723, 'Info Tipo de Cambio y REM'!$A$24:$B$35, 2, FALSE))</f>
        <v/>
      </c>
      <c r="L723" s="107" t="str">
        <f t="shared" si="2"/>
        <v/>
      </c>
      <c r="M723" s="102"/>
    </row>
    <row r="724">
      <c r="A724" s="44"/>
      <c r="B724" s="102"/>
      <c r="C724" s="102"/>
      <c r="D724" s="102"/>
      <c r="E724" s="443"/>
      <c r="F724" s="443"/>
      <c r="G724" s="453"/>
      <c r="H724" s="453"/>
      <c r="I724" s="453"/>
      <c r="J724" s="106"/>
      <c r="K724" s="106" t="str">
        <f>IF(ISBLANK(I724), "", VLOOKUP(A724&amp;" "&amp;B724, 'Info Tipo de Cambio y REM'!$A$24:$B$35, 2, FALSE))</f>
        <v/>
      </c>
      <c r="L724" s="107" t="str">
        <f t="shared" si="2"/>
        <v/>
      </c>
      <c r="M724" s="102"/>
    </row>
    <row r="725">
      <c r="A725" s="44"/>
      <c r="B725" s="102"/>
      <c r="C725" s="102"/>
      <c r="D725" s="102"/>
      <c r="E725" s="443"/>
      <c r="F725" s="443"/>
      <c r="G725" s="453"/>
      <c r="H725" s="453"/>
      <c r="I725" s="453"/>
      <c r="J725" s="106"/>
      <c r="K725" s="106" t="str">
        <f>IF(ISBLANK(I725), "", VLOOKUP(A725&amp;" "&amp;B725, 'Info Tipo de Cambio y REM'!$A$24:$B$35, 2, FALSE))</f>
        <v/>
      </c>
      <c r="L725" s="107" t="str">
        <f t="shared" si="2"/>
        <v/>
      </c>
      <c r="M725" s="102"/>
    </row>
    <row r="726">
      <c r="A726" s="44"/>
      <c r="B726" s="102"/>
      <c r="C726" s="102"/>
      <c r="D726" s="102"/>
      <c r="E726" s="443"/>
      <c r="F726" s="443"/>
      <c r="G726" s="453"/>
      <c r="H726" s="453"/>
      <c r="I726" s="453"/>
      <c r="J726" s="106"/>
      <c r="K726" s="106" t="str">
        <f>IF(ISBLANK(I726), "", VLOOKUP(A726&amp;" "&amp;B726, 'Info Tipo de Cambio y REM'!$A$24:$B$35, 2, FALSE))</f>
        <v/>
      </c>
      <c r="L726" s="107" t="str">
        <f t="shared" si="2"/>
        <v/>
      </c>
      <c r="M726" s="102"/>
    </row>
    <row r="727">
      <c r="A727" s="44"/>
      <c r="B727" s="102"/>
      <c r="C727" s="102"/>
      <c r="D727" s="102"/>
      <c r="E727" s="443"/>
      <c r="F727" s="443"/>
      <c r="G727" s="453"/>
      <c r="H727" s="453"/>
      <c r="I727" s="453"/>
      <c r="J727" s="106"/>
      <c r="K727" s="106" t="str">
        <f>IF(ISBLANK(I727), "", VLOOKUP(A727&amp;" "&amp;B727, 'Info Tipo de Cambio y REM'!$A$24:$B$35, 2, FALSE))</f>
        <v/>
      </c>
      <c r="L727" s="107" t="str">
        <f t="shared" si="2"/>
        <v/>
      </c>
      <c r="M727" s="102"/>
    </row>
    <row r="728">
      <c r="A728" s="44"/>
      <c r="B728" s="102"/>
      <c r="C728" s="102"/>
      <c r="D728" s="102"/>
      <c r="E728" s="443"/>
      <c r="F728" s="443"/>
      <c r="G728" s="453"/>
      <c r="H728" s="453"/>
      <c r="I728" s="453"/>
      <c r="J728" s="106"/>
      <c r="K728" s="106" t="str">
        <f>IF(ISBLANK(I728), "", VLOOKUP(A728&amp;" "&amp;B728, 'Info Tipo de Cambio y REM'!$A$24:$B$35, 2, FALSE))</f>
        <v/>
      </c>
      <c r="L728" s="107" t="str">
        <f t="shared" si="2"/>
        <v/>
      </c>
      <c r="M728" s="102"/>
    </row>
    <row r="729">
      <c r="A729" s="44"/>
      <c r="B729" s="102"/>
      <c r="C729" s="102"/>
      <c r="D729" s="102"/>
      <c r="E729" s="443"/>
      <c r="F729" s="443"/>
      <c r="G729" s="453"/>
      <c r="H729" s="453"/>
      <c r="I729" s="453"/>
      <c r="J729" s="106"/>
      <c r="K729" s="106" t="str">
        <f>IF(ISBLANK(I729), "", VLOOKUP(A729&amp;" "&amp;B729, 'Info Tipo de Cambio y REM'!$A$24:$B$35, 2, FALSE))</f>
        <v/>
      </c>
      <c r="L729" s="107" t="str">
        <f t="shared" si="2"/>
        <v/>
      </c>
      <c r="M729" s="102"/>
    </row>
    <row r="730">
      <c r="A730" s="44"/>
      <c r="B730" s="102"/>
      <c r="C730" s="102"/>
      <c r="D730" s="102"/>
      <c r="E730" s="443"/>
      <c r="F730" s="443"/>
      <c r="G730" s="453"/>
      <c r="H730" s="453"/>
      <c r="I730" s="453"/>
      <c r="J730" s="106"/>
      <c r="K730" s="106" t="str">
        <f>IF(ISBLANK(I730), "", VLOOKUP(A730&amp;" "&amp;B730, 'Info Tipo de Cambio y REM'!$A$24:$B$35, 2, FALSE))</f>
        <v/>
      </c>
      <c r="L730" s="107" t="str">
        <f t="shared" si="2"/>
        <v/>
      </c>
      <c r="M730" s="102"/>
    </row>
    <row r="731">
      <c r="A731" s="44"/>
      <c r="B731" s="102"/>
      <c r="C731" s="102"/>
      <c r="D731" s="102"/>
      <c r="E731" s="443"/>
      <c r="F731" s="443"/>
      <c r="G731" s="453"/>
      <c r="H731" s="453"/>
      <c r="I731" s="453"/>
      <c r="J731" s="106"/>
      <c r="K731" s="106" t="str">
        <f>IF(ISBLANK(I731), "", VLOOKUP(A731&amp;" "&amp;B731, 'Info Tipo de Cambio y REM'!$A$24:$B$35, 2, FALSE))</f>
        <v/>
      </c>
      <c r="L731" s="107" t="str">
        <f t="shared" si="2"/>
        <v/>
      </c>
      <c r="M731" s="102"/>
    </row>
    <row r="732">
      <c r="A732" s="44"/>
      <c r="B732" s="102"/>
      <c r="C732" s="102"/>
      <c r="D732" s="102"/>
      <c r="E732" s="443"/>
      <c r="F732" s="443"/>
      <c r="G732" s="453"/>
      <c r="H732" s="453"/>
      <c r="I732" s="453"/>
      <c r="J732" s="106"/>
      <c r="K732" s="106" t="str">
        <f>IF(ISBLANK(I732), "", VLOOKUP(A732&amp;" "&amp;B732, 'Info Tipo de Cambio y REM'!$A$24:$B$35, 2, FALSE))</f>
        <v/>
      </c>
      <c r="L732" s="107" t="str">
        <f t="shared" si="2"/>
        <v/>
      </c>
      <c r="M732" s="102"/>
    </row>
    <row r="733">
      <c r="A733" s="44"/>
      <c r="B733" s="102"/>
      <c r="C733" s="102"/>
      <c r="D733" s="102"/>
      <c r="E733" s="443"/>
      <c r="F733" s="443"/>
      <c r="G733" s="453"/>
      <c r="H733" s="453"/>
      <c r="I733" s="453"/>
      <c r="J733" s="106"/>
      <c r="K733" s="106" t="str">
        <f>IF(ISBLANK(I733), "", VLOOKUP(A733&amp;" "&amp;B733, 'Info Tipo de Cambio y REM'!$A$24:$B$35, 2, FALSE))</f>
        <v/>
      </c>
      <c r="L733" s="107" t="str">
        <f t="shared" si="2"/>
        <v/>
      </c>
      <c r="M733" s="102"/>
    </row>
    <row r="734">
      <c r="A734" s="44"/>
      <c r="B734" s="102"/>
      <c r="C734" s="102"/>
      <c r="D734" s="102"/>
      <c r="E734" s="443"/>
      <c r="F734" s="443"/>
      <c r="G734" s="453"/>
      <c r="H734" s="453"/>
      <c r="I734" s="453"/>
      <c r="J734" s="106"/>
      <c r="K734" s="106" t="str">
        <f>IF(ISBLANK(I734), "", VLOOKUP(A734&amp;" "&amp;B734, 'Info Tipo de Cambio y REM'!$A$24:$B$35, 2, FALSE))</f>
        <v/>
      </c>
      <c r="L734" s="107" t="str">
        <f t="shared" si="2"/>
        <v/>
      </c>
      <c r="M734" s="102"/>
    </row>
    <row r="735">
      <c r="A735" s="44"/>
      <c r="B735" s="102"/>
      <c r="C735" s="102"/>
      <c r="D735" s="102"/>
      <c r="E735" s="443"/>
      <c r="F735" s="443"/>
      <c r="G735" s="453"/>
      <c r="H735" s="453"/>
      <c r="I735" s="453"/>
      <c r="J735" s="106"/>
      <c r="K735" s="106" t="str">
        <f>IF(ISBLANK(I735), "", VLOOKUP(A735&amp;" "&amp;B735, 'Info Tipo de Cambio y REM'!$A$24:$B$35, 2, FALSE))</f>
        <v/>
      </c>
      <c r="L735" s="107" t="str">
        <f t="shared" si="2"/>
        <v/>
      </c>
      <c r="M735" s="102"/>
    </row>
    <row r="736">
      <c r="A736" s="44"/>
      <c r="B736" s="102"/>
      <c r="C736" s="102"/>
      <c r="D736" s="102"/>
      <c r="E736" s="443"/>
      <c r="F736" s="443"/>
      <c r="G736" s="453"/>
      <c r="H736" s="453"/>
      <c r="I736" s="453"/>
      <c r="J736" s="106"/>
      <c r="K736" s="106" t="str">
        <f>IF(ISBLANK(I736), "", VLOOKUP(A736&amp;" "&amp;B736, 'Info Tipo de Cambio y REM'!$A$24:$B$35, 2, FALSE))</f>
        <v/>
      </c>
      <c r="L736" s="107" t="str">
        <f t="shared" si="2"/>
        <v/>
      </c>
      <c r="M736" s="102"/>
    </row>
    <row r="737">
      <c r="A737" s="44"/>
      <c r="B737" s="102"/>
      <c r="C737" s="102"/>
      <c r="D737" s="102"/>
      <c r="E737" s="443"/>
      <c r="F737" s="443"/>
      <c r="G737" s="453"/>
      <c r="H737" s="453"/>
      <c r="I737" s="453"/>
      <c r="J737" s="106"/>
      <c r="K737" s="106" t="str">
        <f>IF(ISBLANK(I737), "", VLOOKUP(A737&amp;" "&amp;B737, 'Info Tipo de Cambio y REM'!$A$24:$B$35, 2, FALSE))</f>
        <v/>
      </c>
      <c r="L737" s="107" t="str">
        <f t="shared" si="2"/>
        <v/>
      </c>
      <c r="M737" s="102"/>
    </row>
    <row r="738">
      <c r="A738" s="44"/>
      <c r="B738" s="102"/>
      <c r="C738" s="102"/>
      <c r="D738" s="102"/>
      <c r="E738" s="443"/>
      <c r="F738" s="443"/>
      <c r="G738" s="453"/>
      <c r="H738" s="453"/>
      <c r="I738" s="453"/>
      <c r="J738" s="106"/>
      <c r="K738" s="106" t="str">
        <f>IF(ISBLANK(I738), "", VLOOKUP(A738&amp;" "&amp;B738, 'Info Tipo de Cambio y REM'!$A$24:$B$35, 2, FALSE))</f>
        <v/>
      </c>
      <c r="L738" s="107" t="str">
        <f t="shared" si="2"/>
        <v/>
      </c>
      <c r="M738" s="102"/>
    </row>
    <row r="739">
      <c r="A739" s="44"/>
      <c r="B739" s="102"/>
      <c r="C739" s="102"/>
      <c r="D739" s="102"/>
      <c r="E739" s="443"/>
      <c r="F739" s="443"/>
      <c r="G739" s="453"/>
      <c r="H739" s="453"/>
      <c r="I739" s="453"/>
      <c r="J739" s="106"/>
      <c r="K739" s="106" t="str">
        <f>IF(ISBLANK(I739), "", VLOOKUP(A739&amp;" "&amp;B739, 'Info Tipo de Cambio y REM'!$A$24:$B$35, 2, FALSE))</f>
        <v/>
      </c>
      <c r="L739" s="107" t="str">
        <f t="shared" si="2"/>
        <v/>
      </c>
      <c r="M739" s="102"/>
    </row>
    <row r="740">
      <c r="A740" s="44"/>
      <c r="B740" s="102"/>
      <c r="C740" s="102"/>
      <c r="D740" s="102"/>
      <c r="E740" s="443"/>
      <c r="F740" s="443"/>
      <c r="G740" s="453"/>
      <c r="H740" s="453"/>
      <c r="I740" s="453"/>
      <c r="J740" s="106"/>
      <c r="K740" s="106" t="str">
        <f>IF(ISBLANK(I740), "", VLOOKUP(A740&amp;" "&amp;B740, 'Info Tipo de Cambio y REM'!$A$24:$B$35, 2, FALSE))</f>
        <v/>
      </c>
      <c r="L740" s="107" t="str">
        <f t="shared" si="2"/>
        <v/>
      </c>
      <c r="M740" s="102"/>
    </row>
    <row r="741">
      <c r="A741" s="44"/>
      <c r="B741" s="102"/>
      <c r="C741" s="102"/>
      <c r="D741" s="102"/>
      <c r="E741" s="443"/>
      <c r="F741" s="443"/>
      <c r="G741" s="453"/>
      <c r="H741" s="453"/>
      <c r="I741" s="453"/>
      <c r="J741" s="106"/>
      <c r="K741" s="106" t="str">
        <f>IF(ISBLANK(I741), "", VLOOKUP(A741&amp;" "&amp;B741, 'Info Tipo de Cambio y REM'!$A$24:$B$35, 2, FALSE))</f>
        <v/>
      </c>
      <c r="L741" s="107" t="str">
        <f t="shared" si="2"/>
        <v/>
      </c>
      <c r="M741" s="102"/>
    </row>
    <row r="742">
      <c r="A742" s="44"/>
      <c r="B742" s="102"/>
      <c r="C742" s="102"/>
      <c r="D742" s="102"/>
      <c r="E742" s="443"/>
      <c r="F742" s="443"/>
      <c r="G742" s="453"/>
      <c r="H742" s="453"/>
      <c r="I742" s="453"/>
      <c r="J742" s="106"/>
      <c r="K742" s="106" t="str">
        <f>IF(ISBLANK(I742), "", VLOOKUP(A742&amp;" "&amp;B742, 'Info Tipo de Cambio y REM'!$A$24:$B$35, 2, FALSE))</f>
        <v/>
      </c>
      <c r="L742" s="107" t="str">
        <f t="shared" si="2"/>
        <v/>
      </c>
      <c r="M742" s="102"/>
    </row>
    <row r="743">
      <c r="A743" s="44"/>
      <c r="B743" s="102"/>
      <c r="C743" s="102"/>
      <c r="D743" s="102"/>
      <c r="E743" s="443"/>
      <c r="F743" s="443"/>
      <c r="G743" s="453"/>
      <c r="H743" s="453"/>
      <c r="I743" s="453"/>
      <c r="J743" s="106"/>
      <c r="K743" s="106" t="str">
        <f>IF(ISBLANK(I743), "", VLOOKUP(A743&amp;" "&amp;B743, 'Info Tipo de Cambio y REM'!$A$24:$B$35, 2, FALSE))</f>
        <v/>
      </c>
      <c r="L743" s="107" t="str">
        <f t="shared" si="2"/>
        <v/>
      </c>
      <c r="M743" s="102"/>
    </row>
    <row r="744">
      <c r="A744" s="44"/>
      <c r="B744" s="102"/>
      <c r="C744" s="102"/>
      <c r="D744" s="102"/>
      <c r="E744" s="443"/>
      <c r="F744" s="443"/>
      <c r="G744" s="453"/>
      <c r="H744" s="453"/>
      <c r="I744" s="453"/>
      <c r="J744" s="106"/>
      <c r="K744" s="106" t="str">
        <f>IF(ISBLANK(I744), "", VLOOKUP(A744&amp;" "&amp;B744, 'Info Tipo de Cambio y REM'!$A$24:$B$35, 2, FALSE))</f>
        <v/>
      </c>
      <c r="L744" s="107" t="str">
        <f t="shared" si="2"/>
        <v/>
      </c>
      <c r="M744" s="102"/>
    </row>
    <row r="745">
      <c r="A745" s="44"/>
      <c r="B745" s="102"/>
      <c r="C745" s="102"/>
      <c r="D745" s="102"/>
      <c r="E745" s="443"/>
      <c r="F745" s="443"/>
      <c r="G745" s="453"/>
      <c r="H745" s="453"/>
      <c r="I745" s="453"/>
      <c r="J745" s="106"/>
      <c r="K745" s="106" t="str">
        <f>IF(ISBLANK(I745), "", VLOOKUP(A745&amp;" "&amp;B745, 'Info Tipo de Cambio y REM'!$A$24:$B$35, 2, FALSE))</f>
        <v/>
      </c>
      <c r="L745" s="107" t="str">
        <f t="shared" si="2"/>
        <v/>
      </c>
      <c r="M745" s="102"/>
    </row>
    <row r="746">
      <c r="A746" s="44"/>
      <c r="B746" s="102"/>
      <c r="C746" s="102"/>
      <c r="D746" s="102"/>
      <c r="E746" s="443"/>
      <c r="F746" s="443"/>
      <c r="G746" s="453"/>
      <c r="H746" s="453"/>
      <c r="I746" s="453"/>
      <c r="J746" s="106"/>
      <c r="K746" s="106" t="str">
        <f>IF(ISBLANK(I746), "", VLOOKUP(A746&amp;" "&amp;B746, 'Info Tipo de Cambio y REM'!$A$24:$B$35, 2, FALSE))</f>
        <v/>
      </c>
      <c r="L746" s="107" t="str">
        <f t="shared" si="2"/>
        <v/>
      </c>
      <c r="M746" s="102"/>
    </row>
    <row r="747">
      <c r="A747" s="44"/>
      <c r="B747" s="102"/>
      <c r="C747" s="102"/>
      <c r="D747" s="102"/>
      <c r="E747" s="443"/>
      <c r="F747" s="443"/>
      <c r="G747" s="453"/>
      <c r="H747" s="453"/>
      <c r="I747" s="453"/>
      <c r="J747" s="106"/>
      <c r="K747" s="106" t="str">
        <f>IF(ISBLANK(I747), "", VLOOKUP(A747&amp;" "&amp;B747, 'Info Tipo de Cambio y REM'!$A$24:$B$35, 2, FALSE))</f>
        <v/>
      </c>
      <c r="L747" s="107" t="str">
        <f t="shared" si="2"/>
        <v/>
      </c>
      <c r="M747" s="102"/>
    </row>
    <row r="748">
      <c r="A748" s="44"/>
      <c r="B748" s="102"/>
      <c r="C748" s="102"/>
      <c r="D748" s="102"/>
      <c r="E748" s="443"/>
      <c r="F748" s="443"/>
      <c r="G748" s="453"/>
      <c r="H748" s="453"/>
      <c r="I748" s="453"/>
      <c r="J748" s="106"/>
      <c r="K748" s="106" t="str">
        <f>IF(ISBLANK(I748), "", VLOOKUP(A748&amp;" "&amp;B748, 'Info Tipo de Cambio y REM'!$A$24:$B$35, 2, FALSE))</f>
        <v/>
      </c>
      <c r="L748" s="107" t="str">
        <f t="shared" si="2"/>
        <v/>
      </c>
      <c r="M748" s="102"/>
    </row>
    <row r="749">
      <c r="A749" s="44"/>
      <c r="B749" s="102"/>
      <c r="C749" s="102"/>
      <c r="D749" s="102"/>
      <c r="E749" s="443"/>
      <c r="F749" s="443"/>
      <c r="G749" s="453"/>
      <c r="H749" s="453"/>
      <c r="I749" s="453"/>
      <c r="J749" s="106"/>
      <c r="K749" s="106" t="str">
        <f>IF(ISBLANK(I749), "", VLOOKUP(A749&amp;" "&amp;B749, 'Info Tipo de Cambio y REM'!$A$24:$B$35, 2, FALSE))</f>
        <v/>
      </c>
      <c r="L749" s="107" t="str">
        <f t="shared" si="2"/>
        <v/>
      </c>
      <c r="M749" s="102"/>
    </row>
    <row r="750">
      <c r="A750" s="44"/>
      <c r="B750" s="102"/>
      <c r="C750" s="102"/>
      <c r="D750" s="102"/>
      <c r="E750" s="443"/>
      <c r="F750" s="443"/>
      <c r="G750" s="453"/>
      <c r="H750" s="453"/>
      <c r="I750" s="453"/>
      <c r="J750" s="106"/>
      <c r="K750" s="106" t="str">
        <f>IF(ISBLANK(I750), "", VLOOKUP(A750&amp;" "&amp;B750, 'Info Tipo de Cambio y REM'!$A$24:$B$35, 2, FALSE))</f>
        <v/>
      </c>
      <c r="L750" s="107" t="str">
        <f t="shared" si="2"/>
        <v/>
      </c>
      <c r="M750" s="102"/>
    </row>
    <row r="751">
      <c r="A751" s="44"/>
      <c r="B751" s="102"/>
      <c r="C751" s="102"/>
      <c r="D751" s="102"/>
      <c r="E751" s="443"/>
      <c r="F751" s="443"/>
      <c r="G751" s="453"/>
      <c r="H751" s="453"/>
      <c r="I751" s="453"/>
      <c r="J751" s="106"/>
      <c r="K751" s="106" t="str">
        <f>IF(ISBLANK(I751), "", VLOOKUP(A751&amp;" "&amp;B751, 'Info Tipo de Cambio y REM'!$A$24:$B$35, 2, FALSE))</f>
        <v/>
      </c>
      <c r="L751" s="107" t="str">
        <f t="shared" si="2"/>
        <v/>
      </c>
      <c r="M751" s="102"/>
    </row>
    <row r="752">
      <c r="A752" s="44"/>
      <c r="B752" s="102"/>
      <c r="C752" s="102"/>
      <c r="D752" s="102"/>
      <c r="E752" s="443"/>
      <c r="F752" s="443"/>
      <c r="G752" s="453"/>
      <c r="H752" s="453"/>
      <c r="I752" s="453"/>
      <c r="J752" s="106"/>
      <c r="K752" s="106" t="str">
        <f>IF(ISBLANK(I752), "", VLOOKUP(A752&amp;" "&amp;B752, 'Info Tipo de Cambio y REM'!$A$24:$B$35, 2, FALSE))</f>
        <v/>
      </c>
      <c r="L752" s="107" t="str">
        <f t="shared" si="2"/>
        <v/>
      </c>
      <c r="M752" s="102"/>
    </row>
    <row r="753">
      <c r="A753" s="44"/>
      <c r="B753" s="102"/>
      <c r="C753" s="102"/>
      <c r="D753" s="102"/>
      <c r="E753" s="443"/>
      <c r="F753" s="443"/>
      <c r="G753" s="453"/>
      <c r="H753" s="453"/>
      <c r="I753" s="453"/>
      <c r="J753" s="106"/>
      <c r="K753" s="106" t="str">
        <f>IF(ISBLANK(I753), "", VLOOKUP(A753&amp;" "&amp;B753, 'Info Tipo de Cambio y REM'!$A$24:$B$35, 2, FALSE))</f>
        <v/>
      </c>
      <c r="L753" s="107" t="str">
        <f t="shared" si="2"/>
        <v/>
      </c>
      <c r="M753" s="102"/>
    </row>
    <row r="754">
      <c r="A754" s="44"/>
      <c r="B754" s="102"/>
      <c r="C754" s="102"/>
      <c r="D754" s="102"/>
      <c r="E754" s="443"/>
      <c r="F754" s="443"/>
      <c r="G754" s="453"/>
      <c r="H754" s="453"/>
      <c r="I754" s="453"/>
      <c r="J754" s="106"/>
      <c r="K754" s="106" t="str">
        <f>IF(ISBLANK(I754), "", VLOOKUP(A754&amp;" "&amp;B754, 'Info Tipo de Cambio y REM'!$A$24:$B$35, 2, FALSE))</f>
        <v/>
      </c>
      <c r="L754" s="107" t="str">
        <f t="shared" si="2"/>
        <v/>
      </c>
      <c r="M754" s="102"/>
    </row>
    <row r="755">
      <c r="A755" s="44"/>
      <c r="B755" s="102"/>
      <c r="C755" s="102"/>
      <c r="D755" s="102"/>
      <c r="E755" s="443"/>
      <c r="F755" s="443"/>
      <c r="G755" s="453"/>
      <c r="H755" s="453"/>
      <c r="I755" s="453"/>
      <c r="J755" s="106"/>
      <c r="K755" s="106" t="str">
        <f>IF(ISBLANK(I755), "", VLOOKUP(A755&amp;" "&amp;B755, 'Info Tipo de Cambio y REM'!$A$24:$B$35, 2, FALSE))</f>
        <v/>
      </c>
      <c r="L755" s="107" t="str">
        <f t="shared" si="2"/>
        <v/>
      </c>
      <c r="M755" s="102"/>
    </row>
    <row r="756">
      <c r="A756" s="44"/>
      <c r="B756" s="102"/>
      <c r="C756" s="102"/>
      <c r="D756" s="102"/>
      <c r="E756" s="443"/>
      <c r="F756" s="443"/>
      <c r="G756" s="453"/>
      <c r="H756" s="453"/>
      <c r="I756" s="453"/>
      <c r="J756" s="106"/>
      <c r="K756" s="106" t="str">
        <f>IF(ISBLANK(I756), "", VLOOKUP(A756&amp;" "&amp;B756, 'Info Tipo de Cambio y REM'!$A$24:$B$35, 2, FALSE))</f>
        <v/>
      </c>
      <c r="L756" s="107" t="str">
        <f t="shared" si="2"/>
        <v/>
      </c>
      <c r="M756" s="102"/>
    </row>
    <row r="757">
      <c r="A757" s="44"/>
      <c r="B757" s="102"/>
      <c r="C757" s="102"/>
      <c r="D757" s="102"/>
      <c r="E757" s="443"/>
      <c r="F757" s="443"/>
      <c r="G757" s="453"/>
      <c r="H757" s="453"/>
      <c r="I757" s="453"/>
      <c r="J757" s="106"/>
      <c r="K757" s="106" t="str">
        <f>IF(ISBLANK(I757), "", VLOOKUP(A757&amp;" "&amp;B757, 'Info Tipo de Cambio y REM'!$A$24:$B$35, 2, FALSE))</f>
        <v/>
      </c>
      <c r="L757" s="107" t="str">
        <f t="shared" si="2"/>
        <v/>
      </c>
      <c r="M757" s="102"/>
    </row>
    <row r="758">
      <c r="A758" s="44"/>
      <c r="B758" s="102"/>
      <c r="C758" s="102"/>
      <c r="D758" s="102"/>
      <c r="E758" s="443"/>
      <c r="F758" s="443"/>
      <c r="G758" s="453"/>
      <c r="H758" s="453"/>
      <c r="I758" s="453"/>
      <c r="J758" s="106"/>
      <c r="K758" s="106" t="str">
        <f>IF(ISBLANK(I758), "", VLOOKUP(A758&amp;" "&amp;B758, 'Info Tipo de Cambio y REM'!$A$24:$B$35, 2, FALSE))</f>
        <v/>
      </c>
      <c r="L758" s="107" t="str">
        <f t="shared" si="2"/>
        <v/>
      </c>
      <c r="M758" s="102"/>
    </row>
    <row r="759">
      <c r="A759" s="44"/>
      <c r="B759" s="102"/>
      <c r="C759" s="102"/>
      <c r="D759" s="102"/>
      <c r="E759" s="443"/>
      <c r="F759" s="443"/>
      <c r="G759" s="453"/>
      <c r="H759" s="453"/>
      <c r="I759" s="453"/>
      <c r="J759" s="106"/>
      <c r="K759" s="106" t="str">
        <f>IF(ISBLANK(I759), "", VLOOKUP(A759&amp;" "&amp;B759, 'Info Tipo de Cambio y REM'!$A$24:$B$35, 2, FALSE))</f>
        <v/>
      </c>
      <c r="L759" s="107" t="str">
        <f t="shared" si="2"/>
        <v/>
      </c>
      <c r="M759" s="102"/>
    </row>
    <row r="760">
      <c r="A760" s="44"/>
      <c r="B760" s="102"/>
      <c r="C760" s="102"/>
      <c r="D760" s="102"/>
      <c r="E760" s="443"/>
      <c r="F760" s="443"/>
      <c r="G760" s="453"/>
      <c r="H760" s="453"/>
      <c r="I760" s="453"/>
      <c r="J760" s="106"/>
      <c r="K760" s="106" t="str">
        <f>IF(ISBLANK(I760), "", VLOOKUP(A760&amp;" "&amp;B760, 'Info Tipo de Cambio y REM'!$A$24:$B$35, 2, FALSE))</f>
        <v/>
      </c>
      <c r="L760" s="107" t="str">
        <f t="shared" si="2"/>
        <v/>
      </c>
      <c r="M760" s="102"/>
    </row>
    <row r="761">
      <c r="A761" s="44"/>
      <c r="B761" s="102"/>
      <c r="C761" s="102"/>
      <c r="D761" s="102"/>
      <c r="E761" s="443"/>
      <c r="F761" s="443"/>
      <c r="G761" s="453"/>
      <c r="H761" s="453"/>
      <c r="I761" s="453"/>
      <c r="J761" s="106"/>
      <c r="K761" s="106" t="str">
        <f>IF(ISBLANK(I761), "", VLOOKUP(A761&amp;" "&amp;B761, 'Info Tipo de Cambio y REM'!$A$24:$B$35, 2, FALSE))</f>
        <v/>
      </c>
      <c r="L761" s="107" t="str">
        <f t="shared" si="2"/>
        <v/>
      </c>
      <c r="M761" s="102"/>
    </row>
    <row r="762">
      <c r="A762" s="44"/>
      <c r="B762" s="102"/>
      <c r="C762" s="102"/>
      <c r="D762" s="102"/>
      <c r="E762" s="443"/>
      <c r="F762" s="443"/>
      <c r="G762" s="453"/>
      <c r="H762" s="453"/>
      <c r="I762" s="453"/>
      <c r="J762" s="106"/>
      <c r="K762" s="106" t="str">
        <f>IF(ISBLANK(I762), "", VLOOKUP(A762&amp;" "&amp;B762, 'Info Tipo de Cambio y REM'!$A$24:$B$35, 2, FALSE))</f>
        <v/>
      </c>
      <c r="L762" s="107" t="str">
        <f t="shared" si="2"/>
        <v/>
      </c>
      <c r="M762" s="102"/>
    </row>
    <row r="763">
      <c r="A763" s="44"/>
      <c r="B763" s="102"/>
      <c r="C763" s="102"/>
      <c r="D763" s="102"/>
      <c r="E763" s="443"/>
      <c r="F763" s="443"/>
      <c r="G763" s="453"/>
      <c r="H763" s="453"/>
      <c r="I763" s="453"/>
      <c r="J763" s="106"/>
      <c r="K763" s="106" t="str">
        <f>IF(ISBLANK(I763), "", VLOOKUP(A763&amp;" "&amp;B763, 'Info Tipo de Cambio y REM'!$A$24:$B$35, 2, FALSE))</f>
        <v/>
      </c>
      <c r="L763" s="107" t="str">
        <f t="shared" si="2"/>
        <v/>
      </c>
      <c r="M763" s="102"/>
    </row>
    <row r="764">
      <c r="A764" s="44"/>
      <c r="B764" s="102"/>
      <c r="C764" s="102"/>
      <c r="D764" s="102"/>
      <c r="E764" s="443"/>
      <c r="F764" s="443"/>
      <c r="G764" s="453"/>
      <c r="H764" s="453"/>
      <c r="I764" s="453"/>
      <c r="J764" s="106"/>
      <c r="K764" s="106" t="str">
        <f>IF(ISBLANK(I764), "", VLOOKUP(A764&amp;" "&amp;B764, 'Info Tipo de Cambio y REM'!$A$24:$B$35, 2, FALSE))</f>
        <v/>
      </c>
      <c r="L764" s="107" t="str">
        <f t="shared" si="2"/>
        <v/>
      </c>
      <c r="M764" s="102"/>
    </row>
    <row r="765">
      <c r="A765" s="44"/>
      <c r="B765" s="102"/>
      <c r="C765" s="102"/>
      <c r="D765" s="102"/>
      <c r="E765" s="443"/>
      <c r="F765" s="443"/>
      <c r="G765" s="453"/>
      <c r="H765" s="453"/>
      <c r="I765" s="453"/>
      <c r="J765" s="106"/>
      <c r="K765" s="106" t="str">
        <f>IF(ISBLANK(I765), "", VLOOKUP(A765&amp;" "&amp;B765, 'Info Tipo de Cambio y REM'!$A$24:$B$35, 2, FALSE))</f>
        <v/>
      </c>
      <c r="L765" s="107" t="str">
        <f t="shared" si="2"/>
        <v/>
      </c>
      <c r="M765" s="102"/>
    </row>
    <row r="766">
      <c r="A766" s="44"/>
      <c r="B766" s="102"/>
      <c r="C766" s="102"/>
      <c r="D766" s="102"/>
      <c r="E766" s="443"/>
      <c r="F766" s="443"/>
      <c r="G766" s="453"/>
      <c r="H766" s="453"/>
      <c r="I766" s="453"/>
      <c r="J766" s="106"/>
      <c r="K766" s="106" t="str">
        <f>IF(ISBLANK(I766), "", VLOOKUP(A766&amp;" "&amp;B766, 'Info Tipo de Cambio y REM'!$A$24:$B$35, 2, FALSE))</f>
        <v/>
      </c>
      <c r="L766" s="107" t="str">
        <f t="shared" si="2"/>
        <v/>
      </c>
      <c r="M766" s="102"/>
    </row>
    <row r="767">
      <c r="A767" s="44"/>
      <c r="B767" s="102"/>
      <c r="C767" s="102"/>
      <c r="D767" s="102"/>
      <c r="E767" s="443"/>
      <c r="F767" s="443"/>
      <c r="G767" s="453"/>
      <c r="H767" s="453"/>
      <c r="I767" s="453"/>
      <c r="J767" s="106"/>
      <c r="K767" s="106" t="str">
        <f>IF(ISBLANK(I767), "", VLOOKUP(A767&amp;" "&amp;B767, 'Info Tipo de Cambio y REM'!$A$24:$B$35, 2, FALSE))</f>
        <v/>
      </c>
      <c r="L767" s="107" t="str">
        <f t="shared" si="2"/>
        <v/>
      </c>
      <c r="M767" s="102"/>
    </row>
    <row r="768">
      <c r="A768" s="44"/>
      <c r="B768" s="102"/>
      <c r="C768" s="102"/>
      <c r="D768" s="102"/>
      <c r="E768" s="443"/>
      <c r="F768" s="443"/>
      <c r="G768" s="453"/>
      <c r="H768" s="453"/>
      <c r="I768" s="453"/>
      <c r="J768" s="106"/>
      <c r="K768" s="106" t="str">
        <f>IF(ISBLANK(I768), "", VLOOKUP(A768&amp;" "&amp;B768, 'Info Tipo de Cambio y REM'!$A$24:$B$35, 2, FALSE))</f>
        <v/>
      </c>
      <c r="L768" s="107" t="str">
        <f t="shared" si="2"/>
        <v/>
      </c>
      <c r="M768" s="102"/>
    </row>
    <row r="769">
      <c r="A769" s="44"/>
      <c r="B769" s="102"/>
      <c r="C769" s="102"/>
      <c r="D769" s="102"/>
      <c r="E769" s="443"/>
      <c r="F769" s="443"/>
      <c r="G769" s="453"/>
      <c r="H769" s="453"/>
      <c r="I769" s="453"/>
      <c r="J769" s="106"/>
      <c r="K769" s="106" t="str">
        <f>IF(ISBLANK(I769), "", VLOOKUP(A769&amp;" "&amp;B769, 'Info Tipo de Cambio y REM'!$A$24:$B$35, 2, FALSE))</f>
        <v/>
      </c>
      <c r="L769" s="107" t="str">
        <f t="shared" si="2"/>
        <v/>
      </c>
      <c r="M769" s="102"/>
    </row>
    <row r="770">
      <c r="A770" s="44"/>
      <c r="B770" s="102"/>
      <c r="C770" s="102"/>
      <c r="D770" s="102"/>
      <c r="E770" s="443"/>
      <c r="F770" s="443"/>
      <c r="G770" s="453"/>
      <c r="H770" s="453"/>
      <c r="I770" s="453"/>
      <c r="J770" s="106"/>
      <c r="K770" s="106" t="str">
        <f>IF(ISBLANK(I770), "", VLOOKUP(A770&amp;" "&amp;B770, 'Info Tipo de Cambio y REM'!$A$24:$B$35, 2, FALSE))</f>
        <v/>
      </c>
      <c r="L770" s="107" t="str">
        <f t="shared" si="2"/>
        <v/>
      </c>
      <c r="M770" s="102"/>
    </row>
    <row r="771">
      <c r="A771" s="44"/>
      <c r="B771" s="102"/>
      <c r="C771" s="102"/>
      <c r="D771" s="102"/>
      <c r="E771" s="443"/>
      <c r="F771" s="443"/>
      <c r="G771" s="453"/>
      <c r="H771" s="453"/>
      <c r="I771" s="453"/>
      <c r="J771" s="106"/>
      <c r="K771" s="106" t="str">
        <f>IF(ISBLANK(I771), "", VLOOKUP(A771&amp;" "&amp;B771, 'Info Tipo de Cambio y REM'!$A$24:$B$35, 2, FALSE))</f>
        <v/>
      </c>
      <c r="L771" s="107" t="str">
        <f t="shared" si="2"/>
        <v/>
      </c>
      <c r="M771" s="102"/>
    </row>
    <row r="772">
      <c r="A772" s="44"/>
      <c r="B772" s="102"/>
      <c r="C772" s="102"/>
      <c r="D772" s="102"/>
      <c r="E772" s="443"/>
      <c r="F772" s="443"/>
      <c r="G772" s="453"/>
      <c r="H772" s="453"/>
      <c r="I772" s="453"/>
      <c r="J772" s="106"/>
      <c r="K772" s="106" t="str">
        <f>IF(ISBLANK(I772), "", VLOOKUP(A772&amp;" "&amp;B772, 'Info Tipo de Cambio y REM'!$A$24:$B$35, 2, FALSE))</f>
        <v/>
      </c>
      <c r="L772" s="107" t="str">
        <f t="shared" si="2"/>
        <v/>
      </c>
      <c r="M772" s="102"/>
    </row>
    <row r="773">
      <c r="A773" s="44"/>
      <c r="B773" s="102"/>
      <c r="C773" s="102"/>
      <c r="D773" s="102"/>
      <c r="E773" s="443"/>
      <c r="F773" s="443"/>
      <c r="G773" s="453"/>
      <c r="H773" s="453"/>
      <c r="I773" s="453"/>
      <c r="J773" s="106"/>
      <c r="K773" s="106" t="str">
        <f>IF(ISBLANK(I773), "", VLOOKUP(A773&amp;" "&amp;B773, 'Info Tipo de Cambio y REM'!$A$24:$B$35, 2, FALSE))</f>
        <v/>
      </c>
      <c r="L773" s="107" t="str">
        <f t="shared" si="2"/>
        <v/>
      </c>
      <c r="M773" s="102"/>
    </row>
    <row r="774">
      <c r="A774" s="44"/>
      <c r="B774" s="102"/>
      <c r="C774" s="102"/>
      <c r="D774" s="102"/>
      <c r="E774" s="443"/>
      <c r="F774" s="443"/>
      <c r="G774" s="453"/>
      <c r="H774" s="453"/>
      <c r="I774" s="453"/>
      <c r="J774" s="106"/>
      <c r="K774" s="106" t="str">
        <f>IF(ISBLANK(I774), "", VLOOKUP(A774&amp;" "&amp;B774, 'Info Tipo de Cambio y REM'!$A$24:$B$35, 2, FALSE))</f>
        <v/>
      </c>
      <c r="L774" s="107" t="str">
        <f t="shared" si="2"/>
        <v/>
      </c>
      <c r="M774" s="102"/>
    </row>
    <row r="775">
      <c r="A775" s="44"/>
      <c r="B775" s="102"/>
      <c r="C775" s="102"/>
      <c r="D775" s="102"/>
      <c r="E775" s="443"/>
      <c r="F775" s="443"/>
      <c r="G775" s="453"/>
      <c r="H775" s="453"/>
      <c r="I775" s="453"/>
      <c r="J775" s="106"/>
      <c r="K775" s="106" t="str">
        <f>IF(ISBLANK(I775), "", VLOOKUP(A775&amp;" "&amp;B775, 'Info Tipo de Cambio y REM'!$A$24:$B$35, 2, FALSE))</f>
        <v/>
      </c>
      <c r="L775" s="107" t="str">
        <f t="shared" si="2"/>
        <v/>
      </c>
      <c r="M775" s="102"/>
    </row>
    <row r="776">
      <c r="A776" s="44"/>
      <c r="B776" s="102"/>
      <c r="C776" s="102"/>
      <c r="D776" s="102"/>
      <c r="E776" s="443"/>
      <c r="F776" s="443"/>
      <c r="G776" s="453"/>
      <c r="H776" s="453"/>
      <c r="I776" s="453"/>
      <c r="J776" s="106"/>
      <c r="K776" s="106" t="str">
        <f>IF(ISBLANK(I776), "", VLOOKUP(A776&amp;" "&amp;B776, 'Info Tipo de Cambio y REM'!$A$24:$B$35, 2, FALSE))</f>
        <v/>
      </c>
      <c r="L776" s="107" t="str">
        <f t="shared" si="2"/>
        <v/>
      </c>
      <c r="M776" s="102"/>
    </row>
    <row r="777">
      <c r="A777" s="44"/>
      <c r="B777" s="102"/>
      <c r="C777" s="102"/>
      <c r="D777" s="102"/>
      <c r="E777" s="443"/>
      <c r="F777" s="443"/>
      <c r="G777" s="453"/>
      <c r="H777" s="453"/>
      <c r="I777" s="453"/>
      <c r="J777" s="106"/>
      <c r="K777" s="106" t="str">
        <f>IF(ISBLANK(I777), "", VLOOKUP(A777&amp;" "&amp;B777, 'Info Tipo de Cambio y REM'!$A$24:$B$35, 2, FALSE))</f>
        <v/>
      </c>
      <c r="L777" s="107" t="str">
        <f t="shared" si="2"/>
        <v/>
      </c>
      <c r="M777" s="102"/>
    </row>
    <row r="778">
      <c r="A778" s="44"/>
      <c r="B778" s="102"/>
      <c r="C778" s="102"/>
      <c r="D778" s="102"/>
      <c r="E778" s="443"/>
      <c r="F778" s="443"/>
      <c r="G778" s="453"/>
      <c r="H778" s="453"/>
      <c r="I778" s="453"/>
      <c r="J778" s="106"/>
      <c r="K778" s="106" t="str">
        <f>IF(ISBLANK(I778), "", VLOOKUP(A778&amp;" "&amp;B778, 'Info Tipo de Cambio y REM'!$A$24:$B$35, 2, FALSE))</f>
        <v/>
      </c>
      <c r="L778" s="107" t="str">
        <f t="shared" si="2"/>
        <v/>
      </c>
      <c r="M778" s="102"/>
    </row>
    <row r="779">
      <c r="A779" s="44"/>
      <c r="B779" s="102"/>
      <c r="C779" s="102"/>
      <c r="D779" s="102"/>
      <c r="E779" s="443"/>
      <c r="F779" s="443"/>
      <c r="G779" s="453"/>
      <c r="H779" s="453"/>
      <c r="I779" s="453"/>
      <c r="J779" s="106"/>
      <c r="K779" s="106" t="str">
        <f>IF(ISBLANK(I779), "", VLOOKUP(A779&amp;" "&amp;B779, 'Info Tipo de Cambio y REM'!$A$24:$B$35, 2, FALSE))</f>
        <v/>
      </c>
      <c r="L779" s="107" t="str">
        <f t="shared" si="2"/>
        <v/>
      </c>
      <c r="M779" s="102"/>
    </row>
    <row r="780">
      <c r="A780" s="44"/>
      <c r="B780" s="102"/>
      <c r="C780" s="102"/>
      <c r="D780" s="102"/>
      <c r="E780" s="443"/>
      <c r="F780" s="443"/>
      <c r="G780" s="453"/>
      <c r="H780" s="453"/>
      <c r="I780" s="453"/>
      <c r="J780" s="106"/>
      <c r="K780" s="106" t="str">
        <f>IF(ISBLANK(I780), "", VLOOKUP(A780&amp;" "&amp;B780, 'Info Tipo de Cambio y REM'!$A$24:$B$35, 2, FALSE))</f>
        <v/>
      </c>
      <c r="L780" s="107" t="str">
        <f t="shared" si="2"/>
        <v/>
      </c>
      <c r="M780" s="102"/>
    </row>
    <row r="781">
      <c r="A781" s="44"/>
      <c r="B781" s="102"/>
      <c r="C781" s="102"/>
      <c r="D781" s="102"/>
      <c r="E781" s="443"/>
      <c r="F781" s="443"/>
      <c r="G781" s="453"/>
      <c r="H781" s="453"/>
      <c r="I781" s="453"/>
      <c r="J781" s="106"/>
      <c r="K781" s="106" t="str">
        <f>IF(ISBLANK(I781), "", VLOOKUP(A781&amp;" "&amp;B781, 'Info Tipo de Cambio y REM'!$A$24:$B$35, 2, FALSE))</f>
        <v/>
      </c>
      <c r="L781" s="107" t="str">
        <f t="shared" si="2"/>
        <v/>
      </c>
      <c r="M781" s="102"/>
    </row>
    <row r="782">
      <c r="A782" s="44"/>
      <c r="B782" s="102"/>
      <c r="C782" s="102"/>
      <c r="D782" s="102"/>
      <c r="E782" s="443"/>
      <c r="F782" s="443"/>
      <c r="G782" s="453"/>
      <c r="H782" s="453"/>
      <c r="I782" s="453"/>
      <c r="J782" s="106"/>
      <c r="K782" s="106" t="str">
        <f>IF(ISBLANK(I782), "", VLOOKUP(A782&amp;" "&amp;B782, 'Info Tipo de Cambio y REM'!$A$24:$B$35, 2, FALSE))</f>
        <v/>
      </c>
      <c r="L782" s="107" t="str">
        <f t="shared" si="2"/>
        <v/>
      </c>
      <c r="M782" s="102"/>
    </row>
    <row r="783">
      <c r="A783" s="44"/>
      <c r="B783" s="102"/>
      <c r="C783" s="102"/>
      <c r="D783" s="102"/>
      <c r="E783" s="443"/>
      <c r="F783" s="443"/>
      <c r="G783" s="453"/>
      <c r="H783" s="453"/>
      <c r="I783" s="453"/>
      <c r="J783" s="106"/>
      <c r="K783" s="106" t="str">
        <f>IF(ISBLANK(I783), "", VLOOKUP(A783&amp;" "&amp;B783, 'Info Tipo de Cambio y REM'!$A$24:$B$35, 2, FALSE))</f>
        <v/>
      </c>
      <c r="L783" s="107" t="str">
        <f t="shared" si="2"/>
        <v/>
      </c>
      <c r="M783" s="102"/>
    </row>
    <row r="784">
      <c r="A784" s="44"/>
      <c r="B784" s="102"/>
      <c r="C784" s="102"/>
      <c r="D784" s="102"/>
      <c r="E784" s="443"/>
      <c r="F784" s="443"/>
      <c r="G784" s="453"/>
      <c r="H784" s="453"/>
      <c r="I784" s="453"/>
      <c r="J784" s="106"/>
      <c r="K784" s="106" t="str">
        <f>IF(ISBLANK(I784), "", VLOOKUP(A784&amp;" "&amp;B784, 'Info Tipo de Cambio y REM'!$A$24:$B$35, 2, FALSE))</f>
        <v/>
      </c>
      <c r="L784" s="107" t="str">
        <f t="shared" si="2"/>
        <v/>
      </c>
      <c r="M784" s="102"/>
    </row>
    <row r="785">
      <c r="A785" s="44"/>
      <c r="B785" s="102"/>
      <c r="C785" s="102"/>
      <c r="D785" s="102"/>
      <c r="E785" s="443"/>
      <c r="F785" s="443"/>
      <c r="G785" s="453"/>
      <c r="H785" s="453"/>
      <c r="I785" s="453"/>
      <c r="J785" s="106"/>
      <c r="K785" s="106" t="str">
        <f>IF(ISBLANK(I785), "", VLOOKUP(A785&amp;" "&amp;B785, 'Info Tipo de Cambio y REM'!$A$24:$B$35, 2, FALSE))</f>
        <v/>
      </c>
      <c r="L785" s="107" t="str">
        <f t="shared" si="2"/>
        <v/>
      </c>
      <c r="M785" s="102"/>
    </row>
    <row r="786">
      <c r="A786" s="44"/>
      <c r="B786" s="102"/>
      <c r="C786" s="102"/>
      <c r="D786" s="102"/>
      <c r="E786" s="443"/>
      <c r="F786" s="443"/>
      <c r="G786" s="453"/>
      <c r="H786" s="453"/>
      <c r="I786" s="453"/>
      <c r="J786" s="106"/>
      <c r="K786" s="106" t="str">
        <f>IF(ISBLANK(I786), "", VLOOKUP(A786&amp;" "&amp;B786, 'Info Tipo de Cambio y REM'!$A$24:$B$35, 2, FALSE))</f>
        <v/>
      </c>
      <c r="L786" s="107" t="str">
        <f t="shared" si="2"/>
        <v/>
      </c>
      <c r="M786" s="102"/>
    </row>
    <row r="787">
      <c r="A787" s="44"/>
      <c r="B787" s="102"/>
      <c r="C787" s="102"/>
      <c r="D787" s="102"/>
      <c r="E787" s="443"/>
      <c r="F787" s="443"/>
      <c r="G787" s="453"/>
      <c r="H787" s="453"/>
      <c r="I787" s="453"/>
      <c r="J787" s="106"/>
      <c r="K787" s="106" t="str">
        <f>IF(ISBLANK(I787), "", VLOOKUP(A787&amp;" "&amp;B787, 'Info Tipo de Cambio y REM'!$A$24:$B$35, 2, FALSE))</f>
        <v/>
      </c>
      <c r="L787" s="107" t="str">
        <f t="shared" si="2"/>
        <v/>
      </c>
      <c r="M787" s="102"/>
    </row>
    <row r="788">
      <c r="A788" s="44"/>
      <c r="B788" s="102"/>
      <c r="C788" s="102"/>
      <c r="D788" s="102"/>
      <c r="E788" s="443"/>
      <c r="F788" s="443"/>
      <c r="G788" s="453"/>
      <c r="H788" s="453"/>
      <c r="I788" s="453"/>
      <c r="J788" s="106"/>
      <c r="K788" s="106" t="str">
        <f>IF(ISBLANK(I788), "", VLOOKUP(A788&amp;" "&amp;B788, 'Info Tipo de Cambio y REM'!$A$24:$B$35, 2, FALSE))</f>
        <v/>
      </c>
      <c r="L788" s="107" t="str">
        <f t="shared" si="2"/>
        <v/>
      </c>
      <c r="M788" s="102"/>
    </row>
    <row r="789">
      <c r="A789" s="44"/>
      <c r="B789" s="102"/>
      <c r="C789" s="102"/>
      <c r="D789" s="102"/>
      <c r="E789" s="443"/>
      <c r="F789" s="443"/>
      <c r="G789" s="453"/>
      <c r="H789" s="453"/>
      <c r="I789" s="453"/>
      <c r="J789" s="106"/>
      <c r="K789" s="106" t="str">
        <f>IF(ISBLANK(I789), "", VLOOKUP(A789&amp;" "&amp;B789, 'Info Tipo de Cambio y REM'!$A$24:$B$35, 2, FALSE))</f>
        <v/>
      </c>
      <c r="L789" s="107" t="str">
        <f t="shared" si="2"/>
        <v/>
      </c>
      <c r="M789" s="102"/>
    </row>
    <row r="790">
      <c r="A790" s="44"/>
      <c r="B790" s="102"/>
      <c r="C790" s="102"/>
      <c r="D790" s="102"/>
      <c r="E790" s="443"/>
      <c r="F790" s="443"/>
      <c r="G790" s="453"/>
      <c r="H790" s="453"/>
      <c r="I790" s="453"/>
      <c r="J790" s="106"/>
      <c r="K790" s="106" t="str">
        <f>IF(ISBLANK(I790), "", VLOOKUP(A790&amp;" "&amp;B790, 'Info Tipo de Cambio y REM'!$A$24:$B$35, 2, FALSE))</f>
        <v/>
      </c>
      <c r="L790" s="107" t="str">
        <f t="shared" si="2"/>
        <v/>
      </c>
      <c r="M790" s="102"/>
    </row>
    <row r="791">
      <c r="A791" s="44"/>
      <c r="B791" s="102"/>
      <c r="C791" s="102"/>
      <c r="D791" s="102"/>
      <c r="E791" s="443"/>
      <c r="F791" s="443"/>
      <c r="G791" s="453"/>
      <c r="H791" s="453"/>
      <c r="I791" s="453"/>
      <c r="J791" s="106"/>
      <c r="K791" s="106" t="str">
        <f>IF(ISBLANK(I791), "", VLOOKUP(A791&amp;" "&amp;B791, 'Info Tipo de Cambio y REM'!$A$24:$B$35, 2, FALSE))</f>
        <v/>
      </c>
      <c r="L791" s="107" t="str">
        <f t="shared" si="2"/>
        <v/>
      </c>
      <c r="M791" s="102"/>
    </row>
    <row r="792">
      <c r="A792" s="44"/>
      <c r="B792" s="102"/>
      <c r="C792" s="102"/>
      <c r="D792" s="102"/>
      <c r="E792" s="443"/>
      <c r="F792" s="443"/>
      <c r="G792" s="453"/>
      <c r="H792" s="453"/>
      <c r="I792" s="453"/>
      <c r="J792" s="106"/>
      <c r="K792" s="106" t="str">
        <f>IF(ISBLANK(I792), "", VLOOKUP(A792&amp;" "&amp;B792, 'Info Tipo de Cambio y REM'!$A$24:$B$35, 2, FALSE))</f>
        <v/>
      </c>
      <c r="L792" s="107" t="str">
        <f t="shared" si="2"/>
        <v/>
      </c>
      <c r="M792" s="102"/>
    </row>
    <row r="793">
      <c r="A793" s="44"/>
      <c r="B793" s="102"/>
      <c r="C793" s="102"/>
      <c r="D793" s="102"/>
      <c r="E793" s="443"/>
      <c r="F793" s="443"/>
      <c r="G793" s="453"/>
      <c r="H793" s="453"/>
      <c r="I793" s="453"/>
      <c r="J793" s="106"/>
      <c r="K793" s="106" t="str">
        <f>IF(ISBLANK(I793), "", VLOOKUP(A793&amp;" "&amp;B793, 'Info Tipo de Cambio y REM'!$A$24:$B$35, 2, FALSE))</f>
        <v/>
      </c>
      <c r="L793" s="107" t="str">
        <f t="shared" si="2"/>
        <v/>
      </c>
      <c r="M793" s="102"/>
    </row>
    <row r="794">
      <c r="A794" s="44"/>
      <c r="B794" s="102"/>
      <c r="C794" s="102"/>
      <c r="D794" s="102"/>
      <c r="E794" s="443"/>
      <c r="F794" s="443"/>
      <c r="G794" s="453"/>
      <c r="H794" s="453"/>
      <c r="I794" s="453"/>
      <c r="J794" s="106"/>
      <c r="K794" s="106" t="str">
        <f>IF(ISBLANK(I794), "", VLOOKUP(A794&amp;" "&amp;B794, 'Info Tipo de Cambio y REM'!$A$24:$B$35, 2, FALSE))</f>
        <v/>
      </c>
      <c r="L794" s="107" t="str">
        <f t="shared" si="2"/>
        <v/>
      </c>
      <c r="M794" s="102"/>
    </row>
    <row r="795">
      <c r="A795" s="44"/>
      <c r="B795" s="102"/>
      <c r="C795" s="102"/>
      <c r="D795" s="102"/>
      <c r="E795" s="443"/>
      <c r="F795" s="443"/>
      <c r="G795" s="453"/>
      <c r="H795" s="453"/>
      <c r="I795" s="453"/>
      <c r="J795" s="106"/>
      <c r="K795" s="106" t="str">
        <f>IF(ISBLANK(I795), "", VLOOKUP(A795&amp;" "&amp;B795, 'Info Tipo de Cambio y REM'!$A$24:$B$35, 2, FALSE))</f>
        <v/>
      </c>
      <c r="L795" s="107" t="str">
        <f t="shared" si="2"/>
        <v/>
      </c>
      <c r="M795" s="102"/>
    </row>
    <row r="796">
      <c r="A796" s="44"/>
      <c r="B796" s="102"/>
      <c r="C796" s="102"/>
      <c r="D796" s="102"/>
      <c r="E796" s="443"/>
      <c r="F796" s="443"/>
      <c r="G796" s="453"/>
      <c r="H796" s="453"/>
      <c r="I796" s="453"/>
      <c r="J796" s="106"/>
      <c r="K796" s="106" t="str">
        <f>IF(ISBLANK(I796), "", VLOOKUP(A796&amp;" "&amp;B796, 'Info Tipo de Cambio y REM'!$A$24:$B$35, 2, FALSE))</f>
        <v/>
      </c>
      <c r="L796" s="107" t="str">
        <f t="shared" si="2"/>
        <v/>
      </c>
      <c r="M796" s="102"/>
    </row>
    <row r="797">
      <c r="A797" s="44"/>
      <c r="B797" s="102"/>
      <c r="C797" s="102"/>
      <c r="D797" s="102"/>
      <c r="E797" s="443"/>
      <c r="F797" s="443"/>
      <c r="G797" s="453"/>
      <c r="H797" s="453"/>
      <c r="I797" s="453"/>
      <c r="J797" s="106"/>
      <c r="K797" s="106" t="str">
        <f>IF(ISBLANK(I797), "", VLOOKUP(A797&amp;" "&amp;B797, 'Info Tipo de Cambio y REM'!$A$24:$B$35, 2, FALSE))</f>
        <v/>
      </c>
      <c r="L797" s="107" t="str">
        <f t="shared" si="2"/>
        <v/>
      </c>
      <c r="M797" s="102"/>
    </row>
    <row r="798">
      <c r="A798" s="44"/>
      <c r="B798" s="102"/>
      <c r="C798" s="102"/>
      <c r="D798" s="102"/>
      <c r="E798" s="443"/>
      <c r="F798" s="443"/>
      <c r="G798" s="453"/>
      <c r="H798" s="453"/>
      <c r="I798" s="453"/>
      <c r="J798" s="106"/>
      <c r="K798" s="106" t="str">
        <f>IF(ISBLANK(I798), "", VLOOKUP(A798&amp;" "&amp;B798, 'Info Tipo de Cambio y REM'!$A$24:$B$35, 2, FALSE))</f>
        <v/>
      </c>
      <c r="L798" s="107" t="str">
        <f t="shared" si="2"/>
        <v/>
      </c>
      <c r="M798" s="102"/>
    </row>
    <row r="799">
      <c r="A799" s="44"/>
      <c r="B799" s="102"/>
      <c r="C799" s="102"/>
      <c r="D799" s="102"/>
      <c r="E799" s="443"/>
      <c r="F799" s="443"/>
      <c r="G799" s="453"/>
      <c r="H799" s="453"/>
      <c r="I799" s="453"/>
      <c r="J799" s="106"/>
      <c r="K799" s="106" t="str">
        <f>IF(ISBLANK(I799), "", VLOOKUP(A799&amp;" "&amp;B799, 'Info Tipo de Cambio y REM'!$A$24:$B$35, 2, FALSE))</f>
        <v/>
      </c>
      <c r="L799" s="107" t="str">
        <f t="shared" si="2"/>
        <v/>
      </c>
      <c r="M799" s="102"/>
    </row>
    <row r="800">
      <c r="A800" s="44"/>
      <c r="B800" s="102"/>
      <c r="C800" s="102"/>
      <c r="D800" s="102"/>
      <c r="E800" s="443"/>
      <c r="F800" s="443"/>
      <c r="G800" s="453"/>
      <c r="H800" s="453"/>
      <c r="I800" s="453"/>
      <c r="J800" s="106"/>
      <c r="K800" s="106" t="str">
        <f>IF(ISBLANK(I800), "", VLOOKUP(A800&amp;" "&amp;B800, 'Info Tipo de Cambio y REM'!$A$24:$B$35, 2, FALSE))</f>
        <v/>
      </c>
      <c r="L800" s="107" t="str">
        <f t="shared" si="2"/>
        <v/>
      </c>
      <c r="M800" s="102"/>
    </row>
    <row r="801">
      <c r="A801" s="44"/>
      <c r="B801" s="102"/>
      <c r="C801" s="102"/>
      <c r="D801" s="102"/>
      <c r="E801" s="443"/>
      <c r="F801" s="443"/>
      <c r="G801" s="453"/>
      <c r="H801" s="453"/>
      <c r="I801" s="453"/>
      <c r="J801" s="106"/>
      <c r="K801" s="106" t="str">
        <f>IF(ISBLANK(I801), "", VLOOKUP(A801&amp;" "&amp;B801, 'Info Tipo de Cambio y REM'!$A$24:$B$35, 2, FALSE))</f>
        <v/>
      </c>
      <c r="L801" s="107" t="str">
        <f t="shared" si="2"/>
        <v/>
      </c>
      <c r="M801" s="102"/>
    </row>
    <row r="802">
      <c r="A802" s="44"/>
      <c r="B802" s="102"/>
      <c r="C802" s="102"/>
      <c r="D802" s="102"/>
      <c r="E802" s="443"/>
      <c r="F802" s="443"/>
      <c r="G802" s="453"/>
      <c r="H802" s="453"/>
      <c r="I802" s="453"/>
      <c r="J802" s="106"/>
      <c r="K802" s="106" t="str">
        <f>IF(ISBLANK(I802), "", VLOOKUP(A802&amp;" "&amp;B802, 'Info Tipo de Cambio y REM'!$A$24:$B$35, 2, FALSE))</f>
        <v/>
      </c>
      <c r="L802" s="107" t="str">
        <f t="shared" si="2"/>
        <v/>
      </c>
      <c r="M802" s="102"/>
    </row>
    <row r="803">
      <c r="A803" s="44"/>
      <c r="B803" s="102"/>
      <c r="C803" s="102"/>
      <c r="D803" s="102"/>
      <c r="E803" s="443"/>
      <c r="F803" s="443"/>
      <c r="G803" s="453"/>
      <c r="H803" s="453"/>
      <c r="I803" s="453"/>
      <c r="J803" s="106"/>
      <c r="K803" s="106" t="str">
        <f>IF(ISBLANK(I803), "", VLOOKUP(A803&amp;" "&amp;B803, 'Info Tipo de Cambio y REM'!$A$24:$B$35, 2, FALSE))</f>
        <v/>
      </c>
      <c r="L803" s="107" t="str">
        <f t="shared" si="2"/>
        <v/>
      </c>
      <c r="M803" s="102"/>
    </row>
    <row r="804">
      <c r="A804" s="44"/>
      <c r="B804" s="102"/>
      <c r="C804" s="102"/>
      <c r="D804" s="102"/>
      <c r="E804" s="443"/>
      <c r="F804" s="443"/>
      <c r="G804" s="453"/>
      <c r="H804" s="453"/>
      <c r="I804" s="453"/>
      <c r="J804" s="106"/>
      <c r="K804" s="106" t="str">
        <f>IF(ISBLANK(I804), "", VLOOKUP(A804&amp;" "&amp;B804, 'Info Tipo de Cambio y REM'!$A$24:$B$35, 2, FALSE))</f>
        <v/>
      </c>
      <c r="L804" s="107" t="str">
        <f t="shared" si="2"/>
        <v/>
      </c>
      <c r="M804" s="102"/>
    </row>
    <row r="805">
      <c r="A805" s="44"/>
      <c r="B805" s="102"/>
      <c r="C805" s="102"/>
      <c r="D805" s="102"/>
      <c r="E805" s="443"/>
      <c r="F805" s="443"/>
      <c r="G805" s="453"/>
      <c r="H805" s="453"/>
      <c r="I805" s="453"/>
      <c r="J805" s="106"/>
      <c r="K805" s="106" t="str">
        <f>IF(ISBLANK(I805), "", VLOOKUP(A805&amp;" "&amp;B805, 'Info Tipo de Cambio y REM'!$A$24:$B$35, 2, FALSE))</f>
        <v/>
      </c>
      <c r="L805" s="107" t="str">
        <f t="shared" si="2"/>
        <v/>
      </c>
      <c r="M805" s="102"/>
    </row>
    <row r="806">
      <c r="A806" s="44"/>
      <c r="B806" s="102"/>
      <c r="C806" s="102"/>
      <c r="D806" s="102"/>
      <c r="E806" s="443"/>
      <c r="F806" s="443"/>
      <c r="G806" s="453"/>
      <c r="H806" s="453"/>
      <c r="I806" s="453"/>
      <c r="J806" s="106"/>
      <c r="K806" s="106" t="str">
        <f>IF(ISBLANK(I806), "", VLOOKUP(A806&amp;" "&amp;B806, 'Info Tipo de Cambio y REM'!$A$24:$B$35, 2, FALSE))</f>
        <v/>
      </c>
      <c r="L806" s="107" t="str">
        <f t="shared" si="2"/>
        <v/>
      </c>
      <c r="M806" s="102"/>
    </row>
    <row r="807">
      <c r="A807" s="44"/>
      <c r="B807" s="102"/>
      <c r="C807" s="102"/>
      <c r="D807" s="102"/>
      <c r="E807" s="443"/>
      <c r="F807" s="443"/>
      <c r="G807" s="453"/>
      <c r="H807" s="453"/>
      <c r="I807" s="453"/>
      <c r="J807" s="106"/>
      <c r="K807" s="106" t="str">
        <f>IF(ISBLANK(I807), "", VLOOKUP(A807&amp;" "&amp;B807, 'Info Tipo de Cambio y REM'!$A$24:$B$35, 2, FALSE))</f>
        <v/>
      </c>
      <c r="L807" s="107" t="str">
        <f t="shared" si="2"/>
        <v/>
      </c>
      <c r="M807" s="102"/>
    </row>
    <row r="808">
      <c r="A808" s="44"/>
      <c r="B808" s="102"/>
      <c r="C808" s="102"/>
      <c r="D808" s="102"/>
      <c r="E808" s="443"/>
      <c r="F808" s="443"/>
      <c r="G808" s="453"/>
      <c r="H808" s="453"/>
      <c r="I808" s="453"/>
      <c r="J808" s="106"/>
      <c r="K808" s="106" t="str">
        <f>IF(ISBLANK(I808), "", VLOOKUP(A808&amp;" "&amp;B808, 'Info Tipo de Cambio y REM'!$A$24:$B$35, 2, FALSE))</f>
        <v/>
      </c>
      <c r="L808" s="107" t="str">
        <f t="shared" si="2"/>
        <v/>
      </c>
      <c r="M808" s="102"/>
    </row>
    <row r="809">
      <c r="A809" s="44"/>
      <c r="B809" s="102"/>
      <c r="C809" s="102"/>
      <c r="D809" s="102"/>
      <c r="E809" s="443"/>
      <c r="F809" s="443"/>
      <c r="G809" s="453"/>
      <c r="H809" s="453"/>
      <c r="I809" s="453"/>
      <c r="J809" s="106"/>
      <c r="K809" s="106" t="str">
        <f>IF(ISBLANK(I809), "", VLOOKUP(A809&amp;" "&amp;B809, 'Info Tipo de Cambio y REM'!$A$24:$B$35, 2, FALSE))</f>
        <v/>
      </c>
      <c r="L809" s="107" t="str">
        <f t="shared" si="2"/>
        <v/>
      </c>
      <c r="M809" s="102"/>
    </row>
    <row r="810">
      <c r="A810" s="44"/>
      <c r="B810" s="102"/>
      <c r="C810" s="102"/>
      <c r="D810" s="102"/>
      <c r="E810" s="443"/>
      <c r="F810" s="443"/>
      <c r="G810" s="453"/>
      <c r="H810" s="453"/>
      <c r="I810" s="453"/>
      <c r="J810" s="106"/>
      <c r="K810" s="106" t="str">
        <f>IF(ISBLANK(I810), "", VLOOKUP(A810&amp;" "&amp;B810, 'Info Tipo de Cambio y REM'!$A$24:$B$35, 2, FALSE))</f>
        <v/>
      </c>
      <c r="L810" s="107" t="str">
        <f t="shared" si="2"/>
        <v/>
      </c>
      <c r="M810" s="102"/>
    </row>
    <row r="811">
      <c r="A811" s="44"/>
      <c r="B811" s="102"/>
      <c r="C811" s="102"/>
      <c r="D811" s="102"/>
      <c r="E811" s="443"/>
      <c r="F811" s="443"/>
      <c r="G811" s="453"/>
      <c r="H811" s="453"/>
      <c r="I811" s="453"/>
      <c r="J811" s="106"/>
      <c r="K811" s="106" t="str">
        <f>IF(ISBLANK(I811), "", VLOOKUP(A811&amp;" "&amp;B811, 'Info Tipo de Cambio y REM'!$A$24:$B$35, 2, FALSE))</f>
        <v/>
      </c>
      <c r="L811" s="107" t="str">
        <f t="shared" si="2"/>
        <v/>
      </c>
      <c r="M811" s="102"/>
    </row>
    <row r="812">
      <c r="A812" s="44"/>
      <c r="B812" s="102"/>
      <c r="C812" s="102"/>
      <c r="D812" s="102"/>
      <c r="E812" s="443"/>
      <c r="F812" s="443"/>
      <c r="G812" s="453"/>
      <c r="H812" s="453"/>
      <c r="I812" s="453"/>
      <c r="J812" s="106"/>
      <c r="K812" s="106" t="str">
        <f>IF(ISBLANK(I812), "", VLOOKUP(A812&amp;" "&amp;B812, 'Info Tipo de Cambio y REM'!$A$24:$B$35, 2, FALSE))</f>
        <v/>
      </c>
      <c r="L812" s="107" t="str">
        <f t="shared" si="2"/>
        <v/>
      </c>
      <c r="M812" s="102"/>
    </row>
    <row r="813">
      <c r="A813" s="44"/>
      <c r="B813" s="102"/>
      <c r="C813" s="102"/>
      <c r="D813" s="102"/>
      <c r="E813" s="443"/>
      <c r="F813" s="443"/>
      <c r="G813" s="453"/>
      <c r="H813" s="453"/>
      <c r="I813" s="453"/>
      <c r="J813" s="106"/>
      <c r="K813" s="106" t="str">
        <f>IF(ISBLANK(I813), "", VLOOKUP(A813&amp;" "&amp;B813, 'Info Tipo de Cambio y REM'!$A$24:$B$35, 2, FALSE))</f>
        <v/>
      </c>
      <c r="L813" s="107" t="str">
        <f t="shared" si="2"/>
        <v/>
      </c>
      <c r="M813" s="102"/>
    </row>
    <row r="814">
      <c r="A814" s="44"/>
      <c r="B814" s="102"/>
      <c r="C814" s="102"/>
      <c r="D814" s="102"/>
      <c r="E814" s="443"/>
      <c r="F814" s="443"/>
      <c r="G814" s="453"/>
      <c r="H814" s="453"/>
      <c r="I814" s="453"/>
      <c r="J814" s="106"/>
      <c r="K814" s="106" t="str">
        <f>IF(ISBLANK(I814), "", VLOOKUP(A814&amp;" "&amp;B814, 'Info Tipo de Cambio y REM'!$A$24:$B$35, 2, FALSE))</f>
        <v/>
      </c>
      <c r="L814" s="107" t="str">
        <f t="shared" si="2"/>
        <v/>
      </c>
      <c r="M814" s="102"/>
    </row>
    <row r="815">
      <c r="A815" s="44"/>
      <c r="B815" s="102"/>
      <c r="C815" s="102"/>
      <c r="D815" s="102"/>
      <c r="E815" s="443"/>
      <c r="F815" s="443"/>
      <c r="G815" s="453"/>
      <c r="H815" s="453"/>
      <c r="I815" s="453"/>
      <c r="J815" s="106"/>
      <c r="K815" s="106" t="str">
        <f>IF(ISBLANK(I815), "", VLOOKUP(A815&amp;" "&amp;B815, 'Info Tipo de Cambio y REM'!$A$24:$B$35, 2, FALSE))</f>
        <v/>
      </c>
      <c r="L815" s="107" t="str">
        <f t="shared" si="2"/>
        <v/>
      </c>
      <c r="M815" s="102"/>
    </row>
    <row r="816">
      <c r="A816" s="44"/>
      <c r="B816" s="102"/>
      <c r="C816" s="102"/>
      <c r="D816" s="102"/>
      <c r="E816" s="443"/>
      <c r="F816" s="443"/>
      <c r="G816" s="453"/>
      <c r="H816" s="453"/>
      <c r="I816" s="453"/>
      <c r="J816" s="106"/>
      <c r="K816" s="106" t="str">
        <f>IF(ISBLANK(I816), "", VLOOKUP(A816&amp;" "&amp;B816, 'Info Tipo de Cambio y REM'!$A$24:$B$35, 2, FALSE))</f>
        <v/>
      </c>
      <c r="L816" s="107" t="str">
        <f t="shared" si="2"/>
        <v/>
      </c>
      <c r="M816" s="102"/>
    </row>
    <row r="817">
      <c r="A817" s="44"/>
      <c r="B817" s="102"/>
      <c r="C817" s="102"/>
      <c r="D817" s="102"/>
      <c r="E817" s="443"/>
      <c r="F817" s="443"/>
      <c r="G817" s="453"/>
      <c r="H817" s="453"/>
      <c r="I817" s="453"/>
      <c r="J817" s="106"/>
      <c r="K817" s="106" t="str">
        <f>IF(ISBLANK(I817), "", VLOOKUP(A817&amp;" "&amp;B817, 'Info Tipo de Cambio y REM'!$A$24:$B$35, 2, FALSE))</f>
        <v/>
      </c>
      <c r="L817" s="107" t="str">
        <f t="shared" si="2"/>
        <v/>
      </c>
      <c r="M817" s="102"/>
    </row>
    <row r="818">
      <c r="A818" s="44"/>
      <c r="B818" s="102"/>
      <c r="C818" s="102"/>
      <c r="D818" s="102"/>
      <c r="E818" s="443"/>
      <c r="F818" s="443"/>
      <c r="G818" s="453"/>
      <c r="H818" s="453"/>
      <c r="I818" s="453"/>
      <c r="J818" s="106"/>
      <c r="K818" s="106" t="str">
        <f>IF(ISBLANK(I818), "", VLOOKUP(A818&amp;" "&amp;B818, 'Info Tipo de Cambio y REM'!$A$24:$B$35, 2, FALSE))</f>
        <v/>
      </c>
      <c r="L818" s="107" t="str">
        <f t="shared" si="2"/>
        <v/>
      </c>
      <c r="M818" s="102"/>
    </row>
    <row r="819">
      <c r="A819" s="44"/>
      <c r="B819" s="102"/>
      <c r="C819" s="102"/>
      <c r="D819" s="102"/>
      <c r="E819" s="443"/>
      <c r="F819" s="443"/>
      <c r="G819" s="453"/>
      <c r="H819" s="453"/>
      <c r="I819" s="453"/>
      <c r="J819" s="106"/>
      <c r="K819" s="106" t="str">
        <f>IF(ISBLANK(I819), "", VLOOKUP(A819&amp;" "&amp;B819, 'Info Tipo de Cambio y REM'!$A$24:$B$35, 2, FALSE))</f>
        <v/>
      </c>
      <c r="L819" s="107" t="str">
        <f t="shared" si="2"/>
        <v/>
      </c>
      <c r="M819" s="102"/>
    </row>
    <row r="820">
      <c r="A820" s="44"/>
      <c r="B820" s="102"/>
      <c r="C820" s="102"/>
      <c r="D820" s="102"/>
      <c r="E820" s="443"/>
      <c r="F820" s="443"/>
      <c r="G820" s="453"/>
      <c r="H820" s="453"/>
      <c r="I820" s="453"/>
      <c r="J820" s="106"/>
      <c r="K820" s="106" t="str">
        <f>IF(ISBLANK(I820), "", VLOOKUP(A820&amp;" "&amp;B820, 'Info Tipo de Cambio y REM'!$A$24:$B$35, 2, FALSE))</f>
        <v/>
      </c>
      <c r="L820" s="107" t="str">
        <f t="shared" si="2"/>
        <v/>
      </c>
      <c r="M820" s="102"/>
    </row>
    <row r="821">
      <c r="A821" s="44"/>
      <c r="B821" s="102"/>
      <c r="C821" s="102"/>
      <c r="D821" s="102"/>
      <c r="E821" s="443"/>
      <c r="F821" s="443"/>
      <c r="G821" s="453"/>
      <c r="H821" s="453"/>
      <c r="I821" s="453"/>
      <c r="J821" s="106"/>
      <c r="K821" s="106" t="str">
        <f>IF(ISBLANK(I821), "", VLOOKUP(A821&amp;" "&amp;B821, 'Info Tipo de Cambio y REM'!$A$24:$B$35, 2, FALSE))</f>
        <v/>
      </c>
      <c r="L821" s="107" t="str">
        <f t="shared" si="2"/>
        <v/>
      </c>
      <c r="M821" s="102"/>
    </row>
    <row r="822">
      <c r="A822" s="44"/>
      <c r="B822" s="102"/>
      <c r="C822" s="102"/>
      <c r="D822" s="102"/>
      <c r="E822" s="443"/>
      <c r="F822" s="443"/>
      <c r="G822" s="453"/>
      <c r="H822" s="453"/>
      <c r="I822" s="453"/>
      <c r="J822" s="106"/>
      <c r="K822" s="106" t="str">
        <f>IF(ISBLANK(I822), "", VLOOKUP(A822&amp;" "&amp;B822, 'Info Tipo de Cambio y REM'!$A$24:$B$35, 2, FALSE))</f>
        <v/>
      </c>
      <c r="L822" s="107" t="str">
        <f t="shared" si="2"/>
        <v/>
      </c>
      <c r="M822" s="102"/>
    </row>
    <row r="823">
      <c r="A823" s="44"/>
      <c r="B823" s="102"/>
      <c r="C823" s="102"/>
      <c r="D823" s="102"/>
      <c r="E823" s="443"/>
      <c r="F823" s="443"/>
      <c r="G823" s="453"/>
      <c r="H823" s="453"/>
      <c r="I823" s="453"/>
      <c r="J823" s="106"/>
      <c r="K823" s="106" t="str">
        <f>IF(ISBLANK(I823), "", VLOOKUP(A823&amp;" "&amp;B823, 'Info Tipo de Cambio y REM'!$A$24:$B$35, 2, FALSE))</f>
        <v/>
      </c>
      <c r="L823" s="107" t="str">
        <f t="shared" si="2"/>
        <v/>
      </c>
      <c r="M823" s="102"/>
    </row>
    <row r="824">
      <c r="A824" s="44"/>
      <c r="B824" s="102"/>
      <c r="C824" s="102"/>
      <c r="D824" s="102"/>
      <c r="E824" s="443"/>
      <c r="F824" s="443"/>
      <c r="G824" s="453"/>
      <c r="H824" s="453"/>
      <c r="I824" s="453"/>
      <c r="J824" s="106"/>
      <c r="K824" s="106" t="str">
        <f>IF(ISBLANK(I824), "", VLOOKUP(A824&amp;" "&amp;B824, 'Info Tipo de Cambio y REM'!$A$24:$B$35, 2, FALSE))</f>
        <v/>
      </c>
      <c r="L824" s="107" t="str">
        <f t="shared" si="2"/>
        <v/>
      </c>
      <c r="M824" s="102"/>
    </row>
    <row r="825">
      <c r="A825" s="44"/>
      <c r="B825" s="102"/>
      <c r="C825" s="102"/>
      <c r="D825" s="102"/>
      <c r="E825" s="443"/>
      <c r="F825" s="443"/>
      <c r="G825" s="453"/>
      <c r="H825" s="453"/>
      <c r="I825" s="453"/>
      <c r="J825" s="106"/>
      <c r="K825" s="106" t="str">
        <f>IF(ISBLANK(I825), "", VLOOKUP(A825&amp;" "&amp;B825, 'Info Tipo de Cambio y REM'!$A$24:$B$35, 2, FALSE))</f>
        <v/>
      </c>
      <c r="L825" s="107" t="str">
        <f t="shared" si="2"/>
        <v/>
      </c>
      <c r="M825" s="102"/>
    </row>
    <row r="826">
      <c r="A826" s="44"/>
      <c r="B826" s="102"/>
      <c r="C826" s="102"/>
      <c r="D826" s="102"/>
      <c r="E826" s="443"/>
      <c r="F826" s="443"/>
      <c r="G826" s="453"/>
      <c r="H826" s="453"/>
      <c r="I826" s="453"/>
      <c r="J826" s="106"/>
      <c r="K826" s="106" t="str">
        <f>IF(ISBLANK(I826), "", VLOOKUP(A826&amp;" "&amp;B826, 'Info Tipo de Cambio y REM'!$A$24:$B$35, 2, FALSE))</f>
        <v/>
      </c>
      <c r="L826" s="107" t="str">
        <f t="shared" si="2"/>
        <v/>
      </c>
      <c r="M826" s="102"/>
    </row>
    <row r="827">
      <c r="A827" s="44"/>
      <c r="B827" s="102"/>
      <c r="C827" s="102"/>
      <c r="D827" s="102"/>
      <c r="E827" s="443"/>
      <c r="F827" s="443"/>
      <c r="G827" s="453"/>
      <c r="H827" s="453"/>
      <c r="I827" s="453"/>
      <c r="J827" s="106"/>
      <c r="K827" s="106" t="str">
        <f>IF(ISBLANK(I827), "", VLOOKUP(A827&amp;" "&amp;B827, 'Info Tipo de Cambio y REM'!$A$24:$B$35, 2, FALSE))</f>
        <v/>
      </c>
      <c r="L827" s="107" t="str">
        <f t="shared" si="2"/>
        <v/>
      </c>
      <c r="M827" s="102"/>
    </row>
    <row r="828">
      <c r="A828" s="44"/>
      <c r="B828" s="102"/>
      <c r="C828" s="102"/>
      <c r="D828" s="102"/>
      <c r="E828" s="443"/>
      <c r="F828" s="443"/>
      <c r="G828" s="453"/>
      <c r="H828" s="453"/>
      <c r="I828" s="453"/>
      <c r="J828" s="106"/>
      <c r="K828" s="106" t="str">
        <f>IF(ISBLANK(I828), "", VLOOKUP(A828&amp;" "&amp;B828, 'Info Tipo de Cambio y REM'!$A$24:$B$35, 2, FALSE))</f>
        <v/>
      </c>
      <c r="L828" s="107" t="str">
        <f t="shared" si="2"/>
        <v/>
      </c>
      <c r="M828" s="102"/>
    </row>
    <row r="829">
      <c r="A829" s="44"/>
      <c r="B829" s="102"/>
      <c r="C829" s="102"/>
      <c r="D829" s="102"/>
      <c r="E829" s="443"/>
      <c r="F829" s="443"/>
      <c r="G829" s="453"/>
      <c r="H829" s="453"/>
      <c r="I829" s="453"/>
      <c r="J829" s="106"/>
      <c r="K829" s="106" t="str">
        <f>IF(ISBLANK(I829), "", VLOOKUP(A829&amp;" "&amp;B829, 'Info Tipo de Cambio y REM'!$A$24:$B$35, 2, FALSE))</f>
        <v/>
      </c>
      <c r="L829" s="107" t="str">
        <f t="shared" si="2"/>
        <v/>
      </c>
      <c r="M829" s="102"/>
    </row>
    <row r="830">
      <c r="A830" s="44"/>
      <c r="B830" s="102"/>
      <c r="C830" s="102"/>
      <c r="D830" s="102"/>
      <c r="E830" s="443"/>
      <c r="F830" s="443"/>
      <c r="G830" s="453"/>
      <c r="H830" s="453"/>
      <c r="I830" s="453"/>
      <c r="J830" s="106"/>
      <c r="K830" s="106" t="str">
        <f>IF(ISBLANK(I830), "", VLOOKUP(A830&amp;" "&amp;B830, 'Info Tipo de Cambio y REM'!$A$24:$B$35, 2, FALSE))</f>
        <v/>
      </c>
      <c r="L830" s="107" t="str">
        <f t="shared" si="2"/>
        <v/>
      </c>
      <c r="M830" s="102"/>
    </row>
    <row r="831">
      <c r="A831" s="44"/>
      <c r="B831" s="102"/>
      <c r="C831" s="102"/>
      <c r="D831" s="102"/>
      <c r="E831" s="443"/>
      <c r="F831" s="443"/>
      <c r="G831" s="453"/>
      <c r="H831" s="453"/>
      <c r="I831" s="453"/>
      <c r="J831" s="106"/>
      <c r="K831" s="106" t="str">
        <f>IF(ISBLANK(I831), "", VLOOKUP(A831&amp;" "&amp;B831, 'Info Tipo de Cambio y REM'!$A$24:$B$35, 2, FALSE))</f>
        <v/>
      </c>
      <c r="L831" s="107" t="str">
        <f t="shared" si="2"/>
        <v/>
      </c>
      <c r="M831" s="102"/>
    </row>
    <row r="832">
      <c r="A832" s="44"/>
      <c r="B832" s="102"/>
      <c r="C832" s="102"/>
      <c r="D832" s="102"/>
      <c r="E832" s="443"/>
      <c r="F832" s="443"/>
      <c r="G832" s="453"/>
      <c r="H832" s="453"/>
      <c r="I832" s="453"/>
      <c r="J832" s="106"/>
      <c r="K832" s="106" t="str">
        <f>IF(ISBLANK(I832), "", VLOOKUP(A832&amp;" "&amp;B832, 'Info Tipo de Cambio y REM'!$A$24:$B$35, 2, FALSE))</f>
        <v/>
      </c>
      <c r="L832" s="107" t="str">
        <f t="shared" si="2"/>
        <v/>
      </c>
      <c r="M832" s="102"/>
    </row>
    <row r="833">
      <c r="A833" s="44"/>
      <c r="B833" s="102"/>
      <c r="C833" s="102"/>
      <c r="D833" s="102"/>
      <c r="E833" s="443"/>
      <c r="F833" s="443"/>
      <c r="G833" s="453"/>
      <c r="H833" s="453"/>
      <c r="I833" s="453"/>
      <c r="J833" s="106"/>
      <c r="K833" s="106" t="str">
        <f>IF(ISBLANK(I833), "", VLOOKUP(A833&amp;" "&amp;B833, 'Info Tipo de Cambio y REM'!$A$24:$B$35, 2, FALSE))</f>
        <v/>
      </c>
      <c r="L833" s="107" t="str">
        <f t="shared" si="2"/>
        <v/>
      </c>
      <c r="M833" s="102"/>
    </row>
    <row r="834">
      <c r="A834" s="44"/>
      <c r="B834" s="102"/>
      <c r="C834" s="102"/>
      <c r="D834" s="102"/>
      <c r="E834" s="443"/>
      <c r="F834" s="443"/>
      <c r="G834" s="453"/>
      <c r="H834" s="453"/>
      <c r="I834" s="453"/>
      <c r="J834" s="106"/>
      <c r="K834" s="106" t="str">
        <f>IF(ISBLANK(I834), "", VLOOKUP(A834&amp;" "&amp;B834, 'Info Tipo de Cambio y REM'!$A$24:$B$35, 2, FALSE))</f>
        <v/>
      </c>
      <c r="L834" s="107" t="str">
        <f t="shared" si="2"/>
        <v/>
      </c>
      <c r="M834" s="102"/>
    </row>
    <row r="835">
      <c r="A835" s="44"/>
      <c r="B835" s="102"/>
      <c r="C835" s="102"/>
      <c r="D835" s="102"/>
      <c r="E835" s="443"/>
      <c r="F835" s="443"/>
      <c r="G835" s="453"/>
      <c r="H835" s="453"/>
      <c r="I835" s="453"/>
      <c r="J835" s="106"/>
      <c r="K835" s="106" t="str">
        <f>IF(ISBLANK(I835), "", VLOOKUP(A835&amp;" "&amp;B835, 'Info Tipo de Cambio y REM'!$A$24:$B$35, 2, FALSE))</f>
        <v/>
      </c>
      <c r="L835" s="107" t="str">
        <f t="shared" si="2"/>
        <v/>
      </c>
      <c r="M835" s="102"/>
    </row>
    <row r="836">
      <c r="A836" s="44"/>
      <c r="B836" s="102"/>
      <c r="C836" s="102"/>
      <c r="D836" s="102"/>
      <c r="E836" s="443"/>
      <c r="F836" s="443"/>
      <c r="G836" s="453"/>
      <c r="H836" s="453"/>
      <c r="I836" s="453"/>
      <c r="J836" s="106"/>
      <c r="K836" s="106" t="str">
        <f>IF(ISBLANK(I836), "", VLOOKUP(A836&amp;" "&amp;B836, 'Info Tipo de Cambio y REM'!$A$24:$B$35, 2, FALSE))</f>
        <v/>
      </c>
      <c r="L836" s="107" t="str">
        <f t="shared" si="2"/>
        <v/>
      </c>
      <c r="M836" s="102"/>
    </row>
    <row r="837">
      <c r="A837" s="44"/>
      <c r="B837" s="102"/>
      <c r="C837" s="102"/>
      <c r="D837" s="102"/>
      <c r="E837" s="443"/>
      <c r="F837" s="443"/>
      <c r="G837" s="453"/>
      <c r="H837" s="453"/>
      <c r="I837" s="453"/>
      <c r="J837" s="106"/>
      <c r="K837" s="106" t="str">
        <f>IF(ISBLANK(I837), "", VLOOKUP(A837&amp;" "&amp;B837, 'Info Tipo de Cambio y REM'!$A$24:$B$35, 2, FALSE))</f>
        <v/>
      </c>
      <c r="L837" s="107" t="str">
        <f t="shared" si="2"/>
        <v/>
      </c>
      <c r="M837" s="102"/>
    </row>
    <row r="838">
      <c r="A838" s="44"/>
      <c r="B838" s="102"/>
      <c r="C838" s="102"/>
      <c r="D838" s="102"/>
      <c r="E838" s="443"/>
      <c r="F838" s="443"/>
      <c r="G838" s="453"/>
      <c r="H838" s="453"/>
      <c r="I838" s="453"/>
      <c r="J838" s="106"/>
      <c r="K838" s="106" t="str">
        <f>IF(ISBLANK(I838), "", VLOOKUP(A838&amp;" "&amp;B838, 'Info Tipo de Cambio y REM'!$A$24:$B$35, 2, FALSE))</f>
        <v/>
      </c>
      <c r="L838" s="107" t="str">
        <f t="shared" si="2"/>
        <v/>
      </c>
      <c r="M838" s="102"/>
    </row>
    <row r="839">
      <c r="A839" s="44"/>
      <c r="B839" s="102"/>
      <c r="C839" s="102"/>
      <c r="D839" s="102"/>
      <c r="E839" s="443"/>
      <c r="F839" s="443"/>
      <c r="G839" s="453"/>
      <c r="H839" s="453"/>
      <c r="I839" s="453"/>
      <c r="J839" s="106"/>
      <c r="K839" s="106" t="str">
        <f>IF(ISBLANK(I839), "", VLOOKUP(A839&amp;" "&amp;B839, 'Info Tipo de Cambio y REM'!$A$24:$B$35, 2, FALSE))</f>
        <v/>
      </c>
      <c r="L839" s="107" t="str">
        <f t="shared" si="2"/>
        <v/>
      </c>
      <c r="M839" s="102"/>
    </row>
    <row r="840">
      <c r="A840" s="44"/>
      <c r="B840" s="102"/>
      <c r="C840" s="102"/>
      <c r="D840" s="102"/>
      <c r="E840" s="443"/>
      <c r="F840" s="443"/>
      <c r="G840" s="453"/>
      <c r="H840" s="453"/>
      <c r="I840" s="453"/>
      <c r="J840" s="106"/>
      <c r="K840" s="106" t="str">
        <f>IF(ISBLANK(I840), "", VLOOKUP(A840&amp;" "&amp;B840, 'Info Tipo de Cambio y REM'!$A$24:$B$35, 2, FALSE))</f>
        <v/>
      </c>
      <c r="L840" s="107" t="str">
        <f t="shared" si="2"/>
        <v/>
      </c>
      <c r="M840" s="102"/>
    </row>
    <row r="841">
      <c r="A841" s="44"/>
      <c r="B841" s="102"/>
      <c r="C841" s="102"/>
      <c r="D841" s="102"/>
      <c r="E841" s="443"/>
      <c r="F841" s="443"/>
      <c r="G841" s="453"/>
      <c r="H841" s="453"/>
      <c r="I841" s="453"/>
      <c r="J841" s="106"/>
      <c r="K841" s="106" t="str">
        <f>IF(ISBLANK(I841), "", VLOOKUP(A841&amp;" "&amp;B841, 'Info Tipo de Cambio y REM'!$A$24:$B$35, 2, FALSE))</f>
        <v/>
      </c>
      <c r="L841" s="107" t="str">
        <f t="shared" si="2"/>
        <v/>
      </c>
      <c r="M841" s="102"/>
    </row>
    <row r="842">
      <c r="A842" s="44"/>
      <c r="B842" s="102"/>
      <c r="C842" s="102"/>
      <c r="D842" s="102"/>
      <c r="E842" s="443"/>
      <c r="F842" s="443"/>
      <c r="G842" s="453"/>
      <c r="H842" s="453"/>
      <c r="I842" s="453"/>
      <c r="J842" s="106"/>
      <c r="K842" s="106" t="str">
        <f>IF(ISBLANK(I842), "", VLOOKUP(A842&amp;" "&amp;B842, 'Info Tipo de Cambio y REM'!$A$24:$B$35, 2, FALSE))</f>
        <v/>
      </c>
      <c r="L842" s="107" t="str">
        <f t="shared" si="2"/>
        <v/>
      </c>
      <c r="M842" s="102"/>
    </row>
    <row r="843">
      <c r="A843" s="44"/>
      <c r="B843" s="102"/>
      <c r="C843" s="102"/>
      <c r="D843" s="102"/>
      <c r="E843" s="443"/>
      <c r="F843" s="443"/>
      <c r="G843" s="453"/>
      <c r="H843" s="453"/>
      <c r="I843" s="453"/>
      <c r="J843" s="106"/>
      <c r="K843" s="106" t="str">
        <f>IF(ISBLANK(I843), "", VLOOKUP(A843&amp;" "&amp;B843, 'Info Tipo de Cambio y REM'!$A$24:$B$35, 2, FALSE))</f>
        <v/>
      </c>
      <c r="L843" s="107" t="str">
        <f t="shared" si="2"/>
        <v/>
      </c>
      <c r="M843" s="102"/>
    </row>
    <row r="844">
      <c r="A844" s="44"/>
      <c r="B844" s="102"/>
      <c r="C844" s="102"/>
      <c r="D844" s="102"/>
      <c r="E844" s="443"/>
      <c r="F844" s="443"/>
      <c r="G844" s="453"/>
      <c r="H844" s="453"/>
      <c r="I844" s="453"/>
      <c r="J844" s="106"/>
      <c r="K844" s="106" t="str">
        <f>IF(ISBLANK(I844), "", VLOOKUP(A844&amp;" "&amp;B844, 'Info Tipo de Cambio y REM'!$A$24:$B$35, 2, FALSE))</f>
        <v/>
      </c>
      <c r="L844" s="107" t="str">
        <f t="shared" si="2"/>
        <v/>
      </c>
      <c r="M844" s="102"/>
    </row>
    <row r="845">
      <c r="A845" s="44"/>
      <c r="B845" s="102"/>
      <c r="C845" s="102"/>
      <c r="D845" s="102"/>
      <c r="E845" s="443"/>
      <c r="F845" s="443"/>
      <c r="G845" s="453"/>
      <c r="H845" s="453"/>
      <c r="I845" s="453"/>
      <c r="J845" s="106"/>
      <c r="K845" s="106" t="str">
        <f>IF(ISBLANK(I845), "", VLOOKUP(A845&amp;" "&amp;B845, 'Info Tipo de Cambio y REM'!$A$24:$B$35, 2, FALSE))</f>
        <v/>
      </c>
      <c r="L845" s="107" t="str">
        <f t="shared" si="2"/>
        <v/>
      </c>
      <c r="M845" s="102"/>
    </row>
    <row r="846">
      <c r="A846" s="44"/>
      <c r="B846" s="102"/>
      <c r="C846" s="102"/>
      <c r="D846" s="102"/>
      <c r="E846" s="443"/>
      <c r="F846" s="443"/>
      <c r="G846" s="453"/>
      <c r="H846" s="453"/>
      <c r="I846" s="453"/>
      <c r="J846" s="106"/>
      <c r="K846" s="106" t="str">
        <f>IF(ISBLANK(I846), "", VLOOKUP(A846&amp;" "&amp;B846, 'Info Tipo de Cambio y REM'!$A$24:$B$35, 2, FALSE))</f>
        <v/>
      </c>
      <c r="L846" s="107" t="str">
        <f t="shared" si="2"/>
        <v/>
      </c>
      <c r="M846" s="102"/>
    </row>
    <row r="847">
      <c r="A847" s="44"/>
      <c r="B847" s="102"/>
      <c r="C847" s="102"/>
      <c r="D847" s="102"/>
      <c r="E847" s="443"/>
      <c r="F847" s="443"/>
      <c r="G847" s="453"/>
      <c r="H847" s="453"/>
      <c r="I847" s="453"/>
      <c r="J847" s="106"/>
      <c r="K847" s="106" t="str">
        <f>IF(ISBLANK(I847), "", VLOOKUP(A847&amp;" "&amp;B847, 'Info Tipo de Cambio y REM'!$A$24:$B$35, 2, FALSE))</f>
        <v/>
      </c>
      <c r="L847" s="107" t="str">
        <f t="shared" si="2"/>
        <v/>
      </c>
      <c r="M847" s="102"/>
    </row>
    <row r="848">
      <c r="A848" s="44"/>
      <c r="B848" s="102"/>
      <c r="C848" s="102"/>
      <c r="D848" s="102"/>
      <c r="E848" s="443"/>
      <c r="F848" s="443"/>
      <c r="G848" s="453"/>
      <c r="H848" s="453"/>
      <c r="I848" s="453"/>
      <c r="J848" s="106"/>
      <c r="K848" s="106" t="str">
        <f>IF(ISBLANK(I848), "", VLOOKUP(A848&amp;" "&amp;B848, 'Info Tipo de Cambio y REM'!$A$24:$B$35, 2, FALSE))</f>
        <v/>
      </c>
      <c r="L848" s="107" t="str">
        <f t="shared" si="2"/>
        <v/>
      </c>
      <c r="M848" s="102"/>
    </row>
    <row r="849">
      <c r="A849" s="44"/>
      <c r="B849" s="102"/>
      <c r="C849" s="102"/>
      <c r="D849" s="102"/>
      <c r="E849" s="443"/>
      <c r="F849" s="443"/>
      <c r="G849" s="453"/>
      <c r="H849" s="453"/>
      <c r="I849" s="453"/>
      <c r="J849" s="106"/>
      <c r="K849" s="106" t="str">
        <f>IF(ISBLANK(I849), "", VLOOKUP(A849&amp;" "&amp;B849, 'Info Tipo de Cambio y REM'!$A$24:$B$35, 2, FALSE))</f>
        <v/>
      </c>
      <c r="L849" s="107" t="str">
        <f t="shared" si="2"/>
        <v/>
      </c>
      <c r="M849" s="102"/>
    </row>
    <row r="850">
      <c r="A850" s="44"/>
      <c r="B850" s="102"/>
      <c r="C850" s="102"/>
      <c r="D850" s="102"/>
      <c r="E850" s="443"/>
      <c r="F850" s="443"/>
      <c r="G850" s="453"/>
      <c r="H850" s="453"/>
      <c r="I850" s="453"/>
      <c r="J850" s="106"/>
      <c r="K850" s="106" t="str">
        <f>IF(ISBLANK(I850), "", VLOOKUP(A850&amp;" "&amp;B850, 'Info Tipo de Cambio y REM'!$A$24:$B$35, 2, FALSE))</f>
        <v/>
      </c>
      <c r="L850" s="107" t="str">
        <f t="shared" si="2"/>
        <v/>
      </c>
      <c r="M850" s="102"/>
    </row>
    <row r="851">
      <c r="A851" s="44"/>
      <c r="B851" s="102"/>
      <c r="C851" s="102"/>
      <c r="D851" s="102"/>
      <c r="E851" s="443"/>
      <c r="F851" s="443"/>
      <c r="G851" s="453"/>
      <c r="H851" s="453"/>
      <c r="I851" s="453"/>
      <c r="J851" s="106"/>
      <c r="K851" s="106" t="str">
        <f>IF(ISBLANK(I851), "", VLOOKUP(A851&amp;" "&amp;B851, 'Info Tipo de Cambio y REM'!$A$24:$B$35, 2, FALSE))</f>
        <v/>
      </c>
      <c r="L851" s="107" t="str">
        <f t="shared" si="2"/>
        <v/>
      </c>
      <c r="M851" s="102"/>
    </row>
    <row r="852">
      <c r="A852" s="44"/>
      <c r="B852" s="102"/>
      <c r="C852" s="102"/>
      <c r="D852" s="102"/>
      <c r="E852" s="443"/>
      <c r="F852" s="443"/>
      <c r="G852" s="453"/>
      <c r="H852" s="453"/>
      <c r="I852" s="453"/>
      <c r="J852" s="106"/>
      <c r="K852" s="106" t="str">
        <f>IF(ISBLANK(I852), "", VLOOKUP(A852&amp;" "&amp;B852, 'Info Tipo de Cambio y REM'!$A$24:$B$35, 2, FALSE))</f>
        <v/>
      </c>
      <c r="L852" s="107" t="str">
        <f t="shared" si="2"/>
        <v/>
      </c>
      <c r="M852" s="102"/>
    </row>
    <row r="853">
      <c r="A853" s="44"/>
      <c r="B853" s="102"/>
      <c r="C853" s="102"/>
      <c r="D853" s="102"/>
      <c r="E853" s="443"/>
      <c r="F853" s="443"/>
      <c r="G853" s="453"/>
      <c r="H853" s="453"/>
      <c r="I853" s="453"/>
      <c r="J853" s="106"/>
      <c r="K853" s="106" t="str">
        <f>IF(ISBLANK(I853), "", VLOOKUP(A853&amp;" "&amp;B853, 'Info Tipo de Cambio y REM'!$A$24:$B$35, 2, FALSE))</f>
        <v/>
      </c>
      <c r="L853" s="107" t="str">
        <f t="shared" si="2"/>
        <v/>
      </c>
      <c r="M853" s="102"/>
    </row>
    <row r="854">
      <c r="A854" s="44"/>
      <c r="B854" s="102"/>
      <c r="C854" s="102"/>
      <c r="D854" s="102"/>
      <c r="E854" s="443"/>
      <c r="F854" s="443"/>
      <c r="G854" s="453"/>
      <c r="H854" s="453"/>
      <c r="I854" s="453"/>
      <c r="J854" s="106"/>
      <c r="K854" s="106" t="str">
        <f>IF(ISBLANK(I854), "", VLOOKUP(A854&amp;" "&amp;B854, 'Info Tipo de Cambio y REM'!$A$24:$B$35, 2, FALSE))</f>
        <v/>
      </c>
      <c r="L854" s="107" t="str">
        <f t="shared" si="2"/>
        <v/>
      </c>
      <c r="M854" s="102"/>
    </row>
    <row r="855">
      <c r="A855" s="44"/>
      <c r="B855" s="102"/>
      <c r="C855" s="102"/>
      <c r="D855" s="102"/>
      <c r="E855" s="443"/>
      <c r="F855" s="443"/>
      <c r="G855" s="453"/>
      <c r="H855" s="453"/>
      <c r="I855" s="453"/>
      <c r="J855" s="106"/>
      <c r="K855" s="106" t="str">
        <f>IF(ISBLANK(I855), "", VLOOKUP(A855&amp;" "&amp;B855, 'Info Tipo de Cambio y REM'!$A$24:$B$35, 2, FALSE))</f>
        <v/>
      </c>
      <c r="L855" s="107" t="str">
        <f t="shared" si="2"/>
        <v/>
      </c>
      <c r="M855" s="102"/>
    </row>
    <row r="856">
      <c r="A856" s="44"/>
      <c r="B856" s="102"/>
      <c r="C856" s="102"/>
      <c r="D856" s="102"/>
      <c r="E856" s="443"/>
      <c r="F856" s="443"/>
      <c r="G856" s="453"/>
      <c r="H856" s="453"/>
      <c r="I856" s="453"/>
      <c r="J856" s="106"/>
      <c r="K856" s="106" t="str">
        <f>IF(ISBLANK(I856), "", VLOOKUP(A856&amp;" "&amp;B856, 'Info Tipo de Cambio y REM'!$A$24:$B$35, 2, FALSE))</f>
        <v/>
      </c>
      <c r="L856" s="107" t="str">
        <f t="shared" si="2"/>
        <v/>
      </c>
      <c r="M856" s="102"/>
    </row>
    <row r="857">
      <c r="A857" s="44"/>
      <c r="B857" s="102"/>
      <c r="C857" s="102"/>
      <c r="D857" s="102"/>
      <c r="E857" s="443"/>
      <c r="F857" s="443"/>
      <c r="G857" s="453"/>
      <c r="H857" s="453"/>
      <c r="I857" s="453"/>
      <c r="J857" s="106"/>
      <c r="K857" s="106" t="str">
        <f>IF(ISBLANK(I857), "", VLOOKUP(A857&amp;" "&amp;B857, 'Info Tipo de Cambio y REM'!$A$24:$B$35, 2, FALSE))</f>
        <v/>
      </c>
      <c r="L857" s="107" t="str">
        <f t="shared" si="2"/>
        <v/>
      </c>
      <c r="M857" s="102"/>
    </row>
    <row r="858">
      <c r="A858" s="44"/>
      <c r="B858" s="102"/>
      <c r="C858" s="102"/>
      <c r="D858" s="102"/>
      <c r="E858" s="443"/>
      <c r="F858" s="443"/>
      <c r="G858" s="453"/>
      <c r="H858" s="453"/>
      <c r="I858" s="453"/>
      <c r="J858" s="106"/>
      <c r="K858" s="106" t="str">
        <f>IF(ISBLANK(I858), "", VLOOKUP(A858&amp;" "&amp;B858, 'Info Tipo de Cambio y REM'!$A$24:$B$35, 2, FALSE))</f>
        <v/>
      </c>
      <c r="L858" s="107" t="str">
        <f t="shared" si="2"/>
        <v/>
      </c>
      <c r="M858" s="102"/>
    </row>
    <row r="859">
      <c r="A859" s="44"/>
      <c r="B859" s="102"/>
      <c r="C859" s="102"/>
      <c r="D859" s="102"/>
      <c r="E859" s="443"/>
      <c r="F859" s="443"/>
      <c r="G859" s="453"/>
      <c r="H859" s="453"/>
      <c r="I859" s="453"/>
      <c r="J859" s="106"/>
      <c r="K859" s="106" t="str">
        <f>IF(ISBLANK(I859), "", VLOOKUP(A859&amp;" "&amp;B859, 'Info Tipo de Cambio y REM'!$A$24:$B$35, 2, FALSE))</f>
        <v/>
      </c>
      <c r="L859" s="107" t="str">
        <f t="shared" si="2"/>
        <v/>
      </c>
      <c r="M859" s="102"/>
    </row>
    <row r="860">
      <c r="A860" s="44"/>
      <c r="B860" s="102"/>
      <c r="C860" s="102"/>
      <c r="D860" s="102"/>
      <c r="E860" s="443"/>
      <c r="F860" s="443"/>
      <c r="G860" s="453"/>
      <c r="H860" s="453"/>
      <c r="I860" s="453"/>
      <c r="J860" s="106"/>
      <c r="K860" s="106" t="str">
        <f>IF(ISBLANK(I860), "", VLOOKUP(A860&amp;" "&amp;B860, 'Info Tipo de Cambio y REM'!$A$24:$B$35, 2, FALSE))</f>
        <v/>
      </c>
      <c r="L860" s="107" t="str">
        <f t="shared" si="2"/>
        <v/>
      </c>
      <c r="M860" s="102"/>
    </row>
    <row r="861">
      <c r="A861" s="44"/>
      <c r="B861" s="102"/>
      <c r="C861" s="102"/>
      <c r="D861" s="102"/>
      <c r="E861" s="443"/>
      <c r="F861" s="443"/>
      <c r="G861" s="453"/>
      <c r="H861" s="453"/>
      <c r="I861" s="453"/>
      <c r="J861" s="106"/>
      <c r="K861" s="106" t="str">
        <f>IF(ISBLANK(I861), "", VLOOKUP(A861&amp;" "&amp;B861, 'Info Tipo de Cambio y REM'!$A$24:$B$35, 2, FALSE))</f>
        <v/>
      </c>
      <c r="L861" s="107" t="str">
        <f t="shared" si="2"/>
        <v/>
      </c>
      <c r="M861" s="102"/>
    </row>
    <row r="862">
      <c r="A862" s="44"/>
      <c r="B862" s="102"/>
      <c r="C862" s="102"/>
      <c r="D862" s="102"/>
      <c r="E862" s="443"/>
      <c r="F862" s="443"/>
      <c r="G862" s="453"/>
      <c r="H862" s="453"/>
      <c r="I862" s="453"/>
      <c r="J862" s="106"/>
      <c r="K862" s="106" t="str">
        <f>IF(ISBLANK(I862), "", VLOOKUP(A862&amp;" "&amp;B862, 'Info Tipo de Cambio y REM'!$A$24:$B$35, 2, FALSE))</f>
        <v/>
      </c>
      <c r="L862" s="107" t="str">
        <f t="shared" si="2"/>
        <v/>
      </c>
      <c r="M862" s="102"/>
    </row>
    <row r="863">
      <c r="A863" s="44"/>
      <c r="B863" s="102"/>
      <c r="C863" s="102"/>
      <c r="D863" s="102"/>
      <c r="E863" s="443"/>
      <c r="F863" s="443"/>
      <c r="G863" s="453"/>
      <c r="H863" s="453"/>
      <c r="I863" s="453"/>
      <c r="J863" s="106"/>
      <c r="K863" s="106" t="str">
        <f>IF(ISBLANK(I863), "", VLOOKUP(A863&amp;" "&amp;B863, 'Info Tipo de Cambio y REM'!$A$24:$B$35, 2, FALSE))</f>
        <v/>
      </c>
      <c r="L863" s="107" t="str">
        <f t="shared" si="2"/>
        <v/>
      </c>
      <c r="M863" s="102"/>
    </row>
    <row r="864">
      <c r="A864" s="44"/>
      <c r="B864" s="102"/>
      <c r="C864" s="102"/>
      <c r="D864" s="102"/>
      <c r="E864" s="443"/>
      <c r="F864" s="443"/>
      <c r="G864" s="453"/>
      <c r="H864" s="453"/>
      <c r="I864" s="453"/>
      <c r="J864" s="106"/>
      <c r="K864" s="106" t="str">
        <f>IF(ISBLANK(I864), "", VLOOKUP(A864&amp;" "&amp;B864, 'Info Tipo de Cambio y REM'!$A$24:$B$35, 2, FALSE))</f>
        <v/>
      </c>
      <c r="L864" s="107" t="str">
        <f t="shared" si="2"/>
        <v/>
      </c>
      <c r="M864" s="102"/>
    </row>
    <row r="865">
      <c r="A865" s="44"/>
      <c r="B865" s="102"/>
      <c r="C865" s="102"/>
      <c r="D865" s="102"/>
      <c r="E865" s="443"/>
      <c r="F865" s="443"/>
      <c r="G865" s="453"/>
      <c r="H865" s="453"/>
      <c r="I865" s="453"/>
      <c r="J865" s="106"/>
      <c r="K865" s="106" t="str">
        <f>IF(ISBLANK(I865), "", VLOOKUP(A865&amp;" "&amp;B865, 'Info Tipo de Cambio y REM'!$A$24:$B$35, 2, FALSE))</f>
        <v/>
      </c>
      <c r="L865" s="107" t="str">
        <f t="shared" si="2"/>
        <v/>
      </c>
      <c r="M865" s="102"/>
    </row>
    <row r="866">
      <c r="A866" s="44"/>
      <c r="B866" s="102"/>
      <c r="C866" s="102"/>
      <c r="D866" s="102"/>
      <c r="E866" s="443"/>
      <c r="F866" s="443"/>
      <c r="G866" s="453"/>
      <c r="H866" s="453"/>
      <c r="I866" s="453"/>
      <c r="J866" s="106"/>
      <c r="K866" s="106" t="str">
        <f>IF(ISBLANK(I866), "", VLOOKUP(A866&amp;" "&amp;B866, 'Info Tipo de Cambio y REM'!$A$24:$B$35, 2, FALSE))</f>
        <v/>
      </c>
      <c r="L866" s="107" t="str">
        <f t="shared" si="2"/>
        <v/>
      </c>
      <c r="M866" s="102"/>
    </row>
    <row r="867">
      <c r="A867" s="44"/>
      <c r="B867" s="102"/>
      <c r="C867" s="102"/>
      <c r="D867" s="102"/>
      <c r="E867" s="443"/>
      <c r="F867" s="443"/>
      <c r="G867" s="453"/>
      <c r="H867" s="453"/>
      <c r="I867" s="453"/>
      <c r="J867" s="106"/>
      <c r="K867" s="106" t="str">
        <f>IF(ISBLANK(I867), "", VLOOKUP(A867&amp;" "&amp;B867, 'Info Tipo de Cambio y REM'!$A$24:$B$35, 2, FALSE))</f>
        <v/>
      </c>
      <c r="L867" s="107" t="str">
        <f t="shared" si="2"/>
        <v/>
      </c>
      <c r="M867" s="102"/>
    </row>
    <row r="868">
      <c r="A868" s="44"/>
      <c r="B868" s="102"/>
      <c r="C868" s="102"/>
      <c r="D868" s="102"/>
      <c r="E868" s="443"/>
      <c r="F868" s="443"/>
      <c r="G868" s="453"/>
      <c r="H868" s="453"/>
      <c r="I868" s="453"/>
      <c r="J868" s="106"/>
      <c r="K868" s="106" t="str">
        <f>IF(ISBLANK(I868), "", VLOOKUP(A868&amp;" "&amp;B868, 'Info Tipo de Cambio y REM'!$A$24:$B$35, 2, FALSE))</f>
        <v/>
      </c>
      <c r="L868" s="107" t="str">
        <f t="shared" si="2"/>
        <v/>
      </c>
      <c r="M868" s="102"/>
    </row>
    <row r="869">
      <c r="A869" s="44"/>
      <c r="B869" s="102"/>
      <c r="C869" s="102"/>
      <c r="D869" s="102"/>
      <c r="E869" s="443"/>
      <c r="F869" s="443"/>
      <c r="G869" s="453"/>
      <c r="H869" s="453"/>
      <c r="I869" s="453"/>
      <c r="J869" s="106"/>
      <c r="K869" s="106" t="str">
        <f>IF(ISBLANK(I869), "", VLOOKUP(A869&amp;" "&amp;B869, 'Info Tipo de Cambio y REM'!$A$24:$B$35, 2, FALSE))</f>
        <v/>
      </c>
      <c r="L869" s="107" t="str">
        <f t="shared" si="2"/>
        <v/>
      </c>
      <c r="M869" s="102"/>
    </row>
    <row r="870">
      <c r="A870" s="44"/>
      <c r="B870" s="102"/>
      <c r="C870" s="102"/>
      <c r="D870" s="102"/>
      <c r="E870" s="443"/>
      <c r="F870" s="443"/>
      <c r="G870" s="453"/>
      <c r="H870" s="453"/>
      <c r="I870" s="453"/>
      <c r="J870" s="106"/>
      <c r="K870" s="106" t="str">
        <f>IF(ISBLANK(I870), "", VLOOKUP(A870&amp;" "&amp;B870, 'Info Tipo de Cambio y REM'!$A$24:$B$35, 2, FALSE))</f>
        <v/>
      </c>
      <c r="L870" s="107" t="str">
        <f t="shared" si="2"/>
        <v/>
      </c>
      <c r="M870" s="102"/>
    </row>
    <row r="871">
      <c r="A871" s="44"/>
      <c r="B871" s="102"/>
      <c r="C871" s="102"/>
      <c r="D871" s="102"/>
      <c r="E871" s="443"/>
      <c r="F871" s="443"/>
      <c r="G871" s="453"/>
      <c r="H871" s="453"/>
      <c r="I871" s="453"/>
      <c r="J871" s="106"/>
      <c r="K871" s="106" t="str">
        <f>IF(ISBLANK(I871), "", VLOOKUP(A871&amp;" "&amp;B871, 'Info Tipo de Cambio y REM'!$A$24:$B$35, 2, FALSE))</f>
        <v/>
      </c>
      <c r="L871" s="107" t="str">
        <f t="shared" si="2"/>
        <v/>
      </c>
      <c r="M871" s="102"/>
    </row>
    <row r="872">
      <c r="A872" s="44"/>
      <c r="B872" s="102"/>
      <c r="C872" s="102"/>
      <c r="D872" s="102"/>
      <c r="E872" s="443"/>
      <c r="F872" s="443"/>
      <c r="G872" s="453"/>
      <c r="H872" s="453"/>
      <c r="I872" s="453"/>
      <c r="J872" s="106"/>
      <c r="K872" s="106" t="str">
        <f>IF(ISBLANK(I872), "", VLOOKUP(A872&amp;" "&amp;B872, 'Info Tipo de Cambio y REM'!$A$24:$B$35, 2, FALSE))</f>
        <v/>
      </c>
      <c r="L872" s="107" t="str">
        <f t="shared" si="2"/>
        <v/>
      </c>
      <c r="M872" s="102"/>
    </row>
    <row r="873">
      <c r="A873" s="44"/>
      <c r="B873" s="102"/>
      <c r="C873" s="102"/>
      <c r="D873" s="102"/>
      <c r="E873" s="443"/>
      <c r="F873" s="443"/>
      <c r="G873" s="453"/>
      <c r="H873" s="453"/>
      <c r="I873" s="453"/>
      <c r="J873" s="106"/>
      <c r="K873" s="106" t="str">
        <f>IF(ISBLANK(I873), "", VLOOKUP(A873&amp;" "&amp;B873, 'Info Tipo de Cambio y REM'!$A$24:$B$35, 2, FALSE))</f>
        <v/>
      </c>
      <c r="L873" s="107" t="str">
        <f t="shared" si="2"/>
        <v/>
      </c>
      <c r="M873" s="102"/>
    </row>
    <row r="874">
      <c r="A874" s="44"/>
      <c r="B874" s="102"/>
      <c r="C874" s="102"/>
      <c r="D874" s="102"/>
      <c r="E874" s="443"/>
      <c r="F874" s="443"/>
      <c r="G874" s="453"/>
      <c r="H874" s="453"/>
      <c r="I874" s="453"/>
      <c r="J874" s="106"/>
      <c r="K874" s="106" t="str">
        <f>IF(ISBLANK(I874), "", VLOOKUP(A874&amp;" "&amp;B874, 'Info Tipo de Cambio y REM'!$A$24:$B$35, 2, FALSE))</f>
        <v/>
      </c>
      <c r="L874" s="107" t="str">
        <f t="shared" si="2"/>
        <v/>
      </c>
      <c r="M874" s="102"/>
    </row>
    <row r="875">
      <c r="A875" s="44"/>
      <c r="B875" s="102"/>
      <c r="C875" s="102"/>
      <c r="D875" s="102"/>
      <c r="E875" s="443"/>
      <c r="F875" s="443"/>
      <c r="G875" s="453"/>
      <c r="H875" s="453"/>
      <c r="I875" s="453"/>
      <c r="J875" s="106"/>
      <c r="K875" s="106" t="str">
        <f>IF(ISBLANK(I875), "", VLOOKUP(A875&amp;" "&amp;B875, 'Info Tipo de Cambio y REM'!$A$24:$B$35, 2, FALSE))</f>
        <v/>
      </c>
      <c r="L875" s="107" t="str">
        <f t="shared" si="2"/>
        <v/>
      </c>
      <c r="M875" s="102"/>
    </row>
    <row r="876">
      <c r="A876" s="44"/>
      <c r="B876" s="102"/>
      <c r="C876" s="102"/>
      <c r="D876" s="102"/>
      <c r="E876" s="443"/>
      <c r="F876" s="443"/>
      <c r="G876" s="453"/>
      <c r="H876" s="453"/>
      <c r="I876" s="453"/>
      <c r="J876" s="106"/>
      <c r="K876" s="106" t="str">
        <f>IF(ISBLANK(I876), "", VLOOKUP(A876&amp;" "&amp;B876, 'Info Tipo de Cambio y REM'!$A$24:$B$35, 2, FALSE))</f>
        <v/>
      </c>
      <c r="L876" s="107" t="str">
        <f t="shared" si="2"/>
        <v/>
      </c>
      <c r="M876" s="102"/>
    </row>
    <row r="877">
      <c r="A877" s="44"/>
      <c r="B877" s="102"/>
      <c r="C877" s="102"/>
      <c r="D877" s="102"/>
      <c r="E877" s="443"/>
      <c r="F877" s="443"/>
      <c r="G877" s="453"/>
      <c r="H877" s="453"/>
      <c r="I877" s="453"/>
      <c r="J877" s="106"/>
      <c r="K877" s="106" t="str">
        <f>IF(ISBLANK(I877), "", VLOOKUP(A877&amp;" "&amp;B877, 'Info Tipo de Cambio y REM'!$A$24:$B$35, 2, FALSE))</f>
        <v/>
      </c>
      <c r="L877" s="107" t="str">
        <f t="shared" si="2"/>
        <v/>
      </c>
      <c r="M877" s="102"/>
    </row>
    <row r="878">
      <c r="A878" s="44"/>
      <c r="B878" s="102"/>
      <c r="C878" s="102"/>
      <c r="D878" s="102"/>
      <c r="E878" s="443"/>
      <c r="F878" s="443"/>
      <c r="G878" s="453"/>
      <c r="H878" s="453"/>
      <c r="I878" s="453"/>
      <c r="J878" s="106"/>
      <c r="K878" s="106" t="str">
        <f>IF(ISBLANK(I878), "", VLOOKUP(A878&amp;" "&amp;B878, 'Info Tipo de Cambio y REM'!$A$24:$B$35, 2, FALSE))</f>
        <v/>
      </c>
      <c r="L878" s="107" t="str">
        <f t="shared" si="2"/>
        <v/>
      </c>
      <c r="M878" s="102"/>
    </row>
    <row r="879">
      <c r="A879" s="44"/>
      <c r="B879" s="102"/>
      <c r="C879" s="102"/>
      <c r="D879" s="102"/>
      <c r="E879" s="443"/>
      <c r="F879" s="443"/>
      <c r="G879" s="453"/>
      <c r="H879" s="453"/>
      <c r="I879" s="453"/>
      <c r="J879" s="106"/>
      <c r="K879" s="106" t="str">
        <f>IF(ISBLANK(I879), "", VLOOKUP(A879&amp;" "&amp;B879, 'Info Tipo de Cambio y REM'!$A$24:$B$35, 2, FALSE))</f>
        <v/>
      </c>
      <c r="L879" s="107" t="str">
        <f t="shared" si="2"/>
        <v/>
      </c>
      <c r="M879" s="102"/>
    </row>
    <row r="880">
      <c r="A880" s="44"/>
      <c r="B880" s="102"/>
      <c r="C880" s="102"/>
      <c r="D880" s="102"/>
      <c r="E880" s="443"/>
      <c r="F880" s="443"/>
      <c r="G880" s="453"/>
      <c r="H880" s="453"/>
      <c r="I880" s="453"/>
      <c r="J880" s="106"/>
      <c r="K880" s="106" t="str">
        <f>IF(ISBLANK(I880), "", VLOOKUP(A880&amp;" "&amp;B880, 'Info Tipo de Cambio y REM'!$A$24:$B$35, 2, FALSE))</f>
        <v/>
      </c>
      <c r="L880" s="107" t="str">
        <f t="shared" si="2"/>
        <v/>
      </c>
      <c r="M880" s="102"/>
    </row>
    <row r="881">
      <c r="A881" s="44"/>
      <c r="B881" s="102"/>
      <c r="C881" s="102"/>
      <c r="D881" s="102"/>
      <c r="E881" s="443"/>
      <c r="F881" s="443"/>
      <c r="G881" s="453"/>
      <c r="H881" s="453"/>
      <c r="I881" s="453"/>
      <c r="J881" s="106"/>
      <c r="K881" s="106" t="str">
        <f>IF(ISBLANK(I881), "", VLOOKUP(A881&amp;" "&amp;B881, 'Info Tipo de Cambio y REM'!$A$24:$B$35, 2, FALSE))</f>
        <v/>
      </c>
      <c r="L881" s="107" t="str">
        <f t="shared" si="2"/>
        <v/>
      </c>
      <c r="M881" s="102"/>
    </row>
    <row r="882">
      <c r="A882" s="44"/>
      <c r="B882" s="102"/>
      <c r="C882" s="102"/>
      <c r="D882" s="102"/>
      <c r="E882" s="443"/>
      <c r="F882" s="443"/>
      <c r="G882" s="453"/>
      <c r="H882" s="453"/>
      <c r="I882" s="453"/>
      <c r="J882" s="106"/>
      <c r="K882" s="106" t="str">
        <f>IF(ISBLANK(I882), "", VLOOKUP(A882&amp;" "&amp;B882, 'Info Tipo de Cambio y REM'!$A$24:$B$35, 2, FALSE))</f>
        <v/>
      </c>
      <c r="L882" s="107" t="str">
        <f t="shared" si="2"/>
        <v/>
      </c>
      <c r="M882" s="102"/>
    </row>
    <row r="883">
      <c r="A883" s="44"/>
      <c r="B883" s="102"/>
      <c r="C883" s="102"/>
      <c r="D883" s="102"/>
      <c r="E883" s="443"/>
      <c r="F883" s="443"/>
      <c r="G883" s="453"/>
      <c r="H883" s="453"/>
      <c r="I883" s="453"/>
      <c r="J883" s="106"/>
      <c r="K883" s="106" t="str">
        <f>IF(ISBLANK(I883), "", VLOOKUP(A883&amp;" "&amp;B883, 'Info Tipo de Cambio y REM'!$A$24:$B$35, 2, FALSE))</f>
        <v/>
      </c>
      <c r="L883" s="107" t="str">
        <f t="shared" si="2"/>
        <v/>
      </c>
      <c r="M883" s="102"/>
    </row>
    <row r="884">
      <c r="A884" s="44"/>
      <c r="B884" s="102"/>
      <c r="C884" s="102"/>
      <c r="D884" s="102"/>
      <c r="E884" s="443"/>
      <c r="F884" s="443"/>
      <c r="G884" s="453"/>
      <c r="H884" s="453"/>
      <c r="I884" s="453"/>
      <c r="J884" s="106"/>
      <c r="K884" s="106" t="str">
        <f>IF(ISBLANK(I884), "", VLOOKUP(A884&amp;" "&amp;B884, 'Info Tipo de Cambio y REM'!$A$24:$B$35, 2, FALSE))</f>
        <v/>
      </c>
      <c r="L884" s="107" t="str">
        <f t="shared" si="2"/>
        <v/>
      </c>
      <c r="M884" s="102"/>
    </row>
    <row r="885">
      <c r="A885" s="44"/>
      <c r="B885" s="102"/>
      <c r="C885" s="102"/>
      <c r="D885" s="102"/>
      <c r="E885" s="443"/>
      <c r="F885" s="443"/>
      <c r="G885" s="453"/>
      <c r="H885" s="453"/>
      <c r="I885" s="453"/>
      <c r="J885" s="106"/>
      <c r="K885" s="106" t="str">
        <f>IF(ISBLANK(I885), "", VLOOKUP(A885&amp;" "&amp;B885, 'Info Tipo de Cambio y REM'!$A$24:$B$35, 2, FALSE))</f>
        <v/>
      </c>
      <c r="L885" s="107" t="str">
        <f t="shared" si="2"/>
        <v/>
      </c>
      <c r="M885" s="102"/>
    </row>
    <row r="886">
      <c r="A886" s="44"/>
      <c r="B886" s="102"/>
      <c r="C886" s="102"/>
      <c r="D886" s="102"/>
      <c r="E886" s="443"/>
      <c r="F886" s="443"/>
      <c r="G886" s="453"/>
      <c r="H886" s="453"/>
      <c r="I886" s="453"/>
      <c r="J886" s="106"/>
      <c r="K886" s="106" t="str">
        <f>IF(ISBLANK(I886), "", VLOOKUP(A886&amp;" "&amp;B886, 'Info Tipo de Cambio y REM'!$A$24:$B$35, 2, FALSE))</f>
        <v/>
      </c>
      <c r="L886" s="107" t="str">
        <f t="shared" si="2"/>
        <v/>
      </c>
      <c r="M886" s="102"/>
    </row>
    <row r="887">
      <c r="A887" s="44"/>
      <c r="B887" s="102"/>
      <c r="C887" s="102"/>
      <c r="D887" s="102"/>
      <c r="E887" s="443"/>
      <c r="F887" s="443"/>
      <c r="G887" s="453"/>
      <c r="H887" s="453"/>
      <c r="I887" s="453"/>
      <c r="J887" s="106"/>
      <c r="K887" s="106" t="str">
        <f>IF(ISBLANK(I887), "", VLOOKUP(A887&amp;" "&amp;B887, 'Info Tipo de Cambio y REM'!$A$24:$B$35, 2, FALSE))</f>
        <v/>
      </c>
      <c r="L887" s="107" t="str">
        <f t="shared" si="2"/>
        <v/>
      </c>
      <c r="M887" s="102"/>
    </row>
    <row r="888">
      <c r="A888" s="44"/>
      <c r="B888" s="102"/>
      <c r="C888" s="102"/>
      <c r="D888" s="102"/>
      <c r="E888" s="443"/>
      <c r="F888" s="443"/>
      <c r="G888" s="453"/>
      <c r="H888" s="453"/>
      <c r="I888" s="453"/>
      <c r="J888" s="106"/>
      <c r="K888" s="106" t="str">
        <f>IF(ISBLANK(I888), "", VLOOKUP(A888&amp;" "&amp;B888, 'Info Tipo de Cambio y REM'!$A$24:$B$35, 2, FALSE))</f>
        <v/>
      </c>
      <c r="L888" s="107" t="str">
        <f t="shared" si="2"/>
        <v/>
      </c>
      <c r="M888" s="102"/>
    </row>
    <row r="889">
      <c r="A889" s="44"/>
      <c r="B889" s="102"/>
      <c r="C889" s="102"/>
      <c r="D889" s="102"/>
      <c r="E889" s="443"/>
      <c r="F889" s="443"/>
      <c r="G889" s="453"/>
      <c r="H889" s="453"/>
      <c r="I889" s="453"/>
      <c r="J889" s="106"/>
      <c r="K889" s="106" t="str">
        <f>IF(ISBLANK(I889), "", VLOOKUP(A889&amp;" "&amp;B889, 'Info Tipo de Cambio y REM'!$A$24:$B$35, 2, FALSE))</f>
        <v/>
      </c>
      <c r="L889" s="107" t="str">
        <f t="shared" si="2"/>
        <v/>
      </c>
      <c r="M889" s="102"/>
    </row>
    <row r="890">
      <c r="A890" s="44"/>
      <c r="B890" s="102"/>
      <c r="C890" s="102"/>
      <c r="D890" s="102"/>
      <c r="E890" s="443"/>
      <c r="F890" s="443"/>
      <c r="G890" s="453"/>
      <c r="H890" s="453"/>
      <c r="I890" s="453"/>
      <c r="J890" s="106"/>
      <c r="K890" s="106" t="str">
        <f>IF(ISBLANK(I890), "", VLOOKUP(A890&amp;" "&amp;B890, 'Info Tipo de Cambio y REM'!$A$24:$B$35, 2, FALSE))</f>
        <v/>
      </c>
      <c r="L890" s="107" t="str">
        <f t="shared" si="2"/>
        <v/>
      </c>
      <c r="M890" s="102"/>
    </row>
    <row r="891">
      <c r="A891" s="44"/>
      <c r="B891" s="102"/>
      <c r="C891" s="102"/>
      <c r="D891" s="102"/>
      <c r="E891" s="443"/>
      <c r="F891" s="443"/>
      <c r="G891" s="453"/>
      <c r="H891" s="453"/>
      <c r="I891" s="453"/>
      <c r="J891" s="106"/>
      <c r="K891" s="106" t="str">
        <f>IF(ISBLANK(I891), "", VLOOKUP(A891&amp;" "&amp;B891, 'Info Tipo de Cambio y REM'!$A$24:$B$35, 2, FALSE))</f>
        <v/>
      </c>
      <c r="L891" s="107" t="str">
        <f t="shared" si="2"/>
        <v/>
      </c>
      <c r="M891" s="102"/>
    </row>
    <row r="892">
      <c r="A892" s="44"/>
      <c r="B892" s="102"/>
      <c r="C892" s="102"/>
      <c r="D892" s="102"/>
      <c r="E892" s="443"/>
      <c r="F892" s="443"/>
      <c r="G892" s="453"/>
      <c r="H892" s="453"/>
      <c r="I892" s="453"/>
      <c r="J892" s="106"/>
      <c r="K892" s="106" t="str">
        <f>IF(ISBLANK(I892), "", VLOOKUP(A892&amp;" "&amp;B892, 'Info Tipo de Cambio y REM'!$A$24:$B$35, 2, FALSE))</f>
        <v/>
      </c>
      <c r="L892" s="107" t="str">
        <f t="shared" si="2"/>
        <v/>
      </c>
      <c r="M892" s="102"/>
    </row>
    <row r="893">
      <c r="A893" s="44"/>
      <c r="B893" s="102"/>
      <c r="C893" s="102"/>
      <c r="D893" s="102"/>
      <c r="E893" s="443"/>
      <c r="F893" s="443"/>
      <c r="G893" s="453"/>
      <c r="H893" s="453"/>
      <c r="I893" s="453"/>
      <c r="J893" s="106"/>
      <c r="K893" s="106" t="str">
        <f>IF(ISBLANK(I893), "", VLOOKUP(A893&amp;" "&amp;B893, 'Info Tipo de Cambio y REM'!$A$24:$B$35, 2, FALSE))</f>
        <v/>
      </c>
      <c r="L893" s="107" t="str">
        <f t="shared" si="2"/>
        <v/>
      </c>
      <c r="M893" s="102"/>
    </row>
    <row r="894">
      <c r="A894" s="44"/>
      <c r="B894" s="102"/>
      <c r="C894" s="102"/>
      <c r="D894" s="102"/>
      <c r="E894" s="443"/>
      <c r="F894" s="443"/>
      <c r="G894" s="453"/>
      <c r="H894" s="453"/>
      <c r="I894" s="453"/>
      <c r="J894" s="106"/>
      <c r="K894" s="106" t="str">
        <f>IF(ISBLANK(I894), "", VLOOKUP(A894&amp;" "&amp;B894, 'Info Tipo de Cambio y REM'!$A$24:$B$35, 2, FALSE))</f>
        <v/>
      </c>
      <c r="L894" s="107" t="str">
        <f t="shared" si="2"/>
        <v/>
      </c>
      <c r="M894" s="102"/>
    </row>
    <row r="895">
      <c r="A895" s="44"/>
      <c r="B895" s="102"/>
      <c r="C895" s="102"/>
      <c r="D895" s="102"/>
      <c r="E895" s="443"/>
      <c r="F895" s="443"/>
      <c r="G895" s="453"/>
      <c r="H895" s="453"/>
      <c r="I895" s="453"/>
      <c r="J895" s="106"/>
      <c r="K895" s="106" t="str">
        <f>IF(ISBLANK(I895), "", VLOOKUP(A895&amp;" "&amp;B895, 'Info Tipo de Cambio y REM'!$A$24:$B$35, 2, FALSE))</f>
        <v/>
      </c>
      <c r="L895" s="107" t="str">
        <f t="shared" si="2"/>
        <v/>
      </c>
      <c r="M895" s="102"/>
    </row>
    <row r="896">
      <c r="A896" s="44"/>
      <c r="B896" s="102"/>
      <c r="C896" s="102"/>
      <c r="D896" s="102"/>
      <c r="E896" s="443"/>
      <c r="F896" s="443"/>
      <c r="G896" s="453"/>
      <c r="H896" s="453"/>
      <c r="I896" s="453"/>
      <c r="J896" s="106"/>
      <c r="K896" s="106" t="str">
        <f>IF(ISBLANK(I896), "", VLOOKUP(A896&amp;" "&amp;B896, 'Info Tipo de Cambio y REM'!$A$24:$B$35, 2, FALSE))</f>
        <v/>
      </c>
      <c r="L896" s="107" t="str">
        <f t="shared" si="2"/>
        <v/>
      </c>
      <c r="M896" s="102"/>
    </row>
    <row r="897">
      <c r="A897" s="44"/>
      <c r="B897" s="102"/>
      <c r="C897" s="102"/>
      <c r="D897" s="102"/>
      <c r="E897" s="443"/>
      <c r="F897" s="443"/>
      <c r="G897" s="453"/>
      <c r="H897" s="453"/>
      <c r="I897" s="453"/>
      <c r="J897" s="106"/>
      <c r="K897" s="106" t="str">
        <f>IF(ISBLANK(I897), "", VLOOKUP(A897&amp;" "&amp;B897, 'Info Tipo de Cambio y REM'!$A$24:$B$35, 2, FALSE))</f>
        <v/>
      </c>
      <c r="L897" s="107" t="str">
        <f t="shared" si="2"/>
        <v/>
      </c>
      <c r="M897" s="102"/>
    </row>
    <row r="898">
      <c r="A898" s="44"/>
      <c r="B898" s="102"/>
      <c r="C898" s="102"/>
      <c r="D898" s="102"/>
      <c r="E898" s="443"/>
      <c r="F898" s="443"/>
      <c r="G898" s="453"/>
      <c r="H898" s="453"/>
      <c r="I898" s="453"/>
      <c r="J898" s="106"/>
      <c r="K898" s="106" t="str">
        <f>IF(ISBLANK(I898), "", VLOOKUP(A898&amp;" "&amp;B898, 'Info Tipo de Cambio y REM'!$A$24:$B$35, 2, FALSE))</f>
        <v/>
      </c>
      <c r="L898" s="107" t="str">
        <f t="shared" si="2"/>
        <v/>
      </c>
      <c r="M898" s="102"/>
    </row>
    <row r="899">
      <c r="A899" s="44"/>
      <c r="B899" s="102"/>
      <c r="C899" s="102"/>
      <c r="D899" s="102"/>
      <c r="E899" s="443"/>
      <c r="F899" s="443"/>
      <c r="G899" s="453"/>
      <c r="H899" s="453"/>
      <c r="I899" s="453"/>
      <c r="J899" s="106"/>
      <c r="K899" s="106" t="str">
        <f>IF(ISBLANK(I899), "", VLOOKUP(A899&amp;" "&amp;B899, 'Info Tipo de Cambio y REM'!$A$24:$B$35, 2, FALSE))</f>
        <v/>
      </c>
      <c r="L899" s="107" t="str">
        <f t="shared" si="2"/>
        <v/>
      </c>
      <c r="M899" s="102"/>
    </row>
    <row r="900">
      <c r="A900" s="44"/>
      <c r="B900" s="102"/>
      <c r="C900" s="102"/>
      <c r="D900" s="102"/>
      <c r="E900" s="443"/>
      <c r="F900" s="443"/>
      <c r="G900" s="453"/>
      <c r="H900" s="453"/>
      <c r="I900" s="453"/>
      <c r="J900" s="106"/>
      <c r="K900" s="106" t="str">
        <f>IF(ISBLANK(I900), "", VLOOKUP(A900&amp;" "&amp;B900, 'Info Tipo de Cambio y REM'!$A$24:$B$35, 2, FALSE))</f>
        <v/>
      </c>
      <c r="L900" s="107" t="str">
        <f t="shared" si="2"/>
        <v/>
      </c>
      <c r="M900" s="102"/>
    </row>
    <row r="901">
      <c r="A901" s="44"/>
      <c r="B901" s="102"/>
      <c r="C901" s="102"/>
      <c r="D901" s="102"/>
      <c r="E901" s="443"/>
      <c r="F901" s="443"/>
      <c r="G901" s="453"/>
      <c r="H901" s="453"/>
      <c r="I901" s="453"/>
      <c r="J901" s="106"/>
      <c r="K901" s="106" t="str">
        <f>IF(ISBLANK(I901), "", VLOOKUP(A901&amp;" "&amp;B901, 'Info Tipo de Cambio y REM'!$A$24:$B$35, 2, FALSE))</f>
        <v/>
      </c>
      <c r="L901" s="107" t="str">
        <f t="shared" si="2"/>
        <v/>
      </c>
      <c r="M901" s="102"/>
    </row>
    <row r="902">
      <c r="A902" s="44"/>
      <c r="B902" s="102"/>
      <c r="C902" s="102"/>
      <c r="D902" s="102"/>
      <c r="E902" s="443"/>
      <c r="F902" s="443"/>
      <c r="G902" s="453"/>
      <c r="H902" s="453"/>
      <c r="I902" s="453"/>
      <c r="J902" s="106"/>
      <c r="K902" s="106" t="str">
        <f>IF(ISBLANK(I902), "", VLOOKUP(A902&amp;" "&amp;B902, 'Info Tipo de Cambio y REM'!$A$24:$B$35, 2, FALSE))</f>
        <v/>
      </c>
      <c r="L902" s="107" t="str">
        <f t="shared" si="2"/>
        <v/>
      </c>
      <c r="M902" s="102"/>
    </row>
    <row r="903">
      <c r="A903" s="44"/>
      <c r="B903" s="102"/>
      <c r="C903" s="102"/>
      <c r="D903" s="102"/>
      <c r="E903" s="443"/>
      <c r="F903" s="443"/>
      <c r="G903" s="453"/>
      <c r="H903" s="453"/>
      <c r="I903" s="453"/>
      <c r="J903" s="106"/>
      <c r="K903" s="106" t="str">
        <f>IF(ISBLANK(I903), "", VLOOKUP(A903&amp;" "&amp;B903, 'Info Tipo de Cambio y REM'!$A$24:$B$35, 2, FALSE))</f>
        <v/>
      </c>
      <c r="L903" s="107" t="str">
        <f t="shared" si="2"/>
        <v/>
      </c>
      <c r="M903" s="102"/>
    </row>
    <row r="904">
      <c r="A904" s="44"/>
      <c r="B904" s="102"/>
      <c r="C904" s="102"/>
      <c r="D904" s="102"/>
      <c r="E904" s="443"/>
      <c r="F904" s="443"/>
      <c r="G904" s="453"/>
      <c r="H904" s="453"/>
      <c r="I904" s="453"/>
      <c r="J904" s="106"/>
      <c r="K904" s="106" t="str">
        <f>IF(ISBLANK(I904), "", VLOOKUP(A904&amp;" "&amp;B904, 'Info Tipo de Cambio y REM'!$A$24:$B$35, 2, FALSE))</f>
        <v/>
      </c>
      <c r="L904" s="107" t="str">
        <f t="shared" si="2"/>
        <v/>
      </c>
      <c r="M904" s="102"/>
    </row>
    <row r="905">
      <c r="A905" s="44"/>
      <c r="B905" s="102"/>
      <c r="C905" s="102"/>
      <c r="D905" s="102"/>
      <c r="E905" s="443"/>
      <c r="F905" s="443"/>
      <c r="G905" s="453"/>
      <c r="H905" s="453"/>
      <c r="I905" s="453"/>
      <c r="J905" s="106"/>
      <c r="K905" s="106" t="str">
        <f>IF(ISBLANK(I905), "", VLOOKUP(A905&amp;" "&amp;B905, 'Info Tipo de Cambio y REM'!$A$24:$B$35, 2, FALSE))</f>
        <v/>
      </c>
      <c r="L905" s="107" t="str">
        <f t="shared" si="2"/>
        <v/>
      </c>
      <c r="M905" s="102"/>
    </row>
    <row r="906">
      <c r="A906" s="44"/>
      <c r="B906" s="102"/>
      <c r="C906" s="102"/>
      <c r="D906" s="102"/>
      <c r="E906" s="443"/>
      <c r="F906" s="443"/>
      <c r="G906" s="453"/>
      <c r="H906" s="453"/>
      <c r="I906" s="453"/>
      <c r="J906" s="106"/>
      <c r="K906" s="106" t="str">
        <f>IF(ISBLANK(I906), "", VLOOKUP(A906&amp;" "&amp;B906, 'Info Tipo de Cambio y REM'!$A$24:$B$35, 2, FALSE))</f>
        <v/>
      </c>
      <c r="L906" s="107" t="str">
        <f t="shared" si="2"/>
        <v/>
      </c>
      <c r="M906" s="102"/>
    </row>
    <row r="907">
      <c r="A907" s="44"/>
      <c r="B907" s="102"/>
      <c r="C907" s="102"/>
      <c r="D907" s="102"/>
      <c r="E907" s="443"/>
      <c r="F907" s="443"/>
      <c r="G907" s="453"/>
      <c r="H907" s="453"/>
      <c r="I907" s="453"/>
      <c r="J907" s="106"/>
      <c r="K907" s="106" t="str">
        <f>IF(ISBLANK(I907), "", VLOOKUP(A907&amp;" "&amp;B907, 'Info Tipo de Cambio y REM'!$A$24:$B$35, 2, FALSE))</f>
        <v/>
      </c>
      <c r="L907" s="107" t="str">
        <f t="shared" si="2"/>
        <v/>
      </c>
      <c r="M907" s="102"/>
    </row>
    <row r="908">
      <c r="A908" s="44"/>
      <c r="B908" s="102"/>
      <c r="C908" s="102"/>
      <c r="D908" s="102"/>
      <c r="E908" s="443"/>
      <c r="F908" s="443"/>
      <c r="G908" s="453"/>
      <c r="H908" s="453"/>
      <c r="I908" s="453"/>
      <c r="J908" s="106"/>
      <c r="K908" s="106" t="str">
        <f>IF(ISBLANK(I908), "", VLOOKUP(A908&amp;" "&amp;B908, 'Info Tipo de Cambio y REM'!$A$24:$B$35, 2, FALSE))</f>
        <v/>
      </c>
      <c r="L908" s="107" t="str">
        <f t="shared" si="2"/>
        <v/>
      </c>
      <c r="M908" s="102"/>
    </row>
    <row r="909">
      <c r="A909" s="44"/>
      <c r="B909" s="102"/>
      <c r="C909" s="102"/>
      <c r="D909" s="102"/>
      <c r="E909" s="443"/>
      <c r="F909" s="443"/>
      <c r="G909" s="453"/>
      <c r="H909" s="453"/>
      <c r="I909" s="453"/>
      <c r="J909" s="106"/>
      <c r="K909" s="106" t="str">
        <f>IF(ISBLANK(I909), "", VLOOKUP(A909&amp;" "&amp;B909, 'Info Tipo de Cambio y REM'!$A$24:$B$35, 2, FALSE))</f>
        <v/>
      </c>
      <c r="L909" s="107" t="str">
        <f t="shared" si="2"/>
        <v/>
      </c>
      <c r="M909" s="102"/>
    </row>
    <row r="910">
      <c r="A910" s="44"/>
      <c r="B910" s="102"/>
      <c r="C910" s="102"/>
      <c r="D910" s="102"/>
      <c r="E910" s="443"/>
      <c r="F910" s="443"/>
      <c r="G910" s="453"/>
      <c r="H910" s="453"/>
      <c r="I910" s="453"/>
      <c r="J910" s="106"/>
      <c r="K910" s="106" t="str">
        <f>IF(ISBLANK(I910), "", VLOOKUP(A910&amp;" "&amp;B910, 'Info Tipo de Cambio y REM'!$A$24:$B$35, 2, FALSE))</f>
        <v/>
      </c>
      <c r="L910" s="107" t="str">
        <f t="shared" si="2"/>
        <v/>
      </c>
      <c r="M910" s="102"/>
    </row>
    <row r="911">
      <c r="A911" s="44"/>
      <c r="B911" s="102"/>
      <c r="C911" s="102"/>
      <c r="D911" s="102"/>
      <c r="E911" s="443"/>
      <c r="F911" s="443"/>
      <c r="G911" s="453"/>
      <c r="H911" s="453"/>
      <c r="I911" s="453"/>
      <c r="J911" s="106"/>
      <c r="K911" s="106" t="str">
        <f>IF(ISBLANK(I911), "", VLOOKUP(A911&amp;" "&amp;B911, 'Info Tipo de Cambio y REM'!$A$24:$B$35, 2, FALSE))</f>
        <v/>
      </c>
      <c r="L911" s="107" t="str">
        <f t="shared" si="2"/>
        <v/>
      </c>
      <c r="M911" s="102"/>
    </row>
    <row r="912">
      <c r="A912" s="44"/>
      <c r="B912" s="102"/>
      <c r="C912" s="102"/>
      <c r="D912" s="102"/>
      <c r="E912" s="443"/>
      <c r="F912" s="443"/>
      <c r="G912" s="453"/>
      <c r="H912" s="453"/>
      <c r="I912" s="453"/>
      <c r="J912" s="106"/>
      <c r="K912" s="106" t="str">
        <f>IF(ISBLANK(I912), "", VLOOKUP(A912&amp;" "&amp;B912, 'Info Tipo de Cambio y REM'!$A$24:$B$35, 2, FALSE))</f>
        <v/>
      </c>
      <c r="L912" s="107" t="str">
        <f t="shared" si="2"/>
        <v/>
      </c>
      <c r="M912" s="102"/>
    </row>
    <row r="913">
      <c r="A913" s="44"/>
      <c r="B913" s="102"/>
      <c r="C913" s="102"/>
      <c r="D913" s="102"/>
      <c r="E913" s="443"/>
      <c r="F913" s="443"/>
      <c r="G913" s="453"/>
      <c r="H913" s="453"/>
      <c r="I913" s="453"/>
      <c r="J913" s="106"/>
      <c r="K913" s="106" t="str">
        <f>IF(ISBLANK(I913), "", VLOOKUP(A913&amp;" "&amp;B913, 'Info Tipo de Cambio y REM'!$A$24:$B$35, 2, FALSE))</f>
        <v/>
      </c>
      <c r="L913" s="107" t="str">
        <f t="shared" si="2"/>
        <v/>
      </c>
      <c r="M913" s="102"/>
    </row>
    <row r="914">
      <c r="A914" s="44"/>
      <c r="B914" s="102"/>
      <c r="C914" s="102"/>
      <c r="D914" s="102"/>
      <c r="E914" s="443"/>
      <c r="F914" s="443"/>
      <c r="G914" s="453"/>
      <c r="H914" s="453"/>
      <c r="I914" s="453"/>
      <c r="J914" s="106"/>
      <c r="K914" s="106" t="str">
        <f>IF(ISBLANK(I914), "", VLOOKUP(A914&amp;" "&amp;B914, 'Info Tipo de Cambio y REM'!$A$24:$B$35, 2, FALSE))</f>
        <v/>
      </c>
      <c r="L914" s="107" t="str">
        <f t="shared" si="2"/>
        <v/>
      </c>
      <c r="M914" s="102"/>
    </row>
    <row r="915">
      <c r="A915" s="44"/>
      <c r="B915" s="102"/>
      <c r="C915" s="102"/>
      <c r="D915" s="102"/>
      <c r="E915" s="443"/>
      <c r="F915" s="443"/>
      <c r="G915" s="453"/>
      <c r="H915" s="453"/>
      <c r="I915" s="453"/>
      <c r="J915" s="106"/>
      <c r="K915" s="106" t="str">
        <f>IF(ISBLANK(I915), "", VLOOKUP(A915&amp;" "&amp;B915, 'Info Tipo de Cambio y REM'!$A$24:$B$35, 2, FALSE))</f>
        <v/>
      </c>
      <c r="L915" s="107" t="str">
        <f t="shared" si="2"/>
        <v/>
      </c>
      <c r="M915" s="102"/>
    </row>
    <row r="916">
      <c r="A916" s="44"/>
      <c r="B916" s="102"/>
      <c r="C916" s="102"/>
      <c r="D916" s="102"/>
      <c r="E916" s="443"/>
      <c r="F916" s="443"/>
      <c r="G916" s="453"/>
      <c r="H916" s="453"/>
      <c r="I916" s="453"/>
      <c r="J916" s="106"/>
      <c r="K916" s="106" t="str">
        <f>IF(ISBLANK(I916), "", VLOOKUP(A916&amp;" "&amp;B916, 'Info Tipo de Cambio y REM'!$A$24:$B$35, 2, FALSE))</f>
        <v/>
      </c>
      <c r="L916" s="107" t="str">
        <f t="shared" si="2"/>
        <v/>
      </c>
      <c r="M916" s="102"/>
    </row>
    <row r="917">
      <c r="A917" s="44"/>
      <c r="B917" s="102"/>
      <c r="C917" s="102"/>
      <c r="D917" s="102"/>
      <c r="E917" s="443"/>
      <c r="F917" s="443"/>
      <c r="G917" s="453"/>
      <c r="H917" s="453"/>
      <c r="I917" s="453"/>
      <c r="J917" s="106"/>
      <c r="K917" s="106" t="str">
        <f>IF(ISBLANK(I917), "", VLOOKUP(A917&amp;" "&amp;B917, 'Info Tipo de Cambio y REM'!$A$24:$B$35, 2, FALSE))</f>
        <v/>
      </c>
      <c r="L917" s="107" t="str">
        <f t="shared" si="2"/>
        <v/>
      </c>
      <c r="M917" s="102"/>
    </row>
    <row r="918">
      <c r="A918" s="44"/>
      <c r="B918" s="102"/>
      <c r="C918" s="102"/>
      <c r="D918" s="102"/>
      <c r="E918" s="443"/>
      <c r="F918" s="443"/>
      <c r="G918" s="453"/>
      <c r="H918" s="453"/>
      <c r="I918" s="453"/>
      <c r="J918" s="106"/>
      <c r="K918" s="106" t="str">
        <f>IF(ISBLANK(I918), "", VLOOKUP(A918&amp;" "&amp;B918, 'Info Tipo de Cambio y REM'!$A$24:$B$35, 2, FALSE))</f>
        <v/>
      </c>
      <c r="L918" s="107" t="str">
        <f t="shared" si="2"/>
        <v/>
      </c>
      <c r="M918" s="102"/>
    </row>
    <row r="919">
      <c r="A919" s="44"/>
      <c r="B919" s="102"/>
      <c r="C919" s="102"/>
      <c r="D919" s="102"/>
      <c r="E919" s="443"/>
      <c r="F919" s="443"/>
      <c r="G919" s="453"/>
      <c r="H919" s="453"/>
      <c r="I919" s="453"/>
      <c r="J919" s="106"/>
      <c r="K919" s="106" t="str">
        <f>IF(ISBLANK(I919), "", VLOOKUP(A919&amp;" "&amp;B919, 'Info Tipo de Cambio y REM'!$A$24:$B$35, 2, FALSE))</f>
        <v/>
      </c>
      <c r="L919" s="107" t="str">
        <f t="shared" si="2"/>
        <v/>
      </c>
      <c r="M919" s="102"/>
    </row>
    <row r="920">
      <c r="A920" s="44"/>
      <c r="B920" s="102"/>
      <c r="C920" s="102"/>
      <c r="D920" s="102"/>
      <c r="E920" s="443"/>
      <c r="F920" s="443"/>
      <c r="G920" s="453"/>
      <c r="H920" s="453"/>
      <c r="I920" s="453"/>
      <c r="J920" s="106"/>
      <c r="K920" s="106" t="str">
        <f>IF(ISBLANK(I920), "", VLOOKUP(A920&amp;" "&amp;B920, 'Info Tipo de Cambio y REM'!$A$24:$B$35, 2, FALSE))</f>
        <v/>
      </c>
      <c r="L920" s="107" t="str">
        <f t="shared" si="2"/>
        <v/>
      </c>
      <c r="M920" s="102"/>
    </row>
    <row r="921">
      <c r="A921" s="44"/>
      <c r="B921" s="102"/>
      <c r="C921" s="102"/>
      <c r="D921" s="102"/>
      <c r="E921" s="443"/>
      <c r="F921" s="443"/>
      <c r="G921" s="453"/>
      <c r="H921" s="453"/>
      <c r="I921" s="453"/>
      <c r="J921" s="106"/>
      <c r="K921" s="106" t="str">
        <f>IF(ISBLANK(I921), "", VLOOKUP(A921&amp;" "&amp;B921, 'Info Tipo de Cambio y REM'!$A$24:$B$35, 2, FALSE))</f>
        <v/>
      </c>
      <c r="L921" s="107" t="str">
        <f t="shared" si="2"/>
        <v/>
      </c>
      <c r="M921" s="102"/>
    </row>
    <row r="922">
      <c r="A922" s="44"/>
      <c r="B922" s="102"/>
      <c r="C922" s="102"/>
      <c r="D922" s="102"/>
      <c r="E922" s="443"/>
      <c r="F922" s="443"/>
      <c r="G922" s="453"/>
      <c r="H922" s="453"/>
      <c r="I922" s="453"/>
      <c r="J922" s="106"/>
      <c r="K922" s="106" t="str">
        <f>IF(ISBLANK(I922), "", VLOOKUP(A922&amp;" "&amp;B922, 'Info Tipo de Cambio y REM'!$A$24:$B$35, 2, FALSE))</f>
        <v/>
      </c>
      <c r="L922" s="107" t="str">
        <f t="shared" si="2"/>
        <v/>
      </c>
      <c r="M922" s="102"/>
    </row>
    <row r="923">
      <c r="A923" s="44"/>
      <c r="B923" s="102"/>
      <c r="C923" s="102"/>
      <c r="D923" s="102"/>
      <c r="E923" s="443"/>
      <c r="F923" s="443"/>
      <c r="G923" s="453"/>
      <c r="H923" s="453"/>
      <c r="I923" s="453"/>
      <c r="J923" s="106"/>
      <c r="K923" s="106" t="str">
        <f>IF(ISBLANK(I923), "", VLOOKUP(A923&amp;" "&amp;B923, 'Info Tipo de Cambio y REM'!$A$24:$B$35, 2, FALSE))</f>
        <v/>
      </c>
      <c r="L923" s="107" t="str">
        <f t="shared" si="2"/>
        <v/>
      </c>
      <c r="M923" s="102"/>
    </row>
    <row r="924">
      <c r="A924" s="44"/>
      <c r="B924" s="102"/>
      <c r="C924" s="102"/>
      <c r="D924" s="102"/>
      <c r="E924" s="443"/>
      <c r="F924" s="443"/>
      <c r="G924" s="453"/>
      <c r="H924" s="453"/>
      <c r="I924" s="453"/>
      <c r="J924" s="106"/>
      <c r="K924" s="106" t="str">
        <f>IF(ISBLANK(I924), "", VLOOKUP(A924&amp;" "&amp;B924, 'Info Tipo de Cambio y REM'!$A$24:$B$35, 2, FALSE))</f>
        <v/>
      </c>
      <c r="L924" s="107" t="str">
        <f t="shared" si="2"/>
        <v/>
      </c>
      <c r="M924" s="102"/>
    </row>
    <row r="925">
      <c r="A925" s="44"/>
      <c r="B925" s="102"/>
      <c r="C925" s="102"/>
      <c r="D925" s="102"/>
      <c r="E925" s="443"/>
      <c r="F925" s="443"/>
      <c r="G925" s="453"/>
      <c r="H925" s="453"/>
      <c r="I925" s="453"/>
      <c r="J925" s="106"/>
      <c r="K925" s="106" t="str">
        <f>IF(ISBLANK(I925), "", VLOOKUP(A925&amp;" "&amp;B925, 'Info Tipo de Cambio y REM'!$A$24:$B$35, 2, FALSE))</f>
        <v/>
      </c>
      <c r="L925" s="107" t="str">
        <f t="shared" si="2"/>
        <v/>
      </c>
      <c r="M925" s="102"/>
    </row>
    <row r="926">
      <c r="A926" s="44"/>
      <c r="B926" s="102"/>
      <c r="C926" s="102"/>
      <c r="D926" s="102"/>
      <c r="E926" s="443"/>
      <c r="F926" s="443"/>
      <c r="G926" s="453"/>
      <c r="H926" s="453"/>
      <c r="I926" s="453"/>
      <c r="J926" s="106"/>
      <c r="K926" s="106" t="str">
        <f>IF(ISBLANK(I926), "", VLOOKUP(A926&amp;" "&amp;B926, 'Info Tipo de Cambio y REM'!$A$24:$B$35, 2, FALSE))</f>
        <v/>
      </c>
      <c r="L926" s="107" t="str">
        <f t="shared" si="2"/>
        <v/>
      </c>
      <c r="M926" s="102"/>
    </row>
    <row r="927">
      <c r="A927" s="44"/>
      <c r="B927" s="102"/>
      <c r="C927" s="102"/>
      <c r="D927" s="102"/>
      <c r="E927" s="443"/>
      <c r="F927" s="443"/>
      <c r="G927" s="453"/>
      <c r="H927" s="453"/>
      <c r="I927" s="453"/>
      <c r="J927" s="106"/>
      <c r="K927" s="106" t="str">
        <f>IF(ISBLANK(I927), "", VLOOKUP(A927&amp;" "&amp;B927, 'Info Tipo de Cambio y REM'!$A$24:$B$35, 2, FALSE))</f>
        <v/>
      </c>
      <c r="L927" s="107" t="str">
        <f t="shared" si="2"/>
        <v/>
      </c>
      <c r="M927" s="102"/>
    </row>
    <row r="928">
      <c r="A928" s="44"/>
      <c r="B928" s="102"/>
      <c r="C928" s="102"/>
      <c r="D928" s="102"/>
      <c r="E928" s="443"/>
      <c r="F928" s="443"/>
      <c r="G928" s="453"/>
      <c r="H928" s="453"/>
      <c r="I928" s="453"/>
      <c r="J928" s="106"/>
      <c r="K928" s="106" t="str">
        <f>IF(ISBLANK(I928), "", VLOOKUP(A928&amp;" "&amp;B928, 'Info Tipo de Cambio y REM'!$A$24:$B$35, 2, FALSE))</f>
        <v/>
      </c>
      <c r="L928" s="107" t="str">
        <f t="shared" si="2"/>
        <v/>
      </c>
      <c r="M928" s="102"/>
    </row>
    <row r="929">
      <c r="A929" s="44"/>
      <c r="B929" s="102"/>
      <c r="C929" s="102"/>
      <c r="D929" s="102"/>
      <c r="E929" s="443"/>
      <c r="F929" s="443"/>
      <c r="G929" s="453"/>
      <c r="H929" s="453"/>
      <c r="I929" s="453"/>
      <c r="J929" s="106"/>
      <c r="K929" s="106" t="str">
        <f>IF(ISBLANK(I929), "", VLOOKUP(A929&amp;" "&amp;B929, 'Info Tipo de Cambio y REM'!$A$24:$B$35, 2, FALSE))</f>
        <v/>
      </c>
      <c r="L929" s="107" t="str">
        <f t="shared" si="2"/>
        <v/>
      </c>
      <c r="M929" s="102"/>
    </row>
    <row r="930">
      <c r="A930" s="44"/>
      <c r="B930" s="102"/>
      <c r="C930" s="102"/>
      <c r="D930" s="102"/>
      <c r="E930" s="443"/>
      <c r="F930" s="443"/>
      <c r="G930" s="453"/>
      <c r="H930" s="453"/>
      <c r="I930" s="453"/>
      <c r="J930" s="106"/>
      <c r="K930" s="106" t="str">
        <f>IF(ISBLANK(I930), "", VLOOKUP(A930&amp;" "&amp;B930, 'Info Tipo de Cambio y REM'!$A$24:$B$35, 2, FALSE))</f>
        <v/>
      </c>
      <c r="L930" s="107" t="str">
        <f t="shared" si="2"/>
        <v/>
      </c>
      <c r="M930" s="102"/>
    </row>
    <row r="931">
      <c r="A931" s="44"/>
      <c r="B931" s="102"/>
      <c r="C931" s="102"/>
      <c r="D931" s="102"/>
      <c r="E931" s="443"/>
      <c r="F931" s="443"/>
      <c r="G931" s="453"/>
      <c r="H931" s="453"/>
      <c r="I931" s="453"/>
      <c r="J931" s="106"/>
      <c r="K931" s="106" t="str">
        <f>IF(ISBLANK(I931), "", VLOOKUP(A931&amp;" "&amp;B931, 'Info Tipo de Cambio y REM'!$A$24:$B$35, 2, FALSE))</f>
        <v/>
      </c>
      <c r="L931" s="107" t="str">
        <f t="shared" si="2"/>
        <v/>
      </c>
      <c r="M931" s="102"/>
    </row>
    <row r="932">
      <c r="A932" s="44"/>
      <c r="B932" s="102"/>
      <c r="C932" s="102"/>
      <c r="D932" s="102"/>
      <c r="E932" s="443"/>
      <c r="F932" s="443"/>
      <c r="G932" s="453"/>
      <c r="H932" s="453"/>
      <c r="I932" s="453"/>
      <c r="J932" s="106"/>
      <c r="K932" s="106" t="str">
        <f>IF(ISBLANK(I932), "", VLOOKUP(A932&amp;" "&amp;B932, 'Info Tipo de Cambio y REM'!$A$24:$B$35, 2, FALSE))</f>
        <v/>
      </c>
      <c r="L932" s="107" t="str">
        <f t="shared" si="2"/>
        <v/>
      </c>
      <c r="M932" s="102"/>
    </row>
    <row r="933">
      <c r="A933" s="44"/>
      <c r="B933" s="102"/>
      <c r="C933" s="102"/>
      <c r="D933" s="102"/>
      <c r="E933" s="443"/>
      <c r="F933" s="443"/>
      <c r="G933" s="453"/>
      <c r="H933" s="453"/>
      <c r="I933" s="453"/>
      <c r="J933" s="106"/>
      <c r="K933" s="106" t="str">
        <f>IF(ISBLANK(I933), "", VLOOKUP(A933&amp;" "&amp;B933, 'Info Tipo de Cambio y REM'!$A$24:$B$35, 2, FALSE))</f>
        <v/>
      </c>
      <c r="L933" s="107" t="str">
        <f t="shared" si="2"/>
        <v/>
      </c>
      <c r="M933" s="102"/>
    </row>
    <row r="934">
      <c r="A934" s="44"/>
      <c r="B934" s="102"/>
      <c r="C934" s="102"/>
      <c r="D934" s="102"/>
      <c r="E934" s="443"/>
      <c r="F934" s="443"/>
      <c r="G934" s="453"/>
      <c r="H934" s="453"/>
      <c r="I934" s="453"/>
      <c r="J934" s="106"/>
      <c r="K934" s="106" t="str">
        <f>IF(ISBLANK(I934), "", VLOOKUP(A934&amp;" "&amp;B934, 'Info Tipo de Cambio y REM'!$A$24:$B$35, 2, FALSE))</f>
        <v/>
      </c>
      <c r="L934" s="107" t="str">
        <f t="shared" si="2"/>
        <v/>
      </c>
      <c r="M934" s="102"/>
    </row>
    <row r="935">
      <c r="A935" s="44"/>
      <c r="B935" s="102"/>
      <c r="C935" s="102"/>
      <c r="D935" s="102"/>
      <c r="E935" s="443"/>
      <c r="F935" s="443"/>
      <c r="G935" s="453"/>
      <c r="H935" s="453"/>
      <c r="I935" s="453"/>
      <c r="J935" s="106"/>
      <c r="K935" s="106" t="str">
        <f>IF(ISBLANK(I935), "", VLOOKUP(A935&amp;" "&amp;B935, 'Info Tipo de Cambio y REM'!$A$24:$B$35, 2, FALSE))</f>
        <v/>
      </c>
      <c r="L935" s="107" t="str">
        <f t="shared" si="2"/>
        <v/>
      </c>
      <c r="M935" s="102"/>
    </row>
    <row r="936">
      <c r="A936" s="44"/>
      <c r="B936" s="102"/>
      <c r="C936" s="102"/>
      <c r="D936" s="102"/>
      <c r="E936" s="443"/>
      <c r="F936" s="443"/>
      <c r="G936" s="453"/>
      <c r="H936" s="453"/>
      <c r="I936" s="453"/>
      <c r="J936" s="106"/>
      <c r="K936" s="106" t="str">
        <f>IF(ISBLANK(I936), "", VLOOKUP(A936&amp;" "&amp;B936, 'Info Tipo de Cambio y REM'!$A$24:$B$35, 2, FALSE))</f>
        <v/>
      </c>
      <c r="L936" s="107" t="str">
        <f t="shared" si="2"/>
        <v/>
      </c>
      <c r="M936" s="102"/>
    </row>
    <row r="937">
      <c r="A937" s="44"/>
      <c r="B937" s="102"/>
      <c r="C937" s="102"/>
      <c r="D937" s="102"/>
      <c r="E937" s="443"/>
      <c r="F937" s="443"/>
      <c r="G937" s="453"/>
      <c r="H937" s="453"/>
      <c r="I937" s="453"/>
      <c r="J937" s="106"/>
      <c r="K937" s="106" t="str">
        <f>IF(ISBLANK(I937), "", VLOOKUP(A937&amp;" "&amp;B937, 'Info Tipo de Cambio y REM'!$A$24:$B$35, 2, FALSE))</f>
        <v/>
      </c>
      <c r="L937" s="107" t="str">
        <f t="shared" si="2"/>
        <v/>
      </c>
      <c r="M937" s="102"/>
    </row>
    <row r="938">
      <c r="A938" s="44"/>
      <c r="B938" s="102"/>
      <c r="C938" s="102"/>
      <c r="D938" s="102"/>
      <c r="E938" s="443"/>
      <c r="F938" s="443"/>
      <c r="G938" s="453"/>
      <c r="H938" s="453"/>
      <c r="I938" s="453"/>
      <c r="J938" s="106"/>
      <c r="K938" s="106" t="str">
        <f>IF(ISBLANK(I938), "", VLOOKUP(A938&amp;" "&amp;B938, 'Info Tipo de Cambio y REM'!$A$24:$B$35, 2, FALSE))</f>
        <v/>
      </c>
      <c r="L938" s="107" t="str">
        <f t="shared" si="2"/>
        <v/>
      </c>
      <c r="M938" s="102"/>
    </row>
    <row r="939">
      <c r="A939" s="44"/>
      <c r="B939" s="102"/>
      <c r="C939" s="102"/>
      <c r="D939" s="102"/>
      <c r="E939" s="443"/>
      <c r="F939" s="443"/>
      <c r="G939" s="453"/>
      <c r="H939" s="453"/>
      <c r="I939" s="453"/>
      <c r="J939" s="106"/>
      <c r="K939" s="106" t="str">
        <f>IF(ISBLANK(I939), "", VLOOKUP(A939&amp;" "&amp;B939, 'Info Tipo de Cambio y REM'!$A$24:$B$35, 2, FALSE))</f>
        <v/>
      </c>
      <c r="L939" s="107" t="str">
        <f t="shared" si="2"/>
        <v/>
      </c>
      <c r="M939" s="102"/>
    </row>
    <row r="940">
      <c r="A940" s="44"/>
      <c r="B940" s="102"/>
      <c r="C940" s="102"/>
      <c r="D940" s="102"/>
      <c r="E940" s="443"/>
      <c r="F940" s="443"/>
      <c r="G940" s="453"/>
      <c r="H940" s="453"/>
      <c r="I940" s="453"/>
      <c r="J940" s="106"/>
      <c r="K940" s="106" t="str">
        <f>IF(ISBLANK(I940), "", VLOOKUP(A940&amp;" "&amp;B940, 'Info Tipo de Cambio y REM'!$A$24:$B$35, 2, FALSE))</f>
        <v/>
      </c>
      <c r="L940" s="107" t="str">
        <f t="shared" si="2"/>
        <v/>
      </c>
      <c r="M940" s="102"/>
    </row>
    <row r="941">
      <c r="A941" s="44"/>
      <c r="B941" s="102"/>
      <c r="C941" s="102"/>
      <c r="D941" s="102"/>
      <c r="E941" s="443"/>
      <c r="F941" s="443"/>
      <c r="G941" s="453"/>
      <c r="H941" s="453"/>
      <c r="I941" s="453"/>
      <c r="J941" s="106"/>
      <c r="K941" s="106" t="str">
        <f>IF(ISBLANK(I941), "", VLOOKUP(A941&amp;" "&amp;B941, 'Info Tipo de Cambio y REM'!$A$24:$B$35, 2, FALSE))</f>
        <v/>
      </c>
      <c r="L941" s="107" t="str">
        <f t="shared" si="2"/>
        <v/>
      </c>
      <c r="M941" s="102"/>
    </row>
    <row r="942">
      <c r="A942" s="44"/>
      <c r="B942" s="102"/>
      <c r="C942" s="102"/>
      <c r="D942" s="102"/>
      <c r="E942" s="443"/>
      <c r="F942" s="443"/>
      <c r="G942" s="453"/>
      <c r="H942" s="453"/>
      <c r="I942" s="453"/>
      <c r="J942" s="106"/>
      <c r="K942" s="106" t="str">
        <f>IF(ISBLANK(I942), "", VLOOKUP(A942&amp;" "&amp;B942, 'Info Tipo de Cambio y REM'!$A$24:$B$35, 2, FALSE))</f>
        <v/>
      </c>
      <c r="L942" s="107" t="str">
        <f t="shared" si="2"/>
        <v/>
      </c>
      <c r="M942" s="102"/>
    </row>
    <row r="943">
      <c r="A943" s="44"/>
      <c r="B943" s="102"/>
      <c r="C943" s="102"/>
      <c r="D943" s="102"/>
      <c r="E943" s="443"/>
      <c r="F943" s="443"/>
      <c r="G943" s="453"/>
      <c r="H943" s="453"/>
      <c r="I943" s="453"/>
      <c r="J943" s="106"/>
      <c r="K943" s="106" t="str">
        <f>IF(ISBLANK(I943), "", VLOOKUP(A943&amp;" "&amp;B943, 'Info Tipo de Cambio y REM'!$A$24:$B$35, 2, FALSE))</f>
        <v/>
      </c>
      <c r="L943" s="107" t="str">
        <f t="shared" si="2"/>
        <v/>
      </c>
      <c r="M943" s="102"/>
    </row>
    <row r="944">
      <c r="A944" s="44"/>
      <c r="B944" s="102"/>
      <c r="C944" s="102"/>
      <c r="D944" s="102"/>
      <c r="E944" s="443"/>
      <c r="F944" s="443"/>
      <c r="G944" s="453"/>
      <c r="H944" s="453"/>
      <c r="I944" s="453"/>
      <c r="J944" s="106"/>
      <c r="K944" s="106" t="str">
        <f>IF(ISBLANK(I944), "", VLOOKUP(A944&amp;" "&amp;B944, 'Info Tipo de Cambio y REM'!$A$24:$B$35, 2, FALSE))</f>
        <v/>
      </c>
      <c r="L944" s="107" t="str">
        <f t="shared" si="2"/>
        <v/>
      </c>
      <c r="M944" s="102"/>
    </row>
    <row r="945">
      <c r="A945" s="44"/>
      <c r="B945" s="102"/>
      <c r="C945" s="102"/>
      <c r="D945" s="102"/>
      <c r="E945" s="443"/>
      <c r="F945" s="443"/>
      <c r="G945" s="453"/>
      <c r="H945" s="453"/>
      <c r="I945" s="453"/>
      <c r="J945" s="106"/>
      <c r="K945" s="106" t="str">
        <f>IF(ISBLANK(I945), "", VLOOKUP(A945&amp;" "&amp;B945, 'Info Tipo de Cambio y REM'!$A$24:$B$35, 2, FALSE))</f>
        <v/>
      </c>
      <c r="L945" s="107" t="str">
        <f t="shared" si="2"/>
        <v/>
      </c>
      <c r="M945" s="102"/>
    </row>
    <row r="946">
      <c r="A946" s="44"/>
      <c r="B946" s="102"/>
      <c r="C946" s="102"/>
      <c r="D946" s="102"/>
      <c r="E946" s="443"/>
      <c r="F946" s="443"/>
      <c r="G946" s="453"/>
      <c r="H946" s="453"/>
      <c r="I946" s="453"/>
      <c r="J946" s="106"/>
      <c r="K946" s="106" t="str">
        <f>IF(ISBLANK(I946), "", VLOOKUP(A946&amp;" "&amp;B946, 'Info Tipo de Cambio y REM'!$A$24:$B$35, 2, FALSE))</f>
        <v/>
      </c>
      <c r="L946" s="107" t="str">
        <f t="shared" si="2"/>
        <v/>
      </c>
      <c r="M946" s="102"/>
    </row>
    <row r="947">
      <c r="A947" s="44"/>
      <c r="B947" s="102"/>
      <c r="C947" s="102"/>
      <c r="D947" s="102"/>
      <c r="E947" s="443"/>
      <c r="F947" s="443"/>
      <c r="G947" s="453"/>
      <c r="H947" s="453"/>
      <c r="I947" s="453"/>
      <c r="J947" s="106"/>
      <c r="K947" s="106" t="str">
        <f>IF(ISBLANK(I947), "", VLOOKUP(A947&amp;" "&amp;B947, 'Info Tipo de Cambio y REM'!$A$24:$B$35, 2, FALSE))</f>
        <v/>
      </c>
      <c r="L947" s="107" t="str">
        <f t="shared" si="2"/>
        <v/>
      </c>
      <c r="M947" s="102"/>
    </row>
    <row r="948">
      <c r="A948" s="44"/>
      <c r="B948" s="102"/>
      <c r="C948" s="102"/>
      <c r="D948" s="102"/>
      <c r="E948" s="443"/>
      <c r="F948" s="443"/>
      <c r="G948" s="453"/>
      <c r="H948" s="453"/>
      <c r="I948" s="453"/>
      <c r="J948" s="106"/>
      <c r="K948" s="106" t="str">
        <f>IF(ISBLANK(I948), "", VLOOKUP(A948&amp;" "&amp;B948, 'Info Tipo de Cambio y REM'!$A$24:$B$35, 2, FALSE))</f>
        <v/>
      </c>
      <c r="L948" s="107" t="str">
        <f t="shared" si="2"/>
        <v/>
      </c>
      <c r="M948" s="102"/>
    </row>
    <row r="949">
      <c r="A949" s="44"/>
      <c r="B949" s="102"/>
      <c r="C949" s="102"/>
      <c r="D949" s="102"/>
      <c r="E949" s="443"/>
      <c r="F949" s="443"/>
      <c r="G949" s="453"/>
      <c r="H949" s="453"/>
      <c r="I949" s="453"/>
      <c r="J949" s="106"/>
      <c r="K949" s="106" t="str">
        <f>IF(ISBLANK(I949), "", VLOOKUP(A949&amp;" "&amp;B949, 'Info Tipo de Cambio y REM'!$A$24:$B$35, 2, FALSE))</f>
        <v/>
      </c>
      <c r="L949" s="107" t="str">
        <f t="shared" si="2"/>
        <v/>
      </c>
      <c r="M949" s="102"/>
    </row>
    <row r="950">
      <c r="A950" s="44"/>
      <c r="B950" s="102"/>
      <c r="C950" s="102"/>
      <c r="D950" s="102"/>
      <c r="E950" s="443"/>
      <c r="F950" s="443"/>
      <c r="G950" s="453"/>
      <c r="H950" s="453"/>
      <c r="I950" s="453"/>
      <c r="J950" s="106"/>
      <c r="K950" s="106" t="str">
        <f>IF(ISBLANK(I950), "", VLOOKUP(A950&amp;" "&amp;B950, 'Info Tipo de Cambio y REM'!$A$24:$B$35, 2, FALSE))</f>
        <v/>
      </c>
      <c r="L950" s="107" t="str">
        <f t="shared" si="2"/>
        <v/>
      </c>
      <c r="M950" s="102"/>
    </row>
    <row r="951">
      <c r="A951" s="44"/>
      <c r="B951" s="102"/>
      <c r="C951" s="102"/>
      <c r="D951" s="102"/>
      <c r="E951" s="443"/>
      <c r="F951" s="443"/>
      <c r="G951" s="453"/>
      <c r="H951" s="453"/>
      <c r="I951" s="453"/>
      <c r="J951" s="106"/>
      <c r="K951" s="106" t="str">
        <f>IF(ISBLANK(I951), "", VLOOKUP(A951&amp;" "&amp;B951, 'Info Tipo de Cambio y REM'!$A$24:$B$35, 2, FALSE))</f>
        <v/>
      </c>
      <c r="L951" s="107" t="str">
        <f t="shared" si="2"/>
        <v/>
      </c>
      <c r="M951" s="102"/>
    </row>
    <row r="952">
      <c r="A952" s="44"/>
      <c r="B952" s="102"/>
      <c r="C952" s="102"/>
      <c r="D952" s="102"/>
      <c r="E952" s="443"/>
      <c r="F952" s="443"/>
      <c r="G952" s="453"/>
      <c r="H952" s="453"/>
      <c r="I952" s="453"/>
      <c r="J952" s="106"/>
      <c r="K952" s="106" t="str">
        <f>IF(ISBLANK(I952), "", VLOOKUP(A952&amp;" "&amp;B952, 'Info Tipo de Cambio y REM'!$A$24:$B$35, 2, FALSE))</f>
        <v/>
      </c>
      <c r="L952" s="107" t="str">
        <f t="shared" si="2"/>
        <v/>
      </c>
      <c r="M952" s="102"/>
    </row>
    <row r="953">
      <c r="A953" s="44"/>
      <c r="B953" s="102"/>
      <c r="C953" s="102"/>
      <c r="D953" s="102"/>
      <c r="E953" s="443"/>
      <c r="F953" s="443"/>
      <c r="G953" s="453"/>
      <c r="H953" s="453"/>
      <c r="I953" s="453"/>
      <c r="J953" s="106"/>
      <c r="K953" s="106" t="str">
        <f>IF(ISBLANK(I953), "", VLOOKUP(A953&amp;" "&amp;B953, 'Info Tipo de Cambio y REM'!$A$24:$B$35, 2, FALSE))</f>
        <v/>
      </c>
      <c r="L953" s="107" t="str">
        <f t="shared" si="2"/>
        <v/>
      </c>
      <c r="M953" s="102"/>
    </row>
    <row r="954">
      <c r="A954" s="44"/>
      <c r="B954" s="102"/>
      <c r="C954" s="102"/>
      <c r="D954" s="102"/>
      <c r="E954" s="443"/>
      <c r="F954" s="443"/>
      <c r="G954" s="453"/>
      <c r="H954" s="453"/>
      <c r="I954" s="453"/>
      <c r="J954" s="106"/>
      <c r="K954" s="106" t="str">
        <f>IF(ISBLANK(I954), "", VLOOKUP(A954&amp;" "&amp;B954, 'Info Tipo de Cambio y REM'!$A$24:$B$35, 2, FALSE))</f>
        <v/>
      </c>
      <c r="L954" s="107" t="str">
        <f t="shared" si="2"/>
        <v/>
      </c>
      <c r="M954" s="102"/>
    </row>
    <row r="955">
      <c r="A955" s="44"/>
      <c r="B955" s="102"/>
      <c r="C955" s="102"/>
      <c r="D955" s="102"/>
      <c r="E955" s="443"/>
      <c r="F955" s="443"/>
      <c r="G955" s="453"/>
      <c r="H955" s="453"/>
      <c r="I955" s="453"/>
      <c r="J955" s="106"/>
      <c r="K955" s="106" t="str">
        <f>IF(ISBLANK(I955), "", VLOOKUP(A955&amp;" "&amp;B955, 'Info Tipo de Cambio y REM'!$A$24:$B$35, 2, FALSE))</f>
        <v/>
      </c>
      <c r="L955" s="107" t="str">
        <f t="shared" si="2"/>
        <v/>
      </c>
      <c r="M955" s="102"/>
    </row>
    <row r="956">
      <c r="A956" s="44"/>
      <c r="B956" s="102"/>
      <c r="C956" s="102"/>
      <c r="D956" s="102"/>
      <c r="E956" s="443"/>
      <c r="F956" s="443"/>
      <c r="G956" s="453"/>
      <c r="H956" s="453"/>
      <c r="I956" s="453"/>
      <c r="J956" s="106"/>
      <c r="K956" s="106" t="str">
        <f>IF(ISBLANK(I956), "", VLOOKUP(A956&amp;" "&amp;B956, 'Info Tipo de Cambio y REM'!$A$24:$B$35, 2, FALSE))</f>
        <v/>
      </c>
      <c r="L956" s="107" t="str">
        <f t="shared" si="2"/>
        <v/>
      </c>
      <c r="M956" s="102"/>
    </row>
    <row r="957">
      <c r="A957" s="44"/>
      <c r="B957" s="102"/>
      <c r="C957" s="102"/>
      <c r="D957" s="102"/>
      <c r="E957" s="443"/>
      <c r="F957" s="443"/>
      <c r="G957" s="453"/>
      <c r="H957" s="453"/>
      <c r="I957" s="453"/>
      <c r="J957" s="106"/>
      <c r="K957" s="106" t="str">
        <f>IF(ISBLANK(I957), "", VLOOKUP(A957&amp;" "&amp;B957, 'Info Tipo de Cambio y REM'!$A$24:$B$35, 2, FALSE))</f>
        <v/>
      </c>
      <c r="L957" s="107" t="str">
        <f t="shared" si="2"/>
        <v/>
      </c>
      <c r="M957" s="102"/>
    </row>
    <row r="958">
      <c r="A958" s="44"/>
      <c r="B958" s="102"/>
      <c r="C958" s="102"/>
      <c r="D958" s="102"/>
      <c r="E958" s="443"/>
      <c r="F958" s="443"/>
      <c r="G958" s="453"/>
      <c r="H958" s="453"/>
      <c r="I958" s="453"/>
      <c r="J958" s="106"/>
      <c r="K958" s="106" t="str">
        <f>IF(ISBLANK(I958), "", VLOOKUP(A958&amp;" "&amp;B958, 'Info Tipo de Cambio y REM'!$A$24:$B$35, 2, FALSE))</f>
        <v/>
      </c>
      <c r="L958" s="107" t="str">
        <f t="shared" si="2"/>
        <v/>
      </c>
      <c r="M958" s="102"/>
    </row>
    <row r="959">
      <c r="A959" s="44"/>
      <c r="B959" s="102"/>
      <c r="C959" s="102"/>
      <c r="D959" s="102"/>
      <c r="E959" s="443"/>
      <c r="F959" s="443"/>
      <c r="G959" s="453"/>
      <c r="H959" s="453"/>
      <c r="I959" s="453"/>
      <c r="J959" s="106"/>
      <c r="K959" s="106" t="str">
        <f>IF(ISBLANK(I959), "", VLOOKUP(A959&amp;" "&amp;B959, 'Info Tipo de Cambio y REM'!$A$24:$B$35, 2, FALSE))</f>
        <v/>
      </c>
      <c r="L959" s="107" t="str">
        <f t="shared" si="2"/>
        <v/>
      </c>
      <c r="M959" s="102"/>
    </row>
    <row r="960">
      <c r="A960" s="44"/>
      <c r="B960" s="102"/>
      <c r="C960" s="102"/>
      <c r="D960" s="102"/>
      <c r="E960" s="443"/>
      <c r="F960" s="443"/>
      <c r="G960" s="453"/>
      <c r="H960" s="453"/>
      <c r="I960" s="453"/>
      <c r="J960" s="106"/>
      <c r="K960" s="106" t="str">
        <f>IF(ISBLANK(I960), "", VLOOKUP(A960&amp;" "&amp;B960, 'Info Tipo de Cambio y REM'!$A$24:$B$35, 2, FALSE))</f>
        <v/>
      </c>
      <c r="L960" s="107" t="str">
        <f t="shared" si="2"/>
        <v/>
      </c>
      <c r="M960" s="102"/>
    </row>
    <row r="961">
      <c r="A961" s="44"/>
      <c r="B961" s="102"/>
      <c r="C961" s="102"/>
      <c r="D961" s="102"/>
      <c r="E961" s="443"/>
      <c r="F961" s="443"/>
      <c r="G961" s="453"/>
      <c r="H961" s="453"/>
      <c r="I961" s="453"/>
      <c r="J961" s="106"/>
      <c r="K961" s="106" t="str">
        <f>IF(ISBLANK(I961), "", VLOOKUP(A961&amp;" "&amp;B961, 'Info Tipo de Cambio y REM'!$A$24:$B$35, 2, FALSE))</f>
        <v/>
      </c>
      <c r="L961" s="107" t="str">
        <f t="shared" si="2"/>
        <v/>
      </c>
      <c r="M961" s="102"/>
    </row>
    <row r="962">
      <c r="A962" s="44"/>
      <c r="B962" s="102"/>
      <c r="C962" s="102"/>
      <c r="D962" s="102"/>
      <c r="E962" s="443"/>
      <c r="F962" s="443"/>
      <c r="G962" s="453"/>
      <c r="H962" s="453"/>
      <c r="I962" s="453"/>
      <c r="J962" s="106"/>
      <c r="K962" s="106" t="str">
        <f>IF(ISBLANK(I962), "", VLOOKUP(A962&amp;" "&amp;B962, 'Info Tipo de Cambio y REM'!$A$24:$B$35, 2, FALSE))</f>
        <v/>
      </c>
      <c r="L962" s="107" t="str">
        <f t="shared" si="2"/>
        <v/>
      </c>
      <c r="M962" s="102"/>
    </row>
    <row r="963">
      <c r="A963" s="44"/>
      <c r="B963" s="102"/>
      <c r="C963" s="102"/>
      <c r="D963" s="102"/>
      <c r="E963" s="443"/>
      <c r="F963" s="443"/>
      <c r="G963" s="453"/>
      <c r="H963" s="453"/>
      <c r="I963" s="453"/>
      <c r="J963" s="106"/>
      <c r="K963" s="106" t="str">
        <f>IF(ISBLANK(I963), "", VLOOKUP(A963&amp;" "&amp;B963, 'Info Tipo de Cambio y REM'!$A$24:$B$35, 2, FALSE))</f>
        <v/>
      </c>
      <c r="L963" s="107" t="str">
        <f t="shared" si="2"/>
        <v/>
      </c>
      <c r="M963" s="102"/>
    </row>
    <row r="964">
      <c r="A964" s="44"/>
      <c r="B964" s="102"/>
      <c r="C964" s="102"/>
      <c r="D964" s="102"/>
      <c r="E964" s="443"/>
      <c r="F964" s="443"/>
      <c r="G964" s="453"/>
      <c r="H964" s="453"/>
      <c r="I964" s="453"/>
      <c r="J964" s="106"/>
      <c r="K964" s="106" t="str">
        <f>IF(ISBLANK(I964), "", VLOOKUP(A964&amp;" "&amp;B964, 'Info Tipo de Cambio y REM'!$A$24:$B$35, 2, FALSE))</f>
        <v/>
      </c>
      <c r="L964" s="107" t="str">
        <f t="shared" si="2"/>
        <v/>
      </c>
      <c r="M964" s="102"/>
    </row>
    <row r="965">
      <c r="A965" s="44"/>
      <c r="B965" s="102"/>
      <c r="C965" s="102"/>
      <c r="D965" s="102"/>
      <c r="E965" s="443"/>
      <c r="F965" s="443"/>
      <c r="G965" s="453"/>
      <c r="H965" s="453"/>
      <c r="I965" s="453"/>
      <c r="J965" s="106"/>
      <c r="K965" s="106" t="str">
        <f>IF(ISBLANK(I965), "", VLOOKUP(A965&amp;" "&amp;B965, 'Info Tipo de Cambio y REM'!$A$24:$B$35, 2, FALSE))</f>
        <v/>
      </c>
      <c r="L965" s="107" t="str">
        <f t="shared" si="2"/>
        <v/>
      </c>
      <c r="M965" s="102"/>
    </row>
    <row r="966">
      <c r="A966" s="44"/>
      <c r="B966" s="102"/>
      <c r="C966" s="102"/>
      <c r="D966" s="102"/>
      <c r="E966" s="443"/>
      <c r="F966" s="443"/>
      <c r="G966" s="453"/>
      <c r="H966" s="453"/>
      <c r="I966" s="453"/>
      <c r="J966" s="106"/>
      <c r="K966" s="106" t="str">
        <f>IF(ISBLANK(I966), "", VLOOKUP(A966&amp;" "&amp;B966, 'Info Tipo de Cambio y REM'!$A$24:$B$35, 2, FALSE))</f>
        <v/>
      </c>
      <c r="L966" s="107" t="str">
        <f t="shared" si="2"/>
        <v/>
      </c>
      <c r="M966" s="102"/>
    </row>
    <row r="967">
      <c r="A967" s="44"/>
      <c r="B967" s="102"/>
      <c r="C967" s="102"/>
      <c r="D967" s="102"/>
      <c r="E967" s="443"/>
      <c r="F967" s="443"/>
      <c r="G967" s="453"/>
      <c r="H967" s="453"/>
      <c r="I967" s="453"/>
      <c r="J967" s="106"/>
      <c r="K967" s="106" t="str">
        <f>IF(ISBLANK(I967), "", VLOOKUP(A967&amp;" "&amp;B967, 'Info Tipo de Cambio y REM'!$A$24:$B$35, 2, FALSE))</f>
        <v/>
      </c>
      <c r="L967" s="107" t="str">
        <f t="shared" si="2"/>
        <v/>
      </c>
      <c r="M967" s="102"/>
    </row>
    <row r="968">
      <c r="A968" s="44"/>
      <c r="B968" s="102"/>
      <c r="C968" s="102"/>
      <c r="D968" s="102"/>
      <c r="E968" s="443"/>
      <c r="F968" s="443"/>
      <c r="G968" s="453"/>
      <c r="H968" s="453"/>
      <c r="I968" s="453"/>
      <c r="J968" s="106"/>
      <c r="K968" s="106" t="str">
        <f>IF(ISBLANK(I968), "", VLOOKUP(A968&amp;" "&amp;B968, 'Info Tipo de Cambio y REM'!$A$24:$B$35, 2, FALSE))</f>
        <v/>
      </c>
      <c r="L968" s="107" t="str">
        <f t="shared" si="2"/>
        <v/>
      </c>
      <c r="M968" s="102"/>
    </row>
    <row r="969">
      <c r="A969" s="44"/>
      <c r="B969" s="102"/>
      <c r="C969" s="102"/>
      <c r="D969" s="102"/>
      <c r="E969" s="443"/>
      <c r="F969" s="443"/>
      <c r="G969" s="453"/>
      <c r="H969" s="453"/>
      <c r="I969" s="453"/>
      <c r="J969" s="106"/>
      <c r="K969" s="106" t="str">
        <f>IF(ISBLANK(I969), "", VLOOKUP(A969&amp;" "&amp;B969, 'Info Tipo de Cambio y REM'!$A$24:$B$35, 2, FALSE))</f>
        <v/>
      </c>
      <c r="L969" s="107" t="str">
        <f t="shared" si="2"/>
        <v/>
      </c>
      <c r="M969" s="102"/>
    </row>
    <row r="970">
      <c r="A970" s="44"/>
      <c r="B970" s="102"/>
      <c r="C970" s="102"/>
      <c r="D970" s="102"/>
      <c r="E970" s="443"/>
      <c r="F970" s="443"/>
      <c r="G970" s="453"/>
      <c r="H970" s="453"/>
      <c r="I970" s="453"/>
      <c r="J970" s="106"/>
      <c r="K970" s="106" t="str">
        <f>IF(ISBLANK(I970), "", VLOOKUP(A970&amp;" "&amp;B970, 'Info Tipo de Cambio y REM'!$A$24:$B$35, 2, FALSE))</f>
        <v/>
      </c>
      <c r="L970" s="107" t="str">
        <f t="shared" si="2"/>
        <v/>
      </c>
      <c r="M970" s="102"/>
    </row>
    <row r="971">
      <c r="A971" s="44"/>
      <c r="B971" s="102"/>
      <c r="C971" s="102"/>
      <c r="D971" s="102"/>
      <c r="E971" s="443"/>
      <c r="F971" s="443"/>
      <c r="G971" s="453"/>
      <c r="H971" s="453"/>
      <c r="I971" s="453"/>
      <c r="J971" s="106"/>
      <c r="K971" s="106" t="str">
        <f>IF(ISBLANK(I971), "", VLOOKUP(A971&amp;" "&amp;B971, 'Info Tipo de Cambio y REM'!$A$24:$B$35, 2, FALSE))</f>
        <v/>
      </c>
      <c r="L971" s="107" t="str">
        <f t="shared" si="2"/>
        <v/>
      </c>
      <c r="M971" s="102"/>
    </row>
    <row r="972">
      <c r="A972" s="44"/>
      <c r="B972" s="102"/>
      <c r="C972" s="102"/>
      <c r="D972" s="102"/>
      <c r="E972" s="443"/>
      <c r="F972" s="443"/>
      <c r="G972" s="453"/>
      <c r="H972" s="453"/>
      <c r="I972" s="453"/>
      <c r="J972" s="106"/>
      <c r="K972" s="106" t="str">
        <f>IF(ISBLANK(I972), "", VLOOKUP(A972&amp;" "&amp;B972, 'Info Tipo de Cambio y REM'!$A$24:$B$35, 2, FALSE))</f>
        <v/>
      </c>
      <c r="L972" s="107" t="str">
        <f t="shared" si="2"/>
        <v/>
      </c>
      <c r="M972" s="102"/>
    </row>
    <row r="973">
      <c r="A973" s="44"/>
      <c r="B973" s="102"/>
      <c r="C973" s="102"/>
      <c r="D973" s="102"/>
      <c r="E973" s="443"/>
      <c r="F973" s="443"/>
      <c r="G973" s="453"/>
      <c r="H973" s="453"/>
      <c r="I973" s="453"/>
      <c r="J973" s="106"/>
      <c r="K973" s="106" t="str">
        <f>IF(ISBLANK(I973), "", VLOOKUP(A973&amp;" "&amp;B973, 'Info Tipo de Cambio y REM'!$A$24:$B$35, 2, FALSE))</f>
        <v/>
      </c>
      <c r="L973" s="107" t="str">
        <f t="shared" si="2"/>
        <v/>
      </c>
      <c r="M973" s="102"/>
    </row>
    <row r="974">
      <c r="A974" s="44"/>
      <c r="B974" s="102"/>
      <c r="C974" s="102"/>
      <c r="D974" s="102"/>
      <c r="E974" s="443"/>
      <c r="F974" s="443"/>
      <c r="G974" s="453"/>
      <c r="H974" s="453"/>
      <c r="I974" s="453"/>
      <c r="J974" s="106"/>
      <c r="K974" s="106" t="str">
        <f>IF(ISBLANK(I974), "", VLOOKUP(A974&amp;" "&amp;B974, 'Info Tipo de Cambio y REM'!$A$24:$B$35, 2, FALSE))</f>
        <v/>
      </c>
      <c r="L974" s="107" t="str">
        <f t="shared" si="2"/>
        <v/>
      </c>
      <c r="M974" s="102"/>
    </row>
    <row r="975">
      <c r="A975" s="44"/>
      <c r="B975" s="102"/>
      <c r="C975" s="102"/>
      <c r="D975" s="102"/>
      <c r="E975" s="443"/>
      <c r="F975" s="443"/>
      <c r="G975" s="453"/>
      <c r="H975" s="453"/>
      <c r="I975" s="453"/>
      <c r="J975" s="106"/>
      <c r="K975" s="106" t="str">
        <f>IF(ISBLANK(I975), "", VLOOKUP(A975&amp;" "&amp;B975, 'Info Tipo de Cambio y REM'!$A$24:$B$35, 2, FALSE))</f>
        <v/>
      </c>
      <c r="L975" s="107" t="str">
        <f t="shared" si="2"/>
        <v/>
      </c>
      <c r="M975" s="102"/>
    </row>
    <row r="976">
      <c r="A976" s="44"/>
      <c r="B976" s="102"/>
      <c r="C976" s="102"/>
      <c r="D976" s="102"/>
      <c r="E976" s="443"/>
      <c r="F976" s="443"/>
      <c r="G976" s="453"/>
      <c r="H976" s="453"/>
      <c r="I976" s="453"/>
      <c r="J976" s="106"/>
      <c r="K976" s="106" t="str">
        <f>IF(ISBLANK(I976), "", VLOOKUP(A976&amp;" "&amp;B976, 'Info Tipo de Cambio y REM'!$A$24:$B$35, 2, FALSE))</f>
        <v/>
      </c>
      <c r="L976" s="107" t="str">
        <f t="shared" si="2"/>
        <v/>
      </c>
      <c r="M976" s="102"/>
    </row>
    <row r="977">
      <c r="A977" s="44"/>
      <c r="B977" s="102"/>
      <c r="C977" s="102"/>
      <c r="D977" s="102"/>
      <c r="E977" s="443"/>
      <c r="F977" s="443"/>
      <c r="G977" s="453"/>
      <c r="H977" s="453"/>
      <c r="I977" s="453"/>
      <c r="J977" s="106"/>
      <c r="K977" s="106" t="str">
        <f>IF(ISBLANK(I977), "", VLOOKUP(A977&amp;" "&amp;B977, 'Info Tipo de Cambio y REM'!$A$24:$B$35, 2, FALSE))</f>
        <v/>
      </c>
      <c r="L977" s="107" t="str">
        <f t="shared" si="2"/>
        <v/>
      </c>
      <c r="M977" s="102"/>
    </row>
    <row r="978">
      <c r="A978" s="44"/>
      <c r="B978" s="102"/>
      <c r="C978" s="102"/>
      <c r="D978" s="102"/>
      <c r="E978" s="443"/>
      <c r="F978" s="443"/>
      <c r="G978" s="453"/>
      <c r="H978" s="453"/>
      <c r="I978" s="453"/>
      <c r="J978" s="106"/>
      <c r="K978" s="106" t="str">
        <f>IF(ISBLANK(I978), "", VLOOKUP(A978&amp;" "&amp;B978, 'Info Tipo de Cambio y REM'!$A$24:$B$35, 2, FALSE))</f>
        <v/>
      </c>
      <c r="L978" s="107" t="str">
        <f t="shared" si="2"/>
        <v/>
      </c>
      <c r="M978" s="102"/>
    </row>
    <row r="979">
      <c r="A979" s="44"/>
      <c r="B979" s="102"/>
      <c r="C979" s="102"/>
      <c r="D979" s="102"/>
      <c r="E979" s="443"/>
      <c r="F979" s="443"/>
      <c r="G979" s="453"/>
      <c r="H979" s="453"/>
      <c r="I979" s="453"/>
      <c r="J979" s="106"/>
      <c r="K979" s="106" t="str">
        <f>IF(ISBLANK(I979), "", VLOOKUP(A979&amp;" "&amp;B979, 'Info Tipo de Cambio y REM'!$A$24:$B$35, 2, FALSE))</f>
        <v/>
      </c>
      <c r="L979" s="107" t="str">
        <f t="shared" si="2"/>
        <v/>
      </c>
      <c r="M979" s="102"/>
    </row>
    <row r="980">
      <c r="A980" s="44"/>
      <c r="B980" s="102"/>
      <c r="C980" s="102"/>
      <c r="D980" s="102"/>
      <c r="E980" s="443"/>
      <c r="F980" s="443"/>
      <c r="G980" s="453"/>
      <c r="H980" s="453"/>
      <c r="I980" s="453"/>
      <c r="J980" s="106"/>
      <c r="K980" s="106" t="str">
        <f>IF(ISBLANK(I980), "", VLOOKUP(A980&amp;" "&amp;B980, 'Info Tipo de Cambio y REM'!$A$24:$B$35, 2, FALSE))</f>
        <v/>
      </c>
      <c r="L980" s="107" t="str">
        <f t="shared" si="2"/>
        <v/>
      </c>
      <c r="M980" s="102"/>
    </row>
    <row r="981">
      <c r="A981" s="44"/>
      <c r="B981" s="102"/>
      <c r="C981" s="102"/>
      <c r="D981" s="102"/>
      <c r="E981" s="443"/>
      <c r="F981" s="443"/>
      <c r="G981" s="453"/>
      <c r="H981" s="453"/>
      <c r="I981" s="453"/>
      <c r="J981" s="106"/>
      <c r="K981" s="106" t="str">
        <f>IF(ISBLANK(I981), "", VLOOKUP(A981&amp;" "&amp;B981, 'Info Tipo de Cambio y REM'!$A$24:$B$35, 2, FALSE))</f>
        <v/>
      </c>
      <c r="L981" s="107" t="str">
        <f t="shared" si="2"/>
        <v/>
      </c>
      <c r="M981" s="102"/>
    </row>
    <row r="982">
      <c r="A982" s="44"/>
      <c r="B982" s="102"/>
      <c r="C982" s="102"/>
      <c r="D982" s="102"/>
      <c r="E982" s="443"/>
      <c r="F982" s="443"/>
      <c r="G982" s="453"/>
      <c r="H982" s="453"/>
      <c r="I982" s="453"/>
      <c r="J982" s="106"/>
      <c r="K982" s="106" t="str">
        <f>IF(ISBLANK(I982), "", VLOOKUP(A982&amp;" "&amp;B982, 'Info Tipo de Cambio y REM'!$A$24:$B$35, 2, FALSE))</f>
        <v/>
      </c>
      <c r="L982" s="107" t="str">
        <f t="shared" si="2"/>
        <v/>
      </c>
      <c r="M982" s="102"/>
    </row>
    <row r="983">
      <c r="A983" s="44"/>
      <c r="B983" s="102"/>
      <c r="C983" s="102"/>
      <c r="D983" s="102"/>
      <c r="E983" s="443"/>
      <c r="F983" s="443"/>
      <c r="G983" s="453"/>
      <c r="H983" s="453"/>
      <c r="I983" s="453"/>
      <c r="J983" s="106"/>
      <c r="K983" s="106" t="str">
        <f>IF(ISBLANK(I983), "", VLOOKUP(A983&amp;" "&amp;B983, 'Info Tipo de Cambio y REM'!$A$24:$B$35, 2, FALSE))</f>
        <v/>
      </c>
      <c r="L983" s="107" t="str">
        <f t="shared" si="2"/>
        <v/>
      </c>
      <c r="M983" s="102"/>
    </row>
    <row r="984">
      <c r="A984" s="44"/>
      <c r="B984" s="102"/>
      <c r="C984" s="102"/>
      <c r="D984" s="102"/>
      <c r="E984" s="443"/>
      <c r="F984" s="443"/>
      <c r="G984" s="453"/>
      <c r="H984" s="453"/>
      <c r="I984" s="453"/>
      <c r="J984" s="106"/>
      <c r="K984" s="106" t="str">
        <f>IF(ISBLANK(I984), "", VLOOKUP(A984&amp;" "&amp;B984, 'Info Tipo de Cambio y REM'!$A$24:$B$35, 2, FALSE))</f>
        <v/>
      </c>
      <c r="L984" s="107" t="str">
        <f t="shared" si="2"/>
        <v/>
      </c>
      <c r="M984" s="102"/>
    </row>
    <row r="985">
      <c r="A985" s="44"/>
      <c r="B985" s="102"/>
      <c r="C985" s="102"/>
      <c r="D985" s="102"/>
      <c r="E985" s="443"/>
      <c r="F985" s="443"/>
      <c r="G985" s="453"/>
      <c r="H985" s="453"/>
      <c r="I985" s="453"/>
      <c r="J985" s="106"/>
      <c r="K985" s="106" t="str">
        <f>IF(ISBLANK(I985), "", VLOOKUP(A985&amp;" "&amp;B985, 'Info Tipo de Cambio y REM'!$A$24:$B$35, 2, FALSE))</f>
        <v/>
      </c>
      <c r="L985" s="107" t="str">
        <f t="shared" si="2"/>
        <v/>
      </c>
      <c r="M985" s="102"/>
    </row>
    <row r="986">
      <c r="A986" s="44"/>
      <c r="B986" s="102"/>
      <c r="C986" s="102"/>
      <c r="D986" s="102"/>
      <c r="E986" s="443"/>
      <c r="F986" s="443"/>
      <c r="G986" s="453"/>
      <c r="H986" s="453"/>
      <c r="I986" s="453"/>
      <c r="J986" s="106"/>
      <c r="K986" s="106" t="str">
        <f>IF(ISBLANK(I986), "", VLOOKUP(A986&amp;" "&amp;B986, 'Info Tipo de Cambio y REM'!$A$24:$B$35, 2, FALSE))</f>
        <v/>
      </c>
      <c r="L986" s="107" t="str">
        <f t="shared" si="2"/>
        <v/>
      </c>
      <c r="M986" s="102"/>
    </row>
    <row r="987">
      <c r="A987" s="44"/>
      <c r="B987" s="102"/>
      <c r="C987" s="102"/>
      <c r="D987" s="102"/>
      <c r="E987" s="443"/>
      <c r="F987" s="443"/>
      <c r="G987" s="453"/>
      <c r="H987" s="453"/>
      <c r="I987" s="453"/>
      <c r="J987" s="106"/>
      <c r="K987" s="106" t="str">
        <f>IF(ISBLANK(I987), "", VLOOKUP(A987&amp;" "&amp;B987, 'Info Tipo de Cambio y REM'!$A$24:$B$35, 2, FALSE))</f>
        <v/>
      </c>
      <c r="L987" s="107" t="str">
        <f t="shared" si="2"/>
        <v/>
      </c>
      <c r="M987" s="102"/>
    </row>
    <row r="988">
      <c r="A988" s="44"/>
      <c r="B988" s="102"/>
      <c r="C988" s="102"/>
      <c r="D988" s="102"/>
      <c r="E988" s="443"/>
      <c r="F988" s="443"/>
      <c r="G988" s="453"/>
      <c r="H988" s="453"/>
      <c r="I988" s="453"/>
      <c r="J988" s="106"/>
      <c r="K988" s="106" t="str">
        <f>IF(ISBLANK(I988), "", VLOOKUP(A988&amp;" "&amp;B988, 'Info Tipo de Cambio y REM'!$A$24:$B$35, 2, FALSE))</f>
        <v/>
      </c>
      <c r="L988" s="107" t="str">
        <f t="shared" si="2"/>
        <v/>
      </c>
      <c r="M988" s="102"/>
    </row>
    <row r="989">
      <c r="A989" s="44"/>
      <c r="B989" s="102"/>
      <c r="C989" s="102"/>
      <c r="D989" s="102"/>
      <c r="E989" s="443"/>
      <c r="F989" s="443"/>
      <c r="G989" s="453"/>
      <c r="H989" s="453"/>
      <c r="I989" s="453"/>
      <c r="J989" s="106"/>
      <c r="K989" s="106" t="str">
        <f>IF(ISBLANK(I989), "", VLOOKUP(A989&amp;" "&amp;B989, 'Info Tipo de Cambio y REM'!$A$24:$B$35, 2, FALSE))</f>
        <v/>
      </c>
      <c r="L989" s="107" t="str">
        <f t="shared" si="2"/>
        <v/>
      </c>
      <c r="M989" s="102"/>
    </row>
    <row r="990">
      <c r="A990" s="44"/>
      <c r="B990" s="102"/>
      <c r="C990" s="102"/>
      <c r="D990" s="102"/>
      <c r="E990" s="443"/>
      <c r="F990" s="443"/>
      <c r="G990" s="453"/>
      <c r="H990" s="453"/>
      <c r="I990" s="453"/>
      <c r="J990" s="106"/>
      <c r="K990" s="106" t="str">
        <f>IF(ISBLANK(I990), "", VLOOKUP(A990&amp;" "&amp;B990, 'Info Tipo de Cambio y REM'!$A$24:$B$35, 2, FALSE))</f>
        <v/>
      </c>
      <c r="L990" s="107" t="str">
        <f t="shared" si="2"/>
        <v/>
      </c>
      <c r="M990" s="102"/>
    </row>
    <row r="991">
      <c r="A991" s="44"/>
      <c r="B991" s="102"/>
      <c r="C991" s="102"/>
      <c r="D991" s="102"/>
      <c r="E991" s="443"/>
      <c r="F991" s="443"/>
      <c r="G991" s="453"/>
      <c r="H991" s="453"/>
      <c r="I991" s="453"/>
      <c r="J991" s="106"/>
      <c r="K991" s="106" t="str">
        <f>IF(ISBLANK(I991), "", VLOOKUP(A991&amp;" "&amp;B991, 'Info Tipo de Cambio y REM'!$A$24:$B$35, 2, FALSE))</f>
        <v/>
      </c>
      <c r="L991" s="107" t="str">
        <f t="shared" si="2"/>
        <v/>
      </c>
      <c r="M991" s="102"/>
    </row>
    <row r="992">
      <c r="A992" s="44"/>
      <c r="B992" s="102"/>
      <c r="C992" s="102"/>
      <c r="D992" s="102"/>
      <c r="E992" s="443"/>
      <c r="F992" s="443"/>
      <c r="G992" s="453"/>
      <c r="H992" s="453"/>
      <c r="I992" s="453"/>
      <c r="J992" s="106"/>
      <c r="K992" s="106" t="str">
        <f>IF(ISBLANK(I992), "", VLOOKUP(A992&amp;" "&amp;B992, 'Info Tipo de Cambio y REM'!$A$24:$B$35, 2, FALSE))</f>
        <v/>
      </c>
      <c r="L992" s="107" t="str">
        <f t="shared" si="2"/>
        <v/>
      </c>
      <c r="M992" s="102"/>
    </row>
    <row r="993">
      <c r="A993" s="44"/>
      <c r="B993" s="102"/>
      <c r="C993" s="102"/>
      <c r="D993" s="102"/>
      <c r="E993" s="443"/>
      <c r="F993" s="443"/>
      <c r="G993" s="453"/>
      <c r="H993" s="453"/>
      <c r="I993" s="453"/>
      <c r="J993" s="106"/>
      <c r="K993" s="106" t="str">
        <f>IF(ISBLANK(I993), "", VLOOKUP(A993&amp;" "&amp;B993, 'Info Tipo de Cambio y REM'!$A$24:$B$35, 2, FALSE))</f>
        <v/>
      </c>
      <c r="L993" s="107" t="str">
        <f t="shared" si="2"/>
        <v/>
      </c>
      <c r="M993" s="102"/>
    </row>
    <row r="994">
      <c r="A994" s="44"/>
      <c r="B994" s="102"/>
      <c r="C994" s="102"/>
      <c r="D994" s="102"/>
      <c r="E994" s="443"/>
      <c r="F994" s="443"/>
      <c r="G994" s="453"/>
      <c r="H994" s="453"/>
      <c r="I994" s="453"/>
      <c r="J994" s="106"/>
      <c r="K994" s="106" t="str">
        <f>IF(ISBLANK(I994), "", VLOOKUP(A994&amp;" "&amp;B994, 'Info Tipo de Cambio y REM'!$A$24:$B$35, 2, FALSE))</f>
        <v/>
      </c>
      <c r="L994" s="107" t="str">
        <f t="shared" si="2"/>
        <v/>
      </c>
      <c r="M994" s="102"/>
    </row>
    <row r="995">
      <c r="A995" s="44"/>
      <c r="B995" s="102"/>
      <c r="C995" s="102"/>
      <c r="D995" s="102"/>
      <c r="E995" s="443"/>
      <c r="F995" s="443"/>
      <c r="G995" s="453"/>
      <c r="H995" s="453"/>
      <c r="I995" s="453"/>
      <c r="J995" s="106"/>
      <c r="K995" s="106" t="str">
        <f>IF(ISBLANK(I995), "", VLOOKUP(A995&amp;" "&amp;B995, 'Info Tipo de Cambio y REM'!$A$24:$B$35, 2, FALSE))</f>
        <v/>
      </c>
      <c r="L995" s="107" t="str">
        <f t="shared" si="2"/>
        <v/>
      </c>
      <c r="M995" s="102"/>
    </row>
    <row r="996">
      <c r="A996" s="44"/>
      <c r="B996" s="102"/>
      <c r="C996" s="102"/>
      <c r="D996" s="102"/>
      <c r="E996" s="443"/>
      <c r="F996" s="443"/>
      <c r="G996" s="453"/>
      <c r="H996" s="453"/>
      <c r="I996" s="453"/>
      <c r="J996" s="106"/>
      <c r="K996" s="106" t="str">
        <f>IF(ISBLANK(I996), "", VLOOKUP(A996&amp;" "&amp;B996, 'Info Tipo de Cambio y REM'!$A$24:$B$35, 2, FALSE))</f>
        <v/>
      </c>
      <c r="L996" s="107" t="str">
        <f t="shared" si="2"/>
        <v/>
      </c>
      <c r="M996" s="102"/>
    </row>
    <row r="997">
      <c r="A997" s="44"/>
      <c r="B997" s="102"/>
      <c r="C997" s="102"/>
      <c r="D997" s="102"/>
      <c r="E997" s="443"/>
      <c r="F997" s="443"/>
      <c r="G997" s="453"/>
      <c r="H997" s="453"/>
      <c r="I997" s="453"/>
      <c r="J997" s="106"/>
      <c r="K997" s="106" t="str">
        <f>IF(ISBLANK(I997), "", VLOOKUP(A997&amp;" "&amp;B997, 'Info Tipo de Cambio y REM'!$A$24:$B$35, 2, FALSE))</f>
        <v/>
      </c>
      <c r="L997" s="107" t="str">
        <f t="shared" si="2"/>
        <v/>
      </c>
      <c r="M997" s="102"/>
    </row>
    <row r="998">
      <c r="A998" s="44"/>
      <c r="B998" s="102"/>
      <c r="C998" s="102"/>
      <c r="D998" s="102"/>
      <c r="E998" s="443"/>
      <c r="F998" s="443"/>
      <c r="G998" s="453"/>
      <c r="H998" s="453"/>
      <c r="I998" s="453"/>
      <c r="J998" s="106"/>
      <c r="K998" s="106" t="str">
        <f>IF(ISBLANK(I998), "", VLOOKUP(A998&amp;" "&amp;B998, 'Info Tipo de Cambio y REM'!$A$24:$B$35, 2, FALSE))</f>
        <v/>
      </c>
      <c r="L998" s="107" t="str">
        <f t="shared" si="2"/>
        <v/>
      </c>
      <c r="M998" s="102"/>
    </row>
    <row r="999">
      <c r="A999" s="44"/>
      <c r="B999" s="102"/>
      <c r="C999" s="102"/>
      <c r="D999" s="102"/>
      <c r="E999" s="443"/>
      <c r="F999" s="443"/>
      <c r="G999" s="453"/>
      <c r="H999" s="453"/>
      <c r="I999" s="453"/>
      <c r="J999" s="106"/>
      <c r="K999" s="106" t="str">
        <f>IF(ISBLANK(I999), "", VLOOKUP(A999&amp;" "&amp;B999, 'Info Tipo de Cambio y REM'!$A$24:$B$35, 2, FALSE))</f>
        <v/>
      </c>
      <c r="L999" s="107" t="str">
        <f t="shared" si="2"/>
        <v/>
      </c>
      <c r="M999" s="102"/>
    </row>
    <row r="1000">
      <c r="A1000" s="44"/>
      <c r="B1000" s="102"/>
      <c r="C1000" s="102"/>
      <c r="D1000" s="102"/>
      <c r="E1000" s="443"/>
      <c r="F1000" s="443"/>
      <c r="G1000" s="453"/>
      <c r="H1000" s="453"/>
      <c r="I1000" s="453"/>
      <c r="J1000" s="106"/>
      <c r="K1000" s="106" t="str">
        <f>IF(ISBLANK(I1000), "", VLOOKUP(A1000&amp;" "&amp;B1000, 'Info Tipo de Cambio y REM'!$A$24:$B$35, 2, FALSE))</f>
        <v/>
      </c>
      <c r="L1000" s="107" t="str">
        <f t="shared" si="2"/>
        <v/>
      </c>
      <c r="M1000" s="102"/>
    </row>
    <row r="1001">
      <c r="A1001" s="44"/>
      <c r="B1001" s="102"/>
      <c r="C1001" s="102"/>
      <c r="D1001" s="102"/>
      <c r="E1001" s="443"/>
      <c r="F1001" s="443"/>
      <c r="G1001" s="453"/>
      <c r="H1001" s="453"/>
      <c r="I1001" s="453"/>
      <c r="J1001" s="106"/>
      <c r="K1001" s="106" t="str">
        <f>IF(ISBLANK(I1001), "", VLOOKUP(A1001&amp;" "&amp;B1001, 'Info Tipo de Cambio y REM'!$A$24:$B$35, 2, FALSE))</f>
        <v/>
      </c>
      <c r="L1001" s="107" t="str">
        <f t="shared" si="2"/>
        <v/>
      </c>
      <c r="M1001" s="102"/>
    </row>
    <row r="1002">
      <c r="A1002" s="44"/>
      <c r="B1002" s="102"/>
      <c r="C1002" s="102"/>
      <c r="D1002" s="102"/>
      <c r="E1002" s="443"/>
      <c r="F1002" s="443"/>
      <c r="G1002" s="453"/>
      <c r="H1002" s="453"/>
      <c r="I1002" s="453"/>
      <c r="J1002" s="106"/>
      <c r="K1002" s="106" t="str">
        <f>IF(ISBLANK(I1002), "", VLOOKUP(A1002&amp;" "&amp;B1002, 'Info Tipo de Cambio y REM'!$A$24:$B$35, 2, FALSE))</f>
        <v/>
      </c>
      <c r="L1002" s="107" t="str">
        <f t="shared" si="2"/>
        <v/>
      </c>
      <c r="M1002" s="102"/>
    </row>
    <row r="1003">
      <c r="A1003" s="44"/>
      <c r="B1003" s="102"/>
      <c r="C1003" s="102"/>
      <c r="D1003" s="102"/>
      <c r="E1003" s="443"/>
      <c r="F1003" s="443"/>
      <c r="G1003" s="453"/>
      <c r="H1003" s="453"/>
      <c r="I1003" s="453"/>
      <c r="J1003" s="106"/>
      <c r="K1003" s="106" t="str">
        <f>IF(ISBLANK(I1003), "", VLOOKUP(A1003&amp;" "&amp;B1003, 'Info Tipo de Cambio y REM'!$A$24:$B$35, 2, FALSE))</f>
        <v/>
      </c>
      <c r="L1003" s="107" t="str">
        <f t="shared" si="2"/>
        <v/>
      </c>
      <c r="M1003" s="102"/>
    </row>
    <row r="1004">
      <c r="A1004" s="44"/>
      <c r="B1004" s="102"/>
      <c r="C1004" s="102"/>
      <c r="D1004" s="102"/>
      <c r="E1004" s="443"/>
      <c r="F1004" s="443"/>
      <c r="G1004" s="453"/>
      <c r="H1004" s="453"/>
      <c r="I1004" s="453"/>
      <c r="J1004" s="106"/>
      <c r="K1004" s="106" t="str">
        <f>IF(ISBLANK(I1004), "", VLOOKUP(A1004&amp;" "&amp;B1004, 'Info Tipo de Cambio y REM'!$A$24:$B$35, 2, FALSE))</f>
        <v/>
      </c>
      <c r="L1004" s="107" t="str">
        <f t="shared" si="2"/>
        <v/>
      </c>
      <c r="M1004" s="102"/>
    </row>
    <row r="1005">
      <c r="A1005" s="44"/>
      <c r="B1005" s="102"/>
      <c r="C1005" s="102"/>
      <c r="D1005" s="102"/>
      <c r="E1005" s="443"/>
      <c r="F1005" s="443"/>
      <c r="G1005" s="453"/>
      <c r="H1005" s="453"/>
      <c r="I1005" s="453"/>
      <c r="J1005" s="106"/>
      <c r="K1005" s="106" t="str">
        <f>IF(ISBLANK(I1005), "", VLOOKUP(A1005&amp;" "&amp;B1005, 'Info Tipo de Cambio y REM'!$A$24:$B$35, 2, FALSE))</f>
        <v/>
      </c>
      <c r="L1005" s="107" t="str">
        <f t="shared" si="2"/>
        <v/>
      </c>
      <c r="M1005" s="102"/>
    </row>
    <row r="1006">
      <c r="A1006" s="44"/>
      <c r="B1006" s="102"/>
      <c r="C1006" s="102"/>
      <c r="D1006" s="102"/>
      <c r="E1006" s="443"/>
      <c r="F1006" s="443"/>
      <c r="G1006" s="453"/>
      <c r="H1006" s="453"/>
      <c r="I1006" s="453"/>
      <c r="J1006" s="106"/>
      <c r="K1006" s="106" t="str">
        <f>IF(ISBLANK(I1006), "", VLOOKUP(A1006&amp;" "&amp;B1006, 'Info Tipo de Cambio y REM'!$A$24:$B$35, 2, FALSE))</f>
        <v/>
      </c>
      <c r="L1006" s="107" t="str">
        <f t="shared" si="2"/>
        <v/>
      </c>
      <c r="M1006" s="102"/>
    </row>
    <row r="1007">
      <c r="A1007" s="44"/>
      <c r="B1007" s="102"/>
      <c r="C1007" s="102"/>
      <c r="D1007" s="102"/>
      <c r="E1007" s="443"/>
      <c r="F1007" s="443"/>
      <c r="G1007" s="453"/>
      <c r="H1007" s="453"/>
      <c r="I1007" s="453"/>
      <c r="J1007" s="106"/>
      <c r="K1007" s="106" t="str">
        <f>IF(ISBLANK(I1007), "", VLOOKUP(A1007&amp;" "&amp;B1007, 'Info Tipo de Cambio y REM'!$A$24:$B$35, 2, FALSE))</f>
        <v/>
      </c>
      <c r="L1007" s="107" t="str">
        <f t="shared" si="2"/>
        <v/>
      </c>
      <c r="M1007" s="102"/>
    </row>
    <row r="1008">
      <c r="A1008" s="44"/>
      <c r="B1008" s="102"/>
      <c r="C1008" s="102"/>
      <c r="D1008" s="102"/>
      <c r="E1008" s="443"/>
      <c r="F1008" s="443"/>
      <c r="G1008" s="453"/>
      <c r="H1008" s="453"/>
      <c r="I1008" s="453"/>
      <c r="J1008" s="106"/>
      <c r="K1008" s="106" t="str">
        <f>IF(ISBLANK(I1008), "", VLOOKUP(A1008&amp;" "&amp;B1008, 'Info Tipo de Cambio y REM'!$A$24:$B$35, 2, FALSE))</f>
        <v/>
      </c>
      <c r="L1008" s="107" t="str">
        <f t="shared" si="2"/>
        <v/>
      </c>
      <c r="M1008" s="102"/>
    </row>
    <row r="1009">
      <c r="A1009" s="44"/>
      <c r="B1009" s="102"/>
      <c r="C1009" s="102"/>
      <c r="D1009" s="102"/>
      <c r="E1009" s="443"/>
      <c r="F1009" s="443"/>
      <c r="G1009" s="453"/>
      <c r="H1009" s="453"/>
      <c r="I1009" s="453"/>
      <c r="J1009" s="106"/>
      <c r="K1009" s="106" t="str">
        <f>IF(ISBLANK(I1009), "", VLOOKUP(A1009&amp;" "&amp;B1009, 'Info Tipo de Cambio y REM'!$A$24:$B$35, 2, FALSE))</f>
        <v/>
      </c>
      <c r="L1009" s="107" t="str">
        <f t="shared" si="2"/>
        <v/>
      </c>
      <c r="M1009" s="102"/>
    </row>
    <row r="1010">
      <c r="A1010" s="44"/>
      <c r="B1010" s="102"/>
      <c r="C1010" s="102"/>
      <c r="D1010" s="102"/>
      <c r="E1010" s="443"/>
      <c r="F1010" s="443"/>
      <c r="G1010" s="453"/>
      <c r="H1010" s="453"/>
      <c r="I1010" s="453"/>
      <c r="J1010" s="106"/>
      <c r="K1010" s="106" t="str">
        <f>IF(ISBLANK(I1010), "", VLOOKUP(A1010&amp;" "&amp;B1010, 'Info Tipo de Cambio y REM'!$A$24:$B$35, 2, FALSE))</f>
        <v/>
      </c>
      <c r="L1010" s="107" t="str">
        <f t="shared" si="2"/>
        <v/>
      </c>
      <c r="M1010" s="102"/>
    </row>
    <row r="1011">
      <c r="A1011" s="44"/>
      <c r="B1011" s="102"/>
      <c r="C1011" s="102"/>
      <c r="D1011" s="102"/>
      <c r="E1011" s="443"/>
      <c r="F1011" s="443"/>
      <c r="G1011" s="453"/>
      <c r="H1011" s="453"/>
      <c r="I1011" s="453"/>
      <c r="J1011" s="106"/>
      <c r="K1011" s="106" t="str">
        <f>IF(ISBLANK(I1011), "", VLOOKUP(A1011&amp;" "&amp;B1011, 'Info Tipo de Cambio y REM'!$A$24:$B$35, 2, FALSE))</f>
        <v/>
      </c>
      <c r="L1011" s="107" t="str">
        <f t="shared" si="2"/>
        <v/>
      </c>
      <c r="M1011" s="102"/>
    </row>
    <row r="1012">
      <c r="A1012" s="44"/>
      <c r="B1012" s="102"/>
      <c r="C1012" s="102"/>
      <c r="D1012" s="102"/>
      <c r="E1012" s="443"/>
      <c r="F1012" s="443"/>
      <c r="G1012" s="453"/>
      <c r="H1012" s="453"/>
      <c r="I1012" s="453"/>
      <c r="J1012" s="106"/>
      <c r="K1012" s="106" t="str">
        <f>IF(ISBLANK(I1012), "", VLOOKUP(A1012&amp;" "&amp;B1012, 'Info Tipo de Cambio y REM'!$A$24:$B$35, 2, FALSE))</f>
        <v/>
      </c>
      <c r="L1012" s="107" t="str">
        <f t="shared" si="2"/>
        <v/>
      </c>
      <c r="M1012" s="102"/>
    </row>
    <row r="1013">
      <c r="A1013" s="44"/>
      <c r="B1013" s="102"/>
      <c r="C1013" s="102"/>
      <c r="D1013" s="102"/>
      <c r="E1013" s="443"/>
      <c r="F1013" s="443"/>
      <c r="G1013" s="453"/>
      <c r="H1013" s="453"/>
      <c r="I1013" s="453"/>
      <c r="J1013" s="106"/>
      <c r="K1013" s="106" t="str">
        <f>IF(ISBLANK(I1013), "", VLOOKUP(A1013&amp;" "&amp;B1013, 'Info Tipo de Cambio y REM'!$A$24:$B$35, 2, FALSE))</f>
        <v/>
      </c>
      <c r="L1013" s="107" t="str">
        <f t="shared" si="2"/>
        <v/>
      </c>
      <c r="M1013" s="102"/>
    </row>
    <row r="1014">
      <c r="A1014" s="44"/>
      <c r="B1014" s="102"/>
      <c r="C1014" s="102"/>
      <c r="D1014" s="102"/>
      <c r="E1014" s="443"/>
      <c r="F1014" s="443"/>
      <c r="G1014" s="453"/>
      <c r="H1014" s="453"/>
      <c r="I1014" s="453"/>
      <c r="J1014" s="106"/>
      <c r="K1014" s="106" t="str">
        <f>IF(ISBLANK(I1014), "", VLOOKUP(A1014&amp;" "&amp;B1014, 'Info Tipo de Cambio y REM'!$A$24:$B$35, 2, FALSE))</f>
        <v/>
      </c>
      <c r="L1014" s="107" t="str">
        <f t="shared" si="2"/>
        <v/>
      </c>
      <c r="M1014" s="102"/>
    </row>
    <row r="1015">
      <c r="A1015" s="44"/>
      <c r="B1015" s="102"/>
      <c r="C1015" s="102"/>
      <c r="D1015" s="102"/>
      <c r="E1015" s="443"/>
      <c r="F1015" s="443"/>
      <c r="G1015" s="453"/>
      <c r="H1015" s="453"/>
      <c r="I1015" s="453"/>
      <c r="J1015" s="106"/>
      <c r="K1015" s="106" t="str">
        <f>IF(ISBLANK(I1015), "", VLOOKUP(A1015&amp;" "&amp;B1015, 'Info Tipo de Cambio y REM'!$A$24:$B$35, 2, FALSE))</f>
        <v/>
      </c>
      <c r="L1015" s="107" t="str">
        <f t="shared" si="2"/>
        <v/>
      </c>
      <c r="M1015" s="102"/>
    </row>
    <row r="1016">
      <c r="A1016" s="44"/>
      <c r="B1016" s="102"/>
      <c r="C1016" s="102"/>
      <c r="D1016" s="102"/>
      <c r="E1016" s="443"/>
      <c r="F1016" s="443"/>
      <c r="G1016" s="453"/>
      <c r="H1016" s="453"/>
      <c r="I1016" s="453"/>
      <c r="J1016" s="106"/>
      <c r="K1016" s="106" t="str">
        <f>IF(ISBLANK(I1016), "", VLOOKUP(A1016&amp;" "&amp;B1016, 'Info Tipo de Cambio y REM'!$A$24:$B$35, 2, FALSE))</f>
        <v/>
      </c>
      <c r="L1016" s="107" t="str">
        <f t="shared" si="2"/>
        <v/>
      </c>
      <c r="M1016" s="102"/>
    </row>
    <row r="1017">
      <c r="A1017" s="44"/>
      <c r="B1017" s="102"/>
      <c r="C1017" s="102"/>
      <c r="D1017" s="102"/>
      <c r="E1017" s="443"/>
      <c r="F1017" s="443"/>
      <c r="G1017" s="453"/>
      <c r="H1017" s="453"/>
      <c r="I1017" s="453"/>
      <c r="J1017" s="106"/>
      <c r="K1017" s="106" t="str">
        <f>IF(ISBLANK(I1017), "", VLOOKUP(A1017&amp;" "&amp;B1017, 'Info Tipo de Cambio y REM'!$A$24:$B$35, 2, FALSE))</f>
        <v/>
      </c>
      <c r="L1017" s="107" t="str">
        <f t="shared" si="2"/>
        <v/>
      </c>
      <c r="M1017" s="102"/>
    </row>
    <row r="1018">
      <c r="A1018" s="44"/>
      <c r="B1018" s="102"/>
      <c r="C1018" s="102"/>
      <c r="D1018" s="102"/>
      <c r="E1018" s="443"/>
      <c r="F1018" s="443"/>
      <c r="G1018" s="453"/>
      <c r="H1018" s="453"/>
      <c r="I1018" s="453"/>
      <c r="J1018" s="106"/>
      <c r="K1018" s="106" t="str">
        <f>IF(ISBLANK(I1018), "", VLOOKUP(A1018&amp;" "&amp;B1018, 'Info Tipo de Cambio y REM'!$A$24:$B$35, 2, FALSE))</f>
        <v/>
      </c>
      <c r="L1018" s="107" t="str">
        <f t="shared" si="2"/>
        <v/>
      </c>
      <c r="M1018" s="102"/>
    </row>
    <row r="1019">
      <c r="A1019" s="44"/>
      <c r="B1019" s="102"/>
      <c r="C1019" s="102"/>
      <c r="D1019" s="102"/>
      <c r="E1019" s="443"/>
      <c r="F1019" s="443"/>
      <c r="G1019" s="453"/>
      <c r="H1019" s="453"/>
      <c r="I1019" s="453"/>
      <c r="J1019" s="106"/>
      <c r="K1019" s="106" t="str">
        <f>IF(ISBLANK(I1019), "", VLOOKUP(A1019&amp;" "&amp;B1019, 'Info Tipo de Cambio y REM'!$A$24:$B$35, 2, FALSE))</f>
        <v/>
      </c>
      <c r="L1019" s="107" t="str">
        <f t="shared" si="2"/>
        <v/>
      </c>
      <c r="M1019" s="102"/>
    </row>
    <row r="1020">
      <c r="A1020" s="44"/>
      <c r="B1020" s="102"/>
      <c r="C1020" s="102"/>
      <c r="D1020" s="102"/>
      <c r="E1020" s="443"/>
      <c r="F1020" s="443"/>
      <c r="G1020" s="453"/>
      <c r="H1020" s="453"/>
      <c r="I1020" s="453"/>
      <c r="J1020" s="106"/>
      <c r="K1020" s="106" t="str">
        <f>IF(ISBLANK(I1020), "", VLOOKUP(A1020&amp;" "&amp;B1020, 'Info Tipo de Cambio y REM'!$A$24:$B$35, 2, FALSE))</f>
        <v/>
      </c>
      <c r="L1020" s="107" t="str">
        <f t="shared" si="2"/>
        <v/>
      </c>
      <c r="M1020" s="102"/>
    </row>
    <row r="1021">
      <c r="A1021" s="44"/>
      <c r="B1021" s="102"/>
      <c r="C1021" s="102"/>
      <c r="D1021" s="102"/>
      <c r="E1021" s="443"/>
      <c r="F1021" s="443"/>
      <c r="G1021" s="453"/>
      <c r="H1021" s="453"/>
      <c r="I1021" s="453"/>
      <c r="J1021" s="106"/>
      <c r="K1021" s="106" t="str">
        <f>IF(ISBLANK(I1021), "", VLOOKUP(A1021&amp;" "&amp;B1021, 'Info Tipo de Cambio y REM'!$A$24:$B$35, 2, FALSE))</f>
        <v/>
      </c>
      <c r="L1021" s="107" t="str">
        <f t="shared" si="2"/>
        <v/>
      </c>
      <c r="M1021" s="102"/>
    </row>
    <row r="1022">
      <c r="A1022" s="44"/>
      <c r="B1022" s="102"/>
      <c r="C1022" s="102"/>
      <c r="D1022" s="102"/>
      <c r="E1022" s="443"/>
      <c r="F1022" s="443"/>
      <c r="G1022" s="453"/>
      <c r="H1022" s="453"/>
      <c r="I1022" s="453"/>
      <c r="J1022" s="106"/>
      <c r="K1022" s="106" t="str">
        <f>IF(ISBLANK(I1022), "", VLOOKUP(A1022&amp;" "&amp;B1022, 'Info Tipo de Cambio y REM'!$A$24:$B$35, 2, FALSE))</f>
        <v/>
      </c>
      <c r="L1022" s="107" t="str">
        <f t="shared" si="2"/>
        <v/>
      </c>
      <c r="M1022" s="102"/>
    </row>
    <row r="1023">
      <c r="A1023" s="44"/>
      <c r="B1023" s="102"/>
      <c r="C1023" s="102"/>
      <c r="D1023" s="102"/>
      <c r="E1023" s="443"/>
      <c r="F1023" s="443"/>
      <c r="G1023" s="453"/>
      <c r="H1023" s="453"/>
      <c r="I1023" s="453"/>
      <c r="J1023" s="106"/>
      <c r="K1023" s="106" t="str">
        <f>IF(ISBLANK(I1023), "", VLOOKUP(A1023&amp;" "&amp;B1023, 'Info Tipo de Cambio y REM'!$A$24:$B$35, 2, FALSE))</f>
        <v/>
      </c>
      <c r="L1023" s="107" t="str">
        <f t="shared" si="2"/>
        <v/>
      </c>
      <c r="M1023" s="102"/>
    </row>
    <row r="1024">
      <c r="A1024" s="44"/>
      <c r="B1024" s="102"/>
      <c r="C1024" s="102"/>
      <c r="D1024" s="102"/>
      <c r="E1024" s="443"/>
      <c r="F1024" s="443"/>
      <c r="G1024" s="453"/>
      <c r="H1024" s="453"/>
      <c r="I1024" s="453"/>
      <c r="J1024" s="106"/>
      <c r="K1024" s="106" t="str">
        <f>IF(ISBLANK(I1024), "", VLOOKUP(A1024&amp;" "&amp;B1024, 'Info Tipo de Cambio y REM'!$A$24:$B$35, 2, FALSE))</f>
        <v/>
      </c>
      <c r="L1024" s="107" t="str">
        <f t="shared" si="2"/>
        <v/>
      </c>
      <c r="M1024" s="102"/>
    </row>
    <row r="1025">
      <c r="A1025" s="44"/>
      <c r="B1025" s="102"/>
      <c r="C1025" s="102"/>
      <c r="D1025" s="102"/>
      <c r="E1025" s="443"/>
      <c r="F1025" s="443"/>
      <c r="G1025" s="453"/>
      <c r="H1025" s="453"/>
      <c r="I1025" s="453"/>
      <c r="J1025" s="106"/>
      <c r="K1025" s="106" t="str">
        <f>IF(ISBLANK(I1025), "", VLOOKUP(A1025&amp;" "&amp;B1025, 'Info Tipo de Cambio y REM'!$A$24:$B$35, 2, FALSE))</f>
        <v/>
      </c>
      <c r="L1025" s="107" t="str">
        <f t="shared" si="2"/>
        <v/>
      </c>
      <c r="M1025" s="102"/>
    </row>
    <row r="1026">
      <c r="A1026" s="44"/>
      <c r="B1026" s="102"/>
      <c r="C1026" s="102"/>
      <c r="D1026" s="102"/>
      <c r="E1026" s="443"/>
      <c r="F1026" s="443"/>
      <c r="G1026" s="453"/>
      <c r="H1026" s="453"/>
      <c r="I1026" s="453"/>
      <c r="J1026" s="106"/>
      <c r="K1026" s="106" t="str">
        <f>IF(ISBLANK(I1026), "", VLOOKUP(A1026&amp;" "&amp;B1026, 'Info Tipo de Cambio y REM'!$A$24:$B$35, 2, FALSE))</f>
        <v/>
      </c>
      <c r="L1026" s="107" t="str">
        <f t="shared" si="2"/>
        <v/>
      </c>
      <c r="M1026" s="102"/>
    </row>
    <row r="1027">
      <c r="A1027" s="44"/>
      <c r="B1027" s="102"/>
      <c r="C1027" s="102"/>
      <c r="D1027" s="102"/>
      <c r="E1027" s="443"/>
      <c r="F1027" s="443"/>
      <c r="G1027" s="453"/>
      <c r="H1027" s="453"/>
      <c r="I1027" s="453"/>
      <c r="J1027" s="106"/>
      <c r="K1027" s="106" t="str">
        <f>IF(ISBLANK(I1027), "", VLOOKUP(A1027&amp;" "&amp;B1027, 'Info Tipo de Cambio y REM'!$A$24:$B$35, 2, FALSE))</f>
        <v/>
      </c>
      <c r="L1027" s="107" t="str">
        <f t="shared" si="2"/>
        <v/>
      </c>
      <c r="M1027" s="102"/>
    </row>
    <row r="1028">
      <c r="A1028" s="44"/>
      <c r="B1028" s="102"/>
      <c r="C1028" s="102"/>
      <c r="D1028" s="102"/>
      <c r="E1028" s="443"/>
      <c r="F1028" s="443"/>
      <c r="G1028" s="453"/>
      <c r="H1028" s="453"/>
      <c r="I1028" s="453"/>
      <c r="J1028" s="106"/>
      <c r="K1028" s="106" t="str">
        <f>IF(ISBLANK(I1028), "", VLOOKUP(A1028&amp;" "&amp;B1028, 'Info Tipo de Cambio y REM'!$A$24:$B$35, 2, FALSE))</f>
        <v/>
      </c>
      <c r="L1028" s="107" t="str">
        <f t="shared" si="2"/>
        <v/>
      </c>
      <c r="M1028" s="102"/>
    </row>
    <row r="1029">
      <c r="A1029" s="44"/>
      <c r="B1029" s="102"/>
      <c r="C1029" s="102"/>
      <c r="D1029" s="102"/>
      <c r="E1029" s="443"/>
      <c r="F1029" s="443"/>
      <c r="G1029" s="453"/>
      <c r="H1029" s="453"/>
      <c r="I1029" s="453"/>
      <c r="J1029" s="106"/>
      <c r="K1029" s="106" t="str">
        <f>IF(ISBLANK(I1029), "", VLOOKUP(A1029&amp;" "&amp;B1029, 'Info Tipo de Cambio y REM'!$A$24:$B$35, 2, FALSE))</f>
        <v/>
      </c>
      <c r="L1029" s="107" t="str">
        <f t="shared" si="2"/>
        <v/>
      </c>
      <c r="M1029" s="102"/>
    </row>
    <row r="1030">
      <c r="A1030" s="44"/>
      <c r="B1030" s="102"/>
      <c r="C1030" s="102"/>
      <c r="D1030" s="102"/>
      <c r="E1030" s="443"/>
      <c r="F1030" s="443"/>
      <c r="G1030" s="453"/>
      <c r="H1030" s="453"/>
      <c r="I1030" s="453"/>
      <c r="J1030" s="106"/>
      <c r="K1030" s="106" t="str">
        <f>IF(ISBLANK(I1030), "", VLOOKUP(A1030&amp;" "&amp;B1030, 'Info Tipo de Cambio y REM'!$A$24:$B$35, 2, FALSE))</f>
        <v/>
      </c>
      <c r="L1030" s="107" t="str">
        <f t="shared" si="2"/>
        <v/>
      </c>
      <c r="M1030" s="102"/>
    </row>
    <row r="1031">
      <c r="A1031" s="44"/>
      <c r="B1031" s="102"/>
      <c r="C1031" s="102"/>
      <c r="D1031" s="102"/>
      <c r="E1031" s="443"/>
      <c r="F1031" s="443"/>
      <c r="G1031" s="453"/>
      <c r="H1031" s="453"/>
      <c r="I1031" s="453"/>
      <c r="J1031" s="106"/>
      <c r="K1031" s="106" t="str">
        <f>IF(ISBLANK(I1031), "", VLOOKUP(A1031&amp;" "&amp;B1031, 'Info Tipo de Cambio y REM'!$A$24:$B$35, 2, FALSE))</f>
        <v/>
      </c>
      <c r="L1031" s="107" t="str">
        <f t="shared" si="2"/>
        <v/>
      </c>
      <c r="M1031" s="102"/>
    </row>
    <row r="1032">
      <c r="A1032" s="44"/>
      <c r="B1032" s="102"/>
      <c r="C1032" s="102"/>
      <c r="D1032" s="102"/>
      <c r="E1032" s="443"/>
      <c r="F1032" s="443"/>
      <c r="G1032" s="453"/>
      <c r="H1032" s="453"/>
      <c r="I1032" s="453"/>
      <c r="J1032" s="106"/>
      <c r="K1032" s="106" t="str">
        <f>IF(ISBLANK(I1032), "", VLOOKUP(A1032&amp;" "&amp;B1032, 'Info Tipo de Cambio y REM'!$A$24:$B$35, 2, FALSE))</f>
        <v/>
      </c>
      <c r="L1032" s="107" t="str">
        <f t="shared" si="2"/>
        <v/>
      </c>
      <c r="M1032" s="102"/>
    </row>
    <row r="1033">
      <c r="A1033" s="44"/>
      <c r="B1033" s="102"/>
      <c r="C1033" s="102"/>
      <c r="D1033" s="102"/>
      <c r="E1033" s="443"/>
      <c r="F1033" s="443"/>
      <c r="G1033" s="453"/>
      <c r="H1033" s="453"/>
      <c r="I1033" s="453"/>
      <c r="J1033" s="106"/>
      <c r="K1033" s="106" t="str">
        <f>IF(ISBLANK(I1033), "", VLOOKUP(A1033&amp;" "&amp;B1033, 'Info Tipo de Cambio y REM'!$A$24:$B$35, 2, FALSE))</f>
        <v/>
      </c>
      <c r="L1033" s="107" t="str">
        <f t="shared" si="2"/>
        <v/>
      </c>
      <c r="M1033" s="102"/>
    </row>
    <row r="1034">
      <c r="A1034" s="44"/>
      <c r="B1034" s="102"/>
      <c r="C1034" s="102"/>
      <c r="D1034" s="102"/>
      <c r="E1034" s="443"/>
      <c r="F1034" s="443"/>
      <c r="G1034" s="453"/>
      <c r="H1034" s="453"/>
      <c r="I1034" s="453"/>
      <c r="J1034" s="106"/>
      <c r="K1034" s="106" t="str">
        <f>IF(ISBLANK(I1034), "", VLOOKUP(A1034&amp;" "&amp;B1034, 'Info Tipo de Cambio y REM'!$A$24:$B$35, 2, FALSE))</f>
        <v/>
      </c>
      <c r="L1034" s="107" t="str">
        <f t="shared" si="2"/>
        <v/>
      </c>
      <c r="M1034" s="102"/>
    </row>
    <row r="1035">
      <c r="A1035" s="44"/>
      <c r="B1035" s="102"/>
      <c r="C1035" s="102"/>
      <c r="D1035" s="102"/>
      <c r="E1035" s="443"/>
      <c r="F1035" s="443"/>
      <c r="G1035" s="453"/>
      <c r="H1035" s="453"/>
      <c r="I1035" s="453"/>
      <c r="J1035" s="106"/>
      <c r="K1035" s="106" t="str">
        <f>IF(ISBLANK(I1035), "", VLOOKUP(A1035&amp;" "&amp;B1035, 'Info Tipo de Cambio y REM'!$A$24:$B$35, 2, FALSE))</f>
        <v/>
      </c>
      <c r="L1035" s="107" t="str">
        <f t="shared" si="2"/>
        <v/>
      </c>
      <c r="M1035" s="102"/>
    </row>
    <row r="1036">
      <c r="A1036" s="44"/>
      <c r="B1036" s="102"/>
      <c r="C1036" s="102"/>
      <c r="D1036" s="102"/>
      <c r="E1036" s="443"/>
      <c r="F1036" s="443"/>
      <c r="G1036" s="453"/>
      <c r="H1036" s="453"/>
      <c r="I1036" s="453"/>
      <c r="J1036" s="106"/>
      <c r="K1036" s="106" t="str">
        <f>IF(ISBLANK(I1036), "", VLOOKUP(A1036&amp;" "&amp;B1036, 'Info Tipo de Cambio y REM'!$A$24:$B$35, 2, FALSE))</f>
        <v/>
      </c>
      <c r="L1036" s="107" t="str">
        <f t="shared" si="2"/>
        <v/>
      </c>
      <c r="M1036" s="102"/>
    </row>
    <row r="1037">
      <c r="A1037" s="44"/>
      <c r="B1037" s="102"/>
      <c r="C1037" s="102"/>
      <c r="D1037" s="102"/>
      <c r="E1037" s="443"/>
      <c r="F1037" s="443"/>
      <c r="G1037" s="453"/>
      <c r="H1037" s="453"/>
      <c r="I1037" s="453"/>
      <c r="J1037" s="106"/>
      <c r="K1037" s="106" t="str">
        <f>IF(ISBLANK(I1037), "", VLOOKUP(A1037&amp;" "&amp;B1037, 'Info Tipo de Cambio y REM'!$A$24:$B$35, 2, FALSE))</f>
        <v/>
      </c>
      <c r="L1037" s="107" t="str">
        <f t="shared" si="2"/>
        <v/>
      </c>
      <c r="M1037" s="102"/>
    </row>
    <row r="1038">
      <c r="A1038" s="44"/>
      <c r="B1038" s="102"/>
      <c r="C1038" s="102"/>
      <c r="D1038" s="102"/>
      <c r="E1038" s="443"/>
      <c r="F1038" s="443"/>
      <c r="G1038" s="453"/>
      <c r="H1038" s="453"/>
      <c r="I1038" s="453"/>
      <c r="J1038" s="106"/>
      <c r="K1038" s="106" t="str">
        <f>IF(ISBLANK(I1038), "", VLOOKUP(A1038&amp;" "&amp;B1038, 'Info Tipo de Cambio y REM'!$A$24:$B$35, 2, FALSE))</f>
        <v/>
      </c>
      <c r="L1038" s="107" t="str">
        <f t="shared" si="2"/>
        <v/>
      </c>
      <c r="M1038" s="102"/>
    </row>
    <row r="1039">
      <c r="A1039" s="44"/>
      <c r="B1039" s="102"/>
      <c r="C1039" s="102"/>
      <c r="D1039" s="102"/>
      <c r="E1039" s="443"/>
      <c r="F1039" s="443"/>
      <c r="G1039" s="453"/>
      <c r="H1039" s="453"/>
      <c r="I1039" s="453"/>
      <c r="J1039" s="106"/>
      <c r="K1039" s="106" t="str">
        <f>IF(ISBLANK(I1039), "", VLOOKUP(A1039&amp;" "&amp;B1039, 'Info Tipo de Cambio y REM'!$A$24:$B$35, 2, FALSE))</f>
        <v/>
      </c>
      <c r="L1039" s="107" t="str">
        <f t="shared" si="2"/>
        <v/>
      </c>
      <c r="M1039" s="102"/>
    </row>
    <row r="1040">
      <c r="A1040" s="44"/>
      <c r="B1040" s="102"/>
      <c r="C1040" s="102"/>
      <c r="D1040" s="102"/>
      <c r="E1040" s="443"/>
      <c r="F1040" s="443"/>
      <c r="G1040" s="453"/>
      <c r="H1040" s="453"/>
      <c r="I1040" s="453"/>
      <c r="J1040" s="106"/>
      <c r="K1040" s="106" t="str">
        <f>IF(ISBLANK(I1040), "", VLOOKUP(A1040&amp;" "&amp;B1040, 'Info Tipo de Cambio y REM'!$A$24:$B$35, 2, FALSE))</f>
        <v/>
      </c>
      <c r="L1040" s="107" t="str">
        <f t="shared" si="2"/>
        <v/>
      </c>
      <c r="M1040" s="102"/>
    </row>
    <row r="1041">
      <c r="A1041" s="44"/>
      <c r="B1041" s="102"/>
      <c r="C1041" s="102"/>
      <c r="D1041" s="102"/>
      <c r="E1041" s="443"/>
      <c r="F1041" s="443"/>
      <c r="G1041" s="453"/>
      <c r="H1041" s="453"/>
      <c r="I1041" s="453"/>
      <c r="J1041" s="106"/>
      <c r="K1041" s="106" t="str">
        <f>IF(ISBLANK(I1041), "", VLOOKUP(A1041&amp;" "&amp;B1041, 'Info Tipo de Cambio y REM'!$A$24:$B$35, 2, FALSE))</f>
        <v/>
      </c>
      <c r="L1041" s="107" t="str">
        <f t="shared" si="2"/>
        <v/>
      </c>
      <c r="M1041" s="102"/>
    </row>
    <row r="1042">
      <c r="A1042" s="44"/>
      <c r="B1042" s="102"/>
      <c r="C1042" s="102"/>
      <c r="D1042" s="102"/>
      <c r="E1042" s="443"/>
      <c r="F1042" s="443"/>
      <c r="G1042" s="453"/>
      <c r="H1042" s="453"/>
      <c r="I1042" s="453"/>
      <c r="J1042" s="106"/>
      <c r="K1042" s="106" t="str">
        <f>IF(ISBLANK(I1042), "", VLOOKUP(A1042&amp;" "&amp;B1042, 'Info Tipo de Cambio y REM'!$A$24:$B$35, 2, FALSE))</f>
        <v/>
      </c>
      <c r="L1042" s="107" t="str">
        <f t="shared" si="2"/>
        <v/>
      </c>
      <c r="M1042" s="102"/>
    </row>
    <row r="1043">
      <c r="A1043" s="44"/>
      <c r="B1043" s="102"/>
      <c r="C1043" s="102"/>
      <c r="D1043" s="102"/>
      <c r="E1043" s="443"/>
      <c r="F1043" s="443"/>
      <c r="G1043" s="453"/>
      <c r="H1043" s="453"/>
      <c r="I1043" s="453"/>
      <c r="J1043" s="106"/>
      <c r="K1043" s="106" t="str">
        <f>IF(ISBLANK(I1043), "", VLOOKUP(A1043&amp;" "&amp;B1043, 'Info Tipo de Cambio y REM'!$A$24:$B$35, 2, FALSE))</f>
        <v/>
      </c>
      <c r="L1043" s="107" t="str">
        <f t="shared" si="2"/>
        <v/>
      </c>
      <c r="M1043" s="102"/>
    </row>
    <row r="1044">
      <c r="A1044" s="44"/>
      <c r="B1044" s="102"/>
      <c r="C1044" s="102"/>
      <c r="D1044" s="102"/>
      <c r="E1044" s="443"/>
      <c r="F1044" s="443"/>
      <c r="G1044" s="453"/>
      <c r="H1044" s="453"/>
      <c r="I1044" s="453"/>
      <c r="J1044" s="106"/>
      <c r="K1044" s="106" t="str">
        <f>IF(ISBLANK(I1044), "", VLOOKUP(A1044&amp;" "&amp;B1044, 'Info Tipo de Cambio y REM'!$A$24:$B$35, 2, FALSE))</f>
        <v/>
      </c>
      <c r="L1044" s="107" t="str">
        <f t="shared" si="2"/>
        <v/>
      </c>
      <c r="M1044" s="102"/>
    </row>
    <row r="1045">
      <c r="A1045" s="44"/>
      <c r="B1045" s="102"/>
      <c r="C1045" s="102"/>
      <c r="D1045" s="102"/>
      <c r="E1045" s="443"/>
      <c r="F1045" s="443"/>
      <c r="G1045" s="453"/>
      <c r="H1045" s="453"/>
      <c r="I1045" s="453"/>
      <c r="J1045" s="106"/>
      <c r="K1045" s="106" t="str">
        <f>IF(ISBLANK(I1045), "", VLOOKUP(A1045&amp;" "&amp;B1045, 'Info Tipo de Cambio y REM'!$A$24:$B$35, 2, FALSE))</f>
        <v/>
      </c>
      <c r="L1045" s="107" t="str">
        <f t="shared" si="2"/>
        <v/>
      </c>
      <c r="M1045" s="102"/>
    </row>
    <row r="1046">
      <c r="A1046" s="44"/>
      <c r="B1046" s="102"/>
      <c r="C1046" s="102"/>
      <c r="D1046" s="102"/>
      <c r="E1046" s="443"/>
      <c r="F1046" s="443"/>
      <c r="G1046" s="453"/>
      <c r="H1046" s="453"/>
      <c r="I1046" s="453"/>
      <c r="J1046" s="106"/>
      <c r="K1046" s="106" t="str">
        <f>IF(ISBLANK(I1046), "", VLOOKUP(A1046&amp;" "&amp;B1046, 'Info Tipo de Cambio y REM'!$A$24:$B$35, 2, FALSE))</f>
        <v/>
      </c>
      <c r="L1046" s="107" t="str">
        <f t="shared" si="2"/>
        <v/>
      </c>
      <c r="M1046" s="102"/>
    </row>
    <row r="1047">
      <c r="A1047" s="44"/>
      <c r="B1047" s="102"/>
      <c r="C1047" s="102"/>
      <c r="D1047" s="102"/>
      <c r="E1047" s="443"/>
      <c r="F1047" s="443"/>
      <c r="G1047" s="453"/>
      <c r="H1047" s="453"/>
      <c r="I1047" s="453"/>
      <c r="J1047" s="106"/>
      <c r="K1047" s="106" t="str">
        <f>IF(ISBLANK(I1047), "", VLOOKUP(A1047&amp;" "&amp;B1047, 'Info Tipo de Cambio y REM'!$A$24:$B$35, 2, FALSE))</f>
        <v/>
      </c>
      <c r="L1047" s="107" t="str">
        <f t="shared" si="2"/>
        <v/>
      </c>
      <c r="M1047" s="102"/>
    </row>
    <row r="1048">
      <c r="A1048" s="44"/>
      <c r="B1048" s="102"/>
      <c r="C1048" s="102"/>
      <c r="D1048" s="102"/>
      <c r="E1048" s="443"/>
      <c r="F1048" s="443"/>
      <c r="G1048" s="453"/>
      <c r="H1048" s="453"/>
      <c r="I1048" s="453"/>
      <c r="J1048" s="106"/>
      <c r="K1048" s="106" t="str">
        <f>IF(ISBLANK(I1048), "", VLOOKUP(A1048&amp;" "&amp;B1048, 'Info Tipo de Cambio y REM'!$A$24:$B$35, 2, FALSE))</f>
        <v/>
      </c>
      <c r="L1048" s="107" t="str">
        <f t="shared" si="2"/>
        <v/>
      </c>
      <c r="M1048" s="102"/>
    </row>
    <row r="1049">
      <c r="A1049" s="44"/>
      <c r="B1049" s="102"/>
      <c r="C1049" s="102"/>
      <c r="D1049" s="102"/>
      <c r="E1049" s="443"/>
      <c r="F1049" s="443"/>
      <c r="G1049" s="453"/>
      <c r="H1049" s="453"/>
      <c r="I1049" s="453"/>
      <c r="J1049" s="106"/>
      <c r="K1049" s="106" t="str">
        <f>IF(ISBLANK(I1049), "", VLOOKUP(A1049&amp;" "&amp;B1049, 'Info Tipo de Cambio y REM'!$A$24:$B$35, 2, FALSE))</f>
        <v/>
      </c>
      <c r="L1049" s="107" t="str">
        <f t="shared" si="2"/>
        <v/>
      </c>
      <c r="M1049" s="102"/>
    </row>
    <row r="1050">
      <c r="A1050" s="44"/>
      <c r="B1050" s="102"/>
      <c r="C1050" s="102"/>
      <c r="D1050" s="102"/>
      <c r="E1050" s="443"/>
      <c r="F1050" s="443"/>
      <c r="G1050" s="453"/>
      <c r="H1050" s="453"/>
      <c r="I1050" s="453"/>
      <c r="J1050" s="106"/>
      <c r="K1050" s="106" t="str">
        <f>IF(ISBLANK(I1050), "", VLOOKUP(A1050&amp;" "&amp;B1050, 'Info Tipo de Cambio y REM'!$A$24:$B$35, 2, FALSE))</f>
        <v/>
      </c>
      <c r="L1050" s="107" t="str">
        <f t="shared" si="2"/>
        <v/>
      </c>
      <c r="M1050" s="102"/>
    </row>
    <row r="1051">
      <c r="A1051" s="44"/>
      <c r="B1051" s="102"/>
      <c r="C1051" s="102"/>
      <c r="D1051" s="102"/>
      <c r="E1051" s="443"/>
      <c r="F1051" s="443"/>
      <c r="G1051" s="453"/>
      <c r="H1051" s="453"/>
      <c r="I1051" s="453"/>
      <c r="J1051" s="106"/>
      <c r="K1051" s="106" t="str">
        <f>IF(ISBLANK(I1051), "", VLOOKUP(A1051&amp;" "&amp;B1051, 'Info Tipo de Cambio y REM'!$A$24:$B$35, 2, FALSE))</f>
        <v/>
      </c>
      <c r="L1051" s="107" t="str">
        <f t="shared" si="2"/>
        <v/>
      </c>
      <c r="M1051" s="102"/>
    </row>
    <row r="1052">
      <c r="A1052" s="44"/>
      <c r="B1052" s="102"/>
      <c r="C1052" s="102"/>
      <c r="D1052" s="102"/>
      <c r="E1052" s="443"/>
      <c r="F1052" s="443"/>
      <c r="G1052" s="453"/>
      <c r="H1052" s="453"/>
      <c r="I1052" s="453"/>
      <c r="J1052" s="106"/>
      <c r="K1052" s="106" t="str">
        <f>IF(ISBLANK(I1052), "", VLOOKUP(A1052&amp;" "&amp;B1052, 'Info Tipo de Cambio y REM'!$A$24:$B$35, 2, FALSE))</f>
        <v/>
      </c>
      <c r="L1052" s="107" t="str">
        <f t="shared" si="2"/>
        <v/>
      </c>
      <c r="M1052" s="102"/>
    </row>
    <row r="1053">
      <c r="A1053" s="44"/>
      <c r="B1053" s="102"/>
      <c r="C1053" s="102"/>
      <c r="D1053" s="102"/>
      <c r="E1053" s="443"/>
      <c r="F1053" s="443"/>
      <c r="G1053" s="453"/>
      <c r="H1053" s="453"/>
      <c r="I1053" s="453"/>
      <c r="J1053" s="106"/>
      <c r="K1053" s="106" t="str">
        <f>IF(ISBLANK(I1053), "", VLOOKUP(A1053&amp;" "&amp;B1053, 'Info Tipo de Cambio y REM'!$A$24:$B$35, 2, FALSE))</f>
        <v/>
      </c>
      <c r="L1053" s="107" t="str">
        <f t="shared" si="2"/>
        <v/>
      </c>
      <c r="M1053" s="102"/>
    </row>
    <row r="1054">
      <c r="A1054" s="44"/>
      <c r="B1054" s="102"/>
      <c r="C1054" s="102"/>
      <c r="D1054" s="102"/>
      <c r="E1054" s="443"/>
      <c r="F1054" s="443"/>
      <c r="G1054" s="453"/>
      <c r="H1054" s="453"/>
      <c r="I1054" s="453"/>
      <c r="J1054" s="106"/>
      <c r="K1054" s="106" t="str">
        <f>IF(ISBLANK(I1054), "", VLOOKUP(A1054&amp;" "&amp;B1054, 'Info Tipo de Cambio y REM'!$A$24:$B$35, 2, FALSE))</f>
        <v/>
      </c>
      <c r="L1054" s="107" t="str">
        <f t="shared" si="2"/>
        <v/>
      </c>
      <c r="M1054" s="102"/>
    </row>
    <row r="1055">
      <c r="A1055" s="44"/>
      <c r="B1055" s="102"/>
      <c r="C1055" s="102"/>
      <c r="D1055" s="102"/>
      <c r="E1055" s="443"/>
      <c r="F1055" s="443"/>
      <c r="G1055" s="453"/>
      <c r="H1055" s="453"/>
      <c r="I1055" s="453"/>
      <c r="J1055" s="106"/>
      <c r="K1055" s="106" t="str">
        <f>IF(ISBLANK(I1055), "", VLOOKUP(A1055&amp;" "&amp;B1055, 'Info Tipo de Cambio y REM'!$A$24:$B$35, 2, FALSE))</f>
        <v/>
      </c>
      <c r="L1055" s="107" t="str">
        <f t="shared" si="2"/>
        <v/>
      </c>
      <c r="M1055" s="102"/>
    </row>
    <row r="1056">
      <c r="A1056" s="44"/>
      <c r="B1056" s="102"/>
      <c r="C1056" s="102"/>
      <c r="D1056" s="102"/>
      <c r="E1056" s="443"/>
      <c r="F1056" s="443"/>
      <c r="G1056" s="453"/>
      <c r="H1056" s="453"/>
      <c r="I1056" s="453"/>
      <c r="J1056" s="106"/>
      <c r="K1056" s="106" t="str">
        <f>IF(ISBLANK(I1056), "", VLOOKUP(A1056&amp;" "&amp;B1056, 'Info Tipo de Cambio y REM'!$A$24:$B$35, 2, FALSE))</f>
        <v/>
      </c>
      <c r="L1056" s="107" t="str">
        <f t="shared" si="2"/>
        <v/>
      </c>
      <c r="M1056" s="102"/>
    </row>
    <row r="1057">
      <c r="A1057" s="44"/>
      <c r="B1057" s="102"/>
      <c r="C1057" s="102"/>
      <c r="D1057" s="102"/>
      <c r="E1057" s="443"/>
      <c r="F1057" s="443"/>
      <c r="G1057" s="453"/>
      <c r="H1057" s="453"/>
      <c r="I1057" s="453"/>
      <c r="J1057" s="106"/>
      <c r="K1057" s="106" t="str">
        <f>IF(ISBLANK(I1057), "", VLOOKUP(A1057&amp;" "&amp;B1057, 'Info Tipo de Cambio y REM'!$A$24:$B$35, 2, FALSE))</f>
        <v/>
      </c>
      <c r="L1057" s="107" t="str">
        <f t="shared" si="2"/>
        <v/>
      </c>
      <c r="M1057" s="102"/>
    </row>
    <row r="1058">
      <c r="A1058" s="44"/>
      <c r="B1058" s="102"/>
      <c r="C1058" s="102"/>
      <c r="D1058" s="102"/>
      <c r="E1058" s="443"/>
      <c r="F1058" s="443"/>
      <c r="G1058" s="453"/>
      <c r="H1058" s="453"/>
      <c r="I1058" s="453"/>
      <c r="J1058" s="106"/>
      <c r="K1058" s="106" t="str">
        <f>IF(ISBLANK(I1058), "", VLOOKUP(A1058&amp;" "&amp;B1058, 'Info Tipo de Cambio y REM'!$A$24:$B$35, 2, FALSE))</f>
        <v/>
      </c>
      <c r="L1058" s="107" t="str">
        <f t="shared" si="2"/>
        <v/>
      </c>
      <c r="M1058" s="102"/>
    </row>
    <row r="1059">
      <c r="A1059" s="44"/>
      <c r="B1059" s="102"/>
      <c r="C1059" s="102"/>
      <c r="D1059" s="102"/>
      <c r="E1059" s="443"/>
      <c r="F1059" s="443"/>
      <c r="G1059" s="453"/>
      <c r="H1059" s="453"/>
      <c r="I1059" s="453"/>
      <c r="J1059" s="106"/>
      <c r="K1059" s="106" t="str">
        <f>IF(ISBLANK(I1059), "", VLOOKUP(A1059&amp;" "&amp;B1059, 'Info Tipo de Cambio y REM'!$A$24:$B$35, 2, FALSE))</f>
        <v/>
      </c>
      <c r="L1059" s="107" t="str">
        <f t="shared" si="2"/>
        <v/>
      </c>
      <c r="M1059" s="102"/>
    </row>
    <row r="1060">
      <c r="A1060" s="44"/>
      <c r="B1060" s="102"/>
      <c r="C1060" s="102"/>
      <c r="D1060" s="102"/>
      <c r="E1060" s="443"/>
      <c r="F1060" s="443"/>
      <c r="G1060" s="453"/>
      <c r="H1060" s="453"/>
      <c r="I1060" s="453"/>
      <c r="J1060" s="106"/>
      <c r="K1060" s="106" t="str">
        <f>IF(ISBLANK(I1060), "", VLOOKUP(A1060&amp;" "&amp;B1060, 'Info Tipo de Cambio y REM'!$A$24:$B$35, 2, FALSE))</f>
        <v/>
      </c>
      <c r="L1060" s="107" t="str">
        <f t="shared" si="2"/>
        <v/>
      </c>
      <c r="M1060" s="102"/>
    </row>
    <row r="1061">
      <c r="A1061" s="44"/>
      <c r="B1061" s="102"/>
      <c r="C1061" s="102"/>
      <c r="D1061" s="102"/>
      <c r="E1061" s="443"/>
      <c r="F1061" s="443"/>
      <c r="G1061" s="453"/>
      <c r="H1061" s="453"/>
      <c r="I1061" s="453"/>
      <c r="J1061" s="106"/>
      <c r="K1061" s="106" t="str">
        <f>IF(ISBLANK(I1061), "", VLOOKUP(A1061&amp;" "&amp;B1061, 'Info Tipo de Cambio y REM'!$A$24:$B$35, 2, FALSE))</f>
        <v/>
      </c>
      <c r="L1061" s="107" t="str">
        <f t="shared" si="2"/>
        <v/>
      </c>
      <c r="M1061" s="102"/>
    </row>
    <row r="1062">
      <c r="A1062" s="44"/>
      <c r="B1062" s="102"/>
      <c r="C1062" s="102"/>
      <c r="D1062" s="102"/>
      <c r="E1062" s="443"/>
      <c r="F1062" s="443"/>
      <c r="G1062" s="453"/>
      <c r="H1062" s="453"/>
      <c r="I1062" s="453"/>
      <c r="J1062" s="106"/>
      <c r="K1062" s="106" t="str">
        <f>IF(ISBLANK(I1062), "", VLOOKUP(A1062&amp;" "&amp;B1062, 'Info Tipo de Cambio y REM'!$A$24:$B$35, 2, FALSE))</f>
        <v/>
      </c>
      <c r="L1062" s="107" t="str">
        <f t="shared" si="2"/>
        <v/>
      </c>
      <c r="M1062" s="102"/>
    </row>
    <row r="1063">
      <c r="A1063" s="44"/>
      <c r="B1063" s="102"/>
      <c r="C1063" s="102"/>
      <c r="D1063" s="102"/>
      <c r="E1063" s="443"/>
      <c r="F1063" s="443"/>
      <c r="G1063" s="453"/>
      <c r="H1063" s="453"/>
      <c r="I1063" s="453"/>
      <c r="J1063" s="106"/>
      <c r="K1063" s="106" t="str">
        <f>IF(ISBLANK(I1063), "", VLOOKUP(A1063&amp;" "&amp;B1063, 'Info Tipo de Cambio y REM'!$A$24:$B$35, 2, FALSE))</f>
        <v/>
      </c>
      <c r="L1063" s="107" t="str">
        <f t="shared" si="2"/>
        <v/>
      </c>
      <c r="M1063" s="102"/>
    </row>
    <row r="1064">
      <c r="A1064" s="44"/>
      <c r="B1064" s="102"/>
      <c r="C1064" s="102"/>
      <c r="D1064" s="102"/>
      <c r="E1064" s="443"/>
      <c r="F1064" s="443"/>
      <c r="G1064" s="453"/>
      <c r="H1064" s="453"/>
      <c r="I1064" s="453"/>
      <c r="J1064" s="106"/>
      <c r="K1064" s="106" t="str">
        <f>IF(ISBLANK(I1064), "", VLOOKUP(A1064&amp;" "&amp;B1064, 'Info Tipo de Cambio y REM'!$A$24:$B$35, 2, FALSE))</f>
        <v/>
      </c>
      <c r="L1064" s="107" t="str">
        <f t="shared" si="2"/>
        <v/>
      </c>
      <c r="M1064" s="102"/>
    </row>
    <row r="1065">
      <c r="A1065" s="44"/>
      <c r="B1065" s="102"/>
      <c r="C1065" s="102"/>
      <c r="D1065" s="102"/>
      <c r="E1065" s="443"/>
      <c r="F1065" s="443"/>
      <c r="G1065" s="453"/>
      <c r="H1065" s="453"/>
      <c r="I1065" s="453"/>
      <c r="J1065" s="106"/>
      <c r="K1065" s="106" t="str">
        <f>IF(ISBLANK(I1065), "", VLOOKUP(A1065&amp;" "&amp;B1065, 'Info Tipo de Cambio y REM'!$A$24:$B$35, 2, FALSE))</f>
        <v/>
      </c>
      <c r="L1065" s="107" t="str">
        <f t="shared" si="2"/>
        <v/>
      </c>
      <c r="M1065" s="102"/>
    </row>
    <row r="1066">
      <c r="A1066" s="44"/>
      <c r="B1066" s="102"/>
      <c r="C1066" s="102"/>
      <c r="D1066" s="102"/>
      <c r="E1066" s="443"/>
      <c r="F1066" s="443"/>
      <c r="G1066" s="453"/>
      <c r="H1066" s="453"/>
      <c r="I1066" s="453"/>
      <c r="J1066" s="106"/>
      <c r="K1066" s="106" t="str">
        <f>IF(ISBLANK(I1066), "", VLOOKUP(A1066&amp;" "&amp;B1066, 'Info Tipo de Cambio y REM'!$A$24:$B$35, 2, FALSE))</f>
        <v/>
      </c>
      <c r="L1066" s="107" t="str">
        <f t="shared" si="2"/>
        <v/>
      </c>
      <c r="M1066" s="102"/>
    </row>
    <row r="1067">
      <c r="A1067" s="44"/>
      <c r="B1067" s="102"/>
      <c r="C1067" s="102"/>
      <c r="D1067" s="102"/>
      <c r="E1067" s="443"/>
      <c r="F1067" s="443"/>
      <c r="G1067" s="453"/>
      <c r="H1067" s="453"/>
      <c r="I1067" s="453"/>
      <c r="J1067" s="106"/>
      <c r="K1067" s="106" t="str">
        <f>IF(ISBLANK(I1067), "", VLOOKUP(A1067&amp;" "&amp;B1067, 'Info Tipo de Cambio y REM'!$A$24:$B$35, 2, FALSE))</f>
        <v/>
      </c>
      <c r="L1067" s="107" t="str">
        <f t="shared" si="2"/>
        <v/>
      </c>
      <c r="M1067" s="102"/>
    </row>
    <row r="1068">
      <c r="A1068" s="44"/>
      <c r="B1068" s="102"/>
      <c r="C1068" s="102"/>
      <c r="D1068" s="102"/>
      <c r="E1068" s="443"/>
      <c r="F1068" s="443"/>
      <c r="G1068" s="453"/>
      <c r="H1068" s="453"/>
      <c r="I1068" s="453"/>
      <c r="J1068" s="106"/>
      <c r="K1068" s="106" t="str">
        <f>IF(ISBLANK(I1068), "", VLOOKUP(A1068&amp;" "&amp;B1068, 'Info Tipo de Cambio y REM'!$A$24:$B$35, 2, FALSE))</f>
        <v/>
      </c>
      <c r="L1068" s="107" t="str">
        <f t="shared" si="2"/>
        <v/>
      </c>
      <c r="M1068" s="102"/>
    </row>
    <row r="1069">
      <c r="A1069" s="44"/>
      <c r="B1069" s="102"/>
      <c r="C1069" s="102"/>
      <c r="D1069" s="102"/>
      <c r="E1069" s="443"/>
      <c r="F1069" s="443"/>
      <c r="G1069" s="453"/>
      <c r="H1069" s="453"/>
      <c r="I1069" s="453"/>
      <c r="J1069" s="106"/>
      <c r="K1069" s="106" t="str">
        <f>IF(ISBLANK(I1069), "", VLOOKUP(A1069&amp;" "&amp;B1069, 'Info Tipo de Cambio y REM'!$A$24:$B$35, 2, FALSE))</f>
        <v/>
      </c>
      <c r="L1069" s="107" t="str">
        <f t="shared" si="2"/>
        <v/>
      </c>
      <c r="M1069" s="102"/>
    </row>
    <row r="1070">
      <c r="A1070" s="44"/>
      <c r="B1070" s="102"/>
      <c r="C1070" s="102"/>
      <c r="D1070" s="102"/>
      <c r="E1070" s="443"/>
      <c r="F1070" s="443"/>
      <c r="G1070" s="453"/>
      <c r="H1070" s="453"/>
      <c r="I1070" s="453"/>
      <c r="J1070" s="106"/>
      <c r="K1070" s="106" t="str">
        <f>IF(ISBLANK(I1070), "", VLOOKUP(A1070&amp;" "&amp;B1070, 'Info Tipo de Cambio y REM'!$A$24:$B$35, 2, FALSE))</f>
        <v/>
      </c>
      <c r="L1070" s="107" t="str">
        <f t="shared" si="2"/>
        <v/>
      </c>
      <c r="M1070" s="102"/>
    </row>
    <row r="1071">
      <c r="A1071" s="44"/>
      <c r="B1071" s="102"/>
      <c r="C1071" s="102"/>
      <c r="D1071" s="102"/>
      <c r="E1071" s="443"/>
      <c r="F1071" s="443"/>
      <c r="G1071" s="453"/>
      <c r="H1071" s="453"/>
      <c r="I1071" s="453"/>
      <c r="J1071" s="106"/>
      <c r="K1071" s="106" t="str">
        <f>IF(ISBLANK(I1071), "", VLOOKUP(A1071&amp;" "&amp;B1071, 'Info Tipo de Cambio y REM'!$A$24:$B$35, 2, FALSE))</f>
        <v/>
      </c>
      <c r="L1071" s="107" t="str">
        <f t="shared" si="2"/>
        <v/>
      </c>
      <c r="M1071" s="102"/>
    </row>
    <row r="1072">
      <c r="A1072" s="44"/>
      <c r="B1072" s="102"/>
      <c r="C1072" s="102"/>
      <c r="D1072" s="102"/>
      <c r="E1072" s="443"/>
      <c r="F1072" s="443"/>
      <c r="G1072" s="453"/>
      <c r="H1072" s="453"/>
      <c r="I1072" s="453"/>
      <c r="J1072" s="106"/>
      <c r="K1072" s="106" t="str">
        <f>IF(ISBLANK(I1072), "", VLOOKUP(A1072&amp;" "&amp;B1072, 'Info Tipo de Cambio y REM'!$A$24:$B$35, 2, FALSE))</f>
        <v/>
      </c>
      <c r="L1072" s="107" t="str">
        <f t="shared" si="2"/>
        <v/>
      </c>
      <c r="M1072" s="102"/>
    </row>
    <row r="1073">
      <c r="A1073" s="44"/>
      <c r="B1073" s="102"/>
      <c r="C1073" s="102"/>
      <c r="D1073" s="102"/>
      <c r="E1073" s="443"/>
      <c r="F1073" s="443"/>
      <c r="G1073" s="453"/>
      <c r="H1073" s="453"/>
      <c r="I1073" s="453"/>
      <c r="J1073" s="106"/>
      <c r="K1073" s="106" t="str">
        <f>IF(ISBLANK(I1073), "", VLOOKUP(A1073&amp;" "&amp;B1073, 'Info Tipo de Cambio y REM'!$A$24:$B$35, 2, FALSE))</f>
        <v/>
      </c>
      <c r="L1073" s="107" t="str">
        <f t="shared" si="2"/>
        <v/>
      </c>
      <c r="M1073" s="102"/>
    </row>
    <row r="1074">
      <c r="A1074" s="44"/>
      <c r="B1074" s="102"/>
      <c r="C1074" s="102"/>
      <c r="D1074" s="102"/>
      <c r="E1074" s="443"/>
      <c r="F1074" s="443"/>
      <c r="G1074" s="453"/>
      <c r="H1074" s="453"/>
      <c r="I1074" s="453"/>
      <c r="J1074" s="106"/>
      <c r="K1074" s="106" t="str">
        <f>IF(ISBLANK(I1074), "", VLOOKUP(A1074&amp;" "&amp;B1074, 'Info Tipo de Cambio y REM'!$A$24:$B$35, 2, FALSE))</f>
        <v/>
      </c>
      <c r="L1074" s="107" t="str">
        <f t="shared" si="2"/>
        <v/>
      </c>
      <c r="M1074" s="102"/>
    </row>
    <row r="1075">
      <c r="A1075" s="44"/>
      <c r="B1075" s="102"/>
      <c r="C1075" s="102"/>
      <c r="D1075" s="102"/>
      <c r="E1075" s="443"/>
      <c r="F1075" s="443"/>
      <c r="G1075" s="453"/>
      <c r="H1075" s="453"/>
      <c r="I1075" s="453"/>
      <c r="J1075" s="106"/>
      <c r="K1075" s="106" t="str">
        <f>IF(ISBLANK(I1075), "", VLOOKUP(A1075&amp;" "&amp;B1075, 'Info Tipo de Cambio y REM'!$A$24:$B$35, 2, FALSE))</f>
        <v/>
      </c>
      <c r="L1075" s="107" t="str">
        <f t="shared" si="2"/>
        <v/>
      </c>
      <c r="M1075" s="102"/>
    </row>
    <row r="1076">
      <c r="A1076" s="44"/>
      <c r="B1076" s="102"/>
      <c r="C1076" s="102"/>
      <c r="D1076" s="102"/>
      <c r="E1076" s="443"/>
      <c r="F1076" s="443"/>
      <c r="G1076" s="453"/>
      <c r="H1076" s="453"/>
      <c r="I1076" s="453"/>
      <c r="J1076" s="106"/>
      <c r="K1076" s="106" t="str">
        <f>IF(ISBLANK(I1076), "", VLOOKUP(A1076&amp;" "&amp;B1076, 'Info Tipo de Cambio y REM'!$A$24:$B$35, 2, FALSE))</f>
        <v/>
      </c>
      <c r="L1076" s="107" t="str">
        <f t="shared" si="2"/>
        <v/>
      </c>
      <c r="M1076" s="102"/>
    </row>
    <row r="1077">
      <c r="A1077" s="44"/>
      <c r="B1077" s="102"/>
      <c r="C1077" s="102"/>
      <c r="D1077" s="102"/>
      <c r="E1077" s="443"/>
      <c r="F1077" s="443"/>
      <c r="G1077" s="453"/>
      <c r="H1077" s="453"/>
      <c r="I1077" s="453"/>
      <c r="J1077" s="106"/>
      <c r="K1077" s="106" t="str">
        <f>IF(ISBLANK(I1077), "", VLOOKUP(A1077&amp;" "&amp;B1077, 'Info Tipo de Cambio y REM'!$A$24:$B$35, 2, FALSE))</f>
        <v/>
      </c>
      <c r="L1077" s="107" t="str">
        <f t="shared" si="2"/>
        <v/>
      </c>
      <c r="M1077" s="102"/>
    </row>
    <row r="1078">
      <c r="A1078" s="44"/>
      <c r="B1078" s="102"/>
      <c r="C1078" s="102"/>
      <c r="D1078" s="102"/>
      <c r="E1078" s="443"/>
      <c r="F1078" s="443"/>
      <c r="G1078" s="453"/>
      <c r="H1078" s="453"/>
      <c r="I1078" s="453"/>
      <c r="J1078" s="106"/>
      <c r="K1078" s="106" t="str">
        <f>IF(ISBLANK(I1078), "", VLOOKUP(A1078&amp;" "&amp;B1078, 'Info Tipo de Cambio y REM'!$A$24:$B$35, 2, FALSE))</f>
        <v/>
      </c>
      <c r="L1078" s="107" t="str">
        <f t="shared" si="2"/>
        <v/>
      </c>
      <c r="M1078" s="102"/>
    </row>
    <row r="1079">
      <c r="A1079" s="44"/>
      <c r="B1079" s="102"/>
      <c r="C1079" s="102"/>
      <c r="D1079" s="102"/>
      <c r="E1079" s="443"/>
      <c r="F1079" s="443"/>
      <c r="G1079" s="453"/>
      <c r="H1079" s="453"/>
      <c r="I1079" s="453"/>
      <c r="J1079" s="106"/>
      <c r="K1079" s="106" t="str">
        <f>IF(ISBLANK(I1079), "", VLOOKUP(A1079&amp;" "&amp;B1079, 'Info Tipo de Cambio y REM'!$A$24:$B$35, 2, FALSE))</f>
        <v/>
      </c>
      <c r="L1079" s="107" t="str">
        <f t="shared" si="2"/>
        <v/>
      </c>
      <c r="M1079" s="102"/>
    </row>
    <row r="1080">
      <c r="A1080" s="44"/>
      <c r="B1080" s="102"/>
      <c r="C1080" s="102"/>
      <c r="D1080" s="102"/>
      <c r="E1080" s="443"/>
      <c r="F1080" s="443"/>
      <c r="G1080" s="453"/>
      <c r="H1080" s="453"/>
      <c r="I1080" s="453"/>
      <c r="J1080" s="106"/>
      <c r="K1080" s="106" t="str">
        <f>IF(ISBLANK(I1080), "", VLOOKUP(A1080&amp;" "&amp;B1080, 'Info Tipo de Cambio y REM'!$A$24:$B$35, 2, FALSE))</f>
        <v/>
      </c>
      <c r="L1080" s="107" t="str">
        <f t="shared" si="2"/>
        <v/>
      </c>
      <c r="M1080" s="102"/>
    </row>
    <row r="1081">
      <c r="A1081" s="44"/>
      <c r="B1081" s="102"/>
      <c r="C1081" s="102"/>
      <c r="D1081" s="102"/>
      <c r="E1081" s="443"/>
      <c r="F1081" s="443"/>
      <c r="G1081" s="453"/>
      <c r="H1081" s="453"/>
      <c r="I1081" s="453"/>
      <c r="J1081" s="106"/>
      <c r="K1081" s="106" t="str">
        <f>IF(ISBLANK(I1081), "", VLOOKUP(A1081&amp;" "&amp;B1081, 'Info Tipo de Cambio y REM'!$A$24:$B$35, 2, FALSE))</f>
        <v/>
      </c>
      <c r="L1081" s="107" t="str">
        <f t="shared" si="2"/>
        <v/>
      </c>
      <c r="M1081" s="102"/>
    </row>
    <row r="1082">
      <c r="A1082" s="44"/>
      <c r="B1082" s="102"/>
      <c r="C1082" s="102"/>
      <c r="D1082" s="102"/>
      <c r="E1082" s="443"/>
      <c r="F1082" s="443"/>
      <c r="G1082" s="453"/>
      <c r="H1082" s="453"/>
      <c r="I1082" s="453"/>
      <c r="J1082" s="106"/>
      <c r="K1082" s="106" t="str">
        <f>IF(ISBLANK(I1082), "", VLOOKUP(A1082&amp;" "&amp;B1082, 'Info Tipo de Cambio y REM'!$A$24:$B$35, 2, FALSE))</f>
        <v/>
      </c>
      <c r="L1082" s="107" t="str">
        <f t="shared" si="2"/>
        <v/>
      </c>
      <c r="M1082" s="102"/>
    </row>
    <row r="1083">
      <c r="A1083" s="44"/>
      <c r="B1083" s="102"/>
      <c r="C1083" s="102"/>
      <c r="D1083" s="102"/>
      <c r="E1083" s="443"/>
      <c r="F1083" s="443"/>
      <c r="G1083" s="453"/>
      <c r="H1083" s="453"/>
      <c r="I1083" s="453"/>
      <c r="J1083" s="106"/>
      <c r="K1083" s="106" t="str">
        <f>IF(ISBLANK(I1083), "", VLOOKUP(A1083&amp;" "&amp;B1083, 'Info Tipo de Cambio y REM'!$A$24:$B$35, 2, FALSE))</f>
        <v/>
      </c>
      <c r="L1083" s="107" t="str">
        <f t="shared" si="2"/>
        <v/>
      </c>
      <c r="M1083" s="102"/>
    </row>
    <row r="1084">
      <c r="A1084" s="44"/>
      <c r="B1084" s="102"/>
      <c r="C1084" s="102"/>
      <c r="D1084" s="102"/>
      <c r="E1084" s="443"/>
      <c r="F1084" s="443"/>
      <c r="G1084" s="453"/>
      <c r="H1084" s="453"/>
      <c r="I1084" s="453"/>
      <c r="J1084" s="106"/>
      <c r="K1084" s="106" t="str">
        <f>IF(ISBLANK(I1084), "", VLOOKUP(A1084&amp;" "&amp;B1084, 'Info Tipo de Cambio y REM'!$A$24:$B$35, 2, FALSE))</f>
        <v/>
      </c>
      <c r="L1084" s="107" t="str">
        <f t="shared" si="2"/>
        <v/>
      </c>
      <c r="M1084" s="102"/>
    </row>
    <row r="1085">
      <c r="A1085" s="44"/>
      <c r="B1085" s="102"/>
      <c r="C1085" s="102"/>
      <c r="D1085" s="102"/>
      <c r="E1085" s="443"/>
      <c r="F1085" s="443"/>
      <c r="G1085" s="453"/>
      <c r="H1085" s="453"/>
      <c r="I1085" s="453"/>
      <c r="J1085" s="106"/>
      <c r="K1085" s="106" t="str">
        <f>IF(ISBLANK(I1085), "", VLOOKUP(A1085&amp;" "&amp;B1085, 'Info Tipo de Cambio y REM'!$A$24:$B$35, 2, FALSE))</f>
        <v/>
      </c>
      <c r="L1085" s="107" t="str">
        <f t="shared" si="2"/>
        <v/>
      </c>
      <c r="M1085" s="102"/>
    </row>
    <row r="1086">
      <c r="A1086" s="44"/>
      <c r="B1086" s="102"/>
      <c r="C1086" s="102"/>
      <c r="D1086" s="102"/>
      <c r="E1086" s="443"/>
      <c r="F1086" s="443"/>
      <c r="G1086" s="453"/>
      <c r="H1086" s="453"/>
      <c r="I1086" s="453"/>
      <c r="J1086" s="106"/>
      <c r="K1086" s="106" t="str">
        <f>IF(ISBLANK(I1086), "", VLOOKUP(A1086&amp;" "&amp;B1086, 'Info Tipo de Cambio y REM'!$A$24:$B$35, 2, FALSE))</f>
        <v/>
      </c>
      <c r="L1086" s="107" t="str">
        <f t="shared" si="2"/>
        <v/>
      </c>
      <c r="M1086" s="102"/>
    </row>
    <row r="1087">
      <c r="A1087" s="44"/>
      <c r="B1087" s="102"/>
      <c r="C1087" s="102"/>
      <c r="D1087" s="102"/>
      <c r="E1087" s="443"/>
      <c r="F1087" s="443"/>
      <c r="G1087" s="453"/>
      <c r="H1087" s="453"/>
      <c r="I1087" s="453"/>
      <c r="J1087" s="106"/>
      <c r="K1087" s="106" t="str">
        <f>IF(ISBLANK(I1087), "", VLOOKUP(A1087&amp;" "&amp;B1087, 'Info Tipo de Cambio y REM'!$A$24:$B$35, 2, FALSE))</f>
        <v/>
      </c>
      <c r="L1087" s="107" t="str">
        <f t="shared" si="2"/>
        <v/>
      </c>
      <c r="M1087" s="102"/>
    </row>
    <row r="1088">
      <c r="A1088" s="44"/>
      <c r="B1088" s="102"/>
      <c r="C1088" s="102"/>
      <c r="D1088" s="102"/>
      <c r="E1088" s="443"/>
      <c r="F1088" s="443"/>
      <c r="G1088" s="453"/>
      <c r="H1088" s="453"/>
      <c r="I1088" s="453"/>
      <c r="J1088" s="106"/>
      <c r="K1088" s="106" t="str">
        <f>IF(ISBLANK(I1088), "", VLOOKUP(A1088&amp;" "&amp;B1088, 'Info Tipo de Cambio y REM'!$A$24:$B$35, 2, FALSE))</f>
        <v/>
      </c>
      <c r="L1088" s="107" t="str">
        <f t="shared" si="2"/>
        <v/>
      </c>
      <c r="M1088" s="102"/>
    </row>
    <row r="1089">
      <c r="A1089" s="44"/>
      <c r="B1089" s="102"/>
      <c r="C1089" s="102"/>
      <c r="D1089" s="102"/>
      <c r="E1089" s="443"/>
      <c r="F1089" s="443"/>
      <c r="G1089" s="453"/>
      <c r="H1089" s="453"/>
      <c r="I1089" s="453"/>
      <c r="J1089" s="106"/>
      <c r="K1089" s="106" t="str">
        <f>IF(ISBLANK(I1089), "", VLOOKUP(A1089&amp;" "&amp;B1089, 'Info Tipo de Cambio y REM'!$A$24:$B$35, 2, FALSE))</f>
        <v/>
      </c>
      <c r="L1089" s="107" t="str">
        <f t="shared" si="2"/>
        <v/>
      </c>
      <c r="M1089" s="102"/>
    </row>
    <row r="1090">
      <c r="A1090" s="44"/>
      <c r="B1090" s="102"/>
      <c r="C1090" s="102"/>
      <c r="D1090" s="102"/>
      <c r="E1090" s="443"/>
      <c r="F1090" s="443"/>
      <c r="G1090" s="453"/>
      <c r="H1090" s="453"/>
      <c r="I1090" s="453"/>
      <c r="J1090" s="106"/>
      <c r="K1090" s="106" t="str">
        <f>IF(ISBLANK(I1090), "", VLOOKUP(A1090&amp;" "&amp;B1090, 'Info Tipo de Cambio y REM'!$A$24:$B$35, 2, FALSE))</f>
        <v/>
      </c>
      <c r="L1090" s="107" t="str">
        <f t="shared" si="2"/>
        <v/>
      </c>
      <c r="M1090" s="102"/>
    </row>
    <row r="1091">
      <c r="A1091" s="44"/>
      <c r="B1091" s="102"/>
      <c r="C1091" s="102"/>
      <c r="D1091" s="102"/>
      <c r="E1091" s="443"/>
      <c r="F1091" s="443"/>
      <c r="G1091" s="453"/>
      <c r="H1091" s="453"/>
      <c r="I1091" s="453"/>
      <c r="J1091" s="106"/>
      <c r="K1091" s="106" t="str">
        <f>IF(ISBLANK(I1091), "", VLOOKUP(A1091&amp;" "&amp;B1091, 'Info Tipo de Cambio y REM'!$A$24:$B$35, 2, FALSE))</f>
        <v/>
      </c>
      <c r="L1091" s="107" t="str">
        <f t="shared" si="2"/>
        <v/>
      </c>
      <c r="M1091" s="102"/>
    </row>
    <row r="1092">
      <c r="A1092" s="44"/>
      <c r="B1092" s="102"/>
      <c r="C1092" s="102"/>
      <c r="D1092" s="102"/>
      <c r="E1092" s="443"/>
      <c r="F1092" s="443"/>
      <c r="G1092" s="453"/>
      <c r="H1092" s="453"/>
      <c r="I1092" s="453"/>
      <c r="J1092" s="106"/>
      <c r="K1092" s="106" t="str">
        <f>IF(ISBLANK(I1092), "", VLOOKUP(A1092&amp;" "&amp;B1092, 'Info Tipo de Cambio y REM'!$A$24:$B$35, 2, FALSE))</f>
        <v/>
      </c>
      <c r="L1092" s="107" t="str">
        <f t="shared" si="2"/>
        <v/>
      </c>
      <c r="M1092" s="102"/>
    </row>
    <row r="1093">
      <c r="A1093" s="44"/>
      <c r="B1093" s="102"/>
      <c r="C1093" s="102"/>
      <c r="D1093" s="102"/>
      <c r="E1093" s="443"/>
      <c r="F1093" s="443"/>
      <c r="G1093" s="453"/>
      <c r="H1093" s="453"/>
      <c r="I1093" s="453"/>
      <c r="J1093" s="106"/>
      <c r="K1093" s="106" t="str">
        <f>IF(ISBLANK(I1093), "", VLOOKUP(A1093&amp;" "&amp;B1093, 'Info Tipo de Cambio y REM'!$A$24:$B$35, 2, FALSE))</f>
        <v/>
      </c>
      <c r="L1093" s="107" t="str">
        <f t="shared" si="2"/>
        <v/>
      </c>
      <c r="M1093" s="102"/>
    </row>
    <row r="1094">
      <c r="A1094" s="44"/>
      <c r="B1094" s="102"/>
      <c r="C1094" s="102"/>
      <c r="D1094" s="102"/>
      <c r="E1094" s="443"/>
      <c r="F1094" s="443"/>
      <c r="G1094" s="453"/>
      <c r="H1094" s="453"/>
      <c r="I1094" s="453"/>
      <c r="J1094" s="106"/>
      <c r="K1094" s="106" t="str">
        <f>IF(ISBLANK(I1094), "", VLOOKUP(A1094&amp;" "&amp;B1094, 'Info Tipo de Cambio y REM'!$A$24:$B$35, 2, FALSE))</f>
        <v/>
      </c>
      <c r="L1094" s="107" t="str">
        <f t="shared" si="2"/>
        <v/>
      </c>
      <c r="M1094" s="102"/>
    </row>
    <row r="1095">
      <c r="A1095" s="44"/>
      <c r="B1095" s="102"/>
      <c r="C1095" s="102"/>
      <c r="D1095" s="102"/>
      <c r="E1095" s="443"/>
      <c r="F1095" s="443"/>
      <c r="G1095" s="453"/>
      <c r="H1095" s="453"/>
      <c r="I1095" s="453"/>
      <c r="J1095" s="106"/>
      <c r="K1095" s="106" t="str">
        <f>IF(ISBLANK(I1095), "", VLOOKUP(A1095&amp;" "&amp;B1095, 'Info Tipo de Cambio y REM'!$A$24:$B$35, 2, FALSE))</f>
        <v/>
      </c>
      <c r="L1095" s="107" t="str">
        <f t="shared" si="2"/>
        <v/>
      </c>
      <c r="M1095" s="102"/>
    </row>
    <row r="1096">
      <c r="A1096" s="44"/>
      <c r="B1096" s="102"/>
      <c r="C1096" s="102"/>
      <c r="D1096" s="102"/>
      <c r="E1096" s="443"/>
      <c r="F1096" s="443"/>
      <c r="G1096" s="453"/>
      <c r="H1096" s="453"/>
      <c r="I1096" s="453"/>
      <c r="J1096" s="106"/>
      <c r="K1096" s="106" t="str">
        <f>IF(ISBLANK(I1096), "", VLOOKUP(A1096&amp;" "&amp;B1096, 'Info Tipo de Cambio y REM'!$A$24:$B$35, 2, FALSE))</f>
        <v/>
      </c>
      <c r="L1096" s="107" t="str">
        <f t="shared" si="2"/>
        <v/>
      </c>
      <c r="M1096" s="102"/>
    </row>
    <row r="1097">
      <c r="A1097" s="44"/>
      <c r="B1097" s="102"/>
      <c r="C1097" s="102"/>
      <c r="D1097" s="102"/>
      <c r="E1097" s="443"/>
      <c r="F1097" s="443"/>
      <c r="G1097" s="453"/>
      <c r="H1097" s="453"/>
      <c r="I1097" s="453"/>
      <c r="J1097" s="106"/>
      <c r="K1097" s="106" t="str">
        <f>IF(ISBLANK(I1097), "", VLOOKUP(A1097&amp;" "&amp;B1097, 'Info Tipo de Cambio y REM'!$A$24:$B$35, 2, FALSE))</f>
        <v/>
      </c>
      <c r="L1097" s="107" t="str">
        <f t="shared" si="2"/>
        <v/>
      </c>
      <c r="M1097" s="102"/>
    </row>
    <row r="1098">
      <c r="A1098" s="44"/>
      <c r="B1098" s="102"/>
      <c r="C1098" s="102"/>
      <c r="D1098" s="102"/>
      <c r="E1098" s="443"/>
      <c r="F1098" s="443"/>
      <c r="G1098" s="453"/>
      <c r="H1098" s="453"/>
      <c r="I1098" s="453"/>
      <c r="J1098" s="106"/>
      <c r="K1098" s="106" t="str">
        <f>IF(ISBLANK(I1098), "", VLOOKUP(A1098&amp;" "&amp;B1098, 'Info Tipo de Cambio y REM'!$A$24:$B$35, 2, FALSE))</f>
        <v/>
      </c>
      <c r="L1098" s="107" t="str">
        <f t="shared" si="2"/>
        <v/>
      </c>
      <c r="M1098" s="102"/>
    </row>
    <row r="1099">
      <c r="A1099" s="44"/>
      <c r="B1099" s="102"/>
      <c r="C1099" s="102"/>
      <c r="D1099" s="102"/>
      <c r="E1099" s="443"/>
      <c r="F1099" s="443"/>
      <c r="G1099" s="453"/>
      <c r="H1099" s="453"/>
      <c r="I1099" s="453"/>
      <c r="J1099" s="106"/>
      <c r="K1099" s="106" t="str">
        <f>IF(ISBLANK(I1099), "", VLOOKUP(A1099&amp;" "&amp;B1099, 'Info Tipo de Cambio y REM'!$A$24:$B$35, 2, FALSE))</f>
        <v/>
      </c>
      <c r="L1099" s="107" t="str">
        <f t="shared" si="2"/>
        <v/>
      </c>
      <c r="M1099" s="102"/>
    </row>
    <row r="1100">
      <c r="A1100" s="44"/>
      <c r="B1100" s="102"/>
      <c r="C1100" s="102"/>
      <c r="D1100" s="102"/>
      <c r="E1100" s="443"/>
      <c r="F1100" s="443"/>
      <c r="G1100" s="453"/>
      <c r="H1100" s="453"/>
      <c r="I1100" s="453"/>
      <c r="J1100" s="106"/>
      <c r="K1100" s="106" t="str">
        <f>IF(ISBLANK(I1100), "", VLOOKUP(A1100&amp;" "&amp;B1100, 'Info Tipo de Cambio y REM'!$A$24:$B$35, 2, FALSE))</f>
        <v/>
      </c>
      <c r="L1100" s="107" t="str">
        <f t="shared" si="2"/>
        <v/>
      </c>
      <c r="M1100" s="102"/>
    </row>
    <row r="1101">
      <c r="A1101" s="44"/>
      <c r="B1101" s="102"/>
      <c r="C1101" s="102"/>
      <c r="D1101" s="102"/>
      <c r="E1101" s="443"/>
      <c r="F1101" s="443"/>
      <c r="G1101" s="453"/>
      <c r="H1101" s="453"/>
      <c r="I1101" s="453"/>
      <c r="J1101" s="106"/>
      <c r="K1101" s="106" t="str">
        <f>IF(ISBLANK(I1101), "", VLOOKUP(A1101&amp;" "&amp;B1101, 'Info Tipo de Cambio y REM'!$A$24:$B$35, 2, FALSE))</f>
        <v/>
      </c>
      <c r="L1101" s="107" t="str">
        <f t="shared" si="2"/>
        <v/>
      </c>
      <c r="M1101" s="102"/>
    </row>
    <row r="1102">
      <c r="A1102" s="44"/>
      <c r="B1102" s="102"/>
      <c r="C1102" s="102"/>
      <c r="D1102" s="102"/>
      <c r="E1102" s="443"/>
      <c r="F1102" s="443"/>
      <c r="G1102" s="453"/>
      <c r="H1102" s="453"/>
      <c r="I1102" s="453"/>
      <c r="J1102" s="106"/>
      <c r="K1102" s="106" t="str">
        <f>IF(ISBLANK(I1102), "", VLOOKUP(A1102&amp;" "&amp;B1102, 'Info Tipo de Cambio y REM'!$A$24:$B$35, 2, FALSE))</f>
        <v/>
      </c>
      <c r="L1102" s="107" t="str">
        <f t="shared" si="2"/>
        <v/>
      </c>
      <c r="M1102" s="102"/>
    </row>
    <row r="1103">
      <c r="A1103" s="44"/>
      <c r="B1103" s="102"/>
      <c r="C1103" s="102"/>
      <c r="D1103" s="102"/>
      <c r="E1103" s="443"/>
      <c r="F1103" s="443"/>
      <c r="G1103" s="453"/>
      <c r="H1103" s="453"/>
      <c r="I1103" s="453"/>
      <c r="J1103" s="106"/>
      <c r="K1103" s="106" t="str">
        <f>IF(ISBLANK(I1103), "", VLOOKUP(A1103&amp;" "&amp;B1103, 'Info Tipo de Cambio y REM'!$A$24:$B$35, 2, FALSE))</f>
        <v/>
      </c>
      <c r="L1103" s="107" t="str">
        <f t="shared" si="2"/>
        <v/>
      </c>
      <c r="M1103" s="102"/>
    </row>
    <row r="1104">
      <c r="A1104" s="44"/>
      <c r="B1104" s="102"/>
      <c r="C1104" s="102"/>
      <c r="D1104" s="102"/>
      <c r="E1104" s="443"/>
      <c r="F1104" s="443"/>
      <c r="G1104" s="453"/>
      <c r="H1104" s="453"/>
      <c r="I1104" s="453"/>
      <c r="J1104" s="106"/>
      <c r="K1104" s="106" t="str">
        <f>IF(ISBLANK(I1104), "", VLOOKUP(A1104&amp;" "&amp;B1104, 'Info Tipo de Cambio y REM'!$A$24:$B$35, 2, FALSE))</f>
        <v/>
      </c>
      <c r="L1104" s="107" t="str">
        <f t="shared" si="2"/>
        <v/>
      </c>
      <c r="M1104" s="102"/>
    </row>
    <row r="1105">
      <c r="A1105" s="44"/>
      <c r="B1105" s="102"/>
      <c r="C1105" s="102"/>
      <c r="D1105" s="102"/>
      <c r="E1105" s="443"/>
      <c r="F1105" s="443"/>
      <c r="G1105" s="453"/>
      <c r="H1105" s="453"/>
      <c r="I1105" s="453"/>
      <c r="J1105" s="106"/>
      <c r="K1105" s="106" t="str">
        <f>IF(ISBLANK(I1105), "", VLOOKUP(A1105&amp;" "&amp;B1105, 'Info Tipo de Cambio y REM'!$A$24:$B$35, 2, FALSE))</f>
        <v/>
      </c>
      <c r="L1105" s="107" t="str">
        <f t="shared" si="2"/>
        <v/>
      </c>
      <c r="M1105" s="102"/>
    </row>
    <row r="1106">
      <c r="A1106" s="44"/>
      <c r="B1106" s="102"/>
      <c r="C1106" s="102"/>
      <c r="D1106" s="102"/>
      <c r="E1106" s="443"/>
      <c r="F1106" s="443"/>
      <c r="G1106" s="453"/>
      <c r="H1106" s="453"/>
      <c r="I1106" s="453"/>
      <c r="J1106" s="106"/>
      <c r="K1106" s="106" t="str">
        <f>IF(ISBLANK(I1106), "", VLOOKUP(A1106&amp;" "&amp;B1106, 'Info Tipo de Cambio y REM'!$A$24:$B$35, 2, FALSE))</f>
        <v/>
      </c>
      <c r="L1106" s="107" t="str">
        <f t="shared" si="2"/>
        <v/>
      </c>
      <c r="M1106" s="102"/>
    </row>
    <row r="1107">
      <c r="A1107" s="44"/>
      <c r="B1107" s="102"/>
      <c r="C1107" s="102"/>
      <c r="D1107" s="102"/>
      <c r="E1107" s="443"/>
      <c r="F1107" s="443"/>
      <c r="G1107" s="453"/>
      <c r="H1107" s="453"/>
      <c r="I1107" s="453"/>
      <c r="J1107" s="106"/>
      <c r="K1107" s="106" t="str">
        <f>IF(ISBLANK(I1107), "", VLOOKUP(A1107&amp;" "&amp;B1107, 'Info Tipo de Cambio y REM'!$A$24:$B$35, 2, FALSE))</f>
        <v/>
      </c>
      <c r="L1107" s="107" t="str">
        <f t="shared" si="2"/>
        <v/>
      </c>
      <c r="M1107" s="102"/>
    </row>
    <row r="1108">
      <c r="A1108" s="44"/>
      <c r="B1108" s="102"/>
      <c r="C1108" s="102"/>
      <c r="D1108" s="102"/>
      <c r="E1108" s="443"/>
      <c r="F1108" s="443"/>
      <c r="G1108" s="453"/>
      <c r="H1108" s="453"/>
      <c r="I1108" s="453"/>
      <c r="J1108" s="106"/>
      <c r="K1108" s="106" t="str">
        <f>IF(ISBLANK(I1108), "", VLOOKUP(A1108&amp;" "&amp;B1108, 'Info Tipo de Cambio y REM'!$A$24:$B$35, 2, FALSE))</f>
        <v/>
      </c>
      <c r="L1108" s="107" t="str">
        <f t="shared" si="2"/>
        <v/>
      </c>
      <c r="M1108" s="102"/>
    </row>
    <row r="1109">
      <c r="A1109" s="44"/>
      <c r="B1109" s="102"/>
      <c r="C1109" s="102"/>
      <c r="D1109" s="102"/>
      <c r="E1109" s="443"/>
      <c r="F1109" s="443"/>
      <c r="G1109" s="453"/>
      <c r="H1109" s="453"/>
      <c r="I1109" s="453"/>
      <c r="J1109" s="106"/>
      <c r="K1109" s="106" t="str">
        <f>IF(ISBLANK(I1109), "", VLOOKUP(A1109&amp;" "&amp;B1109, 'Info Tipo de Cambio y REM'!$A$24:$B$35, 2, FALSE))</f>
        <v/>
      </c>
      <c r="L1109" s="107" t="str">
        <f t="shared" si="2"/>
        <v/>
      </c>
      <c r="M1109" s="102"/>
    </row>
    <row r="1110">
      <c r="A1110" s="44"/>
      <c r="B1110" s="102"/>
      <c r="C1110" s="102"/>
      <c r="D1110" s="102"/>
      <c r="E1110" s="443"/>
      <c r="F1110" s="443"/>
      <c r="G1110" s="453"/>
      <c r="H1110" s="453"/>
      <c r="I1110" s="453"/>
      <c r="J1110" s="106"/>
      <c r="K1110" s="106" t="str">
        <f>IF(ISBLANK(I1110), "", VLOOKUP(A1110&amp;" "&amp;B1110, 'Info Tipo de Cambio y REM'!$A$24:$B$35, 2, FALSE))</f>
        <v/>
      </c>
      <c r="L1110" s="107" t="str">
        <f t="shared" si="2"/>
        <v/>
      </c>
      <c r="M1110" s="102"/>
    </row>
    <row r="1111">
      <c r="A1111" s="44"/>
      <c r="B1111" s="102"/>
      <c r="C1111" s="102"/>
      <c r="D1111" s="102"/>
      <c r="E1111" s="443"/>
      <c r="F1111" s="443"/>
      <c r="G1111" s="453"/>
      <c r="H1111" s="453"/>
      <c r="I1111" s="453"/>
      <c r="J1111" s="106"/>
      <c r="K1111" s="106" t="str">
        <f>IF(ISBLANK(I1111), "", VLOOKUP(A1111&amp;" "&amp;B1111, 'Info Tipo de Cambio y REM'!$A$24:$B$35, 2, FALSE))</f>
        <v/>
      </c>
      <c r="L1111" s="107" t="str">
        <f t="shared" si="2"/>
        <v/>
      </c>
      <c r="M1111" s="102"/>
    </row>
    <row r="1112">
      <c r="A1112" s="44"/>
      <c r="B1112" s="102"/>
      <c r="C1112" s="102"/>
      <c r="D1112" s="102"/>
      <c r="E1112" s="443"/>
      <c r="F1112" s="443"/>
      <c r="G1112" s="453"/>
      <c r="H1112" s="453"/>
      <c r="I1112" s="453"/>
      <c r="J1112" s="106"/>
      <c r="K1112" s="106" t="str">
        <f>IF(ISBLANK(I1112), "", VLOOKUP(A1112&amp;" "&amp;B1112, 'Info Tipo de Cambio y REM'!$A$24:$B$35, 2, FALSE))</f>
        <v/>
      </c>
      <c r="L1112" s="107" t="str">
        <f t="shared" si="2"/>
        <v/>
      </c>
      <c r="M1112" s="102"/>
    </row>
    <row r="1113">
      <c r="A1113" s="44"/>
      <c r="B1113" s="102"/>
      <c r="C1113" s="102"/>
      <c r="D1113" s="102"/>
      <c r="E1113" s="443"/>
      <c r="F1113" s="443"/>
      <c r="G1113" s="453"/>
      <c r="H1113" s="453"/>
      <c r="I1113" s="453"/>
      <c r="J1113" s="106"/>
      <c r="K1113" s="106" t="str">
        <f>IF(ISBLANK(I1113), "", VLOOKUP(A1113&amp;" "&amp;B1113, 'Info Tipo de Cambio y REM'!$A$24:$B$35, 2, FALSE))</f>
        <v/>
      </c>
      <c r="L1113" s="107" t="str">
        <f t="shared" si="2"/>
        <v/>
      </c>
      <c r="M1113" s="102"/>
    </row>
    <row r="1114">
      <c r="A1114" s="44"/>
      <c r="B1114" s="102"/>
      <c r="C1114" s="102"/>
      <c r="D1114" s="102"/>
      <c r="E1114" s="443"/>
      <c r="F1114" s="443"/>
      <c r="G1114" s="453"/>
      <c r="H1114" s="453"/>
      <c r="I1114" s="453"/>
      <c r="J1114" s="106"/>
      <c r="K1114" s="106" t="str">
        <f>IF(ISBLANK(I1114), "", VLOOKUP(A1114&amp;" "&amp;B1114, 'Info Tipo de Cambio y REM'!$A$24:$B$35, 2, FALSE))</f>
        <v/>
      </c>
      <c r="L1114" s="107" t="str">
        <f t="shared" si="2"/>
        <v/>
      </c>
      <c r="M1114" s="102"/>
    </row>
    <row r="1115">
      <c r="A1115" s="44"/>
      <c r="B1115" s="102"/>
      <c r="C1115" s="102"/>
      <c r="D1115" s="102"/>
      <c r="E1115" s="443"/>
      <c r="F1115" s="443"/>
      <c r="G1115" s="453"/>
      <c r="H1115" s="453"/>
      <c r="I1115" s="453"/>
      <c r="J1115" s="106"/>
      <c r="K1115" s="106" t="str">
        <f>IF(ISBLANK(I1115), "", VLOOKUP(A1115&amp;" "&amp;B1115, 'Info Tipo de Cambio y REM'!$A$24:$B$35, 2, FALSE))</f>
        <v/>
      </c>
      <c r="L1115" s="107" t="str">
        <f t="shared" si="2"/>
        <v/>
      </c>
      <c r="M1115" s="102"/>
    </row>
    <row r="1116">
      <c r="A1116" s="44"/>
      <c r="B1116" s="102"/>
      <c r="C1116" s="102"/>
      <c r="D1116" s="102"/>
      <c r="E1116" s="443"/>
      <c r="F1116" s="443"/>
      <c r="G1116" s="453"/>
      <c r="H1116" s="453"/>
      <c r="I1116" s="453"/>
      <c r="J1116" s="106"/>
      <c r="K1116" s="106" t="str">
        <f>IF(ISBLANK(I1116), "", VLOOKUP(A1116&amp;" "&amp;B1116, 'Info Tipo de Cambio y REM'!$A$24:$B$35, 2, FALSE))</f>
        <v/>
      </c>
      <c r="L1116" s="107" t="str">
        <f t="shared" si="2"/>
        <v/>
      </c>
      <c r="M1116" s="102"/>
    </row>
    <row r="1117">
      <c r="A1117" s="44"/>
      <c r="B1117" s="102"/>
      <c r="C1117" s="102"/>
      <c r="D1117" s="102"/>
      <c r="E1117" s="443"/>
      <c r="F1117" s="443"/>
      <c r="G1117" s="453"/>
      <c r="H1117" s="453"/>
      <c r="I1117" s="453"/>
      <c r="J1117" s="106"/>
      <c r="K1117" s="106" t="str">
        <f>IF(ISBLANK(I1117), "", VLOOKUP(A1117&amp;" "&amp;B1117, 'Info Tipo de Cambio y REM'!$A$24:$B$35, 2, FALSE))</f>
        <v/>
      </c>
      <c r="L1117" s="107" t="str">
        <f t="shared" si="2"/>
        <v/>
      </c>
      <c r="M1117" s="102"/>
    </row>
    <row r="1118">
      <c r="A1118" s="44"/>
      <c r="B1118" s="102"/>
      <c r="C1118" s="102"/>
      <c r="D1118" s="102"/>
      <c r="E1118" s="443"/>
      <c r="F1118" s="443"/>
      <c r="G1118" s="453"/>
      <c r="H1118" s="453"/>
      <c r="I1118" s="453"/>
      <c r="J1118" s="106"/>
      <c r="K1118" s="106" t="str">
        <f>IF(ISBLANK(I1118), "", VLOOKUP(A1118&amp;" "&amp;B1118, 'Info Tipo de Cambio y REM'!$A$24:$B$35, 2, FALSE))</f>
        <v/>
      </c>
      <c r="L1118" s="107" t="str">
        <f t="shared" si="2"/>
        <v/>
      </c>
      <c r="M1118" s="102"/>
    </row>
    <row r="1119">
      <c r="A1119" s="44"/>
      <c r="B1119" s="102"/>
      <c r="C1119" s="102"/>
      <c r="D1119" s="102"/>
      <c r="E1119" s="443"/>
      <c r="F1119" s="443"/>
      <c r="G1119" s="453"/>
      <c r="H1119" s="453"/>
      <c r="I1119" s="453"/>
      <c r="J1119" s="106"/>
      <c r="K1119" s="106" t="str">
        <f>IF(ISBLANK(I1119), "", VLOOKUP(A1119&amp;" "&amp;B1119, 'Info Tipo de Cambio y REM'!$A$24:$B$35, 2, FALSE))</f>
        <v/>
      </c>
      <c r="L1119" s="107" t="str">
        <f t="shared" si="2"/>
        <v/>
      </c>
      <c r="M1119" s="102"/>
    </row>
    <row r="1120">
      <c r="A1120" s="44"/>
      <c r="B1120" s="102"/>
      <c r="C1120" s="102"/>
      <c r="D1120" s="102"/>
      <c r="E1120" s="443"/>
      <c r="F1120" s="443"/>
      <c r="G1120" s="453"/>
      <c r="H1120" s="453"/>
      <c r="I1120" s="453"/>
      <c r="J1120" s="106"/>
      <c r="K1120" s="106" t="str">
        <f>IF(ISBLANK(I1120), "", VLOOKUP(A1120&amp;" "&amp;B1120, 'Info Tipo de Cambio y REM'!$A$24:$B$35, 2, FALSE))</f>
        <v/>
      </c>
      <c r="L1120" s="107" t="str">
        <f t="shared" si="2"/>
        <v/>
      </c>
      <c r="M1120" s="102"/>
    </row>
    <row r="1121">
      <c r="A1121" s="44"/>
      <c r="B1121" s="102"/>
      <c r="C1121" s="102"/>
      <c r="D1121" s="102"/>
      <c r="E1121" s="443"/>
      <c r="F1121" s="443"/>
      <c r="G1121" s="453"/>
      <c r="H1121" s="453"/>
      <c r="I1121" s="453"/>
      <c r="J1121" s="106"/>
      <c r="K1121" s="106" t="str">
        <f>IF(ISBLANK(I1121), "", VLOOKUP(A1121&amp;" "&amp;B1121, 'Info Tipo de Cambio y REM'!$A$24:$B$35, 2, FALSE))</f>
        <v/>
      </c>
      <c r="L1121" s="107" t="str">
        <f t="shared" si="2"/>
        <v/>
      </c>
      <c r="M1121" s="102"/>
    </row>
    <row r="1122">
      <c r="A1122" s="44"/>
      <c r="B1122" s="102"/>
      <c r="C1122" s="102"/>
      <c r="D1122" s="102"/>
      <c r="E1122" s="443"/>
      <c r="F1122" s="443"/>
      <c r="G1122" s="453"/>
      <c r="H1122" s="453"/>
      <c r="I1122" s="453"/>
      <c r="J1122" s="106"/>
      <c r="K1122" s="106" t="str">
        <f>IF(ISBLANK(I1122), "", VLOOKUP(A1122&amp;" "&amp;B1122, 'Info Tipo de Cambio y REM'!$A$24:$B$35, 2, FALSE))</f>
        <v/>
      </c>
      <c r="L1122" s="107" t="str">
        <f t="shared" si="2"/>
        <v/>
      </c>
      <c r="M1122" s="102"/>
    </row>
    <row r="1123">
      <c r="A1123" s="44"/>
      <c r="B1123" s="102"/>
      <c r="C1123" s="102"/>
      <c r="D1123" s="102"/>
      <c r="E1123" s="443"/>
      <c r="F1123" s="443"/>
      <c r="G1123" s="453"/>
      <c r="H1123" s="453"/>
      <c r="I1123" s="453"/>
      <c r="J1123" s="106"/>
      <c r="K1123" s="106" t="str">
        <f>IF(ISBLANK(I1123), "", VLOOKUP(A1123&amp;" "&amp;B1123, 'Info Tipo de Cambio y REM'!$A$24:$B$35, 2, FALSE))</f>
        <v/>
      </c>
      <c r="L1123" s="107" t="str">
        <f t="shared" si="2"/>
        <v/>
      </c>
      <c r="M1123" s="102"/>
    </row>
    <row r="1124">
      <c r="A1124" s="44"/>
      <c r="B1124" s="102"/>
      <c r="C1124" s="102"/>
      <c r="D1124" s="102"/>
      <c r="E1124" s="443"/>
      <c r="F1124" s="443"/>
      <c r="G1124" s="453"/>
      <c r="H1124" s="453"/>
      <c r="I1124" s="453"/>
      <c r="J1124" s="106"/>
      <c r="K1124" s="106" t="str">
        <f>IF(ISBLANK(I1124), "", VLOOKUP(A1124&amp;" "&amp;B1124, 'Info Tipo de Cambio y REM'!$A$24:$B$35, 2, FALSE))</f>
        <v/>
      </c>
      <c r="L1124" s="107" t="str">
        <f t="shared" si="2"/>
        <v/>
      </c>
      <c r="M1124" s="102"/>
    </row>
    <row r="1125">
      <c r="A1125" s="44"/>
      <c r="B1125" s="102"/>
      <c r="C1125" s="102"/>
      <c r="D1125" s="102"/>
      <c r="E1125" s="443"/>
      <c r="F1125" s="443"/>
      <c r="G1125" s="453"/>
      <c r="H1125" s="453"/>
      <c r="I1125" s="453"/>
      <c r="J1125" s="106"/>
      <c r="K1125" s="106" t="str">
        <f>IF(ISBLANK(I1125), "", VLOOKUP(A1125&amp;" "&amp;B1125, 'Info Tipo de Cambio y REM'!$A$24:$B$35, 2, FALSE))</f>
        <v/>
      </c>
      <c r="L1125" s="107" t="str">
        <f t="shared" si="2"/>
        <v/>
      </c>
      <c r="M1125" s="102"/>
    </row>
    <row r="1126">
      <c r="A1126" s="44"/>
      <c r="B1126" s="102"/>
      <c r="C1126" s="102"/>
      <c r="D1126" s="102"/>
      <c r="E1126" s="443"/>
      <c r="F1126" s="443"/>
      <c r="G1126" s="453"/>
      <c r="H1126" s="453"/>
      <c r="I1126" s="453"/>
      <c r="J1126" s="106"/>
      <c r="K1126" s="106" t="str">
        <f>IF(ISBLANK(I1126), "", VLOOKUP(A1126&amp;" "&amp;B1126, 'Info Tipo de Cambio y REM'!$A$24:$B$35, 2, FALSE))</f>
        <v/>
      </c>
      <c r="L1126" s="107" t="str">
        <f t="shared" si="2"/>
        <v/>
      </c>
      <c r="M1126" s="102"/>
    </row>
    <row r="1127">
      <c r="A1127" s="44"/>
      <c r="B1127" s="102"/>
      <c r="C1127" s="102"/>
      <c r="D1127" s="102"/>
      <c r="E1127" s="443"/>
      <c r="F1127" s="443"/>
      <c r="G1127" s="453"/>
      <c r="H1127" s="453"/>
      <c r="I1127" s="453"/>
      <c r="J1127" s="106"/>
      <c r="K1127" s="106" t="str">
        <f>IF(ISBLANK(I1127), "", VLOOKUP(A1127&amp;" "&amp;B1127, 'Info Tipo de Cambio y REM'!$A$24:$B$35, 2, FALSE))</f>
        <v/>
      </c>
      <c r="L1127" s="107" t="str">
        <f t="shared" si="2"/>
        <v/>
      </c>
      <c r="M1127" s="102"/>
    </row>
    <row r="1128">
      <c r="A1128" s="44"/>
      <c r="B1128" s="102"/>
      <c r="C1128" s="102"/>
      <c r="D1128" s="102"/>
      <c r="E1128" s="443"/>
      <c r="F1128" s="443"/>
      <c r="G1128" s="453"/>
      <c r="H1128" s="453"/>
      <c r="I1128" s="453"/>
      <c r="J1128" s="106"/>
      <c r="K1128" s="106" t="str">
        <f>IF(ISBLANK(I1128), "", VLOOKUP(A1128&amp;" "&amp;B1128, 'Info Tipo de Cambio y REM'!$A$24:$B$35, 2, FALSE))</f>
        <v/>
      </c>
      <c r="L1128" s="107" t="str">
        <f t="shared" si="2"/>
        <v/>
      </c>
      <c r="M1128" s="102"/>
    </row>
    <row r="1129">
      <c r="A1129" s="44"/>
      <c r="B1129" s="102"/>
      <c r="C1129" s="102"/>
      <c r="D1129" s="102"/>
      <c r="E1129" s="443"/>
      <c r="F1129" s="443"/>
      <c r="G1129" s="453"/>
      <c r="H1129" s="453"/>
      <c r="I1129" s="453"/>
      <c r="J1129" s="106"/>
      <c r="K1129" s="106" t="str">
        <f>IF(ISBLANK(I1129), "", VLOOKUP(A1129&amp;" "&amp;B1129, 'Info Tipo de Cambio y REM'!$A$24:$B$35, 2, FALSE))</f>
        <v/>
      </c>
      <c r="L1129" s="107" t="str">
        <f t="shared" si="2"/>
        <v/>
      </c>
      <c r="M1129" s="102"/>
    </row>
    <row r="1130">
      <c r="A1130" s="44"/>
      <c r="B1130" s="102"/>
      <c r="C1130" s="102"/>
      <c r="D1130" s="102"/>
      <c r="E1130" s="443"/>
      <c r="F1130" s="443"/>
      <c r="G1130" s="453"/>
      <c r="H1130" s="453"/>
      <c r="I1130" s="453"/>
      <c r="J1130" s="106"/>
      <c r="K1130" s="106" t="str">
        <f>IF(ISBLANK(I1130), "", VLOOKUP(A1130&amp;" "&amp;B1130, 'Info Tipo de Cambio y REM'!$A$24:$B$35, 2, FALSE))</f>
        <v/>
      </c>
      <c r="L1130" s="107" t="str">
        <f t="shared" si="2"/>
        <v/>
      </c>
      <c r="M1130" s="102"/>
    </row>
    <row r="1131">
      <c r="A1131" s="44"/>
      <c r="B1131" s="102"/>
      <c r="C1131" s="102"/>
      <c r="D1131" s="102"/>
      <c r="E1131" s="443"/>
      <c r="F1131" s="443"/>
      <c r="G1131" s="453"/>
      <c r="H1131" s="453"/>
      <c r="I1131" s="453"/>
      <c r="J1131" s="106"/>
      <c r="K1131" s="106" t="str">
        <f>IF(ISBLANK(I1131), "", VLOOKUP(A1131&amp;" "&amp;B1131, 'Info Tipo de Cambio y REM'!$A$24:$B$35, 2, FALSE))</f>
        <v/>
      </c>
      <c r="L1131" s="107" t="str">
        <f t="shared" si="2"/>
        <v/>
      </c>
      <c r="M1131" s="102"/>
    </row>
    <row r="1132">
      <c r="A1132" s="44"/>
      <c r="B1132" s="102"/>
      <c r="C1132" s="102"/>
      <c r="D1132" s="102"/>
      <c r="E1132" s="443"/>
      <c r="F1132" s="443"/>
      <c r="G1132" s="453"/>
      <c r="H1132" s="453"/>
      <c r="I1132" s="453"/>
      <c r="J1132" s="106"/>
      <c r="K1132" s="106" t="str">
        <f>IF(ISBLANK(I1132), "", VLOOKUP(A1132&amp;" "&amp;B1132, 'Info Tipo de Cambio y REM'!$A$24:$B$35, 2, FALSE))</f>
        <v/>
      </c>
      <c r="L1132" s="107" t="str">
        <f t="shared" si="2"/>
        <v/>
      </c>
      <c r="M1132" s="102"/>
    </row>
    <row r="1133">
      <c r="A1133" s="44"/>
      <c r="B1133" s="102"/>
      <c r="C1133" s="102"/>
      <c r="D1133" s="102"/>
      <c r="E1133" s="443"/>
      <c r="F1133" s="443"/>
      <c r="G1133" s="453"/>
      <c r="H1133" s="453"/>
      <c r="I1133" s="453"/>
      <c r="J1133" s="106"/>
      <c r="K1133" s="106" t="str">
        <f>IF(ISBLANK(I1133), "", VLOOKUP(A1133&amp;" "&amp;B1133, 'Info Tipo de Cambio y REM'!$A$24:$B$35, 2, FALSE))</f>
        <v/>
      </c>
      <c r="L1133" s="107" t="str">
        <f t="shared" si="2"/>
        <v/>
      </c>
      <c r="M1133" s="102"/>
    </row>
    <row r="1134">
      <c r="A1134" s="44"/>
      <c r="B1134" s="102"/>
      <c r="C1134" s="102"/>
      <c r="D1134" s="102"/>
      <c r="E1134" s="443"/>
      <c r="F1134" s="443"/>
      <c r="G1134" s="453"/>
      <c r="H1134" s="453"/>
      <c r="I1134" s="453"/>
      <c r="J1134" s="106"/>
      <c r="K1134" s="106" t="str">
        <f>IF(ISBLANK(I1134), "", VLOOKUP(A1134&amp;" "&amp;B1134, 'Info Tipo de Cambio y REM'!$A$24:$B$35, 2, FALSE))</f>
        <v/>
      </c>
      <c r="L1134" s="107" t="str">
        <f t="shared" si="2"/>
        <v/>
      </c>
      <c r="M1134" s="102"/>
    </row>
    <row r="1135">
      <c r="A1135" s="44"/>
      <c r="B1135" s="102"/>
      <c r="C1135" s="102"/>
      <c r="D1135" s="102"/>
      <c r="E1135" s="443"/>
      <c r="F1135" s="443"/>
      <c r="G1135" s="453"/>
      <c r="H1135" s="453"/>
      <c r="I1135" s="453"/>
      <c r="J1135" s="106"/>
      <c r="K1135" s="106" t="str">
        <f>IF(ISBLANK(I1135), "", VLOOKUP(A1135&amp;" "&amp;B1135, 'Info Tipo de Cambio y REM'!$A$24:$B$35, 2, FALSE))</f>
        <v/>
      </c>
      <c r="L1135" s="107" t="str">
        <f t="shared" si="2"/>
        <v/>
      </c>
      <c r="M1135" s="102"/>
    </row>
    <row r="1136">
      <c r="A1136" s="44"/>
      <c r="B1136" s="102"/>
      <c r="C1136" s="102"/>
      <c r="D1136" s="102"/>
      <c r="E1136" s="443"/>
      <c r="F1136" s="443"/>
      <c r="G1136" s="453"/>
      <c r="H1136" s="453"/>
      <c r="I1136" s="453"/>
      <c r="J1136" s="106"/>
      <c r="K1136" s="106" t="str">
        <f>IF(ISBLANK(I1136), "", VLOOKUP(A1136&amp;" "&amp;B1136, 'Info Tipo de Cambio y REM'!$A$24:$B$35, 2, FALSE))</f>
        <v/>
      </c>
      <c r="L1136" s="107" t="str">
        <f t="shared" si="2"/>
        <v/>
      </c>
      <c r="M1136" s="102"/>
    </row>
    <row r="1137">
      <c r="A1137" s="44"/>
      <c r="B1137" s="102"/>
      <c r="C1137" s="102"/>
      <c r="D1137" s="102"/>
      <c r="E1137" s="443"/>
      <c r="F1137" s="443"/>
      <c r="G1137" s="453"/>
      <c r="H1137" s="453"/>
      <c r="I1137" s="453"/>
      <c r="J1137" s="106"/>
      <c r="K1137" s="106" t="str">
        <f>IF(ISBLANK(I1137), "", VLOOKUP(A1137&amp;" "&amp;B1137, 'Info Tipo de Cambio y REM'!$A$24:$B$35, 2, FALSE))</f>
        <v/>
      </c>
      <c r="L1137" s="107" t="str">
        <f t="shared" si="2"/>
        <v/>
      </c>
      <c r="M1137" s="102"/>
    </row>
    <row r="1138">
      <c r="A1138" s="44"/>
      <c r="B1138" s="102"/>
      <c r="C1138" s="102"/>
      <c r="D1138" s="102"/>
      <c r="E1138" s="443"/>
      <c r="F1138" s="443"/>
      <c r="G1138" s="453"/>
      <c r="H1138" s="453"/>
      <c r="I1138" s="453"/>
      <c r="J1138" s="106"/>
      <c r="K1138" s="106" t="str">
        <f>IF(ISBLANK(I1138), "", VLOOKUP(A1138&amp;" "&amp;B1138, 'Info Tipo de Cambio y REM'!$A$24:$B$35, 2, FALSE))</f>
        <v/>
      </c>
      <c r="L1138" s="107" t="str">
        <f t="shared" si="2"/>
        <v/>
      </c>
      <c r="M1138" s="102"/>
    </row>
    <row r="1139">
      <c r="A1139" s="44"/>
      <c r="B1139" s="102"/>
      <c r="C1139" s="102"/>
      <c r="D1139" s="102"/>
      <c r="E1139" s="443"/>
      <c r="F1139" s="443"/>
      <c r="G1139" s="453"/>
      <c r="H1139" s="453"/>
      <c r="I1139" s="453"/>
      <c r="J1139" s="106"/>
      <c r="K1139" s="106" t="str">
        <f>IF(ISBLANK(I1139), "", VLOOKUP(A1139&amp;" "&amp;B1139, 'Info Tipo de Cambio y REM'!$A$24:$B$35, 2, FALSE))</f>
        <v/>
      </c>
      <c r="L1139" s="107" t="str">
        <f t="shared" si="2"/>
        <v/>
      </c>
      <c r="M1139" s="102"/>
    </row>
    <row r="1140">
      <c r="A1140" s="44"/>
      <c r="B1140" s="102"/>
      <c r="C1140" s="102"/>
      <c r="D1140" s="102"/>
      <c r="E1140" s="443"/>
      <c r="F1140" s="443"/>
      <c r="G1140" s="453"/>
      <c r="H1140" s="453"/>
      <c r="I1140" s="453"/>
      <c r="J1140" s="106"/>
      <c r="K1140" s="106" t="str">
        <f>IF(ISBLANK(I1140), "", VLOOKUP(A1140&amp;" "&amp;B1140, 'Info Tipo de Cambio y REM'!$A$24:$B$35, 2, FALSE))</f>
        <v/>
      </c>
      <c r="L1140" s="107" t="str">
        <f t="shared" si="2"/>
        <v/>
      </c>
      <c r="M1140" s="102"/>
    </row>
    <row r="1141">
      <c r="A1141" s="44"/>
      <c r="B1141" s="102"/>
      <c r="C1141" s="102"/>
      <c r="D1141" s="102"/>
      <c r="E1141" s="443"/>
      <c r="F1141" s="443"/>
      <c r="G1141" s="453"/>
      <c r="H1141" s="453"/>
      <c r="I1141" s="453"/>
      <c r="J1141" s="106"/>
      <c r="K1141" s="106" t="str">
        <f>IF(ISBLANK(I1141), "", VLOOKUP(A1141&amp;" "&amp;B1141, 'Info Tipo de Cambio y REM'!$A$24:$B$35, 2, FALSE))</f>
        <v/>
      </c>
      <c r="L1141" s="107" t="str">
        <f t="shared" si="2"/>
        <v/>
      </c>
      <c r="M1141" s="102"/>
    </row>
    <row r="1142">
      <c r="A1142" s="44"/>
      <c r="B1142" s="102"/>
      <c r="C1142" s="102"/>
      <c r="D1142" s="102"/>
      <c r="E1142" s="443"/>
      <c r="F1142" s="443"/>
      <c r="G1142" s="453"/>
      <c r="H1142" s="453"/>
      <c r="I1142" s="453"/>
      <c r="J1142" s="106"/>
      <c r="K1142" s="106" t="str">
        <f>IF(ISBLANK(I1142), "", VLOOKUP(A1142&amp;" "&amp;B1142, 'Info Tipo de Cambio y REM'!$A$24:$B$35, 2, FALSE))</f>
        <v/>
      </c>
      <c r="L1142" s="107" t="str">
        <f t="shared" si="2"/>
        <v/>
      </c>
      <c r="M1142" s="102"/>
    </row>
    <row r="1143">
      <c r="A1143" s="44"/>
      <c r="B1143" s="102"/>
      <c r="C1143" s="102"/>
      <c r="D1143" s="102"/>
      <c r="E1143" s="443"/>
      <c r="F1143" s="443"/>
      <c r="G1143" s="453"/>
      <c r="H1143" s="453"/>
      <c r="I1143" s="453"/>
      <c r="J1143" s="106"/>
      <c r="K1143" s="106" t="str">
        <f>IF(ISBLANK(I1143), "", VLOOKUP(A1143&amp;" "&amp;B1143, 'Info Tipo de Cambio y REM'!$A$24:$B$35, 2, FALSE))</f>
        <v/>
      </c>
      <c r="L1143" s="107" t="str">
        <f t="shared" si="2"/>
        <v/>
      </c>
      <c r="M1143" s="102"/>
    </row>
    <row r="1144">
      <c r="A1144" s="44"/>
      <c r="B1144" s="102"/>
      <c r="C1144" s="102"/>
      <c r="D1144" s="102"/>
      <c r="E1144" s="443"/>
      <c r="F1144" s="443"/>
      <c r="G1144" s="453"/>
      <c r="H1144" s="453"/>
      <c r="I1144" s="453"/>
      <c r="J1144" s="106"/>
      <c r="K1144" s="106" t="str">
        <f>IF(ISBLANK(I1144), "", VLOOKUP(A1144&amp;" "&amp;B1144, 'Info Tipo de Cambio y REM'!$A$24:$B$35, 2, FALSE))</f>
        <v/>
      </c>
      <c r="L1144" s="107" t="str">
        <f t="shared" si="2"/>
        <v/>
      </c>
      <c r="M1144" s="102"/>
    </row>
    <row r="1145">
      <c r="A1145" s="44"/>
      <c r="B1145" s="102"/>
      <c r="C1145" s="102"/>
      <c r="D1145" s="102"/>
      <c r="E1145" s="443"/>
      <c r="F1145" s="443"/>
      <c r="G1145" s="453"/>
      <c r="H1145" s="453"/>
      <c r="I1145" s="453"/>
      <c r="J1145" s="106"/>
      <c r="K1145" s="106" t="str">
        <f>IF(ISBLANK(I1145), "", VLOOKUP(A1145&amp;" "&amp;B1145, 'Info Tipo de Cambio y REM'!$A$24:$B$35, 2, FALSE))</f>
        <v/>
      </c>
      <c r="L1145" s="107" t="str">
        <f t="shared" si="2"/>
        <v/>
      </c>
      <c r="M1145" s="102"/>
    </row>
    <row r="1146">
      <c r="A1146" s="44"/>
      <c r="B1146" s="102"/>
      <c r="C1146" s="102"/>
      <c r="D1146" s="102"/>
      <c r="E1146" s="443"/>
      <c r="F1146" s="443"/>
      <c r="G1146" s="453"/>
      <c r="H1146" s="453"/>
      <c r="I1146" s="453"/>
      <c r="J1146" s="106"/>
      <c r="K1146" s="106" t="str">
        <f>IF(ISBLANK(I1146), "", VLOOKUP(A1146&amp;" "&amp;B1146, 'Info Tipo de Cambio y REM'!$A$24:$B$35, 2, FALSE))</f>
        <v/>
      </c>
      <c r="L1146" s="107" t="str">
        <f t="shared" si="2"/>
        <v/>
      </c>
      <c r="M1146" s="102"/>
    </row>
    <row r="1147">
      <c r="A1147" s="44"/>
      <c r="B1147" s="102"/>
      <c r="C1147" s="102"/>
      <c r="D1147" s="102"/>
      <c r="E1147" s="443"/>
      <c r="F1147" s="443"/>
      <c r="G1147" s="453"/>
      <c r="H1147" s="453"/>
      <c r="I1147" s="453"/>
      <c r="J1147" s="106"/>
      <c r="K1147" s="106" t="str">
        <f>IF(ISBLANK(I1147), "", VLOOKUP(A1147&amp;" "&amp;B1147, 'Info Tipo de Cambio y REM'!$A$24:$B$35, 2, FALSE))</f>
        <v/>
      </c>
      <c r="L1147" s="107" t="str">
        <f t="shared" si="2"/>
        <v/>
      </c>
      <c r="M1147" s="102"/>
    </row>
    <row r="1148">
      <c r="A1148" s="44"/>
      <c r="B1148" s="102"/>
      <c r="C1148" s="102"/>
      <c r="D1148" s="102"/>
      <c r="E1148" s="443"/>
      <c r="F1148" s="443"/>
      <c r="G1148" s="453"/>
      <c r="H1148" s="453"/>
      <c r="I1148" s="453"/>
      <c r="J1148" s="106"/>
      <c r="K1148" s="106" t="str">
        <f>IF(ISBLANK(I1148), "", VLOOKUP(A1148&amp;" "&amp;B1148, 'Info Tipo de Cambio y REM'!$A$24:$B$35, 2, FALSE))</f>
        <v/>
      </c>
      <c r="L1148" s="107" t="str">
        <f t="shared" si="2"/>
        <v/>
      </c>
      <c r="M1148" s="102"/>
    </row>
    <row r="1149">
      <c r="A1149" s="44"/>
      <c r="B1149" s="102"/>
      <c r="C1149" s="102"/>
      <c r="D1149" s="102"/>
      <c r="E1149" s="443"/>
      <c r="F1149" s="443"/>
      <c r="G1149" s="453"/>
      <c r="H1149" s="453"/>
      <c r="I1149" s="453"/>
      <c r="J1149" s="106"/>
      <c r="K1149" s="106" t="str">
        <f>IF(ISBLANK(I1149), "", VLOOKUP(A1149&amp;" "&amp;B1149, 'Info Tipo de Cambio y REM'!$A$24:$B$35, 2, FALSE))</f>
        <v/>
      </c>
      <c r="L1149" s="107" t="str">
        <f t="shared" si="2"/>
        <v/>
      </c>
      <c r="M1149" s="102"/>
    </row>
    <row r="1150">
      <c r="A1150" s="44"/>
      <c r="B1150" s="102"/>
      <c r="C1150" s="102"/>
      <c r="D1150" s="102"/>
      <c r="E1150" s="443"/>
      <c r="F1150" s="443"/>
      <c r="G1150" s="453"/>
      <c r="H1150" s="453"/>
      <c r="I1150" s="453"/>
      <c r="J1150" s="106"/>
      <c r="K1150" s="106" t="str">
        <f>IF(ISBLANK(I1150), "", VLOOKUP(A1150&amp;" "&amp;B1150, 'Info Tipo de Cambio y REM'!$A$24:$B$35, 2, FALSE))</f>
        <v/>
      </c>
      <c r="L1150" s="107" t="str">
        <f t="shared" si="2"/>
        <v/>
      </c>
      <c r="M1150" s="102"/>
    </row>
    <row r="1151">
      <c r="A1151" s="44"/>
      <c r="B1151" s="102"/>
      <c r="C1151" s="102"/>
      <c r="D1151" s="102"/>
      <c r="E1151" s="443"/>
      <c r="F1151" s="443"/>
      <c r="G1151" s="453"/>
      <c r="H1151" s="453"/>
      <c r="I1151" s="453"/>
      <c r="J1151" s="106"/>
      <c r="K1151" s="106" t="str">
        <f>IF(ISBLANK(I1151), "", VLOOKUP(A1151&amp;" "&amp;B1151, 'Info Tipo de Cambio y REM'!$A$24:$B$35, 2, FALSE))</f>
        <v/>
      </c>
      <c r="L1151" s="107" t="str">
        <f t="shared" si="2"/>
        <v/>
      </c>
      <c r="M1151" s="102"/>
    </row>
    <row r="1152">
      <c r="A1152" s="44"/>
      <c r="B1152" s="102"/>
      <c r="C1152" s="102"/>
      <c r="D1152" s="102"/>
      <c r="E1152" s="443"/>
      <c r="F1152" s="443"/>
      <c r="G1152" s="453"/>
      <c r="H1152" s="453"/>
      <c r="I1152" s="453"/>
      <c r="J1152" s="106"/>
      <c r="K1152" s="106" t="str">
        <f>IF(ISBLANK(I1152), "", VLOOKUP(A1152&amp;" "&amp;B1152, 'Info Tipo de Cambio y REM'!$A$24:$B$35, 2, FALSE))</f>
        <v/>
      </c>
      <c r="L1152" s="107" t="str">
        <f t="shared" si="2"/>
        <v/>
      </c>
      <c r="M1152" s="102"/>
    </row>
    <row r="1153">
      <c r="A1153" s="44"/>
      <c r="B1153" s="102"/>
      <c r="C1153" s="102"/>
      <c r="D1153" s="102"/>
      <c r="E1153" s="443"/>
      <c r="F1153" s="443"/>
      <c r="G1153" s="453"/>
      <c r="H1153" s="453"/>
      <c r="I1153" s="453"/>
      <c r="J1153" s="106"/>
      <c r="K1153" s="106" t="str">
        <f>IF(ISBLANK(I1153), "", VLOOKUP(A1153&amp;" "&amp;B1153, 'Info Tipo de Cambio y REM'!$A$24:$B$35, 2, FALSE))</f>
        <v/>
      </c>
      <c r="L1153" s="107" t="str">
        <f t="shared" si="2"/>
        <v/>
      </c>
      <c r="M1153" s="102"/>
    </row>
    <row r="1154">
      <c r="A1154" s="44"/>
      <c r="B1154" s="102"/>
      <c r="C1154" s="102"/>
      <c r="D1154" s="102"/>
      <c r="E1154" s="443"/>
      <c r="F1154" s="443"/>
      <c r="G1154" s="453"/>
      <c r="H1154" s="453"/>
      <c r="I1154" s="453"/>
      <c r="J1154" s="106"/>
      <c r="K1154" s="106" t="str">
        <f>IF(ISBLANK(I1154), "", VLOOKUP(A1154&amp;" "&amp;B1154, 'Info Tipo de Cambio y REM'!$A$24:$B$35, 2, FALSE))</f>
        <v/>
      </c>
      <c r="L1154" s="107" t="str">
        <f t="shared" si="2"/>
        <v/>
      </c>
      <c r="M1154" s="102"/>
    </row>
    <row r="1155">
      <c r="A1155" s="44"/>
      <c r="B1155" s="102"/>
      <c r="C1155" s="102"/>
      <c r="D1155" s="102"/>
      <c r="E1155" s="443"/>
      <c r="F1155" s="443"/>
      <c r="G1155" s="453"/>
      <c r="H1155" s="453"/>
      <c r="I1155" s="453"/>
      <c r="J1155" s="106"/>
      <c r="K1155" s="106" t="str">
        <f>IF(ISBLANK(I1155), "", VLOOKUP(A1155&amp;" "&amp;B1155, 'Info Tipo de Cambio y REM'!$A$24:$B$35, 2, FALSE))</f>
        <v/>
      </c>
      <c r="L1155" s="107" t="str">
        <f t="shared" si="2"/>
        <v/>
      </c>
      <c r="M1155" s="102"/>
    </row>
    <row r="1156">
      <c r="A1156" s="44"/>
      <c r="B1156" s="102"/>
      <c r="C1156" s="102"/>
      <c r="D1156" s="102"/>
      <c r="E1156" s="443"/>
      <c r="F1156" s="443"/>
      <c r="G1156" s="453"/>
      <c r="H1156" s="453"/>
      <c r="I1156" s="453"/>
      <c r="J1156" s="106"/>
      <c r="K1156" s="106" t="str">
        <f>IF(ISBLANK(I1156), "", VLOOKUP(A1156&amp;" "&amp;B1156, 'Info Tipo de Cambio y REM'!$A$24:$B$35, 2, FALSE))</f>
        <v/>
      </c>
      <c r="L1156" s="107" t="str">
        <f t="shared" si="2"/>
        <v/>
      </c>
      <c r="M1156" s="102"/>
    </row>
    <row r="1157">
      <c r="A1157" s="44"/>
      <c r="B1157" s="102"/>
      <c r="C1157" s="102"/>
      <c r="D1157" s="102"/>
      <c r="E1157" s="443"/>
      <c r="F1157" s="443"/>
      <c r="G1157" s="453"/>
      <c r="H1157" s="453"/>
      <c r="I1157" s="453"/>
      <c r="J1157" s="106"/>
      <c r="K1157" s="106" t="str">
        <f>IF(ISBLANK(I1157), "", VLOOKUP(A1157&amp;" "&amp;B1157, 'Info Tipo de Cambio y REM'!$A$24:$B$35, 2, FALSE))</f>
        <v/>
      </c>
      <c r="L1157" s="107" t="str">
        <f t="shared" si="2"/>
        <v/>
      </c>
      <c r="M1157" s="102"/>
    </row>
    <row r="1158">
      <c r="A1158" s="44"/>
      <c r="B1158" s="102"/>
      <c r="C1158" s="102"/>
      <c r="D1158" s="102"/>
      <c r="E1158" s="443"/>
      <c r="F1158" s="443"/>
      <c r="G1158" s="453"/>
      <c r="H1158" s="453"/>
      <c r="I1158" s="453"/>
      <c r="J1158" s="106"/>
      <c r="K1158" s="106" t="str">
        <f>IF(ISBLANK(I1158), "", VLOOKUP(A1158&amp;" "&amp;B1158, 'Info Tipo de Cambio y REM'!$A$24:$B$35, 2, FALSE))</f>
        <v/>
      </c>
      <c r="L1158" s="107" t="str">
        <f t="shared" si="2"/>
        <v/>
      </c>
      <c r="M1158" s="102"/>
    </row>
    <row r="1159">
      <c r="A1159" s="44"/>
      <c r="B1159" s="102"/>
      <c r="C1159" s="102"/>
      <c r="D1159" s="102"/>
      <c r="E1159" s="443"/>
      <c r="F1159" s="443"/>
      <c r="G1159" s="453"/>
      <c r="H1159" s="453"/>
      <c r="I1159" s="453"/>
      <c r="J1159" s="106"/>
      <c r="K1159" s="106" t="str">
        <f>IF(ISBLANK(I1159), "", VLOOKUP(A1159&amp;" "&amp;B1159, 'Info Tipo de Cambio y REM'!$A$24:$B$35, 2, FALSE))</f>
        <v/>
      </c>
      <c r="L1159" s="107" t="str">
        <f t="shared" si="2"/>
        <v/>
      </c>
      <c r="M1159" s="102"/>
    </row>
    <row r="1160">
      <c r="A1160" s="44"/>
      <c r="B1160" s="102"/>
      <c r="C1160" s="102"/>
      <c r="D1160" s="102"/>
      <c r="E1160" s="443"/>
      <c r="F1160" s="443"/>
      <c r="G1160" s="453"/>
      <c r="H1160" s="453"/>
      <c r="I1160" s="453"/>
      <c r="J1160" s="106"/>
      <c r="K1160" s="106" t="str">
        <f>IF(ISBLANK(I1160), "", VLOOKUP(A1160&amp;" "&amp;B1160, 'Info Tipo de Cambio y REM'!$A$24:$B$35, 2, FALSE))</f>
        <v/>
      </c>
      <c r="L1160" s="107" t="str">
        <f t="shared" si="2"/>
        <v/>
      </c>
      <c r="M1160" s="102"/>
    </row>
    <row r="1161">
      <c r="A1161" s="44"/>
      <c r="B1161" s="102"/>
      <c r="C1161" s="102"/>
      <c r="D1161" s="102"/>
      <c r="E1161" s="443"/>
      <c r="F1161" s="443"/>
      <c r="G1161" s="453"/>
      <c r="H1161" s="453"/>
      <c r="I1161" s="453"/>
      <c r="J1161" s="106"/>
      <c r="K1161" s="106" t="str">
        <f>IF(ISBLANK(I1161), "", VLOOKUP(A1161&amp;" "&amp;B1161, 'Info Tipo de Cambio y REM'!$A$24:$B$35, 2, FALSE))</f>
        <v/>
      </c>
      <c r="L1161" s="107" t="str">
        <f t="shared" si="2"/>
        <v/>
      </c>
      <c r="M1161" s="102"/>
    </row>
    <row r="1162">
      <c r="A1162" s="44"/>
      <c r="B1162" s="102"/>
      <c r="C1162" s="102"/>
      <c r="D1162" s="102"/>
      <c r="E1162" s="443"/>
      <c r="F1162" s="443"/>
      <c r="G1162" s="453"/>
      <c r="H1162" s="453"/>
      <c r="I1162" s="453"/>
      <c r="J1162" s="106"/>
      <c r="K1162" s="106" t="str">
        <f>IF(ISBLANK(I1162), "", VLOOKUP(A1162&amp;" "&amp;B1162, 'Info Tipo de Cambio y REM'!$A$24:$B$35, 2, FALSE))</f>
        <v/>
      </c>
      <c r="L1162" s="107" t="str">
        <f t="shared" si="2"/>
        <v/>
      </c>
      <c r="M1162" s="102"/>
    </row>
    <row r="1163">
      <c r="A1163" s="44"/>
      <c r="B1163" s="102"/>
      <c r="C1163" s="102"/>
      <c r="D1163" s="102"/>
      <c r="E1163" s="443"/>
      <c r="F1163" s="443"/>
      <c r="G1163" s="453"/>
      <c r="H1163" s="453"/>
      <c r="I1163" s="453"/>
      <c r="J1163" s="106"/>
      <c r="K1163" s="106" t="str">
        <f>IF(ISBLANK(I1163), "", VLOOKUP(A1163&amp;" "&amp;B1163, 'Info Tipo de Cambio y REM'!$A$24:$B$35, 2, FALSE))</f>
        <v/>
      </c>
      <c r="L1163" s="107" t="str">
        <f t="shared" si="2"/>
        <v/>
      </c>
      <c r="M1163" s="102"/>
    </row>
    <row r="1164">
      <c r="A1164" s="44"/>
      <c r="B1164" s="102"/>
      <c r="C1164" s="102"/>
      <c r="D1164" s="102"/>
      <c r="E1164" s="443"/>
      <c r="F1164" s="443"/>
      <c r="G1164" s="453"/>
      <c r="H1164" s="453"/>
      <c r="I1164" s="453"/>
      <c r="J1164" s="106"/>
      <c r="K1164" s="106" t="str">
        <f>IF(ISBLANK(I1164), "", VLOOKUP(A1164&amp;" "&amp;B1164, 'Info Tipo de Cambio y REM'!$A$24:$B$35, 2, FALSE))</f>
        <v/>
      </c>
      <c r="L1164" s="107" t="str">
        <f t="shared" si="2"/>
        <v/>
      </c>
      <c r="M1164" s="102"/>
    </row>
    <row r="1165">
      <c r="A1165" s="44"/>
      <c r="B1165" s="102"/>
      <c r="C1165" s="102"/>
      <c r="D1165" s="102"/>
      <c r="E1165" s="443"/>
      <c r="F1165" s="443"/>
      <c r="G1165" s="453"/>
      <c r="H1165" s="453"/>
      <c r="I1165" s="453"/>
      <c r="J1165" s="106"/>
      <c r="K1165" s="106" t="str">
        <f>IF(ISBLANK(I1165), "", VLOOKUP(A1165&amp;" "&amp;B1165, 'Info Tipo de Cambio y REM'!$A$24:$B$35, 2, FALSE))</f>
        <v/>
      </c>
      <c r="L1165" s="107" t="str">
        <f t="shared" si="2"/>
        <v/>
      </c>
      <c r="M1165" s="102"/>
    </row>
    <row r="1166">
      <c r="A1166" s="44"/>
      <c r="B1166" s="102"/>
      <c r="C1166" s="102"/>
      <c r="D1166" s="102"/>
      <c r="E1166" s="443"/>
      <c r="F1166" s="443"/>
      <c r="G1166" s="453"/>
      <c r="H1166" s="453"/>
      <c r="I1166" s="453"/>
      <c r="J1166" s="106"/>
      <c r="K1166" s="106" t="str">
        <f>IF(ISBLANK(I1166), "", VLOOKUP(A1166&amp;" "&amp;B1166, 'Info Tipo de Cambio y REM'!$A$24:$B$35, 2, FALSE))</f>
        <v/>
      </c>
      <c r="L1166" s="107" t="str">
        <f t="shared" si="2"/>
        <v/>
      </c>
      <c r="M1166" s="102"/>
    </row>
    <row r="1167">
      <c r="A1167" s="44"/>
      <c r="B1167" s="102"/>
      <c r="C1167" s="102"/>
      <c r="D1167" s="102"/>
      <c r="E1167" s="443"/>
      <c r="F1167" s="443"/>
      <c r="G1167" s="453"/>
      <c r="H1167" s="453"/>
      <c r="I1167" s="453"/>
      <c r="J1167" s="106"/>
      <c r="K1167" s="106" t="str">
        <f>IF(ISBLANK(I1167), "", VLOOKUP(A1167&amp;" "&amp;B1167, 'Info Tipo de Cambio y REM'!$A$24:$B$35, 2, FALSE))</f>
        <v/>
      </c>
      <c r="L1167" s="107" t="str">
        <f t="shared" si="2"/>
        <v/>
      </c>
      <c r="M1167" s="102"/>
    </row>
    <row r="1168">
      <c r="A1168" s="44"/>
      <c r="B1168" s="102"/>
      <c r="C1168" s="102"/>
      <c r="D1168" s="102"/>
      <c r="E1168" s="443"/>
      <c r="F1168" s="443"/>
      <c r="G1168" s="453"/>
      <c r="H1168" s="453"/>
      <c r="I1168" s="453"/>
      <c r="J1168" s="106"/>
      <c r="K1168" s="106" t="str">
        <f>IF(ISBLANK(I1168), "", VLOOKUP(A1168&amp;" "&amp;B1168, 'Info Tipo de Cambio y REM'!$A$24:$B$35, 2, FALSE))</f>
        <v/>
      </c>
      <c r="L1168" s="107" t="str">
        <f t="shared" si="2"/>
        <v/>
      </c>
      <c r="M1168" s="102"/>
    </row>
    <row r="1169">
      <c r="A1169" s="44"/>
      <c r="B1169" s="102"/>
      <c r="C1169" s="102"/>
      <c r="D1169" s="102"/>
      <c r="E1169" s="443"/>
      <c r="F1169" s="443"/>
      <c r="G1169" s="453"/>
      <c r="H1169" s="453"/>
      <c r="I1169" s="453"/>
      <c r="J1169" s="106"/>
      <c r="K1169" s="106" t="str">
        <f>IF(ISBLANK(I1169), "", VLOOKUP(A1169&amp;" "&amp;B1169, 'Info Tipo de Cambio y REM'!$A$24:$B$35, 2, FALSE))</f>
        <v/>
      </c>
      <c r="L1169" s="107" t="str">
        <f t="shared" si="2"/>
        <v/>
      </c>
      <c r="M1169" s="102"/>
    </row>
    <row r="1170">
      <c r="A1170" s="44"/>
      <c r="B1170" s="102"/>
      <c r="C1170" s="102"/>
      <c r="D1170" s="102"/>
      <c r="E1170" s="443"/>
      <c r="F1170" s="443"/>
      <c r="G1170" s="453"/>
      <c r="H1170" s="453"/>
      <c r="I1170" s="453"/>
      <c r="J1170" s="106"/>
      <c r="K1170" s="106" t="str">
        <f>IF(ISBLANK(I1170), "", VLOOKUP(A1170&amp;" "&amp;B1170, 'Info Tipo de Cambio y REM'!$A$24:$B$35, 2, FALSE))</f>
        <v/>
      </c>
      <c r="L1170" s="107" t="str">
        <f t="shared" si="2"/>
        <v/>
      </c>
      <c r="M1170" s="102"/>
    </row>
    <row r="1171">
      <c r="A1171" s="44"/>
      <c r="B1171" s="102"/>
      <c r="C1171" s="102"/>
      <c r="D1171" s="102"/>
      <c r="E1171" s="443"/>
      <c r="F1171" s="443"/>
      <c r="G1171" s="453"/>
      <c r="H1171" s="453"/>
      <c r="I1171" s="453"/>
      <c r="J1171" s="106"/>
      <c r="K1171" s="106" t="str">
        <f>IF(ISBLANK(I1171), "", VLOOKUP(A1171&amp;" "&amp;B1171, 'Info Tipo de Cambio y REM'!$A$24:$B$35, 2, FALSE))</f>
        <v/>
      </c>
      <c r="L1171" s="107" t="str">
        <f t="shared" si="2"/>
        <v/>
      </c>
      <c r="M1171" s="102"/>
    </row>
    <row r="1172">
      <c r="A1172" s="44"/>
      <c r="B1172" s="102"/>
      <c r="C1172" s="102"/>
      <c r="D1172" s="102"/>
      <c r="E1172" s="443"/>
      <c r="F1172" s="443"/>
      <c r="G1172" s="453"/>
      <c r="H1172" s="453"/>
      <c r="I1172" s="453"/>
      <c r="J1172" s="106"/>
      <c r="K1172" s="106" t="str">
        <f>IF(ISBLANK(I1172), "", VLOOKUP(A1172&amp;" "&amp;B1172, 'Info Tipo de Cambio y REM'!$A$24:$B$35, 2, FALSE))</f>
        <v/>
      </c>
      <c r="L1172" s="107" t="str">
        <f t="shared" si="2"/>
        <v/>
      </c>
      <c r="M1172" s="102"/>
    </row>
    <row r="1173">
      <c r="A1173" s="44"/>
      <c r="B1173" s="102"/>
      <c r="C1173" s="102"/>
      <c r="D1173" s="102"/>
      <c r="E1173" s="443"/>
      <c r="F1173" s="443"/>
      <c r="G1173" s="453"/>
      <c r="H1173" s="453"/>
      <c r="I1173" s="453"/>
      <c r="J1173" s="106"/>
      <c r="K1173" s="106" t="str">
        <f>IF(ISBLANK(I1173), "", VLOOKUP(A1173&amp;" "&amp;B1173, 'Info Tipo de Cambio y REM'!$A$24:$B$35, 2, FALSE))</f>
        <v/>
      </c>
      <c r="L1173" s="107" t="str">
        <f t="shared" si="2"/>
        <v/>
      </c>
      <c r="M1173" s="102"/>
    </row>
    <row r="1174">
      <c r="A1174" s="44"/>
      <c r="B1174" s="102"/>
      <c r="C1174" s="102"/>
      <c r="D1174" s="102"/>
      <c r="E1174" s="443"/>
      <c r="F1174" s="443"/>
      <c r="G1174" s="453"/>
      <c r="H1174" s="453"/>
      <c r="I1174" s="453"/>
      <c r="J1174" s="106"/>
      <c r="K1174" s="106" t="str">
        <f>IF(ISBLANK(I1174), "", VLOOKUP(A1174&amp;" "&amp;B1174, 'Info Tipo de Cambio y REM'!$A$24:$B$35, 2, FALSE))</f>
        <v/>
      </c>
      <c r="L1174" s="107" t="str">
        <f t="shared" si="2"/>
        <v/>
      </c>
      <c r="M1174" s="102"/>
    </row>
    <row r="1175">
      <c r="A1175" s="44"/>
      <c r="B1175" s="102"/>
      <c r="C1175" s="102"/>
      <c r="D1175" s="102"/>
      <c r="E1175" s="443"/>
      <c r="F1175" s="443"/>
      <c r="G1175" s="453"/>
      <c r="H1175" s="453"/>
      <c r="I1175" s="453"/>
      <c r="J1175" s="106"/>
      <c r="K1175" s="106" t="str">
        <f>IF(ISBLANK(I1175), "", VLOOKUP(A1175&amp;" "&amp;B1175, 'Info Tipo de Cambio y REM'!$A$24:$B$35, 2, FALSE))</f>
        <v/>
      </c>
      <c r="L1175" s="107" t="str">
        <f t="shared" si="2"/>
        <v/>
      </c>
      <c r="M1175" s="102"/>
    </row>
    <row r="1176">
      <c r="A1176" s="44"/>
      <c r="B1176" s="102"/>
      <c r="C1176" s="102"/>
      <c r="D1176" s="102"/>
      <c r="E1176" s="443"/>
      <c r="F1176" s="443"/>
      <c r="G1176" s="453"/>
      <c r="H1176" s="453"/>
      <c r="I1176" s="453"/>
      <c r="J1176" s="106"/>
      <c r="K1176" s="106" t="str">
        <f>IF(ISBLANK(I1176), "", VLOOKUP(A1176&amp;" "&amp;B1176, 'Info Tipo de Cambio y REM'!$A$24:$B$35, 2, FALSE))</f>
        <v/>
      </c>
      <c r="L1176" s="107" t="str">
        <f t="shared" si="2"/>
        <v/>
      </c>
      <c r="M1176" s="102"/>
    </row>
    <row r="1177">
      <c r="A1177" s="44"/>
      <c r="B1177" s="102"/>
      <c r="C1177" s="102"/>
      <c r="D1177" s="102"/>
      <c r="E1177" s="443"/>
      <c r="F1177" s="443"/>
      <c r="G1177" s="453"/>
      <c r="H1177" s="453"/>
      <c r="I1177" s="453"/>
      <c r="J1177" s="106"/>
      <c r="K1177" s="106" t="str">
        <f>IF(ISBLANK(I1177), "", VLOOKUP(A1177&amp;" "&amp;B1177, 'Info Tipo de Cambio y REM'!$A$24:$B$35, 2, FALSE))</f>
        <v/>
      </c>
      <c r="L1177" s="107" t="str">
        <f t="shared" si="2"/>
        <v/>
      </c>
      <c r="M1177" s="102"/>
    </row>
    <row r="1178">
      <c r="A1178" s="44"/>
      <c r="B1178" s="102"/>
      <c r="C1178" s="102"/>
      <c r="D1178" s="102"/>
      <c r="E1178" s="443"/>
      <c r="F1178" s="443"/>
      <c r="G1178" s="453"/>
      <c r="H1178" s="453"/>
      <c r="I1178" s="453"/>
      <c r="J1178" s="106"/>
      <c r="K1178" s="106" t="str">
        <f>IF(ISBLANK(I1178), "", VLOOKUP(A1178&amp;" "&amp;B1178, 'Info Tipo de Cambio y REM'!$A$24:$B$35, 2, FALSE))</f>
        <v/>
      </c>
      <c r="L1178" s="107" t="str">
        <f t="shared" si="2"/>
        <v/>
      </c>
      <c r="M1178" s="102"/>
    </row>
    <row r="1179">
      <c r="A1179" s="44"/>
      <c r="B1179" s="102"/>
      <c r="C1179" s="102"/>
      <c r="D1179" s="102"/>
      <c r="E1179" s="443"/>
      <c r="F1179" s="443"/>
      <c r="G1179" s="453"/>
      <c r="H1179" s="453"/>
      <c r="I1179" s="453"/>
      <c r="J1179" s="106"/>
      <c r="K1179" s="106" t="str">
        <f>IF(ISBLANK(I1179), "", VLOOKUP(A1179&amp;" "&amp;B1179, 'Info Tipo de Cambio y REM'!$A$24:$B$35, 2, FALSE))</f>
        <v/>
      </c>
      <c r="L1179" s="107" t="str">
        <f t="shared" si="2"/>
        <v/>
      </c>
      <c r="M1179" s="102"/>
    </row>
    <row r="1180">
      <c r="A1180" s="44"/>
      <c r="B1180" s="102"/>
      <c r="C1180" s="102"/>
      <c r="D1180" s="102"/>
      <c r="E1180" s="443"/>
      <c r="F1180" s="443"/>
      <c r="G1180" s="453"/>
      <c r="H1180" s="453"/>
      <c r="I1180" s="453"/>
      <c r="J1180" s="106"/>
      <c r="K1180" s="106" t="str">
        <f>IF(ISBLANK(I1180), "", VLOOKUP(A1180&amp;" "&amp;B1180, 'Info Tipo de Cambio y REM'!$A$24:$B$35, 2, FALSE))</f>
        <v/>
      </c>
      <c r="L1180" s="107" t="str">
        <f t="shared" si="2"/>
        <v/>
      </c>
      <c r="M1180" s="102"/>
    </row>
    <row r="1181">
      <c r="A1181" s="44"/>
      <c r="B1181" s="102"/>
      <c r="C1181" s="102"/>
      <c r="D1181" s="102"/>
      <c r="E1181" s="443"/>
      <c r="F1181" s="443"/>
      <c r="G1181" s="453"/>
      <c r="H1181" s="453"/>
      <c r="I1181" s="453"/>
      <c r="J1181" s="106"/>
      <c r="K1181" s="106" t="str">
        <f>IF(ISBLANK(I1181), "", VLOOKUP(A1181&amp;" "&amp;B1181, 'Info Tipo de Cambio y REM'!$A$24:$B$35, 2, FALSE))</f>
        <v/>
      </c>
      <c r="L1181" s="107" t="str">
        <f t="shared" si="2"/>
        <v/>
      </c>
      <c r="M1181" s="102"/>
    </row>
    <row r="1182">
      <c r="A1182" s="44"/>
      <c r="B1182" s="102"/>
      <c r="C1182" s="102"/>
      <c r="D1182" s="102"/>
      <c r="E1182" s="443"/>
      <c r="F1182" s="443"/>
      <c r="G1182" s="453"/>
      <c r="H1182" s="453"/>
      <c r="I1182" s="453"/>
      <c r="J1182" s="106"/>
      <c r="K1182" s="106" t="str">
        <f>IF(ISBLANK(I1182), "", VLOOKUP(A1182&amp;" "&amp;B1182, 'Info Tipo de Cambio y REM'!$A$24:$B$35, 2, FALSE))</f>
        <v/>
      </c>
      <c r="L1182" s="107" t="str">
        <f t="shared" si="2"/>
        <v/>
      </c>
      <c r="M1182" s="102"/>
    </row>
    <row r="1183">
      <c r="A1183" s="44"/>
      <c r="B1183" s="102"/>
      <c r="C1183" s="102"/>
      <c r="D1183" s="102"/>
      <c r="E1183" s="443"/>
      <c r="F1183" s="443"/>
      <c r="G1183" s="453"/>
      <c r="H1183" s="453"/>
      <c r="I1183" s="453"/>
      <c r="J1183" s="106"/>
      <c r="K1183" s="106" t="str">
        <f>IF(ISBLANK(I1183), "", VLOOKUP(A1183&amp;" "&amp;B1183, 'Info Tipo de Cambio y REM'!$A$24:$B$35, 2, FALSE))</f>
        <v/>
      </c>
      <c r="L1183" s="107" t="str">
        <f t="shared" si="2"/>
        <v/>
      </c>
      <c r="M1183" s="102"/>
    </row>
    <row r="1184">
      <c r="A1184" s="44"/>
      <c r="B1184" s="102"/>
      <c r="C1184" s="102"/>
      <c r="D1184" s="102"/>
      <c r="E1184" s="443"/>
      <c r="F1184" s="443"/>
      <c r="G1184" s="453"/>
      <c r="H1184" s="453"/>
      <c r="I1184" s="453"/>
      <c r="J1184" s="106"/>
      <c r="K1184" s="106" t="str">
        <f>IF(ISBLANK(I1184), "", VLOOKUP(A1184&amp;" "&amp;B1184, 'Info Tipo de Cambio y REM'!$A$24:$B$35, 2, FALSE))</f>
        <v/>
      </c>
      <c r="L1184" s="107" t="str">
        <f t="shared" si="2"/>
        <v/>
      </c>
      <c r="M1184" s="102"/>
    </row>
    <row r="1185">
      <c r="A1185" s="44"/>
      <c r="B1185" s="102"/>
      <c r="C1185" s="102"/>
      <c r="D1185" s="102"/>
      <c r="E1185" s="443"/>
      <c r="F1185" s="443"/>
      <c r="G1185" s="453"/>
      <c r="H1185" s="453"/>
      <c r="I1185" s="453"/>
      <c r="J1185" s="106"/>
      <c r="K1185" s="106" t="str">
        <f>IF(ISBLANK(I1185), "", VLOOKUP(A1185&amp;" "&amp;B1185, 'Info Tipo de Cambio y REM'!$A$24:$B$35, 2, FALSE))</f>
        <v/>
      </c>
      <c r="L1185" s="107" t="str">
        <f t="shared" si="2"/>
        <v/>
      </c>
      <c r="M1185" s="102"/>
    </row>
    <row r="1186">
      <c r="A1186" s="44"/>
      <c r="B1186" s="102"/>
      <c r="C1186" s="102"/>
      <c r="D1186" s="102"/>
      <c r="E1186" s="443"/>
      <c r="F1186" s="443"/>
      <c r="G1186" s="453"/>
      <c r="H1186" s="453"/>
      <c r="I1186" s="453"/>
      <c r="J1186" s="106"/>
      <c r="K1186" s="106" t="str">
        <f>IF(ISBLANK(I1186), "", VLOOKUP(A1186&amp;" "&amp;B1186, 'Info Tipo de Cambio y REM'!$A$24:$B$35, 2, FALSE))</f>
        <v/>
      </c>
      <c r="L1186" s="107" t="str">
        <f t="shared" si="2"/>
        <v/>
      </c>
      <c r="M1186" s="102"/>
    </row>
    <row r="1187">
      <c r="A1187" s="44"/>
      <c r="B1187" s="102"/>
      <c r="C1187" s="102"/>
      <c r="D1187" s="102"/>
      <c r="E1187" s="443"/>
      <c r="F1187" s="443"/>
      <c r="G1187" s="453"/>
      <c r="H1187" s="453"/>
      <c r="I1187" s="453"/>
      <c r="J1187" s="106"/>
      <c r="K1187" s="106" t="str">
        <f>IF(ISBLANK(I1187), "", VLOOKUP(A1187&amp;" "&amp;B1187, 'Info Tipo de Cambio y REM'!$A$24:$B$35, 2, FALSE))</f>
        <v/>
      </c>
      <c r="L1187" s="107" t="str">
        <f t="shared" si="2"/>
        <v/>
      </c>
      <c r="M1187" s="102"/>
    </row>
    <row r="1188">
      <c r="A1188" s="44"/>
      <c r="B1188" s="102"/>
      <c r="C1188" s="102"/>
      <c r="D1188" s="102"/>
      <c r="E1188" s="443"/>
      <c r="F1188" s="443"/>
      <c r="G1188" s="453"/>
      <c r="H1188" s="453"/>
      <c r="I1188" s="453"/>
      <c r="J1188" s="106"/>
      <c r="K1188" s="106" t="str">
        <f>IF(ISBLANK(I1188), "", VLOOKUP(A1188&amp;" "&amp;B1188, 'Info Tipo de Cambio y REM'!$A$24:$B$35, 2, FALSE))</f>
        <v/>
      </c>
      <c r="L1188" s="107" t="str">
        <f t="shared" si="2"/>
        <v/>
      </c>
      <c r="M1188" s="102"/>
    </row>
    <row r="1189">
      <c r="A1189" s="44"/>
      <c r="B1189" s="102"/>
      <c r="C1189" s="102"/>
      <c r="D1189" s="102"/>
      <c r="E1189" s="443"/>
      <c r="F1189" s="443"/>
      <c r="G1189" s="453"/>
      <c r="H1189" s="453"/>
      <c r="I1189" s="453"/>
      <c r="J1189" s="106"/>
      <c r="K1189" s="106" t="str">
        <f>IF(ISBLANK(I1189), "", VLOOKUP(A1189&amp;" "&amp;B1189, 'Info Tipo de Cambio y REM'!$A$24:$B$35, 2, FALSE))</f>
        <v/>
      </c>
      <c r="L1189" s="107" t="str">
        <f t="shared" si="2"/>
        <v/>
      </c>
      <c r="M1189" s="102"/>
    </row>
    <row r="1190">
      <c r="A1190" s="44"/>
      <c r="B1190" s="102"/>
      <c r="C1190" s="102"/>
      <c r="D1190" s="102"/>
      <c r="E1190" s="443"/>
      <c r="F1190" s="443"/>
      <c r="G1190" s="453"/>
      <c r="H1190" s="453"/>
      <c r="I1190" s="453"/>
      <c r="J1190" s="106"/>
      <c r="K1190" s="106" t="str">
        <f>IF(ISBLANK(I1190), "", VLOOKUP(A1190&amp;" "&amp;B1190, 'Info Tipo de Cambio y REM'!$A$24:$B$35, 2, FALSE))</f>
        <v/>
      </c>
      <c r="L1190" s="107" t="str">
        <f t="shared" si="2"/>
        <v/>
      </c>
      <c r="M1190" s="102"/>
    </row>
    <row r="1191">
      <c r="A1191" s="44"/>
      <c r="B1191" s="102"/>
      <c r="C1191" s="102"/>
      <c r="D1191" s="102"/>
      <c r="E1191" s="443"/>
      <c r="F1191" s="443"/>
      <c r="G1191" s="453"/>
      <c r="H1191" s="453"/>
      <c r="I1191" s="453"/>
      <c r="J1191" s="106"/>
      <c r="K1191" s="106" t="str">
        <f>IF(ISBLANK(I1191), "", VLOOKUP(A1191&amp;" "&amp;B1191, 'Info Tipo de Cambio y REM'!$A$24:$B$35, 2, FALSE))</f>
        <v/>
      </c>
      <c r="L1191" s="107" t="str">
        <f t="shared" si="2"/>
        <v/>
      </c>
      <c r="M1191" s="102"/>
    </row>
    <row r="1192">
      <c r="A1192" s="44"/>
      <c r="B1192" s="102"/>
      <c r="C1192" s="102"/>
      <c r="D1192" s="102"/>
      <c r="E1192" s="443"/>
      <c r="F1192" s="443"/>
      <c r="G1192" s="453"/>
      <c r="H1192" s="453"/>
      <c r="I1192" s="453"/>
      <c r="J1192" s="106"/>
      <c r="K1192" s="106" t="str">
        <f>IF(ISBLANK(I1192), "", VLOOKUP(A1192&amp;" "&amp;B1192, 'Info Tipo de Cambio y REM'!$A$24:$B$35, 2, FALSE))</f>
        <v/>
      </c>
      <c r="L1192" s="107" t="str">
        <f t="shared" si="2"/>
        <v/>
      </c>
      <c r="M1192" s="102"/>
    </row>
    <row r="1193">
      <c r="A1193" s="44"/>
      <c r="B1193" s="102"/>
      <c r="C1193" s="102"/>
      <c r="D1193" s="102"/>
      <c r="E1193" s="443"/>
      <c r="F1193" s="443"/>
      <c r="G1193" s="453"/>
      <c r="H1193" s="453"/>
      <c r="I1193" s="453"/>
      <c r="J1193" s="106"/>
      <c r="K1193" s="106" t="str">
        <f>IF(ISBLANK(I1193), "", VLOOKUP(A1193&amp;" "&amp;B1193, 'Info Tipo de Cambio y REM'!$A$24:$B$35, 2, FALSE))</f>
        <v/>
      </c>
      <c r="L1193" s="107" t="str">
        <f t="shared" si="2"/>
        <v/>
      </c>
      <c r="M1193" s="102"/>
    </row>
    <row r="1194">
      <c r="A1194" s="44"/>
      <c r="B1194" s="102"/>
      <c r="C1194" s="102"/>
      <c r="D1194" s="102"/>
      <c r="E1194" s="443"/>
      <c r="F1194" s="443"/>
      <c r="G1194" s="453"/>
      <c r="H1194" s="453"/>
      <c r="I1194" s="453"/>
      <c r="J1194" s="106"/>
      <c r="K1194" s="106" t="str">
        <f>IF(ISBLANK(I1194), "", VLOOKUP(A1194&amp;" "&amp;B1194, 'Info Tipo de Cambio y REM'!$A$24:$B$35, 2, FALSE))</f>
        <v/>
      </c>
      <c r="L1194" s="107" t="str">
        <f t="shared" si="2"/>
        <v/>
      </c>
      <c r="M1194" s="102"/>
    </row>
    <row r="1195">
      <c r="A1195" s="44"/>
      <c r="B1195" s="102"/>
      <c r="C1195" s="102"/>
      <c r="D1195" s="102"/>
      <c r="E1195" s="443"/>
      <c r="F1195" s="443"/>
      <c r="G1195" s="453"/>
      <c r="H1195" s="453"/>
      <c r="I1195" s="453"/>
      <c r="J1195" s="106"/>
      <c r="K1195" s="106" t="str">
        <f>IF(ISBLANK(I1195), "", VLOOKUP(A1195&amp;" "&amp;B1195, 'Info Tipo de Cambio y REM'!$A$24:$B$35, 2, FALSE))</f>
        <v/>
      </c>
      <c r="L1195" s="107" t="str">
        <f t="shared" si="2"/>
        <v/>
      </c>
      <c r="M1195" s="102"/>
    </row>
    <row r="1196">
      <c r="A1196" s="44"/>
      <c r="B1196" s="102"/>
      <c r="C1196" s="102"/>
      <c r="D1196" s="102"/>
      <c r="E1196" s="443"/>
      <c r="F1196" s="443"/>
      <c r="G1196" s="453"/>
      <c r="H1196" s="453"/>
      <c r="I1196" s="453"/>
      <c r="J1196" s="106"/>
      <c r="K1196" s="106" t="str">
        <f>IF(ISBLANK(I1196), "", VLOOKUP(A1196&amp;" "&amp;B1196, 'Info Tipo de Cambio y REM'!$A$24:$B$35, 2, FALSE))</f>
        <v/>
      </c>
      <c r="L1196" s="107" t="str">
        <f t="shared" si="2"/>
        <v/>
      </c>
      <c r="M1196" s="102"/>
    </row>
    <row r="1197">
      <c r="A1197" s="44"/>
      <c r="B1197" s="102"/>
      <c r="C1197" s="102"/>
      <c r="D1197" s="102"/>
      <c r="E1197" s="443"/>
      <c r="F1197" s="443"/>
      <c r="G1197" s="453"/>
      <c r="H1197" s="453"/>
      <c r="I1197" s="453"/>
      <c r="J1197" s="106"/>
      <c r="K1197" s="106" t="str">
        <f>IF(ISBLANK(I1197), "", VLOOKUP(A1197&amp;" "&amp;B1197, 'Info Tipo de Cambio y REM'!$A$24:$B$35, 2, FALSE))</f>
        <v/>
      </c>
      <c r="L1197" s="107" t="str">
        <f t="shared" si="2"/>
        <v/>
      </c>
      <c r="M1197" s="102"/>
    </row>
    <row r="1198">
      <c r="A1198" s="44"/>
      <c r="B1198" s="102"/>
      <c r="C1198" s="102"/>
      <c r="D1198" s="102"/>
      <c r="E1198" s="443"/>
      <c r="F1198" s="443"/>
      <c r="G1198" s="453"/>
      <c r="H1198" s="453"/>
      <c r="I1198" s="453"/>
      <c r="J1198" s="106"/>
      <c r="K1198" s="106" t="str">
        <f>IF(ISBLANK(I1198), "", VLOOKUP(A1198&amp;" "&amp;B1198, 'Info Tipo de Cambio y REM'!$A$24:$B$35, 2, FALSE))</f>
        <v/>
      </c>
      <c r="L1198" s="107" t="str">
        <f t="shared" si="2"/>
        <v/>
      </c>
      <c r="M1198" s="102"/>
    </row>
    <row r="1199">
      <c r="A1199" s="44"/>
      <c r="B1199" s="102"/>
      <c r="C1199" s="102"/>
      <c r="D1199" s="102"/>
      <c r="E1199" s="443"/>
      <c r="F1199" s="443"/>
      <c r="G1199" s="453"/>
      <c r="H1199" s="453"/>
      <c r="I1199" s="453"/>
      <c r="J1199" s="106"/>
      <c r="K1199" s="106" t="str">
        <f>IF(ISBLANK(I1199), "", VLOOKUP(A1199&amp;" "&amp;B1199, 'Info Tipo de Cambio y REM'!$A$24:$B$35, 2, FALSE))</f>
        <v/>
      </c>
      <c r="L1199" s="107" t="str">
        <f t="shared" si="2"/>
        <v/>
      </c>
      <c r="M1199" s="102"/>
    </row>
    <row r="1200">
      <c r="A1200" s="44"/>
      <c r="B1200" s="102"/>
      <c r="C1200" s="102"/>
      <c r="D1200" s="102"/>
      <c r="E1200" s="443"/>
      <c r="F1200" s="443"/>
      <c r="G1200" s="453"/>
      <c r="H1200" s="453"/>
      <c r="I1200" s="453"/>
      <c r="J1200" s="106"/>
      <c r="K1200" s="106" t="str">
        <f>IF(ISBLANK(I1200), "", VLOOKUP(A1200&amp;" "&amp;B1200, 'Info Tipo de Cambio y REM'!$A$24:$B$35, 2, FALSE))</f>
        <v/>
      </c>
      <c r="L1200" s="107" t="str">
        <f t="shared" si="2"/>
        <v/>
      </c>
      <c r="M1200" s="102"/>
    </row>
    <row r="1201">
      <c r="A1201" s="44"/>
      <c r="B1201" s="102"/>
      <c r="C1201" s="102"/>
      <c r="D1201" s="102"/>
      <c r="E1201" s="443"/>
      <c r="F1201" s="443"/>
      <c r="G1201" s="453"/>
      <c r="H1201" s="453"/>
      <c r="I1201" s="453"/>
      <c r="J1201" s="106"/>
      <c r="K1201" s="106" t="str">
        <f>IF(ISBLANK(I1201), "", VLOOKUP(A1201&amp;" "&amp;B1201, 'Info Tipo de Cambio y REM'!$A$24:$B$35, 2, FALSE))</f>
        <v/>
      </c>
      <c r="L1201" s="107" t="str">
        <f t="shared" si="2"/>
        <v/>
      </c>
      <c r="M1201" s="102"/>
    </row>
    <row r="1202">
      <c r="A1202" s="44"/>
      <c r="B1202" s="102"/>
      <c r="C1202" s="102"/>
      <c r="D1202" s="102"/>
      <c r="E1202" s="443"/>
      <c r="F1202" s="443"/>
      <c r="G1202" s="453"/>
      <c r="H1202" s="453"/>
      <c r="I1202" s="453"/>
      <c r="J1202" s="106"/>
      <c r="K1202" s="106" t="str">
        <f>IF(ISBLANK(I1202), "", VLOOKUP(A1202&amp;" "&amp;B1202, 'Info Tipo de Cambio y REM'!$A$24:$B$35, 2, FALSE))</f>
        <v/>
      </c>
      <c r="L1202" s="107" t="str">
        <f t="shared" si="2"/>
        <v/>
      </c>
      <c r="M1202" s="102"/>
    </row>
    <row r="1203">
      <c r="A1203" s="44"/>
      <c r="B1203" s="102"/>
      <c r="C1203" s="102"/>
      <c r="D1203" s="102"/>
      <c r="E1203" s="443"/>
      <c r="F1203" s="443"/>
      <c r="G1203" s="453"/>
      <c r="H1203" s="453"/>
      <c r="I1203" s="453"/>
      <c r="J1203" s="106"/>
      <c r="K1203" s="106" t="str">
        <f>IF(ISBLANK(I1203), "", VLOOKUP(A1203&amp;" "&amp;B1203, 'Info Tipo de Cambio y REM'!$A$24:$B$35, 2, FALSE))</f>
        <v/>
      </c>
      <c r="L1203" s="107" t="str">
        <f t="shared" si="2"/>
        <v/>
      </c>
      <c r="M1203" s="102"/>
    </row>
    <row r="1204">
      <c r="A1204" s="44"/>
      <c r="B1204" s="102"/>
      <c r="C1204" s="102"/>
      <c r="D1204" s="102"/>
      <c r="E1204" s="443"/>
      <c r="F1204" s="443"/>
      <c r="G1204" s="453"/>
      <c r="H1204" s="453"/>
      <c r="I1204" s="453"/>
      <c r="J1204" s="106"/>
      <c r="K1204" s="106" t="str">
        <f>IF(ISBLANK(I1204), "", VLOOKUP(A1204&amp;" "&amp;B1204, 'Info Tipo de Cambio y REM'!$A$24:$B$35, 2, FALSE))</f>
        <v/>
      </c>
      <c r="L1204" s="107" t="str">
        <f t="shared" si="2"/>
        <v/>
      </c>
      <c r="M1204" s="102"/>
    </row>
    <row r="1205">
      <c r="A1205" s="44"/>
      <c r="B1205" s="102"/>
      <c r="C1205" s="102"/>
      <c r="D1205" s="102"/>
      <c r="E1205" s="443"/>
      <c r="F1205" s="443"/>
      <c r="G1205" s="453"/>
      <c r="H1205" s="453"/>
      <c r="I1205" s="453"/>
      <c r="J1205" s="106"/>
      <c r="K1205" s="106" t="str">
        <f>IF(ISBLANK(I1205), "", VLOOKUP(A1205&amp;" "&amp;B1205, 'Info Tipo de Cambio y REM'!$A$24:$B$35, 2, FALSE))</f>
        <v/>
      </c>
      <c r="L1205" s="107" t="str">
        <f t="shared" si="2"/>
        <v/>
      </c>
      <c r="M1205" s="102"/>
    </row>
    <row r="1206">
      <c r="A1206" s="44"/>
      <c r="B1206" s="102"/>
      <c r="C1206" s="102"/>
      <c r="D1206" s="102"/>
      <c r="E1206" s="443"/>
      <c r="F1206" s="443"/>
      <c r="G1206" s="453"/>
      <c r="H1206" s="453"/>
      <c r="I1206" s="453"/>
      <c r="J1206" s="106"/>
      <c r="K1206" s="106" t="str">
        <f>IF(ISBLANK(I1206), "", VLOOKUP(A1206&amp;" "&amp;B1206, 'Info Tipo de Cambio y REM'!$A$24:$B$35, 2, FALSE))</f>
        <v/>
      </c>
      <c r="L1206" s="107" t="str">
        <f t="shared" si="2"/>
        <v/>
      </c>
      <c r="M1206" s="102"/>
    </row>
    <row r="1207">
      <c r="A1207" s="44"/>
      <c r="B1207" s="102"/>
      <c r="C1207" s="102"/>
      <c r="D1207" s="102"/>
      <c r="E1207" s="443"/>
      <c r="F1207" s="443"/>
      <c r="G1207" s="453"/>
      <c r="H1207" s="453"/>
      <c r="I1207" s="453"/>
      <c r="J1207" s="106"/>
      <c r="K1207" s="106" t="str">
        <f>IF(ISBLANK(I1207), "", VLOOKUP(A1207&amp;" "&amp;B1207, 'Info Tipo de Cambio y REM'!$A$24:$B$35, 2, FALSE))</f>
        <v/>
      </c>
      <c r="L1207" s="107" t="str">
        <f t="shared" si="2"/>
        <v/>
      </c>
      <c r="M1207" s="102"/>
    </row>
    <row r="1208">
      <c r="A1208" s="44"/>
      <c r="B1208" s="102"/>
      <c r="C1208" s="102"/>
      <c r="D1208" s="102"/>
      <c r="E1208" s="443"/>
      <c r="F1208" s="443"/>
      <c r="G1208" s="453"/>
      <c r="H1208" s="453"/>
      <c r="I1208" s="453"/>
      <c r="J1208" s="106"/>
      <c r="K1208" s="106" t="str">
        <f>IF(ISBLANK(I1208), "", VLOOKUP(A1208&amp;" "&amp;B1208, 'Info Tipo de Cambio y REM'!$A$24:$B$35, 2, FALSE))</f>
        <v/>
      </c>
      <c r="L1208" s="107" t="str">
        <f t="shared" si="2"/>
        <v/>
      </c>
      <c r="M1208" s="102"/>
    </row>
    <row r="1209">
      <c r="A1209" s="44"/>
      <c r="B1209" s="102"/>
      <c r="C1209" s="102"/>
      <c r="D1209" s="102"/>
      <c r="E1209" s="443"/>
      <c r="F1209" s="443"/>
      <c r="G1209" s="453"/>
      <c r="H1209" s="453"/>
      <c r="I1209" s="453"/>
      <c r="J1209" s="106"/>
      <c r="K1209" s="106" t="str">
        <f>IF(ISBLANK(I1209), "", VLOOKUP(A1209&amp;" "&amp;B1209, 'Info Tipo de Cambio y REM'!$A$24:$B$35, 2, FALSE))</f>
        <v/>
      </c>
      <c r="L1209" s="107" t="str">
        <f t="shared" si="2"/>
        <v/>
      </c>
      <c r="M1209" s="102"/>
    </row>
    <row r="1210">
      <c r="A1210" s="44"/>
      <c r="B1210" s="102"/>
      <c r="C1210" s="102"/>
      <c r="D1210" s="102"/>
      <c r="E1210" s="443"/>
      <c r="F1210" s="443"/>
      <c r="G1210" s="453"/>
      <c r="H1210" s="453"/>
      <c r="I1210" s="453"/>
      <c r="J1210" s="106"/>
      <c r="K1210" s="106" t="str">
        <f>IF(ISBLANK(I1210), "", VLOOKUP(A1210&amp;" "&amp;B1210, 'Info Tipo de Cambio y REM'!$A$24:$B$35, 2, FALSE))</f>
        <v/>
      </c>
      <c r="L1210" s="107" t="str">
        <f t="shared" si="2"/>
        <v/>
      </c>
      <c r="M1210" s="102"/>
    </row>
    <row r="1211">
      <c r="A1211" s="44"/>
      <c r="B1211" s="102"/>
      <c r="C1211" s="102"/>
      <c r="D1211" s="102"/>
      <c r="E1211" s="443"/>
      <c r="F1211" s="443"/>
      <c r="G1211" s="453"/>
      <c r="H1211" s="453"/>
      <c r="I1211" s="453"/>
      <c r="J1211" s="106"/>
      <c r="K1211" s="106" t="str">
        <f>IF(ISBLANK(I1211), "", VLOOKUP(A1211&amp;" "&amp;B1211, 'Info Tipo de Cambio y REM'!$A$24:$B$35, 2, FALSE))</f>
        <v/>
      </c>
      <c r="L1211" s="107" t="str">
        <f t="shared" si="2"/>
        <v/>
      </c>
      <c r="M1211" s="102"/>
    </row>
    <row r="1212">
      <c r="A1212" s="44"/>
      <c r="B1212" s="102"/>
      <c r="C1212" s="102"/>
      <c r="D1212" s="102"/>
      <c r="E1212" s="443"/>
      <c r="F1212" s="443"/>
      <c r="G1212" s="453"/>
      <c r="H1212" s="453"/>
      <c r="I1212" s="453"/>
      <c r="J1212" s="106"/>
      <c r="K1212" s="106" t="str">
        <f>IF(ISBLANK(I1212), "", VLOOKUP(A1212&amp;" "&amp;B1212, 'Info Tipo de Cambio y REM'!$A$24:$B$35, 2, FALSE))</f>
        <v/>
      </c>
      <c r="L1212" s="107" t="str">
        <f t="shared" si="2"/>
        <v/>
      </c>
      <c r="M1212" s="102"/>
    </row>
    <row r="1213">
      <c r="A1213" s="44"/>
      <c r="B1213" s="102"/>
      <c r="C1213" s="102"/>
      <c r="D1213" s="102"/>
      <c r="E1213" s="443"/>
      <c r="F1213" s="443"/>
      <c r="G1213" s="453"/>
      <c r="H1213" s="453"/>
      <c r="I1213" s="453"/>
      <c r="J1213" s="106"/>
      <c r="K1213" s="106" t="str">
        <f>IF(ISBLANK(I1213), "", VLOOKUP(A1213&amp;" "&amp;B1213, 'Info Tipo de Cambio y REM'!$A$24:$B$35, 2, FALSE))</f>
        <v/>
      </c>
      <c r="L1213" s="107" t="str">
        <f t="shared" si="2"/>
        <v/>
      </c>
      <c r="M1213" s="102"/>
    </row>
    <row r="1214">
      <c r="A1214" s="44"/>
      <c r="B1214" s="102"/>
      <c r="C1214" s="102"/>
      <c r="D1214" s="102"/>
      <c r="E1214" s="443"/>
      <c r="F1214" s="443"/>
      <c r="G1214" s="453"/>
      <c r="H1214" s="453"/>
      <c r="I1214" s="453"/>
      <c r="J1214" s="106"/>
      <c r="K1214" s="106" t="str">
        <f>IF(ISBLANK(I1214), "", VLOOKUP(A1214&amp;" "&amp;B1214, 'Info Tipo de Cambio y REM'!$A$24:$B$35, 2, FALSE))</f>
        <v/>
      </c>
      <c r="L1214" s="107" t="str">
        <f t="shared" si="2"/>
        <v/>
      </c>
      <c r="M1214" s="102"/>
    </row>
    <row r="1215">
      <c r="A1215" s="44"/>
      <c r="B1215" s="102"/>
      <c r="C1215" s="102"/>
      <c r="D1215" s="102"/>
      <c r="E1215" s="443"/>
      <c r="F1215" s="443"/>
      <c r="G1215" s="453"/>
      <c r="H1215" s="453"/>
      <c r="I1215" s="453"/>
      <c r="J1215" s="106"/>
      <c r="K1215" s="106" t="str">
        <f>IF(ISBLANK(I1215), "", VLOOKUP(A1215&amp;" "&amp;B1215, 'Info Tipo de Cambio y REM'!$A$24:$B$35, 2, FALSE))</f>
        <v/>
      </c>
      <c r="L1215" s="107" t="str">
        <f t="shared" si="2"/>
        <v/>
      </c>
      <c r="M1215" s="102"/>
    </row>
    <row r="1216">
      <c r="A1216" s="44"/>
      <c r="B1216" s="102"/>
      <c r="C1216" s="102"/>
      <c r="D1216" s="102"/>
      <c r="E1216" s="443"/>
      <c r="F1216" s="443"/>
      <c r="G1216" s="453"/>
      <c r="H1216" s="453"/>
      <c r="I1216" s="453"/>
      <c r="J1216" s="106"/>
      <c r="K1216" s="106" t="str">
        <f>IF(ISBLANK(I1216), "", VLOOKUP(A1216&amp;" "&amp;B1216, 'Info Tipo de Cambio y REM'!$A$24:$B$35, 2, FALSE))</f>
        <v/>
      </c>
      <c r="L1216" s="107" t="str">
        <f t="shared" si="2"/>
        <v/>
      </c>
      <c r="M1216" s="102"/>
    </row>
    <row r="1217">
      <c r="A1217" s="44"/>
      <c r="B1217" s="102"/>
      <c r="C1217" s="102"/>
      <c r="D1217" s="102"/>
      <c r="E1217" s="443"/>
      <c r="F1217" s="443"/>
      <c r="G1217" s="453"/>
      <c r="H1217" s="453"/>
      <c r="I1217" s="453"/>
      <c r="J1217" s="106"/>
      <c r="K1217" s="106" t="str">
        <f>IF(ISBLANK(I1217), "", VLOOKUP(A1217&amp;" "&amp;B1217, 'Info Tipo de Cambio y REM'!$A$24:$B$35, 2, FALSE))</f>
        <v/>
      </c>
      <c r="L1217" s="107" t="str">
        <f t="shared" si="2"/>
        <v/>
      </c>
      <c r="M1217" s="102"/>
    </row>
    <row r="1218">
      <c r="A1218" s="44"/>
      <c r="B1218" s="102"/>
      <c r="C1218" s="102"/>
      <c r="D1218" s="102"/>
      <c r="E1218" s="443"/>
      <c r="F1218" s="443"/>
      <c r="G1218" s="453"/>
      <c r="H1218" s="453"/>
      <c r="I1218" s="453"/>
      <c r="J1218" s="106"/>
      <c r="K1218" s="106" t="str">
        <f>IF(ISBLANK(I1218), "", VLOOKUP(A1218&amp;" "&amp;B1218, 'Info Tipo de Cambio y REM'!$A$24:$B$35, 2, FALSE))</f>
        <v/>
      </c>
      <c r="L1218" s="107" t="str">
        <f t="shared" si="2"/>
        <v/>
      </c>
      <c r="M1218" s="102"/>
    </row>
    <row r="1219">
      <c r="A1219" s="44"/>
      <c r="B1219" s="102"/>
      <c r="C1219" s="102"/>
      <c r="D1219" s="102"/>
      <c r="E1219" s="443"/>
      <c r="F1219" s="443"/>
      <c r="G1219" s="453"/>
      <c r="H1219" s="453"/>
      <c r="I1219" s="453"/>
      <c r="J1219" s="106"/>
      <c r="K1219" s="106" t="str">
        <f>IF(ISBLANK(I1219), "", VLOOKUP(A1219&amp;" "&amp;B1219, 'Info Tipo de Cambio y REM'!$A$24:$B$35, 2, FALSE))</f>
        <v/>
      </c>
      <c r="L1219" s="107" t="str">
        <f t="shared" si="2"/>
        <v/>
      </c>
      <c r="M1219" s="102"/>
    </row>
    <row r="1220">
      <c r="A1220" s="44"/>
      <c r="B1220" s="102"/>
      <c r="C1220" s="102"/>
      <c r="D1220" s="102"/>
      <c r="E1220" s="443"/>
      <c r="F1220" s="443"/>
      <c r="G1220" s="453"/>
      <c r="H1220" s="453"/>
      <c r="I1220" s="453"/>
      <c r="J1220" s="106"/>
      <c r="K1220" s="106" t="str">
        <f>IF(ISBLANK(I1220), "", VLOOKUP(A1220&amp;" "&amp;B1220, 'Info Tipo de Cambio y REM'!$A$24:$B$35, 2, FALSE))</f>
        <v/>
      </c>
      <c r="L1220" s="107" t="str">
        <f t="shared" si="2"/>
        <v/>
      </c>
      <c r="M1220" s="102"/>
    </row>
    <row r="1221">
      <c r="A1221" s="44"/>
      <c r="B1221" s="102"/>
      <c r="C1221" s="102"/>
      <c r="D1221" s="102"/>
      <c r="E1221" s="443"/>
      <c r="F1221" s="443"/>
      <c r="G1221" s="453"/>
      <c r="H1221" s="453"/>
      <c r="I1221" s="453"/>
      <c r="J1221" s="106"/>
      <c r="K1221" s="106" t="str">
        <f>IF(ISBLANK(I1221), "", VLOOKUP(A1221&amp;" "&amp;B1221, 'Info Tipo de Cambio y REM'!$A$24:$B$35, 2, FALSE))</f>
        <v/>
      </c>
      <c r="L1221" s="107" t="str">
        <f t="shared" si="2"/>
        <v/>
      </c>
      <c r="M1221" s="102"/>
    </row>
    <row r="1222">
      <c r="A1222" s="44"/>
      <c r="B1222" s="102"/>
      <c r="C1222" s="102"/>
      <c r="D1222" s="102"/>
      <c r="E1222" s="443"/>
      <c r="F1222" s="443"/>
      <c r="G1222" s="453"/>
      <c r="H1222" s="453"/>
      <c r="I1222" s="453"/>
      <c r="J1222" s="106"/>
      <c r="K1222" s="106" t="str">
        <f>IF(ISBLANK(I1222), "", VLOOKUP(A1222&amp;" "&amp;B1222, 'Info Tipo de Cambio y REM'!$A$24:$B$35, 2, FALSE))</f>
        <v/>
      </c>
      <c r="L1222" s="107" t="str">
        <f t="shared" si="2"/>
        <v/>
      </c>
      <c r="M1222" s="102"/>
    </row>
    <row r="1223">
      <c r="A1223" s="44"/>
      <c r="B1223" s="102"/>
      <c r="C1223" s="102"/>
      <c r="D1223" s="102"/>
      <c r="E1223" s="443"/>
      <c r="F1223" s="443"/>
      <c r="G1223" s="453"/>
      <c r="H1223" s="453"/>
      <c r="I1223" s="453"/>
      <c r="J1223" s="106"/>
      <c r="K1223" s="106" t="str">
        <f>IF(ISBLANK(I1223), "", VLOOKUP(A1223&amp;" "&amp;B1223, 'Info Tipo de Cambio y REM'!$A$24:$B$35, 2, FALSE))</f>
        <v/>
      </c>
      <c r="L1223" s="107" t="str">
        <f t="shared" si="2"/>
        <v/>
      </c>
      <c r="M1223" s="102"/>
    </row>
    <row r="1224">
      <c r="A1224" s="44"/>
      <c r="B1224" s="102"/>
      <c r="C1224" s="102"/>
      <c r="D1224" s="102"/>
      <c r="E1224" s="443"/>
      <c r="F1224" s="443"/>
      <c r="G1224" s="453"/>
      <c r="H1224" s="453"/>
      <c r="I1224" s="453"/>
      <c r="J1224" s="106"/>
      <c r="K1224" s="106" t="str">
        <f>IF(ISBLANK(I1224), "", VLOOKUP(A1224&amp;" "&amp;B1224, 'Info Tipo de Cambio y REM'!$A$24:$B$35, 2, FALSE))</f>
        <v/>
      </c>
      <c r="L1224" s="107" t="str">
        <f t="shared" si="2"/>
        <v/>
      </c>
      <c r="M1224" s="102"/>
    </row>
    <row r="1225">
      <c r="A1225" s="44"/>
      <c r="B1225" s="102"/>
      <c r="C1225" s="102"/>
      <c r="D1225" s="102"/>
      <c r="E1225" s="443"/>
      <c r="F1225" s="443"/>
      <c r="G1225" s="453"/>
      <c r="H1225" s="453"/>
      <c r="I1225" s="453"/>
      <c r="J1225" s="106"/>
      <c r="K1225" s="106" t="str">
        <f>IF(ISBLANK(I1225), "", VLOOKUP(A1225&amp;" "&amp;B1225, 'Info Tipo de Cambio y REM'!$A$24:$B$35, 2, FALSE))</f>
        <v/>
      </c>
      <c r="L1225" s="107" t="str">
        <f t="shared" si="2"/>
        <v/>
      </c>
      <c r="M1225" s="102"/>
    </row>
  </sheetData>
  <autoFilter ref="$A$1:$M$287">
    <filterColumn colId="3">
      <filters>
        <filter val="Administración Finanzas - Bono"/>
        <filter val="Equipo - Bono"/>
        <filter val="Board - Bono"/>
      </filters>
    </filterColumn>
    <filterColumn colId="0">
      <filters>
        <filter val="12 dic"/>
        <filter val="11 nov"/>
        <filter val="06 jun"/>
        <filter val="09 sep"/>
        <filter val="08 ago"/>
        <filter val="10 oct"/>
      </filters>
    </filterColumn>
  </autoFilter>
  <dataValidations>
    <dataValidation type="list" allowBlank="1" showErrorMessage="1" sqref="A2:A575">
      <formula1>Listas!$H$3:$H$14</formula1>
    </dataValidation>
    <dataValidation type="list" allowBlank="1" showErrorMessage="1" sqref="D2:D254 D269">
      <formula1>Listas!$E$2:$E$149</formula1>
    </dataValidation>
    <dataValidation type="list" allowBlank="1" showErrorMessage="1" sqref="M2:M1225">
      <formula1>"Pasado,Futuro"</formula1>
    </dataValidation>
    <dataValidation type="list" allowBlank="1" showErrorMessage="1" sqref="B2:B1225">
      <formula1>"2025,2026,2027,2028"</formula1>
    </dataValidation>
    <dataValidation type="list" allowBlank="1" showErrorMessage="1" sqref="C2:C1225">
      <formula1>Listas!$D$3:$D$215</formula1>
    </dataValidation>
    <dataValidation type="list" allowBlank="1" showErrorMessage="1" sqref="E2:E167 E265:E273">
      <formula1>"Analista,Data Tech,Diseño,Freelance,Marketing,Operation Lead,PM,Board,Oxean"</formula1>
    </dataValidation>
    <dataValidation type="list" allowBlank="1" showErrorMessage="1" sqref="D255:D268 D270:D1225">
      <formula1>"Equipo,Board,Oxean,Gastos Varios,Suscripciones/Herramientas,Impuestos USA,Impuestos ARG,Estudio Contable,Otros Proveedores,Administración Finanzas,Tarjeta,People,Comisiones Bancarias,Intereses Oxean"</formula1>
    </dataValidation>
  </dataValidations>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c r="F3" s="535">
        <f t="shared" ref="F3:F23" si="1">C3/B3-1</f>
        <v>0.06</v>
      </c>
      <c r="G3" s="105">
        <f t="shared" ref="G3:G23" si="2">C3-B3</f>
        <v>96000</v>
      </c>
    </row>
    <row r="4">
      <c r="F4" s="535">
        <f t="shared" si="1"/>
        <v>0</v>
      </c>
      <c r="G4" s="105">
        <f t="shared" si="2"/>
        <v>0</v>
      </c>
    </row>
    <row r="5">
      <c r="F5" s="535">
        <f t="shared" si="1"/>
        <v>0</v>
      </c>
      <c r="G5" s="105">
        <f t="shared" si="2"/>
        <v>0</v>
      </c>
    </row>
    <row r="6">
      <c r="F6" s="535">
        <f t="shared" si="1"/>
        <v>0.1401789113</v>
      </c>
      <c r="G6" s="105">
        <f t="shared" si="2"/>
        <v>235680</v>
      </c>
    </row>
    <row r="7">
      <c r="F7" s="535">
        <f t="shared" si="1"/>
        <v>0</v>
      </c>
      <c r="G7" s="105">
        <f t="shared" si="2"/>
        <v>0</v>
      </c>
    </row>
    <row r="8">
      <c r="F8" s="535">
        <f t="shared" si="1"/>
        <v>0.06</v>
      </c>
      <c r="G8" s="105">
        <f t="shared" si="2"/>
        <v>57987.13704</v>
      </c>
    </row>
    <row r="9">
      <c r="F9" s="535">
        <f t="shared" si="1"/>
        <v>0.06</v>
      </c>
      <c r="G9" s="105">
        <f t="shared" si="2"/>
        <v>58949.88</v>
      </c>
    </row>
    <row r="10">
      <c r="F10" s="535">
        <f t="shared" si="1"/>
        <v>0</v>
      </c>
      <c r="G10" s="105">
        <f t="shared" si="2"/>
        <v>0</v>
      </c>
    </row>
    <row r="11">
      <c r="F11" s="535">
        <f t="shared" si="1"/>
        <v>0.05</v>
      </c>
      <c r="G11" s="105">
        <f t="shared" si="2"/>
        <v>101616.5632</v>
      </c>
    </row>
    <row r="12">
      <c r="F12" s="535">
        <f t="shared" si="1"/>
        <v>0.06</v>
      </c>
      <c r="G12" s="105">
        <f t="shared" si="2"/>
        <v>120043.392</v>
      </c>
    </row>
    <row r="13">
      <c r="F13" s="535">
        <f t="shared" si="1"/>
        <v>0</v>
      </c>
      <c r="G13" s="105">
        <f t="shared" si="2"/>
        <v>0</v>
      </c>
    </row>
    <row r="14">
      <c r="F14" s="535">
        <f t="shared" si="1"/>
        <v>0</v>
      </c>
      <c r="G14" s="105">
        <f t="shared" si="2"/>
        <v>0</v>
      </c>
    </row>
    <row r="15">
      <c r="F15" s="535">
        <f t="shared" si="1"/>
        <v>0.06</v>
      </c>
      <c r="G15" s="105">
        <f t="shared" si="2"/>
        <v>27025.5</v>
      </c>
    </row>
    <row r="16">
      <c r="F16" s="535">
        <f t="shared" si="1"/>
        <v>0.05811502938</v>
      </c>
      <c r="G16" s="105">
        <f t="shared" si="2"/>
        <v>318173.184</v>
      </c>
    </row>
    <row r="17">
      <c r="F17" s="535">
        <f t="shared" si="1"/>
        <v>0.06</v>
      </c>
      <c r="G17" s="105">
        <f t="shared" si="2"/>
        <v>113851.008</v>
      </c>
    </row>
    <row r="18">
      <c r="F18" s="535">
        <f t="shared" si="1"/>
        <v>0.06</v>
      </c>
      <c r="G18" s="105">
        <f t="shared" si="2"/>
        <v>78146.64</v>
      </c>
    </row>
    <row r="19">
      <c r="F19" s="535">
        <f t="shared" si="1"/>
        <v>0.06</v>
      </c>
      <c r="G19" s="105">
        <f t="shared" si="2"/>
        <v>128547.3062</v>
      </c>
    </row>
    <row r="20">
      <c r="F20" s="535">
        <f t="shared" si="1"/>
        <v>0.06</v>
      </c>
      <c r="G20" s="105">
        <f t="shared" si="2"/>
        <v>191400</v>
      </c>
    </row>
    <row r="21">
      <c r="F21" s="535">
        <f t="shared" si="1"/>
        <v>0.05769468971</v>
      </c>
      <c r="G21" s="105">
        <f t="shared" si="2"/>
        <v>258277.248</v>
      </c>
    </row>
    <row r="22">
      <c r="F22" s="535">
        <f t="shared" si="1"/>
        <v>0</v>
      </c>
      <c r="G22" s="105">
        <f t="shared" si="2"/>
        <v>0</v>
      </c>
    </row>
    <row r="23">
      <c r="F23" s="535">
        <f t="shared" si="1"/>
        <v>0.04598278211</v>
      </c>
      <c r="G23" s="105">
        <f t="shared" si="2"/>
        <v>1785697.858</v>
      </c>
    </row>
    <row r="24">
      <c r="C24" s="535"/>
    </row>
    <row r="25">
      <c r="C25" s="71"/>
      <c r="D25" s="711"/>
    </row>
    <row r="26">
      <c r="C26" s="105"/>
    </row>
    <row r="27">
      <c r="C27" s="105"/>
    </row>
    <row r="28">
      <c r="C28" s="105"/>
    </row>
    <row r="29">
      <c r="A29" s="712">
        <v>2025.0</v>
      </c>
      <c r="B29" s="713" t="s">
        <v>1436</v>
      </c>
      <c r="C29" s="714" t="s">
        <v>1437</v>
      </c>
    </row>
    <row r="30">
      <c r="A30" s="715" t="s">
        <v>112</v>
      </c>
      <c r="B30" s="480" t="s">
        <v>1449</v>
      </c>
      <c r="C30" s="480" t="s">
        <v>1449</v>
      </c>
    </row>
    <row r="31">
      <c r="A31" s="504" t="s">
        <v>133</v>
      </c>
      <c r="B31" s="716">
        <v>0.06</v>
      </c>
      <c r="C31" s="697">
        <v>35131.6224</v>
      </c>
      <c r="E31" s="682">
        <f t="shared" ref="E31:E51" si="3">C31*160</f>
        <v>5621059.584</v>
      </c>
    </row>
    <row r="32">
      <c r="A32" s="504" t="s">
        <v>127</v>
      </c>
      <c r="B32" s="716">
        <v>0.06</v>
      </c>
      <c r="C32" s="697">
        <v>28518.112800000003</v>
      </c>
      <c r="E32" s="682">
        <f t="shared" si="3"/>
        <v>4562898.048</v>
      </c>
    </row>
    <row r="33">
      <c r="A33" s="504" t="s">
        <v>120</v>
      </c>
      <c r="B33" s="716">
        <v>0.06</v>
      </c>
      <c r="C33" s="697">
        <v>28178.333333333336</v>
      </c>
      <c r="E33" s="682">
        <f t="shared" si="3"/>
        <v>4508533.333</v>
      </c>
    </row>
    <row r="34">
      <c r="A34" s="504" t="s">
        <v>228</v>
      </c>
      <c r="B34" s="717"/>
      <c r="C34" s="697">
        <v>20680.0</v>
      </c>
      <c r="D34" s="43" t="s">
        <v>1470</v>
      </c>
      <c r="E34" s="682">
        <f t="shared" si="3"/>
        <v>3308800</v>
      </c>
    </row>
    <row r="35">
      <c r="A35" s="504" t="s">
        <v>218</v>
      </c>
      <c r="B35" s="718"/>
      <c r="C35" s="697">
        <v>20000.008</v>
      </c>
      <c r="D35" s="43" t="s">
        <v>1470</v>
      </c>
      <c r="E35" s="682">
        <f t="shared" si="3"/>
        <v>3200001.28</v>
      </c>
    </row>
    <row r="36">
      <c r="A36" s="504" t="s">
        <v>200</v>
      </c>
      <c r="B36" s="718"/>
      <c r="C36" s="697">
        <v>19933.504</v>
      </c>
      <c r="D36" s="43" t="s">
        <v>1471</v>
      </c>
      <c r="E36" s="682">
        <f t="shared" si="3"/>
        <v>3189360.64</v>
      </c>
    </row>
    <row r="37">
      <c r="A37" s="504" t="s">
        <v>210</v>
      </c>
      <c r="B37" s="716">
        <v>0.06</v>
      </c>
      <c r="C37" s="697">
        <v>19098.02</v>
      </c>
      <c r="E37" s="682">
        <f t="shared" si="3"/>
        <v>3055683.2</v>
      </c>
    </row>
    <row r="38">
      <c r="A38" s="504" t="s">
        <v>216</v>
      </c>
      <c r="B38" s="716">
        <v>0.06</v>
      </c>
      <c r="C38" s="697">
        <v>14634.848872</v>
      </c>
      <c r="D38" s="43" t="s">
        <v>1472</v>
      </c>
      <c r="E38" s="682">
        <f t="shared" si="3"/>
        <v>2341575.82</v>
      </c>
    </row>
    <row r="39">
      <c r="A39" s="504" t="s">
        <v>197</v>
      </c>
      <c r="B39" s="719">
        <v>0.09294043788746764</v>
      </c>
      <c r="C39" s="687">
        <v>14634.848872</v>
      </c>
      <c r="D39" s="43" t="s">
        <v>1472</v>
      </c>
      <c r="E39" s="682">
        <f t="shared" si="3"/>
        <v>2341575.82</v>
      </c>
    </row>
    <row r="40">
      <c r="A40" s="504" t="s">
        <v>194</v>
      </c>
      <c r="B40" s="720">
        <v>0.06</v>
      </c>
      <c r="C40" s="697">
        <v>13464.194624</v>
      </c>
      <c r="D40" s="43" t="s">
        <v>1473</v>
      </c>
      <c r="E40" s="682">
        <f t="shared" si="3"/>
        <v>2154271.14</v>
      </c>
      <c r="F40" s="71">
        <f>H40/160</f>
        <v>13972.27744</v>
      </c>
      <c r="G40" s="71">
        <v>12702.070399999999</v>
      </c>
      <c r="H40" s="71">
        <f>G40*1.1*160</f>
        <v>2235564.39</v>
      </c>
      <c r="I40" s="535">
        <f t="shared" ref="I40:I41" si="4">F40/G40-1</f>
        <v>0.1</v>
      </c>
    </row>
    <row r="41">
      <c r="A41" s="504" t="s">
        <v>230</v>
      </c>
      <c r="B41" s="716">
        <v>0.06</v>
      </c>
      <c r="C41" s="697">
        <v>13254.791200000003</v>
      </c>
      <c r="D41" s="43" t="s">
        <v>1474</v>
      </c>
      <c r="E41" s="682">
        <f t="shared" si="3"/>
        <v>2120766.592</v>
      </c>
      <c r="F41" s="71">
        <f>2250000/160</f>
        <v>14062.5</v>
      </c>
      <c r="G41" s="721">
        <v>12504.520000000002</v>
      </c>
      <c r="H41" s="89">
        <v>2250000.0</v>
      </c>
      <c r="I41" s="535">
        <f t="shared" si="4"/>
        <v>0.124593347</v>
      </c>
    </row>
    <row r="42">
      <c r="A42" s="504" t="s">
        <v>221</v>
      </c>
      <c r="B42" s="716">
        <v>0.06</v>
      </c>
      <c r="C42" s="697">
        <v>12571.048800000002</v>
      </c>
      <c r="D42" s="43" t="s">
        <v>1473</v>
      </c>
      <c r="E42" s="682">
        <f t="shared" si="3"/>
        <v>2011367.808</v>
      </c>
    </row>
    <row r="43">
      <c r="A43" s="504" t="s">
        <v>207</v>
      </c>
      <c r="B43" s="716">
        <v>0.06</v>
      </c>
      <c r="C43" s="697">
        <v>12252.328</v>
      </c>
      <c r="D43" s="43" t="s">
        <v>1470</v>
      </c>
      <c r="E43" s="682">
        <f t="shared" si="3"/>
        <v>1960372.48</v>
      </c>
    </row>
    <row r="44">
      <c r="A44" s="504" t="s">
        <v>87</v>
      </c>
      <c r="B44" s="716"/>
      <c r="C44" s="697"/>
      <c r="D44" s="43" t="s">
        <v>1475</v>
      </c>
      <c r="E44" s="682">
        <f t="shared" si="3"/>
        <v>0</v>
      </c>
      <c r="G44" s="682"/>
    </row>
    <row r="45">
      <c r="A45" s="504" t="s">
        <v>214</v>
      </c>
      <c r="B45" s="722">
        <v>0.14017891130567195</v>
      </c>
      <c r="C45" s="697">
        <v>11981.0</v>
      </c>
      <c r="D45" s="43" t="s">
        <v>1476</v>
      </c>
      <c r="E45" s="682">
        <f t="shared" si="3"/>
        <v>1916960</v>
      </c>
    </row>
    <row r="46">
      <c r="A46" s="504" t="s">
        <v>203</v>
      </c>
      <c r="B46" s="720">
        <v>0.06</v>
      </c>
      <c r="C46" s="697">
        <v>11504.922</v>
      </c>
      <c r="D46" s="43" t="s">
        <v>1473</v>
      </c>
      <c r="E46" s="682">
        <f t="shared" si="3"/>
        <v>1840787.52</v>
      </c>
      <c r="F46" s="343">
        <v>12571.05</v>
      </c>
      <c r="G46" s="687">
        <v>10853.7</v>
      </c>
      <c r="I46" s="535">
        <f>F46/G46-1</f>
        <v>0.1582271483</v>
      </c>
    </row>
    <row r="47">
      <c r="A47" s="504" t="s">
        <v>217</v>
      </c>
      <c r="B47" s="718"/>
      <c r="C47" s="697">
        <v>10843.328683040001</v>
      </c>
      <c r="D47" s="43" t="s">
        <v>1475</v>
      </c>
      <c r="E47" s="682">
        <f t="shared" si="3"/>
        <v>1734932.589</v>
      </c>
    </row>
    <row r="48">
      <c r="A48" s="504" t="s">
        <v>240</v>
      </c>
      <c r="B48" s="717"/>
      <c r="C48" s="697">
        <v>10750.0</v>
      </c>
      <c r="D48" s="43" t="s">
        <v>1475</v>
      </c>
      <c r="E48" s="682">
        <f t="shared" si="3"/>
        <v>1720000</v>
      </c>
    </row>
    <row r="49">
      <c r="A49" s="504" t="s">
        <v>205</v>
      </c>
      <c r="B49" s="717"/>
      <c r="C49" s="697">
        <v>10558.0</v>
      </c>
      <c r="D49" s="43" t="s">
        <v>1476</v>
      </c>
      <c r="E49" s="682">
        <f t="shared" si="3"/>
        <v>1689280</v>
      </c>
      <c r="F49" s="43">
        <v>11558.0</v>
      </c>
      <c r="G49" s="43">
        <v>10000.0</v>
      </c>
      <c r="I49" s="535">
        <f>F49/G49-1</f>
        <v>0.1558</v>
      </c>
    </row>
    <row r="50">
      <c r="A50" s="504" t="s">
        <v>229</v>
      </c>
      <c r="B50" s="718"/>
      <c r="C50" s="697">
        <v>7500.0</v>
      </c>
      <c r="E50" s="682">
        <f t="shared" si="3"/>
        <v>1200000</v>
      </c>
    </row>
    <row r="51">
      <c r="A51" s="504" t="s">
        <v>212</v>
      </c>
      <c r="B51" s="696"/>
      <c r="C51" s="697">
        <v>0.0</v>
      </c>
      <c r="E51" s="682">
        <f t="shared" si="3"/>
        <v>0</v>
      </c>
    </row>
    <row r="55">
      <c r="A55" s="450" t="s">
        <v>112</v>
      </c>
      <c r="B55" s="495" t="s">
        <v>123</v>
      </c>
      <c r="C55" s="499" t="s">
        <v>129</v>
      </c>
      <c r="D55" s="44" t="s">
        <v>136</v>
      </c>
      <c r="E55" s="44" t="s">
        <v>143</v>
      </c>
      <c r="F55" s="44" t="s">
        <v>149</v>
      </c>
      <c r="G55" s="44" t="s">
        <v>155</v>
      </c>
      <c r="H55" s="44" t="s">
        <v>161</v>
      </c>
      <c r="I55" s="44" t="s">
        <v>166</v>
      </c>
      <c r="J55" s="44" t="s">
        <v>171</v>
      </c>
      <c r="K55" s="44" t="s">
        <v>175</v>
      </c>
      <c r="L55" s="105" t="s">
        <v>179</v>
      </c>
      <c r="M55" s="44" t="s">
        <v>182</v>
      </c>
      <c r="N55" s="102" t="s">
        <v>1266</v>
      </c>
      <c r="O55" s="43" t="s">
        <v>1477</v>
      </c>
    </row>
    <row r="56">
      <c r="A56" s="505" t="s">
        <v>205</v>
      </c>
      <c r="B56" s="498">
        <v>528.1991803278688</v>
      </c>
      <c r="C56" s="455">
        <v>790.6890878048781</v>
      </c>
      <c r="D56" s="107">
        <v>820.9516211320755</v>
      </c>
      <c r="E56" s="107">
        <v>1142.9535864978902</v>
      </c>
      <c r="F56" s="107">
        <v>994.2372881355933</v>
      </c>
      <c r="G56" s="107">
        <v>1144.0329218106995</v>
      </c>
      <c r="H56" s="107">
        <v>1212.1212121212122</v>
      </c>
      <c r="I56" s="107">
        <v>1189.5910780669146</v>
      </c>
      <c r="J56" s="107">
        <v>1107.2664359792388</v>
      </c>
      <c r="K56" s="107">
        <v>1111.111111111111</v>
      </c>
      <c r="L56" s="105">
        <v>1131.4209472981988</v>
      </c>
      <c r="M56" s="107">
        <v>1104.1666666666667</v>
      </c>
      <c r="N56" s="453">
        <f t="shared" ref="N56:N76" si="5">SUM(B56:M56)</f>
        <v>12276.74114</v>
      </c>
      <c r="O56" s="723">
        <f t="shared" ref="O56:O76" si="6">SUM(H56:M56)</f>
        <v>6855.677451</v>
      </c>
    </row>
    <row r="57">
      <c r="A57" s="505" t="s">
        <v>240</v>
      </c>
      <c r="B57" s="450"/>
      <c r="C57" s="455"/>
      <c r="J57" s="107">
        <v>595.1557093425605</v>
      </c>
      <c r="K57" s="107">
        <v>1194.4444444444443</v>
      </c>
      <c r="L57" s="105">
        <v>1147.4316210807206</v>
      </c>
      <c r="M57" s="107">
        <v>1186.9791666666667</v>
      </c>
      <c r="N57" s="453">
        <f t="shared" si="5"/>
        <v>4124.010942</v>
      </c>
      <c r="O57" s="723">
        <f t="shared" si="6"/>
        <v>4124.010942</v>
      </c>
    </row>
    <row r="58">
      <c r="A58" s="505" t="s">
        <v>228</v>
      </c>
      <c r="B58" s="498">
        <v>1402.1065573770493</v>
      </c>
      <c r="C58" s="455">
        <v>1565.8536585365853</v>
      </c>
      <c r="D58" s="107">
        <v>1318.68679245283</v>
      </c>
      <c r="E58" s="107">
        <v>1395.2160337552405</v>
      </c>
      <c r="F58" s="107">
        <v>1575.4694915254267</v>
      </c>
      <c r="G58" s="107">
        <v>1412.1506172839506</v>
      </c>
      <c r="H58" s="107">
        <v>1349.4195</v>
      </c>
      <c r="I58" s="107">
        <v>1295.9180966542751</v>
      </c>
      <c r="J58" s="107">
        <v>1153.786574394464</v>
      </c>
      <c r="K58" s="107">
        <v>1436.111111111111</v>
      </c>
      <c r="L58" s="105">
        <v>1379.5863909272848</v>
      </c>
      <c r="M58" s="107">
        <v>1420.4036458333333</v>
      </c>
      <c r="N58" s="453">
        <f t="shared" si="5"/>
        <v>16704.70847</v>
      </c>
      <c r="O58" s="723">
        <f t="shared" si="6"/>
        <v>8035.225319</v>
      </c>
    </row>
    <row r="59">
      <c r="A59" s="505" t="s">
        <v>214</v>
      </c>
      <c r="B59" s="450"/>
      <c r="C59" s="455">
        <v>106.09756097560975</v>
      </c>
      <c r="D59" s="107">
        <v>1132.0754716981132</v>
      </c>
      <c r="E59" s="107">
        <v>1308.0168776371345</v>
      </c>
      <c r="F59" s="107">
        <v>1355.9322033898304</v>
      </c>
      <c r="G59" s="107">
        <v>1316.8724279835392</v>
      </c>
      <c r="H59" s="107">
        <v>1212.121212121212</v>
      </c>
      <c r="I59" s="107">
        <v>403.23300155894026</v>
      </c>
      <c r="J59" s="107">
        <v>1163.515570934256</v>
      </c>
      <c r="K59" s="107">
        <v>1167.5555555555557</v>
      </c>
      <c r="L59" s="105">
        <v>1278.825883922615</v>
      </c>
      <c r="M59" s="107">
        <v>1248.0208333333333</v>
      </c>
      <c r="N59" s="453">
        <f t="shared" si="5"/>
        <v>11692.2666</v>
      </c>
      <c r="O59" s="723">
        <f t="shared" si="6"/>
        <v>6473.272057</v>
      </c>
    </row>
    <row r="60">
      <c r="A60" s="505" t="s">
        <v>200</v>
      </c>
      <c r="B60" s="498">
        <v>1517.5495081967213</v>
      </c>
      <c r="C60" s="455">
        <v>2000.779791869919</v>
      </c>
      <c r="D60" s="107">
        <v>1526.581132075472</v>
      </c>
      <c r="E60" s="107">
        <v>1706.9367088607594</v>
      </c>
      <c r="F60" s="107">
        <v>2397.694915254203</v>
      </c>
      <c r="G60" s="107">
        <v>1664.79012345679</v>
      </c>
      <c r="H60" s="107">
        <v>1778.2957575757575</v>
      </c>
      <c r="I60" s="107">
        <v>1899.6508550185872</v>
      </c>
      <c r="J60" s="107">
        <v>1521.113910034602</v>
      </c>
      <c r="K60" s="107">
        <v>1661.1253333333334</v>
      </c>
      <c r="L60" s="105">
        <v>1595.7441494329553</v>
      </c>
      <c r="M60" s="107">
        <v>1557.305</v>
      </c>
      <c r="N60" s="453">
        <f t="shared" si="5"/>
        <v>20827.56719</v>
      </c>
      <c r="O60" s="723">
        <f t="shared" si="6"/>
        <v>10013.23501</v>
      </c>
    </row>
    <row r="61">
      <c r="A61" s="505" t="s">
        <v>216</v>
      </c>
      <c r="B61" s="498">
        <v>338.85301639344266</v>
      </c>
      <c r="C61" s="455">
        <v>674.3725276422765</v>
      </c>
      <c r="D61" s="107">
        <v>463.7918256603773</v>
      </c>
      <c r="F61" s="107">
        <v>846.2584745762729</v>
      </c>
      <c r="G61" s="107">
        <v>324.42633744856016</v>
      </c>
      <c r="H61" s="107">
        <v>674.9663560606061</v>
      </c>
      <c r="I61" s="107">
        <v>622.2659315568774</v>
      </c>
      <c r="J61" s="107">
        <v>521.5880393826989</v>
      </c>
      <c r="K61" s="107">
        <v>671.1474194444444</v>
      </c>
      <c r="L61" s="105">
        <v>683.4152241761175</v>
      </c>
      <c r="M61" s="107">
        <v>666.9527480729167</v>
      </c>
      <c r="N61" s="453">
        <f t="shared" si="5"/>
        <v>6488.0379</v>
      </c>
      <c r="O61" s="105">
        <f t="shared" si="6"/>
        <v>3840.335719</v>
      </c>
    </row>
    <row r="62">
      <c r="A62" s="505" t="s">
        <v>207</v>
      </c>
      <c r="B62" s="498">
        <v>647.1311475409836</v>
      </c>
      <c r="C62" s="455">
        <v>658.780487804878</v>
      </c>
      <c r="D62" s="107">
        <v>626.4150943396226</v>
      </c>
      <c r="E62" s="107">
        <v>742.6160337552743</v>
      </c>
      <c r="F62" s="107">
        <v>860.4237288135594</v>
      </c>
      <c r="G62" s="107">
        <v>769.5473251028807</v>
      </c>
      <c r="H62" s="107">
        <v>633.75</v>
      </c>
      <c r="I62" s="107">
        <v>736.1537605947954</v>
      </c>
      <c r="J62" s="107">
        <v>680.489353633218</v>
      </c>
      <c r="K62" s="107">
        <v>682.2902777777776</v>
      </c>
      <c r="L62" s="105">
        <v>694.761761174116</v>
      </c>
      <c r="M62" s="107">
        <v>678.0259635416667</v>
      </c>
      <c r="N62" s="453">
        <f t="shared" si="5"/>
        <v>8410.384934</v>
      </c>
      <c r="O62" s="105">
        <f t="shared" si="6"/>
        <v>4105.471117</v>
      </c>
    </row>
    <row r="63">
      <c r="A63" s="505" t="s">
        <v>87</v>
      </c>
      <c r="B63" s="498">
        <v>358.76024590163934</v>
      </c>
      <c r="C63" s="455">
        <v>615.9512195121952</v>
      </c>
      <c r="D63" s="107">
        <v>431.6981132075472</v>
      </c>
      <c r="E63" s="107">
        <v>927.8481012658228</v>
      </c>
      <c r="F63" s="107">
        <v>594.3728813559321</v>
      </c>
      <c r="G63" s="107">
        <v>552.9876543209878</v>
      </c>
      <c r="H63" s="107">
        <v>771.6666666666667</v>
      </c>
      <c r="I63" s="107">
        <v>870.9921040892192</v>
      </c>
      <c r="J63" s="107">
        <v>948.4615335640137</v>
      </c>
      <c r="K63" s="107">
        <v>882.9638888888888</v>
      </c>
      <c r="L63" s="105">
        <v>848.2108072048032</v>
      </c>
      <c r="M63" s="107">
        <v>827.7786458333334</v>
      </c>
      <c r="N63" s="453">
        <f t="shared" si="5"/>
        <v>8631.691862</v>
      </c>
      <c r="O63" s="105">
        <f t="shared" si="6"/>
        <v>5150.073646</v>
      </c>
    </row>
    <row r="64">
      <c r="A64" s="505" t="s">
        <v>194</v>
      </c>
      <c r="B64" s="498">
        <v>1270.730020491803</v>
      </c>
      <c r="C64" s="455">
        <v>1449.1904837398374</v>
      </c>
      <c r="D64" s="107">
        <v>1345.2862603773585</v>
      </c>
      <c r="E64" s="107">
        <v>1504.2194092827015</v>
      </c>
      <c r="F64" s="107">
        <v>1635.2169491525456</v>
      </c>
      <c r="G64" s="107">
        <v>1588.1119341559836</v>
      </c>
      <c r="H64" s="107">
        <v>1461.7848481181818</v>
      </c>
      <c r="I64" s="107">
        <v>1577.1343916728622</v>
      </c>
      <c r="J64" s="107">
        <v>1406.4576221453285</v>
      </c>
      <c r="K64" s="107">
        <v>1411.3411555555554</v>
      </c>
      <c r="L64" s="105">
        <v>1423.5809387591726</v>
      </c>
      <c r="M64" s="107">
        <v>1389.2889499999999</v>
      </c>
      <c r="N64" s="453">
        <f t="shared" si="5"/>
        <v>17462.34296</v>
      </c>
      <c r="O64" s="723">
        <f t="shared" si="6"/>
        <v>8669.587906</v>
      </c>
    </row>
    <row r="65">
      <c r="A65" s="505" t="s">
        <v>230</v>
      </c>
      <c r="B65" s="450"/>
      <c r="C65" s="455"/>
      <c r="F65" s="107">
        <v>1440.677966101695</v>
      </c>
      <c r="G65" s="107">
        <v>1567.0781893004116</v>
      </c>
      <c r="H65" s="107">
        <v>1442.4242424242427</v>
      </c>
      <c r="I65" s="107">
        <v>1487.5265427509298</v>
      </c>
      <c r="J65" s="107">
        <v>1384.5835294117649</v>
      </c>
      <c r="K65" s="107">
        <v>1389.3911111111115</v>
      </c>
      <c r="L65" s="105">
        <v>1414.7875863909278</v>
      </c>
      <c r="M65" s="107">
        <v>1380.707416666667</v>
      </c>
      <c r="N65" s="453">
        <f t="shared" si="5"/>
        <v>11507.17658</v>
      </c>
      <c r="O65" s="723">
        <f t="shared" si="6"/>
        <v>8499.420429</v>
      </c>
    </row>
    <row r="66">
      <c r="A66" s="505" t="s">
        <v>229</v>
      </c>
      <c r="B66" s="450"/>
      <c r="C66" s="455"/>
      <c r="E66" s="107">
        <v>110.75949367088607</v>
      </c>
      <c r="F66" s="107">
        <v>375.0</v>
      </c>
      <c r="G66" s="107">
        <v>336.1111111111111</v>
      </c>
      <c r="H66" s="107">
        <v>330.96590909090907</v>
      </c>
      <c r="I66" s="107">
        <v>295.53903345724905</v>
      </c>
      <c r="J66" s="107">
        <v>337.3702422145329</v>
      </c>
      <c r="K66" s="107">
        <v>312.5</v>
      </c>
      <c r="L66" s="105">
        <v>300.2001334222815</v>
      </c>
      <c r="M66" s="107">
        <v>292.96875</v>
      </c>
      <c r="N66" s="453">
        <f t="shared" si="5"/>
        <v>2691.414673</v>
      </c>
      <c r="O66" s="105">
        <f t="shared" si="6"/>
        <v>1869.544068</v>
      </c>
    </row>
    <row r="67">
      <c r="A67" s="505" t="s">
        <v>217</v>
      </c>
      <c r="B67" s="450"/>
      <c r="C67" s="455"/>
      <c r="E67" s="107">
        <v>741.2092827007359</v>
      </c>
      <c r="F67" s="107">
        <v>1313.559322034025</v>
      </c>
      <c r="G67" s="107">
        <v>1275.7201646090173</v>
      </c>
      <c r="H67" s="107">
        <v>1244.8787902535812</v>
      </c>
      <c r="I67" s="107">
        <v>1221.7396342007437</v>
      </c>
      <c r="J67" s="107">
        <v>1137.190178546713</v>
      </c>
      <c r="K67" s="107">
        <v>1204.8142981155556</v>
      </c>
      <c r="L67" s="105">
        <v>1157.3933217387594</v>
      </c>
      <c r="M67" s="137">
        <v>1129.5134044833335</v>
      </c>
      <c r="N67" s="453">
        <f t="shared" si="5"/>
        <v>10426.0184</v>
      </c>
      <c r="O67" s="723">
        <f t="shared" si="6"/>
        <v>7095.529627</v>
      </c>
    </row>
    <row r="68">
      <c r="A68" s="505" t="s">
        <v>210</v>
      </c>
      <c r="B68" s="498">
        <v>132.69426229508196</v>
      </c>
      <c r="C68" s="455">
        <v>250.66760162601625</v>
      </c>
      <c r="D68" s="107">
        <v>294.34</v>
      </c>
      <c r="E68" s="107">
        <v>385.00168776371305</v>
      </c>
      <c r="F68" s="107">
        <v>99.42372881355932</v>
      </c>
      <c r="G68" s="107">
        <v>165.53086419753086</v>
      </c>
      <c r="H68" s="107">
        <v>247.59090909090912</v>
      </c>
      <c r="I68" s="107">
        <v>331.5395910780669</v>
      </c>
      <c r="J68" s="107">
        <v>180.79342560553633</v>
      </c>
      <c r="K68" s="107">
        <v>312.7951388888889</v>
      </c>
      <c r="L68" s="105">
        <v>318.5126751167445</v>
      </c>
      <c r="M68" s="107">
        <v>310.8401692708333</v>
      </c>
      <c r="N68" s="453">
        <f t="shared" si="5"/>
        <v>3029.730054</v>
      </c>
      <c r="O68" s="105">
        <f t="shared" si="6"/>
        <v>1702.071909</v>
      </c>
    </row>
    <row r="69">
      <c r="A69" s="505" t="s">
        <v>133</v>
      </c>
      <c r="B69" s="498">
        <v>2479.5081967213114</v>
      </c>
      <c r="C69" s="455">
        <v>2951.2211707317074</v>
      </c>
      <c r="D69" s="107">
        <v>3396.2264150943397</v>
      </c>
      <c r="E69" s="107">
        <v>4143.459915611815</v>
      </c>
      <c r="F69" s="107">
        <v>4161.016949152542</v>
      </c>
      <c r="G69" s="107">
        <v>4041.1522633744858</v>
      </c>
      <c r="H69" s="107">
        <v>3719.6969696969695</v>
      </c>
      <c r="I69" s="107">
        <v>3942.6664684014872</v>
      </c>
      <c r="J69" s="107">
        <v>3669.8175778546715</v>
      </c>
      <c r="K69" s="107">
        <v>3802.0044444444447</v>
      </c>
      <c r="L69" s="105">
        <v>3864.6161334222816</v>
      </c>
      <c r="M69" s="107">
        <v>3771.5231666666664</v>
      </c>
      <c r="N69" s="453">
        <f t="shared" si="5"/>
        <v>43942.90967</v>
      </c>
      <c r="O69" s="723">
        <f t="shared" si="6"/>
        <v>22770.32476</v>
      </c>
    </row>
    <row r="70">
      <c r="A70" s="505" t="s">
        <v>221</v>
      </c>
      <c r="B70" s="498">
        <v>1154.229508196721</v>
      </c>
      <c r="C70" s="455">
        <v>1316.5693024390243</v>
      </c>
      <c r="D70" s="107">
        <v>1222.1737675471697</v>
      </c>
      <c r="E70" s="107">
        <v>1366.5687763713072</v>
      </c>
      <c r="F70" s="107">
        <v>1489.0101694915018</v>
      </c>
      <c r="G70" s="107">
        <v>1446.1168724279607</v>
      </c>
      <c r="H70" s="107">
        <v>1331.0848752727275</v>
      </c>
      <c r="I70" s="107">
        <v>1410.7931598513014</v>
      </c>
      <c r="J70" s="107">
        <v>1313.1604152249135</v>
      </c>
      <c r="K70" s="107">
        <v>1317.7200000000003</v>
      </c>
      <c r="L70" s="105">
        <v>1341.8064096064045</v>
      </c>
      <c r="M70" s="107">
        <v>1309.4842500000002</v>
      </c>
      <c r="N70" s="453">
        <f t="shared" si="5"/>
        <v>16018.71751</v>
      </c>
      <c r="O70" s="723">
        <f t="shared" si="6"/>
        <v>8024.04911</v>
      </c>
    </row>
    <row r="71">
      <c r="A71" s="505" t="s">
        <v>203</v>
      </c>
      <c r="B71" s="498">
        <v>790.9054918032787</v>
      </c>
      <c r="C71" s="455">
        <v>1025.5041951219512</v>
      </c>
      <c r="D71" s="107">
        <v>866.5372528301887</v>
      </c>
      <c r="E71" s="107">
        <v>932.3046413502215</v>
      </c>
      <c r="F71" s="107">
        <v>932.9745762712024</v>
      </c>
      <c r="G71" s="107">
        <v>617.3292181069805</v>
      </c>
      <c r="H71" s="107">
        <v>661.5375000000001</v>
      </c>
      <c r="I71" s="107">
        <v>1083.3525836431227</v>
      </c>
      <c r="J71" s="107">
        <v>792.43276816609</v>
      </c>
      <c r="K71" s="107">
        <v>904.475</v>
      </c>
      <c r="L71" s="105">
        <v>921.0077651767846</v>
      </c>
      <c r="M71" s="107">
        <v>898.8220312500001</v>
      </c>
      <c r="N71" s="453">
        <f t="shared" si="5"/>
        <v>10427.18302</v>
      </c>
      <c r="O71" s="723">
        <f t="shared" si="6"/>
        <v>5261.627648</v>
      </c>
    </row>
    <row r="72">
      <c r="A72" s="505" t="s">
        <v>197</v>
      </c>
      <c r="B72" s="498">
        <v>1186.7689327868852</v>
      </c>
      <c r="C72" s="455">
        <v>1306.6095</v>
      </c>
      <c r="D72" s="107">
        <v>1241.7285154716978</v>
      </c>
      <c r="E72" s="107">
        <v>1496.1907172992799</v>
      </c>
      <c r="F72" s="107">
        <v>1727.9101694920168</v>
      </c>
      <c r="G72" s="107">
        <v>1678.1349794238213</v>
      </c>
      <c r="H72" s="107">
        <v>1544.6469694975758</v>
      </c>
      <c r="I72" s="107">
        <v>1592.9034230483269</v>
      </c>
      <c r="J72" s="107">
        <v>1482.6678920415225</v>
      </c>
      <c r="K72" s="107">
        <v>1487.8160444444443</v>
      </c>
      <c r="L72" s="105">
        <v>1515.0116145697132</v>
      </c>
      <c r="M72" s="107">
        <v>1478.5171941666667</v>
      </c>
      <c r="N72" s="453">
        <f t="shared" si="5"/>
        <v>17738.90595</v>
      </c>
      <c r="O72" s="723">
        <f t="shared" si="6"/>
        <v>9101.563138</v>
      </c>
    </row>
    <row r="73">
      <c r="A73" s="505" t="s">
        <v>120</v>
      </c>
      <c r="B73" s="498">
        <v>2049.180327868852</v>
      </c>
      <c r="C73" s="455">
        <v>2032.5203252032516</v>
      </c>
      <c r="D73" s="107">
        <v>1886.7924528301885</v>
      </c>
      <c r="E73" s="107">
        <v>2447.2573839662446</v>
      </c>
      <c r="F73" s="107">
        <v>2457.6271186440677</v>
      </c>
      <c r="G73" s="107">
        <v>2387.0304526748287</v>
      </c>
      <c r="H73" s="107">
        <v>2196.969696969697</v>
      </c>
      <c r="I73" s="107">
        <v>2648.4510532837676</v>
      </c>
      <c r="J73" s="107">
        <v>2402.434256055363</v>
      </c>
      <c r="K73" s="107">
        <v>2215.2777777777783</v>
      </c>
      <c r="L73" s="105">
        <v>2255.770513675784</v>
      </c>
      <c r="M73" s="107">
        <v>2201.432291666667</v>
      </c>
      <c r="N73" s="453">
        <f t="shared" si="5"/>
        <v>27180.74365</v>
      </c>
      <c r="O73" s="105">
        <f t="shared" si="6"/>
        <v>13920.33559</v>
      </c>
    </row>
    <row r="74">
      <c r="A74" s="505" t="s">
        <v>127</v>
      </c>
      <c r="B74" s="498">
        <v>2479.5081967213114</v>
      </c>
      <c r="C74" s="455">
        <v>2779.066602439024</v>
      </c>
      <c r="D74" s="107">
        <v>2786.1987169811327</v>
      </c>
      <c r="E74" s="107">
        <v>3317.299578059072</v>
      </c>
      <c r="F74" s="107">
        <v>3331.35593220339</v>
      </c>
      <c r="G74" s="107">
        <v>3235.3909465020574</v>
      </c>
      <c r="H74" s="107">
        <v>2978.030303030303</v>
      </c>
      <c r="I74" s="107">
        <v>3200.46156133829</v>
      </c>
      <c r="J74" s="107">
        <v>2978.9763321799305</v>
      </c>
      <c r="K74" s="107">
        <v>3108.7644444444445</v>
      </c>
      <c r="L74" s="105">
        <v>3158.704501667779</v>
      </c>
      <c r="M74" s="107">
        <v>3082.615916666667</v>
      </c>
      <c r="N74" s="453">
        <f t="shared" si="5"/>
        <v>36436.37303</v>
      </c>
      <c r="O74" s="723">
        <f t="shared" si="6"/>
        <v>18507.55306</v>
      </c>
    </row>
    <row r="75">
      <c r="A75" s="505" t="s">
        <v>218</v>
      </c>
      <c r="B75" s="498">
        <v>1770.4918032786886</v>
      </c>
      <c r="C75" s="455">
        <v>490.2439024390244</v>
      </c>
      <c r="D75" s="107">
        <v>1032.4528301886792</v>
      </c>
      <c r="E75" s="107">
        <v>597.8987341772151</v>
      </c>
      <c r="F75" s="107">
        <v>574.3474576271186</v>
      </c>
      <c r="G75" s="107">
        <v>555.1440329218107</v>
      </c>
      <c r="H75" s="107">
        <v>690.9090909090909</v>
      </c>
      <c r="I75" s="107">
        <v>706.6022304832712</v>
      </c>
      <c r="J75" s="107">
        <v>557.0936484429066</v>
      </c>
      <c r="K75" s="107">
        <v>694.4447222222224</v>
      </c>
      <c r="L75" s="105">
        <v>667.1116744496331</v>
      </c>
      <c r="M75" s="107">
        <v>651.0419270833335</v>
      </c>
      <c r="N75" s="453">
        <f t="shared" si="5"/>
        <v>8987.782054</v>
      </c>
      <c r="O75" s="105">
        <f t="shared" si="6"/>
        <v>3967.203294</v>
      </c>
    </row>
    <row r="76">
      <c r="A76" s="505" t="s">
        <v>1266</v>
      </c>
      <c r="B76" s="498">
        <v>18106.616395901638</v>
      </c>
      <c r="C76" s="455">
        <v>20014.117417886177</v>
      </c>
      <c r="D76" s="107">
        <v>20391.936261886793</v>
      </c>
      <c r="E76" s="107">
        <v>24265.756962025313</v>
      </c>
      <c r="F76" s="107">
        <v>28162.509322034482</v>
      </c>
      <c r="G76" s="107">
        <v>26077.65843621341</v>
      </c>
      <c r="H76" s="107">
        <v>25482.860808899648</v>
      </c>
      <c r="I76" s="107">
        <v>26516.514500749032</v>
      </c>
      <c r="J76" s="107">
        <v>25334.355015154324</v>
      </c>
      <c r="K76" s="107">
        <v>26968.093278671113</v>
      </c>
      <c r="L76" s="105">
        <v>27097.900053213074</v>
      </c>
      <c r="M76" s="107">
        <v>26586.388137868755</v>
      </c>
      <c r="N76" s="453">
        <f t="shared" si="5"/>
        <v>295004.7066</v>
      </c>
      <c r="O76" s="105">
        <f t="shared" si="6"/>
        <v>157986.1118</v>
      </c>
    </row>
    <row r="79">
      <c r="A79" s="43" t="s">
        <v>1478</v>
      </c>
      <c r="P79" s="43" t="s">
        <v>1479</v>
      </c>
    </row>
    <row r="80"/>
    <row r="81"/>
    <row r="82"/>
    <row r="83"/>
    <row r="84"/>
    <row r="85"/>
    <row r="86"/>
    <row r="87"/>
    <row r="88"/>
    <row r="89"/>
    <row r="90"/>
    <row r="91"/>
    <row r="92"/>
    <row r="93"/>
    <row r="94"/>
    <row r="95"/>
    <row r="96"/>
    <row r="97"/>
    <row r="98"/>
    <row r="99"/>
    <row r="100"/>
    <row r="101"/>
    <row r="102"/>
    <row r="103">
      <c r="A103" s="505"/>
      <c r="B103" s="450"/>
      <c r="C103" s="455"/>
    </row>
    <row r="104">
      <c r="A104" s="505"/>
      <c r="B104" s="450"/>
      <c r="C104" s="455"/>
    </row>
    <row r="105">
      <c r="A105" s="505"/>
      <c r="B105" s="450"/>
      <c r="C105" s="455"/>
    </row>
    <row r="106">
      <c r="A106" s="505"/>
      <c r="B106" s="450"/>
      <c r="C106" s="455"/>
    </row>
    <row r="107">
      <c r="A107" s="505"/>
      <c r="B107" s="450"/>
      <c r="C107" s="455"/>
    </row>
    <row r="108">
      <c r="A108" s="505"/>
      <c r="B108" s="450"/>
      <c r="C108" s="455"/>
    </row>
    <row r="109">
      <c r="A109" s="505"/>
      <c r="B109" s="450"/>
      <c r="C109" s="455"/>
    </row>
    <row r="110">
      <c r="A110" s="505"/>
      <c r="B110" s="450"/>
      <c r="C110" s="455"/>
    </row>
    <row r="111">
      <c r="A111" s="505"/>
      <c r="B111" s="450"/>
      <c r="C111" s="450"/>
    </row>
    <row r="112">
      <c r="A112" s="505"/>
      <c r="B112" s="450"/>
      <c r="C112" s="450"/>
    </row>
    <row r="113">
      <c r="A113" s="505"/>
      <c r="B113" s="450"/>
      <c r="C113" s="450"/>
    </row>
    <row r="114">
      <c r="A114" s="505"/>
      <c r="B114" s="450"/>
      <c r="C114" s="450"/>
    </row>
    <row r="115">
      <c r="A115" s="505"/>
      <c r="B115" s="450"/>
      <c r="C115" s="450"/>
    </row>
    <row r="116">
      <c r="A116" s="505"/>
      <c r="B116" s="450"/>
      <c r="C116" s="450"/>
    </row>
    <row r="117">
      <c r="A117" s="505"/>
    </row>
  </sheetData>
  <dataValidations>
    <dataValidation type="list" allowBlank="1" showErrorMessage="1" sqref="A31:A51">
      <formula1>Listas!$D$3:$D$386</formula1>
    </dataValidation>
  </dataValidations>
  <drawing r:id="rId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42.13"/>
    <col customWidth="1" min="2" max="2" width="33.25"/>
    <col customWidth="1" min="3" max="3" width="12.0"/>
    <col customWidth="1" min="4" max="4" width="8.25"/>
    <col customWidth="1" min="5" max="5" width="6.13"/>
    <col customWidth="1" min="6" max="6" width="7.0"/>
    <col customWidth="1" min="7" max="7" width="10.63"/>
    <col customWidth="1" min="8" max="11" width="10.0"/>
    <col customWidth="1" min="12" max="12" width="20.25"/>
  </cols>
  <sheetData>
    <row r="1">
      <c r="A1" s="48" t="s">
        <v>1480</v>
      </c>
    </row>
    <row r="2">
      <c r="A2" s="724" t="s">
        <v>1481</v>
      </c>
      <c r="B2" s="725" t="s">
        <v>1482</v>
      </c>
    </row>
    <row r="3">
      <c r="A3" s="724" t="s">
        <v>1483</v>
      </c>
      <c r="B3" s="726" t="s">
        <v>1484</v>
      </c>
    </row>
    <row r="4">
      <c r="A4" s="572" t="s">
        <v>116</v>
      </c>
      <c r="B4" s="86" t="s">
        <v>1485</v>
      </c>
    </row>
    <row r="5">
      <c r="A5" s="727" t="s">
        <v>123</v>
      </c>
      <c r="B5" s="43">
        <v>2.2</v>
      </c>
    </row>
    <row r="6">
      <c r="A6" s="727" t="s">
        <v>129</v>
      </c>
      <c r="B6" s="43">
        <v>2.4</v>
      </c>
    </row>
    <row r="7">
      <c r="A7" s="727" t="s">
        <v>136</v>
      </c>
      <c r="B7" s="43">
        <v>3.7</v>
      </c>
    </row>
    <row r="8">
      <c r="A8" s="727" t="s">
        <v>143</v>
      </c>
      <c r="B8" s="43">
        <v>2.8</v>
      </c>
    </row>
    <row r="9">
      <c r="A9" s="727" t="s">
        <v>149</v>
      </c>
      <c r="B9" s="43">
        <v>1.5</v>
      </c>
    </row>
    <row r="10">
      <c r="A10" s="727" t="s">
        <v>155</v>
      </c>
      <c r="B10" s="43">
        <v>1.6</v>
      </c>
    </row>
    <row r="11">
      <c r="A11" s="727" t="s">
        <v>161</v>
      </c>
      <c r="B11" s="43">
        <v>1.9</v>
      </c>
    </row>
    <row r="12">
      <c r="A12" s="727" t="s">
        <v>166</v>
      </c>
      <c r="B12" s="43">
        <v>1.9</v>
      </c>
      <c r="D12" s="728"/>
    </row>
    <row r="13">
      <c r="A13" s="729" t="s">
        <v>1335</v>
      </c>
      <c r="B13" s="43">
        <v>1.8</v>
      </c>
    </row>
    <row r="14">
      <c r="A14" s="729" t="s">
        <v>175</v>
      </c>
      <c r="B14" s="43">
        <v>1.7</v>
      </c>
    </row>
    <row r="15">
      <c r="A15" s="729" t="s">
        <v>179</v>
      </c>
      <c r="B15" s="43">
        <v>1.6</v>
      </c>
    </row>
    <row r="16">
      <c r="A16" s="729" t="s">
        <v>182</v>
      </c>
      <c r="B16" s="43">
        <v>1.8</v>
      </c>
    </row>
    <row r="17">
      <c r="A17" s="730" t="s">
        <v>1486</v>
      </c>
      <c r="B17" s="43">
        <v>19.2</v>
      </c>
    </row>
    <row r="18">
      <c r="A18" s="412" t="s">
        <v>1487</v>
      </c>
      <c r="B18" s="43">
        <v>28.0</v>
      </c>
    </row>
    <row r="19">
      <c r="A19" s="44"/>
    </row>
    <row r="20">
      <c r="A20" s="48" t="s">
        <v>1488</v>
      </c>
    </row>
    <row r="21">
      <c r="A21" s="444" t="s">
        <v>1489</v>
      </c>
      <c r="B21" s="731"/>
    </row>
    <row r="22">
      <c r="A22" s="444" t="s">
        <v>1483</v>
      </c>
      <c r="B22" s="726" t="s">
        <v>1484</v>
      </c>
    </row>
    <row r="23">
      <c r="A23" s="572" t="s">
        <v>116</v>
      </c>
      <c r="B23" s="86" t="s">
        <v>1490</v>
      </c>
    </row>
    <row r="24">
      <c r="A24" s="727" t="s">
        <v>1439</v>
      </c>
      <c r="B24" s="371">
        <v>1220.0</v>
      </c>
    </row>
    <row r="25">
      <c r="A25" s="727" t="s">
        <v>1440</v>
      </c>
      <c r="B25" s="371">
        <v>1230.0</v>
      </c>
    </row>
    <row r="26">
      <c r="A26" s="727" t="s">
        <v>1441</v>
      </c>
      <c r="B26" s="371">
        <v>1325.0</v>
      </c>
    </row>
    <row r="27">
      <c r="A27" s="727" t="s">
        <v>1442</v>
      </c>
      <c r="B27" s="371">
        <v>1185.0</v>
      </c>
    </row>
    <row r="28">
      <c r="A28" s="727" t="s">
        <v>1443</v>
      </c>
      <c r="B28" s="371">
        <v>1180.0</v>
      </c>
    </row>
    <row r="29">
      <c r="A29" s="727" t="s">
        <v>1444</v>
      </c>
      <c r="B29" s="371">
        <v>1215.0</v>
      </c>
    </row>
    <row r="30">
      <c r="A30" s="727" t="s">
        <v>1445</v>
      </c>
      <c r="B30" s="371">
        <v>1320.0</v>
      </c>
    </row>
    <row r="31">
      <c r="A31" s="727" t="s">
        <v>1446</v>
      </c>
      <c r="B31" s="371">
        <v>1345.0</v>
      </c>
      <c r="H31" s="175"/>
    </row>
    <row r="32">
      <c r="A32" s="727" t="s">
        <v>1447</v>
      </c>
      <c r="B32" s="371">
        <v>1445.0</v>
      </c>
      <c r="H32" s="175"/>
    </row>
    <row r="33">
      <c r="A33" s="729" t="s">
        <v>1448</v>
      </c>
      <c r="B33" s="371">
        <v>1440.0</v>
      </c>
      <c r="H33" s="175"/>
    </row>
    <row r="34">
      <c r="A34" s="729" t="s">
        <v>1449</v>
      </c>
      <c r="B34" s="371">
        <v>1499.0</v>
      </c>
      <c r="H34" s="175"/>
    </row>
    <row r="35">
      <c r="A35" s="729" t="s">
        <v>1450</v>
      </c>
      <c r="B35" s="371">
        <v>1536.0</v>
      </c>
      <c r="H35" s="175"/>
    </row>
    <row r="36">
      <c r="A36" s="729" t="s">
        <v>1451</v>
      </c>
      <c r="B36" s="371">
        <v>1589.0</v>
      </c>
      <c r="H36" s="175"/>
    </row>
    <row r="37">
      <c r="A37" s="729" t="s">
        <v>1452</v>
      </c>
      <c r="B37" s="371">
        <v>1610.0</v>
      </c>
    </row>
    <row r="38">
      <c r="A38" s="729" t="s">
        <v>1453</v>
      </c>
      <c r="B38" s="371">
        <v>1638.0</v>
      </c>
    </row>
    <row r="39">
      <c r="A39" s="729" t="s">
        <v>1454</v>
      </c>
      <c r="B39" s="371">
        <v>1739.0</v>
      </c>
      <c r="C39" s="43" t="s">
        <v>1491</v>
      </c>
    </row>
    <row r="40">
      <c r="A40" s="729" t="s">
        <v>1455</v>
      </c>
      <c r="B40" s="371">
        <v>1739.0</v>
      </c>
      <c r="C40" s="43" t="s">
        <v>1491</v>
      </c>
    </row>
    <row r="41">
      <c r="A41" s="729" t="s">
        <v>1456</v>
      </c>
      <c r="B41" s="371">
        <v>1739.0</v>
      </c>
      <c r="C41" s="43" t="s">
        <v>1491</v>
      </c>
    </row>
    <row r="42">
      <c r="A42" s="729" t="s">
        <v>1457</v>
      </c>
      <c r="B42" s="371">
        <v>1739.0</v>
      </c>
      <c r="C42" s="43" t="s">
        <v>1491</v>
      </c>
    </row>
    <row r="43">
      <c r="A43" s="729" t="s">
        <v>1458</v>
      </c>
      <c r="B43" s="371">
        <v>1739.0</v>
      </c>
      <c r="C43" s="43" t="s">
        <v>1491</v>
      </c>
    </row>
    <row r="44">
      <c r="A44" s="729" t="s">
        <v>1459</v>
      </c>
      <c r="B44" s="371">
        <v>1739.0</v>
      </c>
      <c r="C44" s="43" t="s">
        <v>1491</v>
      </c>
    </row>
    <row r="45">
      <c r="A45" s="729" t="s">
        <v>1460</v>
      </c>
      <c r="B45" s="371">
        <v>1739.0</v>
      </c>
      <c r="C45" s="43" t="s">
        <v>1491</v>
      </c>
    </row>
    <row r="46">
      <c r="A46" s="729" t="s">
        <v>1461</v>
      </c>
      <c r="B46" s="371">
        <v>1739.0</v>
      </c>
      <c r="C46" s="43" t="s">
        <v>1491</v>
      </c>
    </row>
    <row r="47">
      <c r="A47" s="729" t="s">
        <v>1462</v>
      </c>
      <c r="B47" s="371">
        <v>1739.0</v>
      </c>
      <c r="C47" s="43" t="s">
        <v>1491</v>
      </c>
    </row>
    <row r="48">
      <c r="A48" s="44"/>
    </row>
    <row r="49">
      <c r="A49" s="44"/>
    </row>
    <row r="50">
      <c r="A50" s="44"/>
    </row>
    <row r="51">
      <c r="A51" s="44"/>
    </row>
    <row r="52">
      <c r="A52" s="44"/>
    </row>
    <row r="53">
      <c r="A53" s="44"/>
    </row>
    <row r="54">
      <c r="A54" s="44"/>
    </row>
    <row r="55">
      <c r="A55" s="44"/>
    </row>
    <row r="56">
      <c r="A56" s="44"/>
    </row>
    <row r="57">
      <c r="A57" s="44"/>
    </row>
    <row r="58">
      <c r="A58" s="44"/>
    </row>
    <row r="59">
      <c r="A59" s="44"/>
    </row>
    <row r="60">
      <c r="A60" s="44"/>
    </row>
    <row r="61">
      <c r="A61" s="44"/>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sheetData>
  <dataValidations>
    <dataValidation type="list" allowBlank="1" showErrorMessage="1" sqref="A5:A16">
      <formula1>"01 Ene,02 Feb,03 Mar,04 Abr,05 May,06 Jun,07 Jul,08 Ago,09 Sep,10 Oct,11 Nov,12 Dic"</formula1>
    </dataValidation>
  </dataValidations>
  <hyperlinks>
    <hyperlink r:id="rId1" ref="B2"/>
    <hyperlink r:id="rId2" ref="B3"/>
    <hyperlink r:id="rId3" ref="B22"/>
  </hyperlinks>
  <drawing r:id="rId4"/>
</worksheet>
</file>